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charts/chart4.xml" ContentType="application/vnd.openxmlformats-officedocument.drawingml.char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charts/chart38.xml" ContentType="application/vnd.openxmlformats-officedocument.drawingml.chart+xml"/>
  <Override PartName="/xl/drawings/drawing20.xml" ContentType="application/vnd.openxmlformats-officedocument.drawing+xml"/>
  <Override PartName="/xl/charts/chart16.xml" ContentType="application/vnd.openxmlformats-officedocument.drawingml.chart+xml"/>
  <Override PartName="/xl/charts/chart34.xml" ContentType="application/vnd.openxmlformats-officedocument.drawingml.chart+xml"/>
  <Override PartName="/xl/charts/chart45.xml" ContentType="application/vnd.openxmlformats-officedocument.drawingml.chart+xml"/>
  <Override PartName="/xl/worksheets/sheet2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Default Extension="emf" ContentType="image/x-emf"/>
  <Override PartName="/xl/drawings/drawing5.xml" ContentType="application/vnd.openxmlformats-officedocument.drawing+xml"/>
  <Override PartName="/xl/charts/chart3.xml" ContentType="application/vnd.openxmlformats-officedocument.drawingml.chart+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xl/drawings/drawing25.xml" ContentType="application/vnd.openxmlformats-officedocument.drawing+xml"/>
  <Override PartName="/xl/charts/chart39.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charts/chart19.xml" ContentType="application/vnd.openxmlformats-officedocument.drawingml.chart+xml"/>
  <Override PartName="/xl/charts/chart28.xml" ContentType="application/vnd.openxmlformats-officedocument.drawingml.chart+xml"/>
  <Override PartName="/xl/charts/chart37.xml" ContentType="application/vnd.openxmlformats-officedocument.drawingml.char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charts/chart17.xml" ContentType="application/vnd.openxmlformats-officedocument.drawingml.chart+xml"/>
  <Override PartName="/xl/drawings/drawing30.xml" ContentType="application/vnd.openxmlformats-officedocument.drawing+xml"/>
  <Override PartName="/xl/charts/chart26.xml" ContentType="application/vnd.openxmlformats-officedocument.drawingml.chart+xml"/>
  <Override PartName="/xl/charts/chart35.xml" ContentType="application/vnd.openxmlformats-officedocument.drawingml.chart+xml"/>
  <Override PartName="/xl/charts/chart44.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charts/chart42.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xl/charts/chart40.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Default Extension="wmf" ContentType="image/x-wmf"/>
  <Override PartName="/xl/drawings/drawing4.xml" ContentType="application/vnd.openxmlformats-officedocument.drawing+xml"/>
  <Override PartName="/xl/charts/chart2.xml" ContentType="application/vnd.openxmlformats-officedocument.drawingml.chart+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drawings/drawing22.xml" ContentType="application/vnd.openxmlformats-officedocument.drawing+xml"/>
  <Override PartName="/xl/charts/chart18.xml" ContentType="application/vnd.openxmlformats-officedocument.drawingml.chart+xml"/>
  <Override PartName="/xl/charts/chart36.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charts/chart21.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45" yWindow="0" windowWidth="6345" windowHeight="6645" tabRatio="940" firstSheet="3" activeTab="14"/>
  </bookViews>
  <sheets>
    <sheet name="Leading Practice" sheetId="53" r:id="rId1"/>
    <sheet name="Introduction" sheetId="1" r:id="rId2"/>
    <sheet name="User Guide" sheetId="2" r:id="rId3"/>
    <sheet name="Main Menu" sheetId="3" r:id="rId4"/>
    <sheet name="Prod Parameters" sheetId="4" r:id="rId5"/>
    <sheet name="NRR Calculations" sheetId="5" r:id="rId6"/>
    <sheet name="PPE" sheetId="6" r:id="rId7"/>
    <sheet name="Hilti" sheetId="7" r:id="rId8"/>
    <sheet name="S215" sheetId="8" r:id="rId9"/>
    <sheet name="S215M" sheetId="9" r:id="rId10"/>
    <sheet name="Sulzer" sheetId="10" r:id="rId11"/>
    <sheet name="Physical Properties - Mass" sheetId="11" r:id="rId12"/>
    <sheet name="Physical Properties - Lenght" sheetId="12" r:id="rId13"/>
    <sheet name="SPL Single RD" sheetId="13" r:id="rId14"/>
    <sheet name="SPL Multiple RD's" sheetId="14" r:id="rId15"/>
    <sheet name="Laeq - Single RD" sheetId="15" r:id="rId16"/>
    <sheet name="Laeq - Multiple RD" sheetId="16" r:id="rId17"/>
    <sheet name="Exp Time - Single RD" sheetId="17" r:id="rId18"/>
    <sheet name="Exp Time - Multiple RD" sheetId="18" r:id="rId19"/>
    <sheet name="Ergonomics - Vibration" sheetId="19" r:id="rId20"/>
    <sheet name="Safety &amp; Environment" sheetId="20" r:id="rId21"/>
    <sheet name="Penetration Rate" sheetId="21" r:id="rId22"/>
    <sheet name="Drilling Time per Hole" sheetId="22" r:id="rId23"/>
    <sheet name="Drilling Shift Length" sheetId="23" r:id="rId24"/>
    <sheet name="Consum - RD kWhm Usage" sheetId="24" r:id="rId25"/>
    <sheet name="Consum - RD's Energy per Shift" sheetId="25" r:id="rId26"/>
    <sheet name="Compressor Input Data" sheetId="26" r:id="rId27"/>
    <sheet name="Consum - Energy Input" sheetId="27" r:id="rId28"/>
    <sheet name="Comp Air Sys Eff" sheetId="28" r:id="rId29"/>
    <sheet name="Air Consumption per Shift" sheetId="29" r:id="rId30"/>
    <sheet name="Water Consumption per Shift" sheetId="30" r:id="rId31"/>
    <sheet name="Capital Cost" sheetId="31" r:id="rId32"/>
    <sheet name="Consumables" sheetId="32" r:id="rId33"/>
    <sheet name="Energy Cost per Day" sheetId="33" r:id="rId34"/>
    <sheet name="Energy Cost per Month" sheetId="34" r:id="rId35"/>
    <sheet name="Total Energy Cost per Annum" sheetId="35" r:id="rId36"/>
    <sheet name="Compensation Working Master" sheetId="36" r:id="rId37"/>
    <sheet name="NIHL Compenation Cost" sheetId="37" r:id="rId38"/>
    <sheet name="NIHL Cost per Stoping Crew" sheetId="38" r:id="rId39"/>
    <sheet name="Operating Cost per Annum" sheetId="39" r:id="rId40"/>
    <sheet name="Lookup Properties" sheetId="40" r:id="rId41"/>
    <sheet name="Lookup Risk Table" sheetId="41" r:id="rId42"/>
    <sheet name="Lookup Ready-reckoner" sheetId="42" r:id="rId43"/>
    <sheet name="Lookup Penetration Rate" sheetId="43" r:id="rId44"/>
    <sheet name="Lookup dBA" sheetId="44" r:id="rId45"/>
    <sheet name="Lookup Exposure Time" sheetId="45" r:id="rId46"/>
    <sheet name="Lookup Vibration" sheetId="46" r:id="rId47"/>
    <sheet name="Lookup Energy kWhm" sheetId="47" r:id="rId48"/>
    <sheet name="Lookup Air Consumption" sheetId="48" r:id="rId49"/>
    <sheet name="Lookup Water Flow" sheetId="49" r:id="rId50"/>
    <sheet name="Working Master " sheetId="50" r:id="rId51"/>
    <sheet name="Summary Sheet" sheetId="51" r:id="rId52"/>
    <sheet name="Value Case" sheetId="52" r:id="rId53"/>
  </sheets>
  <definedNames>
    <definedName name="_Toc213476059" localSheetId="52">'Value Case'!$C$66</definedName>
    <definedName name="_Toc214165775" localSheetId="52">'Value Case'!$C$324</definedName>
    <definedName name="_Toc214170983" localSheetId="52">'Value Case'!$C$14</definedName>
    <definedName name="_Toc214170984" localSheetId="52">'Value Case'!$C$64</definedName>
    <definedName name="_Toc214170985" localSheetId="52">'Value Case'!$C$126</definedName>
    <definedName name="_Toc214170986" localSheetId="52">'Value Case'!$C$189</definedName>
    <definedName name="_Toc214170987" localSheetId="52">'Value Case'!$C$211</definedName>
    <definedName name="_Toc214170988" localSheetId="52">'Value Case'!$C$271</definedName>
    <definedName name="_Toc214170989" localSheetId="52">'Value Case'!$C$350</definedName>
    <definedName name="_Toc214170990" localSheetId="52">'Value Case'!$C$364</definedName>
    <definedName name="_Toc214170991" localSheetId="52">'Value Case'!$C$390</definedName>
    <definedName name="_Toc214170992" localSheetId="52">'Value Case'!$C$394</definedName>
    <definedName name="_Toc214170993" localSheetId="52">'Value Case'!$C$427</definedName>
    <definedName name="_Toc214170994" localSheetId="52">'Value Case'!$C$441</definedName>
    <definedName name="_Toc214170995" localSheetId="52">'Value Case'!$C$454</definedName>
    <definedName name="_Toc214170996" localSheetId="52">'Value Case'!#REF!</definedName>
    <definedName name="_Toc214170997" localSheetId="52">'Value Case'!$C$507</definedName>
    <definedName name="_Toc214170998" localSheetId="52">'Value Case'!$C$568</definedName>
    <definedName name="_Toc214170999" localSheetId="52">'Value Case'!$C$599</definedName>
    <definedName name="_Toc214171000" localSheetId="52">'Value Case'!$C$652</definedName>
    <definedName name="_Toc214171001" localSheetId="52">'Value Case'!$C$673</definedName>
    <definedName name="_Toc214171002" localSheetId="52">'Value Case'!$C$715</definedName>
    <definedName name="_Toc214171003" localSheetId="52">'Value Case'!$C$722</definedName>
    <definedName name="_Toc214171004" localSheetId="52">'Value Case'!$C$724</definedName>
    <definedName name="_Toc214171005" localSheetId="52">'Value Case'!$C$801</definedName>
    <definedName name="_Toc214171006" localSheetId="52">'Value Case'!$C$803</definedName>
    <definedName name="_Toc214171007" localSheetId="52">'Value Case'!$C$909</definedName>
    <definedName name="_Toc214171008" localSheetId="52">'Value Case'!$C$935</definedName>
    <definedName name="_Toc214171009" localSheetId="52">'Value Case'!#REF!</definedName>
    <definedName name="_Toc214171010" localSheetId="52">'Value Case'!$C$1012</definedName>
    <definedName name="_Toc214171011" localSheetId="52">'Value Case'!$C$1046</definedName>
    <definedName name="_Toc214171012" localSheetId="52">'Value Case'!$C$1217</definedName>
    <definedName name="_Toc214171013" localSheetId="52">'Value Case'!#REF!</definedName>
    <definedName name="_Toc214171014" localSheetId="52">'Value Case'!$C$1296</definedName>
    <definedName name="_Toc214171015" localSheetId="52">'Value Case'!$C$1363</definedName>
    <definedName name="_Toc214171016" localSheetId="52">'Value Case'!$C$1389</definedName>
    <definedName name="cap">#REF!</definedName>
    <definedName name="cap_answer">#REF!</definedName>
    <definedName name="car">#REF!</definedName>
    <definedName name="car_per">#REF!</definedName>
    <definedName name="cur_cap">#REF!</definedName>
    <definedName name="diff_per">#REF!</definedName>
    <definedName name="Drills_drilling" localSheetId="2">#REF!</definedName>
    <definedName name="Drills_drilling">#REF!</definedName>
    <definedName name="hous">#REF!</definedName>
    <definedName name="hous_per">#REF!</definedName>
    <definedName name="ins">#REF!</definedName>
    <definedName name="MED">#REF!</definedName>
    <definedName name="OLE_LINK1" localSheetId="52">'Value Case'!$C$1412</definedName>
    <definedName name="OLE_LINK2" localSheetId="52">'Value Case'!$C$1063</definedName>
    <definedName name="_xlnm.Print_Area" localSheetId="29">'Air Consumption per Shift'!$B$1:$K$33</definedName>
    <definedName name="_xlnm.Print_Area" localSheetId="31">'Capital Cost'!$B$1:$I$51</definedName>
    <definedName name="_xlnm.Print_Area" localSheetId="28">'Comp Air Sys Eff'!$B$1:$K$33</definedName>
    <definedName name="_xlnm.Print_Area" localSheetId="26">'Compressor Input Data'!$B$1:$J$33</definedName>
    <definedName name="_xlnm.Print_Area" localSheetId="27">'Consum - Energy Input'!$B$1:$K$33</definedName>
    <definedName name="_xlnm.Print_Area" localSheetId="24">'Consum - RD kWhm Usage'!$B$1:$K$33</definedName>
    <definedName name="_xlnm.Print_Area" localSheetId="25">'Consum - RD''s Energy per Shift'!$B$1:$K$33</definedName>
    <definedName name="_xlnm.Print_Area" localSheetId="32">Consumables!$B$1:$H$31</definedName>
    <definedName name="_xlnm.Print_Area" localSheetId="23">'Drilling Shift Length'!$B$1:$K$33</definedName>
    <definedName name="_xlnm.Print_Area" localSheetId="22">'Drilling Time per Hole'!$B$1:$K$32</definedName>
    <definedName name="_xlnm.Print_Area" localSheetId="33">'Energy Cost per Day'!$B$1:$K$33</definedName>
    <definedName name="_xlnm.Print_Area" localSheetId="34">'Energy Cost per Month'!$B$1:$K$32</definedName>
    <definedName name="_xlnm.Print_Area" localSheetId="19">'Ergonomics - Vibration'!$B$1:$K$32</definedName>
    <definedName name="_xlnm.Print_Area" localSheetId="18">'Exp Time - Multiple RD'!$B$1:$K$32</definedName>
    <definedName name="_xlnm.Print_Area" localSheetId="17">'Exp Time - Single RD'!$B$1:$K$33</definedName>
    <definedName name="_xlnm.Print_Area" localSheetId="7">Hilti!$A$1:$K$126</definedName>
    <definedName name="_xlnm.Print_Area" localSheetId="1">Introduction!$B$2:$K$55</definedName>
    <definedName name="_xlnm.Print_Area" localSheetId="16">'Laeq - Multiple RD'!$B$1:$K$33</definedName>
    <definedName name="_xlnm.Print_Area" localSheetId="15">'Laeq - Single RD'!$B$1:$K$33</definedName>
    <definedName name="_xlnm.Print_Area" localSheetId="44">'Lookup dBA'!$B$1:$N$209</definedName>
    <definedName name="_xlnm.Print_Area" localSheetId="47">'Lookup Energy kWhm'!$B$1:$N$209</definedName>
    <definedName name="_xlnm.Print_Area" localSheetId="45">'Lookup Exposure Time'!$A$1:$I$733</definedName>
    <definedName name="_xlnm.Print_Area" localSheetId="43">'Lookup Penetration Rate'!$B$1:$K$209</definedName>
    <definedName name="_xlnm.Print_Area" localSheetId="42">'Lookup Ready-reckoner'!$B$1:$M$1208</definedName>
    <definedName name="_xlnm.Print_Area" localSheetId="41">'Lookup Risk Table'!$A$1:$M$55</definedName>
    <definedName name="_xlnm.Print_Area" localSheetId="46">'Lookup Vibration'!$B$1:$F$209</definedName>
    <definedName name="_xlnm.Print_Area" localSheetId="3">'Main Menu'!$B$1:$K$83</definedName>
    <definedName name="_xlnm.Print_Area" localSheetId="37">'NIHL Compenation Cost'!$B$1:$K$33</definedName>
    <definedName name="_xlnm.Print_Area" localSheetId="38">'NIHL Cost per Stoping Crew'!$B$1:$K$34</definedName>
    <definedName name="_xlnm.Print_Area" localSheetId="5">'NRR Calculations'!$B$1:$J$46</definedName>
    <definedName name="_xlnm.Print_Area" localSheetId="39">'Operating Cost per Annum'!$B$1:$K$34</definedName>
    <definedName name="_xlnm.Print_Area" localSheetId="21">'Penetration Rate'!$B$1:$K$33</definedName>
    <definedName name="_xlnm.Print_Area" localSheetId="12">'Physical Properties - Lenght'!$B$1:$K$29</definedName>
    <definedName name="_xlnm.Print_Area" localSheetId="11">'Physical Properties - Mass'!$B$1:$K$30</definedName>
    <definedName name="_xlnm.Print_Area" localSheetId="6">PPE!$B$1:$J$20</definedName>
    <definedName name="_xlnm.Print_Area" localSheetId="4">'Prod Parameters'!$A$1:$K$29</definedName>
    <definedName name="_xlnm.Print_Area" localSheetId="8">'S215'!$A$1:$K$28</definedName>
    <definedName name="_xlnm.Print_Area" localSheetId="9">S215M!$A$1:$K$27</definedName>
    <definedName name="_xlnm.Print_Area" localSheetId="20">'Safety &amp; Environment'!$B$1:$L$187</definedName>
    <definedName name="_xlnm.Print_Area" localSheetId="14">'SPL Multiple RD''s'!$B$1:$K$33</definedName>
    <definedName name="_xlnm.Print_Area" localSheetId="13">'SPL Single RD'!$B$1:$K$33</definedName>
    <definedName name="_xlnm.Print_Area" localSheetId="10">Sulzer!$A$1:$K$21</definedName>
    <definedName name="_xlnm.Print_Area" localSheetId="51">'Summary Sheet'!$B$1:$K$434</definedName>
    <definedName name="_xlnm.Print_Area" localSheetId="35">'Total Energy Cost per Annum'!$B$1:$K$32</definedName>
    <definedName name="_xlnm.Print_Area" localSheetId="2">'User Guide'!$A$1:$K$312</definedName>
    <definedName name="_xlnm.Print_Area" localSheetId="52">'Value Case'!$B$1:$L$1487</definedName>
    <definedName name="_xlnm.Print_Area" localSheetId="30">'Water Consumption per Shift'!$B$1:$K$32</definedName>
    <definedName name="split_cap">#REF!</definedName>
    <definedName name="tot_cap">#REF!</definedName>
  </definedNames>
  <calcPr calcId="124519"/>
</workbook>
</file>

<file path=xl/calcChain.xml><?xml version="1.0" encoding="utf-8"?>
<calcChain xmlns="http://schemas.openxmlformats.org/spreadsheetml/2006/main">
  <c r="K12" i="4"/>
  <c r="K11"/>
  <c r="K10"/>
  <c r="K9"/>
  <c r="F18"/>
  <c r="G5" i="26"/>
  <c r="X142" i="50"/>
  <c r="X145" s="1"/>
  <c r="X146"/>
  <c r="V20"/>
  <c r="F22" i="4"/>
  <c r="V24" i="50"/>
  <c r="F21" i="4"/>
  <c r="V23" i="50"/>
  <c r="X152"/>
  <c r="X154"/>
  <c r="V11"/>
  <c r="X158"/>
  <c r="X160"/>
  <c r="E7" i="32"/>
  <c r="E12" s="1"/>
  <c r="E13" s="1"/>
  <c r="E14" s="1"/>
  <c r="E10"/>
  <c r="E8"/>
  <c r="E6"/>
  <c r="C21"/>
  <c r="E21" s="1"/>
  <c r="E9"/>
  <c r="E11" s="1"/>
  <c r="AN26" i="37"/>
  <c r="AN25"/>
  <c r="AN29"/>
  <c r="AN28"/>
  <c r="AN463"/>
  <c r="AM61"/>
  <c r="AM66"/>
  <c r="AM67" s="1"/>
  <c r="AM536" s="1"/>
  <c r="AM542" s="1"/>
  <c r="AM549" s="1"/>
  <c r="AN550"/>
  <c r="I1258" i="52"/>
  <c r="V21" i="50"/>
  <c r="V458"/>
  <c r="V516"/>
  <c r="V487"/>
  <c r="U56"/>
  <c r="U61"/>
  <c r="U62"/>
  <c r="U531" s="1"/>
  <c r="U537" s="1"/>
  <c r="U544" s="1"/>
  <c r="V545"/>
  <c r="F7" i="37"/>
  <c r="I1259" i="52"/>
  <c r="V20" i="29"/>
  <c r="U56"/>
  <c r="F5"/>
  <c r="V5"/>
  <c r="V21"/>
  <c r="U76" s="1"/>
  <c r="V309"/>
  <c r="V312"/>
  <c r="V311"/>
  <c r="V551"/>
  <c r="W551"/>
  <c r="V545"/>
  <c r="W545"/>
  <c r="V538"/>
  <c r="W538"/>
  <c r="V532"/>
  <c r="W532"/>
  <c r="R406"/>
  <c r="R525"/>
  <c r="V522"/>
  <c r="W522"/>
  <c r="V516"/>
  <c r="W516"/>
  <c r="V509"/>
  <c r="W509"/>
  <c r="V503"/>
  <c r="W503"/>
  <c r="R377"/>
  <c r="R496"/>
  <c r="V493"/>
  <c r="W493"/>
  <c r="V487"/>
  <c r="W487"/>
  <c r="V480"/>
  <c r="W480"/>
  <c r="V474"/>
  <c r="W474"/>
  <c r="R348"/>
  <c r="R467"/>
  <c r="V464"/>
  <c r="W464"/>
  <c r="V458"/>
  <c r="W458"/>
  <c r="V451"/>
  <c r="W451"/>
  <c r="V445"/>
  <c r="W445"/>
  <c r="R319"/>
  <c r="R438"/>
  <c r="T412"/>
  <c r="T418"/>
  <c r="V432"/>
  <c r="W432"/>
  <c r="V426"/>
  <c r="W426"/>
  <c r="V419"/>
  <c r="W419"/>
  <c r="V413"/>
  <c r="W413"/>
  <c r="V403"/>
  <c r="W403"/>
  <c r="V397"/>
  <c r="W397"/>
  <c r="V390"/>
  <c r="W390"/>
  <c r="V384"/>
  <c r="W384"/>
  <c r="V374"/>
  <c r="W374"/>
  <c r="V368"/>
  <c r="W368"/>
  <c r="V361"/>
  <c r="W361"/>
  <c r="V355"/>
  <c r="W355"/>
  <c r="V345"/>
  <c r="W345"/>
  <c r="V339"/>
  <c r="W339"/>
  <c r="V332"/>
  <c r="W332"/>
  <c r="V326"/>
  <c r="W326"/>
  <c r="V314"/>
  <c r="V313"/>
  <c r="V310"/>
  <c r="X146"/>
  <c r="X152"/>
  <c r="V152"/>
  <c r="W152"/>
  <c r="X154"/>
  <c r="V11"/>
  <c r="X158"/>
  <c r="X160"/>
  <c r="V160" s="1"/>
  <c r="W160" s="1"/>
  <c r="V146"/>
  <c r="W146"/>
  <c r="V154"/>
  <c r="W154" s="1"/>
  <c r="V158"/>
  <c r="W158"/>
  <c r="Y216"/>
  <c r="V19"/>
  <c r="Y217"/>
  <c r="V22"/>
  <c r="Y218" s="1"/>
  <c r="W216"/>
  <c r="X216" s="1"/>
  <c r="V216" s="1"/>
  <c r="V227"/>
  <c r="U102"/>
  <c r="U114" s="1"/>
  <c r="U44"/>
  <c r="V44"/>
  <c r="X44" s="1"/>
  <c r="W44"/>
  <c r="U43"/>
  <c r="V43"/>
  <c r="X43" s="1"/>
  <c r="W43"/>
  <c r="U42"/>
  <c r="V42"/>
  <c r="X42" s="1"/>
  <c r="W42"/>
  <c r="U41"/>
  <c r="V41"/>
  <c r="X41" s="1"/>
  <c r="W41"/>
  <c r="U36"/>
  <c r="V36"/>
  <c r="X36" s="1"/>
  <c r="W36"/>
  <c r="U35"/>
  <c r="V35"/>
  <c r="X35" s="1"/>
  <c r="W35"/>
  <c r="U34"/>
  <c r="V34"/>
  <c r="X34" s="1"/>
  <c r="W34"/>
  <c r="V33"/>
  <c r="W33"/>
  <c r="X33"/>
  <c r="V15"/>
  <c r="V14"/>
  <c r="V13"/>
  <c r="V12"/>
  <c r="V10"/>
  <c r="E108" i="44"/>
  <c r="E2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W69" i="29"/>
  <c r="U309" s="1"/>
  <c r="H587" i="42"/>
  <c r="H647"/>
  <c r="H707"/>
  <c r="H547"/>
  <c r="H607"/>
  <c r="H667"/>
  <c r="H727"/>
  <c r="H567"/>
  <c r="H627"/>
  <c r="H687"/>
  <c r="H747"/>
  <c r="H807"/>
  <c r="H867"/>
  <c r="D108" i="44"/>
  <c r="D2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V69" i="29"/>
  <c r="T354" s="1"/>
  <c r="T360" s="1"/>
  <c r="T309"/>
  <c r="C108" i="44"/>
  <c r="C2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X69" i="29"/>
  <c r="S309"/>
  <c r="T383"/>
  <c r="T389"/>
  <c r="T325"/>
  <c r="T331"/>
  <c r="G7" i="26"/>
  <c r="W264" i="50"/>
  <c r="G8" i="26"/>
  <c r="W265" i="50"/>
  <c r="C108" i="47"/>
  <c r="C2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Y215" i="29"/>
  <c r="E108" i="47"/>
  <c r="E2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X215" i="29"/>
  <c r="D108" i="47"/>
  <c r="D2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W215" i="29"/>
  <c r="C108" i="43"/>
  <c r="C2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X51" i="29"/>
  <c r="X56"/>
  <c r="Y227" s="1"/>
  <c r="E108" i="43"/>
  <c r="E2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W51" i="29"/>
  <c r="W56"/>
  <c r="X227"/>
  <c r="D108" i="43"/>
  <c r="D2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V51" i="29"/>
  <c r="V56"/>
  <c r="W227"/>
  <c r="J17" i="26"/>
  <c r="C8" i="46"/>
  <c r="C20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E8"/>
  <c r="E20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D8"/>
  <c r="D20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X102" i="29"/>
  <c r="X114" s="1"/>
  <c r="W102"/>
  <c r="W114" s="1"/>
  <c r="V102"/>
  <c r="V114" s="1"/>
  <c r="F14" i="4"/>
  <c r="V16" i="29"/>
  <c r="D108" i="48"/>
  <c r="D2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V237" i="29"/>
  <c r="V238" s="1"/>
  <c r="E108" i="48"/>
  <c r="E2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W237" i="29"/>
  <c r="W238" s="1"/>
  <c r="C108" i="49"/>
  <c r="C2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X256" i="29"/>
  <c r="E108" i="49"/>
  <c r="E2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W256" i="29"/>
  <c r="D108" i="49"/>
  <c r="D2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V256" i="29"/>
  <c r="C108" i="48"/>
  <c r="C2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X237" i="29"/>
  <c r="X238" s="1"/>
  <c r="H689" i="42"/>
  <c r="H691"/>
  <c r="H690"/>
  <c r="H569"/>
  <c r="H571"/>
  <c r="H573"/>
  <c r="G647"/>
  <c r="F647"/>
  <c r="E647"/>
  <c r="W412" i="29"/>
  <c r="X142"/>
  <c r="X145" s="1"/>
  <c r="I13" i="6"/>
  <c r="I14"/>
  <c r="I15"/>
  <c r="H429" i="42"/>
  <c r="H431"/>
  <c r="H430"/>
  <c r="G430"/>
  <c r="F430"/>
  <c r="E430"/>
  <c r="H549"/>
  <c r="H551"/>
  <c r="H553"/>
  <c r="H555"/>
  <c r="H557"/>
  <c r="H309"/>
  <c r="H311"/>
  <c r="H313"/>
  <c r="H469"/>
  <c r="H468"/>
  <c r="G468"/>
  <c r="F468"/>
  <c r="E468"/>
  <c r="H449"/>
  <c r="G449"/>
  <c r="F449"/>
  <c r="E449"/>
  <c r="H609"/>
  <c r="H611"/>
  <c r="H613"/>
  <c r="G613"/>
  <c r="F613"/>
  <c r="E613"/>
  <c r="G667"/>
  <c r="F667"/>
  <c r="E667"/>
  <c r="G507"/>
  <c r="F507"/>
  <c r="E507"/>
  <c r="H693"/>
  <c r="H695"/>
  <c r="H697"/>
  <c r="H529"/>
  <c r="H531"/>
  <c r="H533"/>
  <c r="H535"/>
  <c r="H537"/>
  <c r="H539"/>
  <c r="H541"/>
  <c r="H543"/>
  <c r="H545"/>
  <c r="H546"/>
  <c r="G546"/>
  <c r="F546"/>
  <c r="E546"/>
  <c r="H509"/>
  <c r="H511"/>
  <c r="H513"/>
  <c r="H515"/>
  <c r="H517"/>
  <c r="H519"/>
  <c r="H521"/>
  <c r="H523"/>
  <c r="H525"/>
  <c r="H526"/>
  <c r="G526"/>
  <c r="F526"/>
  <c r="E526"/>
  <c r="G387"/>
  <c r="F387"/>
  <c r="E387"/>
  <c r="V24" i="29"/>
  <c r="X258" s="1"/>
  <c r="U258"/>
  <c r="F23" i="4"/>
  <c r="V25" i="29"/>
  <c r="V258"/>
  <c r="X249"/>
  <c r="V249"/>
  <c r="F24" i="4"/>
  <c r="V26" i="29"/>
  <c r="V23"/>
  <c r="H589" i="42"/>
  <c r="H591"/>
  <c r="H593"/>
  <c r="H289"/>
  <c r="H291"/>
  <c r="H293"/>
  <c r="H295"/>
  <c r="H297"/>
  <c r="H299"/>
  <c r="H301"/>
  <c r="H303"/>
  <c r="H305"/>
  <c r="L305"/>
  <c r="H451"/>
  <c r="H453"/>
  <c r="H455"/>
  <c r="L455"/>
  <c r="H530"/>
  <c r="L530"/>
  <c r="H568"/>
  <c r="L568"/>
  <c r="L587"/>
  <c r="H669"/>
  <c r="H671"/>
  <c r="L707"/>
  <c r="X61" i="29"/>
  <c r="X62" s="1"/>
  <c r="X147" s="1"/>
  <c r="X153" s="1"/>
  <c r="H489" i="42"/>
  <c r="H491"/>
  <c r="H471"/>
  <c r="H473"/>
  <c r="L473"/>
  <c r="H475"/>
  <c r="H477"/>
  <c r="L589"/>
  <c r="H590"/>
  <c r="L590"/>
  <c r="L549"/>
  <c r="Y219" i="29"/>
  <c r="W219" s="1"/>
  <c r="X219" s="1"/>
  <c r="X257"/>
  <c r="W257"/>
  <c r="V257"/>
  <c r="U257"/>
  <c r="X243"/>
  <c r="W243"/>
  <c r="V243"/>
  <c r="H629" i="42"/>
  <c r="H631"/>
  <c r="H633"/>
  <c r="H635"/>
  <c r="H637"/>
  <c r="H639"/>
  <c r="H649"/>
  <c r="H651"/>
  <c r="H653"/>
  <c r="H655"/>
  <c r="H657"/>
  <c r="L671"/>
  <c r="H668"/>
  <c r="L668"/>
  <c r="L669"/>
  <c r="L667"/>
  <c r="L647"/>
  <c r="L553"/>
  <c r="L551"/>
  <c r="H550"/>
  <c r="L550"/>
  <c r="H369"/>
  <c r="H371"/>
  <c r="H373"/>
  <c r="H375"/>
  <c r="H377"/>
  <c r="H379"/>
  <c r="H329"/>
  <c r="H331"/>
  <c r="H333"/>
  <c r="H409"/>
  <c r="H411"/>
  <c r="H433"/>
  <c r="H435"/>
  <c r="L567"/>
  <c r="H149"/>
  <c r="H151"/>
  <c r="H153"/>
  <c r="H229"/>
  <c r="L229"/>
  <c r="H189"/>
  <c r="H191"/>
  <c r="L191"/>
  <c r="H209"/>
  <c r="H211"/>
  <c r="H210"/>
  <c r="L210"/>
  <c r="L327"/>
  <c r="L329"/>
  <c r="H328"/>
  <c r="L328"/>
  <c r="L309"/>
  <c r="L307"/>
  <c r="H306"/>
  <c r="L306"/>
  <c r="H450"/>
  <c r="L450"/>
  <c r="H452"/>
  <c r="L452"/>
  <c r="L451"/>
  <c r="H654"/>
  <c r="L654"/>
  <c r="L655"/>
  <c r="L511"/>
  <c r="H520"/>
  <c r="L520"/>
  <c r="L525"/>
  <c r="L527"/>
  <c r="H528"/>
  <c r="L528"/>
  <c r="L529"/>
  <c r="H389"/>
  <c r="H391"/>
  <c r="H393"/>
  <c r="H395"/>
  <c r="H397"/>
  <c r="L407"/>
  <c r="L409"/>
  <c r="L539"/>
  <c r="H534"/>
  <c r="L534"/>
  <c r="H536"/>
  <c r="L536"/>
  <c r="L535"/>
  <c r="L389"/>
  <c r="L267"/>
  <c r="H269"/>
  <c r="H271"/>
  <c r="H273"/>
  <c r="H275"/>
  <c r="H277"/>
  <c r="H279"/>
  <c r="H281"/>
  <c r="H283"/>
  <c r="H285"/>
  <c r="H286"/>
  <c r="L286"/>
  <c r="L295"/>
  <c r="H290"/>
  <c r="L290"/>
  <c r="H292"/>
  <c r="L292"/>
  <c r="L291"/>
  <c r="I7" i="31"/>
  <c r="I8"/>
  <c r="G10"/>
  <c r="F9"/>
  <c r="I10"/>
  <c r="G14"/>
  <c r="I14" s="1"/>
  <c r="G15"/>
  <c r="I15"/>
  <c r="G16"/>
  <c r="I16" s="1"/>
  <c r="F5" i="37"/>
  <c r="AN5"/>
  <c r="H615" i="42"/>
  <c r="H617"/>
  <c r="H619"/>
  <c r="H621"/>
  <c r="H623"/>
  <c r="L633"/>
  <c r="H40" i="41"/>
  <c r="K7" i="37"/>
  <c r="I1260" i="52"/>
  <c r="G627" i="42"/>
  <c r="F627"/>
  <c r="E627"/>
  <c r="AN492" i="37"/>
  <c r="H508" i="42"/>
  <c r="L508"/>
  <c r="L507"/>
  <c r="H30" i="41"/>
  <c r="H31"/>
  <c r="H32"/>
  <c r="H33"/>
  <c r="AO74" i="37"/>
  <c r="AM314" s="1"/>
  <c r="AM317" s="1"/>
  <c r="AO81" s="1"/>
  <c r="AL507" s="1"/>
  <c r="AL520" s="1"/>
  <c r="AO56"/>
  <c r="AO61"/>
  <c r="AO66"/>
  <c r="AO67" s="1"/>
  <c r="AM507" s="1"/>
  <c r="AM513" s="1"/>
  <c r="AM520" s="1"/>
  <c r="AN521"/>
  <c r="L515" i="42"/>
  <c r="L513"/>
  <c r="H514"/>
  <c r="L514"/>
  <c r="AN314" i="37"/>
  <c r="AN317"/>
  <c r="AM81"/>
  <c r="AL536" s="1"/>
  <c r="AL549" s="1"/>
  <c r="G23" i="31"/>
  <c r="I23"/>
  <c r="G24"/>
  <c r="G25" s="1"/>
  <c r="I25" s="1"/>
  <c r="G18"/>
  <c r="G28" s="1"/>
  <c r="V20" i="28"/>
  <c r="U56"/>
  <c r="V21"/>
  <c r="V309"/>
  <c r="V312"/>
  <c r="V311"/>
  <c r="U76"/>
  <c r="T531" s="1"/>
  <c r="V551"/>
  <c r="W551"/>
  <c r="V545"/>
  <c r="W545"/>
  <c r="V538"/>
  <c r="W538"/>
  <c r="V532"/>
  <c r="W532"/>
  <c r="R406"/>
  <c r="R525"/>
  <c r="F5"/>
  <c r="V5"/>
  <c r="V522"/>
  <c r="W522"/>
  <c r="V516"/>
  <c r="W516"/>
  <c r="V509"/>
  <c r="W509"/>
  <c r="V503"/>
  <c r="W503"/>
  <c r="R377"/>
  <c r="R496"/>
  <c r="V493"/>
  <c r="W493"/>
  <c r="V487"/>
  <c r="W487"/>
  <c r="V480"/>
  <c r="W480"/>
  <c r="V474"/>
  <c r="W474"/>
  <c r="R348"/>
  <c r="R467"/>
  <c r="V464"/>
  <c r="W464"/>
  <c r="V458"/>
  <c r="W458"/>
  <c r="V451"/>
  <c r="W451"/>
  <c r="V445"/>
  <c r="W445"/>
  <c r="R319"/>
  <c r="R438"/>
  <c r="T412"/>
  <c r="T418"/>
  <c r="V432"/>
  <c r="W432"/>
  <c r="V426"/>
  <c r="W426"/>
  <c r="V419"/>
  <c r="W419"/>
  <c r="V413"/>
  <c r="W413"/>
  <c r="V403"/>
  <c r="W403"/>
  <c r="V397"/>
  <c r="W397"/>
  <c r="V390"/>
  <c r="W390"/>
  <c r="V384"/>
  <c r="W384"/>
  <c r="V374"/>
  <c r="W374"/>
  <c r="V368"/>
  <c r="W368"/>
  <c r="V361"/>
  <c r="W361"/>
  <c r="V355"/>
  <c r="W355"/>
  <c r="V345"/>
  <c r="W345"/>
  <c r="V339"/>
  <c r="W339"/>
  <c r="V332"/>
  <c r="W332"/>
  <c r="V326"/>
  <c r="W326"/>
  <c r="V314"/>
  <c r="V313"/>
  <c r="V310"/>
  <c r="X146"/>
  <c r="X152"/>
  <c r="V152" s="1"/>
  <c r="W152" s="1"/>
  <c r="X154"/>
  <c r="V11"/>
  <c r="X158"/>
  <c r="X160"/>
  <c r="V146"/>
  <c r="W146" s="1"/>
  <c r="V154"/>
  <c r="W154" s="1"/>
  <c r="V158"/>
  <c r="W158"/>
  <c r="V160"/>
  <c r="W160" s="1"/>
  <c r="Y216"/>
  <c r="V19"/>
  <c r="Y217"/>
  <c r="Y230" s="1"/>
  <c r="V22"/>
  <c r="Y218"/>
  <c r="W216"/>
  <c r="X216" s="1"/>
  <c r="W218"/>
  <c r="X218" s="1"/>
  <c r="V218" s="1"/>
  <c r="U108"/>
  <c r="U120" s="1"/>
  <c r="U102"/>
  <c r="U114" s="1"/>
  <c r="U44"/>
  <c r="X44" s="1"/>
  <c r="V44"/>
  <c r="W44"/>
  <c r="U43"/>
  <c r="X43" s="1"/>
  <c r="V43"/>
  <c r="W43"/>
  <c r="U42"/>
  <c r="X42" s="1"/>
  <c r="V42"/>
  <c r="W42"/>
  <c r="U41"/>
  <c r="X41" s="1"/>
  <c r="V41"/>
  <c r="W41"/>
  <c r="U36"/>
  <c r="X36" s="1"/>
  <c r="V36"/>
  <c r="W36"/>
  <c r="U35"/>
  <c r="X35" s="1"/>
  <c r="V35"/>
  <c r="W35"/>
  <c r="U34"/>
  <c r="X34" s="1"/>
  <c r="V34"/>
  <c r="W34"/>
  <c r="V33"/>
  <c r="X33" s="1"/>
  <c r="W33"/>
  <c r="V15"/>
  <c r="V14"/>
  <c r="V13"/>
  <c r="V12"/>
  <c r="V10"/>
  <c r="W69"/>
  <c r="U309" s="1"/>
  <c r="V69"/>
  <c r="T309" s="1"/>
  <c r="X69"/>
  <c r="S309" s="1"/>
  <c r="T354"/>
  <c r="T360" s="1"/>
  <c r="T373" s="1"/>
  <c r="W373" s="1"/>
  <c r="W264"/>
  <c r="W265"/>
  <c r="Y215"/>
  <c r="Y220"/>
  <c r="Y231" s="1"/>
  <c r="X215"/>
  <c r="W215"/>
  <c r="X51"/>
  <c r="X56" s="1"/>
  <c r="W51"/>
  <c r="W56" s="1"/>
  <c r="V51"/>
  <c r="V56"/>
  <c r="X148"/>
  <c r="V148"/>
  <c r="W148" s="1"/>
  <c r="U148" s="1"/>
  <c r="X128"/>
  <c r="W128"/>
  <c r="V128"/>
  <c r="X102"/>
  <c r="X114" s="1"/>
  <c r="W102"/>
  <c r="W114" s="1"/>
  <c r="V102"/>
  <c r="V114" s="1"/>
  <c r="V16"/>
  <c r="X256"/>
  <c r="W256"/>
  <c r="V256"/>
  <c r="X237"/>
  <c r="X238"/>
  <c r="W237"/>
  <c r="W238"/>
  <c r="W239" s="1"/>
  <c r="V237"/>
  <c r="V238" s="1"/>
  <c r="W412"/>
  <c r="X142"/>
  <c r="X145"/>
  <c r="V145" s="1"/>
  <c r="U77"/>
  <c r="U109"/>
  <c r="U121" s="1"/>
  <c r="X70"/>
  <c r="X103" s="1"/>
  <c r="X115" s="1"/>
  <c r="W70"/>
  <c r="W103"/>
  <c r="W115" s="1"/>
  <c r="V70"/>
  <c r="V103" s="1"/>
  <c r="V115" s="1"/>
  <c r="U70"/>
  <c r="U103"/>
  <c r="U115" s="1"/>
  <c r="T431"/>
  <c r="T367"/>
  <c r="W367"/>
  <c r="T425"/>
  <c r="W425"/>
  <c r="V24"/>
  <c r="V25"/>
  <c r="X210" s="1"/>
  <c r="V26"/>
  <c r="V23"/>
  <c r="W243" s="1"/>
  <c r="U257"/>
  <c r="AO49" i="36"/>
  <c r="AO48"/>
  <c r="AO47"/>
  <c r="AO46"/>
  <c r="AN49"/>
  <c r="AN48"/>
  <c r="AN47"/>
  <c r="AN46"/>
  <c r="AM49"/>
  <c r="AM48"/>
  <c r="AM47"/>
  <c r="AM46"/>
  <c r="AO41"/>
  <c r="AO40"/>
  <c r="AO39"/>
  <c r="AP39" s="1"/>
  <c r="AN41"/>
  <c r="AN40"/>
  <c r="AM41"/>
  <c r="AM40"/>
  <c r="AM39"/>
  <c r="AN39"/>
  <c r="AO38"/>
  <c r="AN38"/>
  <c r="AP38" s="1"/>
  <c r="AP151"/>
  <c r="AN151"/>
  <c r="AO151" s="1"/>
  <c r="AN25"/>
  <c r="AQ221" s="1"/>
  <c r="AO221" s="1"/>
  <c r="AP221" s="1"/>
  <c r="AN221" s="1"/>
  <c r="AP157"/>
  <c r="AN157"/>
  <c r="AO157" s="1"/>
  <c r="AP159"/>
  <c r="AN16"/>
  <c r="AP163"/>
  <c r="AN163" s="1"/>
  <c r="AO163" s="1"/>
  <c r="AP165"/>
  <c r="AN165"/>
  <c r="AO165" s="1"/>
  <c r="AN159"/>
  <c r="AO159" s="1"/>
  <c r="AM61"/>
  <c r="AN232" s="1"/>
  <c r="AW187"/>
  <c r="AV187"/>
  <c r="AN26"/>
  <c r="AN27"/>
  <c r="AQ223" s="1"/>
  <c r="AO223" s="1"/>
  <c r="AP223" s="1"/>
  <c r="AN223" s="1"/>
  <c r="AN314"/>
  <c r="AN317"/>
  <c r="AN316"/>
  <c r="AJ411"/>
  <c r="AJ530"/>
  <c r="AJ382"/>
  <c r="AJ501"/>
  <c r="AJ353"/>
  <c r="AJ472"/>
  <c r="AJ324"/>
  <c r="AJ443"/>
  <c r="AL417"/>
  <c r="AN24"/>
  <c r="AQ222"/>
  <c r="AN550"/>
  <c r="AN521"/>
  <c r="AN492"/>
  <c r="AN463"/>
  <c r="AN537"/>
  <c r="AN508"/>
  <c r="AN479"/>
  <c r="AN450"/>
  <c r="AN431"/>
  <c r="AN402"/>
  <c r="AN373"/>
  <c r="AN344"/>
  <c r="AN418"/>
  <c r="AN389"/>
  <c r="AN360"/>
  <c r="AN331"/>
  <c r="AN20"/>
  <c r="AN19"/>
  <c r="AN18"/>
  <c r="AN17"/>
  <c r="AN15"/>
  <c r="AP41"/>
  <c r="AP40"/>
  <c r="AP49"/>
  <c r="AP47"/>
  <c r="AP48"/>
  <c r="AP46"/>
  <c r="AN315"/>
  <c r="AM107"/>
  <c r="AM119" s="1"/>
  <c r="AN318"/>
  <c r="AO331"/>
  <c r="AN337"/>
  <c r="AO337"/>
  <c r="AO344"/>
  <c r="AN350"/>
  <c r="AO350"/>
  <c r="AO360"/>
  <c r="AN366"/>
  <c r="AO366"/>
  <c r="AO373"/>
  <c r="AN379"/>
  <c r="AO379"/>
  <c r="AO389"/>
  <c r="AN395"/>
  <c r="AO395"/>
  <c r="AO402"/>
  <c r="AN408"/>
  <c r="AO408"/>
  <c r="AO418"/>
  <c r="AL423"/>
  <c r="AN424"/>
  <c r="AO424"/>
  <c r="AO431"/>
  <c r="AN437"/>
  <c r="AO437"/>
  <c r="AO450"/>
  <c r="AN456"/>
  <c r="AO456"/>
  <c r="AO463"/>
  <c r="AN469"/>
  <c r="AO469"/>
  <c r="AO479"/>
  <c r="AN485"/>
  <c r="AO485"/>
  <c r="AO492"/>
  <c r="AN498"/>
  <c r="AO498"/>
  <c r="AO508"/>
  <c r="AN514"/>
  <c r="AO514"/>
  <c r="AO521"/>
  <c r="AN527"/>
  <c r="AO527"/>
  <c r="AO537"/>
  <c r="AN543"/>
  <c r="AO543"/>
  <c r="AO550"/>
  <c r="AN556"/>
  <c r="AO556"/>
  <c r="AO269"/>
  <c r="AO270"/>
  <c r="AP153"/>
  <c r="AN153" s="1"/>
  <c r="AO153" s="1"/>
  <c r="AM153" s="1"/>
  <c r="AN21"/>
  <c r="AO417"/>
  <c r="AP147"/>
  <c r="AP150" s="1"/>
  <c r="AM75"/>
  <c r="AM108" s="1"/>
  <c r="AM120" s="1"/>
  <c r="AL430"/>
  <c r="AO430"/>
  <c r="AL436"/>
  <c r="F5" i="4"/>
  <c r="V5" i="50"/>
  <c r="AN5" i="36"/>
  <c r="AN74" s="1"/>
  <c r="AO56"/>
  <c r="AO61" s="1"/>
  <c r="G527" i="42"/>
  <c r="F527"/>
  <c r="E527"/>
  <c r="AN31" i="36"/>
  <c r="AN30"/>
  <c r="AP215" s="1"/>
  <c r="AN29"/>
  <c r="AM263"/>
  <c r="AN28"/>
  <c r="AQ224" s="1"/>
  <c r="H694" i="42"/>
  <c r="L694"/>
  <c r="H696"/>
  <c r="L696"/>
  <c r="L695"/>
  <c r="H572"/>
  <c r="L572"/>
  <c r="H570"/>
  <c r="L570"/>
  <c r="L569"/>
  <c r="L807"/>
  <c r="L687"/>
  <c r="H692"/>
  <c r="L692"/>
  <c r="L693"/>
  <c r="L393"/>
  <c r="L395"/>
  <c r="H394"/>
  <c r="L394"/>
  <c r="L387"/>
  <c r="L517"/>
  <c r="H518"/>
  <c r="L518"/>
  <c r="L519"/>
  <c r="L431"/>
  <c r="L433"/>
  <c r="H434"/>
  <c r="L434"/>
  <c r="L311"/>
  <c r="H310"/>
  <c r="L310"/>
  <c r="H432"/>
  <c r="L432"/>
  <c r="H27" i="26"/>
  <c r="I27"/>
  <c r="H25"/>
  <c r="I25"/>
  <c r="H22"/>
  <c r="I22"/>
  <c r="H20"/>
  <c r="I20"/>
  <c r="H17"/>
  <c r="I17"/>
  <c r="G17"/>
  <c r="H15"/>
  <c r="I15"/>
  <c r="J14"/>
  <c r="I14"/>
  <c r="H14"/>
  <c r="U147" i="50"/>
  <c r="G16" i="26" s="1"/>
  <c r="V20" i="27"/>
  <c r="U56" s="1"/>
  <c r="V21"/>
  <c r="V309"/>
  <c r="V312"/>
  <c r="V311"/>
  <c r="U76"/>
  <c r="T531" s="1"/>
  <c r="V551"/>
  <c r="W551"/>
  <c r="V545"/>
  <c r="W545"/>
  <c r="V538"/>
  <c r="W538"/>
  <c r="V532"/>
  <c r="W532"/>
  <c r="R406"/>
  <c r="R525"/>
  <c r="F5"/>
  <c r="V5"/>
  <c r="V522"/>
  <c r="W522"/>
  <c r="V516"/>
  <c r="W516"/>
  <c r="V509"/>
  <c r="W509"/>
  <c r="V503"/>
  <c r="W503"/>
  <c r="R377"/>
  <c r="R496"/>
  <c r="V493"/>
  <c r="W493"/>
  <c r="V487"/>
  <c r="W487"/>
  <c r="V480"/>
  <c r="W480"/>
  <c r="V474"/>
  <c r="W474"/>
  <c r="R348"/>
  <c r="R467"/>
  <c r="V464"/>
  <c r="W464"/>
  <c r="V458"/>
  <c r="W458"/>
  <c r="V451"/>
  <c r="W451"/>
  <c r="V445"/>
  <c r="W445"/>
  <c r="R319"/>
  <c r="R438"/>
  <c r="T412"/>
  <c r="T418"/>
  <c r="V432"/>
  <c r="W432"/>
  <c r="V426"/>
  <c r="W426"/>
  <c r="V419"/>
  <c r="W419"/>
  <c r="V413"/>
  <c r="W413"/>
  <c r="V403"/>
  <c r="W403"/>
  <c r="V397"/>
  <c r="W397"/>
  <c r="V390"/>
  <c r="W390"/>
  <c r="V384"/>
  <c r="W384"/>
  <c r="V374"/>
  <c r="W374"/>
  <c r="V368"/>
  <c r="W368"/>
  <c r="V361"/>
  <c r="W361"/>
  <c r="V355"/>
  <c r="W355"/>
  <c r="V345"/>
  <c r="W345"/>
  <c r="V339"/>
  <c r="W339"/>
  <c r="V332"/>
  <c r="W332"/>
  <c r="V326"/>
  <c r="W326"/>
  <c r="V314"/>
  <c r="V313"/>
  <c r="V310"/>
  <c r="X142"/>
  <c r="X145"/>
  <c r="W145" s="1"/>
  <c r="X146"/>
  <c r="V146" s="1"/>
  <c r="W146" s="1"/>
  <c r="X152"/>
  <c r="X148"/>
  <c r="X154"/>
  <c r="V154" s="1"/>
  <c r="W154" s="1"/>
  <c r="V11"/>
  <c r="X158"/>
  <c r="X160"/>
  <c r="W264"/>
  <c r="W265"/>
  <c r="V152"/>
  <c r="W152" s="1"/>
  <c r="V148"/>
  <c r="W148"/>
  <c r="U148" s="1"/>
  <c r="V158"/>
  <c r="W158"/>
  <c r="V160"/>
  <c r="W160" s="1"/>
  <c r="Y216"/>
  <c r="W216" s="1"/>
  <c r="X216" s="1"/>
  <c r="V19"/>
  <c r="Y217" s="1"/>
  <c r="V22"/>
  <c r="Y218" s="1"/>
  <c r="W218" s="1"/>
  <c r="X218" s="1"/>
  <c r="V218" s="1"/>
  <c r="U108"/>
  <c r="U120"/>
  <c r="U102"/>
  <c r="U114" s="1"/>
  <c r="U44"/>
  <c r="V44"/>
  <c r="X44" s="1"/>
  <c r="W44"/>
  <c r="U43"/>
  <c r="V43"/>
  <c r="X43" s="1"/>
  <c r="W43"/>
  <c r="U42"/>
  <c r="V42"/>
  <c r="X42" s="1"/>
  <c r="W42"/>
  <c r="U41"/>
  <c r="X41" s="1"/>
  <c r="V41"/>
  <c r="W41"/>
  <c r="U36"/>
  <c r="X36" s="1"/>
  <c r="V36"/>
  <c r="W36"/>
  <c r="U35"/>
  <c r="X35" s="1"/>
  <c r="V35"/>
  <c r="W35"/>
  <c r="U34"/>
  <c r="X34" s="1"/>
  <c r="V34"/>
  <c r="W34"/>
  <c r="V33"/>
  <c r="W33"/>
  <c r="X33"/>
  <c r="V15"/>
  <c r="V14"/>
  <c r="V13"/>
  <c r="V12"/>
  <c r="V10"/>
  <c r="W69"/>
  <c r="U309"/>
  <c r="V69"/>
  <c r="T309" s="1"/>
  <c r="X69"/>
  <c r="S309"/>
  <c r="T383"/>
  <c r="T389" s="1"/>
  <c r="T402" s="1"/>
  <c r="W402" s="1"/>
  <c r="T325"/>
  <c r="T331" s="1"/>
  <c r="T344" s="1"/>
  <c r="Y215"/>
  <c r="X215"/>
  <c r="W215"/>
  <c r="X51"/>
  <c r="X56"/>
  <c r="W51"/>
  <c r="W56" s="1"/>
  <c r="V51"/>
  <c r="V56" s="1"/>
  <c r="X128"/>
  <c r="W128"/>
  <c r="V128"/>
  <c r="X102"/>
  <c r="X114" s="1"/>
  <c r="W102"/>
  <c r="W114"/>
  <c r="V102"/>
  <c r="V114" s="1"/>
  <c r="V16"/>
  <c r="X256"/>
  <c r="W256"/>
  <c r="V256"/>
  <c r="X237"/>
  <c r="X238"/>
  <c r="W237"/>
  <c r="W238" s="1"/>
  <c r="V237"/>
  <c r="V238"/>
  <c r="W412"/>
  <c r="U77"/>
  <c r="U109"/>
  <c r="U121" s="1"/>
  <c r="X70"/>
  <c r="X103"/>
  <c r="X115"/>
  <c r="W70"/>
  <c r="W103" s="1"/>
  <c r="W115" s="1"/>
  <c r="V70"/>
  <c r="V103" s="1"/>
  <c r="V115" s="1"/>
  <c r="U70"/>
  <c r="U103"/>
  <c r="U115" s="1"/>
  <c r="T338"/>
  <c r="W338"/>
  <c r="T396"/>
  <c r="W396" s="1"/>
  <c r="T425"/>
  <c r="W425" s="1"/>
  <c r="V24"/>
  <c r="V25"/>
  <c r="X210" s="1"/>
  <c r="V26"/>
  <c r="V23"/>
  <c r="V257" s="1"/>
  <c r="X243"/>
  <c r="V20" i="24"/>
  <c r="U56" s="1"/>
  <c r="V21"/>
  <c r="V309"/>
  <c r="V312"/>
  <c r="U76"/>
  <c r="V311"/>
  <c r="V551"/>
  <c r="W551"/>
  <c r="V545"/>
  <c r="W545"/>
  <c r="V538"/>
  <c r="W538"/>
  <c r="V532"/>
  <c r="W532"/>
  <c r="R406"/>
  <c r="R525"/>
  <c r="F5"/>
  <c r="V5"/>
  <c r="V522"/>
  <c r="W522"/>
  <c r="V516"/>
  <c r="W516"/>
  <c r="V509"/>
  <c r="W509"/>
  <c r="V503"/>
  <c r="W503"/>
  <c r="R377"/>
  <c r="R496"/>
  <c r="V493"/>
  <c r="W493"/>
  <c r="V487"/>
  <c r="W487"/>
  <c r="V480"/>
  <c r="W480"/>
  <c r="V474"/>
  <c r="W474"/>
  <c r="R348"/>
  <c r="R467"/>
  <c r="V464"/>
  <c r="W464"/>
  <c r="V458"/>
  <c r="W458"/>
  <c r="V451"/>
  <c r="W451"/>
  <c r="V445"/>
  <c r="W445"/>
  <c r="R319"/>
  <c r="R438"/>
  <c r="T412"/>
  <c r="T418"/>
  <c r="V432"/>
  <c r="W432"/>
  <c r="V426"/>
  <c r="W426"/>
  <c r="V419"/>
  <c r="W419"/>
  <c r="V413"/>
  <c r="W413"/>
  <c r="V403"/>
  <c r="W403"/>
  <c r="V397"/>
  <c r="W397"/>
  <c r="V390"/>
  <c r="W390"/>
  <c r="V384"/>
  <c r="W384"/>
  <c r="V374"/>
  <c r="W374"/>
  <c r="V368"/>
  <c r="W368"/>
  <c r="V361"/>
  <c r="W361"/>
  <c r="V355"/>
  <c r="W355"/>
  <c r="V345"/>
  <c r="W345"/>
  <c r="V339"/>
  <c r="W339"/>
  <c r="V332"/>
  <c r="W332"/>
  <c r="V326"/>
  <c r="W326"/>
  <c r="V314"/>
  <c r="V313"/>
  <c r="V310"/>
  <c r="X142"/>
  <c r="X145"/>
  <c r="V145"/>
  <c r="X146"/>
  <c r="X152"/>
  <c r="V152"/>
  <c r="X148"/>
  <c r="V148" s="1"/>
  <c r="W148" s="1"/>
  <c r="U148" s="1"/>
  <c r="X154"/>
  <c r="V154" s="1"/>
  <c r="W154" s="1"/>
  <c r="V11"/>
  <c r="X158"/>
  <c r="V158" s="1"/>
  <c r="W158" s="1"/>
  <c r="X160"/>
  <c r="W264"/>
  <c r="W265"/>
  <c r="W145"/>
  <c r="V146"/>
  <c r="W146" s="1"/>
  <c r="V160"/>
  <c r="W160" s="1"/>
  <c r="Y216"/>
  <c r="V19"/>
  <c r="Y217" s="1"/>
  <c r="V22"/>
  <c r="Y218"/>
  <c r="W216"/>
  <c r="X216" s="1"/>
  <c r="W218"/>
  <c r="X218" s="1"/>
  <c r="V218" s="1"/>
  <c r="U102"/>
  <c r="U114" s="1"/>
  <c r="U44"/>
  <c r="V44"/>
  <c r="X44" s="1"/>
  <c r="W44"/>
  <c r="U43"/>
  <c r="V43"/>
  <c r="X43" s="1"/>
  <c r="W43"/>
  <c r="U42"/>
  <c r="V42"/>
  <c r="X42" s="1"/>
  <c r="W42"/>
  <c r="U41"/>
  <c r="V41"/>
  <c r="X41" s="1"/>
  <c r="W41"/>
  <c r="U36"/>
  <c r="V36"/>
  <c r="X36" s="1"/>
  <c r="W36"/>
  <c r="U35"/>
  <c r="V35"/>
  <c r="X35" s="1"/>
  <c r="W35"/>
  <c r="U34"/>
  <c r="V34"/>
  <c r="X34" s="1"/>
  <c r="W34"/>
  <c r="V33"/>
  <c r="W33"/>
  <c r="X33"/>
  <c r="V15"/>
  <c r="V14"/>
  <c r="V13"/>
  <c r="V12"/>
  <c r="V10"/>
  <c r="V16"/>
  <c r="W412"/>
  <c r="U70"/>
  <c r="U103" s="1"/>
  <c r="U115" s="1"/>
  <c r="T425"/>
  <c r="W425" s="1"/>
  <c r="V24"/>
  <c r="V25"/>
  <c r="X210" s="1"/>
  <c r="V26"/>
  <c r="V23"/>
  <c r="Y219" s="1"/>
  <c r="W219" s="1"/>
  <c r="X219" s="1"/>
  <c r="U257"/>
  <c r="V20" i="25"/>
  <c r="U56"/>
  <c r="V21"/>
  <c r="V309"/>
  <c r="V312"/>
  <c r="V311"/>
  <c r="U76"/>
  <c r="T531" s="1"/>
  <c r="V551"/>
  <c r="W551"/>
  <c r="V545"/>
  <c r="W545"/>
  <c r="V538"/>
  <c r="W538"/>
  <c r="V532"/>
  <c r="W532"/>
  <c r="R406"/>
  <c r="R525"/>
  <c r="F5"/>
  <c r="V5"/>
  <c r="V522"/>
  <c r="W522"/>
  <c r="V516"/>
  <c r="W516"/>
  <c r="V509"/>
  <c r="W509"/>
  <c r="V503"/>
  <c r="W503"/>
  <c r="R377"/>
  <c r="R496"/>
  <c r="V493"/>
  <c r="W493"/>
  <c r="V487"/>
  <c r="W487"/>
  <c r="V480"/>
  <c r="W480"/>
  <c r="V474"/>
  <c r="W474"/>
  <c r="R348"/>
  <c r="R467"/>
  <c r="V464"/>
  <c r="W464"/>
  <c r="V458"/>
  <c r="W458"/>
  <c r="V451"/>
  <c r="W451"/>
  <c r="V445"/>
  <c r="W445"/>
  <c r="R319"/>
  <c r="R438"/>
  <c r="T412"/>
  <c r="T418"/>
  <c r="V432"/>
  <c r="W432"/>
  <c r="V426"/>
  <c r="W426"/>
  <c r="V419"/>
  <c r="W419"/>
  <c r="V413"/>
  <c r="W413"/>
  <c r="V403"/>
  <c r="W403"/>
  <c r="V397"/>
  <c r="W397"/>
  <c r="V390"/>
  <c r="W390"/>
  <c r="V384"/>
  <c r="W384"/>
  <c r="V374"/>
  <c r="W374"/>
  <c r="V368"/>
  <c r="W368"/>
  <c r="V361"/>
  <c r="W361"/>
  <c r="V355"/>
  <c r="W355"/>
  <c r="V345"/>
  <c r="W345"/>
  <c r="V339"/>
  <c r="W339"/>
  <c r="V332"/>
  <c r="W332"/>
  <c r="V326"/>
  <c r="W326"/>
  <c r="V314"/>
  <c r="V313"/>
  <c r="V310"/>
  <c r="X142"/>
  <c r="X145" s="1"/>
  <c r="X146"/>
  <c r="V146" s="1"/>
  <c r="W146" s="1"/>
  <c r="X152"/>
  <c r="X148"/>
  <c r="X154"/>
  <c r="V11"/>
  <c r="X158"/>
  <c r="V158" s="1"/>
  <c r="W158" s="1"/>
  <c r="X160"/>
  <c r="W264"/>
  <c r="W265"/>
  <c r="V152"/>
  <c r="W152" s="1"/>
  <c r="V148"/>
  <c r="W148" s="1"/>
  <c r="U148" s="1"/>
  <c r="V154"/>
  <c r="W154" s="1"/>
  <c r="V160"/>
  <c r="W160" s="1"/>
  <c r="Y216"/>
  <c r="V19"/>
  <c r="Y217" s="1"/>
  <c r="V22"/>
  <c r="Y218" s="1"/>
  <c r="W218" s="1"/>
  <c r="X218" s="1"/>
  <c r="V218" s="1"/>
  <c r="W216"/>
  <c r="X216" s="1"/>
  <c r="U108"/>
  <c r="U120" s="1"/>
  <c r="U102"/>
  <c r="U114" s="1"/>
  <c r="U44"/>
  <c r="X44" s="1"/>
  <c r="V44"/>
  <c r="W44"/>
  <c r="U43"/>
  <c r="X43" s="1"/>
  <c r="V43"/>
  <c r="W43"/>
  <c r="U42"/>
  <c r="V42"/>
  <c r="W42"/>
  <c r="X42" s="1"/>
  <c r="U41"/>
  <c r="V41"/>
  <c r="W41"/>
  <c r="X41" s="1"/>
  <c r="U36"/>
  <c r="V36"/>
  <c r="W36"/>
  <c r="X36" s="1"/>
  <c r="U35"/>
  <c r="V35"/>
  <c r="W35"/>
  <c r="X35" s="1"/>
  <c r="U34"/>
  <c r="V34"/>
  <c r="W34"/>
  <c r="X34" s="1"/>
  <c r="V33"/>
  <c r="W33"/>
  <c r="X33"/>
  <c r="V15"/>
  <c r="V14"/>
  <c r="V13"/>
  <c r="V12"/>
  <c r="V10"/>
  <c r="W69"/>
  <c r="U309" s="1"/>
  <c r="V69"/>
  <c r="T309" s="1"/>
  <c r="X69"/>
  <c r="S309" s="1"/>
  <c r="T383"/>
  <c r="T389" s="1"/>
  <c r="T402" s="1"/>
  <c r="W402" s="1"/>
  <c r="Y215"/>
  <c r="X215"/>
  <c r="W215"/>
  <c r="X51"/>
  <c r="X56"/>
  <c r="W51"/>
  <c r="W56" s="1"/>
  <c r="V51"/>
  <c r="V56" s="1"/>
  <c r="X128"/>
  <c r="W128"/>
  <c r="V128"/>
  <c r="W102"/>
  <c r="W114" s="1"/>
  <c r="V16"/>
  <c r="X256"/>
  <c r="W256"/>
  <c r="V256"/>
  <c r="X237"/>
  <c r="X238" s="1"/>
  <c r="W237"/>
  <c r="W238" s="1"/>
  <c r="V237"/>
  <c r="V238"/>
  <c r="W412"/>
  <c r="U77"/>
  <c r="U109" s="1"/>
  <c r="U121" s="1"/>
  <c r="X70"/>
  <c r="X103"/>
  <c r="X115" s="1"/>
  <c r="W70"/>
  <c r="W103"/>
  <c r="W115"/>
  <c r="V70"/>
  <c r="V103"/>
  <c r="V115"/>
  <c r="U70"/>
  <c r="U103" s="1"/>
  <c r="U115" s="1"/>
  <c r="T396"/>
  <c r="W396"/>
  <c r="T425"/>
  <c r="W425"/>
  <c r="V24"/>
  <c r="W258" s="1"/>
  <c r="V25"/>
  <c r="X210"/>
  <c r="V26"/>
  <c r="V23"/>
  <c r="Y219"/>
  <c r="W219" s="1"/>
  <c r="X257"/>
  <c r="V257"/>
  <c r="X243"/>
  <c r="V243"/>
  <c r="E22" i="32"/>
  <c r="V20" i="23"/>
  <c r="U56"/>
  <c r="V21"/>
  <c r="V309"/>
  <c r="V312"/>
  <c r="V311"/>
  <c r="U76"/>
  <c r="T531" s="1"/>
  <c r="V551"/>
  <c r="W551"/>
  <c r="V545"/>
  <c r="W545"/>
  <c r="V538"/>
  <c r="W538"/>
  <c r="V532"/>
  <c r="W532"/>
  <c r="R406"/>
  <c r="R525"/>
  <c r="F5"/>
  <c r="V5"/>
  <c r="V522"/>
  <c r="W522"/>
  <c r="V516"/>
  <c r="W516"/>
  <c r="V509"/>
  <c r="W509"/>
  <c r="V503"/>
  <c r="W503"/>
  <c r="R377"/>
  <c r="R496"/>
  <c r="V493"/>
  <c r="W493"/>
  <c r="V487"/>
  <c r="W487"/>
  <c r="V480"/>
  <c r="W480"/>
  <c r="V474"/>
  <c r="W474"/>
  <c r="R348"/>
  <c r="R467"/>
  <c r="V464"/>
  <c r="W464"/>
  <c r="V458"/>
  <c r="W458"/>
  <c r="V451"/>
  <c r="W451"/>
  <c r="V445"/>
  <c r="W445"/>
  <c r="R319"/>
  <c r="R438"/>
  <c r="T412"/>
  <c r="T418"/>
  <c r="V432"/>
  <c r="W432"/>
  <c r="V426"/>
  <c r="W426"/>
  <c r="V419"/>
  <c r="W419"/>
  <c r="V413"/>
  <c r="W413"/>
  <c r="V403"/>
  <c r="W403"/>
  <c r="V397"/>
  <c r="W397"/>
  <c r="V390"/>
  <c r="W390"/>
  <c r="V384"/>
  <c r="W384"/>
  <c r="V374"/>
  <c r="W374"/>
  <c r="V368"/>
  <c r="W368"/>
  <c r="V361"/>
  <c r="W361"/>
  <c r="V355"/>
  <c r="W355"/>
  <c r="V345"/>
  <c r="W345"/>
  <c r="V339"/>
  <c r="W339"/>
  <c r="V332"/>
  <c r="W332"/>
  <c r="V326"/>
  <c r="W326"/>
  <c r="V314"/>
  <c r="V313"/>
  <c r="V310"/>
  <c r="X142"/>
  <c r="X145"/>
  <c r="X146"/>
  <c r="V146" s="1"/>
  <c r="W146" s="1"/>
  <c r="X152"/>
  <c r="V152" s="1"/>
  <c r="W152" s="1"/>
  <c r="X148"/>
  <c r="V148" s="1"/>
  <c r="W148" s="1"/>
  <c r="U148" s="1"/>
  <c r="X154"/>
  <c r="V154" s="1"/>
  <c r="V11"/>
  <c r="X158"/>
  <c r="X160"/>
  <c r="V160" s="1"/>
  <c r="W160" s="1"/>
  <c r="W264"/>
  <c r="W265"/>
  <c r="W154"/>
  <c r="V158"/>
  <c r="W158" s="1"/>
  <c r="Y216"/>
  <c r="V19"/>
  <c r="Y217" s="1"/>
  <c r="V22"/>
  <c r="Y218"/>
  <c r="W218" s="1"/>
  <c r="X218" s="1"/>
  <c r="V218" s="1"/>
  <c r="W216"/>
  <c r="X216" s="1"/>
  <c r="U108"/>
  <c r="U120" s="1"/>
  <c r="U102"/>
  <c r="U114"/>
  <c r="U44"/>
  <c r="X44" s="1"/>
  <c r="V44"/>
  <c r="W44"/>
  <c r="U43"/>
  <c r="X43" s="1"/>
  <c r="V43"/>
  <c r="W43"/>
  <c r="U42"/>
  <c r="X42" s="1"/>
  <c r="V42"/>
  <c r="W42"/>
  <c r="U41"/>
  <c r="X41" s="1"/>
  <c r="V41"/>
  <c r="W41"/>
  <c r="U36"/>
  <c r="X36" s="1"/>
  <c r="V36"/>
  <c r="W36"/>
  <c r="U35"/>
  <c r="X35" s="1"/>
  <c r="V35"/>
  <c r="W35"/>
  <c r="U34"/>
  <c r="X34" s="1"/>
  <c r="V34"/>
  <c r="W34"/>
  <c r="V33"/>
  <c r="X33" s="1"/>
  <c r="W33"/>
  <c r="V15"/>
  <c r="V14"/>
  <c r="V13"/>
  <c r="V12"/>
  <c r="V10"/>
  <c r="W69"/>
  <c r="V69"/>
  <c r="T309"/>
  <c r="X69"/>
  <c r="T354"/>
  <c r="Y215"/>
  <c r="Y220" s="1"/>
  <c r="X215"/>
  <c r="W215"/>
  <c r="X51"/>
  <c r="X56" s="1"/>
  <c r="W51"/>
  <c r="W56" s="1"/>
  <c r="V51"/>
  <c r="V56"/>
  <c r="W227"/>
  <c r="X128"/>
  <c r="W128"/>
  <c r="V128"/>
  <c r="V16"/>
  <c r="X256"/>
  <c r="X258" s="1"/>
  <c r="W256"/>
  <c r="V256"/>
  <c r="X237"/>
  <c r="X238"/>
  <c r="X239"/>
  <c r="W237"/>
  <c r="W243" s="1"/>
  <c r="V237"/>
  <c r="V238"/>
  <c r="W412"/>
  <c r="U77"/>
  <c r="U109"/>
  <c r="U121" s="1"/>
  <c r="V70"/>
  <c r="V103" s="1"/>
  <c r="V115" s="1"/>
  <c r="U70"/>
  <c r="U103"/>
  <c r="U115" s="1"/>
  <c r="T431"/>
  <c r="T425"/>
  <c r="W425" s="1"/>
  <c r="V24"/>
  <c r="W258"/>
  <c r="V25"/>
  <c r="V249" s="1"/>
  <c r="X210"/>
  <c r="V26"/>
  <c r="V23"/>
  <c r="V61"/>
  <c r="V62"/>
  <c r="Y219"/>
  <c r="W219"/>
  <c r="X257"/>
  <c r="W257"/>
  <c r="U257"/>
  <c r="X244"/>
  <c r="X243"/>
  <c r="V243"/>
  <c r="V20" i="22"/>
  <c r="U56" s="1"/>
  <c r="V21"/>
  <c r="U76" s="1"/>
  <c r="V309"/>
  <c r="V312"/>
  <c r="V311"/>
  <c r="V551"/>
  <c r="W551"/>
  <c r="V545"/>
  <c r="W545"/>
  <c r="V538"/>
  <c r="W538"/>
  <c r="V532"/>
  <c r="W532"/>
  <c r="R406"/>
  <c r="R525"/>
  <c r="F5"/>
  <c r="V5"/>
  <c r="V522"/>
  <c r="W522"/>
  <c r="V516"/>
  <c r="W516"/>
  <c r="V509"/>
  <c r="W509"/>
  <c r="V503"/>
  <c r="W503"/>
  <c r="R377"/>
  <c r="R496"/>
  <c r="V493"/>
  <c r="W493"/>
  <c r="V487"/>
  <c r="W487"/>
  <c r="V480"/>
  <c r="W480"/>
  <c r="V474"/>
  <c r="W474"/>
  <c r="R348"/>
  <c r="R467"/>
  <c r="V464"/>
  <c r="W464"/>
  <c r="V458"/>
  <c r="W458"/>
  <c r="V451"/>
  <c r="W451"/>
  <c r="V445"/>
  <c r="W445"/>
  <c r="R319"/>
  <c r="R438"/>
  <c r="T412"/>
  <c r="T418"/>
  <c r="V432"/>
  <c r="W432"/>
  <c r="V426"/>
  <c r="W426"/>
  <c r="V419"/>
  <c r="W419"/>
  <c r="V413"/>
  <c r="W413"/>
  <c r="V403"/>
  <c r="W403"/>
  <c r="V397"/>
  <c r="W397"/>
  <c r="V390"/>
  <c r="W390"/>
  <c r="V384"/>
  <c r="W384"/>
  <c r="V374"/>
  <c r="W374"/>
  <c r="V368"/>
  <c r="W368"/>
  <c r="V361"/>
  <c r="W361"/>
  <c r="V355"/>
  <c r="W355"/>
  <c r="V345"/>
  <c r="W345"/>
  <c r="V339"/>
  <c r="W339"/>
  <c r="V332"/>
  <c r="W332"/>
  <c r="V326"/>
  <c r="W326"/>
  <c r="V314"/>
  <c r="V313"/>
  <c r="V310"/>
  <c r="X142"/>
  <c r="X145" s="1"/>
  <c r="W145" s="1"/>
  <c r="X146"/>
  <c r="V146" s="1"/>
  <c r="W146" s="1"/>
  <c r="X152"/>
  <c r="X148"/>
  <c r="X154"/>
  <c r="V11"/>
  <c r="X158"/>
  <c r="X160"/>
  <c r="W264"/>
  <c r="W265"/>
  <c r="V152"/>
  <c r="W152" s="1"/>
  <c r="V148"/>
  <c r="W148"/>
  <c r="U148" s="1"/>
  <c r="V154"/>
  <c r="W154"/>
  <c r="V158"/>
  <c r="W158" s="1"/>
  <c r="V160"/>
  <c r="W160"/>
  <c r="Y216"/>
  <c r="V19"/>
  <c r="Y217" s="1"/>
  <c r="V22"/>
  <c r="Y218"/>
  <c r="W218"/>
  <c r="X218" s="1"/>
  <c r="V218" s="1"/>
  <c r="W216"/>
  <c r="X216"/>
  <c r="V216" s="1"/>
  <c r="U102"/>
  <c r="U114"/>
  <c r="U44"/>
  <c r="V44"/>
  <c r="W44"/>
  <c r="X44"/>
  <c r="U43"/>
  <c r="V43"/>
  <c r="W43"/>
  <c r="X43"/>
  <c r="U42"/>
  <c r="V42"/>
  <c r="W42"/>
  <c r="X42"/>
  <c r="U41"/>
  <c r="V41"/>
  <c r="W41"/>
  <c r="X41"/>
  <c r="U36"/>
  <c r="V36"/>
  <c r="W36"/>
  <c r="X36"/>
  <c r="U35"/>
  <c r="V35"/>
  <c r="W35"/>
  <c r="X35"/>
  <c r="U34"/>
  <c r="V34"/>
  <c r="W34"/>
  <c r="X34"/>
  <c r="V33"/>
  <c r="X33" s="1"/>
  <c r="W33"/>
  <c r="V15"/>
  <c r="V14"/>
  <c r="V13"/>
  <c r="V12"/>
  <c r="V10"/>
  <c r="V16"/>
  <c r="W412"/>
  <c r="U70"/>
  <c r="U103"/>
  <c r="U115" s="1"/>
  <c r="T425"/>
  <c r="W425"/>
  <c r="V24"/>
  <c r="V25"/>
  <c r="X210"/>
  <c r="V26"/>
  <c r="V23"/>
  <c r="Y290"/>
  <c r="W290" s="1"/>
  <c r="X290" s="1"/>
  <c r="U257"/>
  <c r="F5" i="33"/>
  <c r="V5"/>
  <c r="V20"/>
  <c r="U56"/>
  <c r="V21"/>
  <c r="V309"/>
  <c r="V312"/>
  <c r="V311"/>
  <c r="U76"/>
  <c r="V551"/>
  <c r="W551"/>
  <c r="V545"/>
  <c r="W545"/>
  <c r="V538"/>
  <c r="W538"/>
  <c r="V532"/>
  <c r="W532"/>
  <c r="R406"/>
  <c r="R525"/>
  <c r="V522"/>
  <c r="W522"/>
  <c r="V516"/>
  <c r="W516"/>
  <c r="V509"/>
  <c r="W509"/>
  <c r="V503"/>
  <c r="W503"/>
  <c r="R377"/>
  <c r="R496"/>
  <c r="V493"/>
  <c r="W493"/>
  <c r="V487"/>
  <c r="W487"/>
  <c r="V480"/>
  <c r="W480"/>
  <c r="V474"/>
  <c r="W474"/>
  <c r="R348"/>
  <c r="R467"/>
  <c r="V464"/>
  <c r="W464"/>
  <c r="V458"/>
  <c r="W458"/>
  <c r="V451"/>
  <c r="W451"/>
  <c r="V445"/>
  <c r="W445"/>
  <c r="R319"/>
  <c r="R438"/>
  <c r="T412"/>
  <c r="T418"/>
  <c r="V432"/>
  <c r="W432"/>
  <c r="V426"/>
  <c r="W426"/>
  <c r="V419"/>
  <c r="W419"/>
  <c r="V413"/>
  <c r="W413"/>
  <c r="V403"/>
  <c r="W403"/>
  <c r="V397"/>
  <c r="W397"/>
  <c r="V390"/>
  <c r="W390"/>
  <c r="V384"/>
  <c r="W384"/>
  <c r="V374"/>
  <c r="W374"/>
  <c r="V368"/>
  <c r="W368"/>
  <c r="V361"/>
  <c r="W361"/>
  <c r="V355"/>
  <c r="W355"/>
  <c r="V345"/>
  <c r="W345"/>
  <c r="V339"/>
  <c r="W339"/>
  <c r="V332"/>
  <c r="W332"/>
  <c r="V326"/>
  <c r="W326"/>
  <c r="V314"/>
  <c r="V313"/>
  <c r="V310"/>
  <c r="X142"/>
  <c r="X145" s="1"/>
  <c r="X146"/>
  <c r="V146"/>
  <c r="W146" s="1"/>
  <c r="X152"/>
  <c r="X148"/>
  <c r="V148"/>
  <c r="W148" s="1"/>
  <c r="U148" s="1"/>
  <c r="X154"/>
  <c r="V154" s="1"/>
  <c r="W154" s="1"/>
  <c r="V11"/>
  <c r="X158"/>
  <c r="X160"/>
  <c r="V160"/>
  <c r="W160"/>
  <c r="W264"/>
  <c r="W265"/>
  <c r="V152"/>
  <c r="W152"/>
  <c r="V158"/>
  <c r="W158"/>
  <c r="Y216"/>
  <c r="V19"/>
  <c r="Y217"/>
  <c r="W217" s="1"/>
  <c r="X217" s="1"/>
  <c r="V22"/>
  <c r="Y218" s="1"/>
  <c r="W218" s="1"/>
  <c r="X218" s="1"/>
  <c r="V218" s="1"/>
  <c r="W216"/>
  <c r="X216"/>
  <c r="AE182"/>
  <c r="AD182"/>
  <c r="U108"/>
  <c r="U120" s="1"/>
  <c r="U102"/>
  <c r="U114"/>
  <c r="U44"/>
  <c r="X44" s="1"/>
  <c r="V44"/>
  <c r="W44"/>
  <c r="U43"/>
  <c r="X43" s="1"/>
  <c r="V43"/>
  <c r="W43"/>
  <c r="U42"/>
  <c r="X42" s="1"/>
  <c r="V42"/>
  <c r="W42"/>
  <c r="U41"/>
  <c r="X41" s="1"/>
  <c r="V41"/>
  <c r="W41"/>
  <c r="U36"/>
  <c r="X36" s="1"/>
  <c r="V36"/>
  <c r="W36"/>
  <c r="U35"/>
  <c r="X35" s="1"/>
  <c r="V35"/>
  <c r="W35"/>
  <c r="U34"/>
  <c r="X34" s="1"/>
  <c r="V34"/>
  <c r="W34"/>
  <c r="V33"/>
  <c r="X33" s="1"/>
  <c r="W33"/>
  <c r="V15"/>
  <c r="V14"/>
  <c r="V13"/>
  <c r="V12"/>
  <c r="V10"/>
  <c r="V16"/>
  <c r="W412"/>
  <c r="U70"/>
  <c r="U103" s="1"/>
  <c r="U115" s="1"/>
  <c r="T431"/>
  <c r="T425"/>
  <c r="W425" s="1"/>
  <c r="V24"/>
  <c r="V25"/>
  <c r="X210" s="1"/>
  <c r="V26"/>
  <c r="V23"/>
  <c r="U257" s="1"/>
  <c r="Y290"/>
  <c r="W290" s="1"/>
  <c r="X290" s="1"/>
  <c r="Y219"/>
  <c r="W219"/>
  <c r="X219" s="1"/>
  <c r="F5" i="34"/>
  <c r="V20"/>
  <c r="V21"/>
  <c r="V309"/>
  <c r="V312"/>
  <c r="V311"/>
  <c r="U76"/>
  <c r="T531"/>
  <c r="V551"/>
  <c r="W551"/>
  <c r="V545"/>
  <c r="W545"/>
  <c r="V538"/>
  <c r="W538"/>
  <c r="V532"/>
  <c r="W532"/>
  <c r="R406"/>
  <c r="R525"/>
  <c r="V5"/>
  <c r="W522"/>
  <c r="V522"/>
  <c r="W516"/>
  <c r="V516"/>
  <c r="W509"/>
  <c r="V509"/>
  <c r="W503"/>
  <c r="V503"/>
  <c r="R377"/>
  <c r="R496"/>
  <c r="W493"/>
  <c r="V493"/>
  <c r="W487"/>
  <c r="V487"/>
  <c r="W480"/>
  <c r="V480"/>
  <c r="W474"/>
  <c r="V474"/>
  <c r="R348"/>
  <c r="R467"/>
  <c r="W464"/>
  <c r="V464"/>
  <c r="W458"/>
  <c r="V458"/>
  <c r="W451"/>
  <c r="V451"/>
  <c r="W445"/>
  <c r="V445"/>
  <c r="R319"/>
  <c r="R438"/>
  <c r="T412"/>
  <c r="T418"/>
  <c r="V432"/>
  <c r="W432"/>
  <c r="V426"/>
  <c r="W426"/>
  <c r="V419"/>
  <c r="W419"/>
  <c r="V413"/>
  <c r="W413"/>
  <c r="W403"/>
  <c r="V403"/>
  <c r="W397"/>
  <c r="V397"/>
  <c r="W390"/>
  <c r="V390"/>
  <c r="W384"/>
  <c r="V384"/>
  <c r="W374"/>
  <c r="V374"/>
  <c r="W368"/>
  <c r="V368"/>
  <c r="W361"/>
  <c r="V361"/>
  <c r="W355"/>
  <c r="V355"/>
  <c r="W345"/>
  <c r="V345"/>
  <c r="W339"/>
  <c r="V339"/>
  <c r="W332"/>
  <c r="V332"/>
  <c r="W326"/>
  <c r="V326"/>
  <c r="V314"/>
  <c r="V313"/>
  <c r="V310"/>
  <c r="X142"/>
  <c r="X145" s="1"/>
  <c r="X146"/>
  <c r="X152"/>
  <c r="X148"/>
  <c r="V148" s="1"/>
  <c r="W148" s="1"/>
  <c r="U148" s="1"/>
  <c r="X154"/>
  <c r="V11"/>
  <c r="X158"/>
  <c r="V158" s="1"/>
  <c r="W158" s="1"/>
  <c r="X160"/>
  <c r="V146"/>
  <c r="W146"/>
  <c r="V152"/>
  <c r="W152" s="1"/>
  <c r="V154"/>
  <c r="W154" s="1"/>
  <c r="V160"/>
  <c r="W160" s="1"/>
  <c r="W264"/>
  <c r="W265"/>
  <c r="V19"/>
  <c r="Y217"/>
  <c r="W217" s="1"/>
  <c r="V22"/>
  <c r="Y218" s="1"/>
  <c r="W218" s="1"/>
  <c r="X218" s="1"/>
  <c r="V218" s="1"/>
  <c r="AE182"/>
  <c r="AD182"/>
  <c r="U108"/>
  <c r="U120" s="1"/>
  <c r="U102"/>
  <c r="U114" s="1"/>
  <c r="U44"/>
  <c r="V44"/>
  <c r="X44" s="1"/>
  <c r="W44"/>
  <c r="U43"/>
  <c r="V43"/>
  <c r="X43" s="1"/>
  <c r="W43"/>
  <c r="U42"/>
  <c r="V42"/>
  <c r="X42" s="1"/>
  <c r="W42"/>
  <c r="U41"/>
  <c r="V41"/>
  <c r="X41" s="1"/>
  <c r="W41"/>
  <c r="U36"/>
  <c r="V36"/>
  <c r="X36" s="1"/>
  <c r="W36"/>
  <c r="U35"/>
  <c r="X35" s="1"/>
  <c r="V35"/>
  <c r="W35"/>
  <c r="U34"/>
  <c r="V34"/>
  <c r="W34"/>
  <c r="V33"/>
  <c r="W33"/>
  <c r="X33"/>
  <c r="V15"/>
  <c r="V14"/>
  <c r="V13"/>
  <c r="V12"/>
  <c r="V10"/>
  <c r="W69"/>
  <c r="U309"/>
  <c r="V69"/>
  <c r="V102" s="1"/>
  <c r="V114" s="1"/>
  <c r="X69"/>
  <c r="S309" s="1"/>
  <c r="T383"/>
  <c r="T325"/>
  <c r="T331" s="1"/>
  <c r="Y215"/>
  <c r="X215"/>
  <c r="W215"/>
  <c r="X51"/>
  <c r="W51"/>
  <c r="V51"/>
  <c r="X128"/>
  <c r="W128"/>
  <c r="V128"/>
  <c r="X102"/>
  <c r="X114" s="1"/>
  <c r="W102"/>
  <c r="W114" s="1"/>
  <c r="V16"/>
  <c r="X256"/>
  <c r="W256"/>
  <c r="V256"/>
  <c r="X237"/>
  <c r="X238"/>
  <c r="X239"/>
  <c r="X245" s="1"/>
  <c r="W237"/>
  <c r="W238" s="1"/>
  <c r="V237"/>
  <c r="W412"/>
  <c r="U77"/>
  <c r="U109"/>
  <c r="U121" s="1"/>
  <c r="X70"/>
  <c r="X103" s="1"/>
  <c r="X115" s="1"/>
  <c r="W70"/>
  <c r="W103"/>
  <c r="W115" s="1"/>
  <c r="U70"/>
  <c r="U103"/>
  <c r="U115" s="1"/>
  <c r="T338"/>
  <c r="W338" s="1"/>
  <c r="T425"/>
  <c r="W425" s="1"/>
  <c r="V24"/>
  <c r="V25"/>
  <c r="W249" s="1"/>
  <c r="V26"/>
  <c r="V23"/>
  <c r="V257" s="1"/>
  <c r="Y219"/>
  <c r="W219" s="1"/>
  <c r="Y290"/>
  <c r="W290" s="1"/>
  <c r="X290" s="1"/>
  <c r="X257"/>
  <c r="W257"/>
  <c r="U257"/>
  <c r="X244"/>
  <c r="W243"/>
  <c r="V20" i="19"/>
  <c r="U56" s="1"/>
  <c r="V21"/>
  <c r="U76" s="1"/>
  <c r="V309"/>
  <c r="V312"/>
  <c r="V311"/>
  <c r="V551"/>
  <c r="W551"/>
  <c r="V545"/>
  <c r="W545"/>
  <c r="V538"/>
  <c r="W538"/>
  <c r="V532"/>
  <c r="W532"/>
  <c r="R406"/>
  <c r="R525"/>
  <c r="F5"/>
  <c r="V5"/>
  <c r="V522"/>
  <c r="W522"/>
  <c r="V516"/>
  <c r="W516"/>
  <c r="V509"/>
  <c r="W509"/>
  <c r="V503"/>
  <c r="W503"/>
  <c r="R377"/>
  <c r="R496"/>
  <c r="V493"/>
  <c r="W493"/>
  <c r="V487"/>
  <c r="W487"/>
  <c r="V480"/>
  <c r="W480"/>
  <c r="V474"/>
  <c r="W474"/>
  <c r="R348"/>
  <c r="R467"/>
  <c r="V464"/>
  <c r="W464"/>
  <c r="V458"/>
  <c r="W458"/>
  <c r="V451"/>
  <c r="W451"/>
  <c r="V445"/>
  <c r="W445"/>
  <c r="R319"/>
  <c r="R438"/>
  <c r="T412"/>
  <c r="T418"/>
  <c r="V432"/>
  <c r="W432"/>
  <c r="V426"/>
  <c r="W426"/>
  <c r="V419"/>
  <c r="W419"/>
  <c r="V413"/>
  <c r="W413"/>
  <c r="V403"/>
  <c r="W403"/>
  <c r="V397"/>
  <c r="W397"/>
  <c r="V390"/>
  <c r="W390"/>
  <c r="V384"/>
  <c r="W384"/>
  <c r="V374"/>
  <c r="W374"/>
  <c r="V368"/>
  <c r="W368"/>
  <c r="V361"/>
  <c r="W361"/>
  <c r="V355"/>
  <c r="W355"/>
  <c r="V345"/>
  <c r="W345"/>
  <c r="V339"/>
  <c r="W339"/>
  <c r="V332"/>
  <c r="W332"/>
  <c r="V326"/>
  <c r="W326"/>
  <c r="V314"/>
  <c r="V313"/>
  <c r="V310"/>
  <c r="X142"/>
  <c r="X145" s="1"/>
  <c r="W145"/>
  <c r="X146"/>
  <c r="X152"/>
  <c r="X148"/>
  <c r="X154"/>
  <c r="V154" s="1"/>
  <c r="W154" s="1"/>
  <c r="V11"/>
  <c r="X158"/>
  <c r="X160"/>
  <c r="W264"/>
  <c r="W265"/>
  <c r="V146"/>
  <c r="W146" s="1"/>
  <c r="V152"/>
  <c r="W152" s="1"/>
  <c r="V148"/>
  <c r="W148"/>
  <c r="U148" s="1"/>
  <c r="V158"/>
  <c r="W158" s="1"/>
  <c r="V160"/>
  <c r="W160" s="1"/>
  <c r="V145"/>
  <c r="Y216"/>
  <c r="V19"/>
  <c r="Y217" s="1"/>
  <c r="V22"/>
  <c r="Y218" s="1"/>
  <c r="W218" s="1"/>
  <c r="X218" s="1"/>
  <c r="V218" s="1"/>
  <c r="W216"/>
  <c r="X216"/>
  <c r="V216" s="1"/>
  <c r="V227"/>
  <c r="U102"/>
  <c r="U114"/>
  <c r="U44"/>
  <c r="V44"/>
  <c r="W44"/>
  <c r="X44"/>
  <c r="U43"/>
  <c r="V43"/>
  <c r="W43"/>
  <c r="X43"/>
  <c r="U42"/>
  <c r="V42"/>
  <c r="W42"/>
  <c r="X42"/>
  <c r="U41"/>
  <c r="V41"/>
  <c r="W41"/>
  <c r="X41"/>
  <c r="U36"/>
  <c r="V36"/>
  <c r="W36"/>
  <c r="X36"/>
  <c r="U35"/>
  <c r="V35"/>
  <c r="W35"/>
  <c r="X35"/>
  <c r="U34"/>
  <c r="V34"/>
  <c r="W34"/>
  <c r="X34"/>
  <c r="V33"/>
  <c r="W33"/>
  <c r="X33" s="1"/>
  <c r="V15"/>
  <c r="V14"/>
  <c r="V13"/>
  <c r="V12"/>
  <c r="V10"/>
  <c r="X215"/>
  <c r="X51"/>
  <c r="X56" s="1"/>
  <c r="V51"/>
  <c r="V56"/>
  <c r="W227" s="1"/>
  <c r="W128"/>
  <c r="V16"/>
  <c r="W256"/>
  <c r="X237"/>
  <c r="X238"/>
  <c r="X239" s="1"/>
  <c r="X245" s="1"/>
  <c r="V237"/>
  <c r="V238" s="1"/>
  <c r="W412"/>
  <c r="U77"/>
  <c r="U109" s="1"/>
  <c r="U121" s="1"/>
  <c r="U70"/>
  <c r="U103"/>
  <c r="U115" s="1"/>
  <c r="T431"/>
  <c r="T425"/>
  <c r="W425"/>
  <c r="V24"/>
  <c r="U258" s="1"/>
  <c r="V25"/>
  <c r="X251" s="1"/>
  <c r="X250"/>
  <c r="X249"/>
  <c r="X210"/>
  <c r="V26"/>
  <c r="V23"/>
  <c r="U61" s="1"/>
  <c r="U62" s="1"/>
  <c r="Y290"/>
  <c r="W290"/>
  <c r="X290" s="1"/>
  <c r="Y219"/>
  <c r="W219" s="1"/>
  <c r="W257"/>
  <c r="V243"/>
  <c r="V20" i="18"/>
  <c r="U56"/>
  <c r="V21"/>
  <c r="V309"/>
  <c r="V312"/>
  <c r="U76"/>
  <c r="V311"/>
  <c r="V551"/>
  <c r="W551"/>
  <c r="V545"/>
  <c r="W545"/>
  <c r="V538"/>
  <c r="W538"/>
  <c r="V532"/>
  <c r="W532"/>
  <c r="R406"/>
  <c r="R525"/>
  <c r="F5"/>
  <c r="V5"/>
  <c r="V522"/>
  <c r="W522"/>
  <c r="V516"/>
  <c r="W516"/>
  <c r="V509"/>
  <c r="W509"/>
  <c r="V503"/>
  <c r="W503"/>
  <c r="R377"/>
  <c r="R496"/>
  <c r="V493"/>
  <c r="W493"/>
  <c r="V487"/>
  <c r="W487"/>
  <c r="V480"/>
  <c r="W480"/>
  <c r="V474"/>
  <c r="W474"/>
  <c r="R348"/>
  <c r="R467"/>
  <c r="V464"/>
  <c r="W464"/>
  <c r="V458"/>
  <c r="W458"/>
  <c r="V451"/>
  <c r="W451"/>
  <c r="V445"/>
  <c r="W445"/>
  <c r="R319"/>
  <c r="R438"/>
  <c r="T412"/>
  <c r="T418"/>
  <c r="V432"/>
  <c r="W432"/>
  <c r="V426"/>
  <c r="W426"/>
  <c r="V419"/>
  <c r="W419"/>
  <c r="V413"/>
  <c r="W413"/>
  <c r="V403"/>
  <c r="W403"/>
  <c r="V397"/>
  <c r="W397"/>
  <c r="V390"/>
  <c r="W390"/>
  <c r="V384"/>
  <c r="W384"/>
  <c r="V374"/>
  <c r="W374"/>
  <c r="V368"/>
  <c r="W368"/>
  <c r="V361"/>
  <c r="W361"/>
  <c r="V355"/>
  <c r="W355"/>
  <c r="V345"/>
  <c r="W345"/>
  <c r="V339"/>
  <c r="W339"/>
  <c r="V332"/>
  <c r="W332"/>
  <c r="V326"/>
  <c r="W326"/>
  <c r="V314"/>
  <c r="V313"/>
  <c r="V310"/>
  <c r="X142"/>
  <c r="X145"/>
  <c r="X146"/>
  <c r="X152"/>
  <c r="V152" s="1"/>
  <c r="W152" s="1"/>
  <c r="X148"/>
  <c r="X154"/>
  <c r="V11"/>
  <c r="X158"/>
  <c r="X160"/>
  <c r="W264"/>
  <c r="W265"/>
  <c r="W145"/>
  <c r="V146"/>
  <c r="W146"/>
  <c r="V148"/>
  <c r="W148"/>
  <c r="U148" s="1"/>
  <c r="V154"/>
  <c r="W154" s="1"/>
  <c r="V158"/>
  <c r="W158" s="1"/>
  <c r="V160"/>
  <c r="W160" s="1"/>
  <c r="V145"/>
  <c r="Y216"/>
  <c r="V19"/>
  <c r="Y217" s="1"/>
  <c r="V22"/>
  <c r="Y218" s="1"/>
  <c r="W218" s="1"/>
  <c r="X218" s="1"/>
  <c r="V218" s="1"/>
  <c r="W216"/>
  <c r="X216"/>
  <c r="V216" s="1"/>
  <c r="V227"/>
  <c r="U102"/>
  <c r="U114" s="1"/>
  <c r="U44"/>
  <c r="X44" s="1"/>
  <c r="V44"/>
  <c r="W44"/>
  <c r="U43"/>
  <c r="X43" s="1"/>
  <c r="V43"/>
  <c r="W43"/>
  <c r="U42"/>
  <c r="X42" s="1"/>
  <c r="V42"/>
  <c r="W42"/>
  <c r="U41"/>
  <c r="X41" s="1"/>
  <c r="V41"/>
  <c r="W41"/>
  <c r="U36"/>
  <c r="X36" s="1"/>
  <c r="V36"/>
  <c r="W36"/>
  <c r="U35"/>
  <c r="X35" s="1"/>
  <c r="V35"/>
  <c r="W35"/>
  <c r="U34"/>
  <c r="X34" s="1"/>
  <c r="V34"/>
  <c r="W34"/>
  <c r="V33"/>
  <c r="W33"/>
  <c r="X33"/>
  <c r="V15"/>
  <c r="V14"/>
  <c r="V13"/>
  <c r="V12"/>
  <c r="V10"/>
  <c r="V16"/>
  <c r="W412"/>
  <c r="U70"/>
  <c r="U103" s="1"/>
  <c r="U115" s="1"/>
  <c r="T425"/>
  <c r="W425"/>
  <c r="V24"/>
  <c r="U258"/>
  <c r="V25"/>
  <c r="X210"/>
  <c r="V26"/>
  <c r="V23"/>
  <c r="U61" s="1"/>
  <c r="U62" s="1"/>
  <c r="Y290"/>
  <c r="W290"/>
  <c r="X290" s="1"/>
  <c r="Y219"/>
  <c r="W219" s="1"/>
  <c r="X219" s="1"/>
  <c r="V20" i="17"/>
  <c r="U56" s="1"/>
  <c r="V21"/>
  <c r="V309"/>
  <c r="V312"/>
  <c r="V311"/>
  <c r="U76"/>
  <c r="T531" s="1"/>
  <c r="V551"/>
  <c r="W551"/>
  <c r="V545"/>
  <c r="W545"/>
  <c r="V538"/>
  <c r="W538"/>
  <c r="V532"/>
  <c r="W532"/>
  <c r="R406"/>
  <c r="R525"/>
  <c r="F5"/>
  <c r="V5"/>
  <c r="V522"/>
  <c r="W522"/>
  <c r="V516"/>
  <c r="W516"/>
  <c r="V509"/>
  <c r="W509"/>
  <c r="V503"/>
  <c r="W503"/>
  <c r="R377"/>
  <c r="R496"/>
  <c r="V493"/>
  <c r="W493"/>
  <c r="V487"/>
  <c r="W487"/>
  <c r="V480"/>
  <c r="W480"/>
  <c r="V474"/>
  <c r="W474"/>
  <c r="R348"/>
  <c r="R467"/>
  <c r="V464"/>
  <c r="W464"/>
  <c r="V458"/>
  <c r="W458"/>
  <c r="V451"/>
  <c r="W451"/>
  <c r="V445"/>
  <c r="W445"/>
  <c r="R319"/>
  <c r="R438"/>
  <c r="T412"/>
  <c r="T418"/>
  <c r="V432"/>
  <c r="W432"/>
  <c r="V426"/>
  <c r="W426"/>
  <c r="V419"/>
  <c r="W419"/>
  <c r="V413"/>
  <c r="W413"/>
  <c r="V403"/>
  <c r="W403"/>
  <c r="V397"/>
  <c r="W397"/>
  <c r="V390"/>
  <c r="W390"/>
  <c r="V384"/>
  <c r="W384"/>
  <c r="V374"/>
  <c r="W374"/>
  <c r="V368"/>
  <c r="W368"/>
  <c r="V361"/>
  <c r="W361"/>
  <c r="V355"/>
  <c r="W355"/>
  <c r="V345"/>
  <c r="W345"/>
  <c r="V339"/>
  <c r="W339"/>
  <c r="V332"/>
  <c r="W332"/>
  <c r="V326"/>
  <c r="W326"/>
  <c r="V314"/>
  <c r="V313"/>
  <c r="V310"/>
  <c r="X142"/>
  <c r="X145"/>
  <c r="X146"/>
  <c r="X152"/>
  <c r="V152" s="1"/>
  <c r="W152" s="1"/>
  <c r="X148"/>
  <c r="X154"/>
  <c r="V11"/>
  <c r="X158"/>
  <c r="X160"/>
  <c r="W264"/>
  <c r="W265"/>
  <c r="W145"/>
  <c r="V146"/>
  <c r="W146"/>
  <c r="V148"/>
  <c r="W148"/>
  <c r="U148" s="1"/>
  <c r="V154"/>
  <c r="W154" s="1"/>
  <c r="V158"/>
  <c r="W158" s="1"/>
  <c r="V160"/>
  <c r="W160" s="1"/>
  <c r="V145"/>
  <c r="V19"/>
  <c r="Y217" s="1"/>
  <c r="V22"/>
  <c r="Y218" s="1"/>
  <c r="W218" s="1"/>
  <c r="X218" s="1"/>
  <c r="V218" s="1"/>
  <c r="U108"/>
  <c r="U120" s="1"/>
  <c r="U102"/>
  <c r="U114" s="1"/>
  <c r="U44"/>
  <c r="X44" s="1"/>
  <c r="V44"/>
  <c r="W44"/>
  <c r="U43"/>
  <c r="X43" s="1"/>
  <c r="V43"/>
  <c r="W43"/>
  <c r="U42"/>
  <c r="X42" s="1"/>
  <c r="V42"/>
  <c r="W42"/>
  <c r="U41"/>
  <c r="X41" s="1"/>
  <c r="V41"/>
  <c r="W41"/>
  <c r="U36"/>
  <c r="X36" s="1"/>
  <c r="V36"/>
  <c r="W36"/>
  <c r="U35"/>
  <c r="X35" s="1"/>
  <c r="V35"/>
  <c r="W35"/>
  <c r="U34"/>
  <c r="X34" s="1"/>
  <c r="V34"/>
  <c r="W34"/>
  <c r="V33"/>
  <c r="W33"/>
  <c r="X33"/>
  <c r="V15"/>
  <c r="V14"/>
  <c r="V13"/>
  <c r="V12"/>
  <c r="V10"/>
  <c r="W69"/>
  <c r="W102" s="1"/>
  <c r="W114" s="1"/>
  <c r="V69"/>
  <c r="T309" s="1"/>
  <c r="X69"/>
  <c r="T325" s="1"/>
  <c r="T383"/>
  <c r="T389" s="1"/>
  <c r="T402" s="1"/>
  <c r="W402" s="1"/>
  <c r="T354"/>
  <c r="T367" s="1"/>
  <c r="W367" s="1"/>
  <c r="Y215"/>
  <c r="X215"/>
  <c r="W215"/>
  <c r="X51"/>
  <c r="X56"/>
  <c r="W51"/>
  <c r="W56"/>
  <c r="X227" s="1"/>
  <c r="V51"/>
  <c r="V56" s="1"/>
  <c r="X128"/>
  <c r="W128"/>
  <c r="V128"/>
  <c r="V16"/>
  <c r="X256"/>
  <c r="W256"/>
  <c r="V256"/>
  <c r="X237"/>
  <c r="X238"/>
  <c r="W237"/>
  <c r="W238"/>
  <c r="W239" s="1"/>
  <c r="V237"/>
  <c r="V238" s="1"/>
  <c r="W412"/>
  <c r="U77"/>
  <c r="U109"/>
  <c r="U121" s="1"/>
  <c r="X70"/>
  <c r="X103" s="1"/>
  <c r="X115" s="1"/>
  <c r="V70"/>
  <c r="V103" s="1"/>
  <c r="V115" s="1"/>
  <c r="U70"/>
  <c r="U103"/>
  <c r="U115" s="1"/>
  <c r="T425"/>
  <c r="W425"/>
  <c r="V24"/>
  <c r="V25"/>
  <c r="X210" s="1"/>
  <c r="V26"/>
  <c r="V23"/>
  <c r="U257" s="1"/>
  <c r="Y290"/>
  <c r="W290"/>
  <c r="X290" s="1"/>
  <c r="W243"/>
  <c r="V20" i="16"/>
  <c r="U56"/>
  <c r="V21"/>
  <c r="V309"/>
  <c r="V312"/>
  <c r="V311"/>
  <c r="U76"/>
  <c r="T531"/>
  <c r="V551"/>
  <c r="W551"/>
  <c r="V545"/>
  <c r="W545"/>
  <c r="V538"/>
  <c r="W538"/>
  <c r="V532"/>
  <c r="W532"/>
  <c r="R406"/>
  <c r="R525"/>
  <c r="F5"/>
  <c r="V5"/>
  <c r="V522"/>
  <c r="W522"/>
  <c r="V516"/>
  <c r="W516"/>
  <c r="V509"/>
  <c r="W509"/>
  <c r="V503"/>
  <c r="W503"/>
  <c r="R377"/>
  <c r="R496"/>
  <c r="V493"/>
  <c r="W493"/>
  <c r="V487"/>
  <c r="W487"/>
  <c r="V480"/>
  <c r="W480"/>
  <c r="V474"/>
  <c r="W474"/>
  <c r="R348"/>
  <c r="R467"/>
  <c r="V464"/>
  <c r="W464"/>
  <c r="V458"/>
  <c r="W458"/>
  <c r="V451"/>
  <c r="W451"/>
  <c r="V445"/>
  <c r="W445"/>
  <c r="R319"/>
  <c r="R438"/>
  <c r="T412"/>
  <c r="T418"/>
  <c r="V432"/>
  <c r="W432"/>
  <c r="V426"/>
  <c r="W426"/>
  <c r="V419"/>
  <c r="W419"/>
  <c r="V413"/>
  <c r="W413"/>
  <c r="V403"/>
  <c r="W403"/>
  <c r="V397"/>
  <c r="W397"/>
  <c r="V390"/>
  <c r="W390"/>
  <c r="V384"/>
  <c r="W384"/>
  <c r="V374"/>
  <c r="W374"/>
  <c r="V368"/>
  <c r="W368"/>
  <c r="V361"/>
  <c r="W361"/>
  <c r="V355"/>
  <c r="W355"/>
  <c r="V345"/>
  <c r="W345"/>
  <c r="V339"/>
  <c r="W339"/>
  <c r="V332"/>
  <c r="W332"/>
  <c r="V326"/>
  <c r="W326"/>
  <c r="V314"/>
  <c r="V313"/>
  <c r="V310"/>
  <c r="X142"/>
  <c r="X145" s="1"/>
  <c r="X146"/>
  <c r="V146" s="1"/>
  <c r="W146" s="1"/>
  <c r="X152"/>
  <c r="X148"/>
  <c r="V148" s="1"/>
  <c r="W148" s="1"/>
  <c r="U148" s="1"/>
  <c r="X154"/>
  <c r="V11"/>
  <c r="X158"/>
  <c r="X160"/>
  <c r="V160"/>
  <c r="W160" s="1"/>
  <c r="W264"/>
  <c r="W265"/>
  <c r="V152"/>
  <c r="W152" s="1"/>
  <c r="V154"/>
  <c r="W154" s="1"/>
  <c r="V158"/>
  <c r="W158" s="1"/>
  <c r="Y216"/>
  <c r="V19"/>
  <c r="Y217"/>
  <c r="Y230" s="1"/>
  <c r="V22"/>
  <c r="Y218" s="1"/>
  <c r="W216"/>
  <c r="X216" s="1"/>
  <c r="W217"/>
  <c r="X217" s="1"/>
  <c r="U108"/>
  <c r="U120"/>
  <c r="U102"/>
  <c r="U114"/>
  <c r="U44"/>
  <c r="X44"/>
  <c r="V44"/>
  <c r="W44"/>
  <c r="U43"/>
  <c r="X43"/>
  <c r="V43"/>
  <c r="W43"/>
  <c r="U42"/>
  <c r="X42"/>
  <c r="V42"/>
  <c r="W42"/>
  <c r="U41"/>
  <c r="X41"/>
  <c r="V41"/>
  <c r="W41"/>
  <c r="U36"/>
  <c r="X36"/>
  <c r="V36"/>
  <c r="W36"/>
  <c r="U35"/>
  <c r="X35"/>
  <c r="V35"/>
  <c r="W35"/>
  <c r="U34"/>
  <c r="X34"/>
  <c r="V34"/>
  <c r="W34"/>
  <c r="V33"/>
  <c r="W33"/>
  <c r="X33" s="1"/>
  <c r="V15"/>
  <c r="V14"/>
  <c r="V13"/>
  <c r="V12"/>
  <c r="V10"/>
  <c r="W69"/>
  <c r="U309"/>
  <c r="V69"/>
  <c r="T309"/>
  <c r="X69"/>
  <c r="T325" s="1"/>
  <c r="S309"/>
  <c r="T383"/>
  <c r="T389"/>
  <c r="T354"/>
  <c r="T360"/>
  <c r="Y215"/>
  <c r="X215"/>
  <c r="W215"/>
  <c r="X51"/>
  <c r="X56" s="1"/>
  <c r="W51"/>
  <c r="W56"/>
  <c r="V51"/>
  <c r="V56"/>
  <c r="W227" s="1"/>
  <c r="X128"/>
  <c r="W128"/>
  <c r="V128"/>
  <c r="X102"/>
  <c r="X114"/>
  <c r="W102"/>
  <c r="W114"/>
  <c r="V102"/>
  <c r="V114"/>
  <c r="V16"/>
  <c r="X256"/>
  <c r="W256"/>
  <c r="V256"/>
  <c r="V257" s="1"/>
  <c r="X237"/>
  <c r="X238"/>
  <c r="X239" s="1"/>
  <c r="W237"/>
  <c r="W238" s="1"/>
  <c r="V237"/>
  <c r="V238" s="1"/>
  <c r="W412"/>
  <c r="U77"/>
  <c r="U109" s="1"/>
  <c r="U121" s="1"/>
  <c r="X70"/>
  <c r="X103"/>
  <c r="X115" s="1"/>
  <c r="W70"/>
  <c r="W103" s="1"/>
  <c r="W115" s="1"/>
  <c r="V70"/>
  <c r="V103"/>
  <c r="V115" s="1"/>
  <c r="U70"/>
  <c r="U103" s="1"/>
  <c r="U115" s="1"/>
  <c r="T431"/>
  <c r="T396"/>
  <c r="W396" s="1"/>
  <c r="T367"/>
  <c r="W367" s="1"/>
  <c r="T425"/>
  <c r="W425" s="1"/>
  <c r="V24"/>
  <c r="V25"/>
  <c r="V250" s="1"/>
  <c r="X250"/>
  <c r="X249"/>
  <c r="V249"/>
  <c r="V26"/>
  <c r="V23"/>
  <c r="V61"/>
  <c r="V62" s="1"/>
  <c r="Y290"/>
  <c r="W290" s="1"/>
  <c r="X290" s="1"/>
  <c r="Y219"/>
  <c r="W219"/>
  <c r="W257"/>
  <c r="U257"/>
  <c r="X243"/>
  <c r="W243"/>
  <c r="V20" i="15"/>
  <c r="U56" s="1"/>
  <c r="V21"/>
  <c r="U76" s="1"/>
  <c r="V309"/>
  <c r="V312"/>
  <c r="V311"/>
  <c r="V551"/>
  <c r="W551"/>
  <c r="V545"/>
  <c r="W545"/>
  <c r="V538"/>
  <c r="W538"/>
  <c r="V532"/>
  <c r="W532"/>
  <c r="R406"/>
  <c r="R525"/>
  <c r="F5"/>
  <c r="V5"/>
  <c r="V522"/>
  <c r="W522"/>
  <c r="V516"/>
  <c r="W516"/>
  <c r="V509"/>
  <c r="W509"/>
  <c r="V503"/>
  <c r="W503"/>
  <c r="R377"/>
  <c r="R496"/>
  <c r="V493"/>
  <c r="W493"/>
  <c r="V487"/>
  <c r="W487"/>
  <c r="V480"/>
  <c r="W480"/>
  <c r="V474"/>
  <c r="W474"/>
  <c r="R348"/>
  <c r="R467"/>
  <c r="V464"/>
  <c r="W464"/>
  <c r="V458"/>
  <c r="W458"/>
  <c r="V451"/>
  <c r="W451"/>
  <c r="V445"/>
  <c r="W445"/>
  <c r="R319"/>
  <c r="R438"/>
  <c r="T412"/>
  <c r="T418"/>
  <c r="V432"/>
  <c r="W432"/>
  <c r="V426"/>
  <c r="W426"/>
  <c r="V419"/>
  <c r="W419"/>
  <c r="V413"/>
  <c r="W413"/>
  <c r="V403"/>
  <c r="W403"/>
  <c r="V397"/>
  <c r="W397"/>
  <c r="V390"/>
  <c r="W390"/>
  <c r="V384"/>
  <c r="W384"/>
  <c r="V374"/>
  <c r="W374"/>
  <c r="V368"/>
  <c r="W368"/>
  <c r="V361"/>
  <c r="W361"/>
  <c r="V355"/>
  <c r="W355"/>
  <c r="V345"/>
  <c r="W345"/>
  <c r="V339"/>
  <c r="W339"/>
  <c r="V332"/>
  <c r="W332"/>
  <c r="V326"/>
  <c r="W326"/>
  <c r="V314"/>
  <c r="V313"/>
  <c r="V310"/>
  <c r="X142"/>
  <c r="X145" s="1"/>
  <c r="X146"/>
  <c r="X152"/>
  <c r="X148"/>
  <c r="X154"/>
  <c r="V11"/>
  <c r="X158"/>
  <c r="X160"/>
  <c r="V160" s="1"/>
  <c r="W160" s="1"/>
  <c r="W264"/>
  <c r="W265"/>
  <c r="V146"/>
  <c r="W146" s="1"/>
  <c r="V152"/>
  <c r="W152" s="1"/>
  <c r="V148"/>
  <c r="W148" s="1"/>
  <c r="U148" s="1"/>
  <c r="V154"/>
  <c r="W154"/>
  <c r="V158"/>
  <c r="W158"/>
  <c r="Y216"/>
  <c r="V19"/>
  <c r="Y217"/>
  <c r="V22"/>
  <c r="Y218"/>
  <c r="W218" s="1"/>
  <c r="X218" s="1"/>
  <c r="V218" s="1"/>
  <c r="W216"/>
  <c r="X216" s="1"/>
  <c r="V216" s="1"/>
  <c r="U102"/>
  <c r="U114" s="1"/>
  <c r="U44"/>
  <c r="X44" s="1"/>
  <c r="V44"/>
  <c r="W44"/>
  <c r="U43"/>
  <c r="X43" s="1"/>
  <c r="V43"/>
  <c r="W43"/>
  <c r="U42"/>
  <c r="X42" s="1"/>
  <c r="V42"/>
  <c r="W42"/>
  <c r="U41"/>
  <c r="X41" s="1"/>
  <c r="V41"/>
  <c r="W41"/>
  <c r="U36"/>
  <c r="X36" s="1"/>
  <c r="V36"/>
  <c r="W36"/>
  <c r="U35"/>
  <c r="X35" s="1"/>
  <c r="V35"/>
  <c r="W35"/>
  <c r="U34"/>
  <c r="X34" s="1"/>
  <c r="V34"/>
  <c r="W34"/>
  <c r="V33"/>
  <c r="W33"/>
  <c r="X33"/>
  <c r="V15"/>
  <c r="V14"/>
  <c r="V13"/>
  <c r="V12"/>
  <c r="V10"/>
  <c r="V16"/>
  <c r="W412"/>
  <c r="U70"/>
  <c r="U103" s="1"/>
  <c r="U115" s="1"/>
  <c r="T425"/>
  <c r="W425"/>
  <c r="V24"/>
  <c r="V25"/>
  <c r="X210"/>
  <c r="V26"/>
  <c r="V23"/>
  <c r="U257" s="1"/>
  <c r="Y290"/>
  <c r="W290"/>
  <c r="X290" s="1"/>
  <c r="Y219"/>
  <c r="W219" s="1"/>
  <c r="X219" s="1"/>
  <c r="K208" i="48"/>
  <c r="H208"/>
  <c r="K108"/>
  <c r="H108"/>
  <c r="E8"/>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D8"/>
  <c r="H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C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9"/>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D9"/>
  <c r="E9"/>
  <c r="D10"/>
  <c r="E10"/>
  <c r="D11"/>
  <c r="E11"/>
  <c r="D12"/>
  <c r="E12"/>
  <c r="D13"/>
  <c r="E13"/>
  <c r="D14"/>
  <c r="E14"/>
  <c r="D15"/>
  <c r="E15"/>
  <c r="D16"/>
  <c r="E16"/>
  <c r="D17"/>
  <c r="E17"/>
  <c r="D18"/>
  <c r="E18"/>
  <c r="D19"/>
  <c r="E19"/>
  <c r="D20"/>
  <c r="E20"/>
  <c r="D21"/>
  <c r="E21"/>
  <c r="D22"/>
  <c r="E22"/>
  <c r="D23"/>
  <c r="E23"/>
  <c r="D24"/>
  <c r="E24"/>
  <c r="D25"/>
  <c r="E25"/>
  <c r="D26"/>
  <c r="E26"/>
  <c r="D27"/>
  <c r="E27"/>
  <c r="D28"/>
  <c r="E28"/>
  <c r="D29"/>
  <c r="E29"/>
  <c r="D30"/>
  <c r="E30"/>
  <c r="D31"/>
  <c r="E31"/>
  <c r="D32"/>
  <c r="E32"/>
  <c r="D33"/>
  <c r="E33"/>
  <c r="D34"/>
  <c r="E34"/>
  <c r="D35"/>
  <c r="E35"/>
  <c r="D36"/>
  <c r="E36"/>
  <c r="D37"/>
  <c r="E37"/>
  <c r="D38"/>
  <c r="E38"/>
  <c r="D39"/>
  <c r="E39"/>
  <c r="D40"/>
  <c r="E40"/>
  <c r="D41"/>
  <c r="E41"/>
  <c r="D42"/>
  <c r="E42"/>
  <c r="D43"/>
  <c r="E43"/>
  <c r="D44"/>
  <c r="E44"/>
  <c r="D45"/>
  <c r="E45"/>
  <c r="D46"/>
  <c r="E46"/>
  <c r="D47"/>
  <c r="E47"/>
  <c r="D48"/>
  <c r="E4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83"/>
  <c r="E83"/>
  <c r="D84"/>
  <c r="E84"/>
  <c r="D85"/>
  <c r="E85"/>
  <c r="D86"/>
  <c r="E86"/>
  <c r="D87"/>
  <c r="E87"/>
  <c r="D88"/>
  <c r="E88"/>
  <c r="D89"/>
  <c r="E89"/>
  <c r="D90"/>
  <c r="E90"/>
  <c r="D91"/>
  <c r="E91"/>
  <c r="D92"/>
  <c r="E92"/>
  <c r="D93"/>
  <c r="E93"/>
  <c r="D94"/>
  <c r="E94"/>
  <c r="D95"/>
  <c r="E95"/>
  <c r="D96"/>
  <c r="E96"/>
  <c r="D97"/>
  <c r="E97"/>
  <c r="D98"/>
  <c r="E98"/>
  <c r="D99"/>
  <c r="E99"/>
  <c r="D100"/>
  <c r="E100"/>
  <c r="D101"/>
  <c r="E101"/>
  <c r="D102"/>
  <c r="E102"/>
  <c r="D103"/>
  <c r="E103"/>
  <c r="D104"/>
  <c r="E104"/>
  <c r="D105"/>
  <c r="E105"/>
  <c r="D106"/>
  <c r="E106"/>
  <c r="D107"/>
  <c r="E107"/>
  <c r="D159"/>
  <c r="E159"/>
  <c r="D160"/>
  <c r="E160"/>
  <c r="D161"/>
  <c r="E161"/>
  <c r="D162"/>
  <c r="E162"/>
  <c r="D163"/>
  <c r="E163"/>
  <c r="D164"/>
  <c r="E164"/>
  <c r="D165"/>
  <c r="E165"/>
  <c r="D166"/>
  <c r="E166"/>
  <c r="D167"/>
  <c r="E167"/>
  <c r="D168"/>
  <c r="E168"/>
  <c r="D169"/>
  <c r="E169"/>
  <c r="D170"/>
  <c r="E170"/>
  <c r="D171"/>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90"/>
  <c r="E190"/>
  <c r="D191"/>
  <c r="E191"/>
  <c r="D192"/>
  <c r="E192"/>
  <c r="D193"/>
  <c r="E193"/>
  <c r="D194"/>
  <c r="E194"/>
  <c r="D195"/>
  <c r="E195"/>
  <c r="D196"/>
  <c r="E196"/>
  <c r="D197"/>
  <c r="E197"/>
  <c r="D198"/>
  <c r="E198"/>
  <c r="D199"/>
  <c r="E199"/>
  <c r="D200"/>
  <c r="E200"/>
  <c r="D201"/>
  <c r="E201"/>
  <c r="D202"/>
  <c r="E202"/>
  <c r="D203"/>
  <c r="E203"/>
  <c r="D204"/>
  <c r="E204"/>
  <c r="D205"/>
  <c r="E205"/>
  <c r="D206"/>
  <c r="E206"/>
  <c r="D207"/>
  <c r="E207"/>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K208" i="44"/>
  <c r="H208"/>
  <c r="K108"/>
  <c r="H108"/>
  <c r="E8"/>
  <c r="K8"/>
  <c r="D8"/>
  <c r="H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C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9"/>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D9"/>
  <c r="E9"/>
  <c r="D10"/>
  <c r="E10"/>
  <c r="D11"/>
  <c r="E11"/>
  <c r="D12"/>
  <c r="E12"/>
  <c r="D13"/>
  <c r="E13"/>
  <c r="D14"/>
  <c r="E14"/>
  <c r="D15"/>
  <c r="E15"/>
  <c r="D16"/>
  <c r="E16"/>
  <c r="D17"/>
  <c r="E17"/>
  <c r="D18"/>
  <c r="E18"/>
  <c r="D19"/>
  <c r="E19"/>
  <c r="D20"/>
  <c r="E20"/>
  <c r="D21"/>
  <c r="E21"/>
  <c r="D22"/>
  <c r="E22"/>
  <c r="D23"/>
  <c r="E23"/>
  <c r="D24"/>
  <c r="E24"/>
  <c r="D25"/>
  <c r="E25"/>
  <c r="D26"/>
  <c r="E26"/>
  <c r="D27"/>
  <c r="E27"/>
  <c r="D28"/>
  <c r="E28"/>
  <c r="D29"/>
  <c r="E29"/>
  <c r="D30"/>
  <c r="E30"/>
  <c r="D31"/>
  <c r="E31"/>
  <c r="D32"/>
  <c r="E32"/>
  <c r="D33"/>
  <c r="E33"/>
  <c r="D34"/>
  <c r="E34"/>
  <c r="D35"/>
  <c r="E35"/>
  <c r="D36"/>
  <c r="E36"/>
  <c r="D37"/>
  <c r="E37"/>
  <c r="D38"/>
  <c r="E38"/>
  <c r="D39"/>
  <c r="E39"/>
  <c r="D40"/>
  <c r="E40"/>
  <c r="D41"/>
  <c r="E41"/>
  <c r="D42"/>
  <c r="E42"/>
  <c r="D43"/>
  <c r="E43"/>
  <c r="D44"/>
  <c r="E44"/>
  <c r="D45"/>
  <c r="E45"/>
  <c r="D46"/>
  <c r="E46"/>
  <c r="D47"/>
  <c r="E47"/>
  <c r="D48"/>
  <c r="E4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83"/>
  <c r="E83"/>
  <c r="D84"/>
  <c r="E84"/>
  <c r="D85"/>
  <c r="E85"/>
  <c r="D86"/>
  <c r="E86"/>
  <c r="D87"/>
  <c r="E87"/>
  <c r="D88"/>
  <c r="E88"/>
  <c r="D89"/>
  <c r="E89"/>
  <c r="D90"/>
  <c r="E90"/>
  <c r="D91"/>
  <c r="E91"/>
  <c r="D92"/>
  <c r="E92"/>
  <c r="D93"/>
  <c r="E93"/>
  <c r="D94"/>
  <c r="E94"/>
  <c r="D95"/>
  <c r="E95"/>
  <c r="D96"/>
  <c r="E96"/>
  <c r="D97"/>
  <c r="E97"/>
  <c r="D98"/>
  <c r="E98"/>
  <c r="D99"/>
  <c r="E99"/>
  <c r="D100"/>
  <c r="E100"/>
  <c r="D101"/>
  <c r="E101"/>
  <c r="D102"/>
  <c r="E102"/>
  <c r="D103"/>
  <c r="E103"/>
  <c r="D104"/>
  <c r="E104"/>
  <c r="D105"/>
  <c r="E105"/>
  <c r="D106"/>
  <c r="E106"/>
  <c r="D107"/>
  <c r="E107"/>
  <c r="D159"/>
  <c r="E159"/>
  <c r="D160"/>
  <c r="E160"/>
  <c r="D161"/>
  <c r="E161"/>
  <c r="D162"/>
  <c r="E162"/>
  <c r="D163"/>
  <c r="E163"/>
  <c r="D164"/>
  <c r="E164"/>
  <c r="D165"/>
  <c r="E165"/>
  <c r="D166"/>
  <c r="E166"/>
  <c r="D167"/>
  <c r="E167"/>
  <c r="D168"/>
  <c r="E168"/>
  <c r="D169"/>
  <c r="E169"/>
  <c r="D170"/>
  <c r="E170"/>
  <c r="D171"/>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90"/>
  <c r="E190"/>
  <c r="D191"/>
  <c r="E191"/>
  <c r="D192"/>
  <c r="E192"/>
  <c r="D193"/>
  <c r="E193"/>
  <c r="D194"/>
  <c r="E194"/>
  <c r="D195"/>
  <c r="E195"/>
  <c r="D196"/>
  <c r="E196"/>
  <c r="D197"/>
  <c r="E197"/>
  <c r="D198"/>
  <c r="E198"/>
  <c r="D199"/>
  <c r="E199"/>
  <c r="D200"/>
  <c r="E200"/>
  <c r="D201"/>
  <c r="E201"/>
  <c r="D202"/>
  <c r="E202"/>
  <c r="D203"/>
  <c r="E203"/>
  <c r="D204"/>
  <c r="E204"/>
  <c r="D205"/>
  <c r="E205"/>
  <c r="D206"/>
  <c r="E206"/>
  <c r="D207"/>
  <c r="E207"/>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K208" i="47"/>
  <c r="H208"/>
  <c r="K108"/>
  <c r="H108"/>
  <c r="E8"/>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D8"/>
  <c r="H8"/>
  <c r="H9"/>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C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D9"/>
  <c r="E9"/>
  <c r="D10"/>
  <c r="E10"/>
  <c r="D11"/>
  <c r="E11"/>
  <c r="D12"/>
  <c r="E12"/>
  <c r="D13"/>
  <c r="E13"/>
  <c r="D14"/>
  <c r="E14"/>
  <c r="D15"/>
  <c r="E15"/>
  <c r="D16"/>
  <c r="E16"/>
  <c r="D17"/>
  <c r="E17"/>
  <c r="D18"/>
  <c r="E18"/>
  <c r="D19"/>
  <c r="E19"/>
  <c r="D20"/>
  <c r="E20"/>
  <c r="D21"/>
  <c r="E21"/>
  <c r="D22"/>
  <c r="E22"/>
  <c r="D23"/>
  <c r="E23"/>
  <c r="D24"/>
  <c r="E24"/>
  <c r="D25"/>
  <c r="E25"/>
  <c r="D26"/>
  <c r="E26"/>
  <c r="D27"/>
  <c r="E27"/>
  <c r="D28"/>
  <c r="E28"/>
  <c r="D29"/>
  <c r="E29"/>
  <c r="D30"/>
  <c r="E30"/>
  <c r="D31"/>
  <c r="E31"/>
  <c r="D32"/>
  <c r="E32"/>
  <c r="D33"/>
  <c r="E33"/>
  <c r="D34"/>
  <c r="E34"/>
  <c r="D35"/>
  <c r="E35"/>
  <c r="D36"/>
  <c r="E36"/>
  <c r="D37"/>
  <c r="E37"/>
  <c r="D38"/>
  <c r="E38"/>
  <c r="D39"/>
  <c r="E39"/>
  <c r="D40"/>
  <c r="E40"/>
  <c r="D41"/>
  <c r="E41"/>
  <c r="D42"/>
  <c r="E42"/>
  <c r="D43"/>
  <c r="E43"/>
  <c r="D44"/>
  <c r="E44"/>
  <c r="D45"/>
  <c r="E45"/>
  <c r="D46"/>
  <c r="E46"/>
  <c r="D47"/>
  <c r="E47"/>
  <c r="D48"/>
  <c r="E4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83"/>
  <c r="E83"/>
  <c r="D84"/>
  <c r="E84"/>
  <c r="D85"/>
  <c r="E85"/>
  <c r="D86"/>
  <c r="E86"/>
  <c r="D87"/>
  <c r="E87"/>
  <c r="D88"/>
  <c r="E88"/>
  <c r="D89"/>
  <c r="E89"/>
  <c r="D90"/>
  <c r="E90"/>
  <c r="D91"/>
  <c r="E91"/>
  <c r="D92"/>
  <c r="E92"/>
  <c r="D93"/>
  <c r="E93"/>
  <c r="D94"/>
  <c r="E94"/>
  <c r="D95"/>
  <c r="E95"/>
  <c r="D96"/>
  <c r="E96"/>
  <c r="D97"/>
  <c r="E97"/>
  <c r="D98"/>
  <c r="E98"/>
  <c r="D99"/>
  <c r="E99"/>
  <c r="D100"/>
  <c r="E100"/>
  <c r="D101"/>
  <c r="E101"/>
  <c r="D102"/>
  <c r="E102"/>
  <c r="D103"/>
  <c r="E103"/>
  <c r="D104"/>
  <c r="E104"/>
  <c r="D105"/>
  <c r="E105"/>
  <c r="D106"/>
  <c r="E106"/>
  <c r="D107"/>
  <c r="E107"/>
  <c r="D159"/>
  <c r="E159"/>
  <c r="D160"/>
  <c r="E160"/>
  <c r="D161"/>
  <c r="E161"/>
  <c r="D162"/>
  <c r="E162"/>
  <c r="D163"/>
  <c r="E163"/>
  <c r="D164"/>
  <c r="E164"/>
  <c r="D165"/>
  <c r="E165"/>
  <c r="D166"/>
  <c r="E166"/>
  <c r="D167"/>
  <c r="E167"/>
  <c r="D168"/>
  <c r="E168"/>
  <c r="D169"/>
  <c r="E169"/>
  <c r="D170"/>
  <c r="E170"/>
  <c r="D171"/>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90"/>
  <c r="E190"/>
  <c r="D191"/>
  <c r="E191"/>
  <c r="D192"/>
  <c r="E192"/>
  <c r="D193"/>
  <c r="E193"/>
  <c r="D194"/>
  <c r="E194"/>
  <c r="D195"/>
  <c r="E195"/>
  <c r="D196"/>
  <c r="E196"/>
  <c r="D197"/>
  <c r="E197"/>
  <c r="D198"/>
  <c r="E198"/>
  <c r="D199"/>
  <c r="E199"/>
  <c r="D200"/>
  <c r="E200"/>
  <c r="D201"/>
  <c r="E201"/>
  <c r="D202"/>
  <c r="E202"/>
  <c r="D203"/>
  <c r="E203"/>
  <c r="D204"/>
  <c r="E204"/>
  <c r="D205"/>
  <c r="E205"/>
  <c r="D206"/>
  <c r="E206"/>
  <c r="D207"/>
  <c r="E207"/>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D732" i="45"/>
  <c r="D731"/>
  <c r="D730"/>
  <c r="D729"/>
  <c r="D728"/>
  <c r="D727"/>
  <c r="D726"/>
  <c r="D725"/>
  <c r="D724"/>
  <c r="D723"/>
  <c r="D722"/>
  <c r="D721"/>
  <c r="D720"/>
  <c r="D719"/>
  <c r="D718"/>
  <c r="D717"/>
  <c r="D716"/>
  <c r="D715"/>
  <c r="D714"/>
  <c r="D713"/>
  <c r="D712"/>
  <c r="D711"/>
  <c r="D710"/>
  <c r="D709"/>
  <c r="D708"/>
  <c r="D707"/>
  <c r="D706"/>
  <c r="D705"/>
  <c r="D704"/>
  <c r="D703"/>
  <c r="D702"/>
  <c r="D701"/>
  <c r="D700"/>
  <c r="D699"/>
  <c r="D698"/>
  <c r="D697"/>
  <c r="D696"/>
  <c r="D695"/>
  <c r="D694"/>
  <c r="D693"/>
  <c r="D692"/>
  <c r="D691"/>
  <c r="D690"/>
  <c r="D689"/>
  <c r="D688"/>
  <c r="D687"/>
  <c r="D686"/>
  <c r="D685"/>
  <c r="D684"/>
  <c r="D683"/>
  <c r="D682"/>
  <c r="D681"/>
  <c r="D680"/>
  <c r="D679"/>
  <c r="D678"/>
  <c r="D677"/>
  <c r="D676"/>
  <c r="D675"/>
  <c r="D674"/>
  <c r="D673"/>
  <c r="D672"/>
  <c r="D671"/>
  <c r="D670"/>
  <c r="D669"/>
  <c r="D668"/>
  <c r="D667"/>
  <c r="D666"/>
  <c r="D665"/>
  <c r="D664"/>
  <c r="D663"/>
  <c r="D662"/>
  <c r="D661"/>
  <c r="D660"/>
  <c r="D659"/>
  <c r="D658"/>
  <c r="D657"/>
  <c r="D656"/>
  <c r="D655"/>
  <c r="D654"/>
  <c r="D653"/>
  <c r="D652"/>
  <c r="D651"/>
  <c r="D650"/>
  <c r="D649"/>
  <c r="D648"/>
  <c r="D647"/>
  <c r="D646"/>
  <c r="D645"/>
  <c r="D644"/>
  <c r="D643"/>
  <c r="D642"/>
  <c r="D641"/>
  <c r="D640"/>
  <c r="D639"/>
  <c r="D638"/>
  <c r="D637"/>
  <c r="D636"/>
  <c r="D635"/>
  <c r="D634"/>
  <c r="D633"/>
  <c r="D632"/>
  <c r="D631"/>
  <c r="D630"/>
  <c r="D629"/>
  <c r="D628"/>
  <c r="D627"/>
  <c r="D626"/>
  <c r="D625"/>
  <c r="D624"/>
  <c r="D623"/>
  <c r="D622"/>
  <c r="D621"/>
  <c r="D620"/>
  <c r="D619"/>
  <c r="D618"/>
  <c r="D617"/>
  <c r="D616"/>
  <c r="D615"/>
  <c r="D614"/>
  <c r="D613"/>
  <c r="D612"/>
  <c r="D611"/>
  <c r="D610"/>
  <c r="D609"/>
  <c r="D608"/>
  <c r="D607"/>
  <c r="D606"/>
  <c r="D605"/>
  <c r="D604"/>
  <c r="D603"/>
  <c r="D602"/>
  <c r="D601"/>
  <c r="D600"/>
  <c r="D599"/>
  <c r="D598"/>
  <c r="D597"/>
  <c r="D596"/>
  <c r="D595"/>
  <c r="D594"/>
  <c r="D593"/>
  <c r="D592"/>
  <c r="D591"/>
  <c r="D590"/>
  <c r="D589"/>
  <c r="D588"/>
  <c r="D587"/>
  <c r="D586"/>
  <c r="D585"/>
  <c r="D584"/>
  <c r="D583"/>
  <c r="D582"/>
  <c r="D581"/>
  <c r="D580"/>
  <c r="D579"/>
  <c r="D578"/>
  <c r="D577"/>
  <c r="D576"/>
  <c r="D575"/>
  <c r="D574"/>
  <c r="D573"/>
  <c r="D572"/>
  <c r="D571"/>
  <c r="D570"/>
  <c r="D569"/>
  <c r="D568"/>
  <c r="D567"/>
  <c r="D566"/>
  <c r="D565"/>
  <c r="D564"/>
  <c r="D563"/>
  <c r="D562"/>
  <c r="D561"/>
  <c r="D560"/>
  <c r="D559"/>
  <c r="D558"/>
  <c r="D557"/>
  <c r="D556"/>
  <c r="D555"/>
  <c r="D554"/>
  <c r="D553"/>
  <c r="D552"/>
  <c r="D551"/>
  <c r="D550"/>
  <c r="D549"/>
  <c r="D548"/>
  <c r="D547"/>
  <c r="D546"/>
  <c r="D545"/>
  <c r="D544"/>
  <c r="D543"/>
  <c r="D542"/>
  <c r="D541"/>
  <c r="D540"/>
  <c r="D539"/>
  <c r="D538"/>
  <c r="D537"/>
  <c r="D536"/>
  <c r="D535"/>
  <c r="D534"/>
  <c r="D533"/>
  <c r="D532"/>
  <c r="D531"/>
  <c r="D530"/>
  <c r="D529"/>
  <c r="D528"/>
  <c r="D527"/>
  <c r="D526"/>
  <c r="D525"/>
  <c r="D524"/>
  <c r="D523"/>
  <c r="D522"/>
  <c r="D521"/>
  <c r="D520"/>
  <c r="D519"/>
  <c r="D518"/>
  <c r="D517"/>
  <c r="D516"/>
  <c r="D515"/>
  <c r="D514"/>
  <c r="D513"/>
  <c r="D512"/>
  <c r="D511"/>
  <c r="D510"/>
  <c r="D509"/>
  <c r="D508"/>
  <c r="D507"/>
  <c r="D506"/>
  <c r="D505"/>
  <c r="D504"/>
  <c r="D503"/>
  <c r="D502"/>
  <c r="D501"/>
  <c r="D500"/>
  <c r="D499"/>
  <c r="D498"/>
  <c r="D497"/>
  <c r="D496"/>
  <c r="D495"/>
  <c r="D494"/>
  <c r="D493"/>
  <c r="D492"/>
  <c r="D491"/>
  <c r="D490"/>
  <c r="D489"/>
  <c r="D488"/>
  <c r="D487"/>
  <c r="D486"/>
  <c r="D485"/>
  <c r="D484"/>
  <c r="D483"/>
  <c r="D482"/>
  <c r="D481"/>
  <c r="D480"/>
  <c r="D479"/>
  <c r="D478"/>
  <c r="D477"/>
  <c r="D476"/>
  <c r="D475"/>
  <c r="D474"/>
  <c r="D473"/>
  <c r="D472"/>
  <c r="D471"/>
  <c r="D470"/>
  <c r="D469"/>
  <c r="D468"/>
  <c r="D467"/>
  <c r="D466"/>
  <c r="D465"/>
  <c r="D464"/>
  <c r="D463"/>
  <c r="D462"/>
  <c r="D461"/>
  <c r="D460"/>
  <c r="D459"/>
  <c r="D458"/>
  <c r="D457"/>
  <c r="D456"/>
  <c r="D455"/>
  <c r="D454"/>
  <c r="D453"/>
  <c r="D452"/>
  <c r="D451"/>
  <c r="D450"/>
  <c r="D449"/>
  <c r="D448"/>
  <c r="D447"/>
  <c r="D446"/>
  <c r="D445"/>
  <c r="D444"/>
  <c r="D443"/>
  <c r="D442"/>
  <c r="D441"/>
  <c r="D440"/>
  <c r="D439"/>
  <c r="D438"/>
  <c r="D437"/>
  <c r="D436"/>
  <c r="D435"/>
  <c r="D434"/>
  <c r="D433"/>
  <c r="D432"/>
  <c r="D431"/>
  <c r="D430"/>
  <c r="D429"/>
  <c r="D428"/>
  <c r="D427"/>
  <c r="D426"/>
  <c r="D425"/>
  <c r="D424"/>
  <c r="D423"/>
  <c r="D422"/>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D375"/>
  <c r="D374"/>
  <c r="D373"/>
  <c r="D372"/>
  <c r="D371"/>
  <c r="D370"/>
  <c r="D369"/>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H10"/>
  <c r="H9"/>
  <c r="H8"/>
  <c r="H7"/>
  <c r="H6"/>
  <c r="H5"/>
  <c r="K208" i="43"/>
  <c r="H208"/>
  <c r="K108"/>
  <c r="H108"/>
  <c r="E8"/>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D8"/>
  <c r="H8"/>
  <c r="H9"/>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C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D9"/>
  <c r="E9"/>
  <c r="D10"/>
  <c r="E10"/>
  <c r="D11"/>
  <c r="E11"/>
  <c r="D12"/>
  <c r="E12"/>
  <c r="D13"/>
  <c r="E13"/>
  <c r="D14"/>
  <c r="E14"/>
  <c r="D15"/>
  <c r="E15"/>
  <c r="D16"/>
  <c r="E16"/>
  <c r="D17"/>
  <c r="E17"/>
  <c r="D18"/>
  <c r="E18"/>
  <c r="D19"/>
  <c r="E19"/>
  <c r="D20"/>
  <c r="E20"/>
  <c r="D21"/>
  <c r="E21"/>
  <c r="D22"/>
  <c r="E22"/>
  <c r="D23"/>
  <c r="E23"/>
  <c r="D24"/>
  <c r="E24"/>
  <c r="D25"/>
  <c r="E25"/>
  <c r="D26"/>
  <c r="E26"/>
  <c r="D27"/>
  <c r="E27"/>
  <c r="D28"/>
  <c r="E28"/>
  <c r="D29"/>
  <c r="E29"/>
  <c r="D30"/>
  <c r="E30"/>
  <c r="D31"/>
  <c r="E31"/>
  <c r="D32"/>
  <c r="E32"/>
  <c r="D33"/>
  <c r="E33"/>
  <c r="D34"/>
  <c r="E34"/>
  <c r="D35"/>
  <c r="E35"/>
  <c r="D36"/>
  <c r="E36"/>
  <c r="D37"/>
  <c r="E37"/>
  <c r="D38"/>
  <c r="E38"/>
  <c r="D39"/>
  <c r="E39"/>
  <c r="D40"/>
  <c r="E40"/>
  <c r="D41"/>
  <c r="E41"/>
  <c r="D42"/>
  <c r="E42"/>
  <c r="D43"/>
  <c r="E43"/>
  <c r="D44"/>
  <c r="E44"/>
  <c r="D45"/>
  <c r="E45"/>
  <c r="D46"/>
  <c r="E46"/>
  <c r="D47"/>
  <c r="E47"/>
  <c r="D48"/>
  <c r="E4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83"/>
  <c r="E83"/>
  <c r="D84"/>
  <c r="E84"/>
  <c r="D85"/>
  <c r="E85"/>
  <c r="D86"/>
  <c r="E86"/>
  <c r="D87"/>
  <c r="E87"/>
  <c r="D88"/>
  <c r="E88"/>
  <c r="D89"/>
  <c r="E89"/>
  <c r="D90"/>
  <c r="E90"/>
  <c r="D91"/>
  <c r="E91"/>
  <c r="D92"/>
  <c r="E92"/>
  <c r="D93"/>
  <c r="E93"/>
  <c r="D94"/>
  <c r="E94"/>
  <c r="D95"/>
  <c r="E95"/>
  <c r="D96"/>
  <c r="E96"/>
  <c r="D97"/>
  <c r="E97"/>
  <c r="D98"/>
  <c r="E98"/>
  <c r="D99"/>
  <c r="E99"/>
  <c r="D100"/>
  <c r="E100"/>
  <c r="D101"/>
  <c r="E101"/>
  <c r="D102"/>
  <c r="E102"/>
  <c r="D103"/>
  <c r="E103"/>
  <c r="D104"/>
  <c r="E104"/>
  <c r="D105"/>
  <c r="E105"/>
  <c r="D106"/>
  <c r="E106"/>
  <c r="D107"/>
  <c r="E107"/>
  <c r="D159"/>
  <c r="E159"/>
  <c r="D160"/>
  <c r="E160"/>
  <c r="D161"/>
  <c r="E161"/>
  <c r="D162"/>
  <c r="E162"/>
  <c r="D163"/>
  <c r="E163"/>
  <c r="D164"/>
  <c r="E164"/>
  <c r="D165"/>
  <c r="E165"/>
  <c r="D166"/>
  <c r="E166"/>
  <c r="D167"/>
  <c r="E167"/>
  <c r="D168"/>
  <c r="E168"/>
  <c r="D169"/>
  <c r="E169"/>
  <c r="D170"/>
  <c r="E170"/>
  <c r="D171"/>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90"/>
  <c r="E190"/>
  <c r="D191"/>
  <c r="E191"/>
  <c r="D192"/>
  <c r="E192"/>
  <c r="D193"/>
  <c r="E193"/>
  <c r="D194"/>
  <c r="E194"/>
  <c r="D195"/>
  <c r="E195"/>
  <c r="D196"/>
  <c r="E196"/>
  <c r="D197"/>
  <c r="E197"/>
  <c r="D198"/>
  <c r="E198"/>
  <c r="D199"/>
  <c r="E199"/>
  <c r="D200"/>
  <c r="E200"/>
  <c r="D201"/>
  <c r="E201"/>
  <c r="D202"/>
  <c r="E202"/>
  <c r="D203"/>
  <c r="E203"/>
  <c r="D204"/>
  <c r="E204"/>
  <c r="D205"/>
  <c r="E205"/>
  <c r="D206"/>
  <c r="E206"/>
  <c r="D207"/>
  <c r="E207"/>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E13" i="40"/>
  <c r="E12"/>
  <c r="E11"/>
  <c r="E10"/>
  <c r="E7"/>
  <c r="E6"/>
  <c r="E5"/>
  <c r="E4"/>
  <c r="L867" i="42"/>
  <c r="L747"/>
  <c r="L727"/>
  <c r="L697"/>
  <c r="L691"/>
  <c r="L689"/>
  <c r="H688"/>
  <c r="L688"/>
  <c r="L653"/>
  <c r="L651"/>
  <c r="H650"/>
  <c r="L650"/>
  <c r="L649"/>
  <c r="H648"/>
  <c r="L648"/>
  <c r="L637"/>
  <c r="H636"/>
  <c r="L636"/>
  <c r="L635"/>
  <c r="H634"/>
  <c r="L634"/>
  <c r="H632"/>
  <c r="L632"/>
  <c r="L631"/>
  <c r="H630"/>
  <c r="L630"/>
  <c r="L629"/>
  <c r="H628"/>
  <c r="L628"/>
  <c r="L627"/>
  <c r="L623"/>
  <c r="H622"/>
  <c r="L622"/>
  <c r="L621"/>
  <c r="H620"/>
  <c r="L620"/>
  <c r="L619"/>
  <c r="H618"/>
  <c r="L618"/>
  <c r="L617"/>
  <c r="H616"/>
  <c r="L616"/>
  <c r="L615"/>
  <c r="H614"/>
  <c r="L614"/>
  <c r="L613"/>
  <c r="H612"/>
  <c r="L612"/>
  <c r="L611"/>
  <c r="H610"/>
  <c r="L610"/>
  <c r="L609"/>
  <c r="H608"/>
  <c r="L608"/>
  <c r="L607"/>
  <c r="H592"/>
  <c r="L592"/>
  <c r="H588"/>
  <c r="L588"/>
  <c r="L573"/>
  <c r="L571"/>
  <c r="L557"/>
  <c r="H556"/>
  <c r="L556"/>
  <c r="L555"/>
  <c r="H554"/>
  <c r="L554"/>
  <c r="H552"/>
  <c r="L552"/>
  <c r="H548"/>
  <c r="L548"/>
  <c r="L547"/>
  <c r="L546"/>
  <c r="L545"/>
  <c r="H544"/>
  <c r="L544"/>
  <c r="L543"/>
  <c r="H542"/>
  <c r="L542"/>
  <c r="L541"/>
  <c r="H540"/>
  <c r="L540"/>
  <c r="H538"/>
  <c r="L538"/>
  <c r="L537"/>
  <c r="L533"/>
  <c r="H532"/>
  <c r="L532"/>
  <c r="L531"/>
  <c r="L526"/>
  <c r="H524"/>
  <c r="L524"/>
  <c r="L523"/>
  <c r="H522"/>
  <c r="L522"/>
  <c r="L521"/>
  <c r="H516"/>
  <c r="L516"/>
  <c r="H512"/>
  <c r="L512"/>
  <c r="H510"/>
  <c r="L510"/>
  <c r="L509"/>
  <c r="L491"/>
  <c r="H490"/>
  <c r="L490"/>
  <c r="L489"/>
  <c r="H488"/>
  <c r="L488"/>
  <c r="L487"/>
  <c r="H476"/>
  <c r="L476"/>
  <c r="L475"/>
  <c r="H474"/>
  <c r="L474"/>
  <c r="H472"/>
  <c r="L472"/>
  <c r="L471"/>
  <c r="H470"/>
  <c r="L470"/>
  <c r="L469"/>
  <c r="L468"/>
  <c r="L467"/>
  <c r="H457"/>
  <c r="H459"/>
  <c r="L457"/>
  <c r="H456"/>
  <c r="L456"/>
  <c r="H454"/>
  <c r="L454"/>
  <c r="L453"/>
  <c r="L449"/>
  <c r="H448"/>
  <c r="L448"/>
  <c r="L447"/>
  <c r="L435"/>
  <c r="L430"/>
  <c r="L429"/>
  <c r="H428"/>
  <c r="L428"/>
  <c r="L427"/>
  <c r="H408"/>
  <c r="L408"/>
  <c r="L397"/>
  <c r="H396"/>
  <c r="L396"/>
  <c r="H392"/>
  <c r="L392"/>
  <c r="L391"/>
  <c r="H390"/>
  <c r="L390"/>
  <c r="H388"/>
  <c r="L388"/>
  <c r="L379"/>
  <c r="H378"/>
  <c r="L378"/>
  <c r="L377"/>
  <c r="H376"/>
  <c r="L376"/>
  <c r="L375"/>
  <c r="H374"/>
  <c r="L374"/>
  <c r="L373"/>
  <c r="H372"/>
  <c r="L372"/>
  <c r="L371"/>
  <c r="H370"/>
  <c r="L370"/>
  <c r="L369"/>
  <c r="H368"/>
  <c r="L368"/>
  <c r="L367"/>
  <c r="H349"/>
  <c r="H351"/>
  <c r="H353"/>
  <c r="L351"/>
  <c r="H350"/>
  <c r="L350"/>
  <c r="L349"/>
  <c r="H348"/>
  <c r="L348"/>
  <c r="L347"/>
  <c r="L333"/>
  <c r="L331"/>
  <c r="H330"/>
  <c r="L330"/>
  <c r="L313"/>
  <c r="H312"/>
  <c r="L312"/>
  <c r="H308"/>
  <c r="L308"/>
  <c r="H304"/>
  <c r="L304"/>
  <c r="L303"/>
  <c r="H302"/>
  <c r="L302"/>
  <c r="L301"/>
  <c r="H300"/>
  <c r="L300"/>
  <c r="L299"/>
  <c r="H298"/>
  <c r="L298"/>
  <c r="L297"/>
  <c r="H296"/>
  <c r="L296"/>
  <c r="H294"/>
  <c r="L294"/>
  <c r="L293"/>
  <c r="L289"/>
  <c r="H288"/>
  <c r="L288"/>
  <c r="L287"/>
  <c r="L285"/>
  <c r="H284"/>
  <c r="L284"/>
  <c r="L283"/>
  <c r="H282"/>
  <c r="L282"/>
  <c r="L281"/>
  <c r="H280"/>
  <c r="L280"/>
  <c r="L279"/>
  <c r="H278"/>
  <c r="L278"/>
  <c r="L277"/>
  <c r="H276"/>
  <c r="L276"/>
  <c r="L275"/>
  <c r="H274"/>
  <c r="L274"/>
  <c r="L273"/>
  <c r="H272"/>
  <c r="L272"/>
  <c r="L271"/>
  <c r="H270"/>
  <c r="L270"/>
  <c r="L269"/>
  <c r="H268"/>
  <c r="L268"/>
  <c r="H249"/>
  <c r="H251"/>
  <c r="L249"/>
  <c r="H248"/>
  <c r="L248"/>
  <c r="L247"/>
  <c r="H231"/>
  <c r="H233"/>
  <c r="L231"/>
  <c r="H230"/>
  <c r="L230"/>
  <c r="H228"/>
  <c r="L228"/>
  <c r="L227"/>
  <c r="L211"/>
  <c r="L209"/>
  <c r="H208"/>
  <c r="L208"/>
  <c r="L207"/>
  <c r="H193"/>
  <c r="H195"/>
  <c r="L193"/>
  <c r="H192"/>
  <c r="L192"/>
  <c r="H190"/>
  <c r="L190"/>
  <c r="L189"/>
  <c r="H188"/>
  <c r="L188"/>
  <c r="L187"/>
  <c r="H169"/>
  <c r="H171"/>
  <c r="L169"/>
  <c r="H168"/>
  <c r="L168"/>
  <c r="L167"/>
  <c r="L153"/>
  <c r="H152"/>
  <c r="L152"/>
  <c r="L151"/>
  <c r="H150"/>
  <c r="L150"/>
  <c r="L149"/>
  <c r="H148"/>
  <c r="L148"/>
  <c r="L147"/>
  <c r="H129"/>
  <c r="H131"/>
  <c r="L129"/>
  <c r="H128"/>
  <c r="L128"/>
  <c r="L127"/>
  <c r="H109"/>
  <c r="H111"/>
  <c r="L109"/>
  <c r="H108"/>
  <c r="L108"/>
  <c r="L107"/>
  <c r="H87"/>
  <c r="H89"/>
  <c r="H91"/>
  <c r="L89"/>
  <c r="H88"/>
  <c r="L88"/>
  <c r="L87"/>
  <c r="H67"/>
  <c r="H69"/>
  <c r="H71"/>
  <c r="L69"/>
  <c r="H68"/>
  <c r="L68"/>
  <c r="L67"/>
  <c r="H47"/>
  <c r="H49"/>
  <c r="H51"/>
  <c r="L49"/>
  <c r="H48"/>
  <c r="L48"/>
  <c r="L47"/>
  <c r="H27"/>
  <c r="H29"/>
  <c r="H31"/>
  <c r="L29"/>
  <c r="H28"/>
  <c r="L28"/>
  <c r="L27"/>
  <c r="H7"/>
  <c r="H9"/>
  <c r="H11"/>
  <c r="L9"/>
  <c r="H8"/>
  <c r="L8"/>
  <c r="G696"/>
  <c r="F696"/>
  <c r="E696"/>
  <c r="G694"/>
  <c r="F694"/>
  <c r="E694"/>
  <c r="G692"/>
  <c r="F692"/>
  <c r="E692"/>
  <c r="G688"/>
  <c r="F688"/>
  <c r="E688"/>
  <c r="G668"/>
  <c r="F668"/>
  <c r="E668"/>
  <c r="G654"/>
  <c r="F654"/>
  <c r="E654"/>
  <c r="G650"/>
  <c r="F650"/>
  <c r="E650"/>
  <c r="G648"/>
  <c r="F648"/>
  <c r="E648"/>
  <c r="G636"/>
  <c r="F636"/>
  <c r="E636"/>
  <c r="G634"/>
  <c r="F634"/>
  <c r="E634"/>
  <c r="G632"/>
  <c r="F632"/>
  <c r="E632"/>
  <c r="G630"/>
  <c r="F630"/>
  <c r="E630"/>
  <c r="G628"/>
  <c r="F628"/>
  <c r="E628"/>
  <c r="G622"/>
  <c r="F622"/>
  <c r="E622"/>
  <c r="G620"/>
  <c r="F620"/>
  <c r="E620"/>
  <c r="G618"/>
  <c r="F618"/>
  <c r="E618"/>
  <c r="G616"/>
  <c r="F616"/>
  <c r="E616"/>
  <c r="G614"/>
  <c r="F614"/>
  <c r="E614"/>
  <c r="D613"/>
  <c r="C613"/>
  <c r="I613"/>
  <c r="J613"/>
  <c r="G610"/>
  <c r="F610"/>
  <c r="E610"/>
  <c r="G608"/>
  <c r="F608"/>
  <c r="E608"/>
  <c r="G592"/>
  <c r="F592"/>
  <c r="E592"/>
  <c r="G590"/>
  <c r="F590"/>
  <c r="E590"/>
  <c r="G588"/>
  <c r="F588"/>
  <c r="E588"/>
  <c r="G572"/>
  <c r="F572"/>
  <c r="E572"/>
  <c r="G570"/>
  <c r="F570"/>
  <c r="E570"/>
  <c r="G568"/>
  <c r="F568"/>
  <c r="E568"/>
  <c r="G556"/>
  <c r="F556"/>
  <c r="E556"/>
  <c r="G554"/>
  <c r="F554"/>
  <c r="E554"/>
  <c r="G552"/>
  <c r="F552"/>
  <c r="E552"/>
  <c r="G550"/>
  <c r="F550"/>
  <c r="E550"/>
  <c r="G548"/>
  <c r="F548"/>
  <c r="E548"/>
  <c r="J546"/>
  <c r="I546"/>
  <c r="D546"/>
  <c r="C546"/>
  <c r="G544"/>
  <c r="F544"/>
  <c r="E544"/>
  <c r="G542"/>
  <c r="F542"/>
  <c r="E542"/>
  <c r="G540"/>
  <c r="F540"/>
  <c r="E540"/>
  <c r="G538"/>
  <c r="F538"/>
  <c r="E538"/>
  <c r="G536"/>
  <c r="F536"/>
  <c r="E536"/>
  <c r="G534"/>
  <c r="F534"/>
  <c r="E534"/>
  <c r="G532"/>
  <c r="F532"/>
  <c r="E532"/>
  <c r="G530"/>
  <c r="F530"/>
  <c r="E530"/>
  <c r="G528"/>
  <c r="F528"/>
  <c r="E528"/>
  <c r="J526"/>
  <c r="I526"/>
  <c r="D526"/>
  <c r="C526"/>
  <c r="G524"/>
  <c r="F524"/>
  <c r="E524"/>
  <c r="G522"/>
  <c r="F522"/>
  <c r="E522"/>
  <c r="G520"/>
  <c r="F520"/>
  <c r="E520"/>
  <c r="G518"/>
  <c r="F518"/>
  <c r="E518"/>
  <c r="G516"/>
  <c r="F516"/>
  <c r="E516"/>
  <c r="G514"/>
  <c r="F514"/>
  <c r="E514"/>
  <c r="G512"/>
  <c r="F512"/>
  <c r="E512"/>
  <c r="G510"/>
  <c r="F510"/>
  <c r="E510"/>
  <c r="G508"/>
  <c r="F508"/>
  <c r="E508"/>
  <c r="G490"/>
  <c r="F490"/>
  <c r="E490"/>
  <c r="G488"/>
  <c r="F488"/>
  <c r="E488"/>
  <c r="G476"/>
  <c r="F476"/>
  <c r="E476"/>
  <c r="G474"/>
  <c r="F474"/>
  <c r="E474"/>
  <c r="G472"/>
  <c r="F472"/>
  <c r="E472"/>
  <c r="G470"/>
  <c r="F470"/>
  <c r="E470"/>
  <c r="J468"/>
  <c r="I468"/>
  <c r="D468"/>
  <c r="C468"/>
  <c r="G456"/>
  <c r="F456"/>
  <c r="E456"/>
  <c r="G454"/>
  <c r="F454"/>
  <c r="E454"/>
  <c r="G452"/>
  <c r="F452"/>
  <c r="E452"/>
  <c r="G450"/>
  <c r="F450"/>
  <c r="E450"/>
  <c r="G448"/>
  <c r="F448"/>
  <c r="E448"/>
  <c r="G434"/>
  <c r="F434"/>
  <c r="E434"/>
  <c r="G432"/>
  <c r="F432"/>
  <c r="E432"/>
  <c r="J430"/>
  <c r="I430"/>
  <c r="D430"/>
  <c r="C430"/>
  <c r="G428"/>
  <c r="F428"/>
  <c r="E428"/>
  <c r="G408"/>
  <c r="F408"/>
  <c r="E408"/>
  <c r="G396"/>
  <c r="F396"/>
  <c r="E396"/>
  <c r="G394"/>
  <c r="F394"/>
  <c r="E394"/>
  <c r="G392"/>
  <c r="F392"/>
  <c r="E392"/>
  <c r="G390"/>
  <c r="F390"/>
  <c r="E390"/>
  <c r="G388"/>
  <c r="F388"/>
  <c r="E388"/>
  <c r="G378"/>
  <c r="F378"/>
  <c r="E378"/>
  <c r="G376"/>
  <c r="F376"/>
  <c r="E376"/>
  <c r="G374"/>
  <c r="F374"/>
  <c r="E374"/>
  <c r="G372"/>
  <c r="F372"/>
  <c r="E372"/>
  <c r="G370"/>
  <c r="F370"/>
  <c r="E370"/>
  <c r="G368"/>
  <c r="F368"/>
  <c r="E368"/>
  <c r="G350"/>
  <c r="F350"/>
  <c r="E350"/>
  <c r="G348"/>
  <c r="F348"/>
  <c r="E348"/>
  <c r="G330"/>
  <c r="F330"/>
  <c r="E330"/>
  <c r="G328"/>
  <c r="F328"/>
  <c r="E328"/>
  <c r="G312"/>
  <c r="F312"/>
  <c r="E312"/>
  <c r="G310"/>
  <c r="F310"/>
  <c r="E310"/>
  <c r="G308"/>
  <c r="F308"/>
  <c r="E308"/>
  <c r="G306"/>
  <c r="F306"/>
  <c r="E306"/>
  <c r="G304"/>
  <c r="F304"/>
  <c r="E304"/>
  <c r="G302"/>
  <c r="F302"/>
  <c r="E302"/>
  <c r="G300"/>
  <c r="F300"/>
  <c r="E300"/>
  <c r="G298"/>
  <c r="F298"/>
  <c r="E298"/>
  <c r="G296"/>
  <c r="F296"/>
  <c r="E296"/>
  <c r="G294"/>
  <c r="F294"/>
  <c r="E294"/>
  <c r="G292"/>
  <c r="F292"/>
  <c r="E292"/>
  <c r="G290"/>
  <c r="F290"/>
  <c r="E290"/>
  <c r="G288"/>
  <c r="F288"/>
  <c r="E288"/>
  <c r="G286"/>
  <c r="F286"/>
  <c r="E286"/>
  <c r="G284"/>
  <c r="F284"/>
  <c r="E284"/>
  <c r="G282"/>
  <c r="F282"/>
  <c r="E282"/>
  <c r="G280"/>
  <c r="F280"/>
  <c r="E280"/>
  <c r="G278"/>
  <c r="F278"/>
  <c r="E278"/>
  <c r="G276"/>
  <c r="F276"/>
  <c r="E276"/>
  <c r="G274"/>
  <c r="F274"/>
  <c r="E274"/>
  <c r="G272"/>
  <c r="F272"/>
  <c r="E272"/>
  <c r="G270"/>
  <c r="F270"/>
  <c r="E270"/>
  <c r="G268"/>
  <c r="F268"/>
  <c r="E268"/>
  <c r="G248"/>
  <c r="F248"/>
  <c r="E248"/>
  <c r="G230"/>
  <c r="F230"/>
  <c r="E230"/>
  <c r="G228"/>
  <c r="F228"/>
  <c r="E228"/>
  <c r="G210"/>
  <c r="F210"/>
  <c r="E210"/>
  <c r="G208"/>
  <c r="F208"/>
  <c r="E208"/>
  <c r="G192"/>
  <c r="F192"/>
  <c r="E192"/>
  <c r="G190"/>
  <c r="F190"/>
  <c r="E190"/>
  <c r="G188"/>
  <c r="F188"/>
  <c r="E188"/>
  <c r="G168"/>
  <c r="F168"/>
  <c r="E168"/>
  <c r="G152"/>
  <c r="F152"/>
  <c r="E152"/>
  <c r="G150"/>
  <c r="F150"/>
  <c r="E150"/>
  <c r="G148"/>
  <c r="F148"/>
  <c r="E148"/>
  <c r="G128"/>
  <c r="F128"/>
  <c r="E128"/>
  <c r="G108"/>
  <c r="F108"/>
  <c r="E108"/>
  <c r="G88"/>
  <c r="F88"/>
  <c r="E88"/>
  <c r="G68"/>
  <c r="F68"/>
  <c r="E68"/>
  <c r="G48"/>
  <c r="F48"/>
  <c r="E48"/>
  <c r="G28"/>
  <c r="F28"/>
  <c r="E28"/>
  <c r="G8"/>
  <c r="F8"/>
  <c r="E8"/>
  <c r="G6"/>
  <c r="F6"/>
  <c r="E6"/>
  <c r="G5"/>
  <c r="F5"/>
  <c r="E5"/>
  <c r="G7"/>
  <c r="F7"/>
  <c r="E7"/>
  <c r="D7"/>
  <c r="C7"/>
  <c r="G867"/>
  <c r="F867"/>
  <c r="E867"/>
  <c r="G807"/>
  <c r="F807"/>
  <c r="E807"/>
  <c r="G747"/>
  <c r="F747"/>
  <c r="E747"/>
  <c r="G727"/>
  <c r="F727"/>
  <c r="E727"/>
  <c r="G707"/>
  <c r="F707"/>
  <c r="E707"/>
  <c r="G695"/>
  <c r="F695"/>
  <c r="E695"/>
  <c r="G693"/>
  <c r="F693"/>
  <c r="E693"/>
  <c r="G691"/>
  <c r="F691"/>
  <c r="E691"/>
  <c r="G689"/>
  <c r="F689"/>
  <c r="E689"/>
  <c r="G687"/>
  <c r="F687"/>
  <c r="E687"/>
  <c r="G671"/>
  <c r="F671"/>
  <c r="E671"/>
  <c r="G669"/>
  <c r="F669"/>
  <c r="E669"/>
  <c r="J667"/>
  <c r="I667"/>
  <c r="G657"/>
  <c r="F657"/>
  <c r="E657"/>
  <c r="G655"/>
  <c r="F655"/>
  <c r="E655"/>
  <c r="G653"/>
  <c r="F653"/>
  <c r="E653"/>
  <c r="G651"/>
  <c r="F651"/>
  <c r="E651"/>
  <c r="G649"/>
  <c r="F649"/>
  <c r="E649"/>
  <c r="J647"/>
  <c r="I647"/>
  <c r="G639"/>
  <c r="F639"/>
  <c r="E639"/>
  <c r="G637"/>
  <c r="F637"/>
  <c r="E637"/>
  <c r="G635"/>
  <c r="F635"/>
  <c r="E635"/>
  <c r="G633"/>
  <c r="F633"/>
  <c r="E633"/>
  <c r="G631"/>
  <c r="F631"/>
  <c r="E631"/>
  <c r="G629"/>
  <c r="F629"/>
  <c r="E629"/>
  <c r="J627"/>
  <c r="I627"/>
  <c r="G611"/>
  <c r="F611"/>
  <c r="E611"/>
  <c r="G609"/>
  <c r="F609"/>
  <c r="E609"/>
  <c r="G607"/>
  <c r="F607"/>
  <c r="E607"/>
  <c r="G593"/>
  <c r="F593"/>
  <c r="E593"/>
  <c r="G591"/>
  <c r="F591"/>
  <c r="E591"/>
  <c r="G589"/>
  <c r="F589"/>
  <c r="E589"/>
  <c r="G587"/>
  <c r="F587"/>
  <c r="E587"/>
  <c r="G573"/>
  <c r="F573"/>
  <c r="E573"/>
  <c r="G571"/>
  <c r="F571"/>
  <c r="E571"/>
  <c r="G569"/>
  <c r="F569"/>
  <c r="E569"/>
  <c r="G567"/>
  <c r="F567"/>
  <c r="E567"/>
  <c r="G557"/>
  <c r="F557"/>
  <c r="E557"/>
  <c r="G555"/>
  <c r="F555"/>
  <c r="E555"/>
  <c r="G553"/>
  <c r="F553"/>
  <c r="E553"/>
  <c r="G551"/>
  <c r="F551"/>
  <c r="E551"/>
  <c r="G549"/>
  <c r="F549"/>
  <c r="E549"/>
  <c r="G547"/>
  <c r="F547"/>
  <c r="E547"/>
  <c r="G545"/>
  <c r="F545"/>
  <c r="E545"/>
  <c r="G543"/>
  <c r="F543"/>
  <c r="E543"/>
  <c r="G541"/>
  <c r="F541"/>
  <c r="E541"/>
  <c r="G539"/>
  <c r="F539"/>
  <c r="E539"/>
  <c r="G537"/>
  <c r="F537"/>
  <c r="E537"/>
  <c r="G535"/>
  <c r="F535"/>
  <c r="E535"/>
  <c r="G533"/>
  <c r="F533"/>
  <c r="E533"/>
  <c r="G531"/>
  <c r="F531"/>
  <c r="E531"/>
  <c r="G529"/>
  <c r="F529"/>
  <c r="E529"/>
  <c r="J527"/>
  <c r="I527"/>
  <c r="G525"/>
  <c r="F525"/>
  <c r="E525"/>
  <c r="G523"/>
  <c r="F523"/>
  <c r="E523"/>
  <c r="G521"/>
  <c r="F521"/>
  <c r="E521"/>
  <c r="G519"/>
  <c r="F519"/>
  <c r="E519"/>
  <c r="G517"/>
  <c r="F517"/>
  <c r="E517"/>
  <c r="G515"/>
  <c r="F515"/>
  <c r="E515"/>
  <c r="G513"/>
  <c r="F513"/>
  <c r="E513"/>
  <c r="G511"/>
  <c r="F511"/>
  <c r="E511"/>
  <c r="G509"/>
  <c r="F509"/>
  <c r="E509"/>
  <c r="J507"/>
  <c r="I507"/>
  <c r="G491"/>
  <c r="F491"/>
  <c r="E491"/>
  <c r="G489"/>
  <c r="F489"/>
  <c r="E489"/>
  <c r="G487"/>
  <c r="F487"/>
  <c r="E487"/>
  <c r="G477"/>
  <c r="F477"/>
  <c r="E477"/>
  <c r="G475"/>
  <c r="F475"/>
  <c r="E475"/>
  <c r="G473"/>
  <c r="F473"/>
  <c r="E473"/>
  <c r="G471"/>
  <c r="F471"/>
  <c r="E471"/>
  <c r="G469"/>
  <c r="F469"/>
  <c r="E469"/>
  <c r="G467"/>
  <c r="F467"/>
  <c r="E467"/>
  <c r="G459"/>
  <c r="F459"/>
  <c r="E459"/>
  <c r="G457"/>
  <c r="F457"/>
  <c r="E457"/>
  <c r="G455"/>
  <c r="F455"/>
  <c r="E455"/>
  <c r="G453"/>
  <c r="F453"/>
  <c r="E453"/>
  <c r="G451"/>
  <c r="F451"/>
  <c r="E451"/>
  <c r="J449"/>
  <c r="I449"/>
  <c r="G447"/>
  <c r="F447"/>
  <c r="E447"/>
  <c r="G435"/>
  <c r="F435"/>
  <c r="E435"/>
  <c r="G433"/>
  <c r="F433"/>
  <c r="E433"/>
  <c r="G431"/>
  <c r="F431"/>
  <c r="E431"/>
  <c r="G429"/>
  <c r="F429"/>
  <c r="E429"/>
  <c r="G427"/>
  <c r="F427"/>
  <c r="E427"/>
  <c r="G411"/>
  <c r="F411"/>
  <c r="E411"/>
  <c r="G409"/>
  <c r="F409"/>
  <c r="E409"/>
  <c r="G407"/>
  <c r="F407"/>
  <c r="E407"/>
  <c r="G397"/>
  <c r="F397"/>
  <c r="E397"/>
  <c r="G395"/>
  <c r="F395"/>
  <c r="E395"/>
  <c r="G393"/>
  <c r="F393"/>
  <c r="E393"/>
  <c r="G391"/>
  <c r="F391"/>
  <c r="E391"/>
  <c r="G389"/>
  <c r="F389"/>
  <c r="E389"/>
  <c r="J387"/>
  <c r="I387"/>
  <c r="G379"/>
  <c r="F379"/>
  <c r="E379"/>
  <c r="G377"/>
  <c r="F377"/>
  <c r="E377"/>
  <c r="G375"/>
  <c r="F375"/>
  <c r="E375"/>
  <c r="G373"/>
  <c r="F373"/>
  <c r="E373"/>
  <c r="G371"/>
  <c r="F371"/>
  <c r="E371"/>
  <c r="G369"/>
  <c r="F369"/>
  <c r="E369"/>
  <c r="G367"/>
  <c r="F367"/>
  <c r="E367"/>
  <c r="G353"/>
  <c r="F353"/>
  <c r="E353"/>
  <c r="G351"/>
  <c r="F351"/>
  <c r="E351"/>
  <c r="G349"/>
  <c r="F349"/>
  <c r="E349"/>
  <c r="G347"/>
  <c r="F347"/>
  <c r="E347"/>
  <c r="G333"/>
  <c r="F333"/>
  <c r="E333"/>
  <c r="G331"/>
  <c r="F331"/>
  <c r="E331"/>
  <c r="G329"/>
  <c r="F329"/>
  <c r="E329"/>
  <c r="G327"/>
  <c r="F327"/>
  <c r="E327"/>
  <c r="G313"/>
  <c r="F313"/>
  <c r="E313"/>
  <c r="G311"/>
  <c r="F311"/>
  <c r="E311"/>
  <c r="G309"/>
  <c r="F309"/>
  <c r="E309"/>
  <c r="G307"/>
  <c r="F307"/>
  <c r="E307"/>
  <c r="G305"/>
  <c r="F305"/>
  <c r="E305"/>
  <c r="G303"/>
  <c r="F303"/>
  <c r="E303"/>
  <c r="G301"/>
  <c r="F301"/>
  <c r="E301"/>
  <c r="G299"/>
  <c r="F299"/>
  <c r="E299"/>
  <c r="G297"/>
  <c r="F297"/>
  <c r="E297"/>
  <c r="G295"/>
  <c r="F295"/>
  <c r="E295"/>
  <c r="G293"/>
  <c r="F293"/>
  <c r="E293"/>
  <c r="G291"/>
  <c r="F291"/>
  <c r="E291"/>
  <c r="G289"/>
  <c r="F289"/>
  <c r="E289"/>
  <c r="G287"/>
  <c r="F287"/>
  <c r="E287"/>
  <c r="G285"/>
  <c r="F285"/>
  <c r="E285"/>
  <c r="G283"/>
  <c r="F283"/>
  <c r="E283"/>
  <c r="G281"/>
  <c r="F281"/>
  <c r="E281"/>
  <c r="G279"/>
  <c r="F279"/>
  <c r="E279"/>
  <c r="G277"/>
  <c r="F277"/>
  <c r="E277"/>
  <c r="G275"/>
  <c r="F275"/>
  <c r="E275"/>
  <c r="G273"/>
  <c r="F273"/>
  <c r="E273"/>
  <c r="G271"/>
  <c r="F271"/>
  <c r="E271"/>
  <c r="G269"/>
  <c r="F269"/>
  <c r="E269"/>
  <c r="G267"/>
  <c r="F267"/>
  <c r="E267"/>
  <c r="G251"/>
  <c r="F251"/>
  <c r="E251"/>
  <c r="G249"/>
  <c r="F249"/>
  <c r="E249"/>
  <c r="G247"/>
  <c r="F247"/>
  <c r="E247"/>
  <c r="G233"/>
  <c r="F233"/>
  <c r="E233"/>
  <c r="G231"/>
  <c r="F231"/>
  <c r="E231"/>
  <c r="G229"/>
  <c r="F229"/>
  <c r="E229"/>
  <c r="G227"/>
  <c r="F227"/>
  <c r="E227"/>
  <c r="G211"/>
  <c r="F211"/>
  <c r="E211"/>
  <c r="G209"/>
  <c r="F209"/>
  <c r="E209"/>
  <c r="G207"/>
  <c r="F207"/>
  <c r="E207"/>
  <c r="G195"/>
  <c r="F195"/>
  <c r="E195"/>
  <c r="G193"/>
  <c r="F193"/>
  <c r="E193"/>
  <c r="G191"/>
  <c r="F191"/>
  <c r="E191"/>
  <c r="G189"/>
  <c r="F189"/>
  <c r="E189"/>
  <c r="G187"/>
  <c r="F187"/>
  <c r="E187"/>
  <c r="G171"/>
  <c r="F171"/>
  <c r="E171"/>
  <c r="G169"/>
  <c r="F169"/>
  <c r="E169"/>
  <c r="G167"/>
  <c r="F167"/>
  <c r="E167"/>
  <c r="G153"/>
  <c r="F153"/>
  <c r="E153"/>
  <c r="G151"/>
  <c r="F151"/>
  <c r="E151"/>
  <c r="G149"/>
  <c r="F149"/>
  <c r="E149"/>
  <c r="G147"/>
  <c r="F147"/>
  <c r="E147"/>
  <c r="G131"/>
  <c r="F131"/>
  <c r="E131"/>
  <c r="G129"/>
  <c r="F129"/>
  <c r="E129"/>
  <c r="G127"/>
  <c r="F127"/>
  <c r="E127"/>
  <c r="G111"/>
  <c r="F111"/>
  <c r="E111"/>
  <c r="G109"/>
  <c r="F109"/>
  <c r="E109"/>
  <c r="G107"/>
  <c r="F107"/>
  <c r="E107"/>
  <c r="G91"/>
  <c r="F91"/>
  <c r="E91"/>
  <c r="G89"/>
  <c r="F89"/>
  <c r="E89"/>
  <c r="G87"/>
  <c r="F87"/>
  <c r="E87"/>
  <c r="G71"/>
  <c r="F71"/>
  <c r="E71"/>
  <c r="G69"/>
  <c r="F69"/>
  <c r="E69"/>
  <c r="G67"/>
  <c r="F67"/>
  <c r="E67"/>
  <c r="G51"/>
  <c r="F51"/>
  <c r="E51"/>
  <c r="G49"/>
  <c r="F49"/>
  <c r="E49"/>
  <c r="G47"/>
  <c r="F47"/>
  <c r="E47"/>
  <c r="G31"/>
  <c r="F31"/>
  <c r="E31"/>
  <c r="G29"/>
  <c r="F29"/>
  <c r="E29"/>
  <c r="G27"/>
  <c r="F27"/>
  <c r="E27"/>
  <c r="D667"/>
  <c r="C667"/>
  <c r="D647"/>
  <c r="C647"/>
  <c r="D627"/>
  <c r="C627"/>
  <c r="D527"/>
  <c r="C527"/>
  <c r="D507"/>
  <c r="C507"/>
  <c r="D449"/>
  <c r="C449"/>
  <c r="D387"/>
  <c r="C387"/>
  <c r="D295"/>
  <c r="C295"/>
  <c r="D293"/>
  <c r="C293"/>
  <c r="D291"/>
  <c r="C291"/>
  <c r="D289"/>
  <c r="C289"/>
  <c r="D287"/>
  <c r="C287"/>
  <c r="D285"/>
  <c r="C285"/>
  <c r="D283"/>
  <c r="C283"/>
  <c r="D281"/>
  <c r="C281"/>
  <c r="D279"/>
  <c r="C279"/>
  <c r="D277"/>
  <c r="C277"/>
  <c r="D275"/>
  <c r="C275"/>
  <c r="D273"/>
  <c r="C273"/>
  <c r="D271"/>
  <c r="C271"/>
  <c r="D269"/>
  <c r="C269"/>
  <c r="D267"/>
  <c r="C267"/>
  <c r="D251"/>
  <c r="C251"/>
  <c r="D249"/>
  <c r="C249"/>
  <c r="D247"/>
  <c r="C247"/>
  <c r="D233"/>
  <c r="C233"/>
  <c r="D231"/>
  <c r="C231"/>
  <c r="D229"/>
  <c r="C229"/>
  <c r="D227"/>
  <c r="C227"/>
  <c r="D211"/>
  <c r="C211"/>
  <c r="D209"/>
  <c r="C209"/>
  <c r="D207"/>
  <c r="C207"/>
  <c r="D195"/>
  <c r="C195"/>
  <c r="D193"/>
  <c r="C193"/>
  <c r="D191"/>
  <c r="C191"/>
  <c r="D189"/>
  <c r="C189"/>
  <c r="D187"/>
  <c r="C187"/>
  <c r="D171"/>
  <c r="C171"/>
  <c r="D169"/>
  <c r="C169"/>
  <c r="D167"/>
  <c r="C167"/>
  <c r="D153"/>
  <c r="C153"/>
  <c r="D151"/>
  <c r="C151"/>
  <c r="D149"/>
  <c r="C149"/>
  <c r="D147"/>
  <c r="C147"/>
  <c r="D131"/>
  <c r="C131"/>
  <c r="D129"/>
  <c r="C129"/>
  <c r="D127"/>
  <c r="C127"/>
  <c r="D111"/>
  <c r="C111"/>
  <c r="D109"/>
  <c r="C109"/>
  <c r="D107"/>
  <c r="C107"/>
  <c r="D91"/>
  <c r="C91"/>
  <c r="D89"/>
  <c r="C89"/>
  <c r="D87"/>
  <c r="C87"/>
  <c r="D71"/>
  <c r="C71"/>
  <c r="D69"/>
  <c r="C69"/>
  <c r="D67"/>
  <c r="C67"/>
  <c r="D51"/>
  <c r="C51"/>
  <c r="D49"/>
  <c r="C49"/>
  <c r="D47"/>
  <c r="C47"/>
  <c r="D31"/>
  <c r="C31"/>
  <c r="D29"/>
  <c r="C29"/>
  <c r="D27"/>
  <c r="C27"/>
  <c r="G9"/>
  <c r="F9"/>
  <c r="E9"/>
  <c r="G11"/>
  <c r="F11"/>
  <c r="E11"/>
  <c r="L7"/>
  <c r="I7"/>
  <c r="J7"/>
  <c r="G615"/>
  <c r="F615"/>
  <c r="E615"/>
  <c r="G617"/>
  <c r="F617"/>
  <c r="E617"/>
  <c r="G619"/>
  <c r="F619"/>
  <c r="E619"/>
  <c r="G621"/>
  <c r="F621"/>
  <c r="E621"/>
  <c r="G623"/>
  <c r="F623"/>
  <c r="E623"/>
  <c r="G612"/>
  <c r="F612"/>
  <c r="E612"/>
  <c r="D50" i="41"/>
  <c r="E50"/>
  <c r="F50"/>
  <c r="G50"/>
  <c r="H50"/>
  <c r="I50"/>
  <c r="J50"/>
  <c r="K50"/>
  <c r="L50"/>
  <c r="D51"/>
  <c r="E51"/>
  <c r="F51"/>
  <c r="G51"/>
  <c r="H51"/>
  <c r="I51"/>
  <c r="J51"/>
  <c r="K51"/>
  <c r="L51"/>
  <c r="D52"/>
  <c r="E52"/>
  <c r="F52"/>
  <c r="G52"/>
  <c r="H52"/>
  <c r="I52"/>
  <c r="J52"/>
  <c r="K52"/>
  <c r="L52"/>
  <c r="D53"/>
  <c r="E53"/>
  <c r="F53"/>
  <c r="G53"/>
  <c r="H53"/>
  <c r="I53"/>
  <c r="J53"/>
  <c r="K53"/>
  <c r="L53"/>
  <c r="L45"/>
  <c r="L46"/>
  <c r="L47"/>
  <c r="L48"/>
  <c r="K45"/>
  <c r="K46"/>
  <c r="K47"/>
  <c r="K48"/>
  <c r="J45"/>
  <c r="J46"/>
  <c r="J47"/>
  <c r="J48"/>
  <c r="I45"/>
  <c r="I46"/>
  <c r="I47"/>
  <c r="I48"/>
  <c r="H45"/>
  <c r="H46"/>
  <c r="H47"/>
  <c r="H48"/>
  <c r="G45"/>
  <c r="G46"/>
  <c r="G47"/>
  <c r="G48"/>
  <c r="F45"/>
  <c r="F46"/>
  <c r="F47"/>
  <c r="F48"/>
  <c r="E45"/>
  <c r="E46"/>
  <c r="E47"/>
  <c r="E48"/>
  <c r="D45"/>
  <c r="D46"/>
  <c r="D47"/>
  <c r="D48"/>
  <c r="L40"/>
  <c r="L41"/>
  <c r="L42"/>
  <c r="L43"/>
  <c r="K40"/>
  <c r="K41"/>
  <c r="K42"/>
  <c r="K43"/>
  <c r="J40"/>
  <c r="J41"/>
  <c r="J42"/>
  <c r="J43"/>
  <c r="I40"/>
  <c r="I41"/>
  <c r="I42"/>
  <c r="I43"/>
  <c r="H41"/>
  <c r="H42"/>
  <c r="H43"/>
  <c r="G40"/>
  <c r="G41"/>
  <c r="G42"/>
  <c r="G43"/>
  <c r="F40"/>
  <c r="F41"/>
  <c r="F42"/>
  <c r="F43"/>
  <c r="E40"/>
  <c r="E41"/>
  <c r="E42"/>
  <c r="E43"/>
  <c r="D40"/>
  <c r="D41"/>
  <c r="D42"/>
  <c r="D43"/>
  <c r="L35"/>
  <c r="L36"/>
  <c r="L37"/>
  <c r="L38"/>
  <c r="K35"/>
  <c r="K36"/>
  <c r="K37"/>
  <c r="K38"/>
  <c r="J35"/>
  <c r="J36"/>
  <c r="J37"/>
  <c r="J38"/>
  <c r="I35"/>
  <c r="I36"/>
  <c r="I37"/>
  <c r="I38"/>
  <c r="H35"/>
  <c r="H36"/>
  <c r="H37"/>
  <c r="H38"/>
  <c r="G35"/>
  <c r="G36"/>
  <c r="G37"/>
  <c r="G38"/>
  <c r="F35"/>
  <c r="F36"/>
  <c r="F37"/>
  <c r="F38"/>
  <c r="E35"/>
  <c r="E36"/>
  <c r="E37"/>
  <c r="E38"/>
  <c r="D35"/>
  <c r="D36"/>
  <c r="D37"/>
  <c r="D38"/>
  <c r="L30"/>
  <c r="L31"/>
  <c r="L32"/>
  <c r="L33"/>
  <c r="K30"/>
  <c r="K31"/>
  <c r="K32"/>
  <c r="K33"/>
  <c r="J30"/>
  <c r="J31"/>
  <c r="J32"/>
  <c r="J33"/>
  <c r="I30"/>
  <c r="I31"/>
  <c r="I32"/>
  <c r="I33"/>
  <c r="G30"/>
  <c r="G31"/>
  <c r="G32"/>
  <c r="G33"/>
  <c r="F30"/>
  <c r="F31"/>
  <c r="F32"/>
  <c r="F33"/>
  <c r="E30"/>
  <c r="E31"/>
  <c r="E32"/>
  <c r="E33"/>
  <c r="D30"/>
  <c r="D31"/>
  <c r="D32"/>
  <c r="D33"/>
  <c r="L25"/>
  <c r="L26"/>
  <c r="L27"/>
  <c r="L28"/>
  <c r="K25"/>
  <c r="K26"/>
  <c r="K27"/>
  <c r="K28"/>
  <c r="J25"/>
  <c r="J26"/>
  <c r="J27"/>
  <c r="J28"/>
  <c r="I25"/>
  <c r="I26"/>
  <c r="I27"/>
  <c r="I28"/>
  <c r="H25"/>
  <c r="H26"/>
  <c r="H27"/>
  <c r="H28"/>
  <c r="G25"/>
  <c r="G26"/>
  <c r="G27"/>
  <c r="G28"/>
  <c r="F25"/>
  <c r="F26"/>
  <c r="F27"/>
  <c r="F28"/>
  <c r="E25"/>
  <c r="E26"/>
  <c r="E27"/>
  <c r="E28"/>
  <c r="D25"/>
  <c r="D26"/>
  <c r="D27"/>
  <c r="D28"/>
  <c r="E20"/>
  <c r="E21"/>
  <c r="E22"/>
  <c r="E23"/>
  <c r="D20"/>
  <c r="D21"/>
  <c r="D22"/>
  <c r="D23"/>
  <c r="L20"/>
  <c r="L21"/>
  <c r="L22"/>
  <c r="L23"/>
  <c r="K20"/>
  <c r="K21"/>
  <c r="K22"/>
  <c r="K23"/>
  <c r="J20"/>
  <c r="J21"/>
  <c r="J22"/>
  <c r="J23"/>
  <c r="I20"/>
  <c r="I21"/>
  <c r="I22"/>
  <c r="I23"/>
  <c r="H20"/>
  <c r="H21"/>
  <c r="H22"/>
  <c r="H23"/>
  <c r="G20"/>
  <c r="G21"/>
  <c r="G22"/>
  <c r="G23"/>
  <c r="F20"/>
  <c r="F21"/>
  <c r="F22"/>
  <c r="F23"/>
  <c r="F9" i="46"/>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L208" i="49"/>
  <c r="I208"/>
  <c r="L108"/>
  <c r="I108"/>
  <c r="E8"/>
  <c r="L8"/>
  <c r="L9"/>
  <c r="L10"/>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D8"/>
  <c r="I8"/>
  <c r="I9"/>
  <c r="I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L159"/>
  <c r="L160"/>
  <c r="L161"/>
  <c r="L162"/>
  <c r="L163"/>
  <c r="L164"/>
  <c r="L165"/>
  <c r="L166"/>
  <c r="L167"/>
  <c r="L168"/>
  <c r="L169"/>
  <c r="L170"/>
  <c r="L171"/>
  <c r="L172"/>
  <c r="L173"/>
  <c r="L174"/>
  <c r="L175"/>
  <c r="L176"/>
  <c r="L177"/>
  <c r="L178"/>
  <c r="L179"/>
  <c r="L180"/>
  <c r="L181"/>
  <c r="L182"/>
  <c r="L183"/>
  <c r="L184"/>
  <c r="L185"/>
  <c r="L186"/>
  <c r="L187"/>
  <c r="L188"/>
  <c r="L189"/>
  <c r="L190"/>
  <c r="L191"/>
  <c r="L192"/>
  <c r="L193"/>
  <c r="L194"/>
  <c r="L195"/>
  <c r="L196"/>
  <c r="L197"/>
  <c r="L198"/>
  <c r="L199"/>
  <c r="L200"/>
  <c r="L201"/>
  <c r="L202"/>
  <c r="L203"/>
  <c r="L204"/>
  <c r="L205"/>
  <c r="L206"/>
  <c r="L207"/>
  <c r="C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D9"/>
  <c r="E9"/>
  <c r="D10"/>
  <c r="E10"/>
  <c r="D11"/>
  <c r="E11"/>
  <c r="D12"/>
  <c r="E12"/>
  <c r="D13"/>
  <c r="E13"/>
  <c r="D14"/>
  <c r="E14"/>
  <c r="D15"/>
  <c r="E15"/>
  <c r="D16"/>
  <c r="E16"/>
  <c r="D17"/>
  <c r="E17"/>
  <c r="D18"/>
  <c r="E18"/>
  <c r="D19"/>
  <c r="E19"/>
  <c r="D20"/>
  <c r="E20"/>
  <c r="D21"/>
  <c r="E21"/>
  <c r="D22"/>
  <c r="E22"/>
  <c r="D23"/>
  <c r="E23"/>
  <c r="D24"/>
  <c r="E24"/>
  <c r="D25"/>
  <c r="E25"/>
  <c r="D26"/>
  <c r="E26"/>
  <c r="D27"/>
  <c r="E27"/>
  <c r="D28"/>
  <c r="E28"/>
  <c r="D29"/>
  <c r="E29"/>
  <c r="D30"/>
  <c r="E30"/>
  <c r="D31"/>
  <c r="E31"/>
  <c r="D32"/>
  <c r="E32"/>
  <c r="D33"/>
  <c r="E33"/>
  <c r="D34"/>
  <c r="E34"/>
  <c r="D35"/>
  <c r="E35"/>
  <c r="D36"/>
  <c r="E36"/>
  <c r="D37"/>
  <c r="E37"/>
  <c r="D38"/>
  <c r="E38"/>
  <c r="D39"/>
  <c r="E39"/>
  <c r="D40"/>
  <c r="E40"/>
  <c r="D41"/>
  <c r="E41"/>
  <c r="D42"/>
  <c r="E42"/>
  <c r="D43"/>
  <c r="E43"/>
  <c r="D44"/>
  <c r="E44"/>
  <c r="D45"/>
  <c r="E45"/>
  <c r="D46"/>
  <c r="E46"/>
  <c r="D47"/>
  <c r="E47"/>
  <c r="D48"/>
  <c r="E4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83"/>
  <c r="E83"/>
  <c r="D84"/>
  <c r="E84"/>
  <c r="D85"/>
  <c r="E85"/>
  <c r="D86"/>
  <c r="E86"/>
  <c r="D87"/>
  <c r="E87"/>
  <c r="D88"/>
  <c r="E88"/>
  <c r="D89"/>
  <c r="E89"/>
  <c r="D90"/>
  <c r="E90"/>
  <c r="D91"/>
  <c r="E91"/>
  <c r="D92"/>
  <c r="E92"/>
  <c r="D93"/>
  <c r="E93"/>
  <c r="D94"/>
  <c r="E94"/>
  <c r="D95"/>
  <c r="E95"/>
  <c r="D96"/>
  <c r="E96"/>
  <c r="D97"/>
  <c r="E97"/>
  <c r="D98"/>
  <c r="E98"/>
  <c r="D99"/>
  <c r="E99"/>
  <c r="D100"/>
  <c r="E100"/>
  <c r="D101"/>
  <c r="E101"/>
  <c r="D102"/>
  <c r="E102"/>
  <c r="D103"/>
  <c r="E103"/>
  <c r="D104"/>
  <c r="E104"/>
  <c r="D105"/>
  <c r="E105"/>
  <c r="D106"/>
  <c r="E106"/>
  <c r="D107"/>
  <c r="E107"/>
  <c r="D159"/>
  <c r="E159"/>
  <c r="D160"/>
  <c r="E160"/>
  <c r="D161"/>
  <c r="E161"/>
  <c r="D162"/>
  <c r="E162"/>
  <c r="D163"/>
  <c r="E163"/>
  <c r="D164"/>
  <c r="E164"/>
  <c r="D165"/>
  <c r="E165"/>
  <c r="D166"/>
  <c r="E166"/>
  <c r="D167"/>
  <c r="E167"/>
  <c r="D168"/>
  <c r="E168"/>
  <c r="D169"/>
  <c r="E169"/>
  <c r="D170"/>
  <c r="E170"/>
  <c r="D171"/>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90"/>
  <c r="E190"/>
  <c r="D191"/>
  <c r="E191"/>
  <c r="D192"/>
  <c r="E192"/>
  <c r="D193"/>
  <c r="E193"/>
  <c r="D194"/>
  <c r="E194"/>
  <c r="D195"/>
  <c r="E195"/>
  <c r="D196"/>
  <c r="E196"/>
  <c r="D197"/>
  <c r="E197"/>
  <c r="D198"/>
  <c r="E198"/>
  <c r="D199"/>
  <c r="E199"/>
  <c r="D200"/>
  <c r="E200"/>
  <c r="D201"/>
  <c r="E201"/>
  <c r="D202"/>
  <c r="E202"/>
  <c r="D203"/>
  <c r="E203"/>
  <c r="D204"/>
  <c r="E204"/>
  <c r="D205"/>
  <c r="E205"/>
  <c r="D206"/>
  <c r="E206"/>
  <c r="D207"/>
  <c r="E207"/>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AN316" i="37"/>
  <c r="AL542"/>
  <c r="AN556"/>
  <c r="AO556"/>
  <c r="AO550"/>
  <c r="AN543"/>
  <c r="AO543"/>
  <c r="AN537"/>
  <c r="AO537"/>
  <c r="AJ411"/>
  <c r="AJ530"/>
  <c r="AM316"/>
  <c r="AM319"/>
  <c r="AL513"/>
  <c r="AN527"/>
  <c r="AO527"/>
  <c r="AO521"/>
  <c r="AN514"/>
  <c r="AO514"/>
  <c r="AN508"/>
  <c r="AO508"/>
  <c r="AJ382"/>
  <c r="AJ501"/>
  <c r="AN498"/>
  <c r="AO498"/>
  <c r="AO492"/>
  <c r="AN485"/>
  <c r="AO485"/>
  <c r="AN479"/>
  <c r="AO479"/>
  <c r="AJ353"/>
  <c r="AJ472"/>
  <c r="AN469"/>
  <c r="AO469"/>
  <c r="AO463"/>
  <c r="AN456"/>
  <c r="AO456"/>
  <c r="AN450"/>
  <c r="AO450"/>
  <c r="AJ324"/>
  <c r="AJ443"/>
  <c r="AL417"/>
  <c r="AL423"/>
  <c r="AN437"/>
  <c r="AO437"/>
  <c r="AN431"/>
  <c r="AO431"/>
  <c r="AN424"/>
  <c r="AO424"/>
  <c r="AO417"/>
  <c r="AN418"/>
  <c r="AO418"/>
  <c r="AL388"/>
  <c r="AL394" s="1"/>
  <c r="AL407" s="1"/>
  <c r="AO407" s="1"/>
  <c r="AN408"/>
  <c r="AO408"/>
  <c r="AN402"/>
  <c r="AO402"/>
  <c r="AN395"/>
  <c r="AO395"/>
  <c r="AN389"/>
  <c r="AO389"/>
  <c r="AN379"/>
  <c r="AO379"/>
  <c r="AN373"/>
  <c r="AO373"/>
  <c r="AN366"/>
  <c r="AO366"/>
  <c r="AN360"/>
  <c r="AO360"/>
  <c r="AN350"/>
  <c r="AO350"/>
  <c r="AN344"/>
  <c r="AO344"/>
  <c r="AN337"/>
  <c r="AO337"/>
  <c r="AN331"/>
  <c r="AO331"/>
  <c r="AN319"/>
  <c r="AN318"/>
  <c r="AM318"/>
  <c r="AN315"/>
  <c r="AM315"/>
  <c r="AP147"/>
  <c r="AP150"/>
  <c r="AP151"/>
  <c r="AP157"/>
  <c r="AP153"/>
  <c r="AP159"/>
  <c r="AN16"/>
  <c r="AP163"/>
  <c r="AN163" s="1"/>
  <c r="AO163" s="1"/>
  <c r="AP165"/>
  <c r="AO269"/>
  <c r="AO270"/>
  <c r="AN151"/>
  <c r="AO151" s="1"/>
  <c r="AN157"/>
  <c r="AO157" s="1"/>
  <c r="AN153"/>
  <c r="AO153" s="1"/>
  <c r="AM153" s="1"/>
  <c r="AN159"/>
  <c r="AO159" s="1"/>
  <c r="AN165"/>
  <c r="AO165" s="1"/>
  <c r="AP261"/>
  <c r="AO261"/>
  <c r="AN261"/>
  <c r="AP242"/>
  <c r="AP243"/>
  <c r="AO242"/>
  <c r="AO243"/>
  <c r="AN242"/>
  <c r="AN243"/>
  <c r="AQ220"/>
  <c r="AQ221"/>
  <c r="AO221" s="1"/>
  <c r="AP221" s="1"/>
  <c r="AN221" s="1"/>
  <c r="AN24"/>
  <c r="AQ222"/>
  <c r="AN27"/>
  <c r="AQ223"/>
  <c r="AO223" s="1"/>
  <c r="AP223" s="1"/>
  <c r="AN223" s="1"/>
  <c r="AP220"/>
  <c r="AO220"/>
  <c r="AP232"/>
  <c r="AN232"/>
  <c r="AW187"/>
  <c r="AV187"/>
  <c r="AP133"/>
  <c r="AO133"/>
  <c r="AN133"/>
  <c r="AO113"/>
  <c r="AO125"/>
  <c r="AM113"/>
  <c r="AM125"/>
  <c r="AO107"/>
  <c r="AO119"/>
  <c r="AM107"/>
  <c r="AM119" s="1"/>
  <c r="AM49"/>
  <c r="AN49"/>
  <c r="AP49" s="1"/>
  <c r="AO49"/>
  <c r="AM48"/>
  <c r="AN48"/>
  <c r="AP48" s="1"/>
  <c r="AO48"/>
  <c r="AM47"/>
  <c r="AP47"/>
  <c r="AN47"/>
  <c r="AO47"/>
  <c r="AM46"/>
  <c r="AP46"/>
  <c r="AN46"/>
  <c r="AO46"/>
  <c r="AM41"/>
  <c r="AP41"/>
  <c r="AN41"/>
  <c r="AO41"/>
  <c r="AM40"/>
  <c r="AP40"/>
  <c r="AN40"/>
  <c r="AO40"/>
  <c r="AM39"/>
  <c r="AN39"/>
  <c r="AP39" s="1"/>
  <c r="AO39"/>
  <c r="AN38"/>
  <c r="AO38"/>
  <c r="AP38"/>
  <c r="AN20"/>
  <c r="AN19"/>
  <c r="AN18"/>
  <c r="AN17"/>
  <c r="AN15"/>
  <c r="V5"/>
  <c r="W14"/>
  <c r="X14" s="1"/>
  <c r="AA14"/>
  <c r="AN21"/>
  <c r="AO82"/>
  <c r="AO114"/>
  <c r="AO126" s="1"/>
  <c r="AM82"/>
  <c r="AM114" s="1"/>
  <c r="AM126" s="1"/>
  <c r="AO75"/>
  <c r="AO108" s="1"/>
  <c r="AO120" s="1"/>
  <c r="AM75"/>
  <c r="AM108" s="1"/>
  <c r="AM120" s="1"/>
  <c r="AB14"/>
  <c r="AL555"/>
  <c r="AO555" s="1"/>
  <c r="AL526"/>
  <c r="AL401"/>
  <c r="AO401" s="1"/>
  <c r="AL430"/>
  <c r="AO430" s="1"/>
  <c r="AM263"/>
  <c r="AN30"/>
  <c r="AP215" s="1"/>
  <c r="AN31"/>
  <c r="AM417"/>
  <c r="AM423" s="1"/>
  <c r="AM388"/>
  <c r="AM394" s="1"/>
  <c r="AO152"/>
  <c r="AO158" s="1"/>
  <c r="AQ295"/>
  <c r="AO295"/>
  <c r="AP295" s="1"/>
  <c r="AN227"/>
  <c r="AN228" s="1"/>
  <c r="AQ224"/>
  <c r="AO224" s="1"/>
  <c r="AP262"/>
  <c r="AO262"/>
  <c r="AN262"/>
  <c r="AM262"/>
  <c r="AP248"/>
  <c r="AO248"/>
  <c r="AN248"/>
  <c r="AP227"/>
  <c r="AP228"/>
  <c r="AM152"/>
  <c r="AA15"/>
  <c r="W15"/>
  <c r="AM555"/>
  <c r="AM526"/>
  <c r="K7" i="38"/>
  <c r="F7"/>
  <c r="F5"/>
  <c r="AM27"/>
  <c r="AO64"/>
  <c r="AO69" s="1"/>
  <c r="AO70" s="1"/>
  <c r="AM26"/>
  <c r="AM28"/>
  <c r="AM290"/>
  <c r="AM293"/>
  <c r="AM292"/>
  <c r="AO84"/>
  <c r="AK512" s="1"/>
  <c r="AI387"/>
  <c r="AI506"/>
  <c r="AI358"/>
  <c r="AI477"/>
  <c r="AI329"/>
  <c r="AI448"/>
  <c r="AI300"/>
  <c r="AI419"/>
  <c r="AK393"/>
  <c r="V15"/>
  <c r="AL155"/>
  <c r="AN155"/>
  <c r="AM156"/>
  <c r="AN156"/>
  <c r="AM161"/>
  <c r="AN161"/>
  <c r="AM163"/>
  <c r="AN163"/>
  <c r="AM155"/>
  <c r="AL280"/>
  <c r="AM280"/>
  <c r="AN280" s="1"/>
  <c r="AL279"/>
  <c r="AM279" s="1"/>
  <c r="AN279" s="1"/>
  <c r="AO278"/>
  <c r="AO277"/>
  <c r="AL277"/>
  <c r="AM277"/>
  <c r="AN277" s="1"/>
  <c r="AO276"/>
  <c r="AL276"/>
  <c r="AM276"/>
  <c r="AN276" s="1"/>
  <c r="AO275"/>
  <c r="AL275"/>
  <c r="AM275"/>
  <c r="AN275" s="1"/>
  <c r="AL274"/>
  <c r="AM274" s="1"/>
  <c r="AM201"/>
  <c r="AN201" s="1"/>
  <c r="AM202"/>
  <c r="AN202" s="1"/>
  <c r="AM29"/>
  <c r="AM203" s="1"/>
  <c r="AM205" s="1"/>
  <c r="AP212"/>
  <c r="AM174"/>
  <c r="AN174"/>
  <c r="AM172"/>
  <c r="AN172"/>
  <c r="AN249"/>
  <c r="AN250"/>
  <c r="AL158"/>
  <c r="AM158"/>
  <c r="AN158"/>
  <c r="AO158"/>
  <c r="AM526"/>
  <c r="AM497"/>
  <c r="AM468"/>
  <c r="AM439"/>
  <c r="AM513"/>
  <c r="AM484"/>
  <c r="AM455"/>
  <c r="AM426"/>
  <c r="AM407"/>
  <c r="AM378"/>
  <c r="AM349"/>
  <c r="AM320"/>
  <c r="AN393"/>
  <c r="AM394"/>
  <c r="AM365"/>
  <c r="AM336"/>
  <c r="AM307"/>
  <c r="Z57"/>
  <c r="AN51"/>
  <c r="AM51"/>
  <c r="AL51"/>
  <c r="AN50"/>
  <c r="AM50"/>
  <c r="AL50"/>
  <c r="AN49"/>
  <c r="AM49"/>
  <c r="AL49"/>
  <c r="AN48"/>
  <c r="AM48"/>
  <c r="AL48"/>
  <c r="AN43"/>
  <c r="AM43"/>
  <c r="AN42"/>
  <c r="AM42"/>
  <c r="AL42"/>
  <c r="AN41"/>
  <c r="AM41"/>
  <c r="AL41"/>
  <c r="AN40"/>
  <c r="AM40"/>
  <c r="AL40"/>
  <c r="AM532"/>
  <c r="AM519"/>
  <c r="AM503"/>
  <c r="AM490"/>
  <c r="AM474"/>
  <c r="AM461"/>
  <c r="AM445"/>
  <c r="AM432"/>
  <c r="AB25"/>
  <c r="AC25" s="1"/>
  <c r="AC28" s="1"/>
  <c r="AM22"/>
  <c r="AM21"/>
  <c r="AM20"/>
  <c r="V20"/>
  <c r="X20"/>
  <c r="Z20"/>
  <c r="AB20"/>
  <c r="AM19"/>
  <c r="AB19"/>
  <c r="Z19"/>
  <c r="X19"/>
  <c r="V19"/>
  <c r="AM18"/>
  <c r="AM17"/>
  <c r="X15"/>
  <c r="Z15"/>
  <c r="AB15"/>
  <c r="B11"/>
  <c r="F11" s="1"/>
  <c r="AN532"/>
  <c r="AN526"/>
  <c r="AN519"/>
  <c r="AN513"/>
  <c r="AN503"/>
  <c r="AN497"/>
  <c r="AN490"/>
  <c r="AN484"/>
  <c r="AN474"/>
  <c r="AN468"/>
  <c r="AN461"/>
  <c r="AN455"/>
  <c r="AN445"/>
  <c r="AN439"/>
  <c r="AN432"/>
  <c r="AN426"/>
  <c r="AK399"/>
  <c r="AM413"/>
  <c r="AN413"/>
  <c r="AN407"/>
  <c r="AM400"/>
  <c r="AN400"/>
  <c r="AN394"/>
  <c r="AM384"/>
  <c r="AN384"/>
  <c r="AN378"/>
  <c r="AM371"/>
  <c r="AN371"/>
  <c r="AN365"/>
  <c r="AM355"/>
  <c r="AN355"/>
  <c r="AN349"/>
  <c r="AM342"/>
  <c r="AN342"/>
  <c r="AN336"/>
  <c r="AM326"/>
  <c r="AN326"/>
  <c r="AN320"/>
  <c r="AM313"/>
  <c r="AN313"/>
  <c r="AN307"/>
  <c r="AM295"/>
  <c r="AM294"/>
  <c r="AM291"/>
  <c r="AO116"/>
  <c r="AO128" s="1"/>
  <c r="AO110"/>
  <c r="AO122" s="1"/>
  <c r="AO51"/>
  <c r="AO50"/>
  <c r="AO49"/>
  <c r="AO48"/>
  <c r="AO43"/>
  <c r="AO42"/>
  <c r="AO41"/>
  <c r="AO40"/>
  <c r="AB28"/>
  <c r="AN59"/>
  <c r="AN64" s="1"/>
  <c r="AM59"/>
  <c r="AM64" s="1"/>
  <c r="AL59"/>
  <c r="AL64" s="1"/>
  <c r="AN77"/>
  <c r="AL290"/>
  <c r="AL293" s="1"/>
  <c r="AN84" s="1"/>
  <c r="AL292"/>
  <c r="AM77"/>
  <c r="AK290"/>
  <c r="AL77"/>
  <c r="AJ290"/>
  <c r="AJ293" s="1"/>
  <c r="AL84" s="1"/>
  <c r="AK364"/>
  <c r="AK335"/>
  <c r="AK306"/>
  <c r="AL294"/>
  <c r="AJ294"/>
  <c r="AN222"/>
  <c r="AN223"/>
  <c r="AM222"/>
  <c r="AM223"/>
  <c r="AL222"/>
  <c r="AL223"/>
  <c r="AN228"/>
  <c r="AN136"/>
  <c r="AM136"/>
  <c r="AL136"/>
  <c r="AK370"/>
  <c r="AK341"/>
  <c r="AK312"/>
  <c r="AL291"/>
  <c r="AJ291"/>
  <c r="AN241"/>
  <c r="AN242" s="1"/>
  <c r="AM241"/>
  <c r="AL241"/>
  <c r="AL242"/>
  <c r="AN234"/>
  <c r="AM234"/>
  <c r="AO200"/>
  <c r="AN200"/>
  <c r="AM200"/>
  <c r="AN110"/>
  <c r="AN122" s="1"/>
  <c r="AM110"/>
  <c r="AM122"/>
  <c r="AL110"/>
  <c r="AL122" s="1"/>
  <c r="AM23"/>
  <c r="AC26"/>
  <c r="AA26"/>
  <c r="Y26"/>
  <c r="W26"/>
  <c r="AK406"/>
  <c r="AN406"/>
  <c r="AC27"/>
  <c r="AO78"/>
  <c r="AO111"/>
  <c r="AO123"/>
  <c r="AO85"/>
  <c r="AO117" s="1"/>
  <c r="AO129" s="1"/>
  <c r="AK412"/>
  <c r="AK377"/>
  <c r="AN377" s="1"/>
  <c r="AK348"/>
  <c r="AN348"/>
  <c r="AK319"/>
  <c r="AN319" s="1"/>
  <c r="AA27"/>
  <c r="Y27"/>
  <c r="W27"/>
  <c r="AL78"/>
  <c r="AL111"/>
  <c r="AL123"/>
  <c r="AM78"/>
  <c r="AM111" s="1"/>
  <c r="AM123" s="1"/>
  <c r="AN78"/>
  <c r="AN111" s="1"/>
  <c r="AN123" s="1"/>
  <c r="AK325"/>
  <c r="AK354"/>
  <c r="AN354" s="1"/>
  <c r="AK383"/>
  <c r="AN383"/>
  <c r="AM31"/>
  <c r="AO243" s="1"/>
  <c r="AM32"/>
  <c r="AO195"/>
  <c r="AM33"/>
  <c r="AM30"/>
  <c r="AM204" s="1"/>
  <c r="AO242"/>
  <c r="F5" i="39"/>
  <c r="V5"/>
  <c r="V20"/>
  <c r="U56"/>
  <c r="V21"/>
  <c r="U76" s="1"/>
  <c r="V309"/>
  <c r="V312"/>
  <c r="V311"/>
  <c r="V551"/>
  <c r="W551"/>
  <c r="V545"/>
  <c r="W545"/>
  <c r="V538"/>
  <c r="W538"/>
  <c r="V532"/>
  <c r="W532"/>
  <c r="R406"/>
  <c r="R525"/>
  <c r="V522"/>
  <c r="W522"/>
  <c r="V516"/>
  <c r="W516"/>
  <c r="V509"/>
  <c r="W509"/>
  <c r="V503"/>
  <c r="W503"/>
  <c r="R377"/>
  <c r="R496"/>
  <c r="V493"/>
  <c r="W493"/>
  <c r="V487"/>
  <c r="W487"/>
  <c r="V480"/>
  <c r="W480"/>
  <c r="V474"/>
  <c r="W474"/>
  <c r="R348"/>
  <c r="R467"/>
  <c r="V464"/>
  <c r="W464"/>
  <c r="V458"/>
  <c r="W458"/>
  <c r="V451"/>
  <c r="W451"/>
  <c r="V445"/>
  <c r="W445"/>
  <c r="R319"/>
  <c r="R438"/>
  <c r="T412"/>
  <c r="T418"/>
  <c r="V432"/>
  <c r="W432"/>
  <c r="V426"/>
  <c r="W426"/>
  <c r="V419"/>
  <c r="W419"/>
  <c r="V413"/>
  <c r="W413"/>
  <c r="V403"/>
  <c r="W403"/>
  <c r="V397"/>
  <c r="W397"/>
  <c r="V390"/>
  <c r="W390"/>
  <c r="V384"/>
  <c r="W384"/>
  <c r="V374"/>
  <c r="W374"/>
  <c r="V368"/>
  <c r="W368"/>
  <c r="V361"/>
  <c r="W361"/>
  <c r="V355"/>
  <c r="W355"/>
  <c r="V345"/>
  <c r="W345"/>
  <c r="V339"/>
  <c r="W339"/>
  <c r="V332"/>
  <c r="W332"/>
  <c r="V326"/>
  <c r="W326"/>
  <c r="V314"/>
  <c r="V313"/>
  <c r="V310"/>
  <c r="X142"/>
  <c r="X145" s="1"/>
  <c r="X146"/>
  <c r="V146" s="1"/>
  <c r="W146" s="1"/>
  <c r="X152"/>
  <c r="X148"/>
  <c r="X154"/>
  <c r="V11"/>
  <c r="X158"/>
  <c r="X160"/>
  <c r="W264"/>
  <c r="W265"/>
  <c r="V152"/>
  <c r="W152" s="1"/>
  <c r="V148"/>
  <c r="W148"/>
  <c r="U148"/>
  <c r="V154"/>
  <c r="W154"/>
  <c r="V158"/>
  <c r="W158"/>
  <c r="V160"/>
  <c r="W160"/>
  <c r="Y216"/>
  <c r="V19"/>
  <c r="Y217"/>
  <c r="V22"/>
  <c r="Y218"/>
  <c r="W218"/>
  <c r="X218"/>
  <c r="V218" s="1"/>
  <c r="W216"/>
  <c r="X216"/>
  <c r="V216"/>
  <c r="V227"/>
  <c r="AE182"/>
  <c r="AD182"/>
  <c r="U102"/>
  <c r="U114" s="1"/>
  <c r="U44"/>
  <c r="V44"/>
  <c r="X44" s="1"/>
  <c r="W44"/>
  <c r="U43"/>
  <c r="V43"/>
  <c r="X43" s="1"/>
  <c r="W43"/>
  <c r="U42"/>
  <c r="V42"/>
  <c r="X42" s="1"/>
  <c r="W42"/>
  <c r="U41"/>
  <c r="V41"/>
  <c r="X41" s="1"/>
  <c r="W41"/>
  <c r="U36"/>
  <c r="V36"/>
  <c r="X36" s="1"/>
  <c r="W36"/>
  <c r="U35"/>
  <c r="V35"/>
  <c r="X35" s="1"/>
  <c r="W35"/>
  <c r="U34"/>
  <c r="V34"/>
  <c r="X34" s="1"/>
  <c r="W34"/>
  <c r="V33"/>
  <c r="W33"/>
  <c r="X33"/>
  <c r="V15"/>
  <c r="V14"/>
  <c r="V13"/>
  <c r="V12"/>
  <c r="V10"/>
  <c r="W69"/>
  <c r="U309"/>
  <c r="U311" s="1"/>
  <c r="U312"/>
  <c r="W76" s="1"/>
  <c r="W51"/>
  <c r="W56"/>
  <c r="X227" s="1"/>
  <c r="V69"/>
  <c r="T309"/>
  <c r="T311" s="1"/>
  <c r="T312"/>
  <c r="V76" s="1"/>
  <c r="V51"/>
  <c r="V56"/>
  <c r="W227" s="1"/>
  <c r="X69"/>
  <c r="S309" s="1"/>
  <c r="X51"/>
  <c r="X56"/>
  <c r="T383"/>
  <c r="T389"/>
  <c r="T354"/>
  <c r="T360" s="1"/>
  <c r="T325"/>
  <c r="T331"/>
  <c r="T313"/>
  <c r="U310"/>
  <c r="X256"/>
  <c r="W256"/>
  <c r="W257" s="1"/>
  <c r="V256"/>
  <c r="X237"/>
  <c r="X238"/>
  <c r="W237"/>
  <c r="W238" s="1"/>
  <c r="W239" s="1"/>
  <c r="V237"/>
  <c r="V238" s="1"/>
  <c r="Y215"/>
  <c r="X215"/>
  <c r="W215"/>
  <c r="Y227"/>
  <c r="X128"/>
  <c r="W128"/>
  <c r="V128"/>
  <c r="X102"/>
  <c r="X114"/>
  <c r="W102"/>
  <c r="W114" s="1"/>
  <c r="V102"/>
  <c r="V114" s="1"/>
  <c r="V16"/>
  <c r="X70"/>
  <c r="X103"/>
  <c r="X115" s="1"/>
  <c r="W70"/>
  <c r="W103" s="1"/>
  <c r="W115" s="1"/>
  <c r="V70"/>
  <c r="V103"/>
  <c r="V115" s="1"/>
  <c r="U70"/>
  <c r="U103" s="1"/>
  <c r="U115" s="1"/>
  <c r="T338"/>
  <c r="W338"/>
  <c r="T396"/>
  <c r="W396"/>
  <c r="T367"/>
  <c r="W367"/>
  <c r="T425"/>
  <c r="W425"/>
  <c r="V24"/>
  <c r="X61" s="1"/>
  <c r="X62" s="1"/>
  <c r="X258"/>
  <c r="V258"/>
  <c r="U258"/>
  <c r="V25"/>
  <c r="W249"/>
  <c r="X210"/>
  <c r="V26"/>
  <c r="V23"/>
  <c r="U61"/>
  <c r="U62" s="1"/>
  <c r="Y290"/>
  <c r="W290" s="1"/>
  <c r="X290" s="1"/>
  <c r="U257"/>
  <c r="W243"/>
  <c r="V20" i="21"/>
  <c r="U56" s="1"/>
  <c r="V21"/>
  <c r="U76" s="1"/>
  <c r="V309"/>
  <c r="V312"/>
  <c r="V311"/>
  <c r="V551"/>
  <c r="W551"/>
  <c r="V545"/>
  <c r="W545"/>
  <c r="V538"/>
  <c r="W538"/>
  <c r="V532"/>
  <c r="W532"/>
  <c r="R406"/>
  <c r="R525"/>
  <c r="F5"/>
  <c r="V5"/>
  <c r="V522"/>
  <c r="W522"/>
  <c r="V516"/>
  <c r="W516"/>
  <c r="V509"/>
  <c r="W509"/>
  <c r="V503"/>
  <c r="W503"/>
  <c r="R377"/>
  <c r="R496"/>
  <c r="V493"/>
  <c r="W493"/>
  <c r="V487"/>
  <c r="W487"/>
  <c r="V480"/>
  <c r="W480"/>
  <c r="V474"/>
  <c r="W474"/>
  <c r="R348"/>
  <c r="R467"/>
  <c r="V464"/>
  <c r="W464"/>
  <c r="V458"/>
  <c r="W458"/>
  <c r="V451"/>
  <c r="W451"/>
  <c r="V445"/>
  <c r="W445"/>
  <c r="R319"/>
  <c r="R438"/>
  <c r="T412"/>
  <c r="T418"/>
  <c r="V432"/>
  <c r="W432"/>
  <c r="V426"/>
  <c r="W426"/>
  <c r="V419"/>
  <c r="W419"/>
  <c r="V413"/>
  <c r="W413"/>
  <c r="V403"/>
  <c r="W403"/>
  <c r="V397"/>
  <c r="W397"/>
  <c r="V390"/>
  <c r="W390"/>
  <c r="V384"/>
  <c r="W384"/>
  <c r="V374"/>
  <c r="W374"/>
  <c r="V368"/>
  <c r="W368"/>
  <c r="V361"/>
  <c r="W361"/>
  <c r="V355"/>
  <c r="W355"/>
  <c r="V345"/>
  <c r="W345"/>
  <c r="V339"/>
  <c r="W339"/>
  <c r="V332"/>
  <c r="W332"/>
  <c r="V326"/>
  <c r="W326"/>
  <c r="V314"/>
  <c r="V313"/>
  <c r="V310"/>
  <c r="X142"/>
  <c r="X145" s="1"/>
  <c r="X146"/>
  <c r="X152"/>
  <c r="X148"/>
  <c r="X154"/>
  <c r="V154" s="1"/>
  <c r="W154" s="1"/>
  <c r="V11"/>
  <c r="X158"/>
  <c r="V158" s="1"/>
  <c r="W158" s="1"/>
  <c r="X160"/>
  <c r="W264"/>
  <c r="W265"/>
  <c r="V146"/>
  <c r="W146" s="1"/>
  <c r="V152"/>
  <c r="W152" s="1"/>
  <c r="V148"/>
  <c r="W148" s="1"/>
  <c r="U148" s="1"/>
  <c r="V160"/>
  <c r="W160"/>
  <c r="Y216"/>
  <c r="W216" s="1"/>
  <c r="V19"/>
  <c r="Y217" s="1"/>
  <c r="V22"/>
  <c r="Y218"/>
  <c r="W218" s="1"/>
  <c r="X218" s="1"/>
  <c r="V218" s="1"/>
  <c r="U102"/>
  <c r="U114" s="1"/>
  <c r="U44"/>
  <c r="X44" s="1"/>
  <c r="V44"/>
  <c r="W44"/>
  <c r="U43"/>
  <c r="X43" s="1"/>
  <c r="V43"/>
  <c r="W43"/>
  <c r="U42"/>
  <c r="X42" s="1"/>
  <c r="V42"/>
  <c r="W42"/>
  <c r="U41"/>
  <c r="X41" s="1"/>
  <c r="V41"/>
  <c r="W41"/>
  <c r="U36"/>
  <c r="X36" s="1"/>
  <c r="V36"/>
  <c r="W36"/>
  <c r="U35"/>
  <c r="X35" s="1"/>
  <c r="V35"/>
  <c r="W35"/>
  <c r="U34"/>
  <c r="X34" s="1"/>
  <c r="V34"/>
  <c r="W34"/>
  <c r="V33"/>
  <c r="X33" s="1"/>
  <c r="W33"/>
  <c r="V15"/>
  <c r="V14"/>
  <c r="V13"/>
  <c r="V12"/>
  <c r="V10"/>
  <c r="V16"/>
  <c r="U70"/>
  <c r="U103"/>
  <c r="U115" s="1"/>
  <c r="T425"/>
  <c r="W425" s="1"/>
  <c r="V24"/>
  <c r="V25"/>
  <c r="X210" s="1"/>
  <c r="V26"/>
  <c r="V23"/>
  <c r="Y290"/>
  <c r="W290" s="1"/>
  <c r="X290" s="1"/>
  <c r="U257"/>
  <c r="J18" i="4"/>
  <c r="K18"/>
  <c r="K19"/>
  <c r="K20"/>
  <c r="K21"/>
  <c r="G9"/>
  <c r="G8"/>
  <c r="Q62"/>
  <c r="Q67"/>
  <c r="Q66"/>
  <c r="Q65"/>
  <c r="AB63"/>
  <c r="AB69"/>
  <c r="AC63"/>
  <c r="AC69"/>
  <c r="AC76" s="1"/>
  <c r="AD83"/>
  <c r="AB76"/>
  <c r="AE76"/>
  <c r="AD77"/>
  <c r="N62"/>
  <c r="N67"/>
  <c r="N66"/>
  <c r="N64"/>
  <c r="N68"/>
  <c r="U63"/>
  <c r="U69"/>
  <c r="U82"/>
  <c r="V63"/>
  <c r="W65" s="1"/>
  <c r="W83"/>
  <c r="U76"/>
  <c r="W77"/>
  <c r="AD70"/>
  <c r="AD64"/>
  <c r="W70"/>
  <c r="W64"/>
  <c r="AE83"/>
  <c r="AE77"/>
  <c r="AE70"/>
  <c r="AE64"/>
  <c r="X64"/>
  <c r="X83"/>
  <c r="X77"/>
  <c r="X70"/>
  <c r="AE63"/>
  <c r="AD65"/>
  <c r="X69"/>
  <c r="X63"/>
  <c r="W63"/>
  <c r="V65"/>
  <c r="O90"/>
  <c r="AD76"/>
  <c r="AC78"/>
  <c r="O89"/>
  <c r="N90"/>
  <c r="X76"/>
  <c r="W76"/>
  <c r="V78"/>
  <c r="N89"/>
  <c r="I149" i="20"/>
  <c r="I150" s="1"/>
  <c r="E50"/>
  <c r="F22"/>
  <c r="K54" s="1"/>
  <c r="G149"/>
  <c r="E149"/>
  <c r="I133"/>
  <c r="I134" s="1"/>
  <c r="G133"/>
  <c r="G134" s="1"/>
  <c r="G135" s="1"/>
  <c r="E133"/>
  <c r="E134"/>
  <c r="I124"/>
  <c r="G124"/>
  <c r="G127" s="1"/>
  <c r="E124"/>
  <c r="K104"/>
  <c r="I104"/>
  <c r="G104"/>
  <c r="E104"/>
  <c r="I50"/>
  <c r="I54"/>
  <c r="I58" s="1"/>
  <c r="I59" s="1"/>
  <c r="AL67" s="1"/>
  <c r="G50"/>
  <c r="F23"/>
  <c r="S66"/>
  <c r="S71"/>
  <c r="K69"/>
  <c r="S68"/>
  <c r="I65"/>
  <c r="R66" s="1"/>
  <c r="E65"/>
  <c r="P66" s="1"/>
  <c r="S65"/>
  <c r="AP62"/>
  <c r="R65"/>
  <c r="AI62"/>
  <c r="AU87"/>
  <c r="AT87"/>
  <c r="AU81"/>
  <c r="AT81"/>
  <c r="AU74"/>
  <c r="AT74"/>
  <c r="AU68"/>
  <c r="AT68"/>
  <c r="AN87"/>
  <c r="AM87"/>
  <c r="AN81"/>
  <c r="AM81"/>
  <c r="AN74"/>
  <c r="AM74"/>
  <c r="AN68"/>
  <c r="AM68"/>
  <c r="Q65"/>
  <c r="AB62"/>
  <c r="P65"/>
  <c r="U62"/>
  <c r="G65"/>
  <c r="Q66" s="1"/>
  <c r="S73"/>
  <c r="S69"/>
  <c r="K35"/>
  <c r="K36"/>
  <c r="K37" s="1"/>
  <c r="I34"/>
  <c r="I37" s="1"/>
  <c r="I35"/>
  <c r="I36"/>
  <c r="G34"/>
  <c r="G37" s="1"/>
  <c r="G35"/>
  <c r="G36"/>
  <c r="E34"/>
  <c r="E37" s="1"/>
  <c r="E35"/>
  <c r="E36"/>
  <c r="K41"/>
  <c r="K44" s="1"/>
  <c r="K42"/>
  <c r="K43"/>
  <c r="I41"/>
  <c r="I44" s="1"/>
  <c r="I42"/>
  <c r="I43"/>
  <c r="G41"/>
  <c r="G44" s="1"/>
  <c r="G42"/>
  <c r="G43"/>
  <c r="E41"/>
  <c r="E44" s="1"/>
  <c r="E42"/>
  <c r="E43"/>
  <c r="F24"/>
  <c r="F21"/>
  <c r="F17"/>
  <c r="F16"/>
  <c r="F15"/>
  <c r="F14"/>
  <c r="F13"/>
  <c r="F12"/>
  <c r="G157"/>
  <c r="G158"/>
  <c r="AF87"/>
  <c r="AF81"/>
  <c r="Y87"/>
  <c r="Y81"/>
  <c r="AF74"/>
  <c r="AF68"/>
  <c r="Y74"/>
  <c r="Y68"/>
  <c r="AG87"/>
  <c r="AG81"/>
  <c r="AG74"/>
  <c r="AG68"/>
  <c r="Z68"/>
  <c r="Z87"/>
  <c r="Z81"/>
  <c r="Z74"/>
  <c r="F26"/>
  <c r="F27"/>
  <c r="G144" s="1"/>
  <c r="G143"/>
  <c r="F18"/>
  <c r="F28"/>
  <c r="F25"/>
  <c r="G150"/>
  <c r="E138"/>
  <c r="E177"/>
  <c r="H177" s="1"/>
  <c r="V26" i="14"/>
  <c r="V25"/>
  <c r="V24"/>
  <c r="V23"/>
  <c r="V22"/>
  <c r="Y218" s="1"/>
  <c r="W218" s="1"/>
  <c r="X218" s="1"/>
  <c r="V218" s="1"/>
  <c r="V21"/>
  <c r="V20"/>
  <c r="U56" s="1"/>
  <c r="V19"/>
  <c r="Y217" s="1"/>
  <c r="V16"/>
  <c r="V15"/>
  <c r="V14"/>
  <c r="V13"/>
  <c r="V12"/>
  <c r="V11"/>
  <c r="V10"/>
  <c r="V309"/>
  <c r="V312"/>
  <c r="U76"/>
  <c r="V311"/>
  <c r="V551"/>
  <c r="W551"/>
  <c r="V545"/>
  <c r="W545"/>
  <c r="V538"/>
  <c r="W538"/>
  <c r="V532"/>
  <c r="W532"/>
  <c r="R406"/>
  <c r="R525"/>
  <c r="F5"/>
  <c r="V5"/>
  <c r="V522"/>
  <c r="W522"/>
  <c r="V516"/>
  <c r="W516"/>
  <c r="V509"/>
  <c r="W509"/>
  <c r="V503"/>
  <c r="W503"/>
  <c r="R377"/>
  <c r="R496"/>
  <c r="V493"/>
  <c r="W493"/>
  <c r="V487"/>
  <c r="W487"/>
  <c r="V480"/>
  <c r="W480"/>
  <c r="V474"/>
  <c r="W474"/>
  <c r="R348"/>
  <c r="R467"/>
  <c r="V464"/>
  <c r="W464"/>
  <c r="V458"/>
  <c r="W458"/>
  <c r="V451"/>
  <c r="W451"/>
  <c r="V445"/>
  <c r="W445"/>
  <c r="R319"/>
  <c r="R438"/>
  <c r="T412"/>
  <c r="T418"/>
  <c r="V432"/>
  <c r="W432"/>
  <c r="V426"/>
  <c r="W426"/>
  <c r="V419"/>
  <c r="W419"/>
  <c r="W412"/>
  <c r="V413"/>
  <c r="W413"/>
  <c r="V403"/>
  <c r="W403"/>
  <c r="V397"/>
  <c r="W397"/>
  <c r="V390"/>
  <c r="W390"/>
  <c r="V384"/>
  <c r="W384"/>
  <c r="V374"/>
  <c r="W374"/>
  <c r="V368"/>
  <c r="W368"/>
  <c r="V361"/>
  <c r="W361"/>
  <c r="V355"/>
  <c r="W355"/>
  <c r="V345"/>
  <c r="W345"/>
  <c r="V339"/>
  <c r="W339"/>
  <c r="V332"/>
  <c r="W332"/>
  <c r="V326"/>
  <c r="W326"/>
  <c r="V314"/>
  <c r="V313"/>
  <c r="V310"/>
  <c r="X142"/>
  <c r="X145" s="1"/>
  <c r="W145" s="1"/>
  <c r="X146"/>
  <c r="X152"/>
  <c r="V152"/>
  <c r="X148"/>
  <c r="X154"/>
  <c r="V154" s="1"/>
  <c r="W154" s="1"/>
  <c r="X158"/>
  <c r="X160"/>
  <c r="V160" s="1"/>
  <c r="W160" s="1"/>
  <c r="W264"/>
  <c r="W265"/>
  <c r="V146"/>
  <c r="W146" s="1"/>
  <c r="V148"/>
  <c r="W148" s="1"/>
  <c r="U148" s="1"/>
  <c r="V158"/>
  <c r="W158" s="1"/>
  <c r="Y219"/>
  <c r="W219" s="1"/>
  <c r="X219" s="1"/>
  <c r="U257"/>
  <c r="Y216"/>
  <c r="W216" s="1"/>
  <c r="X210"/>
  <c r="U70"/>
  <c r="U103"/>
  <c r="U115" s="1"/>
  <c r="U102"/>
  <c r="U114" s="1"/>
  <c r="U44"/>
  <c r="X44" s="1"/>
  <c r="V44"/>
  <c r="W44"/>
  <c r="U43"/>
  <c r="X43" s="1"/>
  <c r="V43"/>
  <c r="W43"/>
  <c r="U42"/>
  <c r="X42" s="1"/>
  <c r="V42"/>
  <c r="W42"/>
  <c r="U41"/>
  <c r="X41" s="1"/>
  <c r="V41"/>
  <c r="W41"/>
  <c r="U36"/>
  <c r="X36" s="1"/>
  <c r="V36"/>
  <c r="W36"/>
  <c r="U35"/>
  <c r="X35" s="1"/>
  <c r="V35"/>
  <c r="W35"/>
  <c r="U34"/>
  <c r="X34" s="1"/>
  <c r="V34"/>
  <c r="W34"/>
  <c r="V33"/>
  <c r="W33"/>
  <c r="X33"/>
  <c r="Y290"/>
  <c r="W290"/>
  <c r="X290" s="1"/>
  <c r="V26" i="13"/>
  <c r="V25"/>
  <c r="V24"/>
  <c r="V23"/>
  <c r="V22"/>
  <c r="Y218" s="1"/>
  <c r="V21"/>
  <c r="V20"/>
  <c r="U56" s="1"/>
  <c r="V16"/>
  <c r="V15"/>
  <c r="V14"/>
  <c r="V13"/>
  <c r="V12"/>
  <c r="V11"/>
  <c r="V19"/>
  <c r="V10"/>
  <c r="F5"/>
  <c r="V5"/>
  <c r="V309"/>
  <c r="V312"/>
  <c r="V311"/>
  <c r="U76"/>
  <c r="T531"/>
  <c r="V551"/>
  <c r="W551"/>
  <c r="V545"/>
  <c r="W545"/>
  <c r="V538"/>
  <c r="W538"/>
  <c r="V532"/>
  <c r="W532"/>
  <c r="R406"/>
  <c r="R525"/>
  <c r="V522"/>
  <c r="W522"/>
  <c r="V516"/>
  <c r="W516"/>
  <c r="V509"/>
  <c r="W509"/>
  <c r="V503"/>
  <c r="W503"/>
  <c r="R377"/>
  <c r="R496"/>
  <c r="V493"/>
  <c r="W493"/>
  <c r="V487"/>
  <c r="W487"/>
  <c r="V480"/>
  <c r="W480"/>
  <c r="V474"/>
  <c r="W474"/>
  <c r="R348"/>
  <c r="R467"/>
  <c r="V464"/>
  <c r="W464"/>
  <c r="V458"/>
  <c r="W458"/>
  <c r="V451"/>
  <c r="W451"/>
  <c r="V445"/>
  <c r="W445"/>
  <c r="R319"/>
  <c r="R438"/>
  <c r="T412"/>
  <c r="T418"/>
  <c r="T431"/>
  <c r="V432"/>
  <c r="W432"/>
  <c r="T425"/>
  <c r="W425" s="1"/>
  <c r="V426"/>
  <c r="W426"/>
  <c r="V419"/>
  <c r="W419"/>
  <c r="W412"/>
  <c r="V413"/>
  <c r="W413"/>
  <c r="V403"/>
  <c r="W403"/>
  <c r="V397"/>
  <c r="W397"/>
  <c r="V390"/>
  <c r="W390"/>
  <c r="V384"/>
  <c r="W384"/>
  <c r="V374"/>
  <c r="W374"/>
  <c r="V368"/>
  <c r="W368"/>
  <c r="V361"/>
  <c r="W361"/>
  <c r="V355"/>
  <c r="W355"/>
  <c r="V345"/>
  <c r="W345"/>
  <c r="V339"/>
  <c r="W339"/>
  <c r="V332"/>
  <c r="W332"/>
  <c r="V326"/>
  <c r="W326"/>
  <c r="V314"/>
  <c r="V313"/>
  <c r="V310"/>
  <c r="X142"/>
  <c r="X145" s="1"/>
  <c r="X146"/>
  <c r="X152"/>
  <c r="X148"/>
  <c r="X154"/>
  <c r="X158"/>
  <c r="X160"/>
  <c r="W264"/>
  <c r="W265"/>
  <c r="V146"/>
  <c r="W146" s="1"/>
  <c r="V152"/>
  <c r="W152" s="1"/>
  <c r="V148"/>
  <c r="W148" s="1"/>
  <c r="U148" s="1"/>
  <c r="V154"/>
  <c r="W154" s="1"/>
  <c r="V158"/>
  <c r="W158" s="1"/>
  <c r="V160"/>
  <c r="W160" s="1"/>
  <c r="Y219"/>
  <c r="W219" s="1"/>
  <c r="U257"/>
  <c r="Y216"/>
  <c r="Y217"/>
  <c r="W216"/>
  <c r="X216" s="1"/>
  <c r="W217"/>
  <c r="X217" s="1"/>
  <c r="X210"/>
  <c r="U77"/>
  <c r="U109"/>
  <c r="U121" s="1"/>
  <c r="U108"/>
  <c r="U120" s="1"/>
  <c r="U70"/>
  <c r="U103" s="1"/>
  <c r="U115" s="1"/>
  <c r="U102"/>
  <c r="U114"/>
  <c r="U44"/>
  <c r="X44"/>
  <c r="V44"/>
  <c r="W44"/>
  <c r="U43"/>
  <c r="X43"/>
  <c r="V43"/>
  <c r="W43"/>
  <c r="U42"/>
  <c r="X42"/>
  <c r="V42"/>
  <c r="W42"/>
  <c r="U41"/>
  <c r="X41"/>
  <c r="V41"/>
  <c r="W41"/>
  <c r="U36"/>
  <c r="X36"/>
  <c r="V36"/>
  <c r="W36"/>
  <c r="U35"/>
  <c r="X35"/>
  <c r="V35"/>
  <c r="W35"/>
  <c r="U34"/>
  <c r="X34"/>
  <c r="V34"/>
  <c r="W34"/>
  <c r="V33"/>
  <c r="W33"/>
  <c r="X33" s="1"/>
  <c r="Y290"/>
  <c r="W290" s="1"/>
  <c r="X290" s="1"/>
  <c r="G28" i="51"/>
  <c r="F59"/>
  <c r="G30"/>
  <c r="G27"/>
  <c r="G32" s="1"/>
  <c r="G33" s="1"/>
  <c r="G29"/>
  <c r="G317" s="1"/>
  <c r="H326"/>
  <c r="H315"/>
  <c r="J315" s="1"/>
  <c r="I315"/>
  <c r="H316"/>
  <c r="J316" s="1"/>
  <c r="I316"/>
  <c r="I317"/>
  <c r="I318"/>
  <c r="I319"/>
  <c r="I320"/>
  <c r="I321"/>
  <c r="I322"/>
  <c r="I323"/>
  <c r="I324"/>
  <c r="H49"/>
  <c r="F44"/>
  <c r="I44" s="1"/>
  <c r="F43"/>
  <c r="F42"/>
  <c r="I42" s="1"/>
  <c r="I139"/>
  <c r="I142"/>
  <c r="I143"/>
  <c r="I149"/>
  <c r="G149" s="1"/>
  <c r="I151"/>
  <c r="H279"/>
  <c r="G19"/>
  <c r="H280"/>
  <c r="G143"/>
  <c r="H143"/>
  <c r="G151"/>
  <c r="H151"/>
  <c r="F341"/>
  <c r="F339"/>
  <c r="F338"/>
  <c r="I336"/>
  <c r="J336" s="1"/>
  <c r="F335"/>
  <c r="I334"/>
  <c r="F334"/>
  <c r="I333"/>
  <c r="F333"/>
  <c r="I145"/>
  <c r="G145" s="1"/>
  <c r="H145" s="1"/>
  <c r="F145" s="1"/>
  <c r="J200"/>
  <c r="H200" s="1"/>
  <c r="I200" s="1"/>
  <c r="J202"/>
  <c r="H202" s="1"/>
  <c r="I202" s="1"/>
  <c r="G202" s="1"/>
  <c r="I157"/>
  <c r="G157" s="1"/>
  <c r="H157" s="1"/>
  <c r="I155"/>
  <c r="G155"/>
  <c r="H155" s="1"/>
  <c r="G49"/>
  <c r="I49" s="1"/>
  <c r="G52"/>
  <c r="G51"/>
  <c r="G50"/>
  <c r="F52"/>
  <c r="F51"/>
  <c r="F50"/>
  <c r="I50" s="1"/>
  <c r="F49"/>
  <c r="H52"/>
  <c r="H51"/>
  <c r="H50"/>
  <c r="H44"/>
  <c r="H43"/>
  <c r="H42"/>
  <c r="H41"/>
  <c r="G44"/>
  <c r="G43"/>
  <c r="G42"/>
  <c r="G41"/>
  <c r="I41" s="1"/>
  <c r="F13"/>
  <c r="F12"/>
  <c r="G23"/>
  <c r="G22"/>
  <c r="G21"/>
  <c r="G20"/>
  <c r="G18"/>
  <c r="G24"/>
  <c r="G336"/>
  <c r="F79"/>
  <c r="F111" s="1"/>
  <c r="F110"/>
  <c r="F11"/>
  <c r="I43"/>
  <c r="I52"/>
  <c r="I51"/>
  <c r="G31"/>
  <c r="E339" s="1"/>
  <c r="J203"/>
  <c r="H203" s="1"/>
  <c r="I203" s="1"/>
  <c r="H336"/>
  <c r="E335"/>
  <c r="G335" s="1"/>
  <c r="J381"/>
  <c r="H381" s="1"/>
  <c r="I381" s="1"/>
  <c r="H8"/>
  <c r="I58" s="1"/>
  <c r="I59" s="1"/>
  <c r="H58"/>
  <c r="H59" s="1"/>
  <c r="I211" s="1"/>
  <c r="G58"/>
  <c r="G59" s="1"/>
  <c r="H239"/>
  <c r="H240"/>
  <c r="I239"/>
  <c r="I240"/>
  <c r="G220"/>
  <c r="G221"/>
  <c r="G226"/>
  <c r="I199"/>
  <c r="H199"/>
  <c r="J199"/>
  <c r="H124"/>
  <c r="G124"/>
  <c r="I124"/>
  <c r="H69"/>
  <c r="I69"/>
  <c r="G78"/>
  <c r="G110" s="1"/>
  <c r="H78"/>
  <c r="H79" s="1"/>
  <c r="H111" s="1"/>
  <c r="I78"/>
  <c r="I110" s="1"/>
  <c r="G79"/>
  <c r="G111" s="1"/>
  <c r="I79"/>
  <c r="I111" s="1"/>
  <c r="V309" i="50"/>
  <c r="V312"/>
  <c r="U76"/>
  <c r="T412"/>
  <c r="U412"/>
  <c r="U418" s="1"/>
  <c r="W412"/>
  <c r="V412" s="1"/>
  <c r="V413"/>
  <c r="T425"/>
  <c r="W425" s="1"/>
  <c r="V426"/>
  <c r="V339"/>
  <c r="V368"/>
  <c r="V397"/>
  <c r="V503"/>
  <c r="V474"/>
  <c r="V445"/>
  <c r="V532"/>
  <c r="V326"/>
  <c r="V355"/>
  <c r="V384"/>
  <c r="V20" i="35"/>
  <c r="U56"/>
  <c r="U61" s="1"/>
  <c r="U62" s="1"/>
  <c r="V24"/>
  <c r="V23"/>
  <c r="Y219" s="1"/>
  <c r="W219" s="1"/>
  <c r="V21"/>
  <c r="V309"/>
  <c r="V312"/>
  <c r="U76"/>
  <c r="V311"/>
  <c r="V551"/>
  <c r="W551"/>
  <c r="V545"/>
  <c r="W545"/>
  <c r="V538"/>
  <c r="W538"/>
  <c r="V532"/>
  <c r="W532"/>
  <c r="R406"/>
  <c r="R525"/>
  <c r="F5"/>
  <c r="V5"/>
  <c r="V522"/>
  <c r="W522"/>
  <c r="V516"/>
  <c r="W516"/>
  <c r="V509"/>
  <c r="W509"/>
  <c r="V503"/>
  <c r="W503"/>
  <c r="R377"/>
  <c r="R496"/>
  <c r="V493"/>
  <c r="W493"/>
  <c r="V487"/>
  <c r="W487"/>
  <c r="V480"/>
  <c r="W480"/>
  <c r="V474"/>
  <c r="W474"/>
  <c r="R348"/>
  <c r="R467"/>
  <c r="V464"/>
  <c r="W464"/>
  <c r="V458"/>
  <c r="W458"/>
  <c r="V451"/>
  <c r="W451"/>
  <c r="V445"/>
  <c r="W445"/>
  <c r="R319"/>
  <c r="R438"/>
  <c r="T412"/>
  <c r="T418"/>
  <c r="V432"/>
  <c r="W432"/>
  <c r="T425"/>
  <c r="W425" s="1"/>
  <c r="V426"/>
  <c r="W426"/>
  <c r="V419"/>
  <c r="W419"/>
  <c r="W412"/>
  <c r="V413"/>
  <c r="W413"/>
  <c r="V403"/>
  <c r="W403"/>
  <c r="V397"/>
  <c r="W397"/>
  <c r="V390"/>
  <c r="W390"/>
  <c r="V384"/>
  <c r="W384"/>
  <c r="V374"/>
  <c r="W374"/>
  <c r="V368"/>
  <c r="W368"/>
  <c r="V361"/>
  <c r="W361"/>
  <c r="V355"/>
  <c r="W355"/>
  <c r="V345"/>
  <c r="W345"/>
  <c r="V339"/>
  <c r="W339"/>
  <c r="V332"/>
  <c r="W332"/>
  <c r="V326"/>
  <c r="W326"/>
  <c r="V314"/>
  <c r="V313"/>
  <c r="V310"/>
  <c r="X142"/>
  <c r="X145" s="1"/>
  <c r="X146"/>
  <c r="X152"/>
  <c r="X148"/>
  <c r="V148" s="1"/>
  <c r="W148" s="1"/>
  <c r="U148" s="1"/>
  <c r="X154"/>
  <c r="V11"/>
  <c r="X158"/>
  <c r="X160"/>
  <c r="W264"/>
  <c r="W265"/>
  <c r="V146"/>
  <c r="W146" s="1"/>
  <c r="V152"/>
  <c r="W152" s="1"/>
  <c r="V154"/>
  <c r="W154" s="1"/>
  <c r="V158"/>
  <c r="W158" s="1"/>
  <c r="V160"/>
  <c r="W160" s="1"/>
  <c r="U257"/>
  <c r="V25"/>
  <c r="Y216"/>
  <c r="W216" s="1"/>
  <c r="X216" s="1"/>
  <c r="V19"/>
  <c r="Y217"/>
  <c r="V22"/>
  <c r="Y218"/>
  <c r="W218" s="1"/>
  <c r="X218" s="1"/>
  <c r="V218" s="1"/>
  <c r="V227"/>
  <c r="X210"/>
  <c r="AE182"/>
  <c r="AD182"/>
  <c r="U70"/>
  <c r="U103"/>
  <c r="U115" s="1"/>
  <c r="U102"/>
  <c r="U114" s="1"/>
  <c r="U44"/>
  <c r="X44" s="1"/>
  <c r="V44"/>
  <c r="W44"/>
  <c r="U43"/>
  <c r="X43" s="1"/>
  <c r="V43"/>
  <c r="W43"/>
  <c r="U42"/>
  <c r="X42" s="1"/>
  <c r="V42"/>
  <c r="W42"/>
  <c r="U41"/>
  <c r="X41" s="1"/>
  <c r="V41"/>
  <c r="W41"/>
  <c r="U36"/>
  <c r="X36" s="1"/>
  <c r="V36"/>
  <c r="W36"/>
  <c r="U35"/>
  <c r="X35" s="1"/>
  <c r="V35"/>
  <c r="W35"/>
  <c r="U34"/>
  <c r="X34" s="1"/>
  <c r="V34"/>
  <c r="W34"/>
  <c r="V33"/>
  <c r="W33"/>
  <c r="X33"/>
  <c r="V26"/>
  <c r="V16"/>
  <c r="V15"/>
  <c r="V14"/>
  <c r="V13"/>
  <c r="V12"/>
  <c r="V10"/>
  <c r="Y290"/>
  <c r="W290" s="1"/>
  <c r="X290" s="1"/>
  <c r="I383" i="52"/>
  <c r="F1035"/>
  <c r="G1036" s="1"/>
  <c r="I1036" s="1"/>
  <c r="G1041"/>
  <c r="G1035"/>
  <c r="I1035" s="1"/>
  <c r="K1018"/>
  <c r="H1035"/>
  <c r="H1036"/>
  <c r="H1037"/>
  <c r="H1038"/>
  <c r="H1040"/>
  <c r="H1041"/>
  <c r="I1041"/>
  <c r="H1042"/>
  <c r="H1039"/>
  <c r="G1033"/>
  <c r="H1033"/>
  <c r="I1033" s="1"/>
  <c r="G1034"/>
  <c r="H1034"/>
  <c r="I1034"/>
  <c r="I387"/>
  <c r="D846"/>
  <c r="I1072"/>
  <c r="I1077"/>
  <c r="I1083"/>
  <c r="I1073"/>
  <c r="I1074"/>
  <c r="I1080"/>
  <c r="G1080" s="1"/>
  <c r="H1080" s="1"/>
  <c r="F1080" s="1"/>
  <c r="I1085"/>
  <c r="I371"/>
  <c r="G1078"/>
  <c r="H1078"/>
  <c r="G1083"/>
  <c r="H1083"/>
  <c r="G1085"/>
  <c r="H1085" s="1"/>
  <c r="H1320"/>
  <c r="H1319"/>
  <c r="I1318"/>
  <c r="I1315"/>
  <c r="H1314"/>
  <c r="H1313"/>
  <c r="G1214"/>
  <c r="G1213"/>
  <c r="G1212"/>
  <c r="J1211"/>
  <c r="G1211"/>
  <c r="G1210"/>
  <c r="J1209"/>
  <c r="G1209"/>
  <c r="J1208"/>
  <c r="G1208"/>
  <c r="I1090"/>
  <c r="G1090" s="1"/>
  <c r="H1090" s="1"/>
  <c r="I1088"/>
  <c r="G1088"/>
  <c r="H1088" s="1"/>
  <c r="I384"/>
  <c r="G1044" s="1"/>
  <c r="I386"/>
  <c r="I382"/>
  <c r="I381"/>
  <c r="I376"/>
  <c r="I375"/>
  <c r="I374"/>
  <c r="I373"/>
  <c r="F1210" s="1"/>
  <c r="H1210" s="1"/>
  <c r="I372"/>
  <c r="I370"/>
  <c r="J349"/>
  <c r="J348"/>
  <c r="J347"/>
  <c r="J1327"/>
  <c r="K1214"/>
  <c r="K1213"/>
  <c r="K1212"/>
  <c r="H1211"/>
  <c r="G517"/>
  <c r="I1257"/>
  <c r="I388"/>
  <c r="I385"/>
  <c r="F1213" s="1"/>
  <c r="I1211"/>
  <c r="K1211" s="1"/>
  <c r="F1079"/>
  <c r="Y219" i="50"/>
  <c r="W219"/>
  <c r="X219" s="1"/>
  <c r="V222"/>
  <c r="V223" s="1"/>
  <c r="V145"/>
  <c r="V146"/>
  <c r="V152"/>
  <c r="W152" s="1"/>
  <c r="V158"/>
  <c r="V160"/>
  <c r="W160" s="1"/>
  <c r="W145"/>
  <c r="W146"/>
  <c r="W158"/>
  <c r="V154"/>
  <c r="W154" s="1"/>
  <c r="V20" i="30"/>
  <c r="U56" s="1"/>
  <c r="V24"/>
  <c r="V23"/>
  <c r="V21"/>
  <c r="V309"/>
  <c r="V312"/>
  <c r="V311"/>
  <c r="U76"/>
  <c r="T531"/>
  <c r="V551"/>
  <c r="W551"/>
  <c r="V545"/>
  <c r="W545"/>
  <c r="V538"/>
  <c r="W538"/>
  <c r="V532"/>
  <c r="W532"/>
  <c r="R406"/>
  <c r="R525"/>
  <c r="F5"/>
  <c r="V5"/>
  <c r="W51"/>
  <c r="W56"/>
  <c r="W69"/>
  <c r="U309"/>
  <c r="V522"/>
  <c r="W522"/>
  <c r="V516"/>
  <c r="W516"/>
  <c r="V509"/>
  <c r="W509"/>
  <c r="V503"/>
  <c r="W503"/>
  <c r="R377"/>
  <c r="R496"/>
  <c r="V51"/>
  <c r="V56"/>
  <c r="V69"/>
  <c r="T309"/>
  <c r="V493"/>
  <c r="W493"/>
  <c r="V487"/>
  <c r="W487"/>
  <c r="V480"/>
  <c r="W480"/>
  <c r="V474"/>
  <c r="W474"/>
  <c r="R348"/>
  <c r="R467"/>
  <c r="X51"/>
  <c r="X56"/>
  <c r="X69"/>
  <c r="S309"/>
  <c r="V464"/>
  <c r="W464"/>
  <c r="V458"/>
  <c r="W458"/>
  <c r="V451"/>
  <c r="W451"/>
  <c r="V445"/>
  <c r="W445"/>
  <c r="R319"/>
  <c r="R438"/>
  <c r="T412"/>
  <c r="T418"/>
  <c r="V432"/>
  <c r="W432"/>
  <c r="T425"/>
  <c r="W425"/>
  <c r="V426"/>
  <c r="W426"/>
  <c r="V419"/>
  <c r="W419"/>
  <c r="W412"/>
  <c r="V413"/>
  <c r="W413"/>
  <c r="T383"/>
  <c r="T389" s="1"/>
  <c r="V403"/>
  <c r="W403"/>
  <c r="T396"/>
  <c r="W396" s="1"/>
  <c r="V397"/>
  <c r="W397"/>
  <c r="V390"/>
  <c r="W390"/>
  <c r="V384"/>
  <c r="W384"/>
  <c r="T354"/>
  <c r="T360" s="1"/>
  <c r="T373" s="1"/>
  <c r="V374"/>
  <c r="W374"/>
  <c r="V368"/>
  <c r="W368"/>
  <c r="V361"/>
  <c r="W361"/>
  <c r="V355"/>
  <c r="W355"/>
  <c r="T325"/>
  <c r="T331" s="1"/>
  <c r="V345"/>
  <c r="W345"/>
  <c r="T338"/>
  <c r="W338" s="1"/>
  <c r="V339"/>
  <c r="W339"/>
  <c r="V332"/>
  <c r="W332"/>
  <c r="V326"/>
  <c r="W326"/>
  <c r="V314"/>
  <c r="V313"/>
  <c r="V310"/>
  <c r="X142"/>
  <c r="X145"/>
  <c r="V145" s="1"/>
  <c r="X146"/>
  <c r="X152"/>
  <c r="V152" s="1"/>
  <c r="W152" s="1"/>
  <c r="X148"/>
  <c r="X154"/>
  <c r="V154" s="1"/>
  <c r="W154" s="1"/>
  <c r="V11"/>
  <c r="X158"/>
  <c r="V158" s="1"/>
  <c r="W158" s="1"/>
  <c r="X160"/>
  <c r="W264"/>
  <c r="W265"/>
  <c r="W145"/>
  <c r="V146"/>
  <c r="W146"/>
  <c r="V148"/>
  <c r="W148"/>
  <c r="V160"/>
  <c r="W160"/>
  <c r="Y219"/>
  <c r="W219" s="1"/>
  <c r="X219" s="1"/>
  <c r="X256"/>
  <c r="W256"/>
  <c r="W258" s="1"/>
  <c r="V256"/>
  <c r="V257" s="1"/>
  <c r="X257"/>
  <c r="U257"/>
  <c r="V25"/>
  <c r="X237"/>
  <c r="X238" s="1"/>
  <c r="W237"/>
  <c r="W238"/>
  <c r="W239" s="1"/>
  <c r="V237"/>
  <c r="V243" s="1"/>
  <c r="X249"/>
  <c r="W249"/>
  <c r="W244"/>
  <c r="W243"/>
  <c r="Y215"/>
  <c r="V19"/>
  <c r="Y217" s="1"/>
  <c r="V22"/>
  <c r="Y218" s="1"/>
  <c r="W218" s="1"/>
  <c r="X218" s="1"/>
  <c r="V218" s="1"/>
  <c r="X215"/>
  <c r="W215"/>
  <c r="X210"/>
  <c r="U148"/>
  <c r="X128"/>
  <c r="W128"/>
  <c r="V128"/>
  <c r="U77"/>
  <c r="U109" s="1"/>
  <c r="U121" s="1"/>
  <c r="U108"/>
  <c r="U120"/>
  <c r="X70"/>
  <c r="X103"/>
  <c r="X115" s="1"/>
  <c r="W70"/>
  <c r="W103" s="1"/>
  <c r="W115" s="1"/>
  <c r="V70"/>
  <c r="V103"/>
  <c r="V115" s="1"/>
  <c r="U70"/>
  <c r="U103" s="1"/>
  <c r="U115"/>
  <c r="X102"/>
  <c r="X114"/>
  <c r="W102"/>
  <c r="W114"/>
  <c r="V102"/>
  <c r="V114"/>
  <c r="U102"/>
  <c r="U114"/>
  <c r="U44"/>
  <c r="V44"/>
  <c r="W44"/>
  <c r="X44"/>
  <c r="U43"/>
  <c r="V43"/>
  <c r="W43"/>
  <c r="X43"/>
  <c r="U42"/>
  <c r="V42"/>
  <c r="W42"/>
  <c r="X42"/>
  <c r="U41"/>
  <c r="V41"/>
  <c r="W41"/>
  <c r="X41"/>
  <c r="U36"/>
  <c r="V36"/>
  <c r="W36"/>
  <c r="X36"/>
  <c r="U35"/>
  <c r="V35"/>
  <c r="W35"/>
  <c r="X35"/>
  <c r="U34"/>
  <c r="V34"/>
  <c r="W34"/>
  <c r="X34"/>
  <c r="V33"/>
  <c r="W33"/>
  <c r="X33" s="1"/>
  <c r="V26"/>
  <c r="V16"/>
  <c r="V15"/>
  <c r="V14"/>
  <c r="V13"/>
  <c r="V12"/>
  <c r="V10"/>
  <c r="Y290"/>
  <c r="W290"/>
  <c r="X290" s="1"/>
  <c r="W256" i="50"/>
  <c r="W257" s="1"/>
  <c r="V256"/>
  <c r="U258"/>
  <c r="W44"/>
  <c r="W43"/>
  <c r="W42"/>
  <c r="W41"/>
  <c r="V44"/>
  <c r="V43"/>
  <c r="V42"/>
  <c r="V41"/>
  <c r="U44"/>
  <c r="U43"/>
  <c r="X43" s="1"/>
  <c r="U42"/>
  <c r="U41"/>
  <c r="X41" s="1"/>
  <c r="W36"/>
  <c r="W35"/>
  <c r="W34"/>
  <c r="V36"/>
  <c r="V35"/>
  <c r="U36"/>
  <c r="X36" s="1"/>
  <c r="U35"/>
  <c r="U34"/>
  <c r="X34" s="1"/>
  <c r="V34"/>
  <c r="W33"/>
  <c r="X33" s="1"/>
  <c r="V33"/>
  <c r="AE182"/>
  <c r="AD182"/>
  <c r="V22"/>
  <c r="U550"/>
  <c r="V311"/>
  <c r="R406"/>
  <c r="R525"/>
  <c r="R377"/>
  <c r="R496"/>
  <c r="R348"/>
  <c r="R467"/>
  <c r="R319"/>
  <c r="R438"/>
  <c r="Y216"/>
  <c r="W216" s="1"/>
  <c r="X216"/>
  <c r="V216" s="1"/>
  <c r="V19"/>
  <c r="Y217" s="1"/>
  <c r="Y230" s="1"/>
  <c r="Y231" s="1"/>
  <c r="W217"/>
  <c r="X217" s="1"/>
  <c r="Y218"/>
  <c r="W218"/>
  <c r="X218" s="1"/>
  <c r="V218" s="1"/>
  <c r="V227"/>
  <c r="V26"/>
  <c r="V25"/>
  <c r="V16"/>
  <c r="V15"/>
  <c r="V14"/>
  <c r="V13"/>
  <c r="V12"/>
  <c r="V10"/>
  <c r="X35"/>
  <c r="X44"/>
  <c r="X42"/>
  <c r="U70"/>
  <c r="U103" s="1"/>
  <c r="U115" s="1"/>
  <c r="V310"/>
  <c r="U102"/>
  <c r="U114" s="1"/>
  <c r="X128"/>
  <c r="V128"/>
  <c r="W128"/>
  <c r="X210"/>
  <c r="Y215"/>
  <c r="Y220" s="1"/>
  <c r="W215"/>
  <c r="X215"/>
  <c r="X237"/>
  <c r="X238"/>
  <c r="V237"/>
  <c r="W237"/>
  <c r="W238" s="1"/>
  <c r="V238"/>
  <c r="V239" s="1"/>
  <c r="V245" s="1"/>
  <c r="V243"/>
  <c r="X256"/>
  <c r="X257" s="1"/>
  <c r="V257"/>
  <c r="U257"/>
  <c r="V313"/>
  <c r="V314"/>
  <c r="W326"/>
  <c r="V332"/>
  <c r="W332"/>
  <c r="W339"/>
  <c r="V345"/>
  <c r="W345"/>
  <c r="W355"/>
  <c r="V361"/>
  <c r="W361"/>
  <c r="W368"/>
  <c r="V374"/>
  <c r="W374"/>
  <c r="W384"/>
  <c r="V390"/>
  <c r="W390"/>
  <c r="W397"/>
  <c r="V403"/>
  <c r="W403"/>
  <c r="W413"/>
  <c r="T418"/>
  <c r="V419"/>
  <c r="W419"/>
  <c r="W426"/>
  <c r="T431"/>
  <c r="V432"/>
  <c r="W432"/>
  <c r="W445"/>
  <c r="V451"/>
  <c r="W451"/>
  <c r="W458"/>
  <c r="V464"/>
  <c r="W464"/>
  <c r="W474"/>
  <c r="V480"/>
  <c r="W480"/>
  <c r="W487"/>
  <c r="V493"/>
  <c r="W493"/>
  <c r="W503"/>
  <c r="V509"/>
  <c r="W509"/>
  <c r="W516"/>
  <c r="V522"/>
  <c r="W522"/>
  <c r="W532"/>
  <c r="V538"/>
  <c r="W538"/>
  <c r="W545"/>
  <c r="V551"/>
  <c r="W551"/>
  <c r="W220"/>
  <c r="W230"/>
  <c r="V219" i="30"/>
  <c r="T431"/>
  <c r="S312"/>
  <c r="X76"/>
  <c r="S314"/>
  <c r="S313"/>
  <c r="S310"/>
  <c r="S311"/>
  <c r="V61"/>
  <c r="V62"/>
  <c r="W227"/>
  <c r="U312"/>
  <c r="W76" s="1"/>
  <c r="U314"/>
  <c r="U313"/>
  <c r="U310"/>
  <c r="U311"/>
  <c r="G1077" i="52"/>
  <c r="H1077"/>
  <c r="W217" i="35"/>
  <c r="Y230"/>
  <c r="U77"/>
  <c r="U109"/>
  <c r="U121" s="1"/>
  <c r="T531"/>
  <c r="U108"/>
  <c r="U120"/>
  <c r="U412"/>
  <c r="U425" i="50"/>
  <c r="T531"/>
  <c r="U77"/>
  <c r="U109" s="1"/>
  <c r="U121" s="1"/>
  <c r="U108"/>
  <c r="U120"/>
  <c r="F70" i="51"/>
  <c r="F85"/>
  <c r="G227"/>
  <c r="G233"/>
  <c r="G222"/>
  <c r="H60"/>
  <c r="G200"/>
  <c r="H320"/>
  <c r="J320" s="1"/>
  <c r="H318"/>
  <c r="J318" s="1"/>
  <c r="F241"/>
  <c r="G211"/>
  <c r="F60"/>
  <c r="V217" i="13"/>
  <c r="T537"/>
  <c r="T544"/>
  <c r="X216" i="14"/>
  <c r="V219"/>
  <c r="U108"/>
  <c r="U120"/>
  <c r="T531"/>
  <c r="U77"/>
  <c r="U109" s="1"/>
  <c r="U121" s="1"/>
  <c r="P69" i="20"/>
  <c r="P70"/>
  <c r="P68"/>
  <c r="AR67"/>
  <c r="AD67"/>
  <c r="E139"/>
  <c r="E135"/>
  <c r="E140"/>
  <c r="E144"/>
  <c r="W82" i="4"/>
  <c r="V84"/>
  <c r="X82"/>
  <c r="X216" i="21"/>
  <c r="T431"/>
  <c r="X256"/>
  <c r="V256"/>
  <c r="W237"/>
  <c r="Y215"/>
  <c r="Y220"/>
  <c r="W51"/>
  <c r="W56"/>
  <c r="W69"/>
  <c r="V51"/>
  <c r="V56" s="1"/>
  <c r="V69"/>
  <c r="X51"/>
  <c r="X69"/>
  <c r="W256"/>
  <c r="X237"/>
  <c r="V237"/>
  <c r="X215"/>
  <c r="W215"/>
  <c r="V239" i="39"/>
  <c r="V245"/>
  <c r="V250"/>
  <c r="V244"/>
  <c r="U444"/>
  <c r="U325"/>
  <c r="X147"/>
  <c r="X153"/>
  <c r="Y222"/>
  <c r="Y223"/>
  <c r="T473"/>
  <c r="V77"/>
  <c r="V109" s="1"/>
  <c r="V121" s="1"/>
  <c r="V108"/>
  <c r="V120"/>
  <c r="W217"/>
  <c r="Y225"/>
  <c r="Y230"/>
  <c r="Y220"/>
  <c r="AN204" i="38"/>
  <c r="AM206"/>
  <c r="AM229"/>
  <c r="AM235"/>
  <c r="AM224"/>
  <c r="AK425"/>
  <c r="AL85"/>
  <c r="AL117"/>
  <c r="AL129" s="1"/>
  <c r="V25"/>
  <c r="AL116"/>
  <c r="AL128"/>
  <c r="AK295"/>
  <c r="AK291"/>
  <c r="AK293"/>
  <c r="AM84"/>
  <c r="AK292"/>
  <c r="AK294"/>
  <c r="AL69"/>
  <c r="AL70"/>
  <c r="AM212"/>
  <c r="AO202"/>
  <c r="AM430" i="37"/>
  <c r="AN249"/>
  <c r="AN244"/>
  <c r="AN250"/>
  <c r="AP249"/>
  <c r="AP244"/>
  <c r="AP250" s="1"/>
  <c r="F109" i="46"/>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AO136" i="38"/>
  <c r="D623" i="42"/>
  <c r="C623"/>
  <c r="J623"/>
  <c r="I623"/>
  <c r="J617"/>
  <c r="D617"/>
  <c r="C617"/>
  <c r="I617"/>
  <c r="D615"/>
  <c r="C615"/>
  <c r="J615"/>
  <c r="I615"/>
  <c r="J11"/>
  <c r="D11"/>
  <c r="C11"/>
  <c r="I11"/>
  <c r="D9"/>
  <c r="C9"/>
  <c r="J9"/>
  <c r="I9"/>
  <c r="W239" i="50"/>
  <c r="W245" s="1"/>
  <c r="W244"/>
  <c r="X239"/>
  <c r="X245"/>
  <c r="X244"/>
  <c r="X220"/>
  <c r="Y221"/>
  <c r="W217" i="30"/>
  <c r="W251"/>
  <c r="W245"/>
  <c r="T344"/>
  <c r="T402"/>
  <c r="X61"/>
  <c r="X62" s="1"/>
  <c r="X258"/>
  <c r="Y227"/>
  <c r="T312"/>
  <c r="V76" s="1"/>
  <c r="T314"/>
  <c r="T311"/>
  <c r="T313"/>
  <c r="T310"/>
  <c r="W61"/>
  <c r="W62" s="1"/>
  <c r="X227"/>
  <c r="T537"/>
  <c r="T544"/>
  <c r="V219" i="50"/>
  <c r="V224"/>
  <c r="F1214" i="52"/>
  <c r="H1214"/>
  <c r="H1213"/>
  <c r="V216" i="35"/>
  <c r="X219"/>
  <c r="T431"/>
  <c r="Y215"/>
  <c r="Y220" s="1"/>
  <c r="X128"/>
  <c r="V128"/>
  <c r="W51"/>
  <c r="W56" s="1"/>
  <c r="W69"/>
  <c r="V51"/>
  <c r="V56"/>
  <c r="V69"/>
  <c r="X51"/>
  <c r="X69"/>
  <c r="X256"/>
  <c r="W256"/>
  <c r="V256"/>
  <c r="X237"/>
  <c r="W237"/>
  <c r="V237"/>
  <c r="X215"/>
  <c r="W215"/>
  <c r="W220"/>
  <c r="W128"/>
  <c r="V425" i="50"/>
  <c r="I60" i="51"/>
  <c r="J211"/>
  <c r="H241"/>
  <c r="I241"/>
  <c r="G203"/>
  <c r="G142"/>
  <c r="H142"/>
  <c r="V216" i="13"/>
  <c r="X219"/>
  <c r="W145"/>
  <c r="V145"/>
  <c r="W51"/>
  <c r="W56"/>
  <c r="W69"/>
  <c r="V51"/>
  <c r="V56" s="1"/>
  <c r="V69"/>
  <c r="X51"/>
  <c r="X69"/>
  <c r="X237"/>
  <c r="W237"/>
  <c r="V237"/>
  <c r="X215"/>
  <c r="W215"/>
  <c r="X256"/>
  <c r="W256"/>
  <c r="V256"/>
  <c r="Y215"/>
  <c r="Y220"/>
  <c r="W152" i="14"/>
  <c r="T431"/>
  <c r="X256"/>
  <c r="W256"/>
  <c r="V256"/>
  <c r="Y215"/>
  <c r="Y220" s="1"/>
  <c r="W128"/>
  <c r="W51"/>
  <c r="W69"/>
  <c r="V51"/>
  <c r="V69"/>
  <c r="X51"/>
  <c r="X69"/>
  <c r="X237"/>
  <c r="W237"/>
  <c r="V237"/>
  <c r="X215"/>
  <c r="W215"/>
  <c r="X128"/>
  <c r="V128"/>
  <c r="U258"/>
  <c r="V227"/>
  <c r="U61"/>
  <c r="U62" s="1"/>
  <c r="AL73" i="20"/>
  <c r="G140"/>
  <c r="G145"/>
  <c r="I135"/>
  <c r="I140" s="1"/>
  <c r="I139"/>
  <c r="AD78" i="4"/>
  <c r="AC82"/>
  <c r="AD84" s="1"/>
  <c r="AD69"/>
  <c r="AC71"/>
  <c r="AB82"/>
  <c r="AE69"/>
  <c r="T531" i="21"/>
  <c r="U108"/>
  <c r="U120"/>
  <c r="U77"/>
  <c r="U109"/>
  <c r="U121" s="1"/>
  <c r="U531" i="39"/>
  <c r="U412"/>
  <c r="V222"/>
  <c r="V223" s="1"/>
  <c r="U147"/>
  <c r="W251"/>
  <c r="W245"/>
  <c r="X239"/>
  <c r="X251" s="1"/>
  <c r="X250"/>
  <c r="X244"/>
  <c r="T502"/>
  <c r="W108"/>
  <c r="W120"/>
  <c r="W77"/>
  <c r="W109"/>
  <c r="W121" s="1"/>
  <c r="T431"/>
  <c r="U108"/>
  <c r="U120"/>
  <c r="T531"/>
  <c r="U77"/>
  <c r="U109" s="1"/>
  <c r="U121" s="1"/>
  <c r="AL224" i="38"/>
  <c r="AL229"/>
  <c r="AL235"/>
  <c r="AN224"/>
  <c r="AN229"/>
  <c r="AN235"/>
  <c r="AK483"/>
  <c r="AN85"/>
  <c r="AN117" s="1"/>
  <c r="AN129" s="1"/>
  <c r="AN116"/>
  <c r="AN128"/>
  <c r="Z25"/>
  <c r="AN69"/>
  <c r="AN70" s="1"/>
  <c r="AO212"/>
  <c r="AM215"/>
  <c r="AM216"/>
  <c r="AN203"/>
  <c r="AO203"/>
  <c r="AP203" s="1"/>
  <c r="AO201"/>
  <c r="AO205" s="1"/>
  <c r="AO216" s="1"/>
  <c r="AN205"/>
  <c r="AK525"/>
  <c r="AK518"/>
  <c r="AL512"/>
  <c r="AP207"/>
  <c r="AP208" s="1"/>
  <c r="AO157"/>
  <c r="AB16"/>
  <c r="AB17"/>
  <c r="AL393"/>
  <c r="AP224" i="37"/>
  <c r="AM401"/>
  <c r="AN430"/>
  <c r="AQ225"/>
  <c r="AO222"/>
  <c r="AQ235"/>
  <c r="AO244"/>
  <c r="AO250" s="1"/>
  <c r="AO249"/>
  <c r="AO150"/>
  <c r="AN150"/>
  <c r="AL436"/>
  <c r="D612" i="42"/>
  <c r="C612"/>
  <c r="I612"/>
  <c r="J612"/>
  <c r="J621"/>
  <c r="D621"/>
  <c r="C621"/>
  <c r="I621"/>
  <c r="D619"/>
  <c r="C619"/>
  <c r="J619"/>
  <c r="I619"/>
  <c r="V244" i="50"/>
  <c r="W243"/>
  <c r="X243"/>
  <c r="W257" i="30"/>
  <c r="T367"/>
  <c r="J27" i="42"/>
  <c r="I27"/>
  <c r="J47"/>
  <c r="I47"/>
  <c r="J67"/>
  <c r="I67"/>
  <c r="J87"/>
  <c r="I87"/>
  <c r="J91"/>
  <c r="I91"/>
  <c r="I109"/>
  <c r="J109"/>
  <c r="J111"/>
  <c r="I111"/>
  <c r="J131"/>
  <c r="I131"/>
  <c r="J147"/>
  <c r="I147"/>
  <c r="I149"/>
  <c r="J149"/>
  <c r="J167"/>
  <c r="I167"/>
  <c r="I169"/>
  <c r="J169"/>
  <c r="J191"/>
  <c r="I191"/>
  <c r="I193"/>
  <c r="J193"/>
  <c r="J211"/>
  <c r="I211"/>
  <c r="J227"/>
  <c r="I227"/>
  <c r="I229"/>
  <c r="J229"/>
  <c r="J247"/>
  <c r="I247"/>
  <c r="I249"/>
  <c r="J249"/>
  <c r="J271"/>
  <c r="I271"/>
  <c r="I273"/>
  <c r="J273"/>
  <c r="J275"/>
  <c r="I275"/>
  <c r="I281"/>
  <c r="J281"/>
  <c r="J283"/>
  <c r="I283"/>
  <c r="I289"/>
  <c r="J289"/>
  <c r="J291"/>
  <c r="I291"/>
  <c r="I297"/>
  <c r="D297"/>
  <c r="C297"/>
  <c r="J297"/>
  <c r="J299"/>
  <c r="D299"/>
  <c r="C299"/>
  <c r="I299"/>
  <c r="I305"/>
  <c r="D305"/>
  <c r="C305"/>
  <c r="J305"/>
  <c r="J307"/>
  <c r="D307"/>
  <c r="C307"/>
  <c r="I307"/>
  <c r="I313"/>
  <c r="D313"/>
  <c r="C313"/>
  <c r="J313"/>
  <c r="J327"/>
  <c r="D327"/>
  <c r="C327"/>
  <c r="I327"/>
  <c r="I333"/>
  <c r="D333"/>
  <c r="C333"/>
  <c r="J333"/>
  <c r="J347"/>
  <c r="D347"/>
  <c r="C347"/>
  <c r="I347"/>
  <c r="I353"/>
  <c r="D353"/>
  <c r="C353"/>
  <c r="J353"/>
  <c r="J367"/>
  <c r="D367"/>
  <c r="C367"/>
  <c r="I367"/>
  <c r="I373"/>
  <c r="D373"/>
  <c r="C373"/>
  <c r="J373"/>
  <c r="J375"/>
  <c r="D375"/>
  <c r="C375"/>
  <c r="I375"/>
  <c r="J389"/>
  <c r="D389"/>
  <c r="C389"/>
  <c r="I389"/>
  <c r="I395"/>
  <c r="D395"/>
  <c r="C395"/>
  <c r="J395"/>
  <c r="J397"/>
  <c r="D397"/>
  <c r="C397"/>
  <c r="I397"/>
  <c r="J409"/>
  <c r="D409"/>
  <c r="C409"/>
  <c r="I409"/>
  <c r="I411"/>
  <c r="D411"/>
  <c r="C411"/>
  <c r="J411"/>
  <c r="J429"/>
  <c r="D429"/>
  <c r="C429"/>
  <c r="I429"/>
  <c r="I431"/>
  <c r="D431"/>
  <c r="C431"/>
  <c r="J431"/>
  <c r="I447"/>
  <c r="D447"/>
  <c r="C447"/>
  <c r="J447"/>
  <c r="J455"/>
  <c r="D455"/>
  <c r="C455"/>
  <c r="I455"/>
  <c r="I457"/>
  <c r="D457"/>
  <c r="C457"/>
  <c r="J457"/>
  <c r="J471"/>
  <c r="D471"/>
  <c r="C471"/>
  <c r="I471"/>
  <c r="I473"/>
  <c r="D473"/>
  <c r="C473"/>
  <c r="J473"/>
  <c r="J487"/>
  <c r="D487"/>
  <c r="C487"/>
  <c r="I487"/>
  <c r="I489"/>
  <c r="D489"/>
  <c r="C489"/>
  <c r="J489"/>
  <c r="J513"/>
  <c r="D513"/>
  <c r="C513"/>
  <c r="I513"/>
  <c r="I515"/>
  <c r="D515"/>
  <c r="C515"/>
  <c r="J515"/>
  <c r="J521"/>
  <c r="D521"/>
  <c r="C521"/>
  <c r="I521"/>
  <c r="I523"/>
  <c r="D523"/>
  <c r="C523"/>
  <c r="J523"/>
  <c r="J531"/>
  <c r="D531"/>
  <c r="C531"/>
  <c r="I531"/>
  <c r="I533"/>
  <c r="D533"/>
  <c r="C533"/>
  <c r="J533"/>
  <c r="J539"/>
  <c r="D539"/>
  <c r="C539"/>
  <c r="I539"/>
  <c r="I541"/>
  <c r="D541"/>
  <c r="C541"/>
  <c r="J541"/>
  <c r="J547"/>
  <c r="D547"/>
  <c r="C547"/>
  <c r="I547"/>
  <c r="I549"/>
  <c r="D549"/>
  <c r="C549"/>
  <c r="J549"/>
  <c r="J555"/>
  <c r="D555"/>
  <c r="C555"/>
  <c r="I555"/>
  <c r="I557"/>
  <c r="D557"/>
  <c r="C557"/>
  <c r="J557"/>
  <c r="J569"/>
  <c r="D569"/>
  <c r="C569"/>
  <c r="I569"/>
  <c r="I571"/>
  <c r="D571"/>
  <c r="C571"/>
  <c r="J571"/>
  <c r="J589"/>
  <c r="D589"/>
  <c r="C589"/>
  <c r="I589"/>
  <c r="I591"/>
  <c r="D591"/>
  <c r="C591"/>
  <c r="J591"/>
  <c r="J609"/>
  <c r="D609"/>
  <c r="C609"/>
  <c r="I609"/>
  <c r="I611"/>
  <c r="D611"/>
  <c r="C611"/>
  <c r="J611"/>
  <c r="J633"/>
  <c r="D633"/>
  <c r="C633"/>
  <c r="I633"/>
  <c r="I635"/>
  <c r="D635"/>
  <c r="C635"/>
  <c r="J635"/>
  <c r="I649"/>
  <c r="D649"/>
  <c r="C649"/>
  <c r="J649"/>
  <c r="J655"/>
  <c r="D655"/>
  <c r="C655"/>
  <c r="I655"/>
  <c r="I657"/>
  <c r="D657"/>
  <c r="C657"/>
  <c r="J657"/>
  <c r="I687"/>
  <c r="D687"/>
  <c r="C687"/>
  <c r="J687"/>
  <c r="J693"/>
  <c r="D693"/>
  <c r="C693"/>
  <c r="I693"/>
  <c r="I695"/>
  <c r="D695"/>
  <c r="C695"/>
  <c r="J695"/>
  <c r="J747"/>
  <c r="D747"/>
  <c r="C747"/>
  <c r="I747"/>
  <c r="J807"/>
  <c r="D807"/>
  <c r="C807"/>
  <c r="I807"/>
  <c r="J867"/>
  <c r="D867"/>
  <c r="C867"/>
  <c r="I867"/>
  <c r="J5"/>
  <c r="D5"/>
  <c r="C5"/>
  <c r="I5"/>
  <c r="I6"/>
  <c r="D6"/>
  <c r="C6"/>
  <c r="J6"/>
  <c r="J152"/>
  <c r="D152"/>
  <c r="C152"/>
  <c r="I152"/>
  <c r="J168"/>
  <c r="D168"/>
  <c r="C168"/>
  <c r="I168"/>
  <c r="J188"/>
  <c r="D188"/>
  <c r="C188"/>
  <c r="I188"/>
  <c r="I190"/>
  <c r="J190"/>
  <c r="D190"/>
  <c r="C190"/>
  <c r="J228"/>
  <c r="D228"/>
  <c r="C228"/>
  <c r="I228"/>
  <c r="I230"/>
  <c r="J230"/>
  <c r="D230"/>
  <c r="C230"/>
  <c r="J272"/>
  <c r="D272"/>
  <c r="C272"/>
  <c r="I272"/>
  <c r="I274"/>
  <c r="J274"/>
  <c r="D274"/>
  <c r="C274"/>
  <c r="J280"/>
  <c r="D280"/>
  <c r="C280"/>
  <c r="I280"/>
  <c r="I282"/>
  <c r="J282"/>
  <c r="D282"/>
  <c r="C282"/>
  <c r="J288"/>
  <c r="D288"/>
  <c r="C288"/>
  <c r="I288"/>
  <c r="I290"/>
  <c r="J290"/>
  <c r="D290"/>
  <c r="C290"/>
  <c r="J296"/>
  <c r="D296"/>
  <c r="C296"/>
  <c r="I296"/>
  <c r="I298"/>
  <c r="J298"/>
  <c r="D298"/>
  <c r="C298"/>
  <c r="J304"/>
  <c r="D304"/>
  <c r="C304"/>
  <c r="I304"/>
  <c r="I306"/>
  <c r="J306"/>
  <c r="D306"/>
  <c r="C306"/>
  <c r="J312"/>
  <c r="D312"/>
  <c r="C312"/>
  <c r="I312"/>
  <c r="I328"/>
  <c r="J328"/>
  <c r="D328"/>
  <c r="C328"/>
  <c r="J350"/>
  <c r="D350"/>
  <c r="C350"/>
  <c r="I350"/>
  <c r="I368"/>
  <c r="J368"/>
  <c r="D368"/>
  <c r="C368"/>
  <c r="J374"/>
  <c r="D374"/>
  <c r="C374"/>
  <c r="I374"/>
  <c r="I376"/>
  <c r="J376"/>
  <c r="D376"/>
  <c r="C376"/>
  <c r="J390"/>
  <c r="D390"/>
  <c r="C390"/>
  <c r="I390"/>
  <c r="I392"/>
  <c r="J392"/>
  <c r="D392"/>
  <c r="C392"/>
  <c r="I408"/>
  <c r="J408"/>
  <c r="D408"/>
  <c r="C408"/>
  <c r="J448"/>
  <c r="D448"/>
  <c r="C448"/>
  <c r="I448"/>
  <c r="I450"/>
  <c r="J450"/>
  <c r="D450"/>
  <c r="C450"/>
  <c r="J456"/>
  <c r="D456"/>
  <c r="C456"/>
  <c r="I456"/>
  <c r="J474"/>
  <c r="D474"/>
  <c r="C474"/>
  <c r="I474"/>
  <c r="I476"/>
  <c r="J476"/>
  <c r="D476"/>
  <c r="C476"/>
  <c r="J490"/>
  <c r="D490"/>
  <c r="C490"/>
  <c r="I490"/>
  <c r="I508"/>
  <c r="J508"/>
  <c r="D508"/>
  <c r="C508"/>
  <c r="J514"/>
  <c r="D514"/>
  <c r="C514"/>
  <c r="I514"/>
  <c r="I516"/>
  <c r="J516"/>
  <c r="D516"/>
  <c r="C516"/>
  <c r="J522"/>
  <c r="D522"/>
  <c r="C522"/>
  <c r="I522"/>
  <c r="I524"/>
  <c r="J524"/>
  <c r="D524"/>
  <c r="C524"/>
  <c r="J528"/>
  <c r="D528"/>
  <c r="C528"/>
  <c r="I528"/>
  <c r="I530"/>
  <c r="J530"/>
  <c r="D530"/>
  <c r="C530"/>
  <c r="J536"/>
  <c r="D536"/>
  <c r="C536"/>
  <c r="I536"/>
  <c r="I538"/>
  <c r="J538"/>
  <c r="D538"/>
  <c r="C538"/>
  <c r="J544"/>
  <c r="D544"/>
  <c r="C544"/>
  <c r="I544"/>
  <c r="I548"/>
  <c r="J548"/>
  <c r="D548"/>
  <c r="C548"/>
  <c r="J554"/>
  <c r="D554"/>
  <c r="C554"/>
  <c r="I554"/>
  <c r="I556"/>
  <c r="J556"/>
  <c r="D556"/>
  <c r="C556"/>
  <c r="J570"/>
  <c r="D570"/>
  <c r="C570"/>
  <c r="I570"/>
  <c r="I572"/>
  <c r="J572"/>
  <c r="D572"/>
  <c r="C572"/>
  <c r="J590"/>
  <c r="D590"/>
  <c r="C590"/>
  <c r="I590"/>
  <c r="I592"/>
  <c r="J592"/>
  <c r="D592"/>
  <c r="C592"/>
  <c r="G1040" i="52"/>
  <c r="I1040"/>
  <c r="G1042"/>
  <c r="I1042" s="1"/>
  <c r="V145" i="14"/>
  <c r="T425"/>
  <c r="V56"/>
  <c r="W56"/>
  <c r="K150" i="20"/>
  <c r="K58"/>
  <c r="K59" s="1"/>
  <c r="AS67" s="1"/>
  <c r="AS73" s="1"/>
  <c r="G138"/>
  <c r="G139"/>
  <c r="E150"/>
  <c r="E143"/>
  <c r="E145"/>
  <c r="I127"/>
  <c r="I143"/>
  <c r="I144"/>
  <c r="S72"/>
  <c r="Q73"/>
  <c r="Q68"/>
  <c r="R70"/>
  <c r="R72"/>
  <c r="R71"/>
  <c r="I69"/>
  <c r="S70"/>
  <c r="V71" i="4"/>
  <c r="W69"/>
  <c r="AC65"/>
  <c r="AD63"/>
  <c r="Q69"/>
  <c r="N65"/>
  <c r="N69"/>
  <c r="Q68"/>
  <c r="Q64"/>
  <c r="J19"/>
  <c r="J20"/>
  <c r="J21"/>
  <c r="Y219" i="21"/>
  <c r="V249"/>
  <c r="X249"/>
  <c r="W412"/>
  <c r="V243" i="39"/>
  <c r="X243"/>
  <c r="W244"/>
  <c r="V257"/>
  <c r="X257"/>
  <c r="Y219"/>
  <c r="V61"/>
  <c r="V62"/>
  <c r="W61"/>
  <c r="W62"/>
  <c r="V249"/>
  <c r="X249"/>
  <c r="W250"/>
  <c r="V251"/>
  <c r="T344"/>
  <c r="T373"/>
  <c r="T402"/>
  <c r="T310"/>
  <c r="S313"/>
  <c r="U313"/>
  <c r="S314"/>
  <c r="T314"/>
  <c r="U314"/>
  <c r="W412"/>
  <c r="V412" s="1"/>
  <c r="AL234" i="38"/>
  <c r="AM242"/>
  <c r="AM228"/>
  <c r="AL228"/>
  <c r="AJ292"/>
  <c r="AN417" i="37"/>
  <c r="AN419"/>
  <c r="I29" i="42"/>
  <c r="J29"/>
  <c r="J31"/>
  <c r="I31"/>
  <c r="I49"/>
  <c r="J49"/>
  <c r="J51"/>
  <c r="I51"/>
  <c r="I69"/>
  <c r="J69"/>
  <c r="J71"/>
  <c r="I71"/>
  <c r="I89"/>
  <c r="J89"/>
  <c r="J107"/>
  <c r="I107"/>
  <c r="J127"/>
  <c r="I127"/>
  <c r="I129"/>
  <c r="J129"/>
  <c r="J151"/>
  <c r="I151"/>
  <c r="I153"/>
  <c r="J153"/>
  <c r="J171"/>
  <c r="I171"/>
  <c r="J187"/>
  <c r="I187"/>
  <c r="I189"/>
  <c r="J189"/>
  <c r="J195"/>
  <c r="I195"/>
  <c r="J207"/>
  <c r="I207"/>
  <c r="I209"/>
  <c r="J209"/>
  <c r="J231"/>
  <c r="I231"/>
  <c r="I233"/>
  <c r="J233"/>
  <c r="J251"/>
  <c r="I251"/>
  <c r="J267"/>
  <c r="I267"/>
  <c r="I269"/>
  <c r="J269"/>
  <c r="I277"/>
  <c r="J277"/>
  <c r="J279"/>
  <c r="I279"/>
  <c r="I285"/>
  <c r="J285"/>
  <c r="J287"/>
  <c r="I287"/>
  <c r="I293"/>
  <c r="J293"/>
  <c r="J295"/>
  <c r="I295"/>
  <c r="I301"/>
  <c r="D301"/>
  <c r="C301"/>
  <c r="J301"/>
  <c r="J303"/>
  <c r="D303"/>
  <c r="C303"/>
  <c r="I303"/>
  <c r="I309"/>
  <c r="D309"/>
  <c r="C309"/>
  <c r="J309"/>
  <c r="J311"/>
  <c r="D311"/>
  <c r="C311"/>
  <c r="I311"/>
  <c r="I329"/>
  <c r="D329"/>
  <c r="C329"/>
  <c r="J329"/>
  <c r="J331"/>
  <c r="D331"/>
  <c r="C331"/>
  <c r="I331"/>
  <c r="I349"/>
  <c r="D349"/>
  <c r="C349"/>
  <c r="J349"/>
  <c r="J351"/>
  <c r="D351"/>
  <c r="C351"/>
  <c r="I351"/>
  <c r="I369"/>
  <c r="D369"/>
  <c r="C369"/>
  <c r="J369"/>
  <c r="J371"/>
  <c r="D371"/>
  <c r="C371"/>
  <c r="I371"/>
  <c r="I377"/>
  <c r="D377"/>
  <c r="C377"/>
  <c r="J377"/>
  <c r="J379"/>
  <c r="D379"/>
  <c r="C379"/>
  <c r="I379"/>
  <c r="I391"/>
  <c r="D391"/>
  <c r="C391"/>
  <c r="J391"/>
  <c r="J393"/>
  <c r="D393"/>
  <c r="C393"/>
  <c r="I393"/>
  <c r="I407"/>
  <c r="D407"/>
  <c r="C407"/>
  <c r="J407"/>
  <c r="I427"/>
  <c r="D427"/>
  <c r="C427"/>
  <c r="J427"/>
  <c r="J433"/>
  <c r="D433"/>
  <c r="C433"/>
  <c r="I433"/>
  <c r="I435"/>
  <c r="D435"/>
  <c r="C435"/>
  <c r="J435"/>
  <c r="J451"/>
  <c r="D451"/>
  <c r="C451"/>
  <c r="I451"/>
  <c r="I453"/>
  <c r="D453"/>
  <c r="C453"/>
  <c r="J453"/>
  <c r="J459"/>
  <c r="D459"/>
  <c r="C459"/>
  <c r="I459"/>
  <c r="J467"/>
  <c r="D467"/>
  <c r="C467"/>
  <c r="I467"/>
  <c r="I469"/>
  <c r="D469"/>
  <c r="C469"/>
  <c r="J469"/>
  <c r="J475"/>
  <c r="D475"/>
  <c r="C475"/>
  <c r="I475"/>
  <c r="I477"/>
  <c r="D477"/>
  <c r="C477"/>
  <c r="J477"/>
  <c r="J491"/>
  <c r="D491"/>
  <c r="C491"/>
  <c r="I491"/>
  <c r="J509"/>
  <c r="D509"/>
  <c r="C509"/>
  <c r="I509"/>
  <c r="I511"/>
  <c r="D511"/>
  <c r="C511"/>
  <c r="J511"/>
  <c r="J517"/>
  <c r="D517"/>
  <c r="C517"/>
  <c r="I517"/>
  <c r="I519"/>
  <c r="D519"/>
  <c r="C519"/>
  <c r="J519"/>
  <c r="J525"/>
  <c r="D525"/>
  <c r="C525"/>
  <c r="I525"/>
  <c r="I529"/>
  <c r="D529"/>
  <c r="C529"/>
  <c r="J529"/>
  <c r="J535"/>
  <c r="D535"/>
  <c r="C535"/>
  <c r="I535"/>
  <c r="I537"/>
  <c r="D537"/>
  <c r="C537"/>
  <c r="J537"/>
  <c r="J543"/>
  <c r="D543"/>
  <c r="C543"/>
  <c r="I543"/>
  <c r="I545"/>
  <c r="D545"/>
  <c r="C545"/>
  <c r="J545"/>
  <c r="J551"/>
  <c r="D551"/>
  <c r="C551"/>
  <c r="I551"/>
  <c r="I553"/>
  <c r="D553"/>
  <c r="C553"/>
  <c r="J553"/>
  <c r="I567"/>
  <c r="D567"/>
  <c r="C567"/>
  <c r="J567"/>
  <c r="J573"/>
  <c r="D573"/>
  <c r="C573"/>
  <c r="I573"/>
  <c r="I587"/>
  <c r="D587"/>
  <c r="C587"/>
  <c r="J587"/>
  <c r="J593"/>
  <c r="D593"/>
  <c r="C593"/>
  <c r="I593"/>
  <c r="I607"/>
  <c r="D607"/>
  <c r="C607"/>
  <c r="J607"/>
  <c r="J629"/>
  <c r="D629"/>
  <c r="C629"/>
  <c r="I629"/>
  <c r="I631"/>
  <c r="D631"/>
  <c r="C631"/>
  <c r="J631"/>
  <c r="J637"/>
  <c r="D637"/>
  <c r="C637"/>
  <c r="I637"/>
  <c r="I639"/>
  <c r="D639"/>
  <c r="C639"/>
  <c r="J639"/>
  <c r="J651"/>
  <c r="D651"/>
  <c r="C651"/>
  <c r="I651"/>
  <c r="I653"/>
  <c r="D653"/>
  <c r="C653"/>
  <c r="J653"/>
  <c r="J669"/>
  <c r="D669"/>
  <c r="C669"/>
  <c r="I669"/>
  <c r="I671"/>
  <c r="D671"/>
  <c r="C671"/>
  <c r="J671"/>
  <c r="J689"/>
  <c r="D689"/>
  <c r="C689"/>
  <c r="I689"/>
  <c r="I691"/>
  <c r="D691"/>
  <c r="C691"/>
  <c r="J691"/>
  <c r="J707"/>
  <c r="D707"/>
  <c r="C707"/>
  <c r="I707"/>
  <c r="I727"/>
  <c r="D727"/>
  <c r="C727"/>
  <c r="J727"/>
  <c r="J8"/>
  <c r="D8"/>
  <c r="C8"/>
  <c r="I8"/>
  <c r="J28"/>
  <c r="D28"/>
  <c r="C28"/>
  <c r="I28"/>
  <c r="J48"/>
  <c r="D48"/>
  <c r="C48"/>
  <c r="I48"/>
  <c r="J68"/>
  <c r="D68"/>
  <c r="C68"/>
  <c r="I68"/>
  <c r="J88"/>
  <c r="D88"/>
  <c r="C88"/>
  <c r="I88"/>
  <c r="J108"/>
  <c r="D108"/>
  <c r="C108"/>
  <c r="I108"/>
  <c r="J128"/>
  <c r="D128"/>
  <c r="C128"/>
  <c r="I128"/>
  <c r="J148"/>
  <c r="D148"/>
  <c r="C148"/>
  <c r="I148"/>
  <c r="I150"/>
  <c r="J150"/>
  <c r="D150"/>
  <c r="C150"/>
  <c r="J192"/>
  <c r="D192"/>
  <c r="C192"/>
  <c r="I192"/>
  <c r="J208"/>
  <c r="D208"/>
  <c r="C208"/>
  <c r="I208"/>
  <c r="I210"/>
  <c r="J210"/>
  <c r="D210"/>
  <c r="C210"/>
  <c r="J248"/>
  <c r="D248"/>
  <c r="C248"/>
  <c r="I248"/>
  <c r="J268"/>
  <c r="D268"/>
  <c r="C268"/>
  <c r="I268"/>
  <c r="I270"/>
  <c r="J270"/>
  <c r="D270"/>
  <c r="C270"/>
  <c r="J276"/>
  <c r="D276"/>
  <c r="C276"/>
  <c r="I276"/>
  <c r="I278"/>
  <c r="J278"/>
  <c r="D278"/>
  <c r="C278"/>
  <c r="J284"/>
  <c r="D284"/>
  <c r="C284"/>
  <c r="I284"/>
  <c r="I286"/>
  <c r="J286"/>
  <c r="D286"/>
  <c r="C286"/>
  <c r="J292"/>
  <c r="D292"/>
  <c r="C292"/>
  <c r="I292"/>
  <c r="I294"/>
  <c r="J294"/>
  <c r="D294"/>
  <c r="C294"/>
  <c r="J300"/>
  <c r="D300"/>
  <c r="C300"/>
  <c r="I300"/>
  <c r="I302"/>
  <c r="J302"/>
  <c r="D302"/>
  <c r="C302"/>
  <c r="J308"/>
  <c r="D308"/>
  <c r="C308"/>
  <c r="I308"/>
  <c r="I310"/>
  <c r="J310"/>
  <c r="D310"/>
  <c r="C310"/>
  <c r="J330"/>
  <c r="D330"/>
  <c r="C330"/>
  <c r="I330"/>
  <c r="I348"/>
  <c r="J348"/>
  <c r="D348"/>
  <c r="C348"/>
  <c r="J370"/>
  <c r="D370"/>
  <c r="C370"/>
  <c r="I370"/>
  <c r="I372"/>
  <c r="J372"/>
  <c r="D372"/>
  <c r="C372"/>
  <c r="J378"/>
  <c r="D378"/>
  <c r="C378"/>
  <c r="I378"/>
  <c r="I388"/>
  <c r="J388"/>
  <c r="D388"/>
  <c r="C388"/>
  <c r="J394"/>
  <c r="D394"/>
  <c r="C394"/>
  <c r="I394"/>
  <c r="I396"/>
  <c r="J396"/>
  <c r="D396"/>
  <c r="C396"/>
  <c r="I428"/>
  <c r="J428"/>
  <c r="D428"/>
  <c r="C428"/>
  <c r="J432"/>
  <c r="D432"/>
  <c r="C432"/>
  <c r="I432"/>
  <c r="I434"/>
  <c r="J434"/>
  <c r="D434"/>
  <c r="C434"/>
  <c r="J452"/>
  <c r="D452"/>
  <c r="C452"/>
  <c r="I452"/>
  <c r="I454"/>
  <c r="J454"/>
  <c r="D454"/>
  <c r="C454"/>
  <c r="J470"/>
  <c r="D470"/>
  <c r="C470"/>
  <c r="I470"/>
  <c r="I472"/>
  <c r="J472"/>
  <c r="D472"/>
  <c r="C472"/>
  <c r="I488"/>
  <c r="J488"/>
  <c r="D488"/>
  <c r="C488"/>
  <c r="J510"/>
  <c r="D510"/>
  <c r="C510"/>
  <c r="I510"/>
  <c r="I512"/>
  <c r="J512"/>
  <c r="D512"/>
  <c r="C512"/>
  <c r="J518"/>
  <c r="D518"/>
  <c r="C518"/>
  <c r="I518"/>
  <c r="I520"/>
  <c r="J520"/>
  <c r="D520"/>
  <c r="C520"/>
  <c r="J532"/>
  <c r="D532"/>
  <c r="C532"/>
  <c r="I532"/>
  <c r="I534"/>
  <c r="J534"/>
  <c r="D534"/>
  <c r="C534"/>
  <c r="J540"/>
  <c r="D540"/>
  <c r="C540"/>
  <c r="I540"/>
  <c r="I542"/>
  <c r="J542"/>
  <c r="D542"/>
  <c r="C542"/>
  <c r="J550"/>
  <c r="D550"/>
  <c r="C550"/>
  <c r="I550"/>
  <c r="I552"/>
  <c r="J552"/>
  <c r="D552"/>
  <c r="C552"/>
  <c r="I568"/>
  <c r="J568"/>
  <c r="D568"/>
  <c r="C568"/>
  <c r="I588"/>
  <c r="J588"/>
  <c r="D588"/>
  <c r="C588"/>
  <c r="I610"/>
  <c r="J610"/>
  <c r="D610"/>
  <c r="C610"/>
  <c r="J614"/>
  <c r="D614"/>
  <c r="C614"/>
  <c r="I614"/>
  <c r="I620"/>
  <c r="J620"/>
  <c r="D620"/>
  <c r="C620"/>
  <c r="J622"/>
  <c r="D622"/>
  <c r="C622"/>
  <c r="I622"/>
  <c r="I632"/>
  <c r="J632"/>
  <c r="D632"/>
  <c r="C632"/>
  <c r="I648"/>
  <c r="J648"/>
  <c r="D648"/>
  <c r="C648"/>
  <c r="J650"/>
  <c r="D650"/>
  <c r="C650"/>
  <c r="I650"/>
  <c r="I668"/>
  <c r="J668"/>
  <c r="D668"/>
  <c r="C668"/>
  <c r="I688"/>
  <c r="J688"/>
  <c r="D688"/>
  <c r="C688"/>
  <c r="I694"/>
  <c r="J694"/>
  <c r="D694"/>
  <c r="C694"/>
  <c r="J696"/>
  <c r="D696"/>
  <c r="C696"/>
  <c r="I696"/>
  <c r="H33"/>
  <c r="L31"/>
  <c r="H30"/>
  <c r="H73"/>
  <c r="L71"/>
  <c r="H70"/>
  <c r="H113"/>
  <c r="L111"/>
  <c r="H110"/>
  <c r="H130"/>
  <c r="H133"/>
  <c r="H132"/>
  <c r="L131"/>
  <c r="H194"/>
  <c r="H197"/>
  <c r="H196"/>
  <c r="L195"/>
  <c r="H352"/>
  <c r="H355"/>
  <c r="H354"/>
  <c r="L353"/>
  <c r="H458"/>
  <c r="H461"/>
  <c r="H460"/>
  <c r="L459"/>
  <c r="J608"/>
  <c r="D608"/>
  <c r="C608"/>
  <c r="I608"/>
  <c r="I616"/>
  <c r="J616"/>
  <c r="D616"/>
  <c r="C616"/>
  <c r="J618"/>
  <c r="D618"/>
  <c r="C618"/>
  <c r="I618"/>
  <c r="I628"/>
  <c r="J628"/>
  <c r="D628"/>
  <c r="C628"/>
  <c r="J630"/>
  <c r="D630"/>
  <c r="C630"/>
  <c r="I630"/>
  <c r="J634"/>
  <c r="D634"/>
  <c r="C634"/>
  <c r="I634"/>
  <c r="I636"/>
  <c r="J636"/>
  <c r="D636"/>
  <c r="C636"/>
  <c r="J654"/>
  <c r="D654"/>
  <c r="C654"/>
  <c r="I654"/>
  <c r="J692"/>
  <c r="D692"/>
  <c r="C692"/>
  <c r="I692"/>
  <c r="H13"/>
  <c r="H12"/>
  <c r="L11"/>
  <c r="H10"/>
  <c r="H53"/>
  <c r="H52"/>
  <c r="L51"/>
  <c r="H50"/>
  <c r="H93"/>
  <c r="H92"/>
  <c r="L91"/>
  <c r="H90"/>
  <c r="H170"/>
  <c r="H173"/>
  <c r="L171"/>
  <c r="H232"/>
  <c r="H235"/>
  <c r="L233"/>
  <c r="H253"/>
  <c r="H252"/>
  <c r="L251"/>
  <c r="H250"/>
  <c r="V219" i="15"/>
  <c r="W217"/>
  <c r="Y230"/>
  <c r="T431"/>
  <c r="W69"/>
  <c r="V69"/>
  <c r="X69"/>
  <c r="Y215"/>
  <c r="Y220"/>
  <c r="W215"/>
  <c r="W51"/>
  <c r="W56" s="1"/>
  <c r="X128"/>
  <c r="V128"/>
  <c r="X256"/>
  <c r="V256"/>
  <c r="W237"/>
  <c r="X215"/>
  <c r="X51"/>
  <c r="V51"/>
  <c r="V56"/>
  <c r="W128"/>
  <c r="W256"/>
  <c r="X237"/>
  <c r="V237"/>
  <c r="X219" i="16"/>
  <c r="V147"/>
  <c r="V153" s="1"/>
  <c r="U473"/>
  <c r="U354"/>
  <c r="W222"/>
  <c r="W239"/>
  <c r="W250"/>
  <c r="W244"/>
  <c r="X227"/>
  <c r="W61"/>
  <c r="W62" s="1"/>
  <c r="T402"/>
  <c r="T314"/>
  <c r="T313"/>
  <c r="T312"/>
  <c r="V76" s="1"/>
  <c r="V77" s="1"/>
  <c r="T311"/>
  <c r="T310"/>
  <c r="V217"/>
  <c r="V145"/>
  <c r="W145"/>
  <c r="V227"/>
  <c r="U258"/>
  <c r="U61"/>
  <c r="U62" s="1"/>
  <c r="V239" i="17"/>
  <c r="V245" s="1"/>
  <c r="V250"/>
  <c r="V244"/>
  <c r="V61"/>
  <c r="V62" s="1"/>
  <c r="W227"/>
  <c r="T312"/>
  <c r="V76"/>
  <c r="T311"/>
  <c r="T310"/>
  <c r="T314"/>
  <c r="T313"/>
  <c r="V227"/>
  <c r="U258"/>
  <c r="U61"/>
  <c r="U62"/>
  <c r="V219" i="18"/>
  <c r="T431"/>
  <c r="X215"/>
  <c r="X51"/>
  <c r="V51"/>
  <c r="V56" s="1"/>
  <c r="W227" s="1"/>
  <c r="W128"/>
  <c r="W256"/>
  <c r="X237"/>
  <c r="V237"/>
  <c r="W69"/>
  <c r="V69"/>
  <c r="X69"/>
  <c r="Y215"/>
  <c r="Y220"/>
  <c r="W215"/>
  <c r="W51"/>
  <c r="W56"/>
  <c r="X128"/>
  <c r="V128"/>
  <c r="X256"/>
  <c r="V256"/>
  <c r="W237"/>
  <c r="X219" i="19"/>
  <c r="U108" i="15"/>
  <c r="U120"/>
  <c r="T531"/>
  <c r="U77"/>
  <c r="U109" s="1"/>
  <c r="U121" s="1"/>
  <c r="X251" i="16"/>
  <c r="X245"/>
  <c r="T373"/>
  <c r="S314"/>
  <c r="S310"/>
  <c r="S312"/>
  <c r="X76" s="1"/>
  <c r="S311"/>
  <c r="S313"/>
  <c r="U314"/>
  <c r="U310"/>
  <c r="U312"/>
  <c r="W76" s="1"/>
  <c r="U311"/>
  <c r="U313"/>
  <c r="V216"/>
  <c r="T537"/>
  <c r="T544"/>
  <c r="W251" i="17"/>
  <c r="W245"/>
  <c r="X239"/>
  <c r="X245"/>
  <c r="X250"/>
  <c r="X244"/>
  <c r="W258"/>
  <c r="X61"/>
  <c r="X62" s="1"/>
  <c r="Y227"/>
  <c r="X258"/>
  <c r="V258"/>
  <c r="W217"/>
  <c r="T431"/>
  <c r="T537"/>
  <c r="T544"/>
  <c r="U147" i="18"/>
  <c r="U531"/>
  <c r="U412"/>
  <c r="V222"/>
  <c r="T531"/>
  <c r="U77"/>
  <c r="U109" s="1"/>
  <c r="U121" s="1"/>
  <c r="U108"/>
  <c r="U120"/>
  <c r="U531" i="19"/>
  <c r="U412"/>
  <c r="V222"/>
  <c r="V223" s="1"/>
  <c r="U147"/>
  <c r="V249" i="18"/>
  <c r="X249"/>
  <c r="W69" i="19"/>
  <c r="V69"/>
  <c r="X69"/>
  <c r="Y215"/>
  <c r="Y220" s="1"/>
  <c r="W215"/>
  <c r="W51"/>
  <c r="W56"/>
  <c r="X128"/>
  <c r="V128"/>
  <c r="X256"/>
  <c r="V256"/>
  <c r="W237"/>
  <c r="T344" i="34"/>
  <c r="T431"/>
  <c r="V217" i="33"/>
  <c r="X230"/>
  <c r="V145"/>
  <c r="W145"/>
  <c r="V227"/>
  <c r="U258"/>
  <c r="U61"/>
  <c r="U62" s="1"/>
  <c r="W217" i="22"/>
  <c r="Y230"/>
  <c r="U108"/>
  <c r="U120"/>
  <c r="T531"/>
  <c r="U77"/>
  <c r="U109" s="1"/>
  <c r="U121" s="1"/>
  <c r="X227" i="23"/>
  <c r="W61"/>
  <c r="W62"/>
  <c r="T314"/>
  <c r="T313"/>
  <c r="T312"/>
  <c r="V76"/>
  <c r="T311"/>
  <c r="T310"/>
  <c r="V145"/>
  <c r="W145"/>
  <c r="V227"/>
  <c r="U258"/>
  <c r="U61"/>
  <c r="U62"/>
  <c r="X219" i="25"/>
  <c r="V244"/>
  <c r="V239"/>
  <c r="V245" s="1"/>
  <c r="V250"/>
  <c r="X61"/>
  <c r="X62"/>
  <c r="Y227"/>
  <c r="X258"/>
  <c r="V258"/>
  <c r="T431"/>
  <c r="T544"/>
  <c r="T537"/>
  <c r="V249" i="15"/>
  <c r="X249"/>
  <c r="V258" i="16"/>
  <c r="V243" i="17"/>
  <c r="X243"/>
  <c r="W244"/>
  <c r="V257"/>
  <c r="X257"/>
  <c r="Y219"/>
  <c r="V249"/>
  <c r="X249"/>
  <c r="W250"/>
  <c r="V251"/>
  <c r="Y230" i="19"/>
  <c r="W217"/>
  <c r="T531"/>
  <c r="U108"/>
  <c r="U120"/>
  <c r="X219" i="34"/>
  <c r="W239"/>
  <c r="W244"/>
  <c r="S314"/>
  <c r="S310"/>
  <c r="S312"/>
  <c r="X76" s="1"/>
  <c r="S311"/>
  <c r="S313"/>
  <c r="U314"/>
  <c r="U310"/>
  <c r="U312"/>
  <c r="W76" s="1"/>
  <c r="U311"/>
  <c r="U313"/>
  <c r="T537"/>
  <c r="T544"/>
  <c r="V219" i="33"/>
  <c r="V216"/>
  <c r="X215"/>
  <c r="X220" s="1"/>
  <c r="X51"/>
  <c r="V51"/>
  <c r="V56"/>
  <c r="W128"/>
  <c r="W256"/>
  <c r="X237"/>
  <c r="V237"/>
  <c r="W69"/>
  <c r="V69"/>
  <c r="X69"/>
  <c r="Y215"/>
  <c r="Y220" s="1"/>
  <c r="W215"/>
  <c r="W220" s="1"/>
  <c r="W51"/>
  <c r="W56" s="1"/>
  <c r="X128"/>
  <c r="V128"/>
  <c r="X256"/>
  <c r="V256"/>
  <c r="W237"/>
  <c r="T431" i="22"/>
  <c r="W69"/>
  <c r="V69"/>
  <c r="X69"/>
  <c r="Y215"/>
  <c r="Y220"/>
  <c r="W215"/>
  <c r="W220"/>
  <c r="W51"/>
  <c r="W56"/>
  <c r="X128"/>
  <c r="V128"/>
  <c r="X256"/>
  <c r="V256"/>
  <c r="W237"/>
  <c r="X215"/>
  <c r="X51"/>
  <c r="V51"/>
  <c r="V56" s="1"/>
  <c r="W128"/>
  <c r="W256"/>
  <c r="X237"/>
  <c r="V237"/>
  <c r="X219" i="23"/>
  <c r="V147"/>
  <c r="V153"/>
  <c r="V159" s="1"/>
  <c r="U473"/>
  <c r="U354"/>
  <c r="W222"/>
  <c r="X251"/>
  <c r="X245"/>
  <c r="Y221"/>
  <c r="V216"/>
  <c r="T537"/>
  <c r="T544"/>
  <c r="X244" i="25"/>
  <c r="X239"/>
  <c r="X245"/>
  <c r="X250"/>
  <c r="V61"/>
  <c r="V62" s="1"/>
  <c r="W227"/>
  <c r="U312"/>
  <c r="W76"/>
  <c r="U311"/>
  <c r="U313"/>
  <c r="U314"/>
  <c r="U310"/>
  <c r="V227"/>
  <c r="U258"/>
  <c r="U61"/>
  <c r="U62"/>
  <c r="V249" i="34"/>
  <c r="X249"/>
  <c r="W250"/>
  <c r="V216" i="24"/>
  <c r="W152"/>
  <c r="T531"/>
  <c r="U108"/>
  <c r="U120" s="1"/>
  <c r="U77"/>
  <c r="U109" s="1"/>
  <c r="U121" s="1"/>
  <c r="V239" i="27"/>
  <c r="V245"/>
  <c r="V250"/>
  <c r="V244"/>
  <c r="W227"/>
  <c r="V61"/>
  <c r="V62" s="1"/>
  <c r="T314"/>
  <c r="T313"/>
  <c r="T312"/>
  <c r="V76"/>
  <c r="T311"/>
  <c r="T310"/>
  <c r="V216"/>
  <c r="T431"/>
  <c r="T537"/>
  <c r="T544"/>
  <c r="W230" i="33"/>
  <c r="Y219" i="22"/>
  <c r="V249"/>
  <c r="X249"/>
  <c r="W249" i="23"/>
  <c r="V250"/>
  <c r="X250"/>
  <c r="V102"/>
  <c r="V114" s="1"/>
  <c r="W102"/>
  <c r="W114" s="1"/>
  <c r="X102"/>
  <c r="X114" s="1"/>
  <c r="W243" i="25"/>
  <c r="U257"/>
  <c r="W257"/>
  <c r="V249"/>
  <c r="X249"/>
  <c r="W250"/>
  <c r="V251"/>
  <c r="S311"/>
  <c r="V219" i="24"/>
  <c r="T431"/>
  <c r="W69"/>
  <c r="V69"/>
  <c r="X69"/>
  <c r="Y215"/>
  <c r="Y220" s="1"/>
  <c r="W215"/>
  <c r="W51"/>
  <c r="W56" s="1"/>
  <c r="X128"/>
  <c r="V128"/>
  <c r="X256"/>
  <c r="V256"/>
  <c r="W237"/>
  <c r="X215"/>
  <c r="X51"/>
  <c r="V51"/>
  <c r="V56" s="1"/>
  <c r="W128"/>
  <c r="W256"/>
  <c r="X237"/>
  <c r="V237"/>
  <c r="X239" i="27"/>
  <c r="X245" s="1"/>
  <c r="X250"/>
  <c r="X244"/>
  <c r="Y227"/>
  <c r="X258"/>
  <c r="V258"/>
  <c r="W258"/>
  <c r="X61"/>
  <c r="X62" s="1"/>
  <c r="S314"/>
  <c r="S310"/>
  <c r="S312"/>
  <c r="X76" s="1"/>
  <c r="S311"/>
  <c r="S313"/>
  <c r="U314"/>
  <c r="U310"/>
  <c r="U312"/>
  <c r="W76" s="1"/>
  <c r="U311"/>
  <c r="U313"/>
  <c r="V227"/>
  <c r="U258"/>
  <c r="U61"/>
  <c r="U62"/>
  <c r="W243"/>
  <c r="U257"/>
  <c r="W257"/>
  <c r="V249"/>
  <c r="X249"/>
  <c r="W250"/>
  <c r="V251"/>
  <c r="W251" i="28"/>
  <c r="W245"/>
  <c r="X239"/>
  <c r="X245" s="1"/>
  <c r="X250"/>
  <c r="X244"/>
  <c r="X61"/>
  <c r="X62" s="1"/>
  <c r="Y227"/>
  <c r="X258"/>
  <c r="V258"/>
  <c r="V216"/>
  <c r="T544"/>
  <c r="T537"/>
  <c r="H625" i="42"/>
  <c r="H624"/>
  <c r="H399"/>
  <c r="H398"/>
  <c r="H413"/>
  <c r="H410"/>
  <c r="L411"/>
  <c r="H412"/>
  <c r="H659"/>
  <c r="L657"/>
  <c r="H656"/>
  <c r="H641"/>
  <c r="H638"/>
  <c r="H640"/>
  <c r="L639"/>
  <c r="AO66" i="36"/>
  <c r="AO67" s="1"/>
  <c r="AP232"/>
  <c r="AQ235"/>
  <c r="AO222"/>
  <c r="AM81"/>
  <c r="X251" i="28"/>
  <c r="V239"/>
  <c r="V245"/>
  <c r="V250"/>
  <c r="V244"/>
  <c r="V61"/>
  <c r="V62"/>
  <c r="W227"/>
  <c r="U258"/>
  <c r="U61"/>
  <c r="U62" s="1"/>
  <c r="V227"/>
  <c r="AO520" i="37"/>
  <c r="AN520"/>
  <c r="AN522" s="1"/>
  <c r="F13" i="31"/>
  <c r="G13" s="1"/>
  <c r="I13" s="1"/>
  <c r="G9"/>
  <c r="I9"/>
  <c r="H155" i="42"/>
  <c r="H154"/>
  <c r="H437"/>
  <c r="H436"/>
  <c r="H335"/>
  <c r="H332"/>
  <c r="H380"/>
  <c r="H381"/>
  <c r="X164" i="29"/>
  <c r="X159"/>
  <c r="AO549" i="37"/>
  <c r="AN549"/>
  <c r="AP56"/>
  <c r="AP74"/>
  <c r="V219" i="29"/>
  <c r="H492" i="42"/>
  <c r="H493"/>
  <c r="H594"/>
  <c r="H595"/>
  <c r="L593"/>
  <c r="H699"/>
  <c r="G697"/>
  <c r="F697"/>
  <c r="E697"/>
  <c r="U77" i="29"/>
  <c r="U109"/>
  <c r="U121" s="1"/>
  <c r="W70"/>
  <c r="W103" s="1"/>
  <c r="W115" s="1"/>
  <c r="U70"/>
  <c r="U103"/>
  <c r="U115" s="1"/>
  <c r="T373"/>
  <c r="T344"/>
  <c r="T367"/>
  <c r="X70"/>
  <c r="X103"/>
  <c r="X115" s="1"/>
  <c r="V70"/>
  <c r="V103" s="1"/>
  <c r="V115" s="1"/>
  <c r="T431"/>
  <c r="T402"/>
  <c r="T338"/>
  <c r="T396"/>
  <c r="T425"/>
  <c r="L690" i="42"/>
  <c r="G690"/>
  <c r="F690"/>
  <c r="E690"/>
  <c r="AM66" i="36"/>
  <c r="AM67" s="1"/>
  <c r="AN75"/>
  <c r="AN108" s="1"/>
  <c r="AN120" s="1"/>
  <c r="AO261"/>
  <c r="AP261"/>
  <c r="AN242"/>
  <c r="AO220"/>
  <c r="AO225" s="1"/>
  <c r="AO133"/>
  <c r="AP133"/>
  <c r="AN107"/>
  <c r="AN119" s="1"/>
  <c r="AN56"/>
  <c r="AN61" s="1"/>
  <c r="AP74"/>
  <c r="V69" i="50"/>
  <c r="V51"/>
  <c r="V56" s="1"/>
  <c r="X51"/>
  <c r="X69"/>
  <c r="W69"/>
  <c r="W51"/>
  <c r="W56"/>
  <c r="AN319" i="36"/>
  <c r="V243" i="28"/>
  <c r="X243"/>
  <c r="W244"/>
  <c r="V257"/>
  <c r="X257"/>
  <c r="Y219"/>
  <c r="V249"/>
  <c r="X249"/>
  <c r="W250"/>
  <c r="V251"/>
  <c r="T310"/>
  <c r="S313"/>
  <c r="S311"/>
  <c r="T311"/>
  <c r="U311"/>
  <c r="AN56" i="37"/>
  <c r="AN61"/>
  <c r="AN74"/>
  <c r="G12" i="31"/>
  <c r="I12" s="1"/>
  <c r="G11"/>
  <c r="I11" s="1"/>
  <c r="I17" s="1"/>
  <c r="H213" i="42"/>
  <c r="H652"/>
  <c r="L477"/>
  <c r="H479"/>
  <c r="U325" i="29"/>
  <c r="Y222"/>
  <c r="U444"/>
  <c r="H670" i="42"/>
  <c r="H673"/>
  <c r="H314"/>
  <c r="H315"/>
  <c r="H559"/>
  <c r="H575"/>
  <c r="H574"/>
  <c r="X239" i="29"/>
  <c r="X244"/>
  <c r="D109" i="46"/>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V128" i="29"/>
  <c r="E109" i="46"/>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W128" i="29"/>
  <c r="V61"/>
  <c r="V62"/>
  <c r="L591" i="42"/>
  <c r="X210" i="29"/>
  <c r="W249"/>
  <c r="X250"/>
  <c r="C109" i="46"/>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X128" i="29"/>
  <c r="X148" i="50"/>
  <c r="V148" s="1"/>
  <c r="W148" s="1"/>
  <c r="U148" s="1"/>
  <c r="U185" s="1"/>
  <c r="X148" i="29"/>
  <c r="V148" s="1"/>
  <c r="W148" s="1"/>
  <c r="U148" s="1"/>
  <c r="H787" i="42"/>
  <c r="H729"/>
  <c r="H728"/>
  <c r="H767"/>
  <c r="H709"/>
  <c r="W360" i="29"/>
  <c r="S312"/>
  <c r="X76"/>
  <c r="X108" s="1"/>
  <c r="X120" s="1"/>
  <c r="S311"/>
  <c r="S313"/>
  <c r="S314"/>
  <c r="S310"/>
  <c r="T312"/>
  <c r="V76"/>
  <c r="T311"/>
  <c r="T310"/>
  <c r="T314"/>
  <c r="T313"/>
  <c r="H927" i="42"/>
  <c r="W265" i="29"/>
  <c r="W264"/>
  <c r="U312"/>
  <c r="W76" s="1"/>
  <c r="T531"/>
  <c r="U108"/>
  <c r="U120"/>
  <c r="Y230"/>
  <c r="W217"/>
  <c r="AN551" i="37"/>
  <c r="L398" i="42"/>
  <c r="G398"/>
  <c r="F398"/>
  <c r="E398"/>
  <c r="G728"/>
  <c r="F728"/>
  <c r="E728"/>
  <c r="L728"/>
  <c r="H847"/>
  <c r="H789"/>
  <c r="H788"/>
  <c r="L787"/>
  <c r="G787"/>
  <c r="F787"/>
  <c r="E787"/>
  <c r="G927"/>
  <c r="F927"/>
  <c r="E927"/>
  <c r="H987"/>
  <c r="L927"/>
  <c r="T444" i="29"/>
  <c r="H827" i="42"/>
  <c r="H769"/>
  <c r="H749"/>
  <c r="L767"/>
  <c r="G767"/>
  <c r="F767"/>
  <c r="E767"/>
  <c r="H768"/>
  <c r="G729"/>
  <c r="F729"/>
  <c r="E729"/>
  <c r="H731"/>
  <c r="H730"/>
  <c r="L729"/>
  <c r="U473" i="29"/>
  <c r="W222"/>
  <c r="W223"/>
  <c r="W224" s="1"/>
  <c r="U354"/>
  <c r="V147"/>
  <c r="V153"/>
  <c r="G574" i="42"/>
  <c r="F574"/>
  <c r="E574"/>
  <c r="L574"/>
  <c r="H561"/>
  <c r="H560"/>
  <c r="L559"/>
  <c r="G559"/>
  <c r="F559"/>
  <c r="E559"/>
  <c r="G314"/>
  <c r="F314"/>
  <c r="E314"/>
  <c r="L314"/>
  <c r="L670"/>
  <c r="G670"/>
  <c r="F670"/>
  <c r="E670"/>
  <c r="Y225" i="29"/>
  <c r="Y223"/>
  <c r="H481" i="42"/>
  <c r="L479"/>
  <c r="H480"/>
  <c r="G479"/>
  <c r="F479"/>
  <c r="E479"/>
  <c r="H215"/>
  <c r="H214"/>
  <c r="H212"/>
  <c r="L213"/>
  <c r="G213"/>
  <c r="F213"/>
  <c r="E213"/>
  <c r="AN66" i="37"/>
  <c r="AN67" s="1"/>
  <c r="AO232"/>
  <c r="Y221" i="28"/>
  <c r="W219"/>
  <c r="U309" i="50"/>
  <c r="T383"/>
  <c r="W70"/>
  <c r="W103"/>
  <c r="W115" s="1"/>
  <c r="W102"/>
  <c r="W114" s="1"/>
  <c r="X56"/>
  <c r="X249"/>
  <c r="V250"/>
  <c r="W251"/>
  <c r="V249"/>
  <c r="X250"/>
  <c r="W250"/>
  <c r="V251"/>
  <c r="W249"/>
  <c r="X251"/>
  <c r="T309"/>
  <c r="T354"/>
  <c r="V70"/>
  <c r="V103" s="1"/>
  <c r="V115" s="1"/>
  <c r="V102"/>
  <c r="V114"/>
  <c r="AP262" i="36"/>
  <c r="J690" i="42"/>
  <c r="D690"/>
  <c r="C690"/>
  <c r="I690"/>
  <c r="AO542" i="37"/>
  <c r="AN542" s="1"/>
  <c r="AN544" s="1"/>
  <c r="W425" i="29"/>
  <c r="W338"/>
  <c r="W431"/>
  <c r="H701" i="42"/>
  <c r="L699"/>
  <c r="H700"/>
  <c r="H698"/>
  <c r="G699"/>
  <c r="F699"/>
  <c r="E699"/>
  <c r="H597"/>
  <c r="H596"/>
  <c r="L595"/>
  <c r="G595"/>
  <c r="F595"/>
  <c r="E595"/>
  <c r="L492"/>
  <c r="G492"/>
  <c r="F492"/>
  <c r="E492"/>
  <c r="AP61" i="37"/>
  <c r="AO256"/>
  <c r="AP255"/>
  <c r="AN255"/>
  <c r="AO254"/>
  <c r="X186" i="29"/>
  <c r="X191" s="1"/>
  <c r="X196" s="1"/>
  <c r="X165"/>
  <c r="X170"/>
  <c r="X175" s="1"/>
  <c r="X275"/>
  <c r="X276" s="1"/>
  <c r="X277" s="1"/>
  <c r="X269"/>
  <c r="X270"/>
  <c r="X271" s="1"/>
  <c r="X169"/>
  <c r="X179"/>
  <c r="L380" i="42"/>
  <c r="G380"/>
  <c r="F380"/>
  <c r="E380"/>
  <c r="H337"/>
  <c r="L335"/>
  <c r="H336"/>
  <c r="G335"/>
  <c r="F335"/>
  <c r="E335"/>
  <c r="L436"/>
  <c r="G436"/>
  <c r="F436"/>
  <c r="E436"/>
  <c r="L154"/>
  <c r="G154"/>
  <c r="F154"/>
  <c r="E154"/>
  <c r="AL536" i="36"/>
  <c r="AM113"/>
  <c r="AM125"/>
  <c r="AM82"/>
  <c r="AM114"/>
  <c r="AM126" s="1"/>
  <c r="L640" i="42"/>
  <c r="G640"/>
  <c r="F640"/>
  <c r="E640"/>
  <c r="H643"/>
  <c r="H642"/>
  <c r="L641"/>
  <c r="G641"/>
  <c r="F641"/>
  <c r="E641"/>
  <c r="H415"/>
  <c r="H414"/>
  <c r="L413"/>
  <c r="G413"/>
  <c r="F413"/>
  <c r="E413"/>
  <c r="H626"/>
  <c r="L625"/>
  <c r="G625"/>
  <c r="F625"/>
  <c r="E625"/>
  <c r="W537" i="28"/>
  <c r="T550"/>
  <c r="W360"/>
  <c r="V222" i="27"/>
  <c r="V223" s="1"/>
  <c r="U531"/>
  <c r="U412"/>
  <c r="U147"/>
  <c r="V238" i="24"/>
  <c r="V243"/>
  <c r="W257"/>
  <c r="V257"/>
  <c r="T354"/>
  <c r="V70"/>
  <c r="V103"/>
  <c r="V115" s="1"/>
  <c r="T309"/>
  <c r="V102"/>
  <c r="V114"/>
  <c r="W431"/>
  <c r="W431" i="27"/>
  <c r="V108"/>
  <c r="V120" s="1"/>
  <c r="T473"/>
  <c r="V77"/>
  <c r="V109"/>
  <c r="V121" s="1"/>
  <c r="T544" i="24"/>
  <c r="T537"/>
  <c r="W531"/>
  <c r="U531" i="25"/>
  <c r="U412"/>
  <c r="U147"/>
  <c r="V222"/>
  <c r="W537" i="23"/>
  <c r="T550"/>
  <c r="W223"/>
  <c r="W224"/>
  <c r="U479"/>
  <c r="V238" i="22"/>
  <c r="V243"/>
  <c r="W257"/>
  <c r="V257"/>
  <c r="X227"/>
  <c r="W61"/>
  <c r="W62"/>
  <c r="Y231"/>
  <c r="Y221"/>
  <c r="T354"/>
  <c r="V70"/>
  <c r="V103" s="1"/>
  <c r="V115" s="1"/>
  <c r="T309"/>
  <c r="V102"/>
  <c r="V114" s="1"/>
  <c r="W431"/>
  <c r="W238" i="33"/>
  <c r="W243"/>
  <c r="X257"/>
  <c r="S309"/>
  <c r="X102"/>
  <c r="X114"/>
  <c r="T325"/>
  <c r="X70"/>
  <c r="X103" s="1"/>
  <c r="X115" s="1"/>
  <c r="U309"/>
  <c r="W102"/>
  <c r="W114" s="1"/>
  <c r="W70"/>
  <c r="W103" s="1"/>
  <c r="W115" s="1"/>
  <c r="T383"/>
  <c r="X238"/>
  <c r="X243"/>
  <c r="X250"/>
  <c r="W249"/>
  <c r="X56"/>
  <c r="W250"/>
  <c r="X249"/>
  <c r="V249"/>
  <c r="W544" i="34"/>
  <c r="W537"/>
  <c r="T550"/>
  <c r="W251"/>
  <c r="W245"/>
  <c r="V219"/>
  <c r="T537" i="19"/>
  <c r="T544"/>
  <c r="W531"/>
  <c r="V531"/>
  <c r="V533" s="1"/>
  <c r="W219" i="17"/>
  <c r="W537" i="25"/>
  <c r="T550"/>
  <c r="W431"/>
  <c r="U444"/>
  <c r="U325"/>
  <c r="X147"/>
  <c r="X153" s="1"/>
  <c r="Y222"/>
  <c r="V219"/>
  <c r="U147" i="23"/>
  <c r="U531"/>
  <c r="U412"/>
  <c r="V222"/>
  <c r="V223" s="1"/>
  <c r="V224" s="1"/>
  <c r="V164"/>
  <c r="V185"/>
  <c r="V108"/>
  <c r="V120"/>
  <c r="T473"/>
  <c r="V77"/>
  <c r="V109" s="1"/>
  <c r="V121" s="1"/>
  <c r="T537" i="22"/>
  <c r="T544"/>
  <c r="W531"/>
  <c r="X217"/>
  <c r="W230"/>
  <c r="W238" i="19"/>
  <c r="W249"/>
  <c r="W243"/>
  <c r="X257"/>
  <c r="X258"/>
  <c r="W220"/>
  <c r="S309"/>
  <c r="T325"/>
  <c r="X102"/>
  <c r="X114" s="1"/>
  <c r="X70"/>
  <c r="X103" s="1"/>
  <c r="X115" s="1"/>
  <c r="U309"/>
  <c r="T383"/>
  <c r="W102"/>
  <c r="W114"/>
  <c r="W70"/>
  <c r="W103"/>
  <c r="W115" s="1"/>
  <c r="U537"/>
  <c r="U418" i="18"/>
  <c r="V412"/>
  <c r="V414" s="1"/>
  <c r="W544" i="17"/>
  <c r="W431"/>
  <c r="X251"/>
  <c r="W544" i="16"/>
  <c r="W360"/>
  <c r="T537" i="15"/>
  <c r="T544"/>
  <c r="W531"/>
  <c r="W238" i="18"/>
  <c r="W243"/>
  <c r="X257"/>
  <c r="S309"/>
  <c r="X102"/>
  <c r="X114"/>
  <c r="T325"/>
  <c r="X70"/>
  <c r="X103" s="1"/>
  <c r="X115" s="1"/>
  <c r="U309"/>
  <c r="W102"/>
  <c r="W114" s="1"/>
  <c r="W70"/>
  <c r="W103" s="1"/>
  <c r="W115" s="1"/>
  <c r="T383"/>
  <c r="X238"/>
  <c r="X250" s="1"/>
  <c r="X243"/>
  <c r="W249"/>
  <c r="X56"/>
  <c r="W431"/>
  <c r="W402" i="16"/>
  <c r="W251"/>
  <c r="W245"/>
  <c r="W223"/>
  <c r="W224" s="1"/>
  <c r="W225"/>
  <c r="U479"/>
  <c r="V238" i="15"/>
  <c r="V243"/>
  <c r="W257"/>
  <c r="V61"/>
  <c r="V62"/>
  <c r="W227"/>
  <c r="X220"/>
  <c r="V257"/>
  <c r="Y231"/>
  <c r="Y221"/>
  <c r="T354"/>
  <c r="V70"/>
  <c r="V103" s="1"/>
  <c r="V115" s="1"/>
  <c r="T309"/>
  <c r="V102"/>
  <c r="V114" s="1"/>
  <c r="W431"/>
  <c r="X217"/>
  <c r="W230"/>
  <c r="L250" i="42"/>
  <c r="G250"/>
  <c r="F250"/>
  <c r="E250"/>
  <c r="L252"/>
  <c r="G252"/>
  <c r="F252"/>
  <c r="E252"/>
  <c r="H237"/>
  <c r="H236"/>
  <c r="L235"/>
  <c r="G235"/>
  <c r="F235"/>
  <c r="E235"/>
  <c r="H175"/>
  <c r="H174"/>
  <c r="L173"/>
  <c r="G173"/>
  <c r="F173"/>
  <c r="E173"/>
  <c r="L90"/>
  <c r="G90"/>
  <c r="F90"/>
  <c r="E90"/>
  <c r="L92"/>
  <c r="G92"/>
  <c r="F92"/>
  <c r="E92"/>
  <c r="L50"/>
  <c r="G50"/>
  <c r="F50"/>
  <c r="E50"/>
  <c r="L52"/>
  <c r="G52"/>
  <c r="F52"/>
  <c r="E52"/>
  <c r="L10"/>
  <c r="G10"/>
  <c r="F10"/>
  <c r="E10"/>
  <c r="L12"/>
  <c r="G12"/>
  <c r="F12"/>
  <c r="E12"/>
  <c r="L460"/>
  <c r="G460"/>
  <c r="F460"/>
  <c r="E460"/>
  <c r="L458"/>
  <c r="G458"/>
  <c r="F458"/>
  <c r="E458"/>
  <c r="L354"/>
  <c r="G354"/>
  <c r="F354"/>
  <c r="E354"/>
  <c r="L352"/>
  <c r="G352"/>
  <c r="F352"/>
  <c r="E352"/>
  <c r="L196"/>
  <c r="G196"/>
  <c r="F196"/>
  <c r="E196"/>
  <c r="L194"/>
  <c r="G194"/>
  <c r="F194"/>
  <c r="E194"/>
  <c r="L132"/>
  <c r="G132"/>
  <c r="F132"/>
  <c r="E132"/>
  <c r="L130"/>
  <c r="G130"/>
  <c r="F130"/>
  <c r="E130"/>
  <c r="H115"/>
  <c r="H114"/>
  <c r="L113"/>
  <c r="G113"/>
  <c r="F113"/>
  <c r="E113"/>
  <c r="H75"/>
  <c r="H74"/>
  <c r="L73"/>
  <c r="G73"/>
  <c r="F73"/>
  <c r="E73"/>
  <c r="H35"/>
  <c r="H34"/>
  <c r="L33"/>
  <c r="G33"/>
  <c r="F33"/>
  <c r="E33"/>
  <c r="AN256" i="37"/>
  <c r="AP254"/>
  <c r="W373" i="39"/>
  <c r="U502"/>
  <c r="U383"/>
  <c r="X222"/>
  <c r="X223" s="1"/>
  <c r="W147"/>
  <c r="W153" s="1"/>
  <c r="Y224"/>
  <c r="W219"/>
  <c r="X227" i="14"/>
  <c r="W61"/>
  <c r="W62" s="1"/>
  <c r="W425"/>
  <c r="AO169" i="37"/>
  <c r="AO190"/>
  <c r="AQ236"/>
  <c r="AQ226"/>
  <c r="AM407"/>
  <c r="AL399" i="38"/>
  <c r="AM393"/>
  <c r="AM395"/>
  <c r="AL518"/>
  <c r="AN525"/>
  <c r="AN206"/>
  <c r="Z28"/>
  <c r="AA25"/>
  <c r="AA28"/>
  <c r="AN230"/>
  <c r="AN236"/>
  <c r="AN341"/>
  <c r="T537" i="39"/>
  <c r="W531"/>
  <c r="T544"/>
  <c r="V531"/>
  <c r="V533"/>
  <c r="U537"/>
  <c r="AD82" i="4"/>
  <c r="AC84"/>
  <c r="AE82"/>
  <c r="AL80" i="20"/>
  <c r="V238" i="14"/>
  <c r="V243"/>
  <c r="X238"/>
  <c r="X250"/>
  <c r="X243"/>
  <c r="X56"/>
  <c r="W258" s="1"/>
  <c r="X249"/>
  <c r="V249"/>
  <c r="V250"/>
  <c r="W249"/>
  <c r="W257"/>
  <c r="W431"/>
  <c r="W128" i="13"/>
  <c r="V257"/>
  <c r="X257"/>
  <c r="X128"/>
  <c r="W238"/>
  <c r="W243"/>
  <c r="T325"/>
  <c r="S309"/>
  <c r="X70"/>
  <c r="X103" s="1"/>
  <c r="X115" s="1"/>
  <c r="X102"/>
  <c r="X114"/>
  <c r="T354"/>
  <c r="T309"/>
  <c r="V70"/>
  <c r="V103"/>
  <c r="V115" s="1"/>
  <c r="V102"/>
  <c r="V114" s="1"/>
  <c r="T383"/>
  <c r="W70"/>
  <c r="W103"/>
  <c r="W115" s="1"/>
  <c r="U309"/>
  <c r="W102"/>
  <c r="W114"/>
  <c r="V219"/>
  <c r="I144" i="51"/>
  <c r="I150"/>
  <c r="J206"/>
  <c r="W221" i="35"/>
  <c r="V238"/>
  <c r="V243"/>
  <c r="X238"/>
  <c r="X243"/>
  <c r="W257"/>
  <c r="S309"/>
  <c r="T325"/>
  <c r="X70"/>
  <c r="X103" s="1"/>
  <c r="X115" s="1"/>
  <c r="X102"/>
  <c r="X114"/>
  <c r="T309"/>
  <c r="T354"/>
  <c r="V70"/>
  <c r="V103"/>
  <c r="V115" s="1"/>
  <c r="V102"/>
  <c r="V114" s="1"/>
  <c r="U309"/>
  <c r="W70"/>
  <c r="W103"/>
  <c r="W115" s="1"/>
  <c r="T383"/>
  <c r="W102"/>
  <c r="W114"/>
  <c r="V219"/>
  <c r="U164" i="50"/>
  <c r="T550" i="30"/>
  <c r="W537"/>
  <c r="X217"/>
  <c r="AN432" i="37"/>
  <c r="AM436"/>
  <c r="AP202" i="38"/>
  <c r="AP210" s="1"/>
  <c r="AP213" s="1"/>
  <c r="AO215"/>
  <c r="AL425"/>
  <c r="AM207"/>
  <c r="AL157"/>
  <c r="AL162"/>
  <c r="AL306"/>
  <c r="V16"/>
  <c r="V17" s="1"/>
  <c r="AM230"/>
  <c r="AM236"/>
  <c r="AO204"/>
  <c r="X217" i="39"/>
  <c r="W230"/>
  <c r="W220"/>
  <c r="U331"/>
  <c r="V238" i="21"/>
  <c r="V250"/>
  <c r="V243"/>
  <c r="W257"/>
  <c r="X56"/>
  <c r="X258"/>
  <c r="W249"/>
  <c r="V61"/>
  <c r="V62" s="1"/>
  <c r="W227"/>
  <c r="X227"/>
  <c r="W61"/>
  <c r="W62" s="1"/>
  <c r="X128"/>
  <c r="W238"/>
  <c r="W243"/>
  <c r="X257"/>
  <c r="W431"/>
  <c r="V216"/>
  <c r="AU67" i="20"/>
  <c r="AT67" s="1"/>
  <c r="AR73"/>
  <c r="AR80"/>
  <c r="W544" i="13"/>
  <c r="G206" i="51"/>
  <c r="G207" s="1"/>
  <c r="G208" s="1"/>
  <c r="F144"/>
  <c r="G228"/>
  <c r="G234"/>
  <c r="T544" i="50"/>
  <c r="W531"/>
  <c r="V531" s="1"/>
  <c r="V533" s="1"/>
  <c r="D1288" i="52"/>
  <c r="D366" i="51" s="1"/>
  <c r="T537" i="50"/>
  <c r="U431"/>
  <c r="V427"/>
  <c r="U418" i="35"/>
  <c r="X217"/>
  <c r="W230"/>
  <c r="W231"/>
  <c r="T444" i="30"/>
  <c r="X77"/>
  <c r="X109"/>
  <c r="X121" s="1"/>
  <c r="X108"/>
  <c r="X120" s="1"/>
  <c r="W431"/>
  <c r="W360"/>
  <c r="X217" i="29"/>
  <c r="W225"/>
  <c r="T537"/>
  <c r="W531"/>
  <c r="T544"/>
  <c r="T473"/>
  <c r="V108"/>
  <c r="V120" s="1"/>
  <c r="V77"/>
  <c r="V109" s="1"/>
  <c r="V121" s="1"/>
  <c r="G709" i="42"/>
  <c r="F709"/>
  <c r="E709"/>
  <c r="H708"/>
  <c r="H711"/>
  <c r="H710"/>
  <c r="L709"/>
  <c r="X245" i="29"/>
  <c r="X251"/>
  <c r="H577" i="42"/>
  <c r="H576"/>
  <c r="L575"/>
  <c r="G575"/>
  <c r="F575"/>
  <c r="E575"/>
  <c r="H558"/>
  <c r="H317"/>
  <c r="H316"/>
  <c r="L315"/>
  <c r="G315"/>
  <c r="F315"/>
  <c r="E315"/>
  <c r="H675"/>
  <c r="H674"/>
  <c r="L673"/>
  <c r="H672"/>
  <c r="G673"/>
  <c r="F673"/>
  <c r="E673"/>
  <c r="U450" i="29"/>
  <c r="U331"/>
  <c r="H478" i="42"/>
  <c r="L652"/>
  <c r="G652"/>
  <c r="F652"/>
  <c r="E652"/>
  <c r="AL314" i="37"/>
  <c r="AL359"/>
  <c r="AN107"/>
  <c r="AN119"/>
  <c r="AN75"/>
  <c r="AN108"/>
  <c r="AN120" s="1"/>
  <c r="W61" i="50"/>
  <c r="W62" s="1"/>
  <c r="W258"/>
  <c r="X227"/>
  <c r="S309"/>
  <c r="T325"/>
  <c r="X70"/>
  <c r="X103" s="1"/>
  <c r="X115" s="1"/>
  <c r="X102"/>
  <c r="X114"/>
  <c r="AP107" i="36"/>
  <c r="AP119" s="1"/>
  <c r="AK314"/>
  <c r="AL330"/>
  <c r="AP75"/>
  <c r="AP108" s="1"/>
  <c r="AP120" s="1"/>
  <c r="AN248"/>
  <c r="AN243"/>
  <c r="AO262"/>
  <c r="W396" i="29"/>
  <c r="W402"/>
  <c r="W367"/>
  <c r="W373"/>
  <c r="J697" i="42"/>
  <c r="D697"/>
  <c r="C697"/>
  <c r="I697"/>
  <c r="L594"/>
  <c r="G594"/>
  <c r="F594"/>
  <c r="E594"/>
  <c r="H495"/>
  <c r="H494"/>
  <c r="L493"/>
  <c r="G493"/>
  <c r="F493"/>
  <c r="E493"/>
  <c r="AK314" i="37"/>
  <c r="AL330"/>
  <c r="AP107"/>
  <c r="AP119" s="1"/>
  <c r="AP75"/>
  <c r="AP108" s="1"/>
  <c r="AP120" s="1"/>
  <c r="X185" i="29"/>
  <c r="H383" i="42"/>
  <c r="L381"/>
  <c r="G381"/>
  <c r="F381"/>
  <c r="E381"/>
  <c r="L332"/>
  <c r="G332"/>
  <c r="F332"/>
  <c r="E332"/>
  <c r="H334"/>
  <c r="H439"/>
  <c r="H438"/>
  <c r="L437"/>
  <c r="G437"/>
  <c r="F437"/>
  <c r="E437"/>
  <c r="H157"/>
  <c r="H156"/>
  <c r="L155"/>
  <c r="G155"/>
  <c r="F155"/>
  <c r="E155"/>
  <c r="U473" i="28"/>
  <c r="U354"/>
  <c r="W222"/>
  <c r="V147"/>
  <c r="V153" s="1"/>
  <c r="AP222" i="36"/>
  <c r="AO235"/>
  <c r="L638" i="42"/>
  <c r="G638"/>
  <c r="F638"/>
  <c r="E638"/>
  <c r="L656"/>
  <c r="G656"/>
  <c r="F656"/>
  <c r="E656"/>
  <c r="H661"/>
  <c r="H660"/>
  <c r="L659"/>
  <c r="H658"/>
  <c r="G659"/>
  <c r="F659"/>
  <c r="E659"/>
  <c r="L412"/>
  <c r="G412"/>
  <c r="F412"/>
  <c r="E412"/>
  <c r="L410"/>
  <c r="G410"/>
  <c r="F410"/>
  <c r="E410"/>
  <c r="H401"/>
  <c r="H400"/>
  <c r="L399"/>
  <c r="G399"/>
  <c r="F399"/>
  <c r="E399"/>
  <c r="L624"/>
  <c r="G624"/>
  <c r="F624"/>
  <c r="E624"/>
  <c r="W544" i="28"/>
  <c r="X251" i="27"/>
  <c r="X238" i="24"/>
  <c r="X250" s="1"/>
  <c r="X243"/>
  <c r="X56"/>
  <c r="X249"/>
  <c r="V249"/>
  <c r="V250"/>
  <c r="W249"/>
  <c r="W243"/>
  <c r="W238"/>
  <c r="X258"/>
  <c r="X257"/>
  <c r="T325"/>
  <c r="X70"/>
  <c r="X103"/>
  <c r="X115" s="1"/>
  <c r="S309"/>
  <c r="X102"/>
  <c r="X114"/>
  <c r="T383"/>
  <c r="U309"/>
  <c r="W102"/>
  <c r="W114"/>
  <c r="W70"/>
  <c r="W103"/>
  <c r="W115" s="1"/>
  <c r="W219" i="22"/>
  <c r="W544" i="27"/>
  <c r="W537"/>
  <c r="T550"/>
  <c r="T502" i="25"/>
  <c r="W108"/>
  <c r="W120" s="1"/>
  <c r="W77"/>
  <c r="W109" s="1"/>
  <c r="W121" s="1"/>
  <c r="X251"/>
  <c r="W544" i="23"/>
  <c r="U360"/>
  <c r="V219"/>
  <c r="X238" i="22"/>
  <c r="X243"/>
  <c r="X56"/>
  <c r="X250"/>
  <c r="V250"/>
  <c r="W249"/>
  <c r="W238"/>
  <c r="W243"/>
  <c r="X257"/>
  <c r="X258"/>
  <c r="W231"/>
  <c r="W221"/>
  <c r="T325"/>
  <c r="X70"/>
  <c r="X103" s="1"/>
  <c r="X115" s="1"/>
  <c r="S309"/>
  <c r="X102"/>
  <c r="X114" s="1"/>
  <c r="T383"/>
  <c r="U309"/>
  <c r="W102"/>
  <c r="W114" s="1"/>
  <c r="W70"/>
  <c r="W103" s="1"/>
  <c r="W115" s="1"/>
  <c r="V258" i="33"/>
  <c r="V257"/>
  <c r="T309"/>
  <c r="V102"/>
  <c r="V114"/>
  <c r="T354"/>
  <c r="V70"/>
  <c r="V103" s="1"/>
  <c r="V115" s="1"/>
  <c r="V238"/>
  <c r="V243"/>
  <c r="W257"/>
  <c r="W258"/>
  <c r="W227"/>
  <c r="V61"/>
  <c r="V62" s="1"/>
  <c r="V220"/>
  <c r="V221" s="1"/>
  <c r="X217" i="19"/>
  <c r="W230"/>
  <c r="W544" i="25"/>
  <c r="W147" i="23"/>
  <c r="W153" s="1"/>
  <c r="W159" s="1"/>
  <c r="W165" s="1"/>
  <c r="W170" s="1"/>
  <c r="W175" s="1"/>
  <c r="U502"/>
  <c r="U383"/>
  <c r="X222"/>
  <c r="W431" i="34"/>
  <c r="V257" i="19"/>
  <c r="V258"/>
  <c r="X227"/>
  <c r="W61"/>
  <c r="W62" s="1"/>
  <c r="T309"/>
  <c r="T354"/>
  <c r="V102"/>
  <c r="V114" s="1"/>
  <c r="V70"/>
  <c r="V103" s="1"/>
  <c r="V115" s="1"/>
  <c r="U418"/>
  <c r="V412"/>
  <c r="V414" s="1"/>
  <c r="W531" i="18"/>
  <c r="V531" s="1"/>
  <c r="V533" s="1"/>
  <c r="T537"/>
  <c r="T544"/>
  <c r="V223"/>
  <c r="V224"/>
  <c r="U537"/>
  <c r="W537" i="17"/>
  <c r="T550"/>
  <c r="X217"/>
  <c r="U325"/>
  <c r="W537" i="16"/>
  <c r="T550"/>
  <c r="W108"/>
  <c r="W120" s="1"/>
  <c r="W373"/>
  <c r="V219" i="19"/>
  <c r="V224" s="1"/>
  <c r="V258" i="18"/>
  <c r="V257"/>
  <c r="X227"/>
  <c r="W61"/>
  <c r="W62"/>
  <c r="Y221"/>
  <c r="T309"/>
  <c r="V102"/>
  <c r="V114" s="1"/>
  <c r="T354"/>
  <c r="V70"/>
  <c r="V103"/>
  <c r="V115" s="1"/>
  <c r="V238"/>
  <c r="V250" s="1"/>
  <c r="V243"/>
  <c r="W257"/>
  <c r="W258"/>
  <c r="V61"/>
  <c r="V62" s="1"/>
  <c r="U531" i="17"/>
  <c r="U412"/>
  <c r="V222"/>
  <c r="V223" s="1"/>
  <c r="U147"/>
  <c r="T473"/>
  <c r="V77"/>
  <c r="V109" s="1"/>
  <c r="V121"/>
  <c r="V108"/>
  <c r="V120"/>
  <c r="U354"/>
  <c r="U531" i="16"/>
  <c r="V222"/>
  <c r="V223" s="1"/>
  <c r="V164"/>
  <c r="V108"/>
  <c r="V120" s="1"/>
  <c r="T473"/>
  <c r="V109"/>
  <c r="V121" s="1"/>
  <c r="U360"/>
  <c r="V219"/>
  <c r="V224"/>
  <c r="X238" i="15"/>
  <c r="X243"/>
  <c r="X56"/>
  <c r="X250"/>
  <c r="V250"/>
  <c r="W249"/>
  <c r="W238"/>
  <c r="W243"/>
  <c r="X257"/>
  <c r="X258"/>
  <c r="W220"/>
  <c r="T325"/>
  <c r="X70"/>
  <c r="X103"/>
  <c r="X115" s="1"/>
  <c r="S309"/>
  <c r="X102"/>
  <c r="X114"/>
  <c r="T383"/>
  <c r="U309"/>
  <c r="W102"/>
  <c r="W114"/>
  <c r="W70"/>
  <c r="W103"/>
  <c r="W115" s="1"/>
  <c r="H255" i="42"/>
  <c r="H254"/>
  <c r="L253"/>
  <c r="G253"/>
  <c r="F253"/>
  <c r="E253"/>
  <c r="H234"/>
  <c r="L232"/>
  <c r="G232"/>
  <c r="F232"/>
  <c r="E232"/>
  <c r="H172"/>
  <c r="L170"/>
  <c r="G170"/>
  <c r="F170"/>
  <c r="E170"/>
  <c r="H95"/>
  <c r="H94"/>
  <c r="L93"/>
  <c r="G93"/>
  <c r="F93"/>
  <c r="E93"/>
  <c r="H55"/>
  <c r="H54"/>
  <c r="L53"/>
  <c r="G53"/>
  <c r="F53"/>
  <c r="E53"/>
  <c r="H15"/>
  <c r="H14"/>
  <c r="L13"/>
  <c r="G13"/>
  <c r="F13"/>
  <c r="E13"/>
  <c r="H463"/>
  <c r="H462"/>
  <c r="L461"/>
  <c r="G461"/>
  <c r="F461"/>
  <c r="E461"/>
  <c r="H357"/>
  <c r="H356"/>
  <c r="L355"/>
  <c r="G355"/>
  <c r="F355"/>
  <c r="E355"/>
  <c r="H199"/>
  <c r="H198"/>
  <c r="L197"/>
  <c r="G197"/>
  <c r="F197"/>
  <c r="E197"/>
  <c r="H135"/>
  <c r="H134"/>
  <c r="L133"/>
  <c r="G133"/>
  <c r="F133"/>
  <c r="E133"/>
  <c r="L110"/>
  <c r="G110"/>
  <c r="F110"/>
  <c r="E110"/>
  <c r="H112"/>
  <c r="L70"/>
  <c r="G70"/>
  <c r="F70"/>
  <c r="E70"/>
  <c r="H72"/>
  <c r="L30"/>
  <c r="G30"/>
  <c r="F30"/>
  <c r="E30"/>
  <c r="H32"/>
  <c r="AO255" i="37"/>
  <c r="AN254"/>
  <c r="W402" i="39"/>
  <c r="U473"/>
  <c r="U354"/>
  <c r="W222"/>
  <c r="W223" s="1"/>
  <c r="W224" s="1"/>
  <c r="V147"/>
  <c r="V153"/>
  <c r="W219" i="21"/>
  <c r="AT69" i="20"/>
  <c r="V61" i="14"/>
  <c r="V62" s="1"/>
  <c r="W227"/>
  <c r="W367" i="30"/>
  <c r="AO436" i="37"/>
  <c r="AN436" s="1"/>
  <c r="AN438" s="1"/>
  <c r="AP222"/>
  <c r="AO235"/>
  <c r="AP256"/>
  <c r="AN224"/>
  <c r="AN229" s="1"/>
  <c r="AP229"/>
  <c r="AK531" i="38"/>
  <c r="AN518"/>
  <c r="AM518" s="1"/>
  <c r="AM520" s="1"/>
  <c r="AP201"/>
  <c r="AK489"/>
  <c r="AK496"/>
  <c r="AL230"/>
  <c r="AL236"/>
  <c r="W431" i="39"/>
  <c r="T515"/>
  <c r="T508"/>
  <c r="V414"/>
  <c r="U418"/>
  <c r="T537" i="21"/>
  <c r="W531"/>
  <c r="T544"/>
  <c r="V222" i="14"/>
  <c r="U147"/>
  <c r="U531"/>
  <c r="U412"/>
  <c r="W238"/>
  <c r="W243"/>
  <c r="S309"/>
  <c r="X70"/>
  <c r="X103"/>
  <c r="X115" s="1"/>
  <c r="X102"/>
  <c r="X114" s="1"/>
  <c r="T325"/>
  <c r="T309"/>
  <c r="V70"/>
  <c r="V103" s="1"/>
  <c r="V115" s="1"/>
  <c r="V102"/>
  <c r="V114"/>
  <c r="T354"/>
  <c r="U309"/>
  <c r="W102"/>
  <c r="W114"/>
  <c r="T383"/>
  <c r="W70"/>
  <c r="W103" s="1"/>
  <c r="W115" s="1"/>
  <c r="V258"/>
  <c r="V257"/>
  <c r="X258"/>
  <c r="X257"/>
  <c r="Y221" i="13"/>
  <c r="W257"/>
  <c r="V128"/>
  <c r="V243"/>
  <c r="V238"/>
  <c r="V250" s="1"/>
  <c r="X243"/>
  <c r="X238"/>
  <c r="W249"/>
  <c r="X56"/>
  <c r="W250"/>
  <c r="X249"/>
  <c r="V249"/>
  <c r="V61"/>
  <c r="V62"/>
  <c r="W227"/>
  <c r="W61"/>
  <c r="W62" s="1"/>
  <c r="X227"/>
  <c r="X220" i="35"/>
  <c r="W238"/>
  <c r="W250" s="1"/>
  <c r="W243"/>
  <c r="V257"/>
  <c r="X257"/>
  <c r="X56"/>
  <c r="X249"/>
  <c r="V249"/>
  <c r="X250"/>
  <c r="V250"/>
  <c r="W249"/>
  <c r="V61"/>
  <c r="V62"/>
  <c r="W227"/>
  <c r="X227"/>
  <c r="W61"/>
  <c r="W62" s="1"/>
  <c r="W431"/>
  <c r="W544" i="30"/>
  <c r="T473"/>
  <c r="V77"/>
  <c r="V109" s="1"/>
  <c r="V121" s="1"/>
  <c r="V108"/>
  <c r="V120" s="1"/>
  <c r="W402"/>
  <c r="X221" i="50"/>
  <c r="AO225" i="37"/>
  <c r="AN401"/>
  <c r="AN403" s="1"/>
  <c r="AN215" i="38"/>
  <c r="AN216" s="1"/>
  <c r="AK454"/>
  <c r="AM116"/>
  <c r="AM128" s="1"/>
  <c r="X25"/>
  <c r="AM85"/>
  <c r="AM117" s="1"/>
  <c r="AM129" s="1"/>
  <c r="V28"/>
  <c r="W25"/>
  <c r="W28" s="1"/>
  <c r="AK431"/>
  <c r="AK438"/>
  <c r="Y231" i="39"/>
  <c r="Y221"/>
  <c r="Y229" s="1"/>
  <c r="Y226"/>
  <c r="Y228"/>
  <c r="T486"/>
  <c r="T479"/>
  <c r="X159"/>
  <c r="X164"/>
  <c r="X185"/>
  <c r="U450"/>
  <c r="W360"/>
  <c r="W128" i="21"/>
  <c r="X238"/>
  <c r="X243"/>
  <c r="S309"/>
  <c r="X70"/>
  <c r="X103" s="1"/>
  <c r="X115" s="1"/>
  <c r="T325"/>
  <c r="X102"/>
  <c r="X114" s="1"/>
  <c r="T309"/>
  <c r="V70"/>
  <c r="V103" s="1"/>
  <c r="V115" s="1"/>
  <c r="T354"/>
  <c r="V102"/>
  <c r="V114" s="1"/>
  <c r="U309"/>
  <c r="T383"/>
  <c r="W102"/>
  <c r="W114" s="1"/>
  <c r="W70"/>
  <c r="W103" s="1"/>
  <c r="W115" s="1"/>
  <c r="V128"/>
  <c r="Y221"/>
  <c r="V257"/>
  <c r="V258"/>
  <c r="AD73" i="20"/>
  <c r="AG67"/>
  <c r="AD80"/>
  <c r="I145"/>
  <c r="T537" i="14"/>
  <c r="T544"/>
  <c r="W531"/>
  <c r="V531" s="1"/>
  <c r="V533" s="1"/>
  <c r="V216"/>
  <c r="T550" i="13"/>
  <c r="W537"/>
  <c r="H144" i="51"/>
  <c r="H150" s="1"/>
  <c r="I206"/>
  <c r="F86"/>
  <c r="F117" s="1"/>
  <c r="F116"/>
  <c r="T537" i="35"/>
  <c r="T544"/>
  <c r="W531"/>
  <c r="V412"/>
  <c r="V414" s="1"/>
  <c r="T502" i="30"/>
  <c r="W108"/>
  <c r="W120"/>
  <c r="W77"/>
  <c r="W109" s="1"/>
  <c r="W121" s="1"/>
  <c r="U473"/>
  <c r="U479" s="1"/>
  <c r="U354"/>
  <c r="V147"/>
  <c r="V153"/>
  <c r="W222"/>
  <c r="W223" s="1"/>
  <c r="W224" s="1"/>
  <c r="W373"/>
  <c r="V258" i="50"/>
  <c r="V217"/>
  <c r="X230"/>
  <c r="X231"/>
  <c r="W231"/>
  <c r="W221"/>
  <c r="U164" i="18"/>
  <c r="U185"/>
  <c r="L316" i="42"/>
  <c r="G316"/>
  <c r="F316"/>
  <c r="E316"/>
  <c r="F258" i="51"/>
  <c r="F161"/>
  <c r="L560" i="42"/>
  <c r="G560"/>
  <c r="F560"/>
  <c r="E560"/>
  <c r="L674"/>
  <c r="G674"/>
  <c r="F674"/>
  <c r="E674"/>
  <c r="L710"/>
  <c r="G710"/>
  <c r="F710"/>
  <c r="E710"/>
  <c r="L596"/>
  <c r="G596"/>
  <c r="F596"/>
  <c r="E596"/>
  <c r="V225" i="50"/>
  <c r="V220"/>
  <c r="V221"/>
  <c r="V229"/>
  <c r="V231" s="1"/>
  <c r="V159" i="30"/>
  <c r="V185"/>
  <c r="V164"/>
  <c r="W544" i="35"/>
  <c r="W550" i="13"/>
  <c r="T389" i="21"/>
  <c r="T396"/>
  <c r="X190" i="39"/>
  <c r="AD186"/>
  <c r="X186"/>
  <c r="X165"/>
  <c r="X170" s="1"/>
  <c r="X175" s="1"/>
  <c r="AN438" i="38"/>
  <c r="X221" i="35"/>
  <c r="X61" i="13"/>
  <c r="X62" s="1"/>
  <c r="Y227"/>
  <c r="X239"/>
  <c r="X244"/>
  <c r="V239"/>
  <c r="V244"/>
  <c r="W258"/>
  <c r="T360" i="14"/>
  <c r="T367"/>
  <c r="W354"/>
  <c r="T331"/>
  <c r="T338"/>
  <c r="W325"/>
  <c r="U418"/>
  <c r="V414"/>
  <c r="V412"/>
  <c r="U425" i="39"/>
  <c r="W515"/>
  <c r="AK502" i="38"/>
  <c r="AP205"/>
  <c r="AP211"/>
  <c r="AP225" i="37"/>
  <c r="AN222"/>
  <c r="AP235"/>
  <c r="AP230"/>
  <c r="AS80" i="20"/>
  <c r="U479" i="39"/>
  <c r="I30" i="42"/>
  <c r="J30"/>
  <c r="D30"/>
  <c r="C30"/>
  <c r="L72"/>
  <c r="G72"/>
  <c r="F72"/>
  <c r="E72"/>
  <c r="I110"/>
  <c r="J110"/>
  <c r="D110"/>
  <c r="C110"/>
  <c r="I133"/>
  <c r="J133"/>
  <c r="D133"/>
  <c r="C133"/>
  <c r="L134"/>
  <c r="G134"/>
  <c r="F134"/>
  <c r="E134"/>
  <c r="I197"/>
  <c r="J197"/>
  <c r="D197"/>
  <c r="C197"/>
  <c r="L198"/>
  <c r="G198"/>
  <c r="F198"/>
  <c r="E198"/>
  <c r="J355"/>
  <c r="D355"/>
  <c r="C355"/>
  <c r="I355"/>
  <c r="L356"/>
  <c r="G356"/>
  <c r="F356"/>
  <c r="E356"/>
  <c r="I461"/>
  <c r="D461"/>
  <c r="C461"/>
  <c r="J461"/>
  <c r="L462"/>
  <c r="G462"/>
  <c r="F462"/>
  <c r="E462"/>
  <c r="D13"/>
  <c r="C13"/>
  <c r="J13"/>
  <c r="I13"/>
  <c r="L14"/>
  <c r="G14"/>
  <c r="F14"/>
  <c r="E14"/>
  <c r="I53"/>
  <c r="J53"/>
  <c r="D53"/>
  <c r="C53"/>
  <c r="L54"/>
  <c r="G54"/>
  <c r="F54"/>
  <c r="E54"/>
  <c r="I93"/>
  <c r="J93"/>
  <c r="D93"/>
  <c r="C93"/>
  <c r="L94"/>
  <c r="G94"/>
  <c r="F94"/>
  <c r="E94"/>
  <c r="I170"/>
  <c r="J170"/>
  <c r="D170"/>
  <c r="C170"/>
  <c r="L172"/>
  <c r="G172"/>
  <c r="F172"/>
  <c r="E172"/>
  <c r="I253"/>
  <c r="J253"/>
  <c r="D253"/>
  <c r="C253"/>
  <c r="L254"/>
  <c r="G254"/>
  <c r="F254"/>
  <c r="E254"/>
  <c r="U312" i="15"/>
  <c r="W76"/>
  <c r="U311"/>
  <c r="U313"/>
  <c r="U314"/>
  <c r="U310"/>
  <c r="W231"/>
  <c r="W221"/>
  <c r="W239"/>
  <c r="W244"/>
  <c r="W250"/>
  <c r="V269" i="16"/>
  <c r="V270"/>
  <c r="V271"/>
  <c r="V169"/>
  <c r="V275"/>
  <c r="V276"/>
  <c r="V277" s="1"/>
  <c r="V283" s="1"/>
  <c r="U418" i="17"/>
  <c r="V412"/>
  <c r="V414"/>
  <c r="V147" i="18"/>
  <c r="V153"/>
  <c r="U473"/>
  <c r="U354"/>
  <c r="W222"/>
  <c r="W147"/>
  <c r="W153"/>
  <c r="U502"/>
  <c r="U383"/>
  <c r="X222"/>
  <c r="W550" i="16"/>
  <c r="U331" i="17"/>
  <c r="V217"/>
  <c r="W550"/>
  <c r="W537" i="18"/>
  <c r="T550"/>
  <c r="V537"/>
  <c r="T360" i="19"/>
  <c r="T367"/>
  <c r="W354"/>
  <c r="U502"/>
  <c r="U383"/>
  <c r="X222"/>
  <c r="X223"/>
  <c r="X224"/>
  <c r="W147"/>
  <c r="W153"/>
  <c r="X223" i="23"/>
  <c r="X224"/>
  <c r="U508"/>
  <c r="W185"/>
  <c r="W186"/>
  <c r="W191"/>
  <c r="W196" s="1"/>
  <c r="V217" i="19"/>
  <c r="X230"/>
  <c r="X225"/>
  <c r="X220"/>
  <c r="V239" i="33"/>
  <c r="V244"/>
  <c r="T360"/>
  <c r="W354"/>
  <c r="T367"/>
  <c r="T314"/>
  <c r="T313"/>
  <c r="T312"/>
  <c r="V76" s="1"/>
  <c r="T311"/>
  <c r="T310"/>
  <c r="U312" i="22"/>
  <c r="W76" s="1"/>
  <c r="U311"/>
  <c r="U313"/>
  <c r="U314"/>
  <c r="U310"/>
  <c r="X61"/>
  <c r="X62" s="1"/>
  <c r="Y227"/>
  <c r="X239"/>
  <c r="X244"/>
  <c r="U164" i="23"/>
  <c r="U185"/>
  <c r="U367"/>
  <c r="W550" i="27"/>
  <c r="U312" i="24"/>
  <c r="W76"/>
  <c r="U311"/>
  <c r="U313"/>
  <c r="U314"/>
  <c r="U310"/>
  <c r="W239"/>
  <c r="W244"/>
  <c r="W250"/>
  <c r="H403" i="42"/>
  <c r="H402"/>
  <c r="L401"/>
  <c r="G401"/>
  <c r="F401"/>
  <c r="E401"/>
  <c r="J659"/>
  <c r="D659"/>
  <c r="C659"/>
  <c r="I659"/>
  <c r="H663"/>
  <c r="H662"/>
  <c r="L661"/>
  <c r="G661"/>
  <c r="F661"/>
  <c r="E661"/>
  <c r="AP235" i="36"/>
  <c r="AN222"/>
  <c r="W223" i="28"/>
  <c r="U479"/>
  <c r="J155" i="42"/>
  <c r="I155"/>
  <c r="D155"/>
  <c r="C155"/>
  <c r="L156"/>
  <c r="G156"/>
  <c r="F156"/>
  <c r="E156"/>
  <c r="J437"/>
  <c r="D437"/>
  <c r="C437"/>
  <c r="I437"/>
  <c r="L438"/>
  <c r="G438"/>
  <c r="F438"/>
  <c r="E438"/>
  <c r="L334"/>
  <c r="G334"/>
  <c r="F334"/>
  <c r="E334"/>
  <c r="L383"/>
  <c r="H385"/>
  <c r="G383"/>
  <c r="F383"/>
  <c r="E383"/>
  <c r="AL336" i="37"/>
  <c r="AO330"/>
  <c r="AL343"/>
  <c r="I493" i="42"/>
  <c r="D493"/>
  <c r="C493"/>
  <c r="J493"/>
  <c r="L494"/>
  <c r="G494"/>
  <c r="F494"/>
  <c r="E494"/>
  <c r="J594"/>
  <c r="D594"/>
  <c r="C594"/>
  <c r="I594"/>
  <c r="AO330" i="36"/>
  <c r="AL343"/>
  <c r="AL336"/>
  <c r="S312" i="50"/>
  <c r="X76"/>
  <c r="S314"/>
  <c r="S311"/>
  <c r="S310"/>
  <c r="S313"/>
  <c r="AL365" i="37"/>
  <c r="AO359"/>
  <c r="AN359" s="1"/>
  <c r="AL372"/>
  <c r="I652" i="42"/>
  <c r="J652"/>
  <c r="D652"/>
  <c r="C652"/>
  <c r="L478"/>
  <c r="G478"/>
  <c r="F478"/>
  <c r="E478"/>
  <c r="U457" i="29"/>
  <c r="L672" i="42"/>
  <c r="G672"/>
  <c r="F672"/>
  <c r="E672"/>
  <c r="J315"/>
  <c r="D315"/>
  <c r="C315"/>
  <c r="I315"/>
  <c r="L558"/>
  <c r="G558"/>
  <c r="F558"/>
  <c r="E558"/>
  <c r="H579"/>
  <c r="L577"/>
  <c r="H578"/>
  <c r="G577"/>
  <c r="F577"/>
  <c r="E577"/>
  <c r="L708"/>
  <c r="G708"/>
  <c r="F708"/>
  <c r="E708"/>
  <c r="T479" i="29"/>
  <c r="T486"/>
  <c r="W226"/>
  <c r="W228"/>
  <c r="V217"/>
  <c r="U425" i="35"/>
  <c r="W544" i="50"/>
  <c r="V544" s="1"/>
  <c r="V546" s="1"/>
  <c r="D1273" i="52"/>
  <c r="D354" i="51" s="1"/>
  <c r="AU80" i="20"/>
  <c r="AT80" s="1"/>
  <c r="U473" i="21"/>
  <c r="U354"/>
  <c r="W222"/>
  <c r="V147"/>
  <c r="V153"/>
  <c r="W231" i="39"/>
  <c r="W221"/>
  <c r="W229" s="1"/>
  <c r="X230"/>
  <c r="X225"/>
  <c r="V217"/>
  <c r="X220"/>
  <c r="AL173" i="38"/>
  <c r="AL178" s="1"/>
  <c r="AL179" s="1"/>
  <c r="AL180" s="1"/>
  <c r="AL167"/>
  <c r="AL431"/>
  <c r="W225" i="30"/>
  <c r="U269" i="50"/>
  <c r="U270"/>
  <c r="U271" s="1"/>
  <c r="U275"/>
  <c r="U276"/>
  <c r="U277" s="1"/>
  <c r="U169"/>
  <c r="U179"/>
  <c r="T360" i="35"/>
  <c r="T367"/>
  <c r="W354"/>
  <c r="V354" s="1"/>
  <c r="T331"/>
  <c r="T338"/>
  <c r="W325"/>
  <c r="J207" i="51"/>
  <c r="U312" i="13"/>
  <c r="W76"/>
  <c r="U314"/>
  <c r="U313"/>
  <c r="U310"/>
  <c r="U311"/>
  <c r="T389"/>
  <c r="T396"/>
  <c r="T360"/>
  <c r="T367"/>
  <c r="T331"/>
  <c r="T338"/>
  <c r="W239"/>
  <c r="W244"/>
  <c r="AL86" i="20"/>
  <c r="U544" i="39"/>
  <c r="AO195" i="37"/>
  <c r="AV190"/>
  <c r="U508" i="39"/>
  <c r="H37" i="42"/>
  <c r="H36"/>
  <c r="L35"/>
  <c r="G35"/>
  <c r="F35"/>
  <c r="E35"/>
  <c r="H77"/>
  <c r="H76"/>
  <c r="L75"/>
  <c r="G75"/>
  <c r="F75"/>
  <c r="E75"/>
  <c r="H117"/>
  <c r="H116"/>
  <c r="L115"/>
  <c r="G115"/>
  <c r="F115"/>
  <c r="E115"/>
  <c r="H177"/>
  <c r="H176"/>
  <c r="L175"/>
  <c r="G175"/>
  <c r="F175"/>
  <c r="E175"/>
  <c r="H239"/>
  <c r="H238"/>
  <c r="L237"/>
  <c r="G237"/>
  <c r="F237"/>
  <c r="E237"/>
  <c r="X230" i="15"/>
  <c r="V217"/>
  <c r="T312"/>
  <c r="V76" s="1"/>
  <c r="T311"/>
  <c r="T310"/>
  <c r="T314"/>
  <c r="T313"/>
  <c r="T367"/>
  <c r="T360"/>
  <c r="W354"/>
  <c r="V354" s="1"/>
  <c r="W228" i="16"/>
  <c r="W226"/>
  <c r="V225"/>
  <c r="Y227" i="18"/>
  <c r="X61"/>
  <c r="X62" s="1"/>
  <c r="X239"/>
  <c r="X244"/>
  <c r="U314"/>
  <c r="U310"/>
  <c r="U312"/>
  <c r="W76" s="1"/>
  <c r="U311"/>
  <c r="U313"/>
  <c r="T331"/>
  <c r="W325"/>
  <c r="T338"/>
  <c r="S314"/>
  <c r="S310"/>
  <c r="S312"/>
  <c r="X76"/>
  <c r="S311"/>
  <c r="S313"/>
  <c r="X258"/>
  <c r="W239"/>
  <c r="W244"/>
  <c r="W250"/>
  <c r="W537" i="15"/>
  <c r="T550"/>
  <c r="U425" i="18"/>
  <c r="T389" i="19"/>
  <c r="T396"/>
  <c r="W383"/>
  <c r="V383" s="1"/>
  <c r="T331"/>
  <c r="T338"/>
  <c r="W325"/>
  <c r="W231"/>
  <c r="W221"/>
  <c r="W544" i="22"/>
  <c r="V269" i="23"/>
  <c r="V270" s="1"/>
  <c r="V271" s="1"/>
  <c r="V169"/>
  <c r="V275"/>
  <c r="V276" s="1"/>
  <c r="V277" s="1"/>
  <c r="U418"/>
  <c r="V412"/>
  <c r="V414" s="1"/>
  <c r="X159" i="25"/>
  <c r="X164"/>
  <c r="X185"/>
  <c r="U450"/>
  <c r="W550"/>
  <c r="X219" i="17"/>
  <c r="W537" i="19"/>
  <c r="V537" s="1"/>
  <c r="V539" s="1"/>
  <c r="T550"/>
  <c r="W550" i="34"/>
  <c r="T389" i="33"/>
  <c r="W383"/>
  <c r="T396"/>
  <c r="T312" i="22"/>
  <c r="V76"/>
  <c r="T311"/>
  <c r="T310"/>
  <c r="T314"/>
  <c r="T313"/>
  <c r="T367"/>
  <c r="T360"/>
  <c r="W354"/>
  <c r="W550" i="23"/>
  <c r="U537" i="25"/>
  <c r="W544" i="24"/>
  <c r="T479" i="27"/>
  <c r="T486"/>
  <c r="U418"/>
  <c r="V412"/>
  <c r="V414" s="1"/>
  <c r="J413" i="42"/>
  <c r="D413"/>
  <c r="C413"/>
  <c r="I413"/>
  <c r="L414"/>
  <c r="G414"/>
  <c r="F414"/>
  <c r="E414"/>
  <c r="J641"/>
  <c r="D641"/>
  <c r="C641"/>
  <c r="I641"/>
  <c r="L642"/>
  <c r="G642"/>
  <c r="F642"/>
  <c r="E642"/>
  <c r="I640"/>
  <c r="J640"/>
  <c r="D640"/>
  <c r="C640"/>
  <c r="AO536" i="36"/>
  <c r="AL549"/>
  <c r="AL542"/>
  <c r="I154" i="42"/>
  <c r="J154"/>
  <c r="D154"/>
  <c r="C154"/>
  <c r="J436"/>
  <c r="D436"/>
  <c r="C436"/>
  <c r="I436"/>
  <c r="J335"/>
  <c r="D335"/>
  <c r="C335"/>
  <c r="I335"/>
  <c r="I380"/>
  <c r="J380"/>
  <c r="D380"/>
  <c r="C380"/>
  <c r="X283" i="29"/>
  <c r="AP66" i="37"/>
  <c r="AP67"/>
  <c r="AO263"/>
  <c r="AQ232"/>
  <c r="AP263"/>
  <c r="AN263"/>
  <c r="I492" i="42"/>
  <c r="J492"/>
  <c r="D492"/>
  <c r="C492"/>
  <c r="I595"/>
  <c r="D595"/>
  <c r="C595"/>
  <c r="J595"/>
  <c r="J699"/>
  <c r="D699"/>
  <c r="C699"/>
  <c r="I699"/>
  <c r="G700"/>
  <c r="F700"/>
  <c r="E700"/>
  <c r="L700"/>
  <c r="H703"/>
  <c r="H702"/>
  <c r="L701"/>
  <c r="G701"/>
  <c r="F701"/>
  <c r="E701"/>
  <c r="T367" i="50"/>
  <c r="W354"/>
  <c r="T360"/>
  <c r="W383"/>
  <c r="V383" s="1"/>
  <c r="T396"/>
  <c r="T389"/>
  <c r="X219" i="28"/>
  <c r="W224"/>
  <c r="AM478" i="37"/>
  <c r="AN152"/>
  <c r="AN158" s="1"/>
  <c r="Y15"/>
  <c r="AM359"/>
  <c r="AO227"/>
  <c r="L214" i="42"/>
  <c r="G214"/>
  <c r="F214"/>
  <c r="E214"/>
  <c r="J479"/>
  <c r="D479"/>
  <c r="C479"/>
  <c r="I479"/>
  <c r="Y224" i="29"/>
  <c r="J670" i="42"/>
  <c r="D670"/>
  <c r="C670"/>
  <c r="I670"/>
  <c r="J559"/>
  <c r="D559"/>
  <c r="C559"/>
  <c r="I559"/>
  <c r="V159" i="29"/>
  <c r="H733" i="42"/>
  <c r="H732"/>
  <c r="L731"/>
  <c r="G731"/>
  <c r="F731"/>
  <c r="E731"/>
  <c r="L768"/>
  <c r="G768"/>
  <c r="F768"/>
  <c r="E768"/>
  <c r="H771"/>
  <c r="L769"/>
  <c r="H770"/>
  <c r="G769"/>
  <c r="F769"/>
  <c r="E769"/>
  <c r="T450" i="29"/>
  <c r="T457"/>
  <c r="L987" i="42"/>
  <c r="G987"/>
  <c r="F987"/>
  <c r="E987"/>
  <c r="W383" i="27"/>
  <c r="W383" i="25"/>
  <c r="W383" i="17"/>
  <c r="I787" i="42"/>
  <c r="D787"/>
  <c r="C787"/>
  <c r="J787"/>
  <c r="AO388" i="37"/>
  <c r="AN388" s="1"/>
  <c r="AN390" s="1"/>
  <c r="W383" i="30"/>
  <c r="W383" i="39"/>
  <c r="V383"/>
  <c r="V385" s="1"/>
  <c r="W383" i="16"/>
  <c r="W383" i="34"/>
  <c r="AN364" i="38"/>
  <c r="W383" i="29"/>
  <c r="L788" i="42"/>
  <c r="G788"/>
  <c r="F788"/>
  <c r="E788"/>
  <c r="H907"/>
  <c r="H849"/>
  <c r="H848"/>
  <c r="L847"/>
  <c r="G847"/>
  <c r="F847"/>
  <c r="E847"/>
  <c r="I728"/>
  <c r="J728"/>
  <c r="D728"/>
  <c r="C728"/>
  <c r="T550" i="14"/>
  <c r="W537"/>
  <c r="V537" s="1"/>
  <c r="U360" i="30"/>
  <c r="T508"/>
  <c r="T515"/>
  <c r="T550" i="35"/>
  <c r="W537"/>
  <c r="I207" i="51"/>
  <c r="W544" i="14"/>
  <c r="AG80" i="20"/>
  <c r="AG73"/>
  <c r="AD86"/>
  <c r="U311" i="21"/>
  <c r="U312"/>
  <c r="W76" s="1"/>
  <c r="U314"/>
  <c r="U313"/>
  <c r="U310"/>
  <c r="T360"/>
  <c r="T367"/>
  <c r="T311"/>
  <c r="T313"/>
  <c r="T310"/>
  <c r="T312"/>
  <c r="V76"/>
  <c r="T314"/>
  <c r="T331"/>
  <c r="T338"/>
  <c r="S311"/>
  <c r="S312"/>
  <c r="X76" s="1"/>
  <c r="S314"/>
  <c r="S313"/>
  <c r="S310"/>
  <c r="X239"/>
  <c r="X244"/>
  <c r="U457" i="39"/>
  <c r="X269"/>
  <c r="X270"/>
  <c r="X271"/>
  <c r="X169"/>
  <c r="X179"/>
  <c r="X275"/>
  <c r="X276"/>
  <c r="X277"/>
  <c r="T492"/>
  <c r="W486"/>
  <c r="AK444" i="38"/>
  <c r="AM243"/>
  <c r="AN243"/>
  <c r="AL243"/>
  <c r="X28"/>
  <c r="Y25"/>
  <c r="Y28" s="1"/>
  <c r="AK460"/>
  <c r="AK467"/>
  <c r="AO236" i="37"/>
  <c r="AO226"/>
  <c r="T479" i="30"/>
  <c r="T486"/>
  <c r="V147" i="35"/>
  <c r="V153" s="1"/>
  <c r="U473"/>
  <c r="U354"/>
  <c r="W222"/>
  <c r="X61"/>
  <c r="X62"/>
  <c r="Y227"/>
  <c r="X258"/>
  <c r="V258"/>
  <c r="W239"/>
  <c r="W244"/>
  <c r="U473" i="13"/>
  <c r="U354"/>
  <c r="V147"/>
  <c r="V153"/>
  <c r="W222"/>
  <c r="X250"/>
  <c r="T389" i="14"/>
  <c r="T396"/>
  <c r="W383"/>
  <c r="U311"/>
  <c r="U312"/>
  <c r="W76"/>
  <c r="U314"/>
  <c r="U313"/>
  <c r="U310"/>
  <c r="T311"/>
  <c r="T313"/>
  <c r="T310"/>
  <c r="T312"/>
  <c r="V76"/>
  <c r="T314"/>
  <c r="S311"/>
  <c r="S312"/>
  <c r="X76"/>
  <c r="S314"/>
  <c r="S313"/>
  <c r="S310"/>
  <c r="W239"/>
  <c r="W244"/>
  <c r="U537"/>
  <c r="V223"/>
  <c r="V224" s="1"/>
  <c r="W544" i="21"/>
  <c r="T550"/>
  <c r="W537"/>
  <c r="T521" i="39"/>
  <c r="AN496" i="38"/>
  <c r="AN531"/>
  <c r="X219" i="21"/>
  <c r="V159" i="39"/>
  <c r="U360"/>
  <c r="V360" s="1"/>
  <c r="L32" i="42"/>
  <c r="G32"/>
  <c r="F32"/>
  <c r="E32"/>
  <c r="I70"/>
  <c r="J70"/>
  <c r="D70"/>
  <c r="C70"/>
  <c r="L112"/>
  <c r="G112"/>
  <c r="F112"/>
  <c r="E112"/>
  <c r="H137"/>
  <c r="H136"/>
  <c r="L135"/>
  <c r="G135"/>
  <c r="F135"/>
  <c r="E135"/>
  <c r="H201"/>
  <c r="H200"/>
  <c r="L199"/>
  <c r="G199"/>
  <c r="F199"/>
  <c r="E199"/>
  <c r="H359"/>
  <c r="H358"/>
  <c r="L357"/>
  <c r="G357"/>
  <c r="F357"/>
  <c r="E357"/>
  <c r="H465"/>
  <c r="H464"/>
  <c r="L463"/>
  <c r="G463"/>
  <c r="F463"/>
  <c r="E463"/>
  <c r="H17"/>
  <c r="H16"/>
  <c r="L15"/>
  <c r="G15"/>
  <c r="F15"/>
  <c r="E15"/>
  <c r="H57"/>
  <c r="H56"/>
  <c r="L55"/>
  <c r="G55"/>
  <c r="F55"/>
  <c r="E55"/>
  <c r="H97"/>
  <c r="H96"/>
  <c r="L95"/>
  <c r="G95"/>
  <c r="F95"/>
  <c r="E95"/>
  <c r="J232"/>
  <c r="D232"/>
  <c r="C232"/>
  <c r="I232"/>
  <c r="L234"/>
  <c r="G234"/>
  <c r="F234"/>
  <c r="E234"/>
  <c r="H257"/>
  <c r="H256"/>
  <c r="L255"/>
  <c r="G255"/>
  <c r="F255"/>
  <c r="E255"/>
  <c r="T396" i="15"/>
  <c r="T389"/>
  <c r="W383"/>
  <c r="S312"/>
  <c r="X76"/>
  <c r="S311"/>
  <c r="S313"/>
  <c r="S314"/>
  <c r="S310"/>
  <c r="T338"/>
  <c r="T331"/>
  <c r="X61"/>
  <c r="X62"/>
  <c r="Y227"/>
  <c r="X239"/>
  <c r="X244"/>
  <c r="U164" i="16"/>
  <c r="U185"/>
  <c r="U367"/>
  <c r="T479"/>
  <c r="T486"/>
  <c r="U537"/>
  <c r="U360" i="17"/>
  <c r="T486"/>
  <c r="T479"/>
  <c r="U537"/>
  <c r="V239" i="18"/>
  <c r="V244"/>
  <c r="T360"/>
  <c r="W354"/>
  <c r="V354" s="1"/>
  <c r="T367"/>
  <c r="T314"/>
  <c r="T313"/>
  <c r="T312"/>
  <c r="V76" s="1"/>
  <c r="T311"/>
  <c r="T310"/>
  <c r="U164" i="19"/>
  <c r="U185"/>
  <c r="V539" i="18"/>
  <c r="U544"/>
  <c r="W544"/>
  <c r="V544"/>
  <c r="U425" i="19"/>
  <c r="T314"/>
  <c r="T312"/>
  <c r="V76" s="1"/>
  <c r="T311"/>
  <c r="T310"/>
  <c r="T313"/>
  <c r="U389" i="23"/>
  <c r="W164"/>
  <c r="V147" i="33"/>
  <c r="V153" s="1"/>
  <c r="U473"/>
  <c r="U354"/>
  <c r="W222"/>
  <c r="T396" i="22"/>
  <c r="T389"/>
  <c r="W383"/>
  <c r="V383" s="1"/>
  <c r="S312"/>
  <c r="X76"/>
  <c r="S311"/>
  <c r="S313"/>
  <c r="S314"/>
  <c r="S310"/>
  <c r="T338"/>
  <c r="T331"/>
  <c r="W325"/>
  <c r="W239"/>
  <c r="W244"/>
  <c r="W250"/>
  <c r="T515" i="25"/>
  <c r="T508"/>
  <c r="X219" i="22"/>
  <c r="T396" i="24"/>
  <c r="T389"/>
  <c r="W383"/>
  <c r="S312"/>
  <c r="X76"/>
  <c r="S311"/>
  <c r="S313"/>
  <c r="S314"/>
  <c r="S310"/>
  <c r="T338"/>
  <c r="T331"/>
  <c r="W325"/>
  <c r="X61"/>
  <c r="X62" s="1"/>
  <c r="Y227"/>
  <c r="X244"/>
  <c r="X239"/>
  <c r="I624" i="42"/>
  <c r="J624"/>
  <c r="D624"/>
  <c r="C624"/>
  <c r="I399"/>
  <c r="D399"/>
  <c r="C399"/>
  <c r="J399"/>
  <c r="L400"/>
  <c r="G400"/>
  <c r="F400"/>
  <c r="E400"/>
  <c r="J410"/>
  <c r="D410"/>
  <c r="C410"/>
  <c r="I410"/>
  <c r="I412"/>
  <c r="J412"/>
  <c r="D412"/>
  <c r="C412"/>
  <c r="L658"/>
  <c r="G658"/>
  <c r="F658"/>
  <c r="E658"/>
  <c r="G660"/>
  <c r="F660"/>
  <c r="E660"/>
  <c r="L660"/>
  <c r="I656"/>
  <c r="J656"/>
  <c r="D656"/>
  <c r="C656"/>
  <c r="J638"/>
  <c r="D638"/>
  <c r="C638"/>
  <c r="I638"/>
  <c r="V164" i="28"/>
  <c r="V185"/>
  <c r="V159"/>
  <c r="U360"/>
  <c r="H159" i="42"/>
  <c r="H158"/>
  <c r="L157"/>
  <c r="G157"/>
  <c r="F157"/>
  <c r="E157"/>
  <c r="H441"/>
  <c r="H440"/>
  <c r="L439"/>
  <c r="G439"/>
  <c r="F439"/>
  <c r="E439"/>
  <c r="I332"/>
  <c r="J332"/>
  <c r="D332"/>
  <c r="C332"/>
  <c r="I381"/>
  <c r="D381"/>
  <c r="C381"/>
  <c r="J381"/>
  <c r="H382"/>
  <c r="X190" i="29"/>
  <c r="X200"/>
  <c r="AK317" i="37"/>
  <c r="AP81"/>
  <c r="AK319"/>
  <c r="AK316"/>
  <c r="AK318"/>
  <c r="AK315"/>
  <c r="H497" i="42"/>
  <c r="H496"/>
  <c r="L495"/>
  <c r="G495"/>
  <c r="F495"/>
  <c r="E495"/>
  <c r="AN244" i="36"/>
  <c r="AN249"/>
  <c r="AK319"/>
  <c r="AK317"/>
  <c r="AP81" s="1"/>
  <c r="AK318"/>
  <c r="AK316"/>
  <c r="AK315"/>
  <c r="W325" i="50"/>
  <c r="T338"/>
  <c r="T331"/>
  <c r="U502"/>
  <c r="W147"/>
  <c r="U383"/>
  <c r="H1079" i="52"/>
  <c r="H1084" s="1"/>
  <c r="X222" i="50"/>
  <c r="AL317" i="37"/>
  <c r="AN81"/>
  <c r="AL319"/>
  <c r="AL318"/>
  <c r="AL315"/>
  <c r="AL316"/>
  <c r="U338" i="29"/>
  <c r="J673" i="42"/>
  <c r="D673"/>
  <c r="C673"/>
  <c r="I673"/>
  <c r="H677"/>
  <c r="H676"/>
  <c r="L675"/>
  <c r="G675"/>
  <c r="F675"/>
  <c r="E675"/>
  <c r="H319"/>
  <c r="L317"/>
  <c r="G317"/>
  <c r="F317"/>
  <c r="E317"/>
  <c r="I575"/>
  <c r="D575"/>
  <c r="C575"/>
  <c r="J575"/>
  <c r="L576"/>
  <c r="G576"/>
  <c r="F576"/>
  <c r="E576"/>
  <c r="H713"/>
  <c r="L711"/>
  <c r="H712"/>
  <c r="G711"/>
  <c r="F711"/>
  <c r="E711"/>
  <c r="I709"/>
  <c r="D709"/>
  <c r="C709"/>
  <c r="J709"/>
  <c r="AO394" i="37"/>
  <c r="AN394"/>
  <c r="AN396" s="1"/>
  <c r="AN370" i="38"/>
  <c r="W389" i="16"/>
  <c r="W389" i="39"/>
  <c r="W389" i="30"/>
  <c r="W389" i="17"/>
  <c r="W389" i="25"/>
  <c r="W389" i="27"/>
  <c r="W389" i="29"/>
  <c r="W544"/>
  <c r="W537"/>
  <c r="T550"/>
  <c r="V360" i="30"/>
  <c r="T450"/>
  <c r="T457"/>
  <c r="V217" i="35"/>
  <c r="X230"/>
  <c r="X231"/>
  <c r="T550" i="50"/>
  <c r="W537"/>
  <c r="V537"/>
  <c r="V539" s="1"/>
  <c r="AU73" i="20"/>
  <c r="AT73"/>
  <c r="AT75" s="1"/>
  <c r="AR86"/>
  <c r="W239" i="21"/>
  <c r="W244"/>
  <c r="W250"/>
  <c r="U502"/>
  <c r="U383"/>
  <c r="X222"/>
  <c r="W147"/>
  <c r="W153"/>
  <c r="X250"/>
  <c r="X61"/>
  <c r="X62" s="1"/>
  <c r="Y227"/>
  <c r="W258"/>
  <c r="V239"/>
  <c r="V244"/>
  <c r="U338" i="39"/>
  <c r="W225"/>
  <c r="AP204" i="38"/>
  <c r="AP209" s="1"/>
  <c r="AO167" s="1"/>
  <c r="AL312"/>
  <c r="AM210"/>
  <c r="AM208"/>
  <c r="V217" i="30"/>
  <c r="W550"/>
  <c r="U190" i="50"/>
  <c r="U200"/>
  <c r="F1093" i="52"/>
  <c r="AD183" i="50"/>
  <c r="T389" i="35"/>
  <c r="T396"/>
  <c r="W383"/>
  <c r="U311"/>
  <c r="U312"/>
  <c r="W76" s="1"/>
  <c r="U314"/>
  <c r="U313"/>
  <c r="U310"/>
  <c r="T311"/>
  <c r="T313"/>
  <c r="T310"/>
  <c r="T312"/>
  <c r="V76" s="1"/>
  <c r="T314"/>
  <c r="S311"/>
  <c r="S312"/>
  <c r="X76" s="1"/>
  <c r="S314"/>
  <c r="S313"/>
  <c r="S310"/>
  <c r="W258"/>
  <c r="X244"/>
  <c r="X239"/>
  <c r="V244"/>
  <c r="V239"/>
  <c r="I156" i="51"/>
  <c r="I161"/>
  <c r="I258"/>
  <c r="T312" i="13"/>
  <c r="V76"/>
  <c r="T314"/>
  <c r="T311"/>
  <c r="T313"/>
  <c r="T310"/>
  <c r="S312"/>
  <c r="X76"/>
  <c r="S314"/>
  <c r="S313"/>
  <c r="S310"/>
  <c r="S311"/>
  <c r="X258"/>
  <c r="V258"/>
  <c r="W250" i="14"/>
  <c r="X61"/>
  <c r="X62" s="1"/>
  <c r="Y227"/>
  <c r="X244"/>
  <c r="X239"/>
  <c r="V244"/>
  <c r="V239"/>
  <c r="W544" i="39"/>
  <c r="V544" s="1"/>
  <c r="T550"/>
  <c r="W537"/>
  <c r="V537" s="1"/>
  <c r="V539" s="1"/>
  <c r="AL525" i="38"/>
  <c r="AL406"/>
  <c r="AN409" i="37"/>
  <c r="AN407"/>
  <c r="AO280"/>
  <c r="AO281" s="1"/>
  <c r="AO282" s="1"/>
  <c r="AO274"/>
  <c r="AO275" s="1"/>
  <c r="AO276" s="1"/>
  <c r="AO288" s="1"/>
  <c r="AO174"/>
  <c r="W147" i="14"/>
  <c r="W153" s="1"/>
  <c r="U502"/>
  <c r="U383"/>
  <c r="X222"/>
  <c r="X219" i="39"/>
  <c r="W159"/>
  <c r="U389"/>
  <c r="I33" i="42"/>
  <c r="J33"/>
  <c r="D33"/>
  <c r="C33"/>
  <c r="L34"/>
  <c r="G34"/>
  <c r="F34"/>
  <c r="E34"/>
  <c r="I73"/>
  <c r="J73"/>
  <c r="D73"/>
  <c r="C73"/>
  <c r="L74"/>
  <c r="G74"/>
  <c r="F74"/>
  <c r="E74"/>
  <c r="I113"/>
  <c r="J113"/>
  <c r="D113"/>
  <c r="C113"/>
  <c r="L114"/>
  <c r="G114"/>
  <c r="F114"/>
  <c r="E114"/>
  <c r="I130"/>
  <c r="J130"/>
  <c r="D130"/>
  <c r="C130"/>
  <c r="J132"/>
  <c r="D132"/>
  <c r="C132"/>
  <c r="I132"/>
  <c r="I194"/>
  <c r="J194"/>
  <c r="D194"/>
  <c r="C194"/>
  <c r="J196"/>
  <c r="D196"/>
  <c r="C196"/>
  <c r="I196"/>
  <c r="I352"/>
  <c r="J352"/>
  <c r="D352"/>
  <c r="C352"/>
  <c r="J354"/>
  <c r="D354"/>
  <c r="C354"/>
  <c r="I354"/>
  <c r="I458"/>
  <c r="J458"/>
  <c r="D458"/>
  <c r="C458"/>
  <c r="J460"/>
  <c r="D460"/>
  <c r="C460"/>
  <c r="I460"/>
  <c r="J12"/>
  <c r="D12"/>
  <c r="C12"/>
  <c r="I12"/>
  <c r="I10"/>
  <c r="J10"/>
  <c r="D10"/>
  <c r="C10"/>
  <c r="J52"/>
  <c r="D52"/>
  <c r="C52"/>
  <c r="I52"/>
  <c r="I50"/>
  <c r="J50"/>
  <c r="D50"/>
  <c r="C50"/>
  <c r="J92"/>
  <c r="D92"/>
  <c r="C92"/>
  <c r="I92"/>
  <c r="I90"/>
  <c r="J90"/>
  <c r="D90"/>
  <c r="C90"/>
  <c r="I173"/>
  <c r="J173"/>
  <c r="D173"/>
  <c r="C173"/>
  <c r="L174"/>
  <c r="G174"/>
  <c r="F174"/>
  <c r="E174"/>
  <c r="J235"/>
  <c r="I235"/>
  <c r="D235"/>
  <c r="C235"/>
  <c r="L236"/>
  <c r="G236"/>
  <c r="F236"/>
  <c r="E236"/>
  <c r="J252"/>
  <c r="D252"/>
  <c r="C252"/>
  <c r="I252"/>
  <c r="I250"/>
  <c r="J250"/>
  <c r="D250"/>
  <c r="C250"/>
  <c r="V258" i="15"/>
  <c r="X221"/>
  <c r="X231"/>
  <c r="U473"/>
  <c r="U354"/>
  <c r="W222"/>
  <c r="V147"/>
  <c r="V153"/>
  <c r="W258"/>
  <c r="V239"/>
  <c r="V244"/>
  <c r="U486" i="16"/>
  <c r="T389" i="18"/>
  <c r="W383"/>
  <c r="V383"/>
  <c r="T396"/>
  <c r="W544" i="15"/>
  <c r="V360" i="16"/>
  <c r="V362"/>
  <c r="U544" i="19"/>
  <c r="U314"/>
  <c r="U312"/>
  <c r="W76"/>
  <c r="U311"/>
  <c r="U313"/>
  <c r="U310"/>
  <c r="S314"/>
  <c r="S312"/>
  <c r="X76" s="1"/>
  <c r="S311"/>
  <c r="S313"/>
  <c r="S310"/>
  <c r="W239"/>
  <c r="W250"/>
  <c r="W244"/>
  <c r="X230" i="22"/>
  <c r="V217"/>
  <c r="W537"/>
  <c r="T550"/>
  <c r="T479" i="23"/>
  <c r="T486"/>
  <c r="V190"/>
  <c r="U537"/>
  <c r="Y223" i="25"/>
  <c r="Y225"/>
  <c r="U331"/>
  <c r="W544" i="19"/>
  <c r="V544" s="1"/>
  <c r="Y227" i="33"/>
  <c r="X61"/>
  <c r="X62" s="1"/>
  <c r="V250"/>
  <c r="X239"/>
  <c r="X244"/>
  <c r="U314"/>
  <c r="U310"/>
  <c r="U312"/>
  <c r="W76" s="1"/>
  <c r="U311"/>
  <c r="U313"/>
  <c r="T331"/>
  <c r="W325"/>
  <c r="T338"/>
  <c r="S314"/>
  <c r="S310"/>
  <c r="S312"/>
  <c r="X76" s="1"/>
  <c r="S311"/>
  <c r="S313"/>
  <c r="X258"/>
  <c r="W239"/>
  <c r="W244"/>
  <c r="U502" i="22"/>
  <c r="U383"/>
  <c r="X222"/>
  <c r="X225" s="1"/>
  <c r="X223"/>
  <c r="W147"/>
  <c r="W153" s="1"/>
  <c r="V258"/>
  <c r="X220"/>
  <c r="W258"/>
  <c r="V239"/>
  <c r="V244"/>
  <c r="U486" i="23"/>
  <c r="V223" i="25"/>
  <c r="V224"/>
  <c r="U418"/>
  <c r="V412"/>
  <c r="V414"/>
  <c r="W537" i="24"/>
  <c r="T550"/>
  <c r="T312"/>
  <c r="V76"/>
  <c r="T311"/>
  <c r="T310"/>
  <c r="T314"/>
  <c r="T313"/>
  <c r="T367"/>
  <c r="T360"/>
  <c r="W354"/>
  <c r="V258"/>
  <c r="W258"/>
  <c r="V244"/>
  <c r="V239"/>
  <c r="U537" i="27"/>
  <c r="W550" i="28"/>
  <c r="J625" i="42"/>
  <c r="D625"/>
  <c r="C625"/>
  <c r="I625"/>
  <c r="L626"/>
  <c r="G626"/>
  <c r="F626"/>
  <c r="E626"/>
  <c r="H417"/>
  <c r="H416"/>
  <c r="L415"/>
  <c r="G415"/>
  <c r="F415"/>
  <c r="E415"/>
  <c r="L643"/>
  <c r="H645"/>
  <c r="H644"/>
  <c r="G643"/>
  <c r="F643"/>
  <c r="E643"/>
  <c r="H21" i="32"/>
  <c r="I26" i="31"/>
  <c r="H18"/>
  <c r="I18" s="1"/>
  <c r="L336" i="42"/>
  <c r="G336"/>
  <c r="F336"/>
  <c r="E336"/>
  <c r="H339"/>
  <c r="L337"/>
  <c r="H338"/>
  <c r="G337"/>
  <c r="F337"/>
  <c r="E337"/>
  <c r="X174" i="29"/>
  <c r="X181" s="1"/>
  <c r="X180"/>
  <c r="H599" i="42"/>
  <c r="H598"/>
  <c r="L597"/>
  <c r="G597"/>
  <c r="F597"/>
  <c r="E597"/>
  <c r="G698"/>
  <c r="F698"/>
  <c r="E698"/>
  <c r="L698"/>
  <c r="T312" i="50"/>
  <c r="V76" s="1"/>
  <c r="T311"/>
  <c r="T310"/>
  <c r="T313"/>
  <c r="T314"/>
  <c r="X61"/>
  <c r="X62" s="1"/>
  <c r="Y227"/>
  <c r="X258"/>
  <c r="U312"/>
  <c r="W76" s="1"/>
  <c r="U314"/>
  <c r="U311"/>
  <c r="U310"/>
  <c r="U313"/>
  <c r="I213" i="42"/>
  <c r="J213"/>
  <c r="D213"/>
  <c r="C213"/>
  <c r="L212"/>
  <c r="G212"/>
  <c r="F212"/>
  <c r="E212"/>
  <c r="H217"/>
  <c r="H216"/>
  <c r="L215"/>
  <c r="G215"/>
  <c r="F215"/>
  <c r="E215"/>
  <c r="L480"/>
  <c r="G480"/>
  <c r="F480"/>
  <c r="E480"/>
  <c r="H482"/>
  <c r="H483"/>
  <c r="L481"/>
  <c r="G481"/>
  <c r="F481"/>
  <c r="E481"/>
  <c r="Y226" i="29"/>
  <c r="Y228"/>
  <c r="W431" i="28"/>
  <c r="AO436" i="36"/>
  <c r="I314" i="42"/>
  <c r="J314"/>
  <c r="D314"/>
  <c r="C314"/>
  <c r="W431" i="50"/>
  <c r="V431" s="1"/>
  <c r="V433" s="1"/>
  <c r="W431" i="13"/>
  <c r="AN412" i="38"/>
  <c r="W431" i="16"/>
  <c r="W431" i="33"/>
  <c r="W431" i="19"/>
  <c r="W431" i="23"/>
  <c r="H563" i="42"/>
  <c r="L561"/>
  <c r="G561"/>
  <c r="F561"/>
  <c r="E561"/>
  <c r="W418" i="29"/>
  <c r="W418" i="28"/>
  <c r="AO423" i="36"/>
  <c r="W418" i="23"/>
  <c r="V418" s="1"/>
  <c r="W418" i="33"/>
  <c r="W418" i="19"/>
  <c r="V418" s="1"/>
  <c r="V420" s="1"/>
  <c r="W418" i="16"/>
  <c r="J574" i="42"/>
  <c r="D574"/>
  <c r="C574"/>
  <c r="I574"/>
  <c r="AN399" i="38"/>
  <c r="AM399"/>
  <c r="AM401"/>
  <c r="W418" i="50"/>
  <c r="V418" s="1"/>
  <c r="V420" s="1"/>
  <c r="W418" i="30"/>
  <c r="W418" i="21"/>
  <c r="W418" i="14"/>
  <c r="V418"/>
  <c r="W418" i="15"/>
  <c r="W418" i="18"/>
  <c r="V418"/>
  <c r="V420" s="1"/>
  <c r="W418" i="17"/>
  <c r="V418" s="1"/>
  <c r="V420" s="1"/>
  <c r="W418" i="25"/>
  <c r="V418" s="1"/>
  <c r="V420" s="1"/>
  <c r="W418" i="22"/>
  <c r="W418" i="27"/>
  <c r="V418"/>
  <c r="W418" i="24"/>
  <c r="W418" i="35"/>
  <c r="V418" s="1"/>
  <c r="V420" s="1"/>
  <c r="W418" i="39"/>
  <c r="V418"/>
  <c r="V420" s="1"/>
  <c r="AO423" i="37"/>
  <c r="AN423" s="1"/>
  <c r="AN425" s="1"/>
  <c r="W418" i="13"/>
  <c r="W418" i="34"/>
  <c r="U360" i="29"/>
  <c r="U479"/>
  <c r="L730" i="42"/>
  <c r="G730"/>
  <c r="F730"/>
  <c r="E730"/>
  <c r="J729"/>
  <c r="D729"/>
  <c r="C729"/>
  <c r="I729"/>
  <c r="W354" i="29"/>
  <c r="V354" s="1"/>
  <c r="V356" s="1"/>
  <c r="W354" i="28"/>
  <c r="V354"/>
  <c r="V356" s="1"/>
  <c r="W354" i="17"/>
  <c r="V354" s="1"/>
  <c r="V356" s="1"/>
  <c r="J767" i="42"/>
  <c r="D767"/>
  <c r="C767"/>
  <c r="I767"/>
  <c r="AO536" i="37"/>
  <c r="AN536"/>
  <c r="AN538" s="1"/>
  <c r="W354" i="30"/>
  <c r="V354" s="1"/>
  <c r="V356" s="1"/>
  <c r="AN335" i="38"/>
  <c r="W354" i="39"/>
  <c r="V354" s="1"/>
  <c r="V356" s="1"/>
  <c r="W531" i="13"/>
  <c r="AN512" i="38"/>
  <c r="AM512" s="1"/>
  <c r="AM514" s="1"/>
  <c r="W531" i="16"/>
  <c r="V531"/>
  <c r="V533" s="1"/>
  <c r="W531" i="25"/>
  <c r="V531" s="1"/>
  <c r="V533" s="1"/>
  <c r="W531" i="34"/>
  <c r="W354" i="23"/>
  <c r="V354" s="1"/>
  <c r="V356" s="1"/>
  <c r="W531" i="28"/>
  <c r="W531" i="30"/>
  <c r="W531" i="17"/>
  <c r="V531"/>
  <c r="V533" s="1"/>
  <c r="W354" i="16"/>
  <c r="V354" s="1"/>
  <c r="V356" s="1"/>
  <c r="W531" i="23"/>
  <c r="V531" s="1"/>
  <c r="V533" s="1"/>
  <c r="W531" i="27"/>
  <c r="V531" s="1"/>
  <c r="V533" s="1"/>
  <c r="H751" i="42"/>
  <c r="H748"/>
  <c r="H750"/>
  <c r="L749"/>
  <c r="G749"/>
  <c r="F749"/>
  <c r="E749"/>
  <c r="H829"/>
  <c r="H828"/>
  <c r="H809"/>
  <c r="H887"/>
  <c r="L827"/>
  <c r="G827"/>
  <c r="F827"/>
  <c r="E827"/>
  <c r="W325" i="29"/>
  <c r="V325"/>
  <c r="V327" s="1"/>
  <c r="W325" i="27"/>
  <c r="W325" i="17"/>
  <c r="V325" s="1"/>
  <c r="V327" s="1"/>
  <c r="I927" i="42"/>
  <c r="D927"/>
  <c r="C927"/>
  <c r="J927"/>
  <c r="W325" i="30"/>
  <c r="W325" i="39"/>
  <c r="V325" s="1"/>
  <c r="V327" s="1"/>
  <c r="AN306" i="38"/>
  <c r="AM306"/>
  <c r="AM308" s="1"/>
  <c r="W325" i="16"/>
  <c r="W325" i="34"/>
  <c r="H791" i="42"/>
  <c r="H790"/>
  <c r="L789"/>
  <c r="G789"/>
  <c r="F789"/>
  <c r="E789"/>
  <c r="AO206" i="38"/>
  <c r="J398" i="42"/>
  <c r="D398"/>
  <c r="C398"/>
  <c r="I398"/>
  <c r="L676"/>
  <c r="G676"/>
  <c r="F676"/>
  <c r="E676"/>
  <c r="L56"/>
  <c r="G56"/>
  <c r="F56"/>
  <c r="E56"/>
  <c r="L464"/>
  <c r="G464"/>
  <c r="F464"/>
  <c r="E464"/>
  <c r="L200"/>
  <c r="G200"/>
  <c r="F200"/>
  <c r="E200"/>
  <c r="L176"/>
  <c r="G176"/>
  <c r="F176"/>
  <c r="E176"/>
  <c r="L76"/>
  <c r="G76"/>
  <c r="F76"/>
  <c r="E76"/>
  <c r="L828"/>
  <c r="G828"/>
  <c r="F828"/>
  <c r="E828"/>
  <c r="L216"/>
  <c r="G216"/>
  <c r="F216"/>
  <c r="E216"/>
  <c r="L644"/>
  <c r="G644"/>
  <c r="F644"/>
  <c r="E644"/>
  <c r="L416"/>
  <c r="G416"/>
  <c r="F416"/>
  <c r="E416"/>
  <c r="U164" i="25"/>
  <c r="U185"/>
  <c r="L96" i="42"/>
  <c r="G96"/>
  <c r="F96"/>
  <c r="E96"/>
  <c r="L16"/>
  <c r="G16"/>
  <c r="F16"/>
  <c r="E16"/>
  <c r="L358"/>
  <c r="G358"/>
  <c r="F358"/>
  <c r="E358"/>
  <c r="L136"/>
  <c r="G136"/>
  <c r="F136"/>
  <c r="E136"/>
  <c r="L238"/>
  <c r="G238"/>
  <c r="F238"/>
  <c r="E238"/>
  <c r="L116"/>
  <c r="G116"/>
  <c r="F116"/>
  <c r="E116"/>
  <c r="L36"/>
  <c r="G36"/>
  <c r="F36"/>
  <c r="E36"/>
  <c r="L662"/>
  <c r="G662"/>
  <c r="F662"/>
  <c r="E662"/>
  <c r="I789"/>
  <c r="D789"/>
  <c r="C789"/>
  <c r="J789"/>
  <c r="L790"/>
  <c r="G790"/>
  <c r="F790"/>
  <c r="E790"/>
  <c r="L563"/>
  <c r="H565"/>
  <c r="H564"/>
  <c r="G563"/>
  <c r="F563"/>
  <c r="E563"/>
  <c r="J597"/>
  <c r="D597"/>
  <c r="C597"/>
  <c r="I597"/>
  <c r="I336"/>
  <c r="J336"/>
  <c r="D336"/>
  <c r="C336"/>
  <c r="W185" i="22"/>
  <c r="W164"/>
  <c r="W159"/>
  <c r="U389"/>
  <c r="V385"/>
  <c r="W245" i="33"/>
  <c r="W251"/>
  <c r="X108"/>
  <c r="X120"/>
  <c r="T444"/>
  <c r="X77"/>
  <c r="X109" s="1"/>
  <c r="X121" s="1"/>
  <c r="X245"/>
  <c r="X251"/>
  <c r="Y228" i="25"/>
  <c r="Y226"/>
  <c r="W486" i="23"/>
  <c r="V486"/>
  <c r="V488" s="1"/>
  <c r="W396" i="18"/>
  <c r="U492" i="16"/>
  <c r="W223" i="15"/>
  <c r="W224" s="1"/>
  <c r="W225"/>
  <c r="U396" i="39"/>
  <c r="AP302" i="37"/>
  <c r="AO287"/>
  <c r="AO286"/>
  <c r="T473" i="13"/>
  <c r="V77"/>
  <c r="V109" s="1"/>
  <c r="V121" s="1"/>
  <c r="V108"/>
  <c r="V120"/>
  <c r="I284" i="51"/>
  <c r="I285"/>
  <c r="I286" s="1"/>
  <c r="I298" s="1"/>
  <c r="I166"/>
  <c r="I290"/>
  <c r="I291" s="1"/>
  <c r="I292" s="1"/>
  <c r="X245" i="35"/>
  <c r="X251"/>
  <c r="AO260" i="38"/>
  <c r="AO261"/>
  <c r="AO262" s="1"/>
  <c r="AO168"/>
  <c r="AO184"/>
  <c r="AO254"/>
  <c r="AO255" s="1"/>
  <c r="AO256" s="1"/>
  <c r="U444" i="21"/>
  <c r="U325"/>
  <c r="X147"/>
  <c r="X153"/>
  <c r="Y222"/>
  <c r="W159"/>
  <c r="U389"/>
  <c r="W245"/>
  <c r="W251"/>
  <c r="I711" i="42"/>
  <c r="D711"/>
  <c r="C711"/>
  <c r="J711"/>
  <c r="H321"/>
  <c r="H320"/>
  <c r="L319"/>
  <c r="G319"/>
  <c r="F319"/>
  <c r="E319"/>
  <c r="U344" i="29"/>
  <c r="H1089" i="52"/>
  <c r="H1094" s="1"/>
  <c r="H1098" s="1"/>
  <c r="H1102" s="1"/>
  <c r="H1093"/>
  <c r="T344" i="50"/>
  <c r="L496" i="42"/>
  <c r="G496"/>
  <c r="F496"/>
  <c r="E496"/>
  <c r="AL449" i="37"/>
  <c r="AC14"/>
  <c r="AD14" s="1"/>
  <c r="AP113"/>
  <c r="AP125" s="1"/>
  <c r="AP82"/>
  <c r="AP114" s="1"/>
  <c r="AP126" s="1"/>
  <c r="L440" i="42"/>
  <c r="G440"/>
  <c r="F440"/>
  <c r="E440"/>
  <c r="I157"/>
  <c r="J157"/>
  <c r="D157"/>
  <c r="C157"/>
  <c r="V190" i="28"/>
  <c r="J658" i="42"/>
  <c r="D658"/>
  <c r="C658"/>
  <c r="I658"/>
  <c r="H793"/>
  <c r="H792"/>
  <c r="L791"/>
  <c r="G791"/>
  <c r="F791"/>
  <c r="E791"/>
  <c r="J827"/>
  <c r="D827"/>
  <c r="C827"/>
  <c r="I827"/>
  <c r="H811"/>
  <c r="H810"/>
  <c r="L809"/>
  <c r="H808"/>
  <c r="G809"/>
  <c r="F809"/>
  <c r="E809"/>
  <c r="I749"/>
  <c r="D749"/>
  <c r="C749"/>
  <c r="J749"/>
  <c r="L750"/>
  <c r="G750"/>
  <c r="F750"/>
  <c r="E750"/>
  <c r="H753"/>
  <c r="H752"/>
  <c r="L751"/>
  <c r="G751"/>
  <c r="F751"/>
  <c r="E751"/>
  <c r="U486" i="29"/>
  <c r="U367"/>
  <c r="V360"/>
  <c r="V362" s="1"/>
  <c r="I561" i="42"/>
  <c r="D561"/>
  <c r="C561"/>
  <c r="J561"/>
  <c r="H562"/>
  <c r="I481"/>
  <c r="D481"/>
  <c r="C481"/>
  <c r="J481"/>
  <c r="H485"/>
  <c r="H484"/>
  <c r="L483"/>
  <c r="G483"/>
  <c r="F483"/>
  <c r="E483"/>
  <c r="I480"/>
  <c r="J480"/>
  <c r="D480"/>
  <c r="C480"/>
  <c r="J215"/>
  <c r="I215"/>
  <c r="D215"/>
  <c r="C215"/>
  <c r="J212"/>
  <c r="D212"/>
  <c r="C212"/>
  <c r="I212"/>
  <c r="X147" i="50"/>
  <c r="U444"/>
  <c r="U325"/>
  <c r="I1079" i="52"/>
  <c r="I1084" s="1"/>
  <c r="Y222" i="50"/>
  <c r="I698" i="42"/>
  <c r="J698"/>
  <c r="D698"/>
  <c r="C698"/>
  <c r="H601"/>
  <c r="L599"/>
  <c r="G599"/>
  <c r="F599"/>
  <c r="E599"/>
  <c r="L338"/>
  <c r="G338"/>
  <c r="F338"/>
  <c r="E338"/>
  <c r="H341"/>
  <c r="H340"/>
  <c r="L339"/>
  <c r="G339"/>
  <c r="F339"/>
  <c r="E339"/>
  <c r="I643"/>
  <c r="D643"/>
  <c r="C643"/>
  <c r="J643"/>
  <c r="I415"/>
  <c r="D415"/>
  <c r="C415"/>
  <c r="J415"/>
  <c r="J626"/>
  <c r="D626"/>
  <c r="C626"/>
  <c r="I626"/>
  <c r="V245" i="24"/>
  <c r="V251"/>
  <c r="W360"/>
  <c r="T373"/>
  <c r="W367"/>
  <c r="W550"/>
  <c r="U492" i="23"/>
  <c r="U508" i="22"/>
  <c r="T344" i="33"/>
  <c r="U338" i="25"/>
  <c r="Y224"/>
  <c r="U544" i="23"/>
  <c r="V537"/>
  <c r="V539"/>
  <c r="V195"/>
  <c r="W550" i="22"/>
  <c r="V220"/>
  <c r="W251" i="19"/>
  <c r="W245"/>
  <c r="T444"/>
  <c r="X77"/>
  <c r="X109" s="1"/>
  <c r="X121" s="1"/>
  <c r="X108"/>
  <c r="X120"/>
  <c r="U550"/>
  <c r="V546"/>
  <c r="W389" i="18"/>
  <c r="T402"/>
  <c r="V245" i="15"/>
  <c r="V251"/>
  <c r="V159"/>
  <c r="V356"/>
  <c r="U360"/>
  <c r="J236" i="42"/>
  <c r="D236"/>
  <c r="C236"/>
  <c r="I236"/>
  <c r="I114"/>
  <c r="J114"/>
  <c r="D114"/>
  <c r="C114"/>
  <c r="I34"/>
  <c r="J34"/>
  <c r="D34"/>
  <c r="C34"/>
  <c r="X223" i="14"/>
  <c r="U508"/>
  <c r="AO179" i="37"/>
  <c r="AL531" i="38"/>
  <c r="W550" i="39"/>
  <c r="V245" i="14"/>
  <c r="V251"/>
  <c r="X245"/>
  <c r="X251"/>
  <c r="T444" i="13"/>
  <c r="X77"/>
  <c r="X109"/>
  <c r="X121" s="1"/>
  <c r="X108"/>
  <c r="X120" s="1"/>
  <c r="I263" i="51"/>
  <c r="I259"/>
  <c r="I264"/>
  <c r="I269" s="1"/>
  <c r="I162"/>
  <c r="I167" s="1"/>
  <c r="I172" s="1"/>
  <c r="T473" i="35"/>
  <c r="V77"/>
  <c r="V109" s="1"/>
  <c r="V121" s="1"/>
  <c r="V108"/>
  <c r="V120"/>
  <c r="W396"/>
  <c r="AM209" i="38"/>
  <c r="AM214"/>
  <c r="AL319"/>
  <c r="W226" i="39"/>
  <c r="W228"/>
  <c r="U344"/>
  <c r="V338"/>
  <c r="V340"/>
  <c r="V245" i="21"/>
  <c r="V251"/>
  <c r="X223"/>
  <c r="U508"/>
  <c r="AU86" i="20"/>
  <c r="AT86" s="1"/>
  <c r="AT88" s="1"/>
  <c r="W550" i="50"/>
  <c r="V550" s="1"/>
  <c r="V552" s="1"/>
  <c r="V220" i="35"/>
  <c r="V221" s="1"/>
  <c r="W457" i="30"/>
  <c r="W550" i="29"/>
  <c r="V389" i="39"/>
  <c r="V391" s="1"/>
  <c r="L712" i="42"/>
  <c r="G712"/>
  <c r="F712"/>
  <c r="E712"/>
  <c r="L713"/>
  <c r="H715"/>
  <c r="H714"/>
  <c r="G713"/>
  <c r="F713"/>
  <c r="E713"/>
  <c r="I317"/>
  <c r="D317"/>
  <c r="C317"/>
  <c r="J317"/>
  <c r="H318"/>
  <c r="I675"/>
  <c r="D675"/>
  <c r="C675"/>
  <c r="J675"/>
  <c r="X223" i="50"/>
  <c r="X225"/>
  <c r="U389"/>
  <c r="V385"/>
  <c r="U508"/>
  <c r="H499" i="42"/>
  <c r="H498"/>
  <c r="L497"/>
  <c r="G497"/>
  <c r="F497"/>
  <c r="E497"/>
  <c r="L382"/>
  <c r="G382"/>
  <c r="F382"/>
  <c r="E382"/>
  <c r="H442"/>
  <c r="H443"/>
  <c r="L441"/>
  <c r="G441"/>
  <c r="F441"/>
  <c r="E441"/>
  <c r="H161"/>
  <c r="H160"/>
  <c r="L159"/>
  <c r="G159"/>
  <c r="F159"/>
  <c r="E159"/>
  <c r="V186" i="28"/>
  <c r="V191"/>
  <c r="V196" s="1"/>
  <c r="V165"/>
  <c r="V179" s="1"/>
  <c r="V170"/>
  <c r="V175" s="1"/>
  <c r="V275"/>
  <c r="V276" s="1"/>
  <c r="V277" s="1"/>
  <c r="V269"/>
  <c r="V270"/>
  <c r="V271" s="1"/>
  <c r="V283" s="1"/>
  <c r="V169"/>
  <c r="I660" i="42"/>
  <c r="J660"/>
  <c r="D660"/>
  <c r="C660"/>
  <c r="X245" i="24"/>
  <c r="X251"/>
  <c r="T344"/>
  <c r="W338"/>
  <c r="W396"/>
  <c r="V219" i="22"/>
  <c r="X224"/>
  <c r="T521" i="25"/>
  <c r="W338" i="22"/>
  <c r="W389"/>
  <c r="V389" s="1"/>
  <c r="T402"/>
  <c r="W396"/>
  <c r="W223" i="33"/>
  <c r="W225"/>
  <c r="U479"/>
  <c r="T473" i="19"/>
  <c r="V77"/>
  <c r="V109"/>
  <c r="V121" s="1"/>
  <c r="V108"/>
  <c r="V120" s="1"/>
  <c r="U275"/>
  <c r="U276" s="1"/>
  <c r="U277" s="1"/>
  <c r="U169"/>
  <c r="U179"/>
  <c r="U269"/>
  <c r="U270"/>
  <c r="U271" s="1"/>
  <c r="U283" s="1"/>
  <c r="W367" i="18"/>
  <c r="W360"/>
  <c r="T373"/>
  <c r="V245"/>
  <c r="V251"/>
  <c r="U544" i="17"/>
  <c r="V537"/>
  <c r="V539"/>
  <c r="T492"/>
  <c r="U367"/>
  <c r="U544" i="16"/>
  <c r="V537"/>
  <c r="V539"/>
  <c r="U373"/>
  <c r="V369"/>
  <c r="V367"/>
  <c r="U200"/>
  <c r="U190"/>
  <c r="W325" i="15"/>
  <c r="W338"/>
  <c r="W389"/>
  <c r="T402"/>
  <c r="W396"/>
  <c r="H259" i="42"/>
  <c r="H258"/>
  <c r="L257"/>
  <c r="G257"/>
  <c r="F257"/>
  <c r="E257"/>
  <c r="J95"/>
  <c r="I95"/>
  <c r="D95"/>
  <c r="C95"/>
  <c r="J55"/>
  <c r="I55"/>
  <c r="D55"/>
  <c r="C55"/>
  <c r="J15"/>
  <c r="D15"/>
  <c r="C15"/>
  <c r="I15"/>
  <c r="J463"/>
  <c r="D463"/>
  <c r="C463"/>
  <c r="I463"/>
  <c r="I357"/>
  <c r="D357"/>
  <c r="C357"/>
  <c r="J357"/>
  <c r="J199"/>
  <c r="I199"/>
  <c r="D199"/>
  <c r="C199"/>
  <c r="J135"/>
  <c r="I135"/>
  <c r="D135"/>
  <c r="C135"/>
  <c r="J112"/>
  <c r="D112"/>
  <c r="C112"/>
  <c r="I112"/>
  <c r="V362" i="39"/>
  <c r="U367"/>
  <c r="W550" i="21"/>
  <c r="V77" i="14"/>
  <c r="V109"/>
  <c r="V121" s="1"/>
  <c r="V108"/>
  <c r="V120" s="1"/>
  <c r="T473"/>
  <c r="W396"/>
  <c r="W223" i="13"/>
  <c r="W225"/>
  <c r="U360"/>
  <c r="W223" i="35"/>
  <c r="W225"/>
  <c r="U479"/>
  <c r="T492" i="30"/>
  <c r="AN467" i="38"/>
  <c r="AN444"/>
  <c r="X283" i="39"/>
  <c r="U463"/>
  <c r="AG86" i="20"/>
  <c r="W550" i="35"/>
  <c r="T521" i="30"/>
  <c r="U367"/>
  <c r="V362"/>
  <c r="H851" i="42"/>
  <c r="H850"/>
  <c r="L849"/>
  <c r="G849"/>
  <c r="F849"/>
  <c r="E849"/>
  <c r="I788"/>
  <c r="J788"/>
  <c r="D788"/>
  <c r="C788"/>
  <c r="I987"/>
  <c r="D987"/>
  <c r="C987"/>
  <c r="J987"/>
  <c r="W457" i="29"/>
  <c r="V457" s="1"/>
  <c r="V459" s="1"/>
  <c r="T463"/>
  <c r="G770" i="42"/>
  <c r="F770"/>
  <c r="E770"/>
  <c r="L770"/>
  <c r="H773"/>
  <c r="H772"/>
  <c r="L771"/>
  <c r="G771"/>
  <c r="F771"/>
  <c r="E771"/>
  <c r="H735"/>
  <c r="H734"/>
  <c r="L733"/>
  <c r="G733"/>
  <c r="F733"/>
  <c r="E733"/>
  <c r="AM365" i="37"/>
  <c r="AN361"/>
  <c r="AN164"/>
  <c r="AN169"/>
  <c r="AN190"/>
  <c r="T402" i="50"/>
  <c r="W389"/>
  <c r="V389" s="1"/>
  <c r="V391" s="1"/>
  <c r="W396"/>
  <c r="W367"/>
  <c r="L703" i="42"/>
  <c r="H705"/>
  <c r="H704"/>
  <c r="G703"/>
  <c r="F703"/>
  <c r="E703"/>
  <c r="J700"/>
  <c r="D700"/>
  <c r="C700"/>
  <c r="I700"/>
  <c r="AM449" i="37"/>
  <c r="AC15"/>
  <c r="AM330"/>
  <c r="AN330"/>
  <c r="AP152"/>
  <c r="AP158"/>
  <c r="AQ227"/>
  <c r="AO549" i="36"/>
  <c r="J414" i="42"/>
  <c r="D414"/>
  <c r="C414"/>
  <c r="I414"/>
  <c r="W486" i="27"/>
  <c r="W367" i="22"/>
  <c r="V219" i="17"/>
  <c r="V224" s="1"/>
  <c r="X190" i="25"/>
  <c r="X186"/>
  <c r="X191" s="1"/>
  <c r="X165"/>
  <c r="X170"/>
  <c r="X175" s="1"/>
  <c r="V174" i="23"/>
  <c r="W338" i="19"/>
  <c r="W389"/>
  <c r="T402"/>
  <c r="W338" i="18"/>
  <c r="T344"/>
  <c r="U444"/>
  <c r="U325"/>
  <c r="X147"/>
  <c r="X153" s="1"/>
  <c r="Y222"/>
  <c r="V228" i="16"/>
  <c r="V226"/>
  <c r="W360" i="15"/>
  <c r="V360" s="1"/>
  <c r="V362" s="1"/>
  <c r="T373"/>
  <c r="T473"/>
  <c r="V77"/>
  <c r="V109" s="1"/>
  <c r="V121" s="1"/>
  <c r="V108"/>
  <c r="V120"/>
  <c r="I237" i="42"/>
  <c r="J237"/>
  <c r="D237"/>
  <c r="C237"/>
  <c r="J175"/>
  <c r="I175"/>
  <c r="D175"/>
  <c r="C175"/>
  <c r="J115"/>
  <c r="I115"/>
  <c r="D115"/>
  <c r="C115"/>
  <c r="J75"/>
  <c r="I75"/>
  <c r="D75"/>
  <c r="C75"/>
  <c r="J35"/>
  <c r="I35"/>
  <c r="D35"/>
  <c r="C35"/>
  <c r="U515" i="39"/>
  <c r="AO200" i="37"/>
  <c r="U550" i="39"/>
  <c r="V546"/>
  <c r="W245" i="13"/>
  <c r="W251"/>
  <c r="T373"/>
  <c r="W360"/>
  <c r="V360" s="1"/>
  <c r="V362" s="1"/>
  <c r="W396"/>
  <c r="T502"/>
  <c r="W77"/>
  <c r="W109" s="1"/>
  <c r="W121" s="1"/>
  <c r="W108"/>
  <c r="W120"/>
  <c r="J208" i="51"/>
  <c r="W338" i="35"/>
  <c r="T373"/>
  <c r="W360"/>
  <c r="W228" i="30"/>
  <c r="AL438" i="38"/>
  <c r="AL260"/>
  <c r="AL261" s="1"/>
  <c r="AL262" s="1"/>
  <c r="AL254"/>
  <c r="AL255"/>
  <c r="AL256" s="1"/>
  <c r="AL268" s="1"/>
  <c r="AL168"/>
  <c r="AL184"/>
  <c r="X221" i="39"/>
  <c r="X229" s="1"/>
  <c r="X231"/>
  <c r="X228"/>
  <c r="X226"/>
  <c r="V159" i="21"/>
  <c r="U360"/>
  <c r="U431" i="35"/>
  <c r="V427"/>
  <c r="V425"/>
  <c r="W486" i="29"/>
  <c r="V486" s="1"/>
  <c r="T492"/>
  <c r="L578" i="42"/>
  <c r="G578"/>
  <c r="F578"/>
  <c r="E578"/>
  <c r="H581"/>
  <c r="H580"/>
  <c r="L579"/>
  <c r="G579"/>
  <c r="F579"/>
  <c r="E579"/>
  <c r="I672"/>
  <c r="J672"/>
  <c r="D672"/>
  <c r="C672"/>
  <c r="U463" i="29"/>
  <c r="J478" i="42"/>
  <c r="D478"/>
  <c r="C478"/>
  <c r="I478"/>
  <c r="AO372" i="37"/>
  <c r="T444" i="50"/>
  <c r="I70" i="51"/>
  <c r="I85" s="1"/>
  <c r="X77" i="50"/>
  <c r="X109" s="1"/>
  <c r="X121" s="1"/>
  <c r="X108"/>
  <c r="X120"/>
  <c r="AL349" i="37"/>
  <c r="H386" i="42"/>
  <c r="L385"/>
  <c r="G385"/>
  <c r="F385"/>
  <c r="E385"/>
  <c r="H384"/>
  <c r="J156"/>
  <c r="D156"/>
  <c r="C156"/>
  <c r="I156"/>
  <c r="I661"/>
  <c r="D661"/>
  <c r="C661"/>
  <c r="J661"/>
  <c r="H404"/>
  <c r="H405"/>
  <c r="L403"/>
  <c r="G403"/>
  <c r="F403"/>
  <c r="E403"/>
  <c r="U373" i="23"/>
  <c r="U200"/>
  <c r="U190"/>
  <c r="V108" i="33"/>
  <c r="V120"/>
  <c r="T473"/>
  <c r="V77"/>
  <c r="V109" s="1"/>
  <c r="V121" s="1"/>
  <c r="W367"/>
  <c r="X221" i="19"/>
  <c r="X229"/>
  <c r="X231"/>
  <c r="W190" i="23"/>
  <c r="W200"/>
  <c r="U515"/>
  <c r="U508" i="19"/>
  <c r="W360"/>
  <c r="T373"/>
  <c r="X223" i="18"/>
  <c r="U508"/>
  <c r="U360"/>
  <c r="V356"/>
  <c r="V164"/>
  <c r="V185"/>
  <c r="V159"/>
  <c r="U425" i="17"/>
  <c r="V174" i="16"/>
  <c r="W229" i="15"/>
  <c r="T502"/>
  <c r="W108"/>
  <c r="W120"/>
  <c r="W77"/>
  <c r="W109"/>
  <c r="W121" s="1"/>
  <c r="J172" i="42"/>
  <c r="D172"/>
  <c r="C172"/>
  <c r="I172"/>
  <c r="I54"/>
  <c r="J54"/>
  <c r="D54"/>
  <c r="C54"/>
  <c r="I462"/>
  <c r="J462"/>
  <c r="D462"/>
  <c r="C462"/>
  <c r="I198"/>
  <c r="J198"/>
  <c r="D198"/>
  <c r="C198"/>
  <c r="AS86" i="20"/>
  <c r="AT82"/>
  <c r="AP233" i="37"/>
  <c r="AP231"/>
  <c r="AN230"/>
  <c r="AN225"/>
  <c r="AN226" s="1"/>
  <c r="AN234" s="1"/>
  <c r="AN236" s="1"/>
  <c r="V420" i="14"/>
  <c r="U425"/>
  <c r="T344"/>
  <c r="W367"/>
  <c r="X191" i="39"/>
  <c r="X196"/>
  <c r="AE186"/>
  <c r="X200"/>
  <c r="W396" i="21"/>
  <c r="T402"/>
  <c r="U486" i="30"/>
  <c r="V190"/>
  <c r="I596" i="42"/>
  <c r="J596"/>
  <c r="D596"/>
  <c r="C596"/>
  <c r="J710"/>
  <c r="D710"/>
  <c r="C710"/>
  <c r="I710"/>
  <c r="J674"/>
  <c r="D674"/>
  <c r="C674"/>
  <c r="I674"/>
  <c r="I560"/>
  <c r="J560"/>
  <c r="D560"/>
  <c r="C560"/>
  <c r="F290" i="51"/>
  <c r="F291"/>
  <c r="F292" s="1"/>
  <c r="F284"/>
  <c r="F285" s="1"/>
  <c r="F286" s="1"/>
  <c r="F298" s="1"/>
  <c r="F166"/>
  <c r="F176"/>
  <c r="I316" i="42"/>
  <c r="J316"/>
  <c r="D316"/>
  <c r="C316"/>
  <c r="U200" i="18"/>
  <c r="U190"/>
  <c r="H947" i="42"/>
  <c r="H888"/>
  <c r="H889"/>
  <c r="L887"/>
  <c r="G887"/>
  <c r="F887"/>
  <c r="E887"/>
  <c r="H869"/>
  <c r="H831"/>
  <c r="H830"/>
  <c r="L829"/>
  <c r="G829"/>
  <c r="F829"/>
  <c r="E829"/>
  <c r="L748"/>
  <c r="G748"/>
  <c r="F748"/>
  <c r="E748"/>
  <c r="I730"/>
  <c r="J730"/>
  <c r="D730"/>
  <c r="C730"/>
  <c r="L482"/>
  <c r="G482"/>
  <c r="F482"/>
  <c r="E482"/>
  <c r="H218"/>
  <c r="H219"/>
  <c r="L217"/>
  <c r="G217"/>
  <c r="F217"/>
  <c r="E217"/>
  <c r="T502" i="50"/>
  <c r="H70" i="51"/>
  <c r="H85" s="1"/>
  <c r="W77" i="50"/>
  <c r="W109" s="1"/>
  <c r="W121" s="1"/>
  <c r="W108"/>
  <c r="W120"/>
  <c r="T473"/>
  <c r="G70" i="51"/>
  <c r="G85" s="1"/>
  <c r="V77" i="50"/>
  <c r="V109" s="1"/>
  <c r="V121" s="1"/>
  <c r="V108"/>
  <c r="V120"/>
  <c r="L598" i="42"/>
  <c r="G598"/>
  <c r="F598"/>
  <c r="E598"/>
  <c r="I337"/>
  <c r="D337"/>
  <c r="C337"/>
  <c r="J337"/>
  <c r="V291" i="29"/>
  <c r="V291" i="28"/>
  <c r="AN296" i="36"/>
  <c r="V291" i="27"/>
  <c r="V291" i="24"/>
  <c r="V291" i="23"/>
  <c r="V291" i="33"/>
  <c r="V291" i="34"/>
  <c r="V291" i="19"/>
  <c r="V291" i="25"/>
  <c r="V291" i="22"/>
  <c r="V291" i="18"/>
  <c r="V291" i="16"/>
  <c r="V291" i="17"/>
  <c r="V291" i="15"/>
  <c r="V291" i="13"/>
  <c r="G382" i="51"/>
  <c r="V291" i="35"/>
  <c r="AN296" i="37"/>
  <c r="V291" i="39"/>
  <c r="V291" i="21"/>
  <c r="V291" i="14"/>
  <c r="V291" i="50"/>
  <c r="H1315" i="52" s="1"/>
  <c r="V291" i="30"/>
  <c r="L645" i="42"/>
  <c r="H646"/>
  <c r="G645"/>
  <c r="F645"/>
  <c r="E645"/>
  <c r="H419"/>
  <c r="L417"/>
  <c r="H418"/>
  <c r="G417"/>
  <c r="F417"/>
  <c r="E417"/>
  <c r="U544" i="27"/>
  <c r="V537"/>
  <c r="V539"/>
  <c r="T473" i="24"/>
  <c r="V77"/>
  <c r="V109" s="1"/>
  <c r="V121" s="1"/>
  <c r="V108"/>
  <c r="V120"/>
  <c r="U425" i="25"/>
  <c r="V245" i="22"/>
  <c r="V251"/>
  <c r="X221"/>
  <c r="X229"/>
  <c r="X231"/>
  <c r="W338" i="33"/>
  <c r="W108"/>
  <c r="W120"/>
  <c r="W77"/>
  <c r="W109"/>
  <c r="W121" s="1"/>
  <c r="T502"/>
  <c r="U444"/>
  <c r="U325"/>
  <c r="V325" s="1"/>
  <c r="X147"/>
  <c r="X153" s="1"/>
  <c r="Y222"/>
  <c r="T492" i="23"/>
  <c r="X228" i="22"/>
  <c r="X226"/>
  <c r="T502" i="19"/>
  <c r="W108"/>
  <c r="W120" s="1"/>
  <c r="W77"/>
  <c r="W109" s="1"/>
  <c r="W121" s="1"/>
  <c r="U479" i="15"/>
  <c r="I174" i="42"/>
  <c r="J174"/>
  <c r="D174"/>
  <c r="C174"/>
  <c r="I74"/>
  <c r="J74"/>
  <c r="D74"/>
  <c r="C74"/>
  <c r="V219" i="39"/>
  <c r="V224" s="1"/>
  <c r="X224"/>
  <c r="U389" i="14"/>
  <c r="W164"/>
  <c r="W185"/>
  <c r="W159"/>
  <c r="AL412" i="38"/>
  <c r="AM412"/>
  <c r="AM406"/>
  <c r="AM408"/>
  <c r="U444" i="14"/>
  <c r="U325"/>
  <c r="X147"/>
  <c r="X153" s="1"/>
  <c r="Y222"/>
  <c r="V245" i="35"/>
  <c r="V251"/>
  <c r="T444"/>
  <c r="X77"/>
  <c r="X109" s="1"/>
  <c r="X121" s="1"/>
  <c r="X108"/>
  <c r="X120"/>
  <c r="W77"/>
  <c r="W109"/>
  <c r="W121" s="1"/>
  <c r="T502"/>
  <c r="W108"/>
  <c r="W120"/>
  <c r="T402"/>
  <c r="W389"/>
  <c r="F1105" i="52"/>
  <c r="F1106"/>
  <c r="F1107" s="1"/>
  <c r="F1097"/>
  <c r="F1101" s="1"/>
  <c r="U195" i="50"/>
  <c r="U202" s="1"/>
  <c r="U201"/>
  <c r="AM213" i="38"/>
  <c r="AM211"/>
  <c r="T463" i="30"/>
  <c r="J576" i="42"/>
  <c r="D576"/>
  <c r="C576"/>
  <c r="I576"/>
  <c r="H679"/>
  <c r="H678"/>
  <c r="L677"/>
  <c r="G677"/>
  <c r="F677"/>
  <c r="E677"/>
  <c r="AL478" i="37"/>
  <c r="Y14"/>
  <c r="Z14" s="1"/>
  <c r="AN113"/>
  <c r="AN125" s="1"/>
  <c r="AN82"/>
  <c r="AN114" s="1"/>
  <c r="AN126" s="1"/>
  <c r="I16" i="26"/>
  <c r="I21"/>
  <c r="I26" s="1"/>
  <c r="W153" i="50"/>
  <c r="W338"/>
  <c r="AL449" i="36"/>
  <c r="AP113"/>
  <c r="AP125"/>
  <c r="AP82"/>
  <c r="AP114"/>
  <c r="AP126" s="1"/>
  <c r="AN250"/>
  <c r="J495" i="42"/>
  <c r="D495"/>
  <c r="C495"/>
  <c r="I495"/>
  <c r="X201" i="29"/>
  <c r="X195"/>
  <c r="X202"/>
  <c r="Y288" s="1"/>
  <c r="I439" i="42"/>
  <c r="D439"/>
  <c r="C439"/>
  <c r="J439"/>
  <c r="L158"/>
  <c r="G158"/>
  <c r="F158"/>
  <c r="E158"/>
  <c r="U367" i="28"/>
  <c r="I400" i="42"/>
  <c r="J400"/>
  <c r="D400"/>
  <c r="C400"/>
  <c r="U444" i="24"/>
  <c r="U325"/>
  <c r="X147"/>
  <c r="X153" s="1"/>
  <c r="Y222"/>
  <c r="T444"/>
  <c r="X77"/>
  <c r="X109" s="1"/>
  <c r="X121" s="1"/>
  <c r="X108"/>
  <c r="X120"/>
  <c r="W389"/>
  <c r="T402"/>
  <c r="W515" i="25"/>
  <c r="W245" i="22"/>
  <c r="W251"/>
  <c r="T344"/>
  <c r="T444"/>
  <c r="X77"/>
  <c r="X109"/>
  <c r="X121" s="1"/>
  <c r="X108"/>
  <c r="X120" s="1"/>
  <c r="U360" i="33"/>
  <c r="V159"/>
  <c r="V185"/>
  <c r="V164"/>
  <c r="W275" i="23"/>
  <c r="W276"/>
  <c r="W277" s="1"/>
  <c r="W169"/>
  <c r="W269"/>
  <c r="W270"/>
  <c r="W271" s="1"/>
  <c r="W283" s="1"/>
  <c r="W179"/>
  <c r="U396"/>
  <c r="U431" i="19"/>
  <c r="V427"/>
  <c r="V425"/>
  <c r="U550" i="18"/>
  <c r="V546"/>
  <c r="U190" i="19"/>
  <c r="U200"/>
  <c r="V108" i="18"/>
  <c r="V120"/>
  <c r="T473"/>
  <c r="V77"/>
  <c r="V109" s="1"/>
  <c r="V121" s="1"/>
  <c r="W486" i="17"/>
  <c r="W486" i="16"/>
  <c r="V486"/>
  <c r="V488" s="1"/>
  <c r="T492"/>
  <c r="U269"/>
  <c r="U270"/>
  <c r="U271" s="1"/>
  <c r="U275"/>
  <c r="U276" s="1"/>
  <c r="U277" s="1"/>
  <c r="U169"/>
  <c r="U179"/>
  <c r="X245" i="15"/>
  <c r="X251"/>
  <c r="U444"/>
  <c r="U325"/>
  <c r="X147"/>
  <c r="X153"/>
  <c r="Y222"/>
  <c r="W331"/>
  <c r="T344"/>
  <c r="T444"/>
  <c r="X77"/>
  <c r="X109"/>
  <c r="X121" s="1"/>
  <c r="X108"/>
  <c r="X120" s="1"/>
  <c r="J255" i="42"/>
  <c r="I255"/>
  <c r="D255"/>
  <c r="C255"/>
  <c r="L256"/>
  <c r="G256"/>
  <c r="F256"/>
  <c r="E256"/>
  <c r="I234"/>
  <c r="J234"/>
  <c r="D234"/>
  <c r="C234"/>
  <c r="H99"/>
  <c r="L97"/>
  <c r="G97"/>
  <c r="F97"/>
  <c r="E97"/>
  <c r="H59"/>
  <c r="L57"/>
  <c r="G57"/>
  <c r="F57"/>
  <c r="E57"/>
  <c r="H19"/>
  <c r="L17"/>
  <c r="G17"/>
  <c r="F17"/>
  <c r="E17"/>
  <c r="H466"/>
  <c r="L465"/>
  <c r="G465"/>
  <c r="F465"/>
  <c r="E465"/>
  <c r="H361"/>
  <c r="H360"/>
  <c r="L359"/>
  <c r="G359"/>
  <c r="F359"/>
  <c r="E359"/>
  <c r="H203"/>
  <c r="H202"/>
  <c r="L201"/>
  <c r="G201"/>
  <c r="F201"/>
  <c r="E201"/>
  <c r="H139"/>
  <c r="H138"/>
  <c r="L137"/>
  <c r="G137"/>
  <c r="F137"/>
  <c r="E137"/>
  <c r="J32"/>
  <c r="D32"/>
  <c r="C32"/>
  <c r="I32"/>
  <c r="V219" i="21"/>
  <c r="X224"/>
  <c r="U164" i="14"/>
  <c r="U185"/>
  <c r="V539"/>
  <c r="U544"/>
  <c r="W245"/>
  <c r="W251"/>
  <c r="X77"/>
  <c r="X109"/>
  <c r="X121" s="1"/>
  <c r="X108"/>
  <c r="X120" s="1"/>
  <c r="T444"/>
  <c r="W108"/>
  <c r="W120"/>
  <c r="T502"/>
  <c r="W77"/>
  <c r="W109" s="1"/>
  <c r="W121" s="1"/>
  <c r="V383"/>
  <c r="V385"/>
  <c r="T402"/>
  <c r="W389"/>
  <c r="V389" s="1"/>
  <c r="V391" s="1"/>
  <c r="V159" i="13"/>
  <c r="V185"/>
  <c r="V164"/>
  <c r="U479"/>
  <c r="W245" i="35"/>
  <c r="W251"/>
  <c r="U444"/>
  <c r="U325"/>
  <c r="X147"/>
  <c r="X153"/>
  <c r="Y222"/>
  <c r="U360"/>
  <c r="V360" s="1"/>
  <c r="V356"/>
  <c r="V159"/>
  <c r="W486" i="30"/>
  <c r="V486"/>
  <c r="AK473" i="38"/>
  <c r="W492" i="39"/>
  <c r="X180"/>
  <c r="X174"/>
  <c r="X181" s="1"/>
  <c r="X245" i="21"/>
  <c r="X251"/>
  <c r="X77"/>
  <c r="X109" s="1"/>
  <c r="X121" s="1"/>
  <c r="T444"/>
  <c r="X108"/>
  <c r="X120" s="1"/>
  <c r="T344"/>
  <c r="V77"/>
  <c r="V109"/>
  <c r="V121" s="1"/>
  <c r="T473"/>
  <c r="V108"/>
  <c r="V120"/>
  <c r="W367"/>
  <c r="T373"/>
  <c r="W360"/>
  <c r="V360"/>
  <c r="T502"/>
  <c r="W108"/>
  <c r="W120" s="1"/>
  <c r="W77"/>
  <c r="W109" s="1"/>
  <c r="W121" s="1"/>
  <c r="I208" i="51"/>
  <c r="W515" i="30"/>
  <c r="W550" i="14"/>
  <c r="J847" i="42"/>
  <c r="D847"/>
  <c r="C847"/>
  <c r="I847"/>
  <c r="L848"/>
  <c r="G848"/>
  <c r="F848"/>
  <c r="E848"/>
  <c r="G907"/>
  <c r="F907"/>
  <c r="E907"/>
  <c r="H967"/>
  <c r="L907"/>
  <c r="H909"/>
  <c r="J769"/>
  <c r="D769"/>
  <c r="C769"/>
  <c r="I769"/>
  <c r="J768"/>
  <c r="D768"/>
  <c r="C768"/>
  <c r="I768"/>
  <c r="J731"/>
  <c r="D731"/>
  <c r="C731"/>
  <c r="I731"/>
  <c r="L732"/>
  <c r="G732"/>
  <c r="F732"/>
  <c r="E732"/>
  <c r="I214"/>
  <c r="J214"/>
  <c r="D214"/>
  <c r="C214"/>
  <c r="AO228" i="37"/>
  <c r="AO229"/>
  <c r="AO230"/>
  <c r="AM484"/>
  <c r="V219" i="28"/>
  <c r="T373" i="50"/>
  <c r="W360"/>
  <c r="I701" i="42"/>
  <c r="D701"/>
  <c r="C701"/>
  <c r="J701"/>
  <c r="L702"/>
  <c r="G702"/>
  <c r="F702"/>
  <c r="E702"/>
  <c r="X282" i="29"/>
  <c r="X281"/>
  <c r="Y297"/>
  <c r="AL555" i="36"/>
  <c r="AO542"/>
  <c r="J642" i="42"/>
  <c r="D642"/>
  <c r="C642"/>
  <c r="I642"/>
  <c r="V360" i="28"/>
  <c r="V362" s="1"/>
  <c r="V420" i="27"/>
  <c r="U425"/>
  <c r="T492"/>
  <c r="U544" i="25"/>
  <c r="V537"/>
  <c r="V539" s="1"/>
  <c r="W360" i="22"/>
  <c r="T373"/>
  <c r="T473"/>
  <c r="V77"/>
  <c r="V109" s="1"/>
  <c r="V121" s="1"/>
  <c r="V108"/>
  <c r="V120"/>
  <c r="W396" i="33"/>
  <c r="W389"/>
  <c r="T402"/>
  <c r="W550" i="19"/>
  <c r="V550" s="1"/>
  <c r="U457" i="25"/>
  <c r="X269"/>
  <c r="X270"/>
  <c r="X271" s="1"/>
  <c r="X283" s="1"/>
  <c r="X169"/>
  <c r="X179"/>
  <c r="X275"/>
  <c r="X276" s="1"/>
  <c r="X277" s="1"/>
  <c r="V420" i="23"/>
  <c r="U425"/>
  <c r="T344" i="19"/>
  <c r="W396"/>
  <c r="U431" i="18"/>
  <c r="V425"/>
  <c r="V427" s="1"/>
  <c r="W550" i="15"/>
  <c r="W245" i="18"/>
  <c r="W251"/>
  <c r="X108"/>
  <c r="X120"/>
  <c r="T444"/>
  <c r="X77"/>
  <c r="X109" s="1"/>
  <c r="X121" s="1"/>
  <c r="W108"/>
  <c r="W120"/>
  <c r="W77"/>
  <c r="W109"/>
  <c r="W121" s="1"/>
  <c r="T502"/>
  <c r="X245"/>
  <c r="X251"/>
  <c r="W367" i="15"/>
  <c r="V220"/>
  <c r="V221"/>
  <c r="H241" i="42"/>
  <c r="H240"/>
  <c r="L239"/>
  <c r="G239"/>
  <c r="F239"/>
  <c r="E239"/>
  <c r="H179"/>
  <c r="H178"/>
  <c r="L177"/>
  <c r="G177"/>
  <c r="F177"/>
  <c r="E177"/>
  <c r="H119"/>
  <c r="H118"/>
  <c r="L117"/>
  <c r="G117"/>
  <c r="F117"/>
  <c r="E117"/>
  <c r="H79"/>
  <c r="H78"/>
  <c r="L77"/>
  <c r="G77"/>
  <c r="F77"/>
  <c r="E77"/>
  <c r="H39"/>
  <c r="H38"/>
  <c r="L37"/>
  <c r="G37"/>
  <c r="F37"/>
  <c r="E37"/>
  <c r="T344" i="13"/>
  <c r="W367"/>
  <c r="T402"/>
  <c r="T344" i="35"/>
  <c r="W367"/>
  <c r="U174" i="50"/>
  <c r="U181"/>
  <c r="U180"/>
  <c r="V225" i="39"/>
  <c r="V220"/>
  <c r="V221" s="1"/>
  <c r="V229" s="1"/>
  <c r="V231" s="1"/>
  <c r="W223" i="21"/>
  <c r="U479"/>
  <c r="I708" i="42"/>
  <c r="J708"/>
  <c r="D708"/>
  <c r="C708"/>
  <c r="J577"/>
  <c r="D577"/>
  <c r="C577"/>
  <c r="I577"/>
  <c r="J558"/>
  <c r="D558"/>
  <c r="C558"/>
  <c r="I558"/>
  <c r="AO365" i="37"/>
  <c r="AN365" s="1"/>
  <c r="AL378"/>
  <c r="AL349" i="36"/>
  <c r="AO343"/>
  <c r="J494" i="42"/>
  <c r="D494"/>
  <c r="C494"/>
  <c r="I494"/>
  <c r="AO343" i="37"/>
  <c r="J383" i="42"/>
  <c r="D383"/>
  <c r="C383"/>
  <c r="I383"/>
  <c r="J334"/>
  <c r="D334"/>
  <c r="C334"/>
  <c r="I334"/>
  <c r="I438"/>
  <c r="J438"/>
  <c r="D438"/>
  <c r="C438"/>
  <c r="U486" i="28"/>
  <c r="AN225" i="36"/>
  <c r="H665" i="42"/>
  <c r="H664"/>
  <c r="L663"/>
  <c r="G663"/>
  <c r="F663"/>
  <c r="E663"/>
  <c r="J401"/>
  <c r="D401"/>
  <c r="C401"/>
  <c r="I401"/>
  <c r="L402"/>
  <c r="G402"/>
  <c r="F402"/>
  <c r="E402"/>
  <c r="W245" i="24"/>
  <c r="W251"/>
  <c r="T502"/>
  <c r="W108"/>
  <c r="W120"/>
  <c r="W77"/>
  <c r="W109"/>
  <c r="W121" s="1"/>
  <c r="U269" i="23"/>
  <c r="U270"/>
  <c r="U271" s="1"/>
  <c r="U275"/>
  <c r="U276"/>
  <c r="U277" s="1"/>
  <c r="U169"/>
  <c r="U179"/>
  <c r="X245" i="22"/>
  <c r="X251"/>
  <c r="U444"/>
  <c r="U325"/>
  <c r="X147"/>
  <c r="X153" s="1"/>
  <c r="Y222"/>
  <c r="T502"/>
  <c r="W108"/>
  <c r="W120" s="1"/>
  <c r="W77"/>
  <c r="W109" s="1"/>
  <c r="W121" s="1"/>
  <c r="V354" i="33"/>
  <c r="V356"/>
  <c r="W360"/>
  <c r="V360" s="1"/>
  <c r="T373"/>
  <c r="V245"/>
  <c r="V251"/>
  <c r="X228" i="19"/>
  <c r="X226"/>
  <c r="V225"/>
  <c r="V220"/>
  <c r="V221"/>
  <c r="V229" s="1"/>
  <c r="V231" s="1"/>
  <c r="W164"/>
  <c r="W185"/>
  <c r="W159"/>
  <c r="U389"/>
  <c r="V385"/>
  <c r="W367"/>
  <c r="W550" i="18"/>
  <c r="V550" s="1"/>
  <c r="V552" s="1"/>
  <c r="V225" i="17"/>
  <c r="U338"/>
  <c r="U389" i="18"/>
  <c r="V389"/>
  <c r="V385"/>
  <c r="W185"/>
  <c r="W164"/>
  <c r="W159"/>
  <c r="W223"/>
  <c r="U479"/>
  <c r="W297" i="16"/>
  <c r="V282"/>
  <c r="V281" s="1"/>
  <c r="W245" i="15"/>
  <c r="W251"/>
  <c r="I254" i="42"/>
  <c r="J254"/>
  <c r="D254"/>
  <c r="C254"/>
  <c r="I94"/>
  <c r="J94"/>
  <c r="D94"/>
  <c r="C94"/>
  <c r="I14"/>
  <c r="J14"/>
  <c r="D14"/>
  <c r="C14"/>
  <c r="I356"/>
  <c r="J356"/>
  <c r="D356"/>
  <c r="C356"/>
  <c r="I134"/>
  <c r="J134"/>
  <c r="D134"/>
  <c r="C134"/>
  <c r="J72"/>
  <c r="D72"/>
  <c r="C72"/>
  <c r="I72"/>
  <c r="U486" i="39"/>
  <c r="AP236" i="37"/>
  <c r="AP226"/>
  <c r="AP234" s="1"/>
  <c r="AP206" i="38"/>
  <c r="AP214" s="1"/>
  <c r="AP216" s="1"/>
  <c r="U431" i="39"/>
  <c r="V425"/>
  <c r="V427" s="1"/>
  <c r="W338" i="14"/>
  <c r="T373"/>
  <c r="W360"/>
  <c r="V245" i="13"/>
  <c r="V251"/>
  <c r="X245"/>
  <c r="X251"/>
  <c r="U444"/>
  <c r="U325"/>
  <c r="X147"/>
  <c r="X153" s="1"/>
  <c r="X185" s="1"/>
  <c r="Y222"/>
  <c r="Y223" s="1"/>
  <c r="X195" i="39"/>
  <c r="X202" s="1"/>
  <c r="Y288" s="1"/>
  <c r="X201"/>
  <c r="V269" i="30"/>
  <c r="V270" s="1"/>
  <c r="V271" s="1"/>
  <c r="V283" s="1"/>
  <c r="V275"/>
  <c r="V276"/>
  <c r="V277" s="1"/>
  <c r="V169"/>
  <c r="V186"/>
  <c r="V191"/>
  <c r="V196" s="1"/>
  <c r="V165"/>
  <c r="V170"/>
  <c r="V175" s="1"/>
  <c r="V226" i="50"/>
  <c r="V228"/>
  <c r="V338" i="29"/>
  <c r="V340"/>
  <c r="AM525" i="38"/>
  <c r="AM527"/>
  <c r="F263" i="51"/>
  <c r="F273"/>
  <c r="U269" i="18"/>
  <c r="U270" s="1"/>
  <c r="U271" s="1"/>
  <c r="U275"/>
  <c r="U276"/>
  <c r="U277" s="1"/>
  <c r="U169"/>
  <c r="U179"/>
  <c r="L850" i="42"/>
  <c r="G850"/>
  <c r="F850"/>
  <c r="E850"/>
  <c r="L160"/>
  <c r="G160"/>
  <c r="F160"/>
  <c r="E160"/>
  <c r="L772"/>
  <c r="G772"/>
  <c r="F772"/>
  <c r="E772"/>
  <c r="L498"/>
  <c r="G498"/>
  <c r="F498"/>
  <c r="E498"/>
  <c r="G792"/>
  <c r="F792"/>
  <c r="E792"/>
  <c r="L792"/>
  <c r="Y225" i="13"/>
  <c r="U331"/>
  <c r="W373" i="14"/>
  <c r="V431" i="39"/>
  <c r="V433"/>
  <c r="U492"/>
  <c r="U486" i="18"/>
  <c r="W224"/>
  <c r="W275"/>
  <c r="W276"/>
  <c r="W277" s="1"/>
  <c r="W169"/>
  <c r="W269"/>
  <c r="W270"/>
  <c r="W271" s="1"/>
  <c r="W283" s="1"/>
  <c r="U344" i="17"/>
  <c r="W186" i="19"/>
  <c r="W191" s="1"/>
  <c r="W196" s="1"/>
  <c r="W165"/>
  <c r="W170" s="1"/>
  <c r="W175" s="1"/>
  <c r="W269"/>
  <c r="W270"/>
  <c r="W271" s="1"/>
  <c r="W179"/>
  <c r="W275"/>
  <c r="W276"/>
  <c r="W277" s="1"/>
  <c r="W169"/>
  <c r="T515" i="22"/>
  <c r="T508"/>
  <c r="W502"/>
  <c r="V502" s="1"/>
  <c r="V504" s="1"/>
  <c r="U450"/>
  <c r="U174" i="23"/>
  <c r="U181"/>
  <c r="U180"/>
  <c r="T515" i="24"/>
  <c r="T508"/>
  <c r="W502"/>
  <c r="J663" i="42"/>
  <c r="D663"/>
  <c r="C663"/>
  <c r="I663"/>
  <c r="G664"/>
  <c r="F664"/>
  <c r="E664"/>
  <c r="L664"/>
  <c r="W224" i="21"/>
  <c r="V228" i="39"/>
  <c r="V226"/>
  <c r="W402" i="13"/>
  <c r="I37" i="42"/>
  <c r="J37"/>
  <c r="D37"/>
  <c r="C37"/>
  <c r="L38"/>
  <c r="G38"/>
  <c r="F38"/>
  <c r="E38"/>
  <c r="I77"/>
  <c r="J77"/>
  <c r="D77"/>
  <c r="C77"/>
  <c r="L78"/>
  <c r="G78"/>
  <c r="F78"/>
  <c r="E78"/>
  <c r="I117"/>
  <c r="J117"/>
  <c r="D117"/>
  <c r="C117"/>
  <c r="L118"/>
  <c r="G118"/>
  <c r="F118"/>
  <c r="E118"/>
  <c r="I177"/>
  <c r="J177"/>
  <c r="D177"/>
  <c r="C177"/>
  <c r="L178"/>
  <c r="G178"/>
  <c r="F178"/>
  <c r="E178"/>
  <c r="J239"/>
  <c r="I239"/>
  <c r="D239"/>
  <c r="C239"/>
  <c r="L240"/>
  <c r="G240"/>
  <c r="F240"/>
  <c r="E240"/>
  <c r="U431" i="23"/>
  <c r="V425"/>
  <c r="V427" s="1"/>
  <c r="U463" i="25"/>
  <c r="W402" i="33"/>
  <c r="W373" i="22"/>
  <c r="W492" i="27"/>
  <c r="J702" i="42"/>
  <c r="D702"/>
  <c r="C702"/>
  <c r="I702"/>
  <c r="W373" i="50"/>
  <c r="AO233" i="37"/>
  <c r="AO231"/>
  <c r="H911" i="42"/>
  <c r="H910"/>
  <c r="L909"/>
  <c r="G909"/>
  <c r="F909"/>
  <c r="E909"/>
  <c r="H969"/>
  <c r="H968"/>
  <c r="L967"/>
  <c r="G967"/>
  <c r="F967"/>
  <c r="E967"/>
  <c r="I848"/>
  <c r="J848"/>
  <c r="D848"/>
  <c r="C848"/>
  <c r="T508" i="21"/>
  <c r="T515"/>
  <c r="W373"/>
  <c r="AN473" i="38"/>
  <c r="Y223" i="35"/>
  <c r="Y225"/>
  <c r="U331"/>
  <c r="V325"/>
  <c r="V327" s="1"/>
  <c r="V275" i="13"/>
  <c r="V276" s="1"/>
  <c r="V277" s="1"/>
  <c r="V169"/>
  <c r="V269"/>
  <c r="V270" s="1"/>
  <c r="V271" s="1"/>
  <c r="V283" s="1"/>
  <c r="V186"/>
  <c r="V191" s="1"/>
  <c r="V196" s="1"/>
  <c r="V165"/>
  <c r="V170"/>
  <c r="V175" s="1"/>
  <c r="U550" i="14"/>
  <c r="V544"/>
  <c r="V546"/>
  <c r="U190"/>
  <c r="U200"/>
  <c r="I137" i="42"/>
  <c r="J137"/>
  <c r="D137"/>
  <c r="C137"/>
  <c r="L138"/>
  <c r="G138"/>
  <c r="F138"/>
  <c r="E138"/>
  <c r="I201"/>
  <c r="J201"/>
  <c r="D201"/>
  <c r="C201"/>
  <c r="L202"/>
  <c r="G202"/>
  <c r="F202"/>
  <c r="E202"/>
  <c r="J359"/>
  <c r="D359"/>
  <c r="C359"/>
  <c r="I359"/>
  <c r="L360"/>
  <c r="G360"/>
  <c r="F360"/>
  <c r="E360"/>
  <c r="I465"/>
  <c r="D465"/>
  <c r="C465"/>
  <c r="J465"/>
  <c r="L466"/>
  <c r="G466"/>
  <c r="F466"/>
  <c r="E466"/>
  <c r="H21"/>
  <c r="H20"/>
  <c r="L19"/>
  <c r="G19"/>
  <c r="F19"/>
  <c r="E19"/>
  <c r="H61"/>
  <c r="H60"/>
  <c r="L59"/>
  <c r="G59"/>
  <c r="F59"/>
  <c r="E59"/>
  <c r="H101"/>
  <c r="H100"/>
  <c r="L99"/>
  <c r="G99"/>
  <c r="F99"/>
  <c r="E99"/>
  <c r="J256"/>
  <c r="D256"/>
  <c r="C256"/>
  <c r="I256"/>
  <c r="W344" i="15"/>
  <c r="Y223"/>
  <c r="Y225"/>
  <c r="U331"/>
  <c r="W492" i="16"/>
  <c r="V492" s="1"/>
  <c r="U195" i="19"/>
  <c r="U202" s="1"/>
  <c r="U201"/>
  <c r="AD184" i="33"/>
  <c r="V190"/>
  <c r="T457" i="22"/>
  <c r="T450"/>
  <c r="W402" i="24"/>
  <c r="T457"/>
  <c r="T450"/>
  <c r="U450"/>
  <c r="AL491" i="37"/>
  <c r="AO478"/>
  <c r="AN478"/>
  <c r="AN480" s="1"/>
  <c r="AL484"/>
  <c r="H681" i="42"/>
  <c r="H680"/>
  <c r="L679"/>
  <c r="G679"/>
  <c r="F679"/>
  <c r="E679"/>
  <c r="W463" i="30"/>
  <c r="T508" i="35"/>
  <c r="T515"/>
  <c r="W502"/>
  <c r="T450"/>
  <c r="T457"/>
  <c r="Y223" i="14"/>
  <c r="Y225"/>
  <c r="U331"/>
  <c r="W165"/>
  <c r="W170" s="1"/>
  <c r="W175" s="1"/>
  <c r="W186"/>
  <c r="W191"/>
  <c r="W196" s="1"/>
  <c r="W269"/>
  <c r="W270" s="1"/>
  <c r="W271" s="1"/>
  <c r="W275"/>
  <c r="W276"/>
  <c r="W277" s="1"/>
  <c r="W169"/>
  <c r="U396"/>
  <c r="U486" i="15"/>
  <c r="T508" i="19"/>
  <c r="W502"/>
  <c r="V502" s="1"/>
  <c r="V504" s="1"/>
  <c r="T515"/>
  <c r="W492" i="23"/>
  <c r="V492"/>
  <c r="V494" s="1"/>
  <c r="U450" i="33"/>
  <c r="U431" i="25"/>
  <c r="V425"/>
  <c r="V427"/>
  <c r="T486" i="24"/>
  <c r="T479"/>
  <c r="W473"/>
  <c r="U550" i="27"/>
  <c r="V544"/>
  <c r="V546"/>
  <c r="J417" i="42"/>
  <c r="D417"/>
  <c r="C417"/>
  <c r="I417"/>
  <c r="J645"/>
  <c r="D645"/>
  <c r="C645"/>
  <c r="I645"/>
  <c r="J598"/>
  <c r="D598"/>
  <c r="C598"/>
  <c r="I598"/>
  <c r="I217"/>
  <c r="J217"/>
  <c r="D217"/>
  <c r="C217"/>
  <c r="L219"/>
  <c r="H221"/>
  <c r="G219"/>
  <c r="F219"/>
  <c r="E219"/>
  <c r="J482"/>
  <c r="D482"/>
  <c r="C482"/>
  <c r="I482"/>
  <c r="H833"/>
  <c r="L831"/>
  <c r="H832"/>
  <c r="G831"/>
  <c r="F831"/>
  <c r="E831"/>
  <c r="I887"/>
  <c r="D887"/>
  <c r="C887"/>
  <c r="J887"/>
  <c r="W473" i="39"/>
  <c r="V473" s="1"/>
  <c r="V475" s="1"/>
  <c r="W473" i="29"/>
  <c r="V473"/>
  <c r="V475" s="1"/>
  <c r="W473" i="17"/>
  <c r="W473" i="27"/>
  <c r="AN454" i="38"/>
  <c r="W473" i="30"/>
  <c r="V473" s="1"/>
  <c r="V475" s="1"/>
  <c r="W473" i="16"/>
  <c r="V473"/>
  <c r="V475" s="1"/>
  <c r="W473" i="23"/>
  <c r="V473" s="1"/>
  <c r="V475" s="1"/>
  <c r="H891" i="42"/>
  <c r="H890"/>
  <c r="L889"/>
  <c r="G889"/>
  <c r="F889"/>
  <c r="E889"/>
  <c r="H1007"/>
  <c r="H949"/>
  <c r="L947"/>
  <c r="G947"/>
  <c r="F947"/>
  <c r="E947"/>
  <c r="H929"/>
  <c r="V195" i="30"/>
  <c r="V202" s="1"/>
  <c r="W288" s="1"/>
  <c r="V201"/>
  <c r="U492"/>
  <c r="V488"/>
  <c r="W402" i="21"/>
  <c r="AN233" i="37"/>
  <c r="AN231"/>
  <c r="V186" i="18"/>
  <c r="V191"/>
  <c r="V196" s="1"/>
  <c r="V165"/>
  <c r="V170" s="1"/>
  <c r="V175" s="1"/>
  <c r="V269"/>
  <c r="V270"/>
  <c r="V271" s="1"/>
  <c r="V169"/>
  <c r="V179"/>
  <c r="V275"/>
  <c r="V276"/>
  <c r="V277" s="1"/>
  <c r="U367"/>
  <c r="U515"/>
  <c r="X224"/>
  <c r="W373" i="19"/>
  <c r="U521" i="23"/>
  <c r="T479" i="33"/>
  <c r="W473"/>
  <c r="V473"/>
  <c r="V475" s="1"/>
  <c r="T486"/>
  <c r="U195" i="23"/>
  <c r="U202"/>
  <c r="U201"/>
  <c r="I403" i="42"/>
  <c r="D403"/>
  <c r="C403"/>
  <c r="J403"/>
  <c r="L405"/>
  <c r="H406"/>
  <c r="G405"/>
  <c r="F405"/>
  <c r="E405"/>
  <c r="L384"/>
  <c r="G384"/>
  <c r="F384"/>
  <c r="E384"/>
  <c r="H583"/>
  <c r="H582"/>
  <c r="L581"/>
  <c r="G581"/>
  <c r="F581"/>
  <c r="E581"/>
  <c r="V433" i="35"/>
  <c r="V431"/>
  <c r="AL444" i="38"/>
  <c r="AM444" s="1"/>
  <c r="W373" i="35"/>
  <c r="W373" i="13"/>
  <c r="U521" i="39"/>
  <c r="W373" i="15"/>
  <c r="Y223" i="18"/>
  <c r="Y225"/>
  <c r="U331"/>
  <c r="W402" i="19"/>
  <c r="X195" i="25"/>
  <c r="AP164" i="37"/>
  <c r="AP169"/>
  <c r="AP190"/>
  <c r="G704" i="42"/>
  <c r="F704"/>
  <c r="E704"/>
  <c r="L704"/>
  <c r="AN274" i="37"/>
  <c r="AN275" s="1"/>
  <c r="AN276" s="1"/>
  <c r="AN280"/>
  <c r="AN281"/>
  <c r="AN282" s="1"/>
  <c r="AN174"/>
  <c r="I733" i="42"/>
  <c r="D733"/>
  <c r="C733"/>
  <c r="J733"/>
  <c r="L734"/>
  <c r="G734"/>
  <c r="F734"/>
  <c r="E734"/>
  <c r="I771"/>
  <c r="D771"/>
  <c r="C771"/>
  <c r="J771"/>
  <c r="W463" i="29"/>
  <c r="V463" s="1"/>
  <c r="I849" i="42"/>
  <c r="D849"/>
  <c r="C849"/>
  <c r="J849"/>
  <c r="Y297" i="39"/>
  <c r="X282"/>
  <c r="X281"/>
  <c r="W228" i="35"/>
  <c r="W226"/>
  <c r="U367" i="13"/>
  <c r="W224"/>
  <c r="T479" i="14"/>
  <c r="T486"/>
  <c r="W473"/>
  <c r="H261" i="42"/>
  <c r="H260"/>
  <c r="L259"/>
  <c r="G259"/>
  <c r="F259"/>
  <c r="E259"/>
  <c r="W402" i="15"/>
  <c r="U195" i="16"/>
  <c r="U202" s="1"/>
  <c r="U201"/>
  <c r="V373"/>
  <c r="V375" s="1"/>
  <c r="U550"/>
  <c r="V544"/>
  <c r="V546" s="1"/>
  <c r="W492" i="17"/>
  <c r="U550"/>
  <c r="V546"/>
  <c r="V544"/>
  <c r="V360" i="18"/>
  <c r="V362" s="1"/>
  <c r="U180" i="19"/>
  <c r="U174"/>
  <c r="U181" s="1"/>
  <c r="T479"/>
  <c r="W473"/>
  <c r="T486"/>
  <c r="U486" i="33"/>
  <c r="W224"/>
  <c r="J159" i="42"/>
  <c r="I159"/>
  <c r="D159"/>
  <c r="C159"/>
  <c r="J441"/>
  <c r="D441"/>
  <c r="C441"/>
  <c r="I441"/>
  <c r="H445"/>
  <c r="L443"/>
  <c r="H444"/>
  <c r="G443"/>
  <c r="F443"/>
  <c r="E443"/>
  <c r="J382"/>
  <c r="D382"/>
  <c r="C382"/>
  <c r="I382"/>
  <c r="I497"/>
  <c r="D497"/>
  <c r="C497"/>
  <c r="J497"/>
  <c r="U515" i="50"/>
  <c r="U396"/>
  <c r="X224"/>
  <c r="X229"/>
  <c r="L318" i="42"/>
  <c r="G318"/>
  <c r="F318"/>
  <c r="E318"/>
  <c r="J713"/>
  <c r="D713"/>
  <c r="C713"/>
  <c r="I713"/>
  <c r="H717"/>
  <c r="H716"/>
  <c r="L715"/>
  <c r="G715"/>
  <c r="F715"/>
  <c r="E715"/>
  <c r="I712"/>
  <c r="J712"/>
  <c r="D712"/>
  <c r="C712"/>
  <c r="U515" i="21"/>
  <c r="T479" i="35"/>
  <c r="T486"/>
  <c r="W473"/>
  <c r="V473"/>
  <c r="V475" s="1"/>
  <c r="I273" i="51"/>
  <c r="U367" i="15"/>
  <c r="T450" i="19"/>
  <c r="T457"/>
  <c r="V221" i="22"/>
  <c r="U550" i="23"/>
  <c r="V544"/>
  <c r="V546"/>
  <c r="W373" i="24"/>
  <c r="J339" i="42"/>
  <c r="D339"/>
  <c r="C339"/>
  <c r="I339"/>
  <c r="L340"/>
  <c r="G340"/>
  <c r="F340"/>
  <c r="E340"/>
  <c r="J338"/>
  <c r="D338"/>
  <c r="C338"/>
  <c r="I338"/>
  <c r="H603"/>
  <c r="H602"/>
  <c r="L601"/>
  <c r="G601"/>
  <c r="F601"/>
  <c r="E601"/>
  <c r="Y223" i="50"/>
  <c r="Y225"/>
  <c r="U331"/>
  <c r="X153"/>
  <c r="J16" i="26"/>
  <c r="J21" s="1"/>
  <c r="J26" s="1"/>
  <c r="J483" i="42"/>
  <c r="D483"/>
  <c r="C483"/>
  <c r="I483"/>
  <c r="L484"/>
  <c r="G484"/>
  <c r="F484"/>
  <c r="E484"/>
  <c r="J751"/>
  <c r="D751"/>
  <c r="C751"/>
  <c r="I751"/>
  <c r="L752"/>
  <c r="G752"/>
  <c r="F752"/>
  <c r="E752"/>
  <c r="I750"/>
  <c r="J750"/>
  <c r="D750"/>
  <c r="C750"/>
  <c r="L808"/>
  <c r="G808"/>
  <c r="F808"/>
  <c r="E808"/>
  <c r="L810"/>
  <c r="G810"/>
  <c r="F810"/>
  <c r="E810"/>
  <c r="J791"/>
  <c r="D791"/>
  <c r="C791"/>
  <c r="I791"/>
  <c r="V200" i="28"/>
  <c r="J440" i="42"/>
  <c r="D440"/>
  <c r="C440"/>
  <c r="I440"/>
  <c r="I496"/>
  <c r="J496"/>
  <c r="D496"/>
  <c r="C496"/>
  <c r="H323"/>
  <c r="H322"/>
  <c r="L321"/>
  <c r="G321"/>
  <c r="F321"/>
  <c r="E321"/>
  <c r="U396" i="21"/>
  <c r="V396" s="1"/>
  <c r="Y225"/>
  <c r="Y223"/>
  <c r="U331"/>
  <c r="AO268" i="38"/>
  <c r="AO169"/>
  <c r="AO186"/>
  <c r="AO185"/>
  <c r="I171" i="51"/>
  <c r="I178" s="1"/>
  <c r="I177"/>
  <c r="T479" i="13"/>
  <c r="T486"/>
  <c r="U402" i="39"/>
  <c r="V398"/>
  <c r="V396"/>
  <c r="V494" i="16"/>
  <c r="T450" i="33"/>
  <c r="T457"/>
  <c r="W186" i="22"/>
  <c r="W191"/>
  <c r="W196" s="1"/>
  <c r="W165"/>
  <c r="W170" s="1"/>
  <c r="W175" s="1"/>
  <c r="W190"/>
  <c r="W200"/>
  <c r="J563" i="42"/>
  <c r="D563"/>
  <c r="C563"/>
  <c r="I563"/>
  <c r="G565"/>
  <c r="F565"/>
  <c r="E565"/>
  <c r="H566"/>
  <c r="L565"/>
  <c r="J662"/>
  <c r="D662"/>
  <c r="C662"/>
  <c r="I662"/>
  <c r="V325" i="50"/>
  <c r="V327" s="1"/>
  <c r="U269" i="25"/>
  <c r="U270" s="1"/>
  <c r="U271" s="1"/>
  <c r="U283" s="1"/>
  <c r="U275"/>
  <c r="U276"/>
  <c r="U277" s="1"/>
  <c r="U169"/>
  <c r="U179"/>
  <c r="J828" i="42"/>
  <c r="D828"/>
  <c r="C828"/>
  <c r="I828"/>
  <c r="V325" i="14"/>
  <c r="V327" s="1"/>
  <c r="J76" i="42"/>
  <c r="D76"/>
  <c r="C76"/>
  <c r="I76"/>
  <c r="J176"/>
  <c r="D176"/>
  <c r="C176"/>
  <c r="I176"/>
  <c r="V325" i="18"/>
  <c r="V327" s="1"/>
  <c r="V486" i="39"/>
  <c r="V488" s="1"/>
  <c r="J200" i="42"/>
  <c r="D200"/>
  <c r="C200"/>
  <c r="I200"/>
  <c r="J464"/>
  <c r="D464"/>
  <c r="C464"/>
  <c r="I464"/>
  <c r="J56"/>
  <c r="D56"/>
  <c r="C56"/>
  <c r="I56"/>
  <c r="F268" i="51"/>
  <c r="F275" s="1"/>
  <c r="F274"/>
  <c r="U174" i="18"/>
  <c r="U181"/>
  <c r="U180"/>
  <c r="U283"/>
  <c r="V174" i="30"/>
  <c r="V181" s="1"/>
  <c r="V180"/>
  <c r="V179"/>
  <c r="X159" i="13"/>
  <c r="X164"/>
  <c r="U450"/>
  <c r="W186" i="18"/>
  <c r="W165"/>
  <c r="W170"/>
  <c r="W175" s="1"/>
  <c r="W190"/>
  <c r="V391"/>
  <c r="U396"/>
  <c r="V396"/>
  <c r="V228" i="17"/>
  <c r="U396" i="19"/>
  <c r="W190"/>
  <c r="W200"/>
  <c r="V228"/>
  <c r="V226"/>
  <c r="W373" i="33"/>
  <c r="Y223" i="22"/>
  <c r="Y225"/>
  <c r="U331"/>
  <c r="V325"/>
  <c r="V327"/>
  <c r="J402" i="42"/>
  <c r="D402"/>
  <c r="C402"/>
  <c r="I402"/>
  <c r="H666"/>
  <c r="L665"/>
  <c r="G665"/>
  <c r="F665"/>
  <c r="E665"/>
  <c r="U492" i="28"/>
  <c r="AO378" i="37"/>
  <c r="U486" i="21"/>
  <c r="W344" i="13"/>
  <c r="H41" i="42"/>
  <c r="H40"/>
  <c r="L39"/>
  <c r="G39"/>
  <c r="F39"/>
  <c r="E39"/>
  <c r="H81"/>
  <c r="H80"/>
  <c r="L79"/>
  <c r="G79"/>
  <c r="F79"/>
  <c r="E79"/>
  <c r="H121"/>
  <c r="H120"/>
  <c r="L119"/>
  <c r="G119"/>
  <c r="F119"/>
  <c r="E119"/>
  <c r="H181"/>
  <c r="H180"/>
  <c r="L179"/>
  <c r="G179"/>
  <c r="F179"/>
  <c r="E179"/>
  <c r="H243"/>
  <c r="H242"/>
  <c r="L241"/>
  <c r="G241"/>
  <c r="F241"/>
  <c r="E241"/>
  <c r="T508" i="18"/>
  <c r="W502"/>
  <c r="V502" s="1"/>
  <c r="V504" s="1"/>
  <c r="T515"/>
  <c r="T450"/>
  <c r="T457"/>
  <c r="V431"/>
  <c r="V433" s="1"/>
  <c r="X180" i="25"/>
  <c r="X174"/>
  <c r="X181" s="1"/>
  <c r="T486" i="22"/>
  <c r="T479"/>
  <c r="W473"/>
  <c r="U550" i="25"/>
  <c r="V544"/>
  <c r="V546" s="1"/>
  <c r="V425" i="27"/>
  <c r="V427" s="1"/>
  <c r="U431"/>
  <c r="AO555" i="36"/>
  <c r="AM491" i="37"/>
  <c r="J732" i="42"/>
  <c r="D732"/>
  <c r="C732"/>
  <c r="I732"/>
  <c r="H908"/>
  <c r="J907"/>
  <c r="D907"/>
  <c r="C907"/>
  <c r="I907"/>
  <c r="AO507" i="37"/>
  <c r="AN507"/>
  <c r="AN509" s="1"/>
  <c r="AN483" i="38"/>
  <c r="W502" i="39"/>
  <c r="V502" s="1"/>
  <c r="V504" s="1"/>
  <c r="W502" i="25"/>
  <c r="W502" i="30"/>
  <c r="T479" i="21"/>
  <c r="T486"/>
  <c r="T450"/>
  <c r="T457"/>
  <c r="V362" i="35"/>
  <c r="U367"/>
  <c r="X185"/>
  <c r="X159"/>
  <c r="X164"/>
  <c r="U450"/>
  <c r="U486" i="13"/>
  <c r="V200"/>
  <c r="V190"/>
  <c r="W402" i="14"/>
  <c r="T508"/>
  <c r="T515"/>
  <c r="W502"/>
  <c r="V502" s="1"/>
  <c r="V504" s="1"/>
  <c r="T450"/>
  <c r="T457"/>
  <c r="U269"/>
  <c r="U270"/>
  <c r="U271" s="1"/>
  <c r="U275"/>
  <c r="U276" s="1"/>
  <c r="U277" s="1"/>
  <c r="U169"/>
  <c r="U179"/>
  <c r="H141" i="42"/>
  <c r="H140"/>
  <c r="L139"/>
  <c r="G139"/>
  <c r="F139"/>
  <c r="E139"/>
  <c r="H205"/>
  <c r="H204"/>
  <c r="L203"/>
  <c r="G203"/>
  <c r="F203"/>
  <c r="E203"/>
  <c r="H363"/>
  <c r="H362"/>
  <c r="L361"/>
  <c r="G361"/>
  <c r="F361"/>
  <c r="E361"/>
  <c r="D17"/>
  <c r="C17"/>
  <c r="J17"/>
  <c r="I17"/>
  <c r="H18"/>
  <c r="I57"/>
  <c r="J57"/>
  <c r="D57"/>
  <c r="C57"/>
  <c r="H58"/>
  <c r="I97"/>
  <c r="J97"/>
  <c r="D97"/>
  <c r="C97"/>
  <c r="H98"/>
  <c r="T457" i="15"/>
  <c r="T450"/>
  <c r="W444"/>
  <c r="V444" s="1"/>
  <c r="V446" s="1"/>
  <c r="X159"/>
  <c r="X164"/>
  <c r="X185"/>
  <c r="U450"/>
  <c r="U174" i="16"/>
  <c r="U181"/>
  <c r="U180"/>
  <c r="U283"/>
  <c r="T479" i="18"/>
  <c r="W473"/>
  <c r="V473" s="1"/>
  <c r="V475" s="1"/>
  <c r="T486"/>
  <c r="U402" i="23"/>
  <c r="W174"/>
  <c r="W181" s="1"/>
  <c r="W180"/>
  <c r="V269" i="33"/>
  <c r="V270"/>
  <c r="V271" s="1"/>
  <c r="V275"/>
  <c r="V276"/>
  <c r="V277" s="1"/>
  <c r="V169"/>
  <c r="V186"/>
  <c r="V165"/>
  <c r="V170" s="1"/>
  <c r="V362"/>
  <c r="U367"/>
  <c r="Y223" i="24"/>
  <c r="Y225"/>
  <c r="U331"/>
  <c r="U373" i="28"/>
  <c r="V367"/>
  <c r="V369"/>
  <c r="I158" i="42"/>
  <c r="J158"/>
  <c r="D158"/>
  <c r="C158"/>
  <c r="AL455" i="36"/>
  <c r="AL462"/>
  <c r="W159" i="50"/>
  <c r="W185"/>
  <c r="W164"/>
  <c r="J677" i="42"/>
  <c r="D677"/>
  <c r="C677"/>
  <c r="I677"/>
  <c r="L678"/>
  <c r="G678"/>
  <c r="F678"/>
  <c r="E678"/>
  <c r="W402" i="35"/>
  <c r="X159" i="14"/>
  <c r="X164"/>
  <c r="X185"/>
  <c r="U450"/>
  <c r="AM414" i="38"/>
  <c r="W200" i="14"/>
  <c r="W190"/>
  <c r="Y223" i="33"/>
  <c r="Y225"/>
  <c r="U331"/>
  <c r="V327"/>
  <c r="T508"/>
  <c r="W502"/>
  <c r="T515"/>
  <c r="L418" i="42"/>
  <c r="G418"/>
  <c r="F418"/>
  <c r="E418"/>
  <c r="H421"/>
  <c r="H420"/>
  <c r="L419"/>
  <c r="G419"/>
  <c r="F419"/>
  <c r="E419"/>
  <c r="L646"/>
  <c r="G646"/>
  <c r="F646"/>
  <c r="E646"/>
  <c r="T486" i="50"/>
  <c r="W473"/>
  <c r="D1289" i="52"/>
  <c r="D367" i="51"/>
  <c r="T479" i="50"/>
  <c r="T515"/>
  <c r="W502"/>
  <c r="V502"/>
  <c r="V504" s="1"/>
  <c r="D1290" i="52"/>
  <c r="D368" i="51" s="1"/>
  <c r="T508" i="50"/>
  <c r="L218" i="42"/>
  <c r="G218"/>
  <c r="F218"/>
  <c r="E218"/>
  <c r="V431" i="19"/>
  <c r="V433"/>
  <c r="J748" i="42"/>
  <c r="D748"/>
  <c r="C748"/>
  <c r="I748"/>
  <c r="I829"/>
  <c r="D829"/>
  <c r="C829"/>
  <c r="J829"/>
  <c r="G830"/>
  <c r="F830"/>
  <c r="E830"/>
  <c r="L830"/>
  <c r="H871"/>
  <c r="L869"/>
  <c r="H870"/>
  <c r="H868"/>
  <c r="G869"/>
  <c r="F869"/>
  <c r="E869"/>
  <c r="L888"/>
  <c r="G888"/>
  <c r="F888"/>
  <c r="E888"/>
  <c r="U195" i="18"/>
  <c r="U202" s="1"/>
  <c r="U201"/>
  <c r="F171" i="51"/>
  <c r="F178" s="1"/>
  <c r="F177"/>
  <c r="V200" i="30"/>
  <c r="U431" i="14"/>
  <c r="V427"/>
  <c r="V425"/>
  <c r="T515" i="15"/>
  <c r="T508"/>
  <c r="W502"/>
  <c r="V425" i="17"/>
  <c r="U431"/>
  <c r="V427"/>
  <c r="V190" i="18"/>
  <c r="V200"/>
  <c r="U515" i="19"/>
  <c r="W195" i="23"/>
  <c r="W202"/>
  <c r="X288" s="1"/>
  <c r="W201"/>
  <c r="L404" i="42"/>
  <c r="G404"/>
  <c r="F404"/>
  <c r="E404"/>
  <c r="I385"/>
  <c r="D385"/>
  <c r="C385"/>
  <c r="J385"/>
  <c r="L386"/>
  <c r="G386"/>
  <c r="F386"/>
  <c r="E386"/>
  <c r="T457" i="50"/>
  <c r="D1291" i="52"/>
  <c r="D369" i="51"/>
  <c r="T450" i="50"/>
  <c r="V465" i="29"/>
  <c r="I579" i="42"/>
  <c r="D579"/>
  <c r="C579"/>
  <c r="J579"/>
  <c r="L580"/>
  <c r="G580"/>
  <c r="F580"/>
  <c r="E580"/>
  <c r="I578"/>
  <c r="J578"/>
  <c r="D578"/>
  <c r="C578"/>
  <c r="W492" i="29"/>
  <c r="U367" i="21"/>
  <c r="V362"/>
  <c r="AL169" i="38"/>
  <c r="AL186" s="1"/>
  <c r="AL185"/>
  <c r="T508" i="13"/>
  <c r="T515"/>
  <c r="T486" i="15"/>
  <c r="T479"/>
  <c r="W473"/>
  <c r="V473" s="1"/>
  <c r="V475" s="1"/>
  <c r="X185" i="18"/>
  <c r="X159"/>
  <c r="X164"/>
  <c r="U450"/>
  <c r="V389" i="19"/>
  <c r="V391" s="1"/>
  <c r="U391" s="1"/>
  <c r="X200" i="25"/>
  <c r="AQ228" i="37"/>
  <c r="AQ230"/>
  <c r="AM336"/>
  <c r="AN332"/>
  <c r="AM455"/>
  <c r="J703" i="42"/>
  <c r="D703"/>
  <c r="C703"/>
  <c r="I703"/>
  <c r="L705"/>
  <c r="H706"/>
  <c r="G705"/>
  <c r="F705"/>
  <c r="E705"/>
  <c r="W402" i="50"/>
  <c r="AV189" i="37"/>
  <c r="AN195"/>
  <c r="AN170"/>
  <c r="AN175" s="1"/>
  <c r="AN191"/>
  <c r="AN367"/>
  <c r="AM372"/>
  <c r="H737" i="42"/>
  <c r="H736"/>
  <c r="L735"/>
  <c r="G735"/>
  <c r="F735"/>
  <c r="E735"/>
  <c r="H775"/>
  <c r="H774"/>
  <c r="L773"/>
  <c r="G773"/>
  <c r="F773"/>
  <c r="E773"/>
  <c r="I770"/>
  <c r="J770"/>
  <c r="D770"/>
  <c r="C770"/>
  <c r="H853"/>
  <c r="H852"/>
  <c r="L851"/>
  <c r="G851"/>
  <c r="F851"/>
  <c r="E851"/>
  <c r="U373" i="30"/>
  <c r="V367"/>
  <c r="V369"/>
  <c r="W521"/>
  <c r="AO234" i="37"/>
  <c r="W492" i="30"/>
  <c r="V492" s="1"/>
  <c r="V494" s="1"/>
  <c r="U486" i="35"/>
  <c r="W224"/>
  <c r="W229"/>
  <c r="W228" i="13"/>
  <c r="W226"/>
  <c r="U373" i="39"/>
  <c r="V367"/>
  <c r="V369" s="1"/>
  <c r="I257" i="42"/>
  <c r="J257"/>
  <c r="D257"/>
  <c r="C257"/>
  <c r="L258"/>
  <c r="G258"/>
  <c r="F258"/>
  <c r="E258"/>
  <c r="V325" i="15"/>
  <c r="V327"/>
  <c r="V367" i="17"/>
  <c r="V369" s="1"/>
  <c r="U369" s="1"/>
  <c r="U373"/>
  <c r="W373" i="18"/>
  <c r="W228" i="33"/>
  <c r="W226"/>
  <c r="W402" i="22"/>
  <c r="W521" i="25"/>
  <c r="V174" i="28"/>
  <c r="V181"/>
  <c r="V180"/>
  <c r="H163" i="42"/>
  <c r="H162"/>
  <c r="L161"/>
  <c r="G161"/>
  <c r="F161"/>
  <c r="E161"/>
  <c r="L442"/>
  <c r="G442"/>
  <c r="F442"/>
  <c r="E442"/>
  <c r="H501"/>
  <c r="H500"/>
  <c r="L499"/>
  <c r="G499"/>
  <c r="F499"/>
  <c r="E499"/>
  <c r="X226" i="50"/>
  <c r="X228"/>
  <c r="L714" i="42"/>
  <c r="G714"/>
  <c r="F714"/>
  <c r="E714"/>
  <c r="AL325" i="38"/>
  <c r="AM319"/>
  <c r="AM321" s="1"/>
  <c r="I274" i="51"/>
  <c r="I268"/>
  <c r="I275" s="1"/>
  <c r="J379" s="1"/>
  <c r="T450" i="13"/>
  <c r="T457"/>
  <c r="V550" i="39"/>
  <c r="V552" s="1"/>
  <c r="U515" i="14"/>
  <c r="X224"/>
  <c r="W402" i="18"/>
  <c r="V552" i="19"/>
  <c r="U344" i="25"/>
  <c r="U515" i="22"/>
  <c r="H342" i="42"/>
  <c r="H343"/>
  <c r="L341"/>
  <c r="G341"/>
  <c r="F341"/>
  <c r="E341"/>
  <c r="I599"/>
  <c r="D599"/>
  <c r="C599"/>
  <c r="J599"/>
  <c r="H600"/>
  <c r="I1089" i="52"/>
  <c r="I1094"/>
  <c r="I1098" s="1"/>
  <c r="I1102" s="1"/>
  <c r="I1093"/>
  <c r="U450" i="50"/>
  <c r="H486" i="42"/>
  <c r="L485"/>
  <c r="G485"/>
  <c r="F485"/>
  <c r="E485"/>
  <c r="L562"/>
  <c r="G562"/>
  <c r="F562"/>
  <c r="E562"/>
  <c r="U373" i="29"/>
  <c r="V367"/>
  <c r="V369"/>
  <c r="U492"/>
  <c r="V492" s="1"/>
  <c r="V494" s="1"/>
  <c r="V488"/>
  <c r="H755" i="42"/>
  <c r="H754"/>
  <c r="L753"/>
  <c r="G753"/>
  <c r="F753"/>
  <c r="E753"/>
  <c r="I809"/>
  <c r="D809"/>
  <c r="C809"/>
  <c r="J809"/>
  <c r="H813"/>
  <c r="H812"/>
  <c r="L811"/>
  <c r="G811"/>
  <c r="F811"/>
  <c r="E811"/>
  <c r="H795"/>
  <c r="L793"/>
  <c r="H794"/>
  <c r="G793"/>
  <c r="F793"/>
  <c r="E793"/>
  <c r="V201" i="28"/>
  <c r="V195"/>
  <c r="V202"/>
  <c r="W288"/>
  <c r="AL462" i="37"/>
  <c r="AL455"/>
  <c r="H1097" i="52"/>
  <c r="H1101"/>
  <c r="J1321"/>
  <c r="J1330" s="1"/>
  <c r="H1105"/>
  <c r="H1106"/>
  <c r="H1107"/>
  <c r="J319" i="42"/>
  <c r="D319"/>
  <c r="C319"/>
  <c r="I319"/>
  <c r="L320"/>
  <c r="G320"/>
  <c r="F320"/>
  <c r="E320"/>
  <c r="X159" i="21"/>
  <c r="X164"/>
  <c r="X185"/>
  <c r="U450"/>
  <c r="I176" i="51"/>
  <c r="J388"/>
  <c r="I297"/>
  <c r="I296" s="1"/>
  <c r="W226" i="15"/>
  <c r="W228"/>
  <c r="V391" i="22"/>
  <c r="U396"/>
  <c r="W269"/>
  <c r="W270"/>
  <c r="W271" s="1"/>
  <c r="W283" s="1"/>
  <c r="W179"/>
  <c r="W275"/>
  <c r="W276"/>
  <c r="W277" s="1"/>
  <c r="W169"/>
  <c r="L564" i="42"/>
  <c r="G564"/>
  <c r="F564"/>
  <c r="E564"/>
  <c r="J790"/>
  <c r="D790"/>
  <c r="C790"/>
  <c r="I790"/>
  <c r="J36"/>
  <c r="D36"/>
  <c r="C36"/>
  <c r="I36"/>
  <c r="J116"/>
  <c r="D116"/>
  <c r="C116"/>
  <c r="I116"/>
  <c r="I238"/>
  <c r="J238"/>
  <c r="D238"/>
  <c r="C238"/>
  <c r="J136"/>
  <c r="D136"/>
  <c r="C136"/>
  <c r="I136"/>
  <c r="J358"/>
  <c r="D358"/>
  <c r="C358"/>
  <c r="I358"/>
  <c r="J16"/>
  <c r="D16"/>
  <c r="C16"/>
  <c r="I16"/>
  <c r="J96"/>
  <c r="D96"/>
  <c r="C96"/>
  <c r="I96"/>
  <c r="V325" i="24"/>
  <c r="V327"/>
  <c r="U200" i="25"/>
  <c r="U190"/>
  <c r="I416" i="42"/>
  <c r="J416"/>
  <c r="D416"/>
  <c r="C416"/>
  <c r="I644"/>
  <c r="J644"/>
  <c r="D644"/>
  <c r="C644"/>
  <c r="J216"/>
  <c r="D216"/>
  <c r="C216"/>
  <c r="I216"/>
  <c r="AM438" i="38"/>
  <c r="AM440"/>
  <c r="V515" i="39"/>
  <c r="V517"/>
  <c r="AM531" i="38"/>
  <c r="AM533"/>
  <c r="I676" i="42"/>
  <c r="J676"/>
  <c r="D676"/>
  <c r="C676"/>
  <c r="L754"/>
  <c r="G754"/>
  <c r="F754"/>
  <c r="E754"/>
  <c r="L500"/>
  <c r="G500"/>
  <c r="F500"/>
  <c r="E500"/>
  <c r="L180"/>
  <c r="G180"/>
  <c r="F180"/>
  <c r="E180"/>
  <c r="L80"/>
  <c r="G80"/>
  <c r="F80"/>
  <c r="E80"/>
  <c r="L602"/>
  <c r="G602"/>
  <c r="F602"/>
  <c r="E602"/>
  <c r="L582"/>
  <c r="G582"/>
  <c r="F582"/>
  <c r="E582"/>
  <c r="L162"/>
  <c r="G162"/>
  <c r="F162"/>
  <c r="E162"/>
  <c r="L852"/>
  <c r="G852"/>
  <c r="F852"/>
  <c r="E852"/>
  <c r="L242"/>
  <c r="G242"/>
  <c r="F242"/>
  <c r="E242"/>
  <c r="L120"/>
  <c r="G120"/>
  <c r="F120"/>
  <c r="E120"/>
  <c r="L40"/>
  <c r="G40"/>
  <c r="F40"/>
  <c r="E40"/>
  <c r="G716"/>
  <c r="F716"/>
  <c r="E716"/>
  <c r="L716"/>
  <c r="U457" i="21"/>
  <c r="AL468" i="37"/>
  <c r="AO462"/>
  <c r="AN462" s="1"/>
  <c r="AN464" s="1"/>
  <c r="AM464" s="1"/>
  <c r="AP98" s="1"/>
  <c r="AD16" s="1"/>
  <c r="AD17" s="1"/>
  <c r="AD18" s="1"/>
  <c r="AD20" s="1"/>
  <c r="J811" i="42"/>
  <c r="D811"/>
  <c r="C811"/>
  <c r="I811"/>
  <c r="I564"/>
  <c r="J564"/>
  <c r="D564"/>
  <c r="C564"/>
  <c r="W174" i="22"/>
  <c r="W181" s="1"/>
  <c r="W180"/>
  <c r="U402"/>
  <c r="X269" i="21"/>
  <c r="X270" s="1"/>
  <c r="X271" s="1"/>
  <c r="X283" s="1"/>
  <c r="X275"/>
  <c r="X276" s="1"/>
  <c r="X277" s="1"/>
  <c r="X169"/>
  <c r="L794" i="42"/>
  <c r="G794"/>
  <c r="F794"/>
  <c r="E794"/>
  <c r="H797"/>
  <c r="L795"/>
  <c r="H796"/>
  <c r="G795"/>
  <c r="F795"/>
  <c r="E795"/>
  <c r="H815"/>
  <c r="H814"/>
  <c r="L813"/>
  <c r="G813"/>
  <c r="F813"/>
  <c r="E813"/>
  <c r="I753"/>
  <c r="D753"/>
  <c r="C753"/>
  <c r="J753"/>
  <c r="I1105" i="52"/>
  <c r="I1106" s="1"/>
  <c r="I1107" s="1"/>
  <c r="I1097"/>
  <c r="I1101" s="1"/>
  <c r="K1321" s="1"/>
  <c r="L600" i="42"/>
  <c r="G600"/>
  <c r="F600"/>
  <c r="E600"/>
  <c r="I341"/>
  <c r="D341"/>
  <c r="C341"/>
  <c r="J341"/>
  <c r="H345"/>
  <c r="H344"/>
  <c r="L343"/>
  <c r="G343"/>
  <c r="F343"/>
  <c r="E343"/>
  <c r="U521" i="22"/>
  <c r="U521" i="14"/>
  <c r="T463" i="13"/>
  <c r="J499" i="42"/>
  <c r="D499"/>
  <c r="C499"/>
  <c r="I499"/>
  <c r="I442"/>
  <c r="J442"/>
  <c r="D442"/>
  <c r="C442"/>
  <c r="I161"/>
  <c r="J161"/>
  <c r="D161"/>
  <c r="C161"/>
  <c r="V373" i="39"/>
  <c r="V375" s="1"/>
  <c r="U492" i="35"/>
  <c r="J851" i="42"/>
  <c r="D851"/>
  <c r="C851"/>
  <c r="I851"/>
  <c r="H777"/>
  <c r="L775"/>
  <c r="H776"/>
  <c r="G775"/>
  <c r="F775"/>
  <c r="E775"/>
  <c r="H739"/>
  <c r="H738"/>
  <c r="L737"/>
  <c r="G737"/>
  <c r="F737"/>
  <c r="E737"/>
  <c r="AN200" i="37"/>
  <c r="L706" i="42"/>
  <c r="G706"/>
  <c r="F706"/>
  <c r="E706"/>
  <c r="AM462" i="37"/>
  <c r="AM343"/>
  <c r="AQ229"/>
  <c r="AQ234"/>
  <c r="U457" i="18"/>
  <c r="X186"/>
  <c r="X191"/>
  <c r="X196" s="1"/>
  <c r="X165"/>
  <c r="X170"/>
  <c r="X175"/>
  <c r="W486" i="15"/>
  <c r="V486" s="1"/>
  <c r="V488" s="1"/>
  <c r="T521" i="13"/>
  <c r="U373" i="21"/>
  <c r="V367"/>
  <c r="V369"/>
  <c r="W457" i="50"/>
  <c r="D1276" i="52"/>
  <c r="D357" i="51" s="1"/>
  <c r="V431" i="14"/>
  <c r="V433" s="1"/>
  <c r="I888" i="42"/>
  <c r="J888"/>
  <c r="D888"/>
  <c r="C888"/>
  <c r="I869"/>
  <c r="D869"/>
  <c r="C869"/>
  <c r="J869"/>
  <c r="L870"/>
  <c r="G870"/>
  <c r="F870"/>
  <c r="E870"/>
  <c r="H873"/>
  <c r="H872"/>
  <c r="L871"/>
  <c r="G871"/>
  <c r="F871"/>
  <c r="E871"/>
  <c r="I830"/>
  <c r="J830"/>
  <c r="D830"/>
  <c r="C830"/>
  <c r="I218"/>
  <c r="J218"/>
  <c r="D218"/>
  <c r="C218"/>
  <c r="T521" i="50"/>
  <c r="T492"/>
  <c r="H423" i="42"/>
  <c r="L421"/>
  <c r="H422"/>
  <c r="G421"/>
  <c r="F421"/>
  <c r="E421"/>
  <c r="W515" i="33"/>
  <c r="T521"/>
  <c r="U338"/>
  <c r="Y224"/>
  <c r="W195" i="14"/>
  <c r="W202" s="1"/>
  <c r="X288" s="1"/>
  <c r="W201"/>
  <c r="U457"/>
  <c r="X269"/>
  <c r="X270"/>
  <c r="X271"/>
  <c r="X275"/>
  <c r="X276" s="1"/>
  <c r="X277" s="1"/>
  <c r="X283" s="1"/>
  <c r="X169"/>
  <c r="J678" i="42"/>
  <c r="D678"/>
  <c r="C678"/>
  <c r="I678"/>
  <c r="W190" i="50"/>
  <c r="AD185"/>
  <c r="AL468" i="36"/>
  <c r="U338" i="24"/>
  <c r="Y224"/>
  <c r="U373" i="33"/>
  <c r="V179"/>
  <c r="V297" i="16"/>
  <c r="U282"/>
  <c r="U281" s="1"/>
  <c r="X269" i="15"/>
  <c r="X270"/>
  <c r="X271"/>
  <c r="X275"/>
  <c r="X276" s="1"/>
  <c r="X277" s="1"/>
  <c r="X283" s="1"/>
  <c r="X169"/>
  <c r="W457"/>
  <c r="V457" s="1"/>
  <c r="V459" s="1"/>
  <c r="U459" s="1"/>
  <c r="X93" s="1"/>
  <c r="H365" i="42"/>
  <c r="H364"/>
  <c r="L363"/>
  <c r="G363"/>
  <c r="F363"/>
  <c r="E363"/>
  <c r="H206"/>
  <c r="L205"/>
  <c r="G205"/>
  <c r="F205"/>
  <c r="E205"/>
  <c r="H143"/>
  <c r="H142"/>
  <c r="L141"/>
  <c r="G141"/>
  <c r="F141"/>
  <c r="E141"/>
  <c r="U174" i="14"/>
  <c r="U181" s="1"/>
  <c r="U180"/>
  <c r="T463"/>
  <c r="W515"/>
  <c r="V515" s="1"/>
  <c r="V517" s="1"/>
  <c r="U492" i="13"/>
  <c r="U457" i="35"/>
  <c r="X165"/>
  <c r="X170" s="1"/>
  <c r="X186"/>
  <c r="U373"/>
  <c r="W486" i="21"/>
  <c r="V486" s="1"/>
  <c r="V488" s="1"/>
  <c r="T492"/>
  <c r="V431" i="27"/>
  <c r="V433"/>
  <c r="V550" i="25"/>
  <c r="V552" s="1"/>
  <c r="T492" i="22"/>
  <c r="W457" i="18"/>
  <c r="V457" s="1"/>
  <c r="V459" s="1"/>
  <c r="U459" s="1"/>
  <c r="X93" s="1"/>
  <c r="T463"/>
  <c r="W515"/>
  <c r="V515"/>
  <c r="V517" s="1"/>
  <c r="I241" i="42"/>
  <c r="J241"/>
  <c r="D241"/>
  <c r="C241"/>
  <c r="J179"/>
  <c r="I179"/>
  <c r="D179"/>
  <c r="C179"/>
  <c r="J119"/>
  <c r="I119"/>
  <c r="D119"/>
  <c r="C119"/>
  <c r="J79"/>
  <c r="I79"/>
  <c r="D79"/>
  <c r="C79"/>
  <c r="J39"/>
  <c r="I39"/>
  <c r="D39"/>
  <c r="C39"/>
  <c r="U492" i="21"/>
  <c r="U338" i="22"/>
  <c r="Y226"/>
  <c r="Y228"/>
  <c r="U402" i="19"/>
  <c r="W195" i="18"/>
  <c r="X169" i="13"/>
  <c r="X269"/>
  <c r="X270" s="1"/>
  <c r="X271" s="1"/>
  <c r="X275"/>
  <c r="X276" s="1"/>
  <c r="X277" s="1"/>
  <c r="X165"/>
  <c r="X170" s="1"/>
  <c r="X186"/>
  <c r="X191"/>
  <c r="X196" s="1"/>
  <c r="U174" i="25"/>
  <c r="U181"/>
  <c r="U180"/>
  <c r="L566" i="42"/>
  <c r="G566"/>
  <c r="F566"/>
  <c r="E566"/>
  <c r="W201" i="22"/>
  <c r="W195"/>
  <c r="W202"/>
  <c r="X288" s="1"/>
  <c r="T463" i="33"/>
  <c r="V402" i="39"/>
  <c r="V404" s="1"/>
  <c r="W486" i="13"/>
  <c r="V486" s="1"/>
  <c r="V488" s="1"/>
  <c r="AO281" i="38"/>
  <c r="AO282" s="1"/>
  <c r="AO267"/>
  <c r="AO266"/>
  <c r="Y226" i="21"/>
  <c r="Y228"/>
  <c r="L323" i="42"/>
  <c r="H325"/>
  <c r="H324"/>
  <c r="G323"/>
  <c r="F323"/>
  <c r="E323"/>
  <c r="J752"/>
  <c r="D752"/>
  <c r="C752"/>
  <c r="I752"/>
  <c r="Y226" i="50"/>
  <c r="Y228"/>
  <c r="J601" i="42"/>
  <c r="D601"/>
  <c r="C601"/>
  <c r="I601"/>
  <c r="W457" i="19"/>
  <c r="T463"/>
  <c r="U373" i="15"/>
  <c r="T492" i="35"/>
  <c r="U521" i="21"/>
  <c r="I715" i="42"/>
  <c r="D715"/>
  <c r="C715"/>
  <c r="J715"/>
  <c r="U402" i="50"/>
  <c r="U521"/>
  <c r="L444" i="42"/>
  <c r="G444"/>
  <c r="F444"/>
  <c r="E444"/>
  <c r="L445"/>
  <c r="H446"/>
  <c r="G445"/>
  <c r="F445"/>
  <c r="E445"/>
  <c r="U492" i="33"/>
  <c r="V552" i="17"/>
  <c r="V550"/>
  <c r="H263" i="42"/>
  <c r="H262"/>
  <c r="L261"/>
  <c r="G261"/>
  <c r="F261"/>
  <c r="E261"/>
  <c r="T492" i="14"/>
  <c r="U373" i="13"/>
  <c r="V367"/>
  <c r="V369" s="1"/>
  <c r="I734" i="42"/>
  <c r="J734"/>
  <c r="D734"/>
  <c r="C734"/>
  <c r="AN179" i="37"/>
  <c r="AN288"/>
  <c r="AV191"/>
  <c r="AP195"/>
  <c r="AP191"/>
  <c r="AP205" s="1"/>
  <c r="AP170"/>
  <c r="AP175" s="1"/>
  <c r="U338" i="18"/>
  <c r="Y224"/>
  <c r="Y229"/>
  <c r="AL273" i="38"/>
  <c r="AL281"/>
  <c r="AL267"/>
  <c r="AL266"/>
  <c r="J581" i="42"/>
  <c r="D581"/>
  <c r="C581"/>
  <c r="I581"/>
  <c r="I384"/>
  <c r="J384"/>
  <c r="D384"/>
  <c r="C384"/>
  <c r="J405"/>
  <c r="D405"/>
  <c r="C405"/>
  <c r="I405"/>
  <c r="T492" i="33"/>
  <c r="U521" i="18"/>
  <c r="U373"/>
  <c r="V180"/>
  <c r="V174"/>
  <c r="V181" s="1"/>
  <c r="F297" i="51"/>
  <c r="F296" s="1"/>
  <c r="G388"/>
  <c r="H931" i="42"/>
  <c r="H930"/>
  <c r="L929"/>
  <c r="G929"/>
  <c r="F929"/>
  <c r="E929"/>
  <c r="H928"/>
  <c r="H951"/>
  <c r="H950"/>
  <c r="L949"/>
  <c r="G949"/>
  <c r="F949"/>
  <c r="E949"/>
  <c r="I889"/>
  <c r="D889"/>
  <c r="C889"/>
  <c r="J889"/>
  <c r="L890"/>
  <c r="G890"/>
  <c r="F890"/>
  <c r="E890"/>
  <c r="J831"/>
  <c r="D831"/>
  <c r="C831"/>
  <c r="I831"/>
  <c r="J219"/>
  <c r="I219"/>
  <c r="D219"/>
  <c r="C219"/>
  <c r="H223"/>
  <c r="H222"/>
  <c r="L221"/>
  <c r="G221"/>
  <c r="F221"/>
  <c r="E221"/>
  <c r="V550" i="27"/>
  <c r="V552" s="1"/>
  <c r="V433" i="25"/>
  <c r="V431"/>
  <c r="U457" i="33"/>
  <c r="W515" i="19"/>
  <c r="V515" s="1"/>
  <c r="V517" s="1"/>
  <c r="T521"/>
  <c r="U492" i="15"/>
  <c r="U402" i="14"/>
  <c r="V398"/>
  <c r="V396"/>
  <c r="Y228"/>
  <c r="Y226"/>
  <c r="T463" i="35"/>
  <c r="W515"/>
  <c r="I679" i="42"/>
  <c r="D679"/>
  <c r="C679"/>
  <c r="J679"/>
  <c r="L680"/>
  <c r="G680"/>
  <c r="F680"/>
  <c r="E680"/>
  <c r="AL497" i="37"/>
  <c r="AO491"/>
  <c r="AN491" s="1"/>
  <c r="AN493" s="1"/>
  <c r="W457" i="22"/>
  <c r="V195" i="33"/>
  <c r="Y224" i="15"/>
  <c r="Y229"/>
  <c r="H103" i="42"/>
  <c r="H102"/>
  <c r="L101"/>
  <c r="G101"/>
  <c r="F101"/>
  <c r="E101"/>
  <c r="H63"/>
  <c r="H62"/>
  <c r="L61"/>
  <c r="G61"/>
  <c r="F61"/>
  <c r="E61"/>
  <c r="H23"/>
  <c r="H22"/>
  <c r="L21"/>
  <c r="G21"/>
  <c r="F21"/>
  <c r="E21"/>
  <c r="I360"/>
  <c r="J360"/>
  <c r="D360"/>
  <c r="C360"/>
  <c r="I138"/>
  <c r="J138"/>
  <c r="D138"/>
  <c r="C138"/>
  <c r="U201" i="14"/>
  <c r="U195"/>
  <c r="U202" s="1"/>
  <c r="V179" i="13"/>
  <c r="V174"/>
  <c r="V181" s="1"/>
  <c r="V180"/>
  <c r="U338" i="35"/>
  <c r="Y224"/>
  <c r="I967" i="42"/>
  <c r="D967"/>
  <c r="C967"/>
  <c r="J967"/>
  <c r="L968"/>
  <c r="G968"/>
  <c r="F968"/>
  <c r="E968"/>
  <c r="J909"/>
  <c r="D909"/>
  <c r="C909"/>
  <c r="I909"/>
  <c r="L910"/>
  <c r="G910"/>
  <c r="F910"/>
  <c r="E910"/>
  <c r="V431" i="23"/>
  <c r="V433" s="1"/>
  <c r="J240" i="42"/>
  <c r="D240"/>
  <c r="C240"/>
  <c r="I240"/>
  <c r="I118"/>
  <c r="J118"/>
  <c r="D118"/>
  <c r="C118"/>
  <c r="I38"/>
  <c r="J38"/>
  <c r="D38"/>
  <c r="C38"/>
  <c r="I664"/>
  <c r="J664"/>
  <c r="D664"/>
  <c r="C664"/>
  <c r="W515" i="24"/>
  <c r="T521" i="22"/>
  <c r="W515"/>
  <c r="V515" s="1"/>
  <c r="V517" s="1"/>
  <c r="W283" i="19"/>
  <c r="W179" i="18"/>
  <c r="W174"/>
  <c r="W181" s="1"/>
  <c r="W180"/>
  <c r="U492"/>
  <c r="V492" i="39"/>
  <c r="V494"/>
  <c r="U338" i="13"/>
  <c r="Y224"/>
  <c r="Y229"/>
  <c r="V282" i="30"/>
  <c r="V281" s="1"/>
  <c r="W297"/>
  <c r="I792" i="42"/>
  <c r="J792"/>
  <c r="D792"/>
  <c r="C792"/>
  <c r="J498"/>
  <c r="D498"/>
  <c r="C498"/>
  <c r="I498"/>
  <c r="J772"/>
  <c r="D772"/>
  <c r="C772"/>
  <c r="I772"/>
  <c r="V396" i="50"/>
  <c r="V398" s="1"/>
  <c r="V367" i="33"/>
  <c r="V369"/>
  <c r="V396" i="19"/>
  <c r="V398" s="1"/>
  <c r="V367" i="15"/>
  <c r="V369"/>
  <c r="V396" i="22"/>
  <c r="V398" s="1"/>
  <c r="V367" i="35"/>
  <c r="V369" s="1"/>
  <c r="U195" i="25"/>
  <c r="U202"/>
  <c r="U201"/>
  <c r="X190" i="21"/>
  <c r="X165"/>
  <c r="X170" s="1"/>
  <c r="X186"/>
  <c r="X191" s="1"/>
  <c r="I320" i="42"/>
  <c r="J320"/>
  <c r="D320"/>
  <c r="C320"/>
  <c r="I793"/>
  <c r="D793"/>
  <c r="C793"/>
  <c r="J793"/>
  <c r="L812"/>
  <c r="G812"/>
  <c r="F812"/>
  <c r="E812"/>
  <c r="H757"/>
  <c r="H756"/>
  <c r="L755"/>
  <c r="G755"/>
  <c r="F755"/>
  <c r="E755"/>
  <c r="V373" i="29"/>
  <c r="V375" s="1"/>
  <c r="J562" i="42"/>
  <c r="D562"/>
  <c r="C562"/>
  <c r="I562"/>
  <c r="I485"/>
  <c r="D485"/>
  <c r="C485"/>
  <c r="J485"/>
  <c r="L486"/>
  <c r="G486"/>
  <c r="F486"/>
  <c r="E486"/>
  <c r="U457" i="50"/>
  <c r="L342" i="42"/>
  <c r="G342"/>
  <c r="F342"/>
  <c r="E342"/>
  <c r="J714"/>
  <c r="D714"/>
  <c r="C714"/>
  <c r="I714"/>
  <c r="L501"/>
  <c r="H503"/>
  <c r="G501"/>
  <c r="F501"/>
  <c r="E501"/>
  <c r="H165"/>
  <c r="H164"/>
  <c r="L163"/>
  <c r="G163"/>
  <c r="F163"/>
  <c r="E163"/>
  <c r="I258"/>
  <c r="J258"/>
  <c r="D258"/>
  <c r="C258"/>
  <c r="V373" i="30"/>
  <c r="V375" s="1"/>
  <c r="H855" i="42"/>
  <c r="H854"/>
  <c r="L853"/>
  <c r="G853"/>
  <c r="F853"/>
  <c r="E853"/>
  <c r="J773"/>
  <c r="D773"/>
  <c r="C773"/>
  <c r="I773"/>
  <c r="L774"/>
  <c r="G774"/>
  <c r="F774"/>
  <c r="E774"/>
  <c r="J735"/>
  <c r="D735"/>
  <c r="C735"/>
  <c r="I735"/>
  <c r="L736"/>
  <c r="G736"/>
  <c r="F736"/>
  <c r="E736"/>
  <c r="AM378" i="37"/>
  <c r="AN372"/>
  <c r="AN374" s="1"/>
  <c r="AN196"/>
  <c r="AN201"/>
  <c r="AW189"/>
  <c r="AN205"/>
  <c r="I705" i="42"/>
  <c r="D705"/>
  <c r="C705"/>
  <c r="J705"/>
  <c r="AQ233" i="37"/>
  <c r="AQ231"/>
  <c r="X275" i="18"/>
  <c r="X276" s="1"/>
  <c r="X277" s="1"/>
  <c r="X169"/>
  <c r="X179"/>
  <c r="X269"/>
  <c r="X270" s="1"/>
  <c r="X271" s="1"/>
  <c r="X190"/>
  <c r="X200"/>
  <c r="T492" i="15"/>
  <c r="W515" i="13"/>
  <c r="J580" i="42"/>
  <c r="D580"/>
  <c r="C580"/>
  <c r="I580"/>
  <c r="T463" i="50"/>
  <c r="J386" i="42"/>
  <c r="D386"/>
  <c r="C386"/>
  <c r="I386"/>
  <c r="I404"/>
  <c r="J404"/>
  <c r="D404"/>
  <c r="C404"/>
  <c r="U521" i="19"/>
  <c r="V201" i="18"/>
  <c r="V195"/>
  <c r="V202"/>
  <c r="W288" s="1"/>
  <c r="V431" i="17"/>
  <c r="V433" s="1"/>
  <c r="T521" i="15"/>
  <c r="W515"/>
  <c r="G868" i="42"/>
  <c r="F868"/>
  <c r="E868"/>
  <c r="L868"/>
  <c r="W515" i="50"/>
  <c r="V515" s="1"/>
  <c r="V517" s="1"/>
  <c r="D1275" i="52"/>
  <c r="D356" i="51"/>
  <c r="W486" i="50"/>
  <c r="D1274" i="52"/>
  <c r="D355" i="51" s="1"/>
  <c r="J646" i="42"/>
  <c r="D646"/>
  <c r="C646"/>
  <c r="I646"/>
  <c r="I419"/>
  <c r="D419"/>
  <c r="C419"/>
  <c r="J419"/>
  <c r="L420"/>
  <c r="G420"/>
  <c r="F420"/>
  <c r="E420"/>
  <c r="J418"/>
  <c r="D418"/>
  <c r="C418"/>
  <c r="I418"/>
  <c r="Y228" i="33"/>
  <c r="Y226"/>
  <c r="X190" i="14"/>
  <c r="X165"/>
  <c r="X170"/>
  <c r="X175" s="1"/>
  <c r="X181" s="1"/>
  <c r="X186"/>
  <c r="X191" s="1"/>
  <c r="W269" i="50"/>
  <c r="W270" s="1"/>
  <c r="W271" s="1"/>
  <c r="W275"/>
  <c r="W276" s="1"/>
  <c r="W277" s="1"/>
  <c r="W169"/>
  <c r="W165"/>
  <c r="W170" s="1"/>
  <c r="W186"/>
  <c r="AO462" i="36"/>
  <c r="V373" i="28"/>
  <c r="V375" s="1"/>
  <c r="U375" s="1"/>
  <c r="Y228" i="24"/>
  <c r="Y226"/>
  <c r="V191" i="33"/>
  <c r="V196"/>
  <c r="AE184"/>
  <c r="V174"/>
  <c r="W486" i="18"/>
  <c r="V486"/>
  <c r="V488" s="1"/>
  <c r="U488" s="1"/>
  <c r="V93" s="1"/>
  <c r="T492"/>
  <c r="U457" i="15"/>
  <c r="X190"/>
  <c r="X165"/>
  <c r="X170" s="1"/>
  <c r="X186"/>
  <c r="X191" s="1"/>
  <c r="T463"/>
  <c r="L98" i="42"/>
  <c r="G98"/>
  <c r="F98"/>
  <c r="E98"/>
  <c r="L58"/>
  <c r="G58"/>
  <c r="F58"/>
  <c r="E58"/>
  <c r="L18"/>
  <c r="G18"/>
  <c r="F18"/>
  <c r="E18"/>
  <c r="I361"/>
  <c r="D361"/>
  <c r="C361"/>
  <c r="J361"/>
  <c r="L362"/>
  <c r="G362"/>
  <c r="F362"/>
  <c r="E362"/>
  <c r="J203"/>
  <c r="I203"/>
  <c r="D203"/>
  <c r="C203"/>
  <c r="L204"/>
  <c r="G204"/>
  <c r="F204"/>
  <c r="E204"/>
  <c r="J139"/>
  <c r="I139"/>
  <c r="D139"/>
  <c r="C139"/>
  <c r="L140"/>
  <c r="G140"/>
  <c r="F140"/>
  <c r="E140"/>
  <c r="W457" i="14"/>
  <c r="V457"/>
  <c r="T521"/>
  <c r="V195" i="13"/>
  <c r="V202"/>
  <c r="W288"/>
  <c r="V201"/>
  <c r="X169" i="35"/>
  <c r="X269"/>
  <c r="X270"/>
  <c r="X271" s="1"/>
  <c r="X283" s="1"/>
  <c r="X275"/>
  <c r="X276"/>
  <c r="X277"/>
  <c r="X179"/>
  <c r="X190"/>
  <c r="AD186"/>
  <c r="X200"/>
  <c r="T463" i="21"/>
  <c r="L908" i="42"/>
  <c r="G908"/>
  <c r="F908"/>
  <c r="E908"/>
  <c r="AM497" i="37"/>
  <c r="W486" i="22"/>
  <c r="T521" i="18"/>
  <c r="H245" i="42"/>
  <c r="H244"/>
  <c r="L243"/>
  <c r="G243"/>
  <c r="F243"/>
  <c r="E243"/>
  <c r="H183"/>
  <c r="H182"/>
  <c r="L181"/>
  <c r="G181"/>
  <c r="F181"/>
  <c r="E181"/>
  <c r="H123"/>
  <c r="H122"/>
  <c r="L121"/>
  <c r="G121"/>
  <c r="F121"/>
  <c r="E121"/>
  <c r="H83"/>
  <c r="H82"/>
  <c r="L81"/>
  <c r="G81"/>
  <c r="F81"/>
  <c r="E81"/>
  <c r="H43"/>
  <c r="H42"/>
  <c r="L41"/>
  <c r="G41"/>
  <c r="F41"/>
  <c r="E41"/>
  <c r="I665"/>
  <c r="D665"/>
  <c r="C665"/>
  <c r="J665"/>
  <c r="L666"/>
  <c r="G666"/>
  <c r="F666"/>
  <c r="E666"/>
  <c r="Y224" i="22"/>
  <c r="Y229"/>
  <c r="W201" i="19"/>
  <c r="W195"/>
  <c r="W202" s="1"/>
  <c r="X288" s="1"/>
  <c r="V398" i="18"/>
  <c r="U402"/>
  <c r="U457" i="13"/>
  <c r="X190"/>
  <c r="X200"/>
  <c r="V297" i="18"/>
  <c r="U282"/>
  <c r="U281"/>
  <c r="I565" i="42"/>
  <c r="D565"/>
  <c r="C565"/>
  <c r="J565"/>
  <c r="AO526" i="37"/>
  <c r="AN526" s="1"/>
  <c r="AN528" s="1"/>
  <c r="W521" i="39"/>
  <c r="V521" s="1"/>
  <c r="V523" s="1"/>
  <c r="AN502" i="38"/>
  <c r="W457" i="33"/>
  <c r="V457" s="1"/>
  <c r="V459" s="1"/>
  <c r="U459" s="1"/>
  <c r="X93" s="1"/>
  <c r="T492" i="13"/>
  <c r="U338" i="21"/>
  <c r="Y224"/>
  <c r="Y229"/>
  <c r="U402"/>
  <c r="V398"/>
  <c r="I321" i="42"/>
  <c r="D321"/>
  <c r="C321"/>
  <c r="J321"/>
  <c r="L322"/>
  <c r="G322"/>
  <c r="F322"/>
  <c r="E322"/>
  <c r="I810"/>
  <c r="J810"/>
  <c r="D810"/>
  <c r="C810"/>
  <c r="J808"/>
  <c r="D808"/>
  <c r="C808"/>
  <c r="I808"/>
  <c r="I484"/>
  <c r="J484"/>
  <c r="D484"/>
  <c r="C484"/>
  <c r="X159" i="50"/>
  <c r="X164"/>
  <c r="X185"/>
  <c r="U338"/>
  <c r="Y224"/>
  <c r="Y229"/>
  <c r="H605" i="42"/>
  <c r="H604"/>
  <c r="L603"/>
  <c r="G603"/>
  <c r="F603"/>
  <c r="E603"/>
  <c r="I340"/>
  <c r="J340"/>
  <c r="D340"/>
  <c r="C340"/>
  <c r="V550" i="23"/>
  <c r="V552" s="1"/>
  <c r="U552" s="1"/>
  <c r="V486" i="35"/>
  <c r="V488" s="1"/>
  <c r="W486"/>
  <c r="H719" i="42"/>
  <c r="H718"/>
  <c r="L717"/>
  <c r="G717"/>
  <c r="F717"/>
  <c r="E717"/>
  <c r="J318"/>
  <c r="D318"/>
  <c r="C318"/>
  <c r="I318"/>
  <c r="I443"/>
  <c r="D443"/>
  <c r="C443"/>
  <c r="J443"/>
  <c r="W297" i="28"/>
  <c r="V282"/>
  <c r="V281" s="1"/>
  <c r="W486" i="19"/>
  <c r="T492"/>
  <c r="V552" i="16"/>
  <c r="V550"/>
  <c r="J259" i="42"/>
  <c r="I259"/>
  <c r="D259"/>
  <c r="C259"/>
  <c r="L260"/>
  <c r="G260"/>
  <c r="F260"/>
  <c r="E260"/>
  <c r="W486" i="14"/>
  <c r="AN184" i="37"/>
  <c r="I704" i="42"/>
  <c r="J704"/>
  <c r="D704"/>
  <c r="C704"/>
  <c r="AP280" i="37"/>
  <c r="AP281" s="1"/>
  <c r="AP282" s="1"/>
  <c r="AP274"/>
  <c r="AP275"/>
  <c r="AP276" s="1"/>
  <c r="AP288" s="1"/>
  <c r="AP174"/>
  <c r="AP184"/>
  <c r="Y228" i="18"/>
  <c r="Y226"/>
  <c r="AM446" i="38"/>
  <c r="H585" i="42"/>
  <c r="H584"/>
  <c r="L583"/>
  <c r="G583"/>
  <c r="F583"/>
  <c r="E583"/>
  <c r="L406"/>
  <c r="G406"/>
  <c r="F406"/>
  <c r="E406"/>
  <c r="W486" i="33"/>
  <c r="V486" s="1"/>
  <c r="V488" s="1"/>
  <c r="J947" i="42"/>
  <c r="D947"/>
  <c r="C947"/>
  <c r="I947"/>
  <c r="H948"/>
  <c r="H1009"/>
  <c r="H1008"/>
  <c r="L1007"/>
  <c r="G1007"/>
  <c r="F1007"/>
  <c r="E1007"/>
  <c r="H989"/>
  <c r="H893"/>
  <c r="H892"/>
  <c r="L891"/>
  <c r="G891"/>
  <c r="F891"/>
  <c r="E891"/>
  <c r="L832"/>
  <c r="G832"/>
  <c r="F832"/>
  <c r="E832"/>
  <c r="H835"/>
  <c r="H834"/>
  <c r="L833"/>
  <c r="G833"/>
  <c r="F833"/>
  <c r="E833"/>
  <c r="H220"/>
  <c r="T492" i="24"/>
  <c r="W486"/>
  <c r="W174" i="14"/>
  <c r="W181" s="1"/>
  <c r="W180"/>
  <c r="W283"/>
  <c r="U338"/>
  <c r="Y224"/>
  <c r="W457" i="35"/>
  <c r="V457"/>
  <c r="T521"/>
  <c r="L681" i="42"/>
  <c r="H683"/>
  <c r="H682"/>
  <c r="G681"/>
  <c r="F681"/>
  <c r="E681"/>
  <c r="U457" i="24"/>
  <c r="U463" s="1"/>
  <c r="T463"/>
  <c r="W457"/>
  <c r="V457" s="1"/>
  <c r="V459" s="1"/>
  <c r="U459" s="1"/>
  <c r="X93" s="1"/>
  <c r="T463" i="22"/>
  <c r="V200" i="33"/>
  <c r="U338" i="15"/>
  <c r="V331"/>
  <c r="V333"/>
  <c r="Y226"/>
  <c r="Y228"/>
  <c r="J99" i="42"/>
  <c r="I99"/>
  <c r="D99"/>
  <c r="C99"/>
  <c r="L100"/>
  <c r="G100"/>
  <c r="F100"/>
  <c r="E100"/>
  <c r="J59"/>
  <c r="I59"/>
  <c r="D59"/>
  <c r="C59"/>
  <c r="L60"/>
  <c r="G60"/>
  <c r="F60"/>
  <c r="E60"/>
  <c r="J19"/>
  <c r="D19"/>
  <c r="C19"/>
  <c r="I19"/>
  <c r="L20"/>
  <c r="G20"/>
  <c r="F20"/>
  <c r="E20"/>
  <c r="I466"/>
  <c r="J466"/>
  <c r="D466"/>
  <c r="C466"/>
  <c r="I202"/>
  <c r="J202"/>
  <c r="D202"/>
  <c r="C202"/>
  <c r="V550" i="14"/>
  <c r="V552" s="1"/>
  <c r="W297" i="13"/>
  <c r="V282"/>
  <c r="V281" s="1"/>
  <c r="Y228" i="35"/>
  <c r="Y226"/>
  <c r="W344" i="21"/>
  <c r="W515"/>
  <c r="V515" s="1"/>
  <c r="V517" s="1"/>
  <c r="T521"/>
  <c r="H971" i="42"/>
  <c r="H970"/>
  <c r="L969"/>
  <c r="G969"/>
  <c r="F969"/>
  <c r="E969"/>
  <c r="H913"/>
  <c r="H912"/>
  <c r="L911"/>
  <c r="G911"/>
  <c r="F911"/>
  <c r="E911"/>
  <c r="Y297" i="25"/>
  <c r="X282"/>
  <c r="X281" s="1"/>
  <c r="I178" i="42"/>
  <c r="J178"/>
  <c r="D178"/>
  <c r="C178"/>
  <c r="I78"/>
  <c r="J78"/>
  <c r="D78"/>
  <c r="C78"/>
  <c r="T521" i="24"/>
  <c r="U457" i="22"/>
  <c r="V457" s="1"/>
  <c r="W174" i="19"/>
  <c r="W181" s="1"/>
  <c r="W180"/>
  <c r="X297" i="18"/>
  <c r="W282"/>
  <c r="W281" s="1"/>
  <c r="Y228" i="13"/>
  <c r="Y226"/>
  <c r="V367" i="18"/>
  <c r="V369" s="1"/>
  <c r="J160" i="42"/>
  <c r="D160"/>
  <c r="C160"/>
  <c r="I160"/>
  <c r="J850"/>
  <c r="D850"/>
  <c r="C850"/>
  <c r="I850"/>
  <c r="L912"/>
  <c r="G912"/>
  <c r="F912"/>
  <c r="E912"/>
  <c r="L82"/>
  <c r="G82"/>
  <c r="F82"/>
  <c r="E82"/>
  <c r="L182"/>
  <c r="G182"/>
  <c r="F182"/>
  <c r="E182"/>
  <c r="L222"/>
  <c r="G222"/>
  <c r="F222"/>
  <c r="E222"/>
  <c r="L324"/>
  <c r="G324"/>
  <c r="F324"/>
  <c r="E324"/>
  <c r="L364"/>
  <c r="G364"/>
  <c r="F364"/>
  <c r="E364"/>
  <c r="L872"/>
  <c r="G872"/>
  <c r="F872"/>
  <c r="E872"/>
  <c r="L970"/>
  <c r="G970"/>
  <c r="F970"/>
  <c r="E970"/>
  <c r="L834"/>
  <c r="G834"/>
  <c r="F834"/>
  <c r="E834"/>
  <c r="L1008"/>
  <c r="G1008"/>
  <c r="F1008"/>
  <c r="E1008"/>
  <c r="L718"/>
  <c r="G718"/>
  <c r="F718"/>
  <c r="E718"/>
  <c r="L604"/>
  <c r="G604"/>
  <c r="F604"/>
  <c r="E604"/>
  <c r="L42"/>
  <c r="G42"/>
  <c r="F42"/>
  <c r="E42"/>
  <c r="L122"/>
  <c r="G122"/>
  <c r="F122"/>
  <c r="E122"/>
  <c r="L244"/>
  <c r="G244"/>
  <c r="F244"/>
  <c r="E244"/>
  <c r="L930"/>
  <c r="G930"/>
  <c r="F930"/>
  <c r="E930"/>
  <c r="L262"/>
  <c r="G262"/>
  <c r="F262"/>
  <c r="E262"/>
  <c r="L738"/>
  <c r="G738"/>
  <c r="F738"/>
  <c r="E738"/>
  <c r="L344"/>
  <c r="G344"/>
  <c r="F344"/>
  <c r="E344"/>
  <c r="W521" i="24"/>
  <c r="I911" i="42"/>
  <c r="D911"/>
  <c r="C911"/>
  <c r="J911"/>
  <c r="J969"/>
  <c r="D969"/>
  <c r="C969"/>
  <c r="I969"/>
  <c r="J20"/>
  <c r="D20"/>
  <c r="C20"/>
  <c r="I20"/>
  <c r="J100"/>
  <c r="D100"/>
  <c r="C100"/>
  <c r="I100"/>
  <c r="U344" i="15"/>
  <c r="V338"/>
  <c r="V340" s="1"/>
  <c r="U340" s="1"/>
  <c r="X86" s="1"/>
  <c r="J681" i="42"/>
  <c r="D681"/>
  <c r="C681"/>
  <c r="I681"/>
  <c r="H685"/>
  <c r="L683"/>
  <c r="H684"/>
  <c r="G683"/>
  <c r="F683"/>
  <c r="E683"/>
  <c r="W521" i="35"/>
  <c r="I833" i="42"/>
  <c r="D833"/>
  <c r="C833"/>
  <c r="J833"/>
  <c r="J832"/>
  <c r="D832"/>
  <c r="C832"/>
  <c r="I832"/>
  <c r="H895"/>
  <c r="H894"/>
  <c r="L893"/>
  <c r="G893"/>
  <c r="F893"/>
  <c r="E893"/>
  <c r="I1007"/>
  <c r="D1007"/>
  <c r="C1007"/>
  <c r="J1007"/>
  <c r="L948"/>
  <c r="G948"/>
  <c r="F948"/>
  <c r="E948"/>
  <c r="H586"/>
  <c r="L585"/>
  <c r="G585"/>
  <c r="F585"/>
  <c r="E585"/>
  <c r="J260"/>
  <c r="D260"/>
  <c r="C260"/>
  <c r="I260"/>
  <c r="W492" i="19"/>
  <c r="I603" i="42"/>
  <c r="D603"/>
  <c r="C603"/>
  <c r="J603"/>
  <c r="X190" i="50"/>
  <c r="AD186"/>
  <c r="X165"/>
  <c r="X170" s="1"/>
  <c r="X186"/>
  <c r="J322" i="42"/>
  <c r="D322"/>
  <c r="C322"/>
  <c r="I322"/>
  <c r="U344" i="21"/>
  <c r="X201" i="13"/>
  <c r="X195"/>
  <c r="X202" s="1"/>
  <c r="Y288" s="1"/>
  <c r="U463"/>
  <c r="I41" i="42"/>
  <c r="J41"/>
  <c r="D41"/>
  <c r="C41"/>
  <c r="I81"/>
  <c r="J81"/>
  <c r="D81"/>
  <c r="C81"/>
  <c r="I121"/>
  <c r="J121"/>
  <c r="D121"/>
  <c r="C121"/>
  <c r="I181"/>
  <c r="J181"/>
  <c r="D181"/>
  <c r="C181"/>
  <c r="J243"/>
  <c r="I243"/>
  <c r="D243"/>
  <c r="C243"/>
  <c r="W521" i="18"/>
  <c r="V521" s="1"/>
  <c r="V523" s="1"/>
  <c r="U523" s="1"/>
  <c r="I908" i="42"/>
  <c r="J908"/>
  <c r="D908"/>
  <c r="C908"/>
  <c r="W463" i="21"/>
  <c r="V463" s="1"/>
  <c r="V465" s="1"/>
  <c r="U465" s="1"/>
  <c r="W521" i="14"/>
  <c r="V521" s="1"/>
  <c r="V523" s="1"/>
  <c r="J204" i="42"/>
  <c r="D204"/>
  <c r="C204"/>
  <c r="I204"/>
  <c r="I18"/>
  <c r="J18"/>
  <c r="D18"/>
  <c r="C18"/>
  <c r="I58"/>
  <c r="J58"/>
  <c r="D58"/>
  <c r="C58"/>
  <c r="I98"/>
  <c r="J98"/>
  <c r="D98"/>
  <c r="C98"/>
  <c r="W463" i="15"/>
  <c r="V463"/>
  <c r="X200"/>
  <c r="U463"/>
  <c r="W492" i="18"/>
  <c r="V492" s="1"/>
  <c r="V494" s="1"/>
  <c r="X195" i="14"/>
  <c r="I868" i="42"/>
  <c r="J868"/>
  <c r="D868"/>
  <c r="C868"/>
  <c r="W463" i="50"/>
  <c r="W492" i="15"/>
  <c r="V492" s="1"/>
  <c r="V494" s="1"/>
  <c r="X180" i="18"/>
  <c r="X174"/>
  <c r="X181" s="1"/>
  <c r="J736" i="42"/>
  <c r="D736"/>
  <c r="C736"/>
  <c r="I736"/>
  <c r="I853"/>
  <c r="D853"/>
  <c r="C853"/>
  <c r="J853"/>
  <c r="L854"/>
  <c r="G854"/>
  <c r="F854"/>
  <c r="E854"/>
  <c r="J163"/>
  <c r="I163"/>
  <c r="D163"/>
  <c r="C163"/>
  <c r="L164"/>
  <c r="G164"/>
  <c r="F164"/>
  <c r="E164"/>
  <c r="I501"/>
  <c r="D501"/>
  <c r="C501"/>
  <c r="J501"/>
  <c r="H505"/>
  <c r="H504"/>
  <c r="L503"/>
  <c r="G503"/>
  <c r="F503"/>
  <c r="E503"/>
  <c r="U463" i="50"/>
  <c r="V463" s="1"/>
  <c r="V465" s="1"/>
  <c r="U465" s="1"/>
  <c r="J755" i="42"/>
  <c r="D755"/>
  <c r="C755"/>
  <c r="I755"/>
  <c r="L756"/>
  <c r="G756"/>
  <c r="F756"/>
  <c r="E756"/>
  <c r="J812"/>
  <c r="D812"/>
  <c r="C812"/>
  <c r="I812"/>
  <c r="X195" i="21"/>
  <c r="J910" i="42"/>
  <c r="D910"/>
  <c r="C910"/>
  <c r="I910"/>
  <c r="D21"/>
  <c r="C21"/>
  <c r="J21"/>
  <c r="I21"/>
  <c r="L22"/>
  <c r="G22"/>
  <c r="F22"/>
  <c r="E22"/>
  <c r="I61"/>
  <c r="J61"/>
  <c r="D61"/>
  <c r="C61"/>
  <c r="L62"/>
  <c r="G62"/>
  <c r="F62"/>
  <c r="E62"/>
  <c r="I101"/>
  <c r="J101"/>
  <c r="D101"/>
  <c r="C101"/>
  <c r="L102"/>
  <c r="G102"/>
  <c r="F102"/>
  <c r="E102"/>
  <c r="V201" i="33"/>
  <c r="W463" i="35"/>
  <c r="V402" i="14"/>
  <c r="V404" s="1"/>
  <c r="U463" i="33"/>
  <c r="I221" i="42"/>
  <c r="J221"/>
  <c r="D221"/>
  <c r="C221"/>
  <c r="J890"/>
  <c r="D890"/>
  <c r="C890"/>
  <c r="I890"/>
  <c r="H953"/>
  <c r="H952"/>
  <c r="L951"/>
  <c r="G951"/>
  <c r="F951"/>
  <c r="E951"/>
  <c r="I929"/>
  <c r="D929"/>
  <c r="C929"/>
  <c r="J929"/>
  <c r="AL282" i="38"/>
  <c r="AO302" i="37"/>
  <c r="AN287"/>
  <c r="AN286"/>
  <c r="V375" i="13"/>
  <c r="V373"/>
  <c r="I261" i="42"/>
  <c r="J261"/>
  <c r="D261"/>
  <c r="C261"/>
  <c r="J445"/>
  <c r="D445"/>
  <c r="C445"/>
  <c r="I445"/>
  <c r="W463" i="33"/>
  <c r="V463" s="1"/>
  <c r="V465" s="1"/>
  <c r="U465" s="1"/>
  <c r="J566" i="42"/>
  <c r="D566"/>
  <c r="C566"/>
  <c r="I566"/>
  <c r="X174" i="13"/>
  <c r="W463" i="18"/>
  <c r="V373" i="35"/>
  <c r="V375"/>
  <c r="W463" i="14"/>
  <c r="H145" i="42"/>
  <c r="H144"/>
  <c r="L143"/>
  <c r="G143"/>
  <c r="F143"/>
  <c r="E143"/>
  <c r="J363"/>
  <c r="D363"/>
  <c r="C363"/>
  <c r="I363"/>
  <c r="X174" i="15"/>
  <c r="V373" i="33"/>
  <c r="V375"/>
  <c r="U344" i="24"/>
  <c r="V338"/>
  <c r="V340"/>
  <c r="W195" i="50"/>
  <c r="X179" i="14"/>
  <c r="U344" i="33"/>
  <c r="V338"/>
  <c r="V340" s="1"/>
  <c r="W521"/>
  <c r="L422" i="42"/>
  <c r="G422"/>
  <c r="F422"/>
  <c r="E422"/>
  <c r="H425"/>
  <c r="L423"/>
  <c r="H424"/>
  <c r="G423"/>
  <c r="F423"/>
  <c r="E423"/>
  <c r="W492" i="50"/>
  <c r="W521"/>
  <c r="V521" s="1"/>
  <c r="V523" s="1"/>
  <c r="J871" i="42"/>
  <c r="D871"/>
  <c r="C871"/>
  <c r="I871"/>
  <c r="J870"/>
  <c r="D870"/>
  <c r="C870"/>
  <c r="I870"/>
  <c r="V457" i="50"/>
  <c r="V459"/>
  <c r="W521" i="13"/>
  <c r="U463" i="18"/>
  <c r="AM468" i="37"/>
  <c r="AN206"/>
  <c r="I737" i="42"/>
  <c r="D737"/>
  <c r="C737"/>
  <c r="J737"/>
  <c r="I775"/>
  <c r="D775"/>
  <c r="C775"/>
  <c r="J775"/>
  <c r="J343"/>
  <c r="D343"/>
  <c r="C343"/>
  <c r="I343"/>
  <c r="H817"/>
  <c r="H816"/>
  <c r="L815"/>
  <c r="G815"/>
  <c r="F815"/>
  <c r="E815"/>
  <c r="G796"/>
  <c r="F796"/>
  <c r="E796"/>
  <c r="L796"/>
  <c r="H799"/>
  <c r="L797"/>
  <c r="H798"/>
  <c r="G797"/>
  <c r="F797"/>
  <c r="E797"/>
  <c r="X179" i="21"/>
  <c r="U463"/>
  <c r="V402"/>
  <c r="V404" s="1"/>
  <c r="U404" s="1"/>
  <c r="J40" i="42"/>
  <c r="D40"/>
  <c r="C40"/>
  <c r="I40"/>
  <c r="J120"/>
  <c r="D120"/>
  <c r="C120"/>
  <c r="I120"/>
  <c r="I242"/>
  <c r="J242"/>
  <c r="D242"/>
  <c r="C242"/>
  <c r="I852"/>
  <c r="J852"/>
  <c r="D852"/>
  <c r="C852"/>
  <c r="V373" i="21"/>
  <c r="V375" s="1"/>
  <c r="J80" i="42"/>
  <c r="D80"/>
  <c r="C80"/>
  <c r="I80"/>
  <c r="J180"/>
  <c r="D180"/>
  <c r="C180"/>
  <c r="I180"/>
  <c r="I500"/>
  <c r="J500"/>
  <c r="D500"/>
  <c r="C500"/>
  <c r="H915"/>
  <c r="H914"/>
  <c r="L913"/>
  <c r="G913"/>
  <c r="F913"/>
  <c r="E913"/>
  <c r="H973"/>
  <c r="H972"/>
  <c r="L971"/>
  <c r="G971"/>
  <c r="F971"/>
  <c r="E971"/>
  <c r="W521" i="21"/>
  <c r="V521" s="1"/>
  <c r="V523" s="1"/>
  <c r="V344"/>
  <c r="J60" i="42"/>
  <c r="D60"/>
  <c r="C60"/>
  <c r="I60"/>
  <c r="W463" i="22"/>
  <c r="W463" i="24"/>
  <c r="V463" s="1"/>
  <c r="L682" i="42"/>
  <c r="G682"/>
  <c r="F682"/>
  <c r="E682"/>
  <c r="U344" i="14"/>
  <c r="V338"/>
  <c r="V340" s="1"/>
  <c r="X297"/>
  <c r="W282"/>
  <c r="W281"/>
  <c r="W492" i="24"/>
  <c r="L220" i="42"/>
  <c r="G220"/>
  <c r="F220"/>
  <c r="E220"/>
  <c r="H837"/>
  <c r="H836"/>
  <c r="L835"/>
  <c r="G835"/>
  <c r="F835"/>
  <c r="E835"/>
  <c r="J891"/>
  <c r="D891"/>
  <c r="C891"/>
  <c r="I891"/>
  <c r="L892"/>
  <c r="G892"/>
  <c r="F892"/>
  <c r="E892"/>
  <c r="G989"/>
  <c r="F989"/>
  <c r="E989"/>
  <c r="H991"/>
  <c r="H990"/>
  <c r="L989"/>
  <c r="H988"/>
  <c r="H1011"/>
  <c r="H1010"/>
  <c r="L1009"/>
  <c r="G1009"/>
  <c r="F1009"/>
  <c r="E1009"/>
  <c r="J406"/>
  <c r="D406"/>
  <c r="C406"/>
  <c r="I406"/>
  <c r="I583"/>
  <c r="D583"/>
  <c r="C583"/>
  <c r="J583"/>
  <c r="G584"/>
  <c r="F584"/>
  <c r="E584"/>
  <c r="L584"/>
  <c r="AP179" i="37"/>
  <c r="J717" i="42"/>
  <c r="D717"/>
  <c r="C717"/>
  <c r="I717"/>
  <c r="H721"/>
  <c r="H720"/>
  <c r="L719"/>
  <c r="G719"/>
  <c r="F719"/>
  <c r="E719"/>
  <c r="H606"/>
  <c r="L605"/>
  <c r="G605"/>
  <c r="F605"/>
  <c r="E605"/>
  <c r="U344" i="50"/>
  <c r="V338"/>
  <c r="V340"/>
  <c r="X269"/>
  <c r="X270"/>
  <c r="X271" s="1"/>
  <c r="X275"/>
  <c r="X276" s="1"/>
  <c r="X277" s="1"/>
  <c r="X179"/>
  <c r="X169"/>
  <c r="W492" i="13"/>
  <c r="V492"/>
  <c r="V494" s="1"/>
  <c r="U494" s="1"/>
  <c r="V402" i="18"/>
  <c r="V404"/>
  <c r="J666" i="42"/>
  <c r="D666"/>
  <c r="C666"/>
  <c r="I666"/>
  <c r="H45"/>
  <c r="H44"/>
  <c r="L43"/>
  <c r="G43"/>
  <c r="F43"/>
  <c r="E43"/>
  <c r="H85"/>
  <c r="H84"/>
  <c r="L83"/>
  <c r="G83"/>
  <c r="F83"/>
  <c r="E83"/>
  <c r="H125"/>
  <c r="H124"/>
  <c r="L123"/>
  <c r="G123"/>
  <c r="F123"/>
  <c r="E123"/>
  <c r="H185"/>
  <c r="H184"/>
  <c r="L183"/>
  <c r="G183"/>
  <c r="F183"/>
  <c r="E183"/>
  <c r="H246"/>
  <c r="L245"/>
  <c r="G245"/>
  <c r="F245"/>
  <c r="E245"/>
  <c r="X195" i="35"/>
  <c r="X174"/>
  <c r="J140" i="42"/>
  <c r="D140"/>
  <c r="C140"/>
  <c r="I140"/>
  <c r="J362"/>
  <c r="D362"/>
  <c r="C362"/>
  <c r="I362"/>
  <c r="X195" i="15"/>
  <c r="W191" i="50"/>
  <c r="W196" s="1"/>
  <c r="W202" s="1"/>
  <c r="X288" s="1"/>
  <c r="AE185"/>
  <c r="W174"/>
  <c r="W179"/>
  <c r="X200" i="14"/>
  <c r="I420" i="42"/>
  <c r="J420"/>
  <c r="D420"/>
  <c r="C420"/>
  <c r="W521" i="15"/>
  <c r="X201" i="18"/>
  <c r="X195"/>
  <c r="X202" s="1"/>
  <c r="Y288" s="1"/>
  <c r="AN378" i="37"/>
  <c r="AN380"/>
  <c r="I774" i="42"/>
  <c r="J774"/>
  <c r="D774"/>
  <c r="C774"/>
  <c r="H857"/>
  <c r="H856"/>
  <c r="L855"/>
  <c r="G855"/>
  <c r="F855"/>
  <c r="E855"/>
  <c r="H166"/>
  <c r="L165"/>
  <c r="G165"/>
  <c r="F165"/>
  <c r="E165"/>
  <c r="H502"/>
  <c r="J342"/>
  <c r="D342"/>
  <c r="C342"/>
  <c r="I342"/>
  <c r="J486"/>
  <c r="D486"/>
  <c r="C486"/>
  <c r="I486"/>
  <c r="H759"/>
  <c r="H758"/>
  <c r="L757"/>
  <c r="G757"/>
  <c r="F757"/>
  <c r="E757"/>
  <c r="X200" i="21"/>
  <c r="U344" i="13"/>
  <c r="X297" i="19"/>
  <c r="W282"/>
  <c r="W281" s="1"/>
  <c r="W521" i="22"/>
  <c r="V521" s="1"/>
  <c r="V523" s="1"/>
  <c r="J968" i="42"/>
  <c r="D968"/>
  <c r="C968"/>
  <c r="I968"/>
  <c r="U344" i="35"/>
  <c r="V340"/>
  <c r="V338"/>
  <c r="H25" i="42"/>
  <c r="H24"/>
  <c r="L23"/>
  <c r="G23"/>
  <c r="F23"/>
  <c r="E23"/>
  <c r="H65"/>
  <c r="H64"/>
  <c r="L63"/>
  <c r="G63"/>
  <c r="F63"/>
  <c r="E63"/>
  <c r="H105"/>
  <c r="H104"/>
  <c r="L103"/>
  <c r="G103"/>
  <c r="F103"/>
  <c r="E103"/>
  <c r="V202" i="33"/>
  <c r="W288" s="1"/>
  <c r="AO497" i="37"/>
  <c r="AN497" s="1"/>
  <c r="AN499" s="1"/>
  <c r="I680" i="42"/>
  <c r="J680"/>
  <c r="D680"/>
  <c r="C680"/>
  <c r="W521" i="19"/>
  <c r="V521" s="1"/>
  <c r="V523" s="1"/>
  <c r="H225" i="42"/>
  <c r="L223"/>
  <c r="G223"/>
  <c r="F223"/>
  <c r="E223"/>
  <c r="I949"/>
  <c r="D949"/>
  <c r="C949"/>
  <c r="J949"/>
  <c r="L950"/>
  <c r="G950"/>
  <c r="F950"/>
  <c r="E950"/>
  <c r="G928"/>
  <c r="F928"/>
  <c r="E928"/>
  <c r="L928"/>
  <c r="H933"/>
  <c r="H932"/>
  <c r="L931"/>
  <c r="G931"/>
  <c r="F931"/>
  <c r="E931"/>
  <c r="W492" i="33"/>
  <c r="V492"/>
  <c r="V494" s="1"/>
  <c r="U494" s="1"/>
  <c r="U344" i="18"/>
  <c r="V338"/>
  <c r="V340"/>
  <c r="AP196" i="37"/>
  <c r="AP201" s="1"/>
  <c r="AP207" s="1"/>
  <c r="AQ293" s="1"/>
  <c r="AW191"/>
  <c r="AP200"/>
  <c r="W492" i="14"/>
  <c r="H265" i="42"/>
  <c r="H264"/>
  <c r="L263"/>
  <c r="G263"/>
  <c r="F263"/>
  <c r="E263"/>
  <c r="L446"/>
  <c r="G446"/>
  <c r="F446"/>
  <c r="E446"/>
  <c r="J444"/>
  <c r="D444"/>
  <c r="C444"/>
  <c r="I444"/>
  <c r="W492" i="35"/>
  <c r="V492" s="1"/>
  <c r="V494" s="1"/>
  <c r="W463" i="19"/>
  <c r="J323" i="42"/>
  <c r="D323"/>
  <c r="C323"/>
  <c r="I323"/>
  <c r="H326"/>
  <c r="L325"/>
  <c r="G325"/>
  <c r="F325"/>
  <c r="E325"/>
  <c r="U344" i="22"/>
  <c r="V338"/>
  <c r="V340" s="1"/>
  <c r="W492"/>
  <c r="W492" i="21"/>
  <c r="V492"/>
  <c r="V494" s="1"/>
  <c r="X191" i="35"/>
  <c r="X196" s="1"/>
  <c r="X202" s="1"/>
  <c r="Y288" s="1"/>
  <c r="AE186"/>
  <c r="U463"/>
  <c r="V459"/>
  <c r="I141" i="42"/>
  <c r="J141"/>
  <c r="D141"/>
  <c r="C141"/>
  <c r="L142"/>
  <c r="G142"/>
  <c r="F142"/>
  <c r="E142"/>
  <c r="I205"/>
  <c r="J205"/>
  <c r="D205"/>
  <c r="C205"/>
  <c r="L206"/>
  <c r="G206"/>
  <c r="F206"/>
  <c r="E206"/>
  <c r="H366"/>
  <c r="L365"/>
  <c r="G365"/>
  <c r="F365"/>
  <c r="E365"/>
  <c r="X179" i="15"/>
  <c r="AO468" i="36"/>
  <c r="W200" i="50"/>
  <c r="X174" i="14"/>
  <c r="X180"/>
  <c r="U463"/>
  <c r="V463" s="1"/>
  <c r="V465" s="1"/>
  <c r="U465" s="1"/>
  <c r="V459"/>
  <c r="J421" i="42"/>
  <c r="D421"/>
  <c r="C421"/>
  <c r="I421"/>
  <c r="G873"/>
  <c r="F873"/>
  <c r="E873"/>
  <c r="H875"/>
  <c r="L873"/>
  <c r="AM349" i="37"/>
  <c r="AN345"/>
  <c r="AN343"/>
  <c r="J706" i="42"/>
  <c r="D706"/>
  <c r="C706"/>
  <c r="I706"/>
  <c r="AN207" i="37"/>
  <c r="AO293" s="1"/>
  <c r="H741" i="42"/>
  <c r="H740"/>
  <c r="L739"/>
  <c r="G739"/>
  <c r="F739"/>
  <c r="E739"/>
  <c r="L776"/>
  <c r="G776"/>
  <c r="F776"/>
  <c r="E776"/>
  <c r="H779"/>
  <c r="L777"/>
  <c r="H778"/>
  <c r="G777"/>
  <c r="F777"/>
  <c r="E777"/>
  <c r="W463" i="13"/>
  <c r="V463" s="1"/>
  <c r="V465" s="1"/>
  <c r="U465" s="1"/>
  <c r="H346" i="42"/>
  <c r="L345"/>
  <c r="G345"/>
  <c r="F345"/>
  <c r="E345"/>
  <c r="I600"/>
  <c r="J600"/>
  <c r="D600"/>
  <c r="C600"/>
  <c r="I813"/>
  <c r="D813"/>
  <c r="C813"/>
  <c r="J813"/>
  <c r="G814"/>
  <c r="F814"/>
  <c r="E814"/>
  <c r="L814"/>
  <c r="J795"/>
  <c r="D795"/>
  <c r="C795"/>
  <c r="I795"/>
  <c r="J794"/>
  <c r="D794"/>
  <c r="C794"/>
  <c r="I794"/>
  <c r="X174" i="21"/>
  <c r="AO468" i="37"/>
  <c r="AN468" s="1"/>
  <c r="AN470" s="1"/>
  <c r="AM470" s="1"/>
  <c r="V373" i="15"/>
  <c r="V375"/>
  <c r="I716" i="42"/>
  <c r="J716"/>
  <c r="D716"/>
  <c r="C716"/>
  <c r="V402" i="50"/>
  <c r="V404"/>
  <c r="V373" i="18"/>
  <c r="V375"/>
  <c r="I162" i="42"/>
  <c r="J162"/>
  <c r="D162"/>
  <c r="C162"/>
  <c r="I582"/>
  <c r="J582"/>
  <c r="D582"/>
  <c r="C582"/>
  <c r="V402" i="19"/>
  <c r="V404"/>
  <c r="J602" i="42"/>
  <c r="D602"/>
  <c r="C602"/>
  <c r="I602"/>
  <c r="V402" i="22"/>
  <c r="V404"/>
  <c r="I754" i="42"/>
  <c r="J754"/>
  <c r="D754"/>
  <c r="C754"/>
  <c r="L64"/>
  <c r="G64"/>
  <c r="F64"/>
  <c r="E64"/>
  <c r="L84"/>
  <c r="G84"/>
  <c r="F84"/>
  <c r="E84"/>
  <c r="L104"/>
  <c r="G104"/>
  <c r="F104"/>
  <c r="E104"/>
  <c r="L24"/>
  <c r="G24"/>
  <c r="F24"/>
  <c r="E24"/>
  <c r="L856"/>
  <c r="G856"/>
  <c r="F856"/>
  <c r="E856"/>
  <c r="L44"/>
  <c r="G44"/>
  <c r="F44"/>
  <c r="E44"/>
  <c r="L952"/>
  <c r="G952"/>
  <c r="F952"/>
  <c r="E952"/>
  <c r="I345"/>
  <c r="D345"/>
  <c r="C345"/>
  <c r="J345"/>
  <c r="L346"/>
  <c r="G346"/>
  <c r="F346"/>
  <c r="E346"/>
  <c r="J777"/>
  <c r="D777"/>
  <c r="C777"/>
  <c r="I777"/>
  <c r="J776"/>
  <c r="D776"/>
  <c r="C776"/>
  <c r="I776"/>
  <c r="J739"/>
  <c r="D739"/>
  <c r="C739"/>
  <c r="I739"/>
  <c r="L740"/>
  <c r="G740"/>
  <c r="F740"/>
  <c r="E740"/>
  <c r="H877"/>
  <c r="L875"/>
  <c r="G875"/>
  <c r="F875"/>
  <c r="E875"/>
  <c r="I206"/>
  <c r="J206"/>
  <c r="D206"/>
  <c r="C206"/>
  <c r="I325"/>
  <c r="D325"/>
  <c r="C325"/>
  <c r="J325"/>
  <c r="L326"/>
  <c r="G326"/>
  <c r="F326"/>
  <c r="E326"/>
  <c r="J263"/>
  <c r="I263"/>
  <c r="D263"/>
  <c r="C263"/>
  <c r="L264"/>
  <c r="G264"/>
  <c r="F264"/>
  <c r="E264"/>
  <c r="J931"/>
  <c r="D931"/>
  <c r="C931"/>
  <c r="I931"/>
  <c r="G932"/>
  <c r="F932"/>
  <c r="E932"/>
  <c r="L932"/>
  <c r="J950"/>
  <c r="D950"/>
  <c r="C950"/>
  <c r="I950"/>
  <c r="H226"/>
  <c r="L225"/>
  <c r="G225"/>
  <c r="F225"/>
  <c r="E225"/>
  <c r="J103"/>
  <c r="I103"/>
  <c r="D103"/>
  <c r="C103"/>
  <c r="J63"/>
  <c r="I63"/>
  <c r="D63"/>
  <c r="C63"/>
  <c r="J23"/>
  <c r="D23"/>
  <c r="C23"/>
  <c r="I23"/>
  <c r="H761"/>
  <c r="L759"/>
  <c r="G759"/>
  <c r="F759"/>
  <c r="E759"/>
  <c r="L502"/>
  <c r="G502"/>
  <c r="F502"/>
  <c r="E502"/>
  <c r="J855"/>
  <c r="D855"/>
  <c r="C855"/>
  <c r="I855"/>
  <c r="X201" i="35"/>
  <c r="J183" i="42"/>
  <c r="I183"/>
  <c r="D183"/>
  <c r="C183"/>
  <c r="L184"/>
  <c r="G184"/>
  <c r="F184"/>
  <c r="E184"/>
  <c r="J123"/>
  <c r="I123"/>
  <c r="D123"/>
  <c r="C123"/>
  <c r="L124"/>
  <c r="G124"/>
  <c r="F124"/>
  <c r="E124"/>
  <c r="J83"/>
  <c r="I83"/>
  <c r="D83"/>
  <c r="C83"/>
  <c r="J43"/>
  <c r="I43"/>
  <c r="D43"/>
  <c r="C43"/>
  <c r="J605"/>
  <c r="D605"/>
  <c r="C605"/>
  <c r="I605"/>
  <c r="L606"/>
  <c r="G606"/>
  <c r="F606"/>
  <c r="E606"/>
  <c r="H723"/>
  <c r="H722"/>
  <c r="L721"/>
  <c r="G721"/>
  <c r="F721"/>
  <c r="E721"/>
  <c r="W344" i="27"/>
  <c r="J584" i="42"/>
  <c r="D584"/>
  <c r="C584"/>
  <c r="I584"/>
  <c r="AN325" i="38"/>
  <c r="AM325"/>
  <c r="AM327" s="1"/>
  <c r="W344" i="29"/>
  <c r="V344" s="1"/>
  <c r="V346" s="1"/>
  <c r="U346" s="1"/>
  <c r="W344" i="34"/>
  <c r="W344" i="39"/>
  <c r="V344" s="1"/>
  <c r="V346" s="1"/>
  <c r="U346" s="1"/>
  <c r="W344" i="30"/>
  <c r="W344" i="19"/>
  <c r="AO349" i="37"/>
  <c r="AN349"/>
  <c r="AO349" i="36"/>
  <c r="W344" i="22"/>
  <c r="V344" s="1"/>
  <c r="V346" s="1"/>
  <c r="W344" i="14"/>
  <c r="V344"/>
  <c r="W344" i="50"/>
  <c r="V344"/>
  <c r="V346" s="1"/>
  <c r="W344" i="18"/>
  <c r="V344" s="1"/>
  <c r="V346" s="1"/>
  <c r="W344" i="24"/>
  <c r="V344"/>
  <c r="W344" i="33"/>
  <c r="V344"/>
  <c r="W344" i="35"/>
  <c r="V344"/>
  <c r="V346" s="1"/>
  <c r="H1013" i="42"/>
  <c r="H1012"/>
  <c r="L1011"/>
  <c r="G1011"/>
  <c r="F1011"/>
  <c r="E1011"/>
  <c r="H993"/>
  <c r="H992"/>
  <c r="L991"/>
  <c r="G991"/>
  <c r="F991"/>
  <c r="E991"/>
  <c r="I892"/>
  <c r="J892"/>
  <c r="D892"/>
  <c r="C892"/>
  <c r="H839"/>
  <c r="H838"/>
  <c r="L837"/>
  <c r="G837"/>
  <c r="F837"/>
  <c r="E837"/>
  <c r="V346" i="14"/>
  <c r="I971" i="42"/>
  <c r="D971"/>
  <c r="C971"/>
  <c r="J971"/>
  <c r="L972"/>
  <c r="G972"/>
  <c r="F972"/>
  <c r="E972"/>
  <c r="J913"/>
  <c r="D913"/>
  <c r="C913"/>
  <c r="I913"/>
  <c r="L914"/>
  <c r="G914"/>
  <c r="F914"/>
  <c r="E914"/>
  <c r="I797"/>
  <c r="D797"/>
  <c r="C797"/>
  <c r="J797"/>
  <c r="J815"/>
  <c r="D815"/>
  <c r="C815"/>
  <c r="I815"/>
  <c r="L816"/>
  <c r="G816"/>
  <c r="F816"/>
  <c r="E816"/>
  <c r="I423"/>
  <c r="D423"/>
  <c r="C423"/>
  <c r="J423"/>
  <c r="J422"/>
  <c r="D422"/>
  <c r="C422"/>
  <c r="I422"/>
  <c r="J143"/>
  <c r="I143"/>
  <c r="D143"/>
  <c r="C143"/>
  <c r="L144"/>
  <c r="G144"/>
  <c r="F144"/>
  <c r="E144"/>
  <c r="J951"/>
  <c r="D951"/>
  <c r="C951"/>
  <c r="I951"/>
  <c r="I102"/>
  <c r="J102"/>
  <c r="D102"/>
  <c r="C102"/>
  <c r="I22"/>
  <c r="J22"/>
  <c r="D22"/>
  <c r="C22"/>
  <c r="J756"/>
  <c r="D756"/>
  <c r="C756"/>
  <c r="I756"/>
  <c r="H506"/>
  <c r="L505"/>
  <c r="G505"/>
  <c r="F505"/>
  <c r="E505"/>
  <c r="J164"/>
  <c r="D164"/>
  <c r="C164"/>
  <c r="I164"/>
  <c r="J854"/>
  <c r="D854"/>
  <c r="C854"/>
  <c r="I854"/>
  <c r="V465" i="15"/>
  <c r="U465"/>
  <c r="V346" i="21"/>
  <c r="U346" s="1"/>
  <c r="J585" i="42"/>
  <c r="D585"/>
  <c r="C585"/>
  <c r="I585"/>
  <c r="L586"/>
  <c r="G586"/>
  <c r="F586"/>
  <c r="E586"/>
  <c r="I948"/>
  <c r="J948"/>
  <c r="D948"/>
  <c r="C948"/>
  <c r="H897"/>
  <c r="H896"/>
  <c r="L895"/>
  <c r="G895"/>
  <c r="F895"/>
  <c r="E895"/>
  <c r="I683"/>
  <c r="D683"/>
  <c r="C683"/>
  <c r="J683"/>
  <c r="V344" i="15"/>
  <c r="V346"/>
  <c r="U346" s="1"/>
  <c r="I738" i="42"/>
  <c r="J738"/>
  <c r="D738"/>
  <c r="C738"/>
  <c r="I604"/>
  <c r="J604"/>
  <c r="D604"/>
  <c r="C604"/>
  <c r="J1008"/>
  <c r="D1008"/>
  <c r="C1008"/>
  <c r="I1008"/>
  <c r="I834"/>
  <c r="J834"/>
  <c r="D834"/>
  <c r="C834"/>
  <c r="I970"/>
  <c r="J970"/>
  <c r="D970"/>
  <c r="C970"/>
  <c r="I324"/>
  <c r="J324"/>
  <c r="D324"/>
  <c r="C324"/>
  <c r="I912"/>
  <c r="J912"/>
  <c r="D912"/>
  <c r="C912"/>
  <c r="I814"/>
  <c r="J814"/>
  <c r="D814"/>
  <c r="C814"/>
  <c r="L778"/>
  <c r="G778"/>
  <c r="F778"/>
  <c r="E778"/>
  <c r="H781"/>
  <c r="H780"/>
  <c r="L779"/>
  <c r="G779"/>
  <c r="F779"/>
  <c r="E779"/>
  <c r="H743"/>
  <c r="H742"/>
  <c r="L741"/>
  <c r="G741"/>
  <c r="F741"/>
  <c r="E741"/>
  <c r="AN351" i="37"/>
  <c r="H874" i="42"/>
  <c r="I873"/>
  <c r="D873"/>
  <c r="C873"/>
  <c r="J873"/>
  <c r="I365"/>
  <c r="D365"/>
  <c r="C365"/>
  <c r="J365"/>
  <c r="L366"/>
  <c r="G366"/>
  <c r="F366"/>
  <c r="E366"/>
  <c r="I142"/>
  <c r="J142"/>
  <c r="D142"/>
  <c r="C142"/>
  <c r="I446"/>
  <c r="J446"/>
  <c r="D446"/>
  <c r="C446"/>
  <c r="H266"/>
  <c r="L265"/>
  <c r="G265"/>
  <c r="F265"/>
  <c r="E265"/>
  <c r="H935"/>
  <c r="H934"/>
  <c r="L933"/>
  <c r="G933"/>
  <c r="F933"/>
  <c r="E933"/>
  <c r="I928"/>
  <c r="J928"/>
  <c r="D928"/>
  <c r="C928"/>
  <c r="J223"/>
  <c r="I223"/>
  <c r="D223"/>
  <c r="C223"/>
  <c r="H224"/>
  <c r="H106"/>
  <c r="L105"/>
  <c r="G105"/>
  <c r="F105"/>
  <c r="E105"/>
  <c r="H66"/>
  <c r="L65"/>
  <c r="G65"/>
  <c r="F65"/>
  <c r="E65"/>
  <c r="H26"/>
  <c r="L25"/>
  <c r="G25"/>
  <c r="F25"/>
  <c r="E25"/>
  <c r="U340" i="35"/>
  <c r="X86"/>
  <c r="V344" i="13"/>
  <c r="V346" s="1"/>
  <c r="U346" s="1"/>
  <c r="I757" i="42"/>
  <c r="D757"/>
  <c r="C757"/>
  <c r="J757"/>
  <c r="L758"/>
  <c r="G758"/>
  <c r="F758"/>
  <c r="E758"/>
  <c r="I165"/>
  <c r="J165"/>
  <c r="D165"/>
  <c r="C165"/>
  <c r="L166"/>
  <c r="G166"/>
  <c r="F166"/>
  <c r="E166"/>
  <c r="H859"/>
  <c r="H858"/>
  <c r="L857"/>
  <c r="G857"/>
  <c r="F857"/>
  <c r="E857"/>
  <c r="I245"/>
  <c r="J245"/>
  <c r="D245"/>
  <c r="C245"/>
  <c r="L246"/>
  <c r="G246"/>
  <c r="F246"/>
  <c r="E246"/>
  <c r="H186"/>
  <c r="L185"/>
  <c r="G185"/>
  <c r="F185"/>
  <c r="E185"/>
  <c r="H126"/>
  <c r="L125"/>
  <c r="G125"/>
  <c r="F125"/>
  <c r="E125"/>
  <c r="H86"/>
  <c r="L85"/>
  <c r="G85"/>
  <c r="F85"/>
  <c r="E85"/>
  <c r="H46"/>
  <c r="L45"/>
  <c r="G45"/>
  <c r="F45"/>
  <c r="E45"/>
  <c r="X174" i="50"/>
  <c r="I719" i="42"/>
  <c r="D719"/>
  <c r="C719"/>
  <c r="J719"/>
  <c r="G720"/>
  <c r="F720"/>
  <c r="E720"/>
  <c r="L720"/>
  <c r="D1009"/>
  <c r="C1009"/>
  <c r="I1009"/>
  <c r="J1009"/>
  <c r="G1010"/>
  <c r="F1010"/>
  <c r="E1010"/>
  <c r="L1010"/>
  <c r="L988"/>
  <c r="G988"/>
  <c r="F988"/>
  <c r="E988"/>
  <c r="G990"/>
  <c r="F990"/>
  <c r="E990"/>
  <c r="L990"/>
  <c r="J989"/>
  <c r="D989"/>
  <c r="C989"/>
  <c r="I989"/>
  <c r="J835"/>
  <c r="D835"/>
  <c r="C835"/>
  <c r="I835"/>
  <c r="L836"/>
  <c r="G836"/>
  <c r="F836"/>
  <c r="E836"/>
  <c r="J220"/>
  <c r="D220"/>
  <c r="C220"/>
  <c r="I220"/>
  <c r="J682"/>
  <c r="D682"/>
  <c r="C682"/>
  <c r="I682"/>
  <c r="H975"/>
  <c r="H974"/>
  <c r="L973"/>
  <c r="G973"/>
  <c r="F973"/>
  <c r="E973"/>
  <c r="H917"/>
  <c r="H916"/>
  <c r="L915"/>
  <c r="G915"/>
  <c r="F915"/>
  <c r="E915"/>
  <c r="L798"/>
  <c r="G798"/>
  <c r="F798"/>
  <c r="E798"/>
  <c r="H801"/>
  <c r="H800"/>
  <c r="L799"/>
  <c r="G799"/>
  <c r="F799"/>
  <c r="E799"/>
  <c r="I796"/>
  <c r="J796"/>
  <c r="D796"/>
  <c r="C796"/>
  <c r="H819"/>
  <c r="G817"/>
  <c r="F817"/>
  <c r="E817"/>
  <c r="H818"/>
  <c r="L817"/>
  <c r="L424"/>
  <c r="G424"/>
  <c r="F424"/>
  <c r="E424"/>
  <c r="H426"/>
  <c r="L425"/>
  <c r="G425"/>
  <c r="F425"/>
  <c r="E425"/>
  <c r="V346" i="33"/>
  <c r="W201" i="50"/>
  <c r="V346" i="24"/>
  <c r="H146" i="42"/>
  <c r="L145"/>
  <c r="G145"/>
  <c r="F145"/>
  <c r="E145"/>
  <c r="V463" i="18"/>
  <c r="V465" s="1"/>
  <c r="U465" s="1"/>
  <c r="U375" i="13"/>
  <c r="H955" i="42"/>
  <c r="H954"/>
  <c r="L953"/>
  <c r="G953"/>
  <c r="F953"/>
  <c r="E953"/>
  <c r="V463" i="35"/>
  <c r="V465"/>
  <c r="U465" s="1"/>
  <c r="I62" i="42"/>
  <c r="J62"/>
  <c r="D62"/>
  <c r="C62"/>
  <c r="J503"/>
  <c r="D503"/>
  <c r="C503"/>
  <c r="I503"/>
  <c r="L504"/>
  <c r="G504"/>
  <c r="F504"/>
  <c r="E504"/>
  <c r="X191" i="50"/>
  <c r="X201" s="1"/>
  <c r="AE186"/>
  <c r="X200"/>
  <c r="X195"/>
  <c r="I893" i="42"/>
  <c r="D893"/>
  <c r="C893"/>
  <c r="J893"/>
  <c r="L894"/>
  <c r="G894"/>
  <c r="F894"/>
  <c r="E894"/>
  <c r="L684"/>
  <c r="G684"/>
  <c r="F684"/>
  <c r="E684"/>
  <c r="L685"/>
  <c r="H686"/>
  <c r="G685"/>
  <c r="F685"/>
  <c r="E685"/>
  <c r="I344"/>
  <c r="J344"/>
  <c r="D344"/>
  <c r="C344"/>
  <c r="I262"/>
  <c r="J262"/>
  <c r="D262"/>
  <c r="C262"/>
  <c r="J930"/>
  <c r="D930"/>
  <c r="C930"/>
  <c r="I930"/>
  <c r="J244"/>
  <c r="D244"/>
  <c r="C244"/>
  <c r="I244"/>
  <c r="I122"/>
  <c r="J122"/>
  <c r="D122"/>
  <c r="C122"/>
  <c r="I42"/>
  <c r="J42"/>
  <c r="D42"/>
  <c r="C42"/>
  <c r="J718"/>
  <c r="D718"/>
  <c r="C718"/>
  <c r="I718"/>
  <c r="I872"/>
  <c r="J872"/>
  <c r="D872"/>
  <c r="C872"/>
  <c r="I364"/>
  <c r="J364"/>
  <c r="D364"/>
  <c r="C364"/>
  <c r="I222"/>
  <c r="J222"/>
  <c r="D222"/>
  <c r="C222"/>
  <c r="I182"/>
  <c r="J182"/>
  <c r="D182"/>
  <c r="C182"/>
  <c r="I82"/>
  <c r="J82"/>
  <c r="D82"/>
  <c r="C82"/>
  <c r="L742"/>
  <c r="G742"/>
  <c r="F742"/>
  <c r="E742"/>
  <c r="L858"/>
  <c r="G858"/>
  <c r="F858"/>
  <c r="E858"/>
  <c r="L780"/>
  <c r="G780"/>
  <c r="F780"/>
  <c r="E780"/>
  <c r="L838"/>
  <c r="G838"/>
  <c r="F838"/>
  <c r="E838"/>
  <c r="L686"/>
  <c r="G686"/>
  <c r="F686"/>
  <c r="E686"/>
  <c r="I684"/>
  <c r="J684"/>
  <c r="D684"/>
  <c r="C684"/>
  <c r="J894"/>
  <c r="D894"/>
  <c r="C894"/>
  <c r="I894"/>
  <c r="H957"/>
  <c r="H956"/>
  <c r="L955"/>
  <c r="G955"/>
  <c r="F955"/>
  <c r="E955"/>
  <c r="I145"/>
  <c r="J145"/>
  <c r="D145"/>
  <c r="C145"/>
  <c r="L146"/>
  <c r="G146"/>
  <c r="F146"/>
  <c r="E146"/>
  <c r="J425"/>
  <c r="D425"/>
  <c r="C425"/>
  <c r="I425"/>
  <c r="L426"/>
  <c r="G426"/>
  <c r="F426"/>
  <c r="E426"/>
  <c r="I817"/>
  <c r="D817"/>
  <c r="C817"/>
  <c r="J817"/>
  <c r="W479" i="21"/>
  <c r="V479"/>
  <c r="V481" s="1"/>
  <c r="U481" s="1"/>
  <c r="W479" i="13"/>
  <c r="V479"/>
  <c r="V481" s="1"/>
  <c r="U481" s="1"/>
  <c r="H803" i="42"/>
  <c r="H802"/>
  <c r="L801"/>
  <c r="G801"/>
  <c r="F801"/>
  <c r="E801"/>
  <c r="H919"/>
  <c r="H918"/>
  <c r="L917"/>
  <c r="G917"/>
  <c r="F917"/>
  <c r="E917"/>
  <c r="H977"/>
  <c r="H976"/>
  <c r="L975"/>
  <c r="G975"/>
  <c r="F975"/>
  <c r="E975"/>
  <c r="I990"/>
  <c r="J990"/>
  <c r="D990"/>
  <c r="C990"/>
  <c r="I1010"/>
  <c r="J1010"/>
  <c r="D1010"/>
  <c r="C1010"/>
  <c r="I720"/>
  <c r="J720"/>
  <c r="D720"/>
  <c r="C720"/>
  <c r="W389" i="21"/>
  <c r="V389"/>
  <c r="V391" s="1"/>
  <c r="U391" s="1"/>
  <c r="W389" i="13"/>
  <c r="I45" i="42"/>
  <c r="J45"/>
  <c r="D45"/>
  <c r="C45"/>
  <c r="L46"/>
  <c r="G46"/>
  <c r="F46"/>
  <c r="E46"/>
  <c r="I125"/>
  <c r="J125"/>
  <c r="D125"/>
  <c r="C125"/>
  <c r="L126"/>
  <c r="G126"/>
  <c r="F126"/>
  <c r="E126"/>
  <c r="I246"/>
  <c r="J246"/>
  <c r="D246"/>
  <c r="C246"/>
  <c r="I857"/>
  <c r="D857"/>
  <c r="C857"/>
  <c r="J857"/>
  <c r="I166"/>
  <c r="J166"/>
  <c r="D166"/>
  <c r="C166"/>
  <c r="I65"/>
  <c r="J65"/>
  <c r="D65"/>
  <c r="C65"/>
  <c r="L66"/>
  <c r="G66"/>
  <c r="F66"/>
  <c r="E66"/>
  <c r="L224"/>
  <c r="G224"/>
  <c r="F224"/>
  <c r="E224"/>
  <c r="H937"/>
  <c r="H936"/>
  <c r="L935"/>
  <c r="G935"/>
  <c r="F935"/>
  <c r="E935"/>
  <c r="I265"/>
  <c r="J265"/>
  <c r="D265"/>
  <c r="C265"/>
  <c r="L266"/>
  <c r="G266"/>
  <c r="F266"/>
  <c r="E266"/>
  <c r="L874"/>
  <c r="G874"/>
  <c r="F874"/>
  <c r="E874"/>
  <c r="I741"/>
  <c r="D741"/>
  <c r="C741"/>
  <c r="J741"/>
  <c r="I779"/>
  <c r="D779"/>
  <c r="C779"/>
  <c r="J779"/>
  <c r="I778"/>
  <c r="J778"/>
  <c r="D778"/>
  <c r="C778"/>
  <c r="W354" i="13"/>
  <c r="V354"/>
  <c r="V356" s="1"/>
  <c r="U356" s="1"/>
  <c r="V85" s="1"/>
  <c r="W354" i="21"/>
  <c r="V354" s="1"/>
  <c r="V356" s="1"/>
  <c r="U356" s="1"/>
  <c r="V85" s="1"/>
  <c r="L897" i="42"/>
  <c r="H899"/>
  <c r="H898"/>
  <c r="G897"/>
  <c r="F897"/>
  <c r="E897"/>
  <c r="J144"/>
  <c r="D144"/>
  <c r="C144"/>
  <c r="I144"/>
  <c r="J972"/>
  <c r="D972"/>
  <c r="C972"/>
  <c r="I972"/>
  <c r="I837"/>
  <c r="D837"/>
  <c r="C837"/>
  <c r="J837"/>
  <c r="W508" i="13"/>
  <c r="W508" i="21"/>
  <c r="V508" s="1"/>
  <c r="V510" s="1"/>
  <c r="U510" s="1"/>
  <c r="H995" i="42"/>
  <c r="H994"/>
  <c r="L993"/>
  <c r="G993"/>
  <c r="F993"/>
  <c r="E993"/>
  <c r="H1015"/>
  <c r="H1014"/>
  <c r="L1013"/>
  <c r="G1013"/>
  <c r="F1013"/>
  <c r="E1013"/>
  <c r="H725"/>
  <c r="H724"/>
  <c r="L723"/>
  <c r="G723"/>
  <c r="F723"/>
  <c r="E723"/>
  <c r="AM551" i="37"/>
  <c r="AM98" s="1"/>
  <c r="X16" s="1"/>
  <c r="X17" s="1"/>
  <c r="X18" s="1"/>
  <c r="X20" s="1"/>
  <c r="AM522"/>
  <c r="AO98"/>
  <c r="AB16" s="1"/>
  <c r="AB17" s="1"/>
  <c r="AB18" s="1"/>
  <c r="AB20" s="1"/>
  <c r="AB23" s="1"/>
  <c r="U533" i="50"/>
  <c r="AM419" i="37"/>
  <c r="AM90" s="1"/>
  <c r="U414" i="19"/>
  <c r="U85" s="1"/>
  <c r="U533"/>
  <c r="U92" s="1"/>
  <c r="U414" i="18"/>
  <c r="U85"/>
  <c r="U427" i="50"/>
  <c r="U86" s="1"/>
  <c r="F95" i="51" s="1"/>
  <c r="AM432" i="37"/>
  <c r="AM91"/>
  <c r="U414" i="35"/>
  <c r="U85" s="1"/>
  <c r="U533" i="39"/>
  <c r="U92" s="1"/>
  <c r="AM403" i="37"/>
  <c r="AO91" s="1"/>
  <c r="AS69" i="20"/>
  <c r="K75" s="1"/>
  <c r="K88" s="1"/>
  <c r="U533" i="18"/>
  <c r="U92" s="1"/>
  <c r="U414" i="39"/>
  <c r="U85"/>
  <c r="AL395" i="38"/>
  <c r="AO93" s="1"/>
  <c r="AM544" i="37"/>
  <c r="U356" i="39"/>
  <c r="V85" s="1"/>
  <c r="U414" i="25"/>
  <c r="U85"/>
  <c r="AS75" i="20"/>
  <c r="K76"/>
  <c r="K89"/>
  <c r="U546" i="50"/>
  <c r="U533" i="27"/>
  <c r="U92" s="1"/>
  <c r="U533" i="17"/>
  <c r="U92"/>
  <c r="U356"/>
  <c r="V85"/>
  <c r="U356" i="29"/>
  <c r="V85" s="1"/>
  <c r="U420" i="18"/>
  <c r="AL401" i="38"/>
  <c r="U433" i="50"/>
  <c r="U539" i="39"/>
  <c r="U385"/>
  <c r="W85"/>
  <c r="AL520" i="38"/>
  <c r="AB34" s="1"/>
  <c r="AB48" s="1"/>
  <c r="AL514"/>
  <c r="AO100"/>
  <c r="AB33" s="1"/>
  <c r="AB47" s="1"/>
  <c r="U420" i="50"/>
  <c r="U533" i="14"/>
  <c r="U92"/>
  <c r="U414" i="27"/>
  <c r="U85"/>
  <c r="AM438" i="37"/>
  <c r="U414" i="14"/>
  <c r="U85"/>
  <c r="U533" i="25"/>
  <c r="U92" s="1"/>
  <c r="U356" i="30"/>
  <c r="V85"/>
  <c r="U356" i="28"/>
  <c r="V85" s="1"/>
  <c r="U420" i="39"/>
  <c r="U420" i="19"/>
  <c r="U362" i="16"/>
  <c r="U539" i="50"/>
  <c r="U539" i="18"/>
  <c r="U414" i="17"/>
  <c r="U85" s="1"/>
  <c r="U533" i="16"/>
  <c r="U92"/>
  <c r="U420" i="35"/>
  <c r="U539" i="19"/>
  <c r="AM538" i="37"/>
  <c r="AM97"/>
  <c r="W16" s="1"/>
  <c r="W17" s="1"/>
  <c r="W18" s="1"/>
  <c r="W20" s="1"/>
  <c r="W21" s="1"/>
  <c r="W24" s="1"/>
  <c r="AM409"/>
  <c r="U356" i="16"/>
  <c r="V85" s="1"/>
  <c r="U356" i="23"/>
  <c r="V85"/>
  <c r="AM425" i="37"/>
  <c r="U533" i="23"/>
  <c r="U92"/>
  <c r="AM396" i="37"/>
  <c r="AM390"/>
  <c r="AO90" s="1"/>
  <c r="U414" i="23"/>
  <c r="U85" s="1"/>
  <c r="AL527" i="38"/>
  <c r="AO101"/>
  <c r="AC33"/>
  <c r="AC47" s="1"/>
  <c r="U427" i="18"/>
  <c r="U86" s="1"/>
  <c r="U385" i="14"/>
  <c r="W85" s="1"/>
  <c r="U552" i="50"/>
  <c r="U539" i="23"/>
  <c r="U340" i="29"/>
  <c r="X86"/>
  <c r="U356" i="33"/>
  <c r="V85"/>
  <c r="U539" i="27"/>
  <c r="U459" i="29"/>
  <c r="X93" s="1"/>
  <c r="U539" i="16"/>
  <c r="U391" i="39"/>
  <c r="U362" i="29"/>
  <c r="U385" i="18"/>
  <c r="W85"/>
  <c r="U385" i="19"/>
  <c r="W85"/>
  <c r="U420" i="27"/>
  <c r="U356" i="35"/>
  <c r="V85" s="1"/>
  <c r="U546" i="39"/>
  <c r="U93"/>
  <c r="U362"/>
  <c r="U546" i="19"/>
  <c r="U93" s="1"/>
  <c r="U385" i="22"/>
  <c r="W85" s="1"/>
  <c r="U539" i="14"/>
  <c r="U420" i="25"/>
  <c r="U356" i="18"/>
  <c r="V85" s="1"/>
  <c r="U385" i="50"/>
  <c r="W85" s="1"/>
  <c r="H94" i="51" s="1"/>
  <c r="AL408" i="38"/>
  <c r="AO94"/>
  <c r="U427" i="39"/>
  <c r="U86"/>
  <c r="U539" i="25"/>
  <c r="U362" i="28"/>
  <c r="U539" i="17"/>
  <c r="U340" i="39"/>
  <c r="X86"/>
  <c r="U427" i="19"/>
  <c r="U86"/>
  <c r="U420" i="14"/>
  <c r="U420" i="17"/>
  <c r="AM361" i="37"/>
  <c r="AN90" s="1"/>
  <c r="U362" i="30"/>
  <c r="U420" i="23"/>
  <c r="U546" i="18"/>
  <c r="U93"/>
  <c r="AS82" i="20"/>
  <c r="K80"/>
  <c r="U427" i="35"/>
  <c r="U86"/>
  <c r="U369" i="16"/>
  <c r="V86" s="1"/>
  <c r="U356" i="15"/>
  <c r="V85" s="1"/>
  <c r="AL440" i="38"/>
  <c r="AL101" s="1"/>
  <c r="W33" s="1"/>
  <c r="W47" s="1"/>
  <c r="U517" i="39"/>
  <c r="W93" s="1"/>
  <c r="U362" i="18"/>
  <c r="U494" i="23"/>
  <c r="U369" i="29"/>
  <c r="V86" s="1"/>
  <c r="U546" i="23"/>
  <c r="U93"/>
  <c r="U391" i="22"/>
  <c r="V86" i="17"/>
  <c r="AM367" i="37"/>
  <c r="AL414" i="38"/>
  <c r="U552" i="19"/>
  <c r="U369" i="39"/>
  <c r="V86" s="1"/>
  <c r="U427" i="14"/>
  <c r="U86" s="1"/>
  <c r="U546" i="25"/>
  <c r="U93"/>
  <c r="U362" i="15"/>
  <c r="U391" i="50"/>
  <c r="U375" i="16"/>
  <c r="U433" i="35"/>
  <c r="AS88" i="20"/>
  <c r="K81" s="1"/>
  <c r="U552" i="18"/>
  <c r="AL533" i="38"/>
  <c r="AC34" s="1"/>
  <c r="AC48" s="1"/>
  <c r="U552" i="39"/>
  <c r="U465" i="29"/>
  <c r="U369" i="28"/>
  <c r="V86"/>
  <c r="U433" i="18"/>
  <c r="U494" i="16"/>
  <c r="U546"/>
  <c r="U93"/>
  <c r="U427" i="25"/>
  <c r="U86"/>
  <c r="U433" i="39"/>
  <c r="AL321" i="38"/>
  <c r="AL94"/>
  <c r="U327" i="15"/>
  <c r="X85" s="1"/>
  <c r="U369" i="30"/>
  <c r="V86" s="1"/>
  <c r="U433" i="19"/>
  <c r="U546" i="27"/>
  <c r="U93"/>
  <c r="U546" i="14"/>
  <c r="U93"/>
  <c r="U427" i="23"/>
  <c r="U86" s="1"/>
  <c r="U427" i="17"/>
  <c r="U86" s="1"/>
  <c r="U391" i="18"/>
  <c r="U362" i="21"/>
  <c r="U362" i="33"/>
  <c r="U362" i="35"/>
  <c r="U427" i="27"/>
  <c r="U86" s="1"/>
  <c r="U398" i="39"/>
  <c r="W86" s="1"/>
  <c r="U546" i="17"/>
  <c r="U93"/>
  <c r="U362" i="13"/>
  <c r="U391" i="14"/>
  <c r="U369" i="18"/>
  <c r="V86"/>
  <c r="U333" i="15"/>
  <c r="U517" i="50"/>
  <c r="U433" i="17"/>
  <c r="AM374" i="37"/>
  <c r="AN91"/>
  <c r="U369" i="15"/>
  <c r="V86" s="1"/>
  <c r="U517" i="22"/>
  <c r="W93" s="1"/>
  <c r="U517" i="19"/>
  <c r="W93" s="1"/>
  <c r="U552" i="25"/>
  <c r="U517" i="14"/>
  <c r="W93" s="1"/>
  <c r="U517" i="21"/>
  <c r="W93"/>
  <c r="U398" i="22"/>
  <c r="W86" s="1"/>
  <c r="U398" i="50"/>
  <c r="W86" s="1"/>
  <c r="H95" i="51" s="1"/>
  <c r="U517" i="18"/>
  <c r="W93"/>
  <c r="U369" i="21"/>
  <c r="V86" s="1"/>
  <c r="U375" i="39"/>
  <c r="U398" i="18"/>
  <c r="W86"/>
  <c r="U375" i="29"/>
  <c r="U523" i="39"/>
  <c r="U494" i="29"/>
  <c r="U398" i="14"/>
  <c r="W86" s="1"/>
  <c r="U552" i="27"/>
  <c r="U369" i="13"/>
  <c r="V86"/>
  <c r="U552" i="17"/>
  <c r="U433" i="14"/>
  <c r="U375" i="30"/>
  <c r="U369" i="33"/>
  <c r="V86"/>
  <c r="U552" i="14"/>
  <c r="U369" i="35"/>
  <c r="V86" s="1"/>
  <c r="U398" i="19"/>
  <c r="W86" s="1"/>
  <c r="U494" i="39"/>
  <c r="U433" i="23"/>
  <c r="U433" i="27"/>
  <c r="U488" i="15"/>
  <c r="V93"/>
  <c r="U494" i="30"/>
  <c r="AL446" i="38"/>
  <c r="W34" s="1"/>
  <c r="W48" s="1"/>
  <c r="U552" i="16"/>
  <c r="U398" i="21"/>
  <c r="W86" s="1"/>
  <c r="AM528" i="37"/>
  <c r="U433" i="25"/>
  <c r="U404" i="39"/>
  <c r="J124" i="42"/>
  <c r="D124"/>
  <c r="C124"/>
  <c r="I124"/>
  <c r="H763"/>
  <c r="H762"/>
  <c r="L761"/>
  <c r="G761"/>
  <c r="F761"/>
  <c r="E761"/>
  <c r="I932"/>
  <c r="J932"/>
  <c r="D932"/>
  <c r="C932"/>
  <c r="J326"/>
  <c r="D326"/>
  <c r="C326"/>
  <c r="I326"/>
  <c r="U459" i="35"/>
  <c r="X93"/>
  <c r="U459" i="14"/>
  <c r="X93"/>
  <c r="H879" i="42"/>
  <c r="H878"/>
  <c r="L877"/>
  <c r="G877"/>
  <c r="F877"/>
  <c r="E877"/>
  <c r="AM345" i="37"/>
  <c r="AP91"/>
  <c r="J740" i="42"/>
  <c r="D740"/>
  <c r="C740"/>
  <c r="I740"/>
  <c r="J346"/>
  <c r="D346"/>
  <c r="C346"/>
  <c r="I346"/>
  <c r="I952"/>
  <c r="J952"/>
  <c r="D952"/>
  <c r="C952"/>
  <c r="U375" i="35"/>
  <c r="U340" i="24"/>
  <c r="X86" s="1"/>
  <c r="U523" i="50"/>
  <c r="U340" i="14"/>
  <c r="X86" s="1"/>
  <c r="U404" i="18"/>
  <c r="I856" i="42"/>
  <c r="J856"/>
  <c r="D856"/>
  <c r="C856"/>
  <c r="U523" i="19"/>
  <c r="U523" i="14"/>
  <c r="U404" i="22"/>
  <c r="U494" i="18"/>
  <c r="J84" i="42"/>
  <c r="D84"/>
  <c r="C84"/>
  <c r="I84"/>
  <c r="J64"/>
  <c r="D64"/>
  <c r="C64"/>
  <c r="I64"/>
  <c r="U340" i="18"/>
  <c r="X86" s="1"/>
  <c r="U494" i="21"/>
  <c r="U494" i="35"/>
  <c r="U375" i="15"/>
  <c r="J685" i="42"/>
  <c r="D685"/>
  <c r="C685"/>
  <c r="I685"/>
  <c r="W338" i="13"/>
  <c r="V338" s="1"/>
  <c r="V340" s="1"/>
  <c r="U340" s="1"/>
  <c r="X86" s="1"/>
  <c r="W338" i="21"/>
  <c r="V338"/>
  <c r="V340" s="1"/>
  <c r="U340" s="1"/>
  <c r="X86" s="1"/>
  <c r="I504" i="42"/>
  <c r="J504"/>
  <c r="D504"/>
  <c r="C504"/>
  <c r="I953"/>
  <c r="D953"/>
  <c r="C953"/>
  <c r="J953"/>
  <c r="L954"/>
  <c r="G954"/>
  <c r="F954"/>
  <c r="E954"/>
  <c r="U346" i="24"/>
  <c r="U346" i="33"/>
  <c r="I424" i="42"/>
  <c r="J424"/>
  <c r="D424"/>
  <c r="C424"/>
  <c r="G818"/>
  <c r="F818"/>
  <c r="E818"/>
  <c r="L818"/>
  <c r="H821"/>
  <c r="H820"/>
  <c r="L819"/>
  <c r="G819"/>
  <c r="F819"/>
  <c r="E819"/>
  <c r="J799"/>
  <c r="D799"/>
  <c r="C799"/>
  <c r="I799"/>
  <c r="L800"/>
  <c r="G800"/>
  <c r="F800"/>
  <c r="E800"/>
  <c r="J798"/>
  <c r="D798"/>
  <c r="C798"/>
  <c r="I798"/>
  <c r="W383" i="21"/>
  <c r="V383"/>
  <c r="V385" s="1"/>
  <c r="U385" s="1"/>
  <c r="W85" s="1"/>
  <c r="W383" i="13"/>
  <c r="I915" i="42"/>
  <c r="D915"/>
  <c r="C915"/>
  <c r="J915"/>
  <c r="L916"/>
  <c r="G916"/>
  <c r="F916"/>
  <c r="E916"/>
  <c r="J973"/>
  <c r="D973"/>
  <c r="C973"/>
  <c r="I973"/>
  <c r="L974"/>
  <c r="G974"/>
  <c r="F974"/>
  <c r="E974"/>
  <c r="J836"/>
  <c r="D836"/>
  <c r="C836"/>
  <c r="I836"/>
  <c r="J988"/>
  <c r="D988"/>
  <c r="C988"/>
  <c r="I988"/>
  <c r="I85"/>
  <c r="J85"/>
  <c r="D85"/>
  <c r="C85"/>
  <c r="L86"/>
  <c r="G86"/>
  <c r="F86"/>
  <c r="E86"/>
  <c r="I185"/>
  <c r="J185"/>
  <c r="D185"/>
  <c r="C185"/>
  <c r="L186"/>
  <c r="G186"/>
  <c r="F186"/>
  <c r="E186"/>
  <c r="H861"/>
  <c r="H860"/>
  <c r="L859"/>
  <c r="G859"/>
  <c r="F859"/>
  <c r="E859"/>
  <c r="I758"/>
  <c r="J758"/>
  <c r="D758"/>
  <c r="C758"/>
  <c r="D25"/>
  <c r="C25"/>
  <c r="J25"/>
  <c r="I25"/>
  <c r="L26"/>
  <c r="G26"/>
  <c r="F26"/>
  <c r="E26"/>
  <c r="I105"/>
  <c r="J105"/>
  <c r="D105"/>
  <c r="C105"/>
  <c r="L106"/>
  <c r="G106"/>
  <c r="F106"/>
  <c r="E106"/>
  <c r="I933"/>
  <c r="D933"/>
  <c r="C933"/>
  <c r="J933"/>
  <c r="L934"/>
  <c r="G934"/>
  <c r="F934"/>
  <c r="E934"/>
  <c r="J366"/>
  <c r="D366"/>
  <c r="C366"/>
  <c r="I366"/>
  <c r="AM351" i="37"/>
  <c r="H745" i="42"/>
  <c r="H744"/>
  <c r="L743"/>
  <c r="G743"/>
  <c r="F743"/>
  <c r="E743"/>
  <c r="H783"/>
  <c r="H782"/>
  <c r="L781"/>
  <c r="G781"/>
  <c r="F781"/>
  <c r="E781"/>
  <c r="J895"/>
  <c r="D895"/>
  <c r="C895"/>
  <c r="I895"/>
  <c r="L896"/>
  <c r="G896"/>
  <c r="F896"/>
  <c r="E896"/>
  <c r="J586"/>
  <c r="D586"/>
  <c r="C586"/>
  <c r="I586"/>
  <c r="I505"/>
  <c r="D505"/>
  <c r="C505"/>
  <c r="J505"/>
  <c r="L506"/>
  <c r="G506"/>
  <c r="F506"/>
  <c r="E506"/>
  <c r="J1312" i="52"/>
  <c r="AD21" i="37"/>
  <c r="AD23"/>
  <c r="J816" i="42"/>
  <c r="D816"/>
  <c r="C816"/>
  <c r="I816"/>
  <c r="J914"/>
  <c r="D914"/>
  <c r="C914"/>
  <c r="I914"/>
  <c r="U346" i="14"/>
  <c r="H841" i="42"/>
  <c r="L839"/>
  <c r="G839"/>
  <c r="F839"/>
  <c r="E839"/>
  <c r="J991"/>
  <c r="D991"/>
  <c r="C991"/>
  <c r="I991"/>
  <c r="L992"/>
  <c r="G992"/>
  <c r="F992"/>
  <c r="E992"/>
  <c r="I1011"/>
  <c r="J1011"/>
  <c r="D1011"/>
  <c r="C1011"/>
  <c r="L1012"/>
  <c r="G1012"/>
  <c r="F1012"/>
  <c r="E1012"/>
  <c r="AL327" i="38"/>
  <c r="J721" i="42"/>
  <c r="D721"/>
  <c r="C721"/>
  <c r="I721"/>
  <c r="L722"/>
  <c r="G722"/>
  <c r="F722"/>
  <c r="E722"/>
  <c r="I606"/>
  <c r="D606"/>
  <c r="C606"/>
  <c r="J606"/>
  <c r="J184"/>
  <c r="D184"/>
  <c r="C184"/>
  <c r="I184"/>
  <c r="J502"/>
  <c r="D502"/>
  <c r="C502"/>
  <c r="I502"/>
  <c r="J759"/>
  <c r="D759"/>
  <c r="C759"/>
  <c r="I759"/>
  <c r="H760"/>
  <c r="I225"/>
  <c r="J225"/>
  <c r="D225"/>
  <c r="C225"/>
  <c r="L226"/>
  <c r="G226"/>
  <c r="F226"/>
  <c r="E226"/>
  <c r="J264"/>
  <c r="D264"/>
  <c r="C264"/>
  <c r="I264"/>
  <c r="I875"/>
  <c r="D875"/>
  <c r="C875"/>
  <c r="J875"/>
  <c r="H876"/>
  <c r="U404" i="14"/>
  <c r="U375" i="33"/>
  <c r="U459" i="50"/>
  <c r="E1276" i="52" s="1"/>
  <c r="U340" i="50"/>
  <c r="X86" s="1"/>
  <c r="I95" i="51" s="1"/>
  <c r="J44" i="42"/>
  <c r="D44"/>
  <c r="C44"/>
  <c r="I44"/>
  <c r="AM380" i="37"/>
  <c r="J24" i="42"/>
  <c r="D24"/>
  <c r="C24"/>
  <c r="I24"/>
  <c r="J104"/>
  <c r="D104"/>
  <c r="C104"/>
  <c r="I104"/>
  <c r="AM499" i="37"/>
  <c r="U523" i="21"/>
  <c r="U375" i="18"/>
  <c r="U404" i="19"/>
  <c r="U494" i="15"/>
  <c r="U340" i="33"/>
  <c r="X86"/>
  <c r="U375" i="21"/>
  <c r="U340" i="22"/>
  <c r="X86"/>
  <c r="U523"/>
  <c r="U404" i="50"/>
  <c r="L820" i="42"/>
  <c r="G820"/>
  <c r="F820"/>
  <c r="E820"/>
  <c r="G724"/>
  <c r="F724"/>
  <c r="E724"/>
  <c r="L724"/>
  <c r="L860"/>
  <c r="G860"/>
  <c r="F860"/>
  <c r="E860"/>
  <c r="L898"/>
  <c r="G898"/>
  <c r="F898"/>
  <c r="E898"/>
  <c r="L956"/>
  <c r="G956"/>
  <c r="F956"/>
  <c r="E956"/>
  <c r="X93" i="50"/>
  <c r="I102" i="51" s="1"/>
  <c r="I226" i="42"/>
  <c r="J226"/>
  <c r="D226"/>
  <c r="C226"/>
  <c r="J722"/>
  <c r="D722"/>
  <c r="C722"/>
  <c r="I722"/>
  <c r="J992"/>
  <c r="D992"/>
  <c r="C992"/>
  <c r="I992"/>
  <c r="H843"/>
  <c r="H842"/>
  <c r="L841"/>
  <c r="G841"/>
  <c r="F841"/>
  <c r="E841"/>
  <c r="J781"/>
  <c r="D781"/>
  <c r="C781"/>
  <c r="I781"/>
  <c r="G782"/>
  <c r="F782"/>
  <c r="E782"/>
  <c r="L782"/>
  <c r="J743"/>
  <c r="D743"/>
  <c r="C743"/>
  <c r="I743"/>
  <c r="L744"/>
  <c r="G744"/>
  <c r="F744"/>
  <c r="E744"/>
  <c r="I106"/>
  <c r="J106"/>
  <c r="D106"/>
  <c r="C106"/>
  <c r="J859"/>
  <c r="D859"/>
  <c r="C859"/>
  <c r="I859"/>
  <c r="I186"/>
  <c r="J186"/>
  <c r="D186"/>
  <c r="C186"/>
  <c r="I974"/>
  <c r="J974"/>
  <c r="D974"/>
  <c r="C974"/>
  <c r="I819"/>
  <c r="D819"/>
  <c r="C819"/>
  <c r="J819"/>
  <c r="H881"/>
  <c r="H880"/>
  <c r="L879"/>
  <c r="G879"/>
  <c r="F879"/>
  <c r="E879"/>
  <c r="H765"/>
  <c r="H764"/>
  <c r="L763"/>
  <c r="G763"/>
  <c r="F763"/>
  <c r="E763"/>
  <c r="U488" i="21"/>
  <c r="V93"/>
  <c r="AM493" i="37"/>
  <c r="AN98"/>
  <c r="Z16" s="1"/>
  <c r="Z17" s="1"/>
  <c r="Z18" s="1"/>
  <c r="Z20" s="1"/>
  <c r="U488" i="33"/>
  <c r="V93"/>
  <c r="E1275" i="52"/>
  <c r="W93" i="50"/>
  <c r="H102" i="51" s="1"/>
  <c r="U488" i="39"/>
  <c r="V93" s="1"/>
  <c r="U488" i="29"/>
  <c r="V93"/>
  <c r="U488" i="16"/>
  <c r="V93" s="1"/>
  <c r="E1273" i="52"/>
  <c r="U93" i="50"/>
  <c r="F102" i="51"/>
  <c r="I723" i="42"/>
  <c r="D723"/>
  <c r="C723"/>
  <c r="J723"/>
  <c r="H1017"/>
  <c r="H1016"/>
  <c r="L1015"/>
  <c r="G1015"/>
  <c r="F1015"/>
  <c r="E1015"/>
  <c r="H997"/>
  <c r="H996"/>
  <c r="L995"/>
  <c r="G995"/>
  <c r="F995"/>
  <c r="E995"/>
  <c r="J874"/>
  <c r="D874"/>
  <c r="C874"/>
  <c r="I874"/>
  <c r="I266"/>
  <c r="J266"/>
  <c r="D266"/>
  <c r="C266"/>
  <c r="H939"/>
  <c r="H938"/>
  <c r="L937"/>
  <c r="G937"/>
  <c r="F937"/>
  <c r="E937"/>
  <c r="I126"/>
  <c r="J126"/>
  <c r="D126"/>
  <c r="C126"/>
  <c r="H979"/>
  <c r="H978"/>
  <c r="L977"/>
  <c r="G977"/>
  <c r="F977"/>
  <c r="E977"/>
  <c r="H921"/>
  <c r="H920"/>
  <c r="L919"/>
  <c r="G919"/>
  <c r="F919"/>
  <c r="E919"/>
  <c r="H805"/>
  <c r="H804"/>
  <c r="L803"/>
  <c r="G803"/>
  <c r="F803"/>
  <c r="E803"/>
  <c r="J426"/>
  <c r="D426"/>
  <c r="C426"/>
  <c r="I426"/>
  <c r="J955"/>
  <c r="D955"/>
  <c r="C955"/>
  <c r="I955"/>
  <c r="J686"/>
  <c r="D686"/>
  <c r="C686"/>
  <c r="I686"/>
  <c r="U346" i="22"/>
  <c r="U346" i="35"/>
  <c r="L876" i="42"/>
  <c r="G876"/>
  <c r="F876"/>
  <c r="E876"/>
  <c r="L760"/>
  <c r="G760"/>
  <c r="F760"/>
  <c r="E760"/>
  <c r="J1012"/>
  <c r="D1012"/>
  <c r="C1012"/>
  <c r="I1012"/>
  <c r="J839"/>
  <c r="D839"/>
  <c r="C839"/>
  <c r="I839"/>
  <c r="H840"/>
  <c r="Y298" i="50"/>
  <c r="V298" i="28"/>
  <c r="V298" i="29"/>
  <c r="AN303" i="36"/>
  <c r="V298" i="27"/>
  <c r="V298" i="25"/>
  <c r="V298" i="23"/>
  <c r="V298" i="24"/>
  <c r="V298" i="22"/>
  <c r="V298" i="33"/>
  <c r="V298" i="34"/>
  <c r="V298" i="18"/>
  <c r="V298" i="16"/>
  <c r="V298" i="19"/>
  <c r="V298" i="17"/>
  <c r="V298" i="15"/>
  <c r="AD24" i="37"/>
  <c r="V298" i="39"/>
  <c r="V298" i="13"/>
  <c r="V298" i="30"/>
  <c r="AN303" i="37"/>
  <c r="V298" i="21"/>
  <c r="V298" i="14"/>
  <c r="V298" i="35"/>
  <c r="J506" i="42"/>
  <c r="D506"/>
  <c r="C506"/>
  <c r="I506"/>
  <c r="I896"/>
  <c r="J896"/>
  <c r="D896"/>
  <c r="C896"/>
  <c r="H785"/>
  <c r="L783"/>
  <c r="H784"/>
  <c r="G783"/>
  <c r="F783"/>
  <c r="E783"/>
  <c r="H746"/>
  <c r="L745"/>
  <c r="G745"/>
  <c r="F745"/>
  <c r="E745"/>
  <c r="J934"/>
  <c r="D934"/>
  <c r="C934"/>
  <c r="I934"/>
  <c r="I26"/>
  <c r="J26"/>
  <c r="D26"/>
  <c r="C26"/>
  <c r="H863"/>
  <c r="H862"/>
  <c r="L861"/>
  <c r="G861"/>
  <c r="F861"/>
  <c r="E861"/>
  <c r="I86"/>
  <c r="J86"/>
  <c r="D86"/>
  <c r="C86"/>
  <c r="I916"/>
  <c r="J916"/>
  <c r="D916"/>
  <c r="C916"/>
  <c r="I800"/>
  <c r="J800"/>
  <c r="D800"/>
  <c r="C800"/>
  <c r="H823"/>
  <c r="L821"/>
  <c r="H822"/>
  <c r="G821"/>
  <c r="F821"/>
  <c r="E821"/>
  <c r="I818"/>
  <c r="J818"/>
  <c r="D818"/>
  <c r="C818"/>
  <c r="J954"/>
  <c r="D954"/>
  <c r="C954"/>
  <c r="I954"/>
  <c r="J877"/>
  <c r="D877"/>
  <c r="C877"/>
  <c r="I877"/>
  <c r="L878"/>
  <c r="G878"/>
  <c r="F878"/>
  <c r="E878"/>
  <c r="I761"/>
  <c r="D761"/>
  <c r="C761"/>
  <c r="J761"/>
  <c r="L762"/>
  <c r="G762"/>
  <c r="F762"/>
  <c r="E762"/>
  <c r="U488" i="35"/>
  <c r="V93"/>
  <c r="U488" i="13"/>
  <c r="V93" s="1"/>
  <c r="U488" i="30"/>
  <c r="V93" s="1"/>
  <c r="Q93" i="20"/>
  <c r="K93"/>
  <c r="K98" s="1"/>
  <c r="U488" i="23"/>
  <c r="V93" s="1"/>
  <c r="U92" i="50"/>
  <c r="F101" i="51" s="1"/>
  <c r="E1288" i="52"/>
  <c r="E366" i="51" s="1"/>
  <c r="X21" i="37"/>
  <c r="X23"/>
  <c r="H726" i="42"/>
  <c r="L725"/>
  <c r="G725"/>
  <c r="F725"/>
  <c r="E725"/>
  <c r="J1013"/>
  <c r="D1013"/>
  <c r="C1013"/>
  <c r="I1013"/>
  <c r="G1014"/>
  <c r="F1014"/>
  <c r="E1014"/>
  <c r="L1014"/>
  <c r="I993"/>
  <c r="D993"/>
  <c r="C993"/>
  <c r="J993"/>
  <c r="G994"/>
  <c r="F994"/>
  <c r="E994"/>
  <c r="L994"/>
  <c r="I897"/>
  <c r="D897"/>
  <c r="C897"/>
  <c r="J897"/>
  <c r="H901"/>
  <c r="H900"/>
  <c r="L899"/>
  <c r="G899"/>
  <c r="F899"/>
  <c r="E899"/>
  <c r="J935"/>
  <c r="D935"/>
  <c r="C935"/>
  <c r="I935"/>
  <c r="G936"/>
  <c r="F936"/>
  <c r="E936"/>
  <c r="L936"/>
  <c r="J224"/>
  <c r="D224"/>
  <c r="C224"/>
  <c r="I224"/>
  <c r="I66"/>
  <c r="J66"/>
  <c r="D66"/>
  <c r="C66"/>
  <c r="I46"/>
  <c r="J46"/>
  <c r="D46"/>
  <c r="C46"/>
  <c r="I975"/>
  <c r="D975"/>
  <c r="C975"/>
  <c r="J975"/>
  <c r="L976"/>
  <c r="G976"/>
  <c r="F976"/>
  <c r="E976"/>
  <c r="J917"/>
  <c r="D917"/>
  <c r="C917"/>
  <c r="I917"/>
  <c r="L918"/>
  <c r="G918"/>
  <c r="F918"/>
  <c r="E918"/>
  <c r="I801"/>
  <c r="D801"/>
  <c r="C801"/>
  <c r="J801"/>
  <c r="L802"/>
  <c r="G802"/>
  <c r="F802"/>
  <c r="E802"/>
  <c r="I146"/>
  <c r="J146"/>
  <c r="D146"/>
  <c r="C146"/>
  <c r="G957"/>
  <c r="F957"/>
  <c r="E957"/>
  <c r="H959"/>
  <c r="H958"/>
  <c r="L957"/>
  <c r="U346" i="50"/>
  <c r="I838" i="42"/>
  <c r="J838"/>
  <c r="D838"/>
  <c r="C838"/>
  <c r="J780"/>
  <c r="D780"/>
  <c r="C780"/>
  <c r="I780"/>
  <c r="J858"/>
  <c r="D858"/>
  <c r="C858"/>
  <c r="I858"/>
  <c r="U346" i="18"/>
  <c r="I742" i="42"/>
  <c r="J742"/>
  <c r="D742"/>
  <c r="C742"/>
  <c r="L958"/>
  <c r="G958"/>
  <c r="F958"/>
  <c r="E958"/>
  <c r="L862"/>
  <c r="G862"/>
  <c r="F862"/>
  <c r="E862"/>
  <c r="L804"/>
  <c r="G804"/>
  <c r="F804"/>
  <c r="E804"/>
  <c r="L978"/>
  <c r="G978"/>
  <c r="F978"/>
  <c r="E978"/>
  <c r="L996"/>
  <c r="G996"/>
  <c r="F996"/>
  <c r="E996"/>
  <c r="L842"/>
  <c r="G842"/>
  <c r="F842"/>
  <c r="E842"/>
  <c r="L920"/>
  <c r="G920"/>
  <c r="F920"/>
  <c r="E920"/>
  <c r="L1016"/>
  <c r="G1016"/>
  <c r="F1016"/>
  <c r="E1016"/>
  <c r="J918"/>
  <c r="D918"/>
  <c r="C918"/>
  <c r="I918"/>
  <c r="I957"/>
  <c r="D957"/>
  <c r="C957"/>
  <c r="J957"/>
  <c r="J802"/>
  <c r="D802"/>
  <c r="C802"/>
  <c r="I802"/>
  <c r="J976"/>
  <c r="D976"/>
  <c r="C976"/>
  <c r="I976"/>
  <c r="H903"/>
  <c r="H902"/>
  <c r="L901"/>
  <c r="G901"/>
  <c r="F901"/>
  <c r="E901"/>
  <c r="I1014"/>
  <c r="J1014"/>
  <c r="D1014"/>
  <c r="C1014"/>
  <c r="J725"/>
  <c r="D725"/>
  <c r="C725"/>
  <c r="I725"/>
  <c r="L726"/>
  <c r="G726"/>
  <c r="F726"/>
  <c r="E726"/>
  <c r="V298" i="50"/>
  <c r="Y298" i="29"/>
  <c r="Y298" i="28"/>
  <c r="AQ303" i="36"/>
  <c r="Y298" i="27"/>
  <c r="Y298" i="24"/>
  <c r="Y298" i="22"/>
  <c r="Y298" i="33"/>
  <c r="Y298" i="34"/>
  <c r="Y298" i="25"/>
  <c r="Y298" i="23"/>
  <c r="Y298" i="19"/>
  <c r="Y298" i="17"/>
  <c r="Y298" i="15"/>
  <c r="Y298" i="18"/>
  <c r="Y298" i="16"/>
  <c r="AQ303" i="37"/>
  <c r="X24"/>
  <c r="Y298" i="21"/>
  <c r="Y298" i="13"/>
  <c r="Y298" i="30"/>
  <c r="Y298" i="39"/>
  <c r="Y298" i="14"/>
  <c r="Y298" i="35"/>
  <c r="I762" i="42"/>
  <c r="J762"/>
  <c r="D762"/>
  <c r="C762"/>
  <c r="L822"/>
  <c r="G822"/>
  <c r="F822"/>
  <c r="E822"/>
  <c r="H825"/>
  <c r="L823"/>
  <c r="G823"/>
  <c r="F823"/>
  <c r="E823"/>
  <c r="I861"/>
  <c r="D861"/>
  <c r="C861"/>
  <c r="J861"/>
  <c r="W331" i="21"/>
  <c r="V331"/>
  <c r="V333" s="1"/>
  <c r="U333" s="1"/>
  <c r="W331" i="13"/>
  <c r="V331"/>
  <c r="V333" s="1"/>
  <c r="U333" s="1"/>
  <c r="I745" i="42"/>
  <c r="D745"/>
  <c r="C745"/>
  <c r="J745"/>
  <c r="L746"/>
  <c r="G746"/>
  <c r="F746"/>
  <c r="E746"/>
  <c r="L784"/>
  <c r="G784"/>
  <c r="F784"/>
  <c r="E784"/>
  <c r="H786"/>
  <c r="L785"/>
  <c r="G785"/>
  <c r="F785"/>
  <c r="E785"/>
  <c r="L840"/>
  <c r="U446" i="15"/>
  <c r="X92"/>
  <c r="G840" i="42"/>
  <c r="F840"/>
  <c r="E840"/>
  <c r="J803"/>
  <c r="D803"/>
  <c r="C803"/>
  <c r="I803"/>
  <c r="I919"/>
  <c r="D919"/>
  <c r="C919"/>
  <c r="J919"/>
  <c r="W502" i="21"/>
  <c r="V502" s="1"/>
  <c r="V504" s="1"/>
  <c r="U504" s="1"/>
  <c r="W92" s="1"/>
  <c r="W502" i="13"/>
  <c r="J977" i="42"/>
  <c r="D977"/>
  <c r="C977"/>
  <c r="I977"/>
  <c r="W450" i="21"/>
  <c r="V450" s="1"/>
  <c r="V452" s="1"/>
  <c r="U452" s="1"/>
  <c r="W450" i="13"/>
  <c r="V450" s="1"/>
  <c r="V452" s="1"/>
  <c r="U452" s="1"/>
  <c r="H941" i="42"/>
  <c r="L939"/>
  <c r="G939"/>
  <c r="F939"/>
  <c r="E939"/>
  <c r="J995"/>
  <c r="D995"/>
  <c r="C995"/>
  <c r="I995"/>
  <c r="I1015"/>
  <c r="J1015"/>
  <c r="D1015"/>
  <c r="C1015"/>
  <c r="F1273" i="52"/>
  <c r="E354" i="51"/>
  <c r="F1275" i="52"/>
  <c r="E356" i="51"/>
  <c r="L765" i="42"/>
  <c r="H766"/>
  <c r="G765"/>
  <c r="F765"/>
  <c r="E765"/>
  <c r="H883"/>
  <c r="H882"/>
  <c r="L881"/>
  <c r="G881"/>
  <c r="F881"/>
  <c r="E881"/>
  <c r="I841"/>
  <c r="D841"/>
  <c r="C841"/>
  <c r="J841"/>
  <c r="J820"/>
  <c r="D820"/>
  <c r="C820"/>
  <c r="I820"/>
  <c r="H961"/>
  <c r="L959"/>
  <c r="G959"/>
  <c r="F959"/>
  <c r="E959"/>
  <c r="I936"/>
  <c r="J936"/>
  <c r="D936"/>
  <c r="C936"/>
  <c r="J899"/>
  <c r="D899"/>
  <c r="C899"/>
  <c r="I899"/>
  <c r="W473" i="13"/>
  <c r="V473"/>
  <c r="V475" s="1"/>
  <c r="U475" s="1"/>
  <c r="V92" s="1"/>
  <c r="W473" i="21"/>
  <c r="V473" s="1"/>
  <c r="V475" s="1"/>
  <c r="U475" s="1"/>
  <c r="V92" s="1"/>
  <c r="G900" i="42"/>
  <c r="F900"/>
  <c r="E900"/>
  <c r="L900"/>
  <c r="I994"/>
  <c r="J994"/>
  <c r="D994"/>
  <c r="C994"/>
  <c r="F1288" i="52"/>
  <c r="F366" i="51" s="1"/>
  <c r="J878" i="42"/>
  <c r="D878"/>
  <c r="C878"/>
  <c r="I878"/>
  <c r="J821"/>
  <c r="D821"/>
  <c r="C821"/>
  <c r="I821"/>
  <c r="H865"/>
  <c r="L863"/>
  <c r="G863"/>
  <c r="F863"/>
  <c r="E863"/>
  <c r="I783"/>
  <c r="D783"/>
  <c r="C783"/>
  <c r="J783"/>
  <c r="U327" i="17"/>
  <c r="X85" s="1"/>
  <c r="U327" i="29"/>
  <c r="X85" s="1"/>
  <c r="U504" i="18"/>
  <c r="W92" s="1"/>
  <c r="U327" i="35"/>
  <c r="X85" s="1"/>
  <c r="U327" i="14"/>
  <c r="X85" s="1"/>
  <c r="U327" i="22"/>
  <c r="X85" s="1"/>
  <c r="U504" i="19"/>
  <c r="W92" s="1"/>
  <c r="U504" i="22"/>
  <c r="W92" s="1"/>
  <c r="U327" i="50"/>
  <c r="X85" s="1"/>
  <c r="I94" i="51" s="1"/>
  <c r="AM332" i="37"/>
  <c r="AP90"/>
  <c r="AM509"/>
  <c r="AO97"/>
  <c r="AA16" s="1"/>
  <c r="AA17" s="1"/>
  <c r="AA18" s="1"/>
  <c r="AA20" s="1"/>
  <c r="U327" i="39"/>
  <c r="X85"/>
  <c r="AL308" i="38"/>
  <c r="AL93"/>
  <c r="U504" i="14"/>
  <c r="W92"/>
  <c r="U504" i="50"/>
  <c r="U327" i="18"/>
  <c r="X85" s="1"/>
  <c r="U504" i="39"/>
  <c r="W92" s="1"/>
  <c r="U327" i="33"/>
  <c r="X85" s="1"/>
  <c r="U327" i="24"/>
  <c r="X85" s="1"/>
  <c r="U475" i="15"/>
  <c r="V92" s="1"/>
  <c r="J760" i="42"/>
  <c r="D760"/>
  <c r="C760"/>
  <c r="I760"/>
  <c r="I876"/>
  <c r="J876"/>
  <c r="D876"/>
  <c r="C876"/>
  <c r="H806"/>
  <c r="L805"/>
  <c r="G805"/>
  <c r="F805"/>
  <c r="E805"/>
  <c r="H923"/>
  <c r="H922"/>
  <c r="L921"/>
  <c r="G921"/>
  <c r="F921"/>
  <c r="E921"/>
  <c r="H981"/>
  <c r="H980"/>
  <c r="L979"/>
  <c r="G979"/>
  <c r="F979"/>
  <c r="E979"/>
  <c r="I937"/>
  <c r="D937"/>
  <c r="C937"/>
  <c r="J937"/>
  <c r="L938"/>
  <c r="G938"/>
  <c r="F938"/>
  <c r="E938"/>
  <c r="H999"/>
  <c r="L997"/>
  <c r="G997"/>
  <c r="F997"/>
  <c r="E997"/>
  <c r="H1019"/>
  <c r="L1017"/>
  <c r="G1017"/>
  <c r="F1017"/>
  <c r="E1017"/>
  <c r="J763"/>
  <c r="D763"/>
  <c r="C763"/>
  <c r="I763"/>
  <c r="L764"/>
  <c r="G764"/>
  <c r="F764"/>
  <c r="E764"/>
  <c r="I879"/>
  <c r="D879"/>
  <c r="C879"/>
  <c r="J879"/>
  <c r="L880"/>
  <c r="G880"/>
  <c r="F880"/>
  <c r="E880"/>
  <c r="J744"/>
  <c r="D744"/>
  <c r="C744"/>
  <c r="I744"/>
  <c r="I782"/>
  <c r="J782"/>
  <c r="D782"/>
  <c r="C782"/>
  <c r="H845"/>
  <c r="L843"/>
  <c r="G843"/>
  <c r="F843"/>
  <c r="E843"/>
  <c r="I956"/>
  <c r="J956"/>
  <c r="D956"/>
  <c r="C956"/>
  <c r="J898"/>
  <c r="D898"/>
  <c r="C898"/>
  <c r="I898"/>
  <c r="I860"/>
  <c r="J860"/>
  <c r="D860"/>
  <c r="C860"/>
  <c r="I724"/>
  <c r="J724"/>
  <c r="D724"/>
  <c r="C724"/>
  <c r="H1021"/>
  <c r="H1020"/>
  <c r="L1019"/>
  <c r="G1019"/>
  <c r="F1019"/>
  <c r="E1019"/>
  <c r="H1001"/>
  <c r="H1000"/>
  <c r="L999"/>
  <c r="G999"/>
  <c r="F999"/>
  <c r="E999"/>
  <c r="I979"/>
  <c r="D979"/>
  <c r="C979"/>
  <c r="J979"/>
  <c r="L980"/>
  <c r="G980"/>
  <c r="F980"/>
  <c r="E980"/>
  <c r="J921"/>
  <c r="D921"/>
  <c r="C921"/>
  <c r="I921"/>
  <c r="L922"/>
  <c r="G922"/>
  <c r="F922"/>
  <c r="E922"/>
  <c r="I805"/>
  <c r="D805"/>
  <c r="C805"/>
  <c r="J805"/>
  <c r="W457" i="21"/>
  <c r="V457" s="1"/>
  <c r="V459" s="1"/>
  <c r="U459" s="1"/>
  <c r="X93" s="1"/>
  <c r="W457" i="13"/>
  <c r="V457"/>
  <c r="V459" s="1"/>
  <c r="U459" s="1"/>
  <c r="X93" s="1"/>
  <c r="G806" i="42"/>
  <c r="F806"/>
  <c r="E806"/>
  <c r="L806"/>
  <c r="E1290" i="52"/>
  <c r="F1290" s="1"/>
  <c r="W92" i="50"/>
  <c r="H101" i="51"/>
  <c r="H866" i="42"/>
  <c r="L865"/>
  <c r="G865"/>
  <c r="F865"/>
  <c r="E865"/>
  <c r="I959"/>
  <c r="D959"/>
  <c r="C959"/>
  <c r="J959"/>
  <c r="H963"/>
  <c r="L961"/>
  <c r="G961"/>
  <c r="F961"/>
  <c r="E961"/>
  <c r="J881"/>
  <c r="D881"/>
  <c r="C881"/>
  <c r="I881"/>
  <c r="L882"/>
  <c r="G882"/>
  <c r="F882"/>
  <c r="E882"/>
  <c r="I765"/>
  <c r="D765"/>
  <c r="C765"/>
  <c r="J765"/>
  <c r="G1275" i="52"/>
  <c r="F356" i="51"/>
  <c r="G1273" i="52"/>
  <c r="G354" i="51"/>
  <c r="F354"/>
  <c r="H1273" i="52"/>
  <c r="J1273" s="1"/>
  <c r="J354" i="51" s="1"/>
  <c r="G389" s="1"/>
  <c r="H943" i="42"/>
  <c r="H942"/>
  <c r="L941"/>
  <c r="G941"/>
  <c r="F941"/>
  <c r="E941"/>
  <c r="J840"/>
  <c r="D840"/>
  <c r="C840"/>
  <c r="I840"/>
  <c r="J785"/>
  <c r="D785"/>
  <c r="C785"/>
  <c r="I785"/>
  <c r="G786"/>
  <c r="F786"/>
  <c r="E786"/>
  <c r="L786"/>
  <c r="G825"/>
  <c r="F825"/>
  <c r="E825"/>
  <c r="H826"/>
  <c r="L825"/>
  <c r="J726"/>
  <c r="D726"/>
  <c r="C726"/>
  <c r="I726"/>
  <c r="I901"/>
  <c r="D901"/>
  <c r="C901"/>
  <c r="J901"/>
  <c r="L902"/>
  <c r="G902"/>
  <c r="F902"/>
  <c r="E902"/>
  <c r="J1016"/>
  <c r="D1016"/>
  <c r="C1016"/>
  <c r="I1016"/>
  <c r="I920"/>
  <c r="J920"/>
  <c r="D920"/>
  <c r="C920"/>
  <c r="I842"/>
  <c r="J842"/>
  <c r="D842"/>
  <c r="C842"/>
  <c r="J996"/>
  <c r="D996"/>
  <c r="C996"/>
  <c r="I996"/>
  <c r="I978"/>
  <c r="J978"/>
  <c r="D978"/>
  <c r="C978"/>
  <c r="I804"/>
  <c r="J804"/>
  <c r="D804"/>
  <c r="C804"/>
  <c r="J862"/>
  <c r="D862"/>
  <c r="C862"/>
  <c r="I862"/>
  <c r="J958"/>
  <c r="D958"/>
  <c r="C958"/>
  <c r="I958"/>
  <c r="H846"/>
  <c r="L845"/>
  <c r="G845"/>
  <c r="F845"/>
  <c r="E845"/>
  <c r="J764"/>
  <c r="D764"/>
  <c r="C764"/>
  <c r="I764"/>
  <c r="J843"/>
  <c r="D843"/>
  <c r="C843"/>
  <c r="I843"/>
  <c r="H844"/>
  <c r="I880"/>
  <c r="J880"/>
  <c r="D880"/>
  <c r="C880"/>
  <c r="J1017"/>
  <c r="D1017"/>
  <c r="C1017"/>
  <c r="I1017"/>
  <c r="H1018"/>
  <c r="I997"/>
  <c r="D997"/>
  <c r="C997"/>
  <c r="J997"/>
  <c r="H998"/>
  <c r="J938"/>
  <c r="D938"/>
  <c r="C938"/>
  <c r="I938"/>
  <c r="H983"/>
  <c r="H982"/>
  <c r="L981"/>
  <c r="G981"/>
  <c r="F981"/>
  <c r="E981"/>
  <c r="H925"/>
  <c r="H924"/>
  <c r="L923"/>
  <c r="G923"/>
  <c r="F923"/>
  <c r="E923"/>
  <c r="J863"/>
  <c r="D863"/>
  <c r="C863"/>
  <c r="I863"/>
  <c r="H864"/>
  <c r="I900"/>
  <c r="J900"/>
  <c r="D900"/>
  <c r="C900"/>
  <c r="H960"/>
  <c r="H885"/>
  <c r="L883"/>
  <c r="H884"/>
  <c r="G883"/>
  <c r="F883"/>
  <c r="E883"/>
  <c r="L766"/>
  <c r="G766"/>
  <c r="F766"/>
  <c r="E766"/>
  <c r="J939"/>
  <c r="D939"/>
  <c r="C939"/>
  <c r="I939"/>
  <c r="H940"/>
  <c r="J784"/>
  <c r="D784"/>
  <c r="C784"/>
  <c r="I784"/>
  <c r="I746"/>
  <c r="J746"/>
  <c r="D746"/>
  <c r="C746"/>
  <c r="I823"/>
  <c r="D823"/>
  <c r="C823"/>
  <c r="J823"/>
  <c r="H824"/>
  <c r="I822"/>
  <c r="J822"/>
  <c r="D822"/>
  <c r="C822"/>
  <c r="H1322" i="52"/>
  <c r="H905" i="42"/>
  <c r="H904"/>
  <c r="L903"/>
  <c r="G903"/>
  <c r="F903"/>
  <c r="E903"/>
  <c r="L1020"/>
  <c r="G1020"/>
  <c r="F1020"/>
  <c r="E1020"/>
  <c r="G904"/>
  <c r="F904"/>
  <c r="E904"/>
  <c r="L904"/>
  <c r="L1000"/>
  <c r="G1000"/>
  <c r="F1000"/>
  <c r="E1000"/>
  <c r="J903"/>
  <c r="D903"/>
  <c r="C903"/>
  <c r="I903"/>
  <c r="G884"/>
  <c r="F884"/>
  <c r="E884"/>
  <c r="L884"/>
  <c r="H886"/>
  <c r="L885"/>
  <c r="G885"/>
  <c r="F885"/>
  <c r="E885"/>
  <c r="L864"/>
  <c r="G864"/>
  <c r="F864"/>
  <c r="E864"/>
  <c r="I923"/>
  <c r="D923"/>
  <c r="C923"/>
  <c r="J923"/>
  <c r="L924"/>
  <c r="G924"/>
  <c r="F924"/>
  <c r="E924"/>
  <c r="J981"/>
  <c r="D981"/>
  <c r="C981"/>
  <c r="I981"/>
  <c r="L982"/>
  <c r="G982"/>
  <c r="F982"/>
  <c r="E982"/>
  <c r="G844"/>
  <c r="F844"/>
  <c r="E844"/>
  <c r="L844"/>
  <c r="J902"/>
  <c r="D902"/>
  <c r="C902"/>
  <c r="I902"/>
  <c r="J825"/>
  <c r="D825"/>
  <c r="C825"/>
  <c r="I825"/>
  <c r="AO513" i="37"/>
  <c r="AN513"/>
  <c r="AN515" s="1"/>
  <c r="AM515" s="1"/>
  <c r="AN489" i="38"/>
  <c r="W508" i="39"/>
  <c r="V508" s="1"/>
  <c r="V510" s="1"/>
  <c r="U510" s="1"/>
  <c r="W508" i="25"/>
  <c r="W508" i="30"/>
  <c r="W508" i="50"/>
  <c r="V508" s="1"/>
  <c r="V510" s="1"/>
  <c r="U510" s="1"/>
  <c r="W508" i="33"/>
  <c r="W508" i="14"/>
  <c r="V508" s="1"/>
  <c r="V510" s="1"/>
  <c r="U510" s="1"/>
  <c r="W508" i="18"/>
  <c r="V508" s="1"/>
  <c r="V510" s="1"/>
  <c r="U510" s="1"/>
  <c r="W508" i="35"/>
  <c r="W508" i="24"/>
  <c r="W508" i="19"/>
  <c r="V508" s="1"/>
  <c r="V510" s="1"/>
  <c r="U510" s="1"/>
  <c r="W508" i="22"/>
  <c r="V508" s="1"/>
  <c r="V510" s="1"/>
  <c r="U510" s="1"/>
  <c r="I786" i="42"/>
  <c r="J786"/>
  <c r="D786"/>
  <c r="C786"/>
  <c r="W508" i="15"/>
  <c r="H945" i="42"/>
  <c r="H944"/>
  <c r="L943"/>
  <c r="G943"/>
  <c r="F943"/>
  <c r="E943"/>
  <c r="J882"/>
  <c r="D882"/>
  <c r="C882"/>
  <c r="I882"/>
  <c r="H965"/>
  <c r="L963"/>
  <c r="G963"/>
  <c r="F963"/>
  <c r="E963"/>
  <c r="J806"/>
  <c r="D806"/>
  <c r="C806"/>
  <c r="I806"/>
  <c r="W479" i="39"/>
  <c r="V479"/>
  <c r="V481" s="1"/>
  <c r="U481" s="1"/>
  <c r="W479" i="17"/>
  <c r="W479" i="23"/>
  <c r="V479"/>
  <c r="V481" s="1"/>
  <c r="U481" s="1"/>
  <c r="W479" i="16"/>
  <c r="V479"/>
  <c r="V481" s="1"/>
  <c r="U481" s="1"/>
  <c r="AN460" i="38"/>
  <c r="W479" i="27"/>
  <c r="W479" i="30"/>
  <c r="V479"/>
  <c r="V481" s="1"/>
  <c r="U481" s="1"/>
  <c r="W479" i="29"/>
  <c r="V479"/>
  <c r="V481" s="1"/>
  <c r="U481" s="1"/>
  <c r="W479" i="50"/>
  <c r="W479" i="15"/>
  <c r="V479"/>
  <c r="V481" s="1"/>
  <c r="U481" s="1"/>
  <c r="W479" i="18"/>
  <c r="V479"/>
  <c r="V481" s="1"/>
  <c r="U481" s="1"/>
  <c r="W479" i="19"/>
  <c r="W479" i="22"/>
  <c r="W479" i="35"/>
  <c r="V479"/>
  <c r="V481" s="1"/>
  <c r="U481" s="1"/>
  <c r="W479" i="14"/>
  <c r="W479" i="33"/>
  <c r="V479"/>
  <c r="V481" s="1"/>
  <c r="U481" s="1"/>
  <c r="AO484" i="37"/>
  <c r="AN484"/>
  <c r="AN486" s="1"/>
  <c r="AM486" s="1"/>
  <c r="W479" i="24"/>
  <c r="J922" i="42"/>
  <c r="D922"/>
  <c r="C922"/>
  <c r="I922"/>
  <c r="J999"/>
  <c r="D999"/>
  <c r="C999"/>
  <c r="I999"/>
  <c r="I1019"/>
  <c r="J1019"/>
  <c r="D1019"/>
  <c r="C1019"/>
  <c r="H906"/>
  <c r="L905"/>
  <c r="G905"/>
  <c r="F905"/>
  <c r="E905"/>
  <c r="L824"/>
  <c r="G824"/>
  <c r="F824"/>
  <c r="E824"/>
  <c r="G940"/>
  <c r="F940"/>
  <c r="E940"/>
  <c r="L940"/>
  <c r="I766"/>
  <c r="J766"/>
  <c r="D766"/>
  <c r="C766"/>
  <c r="I883"/>
  <c r="D883"/>
  <c r="C883"/>
  <c r="J883"/>
  <c r="W450" i="15"/>
  <c r="V450" s="1"/>
  <c r="V452" s="1"/>
  <c r="U452" s="1"/>
  <c r="G960" i="42"/>
  <c r="F960"/>
  <c r="E960"/>
  <c r="L960"/>
  <c r="H926"/>
  <c r="L925"/>
  <c r="G925"/>
  <c r="F925"/>
  <c r="E925"/>
  <c r="H985"/>
  <c r="L983"/>
  <c r="G983"/>
  <c r="F983"/>
  <c r="E983"/>
  <c r="G998"/>
  <c r="F998"/>
  <c r="E998"/>
  <c r="L998"/>
  <c r="G1018"/>
  <c r="F1018"/>
  <c r="E1018"/>
  <c r="L1018"/>
  <c r="I845"/>
  <c r="D845"/>
  <c r="C845"/>
  <c r="J845"/>
  <c r="L846"/>
  <c r="G846"/>
  <c r="F846"/>
  <c r="E846"/>
  <c r="L826"/>
  <c r="G826"/>
  <c r="F826"/>
  <c r="E826"/>
  <c r="I941"/>
  <c r="D941"/>
  <c r="C941"/>
  <c r="J941"/>
  <c r="L942"/>
  <c r="G942"/>
  <c r="F942"/>
  <c r="E942"/>
  <c r="G356" i="51"/>
  <c r="H1275" i="52"/>
  <c r="J1275" s="1"/>
  <c r="J961" i="42"/>
  <c r="D961"/>
  <c r="C961"/>
  <c r="I961"/>
  <c r="H962"/>
  <c r="I865"/>
  <c r="D865"/>
  <c r="C865"/>
  <c r="J865"/>
  <c r="L866"/>
  <c r="G866"/>
  <c r="F866"/>
  <c r="E866"/>
  <c r="J980"/>
  <c r="D980"/>
  <c r="C980"/>
  <c r="I980"/>
  <c r="H1003"/>
  <c r="L1001"/>
  <c r="G1001"/>
  <c r="F1001"/>
  <c r="E1001"/>
  <c r="H1023"/>
  <c r="L1021"/>
  <c r="G1021"/>
  <c r="F1021"/>
  <c r="E1021"/>
  <c r="H1025"/>
  <c r="H1024"/>
  <c r="L1023"/>
  <c r="G1023"/>
  <c r="F1023"/>
  <c r="E1023"/>
  <c r="H1005"/>
  <c r="H1004"/>
  <c r="L1003"/>
  <c r="G1003"/>
  <c r="F1003"/>
  <c r="E1003"/>
  <c r="J866"/>
  <c r="D866"/>
  <c r="C866"/>
  <c r="I866"/>
  <c r="I826"/>
  <c r="J826"/>
  <c r="D826"/>
  <c r="C826"/>
  <c r="J846"/>
  <c r="D846"/>
  <c r="C846"/>
  <c r="I846"/>
  <c r="I1018"/>
  <c r="J1018"/>
  <c r="D1018"/>
  <c r="C1018"/>
  <c r="I998"/>
  <c r="J998"/>
  <c r="D998"/>
  <c r="C998"/>
  <c r="H986"/>
  <c r="L985"/>
  <c r="G985"/>
  <c r="F985"/>
  <c r="E985"/>
  <c r="I940"/>
  <c r="J940"/>
  <c r="D940"/>
  <c r="C940"/>
  <c r="H966"/>
  <c r="L965"/>
  <c r="G965"/>
  <c r="F965"/>
  <c r="E965"/>
  <c r="J943"/>
  <c r="D943"/>
  <c r="C943"/>
  <c r="I943"/>
  <c r="G944"/>
  <c r="F944"/>
  <c r="E944"/>
  <c r="L944"/>
  <c r="J844"/>
  <c r="D844"/>
  <c r="C844"/>
  <c r="I844"/>
  <c r="W331" i="30"/>
  <c r="W331" i="34"/>
  <c r="W331" i="39"/>
  <c r="V331"/>
  <c r="V333" s="1"/>
  <c r="U333" s="1"/>
  <c r="AN312" i="38"/>
  <c r="AM312"/>
  <c r="AM314" s="1"/>
  <c r="AL314" s="1"/>
  <c r="W331" i="27"/>
  <c r="W331" i="29"/>
  <c r="V331"/>
  <c r="V333" s="1"/>
  <c r="U333" s="1"/>
  <c r="W331" i="33"/>
  <c r="V331"/>
  <c r="V333" s="1"/>
  <c r="U333" s="1"/>
  <c r="W331" i="24"/>
  <c r="V331"/>
  <c r="V333" s="1"/>
  <c r="U333" s="1"/>
  <c r="W331" i="18"/>
  <c r="V331"/>
  <c r="V333" s="1"/>
  <c r="U333" s="1"/>
  <c r="AO336" i="37"/>
  <c r="AN336"/>
  <c r="AN338" s="1"/>
  <c r="AM338" s="1"/>
  <c r="W331" i="19"/>
  <c r="W331" i="50"/>
  <c r="V331"/>
  <c r="V333" s="1"/>
  <c r="U333" s="1"/>
  <c r="W331" i="14"/>
  <c r="V331"/>
  <c r="V333" s="1"/>
  <c r="U333" s="1"/>
  <c r="W331" i="22"/>
  <c r="V331"/>
  <c r="V333" s="1"/>
  <c r="U333" s="1"/>
  <c r="W331" i="35"/>
  <c r="V331"/>
  <c r="V333" s="1"/>
  <c r="U333" s="1"/>
  <c r="AO336" i="36"/>
  <c r="I924" i="42"/>
  <c r="J924"/>
  <c r="D924"/>
  <c r="C924"/>
  <c r="J885"/>
  <c r="D885"/>
  <c r="C885"/>
  <c r="I885"/>
  <c r="L886"/>
  <c r="G886"/>
  <c r="F886"/>
  <c r="E886"/>
  <c r="I884"/>
  <c r="J884"/>
  <c r="D884"/>
  <c r="C884"/>
  <c r="J1000"/>
  <c r="D1000"/>
  <c r="C1000"/>
  <c r="I1000"/>
  <c r="J1020"/>
  <c r="D1020"/>
  <c r="C1020"/>
  <c r="I1020"/>
  <c r="J1021"/>
  <c r="D1021"/>
  <c r="C1021"/>
  <c r="I1021"/>
  <c r="H1022"/>
  <c r="I1001"/>
  <c r="D1001"/>
  <c r="C1001"/>
  <c r="J1001"/>
  <c r="H1002"/>
  <c r="L962"/>
  <c r="G962"/>
  <c r="F962"/>
  <c r="E962"/>
  <c r="H356" i="51"/>
  <c r="J942" i="42"/>
  <c r="D942"/>
  <c r="C942"/>
  <c r="I942"/>
  <c r="I983"/>
  <c r="D983"/>
  <c r="C983"/>
  <c r="J983"/>
  <c r="H984"/>
  <c r="J925"/>
  <c r="D925"/>
  <c r="C925"/>
  <c r="I925"/>
  <c r="L926"/>
  <c r="G926"/>
  <c r="F926"/>
  <c r="E926"/>
  <c r="I960"/>
  <c r="J960"/>
  <c r="D960"/>
  <c r="C960"/>
  <c r="AN431" i="38"/>
  <c r="AM431" s="1"/>
  <c r="AM433" s="1"/>
  <c r="AL433" s="1"/>
  <c r="V34" s="1"/>
  <c r="V48" s="1"/>
  <c r="W450" i="29"/>
  <c r="V450" s="1"/>
  <c r="V452" s="1"/>
  <c r="U452" s="1"/>
  <c r="W450" i="30"/>
  <c r="W450" i="14"/>
  <c r="V450" s="1"/>
  <c r="V452" s="1"/>
  <c r="U452" s="1"/>
  <c r="W450" i="18"/>
  <c r="V450" s="1"/>
  <c r="V452" s="1"/>
  <c r="U452" s="1"/>
  <c r="W450" i="33"/>
  <c r="V450" s="1"/>
  <c r="V452" s="1"/>
  <c r="U452" s="1"/>
  <c r="W450" i="35"/>
  <c r="V450" s="1"/>
  <c r="V452" s="1"/>
  <c r="U452" s="1"/>
  <c r="W450" i="50"/>
  <c r="V450" s="1"/>
  <c r="V452" s="1"/>
  <c r="U452" s="1"/>
  <c r="AO455" i="37"/>
  <c r="AN455" s="1"/>
  <c r="AN457" s="1"/>
  <c r="AM457" s="1"/>
  <c r="AO455" i="36"/>
  <c r="W450" i="19"/>
  <c r="W450" i="24"/>
  <c r="V450" s="1"/>
  <c r="V452" s="1"/>
  <c r="U452" s="1"/>
  <c r="W450" i="22"/>
  <c r="V450" s="1"/>
  <c r="V452" s="1"/>
  <c r="U452" s="1"/>
  <c r="J824" i="42"/>
  <c r="D824"/>
  <c r="C824"/>
  <c r="I824"/>
  <c r="I905"/>
  <c r="D905"/>
  <c r="C905"/>
  <c r="J905"/>
  <c r="L906"/>
  <c r="G906"/>
  <c r="F906"/>
  <c r="E906"/>
  <c r="I963"/>
  <c r="D963"/>
  <c r="C963"/>
  <c r="J963"/>
  <c r="H964"/>
  <c r="H946"/>
  <c r="L945"/>
  <c r="G945"/>
  <c r="F945"/>
  <c r="E945"/>
  <c r="I982"/>
  <c r="J982"/>
  <c r="D982"/>
  <c r="C982"/>
  <c r="I864"/>
  <c r="J864"/>
  <c r="D864"/>
  <c r="C864"/>
  <c r="I904"/>
  <c r="J904"/>
  <c r="D904"/>
  <c r="C904"/>
  <c r="L1004"/>
  <c r="G1004"/>
  <c r="F1004"/>
  <c r="E1004"/>
  <c r="L1024"/>
  <c r="G1024"/>
  <c r="F1024"/>
  <c r="E1024"/>
  <c r="J906"/>
  <c r="D906"/>
  <c r="C906"/>
  <c r="I906"/>
  <c r="J926"/>
  <c r="D926"/>
  <c r="C926"/>
  <c r="I926"/>
  <c r="I962"/>
  <c r="J962"/>
  <c r="D962"/>
  <c r="C962"/>
  <c r="G1002"/>
  <c r="F1002"/>
  <c r="E1002"/>
  <c r="L1002"/>
  <c r="G1022"/>
  <c r="F1022"/>
  <c r="E1022"/>
  <c r="L1022"/>
  <c r="I944"/>
  <c r="J944"/>
  <c r="D944"/>
  <c r="C944"/>
  <c r="J965"/>
  <c r="D965"/>
  <c r="C965"/>
  <c r="I965"/>
  <c r="L966"/>
  <c r="G966"/>
  <c r="F966"/>
  <c r="E966"/>
  <c r="J985"/>
  <c r="D985"/>
  <c r="C985"/>
  <c r="I985"/>
  <c r="L986"/>
  <c r="G986"/>
  <c r="F986"/>
  <c r="E986"/>
  <c r="J1003"/>
  <c r="D1003"/>
  <c r="C1003"/>
  <c r="I1003"/>
  <c r="I1023"/>
  <c r="J1023"/>
  <c r="D1023"/>
  <c r="C1023"/>
  <c r="L964"/>
  <c r="G964"/>
  <c r="F964"/>
  <c r="E964"/>
  <c r="I945"/>
  <c r="D945"/>
  <c r="C945"/>
  <c r="J945"/>
  <c r="W325" i="13"/>
  <c r="V325"/>
  <c r="V327" s="1"/>
  <c r="U327" s="1"/>
  <c r="X85" s="1"/>
  <c r="W325" i="21"/>
  <c r="V325" s="1"/>
  <c r="V327" s="1"/>
  <c r="U327" s="1"/>
  <c r="X85" s="1"/>
  <c r="L946" i="42"/>
  <c r="G946"/>
  <c r="F946"/>
  <c r="E946"/>
  <c r="L984"/>
  <c r="G984"/>
  <c r="F984"/>
  <c r="E984"/>
  <c r="J886"/>
  <c r="D886"/>
  <c r="C886"/>
  <c r="I886"/>
  <c r="H1006"/>
  <c r="L1005"/>
  <c r="G1005"/>
  <c r="F1005"/>
  <c r="E1005"/>
  <c r="H1027"/>
  <c r="L1025"/>
  <c r="G1025"/>
  <c r="F1025"/>
  <c r="E1025"/>
  <c r="H1029"/>
  <c r="H1028"/>
  <c r="L1027"/>
  <c r="G1027"/>
  <c r="F1027"/>
  <c r="E1027"/>
  <c r="J964"/>
  <c r="D964"/>
  <c r="C964"/>
  <c r="I964"/>
  <c r="I986"/>
  <c r="J986"/>
  <c r="D986"/>
  <c r="C986"/>
  <c r="I1022"/>
  <c r="J1022"/>
  <c r="D1022"/>
  <c r="C1022"/>
  <c r="I1002"/>
  <c r="J1002"/>
  <c r="D1002"/>
  <c r="C1002"/>
  <c r="J1024"/>
  <c r="D1024"/>
  <c r="C1024"/>
  <c r="I1024"/>
  <c r="J1004"/>
  <c r="D1004"/>
  <c r="C1004"/>
  <c r="I1004"/>
  <c r="J1025"/>
  <c r="D1025"/>
  <c r="C1025"/>
  <c r="I1025"/>
  <c r="H1026"/>
  <c r="I1005"/>
  <c r="D1005"/>
  <c r="C1005"/>
  <c r="J1005"/>
  <c r="G1006"/>
  <c r="F1006"/>
  <c r="E1006"/>
  <c r="L1006"/>
  <c r="J984"/>
  <c r="D984"/>
  <c r="C984"/>
  <c r="I984"/>
  <c r="J946"/>
  <c r="D946"/>
  <c r="C946"/>
  <c r="I946"/>
  <c r="I966"/>
  <c r="J966"/>
  <c r="D966"/>
  <c r="C966"/>
  <c r="L1028"/>
  <c r="G1028"/>
  <c r="F1028"/>
  <c r="E1028"/>
  <c r="I1006"/>
  <c r="J1006"/>
  <c r="D1006"/>
  <c r="C1006"/>
  <c r="G1026"/>
  <c r="F1026"/>
  <c r="E1026"/>
  <c r="L1026"/>
  <c r="I1027"/>
  <c r="J1027"/>
  <c r="D1027"/>
  <c r="C1027"/>
  <c r="H1031"/>
  <c r="H1030"/>
  <c r="L1029"/>
  <c r="G1029"/>
  <c r="F1029"/>
  <c r="E1029"/>
  <c r="G1030"/>
  <c r="F1030"/>
  <c r="E1030"/>
  <c r="L1030"/>
  <c r="I1026"/>
  <c r="J1026"/>
  <c r="D1026"/>
  <c r="C1026"/>
  <c r="J1028"/>
  <c r="D1028"/>
  <c r="C1028"/>
  <c r="I1028"/>
  <c r="J1029"/>
  <c r="D1029"/>
  <c r="C1029"/>
  <c r="I1029"/>
  <c r="H1033"/>
  <c r="H1032"/>
  <c r="L1031"/>
  <c r="G1031"/>
  <c r="F1031"/>
  <c r="E1031"/>
  <c r="I1031"/>
  <c r="J1031"/>
  <c r="D1031"/>
  <c r="C1031"/>
  <c r="H1035"/>
  <c r="L1033"/>
  <c r="G1033"/>
  <c r="F1033"/>
  <c r="E1033"/>
  <c r="L1032"/>
  <c r="G1032"/>
  <c r="F1032"/>
  <c r="E1032"/>
  <c r="I1030"/>
  <c r="J1030"/>
  <c r="D1030"/>
  <c r="C1030"/>
  <c r="H1037"/>
  <c r="H1036"/>
  <c r="L1035"/>
  <c r="G1035"/>
  <c r="F1035"/>
  <c r="E1035"/>
  <c r="J1032"/>
  <c r="D1032"/>
  <c r="C1032"/>
  <c r="I1032"/>
  <c r="J1033"/>
  <c r="D1033"/>
  <c r="C1033"/>
  <c r="I1033"/>
  <c r="H1034"/>
  <c r="L1036"/>
  <c r="G1036"/>
  <c r="F1036"/>
  <c r="E1036"/>
  <c r="I1035"/>
  <c r="J1035"/>
  <c r="D1035"/>
  <c r="C1035"/>
  <c r="G1034"/>
  <c r="F1034"/>
  <c r="E1034"/>
  <c r="L1034"/>
  <c r="H1039"/>
  <c r="L1037"/>
  <c r="G1037"/>
  <c r="F1037"/>
  <c r="E1037"/>
  <c r="H1041"/>
  <c r="L1039"/>
  <c r="G1039"/>
  <c r="F1039"/>
  <c r="E1039"/>
  <c r="I1034"/>
  <c r="J1034"/>
  <c r="D1034"/>
  <c r="C1034"/>
  <c r="J1036"/>
  <c r="D1036"/>
  <c r="C1036"/>
  <c r="I1036"/>
  <c r="J1037"/>
  <c r="D1037"/>
  <c r="C1037"/>
  <c r="I1037"/>
  <c r="H1038"/>
  <c r="H1043"/>
  <c r="H1042"/>
  <c r="L1041"/>
  <c r="G1041"/>
  <c r="F1041"/>
  <c r="E1041"/>
  <c r="G1038"/>
  <c r="F1038"/>
  <c r="E1038"/>
  <c r="L1038"/>
  <c r="I1039"/>
  <c r="J1039"/>
  <c r="D1039"/>
  <c r="C1039"/>
  <c r="H1040"/>
  <c r="G1042"/>
  <c r="F1042"/>
  <c r="E1042"/>
  <c r="L1042"/>
  <c r="L1040"/>
  <c r="G1040"/>
  <c r="F1040"/>
  <c r="E1040"/>
  <c r="J1041"/>
  <c r="D1041"/>
  <c r="C1041"/>
  <c r="I1041"/>
  <c r="I1038"/>
  <c r="J1038"/>
  <c r="D1038"/>
  <c r="C1038"/>
  <c r="H1045"/>
  <c r="L1043"/>
  <c r="G1043"/>
  <c r="F1043"/>
  <c r="E1043"/>
  <c r="H1047"/>
  <c r="L1045"/>
  <c r="G1045"/>
  <c r="F1045"/>
  <c r="E1045"/>
  <c r="I1042"/>
  <c r="J1042"/>
  <c r="D1042"/>
  <c r="C1042"/>
  <c r="I1043"/>
  <c r="J1043"/>
  <c r="D1043"/>
  <c r="C1043"/>
  <c r="H1044"/>
  <c r="J1040"/>
  <c r="D1040"/>
  <c r="C1040"/>
  <c r="I1040"/>
  <c r="L1044"/>
  <c r="G1044"/>
  <c r="F1044"/>
  <c r="E1044"/>
  <c r="H1049"/>
  <c r="G1047"/>
  <c r="F1047"/>
  <c r="E1047"/>
  <c r="H1048"/>
  <c r="L1047"/>
  <c r="J1045"/>
  <c r="D1045"/>
  <c r="C1045"/>
  <c r="I1045"/>
  <c r="H1046"/>
  <c r="G1046"/>
  <c r="F1046"/>
  <c r="E1046"/>
  <c r="L1046"/>
  <c r="I1047"/>
  <c r="J1047"/>
  <c r="D1047"/>
  <c r="C1047"/>
  <c r="AN425" i="38"/>
  <c r="AM425" s="1"/>
  <c r="AM427" s="1"/>
  <c r="AL427" s="1"/>
  <c r="AL100" s="1"/>
  <c r="V33" s="1"/>
  <c r="V47" s="1"/>
  <c r="W444" i="29"/>
  <c r="V444" s="1"/>
  <c r="V446" s="1"/>
  <c r="U446" s="1"/>
  <c r="X92" s="1"/>
  <c r="W444" i="30"/>
  <c r="W444" i="35"/>
  <c r="V444" s="1"/>
  <c r="V446" s="1"/>
  <c r="U446" s="1"/>
  <c r="X92" s="1"/>
  <c r="W444" i="19"/>
  <c r="W444" i="33"/>
  <c r="V444" s="1"/>
  <c r="V446" s="1"/>
  <c r="U446" s="1"/>
  <c r="X92" s="1"/>
  <c r="W444" i="18"/>
  <c r="V444"/>
  <c r="V446" s="1"/>
  <c r="U446" s="1"/>
  <c r="X92" s="1"/>
  <c r="W444" i="14"/>
  <c r="V444" s="1"/>
  <c r="V446" s="1"/>
  <c r="U446" s="1"/>
  <c r="X92" s="1"/>
  <c r="W444" i="50"/>
  <c r="V444"/>
  <c r="V446" s="1"/>
  <c r="U446" s="1"/>
  <c r="W444" i="22"/>
  <c r="V444"/>
  <c r="V446" s="1"/>
  <c r="U446" s="1"/>
  <c r="X92" s="1"/>
  <c r="W444" i="24"/>
  <c r="V444" s="1"/>
  <c r="V446" s="1"/>
  <c r="U446" s="1"/>
  <c r="X92" s="1"/>
  <c r="AO449" i="36"/>
  <c r="AO449" i="37"/>
  <c r="AN449" s="1"/>
  <c r="AN451" s="1"/>
  <c r="AM451" s="1"/>
  <c r="AP97" s="1"/>
  <c r="AC16" s="1"/>
  <c r="AC17" s="1"/>
  <c r="AC18" s="1"/>
  <c r="AC20" s="1"/>
  <c r="J1044" i="42"/>
  <c r="D1044"/>
  <c r="C1044"/>
  <c r="I1044"/>
  <c r="L1048"/>
  <c r="G1048"/>
  <c r="F1048"/>
  <c r="E1048"/>
  <c r="H1051"/>
  <c r="L1049"/>
  <c r="G1049"/>
  <c r="F1049"/>
  <c r="E1049"/>
  <c r="H1053"/>
  <c r="H1052"/>
  <c r="L1051"/>
  <c r="G1051"/>
  <c r="F1051"/>
  <c r="E1051"/>
  <c r="I1049"/>
  <c r="J1049"/>
  <c r="D1049"/>
  <c r="C1049"/>
  <c r="H1050"/>
  <c r="J1048"/>
  <c r="D1048"/>
  <c r="C1048"/>
  <c r="I1048"/>
  <c r="I1046"/>
  <c r="J1046"/>
  <c r="D1046"/>
  <c r="C1046"/>
  <c r="G1050"/>
  <c r="F1050"/>
  <c r="E1050"/>
  <c r="L1050"/>
  <c r="J1051"/>
  <c r="D1051"/>
  <c r="C1051"/>
  <c r="I1051"/>
  <c r="L1052"/>
  <c r="G1052"/>
  <c r="F1052"/>
  <c r="E1052"/>
  <c r="H1055"/>
  <c r="L1053"/>
  <c r="G1053"/>
  <c r="F1053"/>
  <c r="E1053"/>
  <c r="H1057"/>
  <c r="H1056"/>
  <c r="L1055"/>
  <c r="G1055"/>
  <c r="F1055"/>
  <c r="E1055"/>
  <c r="I1053"/>
  <c r="J1053"/>
  <c r="D1053"/>
  <c r="C1053"/>
  <c r="H1054"/>
  <c r="J1052"/>
  <c r="D1052"/>
  <c r="C1052"/>
  <c r="I1052"/>
  <c r="I1050"/>
  <c r="J1050"/>
  <c r="D1050"/>
  <c r="C1050"/>
  <c r="J1055"/>
  <c r="D1055"/>
  <c r="C1055"/>
  <c r="I1055"/>
  <c r="L1056"/>
  <c r="G1056"/>
  <c r="F1056"/>
  <c r="E1056"/>
  <c r="G1054"/>
  <c r="F1054"/>
  <c r="E1054"/>
  <c r="L1054"/>
  <c r="H1059"/>
  <c r="H1058"/>
  <c r="L1057"/>
  <c r="G1057"/>
  <c r="F1057"/>
  <c r="E1057"/>
  <c r="H1061"/>
  <c r="H1060"/>
  <c r="L1059"/>
  <c r="G1059"/>
  <c r="F1059"/>
  <c r="E1059"/>
  <c r="I1054"/>
  <c r="J1054"/>
  <c r="D1054"/>
  <c r="C1054"/>
  <c r="I1057"/>
  <c r="J1057"/>
  <c r="D1057"/>
  <c r="C1057"/>
  <c r="G1058"/>
  <c r="F1058"/>
  <c r="E1058"/>
  <c r="L1058"/>
  <c r="J1056"/>
  <c r="D1056"/>
  <c r="C1056"/>
  <c r="I1056"/>
  <c r="L1060"/>
  <c r="G1060"/>
  <c r="F1060"/>
  <c r="E1060"/>
  <c r="J1059"/>
  <c r="D1059"/>
  <c r="C1059"/>
  <c r="I1059"/>
  <c r="I1058"/>
  <c r="J1058"/>
  <c r="D1058"/>
  <c r="C1058"/>
  <c r="H1063"/>
  <c r="H1062"/>
  <c r="L1061"/>
  <c r="G1061"/>
  <c r="F1061"/>
  <c r="E1061"/>
  <c r="I1061"/>
  <c r="J1061"/>
  <c r="D1061"/>
  <c r="C1061"/>
  <c r="J1060"/>
  <c r="D1060"/>
  <c r="C1060"/>
  <c r="I1060"/>
  <c r="G1062"/>
  <c r="F1062"/>
  <c r="E1062"/>
  <c r="L1062"/>
  <c r="H1065"/>
  <c r="H1064"/>
  <c r="L1063"/>
  <c r="G1063"/>
  <c r="F1063"/>
  <c r="E1063"/>
  <c r="L1064"/>
  <c r="G1064"/>
  <c r="F1064"/>
  <c r="E1064"/>
  <c r="J1063"/>
  <c r="D1063"/>
  <c r="C1063"/>
  <c r="I1063"/>
  <c r="H1067"/>
  <c r="L1065"/>
  <c r="G1065"/>
  <c r="F1065"/>
  <c r="E1065"/>
  <c r="I1062"/>
  <c r="J1062"/>
  <c r="D1062"/>
  <c r="C1062"/>
  <c r="H1069"/>
  <c r="L1067"/>
  <c r="G1067"/>
  <c r="F1067"/>
  <c r="E1067"/>
  <c r="J1064"/>
  <c r="D1064"/>
  <c r="C1064"/>
  <c r="I1064"/>
  <c r="I1065"/>
  <c r="J1065"/>
  <c r="D1065"/>
  <c r="C1065"/>
  <c r="W444" i="21"/>
  <c r="V444"/>
  <c r="V446" s="1"/>
  <c r="U446" s="1"/>
  <c r="X92" s="1"/>
  <c r="W444" i="13"/>
  <c r="V444" s="1"/>
  <c r="V446" s="1"/>
  <c r="U446" s="1"/>
  <c r="X92" s="1"/>
  <c r="H1066" i="42"/>
  <c r="G1066"/>
  <c r="F1066"/>
  <c r="E1066"/>
  <c r="L1066"/>
  <c r="H1071"/>
  <c r="H1070"/>
  <c r="L1069"/>
  <c r="G1069"/>
  <c r="F1069"/>
  <c r="E1069"/>
  <c r="J1067"/>
  <c r="D1067"/>
  <c r="C1067"/>
  <c r="I1067"/>
  <c r="H1068"/>
  <c r="G1070"/>
  <c r="F1070"/>
  <c r="E1070"/>
  <c r="L1070"/>
  <c r="I1069"/>
  <c r="J1069"/>
  <c r="D1069"/>
  <c r="C1069"/>
  <c r="L1068"/>
  <c r="G1068"/>
  <c r="F1068"/>
  <c r="E1068"/>
  <c r="H1073"/>
  <c r="H1072"/>
  <c r="L1071"/>
  <c r="G1071"/>
  <c r="F1071"/>
  <c r="E1071"/>
  <c r="I1066"/>
  <c r="J1066"/>
  <c r="D1066"/>
  <c r="C1066"/>
  <c r="J1071"/>
  <c r="D1071"/>
  <c r="C1071"/>
  <c r="I1071"/>
  <c r="H1075"/>
  <c r="L1073"/>
  <c r="G1073"/>
  <c r="F1073"/>
  <c r="E1073"/>
  <c r="L1072"/>
  <c r="G1072"/>
  <c r="F1072"/>
  <c r="E1072"/>
  <c r="J1068"/>
  <c r="D1068"/>
  <c r="C1068"/>
  <c r="I1068"/>
  <c r="I1070"/>
  <c r="J1070"/>
  <c r="D1070"/>
  <c r="C1070"/>
  <c r="H1077"/>
  <c r="L1075"/>
  <c r="G1075"/>
  <c r="F1075"/>
  <c r="E1075"/>
  <c r="J1072"/>
  <c r="D1072"/>
  <c r="C1072"/>
  <c r="I1072"/>
  <c r="I1073"/>
  <c r="J1073"/>
  <c r="D1073"/>
  <c r="C1073"/>
  <c r="H1074"/>
  <c r="G1074"/>
  <c r="F1074"/>
  <c r="E1074"/>
  <c r="L1074"/>
  <c r="G1077"/>
  <c r="F1077"/>
  <c r="E1077"/>
  <c r="H1079"/>
  <c r="H1078"/>
  <c r="L1077"/>
  <c r="J1075"/>
  <c r="D1075"/>
  <c r="C1075"/>
  <c r="I1075"/>
  <c r="H1076"/>
  <c r="G1078"/>
  <c r="F1078"/>
  <c r="E1078"/>
  <c r="L1078"/>
  <c r="I1077"/>
  <c r="J1077"/>
  <c r="D1077"/>
  <c r="C1077"/>
  <c r="I1074"/>
  <c r="J1074"/>
  <c r="D1074"/>
  <c r="C1074"/>
  <c r="L1076"/>
  <c r="G1076"/>
  <c r="F1076"/>
  <c r="E1076"/>
  <c r="H1081"/>
  <c r="L1079"/>
  <c r="G1079"/>
  <c r="F1079"/>
  <c r="E1079"/>
  <c r="H1083"/>
  <c r="H1082"/>
  <c r="L1081"/>
  <c r="G1081"/>
  <c r="F1081"/>
  <c r="E1081"/>
  <c r="I1078"/>
  <c r="J1078"/>
  <c r="D1078"/>
  <c r="C1078"/>
  <c r="I1079"/>
  <c r="J1079"/>
  <c r="D1079"/>
  <c r="C1079"/>
  <c r="H1080"/>
  <c r="J1076"/>
  <c r="D1076"/>
  <c r="C1076"/>
  <c r="I1076"/>
  <c r="G1082"/>
  <c r="F1082"/>
  <c r="E1082"/>
  <c r="L1082"/>
  <c r="L1080"/>
  <c r="G1080"/>
  <c r="F1080"/>
  <c r="E1080"/>
  <c r="J1081"/>
  <c r="D1081"/>
  <c r="C1081"/>
  <c r="I1081"/>
  <c r="H1085"/>
  <c r="L1083"/>
  <c r="G1083"/>
  <c r="F1083"/>
  <c r="E1083"/>
  <c r="H1087"/>
  <c r="L1085"/>
  <c r="G1085"/>
  <c r="F1085"/>
  <c r="E1085"/>
  <c r="J1080"/>
  <c r="D1080"/>
  <c r="C1080"/>
  <c r="I1080"/>
  <c r="I1083"/>
  <c r="J1083"/>
  <c r="D1083"/>
  <c r="C1083"/>
  <c r="H1084"/>
  <c r="I1082"/>
  <c r="J1082"/>
  <c r="D1082"/>
  <c r="C1082"/>
  <c r="L1084"/>
  <c r="G1084"/>
  <c r="F1084"/>
  <c r="E1084"/>
  <c r="H1089"/>
  <c r="H1088"/>
  <c r="L1087"/>
  <c r="G1087"/>
  <c r="F1087"/>
  <c r="E1087"/>
  <c r="J1085"/>
  <c r="D1085"/>
  <c r="C1085"/>
  <c r="I1085"/>
  <c r="H1086"/>
  <c r="L1088"/>
  <c r="G1088"/>
  <c r="F1088"/>
  <c r="E1088"/>
  <c r="J1084"/>
  <c r="D1084"/>
  <c r="C1084"/>
  <c r="I1084"/>
  <c r="G1086"/>
  <c r="F1086"/>
  <c r="E1086"/>
  <c r="L1086"/>
  <c r="I1087"/>
  <c r="J1087"/>
  <c r="D1087"/>
  <c r="C1087"/>
  <c r="H1091"/>
  <c r="H1090"/>
  <c r="L1089"/>
  <c r="G1089"/>
  <c r="F1089"/>
  <c r="E1089"/>
  <c r="J1089"/>
  <c r="D1089"/>
  <c r="C1089"/>
  <c r="I1089"/>
  <c r="I1086"/>
  <c r="J1086"/>
  <c r="D1086"/>
  <c r="C1086"/>
  <c r="J1088"/>
  <c r="D1088"/>
  <c r="C1088"/>
  <c r="I1088"/>
  <c r="G1090"/>
  <c r="F1090"/>
  <c r="E1090"/>
  <c r="L1090"/>
  <c r="H1093"/>
  <c r="L1091"/>
  <c r="G1091"/>
  <c r="F1091"/>
  <c r="E1091"/>
  <c r="H1095"/>
  <c r="H1094"/>
  <c r="L1093"/>
  <c r="G1093"/>
  <c r="F1093"/>
  <c r="E1093"/>
  <c r="I1090"/>
  <c r="J1090"/>
  <c r="D1090"/>
  <c r="C1090"/>
  <c r="I1091"/>
  <c r="J1091"/>
  <c r="D1091"/>
  <c r="C1091"/>
  <c r="H1092"/>
  <c r="G1094"/>
  <c r="F1094"/>
  <c r="E1094"/>
  <c r="L1094"/>
  <c r="J1093"/>
  <c r="D1093"/>
  <c r="C1093"/>
  <c r="I1093"/>
  <c r="L1092"/>
  <c r="G1092"/>
  <c r="F1092"/>
  <c r="E1092"/>
  <c r="H1097"/>
  <c r="H1096"/>
  <c r="L1095"/>
  <c r="G1095"/>
  <c r="F1095"/>
  <c r="E1095"/>
  <c r="L1096"/>
  <c r="G1096"/>
  <c r="F1096"/>
  <c r="E1096"/>
  <c r="H1099"/>
  <c r="L1097"/>
  <c r="G1097"/>
  <c r="F1097"/>
  <c r="E1097"/>
  <c r="I1095"/>
  <c r="J1095"/>
  <c r="D1095"/>
  <c r="C1095"/>
  <c r="J1092"/>
  <c r="D1092"/>
  <c r="C1092"/>
  <c r="I1092"/>
  <c r="I1094"/>
  <c r="J1094"/>
  <c r="D1094"/>
  <c r="C1094"/>
  <c r="H1101"/>
  <c r="H1100"/>
  <c r="L1099"/>
  <c r="G1099"/>
  <c r="F1099"/>
  <c r="E1099"/>
  <c r="J1097"/>
  <c r="D1097"/>
  <c r="C1097"/>
  <c r="I1097"/>
  <c r="H1098"/>
  <c r="J1096"/>
  <c r="D1096"/>
  <c r="C1096"/>
  <c r="I1096"/>
  <c r="L1100"/>
  <c r="G1100"/>
  <c r="F1100"/>
  <c r="E1100"/>
  <c r="I1099"/>
  <c r="J1099"/>
  <c r="D1099"/>
  <c r="C1099"/>
  <c r="G1098"/>
  <c r="F1098"/>
  <c r="E1098"/>
  <c r="L1098"/>
  <c r="H1103"/>
  <c r="L1101"/>
  <c r="G1101"/>
  <c r="F1101"/>
  <c r="E1101"/>
  <c r="H1105"/>
  <c r="L1103"/>
  <c r="G1103"/>
  <c r="F1103"/>
  <c r="E1103"/>
  <c r="I1098"/>
  <c r="J1098"/>
  <c r="D1098"/>
  <c r="C1098"/>
  <c r="J1100"/>
  <c r="D1100"/>
  <c r="C1100"/>
  <c r="I1100"/>
  <c r="J1101"/>
  <c r="D1101"/>
  <c r="C1101"/>
  <c r="I1101"/>
  <c r="H1102"/>
  <c r="H1107"/>
  <c r="L1105"/>
  <c r="G1105"/>
  <c r="F1105"/>
  <c r="E1105"/>
  <c r="G1102"/>
  <c r="F1102"/>
  <c r="E1102"/>
  <c r="L1102"/>
  <c r="I1103"/>
  <c r="J1103"/>
  <c r="D1103"/>
  <c r="C1103"/>
  <c r="H1104"/>
  <c r="I1102"/>
  <c r="J1102"/>
  <c r="D1102"/>
  <c r="C1102"/>
  <c r="H1109"/>
  <c r="H1108"/>
  <c r="L1107"/>
  <c r="G1107"/>
  <c r="F1107"/>
  <c r="E1107"/>
  <c r="L1104"/>
  <c r="G1104"/>
  <c r="F1104"/>
  <c r="E1104"/>
  <c r="J1105"/>
  <c r="D1105"/>
  <c r="C1105"/>
  <c r="I1105"/>
  <c r="H1106"/>
  <c r="G1106"/>
  <c r="F1106"/>
  <c r="E1106"/>
  <c r="L1106"/>
  <c r="J1104"/>
  <c r="D1104"/>
  <c r="C1104"/>
  <c r="I1104"/>
  <c r="I1107"/>
  <c r="J1107"/>
  <c r="D1107"/>
  <c r="C1107"/>
  <c r="L1108"/>
  <c r="G1108"/>
  <c r="F1108"/>
  <c r="E1108"/>
  <c r="H1111"/>
  <c r="H1110"/>
  <c r="L1109"/>
  <c r="G1109"/>
  <c r="F1109"/>
  <c r="E1109"/>
  <c r="J1109"/>
  <c r="D1109"/>
  <c r="C1109"/>
  <c r="I1109"/>
  <c r="G1110"/>
  <c r="F1110"/>
  <c r="E1110"/>
  <c r="L1110"/>
  <c r="J1108"/>
  <c r="D1108"/>
  <c r="C1108"/>
  <c r="I1108"/>
  <c r="I1106"/>
  <c r="J1106"/>
  <c r="D1106"/>
  <c r="C1106"/>
  <c r="H1113"/>
  <c r="H1112"/>
  <c r="L1111"/>
  <c r="G1111"/>
  <c r="F1111"/>
  <c r="E1111"/>
  <c r="I1111"/>
  <c r="J1111"/>
  <c r="D1111"/>
  <c r="C1111"/>
  <c r="H1115"/>
  <c r="L1113"/>
  <c r="G1113"/>
  <c r="F1113"/>
  <c r="E1113"/>
  <c r="I1110"/>
  <c r="J1110"/>
  <c r="D1110"/>
  <c r="C1110"/>
  <c r="L1112"/>
  <c r="G1112"/>
  <c r="F1112"/>
  <c r="E1112"/>
  <c r="J1112"/>
  <c r="D1112"/>
  <c r="C1112"/>
  <c r="I1112"/>
  <c r="H1117"/>
  <c r="L1115"/>
  <c r="G1115"/>
  <c r="F1115"/>
  <c r="E1115"/>
  <c r="J1113"/>
  <c r="D1113"/>
  <c r="C1113"/>
  <c r="I1113"/>
  <c r="H1114"/>
  <c r="G1114"/>
  <c r="F1114"/>
  <c r="E1114"/>
  <c r="L1114"/>
  <c r="H1119"/>
  <c r="H1118"/>
  <c r="L1117"/>
  <c r="G1117"/>
  <c r="F1117"/>
  <c r="E1117"/>
  <c r="I1115"/>
  <c r="J1115"/>
  <c r="D1115"/>
  <c r="C1115"/>
  <c r="H1116"/>
  <c r="G1118"/>
  <c r="F1118"/>
  <c r="E1118"/>
  <c r="L1118"/>
  <c r="L1116"/>
  <c r="G1116"/>
  <c r="F1116"/>
  <c r="E1116"/>
  <c r="J1117"/>
  <c r="D1117"/>
  <c r="C1117"/>
  <c r="I1117"/>
  <c r="H1121"/>
  <c r="L1119"/>
  <c r="G1119"/>
  <c r="F1119"/>
  <c r="E1119"/>
  <c r="I1114"/>
  <c r="J1114"/>
  <c r="D1114"/>
  <c r="C1114"/>
  <c r="H1123"/>
  <c r="H1122"/>
  <c r="L1121"/>
  <c r="G1121"/>
  <c r="F1121"/>
  <c r="E1121"/>
  <c r="J1116"/>
  <c r="D1116"/>
  <c r="C1116"/>
  <c r="I1116"/>
  <c r="I1119"/>
  <c r="J1119"/>
  <c r="D1119"/>
  <c r="C1119"/>
  <c r="H1120"/>
  <c r="I1118"/>
  <c r="J1118"/>
  <c r="D1118"/>
  <c r="C1118"/>
  <c r="G1122"/>
  <c r="F1122"/>
  <c r="E1122"/>
  <c r="L1122"/>
  <c r="J1121"/>
  <c r="D1121"/>
  <c r="C1121"/>
  <c r="I1121"/>
  <c r="L1120"/>
  <c r="G1120"/>
  <c r="F1120"/>
  <c r="E1120"/>
  <c r="H1125"/>
  <c r="H1124"/>
  <c r="L1123"/>
  <c r="G1123"/>
  <c r="F1123"/>
  <c r="E1123"/>
  <c r="I1123"/>
  <c r="J1123"/>
  <c r="D1123"/>
  <c r="C1123"/>
  <c r="H1127"/>
  <c r="L1125"/>
  <c r="G1125"/>
  <c r="F1125"/>
  <c r="E1125"/>
  <c r="L1124"/>
  <c r="G1124"/>
  <c r="F1124"/>
  <c r="E1124"/>
  <c r="J1120"/>
  <c r="D1120"/>
  <c r="C1120"/>
  <c r="I1120"/>
  <c r="I1122"/>
  <c r="J1122"/>
  <c r="D1122"/>
  <c r="C1122"/>
  <c r="H1129"/>
  <c r="H1128"/>
  <c r="L1127"/>
  <c r="G1127"/>
  <c r="F1127"/>
  <c r="E1127"/>
  <c r="J1124"/>
  <c r="D1124"/>
  <c r="C1124"/>
  <c r="I1124"/>
  <c r="J1125"/>
  <c r="D1125"/>
  <c r="C1125"/>
  <c r="I1125"/>
  <c r="H1126"/>
  <c r="L1128"/>
  <c r="G1128"/>
  <c r="F1128"/>
  <c r="E1128"/>
  <c r="I1127"/>
  <c r="J1127"/>
  <c r="D1127"/>
  <c r="C1127"/>
  <c r="G1126"/>
  <c r="F1126"/>
  <c r="E1126"/>
  <c r="L1126"/>
  <c r="H1131"/>
  <c r="L1129"/>
  <c r="G1129"/>
  <c r="F1129"/>
  <c r="E1129"/>
  <c r="H1133"/>
  <c r="H1132"/>
  <c r="L1131"/>
  <c r="G1131"/>
  <c r="F1131"/>
  <c r="E1131"/>
  <c r="I1126"/>
  <c r="J1126"/>
  <c r="D1126"/>
  <c r="C1126"/>
  <c r="J1128"/>
  <c r="D1128"/>
  <c r="C1128"/>
  <c r="I1128"/>
  <c r="J1129"/>
  <c r="D1129"/>
  <c r="C1129"/>
  <c r="I1129"/>
  <c r="H1130"/>
  <c r="L1132"/>
  <c r="G1132"/>
  <c r="F1132"/>
  <c r="E1132"/>
  <c r="G1130"/>
  <c r="F1130"/>
  <c r="E1130"/>
  <c r="L1130"/>
  <c r="I1131"/>
  <c r="J1131"/>
  <c r="D1131"/>
  <c r="C1131"/>
  <c r="H1135"/>
  <c r="H1134"/>
  <c r="L1133"/>
  <c r="G1133"/>
  <c r="F1133"/>
  <c r="E1133"/>
  <c r="J1133"/>
  <c r="D1133"/>
  <c r="C1133"/>
  <c r="I1133"/>
  <c r="G1134"/>
  <c r="F1134"/>
  <c r="E1134"/>
  <c r="L1134"/>
  <c r="I1130"/>
  <c r="J1130"/>
  <c r="D1130"/>
  <c r="C1130"/>
  <c r="H1137"/>
  <c r="L1135"/>
  <c r="G1135"/>
  <c r="F1135"/>
  <c r="E1135"/>
  <c r="J1132"/>
  <c r="D1132"/>
  <c r="C1132"/>
  <c r="I1132"/>
  <c r="H1139"/>
  <c r="L1137"/>
  <c r="G1137"/>
  <c r="F1137"/>
  <c r="E1137"/>
  <c r="I1135"/>
  <c r="J1135"/>
  <c r="D1135"/>
  <c r="C1135"/>
  <c r="H1136"/>
  <c r="I1134"/>
  <c r="J1134"/>
  <c r="D1134"/>
  <c r="C1134"/>
  <c r="H1141"/>
  <c r="H1140"/>
  <c r="L1139"/>
  <c r="G1139"/>
  <c r="F1139"/>
  <c r="E1139"/>
  <c r="L1136"/>
  <c r="G1136"/>
  <c r="F1136"/>
  <c r="E1136"/>
  <c r="J1137"/>
  <c r="D1137"/>
  <c r="C1137"/>
  <c r="I1137"/>
  <c r="H1138"/>
  <c r="L1140"/>
  <c r="G1140"/>
  <c r="F1140"/>
  <c r="E1140"/>
  <c r="G1138"/>
  <c r="F1138"/>
  <c r="E1138"/>
  <c r="L1138"/>
  <c r="J1136"/>
  <c r="D1136"/>
  <c r="C1136"/>
  <c r="I1136"/>
  <c r="I1139"/>
  <c r="J1139"/>
  <c r="D1139"/>
  <c r="C1139"/>
  <c r="H1143"/>
  <c r="H1142"/>
  <c r="L1141"/>
  <c r="G1141"/>
  <c r="F1141"/>
  <c r="E1141"/>
  <c r="J1141"/>
  <c r="D1141"/>
  <c r="C1141"/>
  <c r="I1141"/>
  <c r="J1140"/>
  <c r="D1140"/>
  <c r="C1140"/>
  <c r="I1140"/>
  <c r="G1142"/>
  <c r="F1142"/>
  <c r="E1142"/>
  <c r="L1142"/>
  <c r="H1145"/>
  <c r="H1144"/>
  <c r="L1143"/>
  <c r="G1143"/>
  <c r="F1143"/>
  <c r="E1143"/>
  <c r="I1138"/>
  <c r="J1138"/>
  <c r="D1138"/>
  <c r="C1138"/>
  <c r="L1144"/>
  <c r="G1144"/>
  <c r="F1144"/>
  <c r="E1144"/>
  <c r="I1143"/>
  <c r="J1143"/>
  <c r="D1143"/>
  <c r="C1143"/>
  <c r="H1147"/>
  <c r="L1145"/>
  <c r="G1145"/>
  <c r="F1145"/>
  <c r="E1145"/>
  <c r="I1142"/>
  <c r="J1142"/>
  <c r="D1142"/>
  <c r="C1142"/>
  <c r="H1149"/>
  <c r="H1148"/>
  <c r="L1147"/>
  <c r="G1147"/>
  <c r="F1147"/>
  <c r="E1147"/>
  <c r="J1144"/>
  <c r="D1144"/>
  <c r="C1144"/>
  <c r="I1144"/>
  <c r="J1145"/>
  <c r="D1145"/>
  <c r="C1145"/>
  <c r="I1145"/>
  <c r="H1146"/>
  <c r="L1148"/>
  <c r="G1148"/>
  <c r="F1148"/>
  <c r="E1148"/>
  <c r="I1147"/>
  <c r="J1147"/>
  <c r="D1147"/>
  <c r="C1147"/>
  <c r="G1146"/>
  <c r="F1146"/>
  <c r="E1146"/>
  <c r="L1146"/>
  <c r="H1151"/>
  <c r="L1149"/>
  <c r="G1149"/>
  <c r="F1149"/>
  <c r="E1149"/>
  <c r="H1153"/>
  <c r="H1152"/>
  <c r="L1151"/>
  <c r="G1151"/>
  <c r="F1151"/>
  <c r="E1151"/>
  <c r="I1146"/>
  <c r="J1146"/>
  <c r="D1146"/>
  <c r="C1146"/>
  <c r="J1148"/>
  <c r="D1148"/>
  <c r="C1148"/>
  <c r="I1148"/>
  <c r="J1149"/>
  <c r="D1149"/>
  <c r="C1149"/>
  <c r="I1149"/>
  <c r="H1150"/>
  <c r="L1152"/>
  <c r="G1152"/>
  <c r="F1152"/>
  <c r="E1152"/>
  <c r="I1151"/>
  <c r="J1151"/>
  <c r="D1151"/>
  <c r="C1151"/>
  <c r="G1150"/>
  <c r="F1150"/>
  <c r="E1150"/>
  <c r="L1150"/>
  <c r="H1155"/>
  <c r="L1153"/>
  <c r="G1153"/>
  <c r="F1153"/>
  <c r="E1153"/>
  <c r="H1157"/>
  <c r="H1156"/>
  <c r="L1155"/>
  <c r="G1155"/>
  <c r="F1155"/>
  <c r="E1155"/>
  <c r="I1150"/>
  <c r="J1150"/>
  <c r="D1150"/>
  <c r="C1150"/>
  <c r="J1152"/>
  <c r="D1152"/>
  <c r="C1152"/>
  <c r="I1152"/>
  <c r="J1153"/>
  <c r="D1153"/>
  <c r="C1153"/>
  <c r="I1153"/>
  <c r="H1154"/>
  <c r="L1156"/>
  <c r="G1156"/>
  <c r="F1156"/>
  <c r="E1156"/>
  <c r="G1154"/>
  <c r="F1154"/>
  <c r="E1154"/>
  <c r="L1154"/>
  <c r="I1155"/>
  <c r="J1155"/>
  <c r="D1155"/>
  <c r="C1155"/>
  <c r="H1159"/>
  <c r="L1157"/>
  <c r="G1157"/>
  <c r="F1157"/>
  <c r="E1157"/>
  <c r="H1161"/>
  <c r="L1159"/>
  <c r="G1159"/>
  <c r="F1159"/>
  <c r="E1159"/>
  <c r="J1156"/>
  <c r="D1156"/>
  <c r="C1156"/>
  <c r="I1156"/>
  <c r="J1157"/>
  <c r="D1157"/>
  <c r="C1157"/>
  <c r="I1157"/>
  <c r="H1158"/>
  <c r="I1154"/>
  <c r="J1154"/>
  <c r="D1154"/>
  <c r="C1154"/>
  <c r="G1158"/>
  <c r="F1158"/>
  <c r="E1158"/>
  <c r="L1158"/>
  <c r="H1163"/>
  <c r="L1161"/>
  <c r="G1161"/>
  <c r="F1161"/>
  <c r="E1161"/>
  <c r="I1159"/>
  <c r="J1159"/>
  <c r="D1159"/>
  <c r="C1159"/>
  <c r="H1160"/>
  <c r="H1165"/>
  <c r="L1163"/>
  <c r="G1163"/>
  <c r="F1163"/>
  <c r="E1163"/>
  <c r="I1158"/>
  <c r="J1158"/>
  <c r="D1158"/>
  <c r="C1158"/>
  <c r="L1160"/>
  <c r="G1160"/>
  <c r="F1160"/>
  <c r="E1160"/>
  <c r="J1161"/>
  <c r="D1161"/>
  <c r="C1161"/>
  <c r="I1161"/>
  <c r="H1162"/>
  <c r="G1162"/>
  <c r="F1162"/>
  <c r="E1162"/>
  <c r="L1162"/>
  <c r="J1160"/>
  <c r="D1160"/>
  <c r="C1160"/>
  <c r="I1160"/>
  <c r="H1167"/>
  <c r="H1166"/>
  <c r="L1165"/>
  <c r="G1165"/>
  <c r="F1165"/>
  <c r="E1165"/>
  <c r="I1163"/>
  <c r="J1163"/>
  <c r="D1163"/>
  <c r="C1163"/>
  <c r="H1164"/>
  <c r="G1166"/>
  <c r="F1166"/>
  <c r="E1166"/>
  <c r="L1166"/>
  <c r="H1169"/>
  <c r="H1168"/>
  <c r="L1167"/>
  <c r="G1167"/>
  <c r="F1167"/>
  <c r="E1167"/>
  <c r="L1164"/>
  <c r="G1164"/>
  <c r="F1164"/>
  <c r="E1164"/>
  <c r="J1165"/>
  <c r="D1165"/>
  <c r="C1165"/>
  <c r="I1165"/>
  <c r="I1162"/>
  <c r="J1162"/>
  <c r="D1162"/>
  <c r="C1162"/>
  <c r="L1168"/>
  <c r="G1168"/>
  <c r="F1168"/>
  <c r="E1168"/>
  <c r="J1164"/>
  <c r="D1164"/>
  <c r="C1164"/>
  <c r="I1164"/>
  <c r="I1167"/>
  <c r="J1167"/>
  <c r="D1167"/>
  <c r="C1167"/>
  <c r="H1171"/>
  <c r="H1170"/>
  <c r="L1169"/>
  <c r="G1169"/>
  <c r="F1169"/>
  <c r="E1169"/>
  <c r="I1166"/>
  <c r="J1166"/>
  <c r="D1166"/>
  <c r="C1166"/>
  <c r="G1170"/>
  <c r="F1170"/>
  <c r="E1170"/>
  <c r="L1170"/>
  <c r="J1168"/>
  <c r="D1168"/>
  <c r="C1168"/>
  <c r="I1168"/>
  <c r="J1169"/>
  <c r="D1169"/>
  <c r="C1169"/>
  <c r="I1169"/>
  <c r="H1173"/>
  <c r="H1172"/>
  <c r="L1171"/>
  <c r="G1171"/>
  <c r="F1171"/>
  <c r="E1171"/>
  <c r="L1172"/>
  <c r="G1172"/>
  <c r="F1172"/>
  <c r="E1172"/>
  <c r="I1171"/>
  <c r="J1171"/>
  <c r="D1171"/>
  <c r="C1171"/>
  <c r="H1175"/>
  <c r="L1173"/>
  <c r="G1173"/>
  <c r="F1173"/>
  <c r="E1173"/>
  <c r="I1170"/>
  <c r="J1170"/>
  <c r="D1170"/>
  <c r="C1170"/>
  <c r="H1177"/>
  <c r="H1176"/>
  <c r="L1175"/>
  <c r="G1175"/>
  <c r="F1175"/>
  <c r="E1175"/>
  <c r="J1172"/>
  <c r="D1172"/>
  <c r="C1172"/>
  <c r="I1172"/>
  <c r="J1173"/>
  <c r="D1173"/>
  <c r="C1173"/>
  <c r="I1173"/>
  <c r="H1174"/>
  <c r="L1176"/>
  <c r="G1176"/>
  <c r="F1176"/>
  <c r="E1176"/>
  <c r="I1175"/>
  <c r="J1175"/>
  <c r="D1175"/>
  <c r="C1175"/>
  <c r="G1174"/>
  <c r="F1174"/>
  <c r="E1174"/>
  <c r="L1174"/>
  <c r="H1179"/>
  <c r="L1177"/>
  <c r="G1177"/>
  <c r="F1177"/>
  <c r="E1177"/>
  <c r="H1181"/>
  <c r="H1180"/>
  <c r="L1179"/>
  <c r="G1179"/>
  <c r="F1179"/>
  <c r="E1179"/>
  <c r="I1174"/>
  <c r="J1174"/>
  <c r="D1174"/>
  <c r="C1174"/>
  <c r="J1176"/>
  <c r="D1176"/>
  <c r="C1176"/>
  <c r="I1176"/>
  <c r="J1177"/>
  <c r="D1177"/>
  <c r="C1177"/>
  <c r="I1177"/>
  <c r="H1178"/>
  <c r="L1180"/>
  <c r="G1180"/>
  <c r="F1180"/>
  <c r="E1180"/>
  <c r="I1179"/>
  <c r="J1179"/>
  <c r="D1179"/>
  <c r="C1179"/>
  <c r="G1178"/>
  <c r="F1178"/>
  <c r="E1178"/>
  <c r="L1178"/>
  <c r="H1183"/>
  <c r="L1181"/>
  <c r="G1181"/>
  <c r="F1181"/>
  <c r="E1181"/>
  <c r="H1185"/>
  <c r="H1184"/>
  <c r="L1183"/>
  <c r="G1183"/>
  <c r="F1183"/>
  <c r="E1183"/>
  <c r="I1178"/>
  <c r="J1178"/>
  <c r="D1178"/>
  <c r="C1178"/>
  <c r="J1180"/>
  <c r="D1180"/>
  <c r="C1180"/>
  <c r="I1180"/>
  <c r="J1181"/>
  <c r="D1181"/>
  <c r="C1181"/>
  <c r="I1181"/>
  <c r="H1182"/>
  <c r="L1184"/>
  <c r="G1184"/>
  <c r="F1184"/>
  <c r="E1184"/>
  <c r="G1182"/>
  <c r="F1182"/>
  <c r="E1182"/>
  <c r="L1182"/>
  <c r="I1183"/>
  <c r="J1183"/>
  <c r="D1183"/>
  <c r="C1183"/>
  <c r="H1187"/>
  <c r="H1186"/>
  <c r="L1185"/>
  <c r="G1185"/>
  <c r="F1185"/>
  <c r="E1185"/>
  <c r="J1185"/>
  <c r="D1185"/>
  <c r="C1185"/>
  <c r="I1185"/>
  <c r="H1189"/>
  <c r="H1188"/>
  <c r="L1187"/>
  <c r="G1187"/>
  <c r="F1187"/>
  <c r="E1187"/>
  <c r="J1184"/>
  <c r="D1184"/>
  <c r="C1184"/>
  <c r="I1184"/>
  <c r="G1186"/>
  <c r="F1186"/>
  <c r="E1186"/>
  <c r="L1186"/>
  <c r="I1182"/>
  <c r="J1182"/>
  <c r="D1182"/>
  <c r="C1182"/>
  <c r="I1186"/>
  <c r="J1186"/>
  <c r="D1186"/>
  <c r="C1186"/>
  <c r="I1187"/>
  <c r="J1187"/>
  <c r="D1187"/>
  <c r="C1187"/>
  <c r="L1188"/>
  <c r="G1188"/>
  <c r="F1188"/>
  <c r="E1188"/>
  <c r="H1191"/>
  <c r="L1189"/>
  <c r="G1189"/>
  <c r="F1189"/>
  <c r="E1189"/>
  <c r="H1193"/>
  <c r="L1191"/>
  <c r="G1191"/>
  <c r="F1191"/>
  <c r="E1191"/>
  <c r="J1189"/>
  <c r="D1189"/>
  <c r="C1189"/>
  <c r="I1189"/>
  <c r="H1190"/>
  <c r="J1188"/>
  <c r="D1188"/>
  <c r="C1188"/>
  <c r="I1188"/>
  <c r="H1195"/>
  <c r="H1194"/>
  <c r="L1193"/>
  <c r="G1193"/>
  <c r="F1193"/>
  <c r="E1193"/>
  <c r="G1190"/>
  <c r="F1190"/>
  <c r="E1190"/>
  <c r="L1190"/>
  <c r="I1191"/>
  <c r="J1191"/>
  <c r="D1191"/>
  <c r="C1191"/>
  <c r="H1192"/>
  <c r="G1194"/>
  <c r="F1194"/>
  <c r="E1194"/>
  <c r="L1194"/>
  <c r="L1192"/>
  <c r="G1192"/>
  <c r="F1192"/>
  <c r="E1192"/>
  <c r="J1193"/>
  <c r="D1193"/>
  <c r="C1193"/>
  <c r="I1193"/>
  <c r="I1190"/>
  <c r="J1190"/>
  <c r="D1190"/>
  <c r="C1190"/>
  <c r="H1197"/>
  <c r="H1196"/>
  <c r="L1195"/>
  <c r="G1195"/>
  <c r="F1195"/>
  <c r="E1195"/>
  <c r="I1195"/>
  <c r="J1195"/>
  <c r="D1195"/>
  <c r="C1195"/>
  <c r="J1192"/>
  <c r="D1192"/>
  <c r="C1192"/>
  <c r="I1192"/>
  <c r="L1196"/>
  <c r="G1196"/>
  <c r="F1196"/>
  <c r="E1196"/>
  <c r="H1199"/>
  <c r="H1198"/>
  <c r="L1197"/>
  <c r="G1197"/>
  <c r="F1197"/>
  <c r="E1197"/>
  <c r="I1194"/>
  <c r="J1194"/>
  <c r="D1194"/>
  <c r="C1194"/>
  <c r="J1197"/>
  <c r="D1197"/>
  <c r="C1197"/>
  <c r="I1197"/>
  <c r="G1198"/>
  <c r="F1198"/>
  <c r="E1198"/>
  <c r="L1198"/>
  <c r="J1196"/>
  <c r="D1196"/>
  <c r="C1196"/>
  <c r="I1196"/>
  <c r="H1201"/>
  <c r="H1200"/>
  <c r="L1199"/>
  <c r="G1199"/>
  <c r="F1199"/>
  <c r="E1199"/>
  <c r="I1199"/>
  <c r="J1199"/>
  <c r="D1199"/>
  <c r="C1199"/>
  <c r="I1198"/>
  <c r="J1198"/>
  <c r="D1198"/>
  <c r="C1198"/>
  <c r="L1200"/>
  <c r="G1200"/>
  <c r="F1200"/>
  <c r="E1200"/>
  <c r="H1203"/>
  <c r="H1202"/>
  <c r="L1201"/>
  <c r="G1201"/>
  <c r="F1201"/>
  <c r="E1201"/>
  <c r="G1202"/>
  <c r="F1202"/>
  <c r="E1202"/>
  <c r="L1202"/>
  <c r="J1200"/>
  <c r="D1200"/>
  <c r="C1200"/>
  <c r="I1200"/>
  <c r="J1201"/>
  <c r="D1201"/>
  <c r="C1201"/>
  <c r="I1201"/>
  <c r="H1205"/>
  <c r="H1204"/>
  <c r="L1203"/>
  <c r="G1203"/>
  <c r="F1203"/>
  <c r="E1203"/>
  <c r="L1204"/>
  <c r="G1204"/>
  <c r="F1204"/>
  <c r="E1204"/>
  <c r="I1203"/>
  <c r="J1203"/>
  <c r="D1203"/>
  <c r="C1203"/>
  <c r="H1207"/>
  <c r="L1205"/>
  <c r="G1205"/>
  <c r="F1205"/>
  <c r="E1205"/>
  <c r="I1202"/>
  <c r="J1202"/>
  <c r="D1202"/>
  <c r="C1202"/>
  <c r="L1207"/>
  <c r="G1207"/>
  <c r="F1207"/>
  <c r="E1207"/>
  <c r="J1204"/>
  <c r="D1204"/>
  <c r="C1204"/>
  <c r="I1204"/>
  <c r="J1205"/>
  <c r="D1205"/>
  <c r="C1205"/>
  <c r="I1205"/>
  <c r="H1206"/>
  <c r="I1207"/>
  <c r="J1207"/>
  <c r="D1207"/>
  <c r="C1207"/>
  <c r="G1206"/>
  <c r="F1206"/>
  <c r="E1206"/>
  <c r="L1206"/>
  <c r="U475" i="30"/>
  <c r="V92" s="1"/>
  <c r="U475" i="35"/>
  <c r="V92" s="1"/>
  <c r="U475" i="33"/>
  <c r="V92" s="1"/>
  <c r="U475" i="39"/>
  <c r="V92" s="1"/>
  <c r="U475" i="16"/>
  <c r="V92"/>
  <c r="U475" i="29"/>
  <c r="V92"/>
  <c r="U475" i="18"/>
  <c r="V92"/>
  <c r="AM480" i="37"/>
  <c r="AN97"/>
  <c r="Y16" s="1"/>
  <c r="Y17" s="1"/>
  <c r="Y18" s="1"/>
  <c r="Y20" s="1"/>
  <c r="U475" i="23"/>
  <c r="V92"/>
  <c r="I1206" i="42"/>
  <c r="J1206"/>
  <c r="D1206"/>
  <c r="C1206"/>
  <c r="G1290" i="52" l="1"/>
  <c r="F368" i="51"/>
  <c r="AA23" i="37"/>
  <c r="AA21"/>
  <c r="AA24" s="1"/>
  <c r="Z23"/>
  <c r="Z21"/>
  <c r="E1291" i="52"/>
  <c r="X92" i="50"/>
  <c r="I101" i="51" s="1"/>
  <c r="K94" i="20"/>
  <c r="K99" s="1"/>
  <c r="Q94"/>
  <c r="AC23" i="37"/>
  <c r="AC21"/>
  <c r="AC24" s="1"/>
  <c r="Y23"/>
  <c r="Y21"/>
  <c r="Y24" s="1"/>
  <c r="J356" i="51"/>
  <c r="I389" s="1"/>
  <c r="J1322" i="52"/>
  <c r="J1331" s="1"/>
  <c r="E357" i="51"/>
  <c r="F1276" i="52"/>
  <c r="X201" i="15"/>
  <c r="X196"/>
  <c r="W180" i="50"/>
  <c r="W175"/>
  <c r="W181" s="1"/>
  <c r="X196" i="14"/>
  <c r="X202" s="1"/>
  <c r="Y288" s="1"/>
  <c r="X201"/>
  <c r="X282" i="21"/>
  <c r="X281" s="1"/>
  <c r="Y297"/>
  <c r="V297" i="25"/>
  <c r="U282"/>
  <c r="U281" s="1"/>
  <c r="E368" i="51"/>
  <c r="G1288" i="52"/>
  <c r="AB21" i="37"/>
  <c r="W23"/>
  <c r="X181" i="21"/>
  <c r="V465" i="24"/>
  <c r="U465" s="1"/>
  <c r="X175" i="50"/>
  <c r="X181" s="1"/>
  <c r="X180"/>
  <c r="X180" i="13"/>
  <c r="X175"/>
  <c r="X282" i="15"/>
  <c r="X281" s="1"/>
  <c r="Y297"/>
  <c r="H354" i="51"/>
  <c r="X202" i="15"/>
  <c r="Y288" s="1"/>
  <c r="X181" i="13"/>
  <c r="W283" i="50"/>
  <c r="X283" i="18"/>
  <c r="V283" i="33"/>
  <c r="AP287" i="37"/>
  <c r="AP286" s="1"/>
  <c r="AQ302"/>
  <c r="X175" i="21"/>
  <c r="X180"/>
  <c r="AN180" i="37"/>
  <c r="AN186" s="1"/>
  <c r="AN185"/>
  <c r="V180" i="33"/>
  <c r="V175"/>
  <c r="V181" s="1"/>
  <c r="X283" i="50"/>
  <c r="U283" i="14"/>
  <c r="X282" i="35"/>
  <c r="X281" s="1"/>
  <c r="Y297"/>
  <c r="X180" i="15"/>
  <c r="X175"/>
  <c r="X181" s="1"/>
  <c r="X201" i="21"/>
  <c r="X196"/>
  <c r="AP185" i="37"/>
  <c r="AP180"/>
  <c r="AP186" s="1"/>
  <c r="X180" i="35"/>
  <c r="X175"/>
  <c r="X181" s="1"/>
  <c r="X282" i="14"/>
  <c r="X281" s="1"/>
  <c r="Y297"/>
  <c r="W282" i="22"/>
  <c r="W281" s="1"/>
  <c r="X297"/>
  <c r="V463"/>
  <c r="X202" i="21"/>
  <c r="Y288" s="1"/>
  <c r="X283" i="13"/>
  <c r="U185" i="39"/>
  <c r="U164"/>
  <c r="U185" i="17"/>
  <c r="U164"/>
  <c r="U463" i="22"/>
  <c r="W200" i="18"/>
  <c r="W191"/>
  <c r="W282" i="23"/>
  <c r="W281" s="1"/>
  <c r="X297"/>
  <c r="X185" i="24"/>
  <c r="X164"/>
  <c r="X159"/>
  <c r="V297" i="19"/>
  <c r="U282"/>
  <c r="U281" s="1"/>
  <c r="X196" i="50"/>
  <c r="X202" s="1"/>
  <c r="Y288" s="1"/>
  <c r="AP206" i="37"/>
  <c r="V459" i="22"/>
  <c r="U459" s="1"/>
  <c r="X93" s="1"/>
  <c r="X179" i="13"/>
  <c r="V283" i="18"/>
  <c r="H86" i="51"/>
  <c r="H117" s="1"/>
  <c r="H116"/>
  <c r="X196" i="25"/>
  <c r="X202" s="1"/>
  <c r="Y288" s="1"/>
  <c r="X201"/>
  <c r="V502" i="35"/>
  <c r="U283" i="23"/>
  <c r="X164" i="22"/>
  <c r="X159"/>
  <c r="X185"/>
  <c r="X164" i="33"/>
  <c r="X185"/>
  <c r="X159"/>
  <c r="G86" i="51"/>
  <c r="G117" s="1"/>
  <c r="G116"/>
  <c r="I86"/>
  <c r="I117" s="1"/>
  <c r="I116"/>
  <c r="W147" i="13"/>
  <c r="W153" s="1"/>
  <c r="X222"/>
  <c r="U383"/>
  <c r="U502"/>
  <c r="U354" i="14"/>
  <c r="U473"/>
  <c r="W222"/>
  <c r="W223" s="1"/>
  <c r="W224" s="1"/>
  <c r="V147"/>
  <c r="V153" s="1"/>
  <c r="W147" i="35"/>
  <c r="W153" s="1"/>
  <c r="W159" s="1"/>
  <c r="U383"/>
  <c r="V383" s="1"/>
  <c r="U502"/>
  <c r="X222"/>
  <c r="V283" i="23"/>
  <c r="U283" i="50"/>
  <c r="W179" i="14"/>
  <c r="AN536" i="36"/>
  <c r="V354" i="14"/>
  <c r="AM190" i="37"/>
  <c r="AM169"/>
  <c r="V383" i="30"/>
  <c r="AP227" i="36"/>
  <c r="AO152"/>
  <c r="AO158" s="1"/>
  <c r="AO164" s="1"/>
  <c r="AM507"/>
  <c r="AM388"/>
  <c r="V186" i="23"/>
  <c r="V165"/>
  <c r="Y221" i="33"/>
  <c r="Y229" s="1"/>
  <c r="U412"/>
  <c r="U147"/>
  <c r="U531"/>
  <c r="V222"/>
  <c r="T444" i="16"/>
  <c r="X108"/>
  <c r="X120" s="1"/>
  <c r="X77"/>
  <c r="X109" s="1"/>
  <c r="X121" s="1"/>
  <c r="U473" i="17"/>
  <c r="V147"/>
  <c r="V153" s="1"/>
  <c r="W222"/>
  <c r="U412" i="16"/>
  <c r="U147"/>
  <c r="U502"/>
  <c r="W147"/>
  <c r="W153" s="1"/>
  <c r="X222"/>
  <c r="U383"/>
  <c r="V185"/>
  <c r="V159"/>
  <c r="Y231" i="35"/>
  <c r="Y221"/>
  <c r="Y229" s="1"/>
  <c r="U502" i="30"/>
  <c r="X222"/>
  <c r="W147"/>
  <c r="W153" s="1"/>
  <c r="U383"/>
  <c r="U325"/>
  <c r="U444"/>
  <c r="Y222"/>
  <c r="X147"/>
  <c r="X153" s="1"/>
  <c r="W108" i="29"/>
  <c r="W120" s="1"/>
  <c r="T502"/>
  <c r="W77"/>
  <c r="W109" s="1"/>
  <c r="W121" s="1"/>
  <c r="W227" i="50"/>
  <c r="V61"/>
  <c r="V62" s="1"/>
  <c r="AM536" i="36"/>
  <c r="AN227"/>
  <c r="AM417"/>
  <c r="AM152"/>
  <c r="Y221" i="24"/>
  <c r="Y229" s="1"/>
  <c r="V61" i="22"/>
  <c r="V62" s="1"/>
  <c r="W227"/>
  <c r="W221" i="33"/>
  <c r="W229" s="1"/>
  <c r="W231"/>
  <c r="X221"/>
  <c r="X231"/>
  <c r="X108" i="34"/>
  <c r="X120" s="1"/>
  <c r="X77"/>
  <c r="X109" s="1"/>
  <c r="X121" s="1"/>
  <c r="T444"/>
  <c r="W77" i="16"/>
  <c r="W109" s="1"/>
  <c r="W121" s="1"/>
  <c r="T502"/>
  <c r="W61" i="15"/>
  <c r="W62" s="1"/>
  <c r="X227"/>
  <c r="AO232" i="36"/>
  <c r="AN66"/>
  <c r="AN67" s="1"/>
  <c r="AO236"/>
  <c r="V222" i="28"/>
  <c r="V223" s="1"/>
  <c r="V224" s="1"/>
  <c r="U412"/>
  <c r="U531"/>
  <c r="U147"/>
  <c r="Y222"/>
  <c r="U325"/>
  <c r="U444"/>
  <c r="X147"/>
  <c r="X153" s="1"/>
  <c r="X108" i="27"/>
  <c r="X120" s="1"/>
  <c r="X77"/>
  <c r="X109" s="1"/>
  <c r="X121" s="1"/>
  <c r="T444"/>
  <c r="U473" i="25"/>
  <c r="W222"/>
  <c r="W223" s="1"/>
  <c r="W224" s="1"/>
  <c r="V147"/>
  <c r="V153" s="1"/>
  <c r="V159" s="1"/>
  <c r="U354"/>
  <c r="X227" i="33"/>
  <c r="W61"/>
  <c r="W62" s="1"/>
  <c r="W77" i="34"/>
  <c r="W109" s="1"/>
  <c r="W121" s="1"/>
  <c r="T502"/>
  <c r="W108"/>
  <c r="W120" s="1"/>
  <c r="U444" i="17"/>
  <c r="Y222"/>
  <c r="X147"/>
  <c r="X153" s="1"/>
  <c r="Z16" i="38"/>
  <c r="Z17" s="1"/>
  <c r="AO207"/>
  <c r="AL364"/>
  <c r="AL483"/>
  <c r="AN157"/>
  <c r="AN162" s="1"/>
  <c r="Y221" i="14"/>
  <c r="Y229" s="1"/>
  <c r="W77" i="27"/>
  <c r="W109" s="1"/>
  <c r="W121" s="1"/>
  <c r="T502"/>
  <c r="W108"/>
  <c r="W120" s="1"/>
  <c r="U444"/>
  <c r="Y222"/>
  <c r="X147"/>
  <c r="X153" s="1"/>
  <c r="U325"/>
  <c r="V61" i="24"/>
  <c r="V62" s="1"/>
  <c r="W227"/>
  <c r="W61"/>
  <c r="W62" s="1"/>
  <c r="X227"/>
  <c r="U354" i="27"/>
  <c r="U473"/>
  <c r="W222"/>
  <c r="W223" s="1"/>
  <c r="V147"/>
  <c r="V153" s="1"/>
  <c r="V159" s="1"/>
  <c r="Y221" i="19"/>
  <c r="Y231"/>
  <c r="V145" i="35"/>
  <c r="W145"/>
  <c r="H317" i="51"/>
  <c r="J317" s="1"/>
  <c r="G321"/>
  <c r="H319"/>
  <c r="J319" s="1"/>
  <c r="P71" i="20"/>
  <c r="E69" s="1"/>
  <c r="W67" s="1"/>
  <c r="P73"/>
  <c r="P72"/>
  <c r="AM69" i="38"/>
  <c r="AM70" s="1"/>
  <c r="AN212"/>
  <c r="V145" i="15"/>
  <c r="W145"/>
  <c r="U258"/>
  <c r="V227"/>
  <c r="U61"/>
  <c r="U62" s="1"/>
  <c r="V239" i="16"/>
  <c r="V244"/>
  <c r="W218"/>
  <c r="W220" s="1"/>
  <c r="Y220"/>
  <c r="Y230" i="18"/>
  <c r="Y231" s="1"/>
  <c r="W217"/>
  <c r="AO164" i="37"/>
  <c r="H149" i="51"/>
  <c r="H156" s="1"/>
  <c r="U61" i="13"/>
  <c r="U62" s="1"/>
  <c r="V227"/>
  <c r="U258"/>
  <c r="Y230" i="14"/>
  <c r="Y231" s="1"/>
  <c r="W217"/>
  <c r="Q71" i="20"/>
  <c r="G69" s="1"/>
  <c r="Q70"/>
  <c r="Q72"/>
  <c r="Q69"/>
  <c r="K151"/>
  <c r="K124"/>
  <c r="K127" s="1"/>
  <c r="T331" i="17"/>
  <c r="T338"/>
  <c r="V239" i="19"/>
  <c r="V244"/>
  <c r="Y227"/>
  <c r="W258"/>
  <c r="X61"/>
  <c r="X62" s="1"/>
  <c r="X77" i="29"/>
  <c r="X109" s="1"/>
  <c r="X121" s="1"/>
  <c r="U61" i="30"/>
  <c r="U62" s="1"/>
  <c r="V227"/>
  <c r="U258"/>
  <c r="G60" i="51"/>
  <c r="H211"/>
  <c r="V145" i="39"/>
  <c r="W145"/>
  <c r="T331" i="16"/>
  <c r="T338"/>
  <c r="X258"/>
  <c r="X244" i="30"/>
  <c r="X250"/>
  <c r="X239"/>
  <c r="U531" i="35"/>
  <c r="U147"/>
  <c r="V222"/>
  <c r="E341" i="51"/>
  <c r="G341" s="1"/>
  <c r="G339"/>
  <c r="G34"/>
  <c r="E333" s="1"/>
  <c r="I194"/>
  <c r="G232"/>
  <c r="W218" i="13"/>
  <c r="X218" s="1"/>
  <c r="V218" s="1"/>
  <c r="V220" s="1"/>
  <c r="V221" s="1"/>
  <c r="Y230"/>
  <c r="Y231" s="1"/>
  <c r="R73" i="20"/>
  <c r="R69"/>
  <c r="AK67" s="1"/>
  <c r="R68"/>
  <c r="Y230" i="21"/>
  <c r="Y231" s="1"/>
  <c r="W217"/>
  <c r="V145"/>
  <c r="W145"/>
  <c r="V227"/>
  <c r="U61"/>
  <c r="U62" s="1"/>
  <c r="U258"/>
  <c r="S312" i="39"/>
  <c r="X76" s="1"/>
  <c r="S310"/>
  <c r="S311"/>
  <c r="E11" i="38"/>
  <c r="C11"/>
  <c r="V54" s="1"/>
  <c r="W258" i="16"/>
  <c r="X61"/>
  <c r="X62" s="1"/>
  <c r="Y227"/>
  <c r="X245" i="39"/>
  <c r="U56" i="34"/>
  <c r="Y216"/>
  <c r="W56"/>
  <c r="V56"/>
  <c r="X56"/>
  <c r="X61" i="23"/>
  <c r="X62" s="1"/>
  <c r="Y227"/>
  <c r="X227" i="25"/>
  <c r="W61"/>
  <c r="W62" s="1"/>
  <c r="T312"/>
  <c r="V76" s="1"/>
  <c r="T310"/>
  <c r="T311"/>
  <c r="T314"/>
  <c r="T313"/>
  <c r="Y230" i="24"/>
  <c r="Y231" s="1"/>
  <c r="W217"/>
  <c r="W239" i="27"/>
  <c r="W244"/>
  <c r="AL359" i="36"/>
  <c r="AL314"/>
  <c r="U312" i="28"/>
  <c r="W76" s="1"/>
  <c r="U313"/>
  <c r="U314"/>
  <c r="U310"/>
  <c r="W218" i="29"/>
  <c r="W220" s="1"/>
  <c r="Y220"/>
  <c r="AJ295" i="38"/>
  <c r="AL295"/>
  <c r="AN555" i="37"/>
  <c r="AN557" s="1"/>
  <c r="AM557" s="1"/>
  <c r="W249" i="16"/>
  <c r="W61" i="17"/>
  <c r="W62" s="1"/>
  <c r="W249"/>
  <c r="T396"/>
  <c r="W70"/>
  <c r="W103" s="1"/>
  <c r="W115" s="1"/>
  <c r="V102"/>
  <c r="V114" s="1"/>
  <c r="X102"/>
  <c r="X114" s="1"/>
  <c r="T360"/>
  <c r="S309"/>
  <c r="U309"/>
  <c r="Y216"/>
  <c r="U257" i="18"/>
  <c r="X244" i="19"/>
  <c r="V61"/>
  <c r="V62" s="1"/>
  <c r="V250"/>
  <c r="Y230" i="33"/>
  <c r="Y231" s="1"/>
  <c r="V145" i="22"/>
  <c r="W258" i="28"/>
  <c r="V238" i="34"/>
  <c r="V243"/>
  <c r="T389"/>
  <c r="T396"/>
  <c r="W145"/>
  <c r="V145"/>
  <c r="V239" i="23"/>
  <c r="V244"/>
  <c r="S312" i="25"/>
  <c r="X76" s="1"/>
  <c r="S310"/>
  <c r="S314"/>
  <c r="S313"/>
  <c r="Y230"/>
  <c r="Y220"/>
  <c r="W217"/>
  <c r="W61" i="27"/>
  <c r="W62" s="1"/>
  <c r="X227"/>
  <c r="AO224" i="36"/>
  <c r="AO226" s="1"/>
  <c r="AO150"/>
  <c r="AN150"/>
  <c r="T313" i="28"/>
  <c r="T314"/>
  <c r="T312"/>
  <c r="V76" s="1"/>
  <c r="U311" i="29"/>
  <c r="U313"/>
  <c r="U314"/>
  <c r="U310"/>
  <c r="Y216" i="30"/>
  <c r="X243"/>
  <c r="V238"/>
  <c r="V258"/>
  <c r="G1038" i="52"/>
  <c r="I1038" s="1"/>
  <c r="F1039"/>
  <c r="G1039" s="1"/>
  <c r="I1039" s="1"/>
  <c r="H110" i="51"/>
  <c r="J201"/>
  <c r="W230" i="13"/>
  <c r="I138" i="20"/>
  <c r="I120"/>
  <c r="E54"/>
  <c r="AD71" i="4"/>
  <c r="V69"/>
  <c r="W258" i="39"/>
  <c r="W257" i="17"/>
  <c r="W220" i="25"/>
  <c r="T531" i="33"/>
  <c r="U77"/>
  <c r="U109" s="1"/>
  <c r="U121" s="1"/>
  <c r="U258" i="22"/>
  <c r="V227"/>
  <c r="U61"/>
  <c r="U62" s="1"/>
  <c r="S309" i="23"/>
  <c r="T325"/>
  <c r="X70"/>
  <c r="X103" s="1"/>
  <c r="X115" s="1"/>
  <c r="V145" i="25"/>
  <c r="W145"/>
  <c r="V227" i="24"/>
  <c r="U61"/>
  <c r="U62" s="1"/>
  <c r="U258"/>
  <c r="S314" i="28"/>
  <c r="S312"/>
  <c r="X76" s="1"/>
  <c r="S310"/>
  <c r="V145" i="29"/>
  <c r="W145"/>
  <c r="V244"/>
  <c r="V250"/>
  <c r="V239"/>
  <c r="Y290"/>
  <c r="W290" s="1"/>
  <c r="X290" s="1"/>
  <c r="Y290" i="27"/>
  <c r="W290" s="1"/>
  <c r="X290" s="1"/>
  <c r="Y290" i="50"/>
  <c r="W290" s="1"/>
  <c r="Y290" i="24"/>
  <c r="W290" s="1"/>
  <c r="X290" s="1"/>
  <c r="Y290" i="23"/>
  <c r="W290" s="1"/>
  <c r="X290" s="1"/>
  <c r="Y290" i="28"/>
  <c r="W290" s="1"/>
  <c r="X290" s="1"/>
  <c r="AQ295" i="36"/>
  <c r="AO295" s="1"/>
  <c r="AP295" s="1"/>
  <c r="Y290" i="25"/>
  <c r="W290" s="1"/>
  <c r="X290" s="1"/>
  <c r="F19" i="32"/>
  <c r="C19"/>
  <c r="V249" i="30"/>
  <c r="G1037" i="52"/>
  <c r="I1037" s="1"/>
  <c r="G54" i="20"/>
  <c r="G58" s="1"/>
  <c r="G59" s="1"/>
  <c r="AE67" s="1"/>
  <c r="V243" i="16"/>
  <c r="X244"/>
  <c r="X257"/>
  <c r="X210"/>
  <c r="X243" i="19"/>
  <c r="U257"/>
  <c r="V249"/>
  <c r="X258" i="34"/>
  <c r="X34"/>
  <c r="X251"/>
  <c r="X210"/>
  <c r="V250"/>
  <c r="X250"/>
  <c r="T309"/>
  <c r="T354"/>
  <c r="V70"/>
  <c r="V103" s="1"/>
  <c r="V115" s="1"/>
  <c r="X217"/>
  <c r="V258" i="23"/>
  <c r="V257"/>
  <c r="T360"/>
  <c r="T367"/>
  <c r="U309"/>
  <c r="W70"/>
  <c r="W103" s="1"/>
  <c r="W115" s="1"/>
  <c r="T383"/>
  <c r="W217"/>
  <c r="Y230"/>
  <c r="Y231" s="1"/>
  <c r="W239" i="25"/>
  <c r="W244"/>
  <c r="V216"/>
  <c r="W217" i="27"/>
  <c r="Y220"/>
  <c r="Y230"/>
  <c r="X227" i="28"/>
  <c r="W61"/>
  <c r="W62" s="1"/>
  <c r="W250" i="29"/>
  <c r="W244"/>
  <c r="W239"/>
  <c r="C24" i="32"/>
  <c r="E24" s="1"/>
  <c r="C25"/>
  <c r="E25" s="1"/>
  <c r="F22"/>
  <c r="H22" s="1"/>
  <c r="W250" i="30"/>
  <c r="U258" i="35"/>
  <c r="V414" i="50"/>
  <c r="U414" s="1"/>
  <c r="U85" s="1"/>
  <c r="F94" i="51" s="1"/>
  <c r="G69"/>
  <c r="I220"/>
  <c r="I232" s="1"/>
  <c r="H220"/>
  <c r="G239"/>
  <c r="F240"/>
  <c r="E127" i="20"/>
  <c r="E129" s="1"/>
  <c r="W258" i="34"/>
  <c r="Y220"/>
  <c r="Y230"/>
  <c r="X249" i="23"/>
  <c r="W238"/>
  <c r="W249" i="25"/>
  <c r="V102"/>
  <c r="V114" s="1"/>
  <c r="X102"/>
  <c r="X114" s="1"/>
  <c r="T354"/>
  <c r="Y219" i="27"/>
  <c r="T354"/>
  <c r="V145"/>
  <c r="AM262" i="36"/>
  <c r="AN261"/>
  <c r="AP242"/>
  <c r="AQ220"/>
  <c r="AQ225" s="1"/>
  <c r="W257" i="28"/>
  <c r="T325"/>
  <c r="T383"/>
  <c r="W217"/>
  <c r="I24" i="31"/>
  <c r="I27" s="1"/>
  <c r="H28" s="1"/>
  <c r="I28" s="1"/>
  <c r="W61" i="29"/>
  <c r="W62" s="1"/>
  <c r="U61"/>
  <c r="U62" s="1"/>
  <c r="W258"/>
  <c r="T325" i="25"/>
  <c r="V243" i="27"/>
  <c r="X257"/>
  <c r="W249"/>
  <c r="AO242" i="36"/>
  <c r="AP220"/>
  <c r="AP225" s="1"/>
  <c r="AO74"/>
  <c r="W249" i="28"/>
  <c r="W145"/>
  <c r="X243" i="34"/>
  <c r="AN133" i="36"/>
  <c r="AP56"/>
  <c r="AO254" s="1"/>
  <c r="W221" i="29" l="1"/>
  <c r="W229" s="1"/>
  <c r="W221" i="16"/>
  <c r="W229" s="1"/>
  <c r="V61" i="38"/>
  <c r="V62" s="1"/>
  <c r="V55"/>
  <c r="K1312" i="52"/>
  <c r="X217" i="28"/>
  <c r="W230"/>
  <c r="W225"/>
  <c r="V185" i="27"/>
  <c r="V164"/>
  <c r="V186"/>
  <c r="V191" s="1"/>
  <c r="V196" s="1"/>
  <c r="V165"/>
  <c r="V170" s="1"/>
  <c r="V175" s="1"/>
  <c r="AO243" i="36"/>
  <c r="AO248"/>
  <c r="T331" i="25"/>
  <c r="T338"/>
  <c r="V325"/>
  <c r="V327" s="1"/>
  <c r="W325"/>
  <c r="U327"/>
  <c r="X85" s="1"/>
  <c r="T367"/>
  <c r="T360"/>
  <c r="W354"/>
  <c r="V354" s="1"/>
  <c r="V356" s="1"/>
  <c r="U356" s="1"/>
  <c r="V85" s="1"/>
  <c r="U502" i="28"/>
  <c r="W147"/>
  <c r="W153" s="1"/>
  <c r="W159" s="1"/>
  <c r="X222"/>
  <c r="X223" s="1"/>
  <c r="X224" s="1"/>
  <c r="U383"/>
  <c r="AP236" i="36"/>
  <c r="W147" i="29"/>
  <c r="W153" s="1"/>
  <c r="W159" s="1"/>
  <c r="X222"/>
  <c r="U383"/>
  <c r="U502"/>
  <c r="T331" i="28"/>
  <c r="T338"/>
  <c r="W325"/>
  <c r="V325" s="1"/>
  <c r="V327" s="1"/>
  <c r="U327" s="1"/>
  <c r="X85" s="1"/>
  <c r="AN262" i="36"/>
  <c r="W219" i="27"/>
  <c r="Y221" i="34"/>
  <c r="Y231"/>
  <c r="G240" i="51"/>
  <c r="G241"/>
  <c r="Y295" i="24"/>
  <c r="W295" s="1"/>
  <c r="X295" s="1"/>
  <c r="Y295" i="33"/>
  <c r="W295" s="1"/>
  <c r="X295" s="1"/>
  <c r="Y295" i="50"/>
  <c r="W295" s="1"/>
  <c r="Y295" i="28"/>
  <c r="W295" s="1"/>
  <c r="X295" s="1"/>
  <c r="Y295" i="25"/>
  <c r="W295" s="1"/>
  <c r="X295" s="1"/>
  <c r="Y295" i="23"/>
  <c r="W295" s="1"/>
  <c r="X295" s="1"/>
  <c r="Y295" i="22"/>
  <c r="W295" s="1"/>
  <c r="X295" s="1"/>
  <c r="Y295" i="29"/>
  <c r="W295" s="1"/>
  <c r="X295" s="1"/>
  <c r="AQ300" i="36"/>
  <c r="AO300" s="1"/>
  <c r="AP300" s="1"/>
  <c r="Y295" i="27"/>
  <c r="W295" s="1"/>
  <c r="X295" s="1"/>
  <c r="Y295" i="19"/>
  <c r="W295" s="1"/>
  <c r="X295" s="1"/>
  <c r="Y295" i="17"/>
  <c r="W295" s="1"/>
  <c r="X295" s="1"/>
  <c r="AQ300" i="37"/>
  <c r="AO300" s="1"/>
  <c r="AP300" s="1"/>
  <c r="Y295" i="14"/>
  <c r="W295" s="1"/>
  <c r="X295" s="1"/>
  <c r="Y295" i="39"/>
  <c r="W295" s="1"/>
  <c r="X295" s="1"/>
  <c r="E181" i="20"/>
  <c r="H181" s="1"/>
  <c r="Y295" i="30"/>
  <c r="W295" s="1"/>
  <c r="X295" s="1"/>
  <c r="Y295" i="18"/>
  <c r="W295" s="1"/>
  <c r="X295" s="1"/>
  <c r="Y295" i="16"/>
  <c r="W295" s="1"/>
  <c r="X295" s="1"/>
  <c r="Y295" i="35"/>
  <c r="W295" s="1"/>
  <c r="X295" s="1"/>
  <c r="Y295" i="34"/>
  <c r="W295" s="1"/>
  <c r="X295" s="1"/>
  <c r="Y295" i="15"/>
  <c r="W295" s="1"/>
  <c r="X295" s="1"/>
  <c r="Y295" i="21"/>
  <c r="W295" s="1"/>
  <c r="X295" s="1"/>
  <c r="Y295" i="13"/>
  <c r="W295" s="1"/>
  <c r="X295" s="1"/>
  <c r="J386" i="51"/>
  <c r="H386" s="1"/>
  <c r="I386" s="1"/>
  <c r="Y221" i="27"/>
  <c r="Y231"/>
  <c r="T396" i="23"/>
  <c r="T389"/>
  <c r="V383"/>
  <c r="V385" s="1"/>
  <c r="W383"/>
  <c r="U385"/>
  <c r="W85" s="1"/>
  <c r="W360"/>
  <c r="V360" s="1"/>
  <c r="V362" s="1"/>
  <c r="U362" s="1"/>
  <c r="T373"/>
  <c r="V217" i="34"/>
  <c r="V251" i="29"/>
  <c r="V245"/>
  <c r="V164"/>
  <c r="V185"/>
  <c r="V186"/>
  <c r="V191" s="1"/>
  <c r="V196" s="1"/>
  <c r="V165"/>
  <c r="V170" s="1"/>
  <c r="V175" s="1"/>
  <c r="V164" i="25"/>
  <c r="V185"/>
  <c r="V186"/>
  <c r="V191" s="1"/>
  <c r="V196" s="1"/>
  <c r="V165"/>
  <c r="V170" s="1"/>
  <c r="V175" s="1"/>
  <c r="U412" i="22"/>
  <c r="U531"/>
  <c r="U147"/>
  <c r="V222"/>
  <c r="T544" i="33"/>
  <c r="T537"/>
  <c r="V531"/>
  <c r="W531"/>
  <c r="E161" i="20"/>
  <c r="E162" s="1"/>
  <c r="E163" s="1"/>
  <c r="E165"/>
  <c r="E166" s="1"/>
  <c r="E167" s="1"/>
  <c r="V250" i="30"/>
  <c r="V244"/>
  <c r="V239"/>
  <c r="X217" i="25"/>
  <c r="W230"/>
  <c r="W225"/>
  <c r="V245" i="23"/>
  <c r="V251"/>
  <c r="T402" i="34"/>
  <c r="W389"/>
  <c r="W216" i="17"/>
  <c r="Y220"/>
  <c r="Y230"/>
  <c r="AL319" i="36"/>
  <c r="AL315"/>
  <c r="AL318"/>
  <c r="AL317"/>
  <c r="AN81" s="1"/>
  <c r="AL316"/>
  <c r="X217" i="24"/>
  <c r="W230"/>
  <c r="V61" i="34"/>
  <c r="V62" s="1"/>
  <c r="W227"/>
  <c r="U444" i="16"/>
  <c r="Y222"/>
  <c r="X147"/>
  <c r="X153" s="1"/>
  <c r="U325"/>
  <c r="U531" i="21"/>
  <c r="U147"/>
  <c r="V222"/>
  <c r="V223" s="1"/>
  <c r="V224" s="1"/>
  <c r="U412"/>
  <c r="W230"/>
  <c r="X217"/>
  <c r="W220"/>
  <c r="W225"/>
  <c r="V533" i="35"/>
  <c r="U533" s="1"/>
  <c r="U92" s="1"/>
  <c r="U537"/>
  <c r="V531"/>
  <c r="T344" i="16"/>
  <c r="W331"/>
  <c r="G144" i="51"/>
  <c r="G150" s="1"/>
  <c r="H206"/>
  <c r="H207" s="1"/>
  <c r="H208" s="1"/>
  <c r="W338" i="17"/>
  <c r="V338" s="1"/>
  <c r="V340" s="1"/>
  <c r="U340" s="1"/>
  <c r="X86" s="1"/>
  <c r="X217" i="14"/>
  <c r="W230"/>
  <c r="W225"/>
  <c r="U531" i="13"/>
  <c r="U147"/>
  <c r="V222"/>
  <c r="U412"/>
  <c r="Y231" i="16"/>
  <c r="Y221"/>
  <c r="V222" i="15"/>
  <c r="U412"/>
  <c r="U531"/>
  <c r="U147"/>
  <c r="V186"/>
  <c r="V191" s="1"/>
  <c r="V196" s="1"/>
  <c r="V165"/>
  <c r="V170" s="1"/>
  <c r="V175" s="1"/>
  <c r="V185"/>
  <c r="V164"/>
  <c r="U479" i="27"/>
  <c r="Y223"/>
  <c r="Y224" s="1"/>
  <c r="Y225"/>
  <c r="AN173" i="38"/>
  <c r="AN178" s="1"/>
  <c r="AN179" s="1"/>
  <c r="AN180" s="1"/>
  <c r="AN167"/>
  <c r="U479" i="25"/>
  <c r="X159" i="28"/>
  <c r="X185"/>
  <c r="X164"/>
  <c r="T508" i="16"/>
  <c r="T515"/>
  <c r="W502"/>
  <c r="V502" s="1"/>
  <c r="V504" s="1"/>
  <c r="U504" s="1"/>
  <c r="W92" s="1"/>
  <c r="AM542" i="36"/>
  <c r="AN538"/>
  <c r="AM538" s="1"/>
  <c r="AM97" s="1"/>
  <c r="T515" i="29"/>
  <c r="T508"/>
  <c r="V502"/>
  <c r="W502"/>
  <c r="Y223" i="30"/>
  <c r="Y224" s="1"/>
  <c r="Y225"/>
  <c r="Y228" s="1"/>
  <c r="W185"/>
  <c r="W159"/>
  <c r="W164"/>
  <c r="X225" i="16"/>
  <c r="X223"/>
  <c r="X224" s="1"/>
  <c r="U418"/>
  <c r="V412"/>
  <c r="V414" s="1"/>
  <c r="U414" s="1"/>
  <c r="U85" s="1"/>
  <c r="U537" i="33"/>
  <c r="V533"/>
  <c r="U533" s="1"/>
  <c r="U92" s="1"/>
  <c r="AM513" i="36"/>
  <c r="U508" i="35"/>
  <c r="V504"/>
  <c r="U504" s="1"/>
  <c r="W92" s="1"/>
  <c r="V356" i="14"/>
  <c r="U356" s="1"/>
  <c r="V85" s="1"/>
  <c r="U360"/>
  <c r="W185" i="13"/>
  <c r="W164"/>
  <c r="W159"/>
  <c r="X190" i="33"/>
  <c r="AD186"/>
  <c r="X269" i="22"/>
  <c r="X270" s="1"/>
  <c r="X271" s="1"/>
  <c r="X283" s="1"/>
  <c r="X275"/>
  <c r="X276" s="1"/>
  <c r="X277" s="1"/>
  <c r="X169"/>
  <c r="U282" i="23"/>
  <c r="U281" s="1"/>
  <c r="V297"/>
  <c r="X190" i="24"/>
  <c r="AD183" i="39"/>
  <c r="U190"/>
  <c r="U200"/>
  <c r="X298" i="29"/>
  <c r="X298" i="30"/>
  <c r="AP303" i="36"/>
  <c r="X298" i="24"/>
  <c r="X298" i="18"/>
  <c r="X298" i="15"/>
  <c r="X298" i="39"/>
  <c r="X298" i="17"/>
  <c r="X298" i="27"/>
  <c r="X298" i="22"/>
  <c r="X298" i="16"/>
  <c r="AP303" i="37"/>
  <c r="X298" i="21"/>
  <c r="X298" i="14"/>
  <c r="X298" i="50"/>
  <c r="X298" i="28"/>
  <c r="X298" i="25"/>
  <c r="X298" i="33"/>
  <c r="X298" i="19"/>
  <c r="AB24" i="37"/>
  <c r="X298" i="13"/>
  <c r="X298" i="35"/>
  <c r="X298" i="23"/>
  <c r="X298" i="34"/>
  <c r="G368" i="51"/>
  <c r="H1290" i="52"/>
  <c r="I1043"/>
  <c r="G129" i="20"/>
  <c r="V465" i="22"/>
  <c r="U465" s="1"/>
  <c r="AB54" i="38"/>
  <c r="AQ226" i="36"/>
  <c r="AQ236"/>
  <c r="H221" i="51"/>
  <c r="H226"/>
  <c r="Y296" i="29"/>
  <c r="W296" s="1"/>
  <c r="X296" s="1"/>
  <c r="AQ301" i="36"/>
  <c r="AO301" s="1"/>
  <c r="AP301" s="1"/>
  <c r="Y296" i="27"/>
  <c r="W296" s="1"/>
  <c r="X296" s="1"/>
  <c r="Y296" i="34"/>
  <c r="W296" s="1"/>
  <c r="X296" s="1"/>
  <c r="Y296" i="24"/>
  <c r="W296" s="1"/>
  <c r="X296" s="1"/>
  <c r="Y296" i="50"/>
  <c r="W296" s="1"/>
  <c r="Y296" i="28"/>
  <c r="W296" s="1"/>
  <c r="X296" s="1"/>
  <c r="Y296" i="25"/>
  <c r="W296" s="1"/>
  <c r="X296" s="1"/>
  <c r="Y296" i="23"/>
  <c r="W296" s="1"/>
  <c r="X296" s="1"/>
  <c r="Y296" i="22"/>
  <c r="W296" s="1"/>
  <c r="X296" s="1"/>
  <c r="Y296" i="39"/>
  <c r="W296" s="1"/>
  <c r="X296" s="1"/>
  <c r="Y296" i="30"/>
  <c r="W296" s="1"/>
  <c r="X296" s="1"/>
  <c r="Y296" i="18"/>
  <c r="W296" s="1"/>
  <c r="X296" s="1"/>
  <c r="Y296" i="35"/>
  <c r="W296" s="1"/>
  <c r="X296" s="1"/>
  <c r="Y296" i="33"/>
  <c r="W296" s="1"/>
  <c r="X296" s="1"/>
  <c r="Y296" i="15"/>
  <c r="W296" s="1"/>
  <c r="X296" s="1"/>
  <c r="Y296" i="21"/>
  <c r="W296" s="1"/>
  <c r="X296" s="1"/>
  <c r="E182" i="20"/>
  <c r="H182" s="1"/>
  <c r="Y296" i="13"/>
  <c r="W296" s="1"/>
  <c r="X296" s="1"/>
  <c r="J387" i="51"/>
  <c r="H387" s="1"/>
  <c r="I387" s="1"/>
  <c r="Y296" i="19"/>
  <c r="W296" s="1"/>
  <c r="X296" s="1"/>
  <c r="Y296" i="17"/>
  <c r="W296" s="1"/>
  <c r="X296" s="1"/>
  <c r="Y296" i="16"/>
  <c r="W296" s="1"/>
  <c r="X296" s="1"/>
  <c r="AQ301" i="37"/>
  <c r="AO301" s="1"/>
  <c r="AP301" s="1"/>
  <c r="Y296" i="14"/>
  <c r="W296" s="1"/>
  <c r="X296" s="1"/>
  <c r="AO107" i="36"/>
  <c r="AO119" s="1"/>
  <c r="AO75"/>
  <c r="AO108" s="1"/>
  <c r="AO120" s="1"/>
  <c r="AL388"/>
  <c r="AM314"/>
  <c r="U147" i="29"/>
  <c r="V222"/>
  <c r="U531"/>
  <c r="U412"/>
  <c r="T396" i="28"/>
  <c r="T389"/>
  <c r="V383"/>
  <c r="W383"/>
  <c r="AP248" i="36"/>
  <c r="AP243"/>
  <c r="T360" i="27"/>
  <c r="T367"/>
  <c r="W354"/>
  <c r="V354" s="1"/>
  <c r="V356" s="1"/>
  <c r="U356" s="1"/>
  <c r="V85" s="1"/>
  <c r="V294" i="23"/>
  <c r="V302" s="1"/>
  <c r="V294" i="29"/>
  <c r="V302" s="1"/>
  <c r="AN299" i="36"/>
  <c r="AN307" s="1"/>
  <c r="V294" i="27"/>
  <c r="V302" s="1"/>
  <c r="V294" i="24"/>
  <c r="V302" s="1"/>
  <c r="V294" i="22"/>
  <c r="V302" s="1"/>
  <c r="V294" i="33"/>
  <c r="V302" s="1"/>
  <c r="V294" i="28"/>
  <c r="V302" s="1"/>
  <c r="V294" i="25"/>
  <c r="V302" s="1"/>
  <c r="V294" i="34"/>
  <c r="V302" s="1"/>
  <c r="V294" i="16"/>
  <c r="V302" s="1"/>
  <c r="G385" i="51"/>
  <c r="V294" i="30"/>
  <c r="V302" s="1"/>
  <c r="V294" i="18"/>
  <c r="V302" s="1"/>
  <c r="V294" i="39"/>
  <c r="V302" s="1"/>
  <c r="V294" i="13"/>
  <c r="V302" s="1"/>
  <c r="V294" i="35"/>
  <c r="V302" s="1"/>
  <c r="V294" i="15"/>
  <c r="V302" s="1"/>
  <c r="V294" i="19"/>
  <c r="V302" s="1"/>
  <c r="V294" i="17"/>
  <c r="V302" s="1"/>
  <c r="AN299" i="37"/>
  <c r="AN307" s="1"/>
  <c r="V294" i="21"/>
  <c r="V302" s="1"/>
  <c r="H180" i="20"/>
  <c r="V294" i="14"/>
  <c r="V302" s="1"/>
  <c r="V294" i="50"/>
  <c r="X217" i="23"/>
  <c r="W220"/>
  <c r="W225"/>
  <c r="W230"/>
  <c r="W367"/>
  <c r="V367"/>
  <c r="V369" s="1"/>
  <c r="U369" s="1"/>
  <c r="V86" s="1"/>
  <c r="T314" i="34"/>
  <c r="T311"/>
  <c r="T312"/>
  <c r="V76" s="1"/>
  <c r="T313"/>
  <c r="T310"/>
  <c r="AE73" i="20"/>
  <c r="AF69"/>
  <c r="AE69" s="1"/>
  <c r="G75" s="1"/>
  <c r="G88" s="1"/>
  <c r="AF67"/>
  <c r="H19" i="32"/>
  <c r="F20"/>
  <c r="H20" s="1"/>
  <c r="W165" i="29"/>
  <c r="W170" s="1"/>
  <c r="W175" s="1"/>
  <c r="W164"/>
  <c r="W186"/>
  <c r="W191" s="1"/>
  <c r="W196" s="1"/>
  <c r="W185"/>
  <c r="S312" i="23"/>
  <c r="X76" s="1"/>
  <c r="S310"/>
  <c r="S313"/>
  <c r="S314"/>
  <c r="S311"/>
  <c r="E151" i="20"/>
  <c r="E58"/>
  <c r="E59" s="1"/>
  <c r="X67" s="1"/>
  <c r="I151"/>
  <c r="G151"/>
  <c r="J214" i="51"/>
  <c r="H201"/>
  <c r="J209"/>
  <c r="V77" i="28"/>
  <c r="V109" s="1"/>
  <c r="V121" s="1"/>
  <c r="T473"/>
  <c r="V108"/>
  <c r="V120" s="1"/>
  <c r="AO169" i="36"/>
  <c r="AO190"/>
  <c r="AO191"/>
  <c r="AO170"/>
  <c r="AO175" s="1"/>
  <c r="AO180" s="1"/>
  <c r="X222" i="27"/>
  <c r="X223" s="1"/>
  <c r="U383"/>
  <c r="W147"/>
  <c r="W153" s="1"/>
  <c r="U502"/>
  <c r="W396" i="34"/>
  <c r="T373" i="17"/>
  <c r="W360"/>
  <c r="V360"/>
  <c r="V362" s="1"/>
  <c r="U362" s="1"/>
  <c r="W396"/>
  <c r="X218" i="29"/>
  <c r="W230"/>
  <c r="W231" s="1"/>
  <c r="W77" i="28"/>
  <c r="W109" s="1"/>
  <c r="W121" s="1"/>
  <c r="W108"/>
  <c r="W120" s="1"/>
  <c r="T502"/>
  <c r="W245" i="27"/>
  <c r="W251"/>
  <c r="W147" i="25"/>
  <c r="W153" s="1"/>
  <c r="W159" s="1"/>
  <c r="W186" s="1"/>
  <c r="W191" s="1"/>
  <c r="W196" s="1"/>
  <c r="U383"/>
  <c r="U502"/>
  <c r="X222"/>
  <c r="X223" s="1"/>
  <c r="X224" s="1"/>
  <c r="Y227" i="34"/>
  <c r="V258"/>
  <c r="X61"/>
  <c r="X62" s="1"/>
  <c r="U258"/>
  <c r="V227"/>
  <c r="U61"/>
  <c r="U62" s="1"/>
  <c r="V185" i="21"/>
  <c r="V164"/>
  <c r="V186"/>
  <c r="V191" s="1"/>
  <c r="V196" s="1"/>
  <c r="V165"/>
  <c r="V170" s="1"/>
  <c r="V175" s="1"/>
  <c r="AK80" i="20"/>
  <c r="AK73"/>
  <c r="AM67"/>
  <c r="AM69" s="1"/>
  <c r="AL69" s="1"/>
  <c r="I75" s="1"/>
  <c r="I88" s="1"/>
  <c r="AN67"/>
  <c r="W338" i="16"/>
  <c r="V222" i="30"/>
  <c r="U147"/>
  <c r="U531"/>
  <c r="U412"/>
  <c r="U444" i="19"/>
  <c r="Y222"/>
  <c r="X147"/>
  <c r="X153" s="1"/>
  <c r="U325"/>
  <c r="V245"/>
  <c r="V251"/>
  <c r="AO170" i="37"/>
  <c r="AO191"/>
  <c r="V245" i="16"/>
  <c r="V251"/>
  <c r="W164" i="15"/>
  <c r="H322" i="51"/>
  <c r="J322" s="1"/>
  <c r="H321"/>
  <c r="J321" s="1"/>
  <c r="J325" s="1"/>
  <c r="I326" s="1"/>
  <c r="J326" s="1"/>
  <c r="J335" s="1"/>
  <c r="H324"/>
  <c r="J324" s="1"/>
  <c r="H323"/>
  <c r="J323" s="1"/>
  <c r="W147" i="24"/>
  <c r="W153" s="1"/>
  <c r="U383"/>
  <c r="U502"/>
  <c r="X222"/>
  <c r="X223" s="1"/>
  <c r="X224" s="1"/>
  <c r="X185" i="27"/>
  <c r="X164"/>
  <c r="X159"/>
  <c r="T515"/>
  <c r="T508"/>
  <c r="W502"/>
  <c r="V502" s="1"/>
  <c r="AO208" i="38"/>
  <c r="AO210"/>
  <c r="U450" i="17"/>
  <c r="W147" i="33"/>
  <c r="W153" s="1"/>
  <c r="X222"/>
  <c r="U383"/>
  <c r="U502"/>
  <c r="Y223" i="28"/>
  <c r="Y225"/>
  <c r="U185"/>
  <c r="U164"/>
  <c r="X222" i="15"/>
  <c r="U383"/>
  <c r="W147"/>
  <c r="W153" s="1"/>
  <c r="W159" s="1"/>
  <c r="W165" s="1"/>
  <c r="W170" s="1"/>
  <c r="W175" s="1"/>
  <c r="U502"/>
  <c r="AN228" i="36"/>
  <c r="AN230"/>
  <c r="X159" i="30"/>
  <c r="X164"/>
  <c r="X185"/>
  <c r="U389"/>
  <c r="V385"/>
  <c r="U385" s="1"/>
  <c r="W85" s="1"/>
  <c r="V383" i="16"/>
  <c r="V385"/>
  <c r="U385" s="1"/>
  <c r="W85" s="1"/>
  <c r="U389"/>
  <c r="U479" i="17"/>
  <c r="V223" i="33"/>
  <c r="V225"/>
  <c r="AM394" i="36"/>
  <c r="X225" i="35"/>
  <c r="X223"/>
  <c r="U479" i="14"/>
  <c r="X223" i="13"/>
  <c r="X224" s="1"/>
  <c r="X225"/>
  <c r="X165" i="33"/>
  <c r="X170" s="1"/>
  <c r="X175" s="1"/>
  <c r="X186"/>
  <c r="X200" s="1"/>
  <c r="X186" i="22"/>
  <c r="X191" s="1"/>
  <c r="X196" s="1"/>
  <c r="X165"/>
  <c r="X170" s="1"/>
  <c r="X175" s="1"/>
  <c r="X269" i="24"/>
  <c r="X270" s="1"/>
  <c r="X271" s="1"/>
  <c r="X283" s="1"/>
  <c r="X169"/>
  <c r="X275"/>
  <c r="X276" s="1"/>
  <c r="X277" s="1"/>
  <c r="W196" i="18"/>
  <c r="W201"/>
  <c r="U275" i="39"/>
  <c r="U276" s="1"/>
  <c r="U277" s="1"/>
  <c r="U179"/>
  <c r="U269"/>
  <c r="U270" s="1"/>
  <c r="U271" s="1"/>
  <c r="U169"/>
  <c r="U282" i="14"/>
  <c r="U281" s="1"/>
  <c r="V297"/>
  <c r="X282" i="18"/>
  <c r="X281" s="1"/>
  <c r="Y297"/>
  <c r="W282" i="50"/>
  <c r="W281" s="1"/>
  <c r="X297"/>
  <c r="W298" i="16"/>
  <c r="W298" i="39"/>
  <c r="W298" i="27"/>
  <c r="W298" i="34"/>
  <c r="W298" i="17"/>
  <c r="AO303" i="37"/>
  <c r="Z24"/>
  <c r="W298" i="13"/>
  <c r="W298" i="30"/>
  <c r="W298" i="29"/>
  <c r="W298" i="24"/>
  <c r="W298" i="25"/>
  <c r="W298" i="15"/>
  <c r="W298" i="21"/>
  <c r="W298" i="50"/>
  <c r="I1322" i="52" s="1"/>
  <c r="H1331" s="1"/>
  <c r="W298" i="33"/>
  <c r="W298" i="35"/>
  <c r="W298" i="28"/>
  <c r="W298" i="22"/>
  <c r="W298" i="23"/>
  <c r="W298" i="18"/>
  <c r="W298" i="14"/>
  <c r="AO303" i="36"/>
  <c r="W298" i="19"/>
  <c r="H232" i="51"/>
  <c r="W220" i="13"/>
  <c r="W220" i="24"/>
  <c r="V473" i="14"/>
  <c r="V475" s="1"/>
  <c r="U475" s="1"/>
  <c r="V92" s="1"/>
  <c r="I221" i="51"/>
  <c r="I226"/>
  <c r="W245" i="29"/>
  <c r="W251"/>
  <c r="U314" i="23"/>
  <c r="U311"/>
  <c r="U312"/>
  <c r="W76" s="1"/>
  <c r="U310"/>
  <c r="U313"/>
  <c r="T360" i="34"/>
  <c r="T367"/>
  <c r="W354"/>
  <c r="F1208" i="52"/>
  <c r="C20" i="32"/>
  <c r="E19"/>
  <c r="X77" i="28"/>
  <c r="X109" s="1"/>
  <c r="X121" s="1"/>
  <c r="T444"/>
  <c r="X108"/>
  <c r="X120" s="1"/>
  <c r="T331" i="23"/>
  <c r="T338"/>
  <c r="W325"/>
  <c r="V325" s="1"/>
  <c r="W231" i="25"/>
  <c r="W221"/>
  <c r="W229" s="1"/>
  <c r="W216" i="30"/>
  <c r="Y220"/>
  <c r="Y230"/>
  <c r="Y226"/>
  <c r="X77" i="25"/>
  <c r="X109" s="1"/>
  <c r="X121" s="1"/>
  <c r="T444"/>
  <c r="X108"/>
  <c r="X120" s="1"/>
  <c r="V239" i="34"/>
  <c r="V244"/>
  <c r="S311" i="17"/>
  <c r="S310"/>
  <c r="S312"/>
  <c r="X76" s="1"/>
  <c r="S314"/>
  <c r="S313"/>
  <c r="Y221" i="29"/>
  <c r="Y229" s="1"/>
  <c r="Y231"/>
  <c r="T473" i="25"/>
  <c r="V77"/>
  <c r="V109" s="1"/>
  <c r="V121" s="1"/>
  <c r="V108"/>
  <c r="V120" s="1"/>
  <c r="U444" i="23"/>
  <c r="X147"/>
  <c r="X153" s="1"/>
  <c r="U325"/>
  <c r="Y222"/>
  <c r="W216" i="34"/>
  <c r="G11" i="38"/>
  <c r="AC54"/>
  <c r="X77" i="39"/>
  <c r="X109" s="1"/>
  <c r="X121" s="1"/>
  <c r="T444"/>
  <c r="X108"/>
  <c r="X120" s="1"/>
  <c r="W164" i="21"/>
  <c r="W185"/>
  <c r="W165"/>
  <c r="W170" s="1"/>
  <c r="W175" s="1"/>
  <c r="W186"/>
  <c r="W191" s="1"/>
  <c r="W196" s="1"/>
  <c r="E334" i="51"/>
  <c r="G334" s="1"/>
  <c r="E338"/>
  <c r="G338" s="1"/>
  <c r="G333"/>
  <c r="H333"/>
  <c r="V223" i="35"/>
  <c r="V225"/>
  <c r="V164" i="39"/>
  <c r="V185"/>
  <c r="V165"/>
  <c r="V170" s="1"/>
  <c r="V175" s="1"/>
  <c r="V186"/>
  <c r="H165" i="20"/>
  <c r="H166" s="1"/>
  <c r="H167" s="1"/>
  <c r="H161"/>
  <c r="H162" s="1"/>
  <c r="H163" s="1"/>
  <c r="H162" i="51"/>
  <c r="H167" s="1"/>
  <c r="H172" s="1"/>
  <c r="H259"/>
  <c r="H264" s="1"/>
  <c r="H269" s="1"/>
  <c r="X217" i="18"/>
  <c r="W230"/>
  <c r="W220"/>
  <c r="W225"/>
  <c r="AM157" i="38"/>
  <c r="AM162" s="1"/>
  <c r="AN207"/>
  <c r="AL454"/>
  <c r="AL335"/>
  <c r="X16"/>
  <c r="X17" s="1"/>
  <c r="V185" i="35"/>
  <c r="V164"/>
  <c r="V165"/>
  <c r="V170" s="1"/>
  <c r="V175" s="1"/>
  <c r="V186"/>
  <c r="U331" i="27"/>
  <c r="V325"/>
  <c r="V327" s="1"/>
  <c r="U327" s="1"/>
  <c r="X85" s="1"/>
  <c r="AL370" i="38"/>
  <c r="AM364"/>
  <c r="AM366" s="1"/>
  <c r="AL366" s="1"/>
  <c r="AN93" s="1"/>
  <c r="Y225" i="17"/>
  <c r="Y228" s="1"/>
  <c r="Y223"/>
  <c r="Y224" s="1"/>
  <c r="U331" i="28"/>
  <c r="V412"/>
  <c r="U418"/>
  <c r="V414"/>
  <c r="U414" s="1"/>
  <c r="U85" s="1"/>
  <c r="AM359" i="36"/>
  <c r="AM478"/>
  <c r="AN152"/>
  <c r="AN158" s="1"/>
  <c r="AN164" s="1"/>
  <c r="AN170" s="1"/>
  <c r="AN175" s="1"/>
  <c r="AN180" s="1"/>
  <c r="AO227"/>
  <c r="T457" i="34"/>
  <c r="T450"/>
  <c r="W444"/>
  <c r="V147" i="22"/>
  <c r="V153" s="1"/>
  <c r="V159" s="1"/>
  <c r="W222"/>
  <c r="U354"/>
  <c r="U473"/>
  <c r="AN417" i="36"/>
  <c r="AN419"/>
  <c r="AM419" s="1"/>
  <c r="AM90" s="1"/>
  <c r="AM423"/>
  <c r="U331" i="30"/>
  <c r="V325"/>
  <c r="V327"/>
  <c r="U327" s="1"/>
  <c r="X85" s="1"/>
  <c r="U508"/>
  <c r="V504"/>
  <c r="U504" s="1"/>
  <c r="W92" s="1"/>
  <c r="V502"/>
  <c r="V190" i="16"/>
  <c r="U508"/>
  <c r="V185" i="17"/>
  <c r="V164"/>
  <c r="V159"/>
  <c r="T457" i="16"/>
  <c r="T450"/>
  <c r="W444"/>
  <c r="V444" s="1"/>
  <c r="U418" i="33"/>
  <c r="V412"/>
  <c r="V414" s="1"/>
  <c r="U414" s="1"/>
  <c r="U85" s="1"/>
  <c r="V191" i="23"/>
  <c r="V200"/>
  <c r="AP228" i="36"/>
  <c r="AP230"/>
  <c r="AM205" i="37"/>
  <c r="AV188"/>
  <c r="AM195"/>
  <c r="U282" i="50"/>
  <c r="U281" s="1"/>
  <c r="V297"/>
  <c r="H1321" i="52" s="1"/>
  <c r="U389" i="13"/>
  <c r="X190" i="22"/>
  <c r="X200"/>
  <c r="V282" i="18"/>
  <c r="V281" s="1"/>
  <c r="W297"/>
  <c r="X186" i="24"/>
  <c r="X191" s="1"/>
  <c r="X196" s="1"/>
  <c r="X165"/>
  <c r="X170" s="1"/>
  <c r="X175" s="1"/>
  <c r="U200" i="17"/>
  <c r="U190"/>
  <c r="X282" i="50"/>
  <c r="X281" s="1"/>
  <c r="Y297"/>
  <c r="V282" i="33"/>
  <c r="V281" s="1"/>
  <c r="W297"/>
  <c r="W220" i="14"/>
  <c r="I129" i="20"/>
  <c r="H161" i="51"/>
  <c r="V473" i="17"/>
  <c r="V475" s="1"/>
  <c r="U475" s="1"/>
  <c r="V92" s="1"/>
  <c r="V383" i="13"/>
  <c r="V385" s="1"/>
  <c r="U385" s="1"/>
  <c r="W85" s="1"/>
  <c r="AP254" i="36"/>
  <c r="AP61"/>
  <c r="AN263" s="1"/>
  <c r="AP255"/>
  <c r="AO255"/>
  <c r="AN254"/>
  <c r="AN255"/>
  <c r="AN256"/>
  <c r="W185" i="28"/>
  <c r="W186"/>
  <c r="W191" s="1"/>
  <c r="W196" s="1"/>
  <c r="V288" s="1"/>
  <c r="W165"/>
  <c r="W170" s="1"/>
  <c r="W175" s="1"/>
  <c r="W164"/>
  <c r="W239" i="23"/>
  <c r="W244"/>
  <c r="W250"/>
  <c r="X217" i="27"/>
  <c r="W230"/>
  <c r="W225"/>
  <c r="W251" i="25"/>
  <c r="W245"/>
  <c r="I1314" i="52"/>
  <c r="X290" i="50"/>
  <c r="U531" i="24"/>
  <c r="V222"/>
  <c r="V223" s="1"/>
  <c r="V224" s="1"/>
  <c r="U147"/>
  <c r="U412"/>
  <c r="V76" i="4"/>
  <c r="W71"/>
  <c r="AP224" i="36"/>
  <c r="AP226" s="1"/>
  <c r="AP234" s="1"/>
  <c r="Y231" i="25"/>
  <c r="Y221"/>
  <c r="Y229" s="1"/>
  <c r="V185" i="22"/>
  <c r="V164"/>
  <c r="V186"/>
  <c r="V191" s="1"/>
  <c r="V196" s="1"/>
  <c r="V288" s="1"/>
  <c r="V165"/>
  <c r="V170" s="1"/>
  <c r="V175" s="1"/>
  <c r="U473" i="19"/>
  <c r="V147"/>
  <c r="V153" s="1"/>
  <c r="W222"/>
  <c r="U354"/>
  <c r="U312" i="17"/>
  <c r="W76" s="1"/>
  <c r="U314"/>
  <c r="U313"/>
  <c r="U311"/>
  <c r="U310"/>
  <c r="U383"/>
  <c r="U502"/>
  <c r="W147"/>
  <c r="W153" s="1"/>
  <c r="X222"/>
  <c r="AL365" i="36"/>
  <c r="AL372"/>
  <c r="AO359"/>
  <c r="AN359"/>
  <c r="W61" i="34"/>
  <c r="W62" s="1"/>
  <c r="X227"/>
  <c r="X245" i="30"/>
  <c r="X251"/>
  <c r="W185" i="39"/>
  <c r="W164"/>
  <c r="W165"/>
  <c r="W170" s="1"/>
  <c r="W175" s="1"/>
  <c r="W186"/>
  <c r="T344" i="17"/>
  <c r="V331"/>
  <c r="V333" s="1"/>
  <c r="U333" s="1"/>
  <c r="W331"/>
  <c r="X218" i="16"/>
  <c r="W230"/>
  <c r="W231" s="1"/>
  <c r="W73" i="20"/>
  <c r="W80"/>
  <c r="Z67"/>
  <c r="Y67" s="1"/>
  <c r="W164" i="35"/>
  <c r="W185"/>
  <c r="W165"/>
  <c r="W170" s="1"/>
  <c r="W175" s="1"/>
  <c r="W186"/>
  <c r="U360" i="27"/>
  <c r="V147" i="24"/>
  <c r="V153" s="1"/>
  <c r="U354"/>
  <c r="U473"/>
  <c r="W222"/>
  <c r="W223" s="1"/>
  <c r="W224" s="1"/>
  <c r="U450" i="27"/>
  <c r="AL489" i="38"/>
  <c r="AM485"/>
  <c r="AL485" s="1"/>
  <c r="AN100" s="1"/>
  <c r="Z33" s="1"/>
  <c r="Z47" s="1"/>
  <c r="AM483"/>
  <c r="X164" i="17"/>
  <c r="X159"/>
  <c r="X185"/>
  <c r="T515" i="34"/>
  <c r="T508"/>
  <c r="W502"/>
  <c r="U360" i="25"/>
  <c r="T457" i="27"/>
  <c r="T450"/>
  <c r="W444"/>
  <c r="V444" s="1"/>
  <c r="V446" s="1"/>
  <c r="U446" s="1"/>
  <c r="X92" s="1"/>
  <c r="U450" i="28"/>
  <c r="U537"/>
  <c r="V533"/>
  <c r="U533" s="1"/>
  <c r="U92" s="1"/>
  <c r="V531"/>
  <c r="V147" i="50"/>
  <c r="U473"/>
  <c r="G1079" i="52"/>
  <c r="G1084" s="1"/>
  <c r="W222" i="50"/>
  <c r="U354"/>
  <c r="U450" i="30"/>
  <c r="X223"/>
  <c r="X224" s="1"/>
  <c r="X225"/>
  <c r="X228" s="1"/>
  <c r="V165" i="16"/>
  <c r="V186"/>
  <c r="V191" s="1"/>
  <c r="V196" s="1"/>
  <c r="W159"/>
  <c r="W164"/>
  <c r="W185"/>
  <c r="W223" i="17"/>
  <c r="W224" s="1"/>
  <c r="W225"/>
  <c r="W228" s="1"/>
  <c r="V170" i="23"/>
  <c r="V179"/>
  <c r="AM280" i="37"/>
  <c r="AM281" s="1"/>
  <c r="AM282" s="1"/>
  <c r="AM274"/>
  <c r="AM275" s="1"/>
  <c r="AM276" s="1"/>
  <c r="AM184"/>
  <c r="AM174"/>
  <c r="V282" i="23"/>
  <c r="V281" s="1"/>
  <c r="W297"/>
  <c r="V385" i="35"/>
  <c r="U385" s="1"/>
  <c r="W85" s="1"/>
  <c r="U389"/>
  <c r="V185" i="14"/>
  <c r="V159"/>
  <c r="V164"/>
  <c r="U508" i="13"/>
  <c r="V502"/>
  <c r="V504" s="1"/>
  <c r="U504" s="1"/>
  <c r="W92" s="1"/>
  <c r="X275" i="33"/>
  <c r="X276" s="1"/>
  <c r="X277" s="1"/>
  <c r="X179"/>
  <c r="X269"/>
  <c r="X270" s="1"/>
  <c r="X271" s="1"/>
  <c r="X283" s="1"/>
  <c r="X169"/>
  <c r="U269" i="17"/>
  <c r="U270" s="1"/>
  <c r="U271" s="1"/>
  <c r="U283" s="1"/>
  <c r="U275"/>
  <c r="U276" s="1"/>
  <c r="U277" s="1"/>
  <c r="U179"/>
  <c r="U169"/>
  <c r="X282" i="13"/>
  <c r="X281" s="1"/>
  <c r="Y297"/>
  <c r="H1288" i="52"/>
  <c r="G366" i="51"/>
  <c r="F357"/>
  <c r="G1276" i="52"/>
  <c r="E369" i="51"/>
  <c r="F1291" i="52"/>
  <c r="W220" i="27"/>
  <c r="W220" i="28"/>
  <c r="X230" i="13"/>
  <c r="J204" i="51"/>
  <c r="X220" i="13"/>
  <c r="H258" i="51"/>
  <c r="V473" i="27"/>
  <c r="V475" s="1"/>
  <c r="U475" s="1"/>
  <c r="V92" s="1"/>
  <c r="W54" i="38"/>
  <c r="V444" i="30"/>
  <c r="V446" s="1"/>
  <c r="U446" s="1"/>
  <c r="X92" s="1"/>
  <c r="H263" i="51" l="1"/>
  <c r="H273"/>
  <c r="X282" i="33"/>
  <c r="X281" s="1"/>
  <c r="Y297"/>
  <c r="G1089" i="52"/>
  <c r="G1094" s="1"/>
  <c r="G1098" s="1"/>
  <c r="G1102" s="1"/>
  <c r="G1093"/>
  <c r="W231" i="27"/>
  <c r="W221"/>
  <c r="W229" s="1"/>
  <c r="W275" i="16"/>
  <c r="W276" s="1"/>
  <c r="W277" s="1"/>
  <c r="W269"/>
  <c r="W270" s="1"/>
  <c r="W271" s="1"/>
  <c r="W169"/>
  <c r="U360" i="50"/>
  <c r="V356"/>
  <c r="U356" s="1"/>
  <c r="V85" s="1"/>
  <c r="G94" i="51" s="1"/>
  <c r="V354" i="50"/>
  <c r="U367" i="25"/>
  <c r="T521" i="34"/>
  <c r="W508"/>
  <c r="X169" i="17"/>
  <c r="X269"/>
  <c r="X270" s="1"/>
  <c r="X271" s="1"/>
  <c r="X283" s="1"/>
  <c r="X275"/>
  <c r="X276" s="1"/>
  <c r="X277" s="1"/>
  <c r="X179"/>
  <c r="V356" i="24"/>
  <c r="U356" s="1"/>
  <c r="V85" s="1"/>
  <c r="U360"/>
  <c r="V354"/>
  <c r="W191" i="35"/>
  <c r="W196" s="1"/>
  <c r="AE185"/>
  <c r="W86" i="20"/>
  <c r="Z73"/>
  <c r="W108" i="17"/>
  <c r="W120" s="1"/>
  <c r="T502"/>
  <c r="W77"/>
  <c r="W109" s="1"/>
  <c r="W121" s="1"/>
  <c r="U479" i="19"/>
  <c r="V475"/>
  <c r="U475" s="1"/>
  <c r="V92" s="1"/>
  <c r="V473"/>
  <c r="W190" i="28"/>
  <c r="W200"/>
  <c r="W61" i="38"/>
  <c r="W62" s="1"/>
  <c r="W55"/>
  <c r="X221" i="13"/>
  <c r="X229" s="1"/>
  <c r="X231"/>
  <c r="W231" i="28"/>
  <c r="W221"/>
  <c r="W229" s="1"/>
  <c r="H1276" i="52"/>
  <c r="G357" i="51"/>
  <c r="U515" i="13"/>
  <c r="V508"/>
  <c r="V510" s="1"/>
  <c r="U510" s="1"/>
  <c r="U396" i="35"/>
  <c r="V391"/>
  <c r="U391" s="1"/>
  <c r="V389"/>
  <c r="AM179" i="37"/>
  <c r="AM186" s="1"/>
  <c r="AM185"/>
  <c r="W190" i="16"/>
  <c r="V179"/>
  <c r="V170"/>
  <c r="U457" i="30"/>
  <c r="V450"/>
  <c r="V452" s="1"/>
  <c r="U452" s="1"/>
  <c r="U479" i="50"/>
  <c r="V475"/>
  <c r="U475" s="1"/>
  <c r="V473"/>
  <c r="V537" i="28"/>
  <c r="V539" s="1"/>
  <c r="U539" s="1"/>
  <c r="U544"/>
  <c r="X165" i="17"/>
  <c r="X170" s="1"/>
  <c r="X175" s="1"/>
  <c r="X186"/>
  <c r="X191" s="1"/>
  <c r="X196" s="1"/>
  <c r="AL496" i="38"/>
  <c r="AM491"/>
  <c r="AL491" s="1"/>
  <c r="Z34" s="1"/>
  <c r="Z48" s="1"/>
  <c r="AM489"/>
  <c r="U479" i="24"/>
  <c r="V473"/>
  <c r="V475"/>
  <c r="U475" s="1"/>
  <c r="V92" s="1"/>
  <c r="U367" i="27"/>
  <c r="W275" i="35"/>
  <c r="W276" s="1"/>
  <c r="W277" s="1"/>
  <c r="W269"/>
  <c r="W270" s="1"/>
  <c r="W271" s="1"/>
  <c r="W283" s="1"/>
  <c r="W169"/>
  <c r="W179"/>
  <c r="Z80" i="20"/>
  <c r="W191" i="39"/>
  <c r="W196" s="1"/>
  <c r="AE185"/>
  <c r="AL378" i="36"/>
  <c r="AO365"/>
  <c r="V383" i="17"/>
  <c r="V385" s="1"/>
  <c r="U385" s="1"/>
  <c r="W85" s="1"/>
  <c r="U389"/>
  <c r="V164" i="19"/>
  <c r="V159"/>
  <c r="V185"/>
  <c r="V269" i="22"/>
  <c r="V270" s="1"/>
  <c r="V271" s="1"/>
  <c r="V283" s="1"/>
  <c r="V179"/>
  <c r="V169"/>
  <c r="V275"/>
  <c r="V276" s="1"/>
  <c r="V277" s="1"/>
  <c r="V414" i="24"/>
  <c r="U414" s="1"/>
  <c r="U85" s="1"/>
  <c r="V412"/>
  <c r="U418"/>
  <c r="W228" i="27"/>
  <c r="W226"/>
  <c r="W231" i="14"/>
  <c r="W221"/>
  <c r="W229" s="1"/>
  <c r="V196" i="23"/>
  <c r="V201"/>
  <c r="W457" i="16"/>
  <c r="T463" i="34"/>
  <c r="W450"/>
  <c r="AM484" i="36"/>
  <c r="AL341" i="38"/>
  <c r="AM335"/>
  <c r="AM337" s="1"/>
  <c r="AL337" s="1"/>
  <c r="AM93" s="1"/>
  <c r="W226" i="18"/>
  <c r="W228"/>
  <c r="V191" i="39"/>
  <c r="V196" s="1"/>
  <c r="AE184"/>
  <c r="V228" i="35"/>
  <c r="V226"/>
  <c r="W190" i="21"/>
  <c r="W200"/>
  <c r="W220" i="34"/>
  <c r="X216"/>
  <c r="W230"/>
  <c r="U450" i="23"/>
  <c r="X77" i="17"/>
  <c r="X109" s="1"/>
  <c r="X121" s="1"/>
  <c r="T444"/>
  <c r="X108"/>
  <c r="X120" s="1"/>
  <c r="V245" i="34"/>
  <c r="V251"/>
  <c r="T457" i="28"/>
  <c r="T450"/>
  <c r="W444"/>
  <c r="V444" s="1"/>
  <c r="V446" s="1"/>
  <c r="U446" s="1"/>
  <c r="X92" s="1"/>
  <c r="F1209" i="52"/>
  <c r="I1208"/>
  <c r="H1208"/>
  <c r="W367" i="34"/>
  <c r="W77" i="23"/>
  <c r="W109" s="1"/>
  <c r="W121" s="1"/>
  <c r="T502"/>
  <c r="W108"/>
  <c r="W120" s="1"/>
  <c r="W221" i="24"/>
  <c r="W229" s="1"/>
  <c r="W231"/>
  <c r="X228" i="13"/>
  <c r="X226"/>
  <c r="X224" i="35"/>
  <c r="X229"/>
  <c r="V228" i="33"/>
  <c r="V226"/>
  <c r="U396" i="16"/>
  <c r="V389"/>
  <c r="V391" s="1"/>
  <c r="U391" s="1"/>
  <c r="V389" i="30"/>
  <c r="V391"/>
  <c r="U391" s="1"/>
  <c r="U396"/>
  <c r="AN231" i="36"/>
  <c r="AN233"/>
  <c r="U389" i="15"/>
  <c r="V383"/>
  <c r="V385" s="1"/>
  <c r="U385" s="1"/>
  <c r="W85" s="1"/>
  <c r="Y226" i="28"/>
  <c r="Y228"/>
  <c r="X225" i="33"/>
  <c r="X223"/>
  <c r="AO213" i="38"/>
  <c r="AO211"/>
  <c r="X269" i="27"/>
  <c r="X270" s="1"/>
  <c r="X271" s="1"/>
  <c r="X169"/>
  <c r="X275"/>
  <c r="X276" s="1"/>
  <c r="X277" s="1"/>
  <c r="U389" i="24"/>
  <c r="V383"/>
  <c r="V385" s="1"/>
  <c r="U385" s="1"/>
  <c r="W85" s="1"/>
  <c r="AO205" i="37"/>
  <c r="AW190"/>
  <c r="AO196"/>
  <c r="U331" i="19"/>
  <c r="V327"/>
  <c r="U327" s="1"/>
  <c r="X85" s="1"/>
  <c r="V325"/>
  <c r="U418" i="30"/>
  <c r="V412"/>
  <c r="V414" s="1"/>
  <c r="U414" s="1"/>
  <c r="U85" s="1"/>
  <c r="U147" i="34"/>
  <c r="U412"/>
  <c r="U531"/>
  <c r="V222"/>
  <c r="V223" s="1"/>
  <c r="V224" s="1"/>
  <c r="U389" i="25"/>
  <c r="V383"/>
  <c r="V385" s="1"/>
  <c r="U385" s="1"/>
  <c r="W85" s="1"/>
  <c r="T508" i="28"/>
  <c r="T515"/>
  <c r="W502"/>
  <c r="V502" s="1"/>
  <c r="V504" s="1"/>
  <c r="U504" s="1"/>
  <c r="W92" s="1"/>
  <c r="V218" i="29"/>
  <c r="V220" s="1"/>
  <c r="V221" s="1"/>
  <c r="X220"/>
  <c r="X230"/>
  <c r="W185" i="27"/>
  <c r="W164"/>
  <c r="W159"/>
  <c r="AW190" i="36"/>
  <c r="AO196"/>
  <c r="AO201" s="1"/>
  <c r="T479" i="28"/>
  <c r="T486"/>
  <c r="W473"/>
  <c r="V473" s="1"/>
  <c r="V475" s="1"/>
  <c r="U475" s="1"/>
  <c r="V92" s="1"/>
  <c r="W275" i="29"/>
  <c r="W276" s="1"/>
  <c r="W277" s="1"/>
  <c r="W269"/>
  <c r="W270" s="1"/>
  <c r="W271" s="1"/>
  <c r="W283" s="1"/>
  <c r="W169"/>
  <c r="W179"/>
  <c r="W226" i="23"/>
  <c r="W228"/>
  <c r="T402" i="28"/>
  <c r="W389"/>
  <c r="V223" i="29"/>
  <c r="V224" s="1"/>
  <c r="V225"/>
  <c r="H227" i="51"/>
  <c r="H222"/>
  <c r="H233"/>
  <c r="W190" i="13"/>
  <c r="U515" i="35"/>
  <c r="V510"/>
  <c r="U510" s="1"/>
  <c r="V508"/>
  <c r="U544" i="33"/>
  <c r="W190" i="30"/>
  <c r="X190" i="28"/>
  <c r="AN254" i="38"/>
  <c r="AN255" s="1"/>
  <c r="AN256" s="1"/>
  <c r="AN268" s="1"/>
  <c r="AN260"/>
  <c r="AN261" s="1"/>
  <c r="AN262" s="1"/>
  <c r="AN184"/>
  <c r="AN168"/>
  <c r="V412" i="15"/>
  <c r="V414" s="1"/>
  <c r="U414" s="1"/>
  <c r="U85" s="1"/>
  <c r="U418"/>
  <c r="V412" i="13"/>
  <c r="V414" s="1"/>
  <c r="U414" s="1"/>
  <c r="U85" s="1"/>
  <c r="U418"/>
  <c r="W226" i="14"/>
  <c r="W228"/>
  <c r="W231" i="21"/>
  <c r="W221"/>
  <c r="W229" s="1"/>
  <c r="U185"/>
  <c r="U164"/>
  <c r="X159" i="16"/>
  <c r="X185"/>
  <c r="X164"/>
  <c r="U354" i="34"/>
  <c r="U473"/>
  <c r="W222"/>
  <c r="V147"/>
  <c r="V153" s="1"/>
  <c r="X216" i="17"/>
  <c r="W220"/>
  <c r="W230"/>
  <c r="W226"/>
  <c r="W402" i="34"/>
  <c r="V223" i="22"/>
  <c r="V225"/>
  <c r="T402" i="23"/>
  <c r="W389"/>
  <c r="V389" s="1"/>
  <c r="V391" s="1"/>
  <c r="U391" s="1"/>
  <c r="W338" i="28"/>
  <c r="V338" s="1"/>
  <c r="X223" i="29"/>
  <c r="X224" s="1"/>
  <c r="X225"/>
  <c r="U389" i="28"/>
  <c r="V385"/>
  <c r="U385" s="1"/>
  <c r="W85" s="1"/>
  <c r="W367" i="25"/>
  <c r="V367"/>
  <c r="W338"/>
  <c r="V338" s="1"/>
  <c r="V340" s="1"/>
  <c r="U340" s="1"/>
  <c r="X86" s="1"/>
  <c r="W228" i="28"/>
  <c r="W226"/>
  <c r="AN191" i="36"/>
  <c r="W185" i="15"/>
  <c r="W164" i="25"/>
  <c r="X200" i="24"/>
  <c r="V190" i="14"/>
  <c r="AD185" i="35"/>
  <c r="W200"/>
  <c r="W190"/>
  <c r="V218" i="16"/>
  <c r="V220" s="1"/>
  <c r="V221" s="1"/>
  <c r="V229" s="1"/>
  <c r="V231" s="1"/>
  <c r="X220"/>
  <c r="X230"/>
  <c r="W200" i="39"/>
  <c r="W190"/>
  <c r="AD185"/>
  <c r="V82" i="4"/>
  <c r="W84" s="1"/>
  <c r="W78"/>
  <c r="V533" i="24"/>
  <c r="U533" s="1"/>
  <c r="U92" s="1"/>
  <c r="U537"/>
  <c r="V531"/>
  <c r="U396" i="13"/>
  <c r="V389"/>
  <c r="V391" s="1"/>
  <c r="U391" s="1"/>
  <c r="V418" i="33"/>
  <c r="U425"/>
  <c r="V420"/>
  <c r="U420" s="1"/>
  <c r="T463" i="16"/>
  <c r="W450"/>
  <c r="V190" i="17"/>
  <c r="W225" i="22"/>
  <c r="W223"/>
  <c r="U425" i="28"/>
  <c r="V418"/>
  <c r="V420" s="1"/>
  <c r="U420" s="1"/>
  <c r="V191" i="35"/>
  <c r="V196" s="1"/>
  <c r="V288" s="1"/>
  <c r="AE184"/>
  <c r="AM173" i="38"/>
  <c r="AM178" s="1"/>
  <c r="AM179" s="1"/>
  <c r="AM180" s="1"/>
  <c r="AM167"/>
  <c r="X230" i="18"/>
  <c r="V217"/>
  <c r="X220"/>
  <c r="X225"/>
  <c r="V269" i="39"/>
  <c r="V270" s="1"/>
  <c r="V271" s="1"/>
  <c r="V275"/>
  <c r="V276" s="1"/>
  <c r="V277" s="1"/>
  <c r="V179"/>
  <c r="V169"/>
  <c r="T450"/>
  <c r="T457"/>
  <c r="W444"/>
  <c r="V444" s="1"/>
  <c r="V446" s="1"/>
  <c r="U446" s="1"/>
  <c r="X92" s="1"/>
  <c r="X159" i="23"/>
  <c r="X185"/>
  <c r="X164"/>
  <c r="T479" i="25"/>
  <c r="T486"/>
  <c r="W473"/>
  <c r="V473" s="1"/>
  <c r="V475" s="1"/>
  <c r="U475" s="1"/>
  <c r="V92" s="1"/>
  <c r="X216" i="30"/>
  <c r="W220"/>
  <c r="W230"/>
  <c r="W226"/>
  <c r="C23" i="32"/>
  <c r="E23" s="1"/>
  <c r="E20"/>
  <c r="W202" i="18"/>
  <c r="X288" s="1"/>
  <c r="V288"/>
  <c r="Y297" i="24"/>
  <c r="X282"/>
  <c r="X281" s="1"/>
  <c r="U486" i="14"/>
  <c r="V479"/>
  <c r="V481" s="1"/>
  <c r="U481" s="1"/>
  <c r="AM401" i="36"/>
  <c r="U486" i="17"/>
  <c r="V481"/>
  <c r="U481" s="1"/>
  <c r="V479"/>
  <c r="X165" i="30"/>
  <c r="X170" s="1"/>
  <c r="X175" s="1"/>
  <c r="X186"/>
  <c r="X191" s="1"/>
  <c r="X196" s="1"/>
  <c r="U200" i="28"/>
  <c r="U190"/>
  <c r="U389" i="33"/>
  <c r="V383"/>
  <c r="V385" s="1"/>
  <c r="U385" s="1"/>
  <c r="W85" s="1"/>
  <c r="U457" i="17"/>
  <c r="X186" i="27"/>
  <c r="X191" s="1"/>
  <c r="X196" s="1"/>
  <c r="X165"/>
  <c r="X170" s="1"/>
  <c r="X175" s="1"/>
  <c r="U508" i="24"/>
  <c r="V502"/>
  <c r="V504" s="1"/>
  <c r="U504" s="1"/>
  <c r="W92" s="1"/>
  <c r="U450" i="19"/>
  <c r="V444"/>
  <c r="V446" s="1"/>
  <c r="U446" s="1"/>
  <c r="X92" s="1"/>
  <c r="V223" i="30"/>
  <c r="V224" s="1"/>
  <c r="V225"/>
  <c r="V228" s="1"/>
  <c r="AN80" i="20"/>
  <c r="AM80"/>
  <c r="AM82" s="1"/>
  <c r="AL82" s="1"/>
  <c r="I80" s="1"/>
  <c r="I93" s="1"/>
  <c r="I98" s="1"/>
  <c r="V190" i="21"/>
  <c r="V200"/>
  <c r="U325" i="34"/>
  <c r="U444"/>
  <c r="Y222"/>
  <c r="X147"/>
  <c r="X153" s="1"/>
  <c r="U508" i="25"/>
  <c r="V502"/>
  <c r="V504" s="1"/>
  <c r="U504" s="1"/>
  <c r="W92" s="1"/>
  <c r="W373" i="17"/>
  <c r="V373"/>
  <c r="V375" s="1"/>
  <c r="U375" s="1"/>
  <c r="U508" i="27"/>
  <c r="V504"/>
  <c r="U504" s="1"/>
  <c r="W92" s="1"/>
  <c r="I201" i="51"/>
  <c r="H214"/>
  <c r="H209"/>
  <c r="H204"/>
  <c r="X73" i="20"/>
  <c r="Y69"/>
  <c r="X69" s="1"/>
  <c r="E75" s="1"/>
  <c r="E88" s="1"/>
  <c r="V293" i="29"/>
  <c r="V293" i="28"/>
  <c r="AN298" i="36"/>
  <c r="V293" i="25"/>
  <c r="V293" i="27"/>
  <c r="V293" i="34"/>
  <c r="V293" i="24"/>
  <c r="V293" i="23"/>
  <c r="V293" i="22"/>
  <c r="V293" i="17"/>
  <c r="V293" i="21"/>
  <c r="V293" i="14"/>
  <c r="V293" i="19"/>
  <c r="V293" i="18"/>
  <c r="V293" i="39"/>
  <c r="V293" i="13"/>
  <c r="V293" i="30"/>
  <c r="V293" i="33"/>
  <c r="V293" i="16"/>
  <c r="V293" i="15"/>
  <c r="AN298" i="37"/>
  <c r="G384" i="51"/>
  <c r="V293" i="35"/>
  <c r="V293" i="50"/>
  <c r="H1317" i="52" s="1"/>
  <c r="H26" i="32"/>
  <c r="AP244" i="36"/>
  <c r="AP249"/>
  <c r="U537" i="29"/>
  <c r="V533"/>
  <c r="U533" s="1"/>
  <c r="U92" s="1"/>
  <c r="V531"/>
  <c r="AL401" i="36"/>
  <c r="AL394"/>
  <c r="AN388"/>
  <c r="AN390" s="1"/>
  <c r="AM390" s="1"/>
  <c r="AO90" s="1"/>
  <c r="AO388"/>
  <c r="X195" i="24"/>
  <c r="X202" s="1"/>
  <c r="Y288" s="1"/>
  <c r="X201"/>
  <c r="X180" i="22"/>
  <c r="X174"/>
  <c r="X181" s="1"/>
  <c r="W275" i="13"/>
  <c r="W276" s="1"/>
  <c r="W277" s="1"/>
  <c r="W169"/>
  <c r="W269"/>
  <c r="W270" s="1"/>
  <c r="W271" s="1"/>
  <c r="U425" i="16"/>
  <c r="V420"/>
  <c r="U420" s="1"/>
  <c r="V418"/>
  <c r="W186" i="30"/>
  <c r="W191" s="1"/>
  <c r="W196" s="1"/>
  <c r="V288" s="1"/>
  <c r="W165"/>
  <c r="W170" s="1"/>
  <c r="W175" s="1"/>
  <c r="W515" i="29"/>
  <c r="X169" i="28"/>
  <c r="X275"/>
  <c r="X276" s="1"/>
  <c r="X277" s="1"/>
  <c r="X269"/>
  <c r="X270" s="1"/>
  <c r="X271" s="1"/>
  <c r="U486" i="25"/>
  <c r="V200" i="15"/>
  <c r="V190"/>
  <c r="U537"/>
  <c r="V533"/>
  <c r="U533" s="1"/>
  <c r="U92" s="1"/>
  <c r="V531"/>
  <c r="U537" i="13"/>
  <c r="V531"/>
  <c r="V533"/>
  <c r="U533" s="1"/>
  <c r="U92" s="1"/>
  <c r="G161" i="51"/>
  <c r="G258"/>
  <c r="G156"/>
  <c r="W344" i="16"/>
  <c r="W226" i="21"/>
  <c r="W228"/>
  <c r="V412"/>
  <c r="V414"/>
  <c r="U414" s="1"/>
  <c r="U85" s="1"/>
  <c r="U418"/>
  <c r="U331" i="16"/>
  <c r="V325"/>
  <c r="V327" s="1"/>
  <c r="U327" s="1"/>
  <c r="X85" s="1"/>
  <c r="V217" i="24"/>
  <c r="X230"/>
  <c r="X220"/>
  <c r="X225"/>
  <c r="Y221" i="17"/>
  <c r="Y229" s="1"/>
  <c r="Y231"/>
  <c r="W226" i="25"/>
  <c r="W228"/>
  <c r="W544" i="33"/>
  <c r="V544"/>
  <c r="U418" i="22"/>
  <c r="V412"/>
  <c r="V414" s="1"/>
  <c r="U414" s="1"/>
  <c r="U85" s="1"/>
  <c r="V275" i="25"/>
  <c r="V276" s="1"/>
  <c r="V277" s="1"/>
  <c r="V179"/>
  <c r="V269"/>
  <c r="V270" s="1"/>
  <c r="V271" s="1"/>
  <c r="V283" s="1"/>
  <c r="V169"/>
  <c r="V269" i="29"/>
  <c r="V270" s="1"/>
  <c r="V271" s="1"/>
  <c r="V179"/>
  <c r="V169"/>
  <c r="V275"/>
  <c r="V276" s="1"/>
  <c r="V277" s="1"/>
  <c r="U389"/>
  <c r="V383"/>
  <c r="V385" s="1"/>
  <c r="U385" s="1"/>
  <c r="W85" s="1"/>
  <c r="U508" i="28"/>
  <c r="T373" i="25"/>
  <c r="W360"/>
  <c r="V360"/>
  <c r="V362" s="1"/>
  <c r="U362" s="1"/>
  <c r="AO244" i="36"/>
  <c r="AO249"/>
  <c r="V190" i="27"/>
  <c r="V200"/>
  <c r="Z54" i="38"/>
  <c r="V200" i="16"/>
  <c r="G343" i="51"/>
  <c r="AN190" i="36"/>
  <c r="U283" i="39"/>
  <c r="W186" i="15"/>
  <c r="W191" s="1"/>
  <c r="W196" s="1"/>
  <c r="W165" i="25"/>
  <c r="W170" s="1"/>
  <c r="W175" s="1"/>
  <c r="V225" i="34"/>
  <c r="V228" s="1"/>
  <c r="Y229" i="27"/>
  <c r="W457"/>
  <c r="V457" s="1"/>
  <c r="X190" i="17"/>
  <c r="X200"/>
  <c r="W344"/>
  <c r="V344" s="1"/>
  <c r="V346" s="1"/>
  <c r="U346" s="1"/>
  <c r="W147" i="34"/>
  <c r="W153" s="1"/>
  <c r="X222"/>
  <c r="U383"/>
  <c r="U502"/>
  <c r="AO372" i="36"/>
  <c r="U508" i="17"/>
  <c r="W223" i="19"/>
  <c r="W225"/>
  <c r="J205" i="51"/>
  <c r="J213" s="1"/>
  <c r="J215"/>
  <c r="F369"/>
  <c r="G1291" i="52"/>
  <c r="U174" i="17"/>
  <c r="U181" s="1"/>
  <c r="U180"/>
  <c r="X180" i="33"/>
  <c r="X174"/>
  <c r="X181" s="1"/>
  <c r="V186" i="14"/>
  <c r="V191" s="1"/>
  <c r="V196" s="1"/>
  <c r="V288" s="1"/>
  <c r="V165"/>
  <c r="V170" s="1"/>
  <c r="V175" s="1"/>
  <c r="W165" i="16"/>
  <c r="W170" s="1"/>
  <c r="W175" s="1"/>
  <c r="W186"/>
  <c r="W191" s="1"/>
  <c r="W196" s="1"/>
  <c r="W225" i="50"/>
  <c r="W223"/>
  <c r="U457" i="28"/>
  <c r="T463" i="27"/>
  <c r="W450"/>
  <c r="V450" s="1"/>
  <c r="V452" s="1"/>
  <c r="U452" s="1"/>
  <c r="W515" i="34"/>
  <c r="U457" i="27"/>
  <c r="V164" i="24"/>
  <c r="V185"/>
  <c r="V159"/>
  <c r="W269" i="39"/>
  <c r="W270" s="1"/>
  <c r="W271" s="1"/>
  <c r="W283" s="1"/>
  <c r="W275"/>
  <c r="W276" s="1"/>
  <c r="W277" s="1"/>
  <c r="W169"/>
  <c r="W179"/>
  <c r="W185" i="17"/>
  <c r="W159"/>
  <c r="W164"/>
  <c r="U360" i="19"/>
  <c r="V356"/>
  <c r="U356" s="1"/>
  <c r="V85" s="1"/>
  <c r="V354"/>
  <c r="U164" i="24"/>
  <c r="U185"/>
  <c r="X225" i="27"/>
  <c r="V217"/>
  <c r="X230"/>
  <c r="X220"/>
  <c r="W179" i="28"/>
  <c r="W275"/>
  <c r="W276" s="1"/>
  <c r="W277" s="1"/>
  <c r="W269"/>
  <c r="W270" s="1"/>
  <c r="W271" s="1"/>
  <c r="W283" s="1"/>
  <c r="W169"/>
  <c r="U195" i="17"/>
  <c r="U202" s="1"/>
  <c r="U201"/>
  <c r="AM200" i="37"/>
  <c r="AM207" s="1"/>
  <c r="AM206"/>
  <c r="V169" i="17"/>
  <c r="V275"/>
  <c r="V276" s="1"/>
  <c r="V277" s="1"/>
  <c r="V269"/>
  <c r="V270" s="1"/>
  <c r="V271" s="1"/>
  <c r="V283" s="1"/>
  <c r="V195" i="16"/>
  <c r="V202" s="1"/>
  <c r="W288" s="1"/>
  <c r="V201"/>
  <c r="U515" i="30"/>
  <c r="V508"/>
  <c r="V510" s="1"/>
  <c r="U510" s="1"/>
  <c r="AN423" i="36"/>
  <c r="AN425"/>
  <c r="AM425" s="1"/>
  <c r="AM430"/>
  <c r="V356" i="22"/>
  <c r="U356" s="1"/>
  <c r="V85" s="1"/>
  <c r="V354"/>
  <c r="U360"/>
  <c r="AO228" i="36"/>
  <c r="AO230"/>
  <c r="U338" i="28"/>
  <c r="AM370" i="38"/>
  <c r="AM372"/>
  <c r="AL372" s="1"/>
  <c r="AL377"/>
  <c r="U338" i="27"/>
  <c r="V331"/>
  <c r="V333" s="1"/>
  <c r="U333" s="1"/>
  <c r="V190" i="35"/>
  <c r="AD184"/>
  <c r="V200"/>
  <c r="AN208" i="38"/>
  <c r="AN210"/>
  <c r="AD184" i="39"/>
  <c r="V190"/>
  <c r="V200"/>
  <c r="J333" i="51"/>
  <c r="H334"/>
  <c r="J334" s="1"/>
  <c r="U331" i="23"/>
  <c r="V327"/>
  <c r="U327" s="1"/>
  <c r="X85" s="1"/>
  <c r="T450" i="25"/>
  <c r="T457"/>
  <c r="W444"/>
  <c r="V444" s="1"/>
  <c r="V446" s="1"/>
  <c r="U446" s="1"/>
  <c r="X92" s="1"/>
  <c r="Y221" i="30"/>
  <c r="Y229" s="1"/>
  <c r="Y231"/>
  <c r="T344" i="23"/>
  <c r="W331"/>
  <c r="V331" s="1"/>
  <c r="Y293" i="28"/>
  <c r="W293" s="1"/>
  <c r="X293" s="1"/>
  <c r="E26" i="32"/>
  <c r="Y293" i="33"/>
  <c r="W293" s="1"/>
  <c r="X293" s="1"/>
  <c r="Y293" i="22"/>
  <c r="W293" s="1"/>
  <c r="X293" s="1"/>
  <c r="Y293" i="15"/>
  <c r="W293" s="1"/>
  <c r="X293" s="1"/>
  <c r="J384" i="51"/>
  <c r="H384" s="1"/>
  <c r="I384" s="1"/>
  <c r="Y293" i="21"/>
  <c r="W293" s="1"/>
  <c r="X293" s="1"/>
  <c r="Y293" i="50"/>
  <c r="W293" s="1"/>
  <c r="AQ298" i="36"/>
  <c r="AO298" s="1"/>
  <c r="AP298" s="1"/>
  <c r="Y293" i="34"/>
  <c r="W293" s="1"/>
  <c r="X293" s="1"/>
  <c r="Y293" i="18"/>
  <c r="W293" s="1"/>
  <c r="X293" s="1"/>
  <c r="E179" i="20"/>
  <c r="H179" s="1"/>
  <c r="Y293" i="35"/>
  <c r="W293" s="1"/>
  <c r="X293" s="1"/>
  <c r="Y293" i="14"/>
  <c r="W293" s="1"/>
  <c r="X293" s="1"/>
  <c r="Y293" i="27"/>
  <c r="W293" s="1"/>
  <c r="X293" s="1"/>
  <c r="Y293" i="19"/>
  <c r="W293" s="1"/>
  <c r="X293" s="1"/>
  <c r="Y293" i="16"/>
  <c r="W293" s="1"/>
  <c r="X293" s="1"/>
  <c r="AQ298" i="37"/>
  <c r="AO298" s="1"/>
  <c r="AP298" s="1"/>
  <c r="Y293" i="30"/>
  <c r="W293" s="1"/>
  <c r="X293" s="1"/>
  <c r="Y293" i="29"/>
  <c r="W293" s="1"/>
  <c r="X293" s="1"/>
  <c r="Y293" i="24"/>
  <c r="W293" s="1"/>
  <c r="X293" s="1"/>
  <c r="Y293" i="23"/>
  <c r="W293" s="1"/>
  <c r="X293" s="1"/>
  <c r="Y293" i="25"/>
  <c r="W293" s="1"/>
  <c r="X293" s="1"/>
  <c r="Y293" i="17"/>
  <c r="W293" s="1"/>
  <c r="X293" s="1"/>
  <c r="Y293" i="13"/>
  <c r="W293" s="1"/>
  <c r="X293" s="1"/>
  <c r="Y293" i="39"/>
  <c r="W293" s="1"/>
  <c r="X293" s="1"/>
  <c r="I222" i="51"/>
  <c r="I233"/>
  <c r="I227"/>
  <c r="U174" i="39"/>
  <c r="U181" s="1"/>
  <c r="U180"/>
  <c r="X191" i="33"/>
  <c r="X196" s="1"/>
  <c r="AE186"/>
  <c r="X269" i="30"/>
  <c r="X270" s="1"/>
  <c r="X271" s="1"/>
  <c r="X275"/>
  <c r="X276" s="1"/>
  <c r="X277" s="1"/>
  <c r="X169"/>
  <c r="X179"/>
  <c r="U508" i="15"/>
  <c r="V502"/>
  <c r="V504" s="1"/>
  <c r="U504" s="1"/>
  <c r="W92" s="1"/>
  <c r="U275" i="28"/>
  <c r="U276" s="1"/>
  <c r="U277" s="1"/>
  <c r="U269"/>
  <c r="U270" s="1"/>
  <c r="U271" s="1"/>
  <c r="U179"/>
  <c r="U169"/>
  <c r="U508" i="33"/>
  <c r="V502"/>
  <c r="V504" s="1"/>
  <c r="U504" s="1"/>
  <c r="W92" s="1"/>
  <c r="W515" i="27"/>
  <c r="Y223" i="19"/>
  <c r="Y225"/>
  <c r="AK86" i="20"/>
  <c r="AN73"/>
  <c r="AM73" s="1"/>
  <c r="AM75" s="1"/>
  <c r="AL75" s="1"/>
  <c r="I76" s="1"/>
  <c r="I89" s="1"/>
  <c r="V275" i="21"/>
  <c r="V276" s="1"/>
  <c r="V277" s="1"/>
  <c r="V179"/>
  <c r="V269"/>
  <c r="V270" s="1"/>
  <c r="V271" s="1"/>
  <c r="V169"/>
  <c r="AO280" i="36"/>
  <c r="AO281" s="1"/>
  <c r="AO282" s="1"/>
  <c r="AO274"/>
  <c r="AO275" s="1"/>
  <c r="AO276" s="1"/>
  <c r="AO174"/>
  <c r="AO184"/>
  <c r="J212" i="51"/>
  <c r="J210"/>
  <c r="W200" i="29"/>
  <c r="W190"/>
  <c r="V292" i="24"/>
  <c r="V292" i="23"/>
  <c r="V292" i="22"/>
  <c r="AN297" i="36"/>
  <c r="V292" i="25"/>
  <c r="V292" i="33"/>
  <c r="V292" i="27"/>
  <c r="V292" i="16"/>
  <c r="V292" i="15"/>
  <c r="AN297" i="37"/>
  <c r="V292" i="35"/>
  <c r="V292" i="17"/>
  <c r="V292" i="21"/>
  <c r="V292" i="14"/>
  <c r="V292" i="50"/>
  <c r="H1316" i="52" s="1"/>
  <c r="V292" i="34"/>
  <c r="G383" i="51"/>
  <c r="V292" i="19"/>
  <c r="V292" i="18"/>
  <c r="V292" i="39"/>
  <c r="V292" i="13"/>
  <c r="V292" i="30"/>
  <c r="V292" i="29"/>
  <c r="V292" i="28"/>
  <c r="AE80" i="20"/>
  <c r="AF73"/>
  <c r="AF75" s="1"/>
  <c r="AE75" s="1"/>
  <c r="G76" s="1"/>
  <c r="G89" s="1"/>
  <c r="X230" i="23"/>
  <c r="X220"/>
  <c r="V217"/>
  <c r="X225"/>
  <c r="T373" i="27"/>
  <c r="W360"/>
  <c r="V360" s="1"/>
  <c r="V362" s="1"/>
  <c r="U362" s="1"/>
  <c r="V412" i="29"/>
  <c r="V414" s="1"/>
  <c r="U414" s="1"/>
  <c r="U85" s="1"/>
  <c r="U418"/>
  <c r="AM317" i="36"/>
  <c r="AO81" s="1"/>
  <c r="AM315"/>
  <c r="AM319"/>
  <c r="AM316"/>
  <c r="AM318"/>
  <c r="J1290" i="52"/>
  <c r="J368" i="51" s="1"/>
  <c r="H368"/>
  <c r="W165" i="13"/>
  <c r="W170" s="1"/>
  <c r="W175" s="1"/>
  <c r="W186"/>
  <c r="W191" s="1"/>
  <c r="W196" s="1"/>
  <c r="V288" s="1"/>
  <c r="AM520" i="36"/>
  <c r="W269" i="30"/>
  <c r="W270" s="1"/>
  <c r="W271" s="1"/>
  <c r="W275"/>
  <c r="W276" s="1"/>
  <c r="W277" s="1"/>
  <c r="W169"/>
  <c r="W179"/>
  <c r="T521" i="29"/>
  <c r="W508"/>
  <c r="V508" s="1"/>
  <c r="T521" i="16"/>
  <c r="W508"/>
  <c r="V508" s="1"/>
  <c r="V510" s="1"/>
  <c r="U510" s="1"/>
  <c r="Y228" i="27"/>
  <c r="Y226"/>
  <c r="V275" i="15"/>
  <c r="V276" s="1"/>
  <c r="V277" s="1"/>
  <c r="V179"/>
  <c r="V269"/>
  <c r="V270" s="1"/>
  <c r="V271" s="1"/>
  <c r="V169"/>
  <c r="V217" i="14"/>
  <c r="X230"/>
  <c r="X225"/>
  <c r="X220"/>
  <c r="U537" i="21"/>
  <c r="V533"/>
  <c r="U533" s="1"/>
  <c r="U92" s="1"/>
  <c r="V531"/>
  <c r="U450" i="16"/>
  <c r="V446"/>
  <c r="U446" s="1"/>
  <c r="X92" s="1"/>
  <c r="V245" i="30"/>
  <c r="V251"/>
  <c r="T550" i="33"/>
  <c r="W537"/>
  <c r="V537"/>
  <c r="V539" s="1"/>
  <c r="U539" s="1"/>
  <c r="U537" i="22"/>
  <c r="V531"/>
  <c r="V533" s="1"/>
  <c r="U533" s="1"/>
  <c r="U92" s="1"/>
  <c r="V190" i="25"/>
  <c r="V200"/>
  <c r="V200" i="29"/>
  <c r="V190"/>
  <c r="W373" i="23"/>
  <c r="V373"/>
  <c r="V375" s="1"/>
  <c r="U375" s="1"/>
  <c r="I1319" i="52"/>
  <c r="X295" i="50"/>
  <c r="X219" i="27"/>
  <c r="W224"/>
  <c r="U508" i="29"/>
  <c r="V504"/>
  <c r="U504" s="1"/>
  <c r="W92" s="1"/>
  <c r="V275" i="27"/>
  <c r="V276" s="1"/>
  <c r="V277" s="1"/>
  <c r="V269"/>
  <c r="V270" s="1"/>
  <c r="V271" s="1"/>
  <c r="V283" s="1"/>
  <c r="V179"/>
  <c r="V169"/>
  <c r="X225" i="28"/>
  <c r="V217"/>
  <c r="X230"/>
  <c r="X220"/>
  <c r="AM288" i="37"/>
  <c r="H171" i="20"/>
  <c r="AN169" i="36"/>
  <c r="X179" i="24"/>
  <c r="X179" i="22"/>
  <c r="E171" i="20"/>
  <c r="J1288" i="52"/>
  <c r="J366" i="51" s="1"/>
  <c r="H366"/>
  <c r="U282" i="17"/>
  <c r="U281" s="1"/>
  <c r="V297"/>
  <c r="V169" i="14"/>
  <c r="V269"/>
  <c r="V270" s="1"/>
  <c r="V271" s="1"/>
  <c r="V275"/>
  <c r="V276" s="1"/>
  <c r="V277" s="1"/>
  <c r="V179"/>
  <c r="V175" i="23"/>
  <c r="V181" s="1"/>
  <c r="V180"/>
  <c r="H16" i="26"/>
  <c r="H21" s="1"/>
  <c r="H26" s="1"/>
  <c r="V153" i="50"/>
  <c r="X223" i="17"/>
  <c r="X224" s="1"/>
  <c r="X225"/>
  <c r="X228" s="1"/>
  <c r="V190" i="22"/>
  <c r="V200"/>
  <c r="AP229" i="36"/>
  <c r="AN224"/>
  <c r="J1314" i="52"/>
  <c r="H1328"/>
  <c r="K1314"/>
  <c r="W245" i="23"/>
  <c r="W251"/>
  <c r="AQ232" i="36"/>
  <c r="AP66"/>
  <c r="AP67" s="1"/>
  <c r="AP263"/>
  <c r="AO263"/>
  <c r="H284" i="51"/>
  <c r="H285" s="1"/>
  <c r="H286" s="1"/>
  <c r="H290"/>
  <c r="H291" s="1"/>
  <c r="H292" s="1"/>
  <c r="H176"/>
  <c r="H166"/>
  <c r="X195" i="22"/>
  <c r="X202" s="1"/>
  <c r="Y288" s="1"/>
  <c r="X201"/>
  <c r="AP231" i="36"/>
  <c r="AP233"/>
  <c r="V186" i="17"/>
  <c r="V191" s="1"/>
  <c r="V196" s="1"/>
  <c r="V165"/>
  <c r="V170" s="1"/>
  <c r="V175" s="1"/>
  <c r="U515" i="16"/>
  <c r="U338" i="30"/>
  <c r="V333"/>
  <c r="U333" s="1"/>
  <c r="V331"/>
  <c r="U479" i="22"/>
  <c r="V473"/>
  <c r="V475" s="1"/>
  <c r="U475" s="1"/>
  <c r="V92" s="1"/>
  <c r="W457" i="34"/>
  <c r="AM365" i="36"/>
  <c r="AN361"/>
  <c r="AM361" s="1"/>
  <c r="AN90" s="1"/>
  <c r="V275" i="35"/>
  <c r="V276" s="1"/>
  <c r="V277" s="1"/>
  <c r="V269"/>
  <c r="V270" s="1"/>
  <c r="V271" s="1"/>
  <c r="V169"/>
  <c r="V179"/>
  <c r="AL460" i="38"/>
  <c r="AM454"/>
  <c r="AM456"/>
  <c r="AL456" s="1"/>
  <c r="AM100" s="1"/>
  <c r="X33" s="1"/>
  <c r="X47" s="1"/>
  <c r="W221" i="18"/>
  <c r="W229" s="1"/>
  <c r="W231"/>
  <c r="V224" i="35"/>
  <c r="V229"/>
  <c r="V231" s="1"/>
  <c r="W169" i="21"/>
  <c r="W179"/>
  <c r="W269"/>
  <c r="W270" s="1"/>
  <c r="W271" s="1"/>
  <c r="W275"/>
  <c r="W276" s="1"/>
  <c r="W277" s="1"/>
  <c r="AC61" i="38"/>
  <c r="AC62" s="1"/>
  <c r="AC55"/>
  <c r="Y223" i="23"/>
  <c r="Y225"/>
  <c r="W338"/>
  <c r="T373" i="34"/>
  <c r="W360"/>
  <c r="W221" i="13"/>
  <c r="W229" s="1"/>
  <c r="W231"/>
  <c r="X174" i="24"/>
  <c r="X181" s="1"/>
  <c r="X180"/>
  <c r="X226" i="35"/>
  <c r="X228"/>
  <c r="V224" i="33"/>
  <c r="V229"/>
  <c r="V231" s="1"/>
  <c r="X190" i="30"/>
  <c r="X200"/>
  <c r="X223" i="15"/>
  <c r="X225"/>
  <c r="Y224" i="28"/>
  <c r="Y229"/>
  <c r="W164" i="33"/>
  <c r="W185"/>
  <c r="W159"/>
  <c r="AO209" i="38"/>
  <c r="AO214"/>
  <c r="T521" i="27"/>
  <c r="W508"/>
  <c r="V508" s="1"/>
  <c r="X200"/>
  <c r="X190"/>
  <c r="W159" i="24"/>
  <c r="W185"/>
  <c r="W164"/>
  <c r="W269" i="15"/>
  <c r="W270" s="1"/>
  <c r="W271" s="1"/>
  <c r="W283" s="1"/>
  <c r="W275"/>
  <c r="W276" s="1"/>
  <c r="W277" s="1"/>
  <c r="W169"/>
  <c r="W179"/>
  <c r="AO175" i="37"/>
  <c r="AO184"/>
  <c r="X159" i="19"/>
  <c r="X185"/>
  <c r="X164"/>
  <c r="U537" i="30"/>
  <c r="V533"/>
  <c r="U533" s="1"/>
  <c r="U92" s="1"/>
  <c r="V531"/>
  <c r="U389" i="27"/>
  <c r="V383"/>
  <c r="V385" s="1"/>
  <c r="U385" s="1"/>
  <c r="W85" s="1"/>
  <c r="AO195" i="36"/>
  <c r="AO205"/>
  <c r="AV190"/>
  <c r="X77" i="23"/>
  <c r="X109" s="1"/>
  <c r="X121" s="1"/>
  <c r="T444"/>
  <c r="X108"/>
  <c r="X120" s="1"/>
  <c r="T473" i="34"/>
  <c r="V108"/>
  <c r="V120" s="1"/>
  <c r="V77"/>
  <c r="V109" s="1"/>
  <c r="V121" s="1"/>
  <c r="W221" i="23"/>
  <c r="W229" s="1"/>
  <c r="W231"/>
  <c r="H1318" i="52"/>
  <c r="V302" i="50"/>
  <c r="W367" i="27"/>
  <c r="V367" s="1"/>
  <c r="W396" i="28"/>
  <c r="I1320" i="52"/>
  <c r="X296" i="50"/>
  <c r="AB61" i="38"/>
  <c r="AB62" s="1"/>
  <c r="AB55"/>
  <c r="K1210" i="52"/>
  <c r="H1044"/>
  <c r="I1044" s="1"/>
  <c r="G1019"/>
  <c r="I1019" s="1"/>
  <c r="U201" i="39"/>
  <c r="U195"/>
  <c r="U202" s="1"/>
  <c r="Y297" i="22"/>
  <c r="X282"/>
  <c r="X281" s="1"/>
  <c r="X195" i="33"/>
  <c r="X202" s="1"/>
  <c r="Y288" s="1"/>
  <c r="X201"/>
  <c r="U367" i="14"/>
  <c r="V362"/>
  <c r="U362" s="1"/>
  <c r="V360"/>
  <c r="X226" i="16"/>
  <c r="X228"/>
  <c r="AN542" i="36"/>
  <c r="AM549"/>
  <c r="AN544"/>
  <c r="AM544" s="1"/>
  <c r="W515" i="16"/>
  <c r="V515"/>
  <c r="X186" i="28"/>
  <c r="X191" s="1"/>
  <c r="X196" s="1"/>
  <c r="X165"/>
  <c r="X170" s="1"/>
  <c r="X175" s="1"/>
  <c r="U486" i="27"/>
  <c r="V479"/>
  <c r="V481"/>
  <c r="U481" s="1"/>
  <c r="V223" i="15"/>
  <c r="V225"/>
  <c r="V223" i="13"/>
  <c r="V225"/>
  <c r="U544" i="35"/>
  <c r="V539"/>
  <c r="U539" s="1"/>
  <c r="V537"/>
  <c r="X220" i="21"/>
  <c r="V217"/>
  <c r="X230"/>
  <c r="X225"/>
  <c r="Y225" i="16"/>
  <c r="Y223"/>
  <c r="Y224" s="1"/>
  <c r="AN82" i="36"/>
  <c r="AN114" s="1"/>
  <c r="AN126" s="1"/>
  <c r="AN113"/>
  <c r="AN125" s="1"/>
  <c r="AL478"/>
  <c r="V217" i="25"/>
  <c r="X230"/>
  <c r="X225"/>
  <c r="X220"/>
  <c r="W396" i="23"/>
  <c r="V396"/>
  <c r="V398" s="1"/>
  <c r="U398" s="1"/>
  <c r="W86" s="1"/>
  <c r="T344" i="28"/>
  <c r="V331"/>
  <c r="V333" s="1"/>
  <c r="U333" s="1"/>
  <c r="W331"/>
  <c r="T344" i="25"/>
  <c r="V331"/>
  <c r="V333" s="1"/>
  <c r="U333" s="1"/>
  <c r="W331"/>
  <c r="V288" i="16"/>
  <c r="V299" s="1"/>
  <c r="V301" s="1"/>
  <c r="V288" i="21"/>
  <c r="W185" i="25"/>
  <c r="V288" i="15"/>
  <c r="W225" i="24"/>
  <c r="Y226" i="17"/>
  <c r="V288" i="25"/>
  <c r="V299" s="1"/>
  <c r="V301" s="1"/>
  <c r="V288" i="29"/>
  <c r="X231" i="25" l="1"/>
  <c r="X221"/>
  <c r="X229" s="1"/>
  <c r="X231" i="21"/>
  <c r="X221"/>
  <c r="X229" s="1"/>
  <c r="V226" i="13"/>
  <c r="V228"/>
  <c r="X165" i="19"/>
  <c r="X170" s="1"/>
  <c r="X175" s="1"/>
  <c r="X186"/>
  <c r="X191" s="1"/>
  <c r="X196" s="1"/>
  <c r="W180" i="15"/>
  <c r="W174"/>
  <c r="W181" s="1"/>
  <c r="W190" i="24"/>
  <c r="X224" i="15"/>
  <c r="X229"/>
  <c r="AL467" i="38"/>
  <c r="AM462"/>
  <c r="AL462" s="1"/>
  <c r="X34" s="1"/>
  <c r="X48" s="1"/>
  <c r="AM460"/>
  <c r="U486" i="22"/>
  <c r="V479"/>
  <c r="V481"/>
  <c r="U481" s="1"/>
  <c r="H171" i="51"/>
  <c r="H178" s="1"/>
  <c r="H177"/>
  <c r="J1328" i="52"/>
  <c r="V195" i="22"/>
  <c r="V202" s="1"/>
  <c r="W288" s="1"/>
  <c r="V201"/>
  <c r="AN174" i="36"/>
  <c r="AN274"/>
  <c r="AN275" s="1"/>
  <c r="AN276" s="1"/>
  <c r="AN288" s="1"/>
  <c r="AN280"/>
  <c r="AN281" s="1"/>
  <c r="AN282" s="1"/>
  <c r="AN184"/>
  <c r="U515" i="29"/>
  <c r="V510"/>
  <c r="U510" s="1"/>
  <c r="J1319" i="52"/>
  <c r="H1329"/>
  <c r="K1319"/>
  <c r="V195" i="29"/>
  <c r="V202" s="1"/>
  <c r="W288" s="1"/>
  <c r="V201"/>
  <c r="X221" i="23"/>
  <c r="X229" s="1"/>
  <c r="X231"/>
  <c r="AF82" i="20"/>
  <c r="AE82" s="1"/>
  <c r="G80" s="1"/>
  <c r="G93" s="1"/>
  <c r="G98" s="1"/>
  <c r="AE86"/>
  <c r="AF80"/>
  <c r="AN86"/>
  <c r="AM86" s="1"/>
  <c r="AM88" s="1"/>
  <c r="AL88" s="1"/>
  <c r="I81" s="1"/>
  <c r="I94" s="1"/>
  <c r="I99" s="1"/>
  <c r="U515" i="33"/>
  <c r="V508"/>
  <c r="V510" s="1"/>
  <c r="U510" s="1"/>
  <c r="W344" i="23"/>
  <c r="AN209" i="38"/>
  <c r="AN214"/>
  <c r="AO233" i="36"/>
  <c r="AO231"/>
  <c r="V180" i="17"/>
  <c r="V174"/>
  <c r="V181" s="1"/>
  <c r="X226" i="27"/>
  <c r="X228"/>
  <c r="W190" i="17"/>
  <c r="W282" i="39"/>
  <c r="W281" s="1"/>
  <c r="X297"/>
  <c r="W463" i="27"/>
  <c r="W228" i="50"/>
  <c r="W226"/>
  <c r="U515" i="17"/>
  <c r="U508" i="34"/>
  <c r="V508" s="1"/>
  <c r="X195" i="17"/>
  <c r="X202" s="1"/>
  <c r="Y288" s="1"/>
  <c r="X201"/>
  <c r="V195" i="27"/>
  <c r="V202" s="1"/>
  <c r="W288" s="1"/>
  <c r="V201"/>
  <c r="U515" i="28"/>
  <c r="V174" i="25"/>
  <c r="V181" s="1"/>
  <c r="V180"/>
  <c r="U338" i="16"/>
  <c r="V331"/>
  <c r="V333" s="1"/>
  <c r="U333" s="1"/>
  <c r="H212" i="51"/>
  <c r="H210"/>
  <c r="U515" i="27"/>
  <c r="V510"/>
  <c r="U510" s="1"/>
  <c r="Y225" i="34"/>
  <c r="Y223"/>
  <c r="V201" i="21"/>
  <c r="V195"/>
  <c r="V202" s="1"/>
  <c r="W288" s="1"/>
  <c r="U457" i="19"/>
  <c r="V452"/>
  <c r="U452" s="1"/>
  <c r="V450"/>
  <c r="Y289" i="29"/>
  <c r="AQ294" i="36"/>
  <c r="AO294" s="1"/>
  <c r="Y289" i="25"/>
  <c r="Y289" i="33"/>
  <c r="W289" s="1"/>
  <c r="Y289" i="24"/>
  <c r="W289" s="1"/>
  <c r="Y289" i="34"/>
  <c r="W289" s="1"/>
  <c r="Y289" i="16"/>
  <c r="W289" s="1"/>
  <c r="Y289" i="15"/>
  <c r="Y289" i="35"/>
  <c r="Y289" i="39"/>
  <c r="Y289" i="14"/>
  <c r="Y289" i="30"/>
  <c r="W289" s="1"/>
  <c r="Y289" i="28"/>
  <c r="W289" s="1"/>
  <c r="Y289" i="27"/>
  <c r="W289" s="1"/>
  <c r="Y289" i="23"/>
  <c r="W289" s="1"/>
  <c r="Y289" i="19"/>
  <c r="W289" s="1"/>
  <c r="Y289" i="22"/>
  <c r="W289" s="1"/>
  <c r="Y289" i="18"/>
  <c r="Y289" i="17"/>
  <c r="W289" s="1"/>
  <c r="E176" i="20"/>
  <c r="H176" s="1"/>
  <c r="Y289" i="50"/>
  <c r="Y289" i="13"/>
  <c r="AQ294" i="37"/>
  <c r="Y289" i="21"/>
  <c r="J380" i="51"/>
  <c r="V216" i="30"/>
  <c r="X230"/>
  <c r="X220"/>
  <c r="X226"/>
  <c r="W486" i="25"/>
  <c r="V486" s="1"/>
  <c r="V488" s="1"/>
  <c r="U488" s="1"/>
  <c r="V93" s="1"/>
  <c r="X165" i="23"/>
  <c r="X170" s="1"/>
  <c r="X175" s="1"/>
  <c r="X186"/>
  <c r="X191" s="1"/>
  <c r="X196" s="1"/>
  <c r="V457" i="39"/>
  <c r="V459" s="1"/>
  <c r="W457"/>
  <c r="U459"/>
  <c r="X93" s="1"/>
  <c r="V225" i="18"/>
  <c r="V220"/>
  <c r="V221" s="1"/>
  <c r="V229" s="1"/>
  <c r="V231" s="1"/>
  <c r="U431" i="28"/>
  <c r="V425"/>
  <c r="V427"/>
  <c r="U427" s="1"/>
  <c r="U86" s="1"/>
  <c r="W463" i="16"/>
  <c r="V539" i="24"/>
  <c r="U539" s="1"/>
  <c r="U544"/>
  <c r="V537"/>
  <c r="X231" i="16"/>
  <c r="X221"/>
  <c r="X229" s="1"/>
  <c r="X228" i="29"/>
  <c r="X226"/>
  <c r="W402" i="23"/>
  <c r="V402"/>
  <c r="V404" s="1"/>
  <c r="U404" s="1"/>
  <c r="W221" i="17"/>
  <c r="W229" s="1"/>
  <c r="W231"/>
  <c r="U479" i="34"/>
  <c r="X165" i="16"/>
  <c r="X170" s="1"/>
  <c r="X175" s="1"/>
  <c r="X186"/>
  <c r="X191" s="1"/>
  <c r="X196" s="1"/>
  <c r="AN273" i="38"/>
  <c r="AN282" s="1"/>
  <c r="AN267"/>
  <c r="AN266" s="1"/>
  <c r="AN281"/>
  <c r="W195" i="30"/>
  <c r="W202" s="1"/>
  <c r="X288" s="1"/>
  <c r="W201"/>
  <c r="U185" i="29"/>
  <c r="U164"/>
  <c r="W402" i="28"/>
  <c r="W174" i="29"/>
  <c r="W181" s="1"/>
  <c r="W180"/>
  <c r="W190" i="27"/>
  <c r="T521" i="28"/>
  <c r="V508"/>
  <c r="V510" s="1"/>
  <c r="U510" s="1"/>
  <c r="W508"/>
  <c r="U185" i="34"/>
  <c r="U164"/>
  <c r="U396" i="15"/>
  <c r="V391"/>
  <c r="U391" s="1"/>
  <c r="V389"/>
  <c r="V396" i="16"/>
  <c r="V398" s="1"/>
  <c r="U398" s="1"/>
  <c r="W86" s="1"/>
  <c r="U402"/>
  <c r="K1208" i="52"/>
  <c r="I1209"/>
  <c r="K1209" s="1"/>
  <c r="V216" i="34"/>
  <c r="X220"/>
  <c r="X230"/>
  <c r="AM343" i="38"/>
  <c r="AL343" s="1"/>
  <c r="AM341"/>
  <c r="AL348"/>
  <c r="U425" i="24"/>
  <c r="V420"/>
  <c r="U420" s="1"/>
  <c r="V418"/>
  <c r="V174" i="22"/>
  <c r="V181" s="1"/>
  <c r="V180"/>
  <c r="V186" i="19"/>
  <c r="V191" s="1"/>
  <c r="V196" s="1"/>
  <c r="V288" s="1"/>
  <c r="V299" s="1"/>
  <c r="V301" s="1"/>
  <c r="V165"/>
  <c r="V170" s="1"/>
  <c r="V175" s="1"/>
  <c r="AO378" i="36"/>
  <c r="W282" i="35"/>
  <c r="W281" s="1"/>
  <c r="X297"/>
  <c r="V92" i="50"/>
  <c r="G101" i="51" s="1"/>
  <c r="E1289" i="52"/>
  <c r="V459" i="30"/>
  <c r="U459" s="1"/>
  <c r="X93" s="1"/>
  <c r="V457"/>
  <c r="U463"/>
  <c r="U521" i="13"/>
  <c r="V517"/>
  <c r="U517" s="1"/>
  <c r="W93" s="1"/>
  <c r="V515"/>
  <c r="Z86" i="20"/>
  <c r="U367" i="24"/>
  <c r="V360"/>
  <c r="V362" s="1"/>
  <c r="U362" s="1"/>
  <c r="X282" i="17"/>
  <c r="X281" s="1"/>
  <c r="Y297"/>
  <c r="Y229" i="16"/>
  <c r="W299"/>
  <c r="W301" s="1"/>
  <c r="V299" i="14"/>
  <c r="V301" s="1"/>
  <c r="W179" i="13"/>
  <c r="V200" i="17"/>
  <c r="X179" i="27"/>
  <c r="W200" i="16"/>
  <c r="W179"/>
  <c r="V502" i="34"/>
  <c r="V504" s="1"/>
  <c r="U504" s="1"/>
  <c r="W92" s="1"/>
  <c r="W344" i="28"/>
  <c r="Y226" i="16"/>
  <c r="Y228"/>
  <c r="K1320" i="52"/>
  <c r="J1320"/>
  <c r="W269" i="33"/>
  <c r="W270" s="1"/>
  <c r="W271" s="1"/>
  <c r="W283" s="1"/>
  <c r="W169"/>
  <c r="W275"/>
  <c r="W276" s="1"/>
  <c r="W277" s="1"/>
  <c r="U185"/>
  <c r="U164"/>
  <c r="V225" i="25"/>
  <c r="V220"/>
  <c r="V221" s="1"/>
  <c r="V229" s="1"/>
  <c r="V231" s="1"/>
  <c r="V220" i="21"/>
  <c r="V221" s="1"/>
  <c r="V229" s="1"/>
  <c r="V231" s="1"/>
  <c r="V225"/>
  <c r="U550" i="35"/>
  <c r="V544"/>
  <c r="V546" s="1"/>
  <c r="U546" s="1"/>
  <c r="U93" s="1"/>
  <c r="V224" i="15"/>
  <c r="V229"/>
  <c r="V231" s="1"/>
  <c r="U373" i="14"/>
  <c r="V367"/>
  <c r="V369" s="1"/>
  <c r="U369" s="1"/>
  <c r="V86" s="1"/>
  <c r="T450" i="23"/>
  <c r="T457"/>
  <c r="W444"/>
  <c r="V444" s="1"/>
  <c r="V446" s="1"/>
  <c r="U446" s="1"/>
  <c r="X92" s="1"/>
  <c r="AO200" i="36"/>
  <c r="AO207" s="1"/>
  <c r="AP293" s="1"/>
  <c r="AO206"/>
  <c r="X190" i="19"/>
  <c r="X200"/>
  <c r="W275" i="24"/>
  <c r="W276" s="1"/>
  <c r="W277" s="1"/>
  <c r="W269"/>
  <c r="W270" s="1"/>
  <c r="W271" s="1"/>
  <c r="W283" s="1"/>
  <c r="W169"/>
  <c r="W521" i="27"/>
  <c r="W190" i="33"/>
  <c r="AD185"/>
  <c r="X226" i="15"/>
  <c r="X228"/>
  <c r="Y224" i="23"/>
  <c r="Y229"/>
  <c r="U164" i="35"/>
  <c r="U185"/>
  <c r="U344" i="30"/>
  <c r="V338"/>
  <c r="V340" s="1"/>
  <c r="U340" s="1"/>
  <c r="X86" s="1"/>
  <c r="V164" i="50"/>
  <c r="V185"/>
  <c r="V159"/>
  <c r="E170" i="20"/>
  <c r="E169" s="1"/>
  <c r="E175"/>
  <c r="E183"/>
  <c r="X231" i="28"/>
  <c r="X221"/>
  <c r="X229" s="1"/>
  <c r="V174" i="27"/>
  <c r="V181" s="1"/>
  <c r="V180"/>
  <c r="V201" i="25"/>
  <c r="V195"/>
  <c r="V202" s="1"/>
  <c r="W288" s="1"/>
  <c r="X226" i="14"/>
  <c r="X228"/>
  <c r="W521" i="16"/>
  <c r="V521" s="1"/>
  <c r="W521" i="29"/>
  <c r="U425"/>
  <c r="V418"/>
  <c r="V420" s="1"/>
  <c r="U420" s="1"/>
  <c r="V220" i="23"/>
  <c r="V221" s="1"/>
  <c r="V229" s="1"/>
  <c r="V231" s="1"/>
  <c r="V225"/>
  <c r="U515" i="15"/>
  <c r="V508"/>
  <c r="V510" s="1"/>
  <c r="U510" s="1"/>
  <c r="T463" i="25"/>
  <c r="W450"/>
  <c r="V450" s="1"/>
  <c r="V452" s="1"/>
  <c r="U452" s="1"/>
  <c r="AN211" i="38"/>
  <c r="AN213"/>
  <c r="V195" i="35"/>
  <c r="V202" s="1"/>
  <c r="W288" s="1"/>
  <c r="V201"/>
  <c r="AM377" i="38"/>
  <c r="AM379" s="1"/>
  <c r="AL379" s="1"/>
  <c r="AN94" s="1"/>
  <c r="AL383"/>
  <c r="U344" i="28"/>
  <c r="V340"/>
  <c r="U340" s="1"/>
  <c r="X86" s="1"/>
  <c r="V220" i="27"/>
  <c r="V225"/>
  <c r="W186" i="17"/>
  <c r="W191" s="1"/>
  <c r="W196" s="1"/>
  <c r="V288" s="1"/>
  <c r="V299" s="1"/>
  <c r="V301" s="1"/>
  <c r="W165"/>
  <c r="W170" s="1"/>
  <c r="W175" s="1"/>
  <c r="V269" i="24"/>
  <c r="V270" s="1"/>
  <c r="V271" s="1"/>
  <c r="V169"/>
  <c r="V275"/>
  <c r="V276" s="1"/>
  <c r="V277" s="1"/>
  <c r="W229" i="50"/>
  <c r="W224"/>
  <c r="W159" i="34"/>
  <c r="W164"/>
  <c r="W185"/>
  <c r="U396" i="29"/>
  <c r="V391"/>
  <c r="U391" s="1"/>
  <c r="V389"/>
  <c r="X221" i="24"/>
  <c r="X229" s="1"/>
  <c r="X231"/>
  <c r="G166" i="51"/>
  <c r="G290"/>
  <c r="G291" s="1"/>
  <c r="G292" s="1"/>
  <c r="G284"/>
  <c r="G285" s="1"/>
  <c r="G286" s="1"/>
  <c r="W174" i="13"/>
  <c r="W181" s="1"/>
  <c r="W180"/>
  <c r="AP250" i="36"/>
  <c r="AP256"/>
  <c r="H215" i="51"/>
  <c r="H205"/>
  <c r="H213" s="1"/>
  <c r="X164" i="34"/>
  <c r="X159"/>
  <c r="X185"/>
  <c r="U463" i="17"/>
  <c r="U195" i="28"/>
  <c r="U202" s="1"/>
  <c r="U201"/>
  <c r="AM407" i="36"/>
  <c r="Y292" i="27"/>
  <c r="W292" s="1"/>
  <c r="X292" s="1"/>
  <c r="Y292" i="24"/>
  <c r="W292" s="1"/>
  <c r="X292" s="1"/>
  <c r="Y292" i="17"/>
  <c r="W292" s="1"/>
  <c r="X292" s="1"/>
  <c r="AQ297" i="37"/>
  <c r="AO297" s="1"/>
  <c r="AP297" s="1"/>
  <c r="J383" i="51"/>
  <c r="H383" s="1"/>
  <c r="I383" s="1"/>
  <c r="Y292" i="13"/>
  <c r="W292" s="1"/>
  <c r="X292" s="1"/>
  <c r="Y292" i="29"/>
  <c r="W292" s="1"/>
  <c r="X292" s="1"/>
  <c r="Y292" i="25"/>
  <c r="W292" s="1"/>
  <c r="X292" s="1"/>
  <c r="Y292" i="23"/>
  <c r="W292" s="1"/>
  <c r="X292" s="1"/>
  <c r="X299" s="1"/>
  <c r="X301" s="1"/>
  <c r="Y292" i="15"/>
  <c r="W292" s="1"/>
  <c r="X292" s="1"/>
  <c r="Y292" i="39"/>
  <c r="W292" s="1"/>
  <c r="X292" s="1"/>
  <c r="Y292" i="30"/>
  <c r="W292" s="1"/>
  <c r="X292" s="1"/>
  <c r="Y292" i="35"/>
  <c r="W292" s="1"/>
  <c r="X292" s="1"/>
  <c r="Y292" i="28"/>
  <c r="W292" s="1"/>
  <c r="X292" s="1"/>
  <c r="Y292" i="22"/>
  <c r="W292" s="1"/>
  <c r="X292" s="1"/>
  <c r="X299" s="1"/>
  <c r="X301" s="1"/>
  <c r="Y292" i="33"/>
  <c r="W292" s="1"/>
  <c r="X292" s="1"/>
  <c r="Y292" i="18"/>
  <c r="W292" s="1"/>
  <c r="X292" s="1"/>
  <c r="Y292" i="21"/>
  <c r="W292" s="1"/>
  <c r="X292" s="1"/>
  <c r="E178" i="20"/>
  <c r="H178" s="1"/>
  <c r="Y292" i="50"/>
  <c r="W292" s="1"/>
  <c r="AQ297" i="36"/>
  <c r="AO297" s="1"/>
  <c r="AP297" s="1"/>
  <c r="Y292" i="34"/>
  <c r="W292" s="1"/>
  <c r="X292" s="1"/>
  <c r="Y292" i="19"/>
  <c r="W292" s="1"/>
  <c r="X292" s="1"/>
  <c r="X299" s="1"/>
  <c r="X301" s="1"/>
  <c r="Y292" i="16"/>
  <c r="W292" s="1"/>
  <c r="X292" s="1"/>
  <c r="Y292" i="14"/>
  <c r="W292" s="1"/>
  <c r="X292" s="1"/>
  <c r="X299" s="1"/>
  <c r="X301" s="1"/>
  <c r="W231" i="30"/>
  <c r="W221"/>
  <c r="W229" s="1"/>
  <c r="X190" i="23"/>
  <c r="X200"/>
  <c r="X221" i="18"/>
  <c r="X229" s="1"/>
  <c r="X231"/>
  <c r="V195" i="17"/>
  <c r="V202" s="1"/>
  <c r="W288" s="1"/>
  <c r="V201"/>
  <c r="AW189" i="36"/>
  <c r="AN196"/>
  <c r="AN201" s="1"/>
  <c r="AN293" s="1"/>
  <c r="U396" i="28"/>
  <c r="W223" i="34"/>
  <c r="W224" s="1"/>
  <c r="W225"/>
  <c r="X190" i="16"/>
  <c r="X200"/>
  <c r="U425" i="13"/>
  <c r="V420"/>
  <c r="U420" s="1"/>
  <c r="V418"/>
  <c r="W195"/>
  <c r="W202" s="1"/>
  <c r="X288" s="1"/>
  <c r="W201"/>
  <c r="V228" i="29"/>
  <c r="V226"/>
  <c r="T492" i="28"/>
  <c r="U481"/>
  <c r="V479"/>
  <c r="V481" s="1"/>
  <c r="W479"/>
  <c r="W169" i="27"/>
  <c r="W269"/>
  <c r="W270" s="1"/>
  <c r="W271" s="1"/>
  <c r="W283" s="1"/>
  <c r="W275"/>
  <c r="W276" s="1"/>
  <c r="W277" s="1"/>
  <c r="W515" i="28"/>
  <c r="V515" s="1"/>
  <c r="U396" i="25"/>
  <c r="V389"/>
  <c r="V391" s="1"/>
  <c r="U391" s="1"/>
  <c r="X228" i="33"/>
  <c r="X226"/>
  <c r="U402" i="30"/>
  <c r="V398"/>
  <c r="U398" s="1"/>
  <c r="W86" s="1"/>
  <c r="V396"/>
  <c r="W195" i="21"/>
  <c r="W202" s="1"/>
  <c r="X288" s="1"/>
  <c r="W201"/>
  <c r="V288" i="23"/>
  <c r="V299" s="1"/>
  <c r="V301" s="1"/>
  <c r="V202"/>
  <c r="W288" s="1"/>
  <c r="W299" s="1"/>
  <c r="W301" s="1"/>
  <c r="V190" i="19"/>
  <c r="V200"/>
  <c r="U396" i="17"/>
  <c r="V391"/>
  <c r="U391" s="1"/>
  <c r="V389"/>
  <c r="W174" i="35"/>
  <c r="W181" s="1"/>
  <c r="W180"/>
  <c r="V369" i="27"/>
  <c r="U369" s="1"/>
  <c r="V86" s="1"/>
  <c r="U373"/>
  <c r="W201" i="16"/>
  <c r="W195"/>
  <c r="W202" s="1"/>
  <c r="X288" s="1"/>
  <c r="T508" i="17"/>
  <c r="T515"/>
  <c r="W502"/>
  <c r="V502"/>
  <c r="V504" s="1"/>
  <c r="U504" s="1"/>
  <c r="W92" s="1"/>
  <c r="W180" i="16"/>
  <c r="W174"/>
  <c r="W181" s="1"/>
  <c r="W283" i="21"/>
  <c r="V283" i="35"/>
  <c r="Y299" i="22"/>
  <c r="Y301" s="1"/>
  <c r="H298" i="51"/>
  <c r="V283" i="15"/>
  <c r="W283" i="30"/>
  <c r="AO288" i="36"/>
  <c r="U283" i="28"/>
  <c r="X283" i="30"/>
  <c r="J343" i="51"/>
  <c r="V283" i="29"/>
  <c r="X283" i="28"/>
  <c r="W200" i="30"/>
  <c r="V229" i="29"/>
  <c r="V231" s="1"/>
  <c r="X283" i="27"/>
  <c r="V288" i="39"/>
  <c r="W226" i="24"/>
  <c r="W228"/>
  <c r="W344" i="25"/>
  <c r="V344" s="1"/>
  <c r="V346" s="1"/>
  <c r="U346" s="1"/>
  <c r="AL491" i="36"/>
  <c r="AL484"/>
  <c r="AO478"/>
  <c r="AN478" s="1"/>
  <c r="AN480" s="1"/>
  <c r="AM480" s="1"/>
  <c r="AN97" s="1"/>
  <c r="W190" i="25"/>
  <c r="W200"/>
  <c r="V226" i="15"/>
  <c r="V228"/>
  <c r="V486" i="27"/>
  <c r="V488" s="1"/>
  <c r="U488" s="1"/>
  <c r="V93" s="1"/>
  <c r="U492"/>
  <c r="V389"/>
  <c r="V391" s="1"/>
  <c r="U391" s="1"/>
  <c r="U396"/>
  <c r="X275" i="19"/>
  <c r="X276" s="1"/>
  <c r="X277" s="1"/>
  <c r="X169"/>
  <c r="X269"/>
  <c r="X270" s="1"/>
  <c r="X271" s="1"/>
  <c r="X283" s="1"/>
  <c r="X179"/>
  <c r="AO180" i="37"/>
  <c r="AO186" s="1"/>
  <c r="AO185"/>
  <c r="W282" i="15"/>
  <c r="W281" s="1"/>
  <c r="X297"/>
  <c r="X195" i="27"/>
  <c r="X202" s="1"/>
  <c r="Y288" s="1"/>
  <c r="X201"/>
  <c r="W165" i="33"/>
  <c r="W170" s="1"/>
  <c r="W175" s="1"/>
  <c r="W186"/>
  <c r="X201" i="30"/>
  <c r="X195"/>
  <c r="X202" s="1"/>
  <c r="Y288" s="1"/>
  <c r="W373" i="34"/>
  <c r="Y226" i="23"/>
  <c r="Y228"/>
  <c r="V180" i="35"/>
  <c r="V174"/>
  <c r="V181" s="1"/>
  <c r="AM372" i="36"/>
  <c r="AM449"/>
  <c r="AP152"/>
  <c r="AP158" s="1"/>
  <c r="AQ227"/>
  <c r="AM330"/>
  <c r="V180" i="14"/>
  <c r="V174"/>
  <c r="V181" s="1"/>
  <c r="AM287" i="37"/>
  <c r="AM286" s="1"/>
  <c r="AN302"/>
  <c r="X228" i="28"/>
  <c r="X226"/>
  <c r="X224" i="27"/>
  <c r="V219"/>
  <c r="V224" s="1"/>
  <c r="U544" i="22"/>
  <c r="V537"/>
  <c r="V539" s="1"/>
  <c r="U539" s="1"/>
  <c r="W550" i="33"/>
  <c r="V550" s="1"/>
  <c r="U457" i="16"/>
  <c r="V457" s="1"/>
  <c r="X231" i="14"/>
  <c r="X221"/>
  <c r="X229" s="1"/>
  <c r="V180" i="15"/>
  <c r="V174"/>
  <c r="V181" s="1"/>
  <c r="AL507" i="36"/>
  <c r="AO113"/>
  <c r="AO125" s="1"/>
  <c r="AO82"/>
  <c r="AO114" s="1"/>
  <c r="AO126" s="1"/>
  <c r="X226" i="23"/>
  <c r="X228"/>
  <c r="AO185" i="36"/>
  <c r="AO179"/>
  <c r="AO186" s="1"/>
  <c r="Y224" i="19"/>
  <c r="Y229"/>
  <c r="I234" i="51"/>
  <c r="I228"/>
  <c r="W457" i="25"/>
  <c r="V457" s="1"/>
  <c r="V459" s="1"/>
  <c r="U459" s="1"/>
  <c r="X93" s="1"/>
  <c r="V340" i="27"/>
  <c r="U340" s="1"/>
  <c r="X86" s="1"/>
  <c r="V338"/>
  <c r="U344"/>
  <c r="U367" i="22"/>
  <c r="V362"/>
  <c r="U362" s="1"/>
  <c r="V360"/>
  <c r="V515" i="30"/>
  <c r="V517"/>
  <c r="U517" s="1"/>
  <c r="W93" s="1"/>
  <c r="U521"/>
  <c r="W297" i="17"/>
  <c r="V282"/>
  <c r="V281" s="1"/>
  <c r="W282" i="28"/>
  <c r="W281" s="1"/>
  <c r="X297"/>
  <c r="U269" i="24"/>
  <c r="U270" s="1"/>
  <c r="U271" s="1"/>
  <c r="U283" s="1"/>
  <c r="U275"/>
  <c r="U276" s="1"/>
  <c r="U277" s="1"/>
  <c r="U179"/>
  <c r="U169"/>
  <c r="W179" i="17"/>
  <c r="W169"/>
  <c r="W269"/>
  <c r="W270" s="1"/>
  <c r="W271" s="1"/>
  <c r="W275"/>
  <c r="W276" s="1"/>
  <c r="W277" s="1"/>
  <c r="W180" i="39"/>
  <c r="W174"/>
  <c r="W181" s="1"/>
  <c r="V190" i="24"/>
  <c r="U463" i="28"/>
  <c r="W224" i="19"/>
  <c r="W229"/>
  <c r="X223" i="34"/>
  <c r="X224" s="1"/>
  <c r="X225"/>
  <c r="X228" s="1"/>
  <c r="AV189" i="36"/>
  <c r="AN205"/>
  <c r="AN195"/>
  <c r="Z55" i="38"/>
  <c r="Z61"/>
  <c r="Z62" s="1"/>
  <c r="AO250" i="36"/>
  <c r="AO256"/>
  <c r="W373" i="25"/>
  <c r="U425" i="22"/>
  <c r="V418"/>
  <c r="V420" s="1"/>
  <c r="U420" s="1"/>
  <c r="X226" i="24"/>
  <c r="X228"/>
  <c r="G263" i="51"/>
  <c r="V539" i="13"/>
  <c r="U539" s="1"/>
  <c r="U544"/>
  <c r="V537"/>
  <c r="V195" i="15"/>
  <c r="V202" s="1"/>
  <c r="W288" s="1"/>
  <c r="V201"/>
  <c r="AO401" i="36"/>
  <c r="AN401" s="1"/>
  <c r="AN403" s="1"/>
  <c r="AM403" s="1"/>
  <c r="AO91" s="1"/>
  <c r="X80" i="20"/>
  <c r="Y80" s="1"/>
  <c r="I214" i="51"/>
  <c r="G201"/>
  <c r="I209"/>
  <c r="I204"/>
  <c r="U515" i="25"/>
  <c r="V508"/>
  <c r="V510" s="1"/>
  <c r="U510" s="1"/>
  <c r="U331" i="34"/>
  <c r="V325"/>
  <c r="V327"/>
  <c r="U327" s="1"/>
  <c r="X85" s="1"/>
  <c r="U515" i="24"/>
  <c r="V510"/>
  <c r="U510" s="1"/>
  <c r="V508"/>
  <c r="V488" i="14"/>
  <c r="U488" s="1"/>
  <c r="V93" s="1"/>
  <c r="U492"/>
  <c r="V486"/>
  <c r="X269" i="23"/>
  <c r="X270" s="1"/>
  <c r="X271" s="1"/>
  <c r="X275"/>
  <c r="X276" s="1"/>
  <c r="X277" s="1"/>
  <c r="X179"/>
  <c r="X169"/>
  <c r="V174" i="39"/>
  <c r="V181" s="1"/>
  <c r="V180"/>
  <c r="X226" i="18"/>
  <c r="X228"/>
  <c r="AM254" i="38"/>
  <c r="AM255" s="1"/>
  <c r="AM256" s="1"/>
  <c r="AM260"/>
  <c r="AM261" s="1"/>
  <c r="AM262" s="1"/>
  <c r="AM184"/>
  <c r="AM168"/>
  <c r="W226" i="22"/>
  <c r="W228"/>
  <c r="U431" i="33"/>
  <c r="V425"/>
  <c r="V427" s="1"/>
  <c r="U427" s="1"/>
  <c r="U86" s="1"/>
  <c r="U402" i="13"/>
  <c r="V398"/>
  <c r="U398" s="1"/>
  <c r="W86" s="1"/>
  <c r="V396"/>
  <c r="W195" i="35"/>
  <c r="W202" s="1"/>
  <c r="X288" s="1"/>
  <c r="X299" s="1"/>
  <c r="X301" s="1"/>
  <c r="W201"/>
  <c r="V195" i="14"/>
  <c r="V202" s="1"/>
  <c r="W288" s="1"/>
  <c r="V201"/>
  <c r="W200" i="15"/>
  <c r="W190"/>
  <c r="V229" i="22"/>
  <c r="V231" s="1"/>
  <c r="V224"/>
  <c r="V159" i="34"/>
  <c r="V164"/>
  <c r="V185"/>
  <c r="X275" i="16"/>
  <c r="X276" s="1"/>
  <c r="X277" s="1"/>
  <c r="X179"/>
  <c r="X169"/>
  <c r="X269"/>
  <c r="X270" s="1"/>
  <c r="X271" s="1"/>
  <c r="X283" s="1"/>
  <c r="U200" i="21"/>
  <c r="U190"/>
  <c r="U425" i="15"/>
  <c r="V420"/>
  <c r="U420" s="1"/>
  <c r="V418"/>
  <c r="W486" i="28"/>
  <c r="V486"/>
  <c r="V488" s="1"/>
  <c r="U488"/>
  <c r="V93" s="1"/>
  <c r="W165" i="27"/>
  <c r="W170" s="1"/>
  <c r="W175" s="1"/>
  <c r="W186"/>
  <c r="W191" s="1"/>
  <c r="W196" s="1"/>
  <c r="V288" s="1"/>
  <c r="X221" i="29"/>
  <c r="X229" s="1"/>
  <c r="X231"/>
  <c r="V414" i="34"/>
  <c r="U414" s="1"/>
  <c r="U85" s="1"/>
  <c r="V412"/>
  <c r="U418"/>
  <c r="U425" i="30"/>
  <c r="V420"/>
  <c r="U420" s="1"/>
  <c r="V418"/>
  <c r="AO201" i="37"/>
  <c r="AO206"/>
  <c r="U396" i="24"/>
  <c r="V389"/>
  <c r="V391" s="1"/>
  <c r="U391" s="1"/>
  <c r="X180" i="27"/>
  <c r="X174"/>
  <c r="X181" s="1"/>
  <c r="X224" i="33"/>
  <c r="X229"/>
  <c r="T515" i="23"/>
  <c r="T508"/>
  <c r="W502"/>
  <c r="V502" s="1"/>
  <c r="V504" s="1"/>
  <c r="U504" s="1"/>
  <c r="W92" s="1"/>
  <c r="W457" i="28"/>
  <c r="V457" s="1"/>
  <c r="V459" s="1"/>
  <c r="U459" s="1"/>
  <c r="X93" s="1"/>
  <c r="T450" i="17"/>
  <c r="T457"/>
  <c r="W444"/>
  <c r="V444" s="1"/>
  <c r="V446" s="1"/>
  <c r="U446" s="1"/>
  <c r="X92" s="1"/>
  <c r="AM491" i="36"/>
  <c r="W463" i="34"/>
  <c r="V282" i="22"/>
  <c r="V281" s="1"/>
  <c r="W297"/>
  <c r="U486" i="24"/>
  <c r="V479"/>
  <c r="V481" s="1"/>
  <c r="U481" s="1"/>
  <c r="J1276" i="52"/>
  <c r="H357" i="51"/>
  <c r="W195" i="28"/>
  <c r="W202" s="1"/>
  <c r="X288" s="1"/>
  <c r="X299" s="1"/>
  <c r="X301" s="1"/>
  <c r="W201"/>
  <c r="V369" i="25"/>
  <c r="U369" s="1"/>
  <c r="V86" s="1"/>
  <c r="U373"/>
  <c r="V373" s="1"/>
  <c r="U367" i="50"/>
  <c r="V360"/>
  <c r="V362" s="1"/>
  <c r="U362" s="1"/>
  <c r="H268" i="51"/>
  <c r="H275" s="1"/>
  <c r="I379" s="1"/>
  <c r="H274"/>
  <c r="X54" i="38"/>
  <c r="V283" i="21"/>
  <c r="X179" i="28"/>
  <c r="W283" i="13"/>
  <c r="X299" i="18"/>
  <c r="X301" s="1"/>
  <c r="X200" i="28"/>
  <c r="W200" i="13"/>
  <c r="V389" i="28"/>
  <c r="V391" s="1"/>
  <c r="U391" s="1"/>
  <c r="AN365" i="36"/>
  <c r="AN367" s="1"/>
  <c r="AM367" s="1"/>
  <c r="X228" i="25"/>
  <c r="X226"/>
  <c r="X226" i="21"/>
  <c r="X228"/>
  <c r="V224" i="13"/>
  <c r="V229"/>
  <c r="V231" s="1"/>
  <c r="AM555" i="36"/>
  <c r="AN551"/>
  <c r="AM551" s="1"/>
  <c r="AM98" s="1"/>
  <c r="AN549"/>
  <c r="T486" i="34"/>
  <c r="T479"/>
  <c r="V473"/>
  <c r="V475" s="1"/>
  <c r="U475" s="1"/>
  <c r="V92" s="1"/>
  <c r="W473"/>
  <c r="V537" i="30"/>
  <c r="V539"/>
  <c r="U539" s="1"/>
  <c r="U544"/>
  <c r="W186" i="24"/>
  <c r="W191" s="1"/>
  <c r="W196" s="1"/>
  <c r="W165"/>
  <c r="W170" s="1"/>
  <c r="W175" s="1"/>
  <c r="W174" i="21"/>
  <c r="W181" s="1"/>
  <c r="W180"/>
  <c r="U521" i="16"/>
  <c r="V517"/>
  <c r="U517" s="1"/>
  <c r="W93" s="1"/>
  <c r="AN229" i="36"/>
  <c r="AN226"/>
  <c r="AN234" s="1"/>
  <c r="AN236" s="1"/>
  <c r="H183" i="20"/>
  <c r="H170"/>
  <c r="H169" s="1"/>
  <c r="V220" i="28"/>
  <c r="V221" s="1"/>
  <c r="V229" s="1"/>
  <c r="V231" s="1"/>
  <c r="V225"/>
  <c r="V282" i="27"/>
  <c r="V281" s="1"/>
  <c r="W297"/>
  <c r="V539" i="21"/>
  <c r="U539" s="1"/>
  <c r="U544"/>
  <c r="V537"/>
  <c r="V225" i="14"/>
  <c r="V220"/>
  <c r="V221" s="1"/>
  <c r="V229" s="1"/>
  <c r="V231" s="1"/>
  <c r="W180" i="30"/>
  <c r="W174"/>
  <c r="W181" s="1"/>
  <c r="AM526" i="36"/>
  <c r="W373" i="27"/>
  <c r="V373" s="1"/>
  <c r="W201" i="29"/>
  <c r="W195"/>
  <c r="W202" s="1"/>
  <c r="X288" s="1"/>
  <c r="V180" i="21"/>
  <c r="V174"/>
  <c r="V181" s="1"/>
  <c r="Y228" i="19"/>
  <c r="Y226"/>
  <c r="U174" i="28"/>
  <c r="U181" s="1"/>
  <c r="U180"/>
  <c r="X180" i="30"/>
  <c r="X174"/>
  <c r="X181" s="1"/>
  <c r="I1317" i="52"/>
  <c r="X293" i="50"/>
  <c r="U338" i="23"/>
  <c r="V333"/>
  <c r="U333" s="1"/>
  <c r="V195" i="39"/>
  <c r="V202" s="1"/>
  <c r="W288" s="1"/>
  <c r="V201"/>
  <c r="AO234" i="36"/>
  <c r="AO229"/>
  <c r="AM436"/>
  <c r="AN430"/>
  <c r="AN432" s="1"/>
  <c r="AM432" s="1"/>
  <c r="AM91" s="1"/>
  <c r="W180" i="28"/>
  <c r="W174"/>
  <c r="W181" s="1"/>
  <c r="X231" i="27"/>
  <c r="X221"/>
  <c r="X229" s="1"/>
  <c r="U190" i="24"/>
  <c r="U200"/>
  <c r="U367" i="19"/>
  <c r="V362"/>
  <c r="U362" s="1"/>
  <c r="V360"/>
  <c r="V165" i="24"/>
  <c r="V170" s="1"/>
  <c r="V175" s="1"/>
  <c r="V186"/>
  <c r="V191" s="1"/>
  <c r="V196" s="1"/>
  <c r="V288" s="1"/>
  <c r="U463" i="27"/>
  <c r="V459"/>
  <c r="U459" s="1"/>
  <c r="X93" s="1"/>
  <c r="G369" i="51"/>
  <c r="H1291" i="52"/>
  <c r="W228" i="19"/>
  <c r="W226"/>
  <c r="U389" i="34"/>
  <c r="V383"/>
  <c r="V385" s="1"/>
  <c r="U385" s="1"/>
  <c r="W85" s="1"/>
  <c r="U282" i="39"/>
  <c r="U281" s="1"/>
  <c r="V297"/>
  <c r="V174" i="29"/>
  <c r="V181" s="1"/>
  <c r="V180"/>
  <c r="V282" i="25"/>
  <c r="V281" s="1"/>
  <c r="W297"/>
  <c r="V225" i="24"/>
  <c r="V220"/>
  <c r="V221" s="1"/>
  <c r="V229" s="1"/>
  <c r="V231" s="1"/>
  <c r="U425" i="21"/>
  <c r="V418"/>
  <c r="V420" s="1"/>
  <c r="U420" s="1"/>
  <c r="G162" i="51"/>
  <c r="G167" s="1"/>
  <c r="G172" s="1"/>
  <c r="G259"/>
  <c r="G264" s="1"/>
  <c r="G269" s="1"/>
  <c r="G379" s="1"/>
  <c r="G390" s="1"/>
  <c r="U544" i="15"/>
  <c r="V537"/>
  <c r="V539" s="1"/>
  <c r="U539" s="1"/>
  <c r="U492" i="25"/>
  <c r="X180" i="28"/>
  <c r="X174"/>
  <c r="X181" s="1"/>
  <c r="V427" i="16"/>
  <c r="U427" s="1"/>
  <c r="U86" s="1"/>
  <c r="V425"/>
  <c r="U431"/>
  <c r="AO394" i="36"/>
  <c r="AN394" s="1"/>
  <c r="AN396" s="1"/>
  <c r="AM396" s="1"/>
  <c r="AL407"/>
  <c r="U544" i="29"/>
  <c r="V539"/>
  <c r="U539" s="1"/>
  <c r="V537"/>
  <c r="U450" i="34"/>
  <c r="V446"/>
  <c r="U446" s="1"/>
  <c r="X92" s="1"/>
  <c r="V444"/>
  <c r="U164" i="30"/>
  <c r="U185"/>
  <c r="U396" i="33"/>
  <c r="V391"/>
  <c r="U391" s="1"/>
  <c r="V389"/>
  <c r="U492" i="17"/>
  <c r="V486"/>
  <c r="V488" s="1"/>
  <c r="U488" s="1"/>
  <c r="V93" s="1"/>
  <c r="T492" i="25"/>
  <c r="W479"/>
  <c r="V479" s="1"/>
  <c r="V481" s="1"/>
  <c r="U481" s="1"/>
  <c r="T463" i="39"/>
  <c r="W450"/>
  <c r="V450" s="1"/>
  <c r="V452" s="1"/>
  <c r="U452" s="1"/>
  <c r="W229" i="22"/>
  <c r="W224"/>
  <c r="W195" i="39"/>
  <c r="W202" s="1"/>
  <c r="X288" s="1"/>
  <c r="X299" s="1"/>
  <c r="X301" s="1"/>
  <c r="W201"/>
  <c r="W275" i="25"/>
  <c r="W276" s="1"/>
  <c r="W277" s="1"/>
  <c r="W269"/>
  <c r="W270" s="1"/>
  <c r="W271" s="1"/>
  <c r="W283" s="1"/>
  <c r="W179"/>
  <c r="W169"/>
  <c r="V226" i="22"/>
  <c r="V228"/>
  <c r="V216" i="17"/>
  <c r="X230"/>
  <c r="X220"/>
  <c r="X226"/>
  <c r="U360" i="34"/>
  <c r="V356"/>
  <c r="U356" s="1"/>
  <c r="V85" s="1"/>
  <c r="V354"/>
  <c r="U269" i="21"/>
  <c r="U270" s="1"/>
  <c r="U271" s="1"/>
  <c r="U275"/>
  <c r="U276" s="1"/>
  <c r="U277" s="1"/>
  <c r="U179"/>
  <c r="U169"/>
  <c r="AN169" i="38"/>
  <c r="AN186" s="1"/>
  <c r="AN185"/>
  <c r="X195" i="28"/>
  <c r="X202" s="1"/>
  <c r="Y288" s="1"/>
  <c r="X201"/>
  <c r="V546" i="33"/>
  <c r="U546" s="1"/>
  <c r="U93" s="1"/>
  <c r="U550"/>
  <c r="V515" i="35"/>
  <c r="V517" s="1"/>
  <c r="U517" s="1"/>
  <c r="W93" s="1"/>
  <c r="U521"/>
  <c r="H234" i="51"/>
  <c r="H228"/>
  <c r="W282" i="29"/>
  <c r="W281" s="1"/>
  <c r="X297"/>
  <c r="U537" i="34"/>
  <c r="V531"/>
  <c r="V533" s="1"/>
  <c r="U533" s="1"/>
  <c r="U92" s="1"/>
  <c r="U338" i="19"/>
  <c r="V333"/>
  <c r="U333" s="1"/>
  <c r="V331"/>
  <c r="F1212" i="52"/>
  <c r="H1212" s="1"/>
  <c r="H1209"/>
  <c r="H1215" s="1"/>
  <c r="T463" i="28"/>
  <c r="W450"/>
  <c r="V450" s="1"/>
  <c r="V452" s="1"/>
  <c r="U452" s="1"/>
  <c r="U457" i="23"/>
  <c r="W231" i="34"/>
  <c r="W221"/>
  <c r="W229" s="1"/>
  <c r="V275" i="19"/>
  <c r="V276" s="1"/>
  <c r="V277" s="1"/>
  <c r="V179"/>
  <c r="V269"/>
  <c r="V270" s="1"/>
  <c r="V271" s="1"/>
  <c r="V169"/>
  <c r="AM496" i="38"/>
  <c r="AM498" s="1"/>
  <c r="AL498" s="1"/>
  <c r="AN101" s="1"/>
  <c r="AA33" s="1"/>
  <c r="AA47" s="1"/>
  <c r="AL502"/>
  <c r="V544" i="28"/>
  <c r="V546"/>
  <c r="U546" s="1"/>
  <c r="U93" s="1"/>
  <c r="U550"/>
  <c r="U486" i="50"/>
  <c r="V479"/>
  <c r="V481"/>
  <c r="U481" s="1"/>
  <c r="V175" i="16"/>
  <c r="V181" s="1"/>
  <c r="V180"/>
  <c r="U402" i="35"/>
  <c r="V398"/>
  <c r="U398" s="1"/>
  <c r="W86" s="1"/>
  <c r="V396"/>
  <c r="U486" i="19"/>
  <c r="V479"/>
  <c r="V481"/>
  <c r="U481" s="1"/>
  <c r="X174" i="17"/>
  <c r="X181" s="1"/>
  <c r="X180"/>
  <c r="W521" i="34"/>
  <c r="G1105" i="52"/>
  <c r="G1106" s="1"/>
  <c r="G1107" s="1"/>
  <c r="G1097"/>
  <c r="G1101" s="1"/>
  <c r="Y299" i="33"/>
  <c r="Y301" s="1"/>
  <c r="V283" i="14"/>
  <c r="V179" i="17"/>
  <c r="Y299" i="24"/>
  <c r="Y301" s="1"/>
  <c r="V299" i="18"/>
  <c r="V301" s="1"/>
  <c r="V283" i="39"/>
  <c r="V450" i="16"/>
  <c r="V452" s="1"/>
  <c r="U452" s="1"/>
  <c r="V200" i="14"/>
  <c r="Y73" i="20"/>
  <c r="Y75" s="1"/>
  <c r="X75" s="1"/>
  <c r="E76" s="1"/>
  <c r="E89" s="1"/>
  <c r="W283" i="16"/>
  <c r="U463" i="23" l="1"/>
  <c r="W463" i="28"/>
  <c r="V463"/>
  <c r="V539" i="34"/>
  <c r="U539" s="1"/>
  <c r="V537"/>
  <c r="U544"/>
  <c r="V396" i="33"/>
  <c r="U402"/>
  <c r="V398"/>
  <c r="U398" s="1"/>
  <c r="W86" s="1"/>
  <c r="U550" i="29"/>
  <c r="V544"/>
  <c r="V546" s="1"/>
  <c r="U546" s="1"/>
  <c r="U93" s="1"/>
  <c r="U344" i="23"/>
  <c r="V340"/>
  <c r="U340" s="1"/>
  <c r="X86" s="1"/>
  <c r="V338"/>
  <c r="U195" i="24"/>
  <c r="U202" s="1"/>
  <c r="U201"/>
  <c r="U550" i="21"/>
  <c r="V544"/>
  <c r="V546" s="1"/>
  <c r="U546" s="1"/>
  <c r="U93" s="1"/>
  <c r="U185" i="13"/>
  <c r="U164"/>
  <c r="V367" i="50"/>
  <c r="U373"/>
  <c r="V369"/>
  <c r="U369" s="1"/>
  <c r="V86" s="1"/>
  <c r="G95" i="51" s="1"/>
  <c r="AM497" i="36"/>
  <c r="W457" i="17"/>
  <c r="V457" s="1"/>
  <c r="V459" s="1"/>
  <c r="U459" s="1"/>
  <c r="X93" s="1"/>
  <c r="T521" i="23"/>
  <c r="W508"/>
  <c r="V508" s="1"/>
  <c r="V510" s="1"/>
  <c r="U510" s="1"/>
  <c r="V396" i="24"/>
  <c r="U402"/>
  <c r="V398"/>
  <c r="U398" s="1"/>
  <c r="W86" s="1"/>
  <c r="U185" i="22"/>
  <c r="U164"/>
  <c r="AM185" i="38"/>
  <c r="AM169"/>
  <c r="AM186" s="1"/>
  <c r="X174" i="23"/>
  <c r="X181" s="1"/>
  <c r="X180"/>
  <c r="U338" i="34"/>
  <c r="V333"/>
  <c r="U333" s="1"/>
  <c r="V331"/>
  <c r="I215" i="51"/>
  <c r="I205"/>
  <c r="I213" s="1"/>
  <c r="U550" i="13"/>
  <c r="V544"/>
  <c r="V546" s="1"/>
  <c r="U546" s="1"/>
  <c r="U93" s="1"/>
  <c r="V427" i="22"/>
  <c r="U427" s="1"/>
  <c r="U86" s="1"/>
  <c r="U431"/>
  <c r="V425"/>
  <c r="AN200" i="36"/>
  <c r="AN207" s="1"/>
  <c r="AO293" s="1"/>
  <c r="AN206"/>
  <c r="U282" i="24"/>
  <c r="U281" s="1"/>
  <c r="V297"/>
  <c r="U164" i="27"/>
  <c r="U185"/>
  <c r="AM336" i="36"/>
  <c r="AN330"/>
  <c r="AN332" s="1"/>
  <c r="AM332" s="1"/>
  <c r="AP90" s="1"/>
  <c r="AN374"/>
  <c r="AM374" s="1"/>
  <c r="AN91" s="1"/>
  <c r="AM378"/>
  <c r="AN372"/>
  <c r="Y297" i="19"/>
  <c r="X282"/>
  <c r="X281" s="1"/>
  <c r="U402" i="27"/>
  <c r="V398"/>
  <c r="U398" s="1"/>
  <c r="W86" s="1"/>
  <c r="V396"/>
  <c r="W195" i="25"/>
  <c r="W202" s="1"/>
  <c r="X288" s="1"/>
  <c r="W201"/>
  <c r="AL497" i="36"/>
  <c r="AO484"/>
  <c r="AN484" s="1"/>
  <c r="AN486" s="1"/>
  <c r="AM486" s="1"/>
  <c r="Y297" i="28"/>
  <c r="X282"/>
  <c r="X281" s="1"/>
  <c r="V297"/>
  <c r="V299" s="1"/>
  <c r="V301" s="1"/>
  <c r="U282"/>
  <c r="U281" s="1"/>
  <c r="H297" i="51"/>
  <c r="H296" s="1"/>
  <c r="I388"/>
  <c r="W282" i="21"/>
  <c r="W281" s="1"/>
  <c r="X297"/>
  <c r="T521" i="17"/>
  <c r="W508"/>
  <c r="V508"/>
  <c r="V510" s="1"/>
  <c r="U510" s="1"/>
  <c r="W282" i="27"/>
  <c r="W281" s="1"/>
  <c r="X297"/>
  <c r="W228" i="34"/>
  <c r="W226"/>
  <c r="W269"/>
  <c r="W270" s="1"/>
  <c r="W271" s="1"/>
  <c r="W283" s="1"/>
  <c r="W275"/>
  <c r="W276" s="1"/>
  <c r="W277" s="1"/>
  <c r="W169"/>
  <c r="W463" i="25"/>
  <c r="V463" s="1"/>
  <c r="V465" s="1"/>
  <c r="U465" s="1"/>
  <c r="V228" i="23"/>
  <c r="V226"/>
  <c r="U431" i="29"/>
  <c r="V425"/>
  <c r="V427"/>
  <c r="U427" s="1"/>
  <c r="U86" s="1"/>
  <c r="V269" i="50"/>
  <c r="V270" s="1"/>
  <c r="V271" s="1"/>
  <c r="V275"/>
  <c r="V276" s="1"/>
  <c r="V277" s="1"/>
  <c r="V169"/>
  <c r="U190" i="35"/>
  <c r="AD183"/>
  <c r="U200"/>
  <c r="W195" i="33"/>
  <c r="W180" i="24"/>
  <c r="W174"/>
  <c r="W181" s="1"/>
  <c r="T463" i="23"/>
  <c r="W450"/>
  <c r="V450" s="1"/>
  <c r="V452" s="1"/>
  <c r="U452" s="1"/>
  <c r="V228" i="25"/>
  <c r="V226"/>
  <c r="U200" i="29"/>
  <c r="U190"/>
  <c r="V546" i="24"/>
  <c r="U546" s="1"/>
  <c r="U93" s="1"/>
  <c r="U550"/>
  <c r="V544"/>
  <c r="AO294" i="37"/>
  <c r="AO304" s="1"/>
  <c r="AO306" s="1"/>
  <c r="AQ304"/>
  <c r="AQ306" s="1"/>
  <c r="W289" i="14"/>
  <c r="Y299"/>
  <c r="Y301" s="1"/>
  <c r="W289" i="25"/>
  <c r="Y299"/>
  <c r="Y301" s="1"/>
  <c r="Y224" i="34"/>
  <c r="Y229"/>
  <c r="U344" i="16"/>
  <c r="V338"/>
  <c r="V340" s="1"/>
  <c r="U340" s="1"/>
  <c r="X86" s="1"/>
  <c r="V517" i="28"/>
  <c r="U517" s="1"/>
  <c r="W93" s="1"/>
  <c r="U521"/>
  <c r="U521" i="17"/>
  <c r="AF86" i="20"/>
  <c r="AF88"/>
  <c r="AE88" s="1"/>
  <c r="G81" s="1"/>
  <c r="G94" s="1"/>
  <c r="G99" s="1"/>
  <c r="V465" i="28"/>
  <c r="U465" s="1"/>
  <c r="V179" i="24"/>
  <c r="E184" i="20"/>
  <c r="X226" i="34"/>
  <c r="W200" i="27"/>
  <c r="Y299" i="17"/>
  <c r="Y301" s="1"/>
  <c r="W200"/>
  <c r="J1329" i="52"/>
  <c r="W299" i="22"/>
  <c r="W301" s="1"/>
  <c r="U367" i="34"/>
  <c r="V362"/>
  <c r="U362" s="1"/>
  <c r="V360"/>
  <c r="V220" i="17"/>
  <c r="V221" s="1"/>
  <c r="V229" s="1"/>
  <c r="V231" s="1"/>
  <c r="V226"/>
  <c r="AM190" i="36"/>
  <c r="AM169"/>
  <c r="V552" i="28"/>
  <c r="U552" s="1"/>
  <c r="V550"/>
  <c r="W180" i="25"/>
  <c r="W174"/>
  <c r="W181" s="1"/>
  <c r="G396" i="51"/>
  <c r="G403" s="1"/>
  <c r="G410" s="1"/>
  <c r="G397"/>
  <c r="G404" s="1"/>
  <c r="G411" s="1"/>
  <c r="G395"/>
  <c r="G402" s="1"/>
  <c r="G409" s="1"/>
  <c r="V425" i="21"/>
  <c r="V427" s="1"/>
  <c r="U427" s="1"/>
  <c r="U86" s="1"/>
  <c r="U431"/>
  <c r="V228" i="28"/>
  <c r="V226"/>
  <c r="V544" i="30"/>
  <c r="V546" s="1"/>
  <c r="U546" s="1"/>
  <c r="U93" s="1"/>
  <c r="U550"/>
  <c r="U492" i="19"/>
  <c r="V488"/>
  <c r="U488" s="1"/>
  <c r="V93" s="1"/>
  <c r="V486"/>
  <c r="U492" i="50"/>
  <c r="V488"/>
  <c r="U488" s="1"/>
  <c r="V486"/>
  <c r="AM502" i="38"/>
  <c r="AM504" s="1"/>
  <c r="AL504" s="1"/>
  <c r="AA34" s="1"/>
  <c r="AA48" s="1"/>
  <c r="AA54" s="1"/>
  <c r="U174" i="21"/>
  <c r="U181" s="1"/>
  <c r="U180"/>
  <c r="X221" i="17"/>
  <c r="X229" s="1"/>
  <c r="X231"/>
  <c r="V463" i="39"/>
  <c r="V465" s="1"/>
  <c r="U465" s="1"/>
  <c r="W463"/>
  <c r="W492" i="25"/>
  <c r="V492" s="1"/>
  <c r="V494" s="1"/>
  <c r="U494" s="1"/>
  <c r="U269" i="30"/>
  <c r="U270" s="1"/>
  <c r="U271" s="1"/>
  <c r="U275"/>
  <c r="U276" s="1"/>
  <c r="U277" s="1"/>
  <c r="U179"/>
  <c r="U169"/>
  <c r="AO407" i="36"/>
  <c r="AN407"/>
  <c r="U396" i="34"/>
  <c r="V389"/>
  <c r="V391" s="1"/>
  <c r="U391" s="1"/>
  <c r="J1317" i="52"/>
  <c r="K1317"/>
  <c r="W486" i="34"/>
  <c r="X61" i="38"/>
  <c r="X62" s="1"/>
  <c r="X55"/>
  <c r="U201" i="21"/>
  <c r="U195"/>
  <c r="U202" s="1"/>
  <c r="V186" i="34"/>
  <c r="V165"/>
  <c r="V170" s="1"/>
  <c r="V175" s="1"/>
  <c r="U521" i="25"/>
  <c r="V517"/>
  <c r="U517" s="1"/>
  <c r="W93" s="1"/>
  <c r="V515"/>
  <c r="W180" i="17"/>
  <c r="W174"/>
  <c r="W181" s="1"/>
  <c r="V346" i="27"/>
  <c r="U346" s="1"/>
  <c r="V344"/>
  <c r="AL513" i="36"/>
  <c r="AL520"/>
  <c r="AO507"/>
  <c r="AN507" s="1"/>
  <c r="AN509" s="1"/>
  <c r="AM509" s="1"/>
  <c r="AO97" s="1"/>
  <c r="AM455"/>
  <c r="AN449"/>
  <c r="AN451" s="1"/>
  <c r="AM451" s="1"/>
  <c r="AP97" s="1"/>
  <c r="W191" i="33"/>
  <c r="W196" s="1"/>
  <c r="V288" s="1"/>
  <c r="AE185"/>
  <c r="V494" i="27"/>
  <c r="U494" s="1"/>
  <c r="V492"/>
  <c r="X282" i="30"/>
  <c r="X281" s="1"/>
  <c r="Y297"/>
  <c r="W297" i="15"/>
  <c r="V282"/>
  <c r="V281" s="1"/>
  <c r="V282" i="35"/>
  <c r="V281" s="1"/>
  <c r="W297"/>
  <c r="V515" i="17"/>
  <c r="V517" s="1"/>
  <c r="U517" s="1"/>
  <c r="W93" s="1"/>
  <c r="W515"/>
  <c r="V201" i="19"/>
  <c r="V195"/>
  <c r="V202" s="1"/>
  <c r="W288" s="1"/>
  <c r="X195" i="16"/>
  <c r="X202" s="1"/>
  <c r="Y288" s="1"/>
  <c r="X201"/>
  <c r="X195" i="23"/>
  <c r="X202" s="1"/>
  <c r="Y288" s="1"/>
  <c r="X201"/>
  <c r="I1316" i="52"/>
  <c r="J1316" s="1"/>
  <c r="X292" i="50"/>
  <c r="X299" s="1"/>
  <c r="X301" s="1"/>
  <c r="X269" i="34"/>
  <c r="X270" s="1"/>
  <c r="X271" s="1"/>
  <c r="X283" s="1"/>
  <c r="X169"/>
  <c r="X275"/>
  <c r="X276" s="1"/>
  <c r="X277" s="1"/>
  <c r="AD185"/>
  <c r="W190"/>
  <c r="U521" i="15"/>
  <c r="V515"/>
  <c r="V517" s="1"/>
  <c r="U517" s="1"/>
  <c r="W93" s="1"/>
  <c r="V190" i="50"/>
  <c r="AD184"/>
  <c r="V457" i="23"/>
  <c r="V459" s="1"/>
  <c r="U459" s="1"/>
  <c r="X93" s="1"/>
  <c r="W457"/>
  <c r="V373" i="14"/>
  <c r="V375"/>
  <c r="U375" s="1"/>
  <c r="V552" i="35"/>
  <c r="U552" s="1"/>
  <c r="V550"/>
  <c r="U373" i="24"/>
  <c r="V367"/>
  <c r="V369" s="1"/>
  <c r="U369" s="1"/>
  <c r="V86" s="1"/>
  <c r="AM348" i="38"/>
  <c r="AM350" s="1"/>
  <c r="AL350" s="1"/>
  <c r="AM94" s="1"/>
  <c r="AL354"/>
  <c r="X231" i="34"/>
  <c r="X221"/>
  <c r="X229" s="1"/>
  <c r="AD183"/>
  <c r="U190"/>
  <c r="U200"/>
  <c r="W521" i="28"/>
  <c r="V521"/>
  <c r="U275" i="29"/>
  <c r="U276" s="1"/>
  <c r="U277" s="1"/>
  <c r="U179"/>
  <c r="U269"/>
  <c r="U270" s="1"/>
  <c r="U271" s="1"/>
  <c r="U169"/>
  <c r="V433" i="28"/>
  <c r="U433" s="1"/>
  <c r="V431"/>
  <c r="X221" i="30"/>
  <c r="X229" s="1"/>
  <c r="X231"/>
  <c r="W289" i="21"/>
  <c r="Y299"/>
  <c r="Y301" s="1"/>
  <c r="W289" i="15"/>
  <c r="Y299"/>
  <c r="Y301" s="1"/>
  <c r="U521" i="27"/>
  <c r="V515" i="33"/>
  <c r="V517"/>
  <c r="U517" s="1"/>
  <c r="W93" s="1"/>
  <c r="U521"/>
  <c r="U492" i="22"/>
  <c r="V486"/>
  <c r="V488" s="1"/>
  <c r="U488" s="1"/>
  <c r="V93" s="1"/>
  <c r="V552" i="33"/>
  <c r="U552" s="1"/>
  <c r="Y299" i="28"/>
  <c r="Y301" s="1"/>
  <c r="X299" i="29"/>
  <c r="X301" s="1"/>
  <c r="V283" i="19"/>
  <c r="V523" i="16"/>
  <c r="U523" s="1"/>
  <c r="AM268" i="38"/>
  <c r="X283" i="23"/>
  <c r="G273" i="51"/>
  <c r="V299" i="39"/>
  <c r="V301" s="1"/>
  <c r="V375" i="27"/>
  <c r="U375" s="1"/>
  <c r="X299" i="21"/>
  <c r="X301" s="1"/>
  <c r="W299" i="17"/>
  <c r="W301" s="1"/>
  <c r="AN409" i="36"/>
  <c r="AM409" s="1"/>
  <c r="G298" i="51"/>
  <c r="V283" i="24"/>
  <c r="V221" i="27"/>
  <c r="V229" s="1"/>
  <c r="V231" s="1"/>
  <c r="W179" i="33"/>
  <c r="K1215" i="52"/>
  <c r="H184" i="20"/>
  <c r="W299" i="30"/>
  <c r="W301" s="1"/>
  <c r="W299" i="33"/>
  <c r="W301" s="1"/>
  <c r="V282" i="39"/>
  <c r="V281" s="1"/>
  <c r="W297"/>
  <c r="W297" i="14"/>
  <c r="V282"/>
  <c r="V281" s="1"/>
  <c r="V402" i="35"/>
  <c r="V404" s="1"/>
  <c r="U404" s="1"/>
  <c r="V180" i="19"/>
  <c r="V174"/>
  <c r="V181" s="1"/>
  <c r="V338"/>
  <c r="V340" s="1"/>
  <c r="U340" s="1"/>
  <c r="X86" s="1"/>
  <c r="U344"/>
  <c r="V521" i="35"/>
  <c r="V523" s="1"/>
  <c r="U523" s="1"/>
  <c r="W282" i="25"/>
  <c r="W281" s="1"/>
  <c r="X297"/>
  <c r="V492" i="17"/>
  <c r="V494"/>
  <c r="U494" s="1"/>
  <c r="U200" i="30"/>
  <c r="U190"/>
  <c r="U457" i="34"/>
  <c r="V452"/>
  <c r="U452" s="1"/>
  <c r="V450"/>
  <c r="V431" i="16"/>
  <c r="V433"/>
  <c r="U433" s="1"/>
  <c r="U550" i="15"/>
  <c r="V546"/>
  <c r="U546" s="1"/>
  <c r="U93" s="1"/>
  <c r="V544"/>
  <c r="V228" i="24"/>
  <c r="V226"/>
  <c r="J1291" i="52"/>
  <c r="J369" i="51" s="1"/>
  <c r="H369"/>
  <c r="V367" i="19"/>
  <c r="V369" s="1"/>
  <c r="U369" s="1"/>
  <c r="V86" s="1"/>
  <c r="U373"/>
  <c r="AN436" i="36"/>
  <c r="AN438"/>
  <c r="AM438" s="1"/>
  <c r="V228" i="14"/>
  <c r="V226"/>
  <c r="T492" i="34"/>
  <c r="W479"/>
  <c r="V479"/>
  <c r="AN555" i="36"/>
  <c r="AN557" s="1"/>
  <c r="AM557" s="1"/>
  <c r="W282" i="13"/>
  <c r="W281" s="1"/>
  <c r="X297"/>
  <c r="X299" s="1"/>
  <c r="X301" s="1"/>
  <c r="J357" i="51"/>
  <c r="J389" s="1"/>
  <c r="K1322" i="52"/>
  <c r="AN293" i="37"/>
  <c r="AN304" s="1"/>
  <c r="AN306" s="1"/>
  <c r="AO207"/>
  <c r="AP293" s="1"/>
  <c r="AP304" s="1"/>
  <c r="AP306" s="1"/>
  <c r="U425" i="34"/>
  <c r="V418"/>
  <c r="V420" s="1"/>
  <c r="U420" s="1"/>
  <c r="V427" i="15"/>
  <c r="U427" s="1"/>
  <c r="U86" s="1"/>
  <c r="U431"/>
  <c r="V425"/>
  <c r="X174" i="16"/>
  <c r="X181" s="1"/>
  <c r="X180"/>
  <c r="V269" i="34"/>
  <c r="V270" s="1"/>
  <c r="V271" s="1"/>
  <c r="V169"/>
  <c r="V275"/>
  <c r="V276" s="1"/>
  <c r="V277" s="1"/>
  <c r="V179"/>
  <c r="W195" i="15"/>
  <c r="W202" s="1"/>
  <c r="X288" s="1"/>
  <c r="X299" s="1"/>
  <c r="X301" s="1"/>
  <c r="W201"/>
  <c r="V404" i="13"/>
  <c r="U404" s="1"/>
  <c r="V402"/>
  <c r="G204" i="51"/>
  <c r="G205" s="1"/>
  <c r="G213" s="1"/>
  <c r="G215" s="1"/>
  <c r="G209"/>
  <c r="G268"/>
  <c r="G275" s="1"/>
  <c r="H379" s="1"/>
  <c r="G274"/>
  <c r="U373" i="22"/>
  <c r="V367"/>
  <c r="V369" s="1"/>
  <c r="U369" s="1"/>
  <c r="V86" s="1"/>
  <c r="V546"/>
  <c r="U546" s="1"/>
  <c r="U93" s="1"/>
  <c r="U550"/>
  <c r="V544"/>
  <c r="AP164" i="36"/>
  <c r="AP169"/>
  <c r="AP190"/>
  <c r="W282" i="30"/>
  <c r="W281" s="1"/>
  <c r="X297"/>
  <c r="X299" s="1"/>
  <c r="X301" s="1"/>
  <c r="V404"/>
  <c r="U404" s="1"/>
  <c r="V402"/>
  <c r="V396" i="25"/>
  <c r="U402"/>
  <c r="V398"/>
  <c r="U398" s="1"/>
  <c r="W86" s="1"/>
  <c r="W492" i="28"/>
  <c r="V492"/>
  <c r="V494" s="1"/>
  <c r="U494"/>
  <c r="V398"/>
  <c r="U398" s="1"/>
  <c r="W86" s="1"/>
  <c r="U402"/>
  <c r="V396"/>
  <c r="X186" i="34"/>
  <c r="X165"/>
  <c r="X170" s="1"/>
  <c r="X175" s="1"/>
  <c r="U402" i="29"/>
  <c r="V396"/>
  <c r="V398" s="1"/>
  <c r="U398" s="1"/>
  <c r="W86" s="1"/>
  <c r="V174" i="24"/>
  <c r="V181" s="1"/>
  <c r="V180"/>
  <c r="V226" i="27"/>
  <c r="V228"/>
  <c r="AM385" i="38"/>
  <c r="AL385" s="1"/>
  <c r="AM383"/>
  <c r="V165" i="50"/>
  <c r="V170" s="1"/>
  <c r="V175" s="1"/>
  <c r="V186"/>
  <c r="V346" i="30"/>
  <c r="U346" s="1"/>
  <c r="V344"/>
  <c r="W282" i="24"/>
  <c r="W281" s="1"/>
  <c r="X297"/>
  <c r="AD183" i="33"/>
  <c r="U190"/>
  <c r="U200"/>
  <c r="W282"/>
  <c r="W281" s="1"/>
  <c r="X297"/>
  <c r="V463" i="30"/>
  <c r="V465"/>
  <c r="U465" s="1"/>
  <c r="V425" i="24"/>
  <c r="V427" s="1"/>
  <c r="U427" s="1"/>
  <c r="U86" s="1"/>
  <c r="U431"/>
  <c r="U269" i="34"/>
  <c r="U270" s="1"/>
  <c r="U271" s="1"/>
  <c r="U169"/>
  <c r="U275"/>
  <c r="U276" s="1"/>
  <c r="U277" s="1"/>
  <c r="U179"/>
  <c r="H380" i="51"/>
  <c r="J390"/>
  <c r="W289" i="50"/>
  <c r="I1313" i="52" s="1"/>
  <c r="Y299" i="50"/>
  <c r="Y301" s="1"/>
  <c r="W289" i="35"/>
  <c r="Y299"/>
  <c r="Y301" s="1"/>
  <c r="W289" i="29"/>
  <c r="Y299"/>
  <c r="Y301" s="1"/>
  <c r="U515" i="34"/>
  <c r="V510"/>
  <c r="U510" s="1"/>
  <c r="U521" i="29"/>
  <c r="AN179" i="36"/>
  <c r="AN186" s="1"/>
  <c r="AN185"/>
  <c r="AM469" i="38"/>
  <c r="AL469" s="1"/>
  <c r="AM101" s="1"/>
  <c r="Y33" s="1"/>
  <c r="Y47" s="1"/>
  <c r="AL473"/>
  <c r="AM467"/>
  <c r="W195" i="24"/>
  <c r="W202" s="1"/>
  <c r="X288" s="1"/>
  <c r="X299" s="1"/>
  <c r="X301" s="1"/>
  <c r="W201"/>
  <c r="U283" i="21"/>
  <c r="V299" i="24"/>
  <c r="V301" s="1"/>
  <c r="W299" i="15"/>
  <c r="W301" s="1"/>
  <c r="V200" i="24"/>
  <c r="W283" i="17"/>
  <c r="Y299" i="27"/>
  <c r="Y301" s="1"/>
  <c r="W179"/>
  <c r="G176" i="51"/>
  <c r="W299" i="35"/>
  <c r="W301" s="1"/>
  <c r="W200" i="33"/>
  <c r="W299" i="28"/>
  <c r="W301" s="1"/>
  <c r="W299" i="21"/>
  <c r="W301" s="1"/>
  <c r="W299" i="27"/>
  <c r="W301" s="1"/>
  <c r="J1332" i="52"/>
  <c r="W282" i="16"/>
  <c r="W281" s="1"/>
  <c r="X297"/>
  <c r="X299" s="1"/>
  <c r="X301" s="1"/>
  <c r="W297" i="21"/>
  <c r="V282"/>
  <c r="V281" s="1"/>
  <c r="U492" i="24"/>
  <c r="V486"/>
  <c r="V488" s="1"/>
  <c r="U488" s="1"/>
  <c r="V93" s="1"/>
  <c r="T463" i="17"/>
  <c r="W450"/>
  <c r="U452"/>
  <c r="V450"/>
  <c r="V452" s="1"/>
  <c r="W515" i="23"/>
  <c r="V515" s="1"/>
  <c r="V517" s="1"/>
  <c r="U517" s="1"/>
  <c r="W93" s="1"/>
  <c r="V427" i="30"/>
  <c r="U427" s="1"/>
  <c r="U86" s="1"/>
  <c r="V425"/>
  <c r="U431"/>
  <c r="X282" i="16"/>
  <c r="X281" s="1"/>
  <c r="Y297"/>
  <c r="V200" i="34"/>
  <c r="V190"/>
  <c r="AD184"/>
  <c r="V431" i="33"/>
  <c r="V433" s="1"/>
  <c r="U433" s="1"/>
  <c r="V492" i="14"/>
  <c r="V494" s="1"/>
  <c r="U494" s="1"/>
  <c r="U521" i="24"/>
  <c r="V515"/>
  <c r="V517" s="1"/>
  <c r="U517" s="1"/>
  <c r="W93" s="1"/>
  <c r="I210" i="51"/>
  <c r="I212"/>
  <c r="Y82" i="20"/>
  <c r="X82" s="1"/>
  <c r="E80" s="1"/>
  <c r="X86"/>
  <c r="V195" i="24"/>
  <c r="V202" s="1"/>
  <c r="W288" s="1"/>
  <c r="V201"/>
  <c r="U174"/>
  <c r="U181" s="1"/>
  <c r="U180"/>
  <c r="V523" i="30"/>
  <c r="U523" s="1"/>
  <c r="V521"/>
  <c r="V459" i="16"/>
  <c r="U459" s="1"/>
  <c r="X93" s="1"/>
  <c r="U463"/>
  <c r="AQ228" i="36"/>
  <c r="AQ230"/>
  <c r="X174" i="19"/>
  <c r="X181" s="1"/>
  <c r="X180"/>
  <c r="AO491" i="36"/>
  <c r="AN491" s="1"/>
  <c r="AN493" s="1"/>
  <c r="AM493" s="1"/>
  <c r="AN98" s="1"/>
  <c r="Y297" i="27"/>
  <c r="X282"/>
  <c r="X281" s="1"/>
  <c r="V282" i="29"/>
  <c r="V281" s="1"/>
  <c r="W297"/>
  <c r="AP302" i="36"/>
  <c r="AP304" s="1"/>
  <c r="AP306" s="1"/>
  <c r="AO287"/>
  <c r="AO286" s="1"/>
  <c r="V398" i="17"/>
  <c r="U398" s="1"/>
  <c r="W86" s="1"/>
  <c r="U402"/>
  <c r="V396"/>
  <c r="W174" i="27"/>
  <c r="W181" s="1"/>
  <c r="W180"/>
  <c r="U431" i="13"/>
  <c r="V425"/>
  <c r="V427" s="1"/>
  <c r="U427" s="1"/>
  <c r="U86" s="1"/>
  <c r="AD186" i="34"/>
  <c r="X190"/>
  <c r="X200"/>
  <c r="G171" i="51"/>
  <c r="G178" s="1"/>
  <c r="G177"/>
  <c r="W186" i="34"/>
  <c r="W200" s="1"/>
  <c r="W165"/>
  <c r="W170" s="1"/>
  <c r="W175" s="1"/>
  <c r="U269" i="35"/>
  <c r="U270" s="1"/>
  <c r="U271" s="1"/>
  <c r="U283" s="1"/>
  <c r="U275"/>
  <c r="U276" s="1"/>
  <c r="U277" s="1"/>
  <c r="U179"/>
  <c r="U169"/>
  <c r="X201" i="19"/>
  <c r="X195"/>
  <c r="X202" s="1"/>
  <c r="Y288" s="1"/>
  <c r="Y299" s="1"/>
  <c r="Y301" s="1"/>
  <c r="U185" i="15"/>
  <c r="U164"/>
  <c r="V226" i="21"/>
  <c r="V228"/>
  <c r="U275" i="33"/>
  <c r="U276" s="1"/>
  <c r="U277" s="1"/>
  <c r="U269"/>
  <c r="U270" s="1"/>
  <c r="U271" s="1"/>
  <c r="U283" s="1"/>
  <c r="U179"/>
  <c r="U169"/>
  <c r="W180"/>
  <c r="W174"/>
  <c r="W181" s="1"/>
  <c r="V523" i="13"/>
  <c r="U523" s="1"/>
  <c r="V521"/>
  <c r="E367" i="51"/>
  <c r="F1289" i="52"/>
  <c r="V220" i="34"/>
  <c r="V221" s="1"/>
  <c r="V229" s="1"/>
  <c r="V231" s="1"/>
  <c r="V226"/>
  <c r="V402" i="16"/>
  <c r="V404"/>
  <c r="U404" s="1"/>
  <c r="V396" i="15"/>
  <c r="V398" s="1"/>
  <c r="U398" s="1"/>
  <c r="W86" s="1"/>
  <c r="U402"/>
  <c r="W195" i="27"/>
  <c r="W202" s="1"/>
  <c r="X288" s="1"/>
  <c r="X299" s="1"/>
  <c r="X301" s="1"/>
  <c r="W201"/>
  <c r="U486" i="34"/>
  <c r="V481"/>
  <c r="U481" s="1"/>
  <c r="V226" i="18"/>
  <c r="V228"/>
  <c r="V220" i="30"/>
  <c r="V221" s="1"/>
  <c r="V229" s="1"/>
  <c r="V231" s="1"/>
  <c r="V226"/>
  <c r="W289" i="13"/>
  <c r="W299" s="1"/>
  <c r="W301" s="1"/>
  <c r="Y299"/>
  <c r="Y301" s="1"/>
  <c r="W289" i="18"/>
  <c r="W299" s="1"/>
  <c r="W301" s="1"/>
  <c r="Y299"/>
  <c r="Y301" s="1"/>
  <c r="W289" i="39"/>
  <c r="W299" s="1"/>
  <c r="W301" s="1"/>
  <c r="Y299"/>
  <c r="Y301" s="1"/>
  <c r="U463" i="19"/>
  <c r="V457"/>
  <c r="V459" s="1"/>
  <c r="U459" s="1"/>
  <c r="X93" s="1"/>
  <c r="Y228" i="34"/>
  <c r="Y226"/>
  <c r="W195" i="17"/>
  <c r="W202" s="1"/>
  <c r="X288" s="1"/>
  <c r="W201"/>
  <c r="AO302" i="36"/>
  <c r="AN287"/>
  <c r="AN286" s="1"/>
  <c r="I390" i="51"/>
  <c r="V375" i="25"/>
  <c r="U375" s="1"/>
  <c r="W299" i="14"/>
  <c r="W301" s="1"/>
  <c r="Y299" i="30"/>
  <c r="Y301" s="1"/>
  <c r="V346" i="28"/>
  <c r="U346" s="1"/>
  <c r="W299" i="25"/>
  <c r="W301" s="1"/>
  <c r="W179" i="24"/>
  <c r="V344" i="28"/>
  <c r="V463" i="27"/>
  <c r="V465" s="1"/>
  <c r="U465" s="1"/>
  <c r="W299" i="29"/>
  <c r="W301" s="1"/>
  <c r="W200" i="24"/>
  <c r="V515" i="29"/>
  <c r="V517" s="1"/>
  <c r="U517" s="1"/>
  <c r="W93" s="1"/>
  <c r="V515" i="27"/>
  <c r="V517" s="1"/>
  <c r="U517" s="1"/>
  <c r="W93" s="1"/>
  <c r="AA61" i="38" l="1"/>
  <c r="AA62" s="1"/>
  <c r="AA55"/>
  <c r="V492" i="24"/>
  <c r="V494" s="1"/>
  <c r="U494" s="1"/>
  <c r="J397" i="51"/>
  <c r="J404" s="1"/>
  <c r="J411" s="1"/>
  <c r="J395"/>
  <c r="J402" s="1"/>
  <c r="J409" s="1"/>
  <c r="J396"/>
  <c r="J403" s="1"/>
  <c r="J410" s="1"/>
  <c r="U174" i="34"/>
  <c r="U181" s="1"/>
  <c r="U180"/>
  <c r="AE184" i="50"/>
  <c r="V191"/>
  <c r="V196" s="1"/>
  <c r="V288" s="1"/>
  <c r="X191" i="34"/>
  <c r="X196" s="1"/>
  <c r="AE186"/>
  <c r="V404" i="25"/>
  <c r="U404" s="1"/>
  <c r="V402"/>
  <c r="AP191" i="36"/>
  <c r="AP170"/>
  <c r="AP175" s="1"/>
  <c r="AP180" s="1"/>
  <c r="V552" i="15"/>
  <c r="U552" s="1"/>
  <c r="V550"/>
  <c r="W297" i="24"/>
  <c r="V282"/>
  <c r="V281" s="1"/>
  <c r="U174" i="29"/>
  <c r="U181" s="1"/>
  <c r="U180"/>
  <c r="U201" i="34"/>
  <c r="U195"/>
  <c r="U202" s="1"/>
  <c r="AM354" i="38"/>
  <c r="AM356" s="1"/>
  <c r="AL356" s="1"/>
  <c r="V375" i="24"/>
  <c r="U375" s="1"/>
  <c r="V373"/>
  <c r="W195" i="34"/>
  <c r="X174"/>
  <c r="X181" s="1"/>
  <c r="X180"/>
  <c r="V93" i="50"/>
  <c r="G102" i="51" s="1"/>
  <c r="E1274" i="52"/>
  <c r="V494" i="19"/>
  <c r="U494" s="1"/>
  <c r="V492"/>
  <c r="AM274" i="36"/>
  <c r="AM275" s="1"/>
  <c r="AM276" s="1"/>
  <c r="AM288" s="1"/>
  <c r="AM280"/>
  <c r="AM281" s="1"/>
  <c r="AM282" s="1"/>
  <c r="AM184"/>
  <c r="AM174"/>
  <c r="V346" i="16"/>
  <c r="U346" s="1"/>
  <c r="V344"/>
  <c r="V463" i="23"/>
  <c r="W463"/>
  <c r="V174" i="50"/>
  <c r="V181" s="1"/>
  <c r="V180"/>
  <c r="V402" i="27"/>
  <c r="V404" s="1"/>
  <c r="U404" s="1"/>
  <c r="AN378" i="36"/>
  <c r="AN380" s="1"/>
  <c r="AM380" s="1"/>
  <c r="AM343"/>
  <c r="AN338"/>
  <c r="AM338" s="1"/>
  <c r="AN336"/>
  <c r="V431" i="22"/>
  <c r="V433" s="1"/>
  <c r="U433" s="1"/>
  <c r="V552" i="13"/>
  <c r="U552" s="1"/>
  <c r="V550"/>
  <c r="U190"/>
  <c r="U200"/>
  <c r="W299" i="24"/>
  <c r="W301" s="1"/>
  <c r="W201" i="33"/>
  <c r="W179" i="34"/>
  <c r="U282" i="35"/>
  <c r="U281" s="1"/>
  <c r="V297"/>
  <c r="V299" s="1"/>
  <c r="V301" s="1"/>
  <c r="AQ229" i="36"/>
  <c r="AQ234"/>
  <c r="V465" i="19"/>
  <c r="U465" s="1"/>
  <c r="V463"/>
  <c r="U174" i="33"/>
  <c r="U181" s="1"/>
  <c r="U180"/>
  <c r="AQ231" i="36"/>
  <c r="AQ233"/>
  <c r="V523" i="29"/>
  <c r="U523" s="1"/>
  <c r="V521"/>
  <c r="AP280" i="36"/>
  <c r="AP281" s="1"/>
  <c r="AP282" s="1"/>
  <c r="AP174"/>
  <c r="AP274"/>
  <c r="AP275" s="1"/>
  <c r="AP276" s="1"/>
  <c r="AP288" s="1"/>
  <c r="AP184"/>
  <c r="V375" i="19"/>
  <c r="U375" s="1"/>
  <c r="V373"/>
  <c r="V346"/>
  <c r="U346" s="1"/>
  <c r="V344"/>
  <c r="W297"/>
  <c r="W299" s="1"/>
  <c r="W301" s="1"/>
  <c r="V282"/>
  <c r="V281" s="1"/>
  <c r="V523" i="33"/>
  <c r="U523" s="1"/>
  <c r="V521"/>
  <c r="V195" i="50"/>
  <c r="V202" s="1"/>
  <c r="W288" s="1"/>
  <c r="V201"/>
  <c r="K1316" i="52"/>
  <c r="J1323"/>
  <c r="AE184" i="34"/>
  <c r="V191"/>
  <c r="V196" s="1"/>
  <c r="U174" i="30"/>
  <c r="U181" s="1"/>
  <c r="U180"/>
  <c r="V433" i="21"/>
  <c r="U433" s="1"/>
  <c r="V431"/>
  <c r="V552" i="24"/>
  <c r="U552" s="1"/>
  <c r="V550"/>
  <c r="U195" i="35"/>
  <c r="U202" s="1"/>
  <c r="U201"/>
  <c r="W282" i="34"/>
  <c r="W281" s="1"/>
  <c r="X297"/>
  <c r="V521" i="17"/>
  <c r="V523" s="1"/>
  <c r="U523" s="1"/>
  <c r="W521"/>
  <c r="AO497" i="36"/>
  <c r="AN497"/>
  <c r="U200" i="22"/>
  <c r="U190"/>
  <c r="U169" i="13"/>
  <c r="U269"/>
  <c r="U270" s="1"/>
  <c r="U271" s="1"/>
  <c r="U275"/>
  <c r="U276" s="1"/>
  <c r="U277" s="1"/>
  <c r="U179"/>
  <c r="U550" i="34"/>
  <c r="V544"/>
  <c r="V546"/>
  <c r="U546" s="1"/>
  <c r="U93" s="1"/>
  <c r="Y299" i="16"/>
  <c r="Y301" s="1"/>
  <c r="W202" i="33"/>
  <c r="X288" s="1"/>
  <c r="X299" s="1"/>
  <c r="X301" s="1"/>
  <c r="V283" i="50"/>
  <c r="AN499" i="36"/>
  <c r="AM499" s="1"/>
  <c r="V344" i="23"/>
  <c r="V346" s="1"/>
  <c r="U346" s="1"/>
  <c r="U492" i="34"/>
  <c r="V523" i="24"/>
  <c r="U523" s="1"/>
  <c r="V521"/>
  <c r="H1327" i="52"/>
  <c r="K1313"/>
  <c r="I396" i="51"/>
  <c r="I403" s="1"/>
  <c r="I410" s="1"/>
  <c r="I397"/>
  <c r="I404" s="1"/>
  <c r="I411" s="1"/>
  <c r="I395"/>
  <c r="I402" s="1"/>
  <c r="I409" s="1"/>
  <c r="V402" i="15"/>
  <c r="V404" s="1"/>
  <c r="U404" s="1"/>
  <c r="U190"/>
  <c r="U200"/>
  <c r="AE185" i="34"/>
  <c r="W191"/>
  <c r="W196" s="1"/>
  <c r="X195"/>
  <c r="X202" s="1"/>
  <c r="Y288" s="1"/>
  <c r="X201"/>
  <c r="V431" i="13"/>
  <c r="V433" s="1"/>
  <c r="U433" s="1"/>
  <c r="V402" i="17"/>
  <c r="V404"/>
  <c r="U404" s="1"/>
  <c r="P93" i="20"/>
  <c r="E93"/>
  <c r="E98" s="1"/>
  <c r="W463" i="17"/>
  <c r="V463"/>
  <c r="V465" s="1"/>
  <c r="U465" s="1"/>
  <c r="U282" i="21"/>
  <c r="U281" s="1"/>
  <c r="V297"/>
  <c r="V299" s="1"/>
  <c r="V301" s="1"/>
  <c r="AM475" i="38"/>
  <c r="AL475" s="1"/>
  <c r="Y34" s="1"/>
  <c r="Y48" s="1"/>
  <c r="Y54" s="1"/>
  <c r="AM473"/>
  <c r="V431" i="24"/>
  <c r="V433" s="1"/>
  <c r="U433" s="1"/>
  <c r="U201" i="33"/>
  <c r="U195"/>
  <c r="U202" s="1"/>
  <c r="V402" i="29"/>
  <c r="V404" s="1"/>
  <c r="U404" s="1"/>
  <c r="V404" i="28"/>
  <c r="U404" s="1"/>
  <c r="V402"/>
  <c r="AP205" i="36"/>
  <c r="AV191"/>
  <c r="AP195"/>
  <c r="V550" i="22"/>
  <c r="V552" s="1"/>
  <c r="U552" s="1"/>
  <c r="V373"/>
  <c r="V375" s="1"/>
  <c r="U375" s="1"/>
  <c r="V431" i="15"/>
  <c r="V433" s="1"/>
  <c r="U433" s="1"/>
  <c r="V427" i="34"/>
  <c r="U427" s="1"/>
  <c r="U86" s="1"/>
  <c r="U431"/>
  <c r="V425"/>
  <c r="V492"/>
  <c r="W492"/>
  <c r="U195" i="30"/>
  <c r="U202" s="1"/>
  <c r="U201"/>
  <c r="AM281" i="38"/>
  <c r="AO284" s="1"/>
  <c r="AM267"/>
  <c r="AM266" s="1"/>
  <c r="AM273"/>
  <c r="V523" i="27"/>
  <c r="U523" s="1"/>
  <c r="V521"/>
  <c r="V523" i="15"/>
  <c r="U523" s="1"/>
  <c r="V521"/>
  <c r="AL526" i="36"/>
  <c r="AN513"/>
  <c r="AN515" s="1"/>
  <c r="AM515" s="1"/>
  <c r="AO513"/>
  <c r="U402" i="34"/>
  <c r="V396"/>
  <c r="V398" s="1"/>
  <c r="U398" s="1"/>
  <c r="W86" s="1"/>
  <c r="U373"/>
  <c r="V367"/>
  <c r="V369" s="1"/>
  <c r="U369" s="1"/>
  <c r="V86" s="1"/>
  <c r="V433" i="29"/>
  <c r="U433" s="1"/>
  <c r="V431"/>
  <c r="U169" i="27"/>
  <c r="U269"/>
  <c r="U270" s="1"/>
  <c r="U271" s="1"/>
  <c r="U275"/>
  <c r="U276" s="1"/>
  <c r="U277" s="1"/>
  <c r="U179"/>
  <c r="U275" i="22"/>
  <c r="U276" s="1"/>
  <c r="U277" s="1"/>
  <c r="U179"/>
  <c r="U169"/>
  <c r="U269"/>
  <c r="U270" s="1"/>
  <c r="U271" s="1"/>
  <c r="W521" i="23"/>
  <c r="V521" s="1"/>
  <c r="V523" s="1"/>
  <c r="U523" s="1"/>
  <c r="V550" i="21"/>
  <c r="V552" s="1"/>
  <c r="U552" s="1"/>
  <c r="V550" i="29"/>
  <c r="V552" s="1"/>
  <c r="U552" s="1"/>
  <c r="V283" i="34"/>
  <c r="V200" i="50"/>
  <c r="X179" i="34"/>
  <c r="U283" i="30"/>
  <c r="V179" i="50"/>
  <c r="AO304" i="36"/>
  <c r="AO306" s="1"/>
  <c r="G1289" i="52"/>
  <c r="F367" i="51"/>
  <c r="V297" i="33"/>
  <c r="V299" s="1"/>
  <c r="V301" s="1"/>
  <c r="U282"/>
  <c r="U281" s="1"/>
  <c r="U269" i="15"/>
  <c r="U270" s="1"/>
  <c r="U271" s="1"/>
  <c r="U275"/>
  <c r="U276" s="1"/>
  <c r="U277" s="1"/>
  <c r="U179"/>
  <c r="U169"/>
  <c r="U174" i="35"/>
  <c r="U181" s="1"/>
  <c r="U180"/>
  <c r="V463" i="16"/>
  <c r="V465" s="1"/>
  <c r="U465" s="1"/>
  <c r="V195" i="34"/>
  <c r="V202" s="1"/>
  <c r="W288" s="1"/>
  <c r="V201"/>
  <c r="V431" i="30"/>
  <c r="V433" s="1"/>
  <c r="U433" s="1"/>
  <c r="W282" i="17"/>
  <c r="W281" s="1"/>
  <c r="X297"/>
  <c r="X299" s="1"/>
  <c r="X301" s="1"/>
  <c r="V517" i="34"/>
  <c r="U517" s="1"/>
  <c r="W93" s="1"/>
  <c r="U521"/>
  <c r="V515"/>
  <c r="G212" i="51"/>
  <c r="G210"/>
  <c r="V174" i="34"/>
  <c r="V181" s="1"/>
  <c r="V180"/>
  <c r="U463"/>
  <c r="V457"/>
  <c r="V459" s="1"/>
  <c r="U459" s="1"/>
  <c r="X93" s="1"/>
  <c r="H388" i="51"/>
  <c r="G297"/>
  <c r="G296" s="1"/>
  <c r="X282" i="23"/>
  <c r="X281" s="1"/>
  <c r="Y297"/>
  <c r="Y299" s="1"/>
  <c r="Y301" s="1"/>
  <c r="V492" i="22"/>
  <c r="V494" s="1"/>
  <c r="U494" s="1"/>
  <c r="X282" i="34"/>
  <c r="X281" s="1"/>
  <c r="Y297"/>
  <c r="AM462" i="36"/>
  <c r="AN457"/>
  <c r="AM457" s="1"/>
  <c r="AN455"/>
  <c r="AN520"/>
  <c r="AN522" s="1"/>
  <c r="AM522" s="1"/>
  <c r="AO98" s="1"/>
  <c r="AO520"/>
  <c r="V521" i="25"/>
  <c r="V523" s="1"/>
  <c r="U523" s="1"/>
  <c r="V492" i="50"/>
  <c r="V494" s="1"/>
  <c r="U494" s="1"/>
  <c r="V550" i="30"/>
  <c r="V552"/>
  <c r="U552" s="1"/>
  <c r="AM205" i="36"/>
  <c r="AM195"/>
  <c r="AV188"/>
  <c r="U195" i="29"/>
  <c r="U202" s="1"/>
  <c r="U201"/>
  <c r="W180" i="34"/>
  <c r="W174"/>
  <c r="W181" s="1"/>
  <c r="U200" i="27"/>
  <c r="U190"/>
  <c r="V338" i="34"/>
  <c r="U344"/>
  <c r="V340"/>
  <c r="U340" s="1"/>
  <c r="X86" s="1"/>
  <c r="V402" i="24"/>
  <c r="V404"/>
  <c r="U404" s="1"/>
  <c r="V373" i="50"/>
  <c r="V375" s="1"/>
  <c r="U375" s="1"/>
  <c r="V402" i="33"/>
  <c r="V404" s="1"/>
  <c r="U404" s="1"/>
  <c r="U283" i="34"/>
  <c r="U283" i="29"/>
  <c r="V486" i="34"/>
  <c r="V488" s="1"/>
  <c r="U488" s="1"/>
  <c r="V93" s="1"/>
  <c r="V523" i="28"/>
  <c r="U523" s="1"/>
  <c r="X299" i="25"/>
  <c r="X301" s="1"/>
  <c r="V465" i="23"/>
  <c r="U465" s="1"/>
  <c r="Y86" i="20"/>
  <c r="Y88" s="1"/>
  <c r="X88" s="1"/>
  <c r="E81" s="1"/>
  <c r="P94" l="1"/>
  <c r="E94"/>
  <c r="E99" s="1"/>
  <c r="Y55" i="38"/>
  <c r="Y61"/>
  <c r="Y62" s="1"/>
  <c r="U174" i="27"/>
  <c r="U181" s="1"/>
  <c r="U180"/>
  <c r="AO526" i="36"/>
  <c r="AN526" s="1"/>
  <c r="AN528" s="1"/>
  <c r="AM528" s="1"/>
  <c r="V344" i="34"/>
  <c r="V346" s="1"/>
  <c r="U346" s="1"/>
  <c r="V402"/>
  <c r="V404" s="1"/>
  <c r="U404" s="1"/>
  <c r="U195" i="15"/>
  <c r="U202" s="1"/>
  <c r="U201"/>
  <c r="AP179" i="36"/>
  <c r="AP186" s="1"/>
  <c r="AP185"/>
  <c r="AM349"/>
  <c r="AN345"/>
  <c r="AM345" s="1"/>
  <c r="AP91" s="1"/>
  <c r="AN343"/>
  <c r="AM179"/>
  <c r="AM186" s="1"/>
  <c r="AM185"/>
  <c r="U283" i="27"/>
  <c r="Y299" i="34"/>
  <c r="Y301" s="1"/>
  <c r="U283" i="13"/>
  <c r="V288" i="34"/>
  <c r="U174" i="22"/>
  <c r="U181" s="1"/>
  <c r="U180"/>
  <c r="V433" i="34"/>
  <c r="U433" s="1"/>
  <c r="V431"/>
  <c r="AP200" i="36"/>
  <c r="AP287"/>
  <c r="AP286" s="1"/>
  <c r="AQ302"/>
  <c r="AN302"/>
  <c r="AN304" s="1"/>
  <c r="AN306" s="1"/>
  <c r="AM287"/>
  <c r="AM286" s="1"/>
  <c r="V494" i="34"/>
  <c r="U494" s="1"/>
  <c r="W201"/>
  <c r="U174" i="15"/>
  <c r="U181" s="1"/>
  <c r="U180"/>
  <c r="V297" i="29"/>
  <c r="V299" s="1"/>
  <c r="V301" s="1"/>
  <c r="U282"/>
  <c r="U281" s="1"/>
  <c r="U201" i="27"/>
  <c r="U195"/>
  <c r="U202" s="1"/>
  <c r="AM468" i="36"/>
  <c r="AN462"/>
  <c r="AN464" s="1"/>
  <c r="AM464" s="1"/>
  <c r="AP98" s="1"/>
  <c r="H1289" i="52"/>
  <c r="G367" i="51"/>
  <c r="W297" i="50"/>
  <c r="I1321" i="52" s="1"/>
  <c r="H1330" s="1"/>
  <c r="V282" i="50"/>
  <c r="V281" s="1"/>
  <c r="U201" i="22"/>
  <c r="U195"/>
  <c r="U202" s="1"/>
  <c r="E355" i="51"/>
  <c r="F1274" i="52"/>
  <c r="V299" i="50"/>
  <c r="V301" s="1"/>
  <c r="H1312" i="52"/>
  <c r="H1332"/>
  <c r="W299" i="34"/>
  <c r="W301" s="1"/>
  <c r="U283" i="15"/>
  <c r="U283" i="22"/>
  <c r="AM282" i="38"/>
  <c r="K1323" i="52"/>
  <c r="W202" i="34"/>
  <c r="X288" s="1"/>
  <c r="X299" s="1"/>
  <c r="X301" s="1"/>
  <c r="U282"/>
  <c r="U281" s="1"/>
  <c r="V297"/>
  <c r="V523"/>
  <c r="U523" s="1"/>
  <c r="V521"/>
  <c r="AM200" i="36"/>
  <c r="AM207" s="1"/>
  <c r="AM206"/>
  <c r="V465" i="34"/>
  <c r="U465" s="1"/>
  <c r="V463"/>
  <c r="U282" i="30"/>
  <c r="U281" s="1"/>
  <c r="V297"/>
  <c r="V299" s="1"/>
  <c r="V301" s="1"/>
  <c r="V282" i="34"/>
  <c r="V281" s="1"/>
  <c r="W297"/>
  <c r="V375"/>
  <c r="U375" s="1"/>
  <c r="V373"/>
  <c r="V550"/>
  <c r="V552" s="1"/>
  <c r="U552" s="1"/>
  <c r="U174" i="13"/>
  <c r="U181" s="1"/>
  <c r="U180"/>
  <c r="I1312" i="52"/>
  <c r="I1323" s="1"/>
  <c r="W299" i="50"/>
  <c r="W301" s="1"/>
  <c r="U201" i="13"/>
  <c r="U195"/>
  <c r="U202" s="1"/>
  <c r="AP196" i="36"/>
  <c r="AP201" s="1"/>
  <c r="AW191"/>
  <c r="F355" i="51" l="1"/>
  <c r="G1274" i="52"/>
  <c r="U282" i="15"/>
  <c r="U281" s="1"/>
  <c r="V297"/>
  <c r="V299" s="1"/>
  <c r="V301" s="1"/>
  <c r="H367" i="51"/>
  <c r="J1289" i="52"/>
  <c r="J367" i="51" s="1"/>
  <c r="AP207" i="36"/>
  <c r="AQ293" s="1"/>
  <c r="AQ304" s="1"/>
  <c r="AQ306" s="1"/>
  <c r="AN470"/>
  <c r="AM470" s="1"/>
  <c r="AN468"/>
  <c r="U282" i="13"/>
  <c r="U281" s="1"/>
  <c r="V297"/>
  <c r="V299" s="1"/>
  <c r="V301" s="1"/>
  <c r="U282" i="22"/>
  <c r="U281" s="1"/>
  <c r="V297"/>
  <c r="V299" s="1"/>
  <c r="V301" s="1"/>
  <c r="H1326" i="52"/>
  <c r="H1323"/>
  <c r="J1326"/>
  <c r="AN349" i="36"/>
  <c r="AN351" s="1"/>
  <c r="AM351" s="1"/>
  <c r="V299" i="34"/>
  <c r="V301" s="1"/>
  <c r="V297" i="27"/>
  <c r="V299" s="1"/>
  <c r="V301" s="1"/>
  <c r="U282"/>
  <c r="U281" s="1"/>
  <c r="AP206" i="36"/>
  <c r="H1274" i="52" l="1"/>
  <c r="G355" i="51"/>
  <c r="H1334" i="52"/>
  <c r="J1334"/>
  <c r="J1274" l="1"/>
  <c r="J355" i="51" s="1"/>
  <c r="H389" s="1"/>
  <c r="H390" s="1"/>
  <c r="H355"/>
  <c r="H395" l="1"/>
  <c r="H402" s="1"/>
  <c r="H409" s="1"/>
  <c r="H396"/>
  <c r="H403" s="1"/>
  <c r="H410" s="1"/>
  <c r="H397"/>
  <c r="H404" s="1"/>
  <c r="H411" s="1"/>
</calcChain>
</file>

<file path=xl/sharedStrings.xml><?xml version="1.0" encoding="utf-8"?>
<sst xmlns="http://schemas.openxmlformats.org/spreadsheetml/2006/main" count="16765" uniqueCount="890">
  <si>
    <t>Extension Cable /meter</t>
  </si>
  <si>
    <t>45    x</t>
  </si>
  <si>
    <t xml:space="preserve">Supply cable per meter </t>
  </si>
  <si>
    <t xml:space="preserve">Extension Cable per meter </t>
  </si>
  <si>
    <t>45m     x</t>
  </si>
  <si>
    <t>Hilti Drill Manifold</t>
  </si>
  <si>
    <t>45 meter x</t>
  </si>
  <si>
    <t>Supply cable per meter</t>
  </si>
  <si>
    <t>Extension Cable per meter</t>
  </si>
  <si>
    <t>The data presented in Figure 14 for the Hilti TE MD20 reflects the utilization of mine service water (MSW), at a rate of 6.5 l/min per hole drilled and for the data presented in Figure 15 it is assumed for this study that the retraction draws 24 litres per hole drilled.</t>
  </si>
  <si>
    <t>For this model it is assumed that mines adopting this leading practice will convert from pneumatic to electric drilling and therefore only the capital requirements for electric drilling is reflected in this study. A single-phase reticulation system is priced instead of three-phase reticulation system, because of its lower cost.</t>
  </si>
  <si>
    <t>The primary objective of the evaluation of the Noise Adoption Team’s selected leading practice, the Hilti Electric Rock Drill, is to assist the industry in meeting the Occupational Health targets agreed to at the 2003 MHSC Summit and to improve the in-stope drilling cycle in terms of Health and Safety.</t>
  </si>
  <si>
    <t>For this case study it is assumed that mines adopting this leading practice will convert from pneumatic to electric drilling and therefore only the capital requirements for electric drilling is reflected in this model. A single-phase reticulation system is priced instead of three-phase reticulation system, because of its lower cost.</t>
  </si>
  <si>
    <t>Electrical replacement spares, cable, plugs etc.</t>
  </si>
  <si>
    <t>The electric rock drill utilizes mine service water (MSW), at a rate of 6.5 l/min, feeding into a rubberised water leg hose. A fixed ratio pressure-reducing valve (PRV), designed at 2100 kPa, reduces pressure to 500 kPa, before entering the telescopic jackleg. A washer is slotted after the PRV, and ruptures, if the water feed pressure surpasses the pressure limit. The water-driven jackleg has a control unit that acts as a pressure regulator to adjust the thrust, thus facilitating collaring and retraction. Retraction draws MSW at 24 l/min.</t>
  </si>
  <si>
    <t>On a qualitative basis, the RDOs experience a cleaner drilling environment, as observed from the cleanliness of their overalls. There is no inhalation of atomized grease particles. Furthermore, visual communication/‘line-off sight’ is improved due to the elimination of a vaporized atmosphere. Additionally, oil has a significant negative outcome on the ore recoveries in the processing plant.</t>
  </si>
  <si>
    <t>The penetration rates of each of the pneumatic rock drills as a function of air-supply pressure (Figure 7) shows a significant difference in the relative performance of the Hilti TE MD20, in that all the pneumatic machines out-perform the electric drill. The penetration rate of rock drills contributes to the actual drilling time of a hole (Figure 8) and therefore has an effect on the drilling shift length (Figure 9).</t>
  </si>
  <si>
    <t>Although the financial outcome is not the only consideration in deciding whether electric drilling must be implemented, it does provide a measure for consideration. Its projected return on investment and other cost controls are decisive factors for determining its feasibility in mining operations. Other factors must be considered when selecting and initiating operational projects with this technology. The technical performance of the electric drill will affect the initial and continued costs of production and operations.  The drilling option is also determined by considering the safety aspects during machine handling. Equipment-based risk management may reveal costs that will be incurred to resolve identified risks. The environmental effect of the technology also contributes to the operational expense. Reducing electricity consumption and carbon emissions results in lowering costs in the project life cycle.</t>
  </si>
  <si>
    <t>Noise emission levels for locally available rock drills, measured under free-field conditions, are generally available from manufacturers and suppliers. However, it is quite evident that noise levels are significantly higher in a highly reverberant underground stope than under free-field conditions, and the attenuation of noise with distance is significantly less. This combination of more reverberation and less attenuation underground will result in higher noise exposure levels for rock drill operators than those indicated by the manufacturer’s measurements taken under free-field conditions.</t>
  </si>
  <si>
    <t>In-stope and mine production parameters</t>
  </si>
  <si>
    <t xml:space="preserve">Number of panels </t>
  </si>
  <si>
    <t>Seco S215</t>
  </si>
  <si>
    <t>Seco S215 Muffled</t>
  </si>
  <si>
    <t>Total</t>
  </si>
  <si>
    <t>Production parameters and schedule</t>
  </si>
  <si>
    <t>Production days in one month - ( days )</t>
  </si>
  <si>
    <t>Shift duration - ( hours/shift )</t>
  </si>
  <si>
    <t>Annual programme - ( weeks/year )</t>
  </si>
  <si>
    <t>Shifts programmed - ( shifts/year )</t>
  </si>
  <si>
    <t>Shifts lost (assumed) - ( shifts/year )</t>
  </si>
  <si>
    <t>Available shifts - ( shifts/year )</t>
  </si>
  <si>
    <t>Hole length drilled - ( m )</t>
  </si>
  <si>
    <t>1.</t>
  </si>
  <si>
    <t>2.</t>
  </si>
  <si>
    <t>Safety and Environment</t>
  </si>
  <si>
    <t>Compressor maintenance</t>
  </si>
  <si>
    <t>Description:</t>
  </si>
  <si>
    <t>The SECO S215 is a high performance yet lightweight rockdrill. Designed to meet the requirements of the South African mining industry for use in stoping applications and aise and box hole drilling, where lightweight and economical performance are essential. It is also ideal for development drilling in coal mines. It is suitable for hand held or airleg mounted use.</t>
  </si>
  <si>
    <t>The SECO S215M is a high performance yet lightweight rockdrill. Fitted with a modified piston sleeve and a muffler this machine has a significantly lower noise emission than the standard S215. Designed to meet the requirements of the South African mining industry for use in stoping applications and raise and box hole drilling, where lightweight and economical performance are essential. It is suitable for hand held or airleg mounted use.</t>
  </si>
  <si>
    <t>The Sulzer ADDS is a high performance yet lightweight rockdrill. The drill does not require lubrication and is fitted with an automatic shut off valve to stop the flushing water when the drill is stopped. Designed to meet the requirements of the South African mining industry for use in stoping applications and raise and box hole drilling, where lightweight and economical performance are essential. It is also ideal for development drilling in coal mines. It is suitable for hand held or airleg mounted use.</t>
  </si>
  <si>
    <t>Rock Drill Description</t>
  </si>
  <si>
    <t>Hilti Te MD20 Electric Rockdrill</t>
  </si>
  <si>
    <t>Boart Longyear S215 Rockdrill</t>
  </si>
  <si>
    <t>Boart Longyear S215 Muffled Rockdrill</t>
  </si>
  <si>
    <t>Sulzer ADDS Rockdrill</t>
  </si>
  <si>
    <t xml:space="preserve">Period of exposure (y) </t>
  </si>
  <si>
    <t>Hole length drilled (m)</t>
  </si>
  <si>
    <t>Number op Rock Drill Operators per Face</t>
  </si>
  <si>
    <t>Number of panels blasted per shift</t>
  </si>
  <si>
    <t>Number of Rock Drills</t>
  </si>
  <si>
    <t>Total number of holes drilled per shift</t>
  </si>
  <si>
    <t>The summation of the rock drills physical properties are displayed in Figures 2.1 and 2.2.</t>
  </si>
  <si>
    <t>Hilti TE MD20 Electric Rock Drill</t>
  </si>
  <si>
    <t>The tool is a water-cooled, electrically powered rotary hammer drill with pneumatic hammering mechanism.</t>
  </si>
  <si>
    <t>Use for intended purpose</t>
  </si>
  <si>
    <t>Shift Duration (hrs)</t>
  </si>
  <si>
    <t>Standard HPD</t>
  </si>
  <si>
    <t>HPD User Values (dBA)</t>
  </si>
  <si>
    <t>Stoping Crew Composition</t>
  </si>
  <si>
    <t>No Hearing Protection Device</t>
  </si>
  <si>
    <t>With Hearing Protection Device</t>
  </si>
  <si>
    <t>Production Performance</t>
  </si>
  <si>
    <t>Sound Pressure Level Distribution</t>
  </si>
  <si>
    <t>No HPD</t>
  </si>
  <si>
    <t>With HPD</t>
  </si>
  <si>
    <t>Working Exposure (years)</t>
  </si>
  <si>
    <t>Input Data</t>
  </si>
  <si>
    <t>Rock Drill Performance</t>
  </si>
  <si>
    <t>No sources - rockdrills</t>
  </si>
  <si>
    <t>Compensation cost per 100 employees over working years exposure</t>
  </si>
  <si>
    <t>Compensation cost per 100 stoping employees over working exposure years</t>
  </si>
  <si>
    <t>UG SPL dBA</t>
  </si>
  <si>
    <t>Compensation cost including insurers administration cost @</t>
  </si>
  <si>
    <r>
      <t>Equivalent Exposure L</t>
    </r>
    <r>
      <rPr>
        <b/>
        <vertAlign val="subscript"/>
        <sz val="11"/>
        <rFont val="Arial"/>
        <family val="2"/>
      </rPr>
      <t>aeq</t>
    </r>
  </si>
  <si>
    <t>Drill Steel</t>
  </si>
  <si>
    <t>Lubrication</t>
  </si>
  <si>
    <t>Stope Drilling Monthly Comsumables and Pricing</t>
  </si>
  <si>
    <t>Item Description</t>
  </si>
  <si>
    <t>Hilti MD20</t>
  </si>
  <si>
    <t>Water flow - l/m</t>
  </si>
  <si>
    <t>Consumption / rock drill (l/min)</t>
  </si>
  <si>
    <t>Consumption / shift - (l/min)</t>
  </si>
  <si>
    <t xml:space="preserve">The tool is a water-cooled, electrically-powered rotary hammer drill with pneumatic hammering mechanism. </t>
  </si>
  <si>
    <t xml:space="preserve">TE MDHR drill bit removal tool </t>
  </si>
  <si>
    <t xml:space="preserve">Insert tools and accessories </t>
  </si>
  <si>
    <t xml:space="preserve">Technical data </t>
  </si>
  <si>
    <t xml:space="preserve">Torque </t>
  </si>
  <si>
    <t xml:space="preserve">Revolutions </t>
  </si>
  <si>
    <t xml:space="preserve">Airborne noise </t>
  </si>
  <si>
    <t xml:space="preserve">Noise power level </t>
  </si>
  <si>
    <t xml:space="preserve">108 dB(A) </t>
  </si>
  <si>
    <t xml:space="preserve">Noise pressure level </t>
  </si>
  <si>
    <t xml:space="preserve">95 dB(A) </t>
  </si>
  <si>
    <t xml:space="preserve">Vibration </t>
  </si>
  <si>
    <r>
      <t>8 m/s</t>
    </r>
    <r>
      <rPr>
        <vertAlign val="superscript"/>
        <sz val="10"/>
        <color indexed="63"/>
        <rFont val="Arial"/>
        <family val="2"/>
      </rPr>
      <t>2</t>
    </r>
  </si>
  <si>
    <t>Capital Cost Outlay - Electric Drilling</t>
  </si>
  <si>
    <t>7.4.1</t>
  </si>
  <si>
    <t>Costs associated with hearing impairment  - RDO's wearing HPDs</t>
  </si>
  <si>
    <t>7.4.2</t>
  </si>
  <si>
    <t>Costs associated with hearing impairment  - RDO's not wearing HPDs</t>
  </si>
  <si>
    <t>Total Operating Cost per Annum</t>
  </si>
  <si>
    <t>per meter drilled</t>
  </si>
  <si>
    <t>per ton</t>
  </si>
  <si>
    <t>per square meter</t>
  </si>
  <si>
    <t>per year</t>
  </si>
  <si>
    <t>Operating Cost per Shift</t>
  </si>
  <si>
    <t>However, the electrical energy consumed in generating compressed air for pneumatic stope drilling in South African gold mines has been found to be at least 15 kWh/ton mined, assuming 1.5 meters drilled per ton [du Plessis and Solomon 1988]. It is understood that this figure was derived from an analysis of the ventilation returns and the use of the software package MineCon (developed by the CSIR).</t>
  </si>
  <si>
    <t>kWh for this particular case study.</t>
  </si>
  <si>
    <t>equates to</t>
  </si>
  <si>
    <t>This value equates to 10 kWh/m drilled in gold mines where the typical blast hole diameter is 40 mm and therefore</t>
  </si>
  <si>
    <t>If we now consider the data presented in Figures 11 and 12 for underground drilling it would appear that total system efficiency for pneumatic drilling of 1.4 per cent may be anticipated, which means 98.9 per cent of the electrical power supplied to the compressors is wasted in leaks and heat losses.</t>
  </si>
  <si>
    <t>The following assumptions were applied to calculate the compressed air energy cost and are reflected in Figures 16,17 and 18.  The total energy cost per annum is reflected in Figure 19.</t>
  </si>
  <si>
    <t>Compressed Air Generating Costs</t>
  </si>
  <si>
    <t>Fully Loaded - ( Drilling Shift )</t>
  </si>
  <si>
    <t>Unloaded - "Off" Shift</t>
  </si>
  <si>
    <t>Energy Cost per Annum</t>
  </si>
  <si>
    <t>Total Energy Costs</t>
  </si>
  <si>
    <t>Figure 16 : Energy Cost per Day</t>
  </si>
  <si>
    <t>Figure 17 : Energy Cost per Month</t>
  </si>
  <si>
    <t>Figure 18 : Energy Cost per Annum</t>
  </si>
  <si>
    <t>Figure 19 : Total Energy Cost per Annum</t>
  </si>
  <si>
    <t>Consumable Costs</t>
  </si>
  <si>
    <t xml:space="preserve">Unit Price </t>
  </si>
  <si>
    <t>Airleg replacement</t>
  </si>
  <si>
    <t>Rockdrill replacement</t>
  </si>
  <si>
    <t>Table VI</t>
  </si>
  <si>
    <t xml:space="preserve">Risk (per cent) of compensational hearing impairment for an equivalent noise exposure (dBA) of: </t>
  </si>
  <si>
    <t xml:space="preserve">Period of exposure (yrs) </t>
  </si>
  <si>
    <t xml:space="preserve">Costs associated with hearing impairment </t>
  </si>
  <si>
    <t>Costs associated with hearing impairment including HPDs (tabulated)</t>
  </si>
  <si>
    <t>Rock Drill Make / Type</t>
  </si>
  <si>
    <t>Noise exposure per shift - (dBA)</t>
  </si>
  <si>
    <t>Equivalent daily exposure - (dBA)</t>
  </si>
  <si>
    <t>Risk of compensable impairment</t>
  </si>
  <si>
    <t>Compensation claims/100 employees so exposed</t>
  </si>
  <si>
    <t>Compensation cost per 100 RDOs and similarly exposed persons</t>
  </si>
  <si>
    <t>Premiums payed by employer to cover claims</t>
  </si>
  <si>
    <t>Hilti (Electric)</t>
  </si>
  <si>
    <t>S215 Muffled</t>
  </si>
  <si>
    <t>S215 Standard</t>
  </si>
  <si>
    <t>Costs associated with hearing impairment excluding HPDs (tabulated)</t>
  </si>
  <si>
    <t xml:space="preserve">Compressor maintenance </t>
  </si>
  <si>
    <t>Drilling lubricant ( Sulzer ADDS and Electric no lubricant usage)</t>
  </si>
  <si>
    <t xml:space="preserve">Drill maintenance </t>
  </si>
  <si>
    <t>Electric replacement components, plugs, cabling etc</t>
  </si>
  <si>
    <t>Rock Drill Replacement Cost (replacement every 48 months)</t>
  </si>
  <si>
    <t>Airleg Replacement Cost (replacement every 48 months)</t>
  </si>
  <si>
    <t>Energy cost - Drilling Shift</t>
  </si>
  <si>
    <t>NIHL Compensation Premiums Payable by Employer</t>
  </si>
  <si>
    <t>Cost benefits/savings per annum</t>
  </si>
  <si>
    <t>Drilling Lubricant</t>
  </si>
  <si>
    <t>Drill Maintenance (Included in Leasing cost)</t>
  </si>
  <si>
    <t>Data pertaining to the noise emission levels of the evaluated machines is reported as a sound pressure level of a single machine as well as the sound pressure level of multiple machines, as rock drills are seldom used in isolation in underground operations. The underground mining environment includes reverberation and it is on this basis that the relationships for determining the SPL’s of a single rock drill and of multiple rock drills were established using the rules for combining sound pressure levels.</t>
  </si>
  <si>
    <t xml:space="preserve">Compressed air is one of the most expensive uses of energy in the mining industry. About eight horsepower of electricity is used to generate one horsepower of compressed air. The variation in power rating of the operating machines has a significant impact on consumption costs. </t>
  </si>
  <si>
    <t>The electric consumption is dependent on the power per drill, the utility cost and the daily drill usage. An effective working time of 2.67 hours generates limited power usage compared to the continuous daily running of a compressed air system. However, for comparison purposes, the compressor running time is equal to the effective drilling time. It has been estimated that only 8% of input power is lost for electrical reticulation system, compared to an 85% loss for a compressor installation.</t>
  </si>
  <si>
    <t>In this study, a single-phase reticulation system is priced since sixty drills, or less, will be operating simultaneously. Additional costs are incurred with the pumping of the water used by the drills. The drilling operation consumes and produces water that must be pumped away from the working area by pumps. The pumping cost is not included in this study.</t>
  </si>
  <si>
    <t>Data pertaining to the noise emission levels of the evaluated machines is reported as a sound pressure level of a single machine as well as the sound pressure level of multiple machines, as rock drills are seldom used in isolation in underground operations.</t>
  </si>
  <si>
    <t>The evaluation of noise emission as a function of distance is equally important. The results from a SPL model revealed that overall attenuation of underground noise is a function of frequency, not distance. This contradicts the probability distribution calculations that attenuation of SPL with distance is inversely proportional to the distance from the noise source. The underground mining environment includes reverberation and it is on this basis that the SPL from multiple rock drill are calculated using the rules for combining sound pressure levels.</t>
  </si>
  <si>
    <t>Number of drilling shifts - ( days/month )</t>
  </si>
  <si>
    <t>Per Annum</t>
  </si>
  <si>
    <t>Per Month</t>
  </si>
  <si>
    <t>It is the Noise Adoption Team’s expressed intent in recognition of the concerns within the mining industry with regard to the safety and well being of its employees, to assist the industry by quantifying the relative performance differences between electric drilling and the various pneumatic rock drills currently on offer from manufacturers.</t>
  </si>
  <si>
    <t>This case study has revealed that Hearing Protective Devices (HPDs) must be worn by all rock drill operators and similarly exposed individuals. HPDs are required to be labelled with a noise reduction rating (NRR). The NRR is the manufacturer’s claim of how much noise reduction, in dB, a hearing protective device provides. (See Hearing Protection Devices - Actual Noise Reduction Rating (NRR) Values page for more information)</t>
  </si>
  <si>
    <t>RDO Maximum Allowable Exposure Time - Exposed to Multiple Rock Drills</t>
  </si>
  <si>
    <t>RDO Maximum Allowable Exposure Time - Exposed to Single Rock Drill</t>
  </si>
  <si>
    <t>RDO Equivalent Daily Exposure Level - Exposed to Single Rock Drill SPL</t>
  </si>
  <si>
    <t>Consumable - Energy Consumption Per Shift - At Rock Drills</t>
  </si>
  <si>
    <t>Consumable - Rock Drill Energy Usage - ( kWh/m )</t>
  </si>
  <si>
    <t>The mission of the MOSH Best Practice Adoption System is to facilitate widespread adoption of knowledge, technology and practice that will significantly improve health and safety performance in South African mines. The Adoption Teams interact widely to identify best practice and technology to address priority areas and work with key staff on mines to foster eager adoption of demonstrated solutions, and a culture of continuous improvement, accountability and visible felt leadership. Their target is to provide working conditions that are free of harmful impacts.</t>
  </si>
  <si>
    <t>Protection class</t>
  </si>
  <si>
    <t>Explosion protection</t>
  </si>
  <si>
    <t>I M2 / II2 G 94/9/EG</t>
  </si>
  <si>
    <t>Eex d I/IIA T4</t>
  </si>
  <si>
    <t>TE MWLE60</t>
  </si>
  <si>
    <t>water leg extension</t>
  </si>
  <si>
    <t xml:space="preserve">In addition to the safety precautions listed in the individual sections of the operating instructions, the following points must be strictly observed at all times. </t>
  </si>
  <si>
    <t>IP 66, IP 67</t>
  </si>
  <si>
    <t xml:space="preserve">Number of Rock drill operators (RDO) per Panel </t>
  </si>
  <si>
    <t>Number of drilled holes per face</t>
  </si>
  <si>
    <t>In-Stope Production Parameters</t>
  </si>
  <si>
    <t>Total number of metres drilled per shift</t>
  </si>
  <si>
    <t>Monthly Consumables and Pricing</t>
  </si>
  <si>
    <t>Amount</t>
  </si>
  <si>
    <t>Maintenance</t>
  </si>
  <si>
    <t>Grand Total</t>
  </si>
  <si>
    <t>Total number of metres drilled per month</t>
  </si>
  <si>
    <t>Unit Price (R/m)</t>
  </si>
  <si>
    <t>Total number of meters drilled per shift</t>
  </si>
  <si>
    <t>Airleg complete 1.3m Seco ALR-MK3</t>
  </si>
  <si>
    <t>Rockdrill Stoping S215 M-L-SR</t>
  </si>
  <si>
    <t>Rock Drill Contract - Lease</t>
  </si>
  <si>
    <t>Occupation</t>
  </si>
  <si>
    <t>Noise Clipper</t>
  </si>
  <si>
    <t>Actual NRR achieved at the ear - dBA</t>
  </si>
  <si>
    <t>Source SPL</t>
  </si>
  <si>
    <t>SPL Summation for more than one source</t>
  </si>
  <si>
    <t>3.1</t>
  </si>
  <si>
    <t>3.2</t>
  </si>
  <si>
    <t>Master Worksheet</t>
  </si>
  <si>
    <t>Number of Rock Drill Operators per panel</t>
  </si>
  <si>
    <t>Total meters drilled per month</t>
  </si>
  <si>
    <t>Sound Pressure Levels</t>
  </si>
  <si>
    <t>dBA</t>
  </si>
  <si>
    <t>Actual Sound Pressure Level from Multiple Rock Drill Sources</t>
  </si>
  <si>
    <t>No. of Drills</t>
  </si>
  <si>
    <t>Pneumatic Daily Noise Exposure Calculator</t>
  </si>
  <si>
    <t>Drilling Performance Evaluation</t>
  </si>
  <si>
    <t>Penetration Rate:</t>
  </si>
  <si>
    <t>Drilling Time per Hole</t>
  </si>
  <si>
    <t>minutes ( min )</t>
  </si>
  <si>
    <t>meters/minute ( m/min)</t>
  </si>
  <si>
    <t>Drilling Shift Length</t>
  </si>
  <si>
    <t>hours ( hrs )</t>
  </si>
  <si>
    <t>4.1</t>
  </si>
  <si>
    <t xml:space="preserve">Applying a standard utility cost of R0.23 per kW/h for the drilling shift period, the electric operating cost for the drills is 2% of the pneumatic equivalent.  The yearly utility bill for a pneumatic operation is in the region of R1.0 million, while R0.02 million is payable for the electric counterpart. </t>
  </si>
  <si>
    <t>Table VI gives the risk of compensational hearing impairment for various levels and periods of exposure to occupational noise. Tabulated risk values have been adapted from ISO 1999: 1975(E), to provide for the current method of assessing occupational noise-induced hearing impairment (WCC Instruction 171). Values for risk are equal to the difference in the prevalence of impairment between an occupationally exposed population and a population that is demographically similar but not exposed to occupational noise. In practice, the prevalence of impairment will generally be six per cent higher than tabulated values for risk, as this proportion of individuals is expected to become impaired even without occupational exposure.</t>
  </si>
  <si>
    <t>Health and Safety</t>
  </si>
  <si>
    <t>4.2</t>
  </si>
  <si>
    <t>Equivalent Daily Noise Exposure Levels</t>
  </si>
  <si>
    <t>5.1</t>
  </si>
  <si>
    <t>Rock Drill Operators</t>
  </si>
  <si>
    <t>5.2</t>
  </si>
  <si>
    <t>6.</t>
  </si>
  <si>
    <t>6.1</t>
  </si>
  <si>
    <t>Allowable Exposure Times based on Daily Noise Exposure Levels</t>
  </si>
  <si>
    <t>6.2</t>
  </si>
  <si>
    <t>6.3</t>
  </si>
  <si>
    <t>With Hearing Protection Device - minutes (min)</t>
  </si>
  <si>
    <t>With Hearing Protection Device - hours (hrs)</t>
  </si>
  <si>
    <t>No Hearing Protection Device - minutes (min)</t>
  </si>
  <si>
    <t>Exposure Time per Shift allowed:</t>
  </si>
  <si>
    <t>7.</t>
  </si>
  <si>
    <t>Health and Safety - Ergonomics</t>
  </si>
  <si>
    <t>Vibration levels</t>
  </si>
  <si>
    <r>
      <t>m/s</t>
    </r>
    <r>
      <rPr>
        <b/>
        <vertAlign val="superscript"/>
        <sz val="10"/>
        <rFont val="Arial"/>
        <family val="2"/>
      </rPr>
      <t>2</t>
    </r>
  </si>
  <si>
    <t>8.</t>
  </si>
  <si>
    <t>9.</t>
  </si>
  <si>
    <t>Consumables Consumption</t>
  </si>
  <si>
    <t>9.1</t>
  </si>
  <si>
    <t>Energy</t>
  </si>
  <si>
    <t>9.2</t>
  </si>
  <si>
    <t>Air</t>
  </si>
  <si>
    <t>No Compressed Air Consumption</t>
  </si>
  <si>
    <t xml:space="preserve">Hearing protective devices (HPDs) are used as a last resort, if engineering or administrative controls are ineffective or not feasible. Examples include earmuffs and earplugs. HPDs are required to be labeled with a noise reduction ratio (NRR). The NRR is the manufacturer’s claim of how much noise reduction, in dB, a hearing protective device provides. </t>
  </si>
  <si>
    <t>NOISE REDUCTION RATING - NRR</t>
  </si>
  <si>
    <t>Consumable - Compressor Air Generating Energy Consumption Input Sheet</t>
  </si>
  <si>
    <t>Technical performance measurements and Consumables consumption</t>
  </si>
  <si>
    <t>Reports</t>
  </si>
  <si>
    <t>Pressure Range Selection for this study is</t>
  </si>
  <si>
    <t>The evaluation of noise emission as a function of distance is equally important. The results from a SPL study revealed that overall attenuation of underground noise is a function of frequency, not distance. This contradicts the probability distribution calculations that attenuation of SPL with distance is inversely proportional to the distance from the noise source. The underground mining environment includes reverberation and it is on this basis that the SPL from multiple rock drill was calculated using the rules for combining sound pressure levels as per Table I.</t>
  </si>
  <si>
    <t xml:space="preserve">The study allows for the correct selection of HPD’s to suite the need of the RDO’s and similar exposed employees. </t>
  </si>
  <si>
    <t>Hearing Protection Device Supplied - Product ID selected for this study</t>
  </si>
  <si>
    <t>NRR Rating as displayed on packaging selected for this study</t>
  </si>
  <si>
    <t>Actual NRR achieved at the ear - dBA for this study</t>
  </si>
  <si>
    <t>For this case study it is assumed that the rock drill operator is exposed to only the noise emitted from the rock drills for their daily shift. No compensation is allowed for any other noise exposure and the values reflected in Figure 5 are based on the drilling shift length only. However the study allows input from other noise sources to calculate the daily exposure should the reader require doing so.</t>
  </si>
  <si>
    <t>Pneumatic RDO’s being exposed to single and or multiple rock drill operations has a significantly lower allowable exposure time than the RDO’s drilling with the electric drill. Figures to this effect can be looked up in the study.</t>
  </si>
  <si>
    <t>Capital Cost Outlay Selected for this study</t>
  </si>
  <si>
    <t>Compressor Full Load Power Rating (kW) selected for this study</t>
  </si>
  <si>
    <t>Figure 8 : Technical Performance - Drilling Time per Hole</t>
  </si>
  <si>
    <t>Figure 9 : Technical Performance - RDO Drilling Shift Length</t>
  </si>
  <si>
    <t>Figure 10 : Rock Drill Energy Consumption - ( kWh/m )</t>
  </si>
  <si>
    <t>Figure 11 : Energy Consumption Per Shift - At Rock Drills</t>
  </si>
  <si>
    <t>Figure 12 : Pneumatic System Efficiency</t>
  </si>
  <si>
    <t>Consumable costing for this study is based on total stope face meters drilled per month and it is assumed that pneumatic drills need to be replaced on average every four years with six weekly overhauls during that period. For the pneumatic costing the S215M rock drill was selected in the consumable tabulation. Costing for the "softer" equipment (mining hoses, gloves etc) is not included in the tabulation.</t>
  </si>
  <si>
    <t>Pressure range selected in this study for the pneumatic drills - (kPa)</t>
  </si>
  <si>
    <t>Exposure period selected for this study - (years)</t>
  </si>
  <si>
    <t>Compensation settlement cost per claim selected for this study</t>
  </si>
  <si>
    <t>Insurer administration cost  selected for this study - (%)</t>
  </si>
  <si>
    <t>The use of hearing protection devices (HPD) will reduce operators’ exposure and, hence, noise induced hearing loss (NIHL) risk. Assuming that operators correctly use the appropriate hearing protection device (HPD) as selected in the study at all times while they are exposed to noise:</t>
  </si>
  <si>
    <t>A yearly maintenance cost of 5% of the compressor station, per year is assumed for the compressed air system and for this study is based on the total energy consumption cost.</t>
  </si>
  <si>
    <t>The spreadsheet study of underground noise exposure for stope employees can be used to perform a cost-benefit analysis for various hearing protection strategies. The study can also be used to evaluate, on a purely financial basis, the relevant merits of different HPDs and rock drills or other machines, using SPL data from the relevant suppliers.</t>
  </si>
  <si>
    <t>The major finding from application of this study to data derived from the value case is that the electric drill evaluated has the potential to eliminate all costs associated with noise-induced hearing impairment among stope employees if used in conjunction with effective HPDs.</t>
  </si>
  <si>
    <t>User Guide</t>
  </si>
  <si>
    <t>Consideration factors for electric rock drills</t>
  </si>
  <si>
    <t>Conclusion</t>
  </si>
  <si>
    <t>XXX</t>
  </si>
  <si>
    <r>
      <t>MOSH ADOPTION TEAMS VALUES</t>
    </r>
    <r>
      <rPr>
        <sz val="10"/>
        <rFont val="Arial"/>
        <family val="2"/>
      </rPr>
      <t xml:space="preserve">: </t>
    </r>
  </si>
  <si>
    <t>We Value:</t>
  </si>
  <si>
    <r>
      <t>People:</t>
    </r>
    <r>
      <rPr>
        <sz val="10"/>
        <rFont val="Arial"/>
        <family val="2"/>
      </rPr>
      <t xml:space="preserve"> Zero harm to people is what we care about; it is our ultimate and continuing objective.</t>
    </r>
  </si>
  <si>
    <r>
      <t>Empathy:</t>
    </r>
    <r>
      <rPr>
        <sz val="10"/>
        <rFont val="Arial"/>
        <family val="2"/>
      </rPr>
      <t xml:space="preserve"> Demonstrated alignment with people’s values for safety and health and effective communication is our primary means to earning the confidence of employees, and Leadership credibility.  </t>
    </r>
  </si>
  <si>
    <r>
      <t>Excellence:</t>
    </r>
    <r>
      <rPr>
        <sz val="10"/>
        <rFont val="Arial"/>
        <family val="2"/>
      </rPr>
      <t xml:space="preserve"> Goals and standards for our work will be consistent with the highest standards worldwide for safety and health performance. </t>
    </r>
  </si>
  <si>
    <r>
      <t xml:space="preserve">Involvement: </t>
    </r>
    <r>
      <rPr>
        <sz val="10"/>
        <rFont val="Arial"/>
        <family val="2"/>
      </rPr>
      <t>Employees at all levels will be involved in the design, implementation and measurement of technologies and best practices that may affect them; it creates ownership and better assures success.</t>
    </r>
  </si>
  <si>
    <t xml:space="preserve">The drills evaluated in this report are, </t>
  </si>
  <si>
    <t>Hilti TE MD20 electric rock drills with a rotation speed of 205 rpm;</t>
  </si>
  <si>
    <t>Boart Longyear S215 muffled pneumatic rock drills.</t>
  </si>
  <si>
    <t>Sulzer ADDS pneumatic rock drills; and</t>
  </si>
  <si>
    <t>Boart Longyear S215 standard pneumatic rock drills;</t>
  </si>
  <si>
    <t>Table I</t>
  </si>
  <si>
    <t>Rules for combining sound levels</t>
  </si>
  <si>
    <r>
      <t>·</t>
    </r>
    <r>
      <rPr>
        <sz val="7"/>
        <rFont val="Times New Roman"/>
        <family val="1"/>
      </rPr>
      <t xml:space="preserve">         </t>
    </r>
    <r>
      <rPr>
        <sz val="10"/>
        <rFont val="Arial"/>
        <family val="2"/>
      </rPr>
      <t>Underground workshop required for maintenance/ repair of leased units</t>
    </r>
  </si>
  <si>
    <r>
      <t>·</t>
    </r>
    <r>
      <rPr>
        <sz val="7"/>
        <rFont val="Times New Roman"/>
        <family val="1"/>
      </rPr>
      <t xml:space="preserve">         </t>
    </r>
    <r>
      <rPr>
        <sz val="10"/>
        <rFont val="Arial"/>
        <family val="2"/>
      </rPr>
      <t>Single supplier of electric rock drills.</t>
    </r>
  </si>
  <si>
    <r>
      <t>·</t>
    </r>
    <r>
      <rPr>
        <sz val="7"/>
        <rFont val="Times New Roman"/>
        <family val="1"/>
      </rPr>
      <t xml:space="preserve">         </t>
    </r>
    <r>
      <rPr>
        <sz val="10"/>
        <rFont val="Arial"/>
        <family val="2"/>
      </rPr>
      <t>Extra minor costs are incurred to establish a workshop/store for the leased units.</t>
    </r>
  </si>
  <si>
    <t>Value Case Summary Sheet</t>
  </si>
  <si>
    <t>Average Stope Face Face Compressed Air Pressure - kPa</t>
  </si>
  <si>
    <t>Rick drill and thrustleg dimensions - m</t>
  </si>
  <si>
    <t>4.</t>
  </si>
  <si>
    <t>Poor</t>
  </si>
  <si>
    <t>Good</t>
  </si>
  <si>
    <t>Lubricator mist emitted</t>
  </si>
  <si>
    <t>Visibility</t>
  </si>
  <si>
    <t>Water</t>
  </si>
  <si>
    <t>Per Hole</t>
  </si>
  <si>
    <t>Per Shift</t>
  </si>
  <si>
    <t>Total volume</t>
  </si>
  <si>
    <t xml:space="preserve">System efficiency </t>
  </si>
  <si>
    <t>5.</t>
  </si>
  <si>
    <t>per shift</t>
  </si>
  <si>
    <t>per month</t>
  </si>
  <si>
    <t>per annum</t>
  </si>
  <si>
    <t>Costing</t>
  </si>
  <si>
    <t>Number of rock drills</t>
  </si>
  <si>
    <t>Drill maintenance</t>
  </si>
  <si>
    <t>Drill steel</t>
  </si>
  <si>
    <t>Drill Bits</t>
  </si>
  <si>
    <t>Drilled holes per face</t>
  </si>
  <si>
    <t>Total number of holes drilled</t>
  </si>
  <si>
    <t>Drilling lubricant</t>
  </si>
  <si>
    <t>kWh cost</t>
  </si>
  <si>
    <t>Sept - May</t>
  </si>
  <si>
    <t>Jun - Aug</t>
  </si>
  <si>
    <t>Period 1</t>
  </si>
  <si>
    <t>Period 2</t>
  </si>
  <si>
    <t>Totals</t>
  </si>
  <si>
    <t>Pneumatic</t>
  </si>
  <si>
    <t>Electric</t>
  </si>
  <si>
    <t>Number of drilling shifts - ( days )</t>
  </si>
  <si>
    <t>Health, Safety and Environment</t>
  </si>
  <si>
    <t>The Sulzer ADDS is a high performance yet lightweight rock drill. The drill does not require lubrication and is fitted with an automatic shut off valve to stop the flushing water when the drill is stopped. Designed to meet the requirements of the South African mining industry for use in stoping applications and raise and box hole drilling, where lightweight and economical performance are essential. It is also ideal for development drilling in coalmines. It is suitable for hand held or airleg mounted use.</t>
  </si>
  <si>
    <t>The SECO S215 is a high performance yet lightweight rock drill. Designed to meet the requirements of the South African mining industry for use in stoping applications and raise and box hole drilling, where lightweight and economical performance are essential. It is also ideal for development drilling in coalmines. It is suitable for hand held or airleg mounted use.</t>
  </si>
  <si>
    <t>As can be seen from Fig. 4, RDO’s are exposed to SPL’s greater than 85 dBA throughout the course of their drilling shift immaterial of the drilling method. Any of the rock drills evaluated has the potential to reduce or eliminate all costs associated with noise-induced hearing impairment among stope employees if they are used in conjunction with effective HPDs. However, RDO’s drilling with electric drills will have a much lower NIHL risk factor than their counterparts drilling with pneumatic drills.</t>
  </si>
  <si>
    <t>The SANS Code of Practice for the Measurement and Assessment of Occupational Noise for Hearing Conservation Purposes (SANS 083), has permitted noise equivalent exposure (Neq) targets. It is a function of the sound level and the exposure time, the current exposure limits of mineworkers to physical pollutants, under the Mine Health and Safety Act is 85 dB LAeq, 8h, with a peak sound pressure level of 135 dBA.</t>
  </si>
  <si>
    <t>To find the annual cost of electricity used to power a compressed air system, calculate the consumption and cost for running the system under loaded and unloaded conditions.</t>
  </si>
  <si>
    <t>Consumables Costing</t>
  </si>
  <si>
    <t>This sheet is based on meters drilled per month.</t>
  </si>
  <si>
    <t>Cost associated with hearing impairment</t>
  </si>
  <si>
    <t>The use of hearing protection devices (HPD) will reduce operators’ exposure and, hence, noise induced hearing loss (NIHL) risk. Assuming that operators correctly use the appropriate hearing protection device (HPD) as selected in the model at all times while they are exposed to noise.</t>
  </si>
  <si>
    <t xml:space="preserve">This report aims to present a monetary appraisal of the Noise Adoption Team’s selected best practice, the Hilti Electric Rock Drill, whose purpose is to assist the industry in meeting the Occupational Health targets agreed to at the 2003 MHSC Summit and to improve the in-stope drilling cycle in terms of Health and Safety. The evaluation of the electric rock drill is assessed to the current method of drilling, namely the compressed air operation at various pressures ranges, low (350 kPa), medium (450 kPa) and high (550 kPa). The results are a function of production requirements, technical parameters and financial outlay of the drills.  </t>
  </si>
  <si>
    <t>The primary characteristics include Sound Pressure Levels (SPL’s) in underground conditions, vibration levels, allowable exposure times, equivalent daily exposure levels, and water, air, lubricant and electrical consumptions during drilling of the following rock drills:</t>
  </si>
  <si>
    <t>The SECO S215M is a high performance yet lightweight rock drill. Fitted with a modified piston sleeve and a muffler this machine has a significantly lower noise emission than the standard S215. Designed to meet the requirements of the South African mining industry for use in stoping applications and raise and box hole drilling, where lightweight and economical performance are essential. It is suitable for hand held or airleg mounted use.</t>
  </si>
  <si>
    <t xml:space="preserve">This case study has revealed that Hearing Protective Devices (HPDs) must be worn by all rock drill operators and similarly exposed individuals. HPDs are required to be labelled with a noise reduction ratio (NRR). The NRR is the manufacturer’s claim of how much noise reduction, in dB, a hearing protective device provides. </t>
  </si>
  <si>
    <t>Rock Drill and Airleg Replacement Cost (Included in Lease cost)</t>
  </si>
  <si>
    <t>Total cost savings</t>
  </si>
  <si>
    <t>Electric drilling operating cost including benefits/savings</t>
  </si>
  <si>
    <t>Advantages</t>
  </si>
  <si>
    <t>Disadvantages</t>
  </si>
  <si>
    <t>The principal outcomes and findings of this value case are:</t>
  </si>
  <si>
    <t>The calculations and consclusions in this model are based on the document ‘Rockdrill selection criteria’, which is the outcome of trials in the platinum industry. Penetration rates, etc. are thus based on UG2 rock-type. Relevant parameters for typical rock encountered in gold mines are not present to date to make conclusions more broadly acceptable.</t>
  </si>
  <si>
    <t>Considering the data presented in Figure 10 the power consumption of the Hilti TE MD20 machines is approximately 0.107 kWh/m. and very similar to that of the Boart Longyear pneumatic rock drills. An unexpected result for the pneumatic rock drills is that the power usage of the Boart Longyear rock drills is not strongly dependent on the operating pressure since the increased air flow rate is fully offset by the increased penetration rate conversely the Sulzer rock drills show an increase in power consumption with increasing supply pressure because the increase in air flow rate is not fully reflected in an increased penetration rate.</t>
  </si>
  <si>
    <t>The fact that the overall system efficiency of a typical mine compressed air system is so low is not a fault of the pneumatic rock drill but a mine management and maintenance problem. However, no matter how well maintained, a pneumatic power reticulation system will never attain the system efficiencies of an electrical power reticulation system.</t>
  </si>
  <si>
    <t xml:space="preserve">Safety precautions </t>
  </si>
  <si>
    <t>Leasing Cost</t>
  </si>
  <si>
    <t xml:space="preserve">The tool is designed for drilling in rock (not in reinforced concrete) with drill bits of 32–42 mm diameter to depths of up to 2.4 m. </t>
  </si>
  <si>
    <t>Use in environments where there is a risk of explosion is permissible. The tool complies with the provisions and requirements of 94/9/EC (ATEX) for:</t>
  </si>
  <si>
    <r>
      <t xml:space="preserve">Group II </t>
    </r>
    <r>
      <rPr>
        <sz val="10"/>
        <rFont val="Arial"/>
        <family val="2"/>
      </rPr>
      <t xml:space="preserve">category 2G → Other areas where there is a risk of explosion, where gasses and vapours of the group IIA (at the customer’s request, also for gasses and vapours of the group IIB) with ignition temperature above 135°C may be encountered. </t>
    </r>
  </si>
  <si>
    <r>
      <t xml:space="preserve">Group I </t>
    </r>
    <r>
      <rPr>
        <sz val="10"/>
        <rFont val="Arial"/>
        <family val="2"/>
      </rPr>
      <t>category M2 → Mining and explosive atmos-pheres (firedamp)</t>
    </r>
  </si>
  <si>
    <t xml:space="preserve">4.1 Basic safety information </t>
  </si>
  <si>
    <t xml:space="preserve">4.2 Use for intended purpose </t>
  </si>
  <si>
    <t>(total length 800 mm)</t>
  </si>
  <si>
    <t>(total length 1300 mm)</t>
  </si>
  <si>
    <t>(working length 600 mm)</t>
  </si>
  <si>
    <t>TE MWL80 water leg</t>
  </si>
  <si>
    <t>TE MWL130 water leg</t>
  </si>
  <si>
    <t>TE MDR60 drill steel</t>
  </si>
  <si>
    <t>TE MDR90 drill steel</t>
  </si>
  <si>
    <t>(working length 1200 mm)</t>
  </si>
  <si>
    <t>TE MDR120 drill steel</t>
  </si>
  <si>
    <t>(working length 1500 mm)</t>
  </si>
  <si>
    <t>(working length 1800 mm)</t>
  </si>
  <si>
    <t>(32 mm dia.)</t>
  </si>
  <si>
    <t>(38 mm dia.)</t>
  </si>
  <si>
    <t>(length 30 m)</t>
  </si>
  <si>
    <t>(total length 600 mm)</t>
  </si>
  <si>
    <t>TE MDR150 drill steel</t>
  </si>
  <si>
    <t>The noise dosage from an electric rock drill is less than the noise dosage from a pneumatic rock drill. The electric drills fulfil the requirements set for the year 2013.</t>
  </si>
  <si>
    <t>Electric and pneumatic machines show very similar power requirements. However, the total system efficiency of a pneumatic reticulation system may be as low as 1.4 per cent.</t>
  </si>
  <si>
    <t>It should be noted that electrical machines introduce heat into the mine environment while the net effect of a pneumatic rock drill is a cooling of the environment.</t>
  </si>
  <si>
    <r>
      <t>Estimated risk of compensational impairment based on TWA</t>
    </r>
    <r>
      <rPr>
        <i/>
        <vertAlign val="subscript"/>
        <sz val="10"/>
        <color indexed="8"/>
        <rFont val="Arial"/>
        <family val="2"/>
      </rPr>
      <t>8h</t>
    </r>
    <r>
      <rPr>
        <i/>
        <sz val="10"/>
        <color indexed="8"/>
        <rFont val="Arial"/>
        <family val="2"/>
      </rPr>
      <t xml:space="preserve"> and years of exposure </t>
    </r>
  </si>
  <si>
    <r>
      <t>·</t>
    </r>
    <r>
      <rPr>
        <sz val="7"/>
        <rFont val="Times New Roman"/>
        <family val="1"/>
      </rPr>
      <t xml:space="preserve">         </t>
    </r>
    <r>
      <rPr>
        <sz val="10"/>
        <rFont val="Arial"/>
        <family val="2"/>
      </rPr>
      <t>Consistent penetration rate</t>
    </r>
  </si>
  <si>
    <r>
      <t>·</t>
    </r>
    <r>
      <rPr>
        <sz val="7"/>
        <rFont val="Times New Roman"/>
        <family val="1"/>
      </rPr>
      <t xml:space="preserve">         </t>
    </r>
    <r>
      <rPr>
        <sz val="10"/>
        <rFont val="Arial"/>
        <family val="2"/>
      </rPr>
      <t>Easier to handle compared to pneumatic drills</t>
    </r>
  </si>
  <si>
    <r>
      <t>·</t>
    </r>
    <r>
      <rPr>
        <sz val="7"/>
        <rFont val="Times New Roman"/>
        <family val="1"/>
      </rPr>
      <t xml:space="preserve">         </t>
    </r>
    <r>
      <rPr>
        <sz val="10"/>
        <rFont val="Arial"/>
        <family val="2"/>
      </rPr>
      <t>Lower power consumptions (energy saving)</t>
    </r>
  </si>
  <si>
    <r>
      <t>·</t>
    </r>
    <r>
      <rPr>
        <sz val="7"/>
        <rFont val="Times New Roman"/>
        <family val="1"/>
      </rPr>
      <t xml:space="preserve">         </t>
    </r>
    <r>
      <rPr>
        <sz val="10"/>
        <rFont val="Arial"/>
        <family val="2"/>
      </rPr>
      <t>Independent of compressed air supply</t>
    </r>
  </si>
  <si>
    <r>
      <t>·</t>
    </r>
    <r>
      <rPr>
        <sz val="7"/>
        <rFont val="Times New Roman"/>
        <family val="1"/>
      </rPr>
      <t xml:space="preserve">         </t>
    </r>
    <r>
      <rPr>
        <sz val="10"/>
        <rFont val="Arial"/>
        <family val="2"/>
      </rPr>
      <t>Quick and easy maintenance</t>
    </r>
  </si>
  <si>
    <r>
      <t>·</t>
    </r>
    <r>
      <rPr>
        <sz val="7"/>
        <rFont val="Times New Roman"/>
        <family val="1"/>
      </rPr>
      <t xml:space="preserve">         </t>
    </r>
    <r>
      <rPr>
        <sz val="10"/>
        <rFont val="Arial"/>
        <family val="2"/>
      </rPr>
      <t>Longer service intervals</t>
    </r>
  </si>
  <si>
    <r>
      <t>·</t>
    </r>
    <r>
      <rPr>
        <sz val="7"/>
        <rFont val="Times New Roman"/>
        <family val="1"/>
      </rPr>
      <t xml:space="preserve">         </t>
    </r>
    <r>
      <rPr>
        <sz val="10"/>
        <rFont val="Arial"/>
        <family val="2"/>
      </rPr>
      <t>Repair interval short due to location of workshop underground</t>
    </r>
  </si>
  <si>
    <r>
      <t>·</t>
    </r>
    <r>
      <rPr>
        <sz val="7"/>
        <rFont val="Times New Roman"/>
        <family val="1"/>
      </rPr>
      <t xml:space="preserve">         </t>
    </r>
    <r>
      <rPr>
        <sz val="10"/>
        <rFont val="Arial"/>
        <family val="2"/>
      </rPr>
      <t>Reduced noise levels and compliance to legislation</t>
    </r>
  </si>
  <si>
    <r>
      <t>·</t>
    </r>
    <r>
      <rPr>
        <sz val="7"/>
        <rFont val="Times New Roman"/>
        <family val="1"/>
      </rPr>
      <t xml:space="preserve">         </t>
    </r>
    <r>
      <rPr>
        <sz val="10"/>
        <rFont val="Arial"/>
        <family val="2"/>
      </rPr>
      <t>No oil vapour emissions</t>
    </r>
  </si>
  <si>
    <r>
      <t>·</t>
    </r>
    <r>
      <rPr>
        <sz val="7"/>
        <rFont val="Times New Roman"/>
        <family val="1"/>
      </rPr>
      <t xml:space="preserve">         </t>
    </r>
    <r>
      <rPr>
        <sz val="10"/>
        <rFont val="Arial"/>
        <family val="2"/>
      </rPr>
      <t>Less machine vibration</t>
    </r>
  </si>
  <si>
    <r>
      <t>·</t>
    </r>
    <r>
      <rPr>
        <sz val="7"/>
        <rFont val="Times New Roman"/>
        <family val="1"/>
      </rPr>
      <t xml:space="preserve">         </t>
    </r>
    <r>
      <rPr>
        <sz val="10"/>
        <rFont val="Arial"/>
        <family val="2"/>
      </rPr>
      <t>Higher blast yield due to consistent drilling performance.</t>
    </r>
  </si>
  <si>
    <r>
      <t>·</t>
    </r>
    <r>
      <rPr>
        <sz val="7"/>
        <rFont val="Times New Roman"/>
        <family val="1"/>
      </rPr>
      <t xml:space="preserve">         </t>
    </r>
    <r>
      <rPr>
        <sz val="10"/>
        <rFont val="Arial"/>
        <family val="2"/>
      </rPr>
      <t>Minimal introduction of heat into mining environment</t>
    </r>
  </si>
  <si>
    <r>
      <t>·</t>
    </r>
    <r>
      <rPr>
        <sz val="7"/>
        <rFont val="Times New Roman"/>
        <family val="1"/>
      </rPr>
      <t xml:space="preserve">         </t>
    </r>
    <r>
      <rPr>
        <sz val="10"/>
        <rFont val="Arial"/>
        <family val="2"/>
      </rPr>
      <t>Higher water consumption</t>
    </r>
  </si>
  <si>
    <r>
      <t>·</t>
    </r>
    <r>
      <rPr>
        <sz val="7"/>
        <rFont val="Times New Roman"/>
        <family val="1"/>
      </rPr>
      <t xml:space="preserve">         </t>
    </r>
    <r>
      <rPr>
        <sz val="10"/>
        <rFont val="Arial"/>
        <family val="2"/>
      </rPr>
      <t>Dependent on specialized/outsourced maintenance/ repair personnel</t>
    </r>
  </si>
  <si>
    <r>
      <t>·</t>
    </r>
    <r>
      <rPr>
        <sz val="7"/>
        <rFont val="Times New Roman"/>
        <family val="1"/>
      </rPr>
      <t xml:space="preserve">         </t>
    </r>
    <r>
      <rPr>
        <sz val="10"/>
        <rFont val="Arial"/>
        <family val="2"/>
      </rPr>
      <t>Retraining of operators required</t>
    </r>
  </si>
  <si>
    <t>kPa</t>
  </si>
  <si>
    <t>Figure 6 : Ergonomics - Vibration Level</t>
  </si>
  <si>
    <r>
      <t>The values reflected in Figure 6 are entirely consistent with similar measurements conducted on 20 November 2002 as part of a SIMRAC project Health 806. Furthermore these values must be considered against the recommended 2.8 m/s</t>
    </r>
    <r>
      <rPr>
        <vertAlign val="superscript"/>
        <sz val="10"/>
        <rFont val="Arial"/>
        <family val="2"/>
      </rPr>
      <t>2</t>
    </r>
    <r>
      <rPr>
        <sz val="10"/>
        <rFont val="Arial"/>
        <family val="2"/>
      </rPr>
      <t xml:space="preserve"> over a period of eight hours in the UK. The European Parliament is currently considering legislation that sets a daily exposure limit of 5 m/s</t>
    </r>
    <r>
      <rPr>
        <vertAlign val="superscript"/>
        <sz val="10"/>
        <rFont val="Arial"/>
        <family val="2"/>
      </rPr>
      <t>2</t>
    </r>
    <r>
      <rPr>
        <sz val="10"/>
        <rFont val="Arial"/>
        <family val="2"/>
      </rPr>
      <t xml:space="preserve"> and an action level of 2.5 m/s</t>
    </r>
    <r>
      <rPr>
        <vertAlign val="superscript"/>
        <sz val="10"/>
        <rFont val="Arial"/>
        <family val="2"/>
      </rPr>
      <t>2</t>
    </r>
    <r>
      <rPr>
        <sz val="10"/>
        <rFont val="Arial"/>
        <family val="2"/>
      </rPr>
      <t xml:space="preserve"> (SIMRAC Handbook of Occupational Health Practice in the South African Industry, p.214). It should be noted that the vibration level of the Hilti TE MD20 rock drills is approximately half that of the pneumatic rock drills which is to be expected from the fact that the blow energy of the Hilti rock drills is approximately one third that of the pneumatic rock drills.</t>
    </r>
  </si>
  <si>
    <t>Electricity cost per kWh selected</t>
  </si>
  <si>
    <t>WORKING MASTER SHEET</t>
  </si>
  <si>
    <t>Operating cost per annum tabulated</t>
  </si>
  <si>
    <t>Figure 20 : Operating Cost per Annum</t>
  </si>
  <si>
    <t>Noise in general and drilling noise in particular has received increasing attention within the South African mining industry during the last 10–15 years. The Mine Health and Safety Committee, during their 2003 annual summit, established two significant milestones to be met by December 2008 and December 2013.</t>
  </si>
  <si>
    <t>After December 2008, the hearing conservation programme implemented by industry must ensure that there is no deterioration in hearing greater than 10% amongst occupationally exposed individuals.</t>
  </si>
  <si>
    <t>By December 2013, the total noise emitted by all equipment installed in any workplace must not exceed a sound pressure level of 110 dBA at any location in that workplace (includes individual pieces of equipment).</t>
  </si>
  <si>
    <t>While these targets relate to general noise within the mining industry, it is widely believed that the most significant source of noise contributing to noise induced hearing loss (NIHL) among the underground workforce, is that of pneumatic rock drills.</t>
  </si>
  <si>
    <r>
      <t>The blow force of the pneumatic rock drill over extended periods of work has exposed the RDO to vibration levels in excess of 16.2 to 19.9 m/s2. The perpetual operation of this drill has led to symptoms related to Raynaud’s phenomenon, generally known as ‘white-knuckle’ disease or vibration-induced white finger (VWF). The usual symptoms include considerable tingling in the hands and wrists, general whiteness of the fingers, pain and loss of sensation in the fingers. This condition reduces the hands’ ability to feel, and hence regulate temperature.  Test results on the vibrations levels of the electric rock drill have indicated values ranging from 7.5 to 9.1 m/s</t>
    </r>
    <r>
      <rPr>
        <vertAlign val="superscript"/>
        <sz val="10"/>
        <rFont val="Arial"/>
        <family val="2"/>
      </rPr>
      <t>2</t>
    </r>
    <r>
      <rPr>
        <sz val="10"/>
        <rFont val="Arial"/>
        <family val="2"/>
      </rPr>
      <t>.  The intensity is approximately half that of the pneumatic equivalent.</t>
    </r>
  </si>
  <si>
    <t>TE MEC30S/-XS extension cord</t>
  </si>
  <si>
    <t>TE MEC30P/-XP extension cord</t>
  </si>
  <si>
    <t xml:space="preserve"> 220–240 V~</t>
  </si>
  <si>
    <t>15 A</t>
  </si>
  <si>
    <t xml:space="preserve"> 2200 W</t>
  </si>
  <si>
    <t>50–60 Hz</t>
  </si>
  <si>
    <t xml:space="preserve"> 100 Nm</t>
  </si>
  <si>
    <t>85 Nm</t>
  </si>
  <si>
    <t xml:space="preserve"> 28 J</t>
  </si>
  <si>
    <t xml:space="preserve"> (205 r.p.m. counter-clockwise)</t>
  </si>
  <si>
    <t>(250 r.p.m. counter-clockwise)</t>
  </si>
  <si>
    <t xml:space="preserve">770×210×230 </t>
  </si>
  <si>
    <t>23 kg</t>
  </si>
  <si>
    <t>32–42 mm</t>
  </si>
  <si>
    <t xml:space="preserve">up to 2,4 m </t>
  </si>
  <si>
    <t xml:space="preserve"> I </t>
  </si>
  <si>
    <t xml:space="preserve"> –20°C to +55°C </t>
  </si>
  <si>
    <t>Degree of protection against entry of water and foreign matter</t>
  </si>
  <si>
    <t>Storage temperature without cooling water</t>
  </si>
  <si>
    <t>Rated voltage</t>
  </si>
  <si>
    <t>Hilti Capital Outlay &amp; Consumable Costs</t>
  </si>
  <si>
    <t>Per Panel</t>
  </si>
  <si>
    <t>Consumable Costs Per Month</t>
  </si>
  <si>
    <t>No Air Usage</t>
  </si>
  <si>
    <t>Equivalent Daily Exposure Calculator - Exposed to Single Rock Drill</t>
  </si>
  <si>
    <t>Equivalent Daily Exposure Calculator - Exposed to Multiple Rock Drills</t>
  </si>
  <si>
    <t>Compressed Air Generating Consumption</t>
  </si>
  <si>
    <t>Drilling shift energy consumption</t>
  </si>
  <si>
    <t>Un Loaded energy consumption</t>
  </si>
  <si>
    <t>Total Energy Consumption</t>
  </si>
  <si>
    <t>Cable and Plugs</t>
  </si>
  <si>
    <t>Operating Cost per Annum minus cost savings</t>
  </si>
  <si>
    <t>Exposed to Single Rock Drill</t>
  </si>
  <si>
    <t>Exposed to Multiple Rock Drills</t>
  </si>
  <si>
    <r>
      <t>m/s</t>
    </r>
    <r>
      <rPr>
        <vertAlign val="superscript"/>
        <sz val="10"/>
        <rFont val="Arial"/>
        <family val="2"/>
      </rPr>
      <t>2</t>
    </r>
  </si>
  <si>
    <r>
      <t>Daily noise exposure (L</t>
    </r>
    <r>
      <rPr>
        <vertAlign val="subscript"/>
        <sz val="10"/>
        <rFont val="Arial"/>
        <family val="2"/>
      </rPr>
      <t>EP,d</t>
    </r>
    <r>
      <rPr>
        <sz val="10"/>
        <rFont val="Arial"/>
        <family val="2"/>
      </rPr>
      <t>) dB</t>
    </r>
  </si>
  <si>
    <t>MAIN MENU</t>
  </si>
  <si>
    <t>Performance - Penetration Rate (m/min)</t>
  </si>
  <si>
    <t>Performance - Drill Shift Length</t>
  </si>
  <si>
    <t>Sound Pressure Level Emission - Single Rock Drill</t>
  </si>
  <si>
    <t>Sound Pressure Level Emission - Multiple Rock Drills</t>
  </si>
  <si>
    <t>Example 2, a brand of expandable earplugs has a NRR of 35. This implies that wearing the plugs in a 100 dBA environment will reduce exposure down to 65 dBA (100 - 35 = 65). Using the OSHA formula, a different, more modest level of protection is indicated: (NRR – 7) x 50% = (35 – 7) x 50% = 28 x 50% = 14 dBA of protection. In a work environment with 100 dBA of noise, this HPD will reduce exposure by only approximately 14 dBA, for an equivalent exposure of 86 dBA, (100 – 14 = 86).</t>
  </si>
  <si>
    <t>Example 3, a brand of "other" earplugs has a NRR of 35. This implies that wearing the plugs in a 100 dBA environment will reduce exposure down to 65 dBA (100 - 35 = 65). Using the OSHA formula, a different, more modest level of protection is indicated: (NRR – 7) x 30% = (35 – 7) x 30% = 28 x 30% = 8.4 dBA of protection. In a work environment with 100 dBA of noise, this HPD will reduce exposure by only approximately 8.4 dBA, for an equivalent exposure of 91.6 dBA, (100 – 8.4 = 91.6).</t>
  </si>
  <si>
    <t>Hearing Protection Devices - Actual NRR Values</t>
  </si>
  <si>
    <t>A single-phase reticulation system is priced instead of three-phase reticulation system, because of its lower cost.</t>
  </si>
  <si>
    <t xml:space="preserve">It is assumed that the number of rock drills operational per panel at any one time is not more than </t>
  </si>
  <si>
    <t xml:space="preserve">The cost as reflected in Table V is approximately </t>
  </si>
  <si>
    <t xml:space="preserve">per panel or </t>
  </si>
  <si>
    <t>per rock drill.</t>
  </si>
  <si>
    <t>Number of RDO's per panel</t>
  </si>
  <si>
    <t>Technical Performance - Air Consumption per Shift</t>
  </si>
  <si>
    <t>Technical Performance - Water Consumption per Shift</t>
  </si>
  <si>
    <t>Drilling Shift</t>
  </si>
  <si>
    <t>Off Shift</t>
  </si>
  <si>
    <t>Energy Cost per Day</t>
  </si>
  <si>
    <t>per day</t>
  </si>
  <si>
    <t>Energy Cost per Month</t>
  </si>
  <si>
    <t>SPL Distribution and NIHL Compensation Cost per Stoping Crew</t>
  </si>
  <si>
    <t xml:space="preserve">Exposure duration - (years)  </t>
  </si>
  <si>
    <t>INTRODUCTION</t>
  </si>
  <si>
    <t xml:space="preserve">Insurer administration cost  </t>
  </si>
  <si>
    <t>Master Worksheet - NIHL Compensation Cost</t>
  </si>
  <si>
    <t>PPE - Hearing Protection Devices (HPD) - Selection</t>
  </si>
  <si>
    <t xml:space="preserve">"Fully Loaded"  Values - Drilling Shift </t>
  </si>
  <si>
    <t>"Unloaded" Values - Off Shift</t>
  </si>
  <si>
    <t>Compressed Air Generating Energy Consumption and Cost</t>
  </si>
  <si>
    <t>Hilti TE MD20 (Average)</t>
  </si>
  <si>
    <t>Energy Consumption per Day</t>
  </si>
  <si>
    <t>"Fully Loaded" - Drilling Shift</t>
  </si>
  <si>
    <t>"Un-loaded" - Off Shift</t>
  </si>
  <si>
    <t>Energy Consumption per Month</t>
  </si>
  <si>
    <t>Energy Costs per Day</t>
  </si>
  <si>
    <t>Energy Costs per Month</t>
  </si>
  <si>
    <t>Energy Costs per Annum</t>
  </si>
  <si>
    <t>Energy Cost - Drilling Shift</t>
  </si>
  <si>
    <t>N/A</t>
  </si>
  <si>
    <t>Electric replacement components</t>
  </si>
  <si>
    <t>Drilling lubricant - (Sulzer &amp; Hilti no usage)</t>
  </si>
  <si>
    <t>Rock Drill Replacement Cost - every 48 months</t>
  </si>
  <si>
    <t>Airleg Replacement Cost - every 48 months</t>
  </si>
  <si>
    <t>NIHL Compensation Premiums Payable</t>
  </si>
  <si>
    <t>Mass of drill, airleg, drill steel and bit (no hoses): 43.65 kg</t>
  </si>
  <si>
    <t xml:space="preserve">Overall length: 0.710 m </t>
  </si>
  <si>
    <t>Length of drill, airleg, drill steel and bit: 3.030 m</t>
  </si>
  <si>
    <t>Figure 2.1 : Physical Properties - Mass</t>
  </si>
  <si>
    <t>Figure 2.2 : Physical Properties - Length</t>
  </si>
  <si>
    <t>Figure 3.1 : SPL Emission from Single Rock Drill</t>
  </si>
  <si>
    <t>Figure 3.2 : SPL Emission from Multiple Rock Drills</t>
  </si>
  <si>
    <t>Figure 4 : SPL Exposure to Multiple Rock Drills</t>
  </si>
  <si>
    <t>Continuous exposure to noise emission from operating pneumatic rock drills, in the confined reverberating environment, has led to an increased number of compensation claims for noise induced hearing loss (NIHL).</t>
  </si>
  <si>
    <t>The pneumatic rock drill operates between 1600 and 3400 hits/min and is dependent on the supply of air pressure, while the electric drill is rated at 50 Hz and has a percussive output of 1200 to 1680 hits/min.</t>
  </si>
  <si>
    <t>Figure 5 : Equivalent Daily Exposure Level - Exposed to Multiple Rock Drill SPL</t>
  </si>
  <si>
    <t>Table IV</t>
  </si>
  <si>
    <t>Equal-energy principle</t>
  </si>
  <si>
    <t xml:space="preserve">The penetration rate presents an approach to compare individual operations as a function of distance drilled and time, over designated operation duration.  </t>
  </si>
  <si>
    <t>Figure 7 : Technical Performance - Penetration Rate</t>
  </si>
  <si>
    <t xml:space="preserve">Hilti TE MD20 </t>
  </si>
  <si>
    <t>The electrical energy consumed in generating compressed air for pneumatic stope drilling in South African gold mines has been found to be at least 15 kWh/ton mined, assuming 1.5 metres drilled per ton [du Plessis and Solomon 1988]. It is understood that t</t>
  </si>
  <si>
    <t>4.1.1</t>
  </si>
  <si>
    <t>4.1.2</t>
  </si>
  <si>
    <t>Allowable Exposure Times based on Sound Pressure Exposure Levels</t>
  </si>
  <si>
    <t>6.1.1</t>
  </si>
  <si>
    <t>6.2.2</t>
  </si>
  <si>
    <t>6.1.2</t>
  </si>
  <si>
    <t>6.2.1</t>
  </si>
  <si>
    <t>Rock drill Make</t>
  </si>
  <si>
    <t>Ergonomics - Vibration Levels</t>
  </si>
  <si>
    <t>Performance - Drill Time Per Hole</t>
  </si>
  <si>
    <t>Single Rock Drill</t>
  </si>
  <si>
    <t>Multiple Rock Drills</t>
  </si>
  <si>
    <t>Exposure Time per Shift allowed</t>
  </si>
  <si>
    <t>Physical Properties - Mass</t>
  </si>
  <si>
    <t xml:space="preserve">Physical Properties - Length </t>
  </si>
  <si>
    <t>litters</t>
  </si>
  <si>
    <t>Ore Mined</t>
  </si>
  <si>
    <t>Face Length (m)</t>
  </si>
  <si>
    <t>Stoping Width (m)</t>
  </si>
  <si>
    <t>Average Stoping Panel Mining Dimensions</t>
  </si>
  <si>
    <t>Face Advance / Blast (m)</t>
  </si>
  <si>
    <t>Planned Production</t>
  </si>
  <si>
    <t>m2</t>
  </si>
  <si>
    <t>Tons</t>
  </si>
  <si>
    <t>per panel</t>
  </si>
  <si>
    <t>Sound Pressure Exposure Level - dBA ( Single Rock Drill )</t>
  </si>
  <si>
    <t>Sound Pressure Exposure Level - dBA ( Multiple Rock Drills )</t>
  </si>
  <si>
    <t>Milestone</t>
  </si>
  <si>
    <t>Standard</t>
  </si>
  <si>
    <t>Single Rock Drill - hours (hrs)</t>
  </si>
  <si>
    <t>Multiple Rock Drills - hours (hrs)</t>
  </si>
  <si>
    <t>Rock Drill Power Usage - ( kWh/m )</t>
  </si>
  <si>
    <t>Drilling Time per Hole ( min )</t>
  </si>
  <si>
    <t>Number of Holes Drilled per RDO per Shift</t>
  </si>
  <si>
    <t>Total meters drilled per RDO per Shift</t>
  </si>
  <si>
    <t>Drilling Time per RDO per Shift ( min )</t>
  </si>
  <si>
    <t>Drilling Time per RDO per Shift ( hrs )</t>
  </si>
  <si>
    <t>Being an electric machine the Hilti TE MD20 rock drill is independent of compressed air. The air consumption data for the pneumatic rock drills is reflected in Figure 13 for information purposes.</t>
  </si>
  <si>
    <t>Figure 13 : Air Consumption per Shift</t>
  </si>
  <si>
    <t>The water flow rates for the Sulzer ADDS were exceedingly erratic at air supply pressures in excess of 350 kPa and therefore the figure of 12.1 l/min is used throughout the various pressure ranges in this case study.</t>
  </si>
  <si>
    <t>Rock Drill Power Usage per Shift- ( kWh )</t>
  </si>
  <si>
    <t>Total Power Usage per Shift- ( kWh )</t>
  </si>
  <si>
    <t>Total Input Power per Shift</t>
  </si>
  <si>
    <t>Rock Drill Efficiency</t>
  </si>
  <si>
    <t>Input Power to Rock Drill per Shift</t>
  </si>
  <si>
    <t>Input Power to Compressor @ 10kWh/m</t>
  </si>
  <si>
    <t>Compressed Air System Efficiency</t>
  </si>
  <si>
    <t>Operating Hours per day</t>
  </si>
  <si>
    <t>Fully Loaded</t>
  </si>
  <si>
    <t>Percentage Time</t>
  </si>
  <si>
    <t>Percentage Efficiency</t>
  </si>
  <si>
    <t>Unloaded</t>
  </si>
  <si>
    <t>Percentage of full load</t>
  </si>
  <si>
    <t>Compressor power rating - kW</t>
  </si>
  <si>
    <t>Drilling Shift length per day</t>
  </si>
  <si>
    <t>Inclusive</t>
  </si>
  <si>
    <t>Product Description</t>
  </si>
  <si>
    <t>Quantity</t>
  </si>
  <si>
    <t>Unit Price</t>
  </si>
  <si>
    <t>15 kVa Hilti Transformer Supply Unit</t>
  </si>
  <si>
    <t>Supply cable - Female coupler plug</t>
  </si>
  <si>
    <t>Supply cable - Accessory set</t>
  </si>
  <si>
    <t>Supply cable - Mennekis plug</t>
  </si>
  <si>
    <t>Extension Cable - Female coupler plug</t>
  </si>
  <si>
    <t>Extension Cable - Male plug</t>
  </si>
  <si>
    <t>Extension Cable - Accessory set</t>
  </si>
  <si>
    <t>Drill Steel (m) - 0.3; 0.6; 0.9; 1.2; 1.5; 1.8; 2.4 ( per meter )</t>
  </si>
  <si>
    <t>Drill bits (mm) -  36: 42 diameter ( per meter )</t>
  </si>
  <si>
    <t>Total Capital Cost</t>
  </si>
  <si>
    <t>Total Consumable Cost</t>
  </si>
  <si>
    <t>TEMD20 Rock Drill Leasing Cost per month</t>
  </si>
  <si>
    <t>Capital Cost</t>
  </si>
  <si>
    <r>
      <t>Ore bulk density (tm</t>
    </r>
    <r>
      <rPr>
        <b/>
        <vertAlign val="superscript"/>
        <sz val="10"/>
        <rFont val="Microsoft Sans Serif"/>
        <family val="2"/>
      </rPr>
      <t>3</t>
    </r>
    <r>
      <rPr>
        <b/>
        <sz val="10"/>
        <rFont val="Microsoft Sans Serif"/>
        <family val="2"/>
      </rPr>
      <t>)</t>
    </r>
  </si>
  <si>
    <t>Cost per kWh</t>
  </si>
  <si>
    <t>Pressure</t>
  </si>
  <si>
    <t>Boart Longyear S215</t>
  </si>
  <si>
    <t>Boart Longyear S215 Muffled</t>
  </si>
  <si>
    <t>Sulzer ADDS</t>
  </si>
  <si>
    <t>Air Consumption ( l/s )</t>
  </si>
  <si>
    <t>Average Face Pressure - kPa</t>
  </si>
  <si>
    <t>Penetration Rate - m/min</t>
  </si>
  <si>
    <t>cubic foot</t>
  </si>
  <si>
    <t>Power Drilling - kWh/m</t>
  </si>
  <si>
    <t>Hilti TE MD20</t>
  </si>
  <si>
    <t>Production schedule</t>
  </si>
  <si>
    <t>The evaluation of the electric rock drills is assessed to the current method of drilling, namely the compressed air operation at various pressures ranges, low (350 kPa), medium (450 kPa) and high (550 kPa). A comparison of the electric and pneumatic rock drills in terms of sound pressure level emissions, allowable exposure times, equivalent daily exposure levels and ergonomics are discussed. Other factors that affect the value case are physical properties, technical performance, consumables consumption, advantages and the environmental objective of the industry. The monetary value in eliminating dependence on compressed air and reducing the cost in operating and maintaining the drilling equipment is also appraised in this model.</t>
  </si>
  <si>
    <t>Figure 14 : Water Consumption per Rock Drill per Hole</t>
  </si>
  <si>
    <t>Figure 15 : Water Consumption per Shift</t>
  </si>
  <si>
    <t>Two sounds of equal level (± 1 dB) combine to raise the noise level by 3 dB. However, if two sounds differ by more than 10 dB, there is no combined increase in the sound level, the higher output masks any other noise.</t>
  </si>
  <si>
    <t>When two decibel values differ by:</t>
  </si>
  <si>
    <t>Add the following to the higher decibel value:</t>
  </si>
  <si>
    <t>0 or 1 dB</t>
  </si>
  <si>
    <t>3 dB</t>
  </si>
  <si>
    <t>2 or 3 dB</t>
  </si>
  <si>
    <t>2 dB</t>
  </si>
  <si>
    <t>4 or 9 dB</t>
  </si>
  <si>
    <t>1 dB</t>
  </si>
  <si>
    <t>10 dB or more</t>
  </si>
  <si>
    <t>0 dB</t>
  </si>
  <si>
    <t>Noise reduction rating – NRR</t>
  </si>
  <si>
    <t>100 % Hearing protection</t>
  </si>
  <si>
    <t>Do not over attenuate</t>
  </si>
  <si>
    <t>The users choice of hearing protector should be individual. Choosing their own is the best guarantee for frequent use. As long as the hearing protector meets safety requirements, the user should make the final choice.</t>
  </si>
  <si>
    <t>The mining schedule used in this study is presented in Table II.  The in-stope drilling configuration and requirements used in this study are presented in Table III.</t>
  </si>
  <si>
    <t>Table II</t>
  </si>
  <si>
    <t>Production Schedule</t>
  </si>
  <si>
    <t>Production days in one month</t>
  </si>
  <si>
    <t>Number of drilling shifts in one month</t>
  </si>
  <si>
    <t>Annul programme – (weeks/year)</t>
  </si>
  <si>
    <t>Shifts programmed – (shifts/year)</t>
  </si>
  <si>
    <t>Shifts lost (assumed) – (shifts/year)</t>
  </si>
  <si>
    <t>Available shifts – (shifts/year)</t>
  </si>
  <si>
    <t>Table III</t>
  </si>
  <si>
    <t>MOSH Noise Adoption Team – Leading Practice</t>
  </si>
  <si>
    <t>The tool is designed for drilling in rock (not in reinforced concrete) with drill bits of 32–42 mm diameter to depths of up to 2.4 m.</t>
  </si>
  <si>
    <t>Technical data:</t>
  </si>
  <si>
    <t xml:space="preserve">Rated voltage </t>
  </si>
  <si>
    <t>220–240 V~</t>
  </si>
  <si>
    <t xml:space="preserve">Rated current </t>
  </si>
  <si>
    <t xml:space="preserve">Power input </t>
  </si>
  <si>
    <t>2200 W</t>
  </si>
  <si>
    <t xml:space="preserve">Mains frequency </t>
  </si>
  <si>
    <t>Torque</t>
  </si>
  <si>
    <t xml:space="preserve">TEMD20 LS </t>
  </si>
  <si>
    <t>100 Nm</t>
  </si>
  <si>
    <t xml:space="preserve">TEMD20HS </t>
  </si>
  <si>
    <t xml:space="preserve">Impact energy </t>
  </si>
  <si>
    <t>28 J</t>
  </si>
  <si>
    <t>Revolutions</t>
  </si>
  <si>
    <t>(205 r.p.m. counter-clockwise)</t>
  </si>
  <si>
    <t xml:space="preserve">Dimensions </t>
  </si>
  <si>
    <t>770×210×230</t>
  </si>
  <si>
    <t xml:space="preserve">Weight </t>
  </si>
  <si>
    <t xml:space="preserve">Drill bit diameter </t>
  </si>
  <si>
    <t xml:space="preserve">Drilling depth </t>
  </si>
  <si>
    <t>up to 2,4 m</t>
  </si>
  <si>
    <t xml:space="preserve">Degree of protection against entry of water and foreign matter </t>
  </si>
  <si>
    <t xml:space="preserve">Protection class </t>
  </si>
  <si>
    <t>I</t>
  </si>
  <si>
    <t xml:space="preserve">Storage temperature without cooling water </t>
  </si>
  <si>
    <t>–20°C to +55°C</t>
  </si>
  <si>
    <t xml:space="preserve">Explosion protection </t>
  </si>
  <si>
    <t>EEx d I/IIA T4</t>
  </si>
  <si>
    <t xml:space="preserve">Mass of drill: 23.90 kg </t>
  </si>
  <si>
    <t>Mass of drill, airleg, drill steel and bit (no hoses): 44.10 kg</t>
  </si>
  <si>
    <t xml:space="preserve">Overall length: 0.740 m </t>
  </si>
  <si>
    <t>Length of drill, airleg, drill steel and bit: 2.780 m</t>
  </si>
  <si>
    <t>Boart Longyear S215M Muffled Rock Drill</t>
  </si>
  <si>
    <t xml:space="preserve">Mass of drill: 22.35 kg </t>
  </si>
  <si>
    <t>Mass of drill, airleg, drill steel and bit (no hoses): 44.75 kg</t>
  </si>
  <si>
    <t xml:space="preserve">Overall length: 0.715 m </t>
  </si>
  <si>
    <t>Length of drill, airleg, drill steel and bit: 3.035 m</t>
  </si>
  <si>
    <t>Sulzer ADDS Rock Drill</t>
  </si>
  <si>
    <t xml:space="preserve">Mass of drill: 22.15 kg </t>
  </si>
  <si>
    <t>Mass of drill, airleg, drill steel and bit (no hoses): 45.30 kg</t>
  </si>
  <si>
    <t xml:space="preserve">Overall length: 0.755 m </t>
  </si>
  <si>
    <t>Length of drill, airleg, drill steel and bit: 3.120 m</t>
  </si>
  <si>
    <t>Boart Longyear S215 Rock Drill</t>
  </si>
  <si>
    <t xml:space="preserve">Mass of drill: 21.25 kg </t>
  </si>
  <si>
    <t>Production Parameters and Scheduling</t>
  </si>
  <si>
    <t>Flow - l/s</t>
  </si>
  <si>
    <t>Flow - m3/s</t>
  </si>
  <si>
    <t>Flow - cf/s</t>
  </si>
  <si>
    <t>liters</t>
  </si>
  <si>
    <t>cubic meter</t>
  </si>
  <si>
    <t>The electrical energy consumed in generating compressed air for pneumatic stope drilling per shift</t>
  </si>
  <si>
    <t>kWh</t>
  </si>
  <si>
    <t>Water flow @ 5 bar</t>
  </si>
  <si>
    <t>Total volume / shift - litres</t>
  </si>
  <si>
    <t>Consumption / rockdrill - (kWh/m)</t>
  </si>
  <si>
    <t>Consumption / shift at the rock drills - kWh</t>
  </si>
  <si>
    <t xml:space="preserve">Pneumatic Drilling </t>
  </si>
  <si>
    <t>Electric Drilling</t>
  </si>
  <si>
    <t>Power Cost</t>
  </si>
  <si>
    <t>Electricity cost per kWh</t>
  </si>
  <si>
    <t>Total Operating Cost</t>
  </si>
  <si>
    <t>Rock Drill Make</t>
  </si>
  <si>
    <t>Maximum permitted daily duration in hours</t>
  </si>
  <si>
    <t>Decibels (increasing in units of 3)</t>
  </si>
  <si>
    <t>Vibration - m/s2</t>
  </si>
  <si>
    <t xml:space="preserve"> </t>
  </si>
  <si>
    <r>
      <t>·</t>
    </r>
    <r>
      <rPr>
        <sz val="7"/>
        <rFont val="Times New Roman"/>
        <family val="1"/>
      </rPr>
      <t xml:space="preserve">         </t>
    </r>
    <r>
      <rPr>
        <sz val="10"/>
        <rFont val="Arial"/>
        <family val="2"/>
      </rPr>
      <t>Options to replace the need for compressed air (timber chain saw, pod intensifier, gulley pumps, hoist, Anfex loaders etc) must be considered.</t>
    </r>
  </si>
  <si>
    <t>TE MDR180 drill steel</t>
  </si>
  <si>
    <t>TE MDH32B/-D/-BD drill bit</t>
  </si>
  <si>
    <t>TE MDH38B/-D drill bit</t>
  </si>
  <si>
    <t>The above costs do not include the cost of referrals for evaluation by audiologists or ENT specialists, or any incidental costs, e.g. subsistence and transport. Nor does it include the far more significant cost of shifts lost for specialist evaluations, which requires two shifts per evaluation with some individuals needing two evaluations.</t>
  </si>
  <si>
    <t>The operating cost for the pneumatic drills increases over time. It is mainly a function of the maintenance of the drill and supporting system, and replacement required. The assumption is made that the surface compressors operate on maximum demand during the drilling shift only. During “off-shift” when the compressed air demand is low, some compressors could be shut down.</t>
  </si>
  <si>
    <t>Default Values for this Case Study</t>
  </si>
  <si>
    <t>PPE - Hearing Protection Devices</t>
  </si>
  <si>
    <t>Type Selected</t>
  </si>
  <si>
    <t>Actual NRR at the ear - dBA</t>
  </si>
  <si>
    <t>NRR displayed on packaging</t>
  </si>
  <si>
    <t>Compressed Air Pressure</t>
  </si>
  <si>
    <t>Penetration Rate - (m/min)</t>
  </si>
  <si>
    <t>Drilling Time per Hole - (min)</t>
  </si>
  <si>
    <t>RDO Drilling Shift Length - (hrs)</t>
  </si>
  <si>
    <t>Sound Pressure Level Emissions - dBA</t>
  </si>
  <si>
    <t>Milestone Setting</t>
  </si>
  <si>
    <t>Standard Allowable</t>
  </si>
  <si>
    <t>5.2.1</t>
  </si>
  <si>
    <t>Sound Pressure Exposure Levels</t>
  </si>
  <si>
    <t>Single Rock Drill Exposure - dBA</t>
  </si>
  <si>
    <t>Multiple Rock Drills Exposure - dBA</t>
  </si>
  <si>
    <t>5.2.2</t>
  </si>
  <si>
    <t>5.3.1</t>
  </si>
  <si>
    <t>5.3.2</t>
  </si>
  <si>
    <t>5.4.1</t>
  </si>
  <si>
    <t>5.4.2</t>
  </si>
  <si>
    <t>Maximum Exposure Time per Shift allowed when exposed to a Single Rock Drill</t>
  </si>
  <si>
    <t>Allowable Exposure Times based on Sound Pressure Level Emission - (hrs)</t>
  </si>
  <si>
    <t>Maximum Exposure Time per Shift allowed when exposed to Multiple Rock Drills</t>
  </si>
  <si>
    <t>The electrical energy consumed in generating compressed air for pneumatic stope drilling per shift for this case study</t>
  </si>
  <si>
    <t>Compressor Full Load Power Rating - kW selected for this case study</t>
  </si>
  <si>
    <t>Compressed Air Generating Energy Cost</t>
  </si>
  <si>
    <t>7.1.1</t>
  </si>
  <si>
    <t>7.1.2</t>
  </si>
  <si>
    <t>Energy Cost per kWh</t>
  </si>
  <si>
    <t>The noise dosage from an electric rock drill is less than a pneumatic rock drill although the exposure time for electric drilling is longer than the pneumatic drilling operations. RDO’s drilling with the electric rock drill in conjunction with effective HPDs will have an equivalent daily exposure level of 83.1 dBA. Since the electric drill is independent of air supply, minimal variation is this value is noted. RDO’s drilling with the muffled compressed air drill in conjunction with effective HPDs will have a equivalent daily exposure level ranging from 89.2 dBA in the lower pressure range to 87.9 dBA in the higher pressure range.</t>
  </si>
  <si>
    <t>In a way, noise can be compared to radioactivity: We can only stand a limited dose. How harmful the noise is depends on the exposure time combined with the sound level. Just five minutes of hazardous noise exposure a day can cause lifelong hearing impairment. That’s why 100 % usage is critical to get the protection the chosen hearing protector can provide. Users should be able to choose a comfortable hearing protector that suits them and their needs.</t>
  </si>
  <si>
    <t>It’s important to choose the right hearing protector for the right noise situation. A common error is to over-attenuate, or chose a hearing protector that is stronger than necessary. There is a risk that the user will remove the hearing protector while talking to colleagues and thereby suffer from hearing loss.</t>
  </si>
  <si>
    <r>
      <t>But how much should a hearing protector attenuate?</t>
    </r>
    <r>
      <rPr>
        <sz val="10"/>
        <rFont val="Arial"/>
        <family val="2"/>
      </rPr>
      <t xml:space="preserve"> The principle is simple – take the A-weighted sound level at the workplace and subtract the realistic measurement of effectiveness of the hearing protector’s stated attenuation level for that type of noise. With the right hearing protector, the result should be between 75 and 80 dBA’s.</t>
    </r>
  </si>
  <si>
    <t>The level of the noise that might induce hearing loss depends on the duration of the exposure. According to the equal-energy principle as per Table IV, an increase by 3 dB would halve the permissible duration. This implies maximum 28 seconds noise exposure at 115 dBA. For short lasting impulse sounds the peak level, regardless of the total energy, might cause a permanent threshold shift.</t>
  </si>
  <si>
    <t>The extraction of ore in larger volumes, in recognition of the concerns within the mining industry with regard to the safety and well being of its employees, combined with energy-wise methodologies, is the prerequisite for future mining endeavours. The use of electric rock drills is a step towards meeting the Occupational Health targets agreed to at the 2003 MHSC Summit.</t>
  </si>
  <si>
    <t>The common goal must be to optimise the key performance parameters. Commitment and co-operation will result in the improvement of the electric drill product and the development and initiation of additional equipment, to meet the stringent demands of health, safety, efficacy and energy expenditure in this competitive and global market.</t>
  </si>
  <si>
    <t>Good progress had been made in the past ten years in terms of reducing noise exposures to prevent noise induced hearing loss, but still more than 1800 employees were diagnosed during 2007. This comes to a rate of 4,5 cases per 1000 employees. The challenge remains to have zero cases by the end of 2008.</t>
  </si>
  <si>
    <t>During 2002, an instruction was issued that all employees would undergo a baseline audiometry. That resulted in an increase of NIHL claims as employees that were close to the 10% deterioration of hearing were submitted for compensation. Although the improvement from 2006 to 2007 is more than 60% a huge effort is still required to prevent any noise induced hearing loss of employees.</t>
  </si>
  <si>
    <t>Other factors that affect the value case are physical properties, technical performance, consumables consumption, advantages and the environmental objective of the industry. The monetary value in eliminating dependence on compressed air and reducing the cost in operating and maintaining the drilling equipment is also appraised in this report.</t>
  </si>
  <si>
    <t>NIOSH recommends derating the NRR by a multiplicative factor of 75% for earmuffs, 50% for slow-recovery foam earplugs and custom earplugs, and 30% for all other earplugs.  This variable derating scheme considers the real-world performance of most different types of hearing protector (NIOSH, 1998).  Also, the NIOSH derating scheme does not affect the 7-decibel dBC to dBA correction as it is applied to the NRR only, derated or not.  This compendium uses the NIOSH derating of the NRR when searching for hearing protectors based on the compendium user’s input of noise exposure levels in dBA or octave band levels.</t>
  </si>
  <si>
    <r>
      <t>Example 1</t>
    </r>
    <r>
      <rPr>
        <sz val="10"/>
        <rFont val="Arial"/>
        <family val="2"/>
      </rPr>
      <t>, a brand of earmuffs has a NRR of 35. This implies that wearing the muffs in a 100 dBA environment will reduce exposure down to 65 dBA (100 - 35 = 65). Using the OSHA formula, a different, more modest level of protection is indicated: (NRR – 7) x 75% = (35 – 7) x 75% = 28 x 75% = 21 dBA of protection. In a work environment with 100 dBA of noise, this HPD will reduce exposure by only approximately 21 dBA, for an equivalent exposure of 79 dBA, (100 – 21 = 79).</t>
    </r>
  </si>
  <si>
    <r>
      <t>Being an electric machine the SPL of the Hilti TE MD20 rock drill is independent of air pressure and no variation is this value is recorded. The SPL’s shown in Figure 3.1 and Figure 3.2 show that the Hilti TE MD20 rock drill fulfil the requirements set for the year 2013. An interesting observation is that SPL’s of the S215 muffled rock drill is relatively independent of the air-supply pressure while the S215 standard machine shows a significant increase in SPL with pressure with an apparent maximum in the medium range (450 kPa). The response of the S215 muffled machine to increased supply pressure is interesting in that while the SPL does not increase the penetration rate (Figure 7)</t>
    </r>
    <r>
      <rPr>
        <sz val="10"/>
        <color indexed="10"/>
        <rFont val="Arial"/>
        <family val="2"/>
      </rPr>
      <t xml:space="preserve"> </t>
    </r>
    <r>
      <rPr>
        <sz val="10"/>
        <rFont val="Arial"/>
        <family val="2"/>
      </rPr>
      <t>does.</t>
    </r>
  </si>
  <si>
    <t xml:space="preserve">The National Institute for Occupational Safety and Health (NIOSH) has found that as actually used HPDs provide much less protection than their labels claim, OSHA has devised a formula for determining a more realistic measurement of effectiveness. The OSHA formula calls for subtracting seven from the NRR and dividing the result by the derating factor. OSHA says the result is a more accurate evaluation of the level of noise reduction, in dB, provided by a particular HPD. </t>
  </si>
  <si>
    <t xml:space="preserve">NIOSH recommends derating the NRR by a multiplicative factor of 75% for earmuffs, 50% for slow-recovery foam earplugs and custom earplugs, and 30% for all other earplugs.  This variable derating scheme considers the real-world performance of most different types of hearing protector (NIOSH, 1998).  Also, the NIOSH derating scheme does not affect the 7-decibel dBC to dBA correction as it is applied to the NRR only, derated or not.  This compendium uses the NIOSH derating of the NRR when searching for hearing protectors based on the compendium user’s input of noise exposure levels in dBA or octave band levels. </t>
  </si>
  <si>
    <t>Compressor Full Load Power Rating - kW</t>
  </si>
  <si>
    <t>Input Data in Yellow Cells Only</t>
  </si>
  <si>
    <t>Example 1, a brand of earmuffs has a NRR of 35. This implies that wearing the muffs in a 100 dBA environment will reduce exposure down to 65 dBA (100 - 35 = 65). Using the OSHA formula, a different, more modest level of protection is indicated: (NRR – 7) x 75% = (35 – 7) x 75% = 28 x 75% = 21 dBA of protection. In a work environment with 100 dBA of noise, this HPD will reduce exposure by only approximately 21 dBA, for an equivalent exposure of 79 dBA, (100 – 21 = 79).</t>
  </si>
  <si>
    <t>It will be noted that limiting exposure to 85 dB does not eliminate NIHL risk, and that the risk of impairment decreases after 30 to 40 years of exposure, depending on the level. The latter is due to smaller differences in prevalence between occupationally exposed and unexposed populations, caused by a loss of hearing sensitivity with age in the latter.  Overall, the tabulated values show significant NIHL risks for exposures of 90 dB and above, particularly at 100 dB or greater, which indicates the need for effective control measures to reduce emission and, hence, exposure and NIHL risk.</t>
  </si>
  <si>
    <t>Total Energy Cost per Annum</t>
  </si>
  <si>
    <t>Energy Cost</t>
  </si>
  <si>
    <t>RDO Equivalent Daily Exposure Level - Exposed to Multiple Rock Drill SPL</t>
  </si>
  <si>
    <t>Consumable - Compressor Energy VS Electric Drilling - Input Power per Shift</t>
  </si>
  <si>
    <t>Rated current</t>
  </si>
  <si>
    <t>Power input</t>
  </si>
  <si>
    <t>Mains frequency</t>
  </si>
  <si>
    <t>Impact energy</t>
  </si>
  <si>
    <t>TE MD 20 LS</t>
  </si>
  <si>
    <t>TE MD 20 HS</t>
  </si>
  <si>
    <t>Dimensions</t>
  </si>
  <si>
    <t>Weight</t>
  </si>
  <si>
    <t>Drill bit diameter</t>
  </si>
  <si>
    <t>Drilling depth</t>
  </si>
  <si>
    <t>A study was developed enabling a comparison of rock drills on the basis of their under ground sound pressure level emissions, vibration levels, allowable exposure times, equivalent daily exposure levels, water, air, lubricant and electrical consumptions during drilling and to calculate the potential compensation claims for NIHL resulting from exposure to multiple rock drills, operating simultaneously, with built in adjustments for the use of hearing protection devices.  The study was developed using Microsoft Excel® and is included in the accompanying compact disc. Also included in the accompanying compact disc are the spreadsheets and images that were used for data analysis and the figures shown in this report.</t>
  </si>
  <si>
    <t>9.3</t>
  </si>
  <si>
    <t>10.</t>
  </si>
  <si>
    <t>10.1</t>
  </si>
  <si>
    <t>10.2</t>
  </si>
  <si>
    <t>Type of Drilling</t>
  </si>
  <si>
    <t>Operating Cost per Annum</t>
  </si>
  <si>
    <t>Rock Drill Replacement Cost</t>
  </si>
  <si>
    <t>Airleg Replacement Cost</t>
  </si>
  <si>
    <t>Number of drilling shifts per month</t>
  </si>
  <si>
    <t>Rock Drill Leasing Contract</t>
  </si>
  <si>
    <t>Operating Cost per Month</t>
  </si>
  <si>
    <t>At Ear SPL (dBA)</t>
  </si>
  <si>
    <t xml:space="preserve">However, the concerns within the mining industry with regard to the safety and well being of its employees alone is not sufficient to determine the selection of one drill type over another. Additional factors must be taken into consideration during the determination of the drill type most suited. These factors are notably physical properties, technical performance, energy efficiency, consumables consumption, the consumption of energy, compressed air and water, advantages and the environmental objective of the industry. The monetary value in eliminating dependence on compressed air and reducing the cost in operating and maintaining the drilling equipment is also appraised in this report. </t>
  </si>
  <si>
    <t>For this case study it is assumed that mines adopting this best practice will convert from pneumatic to electric drilling and therefore only the capital requirements for electric drilling is reflected in this study.</t>
  </si>
  <si>
    <t>Extra capital costs that could be incurred that is not presented in this study are,</t>
  </si>
  <si>
    <t>Supply cable per meter -</t>
  </si>
  <si>
    <t>Modifications of the surface and underground electrical infrastructure if required,</t>
  </si>
  <si>
    <t>Establishing a workshop/store for the leased units,</t>
  </si>
  <si>
    <t>Options to replace the need for compressed air (timber chain saw, pod intensifier, gulley pumps, hoist and Anfex loader etc),</t>
  </si>
  <si>
    <t>Minor alterations to gully boxes,</t>
  </si>
  <si>
    <t>Inclusion of small-scale compressors and some compressed air piping underground (for ventilation and refuge chambers).</t>
  </si>
  <si>
    <t>Table V</t>
  </si>
  <si>
    <t>The electrical energy consumed in generating compressed air for pneumatic stope drilling in South African gold mines has been found to be at least 15 kWh/ton mined, assuming 1.5 metres drilled per ton [du Plessis and Solomon 1988]. It is understood that this figure was derived from an analysis of the ventilation returns and the use of the software package MineCon (developed by the CSIR). This value equates to 10 kWh/m drilled in gold mines.</t>
  </si>
  <si>
    <t>MINING INDUSTRY OCCUPATIONAL SAFETY AND HEALTH “ MOSH “ ADOPTION SYSTEM</t>
  </si>
  <si>
    <t>NOISE ADOPTION TEAM VALUE CASE - THE HILTI ELECTRIC ROCK DRILL FOR IN-STOPE MINING OPERATIONS</t>
  </si>
  <si>
    <t>Executive summary</t>
  </si>
  <si>
    <t xml:space="preserve">Evaluation is necessary to investigate the viability of implementing and/or utilizing new technology in mining projects. It establishes a techno-economic base for decision-making and justifies capital expenditure. </t>
  </si>
  <si>
    <t>Hilti TE MD20 electric rock drill</t>
  </si>
  <si>
    <t>Boart Longyear S215 muffled pneumatic rock drill</t>
  </si>
  <si>
    <t>Boart Longyear S215 standard pneumatic rock drill</t>
  </si>
  <si>
    <t>Sulzer ADDS pneumatic rock drill</t>
  </si>
  <si>
    <t>Table of contents</t>
  </si>
  <si>
    <t>Synopsis</t>
  </si>
  <si>
    <t>Adoption system policy</t>
  </si>
  <si>
    <t>Introduction</t>
  </si>
  <si>
    <t>Personal Protective Equipment - Hearing Protection Devices</t>
  </si>
  <si>
    <t>Parameters and considerations assessed in this case study</t>
  </si>
  <si>
    <t>Production parameters and scheduling</t>
  </si>
  <si>
    <t>Rock Drill Description and Physical Properties</t>
  </si>
  <si>
    <t>Hilti TE MD20 Electric Rock drill</t>
  </si>
  <si>
    <t>Boart Longyear S215M Muffled Rock drill</t>
  </si>
  <si>
    <t>Sulzer ADDS Rock drill</t>
  </si>
  <si>
    <t>Boart Longyear S215 Rock drill</t>
  </si>
  <si>
    <t>Health, safety and environment</t>
  </si>
  <si>
    <t>Sound Pressure Emission Levels</t>
  </si>
  <si>
    <t>Sound Pressure Exposure Levels to Multiple Rock Drills</t>
  </si>
  <si>
    <t>Noise Equivalent Exposure Levels</t>
  </si>
  <si>
    <t>Maximum allowable exposure times</t>
  </si>
  <si>
    <t>Ergonomics – Vibration Levels</t>
  </si>
  <si>
    <t>Safety and Environment – Oil emissions</t>
  </si>
  <si>
    <t>Technical Performance</t>
  </si>
  <si>
    <t>Penetration rate</t>
  </si>
  <si>
    <t>Consumable consumption</t>
  </si>
  <si>
    <t>Energy consumption</t>
  </si>
  <si>
    <t>Air Consumption</t>
  </si>
  <si>
    <t>Water consumption</t>
  </si>
  <si>
    <t>Consumable Cost</t>
  </si>
  <si>
    <t>Risk of compensational impairment</t>
  </si>
  <si>
    <t>Costs associated with hearing impairment</t>
  </si>
  <si>
    <t>Operating Cost</t>
  </si>
  <si>
    <t>Using the SPL for a given rock drill, the reverberation and attenuation characteristics of the working environment, HPD attenuation data and information on operational practices, the noise-exposure level for rock drill operators has been determined and relevant cost variables quantified.</t>
  </si>
  <si>
    <t xml:space="preserve">Drill performance in terms of penetration rate has been determined through mining parameters and factored into the overall cost, which would be influenced by face advance and/or additional drilling (and exposure) time. This approach is generic and is repeated for all the types of drills being considered, provided the machine’s sound-pressure levels and penetration rate in the production environment are available. </t>
  </si>
  <si>
    <r>
      <t>Example 2</t>
    </r>
    <r>
      <rPr>
        <sz val="10"/>
        <rFont val="Arial"/>
        <family val="2"/>
      </rPr>
      <t>, a brand of expandable earplugs has a NRR of 35. This implies that wearing the plugs in a 100 dBA environment will reduce exposure down to 65 dBA (100 - 35 = 65). Using the OSHA formula, a different, more modest level of protection is indicated: (NRR – 7) x 50% = (35 – 7) x 50% = 28 x 50% = 14 dBA of protection. In a work environment with 100 dBA of noise, this HPD will reduce exposure by only approximately 14 dBA, for an equivalent exposure of 86 dBA, (100 – 14 = 86).</t>
    </r>
  </si>
  <si>
    <r>
      <t>Example 3</t>
    </r>
    <r>
      <rPr>
        <sz val="10"/>
        <rFont val="Arial"/>
        <family val="2"/>
      </rPr>
      <t>, a brand of “other” earplugs has a NRR of 35. This implies that wearing the plugs in a 100 dBA environment will reduce exposure down to 65 dBA (100 - 35 = 65). Using the OSHA formula, a different, more modest level of protection is indicated: (NRR – 7) x 30% = (35 – 7) x 30% = 28 x 30% = 8.4 dBA of protection. In a work environment with 100 dBA of noise, this HPD will reduce exposure by only approximately 8.4 dBA, for an equivalent exposure of 91.6 dBA, (100 – 8.4 = 91.6).</t>
    </r>
  </si>
  <si>
    <t>3.</t>
  </si>
  <si>
    <t>Yes</t>
  </si>
  <si>
    <t>No</t>
  </si>
  <si>
    <t>Sound Pressure levels - dBA</t>
  </si>
  <si>
    <t>Physical properties:</t>
  </si>
  <si>
    <t>S215</t>
  </si>
  <si>
    <t>Rick drill and thrustleg masses - kg</t>
  </si>
  <si>
    <t>Drill</t>
  </si>
  <si>
    <t>Leg (Air/Water)</t>
  </si>
  <si>
    <t>Steel and Bit</t>
  </si>
  <si>
    <t>S215M</t>
  </si>
  <si>
    <t>Leg (Air or Water)</t>
  </si>
  <si>
    <t>SULZER</t>
  </si>
  <si>
    <t>HILTI</t>
  </si>
  <si>
    <t>Rock drill and thrustleg masses - (kg)</t>
  </si>
  <si>
    <t>Rock drill and thrustleg dimensions - (m)</t>
  </si>
  <si>
    <t xml:space="preserve">Risk (per cent) of compensable hearing impairment for an equivalent noise exposure (dBA) of: </t>
  </si>
  <si>
    <r>
      <t>Estimated risk of compensable impairment based on TWA</t>
    </r>
    <r>
      <rPr>
        <b/>
        <i/>
        <sz val="8"/>
        <color indexed="8"/>
        <rFont val="Arial"/>
        <family val="2"/>
      </rPr>
      <t>8h</t>
    </r>
    <r>
      <rPr>
        <b/>
        <i/>
        <sz val="12"/>
        <color indexed="8"/>
        <rFont val="Arial"/>
        <family val="2"/>
      </rPr>
      <t xml:space="preserve"> and years of exposure </t>
    </r>
  </si>
  <si>
    <t>Noise Level (LAeq dB)</t>
  </si>
  <si>
    <t>Exposure duration (hours)</t>
  </si>
  <si>
    <t>Exposure points (job/task)</t>
  </si>
  <si>
    <t>Exposure points per hour</t>
  </si>
  <si>
    <r>
      <t>Daily noise exposure (L</t>
    </r>
    <r>
      <rPr>
        <b/>
        <vertAlign val="subscript"/>
        <sz val="10"/>
        <rFont val="Arial"/>
        <family val="2"/>
      </rPr>
      <t>EP,d</t>
    </r>
    <r>
      <rPr>
        <b/>
        <sz val="10"/>
        <rFont val="Arial"/>
        <family val="2"/>
      </rPr>
      <t>) dB</t>
    </r>
  </si>
  <si>
    <t>Noise exposure ready-reckoner ( Daily exposure )</t>
  </si>
  <si>
    <t>Duration of exposure (hours)</t>
  </si>
  <si>
    <t>Total exposure points</t>
  </si>
  <si>
    <r>
      <t>Sound pressure level, L</t>
    </r>
    <r>
      <rPr>
        <vertAlign val="subscript"/>
        <sz val="10"/>
        <rFont val="Arial"/>
        <family val="2"/>
      </rPr>
      <t>aeq</t>
    </r>
    <r>
      <rPr>
        <sz val="10"/>
        <rFont val="Arial"/>
      </rPr>
      <t xml:space="preserve"> (dB)</t>
    </r>
  </si>
  <si>
    <r>
      <t>Noise exposure L</t>
    </r>
    <r>
      <rPr>
        <vertAlign val="subscript"/>
        <sz val="10"/>
        <rFont val="Arial"/>
        <family val="2"/>
      </rPr>
      <t>EP,d</t>
    </r>
    <r>
      <rPr>
        <sz val="10"/>
        <rFont val="Arial"/>
      </rPr>
      <t xml:space="preserve"> (dB)</t>
    </r>
  </si>
  <si>
    <t>RDO's</t>
  </si>
  <si>
    <t>SPL</t>
  </si>
  <si>
    <t>Exposure in years</t>
  </si>
  <si>
    <t>dBa</t>
  </si>
  <si>
    <t>Cost Associated with Hearing Impairment</t>
  </si>
  <si>
    <t>Average settlement cost per claim</t>
  </si>
  <si>
    <t>Total compensation cost per 100 operators and similarly exposed persons</t>
  </si>
  <si>
    <t>Compensation claims/100 employees exposed</t>
  </si>
  <si>
    <t>Type of PPE - Hearing Protection Device Available</t>
  </si>
  <si>
    <t>Product ID</t>
  </si>
  <si>
    <t>Earmuffs</t>
  </si>
  <si>
    <t>Expandable/Slow-recovery foam/Custom Earplugs</t>
  </si>
  <si>
    <t>"Other" Earplugs</t>
  </si>
  <si>
    <t>Hearing Protection Device Supplied - Product ID</t>
  </si>
  <si>
    <t>RDO Noise Exposure - (dBA)</t>
  </si>
  <si>
    <t>Shift Duration - (hours)</t>
  </si>
  <si>
    <t>Compressed Air Generating Energy Consumption and Costs</t>
  </si>
  <si>
    <t>Compressed air is one of the most expensive uses of energy in the mining industry. Calculating the cost of compressed air can help the user justify improvements for energy efficiency.</t>
  </si>
  <si>
    <t>For each, multiply:</t>
  </si>
  <si>
    <t>• Kilowatt rating (kW)</t>
  </si>
  <si>
    <t>• cost per kilowatt-hour (R/kWh)</t>
  </si>
  <si>
    <t>• percent time fully-loaded or unloaded</t>
  </si>
  <si>
    <t>Compressed Air Generating Energy Consumption</t>
  </si>
  <si>
    <t>Average Face Compressed Air Pressure - kPa</t>
  </si>
  <si>
    <t>"Fully Loaded" - Drilling Shift Period (Max Demand)</t>
  </si>
  <si>
    <t>"Un-loaded" - Off Shift Period</t>
  </si>
  <si>
    <t>Compressor/s Total Power Rating - kW</t>
  </si>
  <si>
    <t>Each of the input menus is accessed from the main menu. From each sub-menu it is possible to advance to the next step in the evaluation, and it is possible to return to the previous step without going through the main menu by clicking on the ‘Go to previous page’ button at the bottom of each sheet. If at any time the user wishes to go back to the Main Menu a ' Back to Main Menu' button is available on the bottom of each sheet.</t>
  </si>
  <si>
    <t>• total operating hours per day (hr/day)</t>
  </si>
  <si>
    <t>Divide the product by the motor's efficiency</t>
  </si>
  <si>
    <t>• percent motor efficiency, loaded or unloaded</t>
  </si>
  <si>
    <t>• percent full-load kW, loaded or unloaded</t>
  </si>
  <si>
    <t>The spreadsheet is easy to use and allows the user to rapidly evaluate the different contribution of parameters such as noise and energy consumption from electric drills compared to a number of conventional pneumatic rock drills.</t>
  </si>
  <si>
    <t xml:space="preserve">The evaluation of the electric rock drill is assessed to the current method of drilling, namely the compressed air operation at various pressures ranges, low (350 kPa), medium (450 kPa) and high (550 kPa). The results are a function of production requirements, technical parameters and financial outlay of the drills.  </t>
  </si>
  <si>
    <t>Daily Equivalent exposure - (dBA)</t>
  </si>
  <si>
    <t>Compensation Risk - (%)</t>
  </si>
  <si>
    <t>No HPD supplied</t>
  </si>
  <si>
    <t>With HPD supplied</t>
  </si>
  <si>
    <t xml:space="preserve">Premium payment by employer to cover claims </t>
  </si>
  <si>
    <t>NRR Rating as displayed on packaging</t>
  </si>
  <si>
    <t>Operator</t>
  </si>
  <si>
    <t>Other</t>
  </si>
  <si>
    <t>Face Holes</t>
  </si>
  <si>
    <t>Drill Prod Rate (holes/hr)</t>
  </si>
  <si>
    <t>Max shift duration</t>
  </si>
</sst>
</file>

<file path=xl/styles.xml><?xml version="1.0" encoding="utf-8"?>
<styleSheet xmlns="http://schemas.openxmlformats.org/spreadsheetml/2006/main">
  <numFmts count="15">
    <numFmt numFmtId="42" formatCode="_(&quot;$&quot;* #,##0_);_(&quot;$&quot;* \(#,##0\);_(&quot;$&quot;* &quot;-&quot;_);_(@_)"/>
    <numFmt numFmtId="41" formatCode="_(* #,##0_);_(* \(#,##0\);_(* &quot;-&quot;_);_(@_)"/>
    <numFmt numFmtId="44" formatCode="_(&quot;$&quot;* #,##0.00_);_(&quot;$&quot;* \(#,##0.00\);_(&quot;$&quot;* &quot;-&quot;??_);_(@_)"/>
    <numFmt numFmtId="43" formatCode="_(* #,##0.00_);_(* \(#,##0.00\);_(* &quot;-&quot;??_);_(@_)"/>
    <numFmt numFmtId="165" formatCode="&quot;R&quot;\ #,##0;[Red]&quot;R&quot;\ \-#,##0"/>
    <numFmt numFmtId="167" formatCode="&quot;R&quot;\ #,##0.00;[Red]&quot;R&quot;\ \-#,##0.00"/>
    <numFmt numFmtId="172" formatCode="0.0"/>
    <numFmt numFmtId="173" formatCode="0.000"/>
    <numFmt numFmtId="174" formatCode="0.0000"/>
    <numFmt numFmtId="176" formatCode="#,##0.0"/>
    <numFmt numFmtId="177" formatCode="&quot;R&quot;\ #,##0.00"/>
    <numFmt numFmtId="178" formatCode="&quot;R&quot;\ #,##0"/>
    <numFmt numFmtId="179" formatCode="0.0%"/>
    <numFmt numFmtId="181" formatCode="0.00000"/>
    <numFmt numFmtId="201" formatCode="&quot;R&quot;\ #,##0.000"/>
  </numFmts>
  <fonts count="73">
    <font>
      <sz val="10"/>
      <name val="Arial"/>
    </font>
    <font>
      <sz val="10"/>
      <name val="Arial"/>
    </font>
    <font>
      <b/>
      <sz val="10"/>
      <name val="Arial"/>
      <family val="2"/>
    </font>
    <font>
      <sz val="10"/>
      <name val="Arial"/>
      <family val="2"/>
    </font>
    <font>
      <b/>
      <u/>
      <sz val="14"/>
      <name val="Arial"/>
      <family val="2"/>
    </font>
    <font>
      <sz val="10"/>
      <color indexed="8"/>
      <name val="Arial"/>
    </font>
    <font>
      <b/>
      <vertAlign val="superscript"/>
      <sz val="10"/>
      <name val="Arial"/>
      <family val="2"/>
    </font>
    <font>
      <sz val="10"/>
      <color indexed="63"/>
      <name val="Arial"/>
      <family val="2"/>
    </font>
    <font>
      <b/>
      <sz val="10"/>
      <color indexed="63"/>
      <name val="Arial"/>
      <family val="2"/>
    </font>
    <font>
      <b/>
      <sz val="10"/>
      <color indexed="8"/>
      <name val="Arial"/>
      <family val="2"/>
    </font>
    <font>
      <b/>
      <u/>
      <sz val="10"/>
      <name val="Arial"/>
      <family val="2"/>
    </font>
    <font>
      <b/>
      <sz val="12"/>
      <name val="Arial"/>
      <family val="2"/>
    </font>
    <font>
      <sz val="12"/>
      <name val="Arial"/>
      <family val="2"/>
    </font>
    <font>
      <b/>
      <sz val="12"/>
      <color indexed="63"/>
      <name val="Arial"/>
      <family val="2"/>
    </font>
    <font>
      <b/>
      <sz val="14"/>
      <name val="Arial"/>
      <family val="2"/>
    </font>
    <font>
      <sz val="11"/>
      <color indexed="8"/>
      <name val="Geometr415 Blk BT"/>
      <family val="2"/>
    </font>
    <font>
      <b/>
      <sz val="11"/>
      <name val="Arial"/>
      <family val="2"/>
    </font>
    <font>
      <b/>
      <sz val="10"/>
      <name val="Arial"/>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BoldMT"/>
    </font>
    <font>
      <sz val="11"/>
      <name val="Arial"/>
      <family val="2"/>
    </font>
    <font>
      <b/>
      <vertAlign val="subscript"/>
      <sz val="10"/>
      <name val="Arial"/>
      <family val="2"/>
    </font>
    <font>
      <b/>
      <sz val="11"/>
      <color indexed="8"/>
      <name val="Arial"/>
      <family val="2"/>
    </font>
    <font>
      <sz val="11"/>
      <color indexed="8"/>
      <name val="Arial"/>
      <family val="2"/>
    </font>
    <font>
      <b/>
      <i/>
      <sz val="8"/>
      <color indexed="8"/>
      <name val="Arial"/>
      <family val="2"/>
    </font>
    <font>
      <b/>
      <i/>
      <sz val="12"/>
      <color indexed="8"/>
      <name val="Arial"/>
      <family val="2"/>
    </font>
    <font>
      <vertAlign val="subscript"/>
      <sz val="10"/>
      <name val="Arial"/>
      <family val="2"/>
    </font>
    <font>
      <b/>
      <vertAlign val="subscript"/>
      <sz val="11"/>
      <name val="Arial"/>
      <family val="2"/>
    </font>
    <font>
      <sz val="12"/>
      <color indexed="8"/>
      <name val="Helvetica"/>
    </font>
    <font>
      <vertAlign val="superscript"/>
      <sz val="10"/>
      <color indexed="63"/>
      <name val="Arial"/>
      <family val="2"/>
    </font>
    <font>
      <sz val="10"/>
      <color indexed="9"/>
      <name val="Arial"/>
      <family val="2"/>
    </font>
    <font>
      <sz val="10"/>
      <color indexed="8"/>
      <name val="Arial"/>
      <family val="2"/>
    </font>
    <font>
      <b/>
      <sz val="9"/>
      <name val="Arial"/>
      <family val="2"/>
    </font>
    <font>
      <b/>
      <sz val="10"/>
      <name val="Microsoft Sans Serif"/>
      <family val="2"/>
    </font>
    <font>
      <b/>
      <sz val="10"/>
      <color indexed="63"/>
      <name val="Microsoft Sans Serif"/>
      <family val="2"/>
    </font>
    <font>
      <b/>
      <vertAlign val="superscript"/>
      <sz val="10"/>
      <name val="Microsoft Sans Serif"/>
      <family val="2"/>
    </font>
    <font>
      <b/>
      <u/>
      <sz val="10"/>
      <name val="Microsoft Sans Serif"/>
      <family val="2"/>
    </font>
    <font>
      <sz val="10"/>
      <name val="Microsoft Sans Serif"/>
      <family val="2"/>
    </font>
    <font>
      <b/>
      <sz val="14"/>
      <name val="Microsoft Sans Serif"/>
      <family val="2"/>
    </font>
    <font>
      <b/>
      <u/>
      <sz val="12"/>
      <name val="Times New Roman"/>
      <family val="1"/>
    </font>
    <font>
      <sz val="10"/>
      <name val="Times"/>
    </font>
    <font>
      <b/>
      <sz val="10"/>
      <name val="Times"/>
    </font>
    <font>
      <i/>
      <sz val="10"/>
      <name val="Arial"/>
      <family val="2"/>
    </font>
    <font>
      <sz val="10"/>
      <color indexed="10"/>
      <name val="Arial"/>
      <family val="2"/>
    </font>
    <font>
      <b/>
      <sz val="10"/>
      <color indexed="10"/>
      <name val="Arial"/>
      <family val="2"/>
    </font>
    <font>
      <u/>
      <sz val="10"/>
      <name val="Arial"/>
      <family val="2"/>
    </font>
    <font>
      <vertAlign val="superscript"/>
      <sz val="10"/>
      <name val="Arial"/>
      <family val="2"/>
    </font>
    <font>
      <b/>
      <i/>
      <sz val="10"/>
      <name val="Arial"/>
      <family val="2"/>
    </font>
    <font>
      <i/>
      <vertAlign val="subscript"/>
      <sz val="10"/>
      <color indexed="8"/>
      <name val="Arial"/>
      <family val="2"/>
    </font>
    <font>
      <i/>
      <sz val="10"/>
      <color indexed="8"/>
      <name val="Arial"/>
      <family val="2"/>
    </font>
    <font>
      <sz val="7"/>
      <name val="Times New Roman"/>
      <family val="1"/>
    </font>
    <font>
      <sz val="10"/>
      <name val="Symbol"/>
      <family val="1"/>
      <charset val="2"/>
    </font>
    <font>
      <sz val="10"/>
      <color indexed="63"/>
      <name val="Microsoft Sans Serif"/>
      <family val="2"/>
    </font>
    <font>
      <sz val="8"/>
      <name val="Arial"/>
    </font>
    <font>
      <b/>
      <sz val="28"/>
      <name val="Arial"/>
      <family val="2"/>
    </font>
    <font>
      <b/>
      <sz val="36"/>
      <name val="Arial"/>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4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6"/>
        <bgColor indexed="64"/>
      </patternFill>
    </fill>
    <fill>
      <patternFill patternType="solid">
        <fgColor indexed="48"/>
        <bgColor indexed="64"/>
      </patternFill>
    </fill>
  </fills>
  <borders count="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bottom/>
      <diagonal/>
    </border>
    <border>
      <left/>
      <right/>
      <top/>
      <bottom style="thin">
        <color indexed="64"/>
      </bottom>
      <diagonal/>
    </border>
    <border>
      <left style="double">
        <color indexed="64"/>
      </left>
      <right/>
      <top/>
      <bottom/>
      <diagonal/>
    </border>
    <border>
      <left/>
      <right style="double">
        <color indexed="64"/>
      </right>
      <top/>
      <bottom/>
      <diagonal/>
    </border>
    <border>
      <left style="thin">
        <color indexed="64"/>
      </left>
      <right/>
      <top style="thin">
        <color indexed="64"/>
      </top>
      <bottom style="thin">
        <color indexed="64"/>
      </bottom>
      <diagonal/>
    </border>
    <border>
      <left style="thin">
        <color indexed="64"/>
      </left>
      <right/>
      <top/>
      <bottom/>
      <diagonal/>
    </border>
    <border>
      <left/>
      <right style="double">
        <color indexed="64"/>
      </right>
      <top style="double">
        <color indexed="64"/>
      </top>
      <bottom/>
      <diagonal/>
    </border>
    <border>
      <left/>
      <right/>
      <top style="double">
        <color indexed="64"/>
      </top>
      <bottom/>
      <diagonal/>
    </border>
    <border>
      <left/>
      <right/>
      <top/>
      <bottom style="double">
        <color indexed="64"/>
      </bottom>
      <diagonal/>
    </border>
    <border>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right style="thin">
        <color indexed="64"/>
      </right>
      <top style="double">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8">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21" fillId="20" borderId="1" applyNumberFormat="0" applyAlignment="0" applyProtection="0"/>
    <xf numFmtId="0" fontId="22" fillId="21" borderId="2" applyNumberFormat="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9" fillId="7" borderId="1" applyNumberFormat="0" applyAlignment="0" applyProtection="0"/>
    <xf numFmtId="0" fontId="30" fillId="0" borderId="6" applyNumberFormat="0" applyFill="0" applyAlignment="0" applyProtection="0"/>
    <xf numFmtId="0" fontId="31" fillId="22" borderId="0" applyNumberFormat="0" applyBorder="0" applyAlignment="0" applyProtection="0"/>
    <xf numFmtId="0" fontId="1" fillId="0" borderId="0" applyBorder="0"/>
    <xf numFmtId="0" fontId="23" fillId="23" borderId="7" applyNumberFormat="0" applyFont="0" applyAlignment="0" applyProtection="0"/>
    <xf numFmtId="0" fontId="32" fillId="20" borderId="8" applyNumberFormat="0" applyAlignment="0" applyProtection="0"/>
    <xf numFmtId="9" fontId="1" fillId="0" borderId="0" applyFont="0" applyFill="0" applyBorder="0" applyAlignment="0" applyProtection="0"/>
    <xf numFmtId="0" fontId="33" fillId="0" borderId="0" applyNumberFormat="0" applyFill="0" applyBorder="0" applyAlignment="0" applyProtection="0"/>
    <xf numFmtId="0" fontId="34" fillId="0" borderId="9" applyNumberFormat="0" applyFill="0" applyAlignment="0" applyProtection="0"/>
    <xf numFmtId="41" fontId="5" fillId="0" borderId="0" applyFont="0" applyFill="0" applyBorder="0" applyAlignment="0" applyProtection="0"/>
    <xf numFmtId="43"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0" fontId="35" fillId="0" borderId="0" applyNumberFormat="0" applyFill="0" applyBorder="0" applyAlignment="0" applyProtection="0"/>
  </cellStyleXfs>
  <cellXfs count="1554">
    <xf numFmtId="0" fontId="0" fillId="0" borderId="0" xfId="0"/>
    <xf numFmtId="0" fontId="3" fillId="0" borderId="0" xfId="0" applyFont="1"/>
    <xf numFmtId="0" fontId="2" fillId="0" borderId="10" xfId="0" applyFont="1" applyBorder="1" applyAlignment="1">
      <alignment horizontal="center" vertical="top" wrapText="1"/>
    </xf>
    <xf numFmtId="0" fontId="2" fillId="0" borderId="10" xfId="0" applyFont="1" applyBorder="1" applyAlignment="1">
      <alignment horizontal="center"/>
    </xf>
    <xf numFmtId="0" fontId="2" fillId="0" borderId="10" xfId="0" applyFont="1" applyBorder="1" applyAlignment="1">
      <alignment vertical="top"/>
    </xf>
    <xf numFmtId="0" fontId="2" fillId="0" borderId="0" xfId="0" applyFont="1" applyAlignment="1">
      <alignment horizontal="center"/>
    </xf>
    <xf numFmtId="1" fontId="2" fillId="0" borderId="10" xfId="0" applyNumberFormat="1" applyFont="1" applyFill="1" applyBorder="1" applyAlignment="1">
      <alignment horizontal="center"/>
    </xf>
    <xf numFmtId="2" fontId="2" fillId="0" borderId="10" xfId="0" applyNumberFormat="1" applyFont="1" applyBorder="1" applyAlignment="1">
      <alignment horizontal="center"/>
    </xf>
    <xf numFmtId="1" fontId="3" fillId="0" borderId="10" xfId="0" applyNumberFormat="1" applyFont="1" applyFill="1" applyBorder="1" applyAlignment="1">
      <alignment horizontal="center"/>
    </xf>
    <xf numFmtId="2" fontId="3" fillId="0" borderId="10" xfId="0" applyNumberFormat="1" applyFont="1" applyBorder="1" applyAlignment="1">
      <alignment horizontal="center"/>
    </xf>
    <xf numFmtId="0" fontId="0" fillId="0" borderId="0" xfId="0" applyFill="1"/>
    <xf numFmtId="173" fontId="2" fillId="0" borderId="10" xfId="0" applyNumberFormat="1" applyFont="1" applyBorder="1" applyAlignment="1">
      <alignment horizontal="center"/>
    </xf>
    <xf numFmtId="174" fontId="2" fillId="0" borderId="10" xfId="0" applyNumberFormat="1" applyFont="1" applyBorder="1" applyAlignment="1">
      <alignment horizontal="center"/>
    </xf>
    <xf numFmtId="174" fontId="3" fillId="0" borderId="10" xfId="0" applyNumberFormat="1" applyFont="1" applyBorder="1" applyAlignment="1">
      <alignment horizontal="center"/>
    </xf>
    <xf numFmtId="0" fontId="0" fillId="0" borderId="10" xfId="0" applyBorder="1" applyAlignment="1">
      <alignment horizontal="center"/>
    </xf>
    <xf numFmtId="0" fontId="2" fillId="0" borderId="0" xfId="0" applyFont="1" applyFill="1" applyBorder="1" applyAlignment="1">
      <alignment vertical="center"/>
    </xf>
    <xf numFmtId="0" fontId="2" fillId="0" borderId="10" xfId="0" applyFont="1" applyFill="1" applyBorder="1" applyAlignment="1">
      <alignment horizontal="center"/>
    </xf>
    <xf numFmtId="0" fontId="2" fillId="0" borderId="0" xfId="0" applyFont="1" applyBorder="1" applyAlignment="1">
      <alignment horizontal="center" vertical="center"/>
    </xf>
    <xf numFmtId="0" fontId="3" fillId="0" borderId="0" xfId="0" applyFont="1" applyAlignment="1">
      <alignment vertical="center"/>
    </xf>
    <xf numFmtId="0" fontId="3" fillId="0" borderId="0" xfId="0" applyFont="1" applyFill="1" applyBorder="1" applyAlignment="1">
      <alignment vertical="center"/>
    </xf>
    <xf numFmtId="0" fontId="2" fillId="0" borderId="0" xfId="0" applyFont="1" applyAlignment="1">
      <alignment horizontal="left" vertical="center"/>
    </xf>
    <xf numFmtId="0" fontId="2" fillId="0" borderId="0" xfId="0" applyFont="1" applyAlignment="1">
      <alignment vertical="center"/>
    </xf>
    <xf numFmtId="3" fontId="2" fillId="0" borderId="10" xfId="0" applyNumberFormat="1" applyFont="1" applyBorder="1" applyAlignment="1">
      <alignment horizontal="center" vertical="center"/>
    </xf>
    <xf numFmtId="0" fontId="2" fillId="0" borderId="0" xfId="0" applyFont="1"/>
    <xf numFmtId="0" fontId="2" fillId="0" borderId="0" xfId="0" quotePrefix="1" applyFont="1" applyAlignment="1">
      <alignment horizontal="left" vertical="center"/>
    </xf>
    <xf numFmtId="0" fontId="2" fillId="0" borderId="0" xfId="0" applyFont="1" applyBorder="1" applyAlignment="1">
      <alignment horizontal="left" vertical="center"/>
    </xf>
    <xf numFmtId="0" fontId="3" fillId="0" borderId="0" xfId="0" applyFont="1" applyBorder="1" applyAlignment="1">
      <alignment vertical="center"/>
    </xf>
    <xf numFmtId="0" fontId="0" fillId="0" borderId="0" xfId="0" applyBorder="1" applyAlignment="1">
      <alignment horizontal="center"/>
    </xf>
    <xf numFmtId="0" fontId="0" fillId="0" borderId="0" xfId="0" applyBorder="1"/>
    <xf numFmtId="177" fontId="3" fillId="0" borderId="0" xfId="0" applyNumberFormat="1" applyFont="1" applyAlignment="1">
      <alignment vertical="center"/>
    </xf>
    <xf numFmtId="0" fontId="2" fillId="0" borderId="0" xfId="0" applyFont="1" applyBorder="1" applyAlignment="1">
      <alignment vertical="center"/>
    </xf>
    <xf numFmtId="0" fontId="0" fillId="0" borderId="0" xfId="0" applyBorder="1" applyAlignment="1">
      <alignment horizontal="left"/>
    </xf>
    <xf numFmtId="0" fontId="2" fillId="0" borderId="0" xfId="0" applyFont="1" applyBorder="1" applyAlignment="1">
      <alignment horizontal="center"/>
    </xf>
    <xf numFmtId="0" fontId="2" fillId="0" borderId="0" xfId="0" applyFont="1" applyBorder="1"/>
    <xf numFmtId="0" fontId="2" fillId="0" borderId="0" xfId="0" applyFont="1" applyFill="1" applyBorder="1"/>
    <xf numFmtId="0" fontId="1" fillId="0" borderId="0" xfId="37"/>
    <xf numFmtId="172" fontId="1" fillId="0" borderId="0" xfId="37" applyNumberFormat="1"/>
    <xf numFmtId="174" fontId="0" fillId="0" borderId="10" xfId="0" applyNumberFormat="1" applyBorder="1" applyAlignment="1">
      <alignment horizontal="center"/>
    </xf>
    <xf numFmtId="0" fontId="2" fillId="0" borderId="10" xfId="0" applyFont="1" applyFill="1" applyBorder="1" applyAlignment="1" applyProtection="1">
      <alignment horizontal="center" vertical="center"/>
      <protection locked="0"/>
    </xf>
    <xf numFmtId="0" fontId="0" fillId="24" borderId="10" xfId="0" applyFill="1" applyBorder="1" applyAlignment="1">
      <alignment horizontal="center"/>
    </xf>
    <xf numFmtId="2" fontId="2" fillId="0" borderId="10" xfId="0" applyNumberFormat="1" applyFont="1" applyFill="1" applyBorder="1" applyAlignment="1" applyProtection="1">
      <alignment horizontal="center" vertical="center"/>
      <protection locked="0"/>
    </xf>
    <xf numFmtId="172" fontId="0" fillId="0" borderId="10" xfId="0" applyNumberFormat="1" applyBorder="1" applyAlignment="1">
      <alignment horizontal="center"/>
    </xf>
    <xf numFmtId="172" fontId="2" fillId="0" borderId="10" xfId="0" applyNumberFormat="1" applyFont="1" applyBorder="1" applyAlignment="1">
      <alignment horizontal="center"/>
    </xf>
    <xf numFmtId="172" fontId="2" fillId="0" borderId="0" xfId="0" applyNumberFormat="1" applyFont="1" applyBorder="1" applyAlignment="1">
      <alignment horizontal="center"/>
    </xf>
    <xf numFmtId="172" fontId="0" fillId="0" borderId="0" xfId="0" applyNumberFormat="1"/>
    <xf numFmtId="172" fontId="0" fillId="0" borderId="10" xfId="0" applyNumberFormat="1" applyBorder="1" applyAlignment="1">
      <alignment horizontal="center" vertical="center" wrapText="1"/>
    </xf>
    <xf numFmtId="172" fontId="0" fillId="0" borderId="0" xfId="0" applyNumberFormat="1" applyAlignment="1">
      <alignment horizontal="center" vertical="center"/>
    </xf>
    <xf numFmtId="172" fontId="0" fillId="24" borderId="10" xfId="0" applyNumberFormat="1" applyFill="1" applyBorder="1" applyAlignment="1">
      <alignment horizontal="center" vertical="center" wrapText="1"/>
    </xf>
    <xf numFmtId="2" fontId="0" fillId="0" borderId="10" xfId="0" applyNumberFormat="1" applyBorder="1" applyAlignment="1">
      <alignment horizontal="center" vertical="center"/>
    </xf>
    <xf numFmtId="172" fontId="0" fillId="0" borderId="10" xfId="0" applyNumberFormat="1" applyBorder="1" applyAlignment="1">
      <alignment horizontal="center" vertical="center"/>
    </xf>
    <xf numFmtId="172" fontId="0" fillId="24" borderId="10" xfId="0" applyNumberFormat="1" applyFill="1" applyBorder="1" applyAlignment="1">
      <alignment horizontal="center" vertical="center"/>
    </xf>
    <xf numFmtId="1" fontId="0" fillId="0" borderId="10" xfId="0" applyNumberFormat="1" applyBorder="1" applyAlignment="1">
      <alignment horizontal="center" vertical="center"/>
    </xf>
    <xf numFmtId="2" fontId="0" fillId="0" borderId="0" xfId="0" applyNumberFormat="1" applyAlignment="1">
      <alignment horizontal="center" vertical="center"/>
    </xf>
    <xf numFmtId="1" fontId="2" fillId="0" borderId="10" xfId="0" applyNumberFormat="1" applyFont="1" applyFill="1" applyBorder="1" applyAlignment="1">
      <alignment horizontal="center" vertical="center"/>
    </xf>
    <xf numFmtId="172" fontId="39" fillId="0" borderId="0" xfId="0" applyNumberFormat="1" applyFont="1" applyFill="1" applyBorder="1" applyAlignment="1">
      <alignment horizontal="center" vertical="center" wrapText="1"/>
    </xf>
    <xf numFmtId="0" fontId="40" fillId="0" borderId="0" xfId="0" applyFont="1" applyFill="1" applyBorder="1" applyAlignment="1">
      <alignment horizontal="center" vertical="center" wrapText="1"/>
    </xf>
    <xf numFmtId="0" fontId="40" fillId="0" borderId="10" xfId="0" applyFont="1" applyFill="1" applyBorder="1" applyAlignment="1">
      <alignment horizontal="center" vertical="center" wrapText="1"/>
    </xf>
    <xf numFmtId="172" fontId="40" fillId="0" borderId="10" xfId="0" applyNumberFormat="1" applyFont="1" applyFill="1" applyBorder="1" applyAlignment="1">
      <alignment horizontal="center" vertical="center" wrapText="1"/>
    </xf>
    <xf numFmtId="0" fontId="0" fillId="0" borderId="0" xfId="0" applyAlignment="1"/>
    <xf numFmtId="172" fontId="2" fillId="0" borderId="10" xfId="0" applyNumberFormat="1" applyFont="1" applyFill="1" applyBorder="1" applyAlignment="1" applyProtection="1">
      <alignment horizontal="center" vertical="center"/>
      <protection locked="0"/>
    </xf>
    <xf numFmtId="0" fontId="2" fillId="0" borderId="11" xfId="0" applyFont="1" applyFill="1" applyBorder="1" applyAlignment="1">
      <alignment horizontal="center" vertical="center"/>
    </xf>
    <xf numFmtId="0" fontId="2" fillId="0" borderId="12" xfId="0" applyFont="1" applyFill="1" applyBorder="1" applyAlignment="1">
      <alignment horizontal="left" vertical="center" indent="3"/>
    </xf>
    <xf numFmtId="0" fontId="2" fillId="0" borderId="13" xfId="0" applyFont="1" applyFill="1" applyBorder="1" applyAlignment="1">
      <alignment vertical="center"/>
    </xf>
    <xf numFmtId="172" fontId="2" fillId="0" borderId="13" xfId="0" applyNumberFormat="1" applyFont="1" applyFill="1" applyBorder="1" applyAlignment="1">
      <alignment horizontal="center" vertical="center"/>
    </xf>
    <xf numFmtId="1" fontId="2" fillId="0" borderId="13" xfId="0" applyNumberFormat="1" applyFont="1" applyFill="1" applyBorder="1" applyAlignment="1">
      <alignment horizontal="center" vertical="center"/>
    </xf>
    <xf numFmtId="0" fontId="2" fillId="0" borderId="14" xfId="0" applyFont="1" applyFill="1" applyBorder="1" applyAlignment="1">
      <alignment vertical="center"/>
    </xf>
    <xf numFmtId="172"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3" fontId="0" fillId="0" borderId="0" xfId="0" applyNumberFormat="1"/>
    <xf numFmtId="0" fontId="0" fillId="0" borderId="10" xfId="0" applyBorder="1" applyAlignment="1">
      <alignment horizontal="center" vertical="top" wrapText="1"/>
    </xf>
    <xf numFmtId="0" fontId="2" fillId="0" borderId="0" xfId="0" applyFont="1" applyFill="1" applyBorder="1" applyAlignment="1">
      <alignment horizontal="center" vertical="center" wrapText="1"/>
    </xf>
    <xf numFmtId="0" fontId="2" fillId="0" borderId="15" xfId="0" applyFont="1" applyBorder="1"/>
    <xf numFmtId="0" fontId="2" fillId="0" borderId="16" xfId="0" applyFont="1" applyFill="1" applyBorder="1"/>
    <xf numFmtId="0" fontId="2" fillId="0" borderId="15" xfId="0" applyFont="1" applyFill="1" applyBorder="1" applyAlignment="1">
      <alignment horizontal="left" vertical="center" indent="3"/>
    </xf>
    <xf numFmtId="0" fontId="2" fillId="0" borderId="16" xfId="0" applyFont="1" applyFill="1" applyBorder="1" applyAlignment="1">
      <alignment vertical="center"/>
    </xf>
    <xf numFmtId="0" fontId="2" fillId="0" borderId="16" xfId="0" applyFont="1" applyBorder="1"/>
    <xf numFmtId="0" fontId="2" fillId="0" borderId="15" xfId="0" applyFont="1" applyBorder="1" applyAlignment="1">
      <alignment vertical="center"/>
    </xf>
    <xf numFmtId="0" fontId="2" fillId="0" borderId="16" xfId="0" applyFont="1" applyBorder="1" applyAlignment="1">
      <alignment vertical="center"/>
    </xf>
    <xf numFmtId="177" fontId="2" fillId="25" borderId="10" xfId="0" applyNumberFormat="1" applyFont="1" applyFill="1" applyBorder="1" applyAlignment="1" applyProtection="1">
      <alignment horizontal="center"/>
      <protection locked="0"/>
    </xf>
    <xf numFmtId="177" fontId="2" fillId="25" borderId="10" xfId="0" applyNumberFormat="1" applyFont="1" applyFill="1" applyBorder="1" applyProtection="1">
      <protection locked="0"/>
    </xf>
    <xf numFmtId="9" fontId="3" fillId="0" borderId="0" xfId="40" applyFont="1" applyAlignment="1">
      <alignment vertical="center"/>
    </xf>
    <xf numFmtId="173" fontId="2" fillId="0" borderId="0" xfId="0" applyNumberFormat="1" applyFont="1" applyFill="1" applyBorder="1" applyAlignment="1">
      <alignment horizontal="center"/>
    </xf>
    <xf numFmtId="0" fontId="2" fillId="0" borderId="0" xfId="0" applyFont="1" applyFill="1" applyBorder="1" applyAlignment="1">
      <alignment horizontal="center"/>
    </xf>
    <xf numFmtId="173" fontId="0" fillId="0" borderId="10" xfId="0" applyNumberFormat="1" applyBorder="1" applyAlignment="1">
      <alignment horizontal="center" vertical="center"/>
    </xf>
    <xf numFmtId="173" fontId="0" fillId="24" borderId="10" xfId="0" applyNumberFormat="1" applyFill="1" applyBorder="1" applyAlignment="1">
      <alignment horizontal="center"/>
    </xf>
    <xf numFmtId="173" fontId="0" fillId="24" borderId="10" xfId="0" applyNumberFormat="1" applyFill="1" applyBorder="1" applyAlignment="1">
      <alignment horizontal="center" vertical="center" wrapText="1"/>
    </xf>
    <xf numFmtId="173" fontId="0" fillId="24" borderId="10" xfId="0" applyNumberFormat="1" applyFill="1" applyBorder="1" applyAlignment="1">
      <alignment horizontal="center" vertical="center"/>
    </xf>
    <xf numFmtId="173" fontId="0" fillId="24" borderId="17" xfId="0" applyNumberFormat="1" applyFill="1" applyBorder="1" applyAlignment="1">
      <alignment horizontal="center" vertical="center"/>
    </xf>
    <xf numFmtId="3" fontId="0" fillId="0" borderId="10" xfId="0" applyNumberFormat="1" applyBorder="1" applyAlignment="1">
      <alignment horizontal="center" vertical="center"/>
    </xf>
    <xf numFmtId="3" fontId="0" fillId="24" borderId="10" xfId="0" applyNumberFormat="1" applyFill="1" applyBorder="1" applyAlignment="1">
      <alignment horizontal="center" vertical="center" wrapText="1"/>
    </xf>
    <xf numFmtId="3" fontId="0" fillId="24" borderId="10" xfId="0" applyNumberFormat="1" applyFill="1" applyBorder="1" applyAlignment="1">
      <alignment horizontal="center" vertical="center"/>
    </xf>
    <xf numFmtId="3" fontId="0" fillId="0" borderId="10" xfId="0" applyNumberFormat="1" applyFill="1" applyBorder="1" applyAlignment="1">
      <alignment horizontal="center" vertical="center"/>
    </xf>
    <xf numFmtId="2" fontId="0" fillId="0" borderId="10" xfId="0" applyNumberFormat="1" applyBorder="1" applyAlignment="1">
      <alignment horizontal="center" vertical="center" wrapText="1"/>
    </xf>
    <xf numFmtId="0" fontId="2" fillId="0" borderId="0" xfId="0" applyFont="1" applyFill="1" applyBorder="1" applyAlignment="1">
      <alignment horizontal="center" vertical="center"/>
    </xf>
    <xf numFmtId="4" fontId="2" fillId="0" borderId="10" xfId="0" applyNumberFormat="1" applyFont="1" applyBorder="1" applyAlignment="1">
      <alignment horizontal="center"/>
    </xf>
    <xf numFmtId="4" fontId="0" fillId="0" borderId="10" xfId="0" applyNumberFormat="1" applyBorder="1" applyAlignment="1">
      <alignment horizontal="center"/>
    </xf>
    <xf numFmtId="181" fontId="0" fillId="0" borderId="10" xfId="0" applyNumberFormat="1" applyBorder="1" applyAlignment="1">
      <alignment horizontal="center"/>
    </xf>
    <xf numFmtId="0" fontId="3" fillId="0" borderId="18" xfId="0" applyFont="1" applyBorder="1" applyAlignment="1">
      <alignment horizontal="center" vertical="center"/>
    </xf>
    <xf numFmtId="0" fontId="4" fillId="0" borderId="0" xfId="0" applyFont="1" applyAlignment="1">
      <alignment horizontal="center"/>
    </xf>
    <xf numFmtId="2" fontId="2" fillId="0" borderId="0" xfId="0" applyNumberFormat="1" applyFont="1" applyFill="1" applyBorder="1" applyAlignment="1">
      <alignment horizontal="center" vertical="center"/>
    </xf>
    <xf numFmtId="173" fontId="2" fillId="0" borderId="0"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3" fontId="2" fillId="0" borderId="0" xfId="0" applyNumberFormat="1" applyFont="1" applyFill="1" applyBorder="1" applyAlignment="1">
      <alignment horizontal="center"/>
    </xf>
    <xf numFmtId="0" fontId="2" fillId="0" borderId="0" xfId="0" applyFont="1" applyBorder="1" applyAlignment="1">
      <alignment horizontal="center" vertical="top" wrapText="1"/>
    </xf>
    <xf numFmtId="173" fontId="2" fillId="0" borderId="0" xfId="0" applyNumberFormat="1" applyFont="1" applyBorder="1" applyAlignment="1">
      <alignment horizontal="center"/>
    </xf>
    <xf numFmtId="174" fontId="2" fillId="0" borderId="0" xfId="0" applyNumberFormat="1" applyFont="1" applyBorder="1" applyAlignment="1">
      <alignment horizontal="center"/>
    </xf>
    <xf numFmtId="174" fontId="3" fillId="0" borderId="0" xfId="0" applyNumberFormat="1" applyFont="1" applyBorder="1" applyAlignment="1">
      <alignment horizontal="center"/>
    </xf>
    <xf numFmtId="0" fontId="3" fillId="0" borderId="0" xfId="0" applyFont="1" applyAlignment="1">
      <alignment horizontal="center"/>
    </xf>
    <xf numFmtId="0" fontId="3" fillId="0" borderId="0" xfId="0" applyFont="1" applyFill="1"/>
    <xf numFmtId="0" fontId="3" fillId="0" borderId="0" xfId="0" applyFont="1" applyFill="1" applyBorder="1"/>
    <xf numFmtId="0" fontId="3" fillId="0" borderId="0" xfId="0" applyFont="1" applyBorder="1" applyAlignment="1">
      <alignment horizontal="center" vertical="center"/>
    </xf>
    <xf numFmtId="1" fontId="3" fillId="0" borderId="0" xfId="0" applyNumberFormat="1" applyFont="1" applyAlignment="1">
      <alignment vertical="center"/>
    </xf>
    <xf numFmtId="0" fontId="2" fillId="0" borderId="0" xfId="0" applyFont="1" applyFill="1" applyBorder="1" applyAlignment="1">
      <alignment horizontal="center" vertical="top" wrapText="1"/>
    </xf>
    <xf numFmtId="0" fontId="2" fillId="0" borderId="0" xfId="0" applyFont="1" applyFill="1" applyBorder="1" applyAlignment="1" applyProtection="1">
      <alignment horizontal="center" vertical="center"/>
      <protection locked="0"/>
    </xf>
    <xf numFmtId="0" fontId="0" fillId="26" borderId="0" xfId="0" applyFill="1"/>
    <xf numFmtId="0" fontId="2" fillId="26" borderId="0" xfId="0" applyFont="1" applyFill="1" applyAlignment="1">
      <alignment horizontal="left" vertical="center"/>
    </xf>
    <xf numFmtId="0" fontId="2" fillId="26" borderId="0" xfId="0" applyFont="1" applyFill="1" applyBorder="1" applyAlignment="1">
      <alignment horizontal="left" vertical="center"/>
    </xf>
    <xf numFmtId="0" fontId="12" fillId="26" borderId="0" xfId="37" applyFont="1" applyFill="1" applyAlignment="1">
      <alignment horizontal="left"/>
    </xf>
    <xf numFmtId="0" fontId="3" fillId="26" borderId="0" xfId="37" applyFont="1" applyFill="1" applyAlignment="1">
      <alignment horizontal="left"/>
    </xf>
    <xf numFmtId="0" fontId="12" fillId="26" borderId="0" xfId="37" applyFont="1" applyFill="1"/>
    <xf numFmtId="172" fontId="2" fillId="26" borderId="0" xfId="37" applyNumberFormat="1" applyFont="1" applyFill="1" applyBorder="1" applyAlignment="1">
      <alignment horizontal="center"/>
    </xf>
    <xf numFmtId="0" fontId="3" fillId="26" borderId="0" xfId="0" applyFont="1" applyFill="1"/>
    <xf numFmtId="0" fontId="50" fillId="27" borderId="19" xfId="0" applyFont="1" applyFill="1" applyBorder="1" applyAlignment="1">
      <alignment horizontal="left" vertical="top" wrapText="1" indent="1"/>
    </xf>
    <xf numFmtId="0" fontId="50" fillId="27" borderId="0" xfId="0" applyFont="1" applyFill="1" applyBorder="1" applyAlignment="1">
      <alignment horizontal="left" vertical="top" wrapText="1" indent="1"/>
    </xf>
    <xf numFmtId="0" fontId="50" fillId="27" borderId="20" xfId="0" applyFont="1" applyFill="1" applyBorder="1" applyAlignment="1">
      <alignment horizontal="left" vertical="top" wrapText="1" indent="1"/>
    </xf>
    <xf numFmtId="0" fontId="54" fillId="27" borderId="0" xfId="0" applyFont="1" applyFill="1" applyBorder="1" applyAlignment="1">
      <alignment horizontal="left"/>
    </xf>
    <xf numFmtId="0" fontId="54" fillId="27" borderId="20" xfId="0" applyFont="1" applyFill="1" applyBorder="1" applyAlignment="1">
      <alignment horizontal="left"/>
    </xf>
    <xf numFmtId="0" fontId="0" fillId="26" borderId="0" xfId="0" applyFill="1" applyBorder="1"/>
    <xf numFmtId="0" fontId="3" fillId="26" borderId="10" xfId="0" applyFont="1" applyFill="1" applyBorder="1"/>
    <xf numFmtId="0" fontId="3" fillId="0" borderId="10" xfId="0" applyFont="1" applyFill="1" applyBorder="1" applyAlignment="1">
      <alignment horizontal="center"/>
    </xf>
    <xf numFmtId="3" fontId="3" fillId="0" borderId="10" xfId="0" applyNumberFormat="1" applyFont="1" applyBorder="1" applyAlignment="1">
      <alignment horizontal="center" vertical="center"/>
    </xf>
    <xf numFmtId="0" fontId="3" fillId="0" borderId="10" xfId="0" applyFont="1" applyBorder="1" applyAlignment="1">
      <alignment horizontal="center"/>
    </xf>
    <xf numFmtId="178" fontId="3" fillId="0" borderId="0" xfId="0" applyNumberFormat="1" applyFont="1" applyAlignment="1">
      <alignment vertical="center"/>
    </xf>
    <xf numFmtId="0" fontId="62" fillId="0" borderId="0" xfId="0" applyFont="1"/>
    <xf numFmtId="0" fontId="62" fillId="0" borderId="0" xfId="0" applyFont="1" applyFill="1" applyBorder="1"/>
    <xf numFmtId="0" fontId="3" fillId="0" borderId="10" xfId="0" applyFont="1" applyBorder="1" applyAlignment="1">
      <alignment horizontal="left" vertical="center"/>
    </xf>
    <xf numFmtId="0" fontId="3" fillId="0" borderId="21" xfId="0" applyFont="1" applyBorder="1" applyAlignment="1">
      <alignment horizontal="center" vertical="center"/>
    </xf>
    <xf numFmtId="0" fontId="3" fillId="0" borderId="10" xfId="0" applyFont="1" applyBorder="1" applyAlignment="1">
      <alignment horizontal="center" vertical="center"/>
    </xf>
    <xf numFmtId="0" fontId="10" fillId="0" borderId="0" xfId="0" quotePrefix="1" applyFont="1" applyAlignment="1">
      <alignment horizontal="left" vertical="center"/>
    </xf>
    <xf numFmtId="0" fontId="10" fillId="0" borderId="0" xfId="0" quotePrefix="1" applyFont="1" applyAlignment="1">
      <alignment vertical="center"/>
    </xf>
    <xf numFmtId="0" fontId="10" fillId="0" borderId="0" xfId="0" quotePrefix="1" applyFont="1" applyFill="1" applyAlignment="1">
      <alignment horizontal="left" vertical="center"/>
    </xf>
    <xf numFmtId="0" fontId="3" fillId="0" borderId="0" xfId="0" applyFont="1" applyAlignment="1">
      <alignment horizontal="left" vertical="center"/>
    </xf>
    <xf numFmtId="0" fontId="3" fillId="0" borderId="0" xfId="0" quotePrefix="1" applyFont="1" applyAlignment="1">
      <alignment horizontal="left" vertical="center"/>
    </xf>
    <xf numFmtId="172" fontId="3" fillId="0" borderId="10" xfId="0" applyNumberFormat="1" applyFont="1" applyBorder="1" applyAlignment="1">
      <alignment horizontal="center" vertical="center"/>
    </xf>
    <xf numFmtId="2" fontId="3" fillId="0" borderId="21" xfId="0" applyNumberFormat="1" applyFont="1" applyBorder="1" applyAlignment="1">
      <alignment horizontal="center" vertical="center"/>
    </xf>
    <xf numFmtId="2" fontId="3" fillId="0" borderId="10" xfId="0" applyNumberFormat="1" applyFont="1" applyBorder="1" applyAlignment="1">
      <alignment horizontal="center" vertical="center"/>
    </xf>
    <xf numFmtId="2" fontId="3" fillId="0" borderId="10" xfId="0" applyNumberFormat="1" applyFont="1" applyFill="1" applyBorder="1" applyAlignment="1">
      <alignment horizontal="center" vertical="center"/>
    </xf>
    <xf numFmtId="2" fontId="3" fillId="0" borderId="21" xfId="0" applyNumberFormat="1" applyFont="1" applyFill="1" applyBorder="1" applyAlignment="1">
      <alignment horizontal="center" vertical="center"/>
    </xf>
    <xf numFmtId="0" fontId="3" fillId="0" borderId="0" xfId="0" applyFont="1" applyFill="1" applyAlignment="1">
      <alignment horizontal="left"/>
    </xf>
    <xf numFmtId="172" fontId="3" fillId="0" borderId="21" xfId="0" applyNumberFormat="1" applyFont="1" applyFill="1" applyBorder="1" applyAlignment="1">
      <alignment horizontal="center" vertical="center"/>
    </xf>
    <xf numFmtId="172" fontId="3" fillId="0" borderId="10" xfId="0" applyNumberFormat="1" applyFont="1" applyFill="1" applyBorder="1" applyAlignment="1">
      <alignment horizontal="center" vertical="center"/>
    </xf>
    <xf numFmtId="172" fontId="3" fillId="0" borderId="21" xfId="0" applyNumberFormat="1" applyFont="1" applyBorder="1" applyAlignment="1">
      <alignment horizontal="center" vertical="center"/>
    </xf>
    <xf numFmtId="4" fontId="3" fillId="0" borderId="21" xfId="0" applyNumberFormat="1" applyFont="1" applyBorder="1" applyAlignment="1">
      <alignment horizontal="center" vertical="center"/>
    </xf>
    <xf numFmtId="3" fontId="3" fillId="27" borderId="10" xfId="0" applyNumberFormat="1" applyFont="1" applyFill="1" applyBorder="1" applyAlignment="1">
      <alignment horizontal="center" vertical="center"/>
    </xf>
    <xf numFmtId="3" fontId="3" fillId="0" borderId="10" xfId="0" applyNumberFormat="1" applyFont="1" applyFill="1" applyBorder="1" applyAlignment="1">
      <alignment horizontal="center"/>
    </xf>
    <xf numFmtId="4" fontId="3" fillId="0" borderId="10" xfId="0" applyNumberFormat="1" applyFont="1" applyFill="1" applyBorder="1" applyAlignment="1">
      <alignment horizontal="center"/>
    </xf>
    <xf numFmtId="177" fontId="3" fillId="0" borderId="10" xfId="0" applyNumberFormat="1" applyFont="1" applyFill="1" applyBorder="1" applyAlignment="1">
      <alignment horizontal="center"/>
    </xf>
    <xf numFmtId="10" fontId="3" fillId="0" borderId="10" xfId="40" applyNumberFormat="1" applyFont="1" applyFill="1" applyBorder="1" applyAlignment="1">
      <alignment horizontal="center"/>
    </xf>
    <xf numFmtId="179" fontId="3" fillId="0" borderId="10" xfId="40" applyNumberFormat="1" applyFont="1" applyFill="1" applyBorder="1" applyAlignment="1">
      <alignment horizontal="center"/>
    </xf>
    <xf numFmtId="0" fontId="3" fillId="0" borderId="0" xfId="0" applyFont="1" applyBorder="1" applyAlignment="1">
      <alignment horizontal="left" vertical="center"/>
    </xf>
    <xf numFmtId="0" fontId="48" fillId="0" borderId="0" xfId="0" applyFont="1" applyBorder="1" applyAlignment="1">
      <alignment horizontal="left" vertical="center" wrapText="1"/>
    </xf>
    <xf numFmtId="3" fontId="3" fillId="0" borderId="0" xfId="0" applyNumberFormat="1" applyFont="1" applyBorder="1" applyAlignment="1">
      <alignment horizontal="center" vertical="center"/>
    </xf>
    <xf numFmtId="173" fontId="3" fillId="0" borderId="10" xfId="0" applyNumberFormat="1" applyFont="1" applyBorder="1" applyAlignment="1">
      <alignment horizontal="center" vertical="center"/>
    </xf>
    <xf numFmtId="173" fontId="3" fillId="0" borderId="10" xfId="0" applyNumberFormat="1" applyFont="1" applyFill="1" applyBorder="1" applyAlignment="1">
      <alignment horizontal="center" vertical="center"/>
    </xf>
    <xf numFmtId="3" fontId="3" fillId="0" borderId="10" xfId="0" applyNumberFormat="1" applyFont="1" applyFill="1" applyBorder="1" applyAlignment="1">
      <alignment horizontal="center" vertical="center"/>
    </xf>
    <xf numFmtId="0" fontId="3" fillId="0" borderId="10" xfId="0" applyFont="1" applyFill="1" applyBorder="1" applyAlignment="1">
      <alignment horizontal="left" vertical="center"/>
    </xf>
    <xf numFmtId="0" fontId="3" fillId="0" borderId="10" xfId="0" applyFont="1" applyFill="1" applyBorder="1" applyAlignment="1">
      <alignment vertical="center"/>
    </xf>
    <xf numFmtId="3" fontId="3" fillId="0" borderId="21" xfId="0" applyNumberFormat="1" applyFont="1" applyFill="1" applyBorder="1" applyAlignment="1">
      <alignment horizontal="center" vertical="center"/>
    </xf>
    <xf numFmtId="0" fontId="3" fillId="0" borderId="0" xfId="0" quotePrefix="1" applyFont="1" applyAlignment="1">
      <alignment vertical="center"/>
    </xf>
    <xf numFmtId="0" fontId="3" fillId="0" borderId="10" xfId="0" applyFont="1" applyBorder="1" applyAlignment="1">
      <alignment vertical="center"/>
    </xf>
    <xf numFmtId="177" fontId="3" fillId="25" borderId="10" xfId="0" applyNumberFormat="1" applyFont="1" applyFill="1" applyBorder="1" applyAlignment="1" applyProtection="1">
      <alignment horizontal="center" vertical="center"/>
      <protection locked="0"/>
    </xf>
    <xf numFmtId="177" fontId="3" fillId="0" borderId="0" xfId="0" applyNumberFormat="1" applyFont="1" applyFill="1" applyBorder="1" applyAlignment="1" applyProtection="1">
      <alignment horizontal="center" vertical="center"/>
      <protection locked="0"/>
    </xf>
    <xf numFmtId="0" fontId="3" fillId="0" borderId="0" xfId="0" applyFont="1" applyFill="1" applyAlignment="1">
      <alignment horizontal="left" vertical="center"/>
    </xf>
    <xf numFmtId="178" fontId="3" fillId="0" borderId="0" xfId="0" applyNumberFormat="1" applyFont="1"/>
    <xf numFmtId="178" fontId="3" fillId="0" borderId="0" xfId="0" applyNumberFormat="1" applyFont="1" applyBorder="1" applyAlignment="1">
      <alignment horizontal="left" vertical="center"/>
    </xf>
    <xf numFmtId="0" fontId="3" fillId="0" borderId="15" xfId="0" applyFont="1" applyBorder="1" applyAlignment="1">
      <alignment vertical="center"/>
    </xf>
    <xf numFmtId="0" fontId="3" fillId="0" borderId="16" xfId="0" applyFont="1" applyFill="1" applyBorder="1" applyAlignment="1">
      <alignment vertical="center"/>
    </xf>
    <xf numFmtId="172" fontId="3" fillId="27" borderId="10" xfId="0" applyNumberFormat="1" applyFont="1" applyFill="1" applyBorder="1" applyAlignment="1" applyProtection="1">
      <alignment horizontal="center" vertical="center"/>
      <protection locked="0"/>
    </xf>
    <xf numFmtId="2" fontId="3" fillId="0" borderId="10" xfId="0" applyNumberFormat="1" applyFont="1" applyFill="1" applyBorder="1" applyAlignment="1" applyProtection="1">
      <alignment horizontal="center" vertical="center"/>
      <protection locked="0"/>
    </xf>
    <xf numFmtId="1" fontId="3" fillId="0" borderId="10" xfId="0" applyNumberFormat="1" applyFont="1" applyFill="1" applyBorder="1" applyAlignment="1">
      <alignment horizontal="center" vertical="center"/>
    </xf>
    <xf numFmtId="0" fontId="3" fillId="0" borderId="11" xfId="0" applyFont="1" applyFill="1" applyBorder="1" applyAlignment="1">
      <alignment horizontal="center" vertical="center"/>
    </xf>
    <xf numFmtId="0" fontId="3" fillId="0" borderId="10" xfId="0" applyFont="1" applyFill="1" applyBorder="1" applyAlignment="1" applyProtection="1">
      <alignment horizontal="center" vertical="center"/>
      <protection locked="0"/>
    </xf>
    <xf numFmtId="0" fontId="3" fillId="0" borderId="12" xfId="0" applyFont="1" applyFill="1" applyBorder="1" applyAlignment="1">
      <alignment vertical="center"/>
    </xf>
    <xf numFmtId="0" fontId="3" fillId="0" borderId="13" xfId="0" applyFont="1" applyFill="1" applyBorder="1" applyAlignment="1">
      <alignment vertical="center"/>
    </xf>
    <xf numFmtId="172" fontId="3" fillId="27" borderId="13" xfId="0" applyNumberFormat="1" applyFont="1" applyFill="1" applyBorder="1" applyAlignment="1">
      <alignment horizontal="center" vertical="center"/>
    </xf>
    <xf numFmtId="1" fontId="3" fillId="0" borderId="13" xfId="0" applyNumberFormat="1" applyFont="1" applyFill="1" applyBorder="1" applyAlignment="1">
      <alignment horizontal="center" vertical="center"/>
    </xf>
    <xf numFmtId="0" fontId="3" fillId="0" borderId="14" xfId="0" applyFont="1" applyFill="1" applyBorder="1" applyAlignment="1">
      <alignment vertical="center"/>
    </xf>
    <xf numFmtId="0" fontId="3" fillId="0" borderId="15" xfId="0" applyFont="1" applyFill="1" applyBorder="1" applyAlignment="1">
      <alignment horizontal="left" vertical="center" indent="3"/>
    </xf>
    <xf numFmtId="172" fontId="3" fillId="0" borderId="0" xfId="0" applyNumberFormat="1" applyFont="1" applyFill="1" applyBorder="1" applyAlignment="1">
      <alignment horizontal="center" vertical="center"/>
    </xf>
    <xf numFmtId="1" fontId="3" fillId="0" borderId="0" xfId="0" applyNumberFormat="1" applyFont="1" applyFill="1" applyBorder="1" applyAlignment="1">
      <alignment horizontal="center" vertical="center"/>
    </xf>
    <xf numFmtId="0" fontId="3" fillId="0" borderId="16" xfId="0" applyFont="1" applyBorder="1" applyAlignment="1">
      <alignment vertical="center"/>
    </xf>
    <xf numFmtId="0" fontId="3" fillId="0" borderId="12" xfId="0" applyFont="1" applyFill="1" applyBorder="1" applyAlignment="1">
      <alignment horizontal="left" vertical="center" indent="3"/>
    </xf>
    <xf numFmtId="172" fontId="3" fillId="28" borderId="10" xfId="0" applyNumberFormat="1" applyFont="1" applyFill="1" applyBorder="1" applyAlignment="1" applyProtection="1">
      <alignment horizontal="center" vertical="center"/>
      <protection locked="0"/>
    </xf>
    <xf numFmtId="172" fontId="3" fillId="28" borderId="13" xfId="0" applyNumberFormat="1" applyFont="1" applyFill="1" applyBorder="1" applyAlignment="1">
      <alignment horizontal="center" vertical="center"/>
    </xf>
    <xf numFmtId="172" fontId="3" fillId="29" borderId="10" xfId="0" applyNumberFormat="1" applyFont="1" applyFill="1" applyBorder="1" applyAlignment="1" applyProtection="1">
      <alignment horizontal="center" vertical="center"/>
      <protection locked="0"/>
    </xf>
    <xf numFmtId="172" fontId="3" fillId="29" borderId="13" xfId="0" applyNumberFormat="1" applyFont="1" applyFill="1" applyBorder="1" applyAlignment="1">
      <alignment horizontal="center" vertical="center"/>
    </xf>
    <xf numFmtId="172" fontId="3" fillId="30" borderId="10" xfId="0" applyNumberFormat="1" applyFont="1" applyFill="1" applyBorder="1" applyAlignment="1" applyProtection="1">
      <alignment horizontal="center" vertical="center"/>
      <protection locked="0"/>
    </xf>
    <xf numFmtId="172" fontId="3" fillId="30" borderId="13" xfId="0" applyNumberFormat="1" applyFont="1" applyFill="1" applyBorder="1" applyAlignment="1">
      <alignment horizontal="center" vertical="center"/>
    </xf>
    <xf numFmtId="0" fontId="3" fillId="0" borderId="10" xfId="0" applyFont="1" applyFill="1" applyBorder="1" applyAlignment="1">
      <alignment horizontal="center" vertical="center"/>
    </xf>
    <xf numFmtId="0" fontId="7" fillId="0" borderId="10" xfId="0" applyFont="1" applyFill="1" applyBorder="1" applyAlignment="1" applyProtection="1">
      <alignment horizontal="center" vertical="center"/>
      <protection locked="0"/>
    </xf>
    <xf numFmtId="3" fontId="7" fillId="0" borderId="10" xfId="0" applyNumberFormat="1" applyFont="1" applyFill="1" applyBorder="1" applyAlignment="1" applyProtection="1">
      <alignment horizontal="center" vertical="center"/>
      <protection locked="0"/>
    </xf>
    <xf numFmtId="4" fontId="3" fillId="0" borderId="10" xfId="0" applyNumberFormat="1" applyFont="1" applyFill="1" applyBorder="1" applyAlignment="1">
      <alignment horizontal="center" vertical="center"/>
    </xf>
    <xf numFmtId="172" fontId="3" fillId="0" borderId="10" xfId="0" applyNumberFormat="1" applyFont="1" applyFill="1" applyBorder="1" applyAlignment="1">
      <alignment horizontal="center" vertical="center" wrapText="1"/>
    </xf>
    <xf numFmtId="0" fontId="3" fillId="27" borderId="0" xfId="0" applyFont="1" applyFill="1" applyAlignment="1">
      <alignment vertical="center"/>
    </xf>
    <xf numFmtId="3" fontId="3" fillId="25" borderId="10" xfId="0" applyNumberFormat="1" applyFont="1" applyFill="1" applyBorder="1" applyAlignment="1">
      <alignment horizontal="center" vertical="center"/>
    </xf>
    <xf numFmtId="177" fontId="3" fillId="0" borderId="10" xfId="0" applyNumberFormat="1" applyFont="1" applyFill="1" applyBorder="1" applyAlignment="1">
      <alignment horizontal="center" vertical="center"/>
    </xf>
    <xf numFmtId="9" fontId="3" fillId="25" borderId="10" xfId="40" applyFont="1" applyFill="1" applyBorder="1" applyAlignment="1">
      <alignment horizontal="center" vertical="center"/>
    </xf>
    <xf numFmtId="9" fontId="3" fillId="25" borderId="10" xfId="40" applyNumberFormat="1" applyFont="1" applyFill="1" applyBorder="1" applyAlignment="1">
      <alignment horizontal="center" vertical="center"/>
    </xf>
    <xf numFmtId="10" fontId="3" fillId="0" borderId="10" xfId="40" applyNumberFormat="1" applyFont="1" applyFill="1" applyBorder="1" applyAlignment="1">
      <alignment horizontal="center" vertical="center"/>
    </xf>
    <xf numFmtId="179" fontId="3" fillId="25" borderId="10" xfId="40" applyNumberFormat="1" applyFont="1" applyFill="1" applyBorder="1" applyAlignment="1">
      <alignment horizontal="center" vertical="center"/>
    </xf>
    <xf numFmtId="179" fontId="3" fillId="0" borderId="10" xfId="0" applyNumberFormat="1" applyFont="1" applyFill="1" applyBorder="1" applyAlignment="1">
      <alignment vertical="center"/>
    </xf>
    <xf numFmtId="179" fontId="3" fillId="0" borderId="10" xfId="40" applyNumberFormat="1" applyFont="1" applyFill="1" applyBorder="1" applyAlignment="1">
      <alignment horizontal="center" vertical="center"/>
    </xf>
    <xf numFmtId="179" fontId="3" fillId="0" borderId="0" xfId="40" applyNumberFormat="1" applyFont="1" applyAlignment="1">
      <alignment vertical="center"/>
    </xf>
    <xf numFmtId="0" fontId="48" fillId="0" borderId="0" xfId="0" applyFont="1" applyAlignment="1">
      <alignment horizontal="left" vertical="center"/>
    </xf>
    <xf numFmtId="0" fontId="48" fillId="0" borderId="0" xfId="0" applyFont="1" applyAlignment="1">
      <alignment vertical="center"/>
    </xf>
    <xf numFmtId="172" fontId="3" fillId="0" borderId="22" xfId="0" applyNumberFormat="1" applyFont="1" applyFill="1" applyBorder="1" applyAlignment="1">
      <alignment horizontal="center" vertical="center"/>
    </xf>
    <xf numFmtId="2" fontId="3" fillId="0" borderId="22" xfId="0" applyNumberFormat="1" applyFont="1" applyFill="1" applyBorder="1" applyAlignment="1">
      <alignment horizontal="center" vertical="center"/>
    </xf>
    <xf numFmtId="172" fontId="3" fillId="0" borderId="0" xfId="0" applyNumberFormat="1" applyFont="1" applyAlignment="1">
      <alignment horizontal="center" vertical="center"/>
    </xf>
    <xf numFmtId="179" fontId="3" fillId="0" borderId="10" xfId="40" applyNumberFormat="1" applyFont="1" applyBorder="1" applyAlignment="1">
      <alignment horizontal="center" vertical="center"/>
    </xf>
    <xf numFmtId="3" fontId="3" fillId="0" borderId="10" xfId="40" applyNumberFormat="1" applyFont="1" applyBorder="1" applyAlignment="1">
      <alignment horizontal="center" vertical="center"/>
    </xf>
    <xf numFmtId="179" fontId="3" fillId="0" borderId="0" xfId="40" applyNumberFormat="1" applyFont="1" applyBorder="1" applyAlignment="1">
      <alignment horizontal="center" vertical="center"/>
    </xf>
    <xf numFmtId="3" fontId="3" fillId="0" borderId="0" xfId="40" applyNumberFormat="1" applyFont="1" applyBorder="1" applyAlignment="1">
      <alignment horizontal="center" vertical="center"/>
    </xf>
    <xf numFmtId="3" fontId="3" fillId="0" borderId="21" xfId="0" applyNumberFormat="1" applyFont="1" applyBorder="1" applyAlignment="1">
      <alignment horizontal="center" vertical="center"/>
    </xf>
    <xf numFmtId="3" fontId="3" fillId="0" borderId="0" xfId="0" applyNumberFormat="1" applyFont="1" applyAlignment="1">
      <alignment vertical="center"/>
    </xf>
    <xf numFmtId="178" fontId="3" fillId="0" borderId="10" xfId="0" applyNumberFormat="1" applyFont="1" applyBorder="1" applyAlignment="1">
      <alignment horizontal="center" vertical="center"/>
    </xf>
    <xf numFmtId="0" fontId="48" fillId="0" borderId="0" xfId="0" applyFont="1" applyBorder="1" applyAlignment="1">
      <alignment horizontal="center" vertical="center"/>
    </xf>
    <xf numFmtId="0" fontId="14" fillId="0" borderId="0" xfId="0" applyFont="1" applyBorder="1" applyAlignment="1">
      <alignment horizontal="center" vertical="center"/>
    </xf>
    <xf numFmtId="172" fontId="3" fillId="0" borderId="0" xfId="0" applyNumberFormat="1" applyFont="1" applyBorder="1" applyAlignment="1">
      <alignment horizontal="center" vertical="center"/>
    </xf>
    <xf numFmtId="178" fontId="3" fillId="0" borderId="0" xfId="0" applyNumberFormat="1" applyFont="1" applyBorder="1" applyAlignment="1">
      <alignment horizontal="center" vertical="center"/>
    </xf>
    <xf numFmtId="9" fontId="3" fillId="0" borderId="0" xfId="40" applyFont="1" applyFill="1" applyBorder="1" applyAlignment="1" applyProtection="1">
      <alignment horizontal="center" vertical="center"/>
      <protection locked="0"/>
    </xf>
    <xf numFmtId="0" fontId="3" fillId="0" borderId="0" xfId="0" applyFont="1" applyFill="1" applyBorder="1" applyAlignment="1">
      <alignment horizontal="center" vertical="center" wrapText="1"/>
    </xf>
    <xf numFmtId="2" fontId="3" fillId="0" borderId="0" xfId="0" applyNumberFormat="1" applyFont="1" applyFill="1" applyBorder="1" applyAlignment="1">
      <alignment horizontal="center" vertical="center"/>
    </xf>
    <xf numFmtId="0" fontId="2" fillId="27" borderId="23" xfId="0" applyFont="1" applyFill="1" applyBorder="1" applyAlignment="1">
      <alignment horizontal="left" vertical="center"/>
    </xf>
    <xf numFmtId="0" fontId="2" fillId="27" borderId="24" xfId="0" applyFont="1" applyFill="1" applyBorder="1" applyAlignment="1">
      <alignment horizontal="left"/>
    </xf>
    <xf numFmtId="0" fontId="2" fillId="26" borderId="10" xfId="0" applyFont="1" applyFill="1" applyBorder="1" applyAlignment="1">
      <alignment horizontal="center" vertical="top"/>
    </xf>
    <xf numFmtId="0" fontId="2" fillId="0" borderId="0" xfId="0" applyFont="1" applyFill="1"/>
    <xf numFmtId="0" fontId="2" fillId="0" borderId="0" xfId="0" applyFont="1" applyFill="1" applyBorder="1" applyAlignment="1">
      <alignment horizontal="center" vertical="top"/>
    </xf>
    <xf numFmtId="172" fontId="2" fillId="0" borderId="0" xfId="0" applyNumberFormat="1" applyFont="1" applyFill="1" applyBorder="1" applyAlignment="1">
      <alignment horizontal="center"/>
    </xf>
    <xf numFmtId="177" fontId="0" fillId="0" borderId="0" xfId="0" applyNumberFormat="1" applyFill="1"/>
    <xf numFmtId="0" fontId="2" fillId="26" borderId="0" xfId="0" applyFont="1" applyFill="1" applyBorder="1" applyAlignment="1">
      <alignment horizontal="left"/>
    </xf>
    <xf numFmtId="0" fontId="16" fillId="26" borderId="0" xfId="0" applyFont="1" applyFill="1" applyAlignment="1">
      <alignment horizontal="left" vertical="top" wrapText="1"/>
    </xf>
    <xf numFmtId="0" fontId="2" fillId="26" borderId="0" xfId="0" applyFont="1" applyFill="1" applyBorder="1" applyAlignment="1">
      <alignment horizontal="left" vertical="center" wrapText="1"/>
    </xf>
    <xf numFmtId="0" fontId="0" fillId="26" borderId="0" xfId="0" applyFill="1" applyBorder="1" applyAlignment="1">
      <alignment horizontal="left"/>
    </xf>
    <xf numFmtId="0" fontId="16" fillId="27" borderId="24" xfId="0" applyFont="1" applyFill="1" applyBorder="1" applyAlignment="1">
      <alignment horizontal="left" vertical="top" wrapText="1"/>
    </xf>
    <xf numFmtId="0" fontId="16" fillId="27" borderId="23" xfId="0" applyFont="1" applyFill="1" applyBorder="1" applyAlignment="1">
      <alignment horizontal="left" vertical="top" wrapText="1"/>
    </xf>
    <xf numFmtId="0" fontId="2" fillId="27" borderId="0" xfId="0" applyFont="1" applyFill="1" applyBorder="1" applyAlignment="1">
      <alignment horizontal="left" vertical="center"/>
    </xf>
    <xf numFmtId="0" fontId="2" fillId="27" borderId="20" xfId="0" applyFont="1" applyFill="1" applyBorder="1" applyAlignment="1">
      <alignment horizontal="left" vertical="center"/>
    </xf>
    <xf numFmtId="0" fontId="2" fillId="27" borderId="25" xfId="0" applyFont="1" applyFill="1" applyBorder="1" applyAlignment="1">
      <alignment horizontal="left" vertical="center"/>
    </xf>
    <xf numFmtId="0" fontId="2" fillId="27" borderId="26" xfId="0" applyFont="1" applyFill="1" applyBorder="1" applyAlignment="1">
      <alignment horizontal="left" vertical="center"/>
    </xf>
    <xf numFmtId="0" fontId="0" fillId="27" borderId="24" xfId="0" applyFill="1" applyBorder="1"/>
    <xf numFmtId="0" fontId="16" fillId="27" borderId="0" xfId="0" applyFont="1" applyFill="1" applyBorder="1" applyAlignment="1">
      <alignment horizontal="left" vertical="top" wrapText="1"/>
    </xf>
    <xf numFmtId="0" fontId="2" fillId="27" borderId="0" xfId="0" applyFont="1" applyFill="1" applyBorder="1" applyAlignment="1">
      <alignment horizontal="left"/>
    </xf>
    <xf numFmtId="0" fontId="0" fillId="27" borderId="0" xfId="0" applyFill="1" applyBorder="1"/>
    <xf numFmtId="0" fontId="16" fillId="27" borderId="20" xfId="0" applyFont="1" applyFill="1" applyBorder="1" applyAlignment="1">
      <alignment horizontal="left" vertical="top" wrapText="1"/>
    </xf>
    <xf numFmtId="0" fontId="2" fillId="27" borderId="0" xfId="0" applyFont="1" applyFill="1" applyBorder="1" applyAlignment="1">
      <alignment horizontal="left" vertical="center" wrapText="1"/>
    </xf>
    <xf numFmtId="0" fontId="0" fillId="27" borderId="20" xfId="0" applyFill="1" applyBorder="1" applyAlignment="1">
      <alignment horizontal="left"/>
    </xf>
    <xf numFmtId="0" fontId="0" fillId="27" borderId="25" xfId="0" applyFill="1" applyBorder="1"/>
    <xf numFmtId="0" fontId="2" fillId="27" borderId="25" xfId="0" applyFont="1" applyFill="1" applyBorder="1" applyAlignment="1">
      <alignment horizontal="left" vertical="center" wrapText="1"/>
    </xf>
    <xf numFmtId="0" fontId="2" fillId="27" borderId="24" xfId="0" applyFont="1" applyFill="1" applyBorder="1" applyAlignment="1">
      <alignment horizontal="left" vertical="center"/>
    </xf>
    <xf numFmtId="0" fontId="0" fillId="27" borderId="0" xfId="0" applyFill="1" applyBorder="1" applyAlignment="1">
      <alignment horizontal="left"/>
    </xf>
    <xf numFmtId="0" fontId="0" fillId="27" borderId="26" xfId="0" applyFill="1" applyBorder="1" applyAlignment="1">
      <alignment horizontal="left"/>
    </xf>
    <xf numFmtId="0" fontId="0" fillId="27" borderId="23" xfId="0" applyFill="1" applyBorder="1" applyAlignment="1">
      <alignment horizontal="left"/>
    </xf>
    <xf numFmtId="0" fontId="2" fillId="27" borderId="25" xfId="0" applyFont="1" applyFill="1" applyBorder="1" applyAlignment="1">
      <alignment horizontal="left"/>
    </xf>
    <xf numFmtId="0" fontId="0" fillId="27" borderId="25" xfId="0" applyFill="1" applyBorder="1" applyAlignment="1">
      <alignment horizontal="left"/>
    </xf>
    <xf numFmtId="0" fontId="0" fillId="27" borderId="24" xfId="0" applyFill="1" applyBorder="1" applyAlignment="1">
      <alignment horizontal="left"/>
    </xf>
    <xf numFmtId="0" fontId="2" fillId="27" borderId="24" xfId="0" applyFont="1" applyFill="1" applyBorder="1" applyAlignment="1">
      <alignment horizontal="left" vertical="center" wrapText="1"/>
    </xf>
    <xf numFmtId="0" fontId="0" fillId="27" borderId="20" xfId="0" applyFill="1" applyBorder="1"/>
    <xf numFmtId="0" fontId="7" fillId="26" borderId="0" xfId="0" applyFont="1" applyFill="1" applyAlignment="1">
      <alignment horizontal="left"/>
    </xf>
    <xf numFmtId="0" fontId="2" fillId="26" borderId="0" xfId="0" applyFont="1" applyFill="1" applyAlignment="1">
      <alignment vertical="center" wrapText="1"/>
    </xf>
    <xf numFmtId="0" fontId="2" fillId="26" borderId="0" xfId="0" applyFont="1" applyFill="1" applyAlignment="1">
      <alignment horizontal="left"/>
    </xf>
    <xf numFmtId="0" fontId="3" fillId="26" borderId="0" xfId="0" applyFont="1" applyFill="1" applyAlignment="1">
      <alignment horizontal="left" indent="2"/>
    </xf>
    <xf numFmtId="0" fontId="3" fillId="26" borderId="0" xfId="0" applyFont="1" applyFill="1" applyAlignment="1">
      <alignment vertical="center"/>
    </xf>
    <xf numFmtId="0" fontId="2" fillId="26" borderId="0" xfId="0" applyFont="1" applyFill="1" applyAlignment="1">
      <alignment vertical="center"/>
    </xf>
    <xf numFmtId="0" fontId="2" fillId="26" borderId="0" xfId="0" quotePrefix="1" applyFont="1" applyFill="1" applyAlignment="1">
      <alignment horizontal="left" vertical="center"/>
    </xf>
    <xf numFmtId="0" fontId="2" fillId="26" borderId="0" xfId="0" applyFont="1" applyFill="1" applyAlignment="1">
      <alignment horizontal="left" vertical="center" indent="5"/>
    </xf>
    <xf numFmtId="0" fontId="51" fillId="27" borderId="27" xfId="0" applyFont="1" applyFill="1" applyBorder="1" applyAlignment="1" applyProtection="1">
      <alignment horizontal="center" vertical="center" wrapText="1"/>
    </xf>
    <xf numFmtId="0" fontId="51" fillId="27" borderId="28" xfId="0" applyFont="1" applyFill="1" applyBorder="1" applyAlignment="1">
      <alignment horizontal="center" vertical="center" wrapText="1"/>
    </xf>
    <xf numFmtId="3" fontId="51" fillId="27" borderId="28" xfId="0" applyNumberFormat="1" applyFont="1" applyFill="1" applyBorder="1" applyAlignment="1">
      <alignment horizontal="center" vertical="center" wrapText="1"/>
    </xf>
    <xf numFmtId="3" fontId="50" fillId="27" borderId="27" xfId="0" applyNumberFormat="1" applyFont="1" applyFill="1" applyBorder="1" applyAlignment="1">
      <alignment horizontal="center" vertical="center"/>
    </xf>
    <xf numFmtId="0" fontId="50" fillId="27" borderId="29" xfId="0" applyFont="1" applyFill="1" applyBorder="1" applyAlignment="1">
      <alignment horizontal="center" vertical="center"/>
    </xf>
    <xf numFmtId="0" fontId="50" fillId="27" borderId="30" xfId="0" applyFont="1" applyFill="1" applyBorder="1" applyAlignment="1">
      <alignment horizontal="center"/>
    </xf>
    <xf numFmtId="172" fontId="50" fillId="27" borderId="10" xfId="0" applyNumberFormat="1" applyFont="1" applyFill="1" applyBorder="1" applyAlignment="1">
      <alignment horizontal="center" vertical="center"/>
    </xf>
    <xf numFmtId="172" fontId="50" fillId="27" borderId="28" xfId="0" applyNumberFormat="1" applyFont="1" applyFill="1" applyBorder="1" applyAlignment="1">
      <alignment horizontal="center"/>
    </xf>
    <xf numFmtId="3" fontId="50" fillId="27" borderId="10" xfId="0" applyNumberFormat="1" applyFont="1" applyFill="1" applyBorder="1" applyAlignment="1">
      <alignment horizontal="center" vertical="center"/>
    </xf>
    <xf numFmtId="3" fontId="50" fillId="27" borderId="28" xfId="0" applyNumberFormat="1" applyFont="1" applyFill="1" applyBorder="1" applyAlignment="1">
      <alignment horizontal="center"/>
    </xf>
    <xf numFmtId="3" fontId="50" fillId="27" borderId="31" xfId="0" applyNumberFormat="1" applyFont="1" applyFill="1" applyBorder="1" applyAlignment="1">
      <alignment horizontal="center" vertical="center"/>
    </xf>
    <xf numFmtId="0" fontId="51" fillId="25" borderId="28" xfId="0" applyFont="1" applyFill="1" applyBorder="1" applyAlignment="1" applyProtection="1">
      <alignment horizontal="center" vertical="center" wrapText="1"/>
      <protection locked="0"/>
    </xf>
    <xf numFmtId="172" fontId="50" fillId="25" borderId="28" xfId="0" applyNumberFormat="1" applyFont="1" applyFill="1" applyBorder="1" applyAlignment="1" applyProtection="1">
      <alignment horizontal="center" vertical="center"/>
      <protection locked="0"/>
    </xf>
    <xf numFmtId="2" fontId="50" fillId="25" borderId="28" xfId="0" applyNumberFormat="1" applyFont="1" applyFill="1" applyBorder="1" applyAlignment="1" applyProtection="1">
      <alignment horizontal="center" vertical="center"/>
      <protection locked="0"/>
    </xf>
    <xf numFmtId="2" fontId="50" fillId="25" borderId="27" xfId="0" applyNumberFormat="1" applyFont="1" applyFill="1" applyBorder="1" applyAlignment="1" applyProtection="1">
      <alignment horizontal="center" vertical="center"/>
      <protection locked="0"/>
    </xf>
    <xf numFmtId="0" fontId="11" fillId="26" borderId="0" xfId="0" quotePrefix="1" applyFont="1" applyFill="1" applyAlignment="1">
      <alignment horizontal="right"/>
    </xf>
    <xf numFmtId="0" fontId="11" fillId="26" borderId="0" xfId="0" applyFont="1" applyFill="1"/>
    <xf numFmtId="0" fontId="2" fillId="26" borderId="0" xfId="0" applyFont="1" applyFill="1" applyAlignment="1">
      <alignment horizontal="right"/>
    </xf>
    <xf numFmtId="0" fontId="11" fillId="26" borderId="0" xfId="0" applyFont="1" applyFill="1" applyAlignment="1">
      <alignment horizontal="left"/>
    </xf>
    <xf numFmtId="0" fontId="13" fillId="26" borderId="0" xfId="0" applyFont="1" applyFill="1" applyAlignment="1">
      <alignment horizontal="left"/>
    </xf>
    <xf numFmtId="0" fontId="8" fillId="26" borderId="0" xfId="0" applyFont="1" applyFill="1" applyAlignment="1">
      <alignment horizontal="left"/>
    </xf>
    <xf numFmtId="0" fontId="0" fillId="26" borderId="0" xfId="0" applyFill="1" applyAlignment="1">
      <alignment horizontal="left"/>
    </xf>
    <xf numFmtId="0" fontId="7" fillId="26" borderId="0" xfId="0" applyFont="1" applyFill="1" applyBorder="1" applyAlignment="1">
      <alignment horizontal="left" vertical="center"/>
    </xf>
    <xf numFmtId="0" fontId="7" fillId="26" borderId="0" xfId="0" applyFont="1" applyFill="1" applyBorder="1" applyAlignment="1">
      <alignment horizontal="right" vertical="center"/>
    </xf>
    <xf numFmtId="0" fontId="11" fillId="26" borderId="0" xfId="0" applyFont="1" applyFill="1" applyAlignment="1"/>
    <xf numFmtId="0" fontId="45" fillId="26" borderId="0" xfId="0" applyFont="1" applyFill="1" applyAlignment="1">
      <alignment horizontal="left" vertical="top"/>
    </xf>
    <xf numFmtId="0" fontId="2" fillId="26" borderId="0" xfId="0" applyFont="1" applyFill="1" applyAlignment="1"/>
    <xf numFmtId="0" fontId="36" fillId="26" borderId="0" xfId="0" applyFont="1" applyFill="1"/>
    <xf numFmtId="0" fontId="12" fillId="26" borderId="0" xfId="0" applyFont="1" applyFill="1"/>
    <xf numFmtId="0" fontId="14" fillId="26" borderId="0" xfId="0" applyFont="1" applyFill="1" applyBorder="1" applyAlignment="1">
      <alignment horizontal="center" vertical="center"/>
    </xf>
    <xf numFmtId="0" fontId="3" fillId="26" borderId="0" xfId="0" applyFont="1" applyFill="1" applyAlignment="1">
      <alignment horizontal="center"/>
    </xf>
    <xf numFmtId="0" fontId="3" fillId="26" borderId="0" xfId="0" quotePrefix="1" applyFont="1" applyFill="1" applyAlignment="1">
      <alignment horizontal="left" vertical="center"/>
    </xf>
    <xf numFmtId="0" fontId="10" fillId="26" borderId="0" xfId="0" applyFont="1" applyFill="1" applyAlignment="1">
      <alignment vertical="center"/>
    </xf>
    <xf numFmtId="0" fontId="2" fillId="26" borderId="0" xfId="0" applyFont="1" applyFill="1"/>
    <xf numFmtId="0" fontId="8" fillId="26" borderId="10" xfId="0" applyFont="1" applyFill="1" applyBorder="1" applyAlignment="1" applyProtection="1">
      <alignment horizontal="center" wrapText="1"/>
      <protection locked="0"/>
    </xf>
    <xf numFmtId="3" fontId="8" fillId="26" borderId="10" xfId="0" applyNumberFormat="1" applyFont="1" applyFill="1" applyBorder="1" applyAlignment="1" applyProtection="1">
      <alignment horizontal="center" wrapText="1"/>
      <protection locked="0"/>
    </xf>
    <xf numFmtId="0" fontId="3" fillId="26" borderId="18" xfId="0" applyFont="1" applyFill="1" applyBorder="1" applyAlignment="1">
      <alignment horizontal="center" vertical="center"/>
    </xf>
    <xf numFmtId="0" fontId="0" fillId="26" borderId="0" xfId="0" applyFill="1" applyAlignment="1">
      <alignment horizontal="center"/>
    </xf>
    <xf numFmtId="0" fontId="2" fillId="26" borderId="10" xfId="0" applyFont="1" applyFill="1" applyBorder="1" applyAlignment="1">
      <alignment horizontal="center" vertical="center"/>
    </xf>
    <xf numFmtId="0" fontId="2" fillId="26" borderId="0" xfId="0" applyFont="1" applyFill="1" applyBorder="1" applyAlignment="1">
      <alignment horizontal="center" vertical="center"/>
    </xf>
    <xf numFmtId="172" fontId="2" fillId="26" borderId="0" xfId="0" applyNumberFormat="1" applyFont="1" applyFill="1" applyBorder="1" applyAlignment="1">
      <alignment horizontal="center" vertical="center"/>
    </xf>
    <xf numFmtId="0" fontId="0" fillId="26" borderId="0" xfId="0" applyFill="1" applyAlignment="1"/>
    <xf numFmtId="0" fontId="2" fillId="26" borderId="10" xfId="0" applyFont="1" applyFill="1" applyBorder="1" applyAlignment="1">
      <alignment horizontal="left" vertical="center"/>
    </xf>
    <xf numFmtId="2" fontId="2" fillId="26" borderId="0" xfId="0" applyNumberFormat="1" applyFont="1" applyFill="1" applyBorder="1" applyAlignment="1">
      <alignment horizontal="center" vertical="center"/>
    </xf>
    <xf numFmtId="0" fontId="2" fillId="26" borderId="0" xfId="0" quotePrefix="1" applyFont="1" applyFill="1"/>
    <xf numFmtId="0" fontId="2" fillId="26" borderId="0" xfId="0" quotePrefix="1" applyFont="1" applyFill="1" applyAlignment="1">
      <alignment horizontal="left"/>
    </xf>
    <xf numFmtId="0" fontId="2" fillId="26" borderId="10" xfId="0" applyFont="1" applyFill="1" applyBorder="1" applyAlignment="1">
      <alignment horizontal="center"/>
    </xf>
    <xf numFmtId="0" fontId="2" fillId="26" borderId="10" xfId="0" applyFont="1" applyFill="1" applyBorder="1" applyAlignment="1"/>
    <xf numFmtId="172" fontId="2" fillId="26" borderId="10" xfId="0" applyNumberFormat="1" applyFont="1" applyFill="1" applyBorder="1" applyAlignment="1">
      <alignment horizontal="center"/>
    </xf>
    <xf numFmtId="1" fontId="2" fillId="26" borderId="0" xfId="0" applyNumberFormat="1" applyFont="1" applyFill="1" applyBorder="1" applyAlignment="1">
      <alignment horizontal="center" vertical="center"/>
    </xf>
    <xf numFmtId="3" fontId="2" fillId="26" borderId="0" xfId="0" applyNumberFormat="1" applyFont="1" applyFill="1" applyBorder="1" applyAlignment="1">
      <alignment horizontal="center" vertical="center"/>
    </xf>
    <xf numFmtId="3" fontId="2" fillId="26" borderId="10" xfId="0" applyNumberFormat="1" applyFont="1" applyFill="1" applyBorder="1" applyAlignment="1">
      <alignment horizontal="center" vertical="center"/>
    </xf>
    <xf numFmtId="0" fontId="15" fillId="26" borderId="0" xfId="0" applyFont="1" applyFill="1"/>
    <xf numFmtId="0" fontId="3" fillId="26" borderId="0" xfId="0" applyFont="1" applyFill="1" applyBorder="1" applyAlignment="1">
      <alignment vertical="center"/>
    </xf>
    <xf numFmtId="173" fontId="2" fillId="26" borderId="0" xfId="0" applyNumberFormat="1" applyFont="1" applyFill="1" applyBorder="1" applyAlignment="1">
      <alignment horizontal="center" vertical="center"/>
    </xf>
    <xf numFmtId="2" fontId="3" fillId="26" borderId="0" xfId="0" applyNumberFormat="1" applyFont="1" applyFill="1" applyAlignment="1">
      <alignment vertical="center"/>
    </xf>
    <xf numFmtId="1" fontId="2" fillId="26" borderId="0" xfId="0" applyNumberFormat="1" applyFont="1" applyFill="1" applyBorder="1" applyAlignment="1">
      <alignment horizontal="center"/>
    </xf>
    <xf numFmtId="0" fontId="2" fillId="26" borderId="0" xfId="0" applyFont="1" applyFill="1" applyBorder="1" applyAlignment="1">
      <alignment horizontal="center" vertical="center" wrapText="1"/>
    </xf>
    <xf numFmtId="0" fontId="2" fillId="26" borderId="0" xfId="0" applyFont="1" applyFill="1" applyBorder="1" applyAlignment="1">
      <alignment horizontal="center"/>
    </xf>
    <xf numFmtId="3" fontId="2" fillId="26" borderId="0" xfId="0" applyNumberFormat="1" applyFont="1" applyFill="1" applyBorder="1" applyAlignment="1">
      <alignment horizontal="center"/>
    </xf>
    <xf numFmtId="0" fontId="2" fillId="26" borderId="10" xfId="0" applyFont="1" applyFill="1" applyBorder="1" applyAlignment="1">
      <alignment vertical="center"/>
    </xf>
    <xf numFmtId="177" fontId="2" fillId="26" borderId="10" xfId="0" applyNumberFormat="1" applyFont="1" applyFill="1" applyBorder="1" applyAlignment="1" applyProtection="1">
      <alignment horizontal="center" vertical="center"/>
      <protection locked="0"/>
    </xf>
    <xf numFmtId="177" fontId="3" fillId="26" borderId="0" xfId="0" applyNumberFormat="1" applyFont="1" applyFill="1" applyAlignment="1">
      <alignment vertical="center"/>
    </xf>
    <xf numFmtId="1" fontId="47" fillId="26" borderId="0" xfId="0" applyNumberFormat="1" applyFont="1" applyFill="1" applyAlignment="1">
      <alignment vertical="center"/>
    </xf>
    <xf numFmtId="0" fontId="2" fillId="26" borderId="0" xfId="0" applyFont="1" applyFill="1" applyBorder="1" applyAlignment="1">
      <alignment vertical="center"/>
    </xf>
    <xf numFmtId="177" fontId="2" fillId="26" borderId="0" xfId="0" applyNumberFormat="1" applyFont="1" applyFill="1" applyBorder="1" applyAlignment="1" applyProtection="1">
      <alignment horizontal="center" vertical="center"/>
      <protection locked="0"/>
    </xf>
    <xf numFmtId="0" fontId="16" fillId="26" borderId="0" xfId="0" applyFont="1" applyFill="1"/>
    <xf numFmtId="0" fontId="37" fillId="26" borderId="0" xfId="0" applyFont="1" applyFill="1"/>
    <xf numFmtId="178" fontId="0" fillId="26" borderId="0" xfId="0" applyNumberFormat="1" applyFill="1"/>
    <xf numFmtId="0" fontId="3" fillId="26" borderId="0" xfId="0" applyFont="1" applyFill="1" applyAlignment="1"/>
    <xf numFmtId="0" fontId="3" fillId="26" borderId="0" xfId="0" applyFont="1" applyFill="1" applyBorder="1"/>
    <xf numFmtId="0" fontId="2" fillId="27" borderId="10" xfId="0" applyFont="1" applyFill="1" applyBorder="1" applyAlignment="1">
      <alignment horizontal="left" vertical="center"/>
    </xf>
    <xf numFmtId="0" fontId="2" fillId="27" borderId="32" xfId="0" applyFont="1" applyFill="1" applyBorder="1" applyAlignment="1" applyProtection="1">
      <alignment horizontal="center"/>
    </xf>
    <xf numFmtId="0" fontId="8" fillId="27" borderId="10" xfId="0" applyFont="1" applyFill="1" applyBorder="1" applyAlignment="1" applyProtection="1">
      <alignment horizontal="center" wrapText="1"/>
    </xf>
    <xf numFmtId="2" fontId="2" fillId="27" borderId="10" xfId="0" applyNumberFormat="1" applyFont="1" applyFill="1" applyBorder="1" applyAlignment="1" applyProtection="1">
      <alignment horizontal="center" vertical="center"/>
    </xf>
    <xf numFmtId="1" fontId="2" fillId="27" borderId="10" xfId="0" applyNumberFormat="1" applyFont="1" applyFill="1" applyBorder="1" applyAlignment="1" applyProtection="1">
      <alignment horizontal="center" vertical="center"/>
    </xf>
    <xf numFmtId="3" fontId="2" fillId="27" borderId="10" xfId="0" applyNumberFormat="1" applyFont="1" applyFill="1" applyBorder="1" applyAlignment="1" applyProtection="1">
      <alignment horizontal="center" vertical="center"/>
    </xf>
    <xf numFmtId="0" fontId="3" fillId="26" borderId="0" xfId="0" applyFont="1" applyFill="1" applyAlignment="1">
      <alignment horizontal="left" indent="1"/>
    </xf>
    <xf numFmtId="0" fontId="3" fillId="26" borderId="0" xfId="0" applyFont="1" applyFill="1" applyBorder="1" applyAlignment="1"/>
    <xf numFmtId="0" fontId="0" fillId="26" borderId="0" xfId="0" applyFill="1" applyBorder="1" applyAlignment="1">
      <alignment horizontal="center" vertical="center"/>
    </xf>
    <xf numFmtId="0" fontId="2" fillId="26" borderId="0" xfId="0" applyFont="1" applyFill="1" applyBorder="1" applyAlignment="1">
      <alignment horizontal="left" vertical="center" indent="3"/>
    </xf>
    <xf numFmtId="0" fontId="2" fillId="25" borderId="10" xfId="0" applyFont="1" applyFill="1" applyBorder="1" applyAlignment="1" applyProtection="1">
      <alignment horizontal="center" vertical="center"/>
      <protection locked="0"/>
    </xf>
    <xf numFmtId="0" fontId="2" fillId="27" borderId="0" xfId="0" applyFont="1" applyFill="1" applyAlignment="1" applyProtection="1">
      <alignment horizontal="center"/>
      <protection locked="0"/>
    </xf>
    <xf numFmtId="0" fontId="3" fillId="27" borderId="10" xfId="0" applyFont="1" applyFill="1" applyBorder="1" applyProtection="1">
      <protection locked="0"/>
    </xf>
    <xf numFmtId="0" fontId="2" fillId="26" borderId="0" xfId="0" applyFont="1" applyFill="1" applyAlignment="1">
      <alignment horizontal="center"/>
    </xf>
    <xf numFmtId="0" fontId="2"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Protection="1"/>
    <xf numFmtId="0" fontId="2" fillId="0" borderId="0" xfId="0" applyFont="1" applyAlignment="1" applyProtection="1">
      <alignment vertical="center"/>
    </xf>
    <xf numFmtId="0" fontId="2" fillId="0" borderId="0" xfId="0" applyFont="1" applyProtection="1"/>
    <xf numFmtId="0" fontId="3" fillId="0" borderId="0" xfId="0" applyFont="1" applyAlignment="1" applyProtection="1">
      <alignment horizontal="center"/>
    </xf>
    <xf numFmtId="0" fontId="3" fillId="0" borderId="0" xfId="0" applyFont="1" applyBorder="1" applyProtection="1"/>
    <xf numFmtId="0" fontId="0" fillId="0" borderId="0" xfId="0" applyProtection="1"/>
    <xf numFmtId="0" fontId="2" fillId="0" borderId="0" xfId="0" applyFont="1" applyFill="1" applyBorder="1" applyAlignment="1" applyProtection="1">
      <alignment horizontal="center" vertical="center"/>
    </xf>
    <xf numFmtId="172" fontId="2" fillId="0" borderId="10" xfId="0" applyNumberFormat="1" applyFont="1" applyBorder="1" applyAlignment="1" applyProtection="1">
      <alignment horizontal="center" vertical="center"/>
    </xf>
    <xf numFmtId="0" fontId="3" fillId="0" borderId="0" xfId="0" applyFont="1" applyFill="1" applyProtection="1"/>
    <xf numFmtId="2" fontId="2" fillId="0" borderId="0" xfId="0" applyNumberFormat="1" applyFont="1" applyFill="1" applyBorder="1" applyAlignment="1" applyProtection="1">
      <alignment horizontal="center" vertical="center"/>
    </xf>
    <xf numFmtId="172" fontId="2" fillId="0" borderId="0" xfId="0" applyNumberFormat="1" applyFont="1" applyFill="1" applyBorder="1" applyAlignment="1" applyProtection="1">
      <alignment horizontal="center" vertical="center"/>
    </xf>
    <xf numFmtId="0" fontId="3" fillId="0" borderId="0" xfId="0" applyFont="1" applyFill="1" applyBorder="1" applyProtection="1"/>
    <xf numFmtId="1" fontId="2" fillId="0" borderId="0" xfId="0" applyNumberFormat="1" applyFont="1" applyFill="1" applyBorder="1" applyAlignment="1" applyProtection="1">
      <alignment horizontal="center" vertical="center"/>
    </xf>
    <xf numFmtId="0" fontId="2" fillId="0" borderId="0" xfId="0" applyFont="1" applyBorder="1" applyAlignment="1" applyProtection="1">
      <alignment horizontal="left" vertical="center"/>
    </xf>
    <xf numFmtId="173" fontId="2"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center"/>
    </xf>
    <xf numFmtId="1" fontId="2" fillId="0" borderId="0" xfId="0" applyNumberFormat="1" applyFont="1" applyFill="1" applyBorder="1" applyAlignment="1" applyProtection="1">
      <alignment horizontal="center"/>
    </xf>
    <xf numFmtId="0" fontId="2" fillId="0" borderId="0" xfId="0" applyFont="1" applyFill="1" applyBorder="1" applyAlignment="1" applyProtection="1">
      <alignment horizontal="center" vertical="center" wrapText="1"/>
    </xf>
    <xf numFmtId="0" fontId="3" fillId="0" borderId="10" xfId="0" applyFont="1" applyBorder="1" applyProtection="1"/>
    <xf numFmtId="0" fontId="2" fillId="0" borderId="0" xfId="0" applyFont="1" applyFill="1" applyBorder="1" applyAlignment="1" applyProtection="1">
      <alignment horizontal="center"/>
    </xf>
    <xf numFmtId="3" fontId="2" fillId="0" borderId="0" xfId="0" applyNumberFormat="1" applyFont="1" applyFill="1" applyBorder="1" applyAlignment="1" applyProtection="1">
      <alignment horizontal="center"/>
    </xf>
    <xf numFmtId="3" fontId="2" fillId="0" borderId="0" xfId="0" applyNumberFormat="1" applyFont="1" applyFill="1" applyBorder="1" applyAlignment="1" applyProtection="1">
      <alignment horizontal="center" vertical="center"/>
    </xf>
    <xf numFmtId="178" fontId="2" fillId="0" borderId="10" xfId="0" applyNumberFormat="1" applyFont="1" applyBorder="1" applyAlignment="1" applyProtection="1">
      <alignment horizontal="center" vertical="center"/>
    </xf>
    <xf numFmtId="0" fontId="10" fillId="0" borderId="0" xfId="0" quotePrefix="1" applyFont="1" applyAlignment="1" applyProtection="1">
      <alignment horizontal="left" vertical="center"/>
    </xf>
    <xf numFmtId="0" fontId="3" fillId="0" borderId="0" xfId="0" applyFont="1" applyAlignment="1" applyProtection="1">
      <alignment horizontal="left" vertical="center"/>
    </xf>
    <xf numFmtId="0" fontId="10" fillId="0" borderId="0" xfId="0" quotePrefix="1" applyFont="1" applyAlignment="1" applyProtection="1">
      <alignment vertical="center"/>
    </xf>
    <xf numFmtId="0" fontId="10" fillId="0" borderId="0" xfId="0" quotePrefix="1" applyFont="1" applyFill="1" applyAlignment="1" applyProtection="1">
      <alignment horizontal="left" vertical="center"/>
    </xf>
    <xf numFmtId="172" fontId="3" fillId="0" borderId="0" xfId="0" applyNumberFormat="1" applyFont="1" applyFill="1" applyBorder="1" applyAlignment="1" applyProtection="1">
      <alignment horizontal="center" vertical="center"/>
    </xf>
    <xf numFmtId="0" fontId="3" fillId="26" borderId="0" xfId="0" applyFont="1" applyFill="1" applyAlignment="1" applyProtection="1">
      <alignment vertical="center"/>
    </xf>
    <xf numFmtId="0" fontId="3" fillId="26" borderId="0" xfId="0" applyFont="1" applyFill="1" applyProtection="1"/>
    <xf numFmtId="0" fontId="2" fillId="24" borderId="10" xfId="0" applyFont="1" applyFill="1" applyBorder="1" applyAlignment="1" applyProtection="1">
      <alignment horizontal="center" vertical="center"/>
      <protection locked="0"/>
    </xf>
    <xf numFmtId="177" fontId="2" fillId="24" borderId="10" xfId="0" applyNumberFormat="1" applyFont="1" applyFill="1" applyBorder="1" applyAlignment="1" applyProtection="1">
      <alignment horizontal="center"/>
      <protection locked="0"/>
    </xf>
    <xf numFmtId="178" fontId="2" fillId="24" borderId="10" xfId="0" applyNumberFormat="1" applyFont="1" applyFill="1" applyBorder="1" applyAlignment="1" applyProtection="1">
      <alignment horizontal="center" vertical="center"/>
      <protection locked="0"/>
    </xf>
    <xf numFmtId="3" fontId="2" fillId="27" borderId="10" xfId="0" applyNumberFormat="1" applyFont="1" applyFill="1" applyBorder="1" applyAlignment="1" applyProtection="1">
      <alignment horizontal="center"/>
    </xf>
    <xf numFmtId="177" fontId="2" fillId="27" borderId="10" xfId="0" applyNumberFormat="1" applyFont="1" applyFill="1" applyBorder="1" applyAlignment="1" applyProtection="1">
      <alignment horizontal="center"/>
    </xf>
    <xf numFmtId="0" fontId="2" fillId="27" borderId="10" xfId="0" applyFont="1" applyFill="1" applyBorder="1" applyAlignment="1" applyProtection="1">
      <alignment horizontal="center"/>
    </xf>
    <xf numFmtId="0" fontId="14" fillId="0" borderId="0" xfId="0" applyFont="1" applyBorder="1" applyAlignment="1" applyProtection="1">
      <alignment horizontal="center" vertical="center"/>
    </xf>
    <xf numFmtId="9" fontId="3" fillId="0" borderId="0" xfId="4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2" fontId="3" fillId="0" borderId="0" xfId="0" applyNumberFormat="1" applyFont="1" applyFill="1" applyBorder="1" applyAlignment="1" applyProtection="1">
      <alignment horizontal="center" vertical="center"/>
    </xf>
    <xf numFmtId="172" fontId="3" fillId="0" borderId="0" xfId="0" applyNumberFormat="1" applyFont="1" applyBorder="1" applyAlignment="1" applyProtection="1">
      <alignment horizontal="center" vertical="center"/>
    </xf>
    <xf numFmtId="178" fontId="3" fillId="0" borderId="0" xfId="0" applyNumberFormat="1" applyFont="1" applyBorder="1" applyAlignment="1" applyProtection="1">
      <alignment horizontal="center" vertical="center"/>
    </xf>
    <xf numFmtId="0" fontId="11" fillId="0" borderId="0" xfId="0" applyFont="1" applyBorder="1" applyAlignment="1" applyProtection="1">
      <alignment horizontal="left" vertical="center"/>
    </xf>
    <xf numFmtId="178" fontId="11" fillId="0" borderId="0" xfId="0" applyNumberFormat="1" applyFont="1" applyBorder="1" applyAlignment="1" applyProtection="1">
      <alignment horizontal="center" vertical="center"/>
    </xf>
    <xf numFmtId="178" fontId="0" fillId="0" borderId="10" xfId="0" applyNumberFormat="1" applyBorder="1" applyAlignment="1" applyProtection="1">
      <alignment horizontal="center"/>
    </xf>
    <xf numFmtId="0" fontId="16" fillId="0" borderId="0" xfId="0" applyFont="1" applyProtection="1"/>
    <xf numFmtId="0" fontId="0" fillId="0" borderId="0" xfId="0" applyAlignment="1" applyProtection="1"/>
    <xf numFmtId="0" fontId="16" fillId="0" borderId="0" xfId="0" applyFont="1" applyAlignment="1" applyProtection="1"/>
    <xf numFmtId="0" fontId="2" fillId="0" borderId="33" xfId="0" applyFont="1" applyBorder="1" applyAlignment="1" applyProtection="1">
      <alignment horizontal="center"/>
    </xf>
    <xf numFmtId="0" fontId="2" fillId="0" borderId="11" xfId="0" applyFont="1" applyBorder="1" applyAlignment="1" applyProtection="1">
      <alignment horizontal="center"/>
    </xf>
    <xf numFmtId="0" fontId="11" fillId="0" borderId="0" xfId="0" applyFont="1" applyAlignment="1" applyProtection="1"/>
    <xf numFmtId="172" fontId="2" fillId="0" borderId="33" xfId="0" applyNumberFormat="1" applyFont="1" applyBorder="1" applyAlignment="1" applyProtection="1">
      <alignment horizontal="center" vertical="center"/>
    </xf>
    <xf numFmtId="172" fontId="2" fillId="0" borderId="11" xfId="0" applyNumberFormat="1" applyFont="1" applyBorder="1" applyAlignment="1" applyProtection="1">
      <alignment horizontal="center"/>
    </xf>
    <xf numFmtId="172" fontId="2" fillId="0" borderId="12" xfId="0" applyNumberFormat="1" applyFont="1" applyBorder="1" applyAlignment="1" applyProtection="1">
      <alignment horizontal="center" vertical="center"/>
    </xf>
    <xf numFmtId="172" fontId="2" fillId="0" borderId="14" xfId="0" applyNumberFormat="1" applyFont="1" applyBorder="1" applyAlignment="1" applyProtection="1">
      <alignment horizontal="center" vertical="center"/>
    </xf>
    <xf numFmtId="0" fontId="16" fillId="0" borderId="0" xfId="0" applyFont="1" applyAlignment="1" applyProtection="1">
      <alignment vertical="center"/>
    </xf>
    <xf numFmtId="172" fontId="2" fillId="0" borderId="33" xfId="0" applyNumberFormat="1" applyFont="1" applyBorder="1" applyAlignment="1" applyProtection="1">
      <alignment horizontal="center"/>
    </xf>
    <xf numFmtId="172" fontId="2" fillId="0" borderId="14" xfId="0" applyNumberFormat="1" applyFont="1" applyBorder="1" applyAlignment="1" applyProtection="1">
      <alignment horizontal="center"/>
    </xf>
    <xf numFmtId="172" fontId="2" fillId="0" borderId="12" xfId="0" applyNumberFormat="1" applyFont="1" applyBorder="1" applyAlignment="1" applyProtection="1">
      <alignment horizontal="center"/>
    </xf>
    <xf numFmtId="0" fontId="16" fillId="0" borderId="0" xfId="0" applyFont="1" applyBorder="1" applyProtection="1"/>
    <xf numFmtId="0" fontId="11" fillId="0" borderId="0" xfId="0" applyFont="1" applyProtection="1"/>
    <xf numFmtId="0" fontId="3" fillId="0" borderId="33" xfId="0" applyFont="1" applyBorder="1" applyAlignment="1" applyProtection="1">
      <alignment horizontal="center"/>
    </xf>
    <xf numFmtId="0" fontId="3" fillId="0" borderId="11" xfId="0" applyFont="1" applyBorder="1" applyAlignment="1" applyProtection="1">
      <alignment horizontal="center"/>
    </xf>
    <xf numFmtId="178" fontId="3" fillId="0" borderId="33" xfId="0" applyNumberFormat="1" applyFont="1" applyBorder="1" applyAlignment="1" applyProtection="1">
      <alignment horizontal="center" vertical="center"/>
    </xf>
    <xf numFmtId="178" fontId="2" fillId="0" borderId="0" xfId="0" applyNumberFormat="1" applyFont="1" applyBorder="1" applyAlignment="1" applyProtection="1">
      <alignment horizontal="center" vertical="center"/>
    </xf>
    <xf numFmtId="0" fontId="16" fillId="0" borderId="0" xfId="0" applyFont="1" applyBorder="1" applyAlignment="1" applyProtection="1">
      <alignment horizontal="left" vertical="center"/>
    </xf>
    <xf numFmtId="0" fontId="3" fillId="0" borderId="32" xfId="0" applyFont="1" applyBorder="1" applyAlignment="1" applyProtection="1">
      <alignment horizontal="center"/>
    </xf>
    <xf numFmtId="0" fontId="3" fillId="0" borderId="21" xfId="0" applyFont="1" applyBorder="1" applyAlignment="1" applyProtection="1">
      <alignment horizontal="center"/>
    </xf>
    <xf numFmtId="178" fontId="3" fillId="0" borderId="11" xfId="0" applyNumberFormat="1" applyFont="1" applyBorder="1" applyAlignment="1" applyProtection="1">
      <alignment horizontal="center" vertical="center"/>
    </xf>
    <xf numFmtId="178" fontId="3" fillId="0" borderId="32" xfId="0" applyNumberFormat="1" applyFont="1" applyBorder="1" applyAlignment="1" applyProtection="1">
      <alignment horizontal="center" vertical="center"/>
    </xf>
    <xf numFmtId="178" fontId="3" fillId="0" borderId="21" xfId="0" applyNumberFormat="1" applyFont="1" applyBorder="1" applyAlignment="1" applyProtection="1">
      <alignment horizontal="center" vertical="center"/>
    </xf>
    <xf numFmtId="178" fontId="3" fillId="0" borderId="12" xfId="0" applyNumberFormat="1" applyFont="1" applyBorder="1" applyAlignment="1" applyProtection="1">
      <alignment horizontal="center" vertical="center"/>
    </xf>
    <xf numFmtId="178" fontId="3" fillId="0" borderId="14" xfId="0" applyNumberFormat="1" applyFont="1" applyBorder="1" applyAlignment="1" applyProtection="1">
      <alignment horizontal="center" vertical="center"/>
    </xf>
    <xf numFmtId="178" fontId="3" fillId="0" borderId="34" xfId="0" applyNumberFormat="1" applyFont="1" applyBorder="1" applyAlignment="1" applyProtection="1">
      <alignment horizontal="center" vertical="center"/>
    </xf>
    <xf numFmtId="178" fontId="3" fillId="0" borderId="35" xfId="0" applyNumberFormat="1" applyFont="1" applyBorder="1" applyAlignment="1" applyProtection="1">
      <alignment horizontal="center" vertical="center"/>
    </xf>
    <xf numFmtId="9" fontId="2" fillId="25" borderId="0" xfId="40" applyFont="1" applyFill="1" applyBorder="1" applyAlignment="1" applyProtection="1">
      <alignment horizontal="center" vertical="center"/>
    </xf>
    <xf numFmtId="178" fontId="0" fillId="0" borderId="12" xfId="0" applyNumberFormat="1" applyBorder="1" applyAlignment="1" applyProtection="1">
      <alignment horizontal="center"/>
    </xf>
    <xf numFmtId="178" fontId="0" fillId="0" borderId="14" xfId="0" applyNumberFormat="1" applyBorder="1" applyAlignment="1" applyProtection="1">
      <alignment horizontal="center"/>
    </xf>
    <xf numFmtId="178" fontId="0" fillId="0" borderId="34" xfId="0" applyNumberFormat="1" applyBorder="1" applyAlignment="1" applyProtection="1">
      <alignment horizontal="center"/>
    </xf>
    <xf numFmtId="178" fontId="0" fillId="0" borderId="35" xfId="0" applyNumberFormat="1" applyBorder="1" applyAlignment="1" applyProtection="1">
      <alignment horizontal="center"/>
    </xf>
    <xf numFmtId="0" fontId="66" fillId="0" borderId="0" xfId="0" applyFont="1" applyBorder="1" applyAlignment="1">
      <alignment horizontal="center" vertical="top"/>
    </xf>
    <xf numFmtId="0" fontId="0" fillId="0" borderId="0" xfId="0" applyBorder="1" applyAlignment="1">
      <alignment wrapText="1"/>
    </xf>
    <xf numFmtId="0" fontId="48" fillId="0" borderId="0" xfId="0" applyFont="1" applyBorder="1" applyAlignment="1">
      <alignment horizontal="center"/>
    </xf>
    <xf numFmtId="0" fontId="2" fillId="27" borderId="10" xfId="0" applyFont="1" applyFill="1" applyBorder="1" applyAlignment="1">
      <alignment vertical="center"/>
    </xf>
    <xf numFmtId="177" fontId="2" fillId="27" borderId="10" xfId="0" applyNumberFormat="1" applyFont="1" applyFill="1" applyBorder="1" applyAlignment="1" applyProtection="1">
      <alignment horizontal="center" vertical="center"/>
    </xf>
    <xf numFmtId="0" fontId="2" fillId="0" borderId="10" xfId="0" applyFont="1" applyFill="1" applyBorder="1" applyAlignment="1" applyProtection="1">
      <alignment horizontal="center" vertical="center"/>
    </xf>
    <xf numFmtId="3" fontId="2" fillId="26" borderId="10" xfId="0" applyNumberFormat="1" applyFont="1" applyFill="1" applyBorder="1" applyAlignment="1" applyProtection="1">
      <alignment horizontal="center"/>
    </xf>
    <xf numFmtId="0" fontId="2" fillId="26" borderId="10" xfId="0" applyFont="1" applyFill="1" applyBorder="1" applyProtection="1"/>
    <xf numFmtId="4" fontId="2" fillId="26" borderId="10" xfId="0" applyNumberFormat="1" applyFont="1" applyFill="1" applyBorder="1" applyAlignment="1" applyProtection="1">
      <alignment horizontal="center"/>
    </xf>
    <xf numFmtId="177" fontId="2" fillId="26" borderId="10" xfId="0" applyNumberFormat="1" applyFont="1" applyFill="1" applyBorder="1" applyAlignment="1" applyProtection="1">
      <alignment horizontal="center"/>
    </xf>
    <xf numFmtId="9" fontId="2" fillId="26" borderId="10" xfId="40" applyNumberFormat="1" applyFont="1" applyFill="1" applyBorder="1" applyAlignment="1" applyProtection="1">
      <alignment horizontal="center"/>
    </xf>
    <xf numFmtId="9" fontId="2" fillId="26" borderId="10" xfId="40" applyFont="1" applyFill="1" applyBorder="1" applyAlignment="1" applyProtection="1">
      <alignment horizontal="center"/>
    </xf>
    <xf numFmtId="10" fontId="2" fillId="26" borderId="10" xfId="40" applyNumberFormat="1" applyFont="1" applyFill="1" applyBorder="1" applyAlignment="1" applyProtection="1">
      <alignment horizontal="center"/>
    </xf>
    <xf numFmtId="179" fontId="2" fillId="26" borderId="10" xfId="40" applyNumberFormat="1" applyFont="1" applyFill="1" applyBorder="1" applyAlignment="1" applyProtection="1">
      <alignment horizontal="center"/>
    </xf>
    <xf numFmtId="179" fontId="2" fillId="26" borderId="10" xfId="0" applyNumberFormat="1" applyFont="1" applyFill="1" applyBorder="1" applyProtection="1"/>
    <xf numFmtId="3" fontId="2" fillId="24" borderId="10" xfId="0" applyNumberFormat="1" applyFont="1" applyFill="1" applyBorder="1" applyAlignment="1" applyProtection="1">
      <alignment horizontal="center"/>
      <protection locked="0"/>
    </xf>
    <xf numFmtId="9" fontId="2" fillId="24" borderId="10" xfId="40" applyFont="1" applyFill="1" applyBorder="1" applyAlignment="1" applyProtection="1">
      <alignment horizontal="center"/>
      <protection locked="0"/>
    </xf>
    <xf numFmtId="179" fontId="2" fillId="24" borderId="10" xfId="40" applyNumberFormat="1" applyFont="1" applyFill="1" applyBorder="1" applyAlignment="1" applyProtection="1">
      <alignment horizontal="center"/>
      <protection locked="0"/>
    </xf>
    <xf numFmtId="0" fontId="2" fillId="0" borderId="0" xfId="0" applyFont="1" applyAlignment="1" applyProtection="1">
      <alignment vertical="center"/>
      <protection locked="0"/>
    </xf>
    <xf numFmtId="0" fontId="2" fillId="24" borderId="10" xfId="0" applyFont="1" applyFill="1" applyBorder="1" applyAlignment="1" applyProtection="1">
      <alignment horizontal="center" vertical="center"/>
    </xf>
    <xf numFmtId="0" fontId="61" fillId="26" borderId="0" xfId="0" applyFont="1" applyFill="1"/>
    <xf numFmtId="172" fontId="50" fillId="24" borderId="10" xfId="37" applyNumberFormat="1" applyFont="1" applyFill="1" applyBorder="1" applyAlignment="1">
      <alignment horizontal="center"/>
    </xf>
    <xf numFmtId="3" fontId="2" fillId="24" borderId="10" xfId="0" applyNumberFormat="1" applyFont="1" applyFill="1" applyBorder="1" applyAlignment="1" applyProtection="1">
      <alignment horizontal="center" vertical="center"/>
    </xf>
    <xf numFmtId="177" fontId="2" fillId="24" borderId="10" xfId="0" applyNumberFormat="1" applyFont="1" applyFill="1" applyBorder="1" applyAlignment="1" applyProtection="1">
      <alignment horizontal="center" vertical="center"/>
    </xf>
    <xf numFmtId="0" fontId="14" fillId="26" borderId="0" xfId="0" applyFont="1" applyFill="1" applyBorder="1" applyAlignment="1" applyProtection="1">
      <alignment horizontal="center" vertical="center"/>
    </xf>
    <xf numFmtId="0" fontId="3" fillId="26" borderId="0" xfId="0" applyFont="1" applyFill="1" applyBorder="1" applyProtection="1"/>
    <xf numFmtId="0" fontId="2" fillId="27" borderId="29" xfId="0" applyFont="1" applyFill="1" applyBorder="1" applyAlignment="1" applyProtection="1">
      <alignment horizontal="center"/>
    </xf>
    <xf numFmtId="0" fontId="2" fillId="27" borderId="29" xfId="0" applyFont="1" applyFill="1" applyBorder="1" applyAlignment="1" applyProtection="1">
      <alignment horizontal="center" vertical="center"/>
    </xf>
    <xf numFmtId="0" fontId="2" fillId="27" borderId="30" xfId="0" applyFont="1" applyFill="1" applyBorder="1" applyAlignment="1" applyProtection="1">
      <alignment horizontal="center"/>
    </xf>
    <xf numFmtId="178" fontId="2" fillId="27" borderId="28" xfId="0" applyNumberFormat="1" applyFont="1" applyFill="1" applyBorder="1" applyAlignment="1" applyProtection="1">
      <alignment horizontal="center"/>
    </xf>
    <xf numFmtId="0" fontId="2" fillId="27" borderId="31" xfId="0" applyFont="1" applyFill="1" applyBorder="1" applyAlignment="1" applyProtection="1">
      <alignment horizontal="center"/>
    </xf>
    <xf numFmtId="177" fontId="2" fillId="27" borderId="31" xfId="0" applyNumberFormat="1" applyFont="1" applyFill="1" applyBorder="1" applyAlignment="1" applyProtection="1">
      <alignment horizontal="center" vertical="center"/>
    </xf>
    <xf numFmtId="178" fontId="2" fillId="27" borderId="27" xfId="0" applyNumberFormat="1" applyFont="1" applyFill="1" applyBorder="1" applyAlignment="1" applyProtection="1">
      <alignment horizontal="center"/>
    </xf>
    <xf numFmtId="0" fontId="3" fillId="26" borderId="0" xfId="0" applyFont="1" applyFill="1" applyBorder="1" applyAlignment="1" applyProtection="1">
      <alignment horizontal="left"/>
    </xf>
    <xf numFmtId="0" fontId="3" fillId="26" borderId="0" xfId="0" applyFont="1" applyFill="1" applyBorder="1" applyAlignment="1" applyProtection="1">
      <alignment horizontal="center"/>
    </xf>
    <xf numFmtId="0" fontId="0" fillId="26" borderId="0" xfId="0" applyFill="1" applyProtection="1"/>
    <xf numFmtId="178" fontId="2" fillId="27" borderId="31" xfId="0" applyNumberFormat="1" applyFont="1" applyFill="1" applyBorder="1" applyAlignment="1" applyProtection="1">
      <alignment horizontal="center" vertical="center"/>
    </xf>
    <xf numFmtId="1" fontId="2" fillId="27" borderId="10" xfId="0" applyNumberFormat="1" applyFont="1" applyFill="1" applyBorder="1" applyAlignment="1" applyProtection="1">
      <alignment horizontal="center"/>
    </xf>
    <xf numFmtId="178" fontId="2" fillId="25" borderId="10" xfId="0" applyNumberFormat="1" applyFont="1" applyFill="1" applyBorder="1" applyAlignment="1" applyProtection="1">
      <alignment horizontal="center"/>
      <protection locked="0"/>
    </xf>
    <xf numFmtId="177" fontId="0" fillId="26" borderId="0" xfId="0" applyNumberFormat="1" applyFill="1" applyProtection="1"/>
    <xf numFmtId="178" fontId="0" fillId="26" borderId="0" xfId="0" applyNumberFormat="1" applyFill="1" applyProtection="1"/>
    <xf numFmtId="0" fontId="2" fillId="27" borderId="0" xfId="0" applyFont="1" applyFill="1" applyProtection="1"/>
    <xf numFmtId="0" fontId="2" fillId="27" borderId="21" xfId="0" applyFont="1" applyFill="1" applyBorder="1" applyAlignment="1" applyProtection="1">
      <alignment horizontal="left"/>
    </xf>
    <xf numFmtId="3" fontId="2" fillId="27" borderId="33" xfId="0" applyNumberFormat="1" applyFont="1" applyFill="1" applyBorder="1" applyAlignment="1" applyProtection="1">
      <alignment horizontal="center"/>
    </xf>
    <xf numFmtId="177" fontId="2" fillId="25" borderId="10" xfId="0" applyNumberFormat="1" applyFont="1" applyFill="1" applyBorder="1" applyAlignment="1" applyProtection="1">
      <alignment horizontal="center"/>
    </xf>
    <xf numFmtId="178" fontId="2" fillId="27" borderId="11" xfId="0" applyNumberFormat="1" applyFont="1" applyFill="1" applyBorder="1" applyAlignment="1" applyProtection="1"/>
    <xf numFmtId="1" fontId="2" fillId="27" borderId="33" xfId="0" applyNumberFormat="1" applyFont="1" applyFill="1" applyBorder="1" applyAlignment="1" applyProtection="1">
      <alignment horizontal="center"/>
    </xf>
    <xf numFmtId="0" fontId="2" fillId="27" borderId="33" xfId="0" applyFont="1" applyFill="1" applyBorder="1" applyAlignment="1" applyProtection="1">
      <alignment horizontal="center"/>
    </xf>
    <xf numFmtId="0" fontId="2" fillId="27" borderId="21" xfId="0" applyFont="1" applyFill="1" applyBorder="1" applyProtection="1"/>
    <xf numFmtId="176" fontId="2" fillId="27" borderId="33" xfId="0" applyNumberFormat="1" applyFont="1" applyFill="1" applyBorder="1" applyAlignment="1" applyProtection="1">
      <alignment horizontal="center"/>
    </xf>
    <xf numFmtId="178" fontId="2" fillId="27" borderId="14" xfId="0" applyNumberFormat="1" applyFont="1" applyFill="1" applyBorder="1" applyAlignment="1" applyProtection="1"/>
    <xf numFmtId="0" fontId="0" fillId="26" borderId="0" xfId="0" quotePrefix="1" applyFill="1" applyProtection="1"/>
    <xf numFmtId="178" fontId="2" fillId="26" borderId="0" xfId="0" applyNumberFormat="1" applyFont="1" applyFill="1" applyAlignment="1" applyProtection="1">
      <alignment horizontal="center"/>
    </xf>
    <xf numFmtId="0" fontId="0" fillId="26" borderId="0" xfId="0" quotePrefix="1" applyFill="1" applyBorder="1" applyProtection="1"/>
    <xf numFmtId="178" fontId="2" fillId="25" borderId="10" xfId="0" applyNumberFormat="1" applyFont="1" applyFill="1" applyBorder="1" applyAlignment="1" applyProtection="1">
      <alignment horizontal="center" vertical="center"/>
      <protection locked="0"/>
    </xf>
    <xf numFmtId="9" fontId="2" fillId="25" borderId="10" xfId="40" applyFont="1" applyFill="1" applyBorder="1" applyAlignment="1" applyProtection="1">
      <alignment horizontal="center" vertical="center"/>
      <protection locked="0"/>
    </xf>
    <xf numFmtId="0" fontId="2" fillId="26" borderId="0" xfId="0" applyFont="1" applyFill="1" applyBorder="1" applyAlignment="1" applyProtection="1">
      <alignment vertical="center"/>
    </xf>
    <xf numFmtId="0" fontId="3" fillId="26" borderId="0" xfId="0" applyFont="1" applyFill="1" applyBorder="1" applyAlignment="1" applyProtection="1"/>
    <xf numFmtId="0" fontId="2" fillId="26" borderId="0" xfId="0" applyFont="1" applyFill="1" applyBorder="1" applyAlignment="1" applyProtection="1">
      <alignment horizontal="left" vertical="center" indent="4"/>
    </xf>
    <xf numFmtId="0" fontId="3" fillId="26" borderId="0" xfId="0" applyFont="1" applyFill="1" applyAlignment="1" applyProtection="1">
      <alignment horizontal="center"/>
    </xf>
    <xf numFmtId="0" fontId="2" fillId="26" borderId="0" xfId="0" applyFont="1" applyFill="1" applyBorder="1" applyAlignment="1" applyProtection="1">
      <alignment horizontal="center" vertical="center"/>
    </xf>
    <xf numFmtId="178" fontId="2" fillId="26" borderId="0" xfId="0" applyNumberFormat="1" applyFont="1" applyFill="1" applyBorder="1" applyAlignment="1" applyProtection="1">
      <alignment horizontal="center" vertical="center"/>
    </xf>
    <xf numFmtId="0" fontId="2" fillId="26" borderId="0" xfId="0" applyFont="1" applyFill="1" applyBorder="1" applyAlignment="1" applyProtection="1">
      <alignment horizontal="right" vertical="center"/>
    </xf>
    <xf numFmtId="9" fontId="2" fillId="26" borderId="0" xfId="40" applyFont="1" applyFill="1" applyBorder="1" applyAlignment="1" applyProtection="1">
      <alignment horizontal="center" vertical="center"/>
    </xf>
    <xf numFmtId="0" fontId="3" fillId="26" borderId="0" xfId="0" applyFont="1" applyFill="1" applyAlignment="1">
      <alignment horizontal="left" vertical="top"/>
    </xf>
    <xf numFmtId="0" fontId="3" fillId="26" borderId="0" xfId="0" applyFont="1" applyFill="1" applyAlignment="1">
      <alignment horizontal="left" vertical="center"/>
    </xf>
    <xf numFmtId="0" fontId="10" fillId="26" borderId="0" xfId="0" applyFont="1" applyFill="1" applyAlignment="1">
      <alignment horizontal="left" vertical="center" wrapText="1"/>
    </xf>
    <xf numFmtId="0" fontId="10" fillId="26" borderId="0" xfId="0" applyFont="1" applyFill="1"/>
    <xf numFmtId="0" fontId="2" fillId="0" borderId="0" xfId="0" applyFont="1" applyAlignment="1">
      <alignment horizontal="left"/>
    </xf>
    <xf numFmtId="0" fontId="50" fillId="24" borderId="10" xfId="37" applyFont="1" applyFill="1" applyBorder="1" applyAlignment="1" applyProtection="1">
      <alignment horizontal="center"/>
    </xf>
    <xf numFmtId="0" fontId="50" fillId="24" borderId="10" xfId="37" applyFont="1" applyFill="1" applyBorder="1" applyAlignment="1" applyProtection="1">
      <alignment horizontal="center" vertical="center"/>
    </xf>
    <xf numFmtId="0" fontId="0" fillId="26" borderId="0" xfId="0" applyFill="1" applyProtection="1">
      <protection locked="0"/>
    </xf>
    <xf numFmtId="0" fontId="2" fillId="0" borderId="0" xfId="0" applyFont="1" applyFill="1" applyBorder="1" applyAlignment="1" applyProtection="1">
      <alignment horizontal="left" vertical="center"/>
    </xf>
    <xf numFmtId="0" fontId="3" fillId="0" borderId="0" xfId="0" applyFont="1" applyAlignment="1">
      <alignment horizontal="left"/>
    </xf>
    <xf numFmtId="0" fontId="2" fillId="0" borderId="29" xfId="0" applyFont="1" applyFill="1" applyBorder="1" applyAlignment="1" applyProtection="1">
      <alignment horizontal="center"/>
    </xf>
    <xf numFmtId="0" fontId="2" fillId="0" borderId="29" xfId="0" applyFont="1" applyFill="1" applyBorder="1" applyAlignment="1" applyProtection="1">
      <alignment horizontal="center" vertical="center"/>
    </xf>
    <xf numFmtId="0" fontId="2" fillId="0" borderId="30" xfId="0" applyFont="1" applyFill="1" applyBorder="1" applyAlignment="1" applyProtection="1">
      <alignment horizontal="center"/>
    </xf>
    <xf numFmtId="178" fontId="2" fillId="0" borderId="28" xfId="0" applyNumberFormat="1" applyFont="1" applyFill="1" applyBorder="1" applyAlignment="1" applyProtection="1">
      <alignment horizontal="center"/>
    </xf>
    <xf numFmtId="177" fontId="2" fillId="0" borderId="10" xfId="0" applyNumberFormat="1" applyFont="1" applyFill="1" applyBorder="1" applyAlignment="1" applyProtection="1">
      <alignment horizontal="center" vertical="center"/>
    </xf>
    <xf numFmtId="0" fontId="2" fillId="0" borderId="31" xfId="0" applyFont="1" applyFill="1" applyBorder="1" applyAlignment="1" applyProtection="1">
      <alignment horizontal="center"/>
    </xf>
    <xf numFmtId="177" fontId="2" fillId="0" borderId="31" xfId="0" applyNumberFormat="1" applyFont="1" applyFill="1" applyBorder="1" applyAlignment="1" applyProtection="1">
      <alignment horizontal="center" vertical="center"/>
    </xf>
    <xf numFmtId="178" fontId="2" fillId="0" borderId="27" xfId="0" applyNumberFormat="1" applyFont="1" applyFill="1" applyBorder="1" applyAlignment="1" applyProtection="1">
      <alignment horizont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Alignment="1" applyProtection="1">
      <alignment vertical="center"/>
    </xf>
    <xf numFmtId="0" fontId="0" fillId="0" borderId="0" xfId="0" applyFill="1" applyProtection="1"/>
    <xf numFmtId="0" fontId="2" fillId="0" borderId="0" xfId="0" applyFont="1" applyFill="1" applyProtection="1"/>
    <xf numFmtId="3" fontId="2" fillId="0" borderId="33" xfId="0" applyNumberFormat="1" applyFont="1" applyFill="1" applyBorder="1" applyAlignment="1" applyProtection="1">
      <alignment horizontal="center"/>
    </xf>
    <xf numFmtId="0" fontId="2" fillId="0" borderId="33" xfId="0" applyFont="1" applyFill="1" applyBorder="1" applyAlignment="1" applyProtection="1">
      <alignment horizontal="center"/>
    </xf>
    <xf numFmtId="177" fontId="2" fillId="0" borderId="10" xfId="0" applyNumberFormat="1" applyFont="1" applyFill="1" applyBorder="1" applyAlignment="1" applyProtection="1">
      <alignment horizontal="center"/>
    </xf>
    <xf numFmtId="178" fontId="2" fillId="0" borderId="11" xfId="0" applyNumberFormat="1" applyFont="1" applyFill="1" applyBorder="1" applyAlignment="1" applyProtection="1">
      <alignment horizontal="center"/>
    </xf>
    <xf numFmtId="178" fontId="2" fillId="0" borderId="36" xfId="0" applyNumberFormat="1" applyFont="1" applyFill="1" applyBorder="1" applyAlignment="1" applyProtection="1">
      <alignment horizontal="right"/>
    </xf>
    <xf numFmtId="178" fontId="2" fillId="0" borderId="37" xfId="0" applyNumberFormat="1" applyFont="1" applyFill="1" applyBorder="1" applyAlignment="1" applyProtection="1">
      <alignment horizontal="center"/>
    </xf>
    <xf numFmtId="0" fontId="2" fillId="26" borderId="0" xfId="0" applyFont="1" applyFill="1" applyBorder="1" applyProtection="1"/>
    <xf numFmtId="0" fontId="10" fillId="0" borderId="0" xfId="0" applyFont="1" applyAlignment="1" applyProtection="1">
      <alignment horizontal="left" vertical="center"/>
    </xf>
    <xf numFmtId="2" fontId="2" fillId="0" borderId="10" xfId="0" applyNumberFormat="1" applyFont="1" applyBorder="1" applyAlignment="1" applyProtection="1">
      <alignment horizontal="center" vertical="center"/>
    </xf>
    <xf numFmtId="0" fontId="3" fillId="0" borderId="10" xfId="0" applyFont="1" applyFill="1" applyBorder="1" applyAlignment="1">
      <alignment horizontal="center" vertical="center" wrapText="1"/>
    </xf>
    <xf numFmtId="0" fontId="3" fillId="0" borderId="10" xfId="0" applyFont="1" applyFill="1" applyBorder="1" applyAlignment="1">
      <alignment horizontal="center" vertical="top" wrapText="1"/>
    </xf>
    <xf numFmtId="0" fontId="2" fillId="0" borderId="10" xfId="0" applyFont="1" applyBorder="1" applyAlignment="1" applyProtection="1">
      <alignment horizontal="left" vertical="top"/>
    </xf>
    <xf numFmtId="0" fontId="2" fillId="0" borderId="10" xfId="0" applyFont="1" applyFill="1" applyBorder="1" applyAlignment="1" applyProtection="1">
      <alignment horizontal="left" vertical="center"/>
    </xf>
    <xf numFmtId="0" fontId="2" fillId="0" borderId="10" xfId="0" applyFont="1" applyFill="1" applyBorder="1" applyAlignment="1" applyProtection="1">
      <alignment horizontal="center" vertical="center" wrapText="1"/>
    </xf>
    <xf numFmtId="0" fontId="2" fillId="0" borderId="10" xfId="0" applyFont="1" applyFill="1" applyBorder="1" applyAlignment="1" applyProtection="1">
      <alignment horizontal="center"/>
    </xf>
    <xf numFmtId="3" fontId="2" fillId="0" borderId="10" xfId="0" applyNumberFormat="1" applyFont="1" applyFill="1" applyBorder="1" applyAlignment="1" applyProtection="1">
      <alignment horizontal="center"/>
    </xf>
    <xf numFmtId="0" fontId="3" fillId="0" borderId="0" xfId="0" quotePrefix="1" applyFont="1" applyFill="1" applyAlignment="1">
      <alignment horizontal="left" vertical="center"/>
    </xf>
    <xf numFmtId="0" fontId="2" fillId="0" borderId="0" xfId="0" quotePrefix="1" applyFont="1" applyAlignment="1" applyProtection="1">
      <alignment horizontal="left" vertical="center"/>
    </xf>
    <xf numFmtId="0" fontId="10" fillId="0" borderId="0" xfId="0" applyFont="1" applyAlignment="1" applyProtection="1">
      <alignment vertical="center"/>
    </xf>
    <xf numFmtId="0" fontId="3" fillId="0" borderId="0" xfId="0" applyFont="1" applyAlignment="1" applyProtection="1">
      <alignment horizontal="left"/>
    </xf>
    <xf numFmtId="3" fontId="2" fillId="0" borderId="10" xfId="0" applyNumberFormat="1" applyFont="1" applyFill="1" applyBorder="1" applyAlignment="1" applyProtection="1">
      <alignment horizontal="center" vertical="center"/>
    </xf>
    <xf numFmtId="0" fontId="2" fillId="0" borderId="18"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0" xfId="0" applyFont="1" applyBorder="1" applyProtection="1"/>
    <xf numFmtId="172" fontId="2" fillId="0" borderId="10" xfId="0" applyNumberFormat="1" applyFont="1" applyFill="1" applyBorder="1" applyAlignment="1" applyProtection="1">
      <alignment horizontal="center" vertical="top" wrapText="1"/>
    </xf>
    <xf numFmtId="0" fontId="2" fillId="0" borderId="0" xfId="0" applyFont="1" applyAlignment="1" applyProtection="1">
      <alignment horizontal="left"/>
    </xf>
    <xf numFmtId="0" fontId="2" fillId="0" borderId="0" xfId="0" applyFont="1" applyAlignment="1" applyProtection="1"/>
    <xf numFmtId="0" fontId="2" fillId="0" borderId="10" xfId="0" applyFont="1" applyBorder="1" applyAlignment="1" applyProtection="1">
      <alignment horizontal="center" vertical="center"/>
    </xf>
    <xf numFmtId="2" fontId="2" fillId="0" borderId="21" xfId="0" applyNumberFormat="1" applyFont="1" applyBorder="1" applyAlignment="1" applyProtection="1">
      <alignment horizontal="center" vertical="center"/>
    </xf>
    <xf numFmtId="0" fontId="2" fillId="0" borderId="0" xfId="0" quotePrefix="1" applyFont="1" applyAlignment="1" applyProtection="1">
      <alignment horizontal="left"/>
    </xf>
    <xf numFmtId="0" fontId="2" fillId="0" borderId="10" xfId="0" applyFont="1" applyBorder="1" applyProtection="1"/>
    <xf numFmtId="2" fontId="2" fillId="0" borderId="10" xfId="0" applyNumberFormat="1" applyFont="1" applyFill="1" applyBorder="1" applyAlignment="1" applyProtection="1">
      <alignment horizontal="center" vertical="center"/>
    </xf>
    <xf numFmtId="0" fontId="2" fillId="0" borderId="10" xfId="0" applyFont="1" applyBorder="1" applyAlignment="1" applyProtection="1">
      <alignment vertical="center"/>
    </xf>
    <xf numFmtId="172" fontId="2" fillId="0" borderId="10" xfId="0" applyNumberFormat="1" applyFont="1" applyFill="1" applyBorder="1" applyAlignment="1" applyProtection="1">
      <alignment horizontal="center" vertical="center"/>
    </xf>
    <xf numFmtId="0" fontId="2" fillId="0" borderId="0" xfId="0" applyFont="1" applyFill="1" applyAlignment="1" applyProtection="1">
      <alignment horizontal="left"/>
    </xf>
    <xf numFmtId="0" fontId="2" fillId="0" borderId="0" xfId="0" quotePrefix="1" applyFont="1" applyFill="1" applyAlignment="1" applyProtection="1">
      <alignment horizontal="left" vertical="center"/>
    </xf>
    <xf numFmtId="4" fontId="2" fillId="0" borderId="10" xfId="0" applyNumberFormat="1" applyFont="1" applyBorder="1" applyAlignment="1" applyProtection="1">
      <alignment horizontal="center" vertical="center"/>
    </xf>
    <xf numFmtId="4" fontId="2" fillId="0" borderId="10" xfId="0" applyNumberFormat="1" applyFont="1" applyFill="1" applyBorder="1" applyAlignment="1" applyProtection="1">
      <alignment horizontal="center"/>
    </xf>
    <xf numFmtId="0" fontId="2" fillId="0" borderId="21" xfId="0" applyFont="1" applyFill="1" applyBorder="1" applyAlignment="1" applyProtection="1">
      <alignment horizontal="center"/>
    </xf>
    <xf numFmtId="0" fontId="2" fillId="0" borderId="38" xfId="0" applyFont="1" applyFill="1" applyBorder="1" applyAlignment="1" applyProtection="1">
      <alignment horizontal="center"/>
    </xf>
    <xf numFmtId="9" fontId="2" fillId="0" borderId="10" xfId="40" applyNumberFormat="1" applyFont="1" applyFill="1" applyBorder="1" applyAlignment="1" applyProtection="1">
      <alignment horizontal="center"/>
    </xf>
    <xf numFmtId="9" fontId="2" fillId="0" borderId="10" xfId="40" applyFont="1" applyFill="1" applyBorder="1" applyAlignment="1" applyProtection="1">
      <alignment horizontal="center"/>
    </xf>
    <xf numFmtId="10" fontId="2" fillId="0" borderId="10" xfId="40" applyNumberFormat="1" applyFont="1" applyFill="1" applyBorder="1" applyAlignment="1" applyProtection="1">
      <alignment horizontal="center"/>
    </xf>
    <xf numFmtId="179" fontId="2" fillId="0" borderId="10" xfId="40" applyNumberFormat="1" applyFont="1" applyFill="1" applyBorder="1" applyAlignment="1" applyProtection="1">
      <alignment horizontal="center"/>
    </xf>
    <xf numFmtId="0" fontId="2" fillId="0" borderId="39" xfId="0" applyFont="1" applyFill="1" applyBorder="1" applyAlignment="1" applyProtection="1">
      <alignment horizontal="center"/>
    </xf>
    <xf numFmtId="0" fontId="2" fillId="0" borderId="40" xfId="0" applyFont="1" applyFill="1" applyBorder="1" applyAlignment="1" applyProtection="1">
      <alignment horizontal="center"/>
    </xf>
    <xf numFmtId="0" fontId="2" fillId="0" borderId="0" xfId="0" applyFont="1" applyFill="1" applyBorder="1" applyAlignment="1" applyProtection="1">
      <alignment horizontal="left"/>
    </xf>
    <xf numFmtId="0" fontId="2" fillId="0" borderId="0" xfId="0" applyFont="1" applyAlignment="1" applyProtection="1">
      <alignment horizontal="left" vertical="top"/>
    </xf>
    <xf numFmtId="0" fontId="2" fillId="0" borderId="0" xfId="0" applyFont="1" applyBorder="1" applyAlignment="1" applyProtection="1">
      <alignment vertical="center"/>
    </xf>
    <xf numFmtId="0" fontId="2" fillId="0" borderId="0" xfId="0" applyFont="1" applyBorder="1" applyAlignment="1" applyProtection="1">
      <alignment horizontal="left" vertical="center" wrapText="1"/>
    </xf>
    <xf numFmtId="3" fontId="2" fillId="0" borderId="0" xfId="0" applyNumberFormat="1" applyFont="1" applyBorder="1" applyAlignment="1" applyProtection="1">
      <alignment horizontal="center" vertical="center"/>
    </xf>
    <xf numFmtId="173" fontId="2" fillId="0" borderId="10" xfId="0" applyNumberFormat="1" applyFont="1" applyBorder="1" applyAlignment="1" applyProtection="1">
      <alignment horizontal="center"/>
    </xf>
    <xf numFmtId="173" fontId="2" fillId="0" borderId="10" xfId="0" applyNumberFormat="1" applyFont="1" applyBorder="1" applyAlignment="1" applyProtection="1">
      <alignment horizontal="center" vertical="center"/>
    </xf>
    <xf numFmtId="1" fontId="2" fillId="0" borderId="10" xfId="0" applyNumberFormat="1" applyFont="1" applyBorder="1" applyAlignment="1" applyProtection="1">
      <alignment horizontal="center"/>
    </xf>
    <xf numFmtId="2" fontId="2" fillId="0" borderId="10" xfId="0" applyNumberFormat="1" applyFont="1" applyBorder="1" applyAlignment="1" applyProtection="1">
      <alignment horizontal="center"/>
    </xf>
    <xf numFmtId="172" fontId="2" fillId="0" borderId="10" xfId="0" applyNumberFormat="1" applyFont="1" applyBorder="1" applyAlignment="1" applyProtection="1">
      <alignment horizontal="center"/>
    </xf>
    <xf numFmtId="179" fontId="2" fillId="0" borderId="10" xfId="40" applyNumberFormat="1" applyFont="1" applyBorder="1" applyAlignment="1" applyProtection="1">
      <alignment horizontal="center"/>
    </xf>
    <xf numFmtId="3" fontId="2" fillId="0" borderId="10" xfId="40" applyNumberFormat="1" applyFont="1" applyBorder="1" applyAlignment="1" applyProtection="1">
      <alignment horizontal="center"/>
    </xf>
    <xf numFmtId="0" fontId="2" fillId="0" borderId="0" xfId="0" applyFont="1" applyBorder="1" applyAlignment="1" applyProtection="1">
      <alignment horizontal="left" vertical="top"/>
    </xf>
    <xf numFmtId="179" fontId="2" fillId="0" borderId="0" xfId="40" applyNumberFormat="1" applyFont="1" applyBorder="1" applyAlignment="1" applyProtection="1">
      <alignment horizontal="center"/>
    </xf>
    <xf numFmtId="9" fontId="2" fillId="0" borderId="0" xfId="40" applyFont="1" applyProtection="1"/>
    <xf numFmtId="173" fontId="2" fillId="0" borderId="10" xfId="0" applyNumberFormat="1" applyFont="1" applyFill="1" applyBorder="1" applyAlignment="1" applyProtection="1">
      <alignment horizontal="center" vertical="center"/>
    </xf>
    <xf numFmtId="0" fontId="2" fillId="0" borderId="0" xfId="0" applyFont="1" applyBorder="1" applyAlignment="1" applyProtection="1">
      <alignment horizontal="center"/>
    </xf>
    <xf numFmtId="0" fontId="2" fillId="0" borderId="10" xfId="0" applyFont="1" applyFill="1" applyBorder="1" applyAlignment="1" applyProtection="1">
      <alignment vertical="center"/>
    </xf>
    <xf numFmtId="178" fontId="2" fillId="0" borderId="10" xfId="0" applyNumberFormat="1" applyFont="1" applyFill="1" applyBorder="1" applyAlignment="1" applyProtection="1">
      <alignment horizontal="center"/>
    </xf>
    <xf numFmtId="1" fontId="2" fillId="0" borderId="0" xfId="0" applyNumberFormat="1" applyFont="1" applyAlignment="1" applyProtection="1">
      <alignment vertical="center"/>
    </xf>
    <xf numFmtId="177" fontId="2" fillId="0" borderId="0" xfId="0" applyNumberFormat="1" applyFont="1" applyAlignment="1" applyProtection="1">
      <alignment vertical="center"/>
    </xf>
    <xf numFmtId="177" fontId="2" fillId="0" borderId="0" xfId="0" applyNumberFormat="1" applyFont="1" applyFill="1" applyBorder="1" applyAlignment="1" applyProtection="1">
      <alignment horizontal="center" vertical="center"/>
    </xf>
    <xf numFmtId="0" fontId="2" fillId="0" borderId="0" xfId="0" applyFont="1" applyFill="1" applyAlignment="1" applyProtection="1">
      <alignment horizontal="left" vertical="center"/>
    </xf>
    <xf numFmtId="0" fontId="3" fillId="0" borderId="41" xfId="0" applyFont="1" applyBorder="1" applyProtection="1"/>
    <xf numFmtId="178" fontId="2" fillId="0" borderId="10" xfId="0" applyNumberFormat="1" applyFont="1" applyBorder="1" applyAlignment="1" applyProtection="1">
      <alignment horizontal="center"/>
    </xf>
    <xf numFmtId="0" fontId="2" fillId="0" borderId="10" xfId="0" applyFont="1" applyBorder="1" applyAlignment="1" applyProtection="1">
      <alignment horizontal="center"/>
    </xf>
    <xf numFmtId="177" fontId="2" fillId="0" borderId="10" xfId="0" applyNumberFormat="1" applyFont="1" applyBorder="1" applyAlignment="1" applyProtection="1">
      <alignment horizontal="center"/>
    </xf>
    <xf numFmtId="201" fontId="2" fillId="0" borderId="10" xfId="0" applyNumberFormat="1" applyFont="1" applyBorder="1" applyAlignment="1" applyProtection="1">
      <alignment horizontal="center"/>
    </xf>
    <xf numFmtId="0" fontId="3" fillId="0" borderId="0" xfId="0" quotePrefix="1" applyFont="1" applyFill="1" applyAlignment="1" applyProtection="1">
      <alignment horizontal="left" vertical="center"/>
    </xf>
    <xf numFmtId="0" fontId="56" fillId="0" borderId="0" xfId="0" applyFont="1" applyFill="1"/>
    <xf numFmtId="0" fontId="57" fillId="0" borderId="0" xfId="0" applyFont="1" applyFill="1"/>
    <xf numFmtId="0" fontId="58" fillId="0" borderId="0" xfId="0" applyFont="1" applyFill="1" applyAlignment="1">
      <alignment horizontal="center"/>
    </xf>
    <xf numFmtId="0" fontId="3" fillId="0" borderId="0" xfId="0" applyFont="1" applyFill="1" applyAlignment="1">
      <alignment horizontal="left" vertical="center" wrapText="1"/>
    </xf>
    <xf numFmtId="0" fontId="3" fillId="0" borderId="0" xfId="0" applyFont="1" applyFill="1" applyAlignment="1">
      <alignment horizontal="left" indent="2"/>
    </xf>
    <xf numFmtId="0" fontId="3" fillId="0" borderId="0" xfId="0" applyFont="1" applyFill="1" applyAlignment="1">
      <alignment horizontal="left" vertical="center" wrapText="1" indent="1"/>
    </xf>
    <xf numFmtId="0" fontId="3" fillId="0" borderId="0" xfId="0" applyFont="1" applyFill="1" applyAlignment="1">
      <alignment horizontal="left" vertical="top" wrapText="1"/>
    </xf>
    <xf numFmtId="0" fontId="3" fillId="0" borderId="0" xfId="0" applyFont="1" applyFill="1" applyAlignment="1">
      <alignment horizontal="justify"/>
    </xf>
    <xf numFmtId="0" fontId="3" fillId="0" borderId="0" xfId="0" applyFont="1" applyFill="1" applyAlignment="1">
      <alignment horizontal="left" vertical="center" indent="1"/>
    </xf>
    <xf numFmtId="0" fontId="0" fillId="0" borderId="0" xfId="0" applyFill="1" applyBorder="1"/>
    <xf numFmtId="0" fontId="3" fillId="0" borderId="0" xfId="0" applyFont="1" applyFill="1" applyBorder="1" applyAlignment="1">
      <alignment horizontal="center" vertical="top"/>
    </xf>
    <xf numFmtId="0" fontId="10" fillId="0" borderId="0" xfId="0" applyFont="1" applyFill="1" applyAlignment="1">
      <alignment horizontal="left" vertical="center" wrapText="1"/>
    </xf>
    <xf numFmtId="0" fontId="64" fillId="0" borderId="0" xfId="0" applyFont="1" applyFill="1" applyAlignment="1">
      <alignment horizontal="left" vertical="center" wrapText="1"/>
    </xf>
    <xf numFmtId="0" fontId="2" fillId="0" borderId="0" xfId="0" applyFont="1" applyFill="1" applyAlignment="1">
      <alignment horizontal="left" vertical="center" wrapText="1"/>
    </xf>
    <xf numFmtId="0" fontId="3" fillId="0" borderId="10" xfId="37" applyFont="1" applyFill="1" applyBorder="1" applyAlignment="1">
      <alignment horizontal="center"/>
    </xf>
    <xf numFmtId="0" fontId="3" fillId="0" borderId="10" xfId="37" applyFont="1" applyFill="1" applyBorder="1" applyAlignment="1" applyProtection="1">
      <alignment horizontal="center"/>
      <protection locked="0"/>
    </xf>
    <xf numFmtId="0" fontId="3" fillId="0" borderId="10" xfId="37" applyFont="1" applyFill="1" applyBorder="1" applyAlignment="1" applyProtection="1">
      <alignment horizontal="center" vertical="center"/>
      <protection locked="0"/>
    </xf>
    <xf numFmtId="172" fontId="3" fillId="0" borderId="10" xfId="37" applyNumberFormat="1" applyFont="1" applyFill="1" applyBorder="1" applyAlignment="1">
      <alignment horizontal="center"/>
    </xf>
    <xf numFmtId="0" fontId="62" fillId="0" borderId="0" xfId="0" applyFont="1" applyFill="1"/>
    <xf numFmtId="0" fontId="2" fillId="0" borderId="0" xfId="0" applyFont="1" applyFill="1" applyAlignment="1">
      <alignment horizontal="center"/>
    </xf>
    <xf numFmtId="0" fontId="3" fillId="0" borderId="0" xfId="0" applyFont="1" applyFill="1" applyBorder="1" applyAlignment="1">
      <alignment horizontal="left" vertical="top"/>
    </xf>
    <xf numFmtId="0" fontId="3" fillId="0" borderId="0" xfId="0" applyFont="1" applyFill="1" applyBorder="1" applyAlignment="1">
      <alignment horizontal="center" vertical="top" wrapText="1"/>
    </xf>
    <xf numFmtId="3" fontId="3" fillId="0" borderId="10" xfId="0" applyNumberFormat="1" applyFont="1" applyFill="1" applyBorder="1" applyAlignment="1">
      <alignment horizontal="center" vertical="top" wrapText="1"/>
    </xf>
    <xf numFmtId="3" fontId="3" fillId="0" borderId="0" xfId="0" applyNumberFormat="1" applyFont="1" applyFill="1" applyBorder="1" applyAlignment="1">
      <alignment horizontal="center" vertical="top" wrapText="1"/>
    </xf>
    <xf numFmtId="0" fontId="3" fillId="0" borderId="0" xfId="0" applyFont="1" applyFill="1" applyBorder="1" applyAlignment="1">
      <alignment horizontal="left"/>
    </xf>
    <xf numFmtId="0" fontId="49" fillId="0" borderId="0" xfId="0" applyFont="1" applyFill="1" applyAlignment="1">
      <alignment horizontal="center"/>
    </xf>
    <xf numFmtId="0" fontId="0" fillId="0" borderId="0" xfId="0" applyFill="1" applyBorder="1" applyAlignment="1">
      <alignment horizontal="left"/>
    </xf>
    <xf numFmtId="0" fontId="0" fillId="0" borderId="0" xfId="0" applyFill="1" applyBorder="1" applyAlignment="1">
      <alignment horizontal="center"/>
    </xf>
    <xf numFmtId="0" fontId="3" fillId="0" borderId="0" xfId="0" applyFont="1" applyFill="1" applyAlignment="1">
      <alignment horizontal="center"/>
    </xf>
    <xf numFmtId="0" fontId="64" fillId="0" borderId="0" xfId="0" applyFont="1" applyFill="1"/>
    <xf numFmtId="0" fontId="0" fillId="0" borderId="0" xfId="0" applyFill="1" applyAlignment="1">
      <alignment horizontal="center"/>
    </xf>
    <xf numFmtId="0" fontId="10" fillId="0" borderId="0" xfId="0" applyFont="1" applyFill="1"/>
    <xf numFmtId="165" fontId="3" fillId="0" borderId="10" xfId="0" applyNumberFormat="1" applyFont="1" applyFill="1" applyBorder="1" applyAlignment="1">
      <alignment horizontal="center"/>
    </xf>
    <xf numFmtId="167" fontId="3" fillId="0" borderId="10" xfId="0" applyNumberFormat="1" applyFont="1" applyFill="1" applyBorder="1" applyAlignment="1">
      <alignment horizontal="center"/>
    </xf>
    <xf numFmtId="177" fontId="3" fillId="0" borderId="10" xfId="0" applyNumberFormat="1" applyFont="1" applyFill="1" applyBorder="1" applyAlignment="1" applyProtection="1">
      <alignment horizontal="center" vertical="center"/>
      <protection locked="0"/>
    </xf>
    <xf numFmtId="9" fontId="3" fillId="0" borderId="10" xfId="40" applyNumberFormat="1" applyFont="1" applyFill="1" applyBorder="1" applyAlignment="1">
      <alignment horizontal="center"/>
    </xf>
    <xf numFmtId="9" fontId="3" fillId="0" borderId="10" xfId="40" applyFont="1" applyFill="1" applyBorder="1" applyAlignment="1">
      <alignment horizontal="center"/>
    </xf>
    <xf numFmtId="178" fontId="3" fillId="0" borderId="10" xfId="0" applyNumberFormat="1" applyFont="1" applyFill="1" applyBorder="1" applyAlignment="1">
      <alignment horizontal="center" vertical="center"/>
    </xf>
    <xf numFmtId="178" fontId="3" fillId="0" borderId="10" xfId="0" applyNumberFormat="1" applyFont="1" applyFill="1" applyBorder="1" applyAlignment="1">
      <alignment horizontal="center"/>
    </xf>
    <xf numFmtId="178" fontId="3" fillId="0" borderId="0" xfId="0" applyNumberFormat="1" applyFont="1" applyFill="1" applyBorder="1" applyAlignment="1">
      <alignment horizontal="center"/>
    </xf>
    <xf numFmtId="177" fontId="3" fillId="0" borderId="10" xfId="0" applyNumberFormat="1" applyFont="1" applyFill="1" applyBorder="1" applyAlignment="1" applyProtection="1">
      <alignment horizontal="center"/>
      <protection locked="0"/>
    </xf>
    <xf numFmtId="178" fontId="3" fillId="0" borderId="10" xfId="0" applyNumberFormat="1" applyFont="1" applyFill="1" applyBorder="1" applyAlignment="1"/>
    <xf numFmtId="1" fontId="3" fillId="0" borderId="10" xfId="0" applyNumberFormat="1" applyFont="1" applyFill="1" applyBorder="1" applyAlignment="1" applyProtection="1">
      <alignment horizontal="center"/>
      <protection locked="0"/>
    </xf>
    <xf numFmtId="176" fontId="3" fillId="0" borderId="10" xfId="0" applyNumberFormat="1" applyFont="1" applyFill="1" applyBorder="1" applyAlignment="1" applyProtection="1">
      <alignment horizontal="center"/>
      <protection locked="0"/>
    </xf>
    <xf numFmtId="178" fontId="3" fillId="0" borderId="10" xfId="0" applyNumberFormat="1" applyFont="1" applyFill="1" applyBorder="1" applyAlignment="1" applyProtection="1">
      <alignment horizontal="center"/>
      <protection locked="0"/>
    </xf>
    <xf numFmtId="178" fontId="3" fillId="0" borderId="10" xfId="0" applyNumberFormat="1" applyFont="1" applyFill="1" applyBorder="1" applyProtection="1">
      <protection locked="0"/>
    </xf>
    <xf numFmtId="0" fontId="66" fillId="0" borderId="0" xfId="0" applyFont="1" applyFill="1" applyBorder="1" applyAlignment="1">
      <alignment horizontal="center" vertical="top"/>
    </xf>
    <xf numFmtId="0" fontId="48" fillId="0" borderId="10" xfId="0" applyFont="1" applyFill="1" applyBorder="1" applyAlignment="1">
      <alignment horizontal="center" vertical="center" wrapText="1"/>
    </xf>
    <xf numFmtId="0" fontId="48" fillId="0" borderId="0" xfId="0" applyFont="1" applyFill="1" applyBorder="1" applyAlignment="1">
      <alignment horizontal="center"/>
    </xf>
    <xf numFmtId="0" fontId="0" fillId="0" borderId="10" xfId="0" applyFill="1" applyBorder="1" applyAlignment="1">
      <alignment horizontal="center" vertical="center"/>
    </xf>
    <xf numFmtId="172" fontId="48" fillId="0" borderId="10" xfId="0" applyNumberFormat="1" applyFont="1" applyFill="1" applyBorder="1" applyAlignment="1">
      <alignment horizontal="center" vertical="center" wrapText="1"/>
    </xf>
    <xf numFmtId="172" fontId="0" fillId="0" borderId="10" xfId="0" applyNumberFormat="1" applyFill="1" applyBorder="1" applyAlignment="1">
      <alignment horizontal="center" vertical="center"/>
    </xf>
    <xf numFmtId="9" fontId="3" fillId="0" borderId="10" xfId="40" applyFont="1" applyFill="1" applyBorder="1" applyAlignment="1">
      <alignment horizontal="center" vertical="center"/>
    </xf>
    <xf numFmtId="172" fontId="0" fillId="0" borderId="0" xfId="0" applyNumberFormat="1" applyFill="1" applyAlignment="1">
      <alignment horizontal="center" vertical="center"/>
    </xf>
    <xf numFmtId="0" fontId="3" fillId="0" borderId="0" xfId="0" applyFont="1" applyFill="1" applyBorder="1" applyAlignment="1">
      <alignment horizontal="left" vertical="center" wrapText="1"/>
    </xf>
    <xf numFmtId="178" fontId="3" fillId="0" borderId="0" xfId="0" applyNumberFormat="1" applyFont="1" applyFill="1" applyBorder="1" applyAlignment="1">
      <alignment horizontal="center" vertical="center"/>
    </xf>
    <xf numFmtId="178" fontId="3" fillId="0" borderId="0" xfId="0" applyNumberFormat="1" applyFont="1" applyFill="1" applyAlignment="1">
      <alignment horizontal="center" vertical="center" wrapText="1"/>
    </xf>
    <xf numFmtId="0" fontId="68" fillId="0" borderId="0" xfId="0" applyFont="1" applyFill="1" applyAlignment="1">
      <alignment horizontal="left" indent="2"/>
    </xf>
    <xf numFmtId="178" fontId="2" fillId="27" borderId="10" xfId="0" applyNumberFormat="1" applyFont="1" applyFill="1" applyBorder="1" applyAlignment="1">
      <alignment horizontal="center"/>
    </xf>
    <xf numFmtId="0" fontId="3" fillId="0" borderId="38" xfId="0" applyFont="1" applyFill="1" applyBorder="1" applyAlignment="1">
      <alignment horizontal="center"/>
    </xf>
    <xf numFmtId="0" fontId="3" fillId="0" borderId="32" xfId="0" applyFont="1" applyFill="1" applyBorder="1" applyAlignment="1">
      <alignment horizontal="center"/>
    </xf>
    <xf numFmtId="0" fontId="2" fillId="0" borderId="21" xfId="0" applyFont="1" applyFill="1" applyBorder="1" applyAlignment="1" applyProtection="1">
      <alignment horizontal="left"/>
    </xf>
    <xf numFmtId="0" fontId="2" fillId="0" borderId="32" xfId="0" applyFont="1" applyFill="1" applyBorder="1" applyAlignment="1" applyProtection="1">
      <alignment horizontal="center"/>
    </xf>
    <xf numFmtId="0" fontId="2" fillId="0" borderId="10" xfId="0" applyFont="1" applyBorder="1" applyAlignment="1" applyProtection="1">
      <alignment horizontal="center" vertical="top"/>
    </xf>
    <xf numFmtId="0" fontId="2" fillId="0" borderId="0" xfId="0" quotePrefix="1" applyFont="1" applyProtection="1"/>
    <xf numFmtId="2" fontId="2" fillId="0" borderId="21" xfId="0" applyNumberFormat="1" applyFont="1" applyFill="1" applyBorder="1" applyAlignment="1" applyProtection="1">
      <alignment horizontal="center" vertical="center"/>
    </xf>
    <xf numFmtId="172" fontId="2" fillId="0" borderId="21" xfId="0" applyNumberFormat="1" applyFont="1" applyFill="1" applyBorder="1" applyAlignment="1" applyProtection="1">
      <alignment horizontal="center" vertical="center"/>
    </xf>
    <xf numFmtId="4" fontId="2" fillId="0" borderId="21" xfId="0" applyNumberFormat="1" applyFont="1" applyBorder="1" applyAlignment="1" applyProtection="1">
      <alignment horizontal="center" vertical="center"/>
    </xf>
    <xf numFmtId="172" fontId="2" fillId="0" borderId="21" xfId="0" applyNumberFormat="1" applyFont="1" applyBorder="1" applyAlignment="1" applyProtection="1">
      <alignment horizontal="center" vertical="center"/>
    </xf>
    <xf numFmtId="0" fontId="2" fillId="0" borderId="21" xfId="0" applyFont="1" applyBorder="1" applyAlignment="1" applyProtection="1">
      <alignment horizontal="center" vertical="center"/>
    </xf>
    <xf numFmtId="1" fontId="2" fillId="0" borderId="0" xfId="0" applyNumberFormat="1" applyFont="1" applyAlignment="1" applyProtection="1">
      <alignment horizontal="center"/>
    </xf>
    <xf numFmtId="1" fontId="2" fillId="0" borderId="10" xfId="0" applyNumberFormat="1" applyFont="1" applyBorder="1" applyAlignment="1" applyProtection="1">
      <alignment horizontal="center" vertical="center"/>
    </xf>
    <xf numFmtId="3" fontId="2" fillId="0" borderId="0" xfId="40" applyNumberFormat="1" applyFont="1" applyBorder="1" applyAlignment="1" applyProtection="1">
      <alignment horizontal="center"/>
    </xf>
    <xf numFmtId="3" fontId="2" fillId="0" borderId="10" xfId="0" applyNumberFormat="1" applyFont="1" applyBorder="1" applyAlignment="1" applyProtection="1">
      <alignment horizontal="center"/>
    </xf>
    <xf numFmtId="3" fontId="2" fillId="0" borderId="21" xfId="0" applyNumberFormat="1" applyFont="1" applyBorder="1" applyAlignment="1" applyProtection="1">
      <alignment horizontal="center"/>
    </xf>
    <xf numFmtId="3" fontId="2" fillId="0" borderId="21" xfId="0" applyNumberFormat="1" applyFont="1" applyFill="1" applyBorder="1" applyAlignment="1" applyProtection="1">
      <alignment horizontal="center" vertical="center"/>
    </xf>
    <xf numFmtId="0" fontId="2" fillId="0" borderId="0" xfId="0" quotePrefix="1" applyFont="1" applyAlignment="1" applyProtection="1">
      <alignment vertical="center"/>
    </xf>
    <xf numFmtId="177" fontId="2" fillId="25" borderId="10" xfId="0" applyNumberFormat="1" applyFont="1" applyFill="1" applyBorder="1" applyAlignment="1" applyProtection="1">
      <alignment horizontal="center" vertical="center"/>
    </xf>
    <xf numFmtId="178" fontId="2" fillId="0" borderId="0" xfId="0" applyNumberFormat="1" applyFont="1" applyProtection="1"/>
    <xf numFmtId="178" fontId="2" fillId="0" borderId="0" xfId="0" applyNumberFormat="1" applyFont="1" applyBorder="1" applyAlignment="1" applyProtection="1">
      <alignment horizontal="left" vertical="center"/>
    </xf>
    <xf numFmtId="178" fontId="2" fillId="0" borderId="0" xfId="0" applyNumberFormat="1" applyFont="1" applyAlignment="1" applyProtection="1">
      <alignment vertical="center"/>
    </xf>
    <xf numFmtId="172" fontId="2" fillId="0" borderId="10" xfId="0" applyNumberFormat="1" applyFont="1" applyBorder="1" applyAlignment="1" applyProtection="1">
      <alignment horizontal="center" vertical="top"/>
    </xf>
    <xf numFmtId="0" fontId="2" fillId="0" borderId="15" xfId="0" applyFont="1" applyBorder="1" applyAlignment="1" applyProtection="1">
      <alignment vertical="center"/>
    </xf>
    <xf numFmtId="0" fontId="2" fillId="0" borderId="0" xfId="0" applyFont="1" applyFill="1" applyBorder="1" applyAlignment="1" applyProtection="1">
      <alignment vertical="center"/>
    </xf>
    <xf numFmtId="0" fontId="2" fillId="0" borderId="16" xfId="0" applyFont="1" applyFill="1" applyBorder="1" applyAlignment="1" applyProtection="1">
      <alignment vertical="center"/>
    </xf>
    <xf numFmtId="172" fontId="2" fillId="27" borderId="10" xfId="0" applyNumberFormat="1" applyFont="1" applyFill="1" applyBorder="1" applyAlignment="1" applyProtection="1">
      <alignment horizontal="center" vertical="center"/>
    </xf>
    <xf numFmtId="1" fontId="2" fillId="0" borderId="10" xfId="0" applyNumberFormat="1" applyFont="1" applyFill="1" applyBorder="1" applyAlignment="1" applyProtection="1">
      <alignment horizontal="center" vertical="center"/>
    </xf>
    <xf numFmtId="0" fontId="2" fillId="0" borderId="11" xfId="0" applyFont="1" applyFill="1" applyBorder="1" applyAlignment="1" applyProtection="1">
      <alignment horizontal="center" vertical="center"/>
    </xf>
    <xf numFmtId="0" fontId="2" fillId="0" borderId="12" xfId="0" applyFont="1" applyFill="1" applyBorder="1" applyAlignment="1" applyProtection="1">
      <alignment vertical="center"/>
    </xf>
    <xf numFmtId="0" fontId="2" fillId="0" borderId="13" xfId="0" applyFont="1" applyFill="1" applyBorder="1" applyAlignment="1" applyProtection="1">
      <alignment vertical="center"/>
    </xf>
    <xf numFmtId="172" fontId="2" fillId="27" borderId="13" xfId="0" applyNumberFormat="1" applyFont="1" applyFill="1" applyBorder="1" applyAlignment="1" applyProtection="1">
      <alignment horizontal="center" vertical="center"/>
    </xf>
    <xf numFmtId="1" fontId="2" fillId="0" borderId="13" xfId="0" applyNumberFormat="1" applyFont="1" applyFill="1" applyBorder="1" applyAlignment="1" applyProtection="1">
      <alignment horizontal="center" vertical="center"/>
    </xf>
    <xf numFmtId="0" fontId="2" fillId="0" borderId="14" xfId="0" applyFont="1" applyFill="1" applyBorder="1" applyAlignment="1" applyProtection="1">
      <alignment vertical="center"/>
    </xf>
    <xf numFmtId="0" fontId="2" fillId="0" borderId="15" xfId="0" applyFont="1" applyFill="1" applyBorder="1" applyAlignment="1" applyProtection="1">
      <alignment horizontal="left" vertical="center" indent="3"/>
    </xf>
    <xf numFmtId="0" fontId="2" fillId="0" borderId="16" xfId="0" applyFont="1" applyBorder="1" applyAlignment="1" applyProtection="1">
      <alignment vertical="center"/>
    </xf>
    <xf numFmtId="0" fontId="2" fillId="0" borderId="12" xfId="0" applyFont="1" applyFill="1" applyBorder="1" applyAlignment="1" applyProtection="1">
      <alignment horizontal="left" vertical="center" indent="3"/>
    </xf>
    <xf numFmtId="172" fontId="2" fillId="28" borderId="10" xfId="0" applyNumberFormat="1" applyFont="1" applyFill="1" applyBorder="1" applyAlignment="1" applyProtection="1">
      <alignment horizontal="center" vertical="center"/>
    </xf>
    <xf numFmtId="172" fontId="2" fillId="28" borderId="13" xfId="0" applyNumberFormat="1" applyFont="1" applyFill="1" applyBorder="1" applyAlignment="1" applyProtection="1">
      <alignment horizontal="center" vertical="center"/>
    </xf>
    <xf numFmtId="172" fontId="2" fillId="29" borderId="10" xfId="0" applyNumberFormat="1" applyFont="1" applyFill="1" applyBorder="1" applyAlignment="1" applyProtection="1">
      <alignment horizontal="center" vertical="center"/>
    </xf>
    <xf numFmtId="172" fontId="2" fillId="29" borderId="13" xfId="0" applyNumberFormat="1" applyFont="1" applyFill="1" applyBorder="1" applyAlignment="1" applyProtection="1">
      <alignment horizontal="center" vertical="center"/>
    </xf>
    <xf numFmtId="172" fontId="2" fillId="30" borderId="10" xfId="0" applyNumberFormat="1" applyFont="1" applyFill="1" applyBorder="1" applyAlignment="1" applyProtection="1">
      <alignment horizontal="center" vertical="center"/>
    </xf>
    <xf numFmtId="172" fontId="2" fillId="30" borderId="13" xfId="0" applyNumberFormat="1" applyFont="1" applyFill="1" applyBorder="1" applyAlignment="1" applyProtection="1">
      <alignment horizontal="center" vertical="center"/>
    </xf>
    <xf numFmtId="0" fontId="0" fillId="0" borderId="0" xfId="0" applyAlignment="1">
      <alignment horizontal="center"/>
    </xf>
    <xf numFmtId="165" fontId="0" fillId="0" borderId="0" xfId="0" applyNumberFormat="1" applyAlignment="1">
      <alignment horizontal="center"/>
    </xf>
    <xf numFmtId="0" fontId="3" fillId="0" borderId="21" xfId="0" applyFont="1" applyFill="1" applyBorder="1" applyAlignment="1">
      <alignment horizontal="left"/>
    </xf>
    <xf numFmtId="0" fontId="3" fillId="0" borderId="38" xfId="0" applyFont="1" applyFill="1" applyBorder="1" applyAlignment="1">
      <alignment horizontal="left"/>
    </xf>
    <xf numFmtId="0" fontId="3" fillId="0" borderId="32" xfId="0" applyFont="1" applyFill="1" applyBorder="1" applyAlignment="1">
      <alignment horizontal="left" indent="1"/>
    </xf>
    <xf numFmtId="0" fontId="2" fillId="0" borderId="32" xfId="0" applyFont="1" applyFill="1" applyBorder="1" applyAlignment="1" applyProtection="1">
      <alignment horizontal="center" vertical="center"/>
    </xf>
    <xf numFmtId="0" fontId="2" fillId="0" borderId="38" xfId="0" applyFont="1" applyFill="1" applyBorder="1" applyAlignment="1" applyProtection="1">
      <alignment horizontal="left"/>
    </xf>
    <xf numFmtId="0" fontId="2" fillId="27" borderId="38" xfId="0" applyFont="1" applyFill="1" applyBorder="1" applyAlignment="1" applyProtection="1">
      <alignment horizontal="left"/>
    </xf>
    <xf numFmtId="0" fontId="2" fillId="27" borderId="32" xfId="0" applyFont="1" applyFill="1" applyBorder="1" applyAlignment="1" applyProtection="1">
      <alignment horizontal="left" indent="1"/>
    </xf>
    <xf numFmtId="3" fontId="2" fillId="27" borderId="32" xfId="0" applyNumberFormat="1" applyFont="1" applyFill="1" applyBorder="1" applyAlignment="1" applyProtection="1">
      <alignment horizontal="center"/>
    </xf>
    <xf numFmtId="0" fontId="2" fillId="0" borderId="10" xfId="0" applyFont="1" applyFill="1" applyBorder="1" applyAlignment="1" applyProtection="1">
      <alignment horizontal="left" vertical="top"/>
    </xf>
    <xf numFmtId="178" fontId="0" fillId="0" borderId="0" xfId="0" applyNumberFormat="1"/>
    <xf numFmtId="178" fontId="2" fillId="0" borderId="0" xfId="0" applyNumberFormat="1" applyFont="1" applyBorder="1" applyAlignment="1" applyProtection="1">
      <alignment horizontal="center"/>
    </xf>
    <xf numFmtId="0" fontId="3" fillId="26" borderId="0" xfId="0" applyFont="1" applyFill="1" applyAlignment="1" applyProtection="1"/>
    <xf numFmtId="0" fontId="2" fillId="26" borderId="0" xfId="0" applyFont="1" applyFill="1" applyAlignment="1">
      <alignment horizontal="left" vertical="center" indent="4"/>
    </xf>
    <xf numFmtId="0" fontId="2" fillId="26" borderId="0" xfId="0" quotePrefix="1" applyFont="1" applyFill="1" applyAlignment="1">
      <alignment horizontal="left" vertical="center" indent="4"/>
    </xf>
    <xf numFmtId="1" fontId="2" fillId="27" borderId="10" xfId="0" applyNumberFormat="1" applyFont="1" applyFill="1" applyBorder="1" applyAlignment="1" applyProtection="1">
      <alignment vertical="center"/>
      <protection locked="0"/>
    </xf>
    <xf numFmtId="0" fontId="2" fillId="26" borderId="10" xfId="0" applyFont="1" applyFill="1" applyBorder="1" applyAlignment="1" applyProtection="1"/>
    <xf numFmtId="0" fontId="51" fillId="27" borderId="10" xfId="0" applyFont="1" applyFill="1" applyBorder="1" applyAlignment="1">
      <alignment vertical="center"/>
    </xf>
    <xf numFmtId="0" fontId="51" fillId="27" borderId="42" xfId="0" applyFont="1" applyFill="1" applyBorder="1" applyAlignment="1">
      <alignment vertical="center"/>
    </xf>
    <xf numFmtId="0" fontId="51" fillId="27" borderId="38" xfId="0" applyFont="1" applyFill="1" applyBorder="1" applyAlignment="1">
      <alignment vertical="center"/>
    </xf>
    <xf numFmtId="0" fontId="50" fillId="27" borderId="42" xfId="0" applyFont="1" applyFill="1" applyBorder="1" applyAlignment="1">
      <alignment vertical="center"/>
    </xf>
    <xf numFmtId="0" fontId="50" fillId="27" borderId="38" xfId="0" applyFont="1" applyFill="1" applyBorder="1" applyAlignment="1">
      <alignment vertical="center"/>
    </xf>
    <xf numFmtId="0" fontId="50" fillId="27" borderId="43" xfId="0" applyFont="1" applyFill="1" applyBorder="1" applyAlignment="1">
      <alignment vertical="center"/>
    </xf>
    <xf numFmtId="0" fontId="50" fillId="27" borderId="44" xfId="0" applyFont="1" applyFill="1" applyBorder="1" applyAlignment="1">
      <alignment vertical="center"/>
    </xf>
    <xf numFmtId="0" fontId="50" fillId="27" borderId="10" xfId="0" applyFont="1" applyFill="1" applyBorder="1" applyAlignment="1">
      <alignment vertical="center"/>
    </xf>
    <xf numFmtId="0" fontId="0" fillId="31" borderId="0" xfId="0" applyFill="1"/>
    <xf numFmtId="0" fontId="71" fillId="31" borderId="0" xfId="0" applyFont="1" applyFill="1" applyAlignment="1">
      <alignment horizontal="center" vertical="center"/>
    </xf>
    <xf numFmtId="0" fontId="11" fillId="31" borderId="0" xfId="0" applyFont="1" applyFill="1"/>
    <xf numFmtId="0" fontId="71" fillId="27" borderId="45" xfId="0" applyFont="1" applyFill="1" applyBorder="1" applyAlignment="1">
      <alignment horizontal="center" vertical="center"/>
    </xf>
    <xf numFmtId="0" fontId="71" fillId="27" borderId="24" xfId="0" applyFont="1" applyFill="1" applyBorder="1" applyAlignment="1">
      <alignment horizontal="center" vertical="center"/>
    </xf>
    <xf numFmtId="0" fontId="71" fillId="27" borderId="23" xfId="0" applyFont="1" applyFill="1" applyBorder="1" applyAlignment="1">
      <alignment horizontal="center" vertical="center"/>
    </xf>
    <xf numFmtId="0" fontId="71" fillId="27" borderId="46" xfId="0" applyFont="1" applyFill="1" applyBorder="1" applyAlignment="1">
      <alignment horizontal="center" vertical="center"/>
    </xf>
    <xf numFmtId="0" fontId="71" fillId="27" borderId="25" xfId="0" applyFont="1" applyFill="1" applyBorder="1" applyAlignment="1">
      <alignment horizontal="center" vertical="center"/>
    </xf>
    <xf numFmtId="0" fontId="71" fillId="27" borderId="26" xfId="0" applyFont="1" applyFill="1" applyBorder="1" applyAlignment="1">
      <alignment horizontal="center" vertical="center"/>
    </xf>
    <xf numFmtId="0" fontId="72" fillId="27" borderId="45" xfId="0" applyFont="1" applyFill="1" applyBorder="1" applyAlignment="1">
      <alignment horizontal="center" vertical="center" wrapText="1"/>
    </xf>
    <xf numFmtId="0" fontId="72" fillId="27" borderId="24" xfId="0" applyFont="1" applyFill="1" applyBorder="1" applyAlignment="1">
      <alignment horizontal="center" vertical="center" wrapText="1"/>
    </xf>
    <xf numFmtId="0" fontId="72" fillId="27" borderId="23" xfId="0" applyFont="1" applyFill="1" applyBorder="1" applyAlignment="1">
      <alignment horizontal="center" vertical="center" wrapText="1"/>
    </xf>
    <xf numFmtId="0" fontId="72" fillId="27" borderId="19" xfId="0" applyFont="1" applyFill="1" applyBorder="1" applyAlignment="1">
      <alignment horizontal="center" vertical="center" wrapText="1"/>
    </xf>
    <xf numFmtId="0" fontId="72" fillId="27" borderId="0" xfId="0" applyFont="1" applyFill="1" applyBorder="1" applyAlignment="1">
      <alignment horizontal="center" vertical="center" wrapText="1"/>
    </xf>
    <xf numFmtId="0" fontId="72" fillId="27" borderId="20" xfId="0" applyFont="1" applyFill="1" applyBorder="1" applyAlignment="1">
      <alignment horizontal="center" vertical="center" wrapText="1"/>
    </xf>
    <xf numFmtId="0" fontId="72" fillId="27" borderId="46" xfId="0" applyFont="1" applyFill="1" applyBorder="1" applyAlignment="1">
      <alignment horizontal="center" vertical="center" wrapText="1"/>
    </xf>
    <xf numFmtId="0" fontId="72" fillId="27" borderId="25" xfId="0" applyFont="1" applyFill="1" applyBorder="1" applyAlignment="1">
      <alignment horizontal="center" vertical="center" wrapText="1"/>
    </xf>
    <xf numFmtId="0" fontId="72" fillId="27" borderId="26" xfId="0" applyFont="1" applyFill="1" applyBorder="1" applyAlignment="1">
      <alignment horizontal="center" vertical="center" wrapText="1"/>
    </xf>
    <xf numFmtId="0" fontId="64" fillId="27" borderId="0" xfId="0" applyFont="1" applyFill="1" applyAlignment="1">
      <alignment horizontal="left" vertical="center" wrapText="1"/>
    </xf>
    <xf numFmtId="0" fontId="2" fillId="27" borderId="0" xfId="0" applyFont="1" applyFill="1" applyAlignment="1">
      <alignment horizontal="left" vertical="top" wrapText="1"/>
    </xf>
    <xf numFmtId="0" fontId="2" fillId="27" borderId="0" xfId="0" applyFont="1" applyFill="1" applyAlignment="1">
      <alignment horizontal="left" vertical="center" wrapText="1"/>
    </xf>
    <xf numFmtId="0" fontId="14" fillId="27" borderId="45" xfId="0" applyFont="1" applyFill="1" applyBorder="1" applyAlignment="1">
      <alignment horizontal="center" vertical="center"/>
    </xf>
    <xf numFmtId="0" fontId="14" fillId="27" borderId="24" xfId="0" applyFont="1" applyFill="1" applyBorder="1" applyAlignment="1">
      <alignment horizontal="center" vertical="center"/>
    </xf>
    <xf numFmtId="0" fontId="14" fillId="27" borderId="23" xfId="0" applyFont="1" applyFill="1" applyBorder="1" applyAlignment="1">
      <alignment horizontal="center" vertical="center"/>
    </xf>
    <xf numFmtId="0" fontId="14" fillId="27" borderId="46" xfId="0" applyFont="1" applyFill="1" applyBorder="1" applyAlignment="1">
      <alignment horizontal="center" vertical="center"/>
    </xf>
    <xf numFmtId="0" fontId="14" fillId="27" borderId="25" xfId="0" applyFont="1" applyFill="1" applyBorder="1" applyAlignment="1">
      <alignment horizontal="center" vertical="center"/>
    </xf>
    <xf numFmtId="0" fontId="14" fillId="27" borderId="26" xfId="0" applyFont="1" applyFill="1" applyBorder="1" applyAlignment="1">
      <alignment horizontal="center" vertical="center"/>
    </xf>
    <xf numFmtId="0" fontId="64" fillId="27" borderId="0" xfId="0" applyFont="1" applyFill="1" applyAlignment="1">
      <alignment horizontal="left" vertical="top" wrapText="1" indent="2"/>
    </xf>
    <xf numFmtId="0" fontId="2" fillId="27" borderId="10" xfId="0" applyFont="1" applyFill="1" applyBorder="1" applyAlignment="1">
      <alignment horizontal="left" vertical="center"/>
    </xf>
    <xf numFmtId="0" fontId="2" fillId="27" borderId="10" xfId="0" applyFont="1" applyFill="1" applyBorder="1" applyAlignment="1">
      <alignment horizontal="center"/>
    </xf>
    <xf numFmtId="0" fontId="2" fillId="27" borderId="10" xfId="0" applyFont="1" applyFill="1" applyBorder="1" applyAlignment="1">
      <alignment horizontal="center" vertical="center"/>
    </xf>
    <xf numFmtId="0" fontId="2" fillId="27" borderId="10" xfId="0" applyFont="1" applyFill="1" applyBorder="1" applyAlignment="1">
      <alignment horizontal="center" vertical="top" wrapText="1"/>
    </xf>
    <xf numFmtId="0" fontId="2" fillId="26" borderId="0" xfId="0" applyFont="1" applyFill="1" applyAlignment="1">
      <alignment horizontal="left" vertical="top" wrapText="1"/>
    </xf>
    <xf numFmtId="0" fontId="2" fillId="26" borderId="0" xfId="0" applyFont="1" applyFill="1" applyAlignment="1">
      <alignment horizontal="left" vertical="center" wrapText="1"/>
    </xf>
    <xf numFmtId="0" fontId="10" fillId="26" borderId="0" xfId="0" applyFont="1" applyFill="1" applyAlignment="1">
      <alignment horizontal="left" vertical="center" wrapText="1"/>
    </xf>
    <xf numFmtId="0" fontId="11" fillId="27" borderId="45" xfId="0" applyFont="1" applyFill="1" applyBorder="1" applyAlignment="1">
      <alignment horizontal="left" vertical="center" wrapText="1" indent="1"/>
    </xf>
    <xf numFmtId="0" fontId="11" fillId="27" borderId="24" xfId="0" applyFont="1" applyFill="1" applyBorder="1" applyAlignment="1">
      <alignment horizontal="left" vertical="center" wrapText="1" indent="1"/>
    </xf>
    <xf numFmtId="0" fontId="11" fillId="27" borderId="19" xfId="0" applyFont="1" applyFill="1" applyBorder="1" applyAlignment="1">
      <alignment horizontal="left" vertical="center" wrapText="1" indent="1"/>
    </xf>
    <xf numFmtId="0" fontId="11" fillId="27" borderId="0" xfId="0" applyFont="1" applyFill="1" applyBorder="1" applyAlignment="1">
      <alignment horizontal="left" vertical="center" wrapText="1" indent="1"/>
    </xf>
    <xf numFmtId="0" fontId="11" fillId="27" borderId="46" xfId="0" applyFont="1" applyFill="1" applyBorder="1" applyAlignment="1">
      <alignment horizontal="left" vertical="center" wrapText="1" indent="1"/>
    </xf>
    <xf numFmtId="0" fontId="11" fillId="27" borderId="25" xfId="0" applyFont="1" applyFill="1" applyBorder="1" applyAlignment="1">
      <alignment horizontal="left" vertical="center" wrapText="1" indent="1"/>
    </xf>
    <xf numFmtId="0" fontId="11" fillId="27" borderId="45" xfId="0" applyFont="1" applyFill="1" applyBorder="1" applyAlignment="1">
      <alignment horizontal="left" vertical="center" indent="1"/>
    </xf>
    <xf numFmtId="0" fontId="11" fillId="27" borderId="24" xfId="0" applyFont="1" applyFill="1" applyBorder="1" applyAlignment="1">
      <alignment horizontal="left" vertical="center" indent="1"/>
    </xf>
    <xf numFmtId="0" fontId="11" fillId="27" borderId="19" xfId="0" applyFont="1" applyFill="1" applyBorder="1" applyAlignment="1">
      <alignment horizontal="left" vertical="center" indent="1"/>
    </xf>
    <xf numFmtId="0" fontId="11" fillId="27" borderId="0" xfId="0" applyFont="1" applyFill="1" applyBorder="1" applyAlignment="1">
      <alignment horizontal="left" vertical="center" indent="1"/>
    </xf>
    <xf numFmtId="0" fontId="11" fillId="27" borderId="46" xfId="0" applyFont="1" applyFill="1" applyBorder="1" applyAlignment="1">
      <alignment horizontal="left" vertical="center" indent="1"/>
    </xf>
    <xf numFmtId="0" fontId="11" fillId="27" borderId="25" xfId="0" applyFont="1" applyFill="1" applyBorder="1" applyAlignment="1">
      <alignment horizontal="left" vertical="center" indent="1"/>
    </xf>
    <xf numFmtId="0" fontId="11" fillId="27" borderId="45" xfId="0" applyFont="1" applyFill="1" applyBorder="1" applyAlignment="1">
      <alignment horizontal="center" vertical="center" wrapText="1"/>
    </xf>
    <xf numFmtId="0" fontId="11" fillId="27" borderId="24" xfId="0" applyFont="1" applyFill="1" applyBorder="1" applyAlignment="1">
      <alignment horizontal="center" vertical="center" wrapText="1"/>
    </xf>
    <xf numFmtId="0" fontId="11" fillId="27" borderId="19" xfId="0" applyFont="1" applyFill="1" applyBorder="1" applyAlignment="1">
      <alignment horizontal="center" vertical="center" wrapText="1"/>
    </xf>
    <xf numFmtId="0" fontId="11" fillId="27" borderId="0" xfId="0" applyFont="1" applyFill="1" applyBorder="1" applyAlignment="1">
      <alignment horizontal="center" vertical="center" wrapText="1"/>
    </xf>
    <xf numFmtId="0" fontId="11" fillId="27" borderId="46" xfId="0" applyFont="1" applyFill="1" applyBorder="1" applyAlignment="1">
      <alignment horizontal="center" vertical="center" wrapText="1"/>
    </xf>
    <xf numFmtId="0" fontId="11" fillId="27" borderId="25" xfId="0" applyFont="1" applyFill="1" applyBorder="1" applyAlignment="1">
      <alignment horizontal="center" vertical="center" wrapText="1"/>
    </xf>
    <xf numFmtId="0" fontId="50" fillId="27" borderId="58" xfId="0" applyFont="1" applyFill="1" applyBorder="1" applyAlignment="1">
      <alignment horizontal="left"/>
    </xf>
    <xf numFmtId="0" fontId="50" fillId="27" borderId="59" xfId="0" applyFont="1" applyFill="1" applyBorder="1" applyAlignment="1">
      <alignment horizontal="left"/>
    </xf>
    <xf numFmtId="0" fontId="50" fillId="27" borderId="60" xfId="0" applyFont="1" applyFill="1" applyBorder="1" applyAlignment="1">
      <alignment horizontal="left"/>
    </xf>
    <xf numFmtId="0" fontId="50" fillId="27" borderId="58" xfId="0" applyFont="1" applyFill="1" applyBorder="1" applyAlignment="1">
      <alignment horizontal="left" vertical="center"/>
    </xf>
    <xf numFmtId="0" fontId="50" fillId="27" borderId="59" xfId="0" applyFont="1" applyFill="1" applyBorder="1" applyAlignment="1">
      <alignment horizontal="left" vertical="center"/>
    </xf>
    <xf numFmtId="0" fontId="50" fillId="27" borderId="60" xfId="0" applyFont="1" applyFill="1" applyBorder="1" applyAlignment="1">
      <alignment horizontal="left" vertical="center"/>
    </xf>
    <xf numFmtId="0" fontId="50" fillId="27" borderId="48" xfId="0" applyFont="1" applyFill="1" applyBorder="1" applyAlignment="1">
      <alignment horizontal="left" vertical="center"/>
    </xf>
    <xf numFmtId="0" fontId="50" fillId="27" borderId="10" xfId="0" applyFont="1" applyFill="1" applyBorder="1" applyAlignment="1">
      <alignment horizontal="left" vertical="center"/>
    </xf>
    <xf numFmtId="0" fontId="51" fillId="27" borderId="48" xfId="0" applyFont="1" applyFill="1" applyBorder="1" applyAlignment="1">
      <alignment horizontal="left" vertical="center"/>
    </xf>
    <xf numFmtId="0" fontId="51" fillId="27" borderId="10" xfId="0" applyFont="1" applyFill="1" applyBorder="1" applyAlignment="1">
      <alignment horizontal="left" vertical="center"/>
    </xf>
    <xf numFmtId="0" fontId="2" fillId="0" borderId="50" xfId="0" applyFont="1" applyFill="1" applyBorder="1" applyAlignment="1">
      <alignment horizontal="center" vertical="center"/>
    </xf>
    <xf numFmtId="0" fontId="2" fillId="0" borderId="51" xfId="0" applyFont="1" applyFill="1" applyBorder="1" applyAlignment="1">
      <alignment horizontal="center" vertical="center"/>
    </xf>
    <xf numFmtId="0" fontId="2" fillId="0" borderId="15" xfId="0" applyFont="1" applyFill="1" applyBorder="1" applyAlignment="1">
      <alignment horizontal="center" vertical="center"/>
    </xf>
    <xf numFmtId="0" fontId="2" fillId="0" borderId="52" xfId="0" applyFont="1" applyFill="1" applyBorder="1" applyAlignment="1">
      <alignment horizontal="center" vertical="center"/>
    </xf>
    <xf numFmtId="0" fontId="2" fillId="0" borderId="53" xfId="0" applyFont="1" applyFill="1" applyBorder="1" applyAlignment="1">
      <alignment horizontal="center" vertical="center"/>
    </xf>
    <xf numFmtId="0" fontId="2" fillId="0" borderId="54" xfId="0" applyFont="1" applyFill="1" applyBorder="1" applyAlignment="1">
      <alignment horizontal="center" vertical="center"/>
    </xf>
    <xf numFmtId="0" fontId="50" fillId="27" borderId="48" xfId="0" applyFont="1" applyFill="1" applyBorder="1" applyAlignment="1">
      <alignment horizontal="center" vertical="center"/>
    </xf>
    <xf numFmtId="0" fontId="50" fillId="27" borderId="10" xfId="0" applyFont="1" applyFill="1" applyBorder="1" applyAlignment="1">
      <alignment horizontal="center" vertical="center"/>
    </xf>
    <xf numFmtId="0" fontId="50" fillId="27" borderId="57" xfId="0" applyFont="1" applyFill="1" applyBorder="1" applyAlignment="1">
      <alignment horizontal="center" vertical="center"/>
    </xf>
    <xf numFmtId="0" fontId="50" fillId="27" borderId="29" xfId="0" applyFont="1" applyFill="1" applyBorder="1" applyAlignment="1">
      <alignment horizontal="center" vertical="center"/>
    </xf>
    <xf numFmtId="0" fontId="50" fillId="27" borderId="30" xfId="0" applyFont="1" applyFill="1" applyBorder="1" applyAlignment="1">
      <alignment horizontal="center" vertical="center"/>
    </xf>
    <xf numFmtId="0" fontId="2" fillId="0" borderId="56" xfId="0" applyFont="1" applyFill="1" applyBorder="1" applyAlignment="1">
      <alignment horizontal="center" vertical="top" wrapText="1"/>
    </xf>
    <xf numFmtId="0" fontId="2" fillId="0" borderId="11" xfId="0" applyFont="1" applyFill="1" applyBorder="1" applyAlignment="1">
      <alignment horizontal="center" vertical="top" wrapText="1"/>
    </xf>
    <xf numFmtId="0" fontId="2" fillId="0" borderId="55" xfId="0" applyFont="1" applyFill="1" applyBorder="1" applyAlignment="1">
      <alignment horizontal="center" vertical="top" wrapText="1"/>
    </xf>
    <xf numFmtId="0" fontId="2" fillId="0" borderId="10" xfId="0" applyFont="1" applyFill="1" applyBorder="1" applyAlignment="1">
      <alignment horizontal="center" vertical="top" wrapText="1"/>
    </xf>
    <xf numFmtId="0" fontId="2" fillId="0" borderId="0"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55"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56"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41" xfId="0" applyFont="1" applyFill="1" applyBorder="1" applyAlignment="1">
      <alignment horizontal="center" vertical="center"/>
    </xf>
    <xf numFmtId="0" fontId="2" fillId="0" borderId="36" xfId="0" applyFont="1" applyFill="1" applyBorder="1" applyAlignment="1">
      <alignment horizontal="center" vertical="center"/>
    </xf>
    <xf numFmtId="0" fontId="2" fillId="0" borderId="37" xfId="0" applyFont="1" applyFill="1" applyBorder="1" applyAlignment="1">
      <alignment horizontal="center" vertical="center"/>
    </xf>
    <xf numFmtId="0" fontId="2" fillId="0" borderId="15" xfId="0" applyFont="1" applyFill="1" applyBorder="1" applyAlignment="1">
      <alignment horizontal="center"/>
    </xf>
    <xf numFmtId="0" fontId="2" fillId="0" borderId="0" xfId="0" applyFont="1" applyFill="1" applyBorder="1" applyAlignment="1">
      <alignment horizontal="center"/>
    </xf>
    <xf numFmtId="0" fontId="2" fillId="0" borderId="16" xfId="0" applyFont="1" applyFill="1" applyBorder="1" applyAlignment="1">
      <alignment horizontal="center"/>
    </xf>
    <xf numFmtId="0" fontId="51" fillId="27" borderId="42" xfId="0" applyFont="1" applyFill="1" applyBorder="1" applyAlignment="1">
      <alignment horizontal="left" vertical="center"/>
    </xf>
    <xf numFmtId="0" fontId="51" fillId="27" borderId="38" xfId="0" applyFont="1" applyFill="1" applyBorder="1" applyAlignment="1">
      <alignment horizontal="left" vertical="center"/>
    </xf>
    <xf numFmtId="0" fontId="2" fillId="26" borderId="10" xfId="0" applyFont="1" applyFill="1" applyBorder="1" applyAlignment="1">
      <alignment horizontal="center" vertical="center"/>
    </xf>
    <xf numFmtId="0" fontId="2" fillId="26" borderId="49" xfId="0" applyFont="1" applyFill="1" applyBorder="1" applyAlignment="1">
      <alignment horizontal="center"/>
    </xf>
    <xf numFmtId="0" fontId="50" fillId="27" borderId="47" xfId="0" applyFont="1" applyFill="1" applyBorder="1" applyAlignment="1">
      <alignment horizontal="center" vertical="center"/>
    </xf>
    <xf numFmtId="0" fontId="50" fillId="27" borderId="31" xfId="0" applyFont="1" applyFill="1" applyBorder="1" applyAlignment="1">
      <alignment horizontal="center" vertical="center"/>
    </xf>
    <xf numFmtId="0" fontId="2" fillId="27" borderId="21" xfId="0" applyFont="1" applyFill="1" applyBorder="1" applyAlignment="1">
      <alignment horizontal="center" vertical="center"/>
    </xf>
    <xf numFmtId="0" fontId="2" fillId="27" borderId="38" xfId="0" applyFont="1" applyFill="1" applyBorder="1" applyAlignment="1">
      <alignment horizontal="center" vertical="center"/>
    </xf>
    <xf numFmtId="0" fontId="2" fillId="27" borderId="32" xfId="0" applyFont="1" applyFill="1" applyBorder="1" applyAlignment="1">
      <alignment horizontal="center" vertical="center"/>
    </xf>
    <xf numFmtId="0" fontId="51" fillId="27" borderId="47" xfId="0" applyFont="1" applyFill="1" applyBorder="1" applyAlignment="1">
      <alignment horizontal="left" vertical="center"/>
    </xf>
    <xf numFmtId="0" fontId="51" fillId="27" borderId="31" xfId="0" applyFont="1" applyFill="1" applyBorder="1" applyAlignment="1">
      <alignment horizontal="left" vertical="center"/>
    </xf>
    <xf numFmtId="0" fontId="51" fillId="27" borderId="32" xfId="0" applyFont="1" applyFill="1" applyBorder="1" applyAlignment="1">
      <alignment horizontal="left" vertical="center"/>
    </xf>
    <xf numFmtId="0" fontId="50" fillId="27" borderId="19" xfId="0" applyFont="1" applyFill="1" applyBorder="1" applyAlignment="1">
      <alignment horizontal="left" vertical="top" wrapText="1" indent="1"/>
    </xf>
    <xf numFmtId="0" fontId="50" fillId="27" borderId="0" xfId="0" applyFont="1" applyFill="1" applyBorder="1" applyAlignment="1">
      <alignment horizontal="left" vertical="top" wrapText="1" indent="1"/>
    </xf>
    <xf numFmtId="0" fontId="50" fillId="27" borderId="20" xfId="0" applyFont="1" applyFill="1" applyBorder="1" applyAlignment="1">
      <alignment horizontal="left" vertical="top" wrapText="1" indent="1"/>
    </xf>
    <xf numFmtId="0" fontId="50" fillId="27" borderId="46" xfId="0" applyFont="1" applyFill="1" applyBorder="1" applyAlignment="1">
      <alignment horizontal="left" vertical="top" wrapText="1" indent="1"/>
    </xf>
    <xf numFmtId="0" fontId="50" fillId="27" borderId="25" xfId="0" applyFont="1" applyFill="1" applyBorder="1" applyAlignment="1">
      <alignment horizontal="left" vertical="top" wrapText="1" indent="1"/>
    </xf>
    <xf numFmtId="0" fontId="50" fillId="27" borderId="26" xfId="0" applyFont="1" applyFill="1" applyBorder="1" applyAlignment="1">
      <alignment horizontal="left" vertical="top" wrapText="1" indent="1"/>
    </xf>
    <xf numFmtId="0" fontId="50" fillId="27" borderId="45" xfId="0" applyFont="1" applyFill="1" applyBorder="1" applyAlignment="1">
      <alignment horizontal="left" vertical="top" wrapText="1" indent="1"/>
    </xf>
    <xf numFmtId="0" fontId="50" fillId="27" borderId="24" xfId="0" applyFont="1" applyFill="1" applyBorder="1" applyAlignment="1">
      <alignment horizontal="left" vertical="top" wrapText="1" indent="1"/>
    </xf>
    <xf numFmtId="0" fontId="50" fillId="27" borderId="23" xfId="0" applyFont="1" applyFill="1" applyBorder="1" applyAlignment="1">
      <alignment horizontal="left" vertical="top" wrapText="1" indent="1"/>
    </xf>
    <xf numFmtId="0" fontId="53" fillId="27" borderId="19" xfId="0" applyFont="1" applyFill="1" applyBorder="1" applyAlignment="1">
      <alignment horizontal="left" indent="1"/>
    </xf>
    <xf numFmtId="0" fontId="53" fillId="27" borderId="0" xfId="0" applyFont="1" applyFill="1" applyBorder="1" applyAlignment="1">
      <alignment horizontal="left" indent="1"/>
    </xf>
    <xf numFmtId="0" fontId="50" fillId="27" borderId="21" xfId="37" applyFont="1" applyFill="1" applyBorder="1" applyAlignment="1">
      <alignment horizontal="left" vertical="center"/>
    </xf>
    <xf numFmtId="0" fontId="50" fillId="27" borderId="38" xfId="37" applyFont="1" applyFill="1" applyBorder="1" applyAlignment="1">
      <alignment horizontal="left" vertical="center"/>
    </xf>
    <xf numFmtId="0" fontId="50" fillId="27" borderId="32" xfId="37" applyFont="1" applyFill="1" applyBorder="1" applyAlignment="1">
      <alignment horizontal="left" vertical="center"/>
    </xf>
    <xf numFmtId="0" fontId="50" fillId="27" borderId="10" xfId="37" applyFont="1" applyFill="1" applyBorder="1" applyAlignment="1">
      <alignment horizontal="center"/>
    </xf>
    <xf numFmtId="0" fontId="50" fillId="27" borderId="21" xfId="37" applyFont="1" applyFill="1" applyBorder="1" applyAlignment="1">
      <alignment horizontal="center"/>
    </xf>
    <xf numFmtId="0" fontId="50" fillId="27" borderId="38" xfId="37" applyFont="1" applyFill="1" applyBorder="1" applyAlignment="1">
      <alignment horizontal="center"/>
    </xf>
    <xf numFmtId="0" fontId="50" fillId="27" borderId="32" xfId="37" applyFont="1" applyFill="1" applyBorder="1" applyAlignment="1">
      <alignment horizontal="center"/>
    </xf>
    <xf numFmtId="0" fontId="50" fillId="27" borderId="21" xfId="37" applyFont="1" applyFill="1" applyBorder="1" applyAlignment="1">
      <alignment horizontal="left"/>
    </xf>
    <xf numFmtId="0" fontId="50" fillId="27" borderId="38" xfId="37" applyFont="1" applyFill="1" applyBorder="1" applyAlignment="1">
      <alignment horizontal="left"/>
    </xf>
    <xf numFmtId="0" fontId="50" fillId="27" borderId="32" xfId="37" applyFont="1" applyFill="1" applyBorder="1" applyAlignment="1">
      <alignment horizontal="left"/>
    </xf>
    <xf numFmtId="0" fontId="50" fillId="27" borderId="10" xfId="37" applyFont="1" applyFill="1" applyBorder="1" applyAlignment="1">
      <alignment horizontal="left"/>
    </xf>
    <xf numFmtId="0" fontId="3" fillId="26" borderId="0" xfId="0" applyFont="1" applyFill="1" applyAlignment="1">
      <alignment horizontal="left" vertical="center" wrapText="1"/>
    </xf>
    <xf numFmtId="0" fontId="2" fillId="26" borderId="0" xfId="0" applyFont="1" applyFill="1" applyAlignment="1">
      <alignment horizontal="left"/>
    </xf>
    <xf numFmtId="0" fontId="2" fillId="26" borderId="0" xfId="0" applyFont="1" applyFill="1" applyAlignment="1">
      <alignment vertical="center" wrapText="1"/>
    </xf>
    <xf numFmtId="0" fontId="0" fillId="26" borderId="38" xfId="0" applyFill="1" applyBorder="1" applyAlignment="1">
      <alignment horizontal="right"/>
    </xf>
    <xf numFmtId="0" fontId="3" fillId="26" borderId="18" xfId="0" applyFont="1" applyFill="1" applyBorder="1" applyAlignment="1">
      <alignment horizontal="left"/>
    </xf>
    <xf numFmtId="0" fontId="3" fillId="26" borderId="0" xfId="0" applyFont="1" applyFill="1" applyAlignment="1">
      <alignment vertical="center" wrapText="1"/>
    </xf>
    <xf numFmtId="0" fontId="0" fillId="26" borderId="18" xfId="0" applyFill="1" applyBorder="1" applyAlignment="1">
      <alignment horizontal="right"/>
    </xf>
    <xf numFmtId="0" fontId="7" fillId="26" borderId="39" xfId="0" applyFont="1" applyFill="1" applyBorder="1" applyAlignment="1">
      <alignment horizontal="left" wrapText="1"/>
    </xf>
    <xf numFmtId="0" fontId="7" fillId="26" borderId="18" xfId="0" applyFont="1" applyFill="1" applyBorder="1" applyAlignment="1">
      <alignment horizontal="left" wrapText="1"/>
    </xf>
    <xf numFmtId="0" fontId="7" fillId="26" borderId="39" xfId="0" applyFont="1" applyFill="1" applyBorder="1" applyAlignment="1">
      <alignment horizontal="left" vertical="center" wrapText="1"/>
    </xf>
    <xf numFmtId="0" fontId="7" fillId="26" borderId="18" xfId="0" applyFont="1" applyFill="1" applyBorder="1" applyAlignment="1">
      <alignment horizontal="left" vertical="center" wrapText="1"/>
    </xf>
    <xf numFmtId="0" fontId="3" fillId="26" borderId="38" xfId="0" applyFont="1" applyFill="1" applyBorder="1" applyAlignment="1">
      <alignment horizontal="left"/>
    </xf>
    <xf numFmtId="0" fontId="0" fillId="26" borderId="39" xfId="0" applyFill="1" applyBorder="1" applyAlignment="1">
      <alignment horizontal="center"/>
    </xf>
    <xf numFmtId="0" fontId="3" fillId="26" borderId="0" xfId="0" applyFont="1" applyFill="1" applyBorder="1" applyAlignment="1">
      <alignment horizontal="left"/>
    </xf>
    <xf numFmtId="0" fontId="0" fillId="26" borderId="0" xfId="0" applyFill="1" applyAlignment="1">
      <alignment horizontal="right"/>
    </xf>
    <xf numFmtId="0" fontId="0" fillId="26" borderId="18" xfId="0" applyFill="1" applyBorder="1" applyAlignment="1">
      <alignment horizontal="center"/>
    </xf>
    <xf numFmtId="0" fontId="7" fillId="26" borderId="0" xfId="0" applyFont="1" applyFill="1" applyAlignment="1">
      <alignment horizontal="left"/>
    </xf>
    <xf numFmtId="0" fontId="7" fillId="26" borderId="18" xfId="0" applyFont="1" applyFill="1" applyBorder="1" applyAlignment="1">
      <alignment horizontal="left"/>
    </xf>
    <xf numFmtId="0" fontId="7" fillId="26" borderId="38" xfId="0" applyFont="1" applyFill="1" applyBorder="1" applyAlignment="1">
      <alignment horizontal="left"/>
    </xf>
    <xf numFmtId="0" fontId="0" fillId="26" borderId="39" xfId="0" applyFill="1" applyBorder="1" applyAlignment="1">
      <alignment horizontal="right" wrapText="1"/>
    </xf>
    <xf numFmtId="0" fontId="0" fillId="26" borderId="18" xfId="0" applyFill="1" applyBorder="1" applyAlignment="1">
      <alignment horizontal="right" wrapText="1"/>
    </xf>
    <xf numFmtId="0" fontId="0" fillId="26" borderId="39" xfId="0" applyFill="1" applyBorder="1" applyAlignment="1">
      <alignment horizontal="right"/>
    </xf>
    <xf numFmtId="0" fontId="7" fillId="26" borderId="38" xfId="0" applyFont="1" applyFill="1" applyBorder="1" applyAlignment="1">
      <alignment horizontal="right" vertical="center"/>
    </xf>
    <xf numFmtId="0" fontId="7" fillId="26" borderId="18" xfId="0" applyFont="1" applyFill="1" applyBorder="1" applyAlignment="1">
      <alignment horizontal="left" vertical="center"/>
    </xf>
    <xf numFmtId="0" fontId="7" fillId="26" borderId="38" xfId="0" applyFont="1" applyFill="1" applyBorder="1" applyAlignment="1">
      <alignment horizontal="left" vertical="center"/>
    </xf>
    <xf numFmtId="0" fontId="7" fillId="26" borderId="39" xfId="0" applyFont="1" applyFill="1" applyBorder="1" applyAlignment="1">
      <alignment horizontal="left" vertical="top" wrapText="1"/>
    </xf>
    <xf numFmtId="0" fontId="7" fillId="26" borderId="18" xfId="0" applyFont="1" applyFill="1" applyBorder="1" applyAlignment="1">
      <alignment horizontal="left" vertical="top" wrapText="1"/>
    </xf>
    <xf numFmtId="0" fontId="7" fillId="26" borderId="18" xfId="0" applyFont="1" applyFill="1" applyBorder="1" applyAlignment="1">
      <alignment horizontal="right" vertical="center"/>
    </xf>
    <xf numFmtId="0" fontId="12" fillId="26" borderId="0" xfId="0" applyFont="1" applyFill="1" applyAlignment="1">
      <alignment horizontal="left" vertical="top" wrapText="1"/>
    </xf>
    <xf numFmtId="0" fontId="55" fillId="27" borderId="45" xfId="0" applyFont="1" applyFill="1" applyBorder="1" applyAlignment="1">
      <alignment horizontal="center" vertical="center"/>
    </xf>
    <xf numFmtId="0" fontId="55" fillId="27" borderId="24" xfId="0" applyFont="1" applyFill="1" applyBorder="1" applyAlignment="1">
      <alignment horizontal="center" vertical="center"/>
    </xf>
    <xf numFmtId="0" fontId="55" fillId="27" borderId="23" xfId="0" applyFont="1" applyFill="1" applyBorder="1" applyAlignment="1">
      <alignment horizontal="center" vertical="center"/>
    </xf>
    <xf numFmtId="0" fontId="55" fillId="27" borderId="46" xfId="0" applyFont="1" applyFill="1" applyBorder="1" applyAlignment="1">
      <alignment horizontal="center" vertical="center"/>
    </xf>
    <xf numFmtId="0" fontId="55" fillId="27" borderId="25" xfId="0" applyFont="1" applyFill="1" applyBorder="1" applyAlignment="1">
      <alignment horizontal="center" vertical="center"/>
    </xf>
    <xf numFmtId="0" fontId="55" fillId="27" borderId="26" xfId="0" applyFont="1" applyFill="1" applyBorder="1" applyAlignment="1">
      <alignment horizontal="center" vertical="center"/>
    </xf>
    <xf numFmtId="0" fontId="3" fillId="26" borderId="0" xfId="0" applyFont="1" applyFill="1" applyAlignment="1">
      <alignment horizontal="center"/>
    </xf>
    <xf numFmtId="0" fontId="2" fillId="0" borderId="15"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2" fillId="0" borderId="16" xfId="0" applyFont="1" applyFill="1" applyBorder="1" applyAlignment="1" applyProtection="1">
      <alignment horizontal="center" vertical="center"/>
    </xf>
    <xf numFmtId="0" fontId="2" fillId="0" borderId="50" xfId="0" applyFont="1" applyFill="1" applyBorder="1" applyAlignment="1" applyProtection="1">
      <alignment horizontal="center" vertical="center"/>
    </xf>
    <xf numFmtId="0" fontId="2" fillId="0" borderId="51" xfId="0" applyFont="1" applyFill="1" applyBorder="1" applyAlignment="1" applyProtection="1">
      <alignment horizontal="center" vertical="center"/>
    </xf>
    <xf numFmtId="0" fontId="2" fillId="0" borderId="52" xfId="0" applyFont="1" applyFill="1" applyBorder="1" applyAlignment="1" applyProtection="1">
      <alignment horizontal="center" vertical="center"/>
    </xf>
    <xf numFmtId="0" fontId="2" fillId="0" borderId="53" xfId="0" applyFont="1" applyFill="1" applyBorder="1" applyAlignment="1" applyProtection="1">
      <alignment horizontal="center" vertical="center"/>
    </xf>
    <xf numFmtId="0" fontId="2" fillId="0" borderId="54" xfId="0" applyFont="1" applyFill="1" applyBorder="1" applyAlignment="1" applyProtection="1">
      <alignment horizontal="center" vertical="center"/>
    </xf>
    <xf numFmtId="0" fontId="2" fillId="0" borderId="55" xfId="0" applyFont="1" applyFill="1" applyBorder="1" applyAlignment="1" applyProtection="1">
      <alignment horizontal="center" vertical="center" wrapText="1"/>
    </xf>
    <xf numFmtId="0" fontId="2" fillId="0" borderId="10" xfId="0" applyFont="1" applyFill="1" applyBorder="1" applyAlignment="1" applyProtection="1">
      <alignment horizontal="center" vertical="center" wrapText="1"/>
    </xf>
    <xf numFmtId="0" fontId="2" fillId="0" borderId="56"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2" fillId="0" borderId="49" xfId="0" applyFont="1" applyFill="1" applyBorder="1" applyAlignment="1" applyProtection="1">
      <alignment horizontal="center" vertical="center" wrapText="1"/>
    </xf>
    <xf numFmtId="0" fontId="2" fillId="0" borderId="67" xfId="0" applyFont="1" applyFill="1" applyBorder="1" applyAlignment="1" applyProtection="1">
      <alignment horizontal="center" vertical="center" wrapText="1"/>
    </xf>
    <xf numFmtId="0" fontId="2" fillId="0" borderId="41" xfId="0" applyFont="1" applyFill="1" applyBorder="1" applyAlignment="1" applyProtection="1">
      <alignment horizontal="center" vertical="center"/>
    </xf>
    <xf numFmtId="0" fontId="2" fillId="0" borderId="36" xfId="0" applyFont="1" applyFill="1" applyBorder="1" applyAlignment="1" applyProtection="1">
      <alignment horizontal="center" vertical="center"/>
    </xf>
    <xf numFmtId="0" fontId="2" fillId="0" borderId="37" xfId="0" applyFont="1" applyFill="1" applyBorder="1" applyAlignment="1" applyProtection="1">
      <alignment horizontal="center" vertical="center"/>
    </xf>
    <xf numFmtId="0" fontId="2" fillId="30" borderId="10" xfId="0" applyFont="1" applyFill="1" applyBorder="1" applyAlignment="1" applyProtection="1">
      <alignment horizontal="left" vertical="center"/>
    </xf>
    <xf numFmtId="0" fontId="2" fillId="0" borderId="64" xfId="0" applyFont="1" applyFill="1" applyBorder="1" applyAlignment="1" applyProtection="1">
      <alignment horizontal="center" vertical="center"/>
    </xf>
    <xf numFmtId="0" fontId="2" fillId="0" borderId="65" xfId="0" applyFont="1" applyFill="1" applyBorder="1" applyAlignment="1" applyProtection="1">
      <alignment horizontal="center" vertical="center"/>
    </xf>
    <xf numFmtId="0" fontId="2" fillId="0" borderId="66" xfId="0" applyFont="1" applyFill="1" applyBorder="1" applyAlignment="1" applyProtection="1">
      <alignment horizontal="center" vertical="center"/>
    </xf>
    <xf numFmtId="165" fontId="2" fillId="29" borderId="10" xfId="0" applyNumberFormat="1" applyFont="1" applyFill="1" applyBorder="1" applyAlignment="1" applyProtection="1">
      <alignment horizontal="left" vertical="center"/>
    </xf>
    <xf numFmtId="0" fontId="2" fillId="29" borderId="10" xfId="0" applyNumberFormat="1" applyFont="1" applyFill="1" applyBorder="1" applyAlignment="1" applyProtection="1">
      <alignment horizontal="left" vertical="center"/>
    </xf>
    <xf numFmtId="0" fontId="2" fillId="28" borderId="65" xfId="0" applyFont="1" applyFill="1" applyBorder="1" applyAlignment="1" applyProtection="1">
      <alignment horizontal="left" vertical="center"/>
    </xf>
    <xf numFmtId="0" fontId="11" fillId="24" borderId="57" xfId="0" applyFont="1" applyFill="1" applyBorder="1" applyAlignment="1" applyProtection="1">
      <alignment horizontal="center" vertical="center" wrapText="1"/>
    </xf>
    <xf numFmtId="0" fontId="11" fillId="24" borderId="29" xfId="0" applyFont="1" applyFill="1" applyBorder="1" applyAlignment="1" applyProtection="1">
      <alignment horizontal="center" vertical="center" wrapText="1"/>
    </xf>
    <xf numFmtId="0" fontId="11" fillId="24" borderId="30" xfId="0" applyFont="1" applyFill="1" applyBorder="1" applyAlignment="1" applyProtection="1">
      <alignment horizontal="center" vertical="center" wrapText="1"/>
    </xf>
    <xf numFmtId="0" fontId="11" fillId="24" borderId="48" xfId="0" applyFont="1" applyFill="1" applyBorder="1" applyAlignment="1" applyProtection="1">
      <alignment horizontal="center" vertical="center" wrapText="1"/>
    </xf>
    <xf numFmtId="0" fontId="11" fillId="24" borderId="10" xfId="0" applyFont="1" applyFill="1" applyBorder="1" applyAlignment="1" applyProtection="1">
      <alignment horizontal="center" vertical="center" wrapText="1"/>
    </xf>
    <xf numFmtId="0" fontId="11" fillId="24" borderId="28" xfId="0" applyFont="1" applyFill="1" applyBorder="1" applyAlignment="1" applyProtection="1">
      <alignment horizontal="center" vertical="center" wrapText="1"/>
    </xf>
    <xf numFmtId="0" fontId="11" fillId="24" borderId="47" xfId="0" applyFont="1" applyFill="1" applyBorder="1" applyAlignment="1" applyProtection="1">
      <alignment horizontal="center" vertical="center" wrapText="1"/>
    </xf>
    <xf numFmtId="0" fontId="11" fillId="24" borderId="31" xfId="0" applyFont="1" applyFill="1" applyBorder="1" applyAlignment="1" applyProtection="1">
      <alignment horizontal="center" vertical="center" wrapText="1"/>
    </xf>
    <xf numFmtId="0" fontId="11" fillId="24" borderId="27" xfId="0" applyFont="1" applyFill="1" applyBorder="1" applyAlignment="1" applyProtection="1">
      <alignment horizontal="center" vertical="center" wrapText="1"/>
    </xf>
    <xf numFmtId="0" fontId="2" fillId="27" borderId="49" xfId="0" applyFont="1" applyFill="1" applyBorder="1" applyAlignment="1" applyProtection="1">
      <alignment horizontal="left" vertical="center"/>
    </xf>
    <xf numFmtId="0" fontId="2" fillId="0" borderId="10" xfId="0" applyFont="1" applyBorder="1" applyAlignment="1" applyProtection="1">
      <alignment horizontal="center" vertical="center" wrapText="1"/>
    </xf>
    <xf numFmtId="0" fontId="2" fillId="27" borderId="10" xfId="0" applyFont="1" applyFill="1" applyBorder="1" applyAlignment="1" applyProtection="1">
      <alignment horizontal="center" vertical="top" wrapText="1"/>
    </xf>
    <xf numFmtId="0" fontId="2" fillId="28" borderId="10" xfId="0" applyFont="1" applyFill="1" applyBorder="1" applyAlignment="1" applyProtection="1">
      <alignment horizontal="center" vertical="top" wrapText="1"/>
    </xf>
    <xf numFmtId="0" fontId="2" fillId="29" borderId="10" xfId="0" applyFont="1" applyFill="1" applyBorder="1" applyAlignment="1" applyProtection="1">
      <alignment horizontal="center" vertical="top" wrapText="1"/>
    </xf>
    <xf numFmtId="0" fontId="2" fillId="30" borderId="10" xfId="0" applyFont="1" applyFill="1" applyBorder="1" applyAlignment="1" applyProtection="1">
      <alignment horizontal="center" vertical="top" wrapText="1"/>
    </xf>
    <xf numFmtId="0" fontId="2" fillId="0" borderId="10" xfId="0" applyFont="1" applyBorder="1" applyAlignment="1" applyProtection="1">
      <alignment horizontal="left" vertical="center"/>
    </xf>
    <xf numFmtId="0" fontId="2" fillId="0" borderId="10" xfId="0" applyFont="1" applyBorder="1" applyAlignment="1" applyProtection="1">
      <alignment horizontal="center"/>
    </xf>
    <xf numFmtId="0" fontId="2" fillId="0" borderId="0" xfId="0" applyFont="1" applyBorder="1" applyAlignment="1" applyProtection="1">
      <alignment horizontal="left"/>
    </xf>
    <xf numFmtId="0" fontId="2" fillId="0" borderId="0" xfId="0" applyFont="1" applyAlignment="1" applyProtection="1">
      <alignment horizontal="left"/>
    </xf>
    <xf numFmtId="0" fontId="2" fillId="0" borderId="10" xfId="0" applyFont="1" applyBorder="1" applyAlignment="1" applyProtection="1">
      <alignment horizontal="center" vertical="center"/>
    </xf>
    <xf numFmtId="0" fontId="2" fillId="0" borderId="10" xfId="0" applyFont="1" applyFill="1" applyBorder="1" applyAlignment="1" applyProtection="1">
      <alignment horizontal="center" vertical="top" wrapText="1"/>
    </xf>
    <xf numFmtId="0" fontId="2" fillId="0" borderId="10" xfId="0" applyFont="1" applyBorder="1" applyAlignment="1" applyProtection="1">
      <alignment horizontal="center" vertical="top"/>
    </xf>
    <xf numFmtId="0" fontId="2" fillId="28" borderId="61" xfId="0" applyFont="1" applyFill="1" applyBorder="1" applyAlignment="1" applyProtection="1">
      <alignment horizontal="center" vertical="top" wrapText="1"/>
    </xf>
    <xf numFmtId="0" fontId="2" fillId="28" borderId="62" xfId="0" applyFont="1" applyFill="1" applyBorder="1" applyAlignment="1" applyProtection="1">
      <alignment horizontal="center" vertical="top" wrapText="1"/>
    </xf>
    <xf numFmtId="0" fontId="2" fillId="29" borderId="61" xfId="0" applyFont="1" applyFill="1" applyBorder="1" applyAlignment="1" applyProtection="1">
      <alignment horizontal="center" vertical="top" wrapText="1"/>
    </xf>
    <xf numFmtId="0" fontId="2" fillId="29" borderId="62" xfId="0" applyFont="1" applyFill="1" applyBorder="1" applyAlignment="1" applyProtection="1">
      <alignment horizontal="center" vertical="top" wrapText="1"/>
    </xf>
    <xf numFmtId="0" fontId="2" fillId="27" borderId="61" xfId="0" applyFont="1" applyFill="1" applyBorder="1" applyAlignment="1" applyProtection="1">
      <alignment horizontal="center" vertical="top" wrapText="1"/>
    </xf>
    <xf numFmtId="0" fontId="2" fillId="27" borderId="62" xfId="0" applyFont="1" applyFill="1" applyBorder="1" applyAlignment="1" applyProtection="1">
      <alignment horizontal="center" vertical="top" wrapText="1"/>
    </xf>
    <xf numFmtId="0" fontId="2" fillId="0" borderId="63" xfId="0" applyFont="1" applyBorder="1" applyAlignment="1" applyProtection="1">
      <alignment horizontal="center" vertical="top"/>
    </xf>
    <xf numFmtId="0" fontId="2" fillId="0" borderId="17" xfId="0" applyFont="1" applyBorder="1" applyAlignment="1" applyProtection="1">
      <alignment horizontal="center" vertical="top"/>
    </xf>
    <xf numFmtId="0" fontId="2" fillId="0" borderId="49" xfId="0" applyFont="1" applyBorder="1" applyAlignment="1" applyProtection="1">
      <alignment horizontal="center" vertical="top"/>
    </xf>
    <xf numFmtId="0" fontId="2" fillId="0" borderId="21" xfId="0" applyFont="1" applyBorder="1" applyAlignment="1" applyProtection="1">
      <alignment horizontal="center" vertical="center"/>
    </xf>
    <xf numFmtId="0" fontId="2" fillId="0" borderId="32" xfId="0" applyFont="1" applyBorder="1" applyAlignment="1" applyProtection="1">
      <alignment horizontal="center" vertical="center"/>
    </xf>
    <xf numFmtId="0" fontId="2" fillId="30" borderId="63" xfId="0" applyFont="1" applyFill="1" applyBorder="1" applyAlignment="1" applyProtection="1">
      <alignment horizontal="center" vertical="top" wrapText="1"/>
    </xf>
    <xf numFmtId="0" fontId="2" fillId="30" borderId="49" xfId="0" applyFont="1" applyFill="1" applyBorder="1" applyAlignment="1" applyProtection="1">
      <alignment horizontal="center" vertical="top" wrapText="1"/>
    </xf>
    <xf numFmtId="0" fontId="2" fillId="0" borderId="10" xfId="0" applyFont="1" applyFill="1" applyBorder="1" applyAlignment="1" applyProtection="1">
      <alignment horizontal="left" vertical="center"/>
    </xf>
    <xf numFmtId="0" fontId="2" fillId="0" borderId="0" xfId="0" applyFont="1" applyAlignment="1" applyProtection="1">
      <alignment horizontal="left" vertical="center"/>
    </xf>
    <xf numFmtId="0" fontId="2" fillId="0" borderId="61" xfId="0" applyFont="1" applyBorder="1" applyAlignment="1" applyProtection="1">
      <alignment horizontal="center" vertical="top" wrapText="1"/>
    </xf>
    <xf numFmtId="0" fontId="2" fillId="0" borderId="40" xfId="0" applyFont="1" applyBorder="1" applyAlignment="1" applyProtection="1">
      <alignment horizontal="center" vertical="top" wrapText="1"/>
    </xf>
    <xf numFmtId="0" fontId="2" fillId="0" borderId="62" xfId="0" applyFont="1" applyBorder="1" applyAlignment="1" applyProtection="1">
      <alignment horizontal="center" vertical="top" wrapText="1"/>
    </xf>
    <xf numFmtId="0" fontId="2" fillId="0" borderId="54" xfId="0" applyFont="1" applyBorder="1" applyAlignment="1" applyProtection="1">
      <alignment horizontal="center" vertical="top" wrapText="1"/>
    </xf>
    <xf numFmtId="0" fontId="2" fillId="0" borderId="61" xfId="0" applyFont="1" applyFill="1" applyBorder="1" applyAlignment="1" applyProtection="1">
      <alignment horizontal="center" vertical="center"/>
    </xf>
    <xf numFmtId="0" fontId="2" fillId="0" borderId="39" xfId="0" applyFont="1" applyFill="1" applyBorder="1" applyAlignment="1" applyProtection="1">
      <alignment horizontal="center" vertical="center"/>
    </xf>
    <xf numFmtId="0" fontId="2" fillId="0" borderId="40" xfId="0" applyFont="1" applyFill="1" applyBorder="1" applyAlignment="1" applyProtection="1">
      <alignment horizontal="center" vertical="center"/>
    </xf>
    <xf numFmtId="0" fontId="2" fillId="0" borderId="62" xfId="0" applyFont="1" applyFill="1" applyBorder="1" applyAlignment="1" applyProtection="1">
      <alignment horizontal="center" vertical="center"/>
    </xf>
    <xf numFmtId="0" fontId="2" fillId="0" borderId="18" xfId="0" applyFont="1" applyFill="1" applyBorder="1" applyAlignment="1" applyProtection="1">
      <alignment horizontal="center" vertical="center"/>
    </xf>
    <xf numFmtId="0" fontId="2" fillId="0" borderId="61" xfId="0" applyFont="1" applyBorder="1" applyAlignment="1" applyProtection="1">
      <alignment horizontal="center" vertical="center"/>
    </xf>
    <xf numFmtId="0" fontId="2" fillId="0" borderId="39" xfId="0" applyFont="1" applyBorder="1" applyAlignment="1" applyProtection="1">
      <alignment horizontal="center" vertical="center"/>
    </xf>
    <xf numFmtId="0" fontId="2" fillId="0" borderId="4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54" xfId="0" applyFont="1" applyBorder="1" applyAlignment="1" applyProtection="1">
      <alignment horizontal="center" vertical="center"/>
    </xf>
    <xf numFmtId="0" fontId="2" fillId="0" borderId="10" xfId="0" applyFont="1" applyBorder="1" applyAlignment="1" applyProtection="1">
      <alignment horizontal="left" vertical="top"/>
    </xf>
    <xf numFmtId="0" fontId="2" fillId="0" borderId="10" xfId="0" applyFont="1" applyBorder="1" applyAlignment="1" applyProtection="1">
      <alignment horizontal="left"/>
    </xf>
    <xf numFmtId="0" fontId="2" fillId="0" borderId="21" xfId="0" applyFont="1" applyFill="1" applyBorder="1" applyAlignment="1" applyProtection="1">
      <alignment horizontal="left" vertical="center"/>
    </xf>
    <xf numFmtId="0" fontId="2" fillId="0" borderId="38" xfId="0" applyFont="1" applyFill="1" applyBorder="1" applyAlignment="1" applyProtection="1">
      <alignment horizontal="left" vertical="center"/>
    </xf>
    <xf numFmtId="0" fontId="2" fillId="0" borderId="32" xfId="0" applyFont="1" applyFill="1" applyBorder="1" applyAlignment="1" applyProtection="1">
      <alignment horizontal="left" vertical="center"/>
    </xf>
    <xf numFmtId="0" fontId="2" fillId="0" borderId="10" xfId="0" applyFont="1" applyFill="1" applyBorder="1" applyAlignment="1" applyProtection="1">
      <alignment horizontal="left"/>
    </xf>
    <xf numFmtId="0" fontId="2" fillId="0" borderId="0" xfId="0" applyFont="1" applyAlignment="1" applyProtection="1">
      <alignment horizontal="left" vertical="top" wrapText="1"/>
    </xf>
    <xf numFmtId="0" fontId="2" fillId="0" borderId="61" xfId="0" applyFont="1" applyBorder="1" applyAlignment="1" applyProtection="1">
      <alignment horizontal="left" vertical="center" wrapText="1"/>
    </xf>
    <xf numFmtId="0" fontId="2" fillId="0" borderId="39" xfId="0" applyFont="1" applyBorder="1" applyAlignment="1" applyProtection="1">
      <alignment horizontal="left" vertical="center" wrapText="1"/>
    </xf>
    <xf numFmtId="0" fontId="2" fillId="0" borderId="62" xfId="0" applyFont="1" applyBorder="1" applyAlignment="1" applyProtection="1">
      <alignment horizontal="left" vertical="center" wrapText="1"/>
    </xf>
    <xf numFmtId="0" fontId="2" fillId="0" borderId="18" xfId="0" applyFont="1" applyBorder="1" applyAlignment="1" applyProtection="1">
      <alignment horizontal="left" vertical="center" wrapText="1"/>
    </xf>
    <xf numFmtId="3" fontId="2" fillId="0" borderId="10" xfId="0" applyNumberFormat="1" applyFont="1" applyBorder="1" applyAlignment="1" applyProtection="1">
      <alignment horizontal="center" vertical="center"/>
    </xf>
    <xf numFmtId="0" fontId="2" fillId="0" borderId="63" xfId="0" applyFont="1" applyFill="1" applyBorder="1" applyAlignment="1" applyProtection="1">
      <alignment horizontal="center"/>
    </xf>
    <xf numFmtId="0" fontId="2" fillId="0" borderId="17" xfId="0" applyFont="1" applyFill="1" applyBorder="1" applyAlignment="1" applyProtection="1">
      <alignment horizontal="center"/>
    </xf>
    <xf numFmtId="0" fontId="2" fillId="0" borderId="49" xfId="0" applyFont="1" applyFill="1" applyBorder="1" applyAlignment="1" applyProtection="1">
      <alignment horizontal="center"/>
    </xf>
    <xf numFmtId="0" fontId="2" fillId="0" borderId="61" xfId="0" applyFont="1" applyFill="1" applyBorder="1" applyAlignment="1" applyProtection="1">
      <alignment horizontal="left" vertical="center"/>
    </xf>
    <xf numFmtId="0" fontId="2" fillId="0" borderId="39" xfId="0" applyFont="1" applyFill="1" applyBorder="1" applyAlignment="1" applyProtection="1">
      <alignment horizontal="left" vertical="center"/>
    </xf>
    <xf numFmtId="0" fontId="2" fillId="0" borderId="40" xfId="0" applyFont="1" applyFill="1" applyBorder="1" applyAlignment="1" applyProtection="1">
      <alignment horizontal="left" vertical="center"/>
    </xf>
    <xf numFmtId="0" fontId="2" fillId="0" borderId="10" xfId="0" applyFont="1" applyFill="1" applyBorder="1" applyAlignment="1" applyProtection="1">
      <alignment horizontal="center"/>
    </xf>
    <xf numFmtId="0" fontId="2" fillId="0" borderId="21" xfId="0" applyFont="1" applyFill="1" applyBorder="1" applyAlignment="1" applyProtection="1">
      <alignment horizontal="center"/>
    </xf>
    <xf numFmtId="0" fontId="2" fillId="0" borderId="38" xfId="0" applyFont="1" applyFill="1" applyBorder="1" applyAlignment="1" applyProtection="1">
      <alignment horizontal="center"/>
    </xf>
    <xf numFmtId="0" fontId="2" fillId="0" borderId="32" xfId="0" applyFont="1" applyFill="1" applyBorder="1" applyAlignment="1" applyProtection="1">
      <alignment horizontal="center"/>
    </xf>
    <xf numFmtId="0" fontId="2" fillId="0" borderId="61" xfId="0" applyFont="1" applyFill="1" applyBorder="1" applyAlignment="1" applyProtection="1">
      <alignment horizontal="center" vertical="center" wrapText="1"/>
    </xf>
    <xf numFmtId="0" fontId="2" fillId="0" borderId="39" xfId="0" applyFont="1" applyFill="1" applyBorder="1" applyAlignment="1" applyProtection="1">
      <alignment horizontal="center" vertical="center" wrapText="1"/>
    </xf>
    <xf numFmtId="0" fontId="2" fillId="0" borderId="40" xfId="0" applyFont="1" applyFill="1" applyBorder="1" applyAlignment="1" applyProtection="1">
      <alignment horizontal="center" vertical="center" wrapText="1"/>
    </xf>
    <xf numFmtId="0" fontId="2" fillId="0" borderId="62" xfId="0"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xf>
    <xf numFmtId="0" fontId="2" fillId="0" borderId="54" xfId="0" applyFont="1" applyFill="1" applyBorder="1" applyAlignment="1" applyProtection="1">
      <alignment horizontal="center" vertical="center" wrapText="1"/>
    </xf>
    <xf numFmtId="3" fontId="2" fillId="0" borderId="63" xfId="0" applyNumberFormat="1" applyFont="1" applyFill="1" applyBorder="1" applyAlignment="1" applyProtection="1">
      <alignment horizontal="center"/>
    </xf>
    <xf numFmtId="3" fontId="2" fillId="0" borderId="49" xfId="0" applyNumberFormat="1" applyFont="1" applyFill="1" applyBorder="1" applyAlignment="1" applyProtection="1">
      <alignment horizontal="center"/>
    </xf>
    <xf numFmtId="0" fontId="2" fillId="0" borderId="61" xfId="0" applyFont="1" applyBorder="1" applyAlignment="1" applyProtection="1">
      <alignment horizontal="center" vertical="top"/>
    </xf>
    <xf numFmtId="0" fontId="2" fillId="0" borderId="39" xfId="0" applyFont="1" applyBorder="1" applyAlignment="1" applyProtection="1">
      <alignment horizontal="center" vertical="top"/>
    </xf>
    <xf numFmtId="0" fontId="2" fillId="0" borderId="40" xfId="0" applyFont="1" applyBorder="1" applyAlignment="1" applyProtection="1">
      <alignment horizontal="center" vertical="top"/>
    </xf>
    <xf numFmtId="0" fontId="2" fillId="0" borderId="62" xfId="0" applyFont="1" applyBorder="1" applyAlignment="1" applyProtection="1">
      <alignment horizontal="center" vertical="top"/>
    </xf>
    <xf numFmtId="0" fontId="2" fillId="0" borderId="18" xfId="0" applyFont="1" applyBorder="1" applyAlignment="1" applyProtection="1">
      <alignment horizontal="center" vertical="top"/>
    </xf>
    <xf numFmtId="0" fontId="2" fillId="0" borderId="54" xfId="0" applyFont="1" applyBorder="1" applyAlignment="1" applyProtection="1">
      <alignment horizontal="center" vertical="top"/>
    </xf>
    <xf numFmtId="0" fontId="2" fillId="0" borderId="10" xfId="0" applyFont="1" applyBorder="1" applyAlignment="1" applyProtection="1">
      <alignment horizontal="left" vertical="center" wrapText="1"/>
    </xf>
    <xf numFmtId="0" fontId="2" fillId="27" borderId="62" xfId="0" applyFont="1" applyFill="1" applyBorder="1" applyAlignment="1" applyProtection="1">
      <alignment horizontal="left" vertical="center"/>
    </xf>
    <xf numFmtId="0" fontId="2" fillId="27" borderId="18" xfId="0" applyFont="1" applyFill="1" applyBorder="1" applyAlignment="1" applyProtection="1">
      <alignment horizontal="left" vertical="center"/>
    </xf>
    <xf numFmtId="0" fontId="2" fillId="27" borderId="54" xfId="0" applyFont="1" applyFill="1" applyBorder="1" applyAlignment="1" applyProtection="1">
      <alignment horizontal="left" vertical="center"/>
    </xf>
    <xf numFmtId="0" fontId="10" fillId="0" borderId="0" xfId="0" applyFont="1" applyAlignment="1" applyProtection="1">
      <alignment horizontal="left" vertical="center"/>
    </xf>
    <xf numFmtId="0" fontId="2" fillId="27" borderId="63" xfId="0" applyFont="1" applyFill="1" applyBorder="1" applyAlignment="1" applyProtection="1">
      <alignment horizontal="center" vertical="top" wrapText="1"/>
    </xf>
    <xf numFmtId="0" fontId="2" fillId="27" borderId="49" xfId="0" applyFont="1" applyFill="1" applyBorder="1" applyAlignment="1" applyProtection="1">
      <alignment horizontal="center" vertical="top" wrapText="1"/>
    </xf>
    <xf numFmtId="0" fontId="2" fillId="28" borderId="63" xfId="0" applyFont="1" applyFill="1" applyBorder="1" applyAlignment="1" applyProtection="1">
      <alignment horizontal="center" vertical="top" wrapText="1"/>
    </xf>
    <xf numFmtId="0" fontId="2" fillId="28" borderId="49" xfId="0" applyFont="1" applyFill="1" applyBorder="1" applyAlignment="1" applyProtection="1">
      <alignment horizontal="center" vertical="top" wrapText="1"/>
    </xf>
    <xf numFmtId="0" fontId="2" fillId="29" borderId="63" xfId="0" applyFont="1" applyFill="1" applyBorder="1" applyAlignment="1" applyProtection="1">
      <alignment horizontal="center" vertical="top" wrapText="1"/>
    </xf>
    <xf numFmtId="0" fontId="2" fillId="29" borderId="49" xfId="0" applyFont="1" applyFill="1" applyBorder="1" applyAlignment="1" applyProtection="1">
      <alignment horizontal="center" vertical="top" wrapText="1"/>
    </xf>
    <xf numFmtId="0" fontId="10" fillId="0" borderId="0" xfId="0" applyFont="1" applyAlignment="1" applyProtection="1">
      <alignment vertical="center"/>
    </xf>
    <xf numFmtId="0" fontId="2" fillId="27" borderId="10" xfId="0" applyFont="1" applyFill="1" applyBorder="1" applyAlignment="1" applyProtection="1">
      <alignment horizontal="left" vertical="top"/>
    </xf>
    <xf numFmtId="0" fontId="2" fillId="28" borderId="10" xfId="0" applyFont="1" applyFill="1" applyBorder="1" applyAlignment="1" applyProtection="1">
      <alignment horizontal="left" vertical="top"/>
    </xf>
    <xf numFmtId="0" fontId="2" fillId="29" borderId="10" xfId="0" applyFont="1" applyFill="1" applyBorder="1" applyAlignment="1" applyProtection="1">
      <alignment horizontal="left" vertical="top"/>
    </xf>
    <xf numFmtId="0" fontId="2" fillId="0" borderId="10" xfId="0" applyFont="1" applyBorder="1" applyAlignment="1" applyProtection="1">
      <alignment horizontal="center" vertical="top" wrapText="1"/>
    </xf>
    <xf numFmtId="0" fontId="2" fillId="30" borderId="10" xfId="0" applyFont="1" applyFill="1" applyBorder="1" applyAlignment="1" applyProtection="1">
      <alignment horizontal="left" vertical="top"/>
    </xf>
    <xf numFmtId="0" fontId="2" fillId="0" borderId="21" xfId="0" applyFont="1" applyBorder="1" applyAlignment="1" applyProtection="1">
      <alignment horizontal="left"/>
    </xf>
    <xf numFmtId="0" fontId="2" fillId="0" borderId="38" xfId="0" applyFont="1" applyBorder="1" applyAlignment="1" applyProtection="1">
      <alignment horizontal="left"/>
    </xf>
    <xf numFmtId="0" fontId="2" fillId="0" borderId="32" xfId="0" applyFont="1" applyBorder="1" applyAlignment="1" applyProtection="1">
      <alignment horizontal="left"/>
    </xf>
    <xf numFmtId="0" fontId="14" fillId="27" borderId="45" xfId="0" applyFont="1" applyFill="1" applyBorder="1" applyAlignment="1" applyProtection="1">
      <alignment horizontal="center" vertical="center"/>
    </xf>
    <xf numFmtId="0" fontId="14" fillId="27" borderId="24" xfId="0" applyFont="1" applyFill="1" applyBorder="1" applyAlignment="1" applyProtection="1">
      <alignment horizontal="center" vertical="center"/>
    </xf>
    <xf numFmtId="0" fontId="14" fillId="27" borderId="23" xfId="0" applyFont="1" applyFill="1" applyBorder="1" applyAlignment="1" applyProtection="1">
      <alignment horizontal="center" vertical="center"/>
    </xf>
    <xf numFmtId="0" fontId="14" fillId="27" borderId="46" xfId="0" applyFont="1" applyFill="1" applyBorder="1" applyAlignment="1" applyProtection="1">
      <alignment horizontal="center" vertical="center"/>
    </xf>
    <xf numFmtId="0" fontId="14" fillId="27" borderId="25" xfId="0" applyFont="1" applyFill="1" applyBorder="1" applyAlignment="1" applyProtection="1">
      <alignment horizontal="center" vertical="center"/>
    </xf>
    <xf numFmtId="0" fontId="14" fillId="27" borderId="26" xfId="0" applyFont="1" applyFill="1" applyBorder="1" applyAlignment="1" applyProtection="1">
      <alignment horizontal="center" vertical="center"/>
    </xf>
    <xf numFmtId="172" fontId="2" fillId="26" borderId="21" xfId="0" applyNumberFormat="1" applyFont="1" applyFill="1" applyBorder="1" applyAlignment="1">
      <alignment horizontal="center" vertical="center"/>
    </xf>
    <xf numFmtId="172" fontId="2" fillId="26" borderId="38" xfId="0" applyNumberFormat="1" applyFont="1" applyFill="1" applyBorder="1" applyAlignment="1">
      <alignment horizontal="center" vertical="center"/>
    </xf>
    <xf numFmtId="0" fontId="2" fillId="26" borderId="21" xfId="0" applyFont="1" applyFill="1" applyBorder="1" applyAlignment="1">
      <alignment horizontal="center" vertical="center"/>
    </xf>
    <xf numFmtId="0" fontId="2" fillId="26" borderId="38" xfId="0" applyFont="1" applyFill="1" applyBorder="1" applyAlignment="1">
      <alignment horizontal="center" vertical="center"/>
    </xf>
    <xf numFmtId="3" fontId="2" fillId="26" borderId="21" xfId="0" applyNumberFormat="1" applyFont="1" applyFill="1" applyBorder="1" applyAlignment="1">
      <alignment horizontal="center" vertical="center"/>
    </xf>
    <xf numFmtId="3" fontId="2" fillId="26" borderId="38" xfId="0" applyNumberFormat="1" applyFont="1" applyFill="1" applyBorder="1" applyAlignment="1">
      <alignment horizontal="center" vertical="center"/>
    </xf>
    <xf numFmtId="1" fontId="2" fillId="26" borderId="21" xfId="0" applyNumberFormat="1" applyFont="1" applyFill="1" applyBorder="1" applyAlignment="1">
      <alignment horizontal="center" vertical="center"/>
    </xf>
    <xf numFmtId="1" fontId="2" fillId="26" borderId="38" xfId="0" applyNumberFormat="1" applyFont="1" applyFill="1" applyBorder="1" applyAlignment="1">
      <alignment horizontal="center" vertical="center"/>
    </xf>
    <xf numFmtId="172" fontId="2" fillId="26" borderId="10" xfId="0" applyNumberFormat="1" applyFont="1" applyFill="1" applyBorder="1" applyAlignment="1">
      <alignment horizontal="center" vertical="center"/>
    </xf>
    <xf numFmtId="2" fontId="2" fillId="26" borderId="10" xfId="0" applyNumberFormat="1" applyFont="1" applyFill="1" applyBorder="1" applyAlignment="1">
      <alignment horizontal="center" vertical="center"/>
    </xf>
    <xf numFmtId="2" fontId="2" fillId="26" borderId="21" xfId="0" applyNumberFormat="1" applyFont="1" applyFill="1" applyBorder="1" applyAlignment="1">
      <alignment horizontal="center" vertical="center"/>
    </xf>
    <xf numFmtId="2" fontId="2" fillId="26" borderId="38" xfId="0" applyNumberFormat="1" applyFont="1" applyFill="1" applyBorder="1" applyAlignment="1">
      <alignment horizontal="center" vertical="center"/>
    </xf>
    <xf numFmtId="0" fontId="2" fillId="26" borderId="10" xfId="0" applyFont="1" applyFill="1" applyBorder="1" applyAlignment="1">
      <alignment horizontal="left" vertical="center"/>
    </xf>
    <xf numFmtId="0" fontId="2" fillId="26" borderId="10" xfId="0" applyFont="1" applyFill="1" applyBorder="1" applyAlignment="1">
      <alignment horizontal="center"/>
    </xf>
    <xf numFmtId="0" fontId="2" fillId="26" borderId="10" xfId="0" applyFont="1" applyFill="1" applyBorder="1" applyAlignment="1">
      <alignment horizontal="left"/>
    </xf>
    <xf numFmtId="0" fontId="2" fillId="0" borderId="64" xfId="0" applyFont="1" applyFill="1" applyBorder="1" applyAlignment="1">
      <alignment horizontal="center" vertical="center"/>
    </xf>
    <xf numFmtId="0" fontId="2" fillId="0" borderId="65" xfId="0" applyFont="1" applyFill="1" applyBorder="1" applyAlignment="1">
      <alignment horizontal="center" vertical="center"/>
    </xf>
    <xf numFmtId="0" fontId="2" fillId="0" borderId="66" xfId="0" applyFont="1" applyFill="1" applyBorder="1" applyAlignment="1">
      <alignment horizontal="center" vertical="center"/>
    </xf>
    <xf numFmtId="0" fontId="8" fillId="26" borderId="10" xfId="0" applyFont="1" applyFill="1" applyBorder="1" applyAlignment="1">
      <alignment horizontal="left"/>
    </xf>
    <xf numFmtId="0" fontId="2" fillId="26" borderId="10" xfId="0" applyFont="1" applyFill="1" applyBorder="1" applyAlignment="1">
      <alignment horizontal="left" vertical="top"/>
    </xf>
    <xf numFmtId="0" fontId="2" fillId="26" borderId="32" xfId="0" applyFont="1" applyFill="1" applyBorder="1" applyAlignment="1">
      <alignment horizontal="center" vertical="center"/>
    </xf>
    <xf numFmtId="2" fontId="2" fillId="26" borderId="32" xfId="0" applyNumberFormat="1" applyFont="1" applyFill="1" applyBorder="1" applyAlignment="1">
      <alignment horizontal="center" vertical="center"/>
    </xf>
    <xf numFmtId="0" fontId="2" fillId="26" borderId="10" xfId="0" applyFont="1" applyFill="1" applyBorder="1" applyAlignment="1" applyProtection="1">
      <alignment horizontal="center" vertical="center"/>
      <protection locked="0"/>
    </xf>
    <xf numFmtId="0" fontId="8" fillId="26" borderId="10" xfId="0" applyFont="1" applyFill="1" applyBorder="1" applyAlignment="1">
      <alignment horizontal="left" vertical="top"/>
    </xf>
    <xf numFmtId="0" fontId="2" fillId="26" borderId="10" xfId="0" applyFont="1" applyFill="1" applyBorder="1" applyAlignment="1">
      <alignment horizontal="left" vertical="center" wrapText="1"/>
    </xf>
    <xf numFmtId="0" fontId="2" fillId="26" borderId="10" xfId="0" applyFont="1" applyFill="1" applyBorder="1" applyAlignment="1">
      <alignment horizontal="right" vertical="top"/>
    </xf>
    <xf numFmtId="0" fontId="9" fillId="26" borderId="61" xfId="0" applyFont="1" applyFill="1" applyBorder="1" applyAlignment="1">
      <alignment horizontal="left" vertical="center" wrapText="1"/>
    </xf>
    <xf numFmtId="0" fontId="9" fillId="26" borderId="39" xfId="0" applyFont="1" applyFill="1" applyBorder="1" applyAlignment="1">
      <alignment horizontal="left" vertical="center" wrapText="1"/>
    </xf>
    <xf numFmtId="0" fontId="9" fillId="26" borderId="40" xfId="0" applyFont="1" applyFill="1" applyBorder="1" applyAlignment="1">
      <alignment horizontal="left" vertical="center" wrapText="1"/>
    </xf>
    <xf numFmtId="0" fontId="9" fillId="26" borderId="62" xfId="0" applyFont="1" applyFill="1" applyBorder="1" applyAlignment="1">
      <alignment horizontal="left" vertical="center" wrapText="1"/>
    </xf>
    <xf numFmtId="0" fontId="9" fillId="26" borderId="18" xfId="0" applyFont="1" applyFill="1" applyBorder="1" applyAlignment="1">
      <alignment horizontal="left" vertical="center" wrapText="1"/>
    </xf>
    <xf numFmtId="0" fontId="9" fillId="26" borderId="54" xfId="0" applyFont="1" applyFill="1" applyBorder="1" applyAlignment="1">
      <alignment horizontal="left" vertical="center" wrapText="1"/>
    </xf>
    <xf numFmtId="3" fontId="2" fillId="26" borderId="10" xfId="0" applyNumberFormat="1" applyFont="1" applyFill="1" applyBorder="1" applyAlignment="1">
      <alignment horizontal="center" vertical="center"/>
    </xf>
    <xf numFmtId="178" fontId="2" fillId="26" borderId="10" xfId="0" applyNumberFormat="1" applyFont="1" applyFill="1" applyBorder="1" applyAlignment="1">
      <alignment horizontal="center" vertical="center"/>
    </xf>
    <xf numFmtId="0" fontId="2" fillId="0" borderId="10" xfId="0" applyFont="1" applyBorder="1" applyAlignment="1">
      <alignment horizontal="left"/>
    </xf>
    <xf numFmtId="0" fontId="2" fillId="26" borderId="21" xfId="0" applyFont="1" applyFill="1" applyBorder="1" applyAlignment="1">
      <alignment horizontal="right" vertical="top"/>
    </xf>
    <xf numFmtId="0" fontId="2" fillId="26" borderId="38" xfId="0" applyFont="1" applyFill="1" applyBorder="1" applyAlignment="1">
      <alignment horizontal="right" vertical="top"/>
    </xf>
    <xf numFmtId="0" fontId="2" fillId="26" borderId="32" xfId="0" applyFont="1" applyFill="1" applyBorder="1" applyAlignment="1">
      <alignment horizontal="right" vertical="top"/>
    </xf>
    <xf numFmtId="0" fontId="8" fillId="26" borderId="21" xfId="0" applyFont="1" applyFill="1" applyBorder="1" applyAlignment="1">
      <alignment horizontal="left"/>
    </xf>
    <xf numFmtId="0" fontId="8" fillId="26" borderId="38" xfId="0" applyFont="1" applyFill="1" applyBorder="1" applyAlignment="1">
      <alignment horizontal="left"/>
    </xf>
    <xf numFmtId="0" fontId="8" fillId="26" borderId="32" xfId="0" applyFont="1" applyFill="1" applyBorder="1" applyAlignment="1">
      <alignment horizontal="left"/>
    </xf>
    <xf numFmtId="173" fontId="2" fillId="26" borderId="10" xfId="0" applyNumberFormat="1" applyFont="1" applyFill="1" applyBorder="1" applyAlignment="1">
      <alignment horizontal="center" vertical="center"/>
    </xf>
    <xf numFmtId="173" fontId="2" fillId="26" borderId="21" xfId="0" applyNumberFormat="1" applyFont="1" applyFill="1" applyBorder="1" applyAlignment="1">
      <alignment horizontal="center" vertical="center"/>
    </xf>
    <xf numFmtId="173" fontId="2" fillId="26" borderId="32" xfId="0" applyNumberFormat="1" applyFont="1" applyFill="1" applyBorder="1" applyAlignment="1">
      <alignment horizontal="center" vertical="center"/>
    </xf>
    <xf numFmtId="165" fontId="2" fillId="0" borderId="10" xfId="0" applyNumberFormat="1" applyFont="1" applyBorder="1" applyAlignment="1">
      <alignment horizontal="left"/>
    </xf>
    <xf numFmtId="0" fontId="2" fillId="0" borderId="10" xfId="0" applyNumberFormat="1" applyFont="1" applyBorder="1" applyAlignment="1">
      <alignment horizontal="left"/>
    </xf>
    <xf numFmtId="0" fontId="2" fillId="26" borderId="10" xfId="0" applyFont="1" applyFill="1" applyBorder="1" applyAlignment="1">
      <alignment horizontal="center" vertical="center" wrapText="1"/>
    </xf>
    <xf numFmtId="3" fontId="2" fillId="26" borderId="32" xfId="0" applyNumberFormat="1" applyFont="1" applyFill="1" applyBorder="1" applyAlignment="1">
      <alignment horizontal="center" vertical="center"/>
    </xf>
    <xf numFmtId="1" fontId="2" fillId="26" borderId="21" xfId="0" applyNumberFormat="1" applyFont="1" applyFill="1" applyBorder="1" applyAlignment="1">
      <alignment horizontal="center"/>
    </xf>
    <xf numFmtId="1" fontId="2" fillId="26" borderId="32" xfId="0" applyNumberFormat="1" applyFont="1" applyFill="1" applyBorder="1" applyAlignment="1">
      <alignment horizontal="center"/>
    </xf>
    <xf numFmtId="0" fontId="2" fillId="0" borderId="65" xfId="0" applyFont="1" applyBorder="1" applyAlignment="1">
      <alignment horizontal="left"/>
    </xf>
    <xf numFmtId="179" fontId="2" fillId="26" borderId="10" xfId="40" applyNumberFormat="1" applyFont="1" applyFill="1" applyBorder="1" applyAlignment="1">
      <alignment horizontal="center" vertical="center"/>
    </xf>
    <xf numFmtId="0" fontId="9" fillId="26" borderId="0" xfId="0" applyFont="1" applyFill="1" applyAlignment="1">
      <alignment horizontal="left" vertical="top" wrapText="1"/>
    </xf>
    <xf numFmtId="1" fontId="2" fillId="26" borderId="10" xfId="0" applyNumberFormat="1" applyFont="1" applyFill="1" applyBorder="1" applyAlignment="1">
      <alignment horizontal="center"/>
    </xf>
    <xf numFmtId="0" fontId="2" fillId="26" borderId="61" xfId="0" applyFont="1" applyFill="1" applyBorder="1" applyAlignment="1">
      <alignment horizontal="center" vertical="top" wrapText="1"/>
    </xf>
    <xf numFmtId="0" fontId="2" fillId="26" borderId="39" xfId="0" applyFont="1" applyFill="1" applyBorder="1" applyAlignment="1">
      <alignment horizontal="center" vertical="top" wrapText="1"/>
    </xf>
    <xf numFmtId="0" fontId="2" fillId="26" borderId="40" xfId="0" applyFont="1" applyFill="1" applyBorder="1" applyAlignment="1">
      <alignment horizontal="center" vertical="top" wrapText="1"/>
    </xf>
    <xf numFmtId="0" fontId="2" fillId="26" borderId="62" xfId="0" applyFont="1" applyFill="1" applyBorder="1" applyAlignment="1">
      <alignment horizontal="center" vertical="top" wrapText="1"/>
    </xf>
    <xf numFmtId="0" fontId="2" fillId="26" borderId="18" xfId="0" applyFont="1" applyFill="1" applyBorder="1" applyAlignment="1">
      <alignment horizontal="center" vertical="top" wrapText="1"/>
    </xf>
    <xf numFmtId="0" fontId="2" fillId="26" borderId="54" xfId="0" applyFont="1" applyFill="1" applyBorder="1" applyAlignment="1">
      <alignment horizontal="center" vertical="top" wrapText="1"/>
    </xf>
    <xf numFmtId="0" fontId="2" fillId="26" borderId="10" xfId="0" applyFont="1" applyFill="1" applyBorder="1" applyAlignment="1">
      <alignment horizontal="center" vertical="top" wrapText="1"/>
    </xf>
    <xf numFmtId="178" fontId="2" fillId="26" borderId="21" xfId="0" applyNumberFormat="1" applyFont="1" applyFill="1" applyBorder="1" applyAlignment="1">
      <alignment horizontal="center" vertical="center"/>
    </xf>
    <xf numFmtId="178" fontId="2" fillId="26" borderId="38" xfId="0" applyNumberFormat="1" applyFont="1" applyFill="1" applyBorder="1" applyAlignment="1">
      <alignment horizontal="center" vertical="center"/>
    </xf>
    <xf numFmtId="178" fontId="2" fillId="26" borderId="32" xfId="0" applyNumberFormat="1" applyFont="1" applyFill="1" applyBorder="1" applyAlignment="1">
      <alignment horizontal="center" vertical="center"/>
    </xf>
    <xf numFmtId="177" fontId="16" fillId="26" borderId="39" xfId="0" applyNumberFormat="1" applyFont="1" applyFill="1" applyBorder="1" applyAlignment="1">
      <alignment horizontal="center"/>
    </xf>
    <xf numFmtId="0" fontId="16" fillId="26" borderId="39" xfId="0" applyFont="1" applyFill="1" applyBorder="1" applyAlignment="1">
      <alignment horizontal="center"/>
    </xf>
    <xf numFmtId="0" fontId="2" fillId="26" borderId="10" xfId="0" applyFont="1" applyFill="1" applyBorder="1" applyAlignment="1">
      <alignment horizontal="left" indent="4"/>
    </xf>
    <xf numFmtId="178" fontId="2" fillId="26" borderId="10" xfId="0" applyNumberFormat="1" applyFont="1" applyFill="1" applyBorder="1" applyAlignment="1">
      <alignment horizontal="center"/>
    </xf>
    <xf numFmtId="0" fontId="2" fillId="26" borderId="21" xfId="0" applyFont="1" applyFill="1" applyBorder="1" applyAlignment="1">
      <alignment horizontal="left" vertical="center"/>
    </xf>
    <xf numFmtId="0" fontId="2" fillId="26" borderId="38" xfId="0" applyFont="1" applyFill="1" applyBorder="1" applyAlignment="1">
      <alignment horizontal="left" vertical="center"/>
    </xf>
    <xf numFmtId="0" fontId="2" fillId="26" borderId="32" xfId="0" applyFont="1" applyFill="1" applyBorder="1" applyAlignment="1">
      <alignment horizontal="left" vertical="center"/>
    </xf>
    <xf numFmtId="178" fontId="16" fillId="26" borderId="39" xfId="0" applyNumberFormat="1" applyFont="1" applyFill="1" applyBorder="1" applyAlignment="1">
      <alignment horizontal="center"/>
    </xf>
    <xf numFmtId="0" fontId="2" fillId="26" borderId="63" xfId="0" applyFont="1" applyFill="1" applyBorder="1" applyAlignment="1">
      <alignment horizontal="center" vertical="top"/>
    </xf>
    <xf numFmtId="0" fontId="2" fillId="26" borderId="17" xfId="0" applyFont="1" applyFill="1" applyBorder="1" applyAlignment="1">
      <alignment horizontal="center" vertical="top"/>
    </xf>
    <xf numFmtId="0" fontId="2" fillId="26" borderId="49" xfId="0" applyFont="1" applyFill="1" applyBorder="1" applyAlignment="1">
      <alignment horizontal="center" vertical="top"/>
    </xf>
    <xf numFmtId="0" fontId="2" fillId="26" borderId="10" xfId="0" applyFont="1" applyFill="1" applyBorder="1" applyAlignment="1">
      <alignment horizontal="center" vertical="top"/>
    </xf>
    <xf numFmtId="0" fontId="0" fillId="26" borderId="0" xfId="0" applyFill="1" applyAlignment="1">
      <alignment horizontal="center"/>
    </xf>
    <xf numFmtId="0" fontId="2" fillId="30" borderId="10" xfId="0" applyFont="1" applyFill="1" applyBorder="1" applyAlignment="1">
      <alignment horizontal="center" vertical="center"/>
    </xf>
    <xf numFmtId="172" fontId="2" fillId="26" borderId="32" xfId="0" applyNumberFormat="1" applyFont="1" applyFill="1" applyBorder="1" applyAlignment="1">
      <alignment horizontal="center" vertical="center"/>
    </xf>
    <xf numFmtId="3" fontId="2" fillId="26" borderId="21" xfId="0" applyNumberFormat="1" applyFont="1" applyFill="1" applyBorder="1" applyAlignment="1">
      <alignment horizontal="center"/>
    </xf>
    <xf numFmtId="3" fontId="2" fillId="26" borderId="32" xfId="0" applyNumberFormat="1" applyFont="1" applyFill="1" applyBorder="1" applyAlignment="1">
      <alignment horizontal="center"/>
    </xf>
    <xf numFmtId="3" fontId="2" fillId="26" borderId="10" xfId="0" applyNumberFormat="1" applyFont="1" applyFill="1" applyBorder="1" applyAlignment="1">
      <alignment horizontal="center"/>
    </xf>
    <xf numFmtId="0" fontId="2" fillId="26" borderId="10" xfId="0" applyFont="1" applyFill="1" applyBorder="1" applyAlignment="1" applyProtection="1">
      <alignment horizontal="center"/>
    </xf>
    <xf numFmtId="0" fontId="2" fillId="26" borderId="10" xfId="0" applyFont="1" applyFill="1" applyBorder="1" applyAlignment="1" applyProtection="1">
      <alignment horizontal="left" vertical="center"/>
    </xf>
    <xf numFmtId="0" fontId="2" fillId="26" borderId="10" xfId="0" applyFont="1" applyFill="1" applyBorder="1" applyAlignment="1" applyProtection="1">
      <alignment horizontal="left"/>
    </xf>
    <xf numFmtId="0" fontId="2" fillId="26" borderId="10" xfId="0" applyFont="1" applyFill="1" applyBorder="1" applyAlignment="1" applyProtection="1">
      <alignment horizontal="center" vertical="top" wrapText="1"/>
    </xf>
    <xf numFmtId="3" fontId="2" fillId="26" borderId="10" xfId="0" applyNumberFormat="1" applyFont="1" applyFill="1" applyBorder="1" applyAlignment="1" applyProtection="1">
      <alignment horizontal="center"/>
    </xf>
    <xf numFmtId="0" fontId="2" fillId="24" borderId="10" xfId="0" applyFont="1" applyFill="1" applyBorder="1" applyAlignment="1" applyProtection="1">
      <alignment horizontal="center" vertical="center"/>
    </xf>
    <xf numFmtId="0" fontId="2" fillId="26" borderId="0" xfId="0" applyFont="1" applyFill="1" applyBorder="1" applyAlignment="1" applyProtection="1">
      <alignment horizontal="center"/>
    </xf>
    <xf numFmtId="0" fontId="0" fillId="26" borderId="10" xfId="0" applyFill="1" applyBorder="1" applyAlignment="1">
      <alignment horizontal="center"/>
    </xf>
    <xf numFmtId="0" fontId="14" fillId="27" borderId="45" xfId="0" applyFont="1" applyFill="1" applyBorder="1" applyAlignment="1">
      <alignment horizontal="center" vertical="center" wrapText="1"/>
    </xf>
    <xf numFmtId="0" fontId="14" fillId="27" borderId="24" xfId="0" applyFont="1" applyFill="1" applyBorder="1" applyAlignment="1">
      <alignment horizontal="center" vertical="center" wrapText="1"/>
    </xf>
    <xf numFmtId="0" fontId="14" fillId="27" borderId="23" xfId="0" applyFont="1" applyFill="1" applyBorder="1" applyAlignment="1">
      <alignment horizontal="center" vertical="center" wrapText="1"/>
    </xf>
    <xf numFmtId="0" fontId="14" fillId="27" borderId="46" xfId="0" applyFont="1" applyFill="1" applyBorder="1" applyAlignment="1">
      <alignment horizontal="center" vertical="center" wrapText="1"/>
    </xf>
    <xf numFmtId="0" fontId="14" fillId="27" borderId="25" xfId="0" applyFont="1" applyFill="1" applyBorder="1" applyAlignment="1">
      <alignment horizontal="center" vertical="center" wrapText="1"/>
    </xf>
    <xf numFmtId="0" fontId="14" fillId="27" borderId="26" xfId="0" applyFont="1" applyFill="1" applyBorder="1" applyAlignment="1">
      <alignment horizontal="center" vertical="center" wrapText="1"/>
    </xf>
    <xf numFmtId="0" fontId="2" fillId="26" borderId="10" xfId="0" applyFont="1" applyFill="1" applyBorder="1" applyAlignment="1" applyProtection="1">
      <alignment horizontal="center" vertical="center" wrapText="1"/>
    </xf>
    <xf numFmtId="0" fontId="2" fillId="27" borderId="21" xfId="0" applyFont="1" applyFill="1" applyBorder="1" applyAlignment="1">
      <alignment horizontal="left" vertical="center"/>
    </xf>
    <xf numFmtId="0" fontId="2" fillId="27" borderId="38" xfId="0" applyFont="1" applyFill="1" applyBorder="1" applyAlignment="1">
      <alignment horizontal="left" vertical="center"/>
    </xf>
    <xf numFmtId="0" fontId="2" fillId="27" borderId="32" xfId="0" applyFont="1" applyFill="1" applyBorder="1" applyAlignment="1">
      <alignment horizontal="left" vertical="center"/>
    </xf>
    <xf numFmtId="0" fontId="2" fillId="27" borderId="61" xfId="0" applyFont="1" applyFill="1" applyBorder="1" applyAlignment="1">
      <alignment horizontal="center" vertical="top" wrapText="1"/>
    </xf>
    <xf numFmtId="0" fontId="2" fillId="27" borderId="40" xfId="0" applyFont="1" applyFill="1" applyBorder="1" applyAlignment="1">
      <alignment horizontal="center" vertical="top" wrapText="1"/>
    </xf>
    <xf numFmtId="0" fontId="2" fillId="27" borderId="62" xfId="0" applyFont="1" applyFill="1" applyBorder="1" applyAlignment="1">
      <alignment horizontal="center" vertical="top" wrapText="1"/>
    </xf>
    <xf numFmtId="0" fontId="2" fillId="27" borderId="54" xfId="0" applyFont="1" applyFill="1" applyBorder="1" applyAlignment="1">
      <alignment horizontal="center" vertical="top" wrapText="1"/>
    </xf>
    <xf numFmtId="0" fontId="2" fillId="27" borderId="47" xfId="0" applyFont="1" applyFill="1" applyBorder="1" applyAlignment="1" applyProtection="1">
      <alignment horizontal="left"/>
    </xf>
    <xf numFmtId="0" fontId="2" fillId="27" borderId="31" xfId="0" applyFont="1" applyFill="1" applyBorder="1" applyAlignment="1" applyProtection="1">
      <alignment horizontal="left"/>
    </xf>
    <xf numFmtId="0" fontId="2" fillId="27" borderId="58" xfId="0" applyFont="1" applyFill="1" applyBorder="1" applyAlignment="1" applyProtection="1">
      <alignment horizontal="center"/>
    </xf>
    <xf numFmtId="0" fontId="2" fillId="27" borderId="59" xfId="0" applyFont="1" applyFill="1" applyBorder="1" applyAlignment="1" applyProtection="1">
      <alignment horizontal="center"/>
    </xf>
    <xf numFmtId="0" fontId="2" fillId="27" borderId="70" xfId="0" applyFont="1" applyFill="1" applyBorder="1" applyAlignment="1" applyProtection="1">
      <alignment horizontal="center"/>
    </xf>
    <xf numFmtId="0" fontId="2" fillId="27" borderId="48" xfId="0" applyFont="1" applyFill="1" applyBorder="1" applyAlignment="1" applyProtection="1">
      <alignment horizontal="left"/>
    </xf>
    <xf numFmtId="0" fontId="2" fillId="27" borderId="10" xfId="0" applyFont="1" applyFill="1" applyBorder="1" applyAlignment="1" applyProtection="1">
      <alignment horizontal="left"/>
    </xf>
    <xf numFmtId="0" fontId="2" fillId="27" borderId="42" xfId="0" applyFont="1" applyFill="1" applyBorder="1" applyAlignment="1" applyProtection="1">
      <alignment horizontal="right"/>
    </xf>
    <xf numFmtId="0" fontId="2" fillId="27" borderId="38" xfId="0" applyFont="1" applyFill="1" applyBorder="1" applyAlignment="1" applyProtection="1">
      <alignment horizontal="right"/>
    </xf>
    <xf numFmtId="0" fontId="2" fillId="27" borderId="32" xfId="0" applyFont="1" applyFill="1" applyBorder="1" applyAlignment="1" applyProtection="1">
      <alignment horizontal="right"/>
    </xf>
    <xf numFmtId="0" fontId="2" fillId="27" borderId="68" xfId="0" applyFont="1" applyFill="1" applyBorder="1" applyAlignment="1" applyProtection="1">
      <alignment horizontal="left"/>
    </xf>
    <xf numFmtId="0" fontId="2" fillId="27" borderId="49" xfId="0" applyFont="1" applyFill="1" applyBorder="1" applyAlignment="1" applyProtection="1">
      <alignment horizontal="left"/>
    </xf>
    <xf numFmtId="0" fontId="2" fillId="27" borderId="21" xfId="0" applyFont="1" applyFill="1" applyBorder="1" applyAlignment="1" applyProtection="1">
      <alignment horizontal="left"/>
    </xf>
    <xf numFmtId="0" fontId="2" fillId="27" borderId="38" xfId="0" applyFont="1" applyFill="1" applyBorder="1" applyAlignment="1" applyProtection="1">
      <alignment horizontal="left"/>
    </xf>
    <xf numFmtId="0" fontId="2" fillId="27" borderId="32" xfId="0" applyFont="1" applyFill="1" applyBorder="1" applyAlignment="1" applyProtection="1">
      <alignment horizontal="left"/>
    </xf>
    <xf numFmtId="0" fontId="2" fillId="27" borderId="45" xfId="0" applyFont="1" applyFill="1" applyBorder="1" applyAlignment="1" applyProtection="1">
      <alignment horizontal="left"/>
    </xf>
    <xf numFmtId="0" fontId="2" fillId="27" borderId="24" xfId="0" applyFont="1" applyFill="1" applyBorder="1" applyAlignment="1" applyProtection="1">
      <alignment horizontal="left"/>
    </xf>
    <xf numFmtId="0" fontId="2" fillId="27" borderId="23" xfId="0" applyFont="1" applyFill="1" applyBorder="1" applyAlignment="1" applyProtection="1">
      <alignment horizontal="left"/>
    </xf>
    <xf numFmtId="0" fontId="2" fillId="27" borderId="68" xfId="0" applyFont="1" applyFill="1" applyBorder="1" applyAlignment="1" applyProtection="1">
      <alignment horizontal="left" vertical="center"/>
    </xf>
    <xf numFmtId="0" fontId="2" fillId="27" borderId="69" xfId="0" applyFont="1" applyFill="1" applyBorder="1" applyAlignment="1" applyProtection="1">
      <alignment horizontal="left"/>
    </xf>
    <xf numFmtId="0" fontId="2" fillId="27" borderId="63" xfId="0" applyFont="1" applyFill="1" applyBorder="1" applyAlignment="1" applyProtection="1">
      <alignment horizontal="left"/>
    </xf>
    <xf numFmtId="0" fontId="2" fillId="27" borderId="45" xfId="0" applyFont="1" applyFill="1" applyBorder="1" applyAlignment="1" applyProtection="1">
      <alignment horizontal="left" vertical="center"/>
    </xf>
    <xf numFmtId="0" fontId="2" fillId="27" borderId="23" xfId="0" applyFont="1" applyFill="1" applyBorder="1" applyAlignment="1" applyProtection="1">
      <alignment horizontal="left" vertical="center"/>
    </xf>
    <xf numFmtId="0" fontId="2" fillId="27" borderId="57" xfId="0" applyFont="1" applyFill="1" applyBorder="1" applyAlignment="1" applyProtection="1">
      <alignment horizontal="center"/>
    </xf>
    <xf numFmtId="0" fontId="2" fillId="27" borderId="29" xfId="0" applyFont="1" applyFill="1" applyBorder="1" applyAlignment="1" applyProtection="1">
      <alignment horizontal="center"/>
    </xf>
    <xf numFmtId="0" fontId="2" fillId="27" borderId="72" xfId="0" applyFont="1" applyFill="1" applyBorder="1" applyAlignment="1" applyProtection="1">
      <alignment horizontal="center"/>
    </xf>
    <xf numFmtId="0" fontId="2" fillId="27" borderId="32" xfId="0" applyFont="1" applyFill="1" applyBorder="1" applyAlignment="1" applyProtection="1">
      <alignment horizontal="center"/>
    </xf>
    <xf numFmtId="0" fontId="8" fillId="27" borderId="10" xfId="0" applyFont="1" applyFill="1" applyBorder="1" applyAlignment="1" applyProtection="1">
      <alignment horizontal="left"/>
    </xf>
    <xf numFmtId="178" fontId="2" fillId="27" borderId="12" xfId="0" applyNumberFormat="1" applyFont="1" applyFill="1" applyBorder="1" applyAlignment="1" applyProtection="1">
      <alignment horizontal="center"/>
    </xf>
    <xf numFmtId="178" fontId="2" fillId="27" borderId="13" xfId="0" applyNumberFormat="1" applyFont="1" applyFill="1" applyBorder="1" applyAlignment="1" applyProtection="1">
      <alignment horizontal="center"/>
    </xf>
    <xf numFmtId="0" fontId="2" fillId="27" borderId="71" xfId="0" applyFont="1" applyFill="1" applyBorder="1" applyAlignment="1" applyProtection="1">
      <alignment horizontal="center"/>
    </xf>
    <xf numFmtId="0" fontId="2" fillId="27" borderId="55" xfId="0" applyFont="1" applyFill="1" applyBorder="1" applyAlignment="1" applyProtection="1">
      <alignment horizontal="center"/>
    </xf>
    <xf numFmtId="0" fontId="2" fillId="27" borderId="56" xfId="0" applyFont="1" applyFill="1" applyBorder="1" applyAlignment="1" applyProtection="1">
      <alignment horizontal="center"/>
    </xf>
    <xf numFmtId="0" fontId="2" fillId="27" borderId="21" xfId="0" applyFont="1" applyFill="1" applyBorder="1" applyAlignment="1" applyProtection="1">
      <alignment horizontal="center"/>
    </xf>
    <xf numFmtId="0" fontId="2" fillId="27" borderId="33" xfId="0" applyFont="1" applyFill="1" applyBorder="1" applyAlignment="1" applyProtection="1">
      <alignment horizontal="center" vertical="center" wrapText="1"/>
    </xf>
    <xf numFmtId="0" fontId="2" fillId="27" borderId="10" xfId="0" applyFont="1" applyFill="1" applyBorder="1" applyAlignment="1" applyProtection="1">
      <alignment horizontal="center" vertical="center" wrapText="1"/>
    </xf>
    <xf numFmtId="0" fontId="2" fillId="27" borderId="38" xfId="0" applyFont="1" applyFill="1" applyBorder="1" applyAlignment="1" applyProtection="1">
      <alignment horizontal="center"/>
    </xf>
    <xf numFmtId="0" fontId="2" fillId="27" borderId="11" xfId="0" applyFont="1" applyFill="1" applyBorder="1" applyAlignment="1" applyProtection="1">
      <alignment horizontal="center" vertical="center" wrapText="1"/>
    </xf>
    <xf numFmtId="3" fontId="0" fillId="26" borderId="0" xfId="0" applyNumberFormat="1" applyFill="1" applyAlignment="1" applyProtection="1">
      <alignment horizontal="center"/>
    </xf>
    <xf numFmtId="172" fontId="2" fillId="0" borderId="10" xfId="0" applyNumberFormat="1" applyFont="1" applyBorder="1" applyAlignment="1" applyProtection="1">
      <alignment horizontal="center" vertical="center"/>
    </xf>
    <xf numFmtId="2" fontId="2" fillId="0" borderId="10" xfId="0" applyNumberFormat="1" applyFont="1" applyBorder="1" applyAlignment="1" applyProtection="1">
      <alignment horizontal="center" vertical="center"/>
    </xf>
    <xf numFmtId="0" fontId="2" fillId="0" borderId="21" xfId="0" applyFont="1" applyBorder="1" applyAlignment="1" applyProtection="1">
      <alignment horizontal="left" vertical="center"/>
    </xf>
    <xf numFmtId="0" fontId="2" fillId="0" borderId="21" xfId="0" applyFont="1" applyBorder="1" applyAlignment="1" applyProtection="1">
      <alignment horizontal="left" vertical="center" wrapText="1"/>
    </xf>
    <xf numFmtId="0" fontId="2" fillId="26" borderId="0" xfId="0" applyFont="1" applyFill="1" applyAlignment="1">
      <alignment horizontal="center"/>
    </xf>
    <xf numFmtId="0" fontId="2" fillId="30" borderId="10" xfId="0" applyFont="1" applyFill="1" applyBorder="1" applyAlignment="1" applyProtection="1">
      <alignment horizontal="center" vertical="center" wrapText="1"/>
    </xf>
    <xf numFmtId="0" fontId="2" fillId="27" borderId="21" xfId="0" applyFont="1" applyFill="1" applyBorder="1" applyAlignment="1">
      <alignment horizontal="right" vertical="center"/>
    </xf>
    <xf numFmtId="0" fontId="2" fillId="27" borderId="38" xfId="0" applyFont="1" applyFill="1" applyBorder="1" applyAlignment="1">
      <alignment horizontal="right" vertical="center"/>
    </xf>
    <xf numFmtId="0" fontId="2" fillId="27" borderId="32" xfId="0" applyFont="1" applyFill="1" applyBorder="1" applyAlignment="1">
      <alignment horizontal="right" vertical="center"/>
    </xf>
    <xf numFmtId="0" fontId="2" fillId="28" borderId="10" xfId="0" applyFont="1" applyFill="1" applyBorder="1" applyAlignment="1" applyProtection="1">
      <alignment horizontal="center" vertical="center" wrapText="1"/>
    </xf>
    <xf numFmtId="0" fontId="2" fillId="29" borderId="10" xfId="0" applyFont="1" applyFill="1" applyBorder="1" applyAlignment="1" applyProtection="1">
      <alignment horizontal="center" vertical="center" wrapText="1"/>
    </xf>
    <xf numFmtId="0" fontId="14" fillId="0" borderId="45" xfId="0" applyFont="1" applyBorder="1" applyAlignment="1">
      <alignment horizontal="center" vertical="center"/>
    </xf>
    <xf numFmtId="0" fontId="14" fillId="0" borderId="24" xfId="0" applyFont="1" applyBorder="1" applyAlignment="1">
      <alignment horizontal="center" vertical="center"/>
    </xf>
    <xf numFmtId="0" fontId="14" fillId="0" borderId="23" xfId="0" applyFont="1" applyBorder="1" applyAlignment="1">
      <alignment horizontal="center" vertical="center"/>
    </xf>
    <xf numFmtId="0" fontId="14" fillId="0" borderId="46" xfId="0" applyFont="1" applyBorder="1" applyAlignment="1">
      <alignment horizontal="center" vertical="center"/>
    </xf>
    <xf numFmtId="0" fontId="14" fillId="0" borderId="25" xfId="0" applyFont="1" applyBorder="1" applyAlignment="1">
      <alignment horizontal="center" vertical="center"/>
    </xf>
    <xf numFmtId="0" fontId="14" fillId="0" borderId="26" xfId="0" applyFont="1" applyBorder="1" applyAlignment="1">
      <alignment horizontal="center" vertical="center"/>
    </xf>
    <xf numFmtId="0" fontId="2" fillId="27" borderId="71" xfId="0" applyFont="1" applyFill="1" applyBorder="1" applyAlignment="1" applyProtection="1">
      <alignment horizontal="center" vertical="top" wrapText="1"/>
    </xf>
    <xf numFmtId="0" fontId="2" fillId="27" borderId="56" xfId="0" applyFont="1" applyFill="1" applyBorder="1" applyAlignment="1" applyProtection="1">
      <alignment horizontal="center" vertical="top" wrapText="1"/>
    </xf>
    <xf numFmtId="0" fontId="2" fillId="27" borderId="33" xfId="0" applyFont="1" applyFill="1" applyBorder="1" applyAlignment="1" applyProtection="1">
      <alignment horizontal="center" vertical="top" wrapText="1"/>
    </xf>
    <xf numFmtId="0" fontId="2" fillId="27" borderId="11" xfId="0" applyFont="1" applyFill="1" applyBorder="1" applyAlignment="1" applyProtection="1">
      <alignment horizontal="center" vertical="top" wrapText="1"/>
    </xf>
    <xf numFmtId="0" fontId="2" fillId="28" borderId="74" xfId="0" applyFont="1" applyFill="1" applyBorder="1" applyAlignment="1" applyProtection="1">
      <alignment horizontal="center" vertical="top" wrapText="1"/>
    </xf>
    <xf numFmtId="0" fontId="2" fillId="28" borderId="75" xfId="0" applyFont="1" applyFill="1" applyBorder="1" applyAlignment="1" applyProtection="1">
      <alignment horizontal="center" vertical="top" wrapText="1"/>
    </xf>
    <xf numFmtId="0" fontId="2" fillId="28" borderId="32" xfId="0" applyFont="1" applyFill="1" applyBorder="1" applyAlignment="1" applyProtection="1">
      <alignment horizontal="center" vertical="top" wrapText="1"/>
    </xf>
    <xf numFmtId="0" fontId="2" fillId="28" borderId="21" xfId="0" applyFont="1" applyFill="1" applyBorder="1" applyAlignment="1" applyProtection="1">
      <alignment horizontal="center" vertical="top" wrapText="1"/>
    </xf>
    <xf numFmtId="0" fontId="2" fillId="29" borderId="71" xfId="0" applyFont="1" applyFill="1" applyBorder="1" applyAlignment="1" applyProtection="1">
      <alignment horizontal="center" vertical="top" wrapText="1"/>
    </xf>
    <xf numFmtId="0" fontId="2" fillId="29" borderId="56" xfId="0" applyFont="1" applyFill="1" applyBorder="1" applyAlignment="1" applyProtection="1">
      <alignment horizontal="center" vertical="top" wrapText="1"/>
    </xf>
    <xf numFmtId="0" fontId="2" fillId="29" borderId="33" xfId="0" applyFont="1" applyFill="1" applyBorder="1" applyAlignment="1" applyProtection="1">
      <alignment horizontal="center" vertical="top" wrapText="1"/>
    </xf>
    <xf numFmtId="0" fontId="2" fillId="29" borderId="11" xfId="0" applyFont="1" applyFill="1" applyBorder="1" applyAlignment="1" applyProtection="1">
      <alignment horizontal="center" vertical="top" wrapText="1"/>
    </xf>
    <xf numFmtId="0" fontId="2" fillId="30" borderId="74" xfId="0" applyFont="1" applyFill="1" applyBorder="1" applyAlignment="1" applyProtection="1">
      <alignment horizontal="center" vertical="top" wrapText="1"/>
    </xf>
    <xf numFmtId="0" fontId="2" fillId="30" borderId="56" xfId="0" applyFont="1" applyFill="1" applyBorder="1" applyAlignment="1" applyProtection="1">
      <alignment horizontal="center" vertical="top" wrapText="1"/>
    </xf>
    <xf numFmtId="0" fontId="2" fillId="30" borderId="32" xfId="0" applyFont="1" applyFill="1" applyBorder="1" applyAlignment="1" applyProtection="1">
      <alignment horizontal="center" vertical="top" wrapText="1"/>
    </xf>
    <xf numFmtId="0" fontId="2" fillId="30" borderId="11" xfId="0" applyFont="1" applyFill="1" applyBorder="1" applyAlignment="1" applyProtection="1">
      <alignment horizontal="center" vertical="top" wrapText="1"/>
    </xf>
    <xf numFmtId="0" fontId="2" fillId="0" borderId="21" xfId="0" applyFont="1" applyBorder="1" applyAlignment="1" applyProtection="1">
      <alignment horizontal="left" vertical="top"/>
    </xf>
    <xf numFmtId="3" fontId="2" fillId="0" borderId="33" xfId="0" applyNumberFormat="1" applyFont="1" applyBorder="1" applyAlignment="1" applyProtection="1">
      <alignment horizontal="center" vertical="center"/>
    </xf>
    <xf numFmtId="3" fontId="2" fillId="0" borderId="11" xfId="0" applyNumberFormat="1" applyFont="1" applyBorder="1" applyAlignment="1" applyProtection="1">
      <alignment horizontal="center" vertical="center"/>
    </xf>
    <xf numFmtId="0" fontId="16" fillId="0" borderId="0" xfId="0" applyFont="1" applyFill="1" applyBorder="1" applyAlignment="1" applyProtection="1">
      <alignment horizontal="left" vertical="center" wrapText="1"/>
    </xf>
    <xf numFmtId="0" fontId="16" fillId="0" borderId="18" xfId="0" applyFont="1" applyFill="1" applyBorder="1" applyAlignment="1" applyProtection="1">
      <alignment horizontal="left" vertical="center" wrapText="1"/>
    </xf>
    <xf numFmtId="0" fontId="2" fillId="24" borderId="12" xfId="0" applyFont="1" applyFill="1" applyBorder="1" applyAlignment="1" applyProtection="1">
      <alignment horizontal="center" vertical="center"/>
    </xf>
    <xf numFmtId="0" fontId="2" fillId="24" borderId="14" xfId="0" applyFont="1" applyFill="1" applyBorder="1" applyAlignment="1" applyProtection="1">
      <alignment horizontal="center" vertical="center"/>
    </xf>
    <xf numFmtId="0" fontId="16" fillId="0" borderId="0" xfId="0" applyFont="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8" xfId="0" applyFont="1" applyBorder="1" applyAlignment="1" applyProtection="1">
      <alignment horizontal="center" vertical="center" wrapText="1"/>
    </xf>
    <xf numFmtId="0" fontId="2" fillId="0" borderId="33"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28" borderId="71" xfId="0" applyFont="1" applyFill="1" applyBorder="1" applyAlignment="1" applyProtection="1">
      <alignment horizontal="center" vertical="top" wrapText="1"/>
    </xf>
    <xf numFmtId="0" fontId="2" fillId="28" borderId="56" xfId="0" applyFont="1" applyFill="1" applyBorder="1" applyAlignment="1" applyProtection="1">
      <alignment horizontal="center" vertical="top" wrapText="1"/>
    </xf>
    <xf numFmtId="0" fontId="2" fillId="28" borderId="33" xfId="0" applyFont="1" applyFill="1" applyBorder="1" applyAlignment="1" applyProtection="1">
      <alignment horizontal="center" vertical="top" wrapText="1"/>
    </xf>
    <xf numFmtId="0" fontId="2" fillId="28" borderId="11" xfId="0" applyFont="1" applyFill="1" applyBorder="1" applyAlignment="1" applyProtection="1">
      <alignment horizontal="center" vertical="top" wrapText="1"/>
    </xf>
    <xf numFmtId="0" fontId="2" fillId="0" borderId="73" xfId="0" applyFont="1" applyBorder="1" applyAlignment="1" applyProtection="1">
      <alignment horizontal="center" vertical="center"/>
    </xf>
    <xf numFmtId="0" fontId="2" fillId="0" borderId="67" xfId="0" applyFont="1" applyBorder="1" applyAlignment="1" applyProtection="1">
      <alignment horizontal="center" vertical="center"/>
    </xf>
    <xf numFmtId="2" fontId="2" fillId="0" borderId="33" xfId="0" applyNumberFormat="1" applyFont="1" applyBorder="1" applyAlignment="1" applyProtection="1">
      <alignment horizontal="center" vertical="center"/>
    </xf>
    <xf numFmtId="2" fontId="2" fillId="0" borderId="11" xfId="0" applyNumberFormat="1" applyFont="1" applyBorder="1" applyAlignment="1" applyProtection="1">
      <alignment horizontal="center" vertical="center"/>
    </xf>
    <xf numFmtId="0" fontId="2" fillId="0" borderId="12" xfId="0" applyFont="1" applyFill="1" applyBorder="1" applyAlignment="1" applyProtection="1">
      <alignment horizontal="center" vertical="center"/>
    </xf>
    <xf numFmtId="0" fontId="2" fillId="0" borderId="14" xfId="0" applyFont="1" applyFill="1" applyBorder="1" applyAlignment="1" applyProtection="1">
      <alignment horizontal="center" vertical="center"/>
    </xf>
    <xf numFmtId="0" fontId="2" fillId="30" borderId="71" xfId="0" applyFont="1" applyFill="1" applyBorder="1" applyAlignment="1" applyProtection="1">
      <alignment horizontal="center" vertical="top" wrapText="1"/>
    </xf>
    <xf numFmtId="0" fontId="2" fillId="30" borderId="33" xfId="0" applyFont="1" applyFill="1" applyBorder="1" applyAlignment="1" applyProtection="1">
      <alignment horizontal="center" vertical="top" wrapText="1"/>
    </xf>
    <xf numFmtId="0" fontId="2" fillId="0" borderId="71" xfId="0" applyFont="1" applyBorder="1" applyAlignment="1" applyProtection="1">
      <alignment horizontal="center" vertical="top" wrapText="1"/>
    </xf>
    <xf numFmtId="0" fontId="2" fillId="0" borderId="56" xfId="0" applyFont="1" applyBorder="1" applyAlignment="1" applyProtection="1">
      <alignment horizontal="center" vertical="top" wrapText="1"/>
    </xf>
    <xf numFmtId="0" fontId="2" fillId="0" borderId="33" xfId="0" applyFont="1" applyBorder="1" applyAlignment="1" applyProtection="1">
      <alignment horizontal="center" vertical="top" wrapText="1"/>
    </xf>
    <xf numFmtId="0" fontId="2" fillId="0" borderId="11" xfId="0" applyFont="1" applyBorder="1" applyAlignment="1" applyProtection="1">
      <alignment horizontal="center" vertical="top" wrapText="1"/>
    </xf>
    <xf numFmtId="0" fontId="2" fillId="27" borderId="21" xfId="0" applyFont="1" applyFill="1" applyBorder="1" applyAlignment="1" applyProtection="1">
      <alignment horizontal="center" vertical="center"/>
    </xf>
    <xf numFmtId="0" fontId="2" fillId="27" borderId="32" xfId="0" applyFont="1" applyFill="1" applyBorder="1" applyAlignment="1" applyProtection="1">
      <alignment horizontal="center" vertical="center"/>
    </xf>
    <xf numFmtId="0" fontId="3" fillId="0" borderId="61" xfId="0" applyFont="1" applyFill="1" applyBorder="1" applyAlignment="1">
      <alignment horizontal="left" vertical="center"/>
    </xf>
    <xf numFmtId="0" fontId="3" fillId="0" borderId="39" xfId="0" applyFont="1" applyFill="1" applyBorder="1" applyAlignment="1">
      <alignment horizontal="left" vertical="center"/>
    </xf>
    <xf numFmtId="0" fontId="3" fillId="0" borderId="40" xfId="0" applyFont="1" applyFill="1" applyBorder="1" applyAlignment="1">
      <alignment horizontal="left" vertical="center"/>
    </xf>
    <xf numFmtId="0" fontId="3" fillId="0" borderId="10" xfId="0" applyFont="1" applyFill="1" applyBorder="1" applyAlignment="1">
      <alignment horizontal="left" vertical="center"/>
    </xf>
    <xf numFmtId="0" fontId="3" fillId="0" borderId="21" xfId="0" applyFont="1" applyFill="1" applyBorder="1" applyAlignment="1">
      <alignment horizontal="center" vertical="center"/>
    </xf>
    <xf numFmtId="0" fontId="3" fillId="0" borderId="38" xfId="0" applyFont="1" applyFill="1" applyBorder="1" applyAlignment="1">
      <alignment horizontal="center" vertical="center"/>
    </xf>
    <xf numFmtId="0" fontId="3" fillId="0" borderId="32" xfId="0" applyFont="1" applyFill="1" applyBorder="1" applyAlignment="1">
      <alignment horizontal="center" vertical="center"/>
    </xf>
    <xf numFmtId="0" fontId="7" fillId="0" borderId="10" xfId="0" applyFont="1" applyBorder="1" applyAlignment="1">
      <alignment horizontal="left" vertical="center"/>
    </xf>
    <xf numFmtId="0" fontId="3" fillId="0" borderId="21" xfId="0" applyFont="1" applyFill="1" applyBorder="1" applyAlignment="1">
      <alignment horizontal="left" vertical="center"/>
    </xf>
    <xf numFmtId="0" fontId="3" fillId="0" borderId="38" xfId="0" applyFont="1" applyFill="1" applyBorder="1" applyAlignment="1">
      <alignment horizontal="left" vertical="center"/>
    </xf>
    <xf numFmtId="0" fontId="3" fillId="0" borderId="32" xfId="0" applyFont="1" applyFill="1" applyBorder="1" applyAlignment="1">
      <alignment horizontal="left" vertical="center"/>
    </xf>
    <xf numFmtId="0" fontId="3" fillId="0" borderId="10" xfId="0" applyFont="1" applyBorder="1" applyAlignment="1">
      <alignment horizontal="left" vertical="center"/>
    </xf>
    <xf numFmtId="0" fontId="7" fillId="0" borderId="21" xfId="0" applyFont="1" applyBorder="1" applyAlignment="1">
      <alignment horizontal="left" vertical="center"/>
    </xf>
    <xf numFmtId="0" fontId="7" fillId="0" borderId="38" xfId="0" applyFont="1" applyBorder="1" applyAlignment="1">
      <alignment horizontal="left" vertical="center"/>
    </xf>
    <xf numFmtId="0" fontId="7" fillId="0" borderId="32" xfId="0" applyFont="1" applyBorder="1" applyAlignment="1">
      <alignment horizontal="left" vertical="center"/>
    </xf>
    <xf numFmtId="0" fontId="3" fillId="29" borderId="10" xfId="0" applyFont="1" applyFill="1" applyBorder="1" applyAlignment="1">
      <alignment horizontal="left" vertical="center"/>
    </xf>
    <xf numFmtId="0" fontId="3" fillId="0" borderId="61" xfId="0" applyFont="1" applyBorder="1" applyAlignment="1">
      <alignment horizontal="center" vertical="center"/>
    </xf>
    <xf numFmtId="0" fontId="3" fillId="0" borderId="39" xfId="0" applyFont="1" applyBorder="1" applyAlignment="1">
      <alignment horizontal="center" vertical="center"/>
    </xf>
    <xf numFmtId="0" fontId="3" fillId="0" borderId="40" xfId="0" applyFont="1" applyBorder="1" applyAlignment="1">
      <alignment horizontal="center" vertical="center"/>
    </xf>
    <xf numFmtId="0" fontId="3" fillId="0" borderId="62" xfId="0" applyFont="1" applyBorder="1" applyAlignment="1">
      <alignment horizontal="center" vertical="center"/>
    </xf>
    <xf numFmtId="0" fontId="3" fillId="0" borderId="18" xfId="0" applyFont="1" applyBorder="1" applyAlignment="1">
      <alignment horizontal="center" vertical="center"/>
    </xf>
    <xf numFmtId="0" fontId="3" fillId="0" borderId="54" xfId="0" applyFont="1" applyBorder="1" applyAlignment="1">
      <alignment horizontal="center" vertical="center"/>
    </xf>
    <xf numFmtId="0" fontId="3" fillId="27" borderId="61" xfId="0" applyFont="1" applyFill="1" applyBorder="1" applyAlignment="1">
      <alignment horizontal="center" vertical="center" wrapText="1"/>
    </xf>
    <xf numFmtId="0" fontId="3" fillId="27" borderId="62" xfId="0" applyFont="1" applyFill="1" applyBorder="1" applyAlignment="1">
      <alignment horizontal="center" vertical="center" wrapText="1"/>
    </xf>
    <xf numFmtId="0" fontId="10" fillId="0" borderId="0" xfId="0" applyFont="1" applyAlignment="1">
      <alignment horizontal="left" vertical="center"/>
    </xf>
    <xf numFmtId="0" fontId="3" fillId="0" borderId="0" xfId="0" applyFont="1" applyAlignment="1">
      <alignment horizontal="left" vertical="center"/>
    </xf>
    <xf numFmtId="0" fontId="3" fillId="0" borderId="61"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62"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10" xfId="0" applyFont="1" applyBorder="1" applyAlignment="1">
      <alignment horizontal="center" vertical="center"/>
    </xf>
    <xf numFmtId="0" fontId="3" fillId="28" borderId="61" xfId="0" applyFont="1" applyFill="1" applyBorder="1" applyAlignment="1">
      <alignment horizontal="center" vertical="center" wrapText="1"/>
    </xf>
    <xf numFmtId="0" fontId="3" fillId="28" borderId="62" xfId="0" applyFont="1" applyFill="1" applyBorder="1" applyAlignment="1">
      <alignment horizontal="center" vertical="center" wrapText="1"/>
    </xf>
    <xf numFmtId="0" fontId="3" fillId="29" borderId="61" xfId="0" applyFont="1" applyFill="1" applyBorder="1" applyAlignment="1">
      <alignment horizontal="center" vertical="center" wrapText="1"/>
    </xf>
    <xf numFmtId="0" fontId="3" fillId="29" borderId="62" xfId="0" applyFont="1" applyFill="1" applyBorder="1" applyAlignment="1">
      <alignment horizontal="center" vertical="center" wrapText="1"/>
    </xf>
    <xf numFmtId="0" fontId="3" fillId="30" borderId="63" xfId="0" applyFont="1" applyFill="1" applyBorder="1" applyAlignment="1">
      <alignment horizontal="center" vertical="center" wrapText="1"/>
    </xf>
    <xf numFmtId="0" fontId="3" fillId="30" borderId="4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56"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64" xfId="0" applyFont="1" applyFill="1" applyBorder="1" applyAlignment="1">
      <alignment horizontal="center" vertical="center"/>
    </xf>
    <xf numFmtId="0" fontId="3" fillId="0" borderId="65" xfId="0" applyFont="1" applyFill="1" applyBorder="1" applyAlignment="1">
      <alignment horizontal="center" vertical="center"/>
    </xf>
    <xf numFmtId="0" fontId="3" fillId="0" borderId="66" xfId="0" applyFont="1" applyFill="1" applyBorder="1" applyAlignment="1">
      <alignment horizontal="center" vertical="center"/>
    </xf>
    <xf numFmtId="0" fontId="3" fillId="0" borderId="55"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15"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50" xfId="0" applyFont="1" applyFill="1" applyBorder="1" applyAlignment="1">
      <alignment horizontal="center" vertical="center"/>
    </xf>
    <xf numFmtId="0" fontId="3" fillId="0" borderId="51" xfId="0" applyFont="1" applyFill="1" applyBorder="1" applyAlignment="1">
      <alignment horizontal="center" vertical="center"/>
    </xf>
    <xf numFmtId="0" fontId="3" fillId="0" borderId="52" xfId="0" applyFont="1" applyFill="1" applyBorder="1" applyAlignment="1">
      <alignment horizontal="center" vertical="center"/>
    </xf>
    <xf numFmtId="0" fontId="3" fillId="0" borderId="53" xfId="0" applyFont="1" applyFill="1" applyBorder="1" applyAlignment="1">
      <alignment horizontal="center" vertical="center"/>
    </xf>
    <xf numFmtId="0" fontId="3" fillId="0" borderId="54" xfId="0" applyFont="1" applyFill="1" applyBorder="1" applyAlignment="1">
      <alignment horizontal="center" vertical="center"/>
    </xf>
    <xf numFmtId="0" fontId="3" fillId="27" borderId="10" xfId="0" applyFont="1" applyFill="1" applyBorder="1" applyAlignment="1">
      <alignment horizontal="left" vertical="center"/>
    </xf>
    <xf numFmtId="0" fontId="3" fillId="28" borderId="65" xfId="0" applyFont="1" applyFill="1" applyBorder="1" applyAlignment="1">
      <alignment horizontal="left" vertical="center"/>
    </xf>
    <xf numFmtId="0" fontId="3" fillId="0" borderId="41" xfId="0" applyFont="1" applyFill="1" applyBorder="1" applyAlignment="1">
      <alignment horizontal="center" vertical="center"/>
    </xf>
    <xf numFmtId="0" fontId="3" fillId="0" borderId="36" xfId="0" applyFont="1" applyFill="1" applyBorder="1" applyAlignment="1">
      <alignment horizontal="center" vertical="center"/>
    </xf>
    <xf numFmtId="0" fontId="3" fillId="0" borderId="37" xfId="0" applyFont="1" applyFill="1" applyBorder="1" applyAlignment="1">
      <alignment horizontal="center" vertical="center"/>
    </xf>
    <xf numFmtId="0" fontId="3" fillId="0" borderId="10" xfId="0" applyFont="1" applyBorder="1" applyAlignment="1">
      <alignment horizontal="center" vertical="center" wrapText="1"/>
    </xf>
    <xf numFmtId="0" fontId="48" fillId="0" borderId="0" xfId="0" applyFont="1" applyAlignment="1">
      <alignment horizontal="left" vertical="center" wrapText="1"/>
    </xf>
    <xf numFmtId="0" fontId="3" fillId="0" borderId="61" xfId="0" applyFont="1" applyFill="1" applyBorder="1" applyAlignment="1">
      <alignment horizontal="center" vertical="center"/>
    </xf>
    <xf numFmtId="0" fontId="3" fillId="0" borderId="39" xfId="0" applyFont="1" applyFill="1" applyBorder="1" applyAlignment="1">
      <alignment horizontal="center" vertical="center"/>
    </xf>
    <xf numFmtId="0" fontId="3" fillId="0" borderId="40" xfId="0" applyFont="1" applyFill="1" applyBorder="1" applyAlignment="1">
      <alignment horizontal="center" vertical="center"/>
    </xf>
    <xf numFmtId="0" fontId="3" fillId="0" borderId="62" xfId="0" applyFont="1" applyFill="1" applyBorder="1" applyAlignment="1">
      <alignment horizontal="center" vertical="center"/>
    </xf>
    <xf numFmtId="0" fontId="3" fillId="0" borderId="18" xfId="0" applyFont="1" applyFill="1" applyBorder="1" applyAlignment="1">
      <alignment horizontal="center" vertical="center"/>
    </xf>
    <xf numFmtId="3" fontId="3" fillId="0" borderId="10" xfId="0" applyNumberFormat="1" applyFont="1" applyBorder="1" applyAlignment="1">
      <alignment horizontal="center" vertical="center"/>
    </xf>
    <xf numFmtId="0" fontId="3" fillId="0" borderId="10" xfId="0" applyFont="1" applyBorder="1" applyAlignment="1">
      <alignment horizontal="left" vertical="center" wrapText="1"/>
    </xf>
    <xf numFmtId="0" fontId="3" fillId="30" borderId="10" xfId="0" applyFont="1" applyFill="1" applyBorder="1" applyAlignment="1">
      <alignment horizontal="left" vertical="center"/>
    </xf>
    <xf numFmtId="0" fontId="3" fillId="28" borderId="10" xfId="0" applyFont="1" applyFill="1" applyBorder="1" applyAlignment="1">
      <alignment horizontal="left" vertical="center"/>
    </xf>
    <xf numFmtId="0" fontId="3" fillId="28" borderId="63" xfId="0" applyFont="1" applyFill="1" applyBorder="1" applyAlignment="1">
      <alignment horizontal="center" vertical="center" wrapText="1"/>
    </xf>
    <xf numFmtId="0" fontId="3" fillId="28" borderId="49" xfId="0" applyFont="1" applyFill="1" applyBorder="1" applyAlignment="1">
      <alignment horizontal="center" vertical="center" wrapText="1"/>
    </xf>
    <xf numFmtId="0" fontId="3" fillId="29" borderId="63" xfId="0" applyFont="1" applyFill="1" applyBorder="1" applyAlignment="1">
      <alignment horizontal="center" vertical="center" wrapText="1"/>
    </xf>
    <xf numFmtId="0" fontId="3" fillId="29" borderId="49" xfId="0" applyFont="1" applyFill="1" applyBorder="1" applyAlignment="1">
      <alignment horizontal="center" vertical="center" wrapText="1"/>
    </xf>
    <xf numFmtId="0" fontId="3" fillId="27" borderId="63" xfId="0" applyFont="1" applyFill="1" applyBorder="1" applyAlignment="1">
      <alignment horizontal="center" vertical="center" wrapText="1"/>
    </xf>
    <xf numFmtId="0" fontId="3" fillId="27" borderId="49" xfId="0" applyFont="1" applyFill="1" applyBorder="1" applyAlignment="1">
      <alignment horizontal="center" vertical="center" wrapText="1"/>
    </xf>
    <xf numFmtId="0" fontId="3" fillId="27" borderId="21" xfId="0" applyFont="1" applyFill="1" applyBorder="1" applyAlignment="1">
      <alignment horizontal="left" vertical="center"/>
    </xf>
    <xf numFmtId="0" fontId="3" fillId="27" borderId="38" xfId="0" applyFont="1" applyFill="1" applyBorder="1" applyAlignment="1">
      <alignment horizontal="left" vertical="center"/>
    </xf>
    <xf numFmtId="0" fontId="3" fillId="27" borderId="32" xfId="0" applyFont="1" applyFill="1" applyBorder="1" applyAlignment="1">
      <alignment horizontal="left" vertical="center"/>
    </xf>
    <xf numFmtId="0" fontId="3" fillId="25" borderId="10" xfId="0" applyFont="1" applyFill="1" applyBorder="1" applyAlignment="1">
      <alignment horizontal="center" vertical="center"/>
    </xf>
    <xf numFmtId="0" fontId="3" fillId="0" borderId="61"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62"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0" borderId="10" xfId="0" applyFont="1" applyFill="1" applyBorder="1" applyAlignment="1">
      <alignment horizontal="center" vertical="center"/>
    </xf>
    <xf numFmtId="0" fontId="48" fillId="0" borderId="61" xfId="0" applyFont="1" applyBorder="1" applyAlignment="1">
      <alignment horizontal="left" vertical="center" wrapText="1"/>
    </xf>
    <xf numFmtId="0" fontId="48" fillId="0" borderId="39" xfId="0" applyFont="1" applyBorder="1" applyAlignment="1">
      <alignment horizontal="left" vertical="center" wrapText="1"/>
    </xf>
    <xf numFmtId="0" fontId="48" fillId="0" borderId="62" xfId="0" applyFont="1" applyBorder="1" applyAlignment="1">
      <alignment horizontal="left" vertical="center" wrapText="1"/>
    </xf>
    <xf numFmtId="0" fontId="48" fillId="0" borderId="18" xfId="0" applyFont="1" applyBorder="1" applyAlignment="1">
      <alignment horizontal="left" vertical="center" wrapText="1"/>
    </xf>
    <xf numFmtId="0" fontId="3" fillId="0" borderId="63" xfId="0" applyFont="1" applyBorder="1" applyAlignment="1">
      <alignment horizontal="center" vertical="center"/>
    </xf>
    <xf numFmtId="0" fontId="3" fillId="0" borderId="17" xfId="0" applyFont="1" applyBorder="1" applyAlignment="1">
      <alignment horizontal="center" vertical="center"/>
    </xf>
    <xf numFmtId="0" fontId="3" fillId="0" borderId="49" xfId="0" applyFont="1" applyBorder="1" applyAlignment="1">
      <alignment horizontal="center" vertical="center"/>
    </xf>
    <xf numFmtId="0" fontId="3" fillId="0" borderId="21" xfId="0" applyFont="1" applyBorder="1" applyAlignment="1">
      <alignment horizontal="center" vertical="center"/>
    </xf>
    <xf numFmtId="0" fontId="3" fillId="0" borderId="32" xfId="0" applyFont="1" applyBorder="1" applyAlignment="1">
      <alignment horizontal="center" vertical="center"/>
    </xf>
    <xf numFmtId="0" fontId="3" fillId="30" borderId="10" xfId="0" applyFont="1" applyFill="1" applyBorder="1" applyAlignment="1">
      <alignment horizontal="center" vertical="center" wrapText="1"/>
    </xf>
    <xf numFmtId="0" fontId="3" fillId="27" borderId="10" xfId="0" applyFont="1" applyFill="1" applyBorder="1" applyAlignment="1">
      <alignment horizontal="center" vertical="center" wrapText="1"/>
    </xf>
    <xf numFmtId="0" fontId="3" fillId="28" borderId="10" xfId="0" applyFont="1" applyFill="1" applyBorder="1" applyAlignment="1">
      <alignment horizontal="center" vertical="center" wrapText="1"/>
    </xf>
    <xf numFmtId="0" fontId="3" fillId="29" borderId="10" xfId="0" applyFont="1" applyFill="1" applyBorder="1" applyAlignment="1">
      <alignment horizontal="center" vertical="center" wrapText="1"/>
    </xf>
    <xf numFmtId="0" fontId="3" fillId="0" borderId="10" xfId="0" applyFont="1" applyBorder="1" applyAlignment="1">
      <alignment horizontal="left" vertical="center" indent="4"/>
    </xf>
    <xf numFmtId="165" fontId="3" fillId="29" borderId="10" xfId="0" applyNumberFormat="1" applyFont="1" applyFill="1" applyBorder="1" applyAlignment="1">
      <alignment horizontal="left" vertical="center"/>
    </xf>
    <xf numFmtId="0" fontId="3" fillId="29" borderId="10" xfId="0" applyNumberFormat="1" applyFont="1" applyFill="1" applyBorder="1" applyAlignment="1">
      <alignment horizontal="left" vertical="center"/>
    </xf>
    <xf numFmtId="0" fontId="2" fillId="27" borderId="21" xfId="0" applyFont="1" applyFill="1" applyBorder="1" applyAlignment="1" applyProtection="1">
      <alignment horizontal="left" vertical="center"/>
    </xf>
    <xf numFmtId="0" fontId="2" fillId="27" borderId="38" xfId="0" applyFont="1" applyFill="1" applyBorder="1" applyAlignment="1" applyProtection="1">
      <alignment horizontal="left" vertical="center"/>
    </xf>
    <xf numFmtId="0" fontId="2" fillId="27" borderId="32" xfId="0" applyFont="1" applyFill="1" applyBorder="1" applyAlignment="1" applyProtection="1">
      <alignment horizontal="left" vertical="center"/>
    </xf>
    <xf numFmtId="0" fontId="2" fillId="27" borderId="10" xfId="0" applyFont="1" applyFill="1" applyBorder="1" applyAlignment="1" applyProtection="1">
      <alignment horizontal="center" vertical="center"/>
    </xf>
    <xf numFmtId="0" fontId="0" fillId="0" borderId="18" xfId="0" applyBorder="1" applyAlignment="1">
      <alignment horizontal="center"/>
    </xf>
    <xf numFmtId="0" fontId="0" fillId="0" borderId="10" xfId="0" applyBorder="1" applyAlignment="1">
      <alignment horizontal="center" vertical="top" wrapText="1"/>
    </xf>
    <xf numFmtId="0" fontId="39" fillId="0" borderId="76" xfId="0" applyFont="1" applyBorder="1" applyAlignment="1">
      <alignment horizontal="center" vertical="top" wrapText="1"/>
    </xf>
    <xf numFmtId="0" fontId="39" fillId="0" borderId="77" xfId="0" applyFont="1" applyBorder="1" applyAlignment="1">
      <alignment horizontal="center" vertical="top" wrapText="1"/>
    </xf>
    <xf numFmtId="0" fontId="39" fillId="0" borderId="78" xfId="0" applyFont="1" applyBorder="1" applyAlignment="1">
      <alignment horizontal="center" vertical="top" wrapText="1"/>
    </xf>
    <xf numFmtId="0" fontId="39" fillId="0" borderId="79" xfId="0" applyFont="1" applyBorder="1" applyAlignment="1">
      <alignment horizontal="center" vertical="center" wrapText="1"/>
    </xf>
    <xf numFmtId="0" fontId="39" fillId="0" borderId="0" xfId="0" applyFont="1" applyBorder="1" applyAlignment="1">
      <alignment horizontal="center" vertical="center" wrapText="1"/>
    </xf>
    <xf numFmtId="0" fontId="39" fillId="0" borderId="80" xfId="0" applyFont="1" applyBorder="1" applyAlignment="1">
      <alignment horizontal="center" vertical="center" wrapText="1"/>
    </xf>
    <xf numFmtId="0" fontId="39" fillId="0" borderId="81" xfId="0" applyFont="1" applyBorder="1" applyAlignment="1">
      <alignment horizontal="center" vertical="center" wrapText="1"/>
    </xf>
    <xf numFmtId="0" fontId="39" fillId="0" borderId="82" xfId="0" applyFont="1" applyBorder="1" applyAlignment="1">
      <alignment horizontal="center" vertical="center" wrapText="1"/>
    </xf>
    <xf numFmtId="0" fontId="39" fillId="0" borderId="83" xfId="0" applyFont="1" applyBorder="1" applyAlignment="1">
      <alignment horizontal="center" vertical="center" wrapText="1"/>
    </xf>
    <xf numFmtId="0" fontId="42" fillId="0" borderId="0" xfId="0" applyFont="1" applyAlignment="1">
      <alignment horizontal="center" vertical="top" wrapText="1"/>
    </xf>
    <xf numFmtId="0" fontId="39" fillId="0" borderId="10" xfId="0" applyFont="1" applyBorder="1" applyAlignment="1">
      <alignment horizontal="center" vertical="center" wrapText="1"/>
    </xf>
    <xf numFmtId="0" fontId="3" fillId="0" borderId="10" xfId="0" applyFont="1" applyBorder="1" applyAlignment="1">
      <alignment horizontal="center"/>
    </xf>
    <xf numFmtId="0" fontId="10" fillId="0" borderId="0" xfId="0" applyFont="1" applyAlignment="1">
      <alignment horizontal="center"/>
    </xf>
    <xf numFmtId="0" fontId="0" fillId="0" borderId="10" xfId="0" applyBorder="1" applyAlignment="1">
      <alignment horizontal="center"/>
    </xf>
    <xf numFmtId="0" fontId="0" fillId="0" borderId="10" xfId="0" applyBorder="1" applyAlignment="1">
      <alignment horizontal="center" vertical="center" wrapText="1"/>
    </xf>
    <xf numFmtId="0" fontId="4" fillId="0" borderId="0" xfId="0" applyFont="1" applyAlignment="1">
      <alignment horizontal="center"/>
    </xf>
    <xf numFmtId="0" fontId="2" fillId="0" borderId="10" xfId="37" applyFont="1" applyFill="1" applyBorder="1" applyAlignment="1">
      <alignment horizontal="center" wrapText="1"/>
    </xf>
    <xf numFmtId="0" fontId="17" fillId="0" borderId="10" xfId="37" applyFont="1" applyFill="1" applyBorder="1" applyAlignment="1">
      <alignment horizontal="center" vertical="top" wrapText="1"/>
    </xf>
    <xf numFmtId="2" fontId="2" fillId="0" borderId="21" xfId="37" quotePrefix="1" applyNumberFormat="1" applyFont="1" applyFill="1" applyBorder="1" applyAlignment="1">
      <alignment horizontal="center" vertical="center" wrapText="1"/>
    </xf>
    <xf numFmtId="2" fontId="2" fillId="0" borderId="38" xfId="37" quotePrefix="1" applyNumberFormat="1" applyFont="1" applyFill="1" applyBorder="1" applyAlignment="1">
      <alignment horizontal="center" vertical="center" wrapText="1"/>
    </xf>
    <xf numFmtId="2" fontId="2" fillId="0" borderId="32" xfId="37" quotePrefix="1" applyNumberFormat="1" applyFont="1" applyFill="1" applyBorder="1" applyAlignment="1">
      <alignment horizontal="center" vertical="center" wrapText="1"/>
    </xf>
    <xf numFmtId="0" fontId="2" fillId="0" borderId="10" xfId="0" applyFont="1" applyFill="1" applyBorder="1" applyAlignment="1" applyProtection="1">
      <alignment horizontal="left" vertical="top"/>
    </xf>
    <xf numFmtId="0" fontId="2" fillId="0" borderId="47" xfId="0" applyFont="1" applyFill="1" applyBorder="1" applyAlignment="1" applyProtection="1">
      <alignment horizontal="left"/>
    </xf>
    <xf numFmtId="0" fontId="2" fillId="0" borderId="31" xfId="0" applyFont="1" applyFill="1" applyBorder="1" applyAlignment="1" applyProtection="1">
      <alignment horizontal="left"/>
    </xf>
    <xf numFmtId="0" fontId="2" fillId="0" borderId="10" xfId="0" applyFont="1" applyFill="1" applyBorder="1" applyAlignment="1" applyProtection="1">
      <alignment horizontal="center" vertical="top"/>
    </xf>
    <xf numFmtId="0" fontId="2" fillId="0" borderId="10" xfId="0" applyFont="1" applyFill="1" applyBorder="1" applyAlignment="1" applyProtection="1">
      <alignment horizontal="center" vertical="center"/>
    </xf>
    <xf numFmtId="0" fontId="2" fillId="0" borderId="69" xfId="0" applyFont="1" applyFill="1" applyBorder="1" applyAlignment="1" applyProtection="1">
      <alignment horizontal="left"/>
    </xf>
    <xf numFmtId="0" fontId="2" fillId="0" borderId="63" xfId="0" applyFont="1" applyFill="1" applyBorder="1" applyAlignment="1" applyProtection="1">
      <alignment horizontal="left"/>
    </xf>
    <xf numFmtId="0" fontId="2" fillId="0" borderId="48" xfId="0" applyFont="1" applyFill="1" applyBorder="1" applyAlignment="1" applyProtection="1">
      <alignment horizontal="left"/>
    </xf>
    <xf numFmtId="0" fontId="2" fillId="0" borderId="57" xfId="0" applyFont="1" applyFill="1" applyBorder="1" applyAlignment="1" applyProtection="1">
      <alignment horizontal="center"/>
    </xf>
    <xf numFmtId="0" fontId="2" fillId="0" borderId="29" xfId="0" applyFont="1" applyFill="1" applyBorder="1" applyAlignment="1" applyProtection="1">
      <alignment horizontal="center"/>
    </xf>
    <xf numFmtId="0" fontId="2" fillId="0" borderId="42" xfId="0" applyFont="1" applyFill="1" applyBorder="1" applyAlignment="1" applyProtection="1">
      <alignment horizontal="right"/>
    </xf>
    <xf numFmtId="0" fontId="2" fillId="0" borderId="38" xfId="0" applyFont="1" applyFill="1" applyBorder="1" applyAlignment="1" applyProtection="1">
      <alignment horizontal="right"/>
    </xf>
    <xf numFmtId="0" fontId="2" fillId="0" borderId="32" xfId="0" applyFont="1" applyFill="1" applyBorder="1" applyAlignment="1" applyProtection="1">
      <alignment horizontal="right"/>
    </xf>
    <xf numFmtId="0" fontId="2" fillId="0" borderId="68" xfId="0" applyFont="1" applyFill="1" applyBorder="1" applyAlignment="1" applyProtection="1">
      <alignment horizontal="left"/>
    </xf>
    <xf numFmtId="0" fontId="2" fillId="0" borderId="49" xfId="0" applyFont="1" applyFill="1" applyBorder="1" applyAlignment="1" applyProtection="1">
      <alignment horizontal="left"/>
    </xf>
    <xf numFmtId="0" fontId="2" fillId="0" borderId="0" xfId="0" applyFont="1" applyBorder="1" applyAlignment="1" applyProtection="1">
      <alignment horizontal="left" vertical="center"/>
    </xf>
    <xf numFmtId="0" fontId="2" fillId="0" borderId="68" xfId="0" applyFont="1" applyFill="1" applyBorder="1" applyAlignment="1" applyProtection="1">
      <alignment horizontal="left" vertical="center"/>
    </xf>
    <xf numFmtId="0" fontId="2" fillId="0" borderId="49" xfId="0" applyFont="1" applyFill="1" applyBorder="1" applyAlignment="1" applyProtection="1">
      <alignment horizontal="left" vertical="center"/>
    </xf>
    <xf numFmtId="3" fontId="2" fillId="0" borderId="10" xfId="0" applyNumberFormat="1" applyFont="1" applyFill="1" applyBorder="1" applyAlignment="1" applyProtection="1">
      <alignment horizontal="center"/>
    </xf>
    <xf numFmtId="0" fontId="14" fillId="0" borderId="45" xfId="0" applyFont="1" applyFill="1" applyBorder="1" applyAlignment="1" applyProtection="1">
      <alignment horizontal="center" vertical="center"/>
    </xf>
    <xf numFmtId="0" fontId="14" fillId="0" borderId="24" xfId="0" applyFont="1" applyFill="1" applyBorder="1" applyAlignment="1" applyProtection="1">
      <alignment horizontal="center" vertical="center"/>
    </xf>
    <xf numFmtId="0" fontId="14" fillId="0" borderId="23" xfId="0" applyFont="1" applyFill="1" applyBorder="1" applyAlignment="1" applyProtection="1">
      <alignment horizontal="center" vertical="center"/>
    </xf>
    <xf numFmtId="0" fontId="14" fillId="0" borderId="46" xfId="0" applyFont="1" applyFill="1" applyBorder="1" applyAlignment="1" applyProtection="1">
      <alignment horizontal="center" vertical="center"/>
    </xf>
    <xf numFmtId="0" fontId="14" fillId="0" borderId="25" xfId="0" applyFont="1" applyFill="1" applyBorder="1" applyAlignment="1" applyProtection="1">
      <alignment horizontal="center" vertical="center"/>
    </xf>
    <xf numFmtId="0" fontId="14" fillId="0" borderId="26" xfId="0" applyFont="1" applyFill="1" applyBorder="1" applyAlignment="1" applyProtection="1">
      <alignment horizontal="center" vertical="center"/>
    </xf>
    <xf numFmtId="0" fontId="2" fillId="0" borderId="38" xfId="0" applyFont="1" applyBorder="1" applyAlignment="1" applyProtection="1">
      <alignment horizontal="left" vertical="top"/>
    </xf>
    <xf numFmtId="0" fontId="2" fillId="0" borderId="32" xfId="0" applyFont="1" applyBorder="1" applyAlignment="1" applyProtection="1">
      <alignment horizontal="left" vertical="top"/>
    </xf>
    <xf numFmtId="0" fontId="50" fillId="0" borderId="10" xfId="37" applyFont="1" applyFill="1" applyBorder="1" applyAlignment="1" applyProtection="1">
      <alignment vertical="top"/>
    </xf>
    <xf numFmtId="0" fontId="50" fillId="0" borderId="10" xfId="37" applyFont="1" applyFill="1" applyBorder="1" applyAlignment="1" applyProtection="1">
      <alignment vertical="center"/>
    </xf>
    <xf numFmtId="0" fontId="50" fillId="0" borderId="10" xfId="37" applyFont="1" applyFill="1" applyBorder="1" applyAlignment="1" applyProtection="1">
      <alignment horizontal="left" vertical="top"/>
    </xf>
    <xf numFmtId="0" fontId="2" fillId="0" borderId="18" xfId="0" applyFont="1" applyFill="1" applyBorder="1" applyAlignment="1" applyProtection="1">
      <alignment horizontal="left" vertical="center"/>
    </xf>
    <xf numFmtId="0" fontId="50" fillId="0" borderId="10" xfId="37" applyFont="1" applyFill="1" applyBorder="1" applyAlignment="1" applyProtection="1">
      <alignment horizontal="left" vertical="center"/>
    </xf>
    <xf numFmtId="178" fontId="2" fillId="0" borderId="10" xfId="0" applyNumberFormat="1" applyFont="1" applyFill="1" applyBorder="1" applyAlignment="1" applyProtection="1">
      <alignment horizontal="center" vertical="center"/>
    </xf>
    <xf numFmtId="178" fontId="2" fillId="0" borderId="11" xfId="0" applyNumberFormat="1" applyFont="1" applyFill="1" applyBorder="1" applyAlignment="1" applyProtection="1">
      <alignment horizontal="center" vertical="center"/>
    </xf>
    <xf numFmtId="178" fontId="2" fillId="0" borderId="85" xfId="0" applyNumberFormat="1" applyFont="1" applyFill="1" applyBorder="1" applyAlignment="1" applyProtection="1">
      <alignment horizontal="center" vertical="center"/>
    </xf>
    <xf numFmtId="3" fontId="2" fillId="0" borderId="33" xfId="0" applyNumberFormat="1" applyFont="1" applyFill="1" applyBorder="1" applyAlignment="1" applyProtection="1">
      <alignment horizontal="center"/>
    </xf>
    <xf numFmtId="0" fontId="2" fillId="0" borderId="63" xfId="0" applyFont="1" applyFill="1" applyBorder="1" applyAlignment="1" applyProtection="1">
      <alignment horizontal="center" vertical="center" textRotation="90" wrapText="1"/>
    </xf>
    <xf numFmtId="0" fontId="2" fillId="0" borderId="17" xfId="0" applyFont="1" applyFill="1" applyBorder="1" applyAlignment="1" applyProtection="1">
      <alignment horizontal="center" vertical="center" textRotation="90" wrapText="1"/>
    </xf>
    <xf numFmtId="0" fontId="2" fillId="0" borderId="49" xfId="0" applyFont="1" applyFill="1" applyBorder="1" applyAlignment="1" applyProtection="1">
      <alignment horizontal="center" vertical="center" textRotation="90" wrapText="1"/>
    </xf>
    <xf numFmtId="0" fontId="2" fillId="0" borderId="61" xfId="0" applyFont="1" applyFill="1" applyBorder="1" applyAlignment="1" applyProtection="1">
      <alignment horizontal="center" vertical="center" textRotation="90" wrapText="1"/>
    </xf>
    <xf numFmtId="0" fontId="2" fillId="0" borderId="40" xfId="0" applyFont="1" applyFill="1" applyBorder="1" applyAlignment="1" applyProtection="1">
      <alignment horizontal="center" vertical="center" textRotation="90" wrapText="1"/>
    </xf>
    <xf numFmtId="0" fontId="2" fillId="0" borderId="22" xfId="0" applyFont="1" applyFill="1" applyBorder="1" applyAlignment="1" applyProtection="1">
      <alignment horizontal="center" vertical="center" textRotation="90" wrapText="1"/>
    </xf>
    <xf numFmtId="0" fontId="2" fillId="0" borderId="52" xfId="0" applyFont="1" applyFill="1" applyBorder="1" applyAlignment="1" applyProtection="1">
      <alignment horizontal="center" vertical="center" textRotation="90" wrapText="1"/>
    </xf>
    <xf numFmtId="0" fontId="2" fillId="0" borderId="62" xfId="0" applyFont="1" applyFill="1" applyBorder="1" applyAlignment="1" applyProtection="1">
      <alignment horizontal="center" vertical="center" textRotation="90" wrapText="1"/>
    </xf>
    <xf numFmtId="0" fontId="2" fillId="0" borderId="54" xfId="0" applyFont="1" applyFill="1" applyBorder="1" applyAlignment="1" applyProtection="1">
      <alignment horizontal="center" vertical="center" textRotation="90" wrapText="1"/>
    </xf>
    <xf numFmtId="0" fontId="2" fillId="0" borderId="41" xfId="0" applyFont="1" applyFill="1" applyBorder="1" applyAlignment="1" applyProtection="1">
      <alignment horizontal="center"/>
    </xf>
    <xf numFmtId="0" fontId="2" fillId="0" borderId="36" xfId="0" applyFont="1" applyFill="1" applyBorder="1" applyAlignment="1" applyProtection="1">
      <alignment horizontal="center"/>
    </xf>
    <xf numFmtId="0" fontId="2" fillId="0" borderId="73" xfId="0" applyFont="1" applyFill="1" applyBorder="1" applyAlignment="1" applyProtection="1">
      <alignment horizontal="center" vertical="center" wrapText="1"/>
    </xf>
    <xf numFmtId="0" fontId="2" fillId="0" borderId="33" xfId="0" applyFont="1" applyFill="1" applyBorder="1" applyAlignment="1" applyProtection="1">
      <alignment horizontal="center" vertical="center" wrapText="1"/>
    </xf>
    <xf numFmtId="0" fontId="2" fillId="0" borderId="71" xfId="0" applyFont="1" applyFill="1" applyBorder="1" applyAlignment="1" applyProtection="1">
      <alignment horizontal="center" vertical="top"/>
    </xf>
    <xf numFmtId="0" fontId="2" fillId="0" borderId="75" xfId="0" applyFont="1" applyFill="1" applyBorder="1" applyAlignment="1" applyProtection="1">
      <alignment horizontal="center" vertical="top"/>
    </xf>
    <xf numFmtId="0" fontId="2" fillId="0" borderId="33" xfId="0" applyFont="1" applyFill="1" applyBorder="1" applyAlignment="1" applyProtection="1">
      <alignment horizontal="center" vertical="top"/>
    </xf>
    <xf numFmtId="0" fontId="2" fillId="0" borderId="21" xfId="0" applyFont="1" applyFill="1" applyBorder="1" applyAlignment="1" applyProtection="1">
      <alignment horizontal="center" vertical="top"/>
    </xf>
    <xf numFmtId="0" fontId="2" fillId="0" borderId="33" xfId="0" applyFont="1" applyFill="1" applyBorder="1" applyAlignment="1" applyProtection="1">
      <alignment horizontal="left" vertical="top" wrapText="1"/>
    </xf>
    <xf numFmtId="0" fontId="2" fillId="0" borderId="21" xfId="0" applyFont="1" applyFill="1" applyBorder="1" applyAlignment="1" applyProtection="1">
      <alignment horizontal="left" vertical="top" wrapText="1"/>
    </xf>
    <xf numFmtId="177" fontId="2" fillId="0" borderId="33" xfId="0" applyNumberFormat="1" applyFont="1" applyFill="1" applyBorder="1" applyAlignment="1" applyProtection="1">
      <alignment horizontal="center" vertical="center"/>
    </xf>
    <xf numFmtId="0" fontId="3" fillId="0" borderId="10" xfId="0" applyFont="1" applyFill="1" applyBorder="1" applyAlignment="1" applyProtection="1">
      <alignment horizontal="center" vertical="center"/>
    </xf>
    <xf numFmtId="0" fontId="2" fillId="0" borderId="33" xfId="0" applyFont="1" applyFill="1" applyBorder="1" applyAlignment="1" applyProtection="1">
      <alignment horizontal="left"/>
    </xf>
    <xf numFmtId="0" fontId="2" fillId="0" borderId="21" xfId="0" applyFont="1" applyFill="1" applyBorder="1" applyAlignment="1" applyProtection="1">
      <alignment horizontal="left"/>
    </xf>
    <xf numFmtId="0" fontId="2" fillId="0" borderId="86" xfId="0" applyFont="1" applyFill="1" applyBorder="1" applyAlignment="1" applyProtection="1">
      <alignment horizontal="center"/>
    </xf>
    <xf numFmtId="0" fontId="2" fillId="0" borderId="87" xfId="0" applyFont="1" applyFill="1" applyBorder="1" applyAlignment="1" applyProtection="1">
      <alignment horizontal="center"/>
    </xf>
    <xf numFmtId="0" fontId="2" fillId="0" borderId="88" xfId="0" applyFont="1" applyFill="1" applyBorder="1" applyAlignment="1" applyProtection="1">
      <alignment horizontal="center"/>
    </xf>
    <xf numFmtId="0" fontId="2" fillId="0" borderId="84" xfId="0" applyFont="1" applyFill="1" applyBorder="1" applyAlignment="1" applyProtection="1">
      <alignment horizontal="left" vertical="top" wrapText="1"/>
    </xf>
    <xf numFmtId="0" fontId="2" fillId="0" borderId="61" xfId="0" applyFont="1" applyFill="1" applyBorder="1" applyAlignment="1" applyProtection="1">
      <alignment horizontal="left" vertical="top" wrapText="1"/>
    </xf>
    <xf numFmtId="4" fontId="2" fillId="0" borderId="33" xfId="0" applyNumberFormat="1" applyFont="1" applyFill="1" applyBorder="1" applyAlignment="1" applyProtection="1">
      <alignment horizontal="center" vertical="center"/>
    </xf>
    <xf numFmtId="177" fontId="2" fillId="0" borderId="10" xfId="0" applyNumberFormat="1" applyFont="1" applyFill="1" applyBorder="1" applyAlignment="1" applyProtection="1">
      <alignment horizontal="center" vertical="center"/>
    </xf>
    <xf numFmtId="4" fontId="2" fillId="0" borderId="84" xfId="0" applyNumberFormat="1" applyFont="1" applyFill="1" applyBorder="1" applyAlignment="1" applyProtection="1">
      <alignment horizontal="center" vertical="center"/>
    </xf>
    <xf numFmtId="177" fontId="2" fillId="0" borderId="63" xfId="0" applyNumberFormat="1" applyFont="1" applyFill="1" applyBorder="1" applyAlignment="1" applyProtection="1">
      <alignment horizontal="center" vertical="center"/>
    </xf>
    <xf numFmtId="3" fontId="2" fillId="0" borderId="11" xfId="0" applyNumberFormat="1" applyFont="1" applyFill="1" applyBorder="1" applyAlignment="1" applyProtection="1">
      <alignment horizontal="center"/>
    </xf>
    <xf numFmtId="3" fontId="2" fillId="0" borderId="84" xfId="0" applyNumberFormat="1" applyFont="1" applyFill="1" applyBorder="1" applyAlignment="1" applyProtection="1">
      <alignment horizontal="center"/>
    </xf>
    <xf numFmtId="3" fontId="2" fillId="0" borderId="85" xfId="0" applyNumberFormat="1" applyFont="1" applyFill="1" applyBorder="1" applyAlignment="1" applyProtection="1">
      <alignment horizontal="center"/>
    </xf>
    <xf numFmtId="3" fontId="2" fillId="0" borderId="33" xfId="0" applyNumberFormat="1" applyFont="1" applyFill="1" applyBorder="1" applyAlignment="1" applyProtection="1">
      <alignment horizontal="center" vertical="center"/>
    </xf>
    <xf numFmtId="0" fontId="2" fillId="0" borderId="33" xfId="0" applyFont="1" applyFill="1" applyBorder="1" applyAlignment="1" applyProtection="1">
      <alignment horizontal="center"/>
    </xf>
    <xf numFmtId="0" fontId="2" fillId="0" borderId="18" xfId="0" applyFont="1" applyFill="1" applyBorder="1" applyAlignment="1" applyProtection="1">
      <alignment horizontal="left"/>
    </xf>
    <xf numFmtId="0" fontId="49" fillId="0" borderId="0" xfId="0" applyFont="1" applyFill="1" applyAlignment="1">
      <alignment horizontal="center"/>
    </xf>
    <xf numFmtId="0" fontId="3" fillId="0" borderId="10" xfId="0" applyFont="1" applyFill="1" applyBorder="1" applyAlignment="1">
      <alignment horizontal="left"/>
    </xf>
    <xf numFmtId="0" fontId="2" fillId="0" borderId="10" xfId="0" applyFont="1" applyFill="1" applyBorder="1" applyAlignment="1">
      <alignment horizontal="left" vertical="center" wrapText="1"/>
    </xf>
    <xf numFmtId="178" fontId="3" fillId="0" borderId="10" xfId="0" applyNumberFormat="1" applyFont="1" applyFill="1" applyBorder="1" applyAlignment="1">
      <alignment horizontal="center" vertical="center"/>
    </xf>
    <xf numFmtId="0" fontId="3" fillId="0" borderId="10" xfId="0" applyFont="1" applyFill="1" applyBorder="1" applyAlignment="1">
      <alignment horizontal="center"/>
    </xf>
    <xf numFmtId="0" fontId="0" fillId="0" borderId="0" xfId="0" applyFill="1" applyAlignment="1">
      <alignment horizontal="left" vertical="top" wrapText="1"/>
    </xf>
    <xf numFmtId="0" fontId="3" fillId="0" borderId="63" xfId="0" applyFont="1" applyFill="1" applyBorder="1" applyAlignment="1">
      <alignment horizontal="center" vertical="top" wrapText="1"/>
    </xf>
    <xf numFmtId="0" fontId="3" fillId="0" borderId="49" xfId="0" applyFont="1" applyFill="1" applyBorder="1" applyAlignment="1">
      <alignment horizontal="center" vertical="top" wrapText="1"/>
    </xf>
    <xf numFmtId="3" fontId="3" fillId="0" borderId="63" xfId="0" applyNumberFormat="1" applyFont="1" applyFill="1" applyBorder="1" applyAlignment="1">
      <alignment horizontal="center"/>
    </xf>
    <xf numFmtId="3" fontId="3" fillId="0" borderId="49" xfId="0" applyNumberFormat="1" applyFont="1" applyFill="1" applyBorder="1" applyAlignment="1">
      <alignment horizontal="center"/>
    </xf>
    <xf numFmtId="0" fontId="2" fillId="0" borderId="61" xfId="0" applyFont="1" applyFill="1" applyBorder="1" applyAlignment="1">
      <alignment horizontal="left" vertical="center" wrapText="1"/>
    </xf>
    <xf numFmtId="0" fontId="2" fillId="0" borderId="39" xfId="0" applyFont="1" applyFill="1" applyBorder="1" applyAlignment="1">
      <alignment horizontal="left" vertical="center" wrapText="1"/>
    </xf>
    <xf numFmtId="0" fontId="2" fillId="0" borderId="62" xfId="0" applyFont="1" applyFill="1" applyBorder="1" applyAlignment="1">
      <alignment horizontal="left" vertical="center" wrapText="1"/>
    </xf>
    <xf numFmtId="0" fontId="2" fillId="0" borderId="18" xfId="0" applyFont="1" applyFill="1" applyBorder="1" applyAlignment="1">
      <alignment horizontal="left" vertical="center" wrapText="1"/>
    </xf>
    <xf numFmtId="0" fontId="2" fillId="0" borderId="61" xfId="0" applyFont="1" applyFill="1" applyBorder="1" applyAlignment="1">
      <alignment horizontal="left" vertical="center"/>
    </xf>
    <xf numFmtId="0" fontId="2" fillId="0" borderId="39" xfId="0" applyFont="1" applyFill="1" applyBorder="1" applyAlignment="1">
      <alignment horizontal="left" vertical="center"/>
    </xf>
    <xf numFmtId="0" fontId="2" fillId="0" borderId="40" xfId="0" applyFont="1" applyFill="1" applyBorder="1" applyAlignment="1">
      <alignment horizontal="left" vertical="center"/>
    </xf>
    <xf numFmtId="0" fontId="2" fillId="0" borderId="62" xfId="0" applyFont="1" applyFill="1" applyBorder="1" applyAlignment="1">
      <alignment horizontal="left" vertical="center"/>
    </xf>
    <xf numFmtId="0" fontId="2" fillId="0" borderId="18" xfId="0" applyFont="1" applyFill="1" applyBorder="1" applyAlignment="1">
      <alignment horizontal="left" vertical="center"/>
    </xf>
    <xf numFmtId="0" fontId="2" fillId="0" borderId="54" xfId="0" applyFont="1" applyFill="1" applyBorder="1" applyAlignment="1">
      <alignment horizontal="left" vertical="center"/>
    </xf>
    <xf numFmtId="0" fontId="0" fillId="0" borderId="63" xfId="0" applyFill="1" applyBorder="1" applyAlignment="1">
      <alignment horizontal="center"/>
    </xf>
    <xf numFmtId="0" fontId="0" fillId="0" borderId="17" xfId="0" applyFill="1" applyBorder="1" applyAlignment="1">
      <alignment horizontal="center"/>
    </xf>
    <xf numFmtId="0" fontId="0" fillId="0" borderId="49" xfId="0" applyFill="1" applyBorder="1" applyAlignment="1">
      <alignment horizontal="center"/>
    </xf>
    <xf numFmtId="0" fontId="3" fillId="0" borderId="0" xfId="0" applyFont="1" applyFill="1" applyAlignment="1">
      <alignment horizontal="left" vertical="center" wrapText="1"/>
    </xf>
    <xf numFmtId="0" fontId="48" fillId="0" borderId="10" xfId="0" applyFont="1" applyFill="1" applyBorder="1" applyAlignment="1">
      <alignment horizontal="center" vertical="top" wrapText="1"/>
    </xf>
    <xf numFmtId="0" fontId="3" fillId="0" borderId="61" xfId="0" applyFont="1" applyFill="1" applyBorder="1" applyAlignment="1">
      <alignment horizontal="center" vertical="top" wrapText="1"/>
    </xf>
    <xf numFmtId="0" fontId="3" fillId="0" borderId="62" xfId="0" applyFont="1" applyFill="1" applyBorder="1" applyAlignment="1">
      <alignment horizontal="center" vertical="top" wrapText="1"/>
    </xf>
    <xf numFmtId="0" fontId="3" fillId="0" borderId="63" xfId="0" applyFont="1" applyFill="1" applyBorder="1" applyAlignment="1">
      <alignment horizontal="left"/>
    </xf>
    <xf numFmtId="0" fontId="10" fillId="0" borderId="0" xfId="0" applyFont="1" applyFill="1" applyAlignment="1">
      <alignment horizontal="left" vertical="center" wrapText="1"/>
    </xf>
    <xf numFmtId="0" fontId="0" fillId="0" borderId="0" xfId="0" applyAlignment="1">
      <alignment horizontal="left"/>
    </xf>
    <xf numFmtId="0" fontId="3" fillId="0" borderId="10" xfId="0" applyFont="1" applyFill="1" applyBorder="1" applyAlignment="1">
      <alignment horizontal="right"/>
    </xf>
    <xf numFmtId="0" fontId="2" fillId="0" borderId="0" xfId="0" applyFont="1" applyFill="1" applyAlignment="1">
      <alignment horizontal="center"/>
    </xf>
    <xf numFmtId="0" fontId="2" fillId="0" borderId="10" xfId="0" applyFont="1" applyFill="1" applyBorder="1" applyAlignment="1">
      <alignment horizontal="center"/>
    </xf>
    <xf numFmtId="0" fontId="3" fillId="0" borderId="49" xfId="0" applyFont="1" applyFill="1" applyBorder="1" applyAlignment="1">
      <alignment horizontal="left"/>
    </xf>
    <xf numFmtId="0" fontId="3" fillId="0" borderId="10" xfId="0" applyFont="1" applyFill="1" applyBorder="1" applyAlignment="1">
      <alignment horizontal="center" vertical="top"/>
    </xf>
    <xf numFmtId="0" fontId="3" fillId="0" borderId="10" xfId="0" applyFont="1" applyFill="1" applyBorder="1" applyAlignment="1">
      <alignment horizontal="center" vertical="top" wrapText="1"/>
    </xf>
    <xf numFmtId="0" fontId="3" fillId="0" borderId="0" xfId="0" applyFont="1" applyFill="1" applyAlignment="1">
      <alignment horizontal="left" vertical="center" indent="1"/>
    </xf>
    <xf numFmtId="0" fontId="3" fillId="0" borderId="21" xfId="37" applyFont="1" applyFill="1" applyBorder="1" applyAlignment="1">
      <alignment horizontal="left"/>
    </xf>
    <xf numFmtId="0" fontId="3" fillId="0" borderId="38" xfId="37" applyFont="1" applyFill="1" applyBorder="1" applyAlignment="1">
      <alignment horizontal="left"/>
    </xf>
    <xf numFmtId="0" fontId="3" fillId="0" borderId="32" xfId="37" applyFont="1" applyFill="1" applyBorder="1" applyAlignment="1">
      <alignment horizontal="left"/>
    </xf>
    <xf numFmtId="0" fontId="3" fillId="0" borderId="10" xfId="0" applyFont="1" applyFill="1" applyBorder="1" applyAlignment="1">
      <alignment horizontal="left" vertical="top"/>
    </xf>
    <xf numFmtId="0" fontId="11" fillId="27" borderId="23" xfId="0" applyFont="1" applyFill="1" applyBorder="1" applyAlignment="1">
      <alignment horizontal="center" vertical="center" wrapText="1"/>
    </xf>
    <xf numFmtId="0" fontId="11" fillId="27" borderId="26"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23" xfId="0" applyFont="1" applyFill="1" applyBorder="1" applyAlignment="1">
      <alignment horizontal="center" vertical="center" wrapText="1"/>
    </xf>
    <xf numFmtId="0" fontId="2" fillId="0" borderId="46"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10" fillId="0" borderId="0" xfId="0" applyFont="1" applyFill="1" applyAlignment="1">
      <alignment horizontal="left" vertical="center"/>
    </xf>
    <xf numFmtId="0" fontId="3" fillId="0" borderId="0" xfId="0" applyFont="1" applyFill="1" applyAlignment="1">
      <alignment horizontal="left" vertical="center"/>
    </xf>
    <xf numFmtId="0" fontId="3" fillId="0" borderId="0" xfId="0" applyFont="1" applyFill="1" applyAlignment="1">
      <alignment horizontal="left" vertical="center" wrapText="1" indent="1"/>
    </xf>
    <xf numFmtId="0" fontId="3" fillId="0" borderId="0" xfId="0" applyFont="1" applyFill="1" applyAlignment="1">
      <alignment horizontal="left" indent="2"/>
    </xf>
    <xf numFmtId="0" fontId="10" fillId="0" borderId="0" xfId="0" applyFont="1" applyFill="1" applyAlignment="1">
      <alignment horizontal="left"/>
    </xf>
    <xf numFmtId="0" fontId="3" fillId="0" borderId="0" xfId="0" applyFont="1" applyFill="1" applyAlignment="1">
      <alignment vertical="center"/>
    </xf>
    <xf numFmtId="0" fontId="59" fillId="0" borderId="0" xfId="0" applyFont="1" applyFill="1" applyAlignment="1">
      <alignment vertical="center"/>
    </xf>
    <xf numFmtId="0" fontId="2" fillId="0" borderId="0" xfId="0" applyFont="1" applyFill="1" applyAlignment="1">
      <alignment horizontal="left" vertical="center"/>
    </xf>
    <xf numFmtId="0" fontId="64" fillId="0" borderId="0" xfId="0" applyFont="1" applyFill="1" applyAlignment="1">
      <alignment horizontal="left" vertical="center" wrapText="1"/>
    </xf>
    <xf numFmtId="0" fontId="59" fillId="0" borderId="0" xfId="0" applyFont="1" applyFill="1" applyAlignment="1">
      <alignment vertical="center" wrapText="1"/>
    </xf>
    <xf numFmtId="0" fontId="2" fillId="0" borderId="0" xfId="0" applyFont="1" applyFill="1" applyAlignment="1">
      <alignment horizontal="left" vertical="center" wrapText="1"/>
    </xf>
    <xf numFmtId="0" fontId="3" fillId="0" borderId="21" xfId="37" applyFont="1" applyFill="1" applyBorder="1" applyAlignment="1">
      <alignment horizontal="center"/>
    </xf>
    <xf numFmtId="0" fontId="3" fillId="0" borderId="38" xfId="37" applyFont="1" applyFill="1" applyBorder="1" applyAlignment="1">
      <alignment horizontal="center"/>
    </xf>
    <xf numFmtId="0" fontId="3" fillId="0" borderId="32" xfId="37" applyFont="1" applyFill="1" applyBorder="1" applyAlignment="1">
      <alignment horizontal="center"/>
    </xf>
    <xf numFmtId="0" fontId="3" fillId="0" borderId="10" xfId="37" applyFont="1" applyFill="1" applyBorder="1" applyAlignment="1">
      <alignment horizontal="left"/>
    </xf>
    <xf numFmtId="0" fontId="3" fillId="0" borderId="21" xfId="37" applyFont="1" applyFill="1" applyBorder="1" applyAlignment="1">
      <alignment horizontal="left" vertical="center"/>
    </xf>
    <xf numFmtId="0" fontId="3" fillId="0" borderId="38" xfId="37" applyFont="1" applyFill="1" applyBorder="1" applyAlignment="1">
      <alignment horizontal="left" vertical="center"/>
    </xf>
    <xf numFmtId="0" fontId="3" fillId="0" borderId="32" xfId="37" applyFont="1" applyFill="1" applyBorder="1" applyAlignment="1">
      <alignment horizontal="left" vertical="center"/>
    </xf>
    <xf numFmtId="0" fontId="3" fillId="0" borderId="0" xfId="0" applyFont="1" applyFill="1" applyAlignment="1">
      <alignment horizontal="left"/>
    </xf>
    <xf numFmtId="0" fontId="0" fillId="0" borderId="0" xfId="0" applyFill="1" applyAlignment="1">
      <alignment horizontal="left"/>
    </xf>
    <xf numFmtId="0" fontId="3" fillId="0" borderId="10" xfId="0" applyFont="1" applyFill="1" applyBorder="1" applyAlignment="1">
      <alignment horizontal="left" vertical="center" wrapText="1"/>
    </xf>
    <xf numFmtId="0" fontId="2" fillId="0" borderId="21" xfId="0" applyFont="1" applyFill="1" applyBorder="1" applyAlignment="1">
      <alignment horizontal="left" indent="1"/>
    </xf>
    <xf numFmtId="0" fontId="2" fillId="0" borderId="38" xfId="0" applyFont="1" applyFill="1" applyBorder="1" applyAlignment="1">
      <alignment horizontal="left" indent="1"/>
    </xf>
    <xf numFmtId="0" fontId="2" fillId="0" borderId="32" xfId="0" applyFont="1" applyFill="1" applyBorder="1" applyAlignment="1">
      <alignment horizontal="left" indent="1"/>
    </xf>
    <xf numFmtId="0" fontId="68" fillId="0" borderId="0" xfId="0" applyFont="1" applyFill="1" applyAlignment="1">
      <alignment horizontal="left" vertical="center" wrapText="1" indent="2"/>
    </xf>
    <xf numFmtId="178" fontId="0" fillId="0" borderId="10" xfId="0" applyNumberFormat="1" applyFill="1" applyBorder="1" applyAlignment="1">
      <alignment horizontal="center" vertical="center"/>
    </xf>
    <xf numFmtId="178" fontId="3" fillId="0" borderId="10" xfId="0" applyNumberFormat="1" applyFont="1" applyFill="1" applyBorder="1" applyAlignment="1">
      <alignment horizontal="center" vertical="center" wrapText="1"/>
    </xf>
    <xf numFmtId="0" fontId="3" fillId="0" borderId="63" xfId="0" applyFont="1" applyFill="1" applyBorder="1" applyAlignment="1">
      <alignment horizontal="center" vertical="center" textRotation="90" wrapText="1"/>
    </xf>
    <xf numFmtId="0" fontId="3" fillId="0" borderId="17" xfId="0" applyFont="1" applyFill="1" applyBorder="1" applyAlignment="1">
      <alignment horizontal="center" vertical="center" textRotation="90" wrapText="1"/>
    </xf>
    <xf numFmtId="0" fontId="3" fillId="0" borderId="49" xfId="0" applyFont="1" applyFill="1" applyBorder="1" applyAlignment="1">
      <alignment horizontal="center" vertical="center" textRotation="90" wrapText="1"/>
    </xf>
    <xf numFmtId="0" fontId="3" fillId="0" borderId="61" xfId="0" applyFont="1" applyFill="1" applyBorder="1" applyAlignment="1">
      <alignment horizontal="left" vertical="top" wrapText="1"/>
    </xf>
    <xf numFmtId="0" fontId="3" fillId="0" borderId="39" xfId="0" applyFont="1" applyFill="1" applyBorder="1" applyAlignment="1">
      <alignment horizontal="left" vertical="top" wrapText="1"/>
    </xf>
    <xf numFmtId="0" fontId="3" fillId="0" borderId="40" xfId="0" applyFont="1" applyFill="1" applyBorder="1" applyAlignment="1">
      <alignment horizontal="left" vertical="top" wrapText="1"/>
    </xf>
    <xf numFmtId="0" fontId="3" fillId="0" borderId="22"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52" xfId="0" applyFont="1" applyFill="1" applyBorder="1" applyAlignment="1">
      <alignment horizontal="left" vertical="top" wrapText="1"/>
    </xf>
    <xf numFmtId="0" fontId="3" fillId="0" borderId="62" xfId="0" applyFont="1" applyFill="1" applyBorder="1" applyAlignment="1">
      <alignment horizontal="left" vertical="top" wrapText="1"/>
    </xf>
    <xf numFmtId="0" fontId="3" fillId="0" borderId="18" xfId="0" applyFont="1" applyFill="1" applyBorder="1" applyAlignment="1">
      <alignment horizontal="left" vertical="top" wrapText="1"/>
    </xf>
    <xf numFmtId="0" fontId="3" fillId="0" borderId="54" xfId="0" applyFont="1" applyFill="1" applyBorder="1" applyAlignment="1">
      <alignment horizontal="left" vertical="top" wrapText="1"/>
    </xf>
    <xf numFmtId="0" fontId="64" fillId="0" borderId="10" xfId="0" applyFont="1" applyFill="1" applyBorder="1" applyAlignment="1">
      <alignment horizontal="center"/>
    </xf>
    <xf numFmtId="0" fontId="3" fillId="0" borderId="10" xfId="0" applyFont="1" applyFill="1" applyBorder="1" applyAlignment="1">
      <alignment horizontal="center" vertical="center" textRotation="90" wrapText="1"/>
    </xf>
    <xf numFmtId="0" fontId="2" fillId="0" borderId="18" xfId="0" applyFont="1" applyFill="1" applyBorder="1" applyAlignment="1">
      <alignment horizontal="left"/>
    </xf>
    <xf numFmtId="0" fontId="3" fillId="0" borderId="61" xfId="0" applyFont="1" applyFill="1" applyBorder="1" applyAlignment="1">
      <alignment horizontal="center" vertical="center" textRotation="90" wrapText="1"/>
    </xf>
    <xf numFmtId="0" fontId="3" fillId="0" borderId="40" xfId="0" applyFont="1" applyFill="1" applyBorder="1" applyAlignment="1">
      <alignment horizontal="center" vertical="center" textRotation="90" wrapText="1"/>
    </xf>
    <xf numFmtId="0" fontId="3" fillId="0" borderId="22" xfId="0" applyFont="1" applyFill="1" applyBorder="1" applyAlignment="1">
      <alignment horizontal="center" vertical="center" textRotation="90" wrapText="1"/>
    </xf>
    <xf numFmtId="0" fontId="3" fillId="0" borderId="52" xfId="0" applyFont="1" applyFill="1" applyBorder="1" applyAlignment="1">
      <alignment horizontal="center" vertical="center" textRotation="90" wrapText="1"/>
    </xf>
    <xf numFmtId="0" fontId="3" fillId="0" borderId="62" xfId="0" applyFont="1" applyFill="1" applyBorder="1" applyAlignment="1">
      <alignment horizontal="center" vertical="center" textRotation="90" wrapText="1"/>
    </xf>
    <xf numFmtId="0" fontId="3" fillId="0" borderId="54" xfId="0" applyFont="1" applyFill="1" applyBorder="1" applyAlignment="1">
      <alignment horizontal="center" vertical="center" textRotation="90" wrapText="1"/>
    </xf>
    <xf numFmtId="178" fontId="0" fillId="0" borderId="21" xfId="0" applyNumberFormat="1" applyFill="1" applyBorder="1" applyAlignment="1">
      <alignment horizontal="center" vertical="center"/>
    </xf>
    <xf numFmtId="178" fontId="0" fillId="0" borderId="32" xfId="0" applyNumberFormat="1" applyFill="1" applyBorder="1" applyAlignment="1">
      <alignment horizontal="center" vertical="center"/>
    </xf>
    <xf numFmtId="0" fontId="3" fillId="0" borderId="10" xfId="0" applyFont="1" applyFill="1" applyBorder="1" applyAlignment="1">
      <alignment horizontal="right" vertical="center"/>
    </xf>
    <xf numFmtId="0" fontId="0" fillId="0" borderId="10" xfId="0" applyFill="1" applyBorder="1" applyAlignment="1">
      <alignment horizontal="center" vertical="center"/>
    </xf>
    <xf numFmtId="0" fontId="3" fillId="0" borderId="10" xfId="0" applyFont="1" applyFill="1" applyBorder="1" applyAlignment="1">
      <alignment horizontal="right" vertical="center" wrapText="1"/>
    </xf>
    <xf numFmtId="0" fontId="3" fillId="0" borderId="21" xfId="0" applyFont="1" applyFill="1" applyBorder="1" applyAlignment="1">
      <alignment vertical="center"/>
    </xf>
    <xf numFmtId="0" fontId="3" fillId="0" borderId="38" xfId="0" applyFont="1" applyFill="1" applyBorder="1" applyAlignment="1">
      <alignment vertical="center"/>
    </xf>
    <xf numFmtId="0" fontId="3" fillId="0" borderId="32" xfId="0" applyFont="1" applyFill="1" applyBorder="1" applyAlignment="1">
      <alignment vertical="center"/>
    </xf>
    <xf numFmtId="178" fontId="3" fillId="0" borderId="21" xfId="0" applyNumberFormat="1" applyFont="1" applyFill="1" applyBorder="1" applyAlignment="1">
      <alignment horizontal="center" vertical="center" wrapText="1"/>
    </xf>
    <xf numFmtId="178" fontId="3" fillId="0" borderId="32" xfId="0" applyNumberFormat="1" applyFont="1" applyFill="1" applyBorder="1" applyAlignment="1">
      <alignment horizontal="center" vertical="center" wrapText="1"/>
    </xf>
    <xf numFmtId="0" fontId="48" fillId="0" borderId="10" xfId="0" applyFont="1" applyFill="1" applyBorder="1" applyAlignment="1">
      <alignment horizontal="center" vertical="center" wrapText="1"/>
    </xf>
    <xf numFmtId="0" fontId="66" fillId="0" borderId="10" xfId="0" applyFont="1" applyFill="1" applyBorder="1" applyAlignment="1">
      <alignment horizontal="center" vertical="center" wrapText="1"/>
    </xf>
    <xf numFmtId="0" fontId="3" fillId="0" borderId="10" xfId="0" applyFont="1" applyFill="1" applyBorder="1" applyAlignment="1">
      <alignment vertical="center"/>
    </xf>
    <xf numFmtId="178" fontId="3" fillId="0" borderId="10" xfId="0" applyNumberFormat="1" applyFont="1" applyFill="1" applyBorder="1" applyAlignment="1">
      <alignment horizontal="center"/>
    </xf>
    <xf numFmtId="0" fontId="69" fillId="0" borderId="42" xfId="0" applyFont="1" applyFill="1" applyBorder="1" applyAlignment="1">
      <alignment horizontal="left" vertical="center"/>
    </xf>
    <xf numFmtId="0" fontId="69" fillId="0" borderId="38" xfId="0" applyFont="1" applyFill="1" applyBorder="1" applyAlignment="1">
      <alignment horizontal="left" vertical="center"/>
    </xf>
    <xf numFmtId="0" fontId="69" fillId="0" borderId="32" xfId="0" applyFont="1" applyFill="1" applyBorder="1" applyAlignment="1">
      <alignment horizontal="left" vertical="center"/>
    </xf>
  </cellXfs>
  <cellStyles count="4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_P8.4 - Calculator - Maximun allowable exposure time" xfId="37"/>
    <cellStyle name="Note" xfId="38" builtinId="10" customBuiltin="1"/>
    <cellStyle name="Output" xfId="39" builtinId="21" customBuiltin="1"/>
    <cellStyle name="Percent" xfId="40" builtinId="5"/>
    <cellStyle name="Title" xfId="41" builtinId="15" customBuiltin="1"/>
    <cellStyle name="Total" xfId="42" builtinId="25" customBuiltin="1"/>
    <cellStyle name="Tusental (0)_Blad1" xfId="43"/>
    <cellStyle name="Tusental_Blad1" xfId="44"/>
    <cellStyle name="Valuta (0)_Blad1" xfId="45"/>
    <cellStyle name="Valuta_Blad1" xfId="46"/>
    <cellStyle name="Warning Text" xfId="47" builtinId="11" customBuiltin="1"/>
  </cellStyles>
  <dxfs count="639">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11"/>
        </patternFill>
      </fill>
    </dxf>
    <dxf>
      <fill>
        <patternFill>
          <bgColor indexed="10"/>
        </patternFill>
      </fill>
    </dxf>
    <dxf>
      <fill>
        <patternFill>
          <bgColor indexed="10"/>
        </patternFill>
      </fill>
    </dxf>
    <dxf>
      <fill>
        <patternFill>
          <bgColor indexed="11"/>
        </patternFill>
      </fill>
    </dxf>
    <dxf>
      <font>
        <condense val="0"/>
        <extend val="0"/>
        <color indexed="10"/>
      </font>
    </dxf>
    <dxf>
      <font>
        <condense val="0"/>
        <extend val="0"/>
        <color indexed="10"/>
      </font>
      <fill>
        <patternFill>
          <bgColor indexed="10"/>
        </patternFill>
      </fill>
    </dxf>
    <dxf>
      <font>
        <strike/>
        <condense val="0"/>
        <extend val="0"/>
        <color indexed="10"/>
      </font>
      <fill>
        <patternFill>
          <bgColor indexed="10"/>
        </patternFill>
      </fill>
    </dxf>
    <dxf>
      <font>
        <condense val="0"/>
        <extend val="0"/>
        <color indexed="10"/>
      </font>
    </dxf>
    <dxf>
      <fill>
        <patternFill>
          <bgColor indexed="11"/>
        </patternFill>
      </fill>
    </dxf>
    <dxf>
      <fill>
        <patternFill>
          <bgColor indexed="10"/>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
      <fill>
        <patternFill>
          <bgColor indexed="44"/>
        </patternFill>
      </fill>
    </dxf>
    <dxf>
      <fill>
        <patternFill>
          <bgColor indexed="42"/>
        </patternFill>
      </fill>
    </dxf>
    <dxf>
      <fill>
        <patternFill>
          <bgColor indexed="47"/>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1" i="0" u="none" strike="noStrike" baseline="0">
                <a:solidFill>
                  <a:srgbClr val="000000"/>
                </a:solidFill>
                <a:latin typeface="Arial"/>
                <a:ea typeface="Arial"/>
                <a:cs typeface="Arial"/>
              </a:defRPr>
            </a:pPr>
            <a:r>
              <a:rPr lang="en-US"/>
              <a:t>Physical Properties - Mass</a:t>
            </a:r>
          </a:p>
        </c:rich>
      </c:tx>
      <c:layout>
        <c:manualLayout>
          <c:xMode val="edge"/>
          <c:yMode val="edge"/>
          <c:x val="0.38536610972408936"/>
          <c:y val="3.3707865168539325E-2"/>
        </c:manualLayout>
      </c:layout>
      <c:spPr>
        <a:noFill/>
        <a:ln w="25400">
          <a:noFill/>
        </a:ln>
      </c:spPr>
    </c:title>
    <c:plotArea>
      <c:layout>
        <c:manualLayout>
          <c:layoutTarget val="inner"/>
          <c:xMode val="edge"/>
          <c:yMode val="edge"/>
          <c:x val="9.7561033703931085E-2"/>
          <c:y val="0.18258426966292135"/>
          <c:w val="0.88536638086317454"/>
          <c:h val="0.6067415730337079"/>
        </c:manualLayout>
      </c:layout>
      <c:barChart>
        <c:barDir val="col"/>
        <c:grouping val="stacked"/>
        <c:ser>
          <c:idx val="0"/>
          <c:order val="0"/>
          <c:tx>
            <c:strRef>
              <c:f>'Working Master '!$U$31:$U$32</c:f>
              <c:strCache>
                <c:ptCount val="1"/>
                <c:pt idx="0">
                  <c:v>Drill</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cat>
            <c:strRef>
              <c:f>'Working Master '!$R$33:$T$36</c:f>
              <c:strCache>
                <c:ptCount val="4"/>
                <c:pt idx="0">
                  <c:v>Hilti TE MD20 </c:v>
                </c:pt>
                <c:pt idx="1">
                  <c:v>Seco S215 Muffled</c:v>
                </c:pt>
                <c:pt idx="2">
                  <c:v>Sulzer ADDS</c:v>
                </c:pt>
                <c:pt idx="3">
                  <c:v>Seco S215</c:v>
                </c:pt>
              </c:strCache>
            </c:strRef>
          </c:cat>
          <c:val>
            <c:numRef>
              <c:f>'Working Master '!$U$33:$U$36</c:f>
              <c:numCache>
                <c:formatCode>0.0</c:formatCode>
                <c:ptCount val="4"/>
                <c:pt idx="0">
                  <c:v>23.9</c:v>
                </c:pt>
                <c:pt idx="1">
                  <c:v>22.35</c:v>
                </c:pt>
                <c:pt idx="2">
                  <c:v>22.15</c:v>
                </c:pt>
                <c:pt idx="3">
                  <c:v>21.25</c:v>
                </c:pt>
              </c:numCache>
            </c:numRef>
          </c:val>
        </c:ser>
        <c:ser>
          <c:idx val="1"/>
          <c:order val="1"/>
          <c:tx>
            <c:strRef>
              <c:f>'Working Master '!$V$31:$V$32</c:f>
              <c:strCache>
                <c:ptCount val="1"/>
                <c:pt idx="0">
                  <c:v>Leg (Air or Water)</c:v>
                </c:pt>
              </c:strCache>
            </c:strRef>
          </c:tx>
          <c:spPr>
            <a:pattFill prst="wdUpDiag">
              <a:fgClr>
                <a:srgbClr val="CCFFCC"/>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cat>
            <c:strRef>
              <c:f>'Working Master '!$R$33:$T$36</c:f>
              <c:strCache>
                <c:ptCount val="4"/>
                <c:pt idx="0">
                  <c:v>Hilti TE MD20 </c:v>
                </c:pt>
                <c:pt idx="1">
                  <c:v>Seco S215 Muffled</c:v>
                </c:pt>
                <c:pt idx="2">
                  <c:v>Sulzer ADDS</c:v>
                </c:pt>
                <c:pt idx="3">
                  <c:v>Seco S215</c:v>
                </c:pt>
              </c:strCache>
            </c:strRef>
          </c:cat>
          <c:val>
            <c:numRef>
              <c:f>'Working Master '!$V$33:$V$36</c:f>
              <c:numCache>
                <c:formatCode>0.0</c:formatCode>
                <c:ptCount val="4"/>
                <c:pt idx="0">
                  <c:v>15.4</c:v>
                </c:pt>
                <c:pt idx="1">
                  <c:v>17.399999999999999</c:v>
                </c:pt>
                <c:pt idx="2">
                  <c:v>18.149999999999999</c:v>
                </c:pt>
                <c:pt idx="3">
                  <c:v>17.399999999999999</c:v>
                </c:pt>
              </c:numCache>
            </c:numRef>
          </c:val>
        </c:ser>
        <c:ser>
          <c:idx val="2"/>
          <c:order val="2"/>
          <c:tx>
            <c:strRef>
              <c:f>'Working Master '!$W$31:$W$32</c:f>
              <c:strCache>
                <c:ptCount val="1"/>
                <c:pt idx="0">
                  <c:v>Steel and Bit</c:v>
                </c:pt>
              </c:strCache>
            </c:strRef>
          </c:tx>
          <c:spPr>
            <a:pattFill prst="lgCheck">
              <a:fgClr>
                <a:srgbClr val="99CC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cat>
            <c:strRef>
              <c:f>'Working Master '!$R$33:$T$36</c:f>
              <c:strCache>
                <c:ptCount val="4"/>
                <c:pt idx="0">
                  <c:v>Hilti TE MD20 </c:v>
                </c:pt>
                <c:pt idx="1">
                  <c:v>Seco S215 Muffled</c:v>
                </c:pt>
                <c:pt idx="2">
                  <c:v>Sulzer ADDS</c:v>
                </c:pt>
                <c:pt idx="3">
                  <c:v>Seco S215</c:v>
                </c:pt>
              </c:strCache>
            </c:strRef>
          </c:cat>
          <c:val>
            <c:numRef>
              <c:f>'Working Master '!$W$33:$W$36</c:f>
              <c:numCache>
                <c:formatCode>0.0</c:formatCode>
                <c:ptCount val="4"/>
                <c:pt idx="0">
                  <c:v>4.8</c:v>
                </c:pt>
                <c:pt idx="1">
                  <c:v>5</c:v>
                </c:pt>
                <c:pt idx="2">
                  <c:v>5</c:v>
                </c:pt>
                <c:pt idx="3">
                  <c:v>5</c:v>
                </c:pt>
              </c:numCache>
            </c:numRef>
          </c:val>
        </c:ser>
        <c:overlap val="100"/>
        <c:axId val="106200064"/>
        <c:axId val="106210048"/>
      </c:barChart>
      <c:catAx>
        <c:axId val="106200064"/>
        <c:scaling>
          <c:orientation val="minMax"/>
        </c:scaling>
        <c:axPos val="b"/>
        <c:numFmt formatCode="General"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06210048"/>
        <c:crosses val="autoZero"/>
        <c:auto val="1"/>
        <c:lblAlgn val="ctr"/>
        <c:lblOffset val="100"/>
        <c:tickLblSkip val="1"/>
        <c:tickMarkSkip val="1"/>
      </c:catAx>
      <c:valAx>
        <c:axId val="106210048"/>
        <c:scaling>
          <c:orientation val="minMax"/>
        </c:scaling>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n-US"/>
                  <a:t>kg</a:t>
                </a:r>
              </a:p>
            </c:rich>
          </c:tx>
          <c:layout>
            <c:manualLayout>
              <c:xMode val="edge"/>
              <c:yMode val="edge"/>
              <c:x val="1.9512195121951219E-2"/>
              <c:y val="0.45786516853932585"/>
            </c:manualLayout>
          </c:layout>
          <c:spPr>
            <a:noFill/>
            <a:ln w="25400">
              <a:noFill/>
            </a:ln>
          </c:spPr>
        </c:title>
        <c:numFmt formatCode="0.0"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06200064"/>
        <c:crosses val="autoZero"/>
        <c:crossBetween val="between"/>
      </c:valAx>
      <c:spPr>
        <a:solidFill>
          <a:srgbClr val="FFFFFF"/>
        </a:solidFill>
        <a:ln w="12700">
          <a:solidFill>
            <a:srgbClr val="808080"/>
          </a:solidFill>
          <a:prstDash val="solid"/>
        </a:ln>
      </c:spPr>
    </c:plotArea>
    <c:legend>
      <c:legendPos val="b"/>
      <c:layout>
        <c:manualLayout>
          <c:xMode val="edge"/>
          <c:yMode val="edge"/>
          <c:x val="0.3560978170411625"/>
          <c:y val="0.9101123595505618"/>
          <c:w val="0.36829293899238202"/>
          <c:h val="7.02247191011236E-2"/>
        </c:manualLayout>
      </c:layout>
      <c:spPr>
        <a:solidFill>
          <a:srgbClr val="FFFFFF"/>
        </a:solidFill>
        <a:ln w="3175">
          <a:solidFill>
            <a:srgbClr val="000000"/>
          </a:solidFill>
          <a:prstDash val="solid"/>
        </a:ln>
      </c:spPr>
      <c:txPr>
        <a:bodyPr/>
        <a:lstStyle/>
        <a:p>
          <a:pPr>
            <a:defRPr sz="96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1" i="0" u="none" strike="noStrike" baseline="0">
                <a:solidFill>
                  <a:srgbClr val="000000"/>
                </a:solidFill>
                <a:latin typeface="Arial"/>
                <a:ea typeface="Arial"/>
                <a:cs typeface="Arial"/>
              </a:defRPr>
            </a:pPr>
            <a:r>
              <a:t>Penetration Rate</a:t>
            </a:r>
          </a:p>
        </c:rich>
      </c:tx>
      <c:layout>
        <c:manualLayout>
          <c:xMode val="edge"/>
          <c:yMode val="edge"/>
          <c:x val="0.42540099873459097"/>
          <c:y val="3.2085561497326207E-2"/>
        </c:manualLayout>
      </c:layout>
      <c:spPr>
        <a:noFill/>
        <a:ln w="25400">
          <a:noFill/>
        </a:ln>
      </c:spPr>
    </c:title>
    <c:plotArea>
      <c:layout>
        <c:manualLayout>
          <c:layoutTarget val="inner"/>
          <c:xMode val="edge"/>
          <c:yMode val="edge"/>
          <c:x val="9.8643709205762806E-2"/>
          <c:y val="0.17647058823529413"/>
          <c:w val="0.88409424375664913"/>
          <c:h val="0.67647058823529416"/>
        </c:manualLayout>
      </c:layout>
      <c:barChart>
        <c:barDir val="col"/>
        <c:grouping val="clustered"/>
        <c:ser>
          <c:idx val="3"/>
          <c:order val="0"/>
          <c:tx>
            <c:strRef>
              <c:f>'Penetration Rate'!$U$49:$U$50</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'Penetration Rate'!$U$51</c:f>
              <c:numCache>
                <c:formatCode>0.00</c:formatCode>
                <c:ptCount val="1"/>
                <c:pt idx="0">
                  <c:v>0.3</c:v>
                </c:pt>
              </c:numCache>
            </c:numRef>
          </c:val>
        </c:ser>
        <c:ser>
          <c:idx val="1"/>
          <c:order val="1"/>
          <c:tx>
            <c:strRef>
              <c:f>'Penetration Rate'!$V$49:$V$50</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'Penetration Rate'!$V$51</c:f>
              <c:numCache>
                <c:formatCode>0.00</c:formatCode>
                <c:ptCount val="1"/>
                <c:pt idx="0">
                  <c:v>0.47200000000000042</c:v>
                </c:pt>
              </c:numCache>
            </c:numRef>
          </c:val>
        </c:ser>
        <c:ser>
          <c:idx val="2"/>
          <c:order val="2"/>
          <c:tx>
            <c:strRef>
              <c:f>'Penetration Rate'!$W$49:$W$50</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'Penetration Rate'!$W$51</c:f>
              <c:numCache>
                <c:formatCode>0.00</c:formatCode>
                <c:ptCount val="1"/>
                <c:pt idx="0">
                  <c:v>0.48400000000000071</c:v>
                </c:pt>
              </c:numCache>
            </c:numRef>
          </c:val>
        </c:ser>
        <c:ser>
          <c:idx val="0"/>
          <c:order val="3"/>
          <c:tx>
            <c:strRef>
              <c:f>'Penetration Rate'!$X$49:$X$50</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'Penetration Rate'!$X$51</c:f>
              <c:numCache>
                <c:formatCode>0.00</c:formatCode>
                <c:ptCount val="1"/>
                <c:pt idx="0">
                  <c:v>0.61700000000000044</c:v>
                </c:pt>
              </c:numCache>
            </c:numRef>
          </c:val>
        </c:ser>
        <c:axId val="126461056"/>
        <c:axId val="126462592"/>
      </c:barChart>
      <c:catAx>
        <c:axId val="126461056"/>
        <c:scaling>
          <c:orientation val="minMax"/>
        </c:scaling>
        <c:delete val="1"/>
        <c:axPos val="b"/>
        <c:tickLblPos val="nextTo"/>
        <c:crossAx val="126462592"/>
        <c:crosses val="autoZero"/>
        <c:auto val="1"/>
        <c:lblAlgn val="ctr"/>
        <c:lblOffset val="100"/>
      </c:catAx>
      <c:valAx>
        <c:axId val="126462592"/>
        <c:scaling>
          <c:orientation val="minMax"/>
          <c:max val="0.8"/>
          <c:min val="0.2"/>
        </c:scaling>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t>m/min</a:t>
                </a:r>
              </a:p>
            </c:rich>
          </c:tx>
          <c:layout>
            <c:manualLayout>
              <c:xMode val="edge"/>
              <c:yMode val="edge"/>
              <c:x val="1.9728729963008632E-2"/>
              <c:y val="0.45454545454545453"/>
            </c:manualLayout>
          </c:layout>
          <c:spPr>
            <a:noFill/>
            <a:ln w="25400">
              <a:noFill/>
            </a:ln>
          </c:spPr>
        </c:title>
        <c:numFmt formatCode="0.00"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26461056"/>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5524057335003286"/>
          <c:y val="0.92513368983957223"/>
          <c:w val="0.82737413063810927"/>
          <c:h val="0.99197860962566853"/>
        </c:manualLayout>
      </c:layout>
      <c:spPr>
        <a:solidFill>
          <a:srgbClr val="FFFFFF"/>
        </a:solidFill>
        <a:ln w="3175">
          <a:solidFill>
            <a:srgbClr val="000000"/>
          </a:solidFill>
          <a:prstDash val="solid"/>
        </a:ln>
      </c:spPr>
      <c:txPr>
        <a:bodyPr/>
        <a:lstStyle/>
        <a:p>
          <a:pPr>
            <a:defRPr sz="96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1" i="0" u="none" strike="noStrike" baseline="0">
                <a:solidFill>
                  <a:srgbClr val="000000"/>
                </a:solidFill>
                <a:latin typeface="Arial"/>
                <a:ea typeface="Arial"/>
                <a:cs typeface="Arial"/>
              </a:defRPr>
            </a:pPr>
            <a:r>
              <a:t>Drilling Time per Hole</a:t>
            </a:r>
          </a:p>
        </c:rich>
      </c:tx>
      <c:layout>
        <c:manualLayout>
          <c:xMode val="edge"/>
          <c:yMode val="edge"/>
          <c:x val="0.41291108404384896"/>
          <c:y val="3.3613445378151259E-2"/>
        </c:manualLayout>
      </c:layout>
      <c:spPr>
        <a:noFill/>
        <a:ln w="25400">
          <a:noFill/>
        </a:ln>
      </c:spPr>
    </c:title>
    <c:plotArea>
      <c:layout>
        <c:manualLayout>
          <c:layoutTarget val="inner"/>
          <c:xMode val="edge"/>
          <c:yMode val="edge"/>
          <c:x val="9.2570036540803896E-2"/>
          <c:y val="0.17647107096647127"/>
          <c:w val="0.8903775883069428"/>
          <c:h val="0.67507187464951701"/>
        </c:manualLayout>
      </c:layout>
      <c:barChart>
        <c:barDir val="col"/>
        <c:grouping val="clustered"/>
        <c:ser>
          <c:idx val="0"/>
          <c:order val="0"/>
          <c:tx>
            <c:strRef>
              <c:f>'Drilling Time per Hole'!$U$54:$U$55</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1000" b="1" i="0" u="none" strike="noStrike" baseline="0">
                    <a:solidFill>
                      <a:srgbClr val="000000"/>
                    </a:solidFill>
                    <a:latin typeface="Arial"/>
                    <a:ea typeface="Arial"/>
                    <a:cs typeface="Arial"/>
                  </a:defRPr>
                </a:pPr>
                <a:endParaRPr lang="en-US"/>
              </a:p>
            </c:txPr>
            <c:showVal val="1"/>
          </c:dLbls>
          <c:val>
            <c:numRef>
              <c:f>'Drilling Time per Hole'!$U$56</c:f>
              <c:numCache>
                <c:formatCode>0.00</c:formatCode>
                <c:ptCount val="1"/>
                <c:pt idx="0">
                  <c:v>4</c:v>
                </c:pt>
              </c:numCache>
            </c:numRef>
          </c:val>
        </c:ser>
        <c:ser>
          <c:idx val="1"/>
          <c:order val="1"/>
          <c:tx>
            <c:strRef>
              <c:f>'Drilling Time per Hole'!$V$54:$V$55</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1000" b="1" i="0" u="none" strike="noStrike" baseline="0">
                    <a:solidFill>
                      <a:srgbClr val="000000"/>
                    </a:solidFill>
                    <a:latin typeface="Arial"/>
                    <a:ea typeface="Arial"/>
                    <a:cs typeface="Arial"/>
                  </a:defRPr>
                </a:pPr>
                <a:endParaRPr lang="en-US"/>
              </a:p>
            </c:txPr>
            <c:showVal val="1"/>
          </c:dLbls>
          <c:val>
            <c:numRef>
              <c:f>'Drilling Time per Hole'!$V$56</c:f>
              <c:numCache>
                <c:formatCode>0.00</c:formatCode>
                <c:ptCount val="1"/>
                <c:pt idx="0">
                  <c:v>2.9999999999999996</c:v>
                </c:pt>
              </c:numCache>
            </c:numRef>
          </c:val>
        </c:ser>
        <c:ser>
          <c:idx val="2"/>
          <c:order val="2"/>
          <c:tx>
            <c:strRef>
              <c:f>'Drilling Time per Hole'!$W$54:$W$55</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1000" b="1" i="0" u="none" strike="noStrike" baseline="0">
                    <a:solidFill>
                      <a:srgbClr val="000000"/>
                    </a:solidFill>
                    <a:latin typeface="Arial"/>
                    <a:ea typeface="Arial"/>
                    <a:cs typeface="Arial"/>
                  </a:defRPr>
                </a:pPr>
                <a:endParaRPr lang="en-US"/>
              </a:p>
            </c:txPr>
            <c:showVal val="1"/>
          </c:dLbls>
          <c:val>
            <c:numRef>
              <c:f>'Drilling Time per Hole'!$W$56</c:f>
              <c:numCache>
                <c:formatCode>0.00</c:formatCode>
                <c:ptCount val="1"/>
                <c:pt idx="0">
                  <c:v>2.6086956521739126</c:v>
                </c:pt>
              </c:numCache>
            </c:numRef>
          </c:val>
        </c:ser>
        <c:ser>
          <c:idx val="3"/>
          <c:order val="3"/>
          <c:tx>
            <c:strRef>
              <c:f>'Drilling Time per Hole'!$X$54:$X$55</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1000" b="1" i="0" u="none" strike="noStrike" baseline="0">
                    <a:solidFill>
                      <a:srgbClr val="000000"/>
                    </a:solidFill>
                    <a:latin typeface="Arial"/>
                    <a:ea typeface="Arial"/>
                    <a:cs typeface="Arial"/>
                  </a:defRPr>
                </a:pPr>
                <a:endParaRPr lang="en-US"/>
              </a:p>
            </c:txPr>
            <c:showVal val="1"/>
          </c:dLbls>
          <c:val>
            <c:numRef>
              <c:f>'Drilling Time per Hole'!$X$56</c:f>
              <c:numCache>
                <c:formatCode>0.00</c:formatCode>
                <c:ptCount val="1"/>
                <c:pt idx="0">
                  <c:v>2.1428571428571428</c:v>
                </c:pt>
              </c:numCache>
            </c:numRef>
          </c:val>
        </c:ser>
        <c:axId val="125667584"/>
        <c:axId val="125681664"/>
      </c:barChart>
      <c:catAx>
        <c:axId val="125667584"/>
        <c:scaling>
          <c:orientation val="minMax"/>
        </c:scaling>
        <c:delete val="1"/>
        <c:axPos val="b"/>
        <c:tickLblPos val="nextTo"/>
        <c:crossAx val="125681664"/>
        <c:crosses val="autoZero"/>
        <c:auto val="1"/>
        <c:lblAlgn val="ctr"/>
        <c:lblOffset val="100"/>
      </c:catAx>
      <c:valAx>
        <c:axId val="125681664"/>
        <c:scaling>
          <c:orientation val="minMax"/>
          <c:max val="4.5"/>
          <c:min val="1"/>
        </c:scaling>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t>minutes</a:t>
                </a:r>
              </a:p>
            </c:rich>
          </c:tx>
          <c:layout>
            <c:manualLayout>
              <c:xMode val="edge"/>
              <c:yMode val="edge"/>
              <c:x val="1.9488428745432398E-2"/>
              <c:y val="0.43697596623951418"/>
            </c:manualLayout>
          </c:layout>
          <c:spPr>
            <a:noFill/>
            <a:ln w="25400">
              <a:noFill/>
            </a:ln>
          </c:spPr>
        </c:title>
        <c:numFmt formatCode="0.00" sourceLinked="1"/>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25667584"/>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7892813641900122"/>
          <c:y val="0.91316761875353814"/>
          <c:w val="0.79537149817295982"/>
          <c:h val="0.98039480359072761"/>
        </c:manualLayout>
      </c:layout>
      <c:spPr>
        <a:solidFill>
          <a:srgbClr val="FFFFFF"/>
        </a:solidFill>
        <a:ln w="3175">
          <a:solidFill>
            <a:srgbClr val="000000"/>
          </a:solidFill>
          <a:prstDash val="solid"/>
        </a:ln>
      </c:spPr>
      <c:txPr>
        <a:bodyPr/>
        <a:lstStyle/>
        <a:p>
          <a:pPr>
            <a:defRPr sz="92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0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1" i="0" u="none" strike="noStrike" baseline="0">
                <a:solidFill>
                  <a:srgbClr val="000000"/>
                </a:solidFill>
                <a:latin typeface="Arial"/>
                <a:ea typeface="Arial"/>
                <a:cs typeface="Arial"/>
              </a:defRPr>
            </a:pPr>
            <a:r>
              <a:t>Drilling Shift Length</a:t>
            </a:r>
          </a:p>
        </c:rich>
      </c:tx>
      <c:layout>
        <c:manualLayout>
          <c:xMode val="edge"/>
          <c:yMode val="edge"/>
          <c:x val="0.41341489021189426"/>
          <c:y val="3.2085561497326207E-2"/>
        </c:manualLayout>
      </c:layout>
      <c:spPr>
        <a:noFill/>
        <a:ln w="25400">
          <a:noFill/>
        </a:ln>
      </c:spPr>
    </c:title>
    <c:plotArea>
      <c:layout>
        <c:manualLayout>
          <c:layoutTarget val="inner"/>
          <c:xMode val="edge"/>
          <c:yMode val="edge"/>
          <c:x val="9.7561033703931085E-2"/>
          <c:y val="0.17647058823529413"/>
          <c:w val="0.88536638086317454"/>
          <c:h val="0.67647058823529416"/>
        </c:manualLayout>
      </c:layout>
      <c:barChart>
        <c:barDir val="col"/>
        <c:grouping val="clustered"/>
        <c:ser>
          <c:idx val="3"/>
          <c:order val="0"/>
          <c:tx>
            <c:strRef>
              <c:f>'Drilling Shift Length'!$U$59:$U$60</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'Drilling Shift Length'!$U$62</c:f>
              <c:numCache>
                <c:formatCode>0.00</c:formatCode>
                <c:ptCount val="1"/>
                <c:pt idx="0">
                  <c:v>2.6666666666666665</c:v>
                </c:pt>
              </c:numCache>
            </c:numRef>
          </c:val>
        </c:ser>
        <c:ser>
          <c:idx val="1"/>
          <c:order val="1"/>
          <c:tx>
            <c:strRef>
              <c:f>'Drilling Shift Length'!$V$59:$V$60</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'Drilling Shift Length'!$V$62</c:f>
              <c:numCache>
                <c:formatCode>0.00</c:formatCode>
                <c:ptCount val="1"/>
                <c:pt idx="0">
                  <c:v>1.9999999999999996</c:v>
                </c:pt>
              </c:numCache>
            </c:numRef>
          </c:val>
        </c:ser>
        <c:ser>
          <c:idx val="2"/>
          <c:order val="2"/>
          <c:tx>
            <c:strRef>
              <c:f>'Drilling Shift Length'!$W$59:$W$60</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'Drilling Shift Length'!$W$62</c:f>
              <c:numCache>
                <c:formatCode>0.00</c:formatCode>
                <c:ptCount val="1"/>
                <c:pt idx="0">
                  <c:v>1.7391304347826084</c:v>
                </c:pt>
              </c:numCache>
            </c:numRef>
          </c:val>
        </c:ser>
        <c:ser>
          <c:idx val="0"/>
          <c:order val="3"/>
          <c:tx>
            <c:strRef>
              <c:f>'Drilling Shift Length'!$X$59:$X$60</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'Drilling Shift Length'!$X$62</c:f>
              <c:numCache>
                <c:formatCode>0.00</c:formatCode>
                <c:ptCount val="1"/>
                <c:pt idx="0">
                  <c:v>1.4285714285714284</c:v>
                </c:pt>
              </c:numCache>
            </c:numRef>
          </c:val>
        </c:ser>
        <c:axId val="125616128"/>
        <c:axId val="125617664"/>
      </c:barChart>
      <c:catAx>
        <c:axId val="125616128"/>
        <c:scaling>
          <c:orientation val="minMax"/>
        </c:scaling>
        <c:delete val="1"/>
        <c:axPos val="b"/>
        <c:tickLblPos val="nextTo"/>
        <c:crossAx val="125617664"/>
        <c:crosses val="autoZero"/>
        <c:auto val="1"/>
        <c:lblAlgn val="ctr"/>
        <c:lblOffset val="100"/>
      </c:catAx>
      <c:valAx>
        <c:axId val="125617664"/>
        <c:scaling>
          <c:orientation val="minMax"/>
          <c:min val="0.5"/>
        </c:scaling>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t>hours</a:t>
                </a:r>
              </a:p>
            </c:rich>
          </c:tx>
          <c:layout>
            <c:manualLayout>
              <c:xMode val="edge"/>
              <c:yMode val="edge"/>
              <c:x val="1.9512195121951219E-2"/>
              <c:y val="0.45454545454545453"/>
            </c:manualLayout>
          </c:layout>
          <c:spPr>
            <a:noFill/>
            <a:ln w="25400">
              <a:noFill/>
            </a:ln>
          </c:spPr>
        </c:title>
        <c:numFmt formatCode="0.00"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25616128"/>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5731720120350809"/>
          <c:y val="0.91443850267379678"/>
          <c:w val="0.82317124383842266"/>
          <c:h val="0.98128342245989308"/>
        </c:manualLayout>
      </c:layout>
      <c:spPr>
        <a:solidFill>
          <a:srgbClr val="FFFFFF"/>
        </a:solidFill>
        <a:ln w="3175">
          <a:solidFill>
            <a:srgbClr val="000000"/>
          </a:solidFill>
          <a:prstDash val="solid"/>
        </a:ln>
      </c:spPr>
      <c:txPr>
        <a:bodyPr/>
        <a:lstStyle/>
        <a:p>
          <a:pPr>
            <a:defRPr sz="96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1" i="0" u="none" strike="noStrike" baseline="0">
                <a:solidFill>
                  <a:srgbClr val="000000"/>
                </a:solidFill>
                <a:latin typeface="Arial"/>
                <a:ea typeface="Arial"/>
                <a:cs typeface="Arial"/>
              </a:defRPr>
            </a:pPr>
            <a:r>
              <a:t>Rock Drill Energy Consumption - ( kWh/m )</a:t>
            </a:r>
          </a:p>
        </c:rich>
      </c:tx>
      <c:layout>
        <c:manualLayout>
          <c:xMode val="edge"/>
          <c:yMode val="edge"/>
          <c:x val="0.31868170324863238"/>
          <c:y val="3.2085561497326207E-2"/>
        </c:manualLayout>
      </c:layout>
      <c:spPr>
        <a:noFill/>
        <a:ln w="25400">
          <a:noFill/>
        </a:ln>
      </c:spPr>
    </c:title>
    <c:plotArea>
      <c:layout>
        <c:manualLayout>
          <c:layoutTarget val="inner"/>
          <c:xMode val="edge"/>
          <c:yMode val="edge"/>
          <c:x val="0.10744823556766489"/>
          <c:y val="0.17647058823529413"/>
          <c:w val="0.87545891934108777"/>
          <c:h val="0.67647058823529416"/>
        </c:manualLayout>
      </c:layout>
      <c:barChart>
        <c:barDir val="col"/>
        <c:grouping val="clustered"/>
        <c:ser>
          <c:idx val="3"/>
          <c:order val="0"/>
          <c:tx>
            <c:strRef>
              <c:f>'Consum - RD kWhm Usage'!$V$213:$V$214</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'Consum - RD kWhm Usage'!$V$215</c:f>
              <c:numCache>
                <c:formatCode>0.000</c:formatCode>
                <c:ptCount val="1"/>
                <c:pt idx="0">
                  <c:v>0.107</c:v>
                </c:pt>
              </c:numCache>
            </c:numRef>
          </c:val>
        </c:ser>
        <c:ser>
          <c:idx val="1"/>
          <c:order val="1"/>
          <c:tx>
            <c:strRef>
              <c:f>'Consum - RD kWhm Usage'!$W$213:$W$214</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'Consum - RD kWhm Usage'!$W$215</c:f>
              <c:numCache>
                <c:formatCode>0.000</c:formatCode>
                <c:ptCount val="1"/>
                <c:pt idx="0">
                  <c:v>0.13</c:v>
                </c:pt>
              </c:numCache>
            </c:numRef>
          </c:val>
        </c:ser>
        <c:ser>
          <c:idx val="2"/>
          <c:order val="2"/>
          <c:tx>
            <c:strRef>
              <c:f>'Consum - RD kWhm Usage'!$X$213:$X$214</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'Consum - RD kWhm Usage'!$X$215</c:f>
              <c:numCache>
                <c:formatCode>0.000</c:formatCode>
                <c:ptCount val="1"/>
                <c:pt idx="0">
                  <c:v>0.14799999999999999</c:v>
                </c:pt>
              </c:numCache>
            </c:numRef>
          </c:val>
        </c:ser>
        <c:ser>
          <c:idx val="0"/>
          <c:order val="3"/>
          <c:tx>
            <c:strRef>
              <c:f>'Consum - RD kWhm Usage'!$Y$213:$Y$214</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'Consum - RD kWhm Usage'!$Y$215</c:f>
              <c:numCache>
                <c:formatCode>0.000</c:formatCode>
                <c:ptCount val="1"/>
                <c:pt idx="0">
                  <c:v>0.1</c:v>
                </c:pt>
              </c:numCache>
            </c:numRef>
          </c:val>
        </c:ser>
        <c:axId val="125463168"/>
        <c:axId val="125489536"/>
      </c:barChart>
      <c:catAx>
        <c:axId val="125463168"/>
        <c:scaling>
          <c:orientation val="minMax"/>
        </c:scaling>
        <c:delete val="1"/>
        <c:axPos val="b"/>
        <c:tickLblPos val="nextTo"/>
        <c:crossAx val="125489536"/>
        <c:crosses val="autoZero"/>
        <c:auto val="1"/>
        <c:lblAlgn val="ctr"/>
        <c:lblOffset val="100"/>
      </c:catAx>
      <c:valAx>
        <c:axId val="125489536"/>
        <c:scaling>
          <c:orientation val="minMax"/>
          <c:max val="0.16"/>
          <c:min val="0.06"/>
        </c:scaling>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t>kWh/m</a:t>
                </a:r>
              </a:p>
            </c:rich>
          </c:tx>
          <c:layout>
            <c:manualLayout>
              <c:xMode val="edge"/>
              <c:yMode val="edge"/>
              <c:x val="1.9536019536019536E-2"/>
              <c:y val="0.446524064171123"/>
            </c:manualLayout>
          </c:layout>
          <c:spPr>
            <a:noFill/>
            <a:ln w="25400">
              <a:noFill/>
            </a:ln>
          </c:spPr>
        </c:title>
        <c:numFmt formatCode="0.000"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25463168"/>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6129451767247042"/>
          <c:y val="0.91443850267379678"/>
          <c:w val="0.82783972516255977"/>
          <c:h val="0.98128342245989308"/>
        </c:manualLayout>
      </c:layout>
      <c:spPr>
        <a:solidFill>
          <a:srgbClr val="FFFFFF"/>
        </a:solidFill>
        <a:ln w="3175">
          <a:solidFill>
            <a:srgbClr val="000000"/>
          </a:solidFill>
          <a:prstDash val="solid"/>
        </a:ln>
      </c:spPr>
      <c:txPr>
        <a:bodyPr/>
        <a:lstStyle/>
        <a:p>
          <a:pPr>
            <a:defRPr sz="96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1" i="0" u="none" strike="noStrike" baseline="0">
                <a:solidFill>
                  <a:srgbClr val="000000"/>
                </a:solidFill>
                <a:latin typeface="Arial"/>
                <a:ea typeface="Arial"/>
                <a:cs typeface="Arial"/>
              </a:defRPr>
            </a:pPr>
            <a:r>
              <a:t>Consumable - Energy Consumption Per Shift - At Rock Drills</a:t>
            </a:r>
          </a:p>
        </c:rich>
      </c:tx>
      <c:layout>
        <c:manualLayout>
          <c:xMode val="edge"/>
          <c:yMode val="edge"/>
          <c:x val="0.24390256705716662"/>
          <c:y val="3.2085561497326207E-2"/>
        </c:manualLayout>
      </c:layout>
      <c:spPr>
        <a:noFill/>
        <a:ln w="25400">
          <a:noFill/>
        </a:ln>
      </c:spPr>
    </c:title>
    <c:plotArea>
      <c:layout>
        <c:manualLayout>
          <c:layoutTarget val="inner"/>
          <c:xMode val="edge"/>
          <c:yMode val="edge"/>
          <c:x val="0.10243908538912763"/>
          <c:y val="0.17647058823529413"/>
          <c:w val="0.88048832917797804"/>
          <c:h val="0.67647058823529416"/>
        </c:manualLayout>
      </c:layout>
      <c:barChart>
        <c:barDir val="col"/>
        <c:grouping val="clustered"/>
        <c:ser>
          <c:idx val="3"/>
          <c:order val="0"/>
          <c:tx>
            <c:strRef>
              <c:f>'Consum - RD''s Energy per Shift'!$V$213:$V$214</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'Consum - RD''s Energy per Shift'!$V$220</c:f>
              <c:numCache>
                <c:formatCode>0</c:formatCode>
                <c:ptCount val="1"/>
                <c:pt idx="0">
                  <c:v>821.75999999999988</c:v>
                </c:pt>
              </c:numCache>
            </c:numRef>
          </c:val>
        </c:ser>
        <c:ser>
          <c:idx val="1"/>
          <c:order val="1"/>
          <c:tx>
            <c:strRef>
              <c:f>'Consum - RD''s Energy per Shift'!$W$213:$W$214</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'Consum - RD''s Energy per Shift'!$W$220</c:f>
              <c:numCache>
                <c:formatCode>0</c:formatCode>
                <c:ptCount val="1"/>
                <c:pt idx="0">
                  <c:v>998.40000000000009</c:v>
                </c:pt>
              </c:numCache>
            </c:numRef>
          </c:val>
        </c:ser>
        <c:ser>
          <c:idx val="2"/>
          <c:order val="2"/>
          <c:tx>
            <c:strRef>
              <c:f>'Consum - RD''s Energy per Shift'!$X$213:$X$214</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'Consum - RD''s Energy per Shift'!$X$220</c:f>
              <c:numCache>
                <c:formatCode>0</c:formatCode>
                <c:ptCount val="1"/>
                <c:pt idx="0">
                  <c:v>1136.6399999999999</c:v>
                </c:pt>
              </c:numCache>
            </c:numRef>
          </c:val>
        </c:ser>
        <c:ser>
          <c:idx val="0"/>
          <c:order val="3"/>
          <c:tx>
            <c:strRef>
              <c:f>'Consum - RD''s Energy per Shift'!$Y$213:$Y$214</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'Consum - RD''s Energy per Shift'!$Y$220</c:f>
              <c:numCache>
                <c:formatCode>0</c:formatCode>
                <c:ptCount val="1"/>
                <c:pt idx="0">
                  <c:v>768</c:v>
                </c:pt>
              </c:numCache>
            </c:numRef>
          </c:val>
        </c:ser>
        <c:axId val="125555840"/>
        <c:axId val="125557376"/>
      </c:barChart>
      <c:catAx>
        <c:axId val="125555840"/>
        <c:scaling>
          <c:orientation val="minMax"/>
        </c:scaling>
        <c:delete val="1"/>
        <c:axPos val="b"/>
        <c:tickLblPos val="nextTo"/>
        <c:crossAx val="125557376"/>
        <c:crosses val="autoZero"/>
        <c:auto val="1"/>
        <c:lblAlgn val="ctr"/>
        <c:lblOffset val="100"/>
      </c:catAx>
      <c:valAx>
        <c:axId val="125557376"/>
        <c:scaling>
          <c:orientation val="minMax"/>
          <c:min val="200"/>
        </c:scaling>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t>kWh</a:t>
                </a:r>
              </a:p>
            </c:rich>
          </c:tx>
          <c:layout>
            <c:manualLayout>
              <c:xMode val="edge"/>
              <c:yMode val="edge"/>
              <c:x val="1.9512195121951219E-2"/>
              <c:y val="0.46791443850267378"/>
            </c:manualLayout>
          </c:layout>
          <c:spPr>
            <a:noFill/>
            <a:ln w="25400">
              <a:noFill/>
            </a:ln>
          </c:spPr>
        </c:title>
        <c:numFmt formatCode="0"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25555840"/>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59756225593752"/>
          <c:y val="0.91443850267379678"/>
          <c:w val="0.82561026822866657"/>
          <c:h val="0.98128342245989308"/>
        </c:manualLayout>
      </c:layout>
      <c:spPr>
        <a:solidFill>
          <a:srgbClr val="FFFFFF"/>
        </a:solidFill>
        <a:ln w="3175">
          <a:solidFill>
            <a:srgbClr val="000000"/>
          </a:solidFill>
          <a:prstDash val="solid"/>
        </a:ln>
      </c:spPr>
      <c:txPr>
        <a:bodyPr/>
        <a:lstStyle/>
        <a:p>
          <a:pPr>
            <a:defRPr sz="96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75" b="1" i="0" u="none" strike="noStrike" baseline="0">
                <a:solidFill>
                  <a:srgbClr val="000000"/>
                </a:solidFill>
                <a:latin typeface="Arial"/>
                <a:ea typeface="Arial"/>
                <a:cs typeface="Arial"/>
              </a:defRPr>
            </a:pPr>
            <a:r>
              <a:t>Consumable - Compressor Energy VS Electric Drilling - Input Power per Shift</a:t>
            </a:r>
          </a:p>
        </c:rich>
      </c:tx>
      <c:layout>
        <c:manualLayout>
          <c:xMode val="edge"/>
          <c:yMode val="edge"/>
          <c:x val="0.16995073891625614"/>
          <c:y val="3.2085561497326207E-2"/>
        </c:manualLayout>
      </c:layout>
      <c:spPr>
        <a:noFill/>
        <a:ln w="25400">
          <a:noFill/>
        </a:ln>
      </c:spPr>
    </c:title>
    <c:plotArea>
      <c:layout>
        <c:manualLayout>
          <c:layoutTarget val="inner"/>
          <c:xMode val="edge"/>
          <c:yMode val="edge"/>
          <c:x val="0.12807881773399016"/>
          <c:y val="0.17647058823529413"/>
          <c:w val="0.85467980295566504"/>
          <c:h val="0.67647058823529416"/>
        </c:manualLayout>
      </c:layout>
      <c:barChart>
        <c:barDir val="col"/>
        <c:grouping val="clustered"/>
        <c:ser>
          <c:idx val="3"/>
          <c:order val="0"/>
          <c:tx>
            <c:strRef>
              <c:f>'Consum - Energy Input'!$U$162:$U$163</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1075" b="1" i="0" u="none" strike="noStrike" baseline="0">
                    <a:solidFill>
                      <a:srgbClr val="000000"/>
                    </a:solidFill>
                    <a:latin typeface="Arial"/>
                    <a:ea typeface="Arial"/>
                    <a:cs typeface="Arial"/>
                  </a:defRPr>
                </a:pPr>
                <a:endParaRPr lang="en-US"/>
              </a:p>
            </c:txPr>
            <c:showVal val="1"/>
          </c:dLbls>
          <c:val>
            <c:numRef>
              <c:f>'Consum - Energy Input'!$U$164</c:f>
              <c:numCache>
                <c:formatCode>#,##0</c:formatCode>
                <c:ptCount val="1"/>
                <c:pt idx="0">
                  <c:v>938.66666666666674</c:v>
                </c:pt>
              </c:numCache>
            </c:numRef>
          </c:val>
        </c:ser>
        <c:ser>
          <c:idx val="1"/>
          <c:order val="1"/>
          <c:tx>
            <c:strRef>
              <c:f>'Consum - Energy Input'!$V$162:$V$163</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1075" b="1" i="0" u="none" strike="noStrike" baseline="0">
                    <a:solidFill>
                      <a:srgbClr val="000000"/>
                    </a:solidFill>
                    <a:latin typeface="Arial"/>
                    <a:ea typeface="Arial"/>
                    <a:cs typeface="Arial"/>
                  </a:defRPr>
                </a:pPr>
                <a:endParaRPr lang="en-US"/>
              </a:p>
            </c:txPr>
            <c:showVal val="1"/>
          </c:dLbls>
          <c:val>
            <c:numRef>
              <c:f>'Consum - Energy Input'!$V$164</c:f>
              <c:numCache>
                <c:formatCode>#,##0</c:formatCode>
                <c:ptCount val="1"/>
                <c:pt idx="0">
                  <c:v>75999.999999999985</c:v>
                </c:pt>
              </c:numCache>
            </c:numRef>
          </c:val>
        </c:ser>
        <c:ser>
          <c:idx val="2"/>
          <c:order val="2"/>
          <c:tx>
            <c:strRef>
              <c:f>'Consum - Energy Input'!$W$162:$W$163</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1075" b="1" i="0" u="none" strike="noStrike" baseline="0">
                    <a:solidFill>
                      <a:srgbClr val="000000"/>
                    </a:solidFill>
                    <a:latin typeface="Arial"/>
                    <a:ea typeface="Arial"/>
                    <a:cs typeface="Arial"/>
                  </a:defRPr>
                </a:pPr>
                <a:endParaRPr lang="en-US"/>
              </a:p>
            </c:txPr>
            <c:showVal val="1"/>
          </c:dLbls>
          <c:val>
            <c:numRef>
              <c:f>'Consum - Energy Input'!$W$164</c:f>
              <c:numCache>
                <c:formatCode>#,##0</c:formatCode>
                <c:ptCount val="1"/>
                <c:pt idx="0">
                  <c:v>66086.956521739121</c:v>
                </c:pt>
              </c:numCache>
            </c:numRef>
          </c:val>
        </c:ser>
        <c:ser>
          <c:idx val="0"/>
          <c:order val="3"/>
          <c:tx>
            <c:strRef>
              <c:f>'Consum - Energy Input'!$X$162:$X$163</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1075" b="1" i="0" u="none" strike="noStrike" baseline="0">
                    <a:solidFill>
                      <a:srgbClr val="000000"/>
                    </a:solidFill>
                    <a:latin typeface="Arial"/>
                    <a:ea typeface="Arial"/>
                    <a:cs typeface="Arial"/>
                  </a:defRPr>
                </a:pPr>
                <a:endParaRPr lang="en-US"/>
              </a:p>
            </c:txPr>
            <c:showVal val="1"/>
          </c:dLbls>
          <c:val>
            <c:numRef>
              <c:f>'Consum - Energy Input'!$X$164</c:f>
              <c:numCache>
                <c:formatCode>#,##0</c:formatCode>
                <c:ptCount val="1"/>
                <c:pt idx="0">
                  <c:v>54285.714285714275</c:v>
                </c:pt>
              </c:numCache>
            </c:numRef>
          </c:val>
        </c:ser>
        <c:axId val="125432192"/>
        <c:axId val="125433728"/>
      </c:barChart>
      <c:catAx>
        <c:axId val="125432192"/>
        <c:scaling>
          <c:orientation val="minMax"/>
        </c:scaling>
        <c:delete val="1"/>
        <c:axPos val="b"/>
        <c:tickLblPos val="nextTo"/>
        <c:crossAx val="125433728"/>
        <c:crossesAt val="0"/>
        <c:auto val="1"/>
        <c:lblAlgn val="ctr"/>
        <c:lblOffset val="100"/>
      </c:catAx>
      <c:valAx>
        <c:axId val="125433728"/>
        <c:scaling>
          <c:orientation val="minMax"/>
          <c:max val="500000"/>
          <c:min val="0"/>
        </c:scaling>
        <c:axPos val="l"/>
        <c:majorGridlines>
          <c:spPr>
            <a:ln w="3175">
              <a:solidFill>
                <a:srgbClr val="000000"/>
              </a:solidFill>
              <a:prstDash val="solid"/>
            </a:ln>
          </c:spPr>
        </c:majorGridlines>
        <c:title>
          <c:tx>
            <c:rich>
              <a:bodyPr/>
              <a:lstStyle/>
              <a:p>
                <a:pPr>
                  <a:defRPr sz="1075" b="1" i="0" u="none" strike="noStrike" baseline="0">
                    <a:solidFill>
                      <a:srgbClr val="000000"/>
                    </a:solidFill>
                    <a:latin typeface="Arial"/>
                    <a:ea typeface="Arial"/>
                    <a:cs typeface="Arial"/>
                  </a:defRPr>
                </a:pPr>
                <a:r>
                  <a:t>kWh</a:t>
                </a:r>
              </a:p>
            </c:rich>
          </c:tx>
          <c:layout>
            <c:manualLayout>
              <c:xMode val="edge"/>
              <c:yMode val="edge"/>
              <c:x val="1.9704433497536946E-2"/>
              <c:y val="0.46791443850267378"/>
            </c:manualLayout>
          </c:layout>
          <c:spPr>
            <a:noFill/>
            <a:ln w="25400">
              <a:noFill/>
            </a:ln>
          </c:spPr>
        </c:title>
        <c:numFmt formatCode="#,##0" sourceLinked="1"/>
        <c:tickLblPos val="nextTo"/>
        <c:spPr>
          <a:ln w="3175">
            <a:solidFill>
              <a:srgbClr val="000000"/>
            </a:solidFill>
            <a:prstDash val="solid"/>
          </a:ln>
        </c:spPr>
        <c:txPr>
          <a:bodyPr rot="0" vert="horz"/>
          <a:lstStyle/>
          <a:p>
            <a:pPr>
              <a:defRPr sz="1075" b="1" i="0" u="none" strike="noStrike" baseline="0">
                <a:solidFill>
                  <a:srgbClr val="000000"/>
                </a:solidFill>
                <a:latin typeface="Arial"/>
                <a:ea typeface="Arial"/>
                <a:cs typeface="Arial"/>
              </a:defRPr>
            </a:pPr>
            <a:endParaRPr lang="en-US"/>
          </a:p>
        </c:txPr>
        <c:crossAx val="125432192"/>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6970443349753692"/>
          <c:y val="0.91443850267379678"/>
          <c:w val="0.84113300492610832"/>
          <c:h val="0.98128342245989308"/>
        </c:manualLayout>
      </c:layout>
      <c:spPr>
        <a:solidFill>
          <a:srgbClr val="FFFFFF"/>
        </a:solidFill>
        <a:ln w="3175">
          <a:solidFill>
            <a:srgbClr val="000000"/>
          </a:solidFill>
          <a:prstDash val="solid"/>
        </a:ln>
      </c:spPr>
      <c:txPr>
        <a:bodyPr/>
        <a:lstStyle/>
        <a:p>
          <a:pPr>
            <a:defRPr sz="98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75"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1" i="0" u="none" strike="noStrike" baseline="0">
                <a:solidFill>
                  <a:srgbClr val="000000"/>
                </a:solidFill>
                <a:latin typeface="Arial"/>
                <a:ea typeface="Arial"/>
                <a:cs typeface="Arial"/>
              </a:defRPr>
            </a:pPr>
            <a:r>
              <a:t>Compressed Air System Efficiency</a:t>
            </a:r>
          </a:p>
        </c:rich>
      </c:tx>
      <c:layout>
        <c:manualLayout>
          <c:xMode val="edge"/>
          <c:yMode val="edge"/>
          <c:x val="0.3524392804557967"/>
          <c:y val="3.2085561497326207E-2"/>
        </c:manualLayout>
      </c:layout>
      <c:spPr>
        <a:noFill/>
        <a:ln w="25400">
          <a:noFill/>
        </a:ln>
      </c:spPr>
    </c:title>
    <c:plotArea>
      <c:layout>
        <c:manualLayout>
          <c:layoutTarget val="inner"/>
          <c:xMode val="edge"/>
          <c:yMode val="edge"/>
          <c:x val="0.10000005954652937"/>
          <c:y val="0.17647058823529413"/>
          <c:w val="0.88292735502057629"/>
          <c:h val="0.67647058823529416"/>
        </c:manualLayout>
      </c:layout>
      <c:barChart>
        <c:barDir val="col"/>
        <c:grouping val="clustered"/>
        <c:ser>
          <c:idx val="1"/>
          <c:order val="0"/>
          <c:tx>
            <c:strRef>
              <c:f>'Comp Air Sys Eff'!$W$213:$W$214</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'Comp Air Sys Eff'!$W$231</c:f>
              <c:numCache>
                <c:formatCode>0.0%</c:formatCode>
                <c:ptCount val="1"/>
                <c:pt idx="0">
                  <c:v>1.3000000000000001E-2</c:v>
                </c:pt>
              </c:numCache>
            </c:numRef>
          </c:val>
        </c:ser>
        <c:ser>
          <c:idx val="2"/>
          <c:order val="1"/>
          <c:tx>
            <c:strRef>
              <c:f>'Comp Air Sys Eff'!$X$213:$X$214</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'Comp Air Sys Eff'!$X$231</c:f>
              <c:numCache>
                <c:formatCode>0.0%</c:formatCode>
                <c:ptCount val="1"/>
                <c:pt idx="0">
                  <c:v>1.4799999999999999E-2</c:v>
                </c:pt>
              </c:numCache>
            </c:numRef>
          </c:val>
        </c:ser>
        <c:ser>
          <c:idx val="0"/>
          <c:order val="2"/>
          <c:tx>
            <c:strRef>
              <c:f>'Comp Air Sys Eff'!$Y$213:$Y$214</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'Comp Air Sys Eff'!$Y$231</c:f>
              <c:numCache>
                <c:formatCode>0.0%</c:formatCode>
                <c:ptCount val="1"/>
                <c:pt idx="0">
                  <c:v>0.01</c:v>
                </c:pt>
              </c:numCache>
            </c:numRef>
          </c:val>
        </c:ser>
        <c:axId val="125285888"/>
        <c:axId val="125287424"/>
      </c:barChart>
      <c:catAx>
        <c:axId val="125285888"/>
        <c:scaling>
          <c:orientation val="minMax"/>
        </c:scaling>
        <c:delete val="1"/>
        <c:axPos val="b"/>
        <c:tickLblPos val="nextTo"/>
        <c:crossAx val="125287424"/>
        <c:crosses val="autoZero"/>
        <c:auto val="1"/>
        <c:lblAlgn val="ctr"/>
        <c:lblOffset val="100"/>
      </c:catAx>
      <c:valAx>
        <c:axId val="125287424"/>
        <c:scaling>
          <c:orientation val="minMax"/>
          <c:max val="1.6E-2"/>
          <c:min val="6.0000000000000001E-3"/>
        </c:scaling>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t>%</a:t>
                </a:r>
              </a:p>
            </c:rich>
          </c:tx>
          <c:layout>
            <c:manualLayout>
              <c:xMode val="edge"/>
              <c:yMode val="edge"/>
              <c:x val="1.9512195121951219E-2"/>
              <c:y val="0.49465240641711228"/>
            </c:manualLayout>
          </c:layout>
          <c:spPr>
            <a:noFill/>
            <a:ln w="25400">
              <a:noFill/>
            </a:ln>
          </c:spPr>
        </c:title>
        <c:numFmt formatCode="0.0%"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25285888"/>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32804903655335765"/>
          <c:y val="0.91443850267379678"/>
          <c:w val="0.75487856091159333"/>
          <c:h val="0.98128342245989308"/>
        </c:manualLayout>
      </c:layout>
      <c:spPr>
        <a:solidFill>
          <a:srgbClr val="FFFFFF"/>
        </a:solidFill>
        <a:ln w="3175">
          <a:solidFill>
            <a:srgbClr val="000000"/>
          </a:solidFill>
          <a:prstDash val="solid"/>
        </a:ln>
      </c:spPr>
      <c:txPr>
        <a:bodyPr/>
        <a:lstStyle/>
        <a:p>
          <a:pPr>
            <a:defRPr sz="96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1" i="0" u="none" strike="noStrike" baseline="0">
                <a:solidFill>
                  <a:srgbClr val="000000"/>
                </a:solidFill>
                <a:latin typeface="Arial"/>
                <a:ea typeface="Arial"/>
                <a:cs typeface="Arial"/>
              </a:defRPr>
            </a:pPr>
            <a:r>
              <a:t>Technical Performance - Air Consumption per Shift</a:t>
            </a:r>
          </a:p>
        </c:rich>
      </c:tx>
      <c:layout>
        <c:manualLayout>
          <c:xMode val="edge"/>
          <c:yMode val="edge"/>
          <c:x val="0.28170744510594714"/>
          <c:y val="3.2085561497326207E-2"/>
        </c:manualLayout>
      </c:layout>
      <c:spPr>
        <a:noFill/>
        <a:ln w="25400">
          <a:noFill/>
        </a:ln>
      </c:spPr>
    </c:title>
    <c:plotArea>
      <c:layout>
        <c:manualLayout>
          <c:layoutTarget val="inner"/>
          <c:xMode val="edge"/>
          <c:yMode val="edge"/>
          <c:x val="9.6341520782631945E-2"/>
          <c:y val="0.17647058823529413"/>
          <c:w val="0.88658589378447372"/>
          <c:h val="0.67647058823529416"/>
        </c:manualLayout>
      </c:layout>
      <c:barChart>
        <c:barDir val="col"/>
        <c:grouping val="clustered"/>
        <c:ser>
          <c:idx val="1"/>
          <c:order val="0"/>
          <c:tx>
            <c:strRef>
              <c:f>'Air Consumption per Shift'!$V$241:$V$242</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'Air Consumption per Shift'!$V$244</c:f>
              <c:numCache>
                <c:formatCode>0.00</c:formatCode>
                <c:ptCount val="1"/>
                <c:pt idx="0">
                  <c:v>6.08</c:v>
                </c:pt>
              </c:numCache>
            </c:numRef>
          </c:val>
        </c:ser>
        <c:ser>
          <c:idx val="2"/>
          <c:order val="1"/>
          <c:tx>
            <c:strRef>
              <c:f>'Air Consumption per Shift'!$W$241:$W$242</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'Air Consumption per Shift'!$W$244</c:f>
              <c:numCache>
                <c:formatCode>0.00</c:formatCode>
                <c:ptCount val="1"/>
                <c:pt idx="0">
                  <c:v>8</c:v>
                </c:pt>
              </c:numCache>
            </c:numRef>
          </c:val>
        </c:ser>
        <c:ser>
          <c:idx val="0"/>
          <c:order val="2"/>
          <c:tx>
            <c:strRef>
              <c:f>'Air Consumption per Shift'!$X$241:$X$242</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'Air Consumption per Shift'!$X$244</c:f>
              <c:numCache>
                <c:formatCode>0.00</c:formatCode>
                <c:ptCount val="1"/>
                <c:pt idx="0">
                  <c:v>6.5600000000000005</c:v>
                </c:pt>
              </c:numCache>
            </c:numRef>
          </c:val>
        </c:ser>
        <c:axId val="125247488"/>
        <c:axId val="125249024"/>
      </c:barChart>
      <c:catAx>
        <c:axId val="125247488"/>
        <c:scaling>
          <c:orientation val="minMax"/>
        </c:scaling>
        <c:delete val="1"/>
        <c:axPos val="b"/>
        <c:tickLblPos val="nextTo"/>
        <c:crossAx val="125249024"/>
        <c:crosses val="autoZero"/>
        <c:auto val="1"/>
        <c:lblAlgn val="ctr"/>
        <c:lblOffset val="100"/>
      </c:catAx>
      <c:valAx>
        <c:axId val="125249024"/>
        <c:scaling>
          <c:orientation val="minMax"/>
        </c:scaling>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t>m3/s</a:t>
                </a:r>
              </a:p>
            </c:rich>
          </c:tx>
          <c:layout>
            <c:manualLayout>
              <c:xMode val="edge"/>
              <c:yMode val="edge"/>
              <c:x val="1.9512195121951219E-2"/>
              <c:y val="0.47058823529411764"/>
            </c:manualLayout>
          </c:layout>
          <c:spPr>
            <a:noFill/>
            <a:ln w="25400">
              <a:noFill/>
            </a:ln>
          </c:spPr>
        </c:title>
        <c:numFmt formatCode="0.00"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25247488"/>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32561001216311375"/>
          <c:y val="0.91443850267379678"/>
          <c:w val="0.75243953652134943"/>
          <c:h val="0.98128342245989308"/>
        </c:manualLayout>
      </c:layout>
      <c:spPr>
        <a:solidFill>
          <a:srgbClr val="FFFFFF"/>
        </a:solidFill>
        <a:ln w="3175">
          <a:solidFill>
            <a:srgbClr val="000000"/>
          </a:solidFill>
          <a:prstDash val="solid"/>
        </a:ln>
      </c:spPr>
      <c:txPr>
        <a:bodyPr/>
        <a:lstStyle/>
        <a:p>
          <a:pPr>
            <a:defRPr sz="96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1" i="0" u="none" strike="noStrike" baseline="0">
                <a:solidFill>
                  <a:srgbClr val="000000"/>
                </a:solidFill>
                <a:latin typeface="Arial"/>
                <a:ea typeface="Arial"/>
                <a:cs typeface="Arial"/>
              </a:defRPr>
            </a:pPr>
            <a:r>
              <a:t>Technical Performance - Water Consumption per Shift
(Hilti Rock Drill includes retraction MSW consumption @ 24 l/min)</a:t>
            </a:r>
          </a:p>
        </c:rich>
      </c:tx>
      <c:layout>
        <c:manualLayout>
          <c:xMode val="edge"/>
          <c:yMode val="edge"/>
          <c:x val="0.22073183534984955"/>
          <c:y val="3.2085561497326207E-2"/>
        </c:manualLayout>
      </c:layout>
      <c:spPr>
        <a:noFill/>
        <a:ln w="25400">
          <a:noFill/>
        </a:ln>
      </c:spPr>
    </c:title>
    <c:plotArea>
      <c:layout>
        <c:manualLayout>
          <c:layoutTarget val="inner"/>
          <c:xMode val="edge"/>
          <c:yMode val="edge"/>
          <c:x val="0.12682934381511041"/>
          <c:y val="0.22459893048128343"/>
          <c:w val="0.85609807075199529"/>
          <c:h val="0.62834224598930477"/>
        </c:manualLayout>
      </c:layout>
      <c:barChart>
        <c:barDir val="col"/>
        <c:grouping val="clustered"/>
        <c:ser>
          <c:idx val="3"/>
          <c:order val="0"/>
          <c:tx>
            <c:strRef>
              <c:f>'Water Consumption per Shift'!$U$254:$U$255</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'Water Consumption per Shift'!$U$258</c:f>
              <c:numCache>
                <c:formatCode>#,##0</c:formatCode>
                <c:ptCount val="1"/>
                <c:pt idx="0">
                  <c:v>204800</c:v>
                </c:pt>
              </c:numCache>
            </c:numRef>
          </c:val>
        </c:ser>
        <c:ser>
          <c:idx val="1"/>
          <c:order val="1"/>
          <c:tx>
            <c:strRef>
              <c:f>'Water Consumption per Shift'!$V$254:$V$255</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'Water Consumption per Shift'!$V$258</c:f>
              <c:numCache>
                <c:formatCode>#,##0</c:formatCode>
                <c:ptCount val="1"/>
                <c:pt idx="0">
                  <c:v>94628.571428571435</c:v>
                </c:pt>
              </c:numCache>
            </c:numRef>
          </c:val>
        </c:ser>
        <c:ser>
          <c:idx val="2"/>
          <c:order val="2"/>
          <c:tx>
            <c:strRef>
              <c:f>'Water Consumption per Shift'!$W$254:$W$255</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'Water Consumption per Shift'!$W$258</c:f>
              <c:numCache>
                <c:formatCode>#,##0</c:formatCode>
                <c:ptCount val="1"/>
                <c:pt idx="0">
                  <c:v>165942.85714285713</c:v>
                </c:pt>
              </c:numCache>
            </c:numRef>
          </c:val>
        </c:ser>
        <c:ser>
          <c:idx val="0"/>
          <c:order val="3"/>
          <c:tx>
            <c:strRef>
              <c:f>'Water Consumption per Shift'!$X$254:$X$255</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'Water Consumption per Shift'!$X$258</c:f>
              <c:numCache>
                <c:formatCode>#,##0</c:formatCode>
                <c:ptCount val="1"/>
                <c:pt idx="0">
                  <c:v>172800</c:v>
                </c:pt>
              </c:numCache>
            </c:numRef>
          </c:val>
        </c:ser>
        <c:axId val="112116096"/>
        <c:axId val="112117632"/>
      </c:barChart>
      <c:catAx>
        <c:axId val="112116096"/>
        <c:scaling>
          <c:orientation val="minMax"/>
        </c:scaling>
        <c:delete val="1"/>
        <c:axPos val="b"/>
        <c:tickLblPos val="nextTo"/>
        <c:crossAx val="112117632"/>
        <c:crosses val="autoZero"/>
        <c:auto val="1"/>
        <c:lblAlgn val="ctr"/>
        <c:lblOffset val="100"/>
      </c:catAx>
      <c:valAx>
        <c:axId val="112117632"/>
        <c:scaling>
          <c:orientation val="minMax"/>
        </c:scaling>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t>liters</a:t>
                </a:r>
              </a:p>
            </c:rich>
          </c:tx>
          <c:layout>
            <c:manualLayout>
              <c:xMode val="edge"/>
              <c:yMode val="edge"/>
              <c:x val="1.9512195121951219E-2"/>
              <c:y val="0.48395721925133689"/>
            </c:manualLayout>
          </c:layout>
          <c:spPr>
            <a:noFill/>
            <a:ln w="25400">
              <a:noFill/>
            </a:ln>
          </c:spPr>
        </c:title>
        <c:numFmt formatCode="#,##0"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12116096"/>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7195134754497152"/>
          <c:y val="0.91443850267379678"/>
          <c:w val="0.83780539017988609"/>
          <c:h val="0.98128342245989308"/>
        </c:manualLayout>
      </c:layout>
      <c:spPr>
        <a:solidFill>
          <a:srgbClr val="FFFFFF"/>
        </a:solidFill>
        <a:ln w="3175">
          <a:solidFill>
            <a:srgbClr val="000000"/>
          </a:solidFill>
          <a:prstDash val="solid"/>
        </a:ln>
      </c:spPr>
      <c:txPr>
        <a:bodyPr/>
        <a:lstStyle/>
        <a:p>
          <a:pPr>
            <a:defRPr sz="96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t>Energy Cost per Day</a:t>
            </a:r>
          </a:p>
        </c:rich>
      </c:tx>
      <c:layout>
        <c:manualLayout>
          <c:xMode val="edge"/>
          <c:yMode val="edge"/>
          <c:x val="0.4097563536265284"/>
          <c:y val="3.2085561497326207E-2"/>
        </c:manualLayout>
      </c:layout>
      <c:spPr>
        <a:noFill/>
        <a:ln w="25400">
          <a:noFill/>
        </a:ln>
      </c:spPr>
    </c:title>
    <c:plotArea>
      <c:layout>
        <c:manualLayout>
          <c:layoutTarget val="inner"/>
          <c:xMode val="edge"/>
          <c:yMode val="edge"/>
          <c:x val="0.1170732404447173"/>
          <c:y val="0.19251336898395721"/>
          <c:w val="0.86585417412238841"/>
          <c:h val="0.58823529411764708"/>
        </c:manualLayout>
      </c:layout>
      <c:barChart>
        <c:barDir val="col"/>
        <c:grouping val="stacked"/>
        <c:ser>
          <c:idx val="3"/>
          <c:order val="0"/>
          <c:tx>
            <c:strRef>
              <c:f>'Energy Cost per Day'!$AD$182</c:f>
              <c:strCache>
                <c:ptCount val="1"/>
                <c:pt idx="0">
                  <c:v>"Fully Loaded" - Drilling Shift</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Val val="1"/>
          </c:dLbls>
          <c:cat>
            <c:strRef>
              <c:f>'Energy Cost per Day'!$AB$183:$AB$186</c:f>
              <c:strCache>
                <c:ptCount val="4"/>
                <c:pt idx="0">
                  <c:v>Hilti TE MD20 </c:v>
                </c:pt>
                <c:pt idx="1">
                  <c:v>Seco S215 Muffled</c:v>
                </c:pt>
                <c:pt idx="2">
                  <c:v>Sulzer ADDS</c:v>
                </c:pt>
                <c:pt idx="3">
                  <c:v>Seco S215</c:v>
                </c:pt>
              </c:strCache>
            </c:strRef>
          </c:cat>
          <c:val>
            <c:numRef>
              <c:f>'Energy Cost per Day'!$AD$183:$AD$186</c:f>
              <c:numCache>
                <c:formatCode>"R"\ #,##0</c:formatCode>
                <c:ptCount val="4"/>
                <c:pt idx="0">
                  <c:v>211.20000000000002</c:v>
                </c:pt>
                <c:pt idx="1">
                  <c:v>17099.999999999996</c:v>
                </c:pt>
                <c:pt idx="2">
                  <c:v>14869.565217391304</c:v>
                </c:pt>
                <c:pt idx="3">
                  <c:v>12214.285714285714</c:v>
                </c:pt>
              </c:numCache>
            </c:numRef>
          </c:val>
        </c:ser>
        <c:ser>
          <c:idx val="1"/>
          <c:order val="1"/>
          <c:tx>
            <c:strRef>
              <c:f>'Energy Cost per Day'!$AE$182</c:f>
              <c:strCache>
                <c:ptCount val="1"/>
                <c:pt idx="0">
                  <c:v>"Un-loaded" - Off Shift</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Val val="1"/>
          </c:dLbls>
          <c:cat>
            <c:strRef>
              <c:f>'Energy Cost per Day'!$AB$183:$AB$186</c:f>
              <c:strCache>
                <c:ptCount val="4"/>
                <c:pt idx="0">
                  <c:v>Hilti TE MD20 </c:v>
                </c:pt>
                <c:pt idx="1">
                  <c:v>Seco S215 Muffled</c:v>
                </c:pt>
                <c:pt idx="2">
                  <c:v>Sulzer ADDS</c:v>
                </c:pt>
                <c:pt idx="3">
                  <c:v>Seco S215</c:v>
                </c:pt>
              </c:strCache>
            </c:strRef>
          </c:cat>
          <c:val>
            <c:numRef>
              <c:f>'Energy Cost per Day'!$AE$183:$AE$186</c:f>
              <c:numCache>
                <c:formatCode>"R"\ #,##0</c:formatCode>
                <c:ptCount val="4"/>
                <c:pt idx="1">
                  <c:v>94050.000000000015</c:v>
                </c:pt>
                <c:pt idx="2">
                  <c:v>95165.217391304366</c:v>
                </c:pt>
                <c:pt idx="3">
                  <c:v>96492.857142857145</c:v>
                </c:pt>
              </c:numCache>
            </c:numRef>
          </c:val>
        </c:ser>
        <c:overlap val="100"/>
        <c:axId val="125704448"/>
        <c:axId val="125714432"/>
      </c:barChart>
      <c:catAx>
        <c:axId val="125704448"/>
        <c:scaling>
          <c:orientation val="minMax"/>
        </c:scaling>
        <c:axPos val="b"/>
        <c:numFmt formatCode="General" sourceLinked="1"/>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en-US"/>
          </a:p>
        </c:txPr>
        <c:crossAx val="125714432"/>
        <c:crosses val="autoZero"/>
        <c:auto val="1"/>
        <c:lblAlgn val="ctr"/>
        <c:lblOffset val="100"/>
        <c:tickLblSkip val="1"/>
        <c:tickMarkSkip val="1"/>
      </c:catAx>
      <c:valAx>
        <c:axId val="125714432"/>
        <c:scaling>
          <c:orientation val="minMax"/>
        </c:scaling>
        <c:axPos val="l"/>
        <c:majorGridlines>
          <c:spPr>
            <a:ln w="3175">
              <a:solidFill>
                <a:srgbClr val="000000"/>
              </a:solidFill>
              <a:prstDash val="solid"/>
            </a:ln>
          </c:spPr>
        </c:majorGridlines>
        <c:numFmt formatCode="&quot;R&quot;\ #,##0" sourceLinked="1"/>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en-US"/>
          </a:p>
        </c:txPr>
        <c:crossAx val="125704448"/>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30000012803277637"/>
          <c:y val="0.91176470588235292"/>
          <c:w val="0.79878087190320723"/>
          <c:h val="0.98128342245989297"/>
        </c:manualLayout>
      </c:layout>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1" i="0" u="none" strike="noStrike" baseline="0">
                <a:solidFill>
                  <a:srgbClr val="000000"/>
                </a:solidFill>
                <a:latin typeface="Arial"/>
                <a:ea typeface="Arial"/>
                <a:cs typeface="Arial"/>
              </a:defRPr>
            </a:pPr>
            <a:r>
              <a:rPr lang="en-US"/>
              <a:t>Physical Properties - Length</a:t>
            </a:r>
          </a:p>
        </c:rich>
      </c:tx>
      <c:layout>
        <c:manualLayout>
          <c:xMode val="edge"/>
          <c:yMode val="edge"/>
          <c:x val="0.37804903655335764"/>
          <c:y val="3.3707865168539325E-2"/>
        </c:manualLayout>
      </c:layout>
      <c:spPr>
        <a:noFill/>
        <a:ln w="25400">
          <a:noFill/>
        </a:ln>
      </c:spPr>
    </c:title>
    <c:plotArea>
      <c:layout>
        <c:manualLayout>
          <c:layoutTarget val="inner"/>
          <c:xMode val="edge"/>
          <c:yMode val="edge"/>
          <c:x val="8.7804930333537978E-2"/>
          <c:y val="0.18258426966292135"/>
          <c:w val="0.89512248423356766"/>
          <c:h val="0.6067415730337079"/>
        </c:manualLayout>
      </c:layout>
      <c:barChart>
        <c:barDir val="col"/>
        <c:grouping val="stacked"/>
        <c:ser>
          <c:idx val="0"/>
          <c:order val="0"/>
          <c:tx>
            <c:strRef>
              <c:f>'Working Master '!$U$39:$U$40</c:f>
              <c:strCache>
                <c:ptCount val="1"/>
                <c:pt idx="0">
                  <c:v>Drill</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cat>
            <c:strRef>
              <c:f>'Working Master '!$R$41:$T$44</c:f>
              <c:strCache>
                <c:ptCount val="4"/>
                <c:pt idx="0">
                  <c:v>Hilti TE MD20 </c:v>
                </c:pt>
                <c:pt idx="1">
                  <c:v>Seco S215 Muffled</c:v>
                </c:pt>
                <c:pt idx="2">
                  <c:v>Sulzer ADDS</c:v>
                </c:pt>
                <c:pt idx="3">
                  <c:v>Seco S215</c:v>
                </c:pt>
              </c:strCache>
            </c:strRef>
          </c:cat>
          <c:val>
            <c:numRef>
              <c:f>'Working Master '!$U$41:$U$44</c:f>
              <c:numCache>
                <c:formatCode>0.00</c:formatCode>
                <c:ptCount val="4"/>
                <c:pt idx="0" formatCode="General">
                  <c:v>0.74</c:v>
                </c:pt>
                <c:pt idx="1">
                  <c:v>0.71499999999999997</c:v>
                </c:pt>
                <c:pt idx="2">
                  <c:v>0.755</c:v>
                </c:pt>
                <c:pt idx="3">
                  <c:v>0.71</c:v>
                </c:pt>
              </c:numCache>
            </c:numRef>
          </c:val>
        </c:ser>
        <c:ser>
          <c:idx val="1"/>
          <c:order val="1"/>
          <c:tx>
            <c:strRef>
              <c:f>'Working Master '!$V$39:$V$40</c:f>
              <c:strCache>
                <c:ptCount val="1"/>
                <c:pt idx="0">
                  <c:v>Leg (Air or Water)</c:v>
                </c:pt>
              </c:strCache>
            </c:strRef>
          </c:tx>
          <c:spPr>
            <a:pattFill prst="wdUpDiag">
              <a:fgClr>
                <a:srgbClr val="CCFFCC"/>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cat>
            <c:strRef>
              <c:f>'Working Master '!$R$41:$T$44</c:f>
              <c:strCache>
                <c:ptCount val="4"/>
                <c:pt idx="0">
                  <c:v>Hilti TE MD20 </c:v>
                </c:pt>
                <c:pt idx="1">
                  <c:v>Seco S215 Muffled</c:v>
                </c:pt>
                <c:pt idx="2">
                  <c:v>Sulzer ADDS</c:v>
                </c:pt>
                <c:pt idx="3">
                  <c:v>Seco S215</c:v>
                </c:pt>
              </c:strCache>
            </c:strRef>
          </c:cat>
          <c:val>
            <c:numRef>
              <c:f>'Working Master '!$V$41:$V$44</c:f>
              <c:numCache>
                <c:formatCode>0.00</c:formatCode>
                <c:ptCount val="4"/>
                <c:pt idx="0" formatCode="General">
                  <c:v>0.78</c:v>
                </c:pt>
                <c:pt idx="1">
                  <c:v>1.03</c:v>
                </c:pt>
                <c:pt idx="2">
                  <c:v>1.07</c:v>
                </c:pt>
                <c:pt idx="3">
                  <c:v>1.03</c:v>
                </c:pt>
              </c:numCache>
            </c:numRef>
          </c:val>
        </c:ser>
        <c:ser>
          <c:idx val="2"/>
          <c:order val="2"/>
          <c:tx>
            <c:strRef>
              <c:f>'Working Master '!$W$39:$W$40</c:f>
              <c:strCache>
                <c:ptCount val="1"/>
                <c:pt idx="0">
                  <c:v>Steel and Bit</c:v>
                </c:pt>
              </c:strCache>
            </c:strRef>
          </c:tx>
          <c:spPr>
            <a:pattFill prst="lgCheck">
              <a:fgClr>
                <a:srgbClr val="99CC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cat>
            <c:strRef>
              <c:f>'Working Master '!$R$41:$T$44</c:f>
              <c:strCache>
                <c:ptCount val="4"/>
                <c:pt idx="0">
                  <c:v>Hilti TE MD20 </c:v>
                </c:pt>
                <c:pt idx="1">
                  <c:v>Seco S215 Muffled</c:v>
                </c:pt>
                <c:pt idx="2">
                  <c:v>Sulzer ADDS</c:v>
                </c:pt>
                <c:pt idx="3">
                  <c:v>Seco S215</c:v>
                </c:pt>
              </c:strCache>
            </c:strRef>
          </c:cat>
          <c:val>
            <c:numRef>
              <c:f>'Working Master '!$W$41:$W$44</c:f>
              <c:numCache>
                <c:formatCode>0.00</c:formatCode>
                <c:ptCount val="4"/>
                <c:pt idx="0" formatCode="General">
                  <c:v>1.26</c:v>
                </c:pt>
                <c:pt idx="1">
                  <c:v>1.29</c:v>
                </c:pt>
                <c:pt idx="2">
                  <c:v>1.2949999999999999</c:v>
                </c:pt>
                <c:pt idx="3">
                  <c:v>1.29</c:v>
                </c:pt>
              </c:numCache>
            </c:numRef>
          </c:val>
        </c:ser>
        <c:overlap val="100"/>
        <c:axId val="126531840"/>
        <c:axId val="126537728"/>
      </c:barChart>
      <c:catAx>
        <c:axId val="126531840"/>
        <c:scaling>
          <c:orientation val="minMax"/>
        </c:scaling>
        <c:axPos val="b"/>
        <c:numFmt formatCode="General"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26537728"/>
        <c:crosses val="autoZero"/>
        <c:auto val="1"/>
        <c:lblAlgn val="ctr"/>
        <c:lblOffset val="100"/>
        <c:tickLblSkip val="1"/>
        <c:tickMarkSkip val="1"/>
      </c:catAx>
      <c:valAx>
        <c:axId val="126537728"/>
        <c:scaling>
          <c:orientation val="minMax"/>
        </c:scaling>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n-US"/>
                  <a:t>meter</a:t>
                </a:r>
              </a:p>
            </c:rich>
          </c:tx>
          <c:layout>
            <c:manualLayout>
              <c:xMode val="edge"/>
              <c:yMode val="edge"/>
              <c:x val="1.9512195121951219E-2"/>
              <c:y val="0.424157303370786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26531840"/>
        <c:crosses val="autoZero"/>
        <c:crossBetween val="between"/>
      </c:valAx>
      <c:spPr>
        <a:solidFill>
          <a:srgbClr val="FFFFFF"/>
        </a:solidFill>
        <a:ln w="12700">
          <a:solidFill>
            <a:srgbClr val="808080"/>
          </a:solidFill>
          <a:prstDash val="solid"/>
        </a:ln>
      </c:spPr>
    </c:plotArea>
    <c:legend>
      <c:legendPos val="b"/>
      <c:layout>
        <c:manualLayout>
          <c:xMode val="edge"/>
          <c:yMode val="edge"/>
          <c:x val="0.35121976826067475"/>
          <c:y val="0.9101123595505618"/>
          <c:w val="0.36829293899238208"/>
          <c:h val="7.02247191011236E-2"/>
        </c:manualLayout>
      </c:layout>
      <c:spPr>
        <a:solidFill>
          <a:srgbClr val="FFFFFF"/>
        </a:solidFill>
        <a:ln w="3175">
          <a:solidFill>
            <a:srgbClr val="000000"/>
          </a:solidFill>
          <a:prstDash val="solid"/>
        </a:ln>
      </c:spPr>
      <c:txPr>
        <a:bodyPr/>
        <a:lstStyle/>
        <a:p>
          <a:pPr>
            <a:defRPr sz="96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t>Energy Cost per Month</a:t>
            </a:r>
          </a:p>
        </c:rich>
      </c:tx>
      <c:layout>
        <c:manualLayout>
          <c:xMode val="edge"/>
          <c:yMode val="edge"/>
          <c:x val="0.39756123167530888"/>
          <c:y val="3.3613445378151259E-2"/>
        </c:manualLayout>
      </c:layout>
      <c:spPr>
        <a:noFill/>
        <a:ln w="25400">
          <a:noFill/>
        </a:ln>
      </c:spPr>
    </c:title>
    <c:plotArea>
      <c:layout>
        <c:manualLayout>
          <c:layoutTarget val="inner"/>
          <c:xMode val="edge"/>
          <c:yMode val="edge"/>
          <c:x val="0.13170739550030697"/>
          <c:y val="0.19888009585110253"/>
          <c:w val="0.85122001906679867"/>
          <c:h val="0.57143013455809744"/>
        </c:manualLayout>
      </c:layout>
      <c:barChart>
        <c:barDir val="col"/>
        <c:grouping val="stacked"/>
        <c:ser>
          <c:idx val="3"/>
          <c:order val="0"/>
          <c:tx>
            <c:strRef>
              <c:f>'Energy Cost per Month'!$R$190:$T$190</c:f>
              <c:strCache>
                <c:ptCount val="1"/>
                <c:pt idx="0">
                  <c:v>"Fully Loaded" - Drilling Shift</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1100" b="1" i="0" u="none" strike="noStrike" baseline="0">
                    <a:solidFill>
                      <a:srgbClr val="000000"/>
                    </a:solidFill>
                    <a:latin typeface="Arial"/>
                    <a:ea typeface="Arial"/>
                    <a:cs typeface="Arial"/>
                  </a:defRPr>
                </a:pPr>
                <a:endParaRPr lang="en-US"/>
              </a:p>
            </c:txPr>
            <c:dLblPos val="ctr"/>
            <c:showVal val="1"/>
          </c:dLbls>
          <c:cat>
            <c:strRef>
              <c:f>'Energy Cost per Month'!$U$188:$X$189</c:f>
              <c:strCache>
                <c:ptCount val="4"/>
                <c:pt idx="0">
                  <c:v>Hilti TE MD20 </c:v>
                </c:pt>
                <c:pt idx="1">
                  <c:v>Seco S215 Muffled</c:v>
                </c:pt>
                <c:pt idx="2">
                  <c:v>Sulzer ADDS</c:v>
                </c:pt>
                <c:pt idx="3">
                  <c:v>Seco S215</c:v>
                </c:pt>
              </c:strCache>
            </c:strRef>
          </c:cat>
          <c:val>
            <c:numRef>
              <c:f>'Energy Cost per Month'!$U$190:$X$190</c:f>
              <c:numCache>
                <c:formatCode>"R"\ #,##0</c:formatCode>
                <c:ptCount val="4"/>
                <c:pt idx="0">
                  <c:v>4857.6000000000004</c:v>
                </c:pt>
                <c:pt idx="1">
                  <c:v>393299.99999999994</c:v>
                </c:pt>
                <c:pt idx="2">
                  <c:v>342000</c:v>
                </c:pt>
                <c:pt idx="3">
                  <c:v>280928.57142857142</c:v>
                </c:pt>
              </c:numCache>
            </c:numRef>
          </c:val>
        </c:ser>
        <c:ser>
          <c:idx val="1"/>
          <c:order val="1"/>
          <c:tx>
            <c:strRef>
              <c:f>'Energy Cost per Month'!$R$191:$T$191</c:f>
              <c:strCache>
                <c:ptCount val="1"/>
                <c:pt idx="0">
                  <c:v>"Un-loaded" - Off Shift</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1100" b="1" i="0" u="none" strike="noStrike" baseline="0">
                    <a:solidFill>
                      <a:srgbClr val="000000"/>
                    </a:solidFill>
                    <a:latin typeface="Arial"/>
                    <a:ea typeface="Arial"/>
                    <a:cs typeface="Arial"/>
                  </a:defRPr>
                </a:pPr>
                <a:endParaRPr lang="en-US"/>
              </a:p>
            </c:txPr>
            <c:dLblPos val="ctr"/>
            <c:showVal val="1"/>
          </c:dLbls>
          <c:cat>
            <c:strRef>
              <c:f>'Energy Cost per Month'!$U$188:$X$189</c:f>
              <c:strCache>
                <c:ptCount val="4"/>
                <c:pt idx="0">
                  <c:v>Hilti TE MD20 </c:v>
                </c:pt>
                <c:pt idx="1">
                  <c:v>Seco S215 Muffled</c:v>
                </c:pt>
                <c:pt idx="2">
                  <c:v>Sulzer ADDS</c:v>
                </c:pt>
                <c:pt idx="3">
                  <c:v>Seco S215</c:v>
                </c:pt>
              </c:strCache>
            </c:strRef>
          </c:cat>
          <c:val>
            <c:numRef>
              <c:f>'Energy Cost per Month'!$U$191:$X$191</c:f>
              <c:numCache>
                <c:formatCode>"R"\ #,##0</c:formatCode>
                <c:ptCount val="4"/>
                <c:pt idx="1">
                  <c:v>2163150.0000000005</c:v>
                </c:pt>
                <c:pt idx="2">
                  <c:v>2188800.0000000005</c:v>
                </c:pt>
                <c:pt idx="3">
                  <c:v>2219335.7142857146</c:v>
                </c:pt>
              </c:numCache>
            </c:numRef>
          </c:val>
        </c:ser>
        <c:overlap val="100"/>
        <c:axId val="125749120"/>
        <c:axId val="125750656"/>
      </c:barChart>
      <c:catAx>
        <c:axId val="125749120"/>
        <c:scaling>
          <c:orientation val="minMax"/>
        </c:scaling>
        <c:axPos val="b"/>
        <c:numFmt formatCode="General" sourceLinked="1"/>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en-US"/>
          </a:p>
        </c:txPr>
        <c:crossAx val="125750656"/>
        <c:crosses val="autoZero"/>
        <c:auto val="1"/>
        <c:lblAlgn val="ctr"/>
        <c:lblOffset val="100"/>
        <c:tickLblSkip val="1"/>
        <c:tickMarkSkip val="1"/>
      </c:catAx>
      <c:valAx>
        <c:axId val="125750656"/>
        <c:scaling>
          <c:orientation val="minMax"/>
        </c:scaling>
        <c:axPos val="l"/>
        <c:majorGridlines>
          <c:spPr>
            <a:ln w="3175">
              <a:solidFill>
                <a:srgbClr val="000000"/>
              </a:solidFill>
              <a:prstDash val="solid"/>
            </a:ln>
          </c:spPr>
        </c:majorGridlines>
        <c:numFmt formatCode="&quot;R&quot;\ #,##0" sourceLinked="1"/>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en-US"/>
          </a:p>
        </c:txPr>
        <c:crossAx val="125749120"/>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30731720120350808"/>
          <c:y val="0.90756537785717961"/>
          <c:w val="0.80609794507393895"/>
          <c:h val="0.98039480359072761"/>
        </c:manualLayout>
      </c:layout>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t>Total Energy Cost per Annum</a:t>
            </a:r>
          </a:p>
        </c:rich>
      </c:tx>
      <c:layout>
        <c:manualLayout>
          <c:xMode val="edge"/>
          <c:yMode val="edge"/>
          <c:x val="0.37195147557774788"/>
          <c:y val="3.3613445378151259E-2"/>
        </c:manualLayout>
      </c:layout>
      <c:spPr>
        <a:noFill/>
        <a:ln w="25400">
          <a:noFill/>
        </a:ln>
      </c:spPr>
    </c:title>
    <c:plotArea>
      <c:layout>
        <c:manualLayout>
          <c:layoutTarget val="inner"/>
          <c:xMode val="edge"/>
          <c:yMode val="edge"/>
          <c:x val="0.14146349887070006"/>
          <c:y val="0.19888009585110253"/>
          <c:w val="0.84146391569640555"/>
          <c:h val="0.63865720921199121"/>
        </c:manualLayout>
      </c:layout>
      <c:barChart>
        <c:barDir val="col"/>
        <c:grouping val="clustered"/>
        <c:ser>
          <c:idx val="3"/>
          <c:order val="0"/>
          <c:tx>
            <c:strRef>
              <c:f>'Total Energy Cost per Annum'!$U$198:$U$199</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Val val="1"/>
          </c:dLbls>
          <c:val>
            <c:numRef>
              <c:f>'Total Energy Cost per Annum'!$U$202</c:f>
              <c:numCache>
                <c:formatCode>"R"\ #,##0</c:formatCode>
                <c:ptCount val="1"/>
                <c:pt idx="0">
                  <c:v>58291.200000000004</c:v>
                </c:pt>
              </c:numCache>
            </c:numRef>
          </c:val>
        </c:ser>
        <c:ser>
          <c:idx val="1"/>
          <c:order val="1"/>
          <c:tx>
            <c:strRef>
              <c:f>'Total Energy Cost per Annum'!$V$198:$V$199</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Val val="1"/>
          </c:dLbls>
          <c:val>
            <c:numRef>
              <c:f>'Total Energy Cost per Annum'!$V$202</c:f>
              <c:numCache>
                <c:formatCode>"R"\ #,##0</c:formatCode>
                <c:ptCount val="1"/>
                <c:pt idx="0">
                  <c:v>30677400.000000007</c:v>
                </c:pt>
              </c:numCache>
            </c:numRef>
          </c:val>
        </c:ser>
        <c:ser>
          <c:idx val="2"/>
          <c:order val="2"/>
          <c:tx>
            <c:strRef>
              <c:f>'Total Energy Cost per Annum'!$W$198:$W$199</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Val val="1"/>
          </c:dLbls>
          <c:val>
            <c:numRef>
              <c:f>'Total Energy Cost per Annum'!$W$202</c:f>
              <c:numCache>
                <c:formatCode>"R"\ #,##0</c:formatCode>
                <c:ptCount val="1"/>
                <c:pt idx="0">
                  <c:v>30369600.000000007</c:v>
                </c:pt>
              </c:numCache>
            </c:numRef>
          </c:val>
        </c:ser>
        <c:ser>
          <c:idx val="0"/>
          <c:order val="3"/>
          <c:tx>
            <c:strRef>
              <c:f>'Total Energy Cost per Annum'!$X$198:$X$199</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Val val="1"/>
          </c:dLbls>
          <c:val>
            <c:numRef>
              <c:f>'Total Energy Cost per Annum'!$X$202</c:f>
              <c:numCache>
                <c:formatCode>"R"\ #,##0</c:formatCode>
                <c:ptCount val="1"/>
                <c:pt idx="0">
                  <c:v>30003171.428571433</c:v>
                </c:pt>
              </c:numCache>
            </c:numRef>
          </c:val>
        </c:ser>
        <c:axId val="126726144"/>
        <c:axId val="126727680"/>
      </c:barChart>
      <c:catAx>
        <c:axId val="126726144"/>
        <c:scaling>
          <c:orientation val="minMax"/>
        </c:scaling>
        <c:delete val="1"/>
        <c:axPos val="b"/>
        <c:tickLblPos val="nextTo"/>
        <c:crossAx val="126727680"/>
        <c:crosses val="autoZero"/>
        <c:auto val="1"/>
        <c:lblAlgn val="ctr"/>
        <c:lblOffset val="100"/>
      </c:catAx>
      <c:valAx>
        <c:axId val="126727680"/>
        <c:scaling>
          <c:orientation val="minMax"/>
        </c:scaling>
        <c:axPos val="l"/>
        <c:majorGridlines>
          <c:spPr>
            <a:ln w="3175">
              <a:solidFill>
                <a:srgbClr val="000000"/>
              </a:solidFill>
              <a:prstDash val="solid"/>
            </a:ln>
          </c:spPr>
        </c:majorGridlines>
        <c:numFmt formatCode="&quot;R&quot;\ #,##0" sourceLinked="1"/>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en-US"/>
          </a:p>
        </c:txPr>
        <c:crossAx val="126726144"/>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6829281095960567"/>
          <c:y val="0.90756537785717961"/>
          <c:w val="0.85609807310671537"/>
          <c:h val="0.98039480359072761"/>
        </c:manualLayout>
      </c:layout>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1" i="0" u="none" strike="noStrike" baseline="0">
                <a:solidFill>
                  <a:srgbClr val="000000"/>
                </a:solidFill>
                <a:latin typeface="Arial"/>
                <a:ea typeface="Arial"/>
                <a:cs typeface="Arial"/>
              </a:defRPr>
            </a:pPr>
            <a:r>
              <a:t>Total Compensation Cost per 100 RDO's and Similarly Exposed Persons</a:t>
            </a:r>
          </a:p>
        </c:rich>
      </c:tx>
      <c:layout>
        <c:manualLayout>
          <c:xMode val="edge"/>
          <c:yMode val="edge"/>
          <c:x val="0.22317085974009346"/>
          <c:y val="3.5294117647058823E-2"/>
        </c:manualLayout>
      </c:layout>
      <c:spPr>
        <a:noFill/>
        <a:ln w="25400">
          <a:noFill/>
        </a:ln>
      </c:spPr>
    </c:title>
    <c:plotArea>
      <c:layout>
        <c:manualLayout>
          <c:layoutTarget val="inner"/>
          <c:xMode val="edge"/>
          <c:yMode val="edge"/>
          <c:x val="0.11829275336601644"/>
          <c:y val="0.1823532030577939"/>
          <c:w val="0.86463466120108923"/>
          <c:h val="0.60588322306299269"/>
        </c:manualLayout>
      </c:layout>
      <c:barChart>
        <c:barDir val="col"/>
        <c:grouping val="clustered"/>
        <c:ser>
          <c:idx val="3"/>
          <c:order val="0"/>
          <c:tx>
            <c:strRef>
              <c:f>'NIHL Compenation Cost'!$W$10</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rot="-5400000" vert="horz"/>
              <a:lstStyle/>
              <a:p>
                <a:pPr algn="ctr">
                  <a:defRPr sz="1000" b="1" i="0" u="none" strike="noStrike" baseline="0">
                    <a:solidFill>
                      <a:srgbClr val="000000"/>
                    </a:solidFill>
                    <a:latin typeface="Arial"/>
                    <a:ea typeface="Arial"/>
                    <a:cs typeface="Arial"/>
                  </a:defRPr>
                </a:pPr>
                <a:endParaRPr lang="en-US"/>
              </a:p>
            </c:txPr>
            <c:dLblPos val="outEnd"/>
            <c:showVal val="1"/>
          </c:dLbls>
          <c:cat>
            <c:strRef>
              <c:f>'NIHL Compenation Cost'!$AC$12:$AD$13</c:f>
              <c:strCache>
                <c:ptCount val="2"/>
                <c:pt idx="0">
                  <c:v>No HPD supplied</c:v>
                </c:pt>
                <c:pt idx="1">
                  <c:v>With HPD supplied</c:v>
                </c:pt>
              </c:strCache>
            </c:strRef>
          </c:cat>
          <c:val>
            <c:numRef>
              <c:f>'NIHL Compenation Cost'!$W$21:$X$21</c:f>
              <c:numCache>
                <c:formatCode>"R"\ #,##0</c:formatCode>
                <c:ptCount val="2"/>
                <c:pt idx="0">
                  <c:v>1953677.4999999998</c:v>
                </c:pt>
                <c:pt idx="1">
                  <c:v>596275</c:v>
                </c:pt>
              </c:numCache>
            </c:numRef>
          </c:val>
        </c:ser>
        <c:ser>
          <c:idx val="1"/>
          <c:order val="1"/>
          <c:tx>
            <c:strRef>
              <c:f>'NIHL Compenation Cost'!$Y$10</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rot="-5400000" vert="horz"/>
              <a:lstStyle/>
              <a:p>
                <a:pPr algn="ctr">
                  <a:defRPr sz="1000" b="1" i="0" u="none" strike="noStrike" baseline="0">
                    <a:solidFill>
                      <a:srgbClr val="000000"/>
                    </a:solidFill>
                    <a:latin typeface="Arial"/>
                    <a:ea typeface="Arial"/>
                    <a:cs typeface="Arial"/>
                  </a:defRPr>
                </a:pPr>
                <a:endParaRPr lang="en-US"/>
              </a:p>
            </c:txPr>
            <c:dLblPos val="outEnd"/>
            <c:showVal val="1"/>
          </c:dLbls>
          <c:cat>
            <c:strRef>
              <c:f>'NIHL Compenation Cost'!$AC$12:$AD$13</c:f>
              <c:strCache>
                <c:ptCount val="2"/>
                <c:pt idx="0">
                  <c:v>No HPD supplied</c:v>
                </c:pt>
                <c:pt idx="1">
                  <c:v>With HPD supplied</c:v>
                </c:pt>
              </c:strCache>
            </c:strRef>
          </c:cat>
          <c:val>
            <c:numRef>
              <c:f>'NIHL Compenation Cost'!$Y$21:$Z$21</c:f>
              <c:numCache>
                <c:formatCode>"R"\ #,##0</c:formatCode>
                <c:ptCount val="2"/>
                <c:pt idx="0">
                  <c:v>2444727.4999999995</c:v>
                </c:pt>
                <c:pt idx="1">
                  <c:v>989115.00000000012</c:v>
                </c:pt>
              </c:numCache>
            </c:numRef>
          </c:val>
        </c:ser>
        <c:ser>
          <c:idx val="2"/>
          <c:order val="2"/>
          <c:tx>
            <c:strRef>
              <c:f>'NIHL Compenation Cost'!$AA$10</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rot="-5400000" vert="horz"/>
              <a:lstStyle/>
              <a:p>
                <a:pPr algn="ctr">
                  <a:defRPr sz="1000" b="1" i="0" u="none" strike="noStrike" baseline="0">
                    <a:solidFill>
                      <a:srgbClr val="000000"/>
                    </a:solidFill>
                    <a:latin typeface="Arial"/>
                    <a:ea typeface="Arial"/>
                    <a:cs typeface="Arial"/>
                  </a:defRPr>
                </a:pPr>
                <a:endParaRPr lang="en-US"/>
              </a:p>
            </c:txPr>
            <c:dLblPos val="outEnd"/>
            <c:showVal val="1"/>
          </c:dLbls>
          <c:cat>
            <c:strRef>
              <c:f>'NIHL Compenation Cost'!$AC$12:$AD$13</c:f>
              <c:strCache>
                <c:ptCount val="2"/>
                <c:pt idx="0">
                  <c:v>No HPD supplied</c:v>
                </c:pt>
                <c:pt idx="1">
                  <c:v>With HPD supplied</c:v>
                </c:pt>
              </c:strCache>
            </c:strRef>
          </c:cat>
          <c:val>
            <c:numRef>
              <c:f>'NIHL Compenation Cost'!$AA$21:$AB$21</c:f>
              <c:numCache>
                <c:formatCode>"R"\ #,##0</c:formatCode>
                <c:ptCount val="2"/>
                <c:pt idx="0">
                  <c:v>2570997.4999999995</c:v>
                </c:pt>
                <c:pt idx="1">
                  <c:v>1087325</c:v>
                </c:pt>
              </c:numCache>
            </c:numRef>
          </c:val>
        </c:ser>
        <c:ser>
          <c:idx val="0"/>
          <c:order val="3"/>
          <c:tx>
            <c:strRef>
              <c:f>'NIHL Compenation Cost'!$AC$10</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rot="-5400000" vert="horz"/>
              <a:lstStyle/>
              <a:p>
                <a:pPr algn="ctr">
                  <a:defRPr sz="1000" b="1" i="0" u="none" strike="noStrike" baseline="0">
                    <a:solidFill>
                      <a:srgbClr val="000000"/>
                    </a:solidFill>
                    <a:latin typeface="Arial"/>
                    <a:ea typeface="Arial"/>
                    <a:cs typeface="Arial"/>
                  </a:defRPr>
                </a:pPr>
                <a:endParaRPr lang="en-US"/>
              </a:p>
            </c:txPr>
            <c:dLblPos val="outEnd"/>
            <c:showVal val="1"/>
          </c:dLbls>
          <c:cat>
            <c:strRef>
              <c:f>'NIHL Compenation Cost'!$AC$12:$AD$13</c:f>
              <c:strCache>
                <c:ptCount val="2"/>
                <c:pt idx="0">
                  <c:v>No HPD supplied</c:v>
                </c:pt>
                <c:pt idx="1">
                  <c:v>With HPD supplied</c:v>
                </c:pt>
              </c:strCache>
            </c:strRef>
          </c:cat>
          <c:val>
            <c:numRef>
              <c:f>'NIHL Compenation Cost'!$AC$21:$AD$21</c:f>
              <c:numCache>
                <c:formatCode>"R"\ #,##0</c:formatCode>
                <c:ptCount val="2"/>
                <c:pt idx="0">
                  <c:v>2949807.5000000005</c:v>
                </c:pt>
                <c:pt idx="1">
                  <c:v>1715167.5</c:v>
                </c:pt>
              </c:numCache>
            </c:numRef>
          </c:val>
        </c:ser>
        <c:axId val="126313600"/>
        <c:axId val="126315136"/>
      </c:barChart>
      <c:catAx>
        <c:axId val="126313600"/>
        <c:scaling>
          <c:orientation val="minMax"/>
        </c:scaling>
        <c:axPos val="b"/>
        <c:numFmt formatCode="General" sourceLinked="1"/>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26315136"/>
        <c:crossesAt val="10000"/>
        <c:auto val="1"/>
        <c:lblAlgn val="ctr"/>
        <c:lblOffset val="100"/>
        <c:tickLblSkip val="1"/>
        <c:tickMarkSkip val="1"/>
      </c:catAx>
      <c:valAx>
        <c:axId val="126315136"/>
        <c:scaling>
          <c:orientation val="minMax"/>
        </c:scaling>
        <c:axPos val="l"/>
        <c:majorGridlines>
          <c:spPr>
            <a:ln w="3175">
              <a:solidFill>
                <a:srgbClr val="000000"/>
              </a:solidFill>
              <a:prstDash val="solid"/>
            </a:ln>
          </c:spPr>
        </c:majorGridlines>
        <c:numFmt formatCode="&quot;R&quot;\ #,##0" sourceLinked="1"/>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26313600"/>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914635426669227"/>
          <c:y val="0.90882476455148986"/>
          <c:w val="0.80853696946418274"/>
          <c:h val="0.97941299984560748"/>
        </c:manualLayout>
      </c:layout>
      <c:spPr>
        <a:solidFill>
          <a:srgbClr val="FFFFFF"/>
        </a:solidFill>
        <a:ln w="3175">
          <a:solidFill>
            <a:srgbClr val="000000"/>
          </a:solidFill>
          <a:prstDash val="solid"/>
        </a:ln>
      </c:spPr>
      <c:txPr>
        <a:bodyPr/>
        <a:lstStyle/>
        <a:p>
          <a:pPr>
            <a:defRPr sz="92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0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50" b="1" i="0" u="none" strike="noStrike" baseline="0">
                <a:solidFill>
                  <a:srgbClr val="000000"/>
                </a:solidFill>
                <a:latin typeface="Arial"/>
                <a:ea typeface="Arial"/>
                <a:cs typeface="Arial"/>
              </a:defRPr>
            </a:pPr>
            <a:r>
              <a:t>NIHL Compensation Cost per Stoping Crew</a:t>
            </a:r>
          </a:p>
        </c:rich>
      </c:tx>
      <c:layout>
        <c:manualLayout>
          <c:xMode val="edge"/>
          <c:yMode val="edge"/>
          <c:x val="0.33292708533384546"/>
          <c:y val="3.8062283737024222E-2"/>
        </c:manualLayout>
      </c:layout>
      <c:spPr>
        <a:noFill/>
        <a:ln w="25400">
          <a:noFill/>
        </a:ln>
      </c:spPr>
    </c:title>
    <c:plotArea>
      <c:layout>
        <c:manualLayout>
          <c:layoutTarget val="inner"/>
          <c:xMode val="edge"/>
          <c:yMode val="edge"/>
          <c:x val="0.11829275336601644"/>
          <c:y val="0.20761280752055769"/>
          <c:w val="0.86463466120108923"/>
          <c:h val="0.53979329955345001"/>
        </c:manualLayout>
      </c:layout>
      <c:barChart>
        <c:barDir val="col"/>
        <c:grouping val="clustered"/>
        <c:ser>
          <c:idx val="3"/>
          <c:order val="0"/>
          <c:tx>
            <c:strRef>
              <c:f>'NIHL Cost per Stoping Crew'!$AB$58</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rot="-5400000" vert="horz"/>
              <a:lstStyle/>
              <a:p>
                <a:pPr algn="ctr">
                  <a:defRPr sz="950" b="1" i="0" u="none" strike="noStrike" baseline="0">
                    <a:solidFill>
                      <a:srgbClr val="000000"/>
                    </a:solidFill>
                    <a:latin typeface="Arial"/>
                    <a:ea typeface="Arial"/>
                    <a:cs typeface="Arial"/>
                  </a:defRPr>
                </a:pPr>
                <a:endParaRPr lang="en-US"/>
              </a:p>
            </c:txPr>
            <c:dLblPos val="outEnd"/>
            <c:showVal val="1"/>
          </c:dLbls>
          <c:cat>
            <c:strRef>
              <c:f>'NIHL Cost per Stoping Crew'!$V$60:$W$60</c:f>
              <c:strCache>
                <c:ptCount val="2"/>
                <c:pt idx="0">
                  <c:v>No HPD</c:v>
                </c:pt>
                <c:pt idx="1">
                  <c:v>With HPD</c:v>
                </c:pt>
              </c:strCache>
            </c:strRef>
          </c:cat>
          <c:val>
            <c:numRef>
              <c:f>'NIHL Cost per Stoping Crew'!$AB$61:$AC$61</c:f>
              <c:numCache>
                <c:formatCode>"R"\ #,##0</c:formatCode>
                <c:ptCount val="2"/>
                <c:pt idx="0">
                  <c:v>1622972</c:v>
                </c:pt>
                <c:pt idx="1">
                  <c:v>422027</c:v>
                </c:pt>
              </c:numCache>
            </c:numRef>
          </c:val>
        </c:ser>
        <c:ser>
          <c:idx val="1"/>
          <c:order val="1"/>
          <c:tx>
            <c:strRef>
              <c:f>'NIHL Cost per Stoping Crew'!$X$58</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rot="-5400000" vert="horz"/>
              <a:lstStyle/>
              <a:p>
                <a:pPr algn="ctr">
                  <a:defRPr sz="950" b="1" i="0" u="none" strike="noStrike" baseline="0">
                    <a:solidFill>
                      <a:srgbClr val="000000"/>
                    </a:solidFill>
                    <a:latin typeface="Arial"/>
                    <a:ea typeface="Arial"/>
                    <a:cs typeface="Arial"/>
                  </a:defRPr>
                </a:pPr>
                <a:endParaRPr lang="en-US"/>
              </a:p>
            </c:txPr>
            <c:dLblPos val="outEnd"/>
            <c:showVal val="1"/>
          </c:dLbls>
          <c:cat>
            <c:strRef>
              <c:f>'NIHL Cost per Stoping Crew'!$V$60:$W$60</c:f>
              <c:strCache>
                <c:ptCount val="2"/>
                <c:pt idx="0">
                  <c:v>No HPD</c:v>
                </c:pt>
                <c:pt idx="1">
                  <c:v>With HPD</c:v>
                </c:pt>
              </c:strCache>
            </c:strRef>
          </c:cat>
          <c:val>
            <c:numRef>
              <c:f>'NIHL Cost per Stoping Crew'!$X$61:$Y$61</c:f>
              <c:numCache>
                <c:formatCode>"R"\ #,##0</c:formatCode>
                <c:ptCount val="2"/>
                <c:pt idx="0">
                  <c:v>2079602.4999999998</c:v>
                </c:pt>
                <c:pt idx="1">
                  <c:v>728709</c:v>
                </c:pt>
              </c:numCache>
            </c:numRef>
          </c:val>
        </c:ser>
        <c:ser>
          <c:idx val="2"/>
          <c:order val="2"/>
          <c:tx>
            <c:strRef>
              <c:f>'NIHL Cost per Stoping Crew'!$Z$58</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rot="-5400000" vert="horz"/>
              <a:lstStyle/>
              <a:p>
                <a:pPr algn="ctr">
                  <a:defRPr sz="950" b="1" i="0" u="none" strike="noStrike" baseline="0">
                    <a:solidFill>
                      <a:srgbClr val="000000"/>
                    </a:solidFill>
                    <a:latin typeface="Arial"/>
                    <a:ea typeface="Arial"/>
                    <a:cs typeface="Arial"/>
                  </a:defRPr>
                </a:pPr>
                <a:endParaRPr lang="en-US"/>
              </a:p>
            </c:txPr>
            <c:dLblPos val="outEnd"/>
            <c:showVal val="1"/>
          </c:dLbls>
          <c:cat>
            <c:strRef>
              <c:f>'NIHL Cost per Stoping Crew'!$V$60:$W$60</c:f>
              <c:strCache>
                <c:ptCount val="2"/>
                <c:pt idx="0">
                  <c:v>No HPD</c:v>
                </c:pt>
                <c:pt idx="1">
                  <c:v>With HPD</c:v>
                </c:pt>
              </c:strCache>
            </c:strRef>
          </c:cat>
          <c:val>
            <c:numRef>
              <c:f>'NIHL Cost per Stoping Crew'!$Z$61:$AA$61</c:f>
              <c:numCache>
                <c:formatCode>"R"\ #,##0</c:formatCode>
                <c:ptCount val="2"/>
                <c:pt idx="0">
                  <c:v>2197661.4999999995</c:v>
                </c:pt>
                <c:pt idx="1">
                  <c:v>823699</c:v>
                </c:pt>
              </c:numCache>
            </c:numRef>
          </c:val>
        </c:ser>
        <c:ser>
          <c:idx val="0"/>
          <c:order val="3"/>
          <c:tx>
            <c:strRef>
              <c:f>'NIHL Cost per Stoping Crew'!$V$58</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rot="-5400000" vert="horz"/>
              <a:lstStyle/>
              <a:p>
                <a:pPr algn="ctr">
                  <a:defRPr sz="950" b="1" i="0" u="none" strike="noStrike" baseline="0">
                    <a:solidFill>
                      <a:srgbClr val="000000"/>
                    </a:solidFill>
                    <a:latin typeface="Arial"/>
                    <a:ea typeface="Arial"/>
                    <a:cs typeface="Arial"/>
                  </a:defRPr>
                </a:pPr>
                <a:endParaRPr lang="en-US"/>
              </a:p>
            </c:txPr>
            <c:dLblPos val="outEnd"/>
            <c:showVal val="1"/>
          </c:dLbls>
          <c:cat>
            <c:strRef>
              <c:f>'NIHL Cost per Stoping Crew'!$V$60:$W$60</c:f>
              <c:strCache>
                <c:ptCount val="2"/>
                <c:pt idx="0">
                  <c:v>No HPD</c:v>
                </c:pt>
                <c:pt idx="1">
                  <c:v>With HPD</c:v>
                </c:pt>
              </c:strCache>
            </c:strRef>
          </c:cat>
          <c:val>
            <c:numRef>
              <c:f>'NIHL Cost per Stoping Crew'!$V$61:$W$61</c:f>
              <c:numCache>
                <c:formatCode>"R"\ #,##0</c:formatCode>
                <c:ptCount val="2"/>
                <c:pt idx="0">
                  <c:v>2779814.5</c:v>
                </c:pt>
                <c:pt idx="1">
                  <c:v>1412637</c:v>
                </c:pt>
              </c:numCache>
            </c:numRef>
          </c:val>
        </c:ser>
        <c:axId val="126376960"/>
        <c:axId val="126391040"/>
      </c:barChart>
      <c:catAx>
        <c:axId val="126376960"/>
        <c:scaling>
          <c:orientation val="minMax"/>
        </c:scaling>
        <c:axPos val="b"/>
        <c:numFmt formatCode="General" sourceLinked="1"/>
        <c:tickLblPos val="nextTo"/>
        <c:spPr>
          <a:ln w="3175">
            <a:solidFill>
              <a:srgbClr val="000000"/>
            </a:solidFill>
            <a:prstDash val="solid"/>
          </a:ln>
        </c:spPr>
        <c:txPr>
          <a:bodyPr rot="0" vert="horz"/>
          <a:lstStyle/>
          <a:p>
            <a:pPr>
              <a:defRPr sz="950" b="1" i="0" u="none" strike="noStrike" baseline="0">
                <a:solidFill>
                  <a:srgbClr val="000000"/>
                </a:solidFill>
                <a:latin typeface="Arial"/>
                <a:ea typeface="Arial"/>
                <a:cs typeface="Arial"/>
              </a:defRPr>
            </a:pPr>
            <a:endParaRPr lang="en-US"/>
          </a:p>
        </c:txPr>
        <c:crossAx val="126391040"/>
        <c:crosses val="autoZero"/>
        <c:auto val="1"/>
        <c:lblAlgn val="ctr"/>
        <c:lblOffset val="100"/>
        <c:tickLblSkip val="1"/>
        <c:tickMarkSkip val="1"/>
      </c:catAx>
      <c:valAx>
        <c:axId val="126391040"/>
        <c:scaling>
          <c:orientation val="minMax"/>
        </c:scaling>
        <c:axPos val="l"/>
        <c:majorGridlines>
          <c:spPr>
            <a:ln w="3175">
              <a:solidFill>
                <a:srgbClr val="000000"/>
              </a:solidFill>
              <a:prstDash val="solid"/>
            </a:ln>
          </c:spPr>
        </c:majorGridlines>
        <c:numFmt formatCode="&quot;R&quot;\ #,##0" sourceLinked="1"/>
        <c:tickLblPos val="nextTo"/>
        <c:spPr>
          <a:ln w="3175">
            <a:solidFill>
              <a:srgbClr val="000000"/>
            </a:solidFill>
            <a:prstDash val="solid"/>
          </a:ln>
        </c:spPr>
        <c:txPr>
          <a:bodyPr rot="0" vert="horz"/>
          <a:lstStyle/>
          <a:p>
            <a:pPr>
              <a:defRPr sz="950" b="1" i="0" u="none" strike="noStrike" baseline="0">
                <a:solidFill>
                  <a:srgbClr val="000000"/>
                </a:solidFill>
                <a:latin typeface="Arial"/>
                <a:ea typeface="Arial"/>
                <a:cs typeface="Arial"/>
              </a:defRPr>
            </a:pPr>
            <a:endParaRPr lang="en-US"/>
          </a:p>
        </c:txPr>
        <c:crossAx val="126376960"/>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914635426669227"/>
          <c:y val="0.89273501711939984"/>
          <c:w val="0.80853696946418274"/>
          <c:h val="0.97577999981836183"/>
        </c:manualLayout>
      </c:layout>
      <c:spPr>
        <a:solidFill>
          <a:srgbClr val="FFFFFF"/>
        </a:solidFill>
        <a:ln w="3175">
          <a:solidFill>
            <a:srgbClr val="000000"/>
          </a:solidFill>
          <a:prstDash val="solid"/>
        </a:ln>
      </c:spPr>
      <c:txPr>
        <a:bodyPr/>
        <a:lstStyle/>
        <a:p>
          <a:pPr>
            <a:defRPr sz="87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9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t>Total Operating Cost per Annum</a:t>
            </a:r>
          </a:p>
        </c:rich>
      </c:tx>
      <c:layout>
        <c:manualLayout>
          <c:xMode val="edge"/>
          <c:yMode val="edge"/>
          <c:x val="0.35853684143140641"/>
          <c:y val="3.2085561497326207E-2"/>
        </c:manualLayout>
      </c:layout>
      <c:spPr>
        <a:noFill/>
        <a:ln w="25400">
          <a:noFill/>
        </a:ln>
      </c:spPr>
    </c:title>
    <c:plotArea>
      <c:layout>
        <c:manualLayout>
          <c:layoutTarget val="inner"/>
          <c:xMode val="edge"/>
          <c:yMode val="edge"/>
          <c:x val="0.12682934381511041"/>
          <c:y val="0.18449197860962566"/>
          <c:w val="0.85609807075199529"/>
          <c:h val="0.59625668449197866"/>
        </c:manualLayout>
      </c:layout>
      <c:barChart>
        <c:barDir val="col"/>
        <c:grouping val="stacked"/>
        <c:ser>
          <c:idx val="3"/>
          <c:order val="0"/>
          <c:tx>
            <c:strRef>
              <c:f>'Operating Cost per Annum'!$T$301:$U$301</c:f>
              <c:strCache>
                <c:ptCount val="1"/>
                <c:pt idx="0">
                  <c:v>Operating Cost</c:v>
                </c:pt>
              </c:strCache>
            </c:strRef>
          </c:tx>
          <c:spPr>
            <a:pattFill prst="dkHorz">
              <a:fgClr>
                <a:srgbClr val="FFCC99"/>
              </a:fgClr>
              <a:bgClr>
                <a:srgbClr val="FFFFFF"/>
              </a:bgClr>
            </a:pattFill>
            <a:ln w="12700">
              <a:solidFill>
                <a:srgbClr val="000000"/>
              </a:solidFill>
              <a:prstDash val="solid"/>
            </a:ln>
          </c:spPr>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Val val="1"/>
          </c:dLbls>
          <c:cat>
            <c:strRef>
              <c:f>'Operating Cost per Annum'!$V$286:$Y$287</c:f>
              <c:strCache>
                <c:ptCount val="4"/>
                <c:pt idx="0">
                  <c:v>Hilti TE MD20 </c:v>
                </c:pt>
                <c:pt idx="1">
                  <c:v>Seco S215 Muffled</c:v>
                </c:pt>
                <c:pt idx="2">
                  <c:v>Sulzer ADDS</c:v>
                </c:pt>
                <c:pt idx="3">
                  <c:v>Seco S215</c:v>
                </c:pt>
              </c:strCache>
            </c:strRef>
          </c:cat>
          <c:val>
            <c:numRef>
              <c:f>'Operating Cost per Annum'!$V$301:$Y$301</c:f>
              <c:numCache>
                <c:formatCode>"R"\ #,##0</c:formatCode>
                <c:ptCount val="4"/>
                <c:pt idx="0">
                  <c:v>11310585.780000001</c:v>
                </c:pt>
                <c:pt idx="1">
                  <c:v>12689261.800000001</c:v>
                </c:pt>
                <c:pt idx="2">
                  <c:v>11096641.800000001</c:v>
                </c:pt>
                <c:pt idx="3">
                  <c:v>10914253.22857143</c:v>
                </c:pt>
              </c:numCache>
            </c:numRef>
          </c:val>
        </c:ser>
        <c:ser>
          <c:idx val="1"/>
          <c:order val="1"/>
          <c:tx>
            <c:strRef>
              <c:f>'Operating Cost per Annum'!$T$302:$U$302</c:f>
              <c:strCache>
                <c:ptCount val="1"/>
                <c:pt idx="0">
                  <c:v>Leasing Cost</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Val val="1"/>
          </c:dLbls>
          <c:cat>
            <c:strRef>
              <c:f>'Operating Cost per Annum'!$V$286:$Y$287</c:f>
              <c:strCache>
                <c:ptCount val="4"/>
                <c:pt idx="0">
                  <c:v>Hilti TE MD20 </c:v>
                </c:pt>
                <c:pt idx="1">
                  <c:v>Seco S215 Muffled</c:v>
                </c:pt>
                <c:pt idx="2">
                  <c:v>Sulzer ADDS</c:v>
                </c:pt>
                <c:pt idx="3">
                  <c:v>Seco S215</c:v>
                </c:pt>
              </c:strCache>
            </c:strRef>
          </c:cat>
          <c:val>
            <c:numRef>
              <c:f>'Operating Cost per Annum'!$V$302:$Y$302</c:f>
              <c:numCache>
                <c:formatCode>"R"\ #,##0</c:formatCode>
                <c:ptCount val="4"/>
                <c:pt idx="0">
                  <c:v>8294400</c:v>
                </c:pt>
              </c:numCache>
            </c:numRef>
          </c:val>
        </c:ser>
        <c:overlap val="100"/>
        <c:axId val="126405632"/>
        <c:axId val="126423808"/>
      </c:barChart>
      <c:catAx>
        <c:axId val="126405632"/>
        <c:scaling>
          <c:orientation val="minMax"/>
        </c:scaling>
        <c:axPos val="b"/>
        <c:numFmt formatCode="General" sourceLinked="1"/>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en-US"/>
          </a:p>
        </c:txPr>
        <c:crossAx val="126423808"/>
        <c:crosses val="autoZero"/>
        <c:auto val="1"/>
        <c:lblAlgn val="ctr"/>
        <c:lblOffset val="100"/>
        <c:tickLblSkip val="1"/>
        <c:tickMarkSkip val="1"/>
      </c:catAx>
      <c:valAx>
        <c:axId val="126423808"/>
        <c:scaling>
          <c:orientation val="minMax"/>
          <c:min val="2000000"/>
        </c:scaling>
        <c:axPos val="l"/>
        <c:majorGridlines>
          <c:spPr>
            <a:ln w="3175">
              <a:solidFill>
                <a:srgbClr val="000000"/>
              </a:solidFill>
              <a:prstDash val="solid"/>
            </a:ln>
          </c:spPr>
        </c:majorGridlines>
        <c:numFmt formatCode="&quot;R&quot;\ #,##0" sourceLinked="1"/>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26405632"/>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40487830484604059"/>
          <c:y val="0.91176470588235292"/>
          <c:w val="0.70487843287881702"/>
          <c:h val="0.98128342245989297"/>
        </c:manualLayout>
      </c:layout>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t> Water Consumption per Rock Drill per Hole
(Hilti Rock Drill excluding retraction MSW consumption)</a:t>
            </a:r>
          </a:p>
        </c:rich>
      </c:tx>
      <c:layout>
        <c:manualLayout>
          <c:xMode val="edge"/>
          <c:yMode val="edge"/>
          <c:x val="0.28590828585451206"/>
          <c:y val="3.5947712418300651E-2"/>
        </c:manualLayout>
      </c:layout>
      <c:spPr>
        <a:noFill/>
        <a:ln w="25400">
          <a:noFill/>
        </a:ln>
      </c:spPr>
    </c:title>
    <c:plotArea>
      <c:layout>
        <c:manualLayout>
          <c:layoutTarget val="inner"/>
          <c:xMode val="edge"/>
          <c:yMode val="edge"/>
          <c:x val="8.6720981962681506E-2"/>
          <c:y val="0.24836680570493039"/>
          <c:w val="0.89431012649015296"/>
          <c:h val="0.58170120283523163"/>
        </c:manualLayout>
      </c:layout>
      <c:barChart>
        <c:barDir val="col"/>
        <c:grouping val="clustered"/>
        <c:ser>
          <c:idx val="3"/>
          <c:order val="0"/>
          <c:tx>
            <c:strRef>
              <c:f>'Working Master '!$U$254:$U$255</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900" b="1" i="0" u="none" strike="noStrike" baseline="0">
                    <a:solidFill>
                      <a:srgbClr val="000000"/>
                    </a:solidFill>
                    <a:latin typeface="Arial"/>
                    <a:ea typeface="Arial"/>
                    <a:cs typeface="Arial"/>
                  </a:defRPr>
                </a:pPr>
                <a:endParaRPr lang="en-US"/>
              </a:p>
            </c:txPr>
            <c:showVal val="1"/>
          </c:dLbls>
          <c:val>
            <c:numRef>
              <c:f>'Working Master '!$U$256</c:f>
              <c:numCache>
                <c:formatCode>General</c:formatCode>
                <c:ptCount val="1"/>
                <c:pt idx="0">
                  <c:v>6.5</c:v>
                </c:pt>
              </c:numCache>
            </c:numRef>
          </c:val>
        </c:ser>
        <c:ser>
          <c:idx val="1"/>
          <c:order val="1"/>
          <c:tx>
            <c:strRef>
              <c:f>'Working Master '!$V$254:$V$255</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900" b="1" i="0" u="none" strike="noStrike" baseline="0">
                    <a:solidFill>
                      <a:srgbClr val="000000"/>
                    </a:solidFill>
                    <a:latin typeface="Arial"/>
                    <a:ea typeface="Arial"/>
                    <a:cs typeface="Arial"/>
                  </a:defRPr>
                </a:pPr>
                <a:endParaRPr lang="en-US"/>
              </a:p>
            </c:txPr>
            <c:showVal val="1"/>
          </c:dLbls>
          <c:val>
            <c:numRef>
              <c:f>'Working Master '!$V$256</c:f>
              <c:numCache>
                <c:formatCode>0.00</c:formatCode>
                <c:ptCount val="1"/>
                <c:pt idx="0">
                  <c:v>6.9</c:v>
                </c:pt>
              </c:numCache>
            </c:numRef>
          </c:val>
        </c:ser>
        <c:ser>
          <c:idx val="2"/>
          <c:order val="2"/>
          <c:tx>
            <c:strRef>
              <c:f>'Working Master '!$W$254:$W$255</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900" b="1" i="0" u="none" strike="noStrike" baseline="0">
                    <a:solidFill>
                      <a:srgbClr val="000000"/>
                    </a:solidFill>
                    <a:latin typeface="Arial"/>
                    <a:ea typeface="Arial"/>
                    <a:cs typeface="Arial"/>
                  </a:defRPr>
                </a:pPr>
                <a:endParaRPr lang="en-US"/>
              </a:p>
            </c:txPr>
            <c:showVal val="1"/>
          </c:dLbls>
          <c:val>
            <c:numRef>
              <c:f>'Working Master '!$W$256</c:f>
              <c:numCache>
                <c:formatCode>0.00</c:formatCode>
                <c:ptCount val="1"/>
                <c:pt idx="0">
                  <c:v>12.1</c:v>
                </c:pt>
              </c:numCache>
            </c:numRef>
          </c:val>
        </c:ser>
        <c:ser>
          <c:idx val="0"/>
          <c:order val="3"/>
          <c:tx>
            <c:strRef>
              <c:f>'Working Master '!$X$254:$X$255</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900" b="1" i="0" u="none" strike="noStrike" baseline="0">
                    <a:solidFill>
                      <a:srgbClr val="000000"/>
                    </a:solidFill>
                    <a:latin typeface="Arial"/>
                    <a:ea typeface="Arial"/>
                    <a:cs typeface="Arial"/>
                  </a:defRPr>
                </a:pPr>
                <a:endParaRPr lang="en-US"/>
              </a:p>
            </c:txPr>
            <c:showVal val="1"/>
          </c:dLbls>
          <c:val>
            <c:numRef>
              <c:f>'Working Master '!$X$256</c:f>
              <c:numCache>
                <c:formatCode>0.00</c:formatCode>
                <c:ptCount val="1"/>
                <c:pt idx="0">
                  <c:v>12.6</c:v>
                </c:pt>
              </c:numCache>
            </c:numRef>
          </c:val>
        </c:ser>
        <c:axId val="61809024"/>
        <c:axId val="61810560"/>
      </c:barChart>
      <c:catAx>
        <c:axId val="61809024"/>
        <c:scaling>
          <c:orientation val="minMax"/>
        </c:scaling>
        <c:delete val="1"/>
        <c:axPos val="b"/>
        <c:tickLblPos val="nextTo"/>
        <c:crossAx val="61810560"/>
        <c:crosses val="autoZero"/>
        <c:auto val="1"/>
        <c:lblAlgn val="ctr"/>
        <c:lblOffset val="100"/>
      </c:catAx>
      <c:valAx>
        <c:axId val="61810560"/>
        <c:scaling>
          <c:orientation val="minMax"/>
        </c:scaling>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t>l/m</a:t>
                </a:r>
              </a:p>
            </c:rich>
          </c:tx>
          <c:layout>
            <c:manualLayout>
              <c:xMode val="edge"/>
              <c:yMode val="edge"/>
              <c:x val="2.1680216802168022E-2"/>
              <c:y val="0.50653766318425886"/>
            </c:manualLayout>
          </c:layout>
          <c:spPr>
            <a:noFill/>
            <a:ln w="25400">
              <a:noFill/>
            </a:ln>
          </c:spPr>
        </c:title>
        <c:numFmt formatCode="General" sourceLinked="1"/>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en-US"/>
          </a:p>
        </c:txPr>
        <c:crossAx val="61809024"/>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7100313680302157"/>
          <c:y val="0.90196352906867039"/>
          <c:w val="0.79539409199866273"/>
          <c:h val="0.97712727085584894"/>
        </c:manualLayout>
      </c:layout>
      <c:spPr>
        <a:solidFill>
          <a:srgbClr val="FFFFFF"/>
        </a:solidFill>
        <a:ln w="3175">
          <a:solidFill>
            <a:srgbClr val="000000"/>
          </a:solidFill>
          <a:prstDash val="solid"/>
        </a:ln>
      </c:spPr>
      <c:txPr>
        <a:bodyPr/>
        <a:lstStyle/>
        <a:p>
          <a:pPr>
            <a:defRPr sz="82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90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t>Energy Cost per Annum</a:t>
            </a:r>
          </a:p>
        </c:rich>
      </c:tx>
      <c:layout>
        <c:manualLayout>
          <c:xMode val="edge"/>
          <c:yMode val="edge"/>
          <c:x val="0.4081081081081081"/>
          <c:y val="3.5947712418300651E-2"/>
        </c:manualLayout>
      </c:layout>
      <c:spPr>
        <a:noFill/>
        <a:ln w="25400">
          <a:noFill/>
        </a:ln>
      </c:spPr>
    </c:title>
    <c:plotArea>
      <c:layout>
        <c:manualLayout>
          <c:layoutTarget val="inner"/>
          <c:xMode val="edge"/>
          <c:yMode val="edge"/>
          <c:x val="0.13513513513513514"/>
          <c:y val="0.19607905713547136"/>
          <c:w val="0.84594594594594597"/>
          <c:h val="0.57189724997845814"/>
        </c:manualLayout>
      </c:layout>
      <c:barChart>
        <c:barDir val="col"/>
        <c:grouping val="clustered"/>
        <c:ser>
          <c:idx val="3"/>
          <c:order val="0"/>
          <c:tx>
            <c:strRef>
              <c:f>'Value Case'!$F$1075:$F$1076</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rot="-5400000" vert="horz"/>
              <a:lstStyle/>
              <a:p>
                <a:pPr algn="ctr">
                  <a:defRPr sz="900" b="1" i="0" u="none" strike="noStrike" baseline="0">
                    <a:solidFill>
                      <a:srgbClr val="000000"/>
                    </a:solidFill>
                    <a:latin typeface="Arial"/>
                    <a:ea typeface="Arial"/>
                    <a:cs typeface="Arial"/>
                  </a:defRPr>
                </a:pPr>
                <a:endParaRPr lang="en-US"/>
              </a:p>
            </c:txPr>
            <c:dLblPos val="outEnd"/>
            <c:showVal val="1"/>
          </c:dLbls>
          <c:cat>
            <c:strRef>
              <c:f>'Value Case'!$C$1093:$E$1094</c:f>
              <c:strCache>
                <c:ptCount val="2"/>
                <c:pt idx="0">
                  <c:v>Drilling Shift</c:v>
                </c:pt>
                <c:pt idx="1">
                  <c:v>Off Shift</c:v>
                </c:pt>
              </c:strCache>
            </c:strRef>
          </c:cat>
          <c:val>
            <c:numRef>
              <c:f>'Value Case'!$F$1101:$F$1102</c:f>
              <c:numCache>
                <c:formatCode>"R"\ #,##0</c:formatCode>
                <c:ptCount val="2"/>
                <c:pt idx="0">
                  <c:v>58291.200000000004</c:v>
                </c:pt>
              </c:numCache>
            </c:numRef>
          </c:val>
        </c:ser>
        <c:ser>
          <c:idx val="1"/>
          <c:order val="1"/>
          <c:tx>
            <c:strRef>
              <c:f>'Value Case'!$G$1075:$G$1076</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rot="-5400000" vert="horz"/>
              <a:lstStyle/>
              <a:p>
                <a:pPr algn="ctr">
                  <a:defRPr sz="900" b="1" i="0" u="none" strike="noStrike" baseline="0">
                    <a:solidFill>
                      <a:srgbClr val="000000"/>
                    </a:solidFill>
                    <a:latin typeface="Arial"/>
                    <a:ea typeface="Arial"/>
                    <a:cs typeface="Arial"/>
                  </a:defRPr>
                </a:pPr>
                <a:endParaRPr lang="en-US"/>
              </a:p>
            </c:txPr>
            <c:dLblPos val="outEnd"/>
            <c:showVal val="1"/>
          </c:dLbls>
          <c:cat>
            <c:strRef>
              <c:f>'Value Case'!$C$1093:$E$1094</c:f>
              <c:strCache>
                <c:ptCount val="2"/>
                <c:pt idx="0">
                  <c:v>Drilling Shift</c:v>
                </c:pt>
                <c:pt idx="1">
                  <c:v>Off Shift</c:v>
                </c:pt>
              </c:strCache>
            </c:strRef>
          </c:cat>
          <c:val>
            <c:numRef>
              <c:f>'Value Case'!$G$1101:$G$1102</c:f>
              <c:numCache>
                <c:formatCode>"R"\ #,##0</c:formatCode>
                <c:ptCount val="2"/>
                <c:pt idx="0">
                  <c:v>4719599.9999999991</c:v>
                </c:pt>
                <c:pt idx="1">
                  <c:v>25957800.000000007</c:v>
                </c:pt>
              </c:numCache>
            </c:numRef>
          </c:val>
        </c:ser>
        <c:ser>
          <c:idx val="2"/>
          <c:order val="2"/>
          <c:tx>
            <c:strRef>
              <c:f>'Value Case'!$H$1075:$H$1076</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rot="-5400000" vert="horz"/>
              <a:lstStyle/>
              <a:p>
                <a:pPr algn="ctr">
                  <a:defRPr sz="900" b="1" i="0" u="none" strike="noStrike" baseline="0">
                    <a:solidFill>
                      <a:srgbClr val="000000"/>
                    </a:solidFill>
                    <a:latin typeface="Arial"/>
                    <a:ea typeface="Arial"/>
                    <a:cs typeface="Arial"/>
                  </a:defRPr>
                </a:pPr>
                <a:endParaRPr lang="en-US"/>
              </a:p>
            </c:txPr>
            <c:dLblPos val="outEnd"/>
            <c:showVal val="1"/>
          </c:dLbls>
          <c:cat>
            <c:strRef>
              <c:f>'Value Case'!$C$1093:$E$1094</c:f>
              <c:strCache>
                <c:ptCount val="2"/>
                <c:pt idx="0">
                  <c:v>Drilling Shift</c:v>
                </c:pt>
                <c:pt idx="1">
                  <c:v>Off Shift</c:v>
                </c:pt>
              </c:strCache>
            </c:strRef>
          </c:cat>
          <c:val>
            <c:numRef>
              <c:f>'Value Case'!$H$1101:$H$1102</c:f>
              <c:numCache>
                <c:formatCode>"R"\ #,##0</c:formatCode>
                <c:ptCount val="2"/>
                <c:pt idx="0">
                  <c:v>4104000</c:v>
                </c:pt>
                <c:pt idx="1">
                  <c:v>26265600</c:v>
                </c:pt>
              </c:numCache>
            </c:numRef>
          </c:val>
        </c:ser>
        <c:ser>
          <c:idx val="0"/>
          <c:order val="3"/>
          <c:tx>
            <c:strRef>
              <c:f>'Value Case'!$I$1075:$I$1076</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rot="-5400000" vert="horz"/>
              <a:lstStyle/>
              <a:p>
                <a:pPr algn="ctr">
                  <a:defRPr sz="900" b="1" i="0" u="none" strike="noStrike" baseline="0">
                    <a:solidFill>
                      <a:srgbClr val="000000"/>
                    </a:solidFill>
                    <a:latin typeface="Arial"/>
                    <a:ea typeface="Arial"/>
                    <a:cs typeface="Arial"/>
                  </a:defRPr>
                </a:pPr>
                <a:endParaRPr lang="en-US"/>
              </a:p>
            </c:txPr>
            <c:dLblPos val="outEnd"/>
            <c:showVal val="1"/>
          </c:dLbls>
          <c:cat>
            <c:strRef>
              <c:f>'Value Case'!$C$1093:$E$1094</c:f>
              <c:strCache>
                <c:ptCount val="2"/>
                <c:pt idx="0">
                  <c:v>Drilling Shift</c:v>
                </c:pt>
                <c:pt idx="1">
                  <c:v>Off Shift</c:v>
                </c:pt>
              </c:strCache>
            </c:strRef>
          </c:cat>
          <c:val>
            <c:numRef>
              <c:f>'Value Case'!$I$1101:$I$1102</c:f>
              <c:numCache>
                <c:formatCode>"R"\ #,##0</c:formatCode>
                <c:ptCount val="2"/>
                <c:pt idx="0">
                  <c:v>3371142.8571428573</c:v>
                </c:pt>
                <c:pt idx="1">
                  <c:v>26632028.571428575</c:v>
                </c:pt>
              </c:numCache>
            </c:numRef>
          </c:val>
        </c:ser>
        <c:axId val="61855616"/>
        <c:axId val="61857152"/>
      </c:barChart>
      <c:catAx>
        <c:axId val="61855616"/>
        <c:scaling>
          <c:orientation val="minMax"/>
        </c:scaling>
        <c:axPos val="b"/>
        <c:numFmt formatCode="General" sourceLinked="1"/>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en-US"/>
          </a:p>
        </c:txPr>
        <c:crossAx val="61857152"/>
        <c:crosses val="autoZero"/>
        <c:auto val="1"/>
        <c:lblAlgn val="ctr"/>
        <c:lblOffset val="100"/>
        <c:tickLblSkip val="1"/>
        <c:tickMarkSkip val="1"/>
      </c:catAx>
      <c:valAx>
        <c:axId val="61857152"/>
        <c:scaling>
          <c:orientation val="minMax"/>
        </c:scaling>
        <c:axPos val="l"/>
        <c:majorGridlines>
          <c:spPr>
            <a:ln w="3175">
              <a:solidFill>
                <a:srgbClr val="000000"/>
              </a:solidFill>
              <a:prstDash val="solid"/>
            </a:ln>
          </c:spPr>
        </c:majorGridlines>
        <c:numFmt formatCode="&quot;R&quot;\ #,##0" sourceLinked="1"/>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en-US"/>
          </a:p>
        </c:txPr>
        <c:crossAx val="61855616"/>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9594594594594592"/>
          <c:y val="0.90196352906867039"/>
          <c:w val="0.81891891891891888"/>
          <c:h val="0.97712727085584894"/>
        </c:manualLayout>
      </c:layout>
      <c:spPr>
        <a:solidFill>
          <a:srgbClr val="FFFFFF"/>
        </a:solidFill>
        <a:ln w="3175">
          <a:solidFill>
            <a:srgbClr val="000000"/>
          </a:solidFill>
          <a:prstDash val="solid"/>
        </a:ln>
      </c:spPr>
      <c:txPr>
        <a:bodyPr/>
        <a:lstStyle/>
        <a:p>
          <a:pPr>
            <a:defRPr sz="82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90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50" b="1" i="0" u="none" strike="noStrike" baseline="0">
                <a:solidFill>
                  <a:srgbClr val="000000"/>
                </a:solidFill>
                <a:latin typeface="Arial"/>
                <a:ea typeface="Arial"/>
                <a:cs typeface="Arial"/>
              </a:defRPr>
            </a:pPr>
            <a:r>
              <a:t>SPL Exposure to Multiple Rock Drills</a:t>
            </a:r>
          </a:p>
        </c:rich>
      </c:tx>
      <c:layout>
        <c:manualLayout>
          <c:xMode val="edge"/>
          <c:yMode val="edge"/>
          <c:x val="0.36314405821223567"/>
          <c:y val="3.5947712418300651E-2"/>
        </c:manualLayout>
      </c:layout>
      <c:spPr>
        <a:noFill/>
        <a:ln w="25400">
          <a:noFill/>
        </a:ln>
      </c:spPr>
    </c:title>
    <c:plotArea>
      <c:layout>
        <c:manualLayout>
          <c:layoutTarget val="inner"/>
          <c:xMode val="edge"/>
          <c:yMode val="edge"/>
          <c:x val="0.10027113539435048"/>
          <c:y val="0.18954308856428898"/>
          <c:w val="0.88075997305848397"/>
          <c:h val="0.59150515569200524"/>
        </c:manualLayout>
      </c:layout>
      <c:barChart>
        <c:barDir val="col"/>
        <c:grouping val="clustered"/>
        <c:ser>
          <c:idx val="3"/>
          <c:order val="0"/>
          <c:tx>
            <c:strRef>
              <c:f>'Working Master '!$U$74:$U$75</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cat>
            <c:strRef>
              <c:f>'Working Master '!$R$76:$T$77</c:f>
              <c:strCache>
                <c:ptCount val="2"/>
                <c:pt idx="0">
                  <c:v>No HPD</c:v>
                </c:pt>
                <c:pt idx="1">
                  <c:v>With HPD</c:v>
                </c:pt>
              </c:strCache>
            </c:strRef>
          </c:cat>
          <c:val>
            <c:numRef>
              <c:f>'Working Master '!$U$76:$U$77</c:f>
              <c:numCache>
                <c:formatCode>0.0</c:formatCode>
                <c:ptCount val="2"/>
                <c:pt idx="0">
                  <c:v>108.02059991327964</c:v>
                </c:pt>
                <c:pt idx="1">
                  <c:v>95.020599913279639</c:v>
                </c:pt>
              </c:numCache>
            </c:numRef>
          </c:val>
        </c:ser>
        <c:ser>
          <c:idx val="1"/>
          <c:order val="1"/>
          <c:tx>
            <c:strRef>
              <c:f>'Working Master '!$V$74:$V$75</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cat>
            <c:strRef>
              <c:f>'Working Master '!$R$76:$T$77</c:f>
              <c:strCache>
                <c:ptCount val="2"/>
                <c:pt idx="0">
                  <c:v>No HPD</c:v>
                </c:pt>
                <c:pt idx="1">
                  <c:v>With HPD</c:v>
                </c:pt>
              </c:strCache>
            </c:strRef>
          </c:cat>
          <c:val>
            <c:numRef>
              <c:f>'Working Master '!$V$76:$V$77</c:f>
              <c:numCache>
                <c:formatCode>0.0</c:formatCode>
                <c:ptCount val="2"/>
                <c:pt idx="0">
                  <c:v>114.02059991327963</c:v>
                </c:pt>
                <c:pt idx="1">
                  <c:v>101.02059991327963</c:v>
                </c:pt>
              </c:numCache>
            </c:numRef>
          </c:val>
        </c:ser>
        <c:ser>
          <c:idx val="2"/>
          <c:order val="2"/>
          <c:tx>
            <c:strRef>
              <c:f>'Working Master '!$W$74:$W$75</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cat>
            <c:strRef>
              <c:f>'Working Master '!$R$76:$T$77</c:f>
              <c:strCache>
                <c:ptCount val="2"/>
                <c:pt idx="0">
                  <c:v>No HPD</c:v>
                </c:pt>
                <c:pt idx="1">
                  <c:v>With HPD</c:v>
                </c:pt>
              </c:strCache>
            </c:strRef>
          </c:cat>
          <c:val>
            <c:numRef>
              <c:f>'Working Master '!$W$76:$W$77</c:f>
              <c:numCache>
                <c:formatCode>0.0</c:formatCode>
                <c:ptCount val="2"/>
                <c:pt idx="0">
                  <c:v>115.02059991327963</c:v>
                </c:pt>
                <c:pt idx="1">
                  <c:v>102.02059991327963</c:v>
                </c:pt>
              </c:numCache>
            </c:numRef>
          </c:val>
        </c:ser>
        <c:ser>
          <c:idx val="0"/>
          <c:order val="3"/>
          <c:tx>
            <c:strRef>
              <c:f>'Working Master '!$X$74:$X$75</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cat>
            <c:strRef>
              <c:f>'Working Master '!$R$76:$T$77</c:f>
              <c:strCache>
                <c:ptCount val="2"/>
                <c:pt idx="0">
                  <c:v>No HPD</c:v>
                </c:pt>
                <c:pt idx="1">
                  <c:v>With HPD</c:v>
                </c:pt>
              </c:strCache>
            </c:strRef>
          </c:cat>
          <c:val>
            <c:numRef>
              <c:f>'Working Master '!$X$76:$X$77</c:f>
              <c:numCache>
                <c:formatCode>0.0</c:formatCode>
                <c:ptCount val="2"/>
                <c:pt idx="0">
                  <c:v>122.02059991327964</c:v>
                </c:pt>
                <c:pt idx="1">
                  <c:v>109.02059991327964</c:v>
                </c:pt>
              </c:numCache>
            </c:numRef>
          </c:val>
        </c:ser>
        <c:axId val="127217664"/>
        <c:axId val="127219584"/>
      </c:barChart>
      <c:lineChart>
        <c:grouping val="standard"/>
        <c:ser>
          <c:idx val="4"/>
          <c:order val="4"/>
          <c:tx>
            <c:strRef>
              <c:f>'Working Master '!$R$87:$T$87</c:f>
              <c:strCache>
                <c:ptCount val="1"/>
                <c:pt idx="0">
                  <c:v>Standard</c:v>
                </c:pt>
              </c:strCache>
            </c:strRef>
          </c:tx>
          <c:spPr>
            <a:ln w="25400">
              <a:solidFill>
                <a:srgbClr val="000000"/>
              </a:solidFill>
              <a:prstDash val="solid"/>
            </a:ln>
          </c:spPr>
          <c:marker>
            <c:symbol val="star"/>
            <c:size val="7"/>
            <c:spPr>
              <a:noFill/>
              <a:ln>
                <a:solidFill>
                  <a:srgbClr val="000000"/>
                </a:solidFill>
                <a:prstDash val="solid"/>
              </a:ln>
            </c:spPr>
          </c:marker>
          <c:cat>
            <c:strRef>
              <c:f>'Working Master '!$R$76:$T$77</c:f>
              <c:strCache>
                <c:ptCount val="2"/>
                <c:pt idx="0">
                  <c:v>No HPD</c:v>
                </c:pt>
                <c:pt idx="1">
                  <c:v>With HPD</c:v>
                </c:pt>
              </c:strCache>
            </c:strRef>
          </c:cat>
          <c:val>
            <c:numRef>
              <c:f>'Working Master '!$U$87:$V$87</c:f>
              <c:numCache>
                <c:formatCode>0.0</c:formatCode>
                <c:ptCount val="2"/>
                <c:pt idx="0">
                  <c:v>85</c:v>
                </c:pt>
                <c:pt idx="1">
                  <c:v>85</c:v>
                </c:pt>
              </c:numCache>
            </c:numRef>
          </c:val>
        </c:ser>
        <c:marker val="1"/>
        <c:axId val="127217664"/>
        <c:axId val="127219584"/>
      </c:lineChart>
      <c:catAx>
        <c:axId val="127217664"/>
        <c:scaling>
          <c:orientation val="minMax"/>
        </c:scaling>
        <c:axPos val="b"/>
        <c:numFmt formatCode="General" sourceLinked="1"/>
        <c:tickLblPos val="nextTo"/>
        <c:spPr>
          <a:ln w="3175">
            <a:solidFill>
              <a:srgbClr val="000000"/>
            </a:solidFill>
            <a:prstDash val="solid"/>
          </a:ln>
        </c:spPr>
        <c:txPr>
          <a:bodyPr rot="0" vert="horz"/>
          <a:lstStyle/>
          <a:p>
            <a:pPr>
              <a:defRPr sz="850" b="1" i="0" u="none" strike="noStrike" baseline="0">
                <a:solidFill>
                  <a:srgbClr val="000000"/>
                </a:solidFill>
                <a:latin typeface="Arial"/>
                <a:ea typeface="Arial"/>
                <a:cs typeface="Arial"/>
              </a:defRPr>
            </a:pPr>
            <a:endParaRPr lang="en-US"/>
          </a:p>
        </c:txPr>
        <c:crossAx val="127219584"/>
        <c:crosses val="autoZero"/>
        <c:auto val="1"/>
        <c:lblAlgn val="ctr"/>
        <c:lblOffset val="100"/>
        <c:tickLblSkip val="1"/>
        <c:tickMarkSkip val="1"/>
      </c:catAx>
      <c:valAx>
        <c:axId val="127219584"/>
        <c:scaling>
          <c:orientation val="minMax"/>
        </c:scaling>
        <c:axPos val="l"/>
        <c:majorGridlines>
          <c:spPr>
            <a:ln w="3175">
              <a:solidFill>
                <a:srgbClr val="000000"/>
              </a:solidFill>
              <a:prstDash val="solid"/>
            </a:ln>
          </c:spPr>
        </c:majorGridlines>
        <c:title>
          <c:tx>
            <c:rich>
              <a:bodyPr/>
              <a:lstStyle/>
              <a:p>
                <a:pPr>
                  <a:defRPr sz="850" b="1" i="0" u="none" strike="noStrike" baseline="0">
                    <a:solidFill>
                      <a:srgbClr val="000000"/>
                    </a:solidFill>
                    <a:latin typeface="Arial"/>
                    <a:ea typeface="Arial"/>
                    <a:cs typeface="Arial"/>
                  </a:defRPr>
                </a:pPr>
                <a:r>
                  <a:t>dBA</a:t>
                </a:r>
              </a:p>
            </c:rich>
          </c:tx>
          <c:layout>
            <c:manualLayout>
              <c:xMode val="edge"/>
              <c:yMode val="edge"/>
              <c:x val="2.1680216802168022E-2"/>
              <c:y val="0.44117784296570772"/>
            </c:manualLayout>
          </c:layout>
          <c:spPr>
            <a:noFill/>
            <a:ln w="25400">
              <a:noFill/>
            </a:ln>
          </c:spPr>
        </c:title>
        <c:numFmt formatCode="0.0" sourceLinked="1"/>
        <c:tickLblPos val="nextTo"/>
        <c:spPr>
          <a:ln w="3175">
            <a:solidFill>
              <a:srgbClr val="000000"/>
            </a:solidFill>
            <a:prstDash val="solid"/>
          </a:ln>
        </c:spPr>
        <c:txPr>
          <a:bodyPr rot="0" vert="horz"/>
          <a:lstStyle/>
          <a:p>
            <a:pPr>
              <a:defRPr sz="850" b="1" i="0" u="none" strike="noStrike" baseline="0">
                <a:solidFill>
                  <a:srgbClr val="000000"/>
                </a:solidFill>
                <a:latin typeface="Arial"/>
                <a:ea typeface="Arial"/>
                <a:cs typeface="Arial"/>
              </a:defRPr>
            </a:pPr>
            <a:endParaRPr lang="en-US"/>
          </a:p>
        </c:txPr>
        <c:crossAx val="127217664"/>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18699215443598005"/>
          <c:y val="0.90523150292487953"/>
          <c:w val="0.89431022341719479"/>
          <c:h val="0.97712727085584894"/>
        </c:manualLayout>
      </c:layout>
      <c:spPr>
        <a:solidFill>
          <a:srgbClr val="FFFFFF"/>
        </a:solidFill>
        <a:ln w="3175">
          <a:solidFill>
            <a:srgbClr val="000000"/>
          </a:solidFill>
          <a:prstDash val="solid"/>
        </a:ln>
      </c:spPr>
      <c:txPr>
        <a:bodyPr/>
        <a:lstStyle/>
        <a:p>
          <a:pPr>
            <a:defRPr sz="78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t>Physical Properties - Mass</a:t>
            </a:r>
          </a:p>
        </c:rich>
      </c:tx>
      <c:layout>
        <c:manualLayout>
          <c:xMode val="edge"/>
          <c:yMode val="edge"/>
          <c:x val="0.39430951212399262"/>
          <c:y val="3.6764705882352942E-2"/>
        </c:manualLayout>
      </c:layout>
      <c:spPr>
        <a:noFill/>
        <a:ln w="25400">
          <a:noFill/>
        </a:ln>
      </c:spPr>
    </c:title>
    <c:plotArea>
      <c:layout>
        <c:manualLayout>
          <c:layoutTarget val="inner"/>
          <c:xMode val="edge"/>
          <c:yMode val="edge"/>
          <c:x val="0.10027113539435048"/>
          <c:y val="0.21691176470588236"/>
          <c:w val="0.88075997305848397"/>
          <c:h val="0.5220588235294118"/>
        </c:manualLayout>
      </c:layout>
      <c:barChart>
        <c:barDir val="col"/>
        <c:grouping val="stacked"/>
        <c:ser>
          <c:idx val="0"/>
          <c:order val="0"/>
          <c:tx>
            <c:strRef>
              <c:f>'Working Master '!$U$31:$U$32</c:f>
              <c:strCache>
                <c:ptCount val="1"/>
                <c:pt idx="0">
                  <c:v>Drill</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900" b="1" i="0" u="none" strike="noStrike" baseline="0">
                    <a:solidFill>
                      <a:srgbClr val="000000"/>
                    </a:solidFill>
                    <a:latin typeface="Arial"/>
                    <a:ea typeface="Arial"/>
                    <a:cs typeface="Arial"/>
                  </a:defRPr>
                </a:pPr>
                <a:endParaRPr lang="en-US"/>
              </a:p>
            </c:txPr>
            <c:showVal val="1"/>
          </c:dLbls>
          <c:cat>
            <c:strRef>
              <c:f>'Working Master '!$R$33:$T$36</c:f>
              <c:strCache>
                <c:ptCount val="4"/>
                <c:pt idx="0">
                  <c:v>Hilti TE MD20 </c:v>
                </c:pt>
                <c:pt idx="1">
                  <c:v>Seco S215 Muffled</c:v>
                </c:pt>
                <c:pt idx="2">
                  <c:v>Sulzer ADDS</c:v>
                </c:pt>
                <c:pt idx="3">
                  <c:v>Seco S215</c:v>
                </c:pt>
              </c:strCache>
            </c:strRef>
          </c:cat>
          <c:val>
            <c:numRef>
              <c:f>'Working Master '!$U$33:$U$36</c:f>
              <c:numCache>
                <c:formatCode>0.0</c:formatCode>
                <c:ptCount val="4"/>
                <c:pt idx="0">
                  <c:v>23.9</c:v>
                </c:pt>
                <c:pt idx="1">
                  <c:v>22.35</c:v>
                </c:pt>
                <c:pt idx="2">
                  <c:v>22.15</c:v>
                </c:pt>
                <c:pt idx="3">
                  <c:v>21.25</c:v>
                </c:pt>
              </c:numCache>
            </c:numRef>
          </c:val>
        </c:ser>
        <c:ser>
          <c:idx val="1"/>
          <c:order val="1"/>
          <c:tx>
            <c:strRef>
              <c:f>'Working Master '!$V$31:$V$32</c:f>
              <c:strCache>
                <c:ptCount val="1"/>
                <c:pt idx="0">
                  <c:v>Leg (Air or Water)</c:v>
                </c:pt>
              </c:strCache>
            </c:strRef>
          </c:tx>
          <c:spPr>
            <a:pattFill prst="wdUpDiag">
              <a:fgClr>
                <a:srgbClr val="CCFFCC"/>
              </a:fgClr>
              <a:bgClr>
                <a:srgbClr val="FFFFFF"/>
              </a:bgClr>
            </a:pattFill>
            <a:ln w="12700">
              <a:solidFill>
                <a:srgbClr val="000000"/>
              </a:solidFill>
              <a:prstDash val="solid"/>
            </a:ln>
          </c:spPr>
          <c:dLbls>
            <c:spPr>
              <a:noFill/>
              <a:ln w="25400">
                <a:noFill/>
              </a:ln>
            </c:spPr>
            <c:txPr>
              <a:bodyPr/>
              <a:lstStyle/>
              <a:p>
                <a:pPr>
                  <a:defRPr sz="900" b="1" i="0" u="none" strike="noStrike" baseline="0">
                    <a:solidFill>
                      <a:srgbClr val="000000"/>
                    </a:solidFill>
                    <a:latin typeface="Arial"/>
                    <a:ea typeface="Arial"/>
                    <a:cs typeface="Arial"/>
                  </a:defRPr>
                </a:pPr>
                <a:endParaRPr lang="en-US"/>
              </a:p>
            </c:txPr>
            <c:showVal val="1"/>
          </c:dLbls>
          <c:cat>
            <c:strRef>
              <c:f>'Working Master '!$R$33:$T$36</c:f>
              <c:strCache>
                <c:ptCount val="4"/>
                <c:pt idx="0">
                  <c:v>Hilti TE MD20 </c:v>
                </c:pt>
                <c:pt idx="1">
                  <c:v>Seco S215 Muffled</c:v>
                </c:pt>
                <c:pt idx="2">
                  <c:v>Sulzer ADDS</c:v>
                </c:pt>
                <c:pt idx="3">
                  <c:v>Seco S215</c:v>
                </c:pt>
              </c:strCache>
            </c:strRef>
          </c:cat>
          <c:val>
            <c:numRef>
              <c:f>'Working Master '!$V$33:$V$36</c:f>
              <c:numCache>
                <c:formatCode>0.0</c:formatCode>
                <c:ptCount val="4"/>
                <c:pt idx="0">
                  <c:v>15.4</c:v>
                </c:pt>
                <c:pt idx="1">
                  <c:v>17.399999999999999</c:v>
                </c:pt>
                <c:pt idx="2">
                  <c:v>18.149999999999999</c:v>
                </c:pt>
                <c:pt idx="3">
                  <c:v>17.399999999999999</c:v>
                </c:pt>
              </c:numCache>
            </c:numRef>
          </c:val>
        </c:ser>
        <c:ser>
          <c:idx val="2"/>
          <c:order val="2"/>
          <c:tx>
            <c:strRef>
              <c:f>'Working Master '!$W$31:$W$32</c:f>
              <c:strCache>
                <c:ptCount val="1"/>
                <c:pt idx="0">
                  <c:v>Steel and Bit</c:v>
                </c:pt>
              </c:strCache>
            </c:strRef>
          </c:tx>
          <c:spPr>
            <a:pattFill prst="lgCheck">
              <a:fgClr>
                <a:srgbClr val="99CCFF"/>
              </a:fgClr>
              <a:bgClr>
                <a:srgbClr val="FFFFFF"/>
              </a:bgClr>
            </a:pattFill>
            <a:ln w="12700">
              <a:solidFill>
                <a:srgbClr val="000000"/>
              </a:solidFill>
              <a:prstDash val="solid"/>
            </a:ln>
          </c:spPr>
          <c:dLbls>
            <c:spPr>
              <a:noFill/>
              <a:ln w="25400">
                <a:noFill/>
              </a:ln>
            </c:spPr>
            <c:txPr>
              <a:bodyPr/>
              <a:lstStyle/>
              <a:p>
                <a:pPr>
                  <a:defRPr sz="900" b="1" i="0" u="none" strike="noStrike" baseline="0">
                    <a:solidFill>
                      <a:srgbClr val="000000"/>
                    </a:solidFill>
                    <a:latin typeface="Arial"/>
                    <a:ea typeface="Arial"/>
                    <a:cs typeface="Arial"/>
                  </a:defRPr>
                </a:pPr>
                <a:endParaRPr lang="en-US"/>
              </a:p>
            </c:txPr>
            <c:showVal val="1"/>
          </c:dLbls>
          <c:cat>
            <c:strRef>
              <c:f>'Working Master '!$R$33:$T$36</c:f>
              <c:strCache>
                <c:ptCount val="4"/>
                <c:pt idx="0">
                  <c:v>Hilti TE MD20 </c:v>
                </c:pt>
                <c:pt idx="1">
                  <c:v>Seco S215 Muffled</c:v>
                </c:pt>
                <c:pt idx="2">
                  <c:v>Sulzer ADDS</c:v>
                </c:pt>
                <c:pt idx="3">
                  <c:v>Seco S215</c:v>
                </c:pt>
              </c:strCache>
            </c:strRef>
          </c:cat>
          <c:val>
            <c:numRef>
              <c:f>'Working Master '!$W$33:$W$36</c:f>
              <c:numCache>
                <c:formatCode>0.0</c:formatCode>
                <c:ptCount val="4"/>
                <c:pt idx="0">
                  <c:v>4.8</c:v>
                </c:pt>
                <c:pt idx="1">
                  <c:v>5</c:v>
                </c:pt>
                <c:pt idx="2">
                  <c:v>5</c:v>
                </c:pt>
                <c:pt idx="3">
                  <c:v>5</c:v>
                </c:pt>
              </c:numCache>
            </c:numRef>
          </c:val>
        </c:ser>
        <c:overlap val="100"/>
        <c:axId val="127255296"/>
        <c:axId val="127256832"/>
      </c:barChart>
      <c:catAx>
        <c:axId val="127255296"/>
        <c:scaling>
          <c:orientation val="minMax"/>
        </c:scaling>
        <c:axPos val="b"/>
        <c:numFmt formatCode="General" sourceLinked="1"/>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en-US"/>
          </a:p>
        </c:txPr>
        <c:crossAx val="127256832"/>
        <c:crosses val="autoZero"/>
        <c:auto val="1"/>
        <c:lblAlgn val="ctr"/>
        <c:lblOffset val="100"/>
        <c:tickLblSkip val="1"/>
        <c:tickMarkSkip val="1"/>
      </c:catAx>
      <c:valAx>
        <c:axId val="127256832"/>
        <c:scaling>
          <c:orientation val="minMax"/>
        </c:scaling>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t>kg</a:t>
                </a:r>
              </a:p>
            </c:rich>
          </c:tx>
          <c:layout>
            <c:manualLayout>
              <c:xMode val="edge"/>
              <c:yMode val="edge"/>
              <c:x val="2.1680216802168022E-2"/>
              <c:y val="0.44485294117647056"/>
            </c:manualLayout>
          </c:layout>
          <c:spPr>
            <a:noFill/>
            <a:ln w="25400">
              <a:noFill/>
            </a:ln>
          </c:spPr>
        </c:title>
        <c:numFmt formatCode="0.0" sourceLinked="1"/>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en-US"/>
          </a:p>
        </c:txPr>
        <c:crossAx val="127255296"/>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37127413951304866"/>
          <c:y val="0.88970588235294112"/>
          <c:w val="0.71002795382284534"/>
          <c:h val="0.97426470588235292"/>
        </c:manualLayout>
      </c:layout>
      <c:spPr>
        <a:solidFill>
          <a:srgbClr val="FFFFFF"/>
        </a:solidFill>
        <a:ln w="3175">
          <a:solidFill>
            <a:srgbClr val="000000"/>
          </a:solidFill>
          <a:prstDash val="solid"/>
        </a:ln>
      </c:spPr>
      <c:txPr>
        <a:bodyPr/>
        <a:lstStyle/>
        <a:p>
          <a:pPr>
            <a:defRPr sz="82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90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1" i="0" u="none" strike="noStrike" baseline="0">
                <a:solidFill>
                  <a:srgbClr val="000000"/>
                </a:solidFill>
                <a:latin typeface="Arial"/>
                <a:ea typeface="Arial"/>
                <a:cs typeface="Arial"/>
              </a:defRPr>
            </a:pPr>
            <a:r>
              <a:t>Physical Properties - Length</a:t>
            </a:r>
          </a:p>
        </c:rich>
      </c:tx>
      <c:layout>
        <c:manualLayout>
          <c:xMode val="edge"/>
          <c:yMode val="edge"/>
          <c:x val="0.39159948502372161"/>
          <c:y val="3.6764705882352942E-2"/>
        </c:manualLayout>
      </c:layout>
      <c:spPr>
        <a:noFill/>
        <a:ln w="25400">
          <a:noFill/>
        </a:ln>
      </c:spPr>
    </c:title>
    <c:plotArea>
      <c:layout>
        <c:manualLayout>
          <c:layoutTarget val="inner"/>
          <c:xMode val="edge"/>
          <c:yMode val="edge"/>
          <c:x val="8.4010951276347709E-2"/>
          <c:y val="0.20955882352941177"/>
          <c:w val="0.89702015717648675"/>
          <c:h val="0.54411764705882348"/>
        </c:manualLayout>
      </c:layout>
      <c:barChart>
        <c:barDir val="col"/>
        <c:grouping val="stacked"/>
        <c:ser>
          <c:idx val="0"/>
          <c:order val="0"/>
          <c:tx>
            <c:strRef>
              <c:f>'Working Master '!$U$39:$U$40</c:f>
              <c:strCache>
                <c:ptCount val="1"/>
                <c:pt idx="0">
                  <c:v>Drill</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800" b="1" i="0" u="none" strike="noStrike" baseline="0">
                    <a:solidFill>
                      <a:srgbClr val="000000"/>
                    </a:solidFill>
                    <a:latin typeface="Arial"/>
                    <a:ea typeface="Arial"/>
                    <a:cs typeface="Arial"/>
                  </a:defRPr>
                </a:pPr>
                <a:endParaRPr lang="en-US"/>
              </a:p>
            </c:txPr>
            <c:showVal val="1"/>
          </c:dLbls>
          <c:cat>
            <c:strRef>
              <c:f>'Working Master '!$R$41:$T$44</c:f>
              <c:strCache>
                <c:ptCount val="4"/>
                <c:pt idx="0">
                  <c:v>Hilti TE MD20 </c:v>
                </c:pt>
                <c:pt idx="1">
                  <c:v>Seco S215 Muffled</c:v>
                </c:pt>
                <c:pt idx="2">
                  <c:v>Sulzer ADDS</c:v>
                </c:pt>
                <c:pt idx="3">
                  <c:v>Seco S215</c:v>
                </c:pt>
              </c:strCache>
            </c:strRef>
          </c:cat>
          <c:val>
            <c:numRef>
              <c:f>'Working Master '!$U$41:$U$44</c:f>
              <c:numCache>
                <c:formatCode>0.00</c:formatCode>
                <c:ptCount val="4"/>
                <c:pt idx="0" formatCode="General">
                  <c:v>0.74</c:v>
                </c:pt>
                <c:pt idx="1">
                  <c:v>0.71499999999999997</c:v>
                </c:pt>
                <c:pt idx="2">
                  <c:v>0.755</c:v>
                </c:pt>
                <c:pt idx="3">
                  <c:v>0.71</c:v>
                </c:pt>
              </c:numCache>
            </c:numRef>
          </c:val>
        </c:ser>
        <c:ser>
          <c:idx val="1"/>
          <c:order val="1"/>
          <c:tx>
            <c:strRef>
              <c:f>'Working Master '!$V$39:$V$40</c:f>
              <c:strCache>
                <c:ptCount val="1"/>
                <c:pt idx="0">
                  <c:v>Leg (Air or Water)</c:v>
                </c:pt>
              </c:strCache>
            </c:strRef>
          </c:tx>
          <c:spPr>
            <a:pattFill prst="wdUpDiag">
              <a:fgClr>
                <a:srgbClr val="CCFFCC"/>
              </a:fgClr>
              <a:bgClr>
                <a:srgbClr val="FFFFFF"/>
              </a:bgClr>
            </a:pattFill>
            <a:ln w="12700">
              <a:solidFill>
                <a:srgbClr val="000000"/>
              </a:solidFill>
              <a:prstDash val="solid"/>
            </a:ln>
          </c:spPr>
          <c:dLbls>
            <c:spPr>
              <a:noFill/>
              <a:ln w="25400">
                <a:noFill/>
              </a:ln>
            </c:spPr>
            <c:txPr>
              <a:bodyPr/>
              <a:lstStyle/>
              <a:p>
                <a:pPr>
                  <a:defRPr sz="800" b="1" i="0" u="none" strike="noStrike" baseline="0">
                    <a:solidFill>
                      <a:srgbClr val="000000"/>
                    </a:solidFill>
                    <a:latin typeface="Arial"/>
                    <a:ea typeface="Arial"/>
                    <a:cs typeface="Arial"/>
                  </a:defRPr>
                </a:pPr>
                <a:endParaRPr lang="en-US"/>
              </a:p>
            </c:txPr>
            <c:showVal val="1"/>
          </c:dLbls>
          <c:cat>
            <c:strRef>
              <c:f>'Working Master '!$R$41:$T$44</c:f>
              <c:strCache>
                <c:ptCount val="4"/>
                <c:pt idx="0">
                  <c:v>Hilti TE MD20 </c:v>
                </c:pt>
                <c:pt idx="1">
                  <c:v>Seco S215 Muffled</c:v>
                </c:pt>
                <c:pt idx="2">
                  <c:v>Sulzer ADDS</c:v>
                </c:pt>
                <c:pt idx="3">
                  <c:v>Seco S215</c:v>
                </c:pt>
              </c:strCache>
            </c:strRef>
          </c:cat>
          <c:val>
            <c:numRef>
              <c:f>'Working Master '!$V$41:$V$44</c:f>
              <c:numCache>
                <c:formatCode>0.00</c:formatCode>
                <c:ptCount val="4"/>
                <c:pt idx="0" formatCode="General">
                  <c:v>0.78</c:v>
                </c:pt>
                <c:pt idx="1">
                  <c:v>1.03</c:v>
                </c:pt>
                <c:pt idx="2">
                  <c:v>1.07</c:v>
                </c:pt>
                <c:pt idx="3">
                  <c:v>1.03</c:v>
                </c:pt>
              </c:numCache>
            </c:numRef>
          </c:val>
        </c:ser>
        <c:ser>
          <c:idx val="2"/>
          <c:order val="2"/>
          <c:tx>
            <c:strRef>
              <c:f>'Working Master '!$W$39:$W$40</c:f>
              <c:strCache>
                <c:ptCount val="1"/>
                <c:pt idx="0">
                  <c:v>Steel and Bit</c:v>
                </c:pt>
              </c:strCache>
            </c:strRef>
          </c:tx>
          <c:spPr>
            <a:pattFill prst="lgCheck">
              <a:fgClr>
                <a:srgbClr val="99CCFF"/>
              </a:fgClr>
              <a:bgClr>
                <a:srgbClr val="FFFFFF"/>
              </a:bgClr>
            </a:pattFill>
            <a:ln w="12700">
              <a:solidFill>
                <a:srgbClr val="000000"/>
              </a:solidFill>
              <a:prstDash val="solid"/>
            </a:ln>
          </c:spPr>
          <c:dLbls>
            <c:spPr>
              <a:noFill/>
              <a:ln w="25400">
                <a:noFill/>
              </a:ln>
            </c:spPr>
            <c:txPr>
              <a:bodyPr/>
              <a:lstStyle/>
              <a:p>
                <a:pPr>
                  <a:defRPr sz="800" b="1" i="0" u="none" strike="noStrike" baseline="0">
                    <a:solidFill>
                      <a:srgbClr val="000000"/>
                    </a:solidFill>
                    <a:latin typeface="Arial"/>
                    <a:ea typeface="Arial"/>
                    <a:cs typeface="Arial"/>
                  </a:defRPr>
                </a:pPr>
                <a:endParaRPr lang="en-US"/>
              </a:p>
            </c:txPr>
            <c:showVal val="1"/>
          </c:dLbls>
          <c:cat>
            <c:strRef>
              <c:f>'Working Master '!$R$41:$T$44</c:f>
              <c:strCache>
                <c:ptCount val="4"/>
                <c:pt idx="0">
                  <c:v>Hilti TE MD20 </c:v>
                </c:pt>
                <c:pt idx="1">
                  <c:v>Seco S215 Muffled</c:v>
                </c:pt>
                <c:pt idx="2">
                  <c:v>Sulzer ADDS</c:v>
                </c:pt>
                <c:pt idx="3">
                  <c:v>Seco S215</c:v>
                </c:pt>
              </c:strCache>
            </c:strRef>
          </c:cat>
          <c:val>
            <c:numRef>
              <c:f>'Working Master '!$W$41:$W$44</c:f>
              <c:numCache>
                <c:formatCode>0.00</c:formatCode>
                <c:ptCount val="4"/>
                <c:pt idx="0" formatCode="General">
                  <c:v>1.26</c:v>
                </c:pt>
                <c:pt idx="1">
                  <c:v>1.29</c:v>
                </c:pt>
                <c:pt idx="2">
                  <c:v>1.2949999999999999</c:v>
                </c:pt>
                <c:pt idx="3">
                  <c:v>1.29</c:v>
                </c:pt>
              </c:numCache>
            </c:numRef>
          </c:val>
        </c:ser>
        <c:overlap val="100"/>
        <c:axId val="127313024"/>
        <c:axId val="127314560"/>
      </c:barChart>
      <c:catAx>
        <c:axId val="127313024"/>
        <c:scaling>
          <c:orientation val="minMax"/>
        </c:scaling>
        <c:axPos val="b"/>
        <c:numFmt formatCode="General" sourceLinked="1"/>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27314560"/>
        <c:crosses val="autoZero"/>
        <c:auto val="1"/>
        <c:lblAlgn val="ctr"/>
        <c:lblOffset val="100"/>
        <c:tickLblSkip val="1"/>
        <c:tickMarkSkip val="1"/>
      </c:catAx>
      <c:valAx>
        <c:axId val="127314560"/>
        <c:scaling>
          <c:orientation val="minMax"/>
        </c:scaling>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t>meter</a:t>
                </a:r>
              </a:p>
            </c:rich>
          </c:tx>
          <c:layout>
            <c:manualLayout>
              <c:xMode val="edge"/>
              <c:yMode val="edge"/>
              <c:x val="2.1680216802168022E-2"/>
              <c:y val="0.41176470588235292"/>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27313024"/>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37127413951304866"/>
          <c:y val="0.89338235294117652"/>
          <c:w val="0.69241277767108378"/>
          <c:h val="0.97426470588235303"/>
        </c:manualLayout>
      </c:layout>
      <c:spPr>
        <a:solidFill>
          <a:srgbClr val="FFFFFF"/>
        </a:solidFill>
        <a:ln w="3175">
          <a:solidFill>
            <a:srgbClr val="000000"/>
          </a:solidFill>
          <a:prstDash val="solid"/>
        </a:ln>
      </c:spPr>
      <c:txPr>
        <a:bodyPr/>
        <a:lstStyle/>
        <a:p>
          <a:pPr>
            <a:defRPr sz="73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1" i="0" u="none" strike="noStrike" baseline="0">
                <a:solidFill>
                  <a:srgbClr val="000000"/>
                </a:solidFill>
                <a:latin typeface="Arial"/>
                <a:ea typeface="Arial"/>
                <a:cs typeface="Arial"/>
              </a:defRPr>
            </a:pPr>
            <a:r>
              <a:rPr lang="en-US"/>
              <a:t>SPL Emission from Single Rock Drill</a:t>
            </a:r>
          </a:p>
        </c:rich>
      </c:tx>
      <c:layout>
        <c:manualLayout>
          <c:xMode val="edge"/>
          <c:yMode val="edge"/>
          <c:x val="0.34634171948018694"/>
          <c:y val="3.2085561497326207E-2"/>
        </c:manualLayout>
      </c:layout>
      <c:spPr>
        <a:noFill/>
        <a:ln w="25400">
          <a:noFill/>
        </a:ln>
      </c:spPr>
    </c:title>
    <c:plotArea>
      <c:layout>
        <c:manualLayout>
          <c:layoutTarget val="inner"/>
          <c:xMode val="edge"/>
          <c:yMode val="edge"/>
          <c:x val="0.10731713707432419"/>
          <c:y val="0.17647058823529413"/>
          <c:w val="0.87561027749278142"/>
          <c:h val="0.67647058823529416"/>
        </c:manualLayout>
      </c:layout>
      <c:barChart>
        <c:barDir val="col"/>
        <c:grouping val="clustered"/>
        <c:ser>
          <c:idx val="4"/>
          <c:order val="0"/>
          <c:tx>
            <c:strRef>
              <c:f>'SPL Single RD'!$R$71:$T$71</c:f>
              <c:strCache>
                <c:ptCount val="1"/>
                <c:pt idx="0">
                  <c:v>Milestone</c:v>
                </c:pt>
              </c:strCache>
            </c:strRef>
          </c:tx>
          <c:spPr>
            <a:solidFill>
              <a:srgbClr val="000000"/>
            </a:solid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'SPL Single RD'!$U$71</c:f>
              <c:numCache>
                <c:formatCode>0.0</c:formatCode>
                <c:ptCount val="1"/>
                <c:pt idx="0">
                  <c:v>110</c:v>
                </c:pt>
              </c:numCache>
            </c:numRef>
          </c:val>
        </c:ser>
        <c:ser>
          <c:idx val="3"/>
          <c:order val="1"/>
          <c:tx>
            <c:strRef>
              <c:f>'SPL Single RD'!$U$67:$U$68</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'SPL Single RD'!$U$69</c:f>
              <c:numCache>
                <c:formatCode>0.0</c:formatCode>
                <c:ptCount val="1"/>
                <c:pt idx="0">
                  <c:v>102</c:v>
                </c:pt>
              </c:numCache>
            </c:numRef>
          </c:val>
        </c:ser>
        <c:ser>
          <c:idx val="1"/>
          <c:order val="2"/>
          <c:tx>
            <c:strRef>
              <c:f>'SPL Single RD'!$V$67:$V$68</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'SPL Single RD'!$V$69</c:f>
              <c:numCache>
                <c:formatCode>0.0</c:formatCode>
                <c:ptCount val="1"/>
                <c:pt idx="0">
                  <c:v>108.59999999999988</c:v>
                </c:pt>
              </c:numCache>
            </c:numRef>
          </c:val>
        </c:ser>
        <c:ser>
          <c:idx val="2"/>
          <c:order val="3"/>
          <c:tx>
            <c:strRef>
              <c:f>'SPL Single RD'!$W$67:$W$68</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'SPL Single RD'!$W$69</c:f>
              <c:numCache>
                <c:formatCode>0.0</c:formatCode>
                <c:ptCount val="1"/>
                <c:pt idx="0">
                  <c:v>109.59999999999988</c:v>
                </c:pt>
              </c:numCache>
            </c:numRef>
          </c:val>
        </c:ser>
        <c:ser>
          <c:idx val="0"/>
          <c:order val="4"/>
          <c:tx>
            <c:strRef>
              <c:f>'SPL Single RD'!$X$67:$X$68</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'SPL Single RD'!$X$69</c:f>
              <c:numCache>
                <c:formatCode>0.0</c:formatCode>
                <c:ptCount val="1"/>
                <c:pt idx="0">
                  <c:v>116.90000000000003</c:v>
                </c:pt>
              </c:numCache>
            </c:numRef>
          </c:val>
        </c:ser>
        <c:axId val="126661376"/>
        <c:axId val="126662912"/>
      </c:barChart>
      <c:catAx>
        <c:axId val="126661376"/>
        <c:scaling>
          <c:orientation val="minMax"/>
        </c:scaling>
        <c:delete val="1"/>
        <c:axPos val="b"/>
        <c:tickLblPos val="nextTo"/>
        <c:crossAx val="126662912"/>
        <c:crosses val="autoZero"/>
        <c:auto val="1"/>
        <c:lblAlgn val="ctr"/>
        <c:lblOffset val="100"/>
      </c:catAx>
      <c:valAx>
        <c:axId val="126662912"/>
        <c:scaling>
          <c:orientation val="minMax"/>
          <c:max val="120"/>
          <c:min val="70"/>
        </c:scaling>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n-US"/>
                  <a:t>dBA</a:t>
                </a:r>
              </a:p>
            </c:rich>
          </c:tx>
          <c:layout>
            <c:manualLayout>
              <c:xMode val="edge"/>
              <c:yMode val="edge"/>
              <c:x val="1.9512195121951219E-2"/>
              <c:y val="0.47058823529411764"/>
            </c:manualLayout>
          </c:layout>
          <c:spPr>
            <a:noFill/>
            <a:ln w="25400">
              <a:noFill/>
            </a:ln>
          </c:spPr>
        </c:title>
        <c:numFmt formatCode="0.0"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26661376"/>
        <c:crosses val="autoZero"/>
        <c:crossBetween val="between"/>
        <c:majorUnit val="10"/>
      </c:valAx>
      <c:spPr>
        <a:solidFill>
          <a:srgbClr val="FFFFFF"/>
        </a:solidFill>
        <a:ln w="12700">
          <a:solidFill>
            <a:srgbClr val="808080"/>
          </a:solidFill>
          <a:prstDash val="solid"/>
        </a:ln>
      </c:spPr>
    </c:plotArea>
    <c:legend>
      <c:legendPos val="b"/>
      <c:layout>
        <c:manualLayout>
          <c:xMode val="edge"/>
          <c:yMode val="edge"/>
          <c:x val="0.20731720120350811"/>
          <c:y val="0.91443850267379678"/>
          <c:w val="0.67439062800076832"/>
          <c:h val="6.6844919786096302E-2"/>
        </c:manualLayout>
      </c:layout>
      <c:spPr>
        <a:solidFill>
          <a:srgbClr val="FFFFFF"/>
        </a:solidFill>
        <a:ln w="3175">
          <a:solidFill>
            <a:srgbClr val="000000"/>
          </a:solidFill>
          <a:prstDash val="solid"/>
        </a:ln>
      </c:spPr>
      <c:txPr>
        <a:bodyPr/>
        <a:lstStyle/>
        <a:p>
          <a:pPr>
            <a:defRPr sz="96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50" b="1" i="0" u="none" strike="noStrike" baseline="0">
                <a:solidFill>
                  <a:srgbClr val="000000"/>
                </a:solidFill>
                <a:latin typeface="Arial"/>
                <a:ea typeface="Arial"/>
                <a:cs typeface="Arial"/>
              </a:defRPr>
            </a:pPr>
            <a:r>
              <a:t>SPL Emission from Single Rock Drill</a:t>
            </a:r>
          </a:p>
        </c:rich>
      </c:tx>
      <c:layout>
        <c:manualLayout>
          <c:xMode val="edge"/>
          <c:yMode val="edge"/>
          <c:x val="0.36449907176237117"/>
          <c:y val="3.5947712418300651E-2"/>
        </c:manualLayout>
      </c:layout>
      <c:spPr>
        <a:noFill/>
        <a:ln w="25400">
          <a:noFill/>
        </a:ln>
      </c:spPr>
    </c:title>
    <c:plotArea>
      <c:layout>
        <c:manualLayout>
          <c:layoutTarget val="inner"/>
          <c:xMode val="edge"/>
          <c:yMode val="edge"/>
          <c:x val="0.10027113539435048"/>
          <c:y val="0.18954308856428898"/>
          <c:w val="0.88075997305848397"/>
          <c:h val="0.64706088854705546"/>
        </c:manualLayout>
      </c:layout>
      <c:barChart>
        <c:barDir val="col"/>
        <c:grouping val="clustered"/>
        <c:ser>
          <c:idx val="4"/>
          <c:order val="0"/>
          <c:tx>
            <c:strRef>
              <c:f>'Working Master '!$R$71:$T$71</c:f>
              <c:strCache>
                <c:ptCount val="1"/>
                <c:pt idx="0">
                  <c:v>Milestone</c:v>
                </c:pt>
              </c:strCache>
            </c:strRef>
          </c:tx>
          <c:spPr>
            <a:solidFill>
              <a:srgbClr val="000000"/>
            </a:solid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'!$X$78</c:f>
              <c:numCache>
                <c:formatCode>0.0</c:formatCode>
                <c:ptCount val="1"/>
                <c:pt idx="0">
                  <c:v>110</c:v>
                </c:pt>
              </c:numCache>
            </c:numRef>
          </c:val>
        </c:ser>
        <c:ser>
          <c:idx val="3"/>
          <c:order val="1"/>
          <c:tx>
            <c:strRef>
              <c:f>'Working Master '!$U$67:$U$68</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'!$U$69</c:f>
              <c:numCache>
                <c:formatCode>0.0</c:formatCode>
                <c:ptCount val="1"/>
                <c:pt idx="0">
                  <c:v>102</c:v>
                </c:pt>
              </c:numCache>
            </c:numRef>
          </c:val>
        </c:ser>
        <c:ser>
          <c:idx val="1"/>
          <c:order val="2"/>
          <c:tx>
            <c:strRef>
              <c:f>'Working Master '!$V$67:$V$68</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'!$V$69</c:f>
              <c:numCache>
                <c:formatCode>0.0</c:formatCode>
                <c:ptCount val="1"/>
                <c:pt idx="0">
                  <c:v>108</c:v>
                </c:pt>
              </c:numCache>
            </c:numRef>
          </c:val>
        </c:ser>
        <c:ser>
          <c:idx val="2"/>
          <c:order val="3"/>
          <c:tx>
            <c:strRef>
              <c:f>'Working Master '!$W$67:$W$68</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'!$W$69</c:f>
              <c:numCache>
                <c:formatCode>0.0</c:formatCode>
                <c:ptCount val="1"/>
                <c:pt idx="0">
                  <c:v>109</c:v>
                </c:pt>
              </c:numCache>
            </c:numRef>
          </c:val>
        </c:ser>
        <c:ser>
          <c:idx val="0"/>
          <c:order val="4"/>
          <c:tx>
            <c:strRef>
              <c:f>'Working Master '!$X$67:$X$68</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'!$X$69</c:f>
              <c:numCache>
                <c:formatCode>0.0</c:formatCode>
                <c:ptCount val="1"/>
                <c:pt idx="0">
                  <c:v>116</c:v>
                </c:pt>
              </c:numCache>
            </c:numRef>
          </c:val>
        </c:ser>
        <c:axId val="127397888"/>
        <c:axId val="127399424"/>
      </c:barChart>
      <c:catAx>
        <c:axId val="127397888"/>
        <c:scaling>
          <c:orientation val="minMax"/>
        </c:scaling>
        <c:delete val="1"/>
        <c:axPos val="b"/>
        <c:tickLblPos val="nextTo"/>
        <c:crossAx val="127399424"/>
        <c:crosses val="autoZero"/>
        <c:auto val="1"/>
        <c:lblAlgn val="ctr"/>
        <c:lblOffset val="100"/>
      </c:catAx>
      <c:valAx>
        <c:axId val="127399424"/>
        <c:scaling>
          <c:orientation val="minMax"/>
        </c:scaling>
        <c:axPos val="l"/>
        <c:majorGridlines>
          <c:spPr>
            <a:ln w="3175">
              <a:solidFill>
                <a:srgbClr val="000000"/>
              </a:solidFill>
              <a:prstDash val="solid"/>
            </a:ln>
          </c:spPr>
        </c:majorGridlines>
        <c:title>
          <c:tx>
            <c:rich>
              <a:bodyPr/>
              <a:lstStyle/>
              <a:p>
                <a:pPr>
                  <a:defRPr sz="850" b="1" i="0" u="none" strike="noStrike" baseline="0">
                    <a:solidFill>
                      <a:srgbClr val="000000"/>
                    </a:solidFill>
                    <a:latin typeface="Arial"/>
                    <a:ea typeface="Arial"/>
                    <a:cs typeface="Arial"/>
                  </a:defRPr>
                </a:pPr>
                <a:r>
                  <a:t>dBA</a:t>
                </a:r>
              </a:p>
            </c:rich>
          </c:tx>
          <c:layout>
            <c:manualLayout>
              <c:xMode val="edge"/>
              <c:yMode val="edge"/>
              <c:x val="2.1680216802168022E-2"/>
              <c:y val="0.47058960767159008"/>
            </c:manualLayout>
          </c:layout>
          <c:spPr>
            <a:noFill/>
            <a:ln w="25400">
              <a:noFill/>
            </a:ln>
          </c:spPr>
        </c:title>
        <c:numFmt formatCode="0.0" sourceLinked="1"/>
        <c:tickLblPos val="nextTo"/>
        <c:spPr>
          <a:ln w="3175">
            <a:solidFill>
              <a:srgbClr val="000000"/>
            </a:solidFill>
            <a:prstDash val="solid"/>
          </a:ln>
        </c:spPr>
        <c:txPr>
          <a:bodyPr rot="0" vert="horz"/>
          <a:lstStyle/>
          <a:p>
            <a:pPr>
              <a:defRPr sz="850" b="1" i="0" u="none" strike="noStrike" baseline="0">
                <a:solidFill>
                  <a:srgbClr val="000000"/>
                </a:solidFill>
                <a:latin typeface="Arial"/>
                <a:ea typeface="Arial"/>
                <a:cs typeface="Arial"/>
              </a:defRPr>
            </a:pPr>
            <a:endParaRPr lang="en-US"/>
          </a:p>
        </c:txPr>
        <c:crossAx val="127397888"/>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5067779129234863"/>
          <c:y val="0.90523150292487953"/>
          <c:w val="0.83062430204354543"/>
          <c:h val="0.97712727085584894"/>
        </c:manualLayout>
      </c:layout>
      <c:spPr>
        <a:solidFill>
          <a:srgbClr val="FFFFFF"/>
        </a:solidFill>
        <a:ln w="3175">
          <a:solidFill>
            <a:srgbClr val="000000"/>
          </a:solidFill>
          <a:prstDash val="solid"/>
        </a:ln>
      </c:spPr>
      <c:txPr>
        <a:bodyPr/>
        <a:lstStyle/>
        <a:p>
          <a:pPr>
            <a:defRPr sz="78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50" b="1" i="0" u="none" strike="noStrike" baseline="0">
                <a:solidFill>
                  <a:srgbClr val="000000"/>
                </a:solidFill>
                <a:latin typeface="Arial"/>
                <a:ea typeface="Arial"/>
                <a:cs typeface="Arial"/>
              </a:defRPr>
            </a:pPr>
            <a:r>
              <a:t>SPL Emission from Multiple Rock Drills</a:t>
            </a:r>
          </a:p>
        </c:rich>
      </c:tx>
      <c:layout>
        <c:manualLayout>
          <c:xMode val="edge"/>
          <c:yMode val="edge"/>
          <c:x val="0.35365896336128716"/>
          <c:y val="3.5947712418300651E-2"/>
        </c:manualLayout>
      </c:layout>
      <c:spPr>
        <a:noFill/>
        <a:ln w="25400">
          <a:noFill/>
        </a:ln>
      </c:spPr>
    </c:title>
    <c:plotArea>
      <c:layout>
        <c:manualLayout>
          <c:layoutTarget val="inner"/>
          <c:xMode val="edge"/>
          <c:yMode val="edge"/>
          <c:x val="0.10027113539435048"/>
          <c:y val="0.18954308856428898"/>
          <c:w val="0.88075997305848397"/>
          <c:h val="0.64706088854705546"/>
        </c:manualLayout>
      </c:layout>
      <c:barChart>
        <c:barDir val="col"/>
        <c:grouping val="clustered"/>
        <c:ser>
          <c:idx val="4"/>
          <c:order val="0"/>
          <c:tx>
            <c:strRef>
              <c:f>'Working Master '!$R$78:$T$78</c:f>
              <c:strCache>
                <c:ptCount val="1"/>
                <c:pt idx="0">
                  <c:v>Milestone</c:v>
                </c:pt>
              </c:strCache>
            </c:strRef>
          </c:tx>
          <c:spPr>
            <a:solidFill>
              <a:srgbClr val="000000"/>
            </a:solid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'!$X$78</c:f>
              <c:numCache>
                <c:formatCode>0.0</c:formatCode>
                <c:ptCount val="1"/>
                <c:pt idx="0">
                  <c:v>110</c:v>
                </c:pt>
              </c:numCache>
            </c:numRef>
          </c:val>
        </c:ser>
        <c:ser>
          <c:idx val="3"/>
          <c:order val="1"/>
          <c:tx>
            <c:strRef>
              <c:f>'Working Master '!$U$74:$U$75</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'!$U$76</c:f>
              <c:numCache>
                <c:formatCode>0.0</c:formatCode>
                <c:ptCount val="1"/>
                <c:pt idx="0">
                  <c:v>108.02059991327964</c:v>
                </c:pt>
              </c:numCache>
            </c:numRef>
          </c:val>
        </c:ser>
        <c:ser>
          <c:idx val="1"/>
          <c:order val="2"/>
          <c:tx>
            <c:strRef>
              <c:f>'Working Master '!$V$74:$V$75</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'!$V$76</c:f>
              <c:numCache>
                <c:formatCode>0.0</c:formatCode>
                <c:ptCount val="1"/>
                <c:pt idx="0">
                  <c:v>114.02059991327963</c:v>
                </c:pt>
              </c:numCache>
            </c:numRef>
          </c:val>
        </c:ser>
        <c:ser>
          <c:idx val="2"/>
          <c:order val="3"/>
          <c:tx>
            <c:strRef>
              <c:f>'Working Master '!$W$74:$W$75</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'!$W$76</c:f>
              <c:numCache>
                <c:formatCode>0.0</c:formatCode>
                <c:ptCount val="1"/>
                <c:pt idx="0">
                  <c:v>115.02059991327963</c:v>
                </c:pt>
              </c:numCache>
            </c:numRef>
          </c:val>
        </c:ser>
        <c:ser>
          <c:idx val="0"/>
          <c:order val="4"/>
          <c:tx>
            <c:strRef>
              <c:f>'Working Master '!$X$74:$X$75</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'!$X$76</c:f>
              <c:numCache>
                <c:formatCode>0.0</c:formatCode>
                <c:ptCount val="1"/>
                <c:pt idx="0">
                  <c:v>122.02059991327964</c:v>
                </c:pt>
              </c:numCache>
            </c:numRef>
          </c:val>
        </c:ser>
        <c:axId val="127449728"/>
        <c:axId val="127467904"/>
      </c:barChart>
      <c:catAx>
        <c:axId val="127449728"/>
        <c:scaling>
          <c:orientation val="minMax"/>
        </c:scaling>
        <c:delete val="1"/>
        <c:axPos val="b"/>
        <c:tickLblPos val="nextTo"/>
        <c:crossAx val="127467904"/>
        <c:crosses val="autoZero"/>
        <c:auto val="1"/>
        <c:lblAlgn val="ctr"/>
        <c:lblOffset val="100"/>
      </c:catAx>
      <c:valAx>
        <c:axId val="127467904"/>
        <c:scaling>
          <c:orientation val="minMax"/>
        </c:scaling>
        <c:axPos val="l"/>
        <c:majorGridlines>
          <c:spPr>
            <a:ln w="3175">
              <a:solidFill>
                <a:srgbClr val="000000"/>
              </a:solidFill>
              <a:prstDash val="solid"/>
            </a:ln>
          </c:spPr>
        </c:majorGridlines>
        <c:title>
          <c:tx>
            <c:rich>
              <a:bodyPr/>
              <a:lstStyle/>
              <a:p>
                <a:pPr>
                  <a:defRPr sz="850" b="1" i="0" u="none" strike="noStrike" baseline="0">
                    <a:solidFill>
                      <a:srgbClr val="000000"/>
                    </a:solidFill>
                    <a:latin typeface="Arial"/>
                    <a:ea typeface="Arial"/>
                    <a:cs typeface="Arial"/>
                  </a:defRPr>
                </a:pPr>
                <a:r>
                  <a:t>dBA</a:t>
                </a:r>
              </a:p>
            </c:rich>
          </c:tx>
          <c:layout>
            <c:manualLayout>
              <c:xMode val="edge"/>
              <c:yMode val="edge"/>
              <c:x val="2.1680216802168022E-2"/>
              <c:y val="0.47058960767159008"/>
            </c:manualLayout>
          </c:layout>
          <c:spPr>
            <a:noFill/>
            <a:ln w="25400">
              <a:noFill/>
            </a:ln>
          </c:spPr>
        </c:title>
        <c:numFmt formatCode="0.0" sourceLinked="1"/>
        <c:tickLblPos val="nextTo"/>
        <c:spPr>
          <a:ln w="3175">
            <a:solidFill>
              <a:srgbClr val="000000"/>
            </a:solidFill>
            <a:prstDash val="solid"/>
          </a:ln>
        </c:spPr>
        <c:txPr>
          <a:bodyPr rot="0" vert="horz"/>
          <a:lstStyle/>
          <a:p>
            <a:pPr>
              <a:defRPr sz="850" b="1" i="0" u="none" strike="noStrike" baseline="0">
                <a:solidFill>
                  <a:srgbClr val="000000"/>
                </a:solidFill>
                <a:latin typeface="Arial"/>
                <a:ea typeface="Arial"/>
                <a:cs typeface="Arial"/>
              </a:defRPr>
            </a:pPr>
            <a:endParaRPr lang="en-US"/>
          </a:p>
        </c:txPr>
        <c:crossAx val="127449728"/>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5067779129234863"/>
          <c:y val="0.90523150292487953"/>
          <c:w val="0.83062430204354543"/>
          <c:h val="0.97712727085584894"/>
        </c:manualLayout>
      </c:layout>
      <c:spPr>
        <a:solidFill>
          <a:srgbClr val="FFFFFF"/>
        </a:solidFill>
        <a:ln w="3175">
          <a:solidFill>
            <a:srgbClr val="000000"/>
          </a:solidFill>
          <a:prstDash val="solid"/>
        </a:ln>
      </c:spPr>
      <c:txPr>
        <a:bodyPr/>
        <a:lstStyle/>
        <a:p>
          <a:pPr>
            <a:defRPr sz="78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50" b="1" i="0" u="none" strike="noStrike" baseline="0">
                <a:solidFill>
                  <a:srgbClr val="000000"/>
                </a:solidFill>
                <a:latin typeface="Arial"/>
                <a:ea typeface="Arial"/>
                <a:cs typeface="Arial"/>
              </a:defRPr>
            </a:pPr>
            <a:r>
              <a:t>Equivalent Daily Exposure Level - Exposed to Multiple Rock Drill SPL</a:t>
            </a:r>
          </a:p>
        </c:rich>
      </c:tx>
      <c:layout>
        <c:manualLayout>
          <c:xMode val="edge"/>
          <c:yMode val="edge"/>
          <c:x val="0.24796776419207761"/>
          <c:y val="3.5947712418300651E-2"/>
        </c:manualLayout>
      </c:layout>
      <c:spPr>
        <a:noFill/>
        <a:ln w="25400">
          <a:noFill/>
        </a:ln>
      </c:spPr>
    </c:title>
    <c:plotArea>
      <c:layout>
        <c:manualLayout>
          <c:layoutTarget val="inner"/>
          <c:xMode val="edge"/>
          <c:yMode val="edge"/>
          <c:x val="0.10027113539435048"/>
          <c:y val="0.18954308856428898"/>
          <c:w val="0.88075997305848397"/>
          <c:h val="0.59150515569200524"/>
        </c:manualLayout>
      </c:layout>
      <c:barChart>
        <c:barDir val="col"/>
        <c:grouping val="clustered"/>
        <c:ser>
          <c:idx val="3"/>
          <c:order val="0"/>
          <c:tx>
            <c:strRef>
              <c:f>'Working Master '!$U$90:$U$91</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cat>
            <c:strRef>
              <c:f>'Working Master '!$R$92:$T$93</c:f>
              <c:strCache>
                <c:ptCount val="2"/>
                <c:pt idx="0">
                  <c:v>No HPD</c:v>
                </c:pt>
                <c:pt idx="1">
                  <c:v>With HPD</c:v>
                </c:pt>
              </c:strCache>
            </c:strRef>
          </c:cat>
          <c:val>
            <c:numRef>
              <c:f>'Working Master '!$U$92:$U$93</c:f>
              <c:numCache>
                <c:formatCode>0.0</c:formatCode>
                <c:ptCount val="2"/>
                <c:pt idx="0">
                  <c:v>103.15</c:v>
                </c:pt>
                <c:pt idx="1">
                  <c:v>90.15</c:v>
                </c:pt>
              </c:numCache>
            </c:numRef>
          </c:val>
        </c:ser>
        <c:ser>
          <c:idx val="1"/>
          <c:order val="1"/>
          <c:tx>
            <c:strRef>
              <c:f>'Working Master '!$V$90:$V$91</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cat>
            <c:strRef>
              <c:f>'Working Master '!$R$92:$T$93</c:f>
              <c:strCache>
                <c:ptCount val="2"/>
                <c:pt idx="0">
                  <c:v>No HPD</c:v>
                </c:pt>
                <c:pt idx="1">
                  <c:v>With HPD</c:v>
                </c:pt>
              </c:strCache>
            </c:strRef>
          </c:cat>
          <c:val>
            <c:numRef>
              <c:f>'Working Master '!$V$92:$V$93</c:f>
              <c:numCache>
                <c:formatCode>0.0</c:formatCode>
                <c:ptCount val="2"/>
                <c:pt idx="0">
                  <c:v>107.95</c:v>
                </c:pt>
                <c:pt idx="1">
                  <c:v>94.95</c:v>
                </c:pt>
              </c:numCache>
            </c:numRef>
          </c:val>
        </c:ser>
        <c:ser>
          <c:idx val="2"/>
          <c:order val="2"/>
          <c:tx>
            <c:strRef>
              <c:f>'Working Master '!$W$90:$W$91</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cat>
            <c:strRef>
              <c:f>'Working Master '!$R$92:$T$93</c:f>
              <c:strCache>
                <c:ptCount val="2"/>
                <c:pt idx="0">
                  <c:v>No HPD</c:v>
                </c:pt>
                <c:pt idx="1">
                  <c:v>With HPD</c:v>
                </c:pt>
              </c:strCache>
            </c:strRef>
          </c:cat>
          <c:val>
            <c:numRef>
              <c:f>'Working Master '!$W$92:$W$93</c:f>
              <c:numCache>
                <c:formatCode>0.0</c:formatCode>
                <c:ptCount val="2"/>
                <c:pt idx="0">
                  <c:v>108.4</c:v>
                </c:pt>
                <c:pt idx="1">
                  <c:v>95.3</c:v>
                </c:pt>
              </c:numCache>
            </c:numRef>
          </c:val>
        </c:ser>
        <c:ser>
          <c:idx val="0"/>
          <c:order val="3"/>
          <c:tx>
            <c:strRef>
              <c:f>'Working Master '!$X$90:$X$91</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cat>
            <c:strRef>
              <c:f>'Working Master '!$R$92:$T$93</c:f>
              <c:strCache>
                <c:ptCount val="2"/>
                <c:pt idx="0">
                  <c:v>No HPD</c:v>
                </c:pt>
                <c:pt idx="1">
                  <c:v>With HPD</c:v>
                </c:pt>
              </c:strCache>
            </c:strRef>
          </c:cat>
          <c:val>
            <c:numRef>
              <c:f>'Working Master '!$X$92:$X$93</c:f>
              <c:numCache>
                <c:formatCode>0.0</c:formatCode>
                <c:ptCount val="2"/>
                <c:pt idx="0">
                  <c:v>113.95</c:v>
                </c:pt>
                <c:pt idx="1">
                  <c:v>101.55</c:v>
                </c:pt>
              </c:numCache>
            </c:numRef>
          </c:val>
        </c:ser>
        <c:axId val="127521920"/>
        <c:axId val="127523840"/>
      </c:barChart>
      <c:lineChart>
        <c:grouping val="standard"/>
        <c:ser>
          <c:idx val="4"/>
          <c:order val="4"/>
          <c:tx>
            <c:strRef>
              <c:f>'Working Master '!$R$94:$T$94</c:f>
              <c:strCache>
                <c:ptCount val="1"/>
                <c:pt idx="0">
                  <c:v>Standard</c:v>
                </c:pt>
              </c:strCache>
            </c:strRef>
          </c:tx>
          <c:spPr>
            <a:ln w="25400">
              <a:solidFill>
                <a:srgbClr val="000000"/>
              </a:solidFill>
              <a:prstDash val="solid"/>
            </a:ln>
          </c:spPr>
          <c:marker>
            <c:symbol val="star"/>
            <c:size val="5"/>
            <c:spPr>
              <a:noFill/>
              <a:ln>
                <a:solidFill>
                  <a:srgbClr val="000000"/>
                </a:solidFill>
                <a:prstDash val="solid"/>
              </a:ln>
            </c:spPr>
          </c:marker>
          <c:cat>
            <c:strRef>
              <c:f>'Working Master '!$R$92:$T$93</c:f>
              <c:strCache>
                <c:ptCount val="2"/>
                <c:pt idx="0">
                  <c:v>No HPD</c:v>
                </c:pt>
                <c:pt idx="1">
                  <c:v>With HPD</c:v>
                </c:pt>
              </c:strCache>
            </c:strRef>
          </c:cat>
          <c:val>
            <c:numRef>
              <c:f>'Working Master '!$U$94:$V$94</c:f>
              <c:numCache>
                <c:formatCode>0.0</c:formatCode>
                <c:ptCount val="2"/>
                <c:pt idx="0">
                  <c:v>85</c:v>
                </c:pt>
                <c:pt idx="1">
                  <c:v>85</c:v>
                </c:pt>
              </c:numCache>
            </c:numRef>
          </c:val>
        </c:ser>
        <c:marker val="1"/>
        <c:axId val="127521920"/>
        <c:axId val="127523840"/>
      </c:lineChart>
      <c:catAx>
        <c:axId val="127521920"/>
        <c:scaling>
          <c:orientation val="minMax"/>
        </c:scaling>
        <c:axPos val="b"/>
        <c:numFmt formatCode="General" sourceLinked="1"/>
        <c:tickLblPos val="nextTo"/>
        <c:spPr>
          <a:ln w="3175">
            <a:solidFill>
              <a:srgbClr val="000000"/>
            </a:solidFill>
            <a:prstDash val="solid"/>
          </a:ln>
        </c:spPr>
        <c:txPr>
          <a:bodyPr rot="0" vert="horz"/>
          <a:lstStyle/>
          <a:p>
            <a:pPr>
              <a:defRPr sz="850" b="1" i="0" u="none" strike="noStrike" baseline="0">
                <a:solidFill>
                  <a:srgbClr val="000000"/>
                </a:solidFill>
                <a:latin typeface="Arial"/>
                <a:ea typeface="Arial"/>
                <a:cs typeface="Arial"/>
              </a:defRPr>
            </a:pPr>
            <a:endParaRPr lang="en-US"/>
          </a:p>
        </c:txPr>
        <c:crossAx val="127523840"/>
        <c:crosses val="autoZero"/>
        <c:auto val="1"/>
        <c:lblAlgn val="ctr"/>
        <c:lblOffset val="100"/>
        <c:tickLblSkip val="1"/>
        <c:tickMarkSkip val="1"/>
      </c:catAx>
      <c:valAx>
        <c:axId val="127523840"/>
        <c:scaling>
          <c:orientation val="minMax"/>
        </c:scaling>
        <c:axPos val="l"/>
        <c:majorGridlines>
          <c:spPr>
            <a:ln w="3175">
              <a:solidFill>
                <a:srgbClr val="000000"/>
              </a:solidFill>
              <a:prstDash val="solid"/>
            </a:ln>
          </c:spPr>
        </c:majorGridlines>
        <c:title>
          <c:tx>
            <c:rich>
              <a:bodyPr/>
              <a:lstStyle/>
              <a:p>
                <a:pPr>
                  <a:defRPr sz="850" b="1" i="0" u="none" strike="noStrike" baseline="0">
                    <a:solidFill>
                      <a:srgbClr val="000000"/>
                    </a:solidFill>
                    <a:latin typeface="Arial"/>
                    <a:ea typeface="Arial"/>
                    <a:cs typeface="Arial"/>
                  </a:defRPr>
                </a:pPr>
                <a:r>
                  <a:t>dBA</a:t>
                </a:r>
              </a:p>
            </c:rich>
          </c:tx>
          <c:layout>
            <c:manualLayout>
              <c:xMode val="edge"/>
              <c:yMode val="edge"/>
              <c:x val="2.1680216802168022E-2"/>
              <c:y val="0.44117784296570772"/>
            </c:manualLayout>
          </c:layout>
          <c:spPr>
            <a:noFill/>
            <a:ln w="25400">
              <a:noFill/>
            </a:ln>
          </c:spPr>
        </c:title>
        <c:numFmt formatCode="0.0" sourceLinked="1"/>
        <c:tickLblPos val="nextTo"/>
        <c:spPr>
          <a:ln w="3175">
            <a:solidFill>
              <a:srgbClr val="000000"/>
            </a:solidFill>
            <a:prstDash val="solid"/>
          </a:ln>
        </c:spPr>
        <c:txPr>
          <a:bodyPr rot="0" vert="horz"/>
          <a:lstStyle/>
          <a:p>
            <a:pPr>
              <a:defRPr sz="850" b="1" i="0" u="none" strike="noStrike" baseline="0">
                <a:solidFill>
                  <a:srgbClr val="000000"/>
                </a:solidFill>
                <a:latin typeface="Arial"/>
                <a:ea typeface="Arial"/>
                <a:cs typeface="Arial"/>
              </a:defRPr>
            </a:pPr>
            <a:endParaRPr lang="en-US"/>
          </a:p>
        </c:txPr>
        <c:crossAx val="127521920"/>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18699215443598005"/>
          <c:y val="0.90523150292487953"/>
          <c:w val="0.89431022341719479"/>
          <c:h val="0.97712727085584894"/>
        </c:manualLayout>
      </c:layout>
      <c:spPr>
        <a:solidFill>
          <a:srgbClr val="FFFFFF"/>
        </a:solidFill>
        <a:ln w="3175">
          <a:solidFill>
            <a:srgbClr val="000000"/>
          </a:solidFill>
          <a:prstDash val="solid"/>
        </a:ln>
      </c:spPr>
      <c:txPr>
        <a:bodyPr/>
        <a:lstStyle/>
        <a:p>
          <a:pPr>
            <a:defRPr sz="78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50" b="1" i="0" u="none" strike="noStrike" baseline="0">
                <a:solidFill>
                  <a:srgbClr val="000000"/>
                </a:solidFill>
                <a:latin typeface="Arial"/>
                <a:ea typeface="Arial"/>
                <a:cs typeface="Arial"/>
              </a:defRPr>
            </a:pPr>
            <a:r>
              <a:t>Ergonomics - Vibration Level</a:t>
            </a:r>
          </a:p>
        </c:rich>
      </c:tx>
      <c:layout>
        <c:manualLayout>
          <c:xMode val="edge"/>
          <c:yMode val="edge"/>
          <c:x val="0.3902444714735861"/>
          <c:y val="3.5947712418300651E-2"/>
        </c:manualLayout>
      </c:layout>
      <c:spPr>
        <a:noFill/>
        <a:ln w="25400">
          <a:noFill/>
        </a:ln>
      </c:spPr>
    </c:title>
    <c:plotArea>
      <c:layout>
        <c:manualLayout>
          <c:layoutTarget val="inner"/>
          <c:xMode val="edge"/>
          <c:yMode val="edge"/>
          <c:x val="9.2141043335349102E-2"/>
          <c:y val="0.18954308856428898"/>
          <c:w val="0.88889006511748536"/>
          <c:h val="0.64706088854705546"/>
        </c:manualLayout>
      </c:layout>
      <c:barChart>
        <c:barDir val="col"/>
        <c:grouping val="clustered"/>
        <c:ser>
          <c:idx val="3"/>
          <c:order val="0"/>
          <c:tx>
            <c:strRef>
              <c:f>'Working Master '!$U$126:$U$127</c:f>
              <c:strCache>
                <c:ptCount val="1"/>
                <c:pt idx="0">
                  <c:v>Hilti TE MD20 (Average)</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'!$U$128</c:f>
              <c:numCache>
                <c:formatCode>0.0</c:formatCode>
                <c:ptCount val="1"/>
                <c:pt idx="0">
                  <c:v>8.3000000000000007</c:v>
                </c:pt>
              </c:numCache>
            </c:numRef>
          </c:val>
        </c:ser>
        <c:ser>
          <c:idx val="1"/>
          <c:order val="1"/>
          <c:tx>
            <c:strRef>
              <c:f>'Working Master '!$V$126:$V$127</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'!$V$128</c:f>
              <c:numCache>
                <c:formatCode>0.0</c:formatCode>
                <c:ptCount val="1"/>
                <c:pt idx="0">
                  <c:v>18.049999999999951</c:v>
                </c:pt>
              </c:numCache>
            </c:numRef>
          </c:val>
        </c:ser>
        <c:ser>
          <c:idx val="2"/>
          <c:order val="2"/>
          <c:tx>
            <c:strRef>
              <c:f>'Working Master '!$W$126:$W$127</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'!$W$128</c:f>
              <c:numCache>
                <c:formatCode>0.0</c:formatCode>
                <c:ptCount val="1"/>
                <c:pt idx="0">
                  <c:v>19.950000000000074</c:v>
                </c:pt>
              </c:numCache>
            </c:numRef>
          </c:val>
        </c:ser>
        <c:ser>
          <c:idx val="0"/>
          <c:order val="3"/>
          <c:tx>
            <c:strRef>
              <c:f>'Working Master '!$X$126:$X$127</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'!$X$128</c:f>
              <c:numCache>
                <c:formatCode>0.0</c:formatCode>
                <c:ptCount val="1"/>
                <c:pt idx="0">
                  <c:v>18.049999999999951</c:v>
                </c:pt>
              </c:numCache>
            </c:numRef>
          </c:val>
        </c:ser>
        <c:axId val="127581184"/>
        <c:axId val="127595264"/>
      </c:barChart>
      <c:catAx>
        <c:axId val="127581184"/>
        <c:scaling>
          <c:orientation val="minMax"/>
        </c:scaling>
        <c:delete val="1"/>
        <c:axPos val="b"/>
        <c:tickLblPos val="nextTo"/>
        <c:crossAx val="127595264"/>
        <c:crosses val="autoZero"/>
        <c:auto val="1"/>
        <c:lblAlgn val="ctr"/>
        <c:lblOffset val="100"/>
      </c:catAx>
      <c:valAx>
        <c:axId val="127595264"/>
        <c:scaling>
          <c:orientation val="minMax"/>
        </c:scaling>
        <c:axPos val="l"/>
        <c:majorGridlines>
          <c:spPr>
            <a:ln w="3175">
              <a:solidFill>
                <a:srgbClr val="000000"/>
              </a:solidFill>
              <a:prstDash val="solid"/>
            </a:ln>
          </c:spPr>
        </c:majorGridlines>
        <c:title>
          <c:tx>
            <c:rich>
              <a:bodyPr/>
              <a:lstStyle/>
              <a:p>
                <a:pPr>
                  <a:defRPr sz="850" b="1" i="0" u="none" strike="noStrike" baseline="0">
                    <a:solidFill>
                      <a:srgbClr val="000000"/>
                    </a:solidFill>
                    <a:latin typeface="Arial"/>
                    <a:ea typeface="Arial"/>
                    <a:cs typeface="Arial"/>
                  </a:defRPr>
                </a:pPr>
                <a:r>
                  <a:t>m/s2</a:t>
                </a:r>
              </a:p>
            </c:rich>
          </c:tx>
          <c:layout>
            <c:manualLayout>
              <c:xMode val="edge"/>
              <c:yMode val="edge"/>
              <c:x val="2.1680216802168022E-2"/>
              <c:y val="0.46405365995917175"/>
            </c:manualLayout>
          </c:layout>
          <c:spPr>
            <a:noFill/>
            <a:ln w="25400">
              <a:noFill/>
            </a:ln>
          </c:spPr>
        </c:title>
        <c:numFmt formatCode="0.0" sourceLinked="1"/>
        <c:tickLblPos val="nextTo"/>
        <c:spPr>
          <a:ln w="3175">
            <a:solidFill>
              <a:srgbClr val="000000"/>
            </a:solidFill>
            <a:prstDash val="solid"/>
          </a:ln>
        </c:spPr>
        <c:txPr>
          <a:bodyPr rot="0" vert="horz"/>
          <a:lstStyle/>
          <a:p>
            <a:pPr>
              <a:defRPr sz="850" b="1" i="0" u="none" strike="noStrike" baseline="0">
                <a:solidFill>
                  <a:srgbClr val="000000"/>
                </a:solidFill>
                <a:latin typeface="Arial"/>
                <a:ea typeface="Arial"/>
                <a:cs typeface="Arial"/>
              </a:defRPr>
            </a:pPr>
            <a:endParaRPr lang="en-US"/>
          </a:p>
        </c:txPr>
        <c:crossAx val="127581184"/>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5745285904302612"/>
          <c:y val="0.90523150292487953"/>
          <c:w val="0.81571915299205489"/>
          <c:h val="0.97712727085584894"/>
        </c:manualLayout>
      </c:layout>
      <c:spPr>
        <a:solidFill>
          <a:srgbClr val="FFFFFF"/>
        </a:solidFill>
        <a:ln w="3175">
          <a:solidFill>
            <a:srgbClr val="000000"/>
          </a:solidFill>
          <a:prstDash val="solid"/>
        </a:ln>
      </c:spPr>
      <c:txPr>
        <a:bodyPr/>
        <a:lstStyle/>
        <a:p>
          <a:pPr>
            <a:defRPr sz="78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50" b="1" i="0" u="none" strike="noStrike" baseline="0">
                <a:solidFill>
                  <a:srgbClr val="000000"/>
                </a:solidFill>
                <a:latin typeface="Arial"/>
                <a:ea typeface="Arial"/>
                <a:cs typeface="Arial"/>
              </a:defRPr>
            </a:pPr>
            <a:r>
              <a:t>Penetration Rate</a:t>
            </a:r>
          </a:p>
        </c:rich>
      </c:tx>
      <c:layout>
        <c:manualLayout>
          <c:xMode val="edge"/>
          <c:yMode val="edge"/>
          <c:x val="0.43631493217819317"/>
          <c:y val="3.5947712418300651E-2"/>
        </c:manualLayout>
      </c:layout>
      <c:spPr>
        <a:noFill/>
        <a:ln w="25400">
          <a:noFill/>
        </a:ln>
      </c:spPr>
    </c:title>
    <c:plotArea>
      <c:layout>
        <c:manualLayout>
          <c:layoutTarget val="inner"/>
          <c:xMode val="edge"/>
          <c:yMode val="edge"/>
          <c:x val="9.2141043335349102E-2"/>
          <c:y val="0.18954308856428898"/>
          <c:w val="0.88889006511748536"/>
          <c:h val="0.64706088854705546"/>
        </c:manualLayout>
      </c:layout>
      <c:barChart>
        <c:barDir val="col"/>
        <c:grouping val="clustered"/>
        <c:ser>
          <c:idx val="3"/>
          <c:order val="0"/>
          <c:tx>
            <c:strRef>
              <c:f>'Working Master '!$U$49:$U$50</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'!$U$51</c:f>
              <c:numCache>
                <c:formatCode>0.00</c:formatCode>
                <c:ptCount val="1"/>
                <c:pt idx="0">
                  <c:v>0.3</c:v>
                </c:pt>
              </c:numCache>
            </c:numRef>
          </c:val>
        </c:ser>
        <c:ser>
          <c:idx val="1"/>
          <c:order val="1"/>
          <c:tx>
            <c:strRef>
              <c:f>'Working Master '!$V$49:$V$50</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'!$V$51</c:f>
              <c:numCache>
                <c:formatCode>0.00</c:formatCode>
                <c:ptCount val="1"/>
                <c:pt idx="0">
                  <c:v>0.4</c:v>
                </c:pt>
              </c:numCache>
            </c:numRef>
          </c:val>
        </c:ser>
        <c:ser>
          <c:idx val="2"/>
          <c:order val="2"/>
          <c:tx>
            <c:strRef>
              <c:f>'Working Master '!$W$49:$W$50</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'!$W$51</c:f>
              <c:numCache>
                <c:formatCode>0.00</c:formatCode>
                <c:ptCount val="1"/>
                <c:pt idx="0">
                  <c:v>0.46</c:v>
                </c:pt>
              </c:numCache>
            </c:numRef>
          </c:val>
        </c:ser>
        <c:ser>
          <c:idx val="0"/>
          <c:order val="3"/>
          <c:tx>
            <c:strRef>
              <c:f>'Working Master '!$X$49:$X$50</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'!$X$51</c:f>
              <c:numCache>
                <c:formatCode>0.00</c:formatCode>
                <c:ptCount val="1"/>
                <c:pt idx="0">
                  <c:v>0.56000000000000005</c:v>
                </c:pt>
              </c:numCache>
            </c:numRef>
          </c:val>
        </c:ser>
        <c:axId val="127656704"/>
        <c:axId val="127658240"/>
      </c:barChart>
      <c:catAx>
        <c:axId val="127656704"/>
        <c:scaling>
          <c:orientation val="minMax"/>
        </c:scaling>
        <c:delete val="1"/>
        <c:axPos val="b"/>
        <c:tickLblPos val="nextTo"/>
        <c:crossAx val="127658240"/>
        <c:crosses val="autoZero"/>
        <c:auto val="1"/>
        <c:lblAlgn val="ctr"/>
        <c:lblOffset val="100"/>
      </c:catAx>
      <c:valAx>
        <c:axId val="127658240"/>
        <c:scaling>
          <c:orientation val="minMax"/>
        </c:scaling>
        <c:axPos val="l"/>
        <c:majorGridlines>
          <c:spPr>
            <a:ln w="3175">
              <a:solidFill>
                <a:srgbClr val="000000"/>
              </a:solidFill>
              <a:prstDash val="solid"/>
            </a:ln>
          </c:spPr>
        </c:majorGridlines>
        <c:title>
          <c:tx>
            <c:rich>
              <a:bodyPr/>
              <a:lstStyle/>
              <a:p>
                <a:pPr>
                  <a:defRPr sz="850" b="1" i="0" u="none" strike="noStrike" baseline="0">
                    <a:solidFill>
                      <a:srgbClr val="000000"/>
                    </a:solidFill>
                    <a:latin typeface="Arial"/>
                    <a:ea typeface="Arial"/>
                    <a:cs typeface="Arial"/>
                  </a:defRPr>
                </a:pPr>
                <a:r>
                  <a:t>m/min</a:t>
                </a:r>
              </a:p>
            </c:rich>
          </c:tx>
          <c:layout>
            <c:manualLayout>
              <c:xMode val="edge"/>
              <c:yMode val="edge"/>
              <c:x val="2.1680216802168022E-2"/>
              <c:y val="0.45098176453433519"/>
            </c:manualLayout>
          </c:layout>
          <c:spPr>
            <a:noFill/>
            <a:ln w="25400">
              <a:noFill/>
            </a:ln>
          </c:spPr>
        </c:title>
        <c:numFmt formatCode="0.00" sourceLinked="1"/>
        <c:tickLblPos val="nextTo"/>
        <c:spPr>
          <a:ln w="3175">
            <a:solidFill>
              <a:srgbClr val="000000"/>
            </a:solidFill>
            <a:prstDash val="solid"/>
          </a:ln>
        </c:spPr>
        <c:txPr>
          <a:bodyPr rot="0" vert="horz"/>
          <a:lstStyle/>
          <a:p>
            <a:pPr>
              <a:defRPr sz="850" b="1" i="0" u="none" strike="noStrike" baseline="0">
                <a:solidFill>
                  <a:srgbClr val="000000"/>
                </a:solidFill>
                <a:latin typeface="Arial"/>
                <a:ea typeface="Arial"/>
                <a:cs typeface="Arial"/>
              </a:defRPr>
            </a:pPr>
            <a:endParaRPr lang="en-US"/>
          </a:p>
        </c:txPr>
        <c:crossAx val="127656704"/>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9539338070546056"/>
          <c:y val="0.91830374144408422"/>
          <c:w val="0.78048894294717219"/>
          <c:h val="0.99019950937505363"/>
        </c:manualLayout>
      </c:layout>
      <c:spPr>
        <a:solidFill>
          <a:srgbClr val="FFFFFF"/>
        </a:solidFill>
        <a:ln w="3175">
          <a:solidFill>
            <a:srgbClr val="000000"/>
          </a:solidFill>
          <a:prstDash val="solid"/>
        </a:ln>
      </c:spPr>
      <c:txPr>
        <a:bodyPr/>
        <a:lstStyle/>
        <a:p>
          <a:pPr>
            <a:defRPr sz="78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50" b="1" i="0" u="none" strike="noStrike" baseline="0">
                <a:solidFill>
                  <a:srgbClr val="000000"/>
                </a:solidFill>
                <a:latin typeface="Arial"/>
                <a:ea typeface="Arial"/>
                <a:cs typeface="Arial"/>
              </a:defRPr>
            </a:pPr>
            <a:r>
              <a:t>Drilling Time per Hole</a:t>
            </a:r>
          </a:p>
        </c:rich>
      </c:tx>
      <c:layout>
        <c:manualLayout>
          <c:xMode val="edge"/>
          <c:yMode val="edge"/>
          <c:x val="0.4173447424762961"/>
          <c:y val="3.5947712418300651E-2"/>
        </c:manualLayout>
      </c:layout>
      <c:spPr>
        <a:noFill/>
        <a:ln w="25400">
          <a:noFill/>
        </a:ln>
      </c:spPr>
    </c:title>
    <c:plotArea>
      <c:layout>
        <c:manualLayout>
          <c:layoutTarget val="inner"/>
          <c:xMode val="edge"/>
          <c:yMode val="edge"/>
          <c:x val="9.2141043335349102E-2"/>
          <c:y val="0.18954308856428898"/>
          <c:w val="0.88889006511748536"/>
          <c:h val="0.64706088854705546"/>
        </c:manualLayout>
      </c:layout>
      <c:barChart>
        <c:barDir val="col"/>
        <c:grouping val="clustered"/>
        <c:ser>
          <c:idx val="0"/>
          <c:order val="0"/>
          <c:tx>
            <c:strRef>
              <c:f>'Working Master '!$U$54:$U$55</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'!$U$56</c:f>
              <c:numCache>
                <c:formatCode>0.00</c:formatCode>
                <c:ptCount val="1"/>
                <c:pt idx="0">
                  <c:v>4</c:v>
                </c:pt>
              </c:numCache>
            </c:numRef>
          </c:val>
        </c:ser>
        <c:ser>
          <c:idx val="1"/>
          <c:order val="1"/>
          <c:tx>
            <c:strRef>
              <c:f>'Working Master '!$V$54:$V$55</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'!$V$56</c:f>
              <c:numCache>
                <c:formatCode>0.00</c:formatCode>
                <c:ptCount val="1"/>
                <c:pt idx="0">
                  <c:v>2.9999999999999996</c:v>
                </c:pt>
              </c:numCache>
            </c:numRef>
          </c:val>
        </c:ser>
        <c:ser>
          <c:idx val="2"/>
          <c:order val="2"/>
          <c:tx>
            <c:strRef>
              <c:f>'Working Master '!$W$54:$W$55</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'!$W$56</c:f>
              <c:numCache>
                <c:formatCode>0.00</c:formatCode>
                <c:ptCount val="1"/>
                <c:pt idx="0">
                  <c:v>2.6086956521739126</c:v>
                </c:pt>
              </c:numCache>
            </c:numRef>
          </c:val>
        </c:ser>
        <c:ser>
          <c:idx val="3"/>
          <c:order val="3"/>
          <c:tx>
            <c:strRef>
              <c:f>'Working Master '!$X$54:$X$55</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'!$X$56</c:f>
              <c:numCache>
                <c:formatCode>0.00</c:formatCode>
                <c:ptCount val="1"/>
                <c:pt idx="0">
                  <c:v>2.1428571428571428</c:v>
                </c:pt>
              </c:numCache>
            </c:numRef>
          </c:val>
        </c:ser>
        <c:axId val="127719680"/>
        <c:axId val="127733760"/>
      </c:barChart>
      <c:catAx>
        <c:axId val="127719680"/>
        <c:scaling>
          <c:orientation val="minMax"/>
        </c:scaling>
        <c:delete val="1"/>
        <c:axPos val="b"/>
        <c:tickLblPos val="nextTo"/>
        <c:crossAx val="127733760"/>
        <c:crosses val="autoZero"/>
        <c:auto val="1"/>
        <c:lblAlgn val="ctr"/>
        <c:lblOffset val="100"/>
      </c:catAx>
      <c:valAx>
        <c:axId val="127733760"/>
        <c:scaling>
          <c:orientation val="minMax"/>
        </c:scaling>
        <c:axPos val="l"/>
        <c:majorGridlines>
          <c:spPr>
            <a:ln w="3175">
              <a:solidFill>
                <a:srgbClr val="000000"/>
              </a:solidFill>
              <a:prstDash val="solid"/>
            </a:ln>
          </c:spPr>
        </c:majorGridlines>
        <c:title>
          <c:tx>
            <c:rich>
              <a:bodyPr/>
              <a:lstStyle/>
              <a:p>
                <a:pPr>
                  <a:defRPr sz="850" b="1" i="0" u="none" strike="noStrike" baseline="0">
                    <a:solidFill>
                      <a:srgbClr val="000000"/>
                    </a:solidFill>
                    <a:latin typeface="Arial"/>
                    <a:ea typeface="Arial"/>
                    <a:cs typeface="Arial"/>
                  </a:defRPr>
                </a:pPr>
                <a:r>
                  <a:t>minutes</a:t>
                </a:r>
              </a:p>
            </c:rich>
          </c:tx>
          <c:layout>
            <c:manualLayout>
              <c:xMode val="edge"/>
              <c:yMode val="edge"/>
              <c:x val="2.1680216802168022E-2"/>
              <c:y val="0.43137392139708025"/>
            </c:manualLayout>
          </c:layout>
          <c:spPr>
            <a:noFill/>
            <a:ln w="25400">
              <a:noFill/>
            </a:ln>
          </c:spPr>
        </c:title>
        <c:numFmt formatCode="0.00" sourceLinked="1"/>
        <c:tickLblPos val="nextTo"/>
        <c:spPr>
          <a:ln w="3175">
            <a:solidFill>
              <a:srgbClr val="000000"/>
            </a:solidFill>
            <a:prstDash val="solid"/>
          </a:ln>
        </c:spPr>
        <c:txPr>
          <a:bodyPr rot="0" vert="horz"/>
          <a:lstStyle/>
          <a:p>
            <a:pPr>
              <a:defRPr sz="850" b="1" i="0" u="none" strike="noStrike" baseline="0">
                <a:solidFill>
                  <a:srgbClr val="000000"/>
                </a:solidFill>
                <a:latin typeface="Arial"/>
                <a:ea typeface="Arial"/>
                <a:cs typeface="Arial"/>
              </a:defRPr>
            </a:pPr>
            <a:endParaRPr lang="en-US"/>
          </a:p>
        </c:txPr>
        <c:crossAx val="127719680"/>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9403836715532505"/>
          <c:y val="0.90523150292487953"/>
          <c:w val="0.77913392939703674"/>
          <c:h val="0.97712727085584894"/>
        </c:manualLayout>
      </c:layout>
      <c:spPr>
        <a:solidFill>
          <a:srgbClr val="FFFFFF"/>
        </a:solidFill>
        <a:ln w="3175">
          <a:solidFill>
            <a:srgbClr val="000000"/>
          </a:solidFill>
          <a:prstDash val="solid"/>
        </a:ln>
      </c:spPr>
      <c:txPr>
        <a:bodyPr/>
        <a:lstStyle/>
        <a:p>
          <a:pPr>
            <a:defRPr sz="78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50" b="1" i="0" u="none" strike="noStrike" baseline="0">
                <a:solidFill>
                  <a:srgbClr val="000000"/>
                </a:solidFill>
                <a:latin typeface="Arial"/>
                <a:ea typeface="Arial"/>
                <a:cs typeface="Arial"/>
              </a:defRPr>
            </a:pPr>
            <a:r>
              <a:t>Drilling Shift Length</a:t>
            </a:r>
          </a:p>
        </c:rich>
      </c:tx>
      <c:layout>
        <c:manualLayout>
          <c:xMode val="edge"/>
          <c:yMode val="edge"/>
          <c:x val="0.42411981022697365"/>
          <c:y val="3.5947712418300651E-2"/>
        </c:manualLayout>
      </c:layout>
      <c:spPr>
        <a:noFill/>
        <a:ln w="25400">
          <a:noFill/>
        </a:ln>
      </c:spPr>
    </c:title>
    <c:plotArea>
      <c:layout>
        <c:manualLayout>
          <c:layoutTarget val="inner"/>
          <c:xMode val="edge"/>
          <c:yMode val="edge"/>
          <c:x val="9.2141043335349102E-2"/>
          <c:y val="0.18954308856428898"/>
          <c:w val="0.88889006511748536"/>
          <c:h val="0.64706088854705546"/>
        </c:manualLayout>
      </c:layout>
      <c:barChart>
        <c:barDir val="col"/>
        <c:grouping val="clustered"/>
        <c:ser>
          <c:idx val="3"/>
          <c:order val="0"/>
          <c:tx>
            <c:strRef>
              <c:f>'Working Master '!$U$59:$U$60</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'!$U$62</c:f>
              <c:numCache>
                <c:formatCode>0.00</c:formatCode>
                <c:ptCount val="1"/>
                <c:pt idx="0">
                  <c:v>2.6666666666666665</c:v>
                </c:pt>
              </c:numCache>
            </c:numRef>
          </c:val>
        </c:ser>
        <c:ser>
          <c:idx val="1"/>
          <c:order val="1"/>
          <c:tx>
            <c:strRef>
              <c:f>'Working Master '!$V$59:$V$60</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'!$V$62</c:f>
              <c:numCache>
                <c:formatCode>0.00</c:formatCode>
                <c:ptCount val="1"/>
                <c:pt idx="0">
                  <c:v>1.9999999999999996</c:v>
                </c:pt>
              </c:numCache>
            </c:numRef>
          </c:val>
        </c:ser>
        <c:ser>
          <c:idx val="2"/>
          <c:order val="2"/>
          <c:tx>
            <c:strRef>
              <c:f>'Working Master '!$W$59:$W$60</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'!$W$62</c:f>
              <c:numCache>
                <c:formatCode>0.00</c:formatCode>
                <c:ptCount val="1"/>
                <c:pt idx="0">
                  <c:v>1.7391304347826084</c:v>
                </c:pt>
              </c:numCache>
            </c:numRef>
          </c:val>
        </c:ser>
        <c:ser>
          <c:idx val="0"/>
          <c:order val="3"/>
          <c:tx>
            <c:strRef>
              <c:f>'Working Master '!$X$59:$X$60</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'!$X$62</c:f>
              <c:numCache>
                <c:formatCode>0.00</c:formatCode>
                <c:ptCount val="1"/>
                <c:pt idx="0">
                  <c:v>1.4285714285714284</c:v>
                </c:pt>
              </c:numCache>
            </c:numRef>
          </c:val>
        </c:ser>
        <c:axId val="127787008"/>
        <c:axId val="127788544"/>
      </c:barChart>
      <c:catAx>
        <c:axId val="127787008"/>
        <c:scaling>
          <c:orientation val="minMax"/>
        </c:scaling>
        <c:delete val="1"/>
        <c:axPos val="b"/>
        <c:tickLblPos val="nextTo"/>
        <c:crossAx val="127788544"/>
        <c:crosses val="autoZero"/>
        <c:auto val="1"/>
        <c:lblAlgn val="ctr"/>
        <c:lblOffset val="100"/>
      </c:catAx>
      <c:valAx>
        <c:axId val="127788544"/>
        <c:scaling>
          <c:orientation val="minMax"/>
        </c:scaling>
        <c:axPos val="l"/>
        <c:majorGridlines>
          <c:spPr>
            <a:ln w="3175">
              <a:solidFill>
                <a:srgbClr val="000000"/>
              </a:solidFill>
              <a:prstDash val="solid"/>
            </a:ln>
          </c:spPr>
        </c:majorGridlines>
        <c:title>
          <c:tx>
            <c:rich>
              <a:bodyPr/>
              <a:lstStyle/>
              <a:p>
                <a:pPr>
                  <a:defRPr sz="850" b="1" i="0" u="none" strike="noStrike" baseline="0">
                    <a:solidFill>
                      <a:srgbClr val="000000"/>
                    </a:solidFill>
                    <a:latin typeface="Arial"/>
                    <a:ea typeface="Arial"/>
                    <a:cs typeface="Arial"/>
                  </a:defRPr>
                </a:pPr>
                <a:r>
                  <a:t>hours</a:t>
                </a:r>
              </a:p>
            </c:rich>
          </c:tx>
          <c:layout>
            <c:manualLayout>
              <c:xMode val="edge"/>
              <c:yMode val="edge"/>
              <c:x val="2.1680216802168022E-2"/>
              <c:y val="0.45424973839054433"/>
            </c:manualLayout>
          </c:layout>
          <c:spPr>
            <a:noFill/>
            <a:ln w="25400">
              <a:noFill/>
            </a:ln>
          </c:spPr>
        </c:title>
        <c:numFmt formatCode="0.00" sourceLinked="1"/>
        <c:tickLblPos val="nextTo"/>
        <c:spPr>
          <a:ln w="3175">
            <a:solidFill>
              <a:srgbClr val="000000"/>
            </a:solidFill>
            <a:prstDash val="solid"/>
          </a:ln>
        </c:spPr>
        <c:txPr>
          <a:bodyPr rot="0" vert="horz"/>
          <a:lstStyle/>
          <a:p>
            <a:pPr>
              <a:defRPr sz="850" b="1" i="0" u="none" strike="noStrike" baseline="0">
                <a:solidFill>
                  <a:srgbClr val="000000"/>
                </a:solidFill>
                <a:latin typeface="Arial"/>
                <a:ea typeface="Arial"/>
                <a:cs typeface="Arial"/>
              </a:defRPr>
            </a:pPr>
            <a:endParaRPr lang="en-US"/>
          </a:p>
        </c:txPr>
        <c:crossAx val="127787008"/>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9403836715532505"/>
          <c:y val="0.90523150292487953"/>
          <c:w val="0.77913392939703674"/>
          <c:h val="0.97712727085584894"/>
        </c:manualLayout>
      </c:layout>
      <c:spPr>
        <a:solidFill>
          <a:srgbClr val="FFFFFF"/>
        </a:solidFill>
        <a:ln w="3175">
          <a:solidFill>
            <a:srgbClr val="000000"/>
          </a:solidFill>
          <a:prstDash val="solid"/>
        </a:ln>
      </c:spPr>
      <c:txPr>
        <a:bodyPr/>
        <a:lstStyle/>
        <a:p>
          <a:pPr>
            <a:defRPr sz="78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50" b="1" i="0" u="none" strike="noStrike" baseline="0">
                <a:solidFill>
                  <a:srgbClr val="000000"/>
                </a:solidFill>
                <a:latin typeface="Arial"/>
                <a:ea typeface="Arial"/>
                <a:cs typeface="Arial"/>
              </a:defRPr>
            </a:pPr>
            <a:r>
              <a:t>Rock Drill Energy Consumption - ( kWh/m )</a:t>
            </a:r>
          </a:p>
        </c:rich>
      </c:tx>
      <c:layout>
        <c:manualLayout>
          <c:xMode val="edge"/>
          <c:yMode val="edge"/>
          <c:x val="0.34010882785993213"/>
          <c:y val="3.5947712418300651E-2"/>
        </c:manualLayout>
      </c:layout>
      <c:spPr>
        <a:noFill/>
        <a:ln w="25400">
          <a:noFill/>
        </a:ln>
      </c:spPr>
    </c:title>
    <c:plotArea>
      <c:layout>
        <c:manualLayout>
          <c:layoutTarget val="inner"/>
          <c:xMode val="edge"/>
          <c:yMode val="edge"/>
          <c:x val="0.10027113539435048"/>
          <c:y val="0.18954308856428898"/>
          <c:w val="0.88075997305848397"/>
          <c:h val="0.64706088854705546"/>
        </c:manualLayout>
      </c:layout>
      <c:barChart>
        <c:barDir val="col"/>
        <c:grouping val="clustered"/>
        <c:ser>
          <c:idx val="3"/>
          <c:order val="0"/>
          <c:tx>
            <c:strRef>
              <c:f>'Working Master '!$V$213:$V$214</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'!$V$215</c:f>
              <c:numCache>
                <c:formatCode>0.000</c:formatCode>
                <c:ptCount val="1"/>
                <c:pt idx="0">
                  <c:v>0.107</c:v>
                </c:pt>
              </c:numCache>
            </c:numRef>
          </c:val>
        </c:ser>
        <c:ser>
          <c:idx val="1"/>
          <c:order val="1"/>
          <c:tx>
            <c:strRef>
              <c:f>'Working Master '!$W$213:$W$214</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'!$W$215</c:f>
              <c:numCache>
                <c:formatCode>0.000</c:formatCode>
                <c:ptCount val="1"/>
                <c:pt idx="0">
                  <c:v>0.13</c:v>
                </c:pt>
              </c:numCache>
            </c:numRef>
          </c:val>
        </c:ser>
        <c:ser>
          <c:idx val="2"/>
          <c:order val="2"/>
          <c:tx>
            <c:strRef>
              <c:f>'Working Master '!$X$213:$X$214</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'!$X$215</c:f>
              <c:numCache>
                <c:formatCode>0.000</c:formatCode>
                <c:ptCount val="1"/>
                <c:pt idx="0">
                  <c:v>0.14799999999999999</c:v>
                </c:pt>
              </c:numCache>
            </c:numRef>
          </c:val>
        </c:ser>
        <c:ser>
          <c:idx val="0"/>
          <c:order val="3"/>
          <c:tx>
            <c:strRef>
              <c:f>'Working Master '!$Y$213:$Y$214</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'!$Y$215</c:f>
              <c:numCache>
                <c:formatCode>0.000</c:formatCode>
                <c:ptCount val="1"/>
                <c:pt idx="0">
                  <c:v>0.1</c:v>
                </c:pt>
              </c:numCache>
            </c:numRef>
          </c:val>
        </c:ser>
        <c:axId val="127845888"/>
        <c:axId val="127847424"/>
      </c:barChart>
      <c:catAx>
        <c:axId val="127845888"/>
        <c:scaling>
          <c:orientation val="minMax"/>
        </c:scaling>
        <c:delete val="1"/>
        <c:axPos val="b"/>
        <c:tickLblPos val="nextTo"/>
        <c:crossAx val="127847424"/>
        <c:crosses val="autoZero"/>
        <c:auto val="1"/>
        <c:lblAlgn val="ctr"/>
        <c:lblOffset val="100"/>
      </c:catAx>
      <c:valAx>
        <c:axId val="127847424"/>
        <c:scaling>
          <c:orientation val="minMax"/>
        </c:scaling>
        <c:axPos val="l"/>
        <c:majorGridlines>
          <c:spPr>
            <a:ln w="3175">
              <a:solidFill>
                <a:srgbClr val="000000"/>
              </a:solidFill>
              <a:prstDash val="solid"/>
            </a:ln>
          </c:spPr>
        </c:majorGridlines>
        <c:title>
          <c:tx>
            <c:rich>
              <a:bodyPr/>
              <a:lstStyle/>
              <a:p>
                <a:pPr>
                  <a:defRPr sz="850" b="1" i="0" u="none" strike="noStrike" baseline="0">
                    <a:solidFill>
                      <a:srgbClr val="000000"/>
                    </a:solidFill>
                    <a:latin typeface="Arial"/>
                    <a:ea typeface="Arial"/>
                    <a:cs typeface="Arial"/>
                  </a:defRPr>
                </a:pPr>
                <a:r>
                  <a:t>kWh/m</a:t>
                </a:r>
              </a:p>
            </c:rich>
          </c:tx>
          <c:layout>
            <c:manualLayout>
              <c:xMode val="edge"/>
              <c:yMode val="edge"/>
              <c:x val="2.1680216802168022E-2"/>
              <c:y val="0.44444581682191686"/>
            </c:manualLayout>
          </c:layout>
          <c:spPr>
            <a:noFill/>
            <a:ln w="25400">
              <a:noFill/>
            </a:ln>
          </c:spPr>
        </c:title>
        <c:numFmt formatCode="0.000" sourceLinked="1"/>
        <c:tickLblPos val="nextTo"/>
        <c:spPr>
          <a:ln w="3175">
            <a:solidFill>
              <a:srgbClr val="000000"/>
            </a:solidFill>
            <a:prstDash val="solid"/>
          </a:ln>
        </c:spPr>
        <c:txPr>
          <a:bodyPr rot="0" vert="horz"/>
          <a:lstStyle/>
          <a:p>
            <a:pPr>
              <a:defRPr sz="850" b="1" i="0" u="none" strike="noStrike" baseline="0">
                <a:solidFill>
                  <a:srgbClr val="000000"/>
                </a:solidFill>
                <a:latin typeface="Arial"/>
                <a:ea typeface="Arial"/>
                <a:cs typeface="Arial"/>
              </a:defRPr>
            </a:pPr>
            <a:endParaRPr lang="en-US"/>
          </a:p>
        </c:txPr>
        <c:crossAx val="127845888"/>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9810340780573158"/>
          <c:y val="0.90523150292487953"/>
          <c:w val="0.78319897004744321"/>
          <c:h val="0.97712727085584894"/>
        </c:manualLayout>
      </c:layout>
      <c:spPr>
        <a:solidFill>
          <a:srgbClr val="FFFFFF"/>
        </a:solidFill>
        <a:ln w="3175">
          <a:solidFill>
            <a:srgbClr val="000000"/>
          </a:solidFill>
          <a:prstDash val="solid"/>
        </a:ln>
      </c:spPr>
      <c:txPr>
        <a:bodyPr/>
        <a:lstStyle/>
        <a:p>
          <a:pPr>
            <a:defRPr sz="78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50" b="1" i="0" u="none" strike="noStrike" baseline="0">
                <a:solidFill>
                  <a:srgbClr val="000000"/>
                </a:solidFill>
                <a:latin typeface="Arial"/>
                <a:ea typeface="Arial"/>
                <a:cs typeface="Arial"/>
              </a:defRPr>
            </a:pPr>
            <a:r>
              <a:t>Consumable - Energy Consumption Per Shift - At Rock Drills</a:t>
            </a:r>
          </a:p>
        </c:rich>
      </c:tx>
      <c:layout>
        <c:manualLayout>
          <c:xMode val="edge"/>
          <c:yMode val="edge"/>
          <c:x val="0.27506817745342804"/>
          <c:y val="3.5947712418300651E-2"/>
        </c:manualLayout>
      </c:layout>
      <c:spPr>
        <a:noFill/>
        <a:ln w="25400">
          <a:noFill/>
        </a:ln>
      </c:spPr>
    </c:title>
    <c:plotArea>
      <c:layout>
        <c:manualLayout>
          <c:layoutTarget val="inner"/>
          <c:xMode val="edge"/>
          <c:yMode val="edge"/>
          <c:x val="9.6206089364849784E-2"/>
          <c:y val="0.18954308856428898"/>
          <c:w val="0.88482501908798472"/>
          <c:h val="0.64706088854705546"/>
        </c:manualLayout>
      </c:layout>
      <c:barChart>
        <c:barDir val="col"/>
        <c:grouping val="clustered"/>
        <c:ser>
          <c:idx val="3"/>
          <c:order val="0"/>
          <c:tx>
            <c:strRef>
              <c:f>'Working Master '!$V$213:$V$214</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'!$V$220</c:f>
              <c:numCache>
                <c:formatCode>0</c:formatCode>
                <c:ptCount val="1"/>
                <c:pt idx="0">
                  <c:v>821.75999999999988</c:v>
                </c:pt>
              </c:numCache>
            </c:numRef>
          </c:val>
        </c:ser>
        <c:ser>
          <c:idx val="1"/>
          <c:order val="1"/>
          <c:tx>
            <c:strRef>
              <c:f>'Working Master '!$W$213:$W$214</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'!$W$220</c:f>
              <c:numCache>
                <c:formatCode>0</c:formatCode>
                <c:ptCount val="1"/>
                <c:pt idx="0">
                  <c:v>998.40000000000009</c:v>
                </c:pt>
              </c:numCache>
            </c:numRef>
          </c:val>
        </c:ser>
        <c:ser>
          <c:idx val="2"/>
          <c:order val="2"/>
          <c:tx>
            <c:strRef>
              <c:f>'Working Master '!$X$213:$X$214</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'!$X$220</c:f>
              <c:numCache>
                <c:formatCode>0</c:formatCode>
                <c:ptCount val="1"/>
                <c:pt idx="0">
                  <c:v>1136.6399999999999</c:v>
                </c:pt>
              </c:numCache>
            </c:numRef>
          </c:val>
        </c:ser>
        <c:ser>
          <c:idx val="0"/>
          <c:order val="3"/>
          <c:tx>
            <c:strRef>
              <c:f>'Working Master '!$Y$213:$Y$214</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'!$Y$220</c:f>
              <c:numCache>
                <c:formatCode>0</c:formatCode>
                <c:ptCount val="1"/>
                <c:pt idx="0">
                  <c:v>768</c:v>
                </c:pt>
              </c:numCache>
            </c:numRef>
          </c:val>
        </c:ser>
        <c:axId val="127884288"/>
        <c:axId val="127914752"/>
      </c:barChart>
      <c:catAx>
        <c:axId val="127884288"/>
        <c:scaling>
          <c:orientation val="minMax"/>
        </c:scaling>
        <c:delete val="1"/>
        <c:axPos val="b"/>
        <c:tickLblPos val="nextTo"/>
        <c:crossAx val="127914752"/>
        <c:crosses val="autoZero"/>
        <c:auto val="1"/>
        <c:lblAlgn val="ctr"/>
        <c:lblOffset val="100"/>
      </c:catAx>
      <c:valAx>
        <c:axId val="127914752"/>
        <c:scaling>
          <c:orientation val="minMax"/>
        </c:scaling>
        <c:axPos val="l"/>
        <c:majorGridlines>
          <c:spPr>
            <a:ln w="3175">
              <a:solidFill>
                <a:srgbClr val="000000"/>
              </a:solidFill>
              <a:prstDash val="solid"/>
            </a:ln>
          </c:spPr>
        </c:majorGridlines>
        <c:title>
          <c:tx>
            <c:rich>
              <a:bodyPr/>
              <a:lstStyle/>
              <a:p>
                <a:pPr>
                  <a:defRPr sz="850" b="1" i="0" u="none" strike="noStrike" baseline="0">
                    <a:solidFill>
                      <a:srgbClr val="000000"/>
                    </a:solidFill>
                    <a:latin typeface="Arial"/>
                    <a:ea typeface="Arial"/>
                    <a:cs typeface="Arial"/>
                  </a:defRPr>
                </a:pPr>
                <a:r>
                  <a:t>kWh</a:t>
                </a:r>
              </a:p>
            </c:rich>
          </c:tx>
          <c:layout>
            <c:manualLayout>
              <c:xMode val="edge"/>
              <c:yMode val="edge"/>
              <c:x val="2.1680216802168022E-2"/>
              <c:y val="0.46732163381538094"/>
            </c:manualLayout>
          </c:layout>
          <c:spPr>
            <a:noFill/>
            <a:ln w="25400">
              <a:noFill/>
            </a:ln>
          </c:spPr>
        </c:title>
        <c:numFmt formatCode="0" sourceLinked="1"/>
        <c:tickLblPos val="nextTo"/>
        <c:spPr>
          <a:ln w="3175">
            <a:solidFill>
              <a:srgbClr val="000000"/>
            </a:solidFill>
            <a:prstDash val="solid"/>
          </a:ln>
        </c:spPr>
        <c:txPr>
          <a:bodyPr rot="0" vert="horz"/>
          <a:lstStyle/>
          <a:p>
            <a:pPr>
              <a:defRPr sz="850" b="1" i="0" u="none" strike="noStrike" baseline="0">
                <a:solidFill>
                  <a:srgbClr val="000000"/>
                </a:solidFill>
                <a:latin typeface="Arial"/>
                <a:ea typeface="Arial"/>
                <a:cs typeface="Arial"/>
              </a:defRPr>
            </a:pPr>
            <a:endParaRPr lang="en-US"/>
          </a:p>
        </c:txPr>
        <c:crossAx val="127884288"/>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9539338070546056"/>
          <c:y val="0.90523150292487953"/>
          <c:w val="0.78048894294717219"/>
          <c:h val="0.97712727085584894"/>
        </c:manualLayout>
      </c:layout>
      <c:spPr>
        <a:solidFill>
          <a:srgbClr val="FFFFFF"/>
        </a:solidFill>
        <a:ln w="3175">
          <a:solidFill>
            <a:srgbClr val="000000"/>
          </a:solidFill>
          <a:prstDash val="solid"/>
        </a:ln>
      </c:spPr>
      <c:txPr>
        <a:bodyPr/>
        <a:lstStyle/>
        <a:p>
          <a:pPr>
            <a:defRPr sz="78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50" b="1" i="0" u="none" strike="noStrike" baseline="0">
                <a:solidFill>
                  <a:srgbClr val="000000"/>
                </a:solidFill>
                <a:latin typeface="Arial"/>
                <a:ea typeface="Arial"/>
                <a:cs typeface="Arial"/>
              </a:defRPr>
            </a:pPr>
            <a:r>
              <a:t>Compressed Air System Efficiency</a:t>
            </a:r>
          </a:p>
        </c:rich>
      </c:tx>
      <c:layout>
        <c:manualLayout>
          <c:xMode val="edge"/>
          <c:yMode val="edge"/>
          <c:x val="0.36720909886264214"/>
          <c:y val="3.5947712418300651E-2"/>
        </c:manualLayout>
      </c:layout>
      <c:spPr>
        <a:noFill/>
        <a:ln w="25400">
          <a:noFill/>
        </a:ln>
      </c:spPr>
    </c:title>
    <c:plotArea>
      <c:layout>
        <c:manualLayout>
          <c:layoutTarget val="inner"/>
          <c:xMode val="edge"/>
          <c:yMode val="edge"/>
          <c:x val="9.6206089364849784E-2"/>
          <c:y val="0.18954308856428898"/>
          <c:w val="0.88482501908798472"/>
          <c:h val="0.64706088854705546"/>
        </c:manualLayout>
      </c:layout>
      <c:barChart>
        <c:barDir val="col"/>
        <c:grouping val="clustered"/>
        <c:ser>
          <c:idx val="1"/>
          <c:order val="0"/>
          <c:tx>
            <c:strRef>
              <c:f>'Working Master '!$W$213:$W$214</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'!$W$231</c:f>
              <c:numCache>
                <c:formatCode>0.0%</c:formatCode>
                <c:ptCount val="1"/>
                <c:pt idx="0">
                  <c:v>1.3000000000000001E-2</c:v>
                </c:pt>
              </c:numCache>
            </c:numRef>
          </c:val>
        </c:ser>
        <c:ser>
          <c:idx val="2"/>
          <c:order val="1"/>
          <c:tx>
            <c:strRef>
              <c:f>'Working Master '!$X$213:$X$214</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'!$X$231</c:f>
              <c:numCache>
                <c:formatCode>0.0%</c:formatCode>
                <c:ptCount val="1"/>
                <c:pt idx="0">
                  <c:v>1.4799999999999999E-2</c:v>
                </c:pt>
              </c:numCache>
            </c:numRef>
          </c:val>
        </c:ser>
        <c:ser>
          <c:idx val="0"/>
          <c:order val="2"/>
          <c:tx>
            <c:strRef>
              <c:f>'Working Master '!$Y$213:$Y$214</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'!$Y$231</c:f>
              <c:numCache>
                <c:formatCode>0.0%</c:formatCode>
                <c:ptCount val="1"/>
                <c:pt idx="0">
                  <c:v>0.01</c:v>
                </c:pt>
              </c:numCache>
            </c:numRef>
          </c:val>
        </c:ser>
        <c:axId val="127950208"/>
        <c:axId val="127968384"/>
      </c:barChart>
      <c:catAx>
        <c:axId val="127950208"/>
        <c:scaling>
          <c:orientation val="minMax"/>
        </c:scaling>
        <c:delete val="1"/>
        <c:axPos val="b"/>
        <c:tickLblPos val="nextTo"/>
        <c:crossAx val="127968384"/>
        <c:crosses val="autoZero"/>
        <c:auto val="1"/>
        <c:lblAlgn val="ctr"/>
        <c:lblOffset val="100"/>
      </c:catAx>
      <c:valAx>
        <c:axId val="127968384"/>
        <c:scaling>
          <c:orientation val="minMax"/>
        </c:scaling>
        <c:axPos val="l"/>
        <c:majorGridlines>
          <c:spPr>
            <a:ln w="3175">
              <a:solidFill>
                <a:srgbClr val="000000"/>
              </a:solidFill>
              <a:prstDash val="solid"/>
            </a:ln>
          </c:spPr>
        </c:majorGridlines>
        <c:title>
          <c:tx>
            <c:rich>
              <a:bodyPr/>
              <a:lstStyle/>
              <a:p>
                <a:pPr>
                  <a:defRPr sz="850" b="1" i="0" u="none" strike="noStrike" baseline="0">
                    <a:solidFill>
                      <a:srgbClr val="000000"/>
                    </a:solidFill>
                    <a:latin typeface="Arial"/>
                    <a:ea typeface="Arial"/>
                    <a:cs typeface="Arial"/>
                  </a:defRPr>
                </a:pPr>
                <a:r>
                  <a:t>%</a:t>
                </a:r>
              </a:p>
            </c:rich>
          </c:tx>
          <c:layout>
            <c:manualLayout>
              <c:xMode val="edge"/>
              <c:yMode val="edge"/>
              <c:x val="2.1680216802168022E-2"/>
              <c:y val="0.49346576775942219"/>
            </c:manualLayout>
          </c:layout>
          <c:spPr>
            <a:noFill/>
            <a:ln w="25400">
              <a:noFill/>
            </a:ln>
          </c:spPr>
        </c:title>
        <c:numFmt formatCode="0.0%" sourceLinked="1"/>
        <c:tickLblPos val="nextTo"/>
        <c:spPr>
          <a:ln w="3175">
            <a:solidFill>
              <a:srgbClr val="000000"/>
            </a:solidFill>
            <a:prstDash val="solid"/>
          </a:ln>
        </c:spPr>
        <c:txPr>
          <a:bodyPr rot="0" vert="horz"/>
          <a:lstStyle/>
          <a:p>
            <a:pPr>
              <a:defRPr sz="850" b="1" i="0" u="none" strike="noStrike" baseline="0">
                <a:solidFill>
                  <a:srgbClr val="000000"/>
                </a:solidFill>
                <a:latin typeface="Arial"/>
                <a:ea typeface="Arial"/>
                <a:cs typeface="Arial"/>
              </a:defRPr>
            </a:pPr>
            <a:endParaRPr lang="en-US"/>
          </a:p>
        </c:txPr>
        <c:crossAx val="127950208"/>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35365896336128716"/>
          <c:y val="0.90523150292487953"/>
          <c:w val="0.72222307577406486"/>
          <c:h val="0.97712727085584894"/>
        </c:manualLayout>
      </c:layout>
      <c:spPr>
        <a:solidFill>
          <a:srgbClr val="FFFFFF"/>
        </a:solidFill>
        <a:ln w="3175">
          <a:solidFill>
            <a:srgbClr val="000000"/>
          </a:solidFill>
          <a:prstDash val="solid"/>
        </a:ln>
      </c:spPr>
      <c:txPr>
        <a:bodyPr/>
        <a:lstStyle/>
        <a:p>
          <a:pPr>
            <a:defRPr sz="78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1" i="0" u="none" strike="noStrike" baseline="0">
                <a:solidFill>
                  <a:srgbClr val="000000"/>
                </a:solidFill>
                <a:latin typeface="Arial"/>
                <a:ea typeface="Arial"/>
                <a:cs typeface="Arial"/>
              </a:defRPr>
            </a:pPr>
            <a:r>
              <a:rPr lang="en-US"/>
              <a:t>SPL Emission from Multiple Rock Drills</a:t>
            </a:r>
          </a:p>
        </c:rich>
      </c:tx>
      <c:layout>
        <c:manualLayout>
          <c:xMode val="edge"/>
          <c:yMode val="edge"/>
          <c:x val="0.33414659752896742"/>
          <c:y val="3.2085561497326207E-2"/>
        </c:manualLayout>
      </c:layout>
      <c:spPr>
        <a:noFill/>
        <a:ln w="25400">
          <a:noFill/>
        </a:ln>
      </c:spPr>
    </c:title>
    <c:plotArea>
      <c:layout>
        <c:manualLayout>
          <c:layoutTarget val="inner"/>
          <c:xMode val="edge"/>
          <c:yMode val="edge"/>
          <c:x val="0.10731713707432419"/>
          <c:y val="0.17647058823529413"/>
          <c:w val="0.87561027749278142"/>
          <c:h val="0.67647058823529416"/>
        </c:manualLayout>
      </c:layout>
      <c:barChart>
        <c:barDir val="col"/>
        <c:grouping val="clustered"/>
        <c:ser>
          <c:idx val="4"/>
          <c:order val="0"/>
          <c:tx>
            <c:strRef>
              <c:f>'SPL Multiple RD''s'!$R$78:$T$78</c:f>
              <c:strCache>
                <c:ptCount val="1"/>
                <c:pt idx="0">
                  <c:v>Milestone</c:v>
                </c:pt>
              </c:strCache>
            </c:strRef>
          </c:tx>
          <c:spPr>
            <a:solidFill>
              <a:srgbClr val="000000"/>
            </a:solid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'SPL Multiple RD''s'!$U$78</c:f>
              <c:numCache>
                <c:formatCode>0.0</c:formatCode>
                <c:ptCount val="1"/>
                <c:pt idx="0">
                  <c:v>110</c:v>
                </c:pt>
              </c:numCache>
            </c:numRef>
          </c:val>
        </c:ser>
        <c:ser>
          <c:idx val="3"/>
          <c:order val="1"/>
          <c:tx>
            <c:strRef>
              <c:f>'SPL Multiple RD''s'!$U$74:$U$75</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'SPL Multiple RD''s'!$U$76</c:f>
              <c:numCache>
                <c:formatCode>0.0</c:formatCode>
                <c:ptCount val="1"/>
                <c:pt idx="0">
                  <c:v>108.02059991327964</c:v>
                </c:pt>
              </c:numCache>
            </c:numRef>
          </c:val>
        </c:ser>
        <c:ser>
          <c:idx val="1"/>
          <c:order val="2"/>
          <c:tx>
            <c:strRef>
              <c:f>'SPL Multiple RD''s'!$V$74:$V$75</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'SPL Multiple RD''s'!$V$76</c:f>
              <c:numCache>
                <c:formatCode>0.0</c:formatCode>
                <c:ptCount val="1"/>
                <c:pt idx="0">
                  <c:v>114.02059991327963</c:v>
                </c:pt>
              </c:numCache>
            </c:numRef>
          </c:val>
        </c:ser>
        <c:ser>
          <c:idx val="2"/>
          <c:order val="3"/>
          <c:tx>
            <c:strRef>
              <c:f>'SPL Multiple RD''s'!$W$74:$W$75</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'SPL Multiple RD''s'!$W$76</c:f>
              <c:numCache>
                <c:formatCode>0.0</c:formatCode>
                <c:ptCount val="1"/>
                <c:pt idx="0">
                  <c:v>115.02059991327963</c:v>
                </c:pt>
              </c:numCache>
            </c:numRef>
          </c:val>
        </c:ser>
        <c:ser>
          <c:idx val="0"/>
          <c:order val="4"/>
          <c:tx>
            <c:strRef>
              <c:f>'SPL Multiple RD''s'!$X$74:$X$75</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'SPL Multiple RD''s'!$X$76</c:f>
              <c:numCache>
                <c:formatCode>0.0</c:formatCode>
                <c:ptCount val="1"/>
                <c:pt idx="0">
                  <c:v>122.02059991327964</c:v>
                </c:pt>
              </c:numCache>
            </c:numRef>
          </c:val>
        </c:ser>
        <c:axId val="126592128"/>
        <c:axId val="126593664"/>
      </c:barChart>
      <c:catAx>
        <c:axId val="126592128"/>
        <c:scaling>
          <c:orientation val="minMax"/>
        </c:scaling>
        <c:delete val="1"/>
        <c:axPos val="b"/>
        <c:tickLblPos val="nextTo"/>
        <c:crossAx val="126593664"/>
        <c:crosses val="autoZero"/>
        <c:auto val="1"/>
        <c:lblAlgn val="ctr"/>
        <c:lblOffset val="100"/>
      </c:catAx>
      <c:valAx>
        <c:axId val="126593664"/>
        <c:scaling>
          <c:orientation val="minMax"/>
          <c:max val="130"/>
          <c:min val="70"/>
        </c:scaling>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n-US"/>
                  <a:t>dBA</a:t>
                </a:r>
              </a:p>
            </c:rich>
          </c:tx>
          <c:layout>
            <c:manualLayout>
              <c:xMode val="edge"/>
              <c:yMode val="edge"/>
              <c:x val="1.9512195121951219E-2"/>
              <c:y val="0.47058823529411764"/>
            </c:manualLayout>
          </c:layout>
          <c:spPr>
            <a:noFill/>
            <a:ln w="25400">
              <a:noFill/>
            </a:ln>
          </c:spPr>
        </c:title>
        <c:numFmt formatCode="0.0"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26592128"/>
        <c:crosses val="autoZero"/>
        <c:crossBetween val="between"/>
      </c:valAx>
      <c:spPr>
        <a:solidFill>
          <a:srgbClr val="FFFFFF"/>
        </a:solidFill>
        <a:ln w="12700">
          <a:solidFill>
            <a:srgbClr val="808080"/>
          </a:solidFill>
          <a:prstDash val="solid"/>
        </a:ln>
      </c:spPr>
    </c:plotArea>
    <c:legend>
      <c:legendPos val="b"/>
      <c:layout>
        <c:manualLayout>
          <c:xMode val="edge"/>
          <c:yMode val="edge"/>
          <c:x val="0.20731720120350811"/>
          <c:y val="0.91443850267379678"/>
          <c:w val="0.67439062800076832"/>
          <c:h val="6.6844919786096302E-2"/>
        </c:manualLayout>
      </c:layout>
      <c:spPr>
        <a:solidFill>
          <a:srgbClr val="FFFFFF"/>
        </a:solidFill>
        <a:ln w="3175">
          <a:solidFill>
            <a:srgbClr val="000000"/>
          </a:solidFill>
          <a:prstDash val="solid"/>
        </a:ln>
      </c:spPr>
      <c:txPr>
        <a:bodyPr/>
        <a:lstStyle/>
        <a:p>
          <a:pPr>
            <a:defRPr sz="96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50" b="1" i="0" u="none" strike="noStrike" baseline="0">
                <a:solidFill>
                  <a:srgbClr val="000000"/>
                </a:solidFill>
                <a:latin typeface="Arial"/>
                <a:ea typeface="Arial"/>
                <a:cs typeface="Arial"/>
              </a:defRPr>
            </a:pPr>
            <a:r>
              <a:t>Technical Performance - Air Consumption per Shift</a:t>
            </a:r>
          </a:p>
        </c:rich>
      </c:tx>
      <c:layout>
        <c:manualLayout>
          <c:xMode val="edge"/>
          <c:yMode val="edge"/>
          <c:x val="0.30758850265668009"/>
          <c:y val="3.5947712418300651E-2"/>
        </c:manualLayout>
      </c:layout>
      <c:spPr>
        <a:noFill/>
        <a:ln w="25400">
          <a:noFill/>
        </a:ln>
      </c:spPr>
    </c:title>
    <c:plotArea>
      <c:layout>
        <c:manualLayout>
          <c:layoutTarget val="inner"/>
          <c:xMode val="edge"/>
          <c:yMode val="edge"/>
          <c:x val="9.2141043335349102E-2"/>
          <c:y val="0.18954308856428898"/>
          <c:w val="0.88889006511748536"/>
          <c:h val="0.64706088854705546"/>
        </c:manualLayout>
      </c:layout>
      <c:barChart>
        <c:barDir val="col"/>
        <c:grouping val="clustered"/>
        <c:ser>
          <c:idx val="1"/>
          <c:order val="0"/>
          <c:tx>
            <c:strRef>
              <c:f>'Working Master '!$V$241:$V$242</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'!$V$244</c:f>
              <c:numCache>
                <c:formatCode>0.00</c:formatCode>
                <c:ptCount val="1"/>
                <c:pt idx="0">
                  <c:v>6.08</c:v>
                </c:pt>
              </c:numCache>
            </c:numRef>
          </c:val>
        </c:ser>
        <c:ser>
          <c:idx val="2"/>
          <c:order val="1"/>
          <c:tx>
            <c:strRef>
              <c:f>'Working Master '!$W$241:$W$242</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'!$W$244</c:f>
              <c:numCache>
                <c:formatCode>0.00</c:formatCode>
                <c:ptCount val="1"/>
                <c:pt idx="0">
                  <c:v>8</c:v>
                </c:pt>
              </c:numCache>
            </c:numRef>
          </c:val>
        </c:ser>
        <c:ser>
          <c:idx val="0"/>
          <c:order val="2"/>
          <c:tx>
            <c:strRef>
              <c:f>'Working Master '!$X$241:$X$242</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'!$X$244</c:f>
              <c:numCache>
                <c:formatCode>0.00</c:formatCode>
                <c:ptCount val="1"/>
                <c:pt idx="0">
                  <c:v>6.5600000000000005</c:v>
                </c:pt>
              </c:numCache>
            </c:numRef>
          </c:val>
        </c:ser>
        <c:axId val="128004096"/>
        <c:axId val="128005632"/>
      </c:barChart>
      <c:catAx>
        <c:axId val="128004096"/>
        <c:scaling>
          <c:orientation val="minMax"/>
        </c:scaling>
        <c:delete val="1"/>
        <c:axPos val="b"/>
        <c:tickLblPos val="nextTo"/>
        <c:crossAx val="128005632"/>
        <c:crosses val="autoZero"/>
        <c:auto val="1"/>
        <c:lblAlgn val="ctr"/>
        <c:lblOffset val="100"/>
      </c:catAx>
      <c:valAx>
        <c:axId val="128005632"/>
        <c:scaling>
          <c:orientation val="minMax"/>
        </c:scaling>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t>m3/s</a:t>
                </a:r>
              </a:p>
            </c:rich>
          </c:tx>
          <c:layout>
            <c:manualLayout>
              <c:xMode val="edge"/>
              <c:yMode val="edge"/>
              <c:x val="2.1680216802168022E-2"/>
              <c:y val="0.46405365995917175"/>
            </c:manualLayout>
          </c:layout>
          <c:spPr>
            <a:noFill/>
            <a:ln w="25400">
              <a:noFill/>
            </a:ln>
          </c:spPr>
        </c:title>
        <c:numFmt formatCode="0.00" sourceLinked="1"/>
        <c:tickLblPos val="nextTo"/>
        <c:spPr>
          <a:ln w="3175">
            <a:solidFill>
              <a:srgbClr val="000000"/>
            </a:solidFill>
            <a:prstDash val="solid"/>
          </a:ln>
        </c:spPr>
        <c:txPr>
          <a:bodyPr rot="0" vert="horz"/>
          <a:lstStyle/>
          <a:p>
            <a:pPr>
              <a:defRPr sz="850" b="1" i="0" u="none" strike="noStrike" baseline="0">
                <a:solidFill>
                  <a:srgbClr val="000000"/>
                </a:solidFill>
                <a:latin typeface="Arial"/>
                <a:ea typeface="Arial"/>
                <a:cs typeface="Arial"/>
              </a:defRPr>
            </a:pPr>
            <a:endParaRPr lang="en-US"/>
          </a:p>
        </c:txPr>
        <c:crossAx val="128004096"/>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35230394981115165"/>
          <c:y val="0.90523150292487953"/>
          <c:w val="0.7208680622239293"/>
          <c:h val="0.97712727085584894"/>
        </c:manualLayout>
      </c:layout>
      <c:spPr>
        <a:solidFill>
          <a:srgbClr val="FFFFFF"/>
        </a:solidFill>
        <a:ln w="3175">
          <a:solidFill>
            <a:srgbClr val="000000"/>
          </a:solidFill>
          <a:prstDash val="solid"/>
        </a:ln>
      </c:spPr>
      <c:txPr>
        <a:bodyPr/>
        <a:lstStyle/>
        <a:p>
          <a:pPr>
            <a:defRPr sz="78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50" b="1" i="0" u="none" strike="noStrike" baseline="0">
                <a:solidFill>
                  <a:srgbClr val="000000"/>
                </a:solidFill>
                <a:latin typeface="Arial"/>
                <a:ea typeface="Arial"/>
                <a:cs typeface="Arial"/>
              </a:defRPr>
            </a:pPr>
            <a:r>
              <a:t>Technical Performance - Water Consumption per Shift
(Hilti Rock Drill includes retraction MSW consumption @ 24 l/min)</a:t>
            </a:r>
          </a:p>
        </c:rich>
      </c:tx>
      <c:layout>
        <c:manualLayout>
          <c:xMode val="edge"/>
          <c:yMode val="edge"/>
          <c:x val="0.25745285904302612"/>
          <c:y val="3.5947712418300651E-2"/>
        </c:manualLayout>
      </c:layout>
      <c:spPr>
        <a:noFill/>
        <a:ln w="25400">
          <a:noFill/>
        </a:ln>
      </c:spPr>
    </c:title>
    <c:plotArea>
      <c:layout>
        <c:manualLayout>
          <c:layoutTarget val="inner"/>
          <c:xMode val="edge"/>
          <c:yMode val="edge"/>
          <c:x val="0.11653131951235327"/>
          <c:y val="0.23856285284815681"/>
          <c:w val="0.86449978894048118"/>
          <c:h val="0.59804112426318767"/>
        </c:manualLayout>
      </c:layout>
      <c:barChart>
        <c:barDir val="col"/>
        <c:grouping val="clustered"/>
        <c:ser>
          <c:idx val="3"/>
          <c:order val="0"/>
          <c:tx>
            <c:strRef>
              <c:f>'Working Master '!$U$254:$U$255</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'!$U$258</c:f>
              <c:numCache>
                <c:formatCode>#,##0</c:formatCode>
                <c:ptCount val="1"/>
                <c:pt idx="0">
                  <c:v>204800</c:v>
                </c:pt>
              </c:numCache>
            </c:numRef>
          </c:val>
        </c:ser>
        <c:ser>
          <c:idx val="1"/>
          <c:order val="1"/>
          <c:tx>
            <c:strRef>
              <c:f>'Working Master '!$V$254:$V$255</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'!$V$258</c:f>
              <c:numCache>
                <c:formatCode>#,##0</c:formatCode>
                <c:ptCount val="1"/>
                <c:pt idx="0">
                  <c:v>132480</c:v>
                </c:pt>
              </c:numCache>
            </c:numRef>
          </c:val>
        </c:ser>
        <c:ser>
          <c:idx val="2"/>
          <c:order val="2"/>
          <c:tx>
            <c:strRef>
              <c:f>'Working Master '!$W$254:$W$255</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'!$W$258</c:f>
              <c:numCache>
                <c:formatCode>#,##0</c:formatCode>
                <c:ptCount val="1"/>
                <c:pt idx="0">
                  <c:v>202017.39130434778</c:v>
                </c:pt>
              </c:numCache>
            </c:numRef>
          </c:val>
        </c:ser>
        <c:ser>
          <c:idx val="0"/>
          <c:order val="3"/>
          <c:tx>
            <c:strRef>
              <c:f>'Working Master '!$X$254:$X$255</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850" b="1" i="0" u="none" strike="noStrike" baseline="0">
                    <a:solidFill>
                      <a:srgbClr val="000000"/>
                    </a:solidFill>
                    <a:latin typeface="Arial"/>
                    <a:ea typeface="Arial"/>
                    <a:cs typeface="Arial"/>
                  </a:defRPr>
                </a:pPr>
                <a:endParaRPr lang="en-US"/>
              </a:p>
            </c:txPr>
            <c:showVal val="1"/>
          </c:dLbls>
          <c:val>
            <c:numRef>
              <c:f>'Working Master '!$X$258</c:f>
              <c:numCache>
                <c:formatCode>#,##0</c:formatCode>
                <c:ptCount val="1"/>
                <c:pt idx="0">
                  <c:v>172800</c:v>
                </c:pt>
              </c:numCache>
            </c:numRef>
          </c:val>
        </c:ser>
        <c:axId val="128087552"/>
        <c:axId val="128089088"/>
      </c:barChart>
      <c:catAx>
        <c:axId val="128087552"/>
        <c:scaling>
          <c:orientation val="minMax"/>
        </c:scaling>
        <c:delete val="1"/>
        <c:axPos val="b"/>
        <c:tickLblPos val="nextTo"/>
        <c:crossAx val="128089088"/>
        <c:crosses val="autoZero"/>
        <c:auto val="1"/>
        <c:lblAlgn val="ctr"/>
        <c:lblOffset val="100"/>
      </c:catAx>
      <c:valAx>
        <c:axId val="128089088"/>
        <c:scaling>
          <c:orientation val="minMax"/>
        </c:scaling>
        <c:axPos val="l"/>
        <c:majorGridlines>
          <c:spPr>
            <a:ln w="3175">
              <a:solidFill>
                <a:srgbClr val="000000"/>
              </a:solidFill>
              <a:prstDash val="solid"/>
            </a:ln>
          </c:spPr>
        </c:majorGridlines>
        <c:title>
          <c:tx>
            <c:rich>
              <a:bodyPr/>
              <a:lstStyle/>
              <a:p>
                <a:pPr>
                  <a:defRPr sz="850" b="1" i="0" u="none" strike="noStrike" baseline="0">
                    <a:solidFill>
                      <a:srgbClr val="000000"/>
                    </a:solidFill>
                    <a:latin typeface="Arial"/>
                    <a:ea typeface="Arial"/>
                    <a:cs typeface="Arial"/>
                  </a:defRPr>
                </a:pPr>
                <a:r>
                  <a:t>liters</a:t>
                </a:r>
              </a:p>
            </c:rich>
          </c:tx>
          <c:layout>
            <c:manualLayout>
              <c:xMode val="edge"/>
              <c:yMode val="edge"/>
              <c:x val="2.1680216802168022E-2"/>
              <c:y val="0.48366150309642669"/>
            </c:manualLayout>
          </c:layout>
          <c:spPr>
            <a:noFill/>
            <a:ln w="25400">
              <a:noFill/>
            </a:ln>
          </c:spPr>
        </c:title>
        <c:numFmt formatCode="#,##0" sourceLinked="1"/>
        <c:tickLblPos val="nextTo"/>
        <c:spPr>
          <a:ln w="3175">
            <a:solidFill>
              <a:srgbClr val="000000"/>
            </a:solidFill>
            <a:prstDash val="solid"/>
          </a:ln>
        </c:spPr>
        <c:txPr>
          <a:bodyPr rot="0" vert="horz"/>
          <a:lstStyle/>
          <a:p>
            <a:pPr>
              <a:defRPr sz="850" b="1" i="0" u="none" strike="noStrike" baseline="0">
                <a:solidFill>
                  <a:srgbClr val="000000"/>
                </a:solidFill>
                <a:latin typeface="Arial"/>
                <a:ea typeface="Arial"/>
                <a:cs typeface="Arial"/>
              </a:defRPr>
            </a:pPr>
            <a:endParaRPr lang="en-US"/>
          </a:p>
        </c:txPr>
        <c:crossAx val="128087552"/>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30623348910654458"/>
          <c:y val="0.90523150292487953"/>
          <c:w val="0.79132905134825626"/>
          <c:h val="0.97712727085584894"/>
        </c:manualLayout>
      </c:layout>
      <c:spPr>
        <a:solidFill>
          <a:srgbClr val="FFFFFF"/>
        </a:solidFill>
        <a:ln w="3175">
          <a:solidFill>
            <a:srgbClr val="000000"/>
          </a:solidFill>
          <a:prstDash val="solid"/>
        </a:ln>
      </c:spPr>
      <c:txPr>
        <a:bodyPr/>
        <a:lstStyle/>
        <a:p>
          <a:pPr>
            <a:defRPr sz="78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75" b="1" i="0" u="none" strike="noStrike" baseline="0">
                <a:solidFill>
                  <a:srgbClr val="000000"/>
                </a:solidFill>
                <a:latin typeface="Arial"/>
                <a:ea typeface="Arial"/>
                <a:cs typeface="Arial"/>
              </a:defRPr>
            </a:pPr>
            <a:r>
              <a:t>Energy Cost per Day</a:t>
            </a:r>
          </a:p>
        </c:rich>
      </c:tx>
      <c:layout>
        <c:manualLayout>
          <c:xMode val="edge"/>
          <c:yMode val="edge"/>
          <c:x val="0.41056967472561862"/>
          <c:y val="3.5947712418300651E-2"/>
        </c:manualLayout>
      </c:layout>
      <c:spPr>
        <a:noFill/>
        <a:ln w="25400">
          <a:noFill/>
        </a:ln>
      </c:spPr>
    </c:title>
    <c:plotArea>
      <c:layout>
        <c:manualLayout>
          <c:layoutTarget val="inner"/>
          <c:xMode val="edge"/>
          <c:yMode val="edge"/>
          <c:x val="0.11653131951235327"/>
          <c:y val="0.19934704142106255"/>
          <c:w val="0.86449978894048118"/>
          <c:h val="0.56209329712168454"/>
        </c:manualLayout>
      </c:layout>
      <c:barChart>
        <c:barDir val="col"/>
        <c:grouping val="clustered"/>
        <c:ser>
          <c:idx val="3"/>
          <c:order val="0"/>
          <c:tx>
            <c:strRef>
              <c:f>'Working Master '!$U$183:$U$184</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975" b="1" i="0" u="none" strike="noStrike" baseline="0">
                    <a:solidFill>
                      <a:srgbClr val="000000"/>
                    </a:solidFill>
                    <a:latin typeface="Arial"/>
                    <a:ea typeface="Arial"/>
                    <a:cs typeface="Arial"/>
                  </a:defRPr>
                </a:pPr>
                <a:endParaRPr lang="en-US"/>
              </a:p>
            </c:txPr>
            <c:showVal val="1"/>
          </c:dLbls>
          <c:cat>
            <c:strRef>
              <c:f>'Working Master '!$R$185:$T$186</c:f>
              <c:strCache>
                <c:ptCount val="2"/>
                <c:pt idx="0">
                  <c:v>"Fully Loaded" - Drilling Shift</c:v>
                </c:pt>
                <c:pt idx="1">
                  <c:v>"Un-loaded" - Off Shift</c:v>
                </c:pt>
              </c:strCache>
            </c:strRef>
          </c:cat>
          <c:val>
            <c:numRef>
              <c:f>'Working Master '!$U$185:$U$186</c:f>
              <c:numCache>
                <c:formatCode>General</c:formatCode>
                <c:ptCount val="2"/>
                <c:pt idx="0" formatCode="&quot;R&quot;\ #,##0">
                  <c:v>211.20000000000002</c:v>
                </c:pt>
              </c:numCache>
            </c:numRef>
          </c:val>
        </c:ser>
        <c:ser>
          <c:idx val="1"/>
          <c:order val="1"/>
          <c:tx>
            <c:strRef>
              <c:f>'Working Master '!$V$183:$V$184</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rot="-5400000" vert="horz"/>
              <a:lstStyle/>
              <a:p>
                <a:pPr algn="ctr">
                  <a:defRPr sz="975" b="1" i="0" u="none" strike="noStrike" baseline="0">
                    <a:solidFill>
                      <a:srgbClr val="000000"/>
                    </a:solidFill>
                    <a:latin typeface="Arial"/>
                    <a:ea typeface="Arial"/>
                    <a:cs typeface="Arial"/>
                  </a:defRPr>
                </a:pPr>
                <a:endParaRPr lang="en-US"/>
              </a:p>
            </c:txPr>
            <c:dLblPos val="outEnd"/>
            <c:showVal val="1"/>
          </c:dLbls>
          <c:cat>
            <c:strRef>
              <c:f>'Working Master '!$R$185:$T$186</c:f>
              <c:strCache>
                <c:ptCount val="2"/>
                <c:pt idx="0">
                  <c:v>"Fully Loaded" - Drilling Shift</c:v>
                </c:pt>
                <c:pt idx="1">
                  <c:v>"Un-loaded" - Off Shift</c:v>
                </c:pt>
              </c:strCache>
            </c:strRef>
          </c:cat>
          <c:val>
            <c:numRef>
              <c:f>'Working Master '!$V$185:$V$186</c:f>
              <c:numCache>
                <c:formatCode>"R"\ #,##0</c:formatCode>
                <c:ptCount val="2"/>
                <c:pt idx="0">
                  <c:v>17099.999999999996</c:v>
                </c:pt>
                <c:pt idx="1">
                  <c:v>94050.000000000015</c:v>
                </c:pt>
              </c:numCache>
            </c:numRef>
          </c:val>
        </c:ser>
        <c:ser>
          <c:idx val="2"/>
          <c:order val="2"/>
          <c:tx>
            <c:strRef>
              <c:f>'Working Master '!$W$183:$W$184</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rot="-5400000" vert="horz"/>
              <a:lstStyle/>
              <a:p>
                <a:pPr algn="ctr">
                  <a:defRPr sz="975" b="1" i="0" u="none" strike="noStrike" baseline="0">
                    <a:solidFill>
                      <a:srgbClr val="000000"/>
                    </a:solidFill>
                    <a:latin typeface="Arial"/>
                    <a:ea typeface="Arial"/>
                    <a:cs typeface="Arial"/>
                  </a:defRPr>
                </a:pPr>
                <a:endParaRPr lang="en-US"/>
              </a:p>
            </c:txPr>
            <c:dLblPos val="outEnd"/>
            <c:showVal val="1"/>
          </c:dLbls>
          <c:cat>
            <c:strRef>
              <c:f>'Working Master '!$R$185:$T$186</c:f>
              <c:strCache>
                <c:ptCount val="2"/>
                <c:pt idx="0">
                  <c:v>"Fully Loaded" - Drilling Shift</c:v>
                </c:pt>
                <c:pt idx="1">
                  <c:v>"Un-loaded" - Off Shift</c:v>
                </c:pt>
              </c:strCache>
            </c:strRef>
          </c:cat>
          <c:val>
            <c:numRef>
              <c:f>'Working Master '!$W$185:$W$186</c:f>
              <c:numCache>
                <c:formatCode>"R"\ #,##0</c:formatCode>
                <c:ptCount val="2"/>
                <c:pt idx="0">
                  <c:v>14869.565217391304</c:v>
                </c:pt>
                <c:pt idx="1">
                  <c:v>95165.217391304366</c:v>
                </c:pt>
              </c:numCache>
            </c:numRef>
          </c:val>
        </c:ser>
        <c:ser>
          <c:idx val="0"/>
          <c:order val="3"/>
          <c:tx>
            <c:strRef>
              <c:f>'Working Master '!$X$183:$X$184</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rot="-5400000" vert="horz"/>
              <a:lstStyle/>
              <a:p>
                <a:pPr algn="ctr">
                  <a:defRPr sz="975" b="1" i="0" u="none" strike="noStrike" baseline="0">
                    <a:solidFill>
                      <a:srgbClr val="000000"/>
                    </a:solidFill>
                    <a:latin typeface="Arial"/>
                    <a:ea typeface="Arial"/>
                    <a:cs typeface="Arial"/>
                  </a:defRPr>
                </a:pPr>
                <a:endParaRPr lang="en-US"/>
              </a:p>
            </c:txPr>
            <c:dLblPos val="outEnd"/>
            <c:showVal val="1"/>
          </c:dLbls>
          <c:cat>
            <c:strRef>
              <c:f>'Working Master '!$R$185:$T$186</c:f>
              <c:strCache>
                <c:ptCount val="2"/>
                <c:pt idx="0">
                  <c:v>"Fully Loaded" - Drilling Shift</c:v>
                </c:pt>
                <c:pt idx="1">
                  <c:v>"Un-loaded" - Off Shift</c:v>
                </c:pt>
              </c:strCache>
            </c:strRef>
          </c:cat>
          <c:val>
            <c:numRef>
              <c:f>'Working Master '!$X$185:$X$186</c:f>
              <c:numCache>
                <c:formatCode>"R"\ #,##0</c:formatCode>
                <c:ptCount val="2"/>
                <c:pt idx="0">
                  <c:v>12214.285714285714</c:v>
                </c:pt>
                <c:pt idx="1">
                  <c:v>96492.857142857145</c:v>
                </c:pt>
              </c:numCache>
            </c:numRef>
          </c:val>
        </c:ser>
        <c:axId val="128138240"/>
        <c:axId val="128148224"/>
      </c:barChart>
      <c:catAx>
        <c:axId val="128138240"/>
        <c:scaling>
          <c:orientation val="minMax"/>
        </c:scaling>
        <c:axPos val="b"/>
        <c:numFmt formatCode="General" sourceLinked="1"/>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n-US"/>
          </a:p>
        </c:txPr>
        <c:crossAx val="128148224"/>
        <c:crosses val="autoZero"/>
        <c:auto val="1"/>
        <c:lblAlgn val="ctr"/>
        <c:lblOffset val="100"/>
        <c:tickLblSkip val="1"/>
        <c:tickMarkSkip val="1"/>
      </c:catAx>
      <c:valAx>
        <c:axId val="128148224"/>
        <c:scaling>
          <c:orientation val="minMax"/>
        </c:scaling>
        <c:axPos val="l"/>
        <c:majorGridlines>
          <c:spPr>
            <a:ln w="3175">
              <a:solidFill>
                <a:srgbClr val="000000"/>
              </a:solidFill>
              <a:prstDash val="solid"/>
            </a:ln>
          </c:spPr>
        </c:majorGridlines>
        <c:numFmt formatCode="&quot;R&quot;\ #,##0" sourceLinked="1"/>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n-US"/>
          </a:p>
        </c:txPr>
        <c:crossAx val="128138240"/>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6151789969343264"/>
          <c:y val="0.89869555521246114"/>
          <c:w val="0.83604435624408746"/>
          <c:h val="0.97712727085584883"/>
        </c:manualLayout>
      </c:layout>
      <c:spPr>
        <a:solidFill>
          <a:srgbClr val="FFFFFF"/>
        </a:solidFill>
        <a:ln w="3175">
          <a:solidFill>
            <a:srgbClr val="000000"/>
          </a:solidFill>
          <a:prstDash val="solid"/>
        </a:ln>
      </c:spPr>
      <c:txPr>
        <a:bodyPr/>
        <a:lstStyle/>
        <a:p>
          <a:pPr>
            <a:defRPr sz="89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975"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75" b="1" i="0" u="none" strike="noStrike" baseline="0">
                <a:solidFill>
                  <a:srgbClr val="000000"/>
                </a:solidFill>
                <a:latin typeface="Arial"/>
                <a:ea typeface="Arial"/>
                <a:cs typeface="Arial"/>
              </a:defRPr>
            </a:pPr>
            <a:r>
              <a:t>Energy Cost per Month</a:t>
            </a:r>
          </a:p>
        </c:rich>
      </c:tx>
      <c:layout>
        <c:manualLayout>
          <c:xMode val="edge"/>
          <c:yMode val="edge"/>
          <c:x val="0.40108457987467011"/>
          <c:y val="3.5947712418300651E-2"/>
        </c:manualLayout>
      </c:layout>
      <c:spPr>
        <a:noFill/>
        <a:ln w="25400">
          <a:noFill/>
        </a:ln>
      </c:spPr>
    </c:title>
    <c:plotArea>
      <c:layout>
        <c:manualLayout>
          <c:layoutTarget val="inner"/>
          <c:xMode val="edge"/>
          <c:yMode val="edge"/>
          <c:x val="0.13143648828718915"/>
          <c:y val="0.19934704142106255"/>
          <c:w val="0.84959462016564535"/>
          <c:h val="0.56209329712168454"/>
        </c:manualLayout>
      </c:layout>
      <c:barChart>
        <c:barDir val="col"/>
        <c:grouping val="clustered"/>
        <c:ser>
          <c:idx val="3"/>
          <c:order val="0"/>
          <c:tx>
            <c:strRef>
              <c:f>'Working Master '!$U$188:$U$189</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rot="-5400000" vert="horz"/>
              <a:lstStyle/>
              <a:p>
                <a:pPr algn="ctr">
                  <a:defRPr sz="975" b="1" i="0" u="none" strike="noStrike" baseline="0">
                    <a:solidFill>
                      <a:srgbClr val="000000"/>
                    </a:solidFill>
                    <a:latin typeface="Arial"/>
                    <a:ea typeface="Arial"/>
                    <a:cs typeface="Arial"/>
                  </a:defRPr>
                </a:pPr>
                <a:endParaRPr lang="en-US"/>
              </a:p>
            </c:txPr>
            <c:dLblPos val="outEnd"/>
            <c:showVal val="1"/>
          </c:dLbls>
          <c:cat>
            <c:strRef>
              <c:f>'Working Master '!$R$190:$T$191</c:f>
              <c:strCache>
                <c:ptCount val="2"/>
                <c:pt idx="0">
                  <c:v>"Fully Loaded" - Drilling Shift</c:v>
                </c:pt>
                <c:pt idx="1">
                  <c:v>"Un-loaded" - Off Shift</c:v>
                </c:pt>
              </c:strCache>
            </c:strRef>
          </c:cat>
          <c:val>
            <c:numRef>
              <c:f>'Working Master '!$U$190:$U$191</c:f>
              <c:numCache>
                <c:formatCode>General</c:formatCode>
                <c:ptCount val="2"/>
                <c:pt idx="0" formatCode="&quot;R&quot;\ #,##0">
                  <c:v>4857.6000000000004</c:v>
                </c:pt>
              </c:numCache>
            </c:numRef>
          </c:val>
        </c:ser>
        <c:ser>
          <c:idx val="1"/>
          <c:order val="1"/>
          <c:tx>
            <c:strRef>
              <c:f>'Working Master '!$V$188:$V$189</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rot="-5400000" vert="horz"/>
              <a:lstStyle/>
              <a:p>
                <a:pPr algn="ctr">
                  <a:defRPr sz="975" b="1" i="0" u="none" strike="noStrike" baseline="0">
                    <a:solidFill>
                      <a:srgbClr val="000000"/>
                    </a:solidFill>
                    <a:latin typeface="Arial"/>
                    <a:ea typeface="Arial"/>
                    <a:cs typeface="Arial"/>
                  </a:defRPr>
                </a:pPr>
                <a:endParaRPr lang="en-US"/>
              </a:p>
            </c:txPr>
            <c:dLblPos val="outEnd"/>
            <c:showVal val="1"/>
          </c:dLbls>
          <c:cat>
            <c:strRef>
              <c:f>'Working Master '!$R$190:$T$191</c:f>
              <c:strCache>
                <c:ptCount val="2"/>
                <c:pt idx="0">
                  <c:v>"Fully Loaded" - Drilling Shift</c:v>
                </c:pt>
                <c:pt idx="1">
                  <c:v>"Un-loaded" - Off Shift</c:v>
                </c:pt>
              </c:strCache>
            </c:strRef>
          </c:cat>
          <c:val>
            <c:numRef>
              <c:f>'Working Master '!$V$190:$V$191</c:f>
              <c:numCache>
                <c:formatCode>"R"\ #,##0</c:formatCode>
                <c:ptCount val="2"/>
                <c:pt idx="0">
                  <c:v>393299.99999999994</c:v>
                </c:pt>
                <c:pt idx="1">
                  <c:v>2163150.0000000005</c:v>
                </c:pt>
              </c:numCache>
            </c:numRef>
          </c:val>
        </c:ser>
        <c:ser>
          <c:idx val="2"/>
          <c:order val="2"/>
          <c:tx>
            <c:strRef>
              <c:f>'Working Master '!$W$188:$W$189</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rot="-5400000" vert="horz"/>
              <a:lstStyle/>
              <a:p>
                <a:pPr algn="ctr">
                  <a:defRPr sz="975" b="1" i="0" u="none" strike="noStrike" baseline="0">
                    <a:solidFill>
                      <a:srgbClr val="000000"/>
                    </a:solidFill>
                    <a:latin typeface="Arial"/>
                    <a:ea typeface="Arial"/>
                    <a:cs typeface="Arial"/>
                  </a:defRPr>
                </a:pPr>
                <a:endParaRPr lang="en-US"/>
              </a:p>
            </c:txPr>
            <c:dLblPos val="outEnd"/>
            <c:showVal val="1"/>
          </c:dLbls>
          <c:cat>
            <c:strRef>
              <c:f>'Working Master '!$R$190:$T$191</c:f>
              <c:strCache>
                <c:ptCount val="2"/>
                <c:pt idx="0">
                  <c:v>"Fully Loaded" - Drilling Shift</c:v>
                </c:pt>
                <c:pt idx="1">
                  <c:v>"Un-loaded" - Off Shift</c:v>
                </c:pt>
              </c:strCache>
            </c:strRef>
          </c:cat>
          <c:val>
            <c:numRef>
              <c:f>'Working Master '!$W$190:$W$191</c:f>
              <c:numCache>
                <c:formatCode>"R"\ #,##0</c:formatCode>
                <c:ptCount val="2"/>
                <c:pt idx="0">
                  <c:v>342000</c:v>
                </c:pt>
                <c:pt idx="1">
                  <c:v>2188800.0000000005</c:v>
                </c:pt>
              </c:numCache>
            </c:numRef>
          </c:val>
        </c:ser>
        <c:ser>
          <c:idx val="0"/>
          <c:order val="3"/>
          <c:tx>
            <c:strRef>
              <c:f>'Working Master '!$X$188:$X$189</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rot="-5400000" vert="horz"/>
              <a:lstStyle/>
              <a:p>
                <a:pPr algn="ctr">
                  <a:defRPr sz="975" b="1" i="0" u="none" strike="noStrike" baseline="0">
                    <a:solidFill>
                      <a:srgbClr val="000000"/>
                    </a:solidFill>
                    <a:latin typeface="Arial"/>
                    <a:ea typeface="Arial"/>
                    <a:cs typeface="Arial"/>
                  </a:defRPr>
                </a:pPr>
                <a:endParaRPr lang="en-US"/>
              </a:p>
            </c:txPr>
            <c:dLblPos val="outEnd"/>
            <c:showVal val="1"/>
          </c:dLbls>
          <c:cat>
            <c:strRef>
              <c:f>'Working Master '!$R$190:$T$191</c:f>
              <c:strCache>
                <c:ptCount val="2"/>
                <c:pt idx="0">
                  <c:v>"Fully Loaded" - Drilling Shift</c:v>
                </c:pt>
                <c:pt idx="1">
                  <c:v>"Un-loaded" - Off Shift</c:v>
                </c:pt>
              </c:strCache>
            </c:strRef>
          </c:cat>
          <c:val>
            <c:numRef>
              <c:f>'Working Master '!$X$190:$X$191</c:f>
              <c:numCache>
                <c:formatCode>"R"\ #,##0</c:formatCode>
                <c:ptCount val="2"/>
                <c:pt idx="0">
                  <c:v>280928.57142857142</c:v>
                </c:pt>
                <c:pt idx="1">
                  <c:v>2219335.7142857146</c:v>
                </c:pt>
              </c:numCache>
            </c:numRef>
          </c:val>
        </c:ser>
        <c:axId val="128287104"/>
        <c:axId val="128288640"/>
      </c:barChart>
      <c:catAx>
        <c:axId val="128287104"/>
        <c:scaling>
          <c:orientation val="minMax"/>
        </c:scaling>
        <c:axPos val="b"/>
        <c:numFmt formatCode="General" sourceLinked="1"/>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n-US"/>
          </a:p>
        </c:txPr>
        <c:crossAx val="128288640"/>
        <c:crosses val="autoZero"/>
        <c:auto val="1"/>
        <c:lblAlgn val="ctr"/>
        <c:lblOffset val="100"/>
        <c:tickLblSkip val="1"/>
        <c:tickMarkSkip val="1"/>
      </c:catAx>
      <c:valAx>
        <c:axId val="128288640"/>
        <c:scaling>
          <c:orientation val="minMax"/>
        </c:scaling>
        <c:axPos val="l"/>
        <c:majorGridlines>
          <c:spPr>
            <a:ln w="3175">
              <a:solidFill>
                <a:srgbClr val="000000"/>
              </a:solidFill>
              <a:prstDash val="solid"/>
            </a:ln>
          </c:spPr>
        </c:majorGridlines>
        <c:numFmt formatCode="&quot;R&quot;\ #,##0" sourceLinked="1"/>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n-US"/>
          </a:p>
        </c:txPr>
        <c:crossAx val="128287104"/>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6829296744411013"/>
          <c:y val="0.89869555521246114"/>
          <c:w val="0.84281942399476495"/>
          <c:h val="0.97712727085584883"/>
        </c:manualLayout>
      </c:layout>
      <c:spPr>
        <a:solidFill>
          <a:srgbClr val="FFFFFF"/>
        </a:solidFill>
        <a:ln w="3175">
          <a:solidFill>
            <a:srgbClr val="000000"/>
          </a:solidFill>
          <a:prstDash val="solid"/>
        </a:ln>
      </c:spPr>
      <c:txPr>
        <a:bodyPr/>
        <a:lstStyle/>
        <a:p>
          <a:pPr>
            <a:defRPr sz="89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975"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75" b="1" i="0" u="none" strike="noStrike" baseline="0">
                <a:solidFill>
                  <a:srgbClr val="000000"/>
                </a:solidFill>
                <a:latin typeface="Arial"/>
                <a:ea typeface="Arial"/>
                <a:cs typeface="Arial"/>
              </a:defRPr>
            </a:pPr>
            <a:r>
              <a:t>Total Energy Cost per Annum</a:t>
            </a:r>
          </a:p>
        </c:rich>
      </c:tx>
      <c:layout>
        <c:manualLayout>
          <c:xMode val="edge"/>
          <c:yMode val="edge"/>
          <c:x val="0.37262915306318417"/>
          <c:y val="3.5947712418300651E-2"/>
        </c:manualLayout>
      </c:layout>
      <c:spPr>
        <a:noFill/>
        <a:ln w="25400">
          <a:noFill/>
        </a:ln>
      </c:spPr>
    </c:title>
    <c:plotArea>
      <c:layout>
        <c:manualLayout>
          <c:layoutTarget val="inner"/>
          <c:xMode val="edge"/>
          <c:yMode val="edge"/>
          <c:x val="0.14092159568935744"/>
          <c:y val="0.19934704142106255"/>
          <c:w val="0.84010951276347701"/>
          <c:h val="0.62745298283350837"/>
        </c:manualLayout>
      </c:layout>
      <c:barChart>
        <c:barDir val="col"/>
        <c:grouping val="clustered"/>
        <c:ser>
          <c:idx val="3"/>
          <c:order val="0"/>
          <c:tx>
            <c:strRef>
              <c:f>'Working Master '!$U$198:$U$199</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975" b="1" i="0" u="none" strike="noStrike" baseline="0">
                    <a:solidFill>
                      <a:srgbClr val="000000"/>
                    </a:solidFill>
                    <a:latin typeface="Arial"/>
                    <a:ea typeface="Arial"/>
                    <a:cs typeface="Arial"/>
                  </a:defRPr>
                </a:pPr>
                <a:endParaRPr lang="en-US"/>
              </a:p>
            </c:txPr>
            <c:showVal val="1"/>
          </c:dLbls>
          <c:val>
            <c:numRef>
              <c:f>'Working Master '!$U$202</c:f>
              <c:numCache>
                <c:formatCode>"R"\ #,##0</c:formatCode>
                <c:ptCount val="1"/>
                <c:pt idx="0">
                  <c:v>58291.200000000004</c:v>
                </c:pt>
              </c:numCache>
            </c:numRef>
          </c:val>
        </c:ser>
        <c:ser>
          <c:idx val="1"/>
          <c:order val="1"/>
          <c:tx>
            <c:strRef>
              <c:f>'Working Master '!$V$198:$V$199</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975" b="1" i="0" u="none" strike="noStrike" baseline="0">
                    <a:solidFill>
                      <a:srgbClr val="000000"/>
                    </a:solidFill>
                    <a:latin typeface="Arial"/>
                    <a:ea typeface="Arial"/>
                    <a:cs typeface="Arial"/>
                  </a:defRPr>
                </a:pPr>
                <a:endParaRPr lang="en-US"/>
              </a:p>
            </c:txPr>
            <c:showVal val="1"/>
          </c:dLbls>
          <c:val>
            <c:numRef>
              <c:f>'Working Master '!$V$202</c:f>
              <c:numCache>
                <c:formatCode>"R"\ #,##0</c:formatCode>
                <c:ptCount val="1"/>
                <c:pt idx="0">
                  <c:v>30677400.000000007</c:v>
                </c:pt>
              </c:numCache>
            </c:numRef>
          </c:val>
        </c:ser>
        <c:ser>
          <c:idx val="2"/>
          <c:order val="2"/>
          <c:tx>
            <c:strRef>
              <c:f>'Working Master '!$W$198:$W$199</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975" b="1" i="0" u="none" strike="noStrike" baseline="0">
                    <a:solidFill>
                      <a:srgbClr val="000000"/>
                    </a:solidFill>
                    <a:latin typeface="Arial"/>
                    <a:ea typeface="Arial"/>
                    <a:cs typeface="Arial"/>
                  </a:defRPr>
                </a:pPr>
                <a:endParaRPr lang="en-US"/>
              </a:p>
            </c:txPr>
            <c:showVal val="1"/>
          </c:dLbls>
          <c:val>
            <c:numRef>
              <c:f>'Working Master '!$W$202</c:f>
              <c:numCache>
                <c:formatCode>"R"\ #,##0</c:formatCode>
                <c:ptCount val="1"/>
                <c:pt idx="0">
                  <c:v>30369600.000000007</c:v>
                </c:pt>
              </c:numCache>
            </c:numRef>
          </c:val>
        </c:ser>
        <c:ser>
          <c:idx val="0"/>
          <c:order val="3"/>
          <c:tx>
            <c:strRef>
              <c:f>'Working Master '!$X$198:$X$199</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975" b="1" i="0" u="none" strike="noStrike" baseline="0">
                    <a:solidFill>
                      <a:srgbClr val="000000"/>
                    </a:solidFill>
                    <a:latin typeface="Arial"/>
                    <a:ea typeface="Arial"/>
                    <a:cs typeface="Arial"/>
                  </a:defRPr>
                </a:pPr>
                <a:endParaRPr lang="en-US"/>
              </a:p>
            </c:txPr>
            <c:showVal val="1"/>
          </c:dLbls>
          <c:val>
            <c:numRef>
              <c:f>'Working Master '!$X$202</c:f>
              <c:numCache>
                <c:formatCode>"R"\ #,##0</c:formatCode>
                <c:ptCount val="1"/>
                <c:pt idx="0">
                  <c:v>30003171.428571433</c:v>
                </c:pt>
              </c:numCache>
            </c:numRef>
          </c:val>
        </c:ser>
        <c:axId val="128321024"/>
        <c:axId val="128322560"/>
      </c:barChart>
      <c:catAx>
        <c:axId val="128321024"/>
        <c:scaling>
          <c:orientation val="minMax"/>
        </c:scaling>
        <c:delete val="1"/>
        <c:axPos val="b"/>
        <c:tickLblPos val="nextTo"/>
        <c:crossAx val="128322560"/>
        <c:crosses val="autoZero"/>
        <c:auto val="1"/>
        <c:lblAlgn val="ctr"/>
        <c:lblOffset val="100"/>
      </c:catAx>
      <c:valAx>
        <c:axId val="128322560"/>
        <c:scaling>
          <c:orientation val="minMax"/>
        </c:scaling>
        <c:axPos val="l"/>
        <c:majorGridlines>
          <c:spPr>
            <a:ln w="3175">
              <a:solidFill>
                <a:srgbClr val="000000"/>
              </a:solidFill>
              <a:prstDash val="solid"/>
            </a:ln>
          </c:spPr>
        </c:majorGridlines>
        <c:numFmt formatCode="&quot;R&quot;\ #,##0" sourceLinked="1"/>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n-US"/>
          </a:p>
        </c:txPr>
        <c:crossAx val="128321024"/>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7371316390329253"/>
          <c:y val="0.89869555521246114"/>
          <c:w val="0.8482396204539473"/>
          <c:h val="0.97712727085584883"/>
        </c:manualLayout>
      </c:layout>
      <c:spPr>
        <a:solidFill>
          <a:srgbClr val="FFFFFF"/>
        </a:solidFill>
        <a:ln w="3175">
          <a:solidFill>
            <a:srgbClr val="000000"/>
          </a:solidFill>
          <a:prstDash val="solid"/>
        </a:ln>
      </c:spPr>
      <c:txPr>
        <a:bodyPr/>
        <a:lstStyle/>
        <a:p>
          <a:pPr>
            <a:defRPr sz="89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975"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75" b="1" i="0" u="none" strike="noStrike" baseline="0">
                <a:solidFill>
                  <a:srgbClr val="000000"/>
                </a:solidFill>
                <a:latin typeface="Arial"/>
                <a:ea typeface="Arial"/>
                <a:cs typeface="Arial"/>
              </a:defRPr>
            </a:pPr>
            <a:r>
              <a:t>Operating Cost per Annum</a:t>
            </a:r>
          </a:p>
        </c:rich>
      </c:tx>
      <c:layout>
        <c:manualLayout>
          <c:xMode val="edge"/>
          <c:yMode val="edge"/>
          <c:x val="0.38346940372290861"/>
          <c:y val="3.5947712418300651E-2"/>
        </c:manualLayout>
      </c:layout>
      <c:spPr>
        <a:noFill/>
        <a:ln w="25400">
          <a:noFill/>
        </a:ln>
      </c:spPr>
    </c:title>
    <c:plotArea>
      <c:layout>
        <c:manualLayout>
          <c:layoutTarget val="inner"/>
          <c:xMode val="edge"/>
          <c:yMode val="edge"/>
          <c:x val="0.14092159568935744"/>
          <c:y val="0.19934704142106255"/>
          <c:w val="0.84010951276347701"/>
          <c:h val="0.62745298283350837"/>
        </c:manualLayout>
      </c:layout>
      <c:barChart>
        <c:barDir val="col"/>
        <c:grouping val="clustered"/>
        <c:ser>
          <c:idx val="3"/>
          <c:order val="0"/>
          <c:tx>
            <c:strRef>
              <c:f>'Working Master '!$V$286:$V$287</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975" b="1" i="0" u="none" strike="noStrike" baseline="0">
                    <a:solidFill>
                      <a:srgbClr val="000000"/>
                    </a:solidFill>
                    <a:latin typeface="Arial"/>
                    <a:ea typeface="Arial"/>
                    <a:cs typeface="Arial"/>
                  </a:defRPr>
                </a:pPr>
                <a:endParaRPr lang="en-US"/>
              </a:p>
            </c:txPr>
            <c:showVal val="1"/>
          </c:dLbls>
          <c:val>
            <c:numRef>
              <c:f>'Working Master '!$V$299</c:f>
              <c:numCache>
                <c:formatCode>"R"\ #,##0</c:formatCode>
                <c:ptCount val="1"/>
                <c:pt idx="0">
                  <c:v>18486093.280000001</c:v>
                </c:pt>
              </c:numCache>
            </c:numRef>
          </c:val>
        </c:ser>
        <c:ser>
          <c:idx val="1"/>
          <c:order val="1"/>
          <c:tx>
            <c:strRef>
              <c:f>'Working Master '!$W$286:$W$287</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975" b="1" i="0" u="none" strike="noStrike" baseline="0">
                    <a:solidFill>
                      <a:srgbClr val="000000"/>
                    </a:solidFill>
                    <a:latin typeface="Arial"/>
                    <a:ea typeface="Arial"/>
                    <a:cs typeface="Arial"/>
                  </a:defRPr>
                </a:pPr>
                <a:endParaRPr lang="en-US"/>
              </a:p>
            </c:txPr>
            <c:showVal val="1"/>
          </c:dLbls>
          <c:val>
            <c:numRef>
              <c:f>'Working Master '!$W$299</c:f>
              <c:numCache>
                <c:formatCode>"R"\ #,##0</c:formatCode>
                <c:ptCount val="1"/>
                <c:pt idx="0">
                  <c:v>12689261.800000001</c:v>
                </c:pt>
              </c:numCache>
            </c:numRef>
          </c:val>
        </c:ser>
        <c:ser>
          <c:idx val="2"/>
          <c:order val="2"/>
          <c:tx>
            <c:strRef>
              <c:f>'Working Master '!$X$286:$X$287</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975" b="1" i="0" u="none" strike="noStrike" baseline="0">
                    <a:solidFill>
                      <a:srgbClr val="000000"/>
                    </a:solidFill>
                    <a:latin typeface="Arial"/>
                    <a:ea typeface="Arial"/>
                    <a:cs typeface="Arial"/>
                  </a:defRPr>
                </a:pPr>
                <a:endParaRPr lang="en-US"/>
              </a:p>
            </c:txPr>
            <c:showVal val="1"/>
          </c:dLbls>
          <c:val>
            <c:numRef>
              <c:f>'Working Master '!$X$299</c:f>
              <c:numCache>
                <c:formatCode>"R"\ #,##0</c:formatCode>
                <c:ptCount val="1"/>
                <c:pt idx="0">
                  <c:v>11096641.800000001</c:v>
                </c:pt>
              </c:numCache>
            </c:numRef>
          </c:val>
        </c:ser>
        <c:ser>
          <c:idx val="0"/>
          <c:order val="3"/>
          <c:tx>
            <c:strRef>
              <c:f>'Working Master '!$Y$286:$Y$287</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975" b="1" i="0" u="none" strike="noStrike" baseline="0">
                    <a:solidFill>
                      <a:srgbClr val="000000"/>
                    </a:solidFill>
                    <a:latin typeface="Arial"/>
                    <a:ea typeface="Arial"/>
                    <a:cs typeface="Arial"/>
                  </a:defRPr>
                </a:pPr>
                <a:endParaRPr lang="en-US"/>
              </a:p>
            </c:txPr>
            <c:showVal val="1"/>
          </c:dLbls>
          <c:val>
            <c:numRef>
              <c:f>'Working Master '!$Y$299</c:f>
              <c:numCache>
                <c:formatCode>"R"\ #,##0</c:formatCode>
                <c:ptCount val="1"/>
                <c:pt idx="0">
                  <c:v>12033145.72857143</c:v>
                </c:pt>
              </c:numCache>
            </c:numRef>
          </c:val>
        </c:ser>
        <c:axId val="128387712"/>
        <c:axId val="128405888"/>
      </c:barChart>
      <c:catAx>
        <c:axId val="128387712"/>
        <c:scaling>
          <c:orientation val="minMax"/>
        </c:scaling>
        <c:delete val="1"/>
        <c:axPos val="b"/>
        <c:tickLblPos val="nextTo"/>
        <c:crossAx val="128405888"/>
        <c:crosses val="autoZero"/>
        <c:auto val="1"/>
        <c:lblAlgn val="ctr"/>
        <c:lblOffset val="100"/>
      </c:catAx>
      <c:valAx>
        <c:axId val="128405888"/>
        <c:scaling>
          <c:orientation val="minMax"/>
        </c:scaling>
        <c:axPos val="l"/>
        <c:majorGridlines>
          <c:spPr>
            <a:ln w="3175">
              <a:solidFill>
                <a:srgbClr val="000000"/>
              </a:solidFill>
              <a:prstDash val="solid"/>
            </a:ln>
          </c:spPr>
        </c:majorGridlines>
        <c:numFmt formatCode="&quot;R&quot;\ #,##0" sourceLinked="1"/>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n-US"/>
          </a:p>
        </c:txPr>
        <c:crossAx val="128387712"/>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7371316390329253"/>
          <c:y val="0.89869555521246114"/>
          <c:w val="0.8482396204539473"/>
          <c:h val="0.97712727085584883"/>
        </c:manualLayout>
      </c:layout>
      <c:spPr>
        <a:solidFill>
          <a:srgbClr val="FFFFFF"/>
        </a:solidFill>
        <a:ln w="3175">
          <a:solidFill>
            <a:srgbClr val="000000"/>
          </a:solidFill>
          <a:prstDash val="solid"/>
        </a:ln>
      </c:spPr>
      <c:txPr>
        <a:bodyPr/>
        <a:lstStyle/>
        <a:p>
          <a:pPr>
            <a:defRPr sz="89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975"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1" i="0" u="none" strike="noStrike" baseline="0">
                <a:solidFill>
                  <a:srgbClr val="000000"/>
                </a:solidFill>
                <a:latin typeface="Arial"/>
                <a:ea typeface="Arial"/>
                <a:cs typeface="Arial"/>
              </a:defRPr>
            </a:pPr>
            <a:r>
              <a:t>Equivalent Daily Exposure Level - Exposed to Single Rock Drill SPL</a:t>
            </a:r>
          </a:p>
        </c:rich>
      </c:tx>
      <c:layout>
        <c:manualLayout>
          <c:xMode val="edge"/>
          <c:yMode val="edge"/>
          <c:x val="0.21341476217911784"/>
          <c:y val="3.2085561497326207E-2"/>
        </c:manualLayout>
      </c:layout>
      <c:spPr>
        <a:noFill/>
        <a:ln w="25400">
          <a:noFill/>
        </a:ln>
      </c:spPr>
    </c:title>
    <c:plotArea>
      <c:layout>
        <c:manualLayout>
          <c:layoutTarget val="inner"/>
          <c:xMode val="edge"/>
          <c:yMode val="edge"/>
          <c:x val="0.10731713707432419"/>
          <c:y val="0.17647058823529413"/>
          <c:w val="0.87561027749278142"/>
          <c:h val="0.62299465240641716"/>
        </c:manualLayout>
      </c:layout>
      <c:barChart>
        <c:barDir val="col"/>
        <c:grouping val="clustered"/>
        <c:ser>
          <c:idx val="3"/>
          <c:order val="0"/>
          <c:tx>
            <c:strRef>
              <c:f>'Laeq - Single RD'!$U$83:$U$84</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cat>
            <c:strRef>
              <c:f>'Laeq - Single RD'!$R$85:$T$86</c:f>
              <c:strCache>
                <c:ptCount val="2"/>
                <c:pt idx="0">
                  <c:v>No HPD</c:v>
                </c:pt>
                <c:pt idx="1">
                  <c:v>With HPD</c:v>
                </c:pt>
              </c:strCache>
            </c:strRef>
          </c:cat>
          <c:val>
            <c:numRef>
              <c:f>'Laeq - Single RD'!$U$85:$U$86</c:f>
              <c:numCache>
                <c:formatCode>0.0</c:formatCode>
                <c:ptCount val="2"/>
                <c:pt idx="0">
                  <c:v>97.15</c:v>
                </c:pt>
                <c:pt idx="1">
                  <c:v>84.15</c:v>
                </c:pt>
              </c:numCache>
            </c:numRef>
          </c:val>
        </c:ser>
        <c:ser>
          <c:idx val="1"/>
          <c:order val="1"/>
          <c:tx>
            <c:strRef>
              <c:f>'Laeq - Single RD'!$V$83:$V$84</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cat>
            <c:strRef>
              <c:f>'Laeq - Single RD'!$R$85:$T$86</c:f>
              <c:strCache>
                <c:ptCount val="2"/>
                <c:pt idx="0">
                  <c:v>No HPD</c:v>
                </c:pt>
                <c:pt idx="1">
                  <c:v>With HPD</c:v>
                </c:pt>
              </c:strCache>
            </c:strRef>
          </c:cat>
          <c:val>
            <c:numRef>
              <c:f>'Laeq - Single RD'!$V$85:$V$86</c:f>
              <c:numCache>
                <c:formatCode>0.0</c:formatCode>
                <c:ptCount val="2"/>
                <c:pt idx="0">
                  <c:v>103.15</c:v>
                </c:pt>
                <c:pt idx="1">
                  <c:v>90.15</c:v>
                </c:pt>
              </c:numCache>
            </c:numRef>
          </c:val>
        </c:ser>
        <c:ser>
          <c:idx val="2"/>
          <c:order val="2"/>
          <c:tx>
            <c:strRef>
              <c:f>'Laeq - Single RD'!$W$83:$W$84</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cat>
            <c:strRef>
              <c:f>'Laeq - Single RD'!$R$85:$T$86</c:f>
              <c:strCache>
                <c:ptCount val="2"/>
                <c:pt idx="0">
                  <c:v>No HPD</c:v>
                </c:pt>
                <c:pt idx="1">
                  <c:v>With HPD</c:v>
                </c:pt>
              </c:strCache>
            </c:strRef>
          </c:cat>
          <c:val>
            <c:numRef>
              <c:f>'Laeq - Single RD'!$W$85:$W$86</c:f>
              <c:numCache>
                <c:formatCode>0.0</c:formatCode>
                <c:ptCount val="2"/>
                <c:pt idx="0">
                  <c:v>100.95</c:v>
                </c:pt>
                <c:pt idx="1">
                  <c:v>87.95</c:v>
                </c:pt>
              </c:numCache>
            </c:numRef>
          </c:val>
        </c:ser>
        <c:ser>
          <c:idx val="0"/>
          <c:order val="3"/>
          <c:tx>
            <c:strRef>
              <c:f>'Laeq - Single RD'!$X$83:$X$84</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cat>
            <c:strRef>
              <c:f>'Laeq - Single RD'!$R$85:$T$86</c:f>
              <c:strCache>
                <c:ptCount val="2"/>
                <c:pt idx="0">
                  <c:v>No HPD</c:v>
                </c:pt>
                <c:pt idx="1">
                  <c:v>With HPD</c:v>
                </c:pt>
              </c:strCache>
            </c:strRef>
          </c:cat>
          <c:val>
            <c:numRef>
              <c:f>'Laeq - Single RD'!$X$85:$X$86</c:f>
              <c:numCache>
                <c:formatCode>0.0</c:formatCode>
                <c:ptCount val="2"/>
                <c:pt idx="0">
                  <c:v>105.45</c:v>
                </c:pt>
                <c:pt idx="1">
                  <c:v>92.4</c:v>
                </c:pt>
              </c:numCache>
            </c:numRef>
          </c:val>
        </c:ser>
        <c:axId val="126248064"/>
        <c:axId val="126249984"/>
      </c:barChart>
      <c:lineChart>
        <c:grouping val="standard"/>
        <c:ser>
          <c:idx val="4"/>
          <c:order val="4"/>
          <c:tx>
            <c:strRef>
              <c:f>'Laeq - Single RD'!$R$87:$T$87</c:f>
              <c:strCache>
                <c:ptCount val="1"/>
                <c:pt idx="0">
                  <c:v>Standard</c:v>
                </c:pt>
              </c:strCache>
            </c:strRef>
          </c:tx>
          <c:spPr>
            <a:ln w="25400">
              <a:solidFill>
                <a:srgbClr val="000000"/>
              </a:solidFill>
              <a:prstDash val="solid"/>
            </a:ln>
          </c:spPr>
          <c:marker>
            <c:symbol val="star"/>
            <c:size val="5"/>
            <c:spPr>
              <a:noFill/>
              <a:ln>
                <a:solidFill>
                  <a:srgbClr val="000000"/>
                </a:solidFill>
                <a:prstDash val="solid"/>
              </a:ln>
            </c:spPr>
          </c:marker>
          <c:cat>
            <c:strRef>
              <c:f>'Laeq - Single RD'!$R$85:$T$86</c:f>
              <c:strCache>
                <c:ptCount val="2"/>
                <c:pt idx="0">
                  <c:v>No HPD</c:v>
                </c:pt>
                <c:pt idx="1">
                  <c:v>With HPD</c:v>
                </c:pt>
              </c:strCache>
            </c:strRef>
          </c:cat>
          <c:val>
            <c:numRef>
              <c:f>'Laeq - Single RD'!$U$94:$V$94</c:f>
              <c:numCache>
                <c:formatCode>0.0</c:formatCode>
                <c:ptCount val="2"/>
                <c:pt idx="0">
                  <c:v>85</c:v>
                </c:pt>
                <c:pt idx="1">
                  <c:v>85</c:v>
                </c:pt>
              </c:numCache>
            </c:numRef>
          </c:val>
        </c:ser>
        <c:marker val="1"/>
        <c:axId val="126248064"/>
        <c:axId val="126249984"/>
      </c:lineChart>
      <c:catAx>
        <c:axId val="126248064"/>
        <c:scaling>
          <c:orientation val="minMax"/>
        </c:scaling>
        <c:axPos val="b"/>
        <c:numFmt formatCode="General"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26249984"/>
        <c:crosses val="autoZero"/>
        <c:auto val="1"/>
        <c:lblAlgn val="ctr"/>
        <c:lblOffset val="100"/>
        <c:tickLblSkip val="1"/>
        <c:tickMarkSkip val="1"/>
      </c:catAx>
      <c:valAx>
        <c:axId val="126249984"/>
        <c:scaling>
          <c:orientation val="minMax"/>
          <c:max val="110"/>
          <c:min val="70"/>
        </c:scaling>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t>dBA</a:t>
                </a:r>
              </a:p>
            </c:rich>
          </c:tx>
          <c:layout>
            <c:manualLayout>
              <c:xMode val="edge"/>
              <c:yMode val="edge"/>
              <c:x val="1.9512195121951219E-2"/>
              <c:y val="0.44385026737967914"/>
            </c:manualLayout>
          </c:layout>
          <c:spPr>
            <a:noFill/>
            <a:ln w="25400">
              <a:noFill/>
            </a:ln>
          </c:spPr>
        </c:title>
        <c:numFmt formatCode="0.0"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26248064"/>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15731720120350809"/>
          <c:y val="0.91443850267379678"/>
          <c:w val="0.93292746943217464"/>
          <c:h val="0.98128342245989308"/>
        </c:manualLayout>
      </c:layout>
      <c:spPr>
        <a:solidFill>
          <a:srgbClr val="FFFFFF"/>
        </a:solidFill>
        <a:ln w="3175">
          <a:solidFill>
            <a:srgbClr val="000000"/>
          </a:solidFill>
          <a:prstDash val="solid"/>
        </a:ln>
      </c:spPr>
      <c:txPr>
        <a:bodyPr/>
        <a:lstStyle/>
        <a:p>
          <a:pPr>
            <a:defRPr sz="96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1" i="0" u="none" strike="noStrike" baseline="0">
                <a:solidFill>
                  <a:srgbClr val="000000"/>
                </a:solidFill>
                <a:latin typeface="Arial"/>
                <a:ea typeface="Arial"/>
                <a:cs typeface="Arial"/>
              </a:defRPr>
            </a:pPr>
            <a:r>
              <a:t>Equivalent Daily Exposure Level - Exposed to Multiple Rock Drill SPL</a:t>
            </a:r>
          </a:p>
        </c:rich>
      </c:tx>
      <c:layout>
        <c:manualLayout>
          <c:xMode val="edge"/>
          <c:yMode val="edge"/>
          <c:x val="0.2048781768132642"/>
          <c:y val="3.2085561497326207E-2"/>
        </c:manualLayout>
      </c:layout>
      <c:spPr>
        <a:noFill/>
        <a:ln w="25400">
          <a:noFill/>
        </a:ln>
      </c:spPr>
    </c:title>
    <c:plotArea>
      <c:layout>
        <c:manualLayout>
          <c:layoutTarget val="inner"/>
          <c:xMode val="edge"/>
          <c:yMode val="edge"/>
          <c:x val="0.10731713707432419"/>
          <c:y val="0.17647058823529413"/>
          <c:w val="0.87561027749278142"/>
          <c:h val="0.62299465240641716"/>
        </c:manualLayout>
      </c:layout>
      <c:barChart>
        <c:barDir val="col"/>
        <c:grouping val="clustered"/>
        <c:ser>
          <c:idx val="3"/>
          <c:order val="0"/>
          <c:tx>
            <c:strRef>
              <c:f>'Laeq - Multiple RD'!$U$90:$U$91</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cat>
            <c:strRef>
              <c:f>'Laeq - Multiple RD'!$R$92:$T$93</c:f>
              <c:strCache>
                <c:ptCount val="2"/>
                <c:pt idx="0">
                  <c:v>No HPD</c:v>
                </c:pt>
                <c:pt idx="1">
                  <c:v>With HPD</c:v>
                </c:pt>
              </c:strCache>
            </c:strRef>
          </c:cat>
          <c:val>
            <c:numRef>
              <c:f>'Laeq - Multiple RD'!$U$92:$U$93</c:f>
              <c:numCache>
                <c:formatCode>0.0</c:formatCode>
                <c:ptCount val="2"/>
                <c:pt idx="0">
                  <c:v>103.15</c:v>
                </c:pt>
                <c:pt idx="1">
                  <c:v>90.15</c:v>
                </c:pt>
              </c:numCache>
            </c:numRef>
          </c:val>
        </c:ser>
        <c:ser>
          <c:idx val="1"/>
          <c:order val="1"/>
          <c:tx>
            <c:strRef>
              <c:f>'Laeq - Multiple RD'!$V$90:$V$91</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cat>
            <c:strRef>
              <c:f>'Laeq - Multiple RD'!$R$92:$T$93</c:f>
              <c:strCache>
                <c:ptCount val="2"/>
                <c:pt idx="0">
                  <c:v>No HPD</c:v>
                </c:pt>
                <c:pt idx="1">
                  <c:v>With HPD</c:v>
                </c:pt>
              </c:strCache>
            </c:strRef>
          </c:cat>
          <c:val>
            <c:numRef>
              <c:f>'Laeq - Multiple RD'!$V$92:$V$93</c:f>
              <c:numCache>
                <c:formatCode>0.0</c:formatCode>
                <c:ptCount val="2"/>
                <c:pt idx="0">
                  <c:v>107.95</c:v>
                </c:pt>
                <c:pt idx="1">
                  <c:v>94.95</c:v>
                </c:pt>
              </c:numCache>
            </c:numRef>
          </c:val>
        </c:ser>
        <c:ser>
          <c:idx val="2"/>
          <c:order val="2"/>
          <c:tx>
            <c:strRef>
              <c:f>'Laeq - Multiple RD'!$W$90:$W$91</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cat>
            <c:strRef>
              <c:f>'Laeq - Multiple RD'!$R$92:$T$93</c:f>
              <c:strCache>
                <c:ptCount val="2"/>
                <c:pt idx="0">
                  <c:v>No HPD</c:v>
                </c:pt>
                <c:pt idx="1">
                  <c:v>With HPD</c:v>
                </c:pt>
              </c:strCache>
            </c:strRef>
          </c:cat>
          <c:val>
            <c:numRef>
              <c:f>'Laeq - Multiple RD'!$W$92:$W$93</c:f>
              <c:numCache>
                <c:formatCode>0.0</c:formatCode>
                <c:ptCount val="2"/>
                <c:pt idx="0">
                  <c:v>108.4</c:v>
                </c:pt>
                <c:pt idx="1">
                  <c:v>95.3</c:v>
                </c:pt>
              </c:numCache>
            </c:numRef>
          </c:val>
        </c:ser>
        <c:ser>
          <c:idx val="0"/>
          <c:order val="3"/>
          <c:tx>
            <c:strRef>
              <c:f>'Laeq - Multiple RD'!$X$90:$X$91</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cat>
            <c:strRef>
              <c:f>'Laeq - Multiple RD'!$R$92:$T$93</c:f>
              <c:strCache>
                <c:ptCount val="2"/>
                <c:pt idx="0">
                  <c:v>No HPD</c:v>
                </c:pt>
                <c:pt idx="1">
                  <c:v>With HPD</c:v>
                </c:pt>
              </c:strCache>
            </c:strRef>
          </c:cat>
          <c:val>
            <c:numRef>
              <c:f>'Laeq - Multiple RD'!$X$92:$X$93</c:f>
              <c:numCache>
                <c:formatCode>0.0</c:formatCode>
                <c:ptCount val="2"/>
                <c:pt idx="0">
                  <c:v>113.95</c:v>
                </c:pt>
                <c:pt idx="1">
                  <c:v>101.55</c:v>
                </c:pt>
              </c:numCache>
            </c:numRef>
          </c:val>
        </c:ser>
        <c:axId val="123532800"/>
        <c:axId val="123534720"/>
      </c:barChart>
      <c:lineChart>
        <c:grouping val="standard"/>
        <c:ser>
          <c:idx val="4"/>
          <c:order val="4"/>
          <c:tx>
            <c:strRef>
              <c:f>'Laeq - Multiple RD'!$R$94:$T$94</c:f>
              <c:strCache>
                <c:ptCount val="1"/>
                <c:pt idx="0">
                  <c:v>Standard</c:v>
                </c:pt>
              </c:strCache>
            </c:strRef>
          </c:tx>
          <c:spPr>
            <a:ln w="25400">
              <a:solidFill>
                <a:srgbClr val="000000"/>
              </a:solidFill>
              <a:prstDash val="solid"/>
            </a:ln>
          </c:spPr>
          <c:marker>
            <c:symbol val="star"/>
            <c:size val="5"/>
            <c:spPr>
              <a:noFill/>
              <a:ln>
                <a:solidFill>
                  <a:srgbClr val="000000"/>
                </a:solidFill>
                <a:prstDash val="solid"/>
              </a:ln>
            </c:spPr>
          </c:marker>
          <c:cat>
            <c:strRef>
              <c:f>'Laeq - Multiple RD'!$R$92:$T$93</c:f>
              <c:strCache>
                <c:ptCount val="2"/>
                <c:pt idx="0">
                  <c:v>No HPD</c:v>
                </c:pt>
                <c:pt idx="1">
                  <c:v>With HPD</c:v>
                </c:pt>
              </c:strCache>
            </c:strRef>
          </c:cat>
          <c:val>
            <c:numRef>
              <c:f>'Laeq - Multiple RD'!$U$94:$V$94</c:f>
              <c:numCache>
                <c:formatCode>0.0</c:formatCode>
                <c:ptCount val="2"/>
                <c:pt idx="0">
                  <c:v>85</c:v>
                </c:pt>
                <c:pt idx="1">
                  <c:v>85</c:v>
                </c:pt>
              </c:numCache>
            </c:numRef>
          </c:val>
        </c:ser>
        <c:marker val="1"/>
        <c:axId val="123532800"/>
        <c:axId val="123534720"/>
      </c:lineChart>
      <c:catAx>
        <c:axId val="123532800"/>
        <c:scaling>
          <c:orientation val="minMax"/>
        </c:scaling>
        <c:axPos val="b"/>
        <c:numFmt formatCode="General"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23534720"/>
        <c:crosses val="autoZero"/>
        <c:auto val="1"/>
        <c:lblAlgn val="ctr"/>
        <c:lblOffset val="100"/>
        <c:tickLblSkip val="1"/>
        <c:tickMarkSkip val="1"/>
      </c:catAx>
      <c:valAx>
        <c:axId val="123534720"/>
        <c:scaling>
          <c:orientation val="minMax"/>
          <c:max val="115"/>
          <c:min val="75"/>
        </c:scaling>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t>dBA</a:t>
                </a:r>
              </a:p>
            </c:rich>
          </c:tx>
          <c:layout>
            <c:manualLayout>
              <c:xMode val="edge"/>
              <c:yMode val="edge"/>
              <c:x val="1.9512195121951219E-2"/>
              <c:y val="0.44385026737967914"/>
            </c:manualLayout>
          </c:layout>
          <c:spPr>
            <a:noFill/>
            <a:ln w="25400">
              <a:noFill/>
            </a:ln>
          </c:spPr>
        </c:title>
        <c:numFmt formatCode="0.0"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23532800"/>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15731720120350809"/>
          <c:y val="0.91443850267379678"/>
          <c:w val="0.93292746943217464"/>
          <c:h val="0.98128342245989308"/>
        </c:manualLayout>
      </c:layout>
      <c:spPr>
        <a:solidFill>
          <a:srgbClr val="FFFFFF"/>
        </a:solidFill>
        <a:ln w="3175">
          <a:solidFill>
            <a:srgbClr val="000000"/>
          </a:solidFill>
          <a:prstDash val="solid"/>
        </a:ln>
      </c:spPr>
      <c:txPr>
        <a:bodyPr/>
        <a:lstStyle/>
        <a:p>
          <a:pPr>
            <a:defRPr sz="96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1" i="0" u="none" strike="noStrike" baseline="0">
                <a:solidFill>
                  <a:srgbClr val="000000"/>
                </a:solidFill>
                <a:latin typeface="Arial"/>
                <a:ea typeface="Arial"/>
                <a:cs typeface="Arial"/>
              </a:defRPr>
            </a:pPr>
            <a:r>
              <a:t>Maximum Allowable Exposure Time - Exposed to Single Rock Drill SPL</a:t>
            </a:r>
          </a:p>
        </c:rich>
      </c:tx>
      <c:layout>
        <c:manualLayout>
          <c:xMode val="edge"/>
          <c:yMode val="edge"/>
          <c:x val="0.20121964022789834"/>
          <c:y val="3.2085561497326207E-2"/>
        </c:manualLayout>
      </c:layout>
      <c:spPr>
        <a:noFill/>
        <a:ln w="25400">
          <a:noFill/>
        </a:ln>
      </c:spPr>
    </c:title>
    <c:plotArea>
      <c:layout>
        <c:manualLayout>
          <c:layoutTarget val="inner"/>
          <c:xMode val="edge"/>
          <c:yMode val="edge"/>
          <c:x val="9.7561033703931085E-2"/>
          <c:y val="0.17647058823529413"/>
          <c:w val="0.88536638086317454"/>
          <c:h val="0.62299465240641716"/>
        </c:manualLayout>
      </c:layout>
      <c:barChart>
        <c:barDir val="col"/>
        <c:grouping val="clustered"/>
        <c:ser>
          <c:idx val="3"/>
          <c:order val="0"/>
          <c:tx>
            <c:strRef>
              <c:f>'Exp Time - Single RD'!$U$112:$U$113</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cat>
            <c:strRef>
              <c:f>'Exp Time - Single RD'!$R$114:$T$115</c:f>
              <c:strCache>
                <c:ptCount val="2"/>
                <c:pt idx="0">
                  <c:v>No HPD</c:v>
                </c:pt>
                <c:pt idx="1">
                  <c:v>With HPD</c:v>
                </c:pt>
              </c:strCache>
            </c:strRef>
          </c:cat>
          <c:val>
            <c:numRef>
              <c:f>'Exp Time - Single RD'!$U$114:$U$115</c:f>
              <c:numCache>
                <c:formatCode>0.00</c:formatCode>
                <c:ptCount val="2"/>
                <c:pt idx="0">
                  <c:v>0.16666666666666666</c:v>
                </c:pt>
                <c:pt idx="1">
                  <c:v>3.3333333333333335</c:v>
                </c:pt>
              </c:numCache>
            </c:numRef>
          </c:val>
        </c:ser>
        <c:ser>
          <c:idx val="1"/>
          <c:order val="1"/>
          <c:tx>
            <c:strRef>
              <c:f>'Exp Time - Single RD'!$V$112:$V$113</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cat>
            <c:strRef>
              <c:f>'Exp Time - Single RD'!$R$114:$T$115</c:f>
              <c:strCache>
                <c:ptCount val="2"/>
                <c:pt idx="0">
                  <c:v>No HPD</c:v>
                </c:pt>
                <c:pt idx="1">
                  <c:v>With HPD</c:v>
                </c:pt>
              </c:strCache>
            </c:strRef>
          </c:cat>
          <c:val>
            <c:numRef>
              <c:f>'Exp Time - Single RD'!$V$114:$V$115</c:f>
              <c:numCache>
                <c:formatCode>0.00</c:formatCode>
                <c:ptCount val="2"/>
                <c:pt idx="0">
                  <c:v>4.1666666666666664E-2</c:v>
                </c:pt>
                <c:pt idx="1">
                  <c:v>0.83333333333333337</c:v>
                </c:pt>
              </c:numCache>
            </c:numRef>
          </c:val>
        </c:ser>
        <c:ser>
          <c:idx val="2"/>
          <c:order val="2"/>
          <c:tx>
            <c:strRef>
              <c:f>'Exp Time - Single RD'!$W$112:$W$113</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cat>
            <c:strRef>
              <c:f>'Exp Time - Single RD'!$R$114:$T$115</c:f>
              <c:strCache>
                <c:ptCount val="2"/>
                <c:pt idx="0">
                  <c:v>No HPD</c:v>
                </c:pt>
                <c:pt idx="1">
                  <c:v>With HPD</c:v>
                </c:pt>
              </c:strCache>
            </c:strRef>
          </c:cat>
          <c:val>
            <c:numRef>
              <c:f>'Exp Time - Single RD'!$W$114:$W$115</c:f>
              <c:numCache>
                <c:formatCode>0.00</c:formatCode>
                <c:ptCount val="2"/>
                <c:pt idx="0">
                  <c:v>3.125E-2</c:v>
                </c:pt>
                <c:pt idx="1">
                  <c:v>0.66666666666666663</c:v>
                </c:pt>
              </c:numCache>
            </c:numRef>
          </c:val>
        </c:ser>
        <c:ser>
          <c:idx val="0"/>
          <c:order val="3"/>
          <c:tx>
            <c:strRef>
              <c:f>'Exp Time - Single RD'!$X$112:$X$113</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cat>
            <c:strRef>
              <c:f>'Exp Time - Single RD'!$R$114:$T$115</c:f>
              <c:strCache>
                <c:ptCount val="2"/>
                <c:pt idx="0">
                  <c:v>No HPD</c:v>
                </c:pt>
                <c:pt idx="1">
                  <c:v>With HPD</c:v>
                </c:pt>
              </c:strCache>
            </c:strRef>
          </c:cat>
          <c:val>
            <c:numRef>
              <c:f>'Exp Time - Single RD'!$X$114:$X$115</c:f>
              <c:numCache>
                <c:formatCode>0.00</c:formatCode>
                <c:ptCount val="2"/>
                <c:pt idx="0">
                  <c:v>6.5103333333333306E-3</c:v>
                </c:pt>
                <c:pt idx="1">
                  <c:v>0.125</c:v>
                </c:pt>
              </c:numCache>
            </c:numRef>
          </c:val>
        </c:ser>
        <c:axId val="126018304"/>
        <c:axId val="126019840"/>
      </c:barChart>
      <c:catAx>
        <c:axId val="126018304"/>
        <c:scaling>
          <c:orientation val="minMax"/>
        </c:scaling>
        <c:axPos val="b"/>
        <c:numFmt formatCode="General"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26019840"/>
        <c:crosses val="autoZero"/>
        <c:auto val="1"/>
        <c:lblAlgn val="ctr"/>
        <c:lblOffset val="100"/>
        <c:tickLblSkip val="1"/>
        <c:tickMarkSkip val="1"/>
      </c:catAx>
      <c:valAx>
        <c:axId val="126019840"/>
        <c:scaling>
          <c:orientation val="minMax"/>
        </c:scaling>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t>hours</a:t>
                </a:r>
              </a:p>
            </c:rich>
          </c:tx>
          <c:layout>
            <c:manualLayout>
              <c:xMode val="edge"/>
              <c:yMode val="edge"/>
              <c:x val="1.9512195121951219E-2"/>
              <c:y val="0.42780748663101603"/>
            </c:manualLayout>
          </c:layout>
          <c:spPr>
            <a:noFill/>
            <a:ln w="25400">
              <a:noFill/>
            </a:ln>
          </c:spPr>
        </c:title>
        <c:numFmt formatCode="0.00"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26018304"/>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5731720120350809"/>
          <c:y val="0.91443850267379678"/>
          <c:w val="0.82317124383842266"/>
          <c:h val="0.98128342245989308"/>
        </c:manualLayout>
      </c:layout>
      <c:spPr>
        <a:solidFill>
          <a:srgbClr val="FFFFFF"/>
        </a:solidFill>
        <a:ln w="3175">
          <a:solidFill>
            <a:srgbClr val="000000"/>
          </a:solidFill>
          <a:prstDash val="solid"/>
        </a:ln>
      </c:spPr>
      <c:txPr>
        <a:bodyPr/>
        <a:lstStyle/>
        <a:p>
          <a:pPr>
            <a:defRPr sz="96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1" i="0" u="none" strike="noStrike" baseline="0">
                <a:solidFill>
                  <a:srgbClr val="000000"/>
                </a:solidFill>
                <a:latin typeface="Arial"/>
                <a:ea typeface="Arial"/>
                <a:cs typeface="Arial"/>
              </a:defRPr>
            </a:pPr>
            <a:r>
              <a:t>Maximum Allowable Exposure Time - Exposed to Multiple Rock Drills SPL</a:t>
            </a:r>
          </a:p>
        </c:rich>
      </c:tx>
      <c:layout>
        <c:manualLayout>
          <c:xMode val="edge"/>
          <c:yMode val="edge"/>
          <c:x val="0.18902451827667882"/>
          <c:y val="3.2085561497326207E-2"/>
        </c:manualLayout>
      </c:layout>
      <c:spPr>
        <a:noFill/>
        <a:ln w="25400">
          <a:noFill/>
        </a:ln>
      </c:spPr>
    </c:title>
    <c:plotArea>
      <c:layout>
        <c:manualLayout>
          <c:layoutTarget val="inner"/>
          <c:xMode val="edge"/>
          <c:yMode val="edge"/>
          <c:x val="9.7561033703931085E-2"/>
          <c:y val="0.17647058823529413"/>
          <c:w val="0.88536638086317454"/>
          <c:h val="0.62299465240641716"/>
        </c:manualLayout>
      </c:layout>
      <c:barChart>
        <c:barDir val="col"/>
        <c:grouping val="clustered"/>
        <c:ser>
          <c:idx val="3"/>
          <c:order val="0"/>
          <c:tx>
            <c:strRef>
              <c:f>'Exp Time - Multiple RD'!$U$118:$U$119</c:f>
              <c:strCache>
                <c:ptCount val="1"/>
                <c:pt idx="0">
                  <c:v>Hilti TE MD20 </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cat>
            <c:strRef>
              <c:f>'Exp Time - Multiple RD'!$R$120:$T$121</c:f>
              <c:strCache>
                <c:ptCount val="2"/>
                <c:pt idx="0">
                  <c:v>No HPD</c:v>
                </c:pt>
                <c:pt idx="1">
                  <c:v>With HPD</c:v>
                </c:pt>
              </c:strCache>
            </c:strRef>
          </c:cat>
          <c:val>
            <c:numRef>
              <c:f>'Exp Time - Multiple RD'!$U$120:$U$121</c:f>
              <c:numCache>
                <c:formatCode>0.00</c:formatCode>
                <c:ptCount val="2"/>
                <c:pt idx="0">
                  <c:v>4.1666666666666664E-2</c:v>
                </c:pt>
                <c:pt idx="1">
                  <c:v>0.83333333333333337</c:v>
                </c:pt>
              </c:numCache>
            </c:numRef>
          </c:val>
        </c:ser>
        <c:ser>
          <c:idx val="1"/>
          <c:order val="1"/>
          <c:tx>
            <c:strRef>
              <c:f>'Exp Time - Multiple RD'!$V$118:$V$119</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cat>
            <c:strRef>
              <c:f>'Exp Time - Multiple RD'!$R$120:$T$121</c:f>
              <c:strCache>
                <c:ptCount val="2"/>
                <c:pt idx="0">
                  <c:v>No HPD</c:v>
                </c:pt>
                <c:pt idx="1">
                  <c:v>With HPD</c:v>
                </c:pt>
              </c:strCache>
            </c:strRef>
          </c:cat>
          <c:val>
            <c:numRef>
              <c:f>'Exp Time - Multiple RD'!$V$120:$V$121</c:f>
              <c:numCache>
                <c:formatCode>0.00</c:formatCode>
                <c:ptCount val="2"/>
                <c:pt idx="0">
                  <c:v>1.0416666666666666E-2</c:v>
                </c:pt>
                <c:pt idx="1">
                  <c:v>0.20833333333333334</c:v>
                </c:pt>
              </c:numCache>
            </c:numRef>
          </c:val>
        </c:ser>
        <c:ser>
          <c:idx val="2"/>
          <c:order val="2"/>
          <c:tx>
            <c:strRef>
              <c:f>'Exp Time - Multiple RD'!$W$118:$W$119</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cat>
            <c:strRef>
              <c:f>'Exp Time - Multiple RD'!$R$120:$T$121</c:f>
              <c:strCache>
                <c:ptCount val="2"/>
                <c:pt idx="0">
                  <c:v>No HPD</c:v>
                </c:pt>
                <c:pt idx="1">
                  <c:v>With HPD</c:v>
                </c:pt>
              </c:strCache>
            </c:strRef>
          </c:cat>
          <c:val>
            <c:numRef>
              <c:f>'Exp Time - Multiple RD'!$W$120:$W$121</c:f>
              <c:numCache>
                <c:formatCode>0.00</c:formatCode>
                <c:ptCount val="2"/>
                <c:pt idx="0">
                  <c:v>7.8125E-3</c:v>
                </c:pt>
                <c:pt idx="1">
                  <c:v>0.16666666666666666</c:v>
                </c:pt>
              </c:numCache>
            </c:numRef>
          </c:val>
        </c:ser>
        <c:ser>
          <c:idx val="0"/>
          <c:order val="3"/>
          <c:tx>
            <c:strRef>
              <c:f>'Exp Time - Multiple RD'!$X$118:$X$119</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cat>
            <c:strRef>
              <c:f>'Exp Time - Multiple RD'!$R$120:$T$121</c:f>
              <c:strCache>
                <c:ptCount val="2"/>
                <c:pt idx="0">
                  <c:v>No HPD</c:v>
                </c:pt>
                <c:pt idx="1">
                  <c:v>With HPD</c:v>
                </c:pt>
              </c:strCache>
            </c:strRef>
          </c:cat>
          <c:val>
            <c:numRef>
              <c:f>'Exp Time - Multiple RD'!$X$120:$X$121</c:f>
              <c:numCache>
                <c:formatCode>0.00</c:formatCode>
                <c:ptCount val="2"/>
                <c:pt idx="0">
                  <c:v>1.6276041666666667E-3</c:v>
                </c:pt>
                <c:pt idx="1">
                  <c:v>3.125E-2</c:v>
                </c:pt>
              </c:numCache>
            </c:numRef>
          </c:val>
        </c:ser>
        <c:axId val="125950208"/>
        <c:axId val="125956096"/>
      </c:barChart>
      <c:catAx>
        <c:axId val="125950208"/>
        <c:scaling>
          <c:orientation val="minMax"/>
        </c:scaling>
        <c:axPos val="b"/>
        <c:numFmt formatCode="General"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25956096"/>
        <c:crosses val="autoZero"/>
        <c:auto val="1"/>
        <c:lblAlgn val="ctr"/>
        <c:lblOffset val="100"/>
        <c:tickLblSkip val="1"/>
        <c:tickMarkSkip val="1"/>
      </c:catAx>
      <c:valAx>
        <c:axId val="125956096"/>
        <c:scaling>
          <c:orientation val="minMax"/>
        </c:scaling>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t>hours</a:t>
                </a:r>
              </a:p>
            </c:rich>
          </c:tx>
          <c:layout>
            <c:manualLayout>
              <c:xMode val="edge"/>
              <c:yMode val="edge"/>
              <c:x val="1.9512195121951219E-2"/>
              <c:y val="0.42780748663101603"/>
            </c:manualLayout>
          </c:layout>
          <c:spPr>
            <a:noFill/>
            <a:ln w="25400">
              <a:noFill/>
            </a:ln>
          </c:spPr>
        </c:title>
        <c:numFmt formatCode="0.00"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25950208"/>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5731720120350809"/>
          <c:y val="0.91443850267379678"/>
          <c:w val="0.82317124383842266"/>
          <c:h val="0.98128342245989308"/>
        </c:manualLayout>
      </c:layout>
      <c:spPr>
        <a:solidFill>
          <a:srgbClr val="FFFFFF"/>
        </a:solidFill>
        <a:ln w="3175">
          <a:solidFill>
            <a:srgbClr val="000000"/>
          </a:solidFill>
          <a:prstDash val="solid"/>
        </a:ln>
      </c:spPr>
      <c:txPr>
        <a:bodyPr/>
        <a:lstStyle/>
        <a:p>
          <a:pPr>
            <a:defRPr sz="96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1" i="0" u="none" strike="noStrike" baseline="0">
                <a:solidFill>
                  <a:srgbClr val="000000"/>
                </a:solidFill>
                <a:latin typeface="Arial"/>
                <a:ea typeface="Arial"/>
                <a:cs typeface="Arial"/>
              </a:defRPr>
            </a:pPr>
            <a:r>
              <a:t>Ergonomics - Vibration Level</a:t>
            </a:r>
          </a:p>
        </c:rich>
      </c:tx>
      <c:layout>
        <c:manualLayout>
          <c:xMode val="edge"/>
          <c:yMode val="edge"/>
          <c:x val="0.37439049996799179"/>
          <c:y val="3.2085561497326207E-2"/>
        </c:manualLayout>
      </c:layout>
      <c:spPr>
        <a:noFill/>
        <a:ln w="25400">
          <a:noFill/>
        </a:ln>
      </c:spPr>
    </c:title>
    <c:plotArea>
      <c:layout>
        <c:manualLayout>
          <c:layoutTarget val="inner"/>
          <c:xMode val="edge"/>
          <c:yMode val="edge"/>
          <c:x val="9.7561033703931085E-2"/>
          <c:y val="0.17647058823529413"/>
          <c:w val="0.88536638086317454"/>
          <c:h val="0.67647058823529416"/>
        </c:manualLayout>
      </c:layout>
      <c:barChart>
        <c:barDir val="col"/>
        <c:grouping val="clustered"/>
        <c:ser>
          <c:idx val="3"/>
          <c:order val="0"/>
          <c:tx>
            <c:strRef>
              <c:f>'Ergonomics - Vibration'!$U$126:$U$127</c:f>
              <c:strCache>
                <c:ptCount val="1"/>
                <c:pt idx="0">
                  <c:v>Hilti TE MD20 (Average)</c:v>
                </c:pt>
              </c:strCache>
            </c:strRef>
          </c:tx>
          <c:spPr>
            <a:pattFill prst="lgCheck">
              <a:fgClr>
                <a:srgbClr val="CC99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'Ergonomics - Vibration'!$U$128</c:f>
              <c:numCache>
                <c:formatCode>0.0</c:formatCode>
                <c:ptCount val="1"/>
                <c:pt idx="0">
                  <c:v>8.3000000000000007</c:v>
                </c:pt>
              </c:numCache>
            </c:numRef>
          </c:val>
        </c:ser>
        <c:ser>
          <c:idx val="1"/>
          <c:order val="1"/>
          <c:tx>
            <c:strRef>
              <c:f>'Ergonomics - Vibration'!$V$126:$V$127</c:f>
              <c:strCache>
                <c:ptCount val="1"/>
                <c:pt idx="0">
                  <c:v>Seco S215 Muffled</c:v>
                </c:pt>
              </c:strCache>
            </c:strRef>
          </c:tx>
          <c:spPr>
            <a:pattFill prst="dkVert">
              <a:fgClr>
                <a:srgbClr val="CCFFCC"/>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'Ergonomics - Vibration'!$V$128</c:f>
              <c:numCache>
                <c:formatCode>0.0</c:formatCode>
                <c:ptCount val="1"/>
                <c:pt idx="0">
                  <c:v>18.049999999999951</c:v>
                </c:pt>
              </c:numCache>
            </c:numRef>
          </c:val>
        </c:ser>
        <c:ser>
          <c:idx val="2"/>
          <c:order val="2"/>
          <c:tx>
            <c:strRef>
              <c:f>'Ergonomics - Vibration'!$W$126:$W$127</c:f>
              <c:strCache>
                <c:ptCount val="1"/>
                <c:pt idx="0">
                  <c:v>Sulzer ADDS</c:v>
                </c:pt>
              </c:strCache>
            </c:strRef>
          </c:tx>
          <c:spPr>
            <a:pattFill prst="wdUpDiag">
              <a:fgClr>
                <a:srgbClr val="99CCFF"/>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'Ergonomics - Vibration'!$W$128</c:f>
              <c:numCache>
                <c:formatCode>0.0</c:formatCode>
                <c:ptCount val="1"/>
                <c:pt idx="0">
                  <c:v>19.950000000000074</c:v>
                </c:pt>
              </c:numCache>
            </c:numRef>
          </c:val>
        </c:ser>
        <c:ser>
          <c:idx val="0"/>
          <c:order val="3"/>
          <c:tx>
            <c:strRef>
              <c:f>'Ergonomics - Vibration'!$X$126:$X$127</c:f>
              <c:strCache>
                <c:ptCount val="1"/>
                <c:pt idx="0">
                  <c:v>Seco S215</c:v>
                </c:pt>
              </c:strCache>
            </c:strRef>
          </c:tx>
          <c:spPr>
            <a:pattFill prst="lgGrid">
              <a:fgClr>
                <a:srgbClr val="FFCC99"/>
              </a:fgClr>
              <a:bgClr>
                <a:srgbClr val="FFFFFF"/>
              </a:bgClr>
            </a:pattFill>
            <a:ln w="12700">
              <a:solidFill>
                <a:srgbClr val="000000"/>
              </a:solidFill>
              <a:prstDash val="solid"/>
            </a:ln>
          </c:spPr>
          <c:dLbls>
            <c:spPr>
              <a:noFill/>
              <a:ln w="25400">
                <a:noFill/>
              </a:ln>
            </c:spPr>
            <c:txPr>
              <a:bodyPr/>
              <a:lstStyle/>
              <a:p>
                <a:pPr>
                  <a:defRPr sz="1050" b="1" i="0" u="none" strike="noStrike" baseline="0">
                    <a:solidFill>
                      <a:srgbClr val="000000"/>
                    </a:solidFill>
                    <a:latin typeface="Arial"/>
                    <a:ea typeface="Arial"/>
                    <a:cs typeface="Arial"/>
                  </a:defRPr>
                </a:pPr>
                <a:endParaRPr lang="en-US"/>
              </a:p>
            </c:txPr>
            <c:showVal val="1"/>
          </c:dLbls>
          <c:val>
            <c:numRef>
              <c:f>'Ergonomics - Vibration'!$X$128</c:f>
              <c:numCache>
                <c:formatCode>0.0</c:formatCode>
                <c:ptCount val="1"/>
                <c:pt idx="0">
                  <c:v>18.049999999999951</c:v>
                </c:pt>
              </c:numCache>
            </c:numRef>
          </c:val>
        </c:ser>
        <c:axId val="125890560"/>
        <c:axId val="125892096"/>
      </c:barChart>
      <c:catAx>
        <c:axId val="125890560"/>
        <c:scaling>
          <c:orientation val="minMax"/>
        </c:scaling>
        <c:delete val="1"/>
        <c:axPos val="b"/>
        <c:tickLblPos val="nextTo"/>
        <c:crossAx val="125892096"/>
        <c:crosses val="autoZero"/>
        <c:auto val="1"/>
        <c:lblAlgn val="ctr"/>
        <c:lblOffset val="100"/>
      </c:catAx>
      <c:valAx>
        <c:axId val="125892096"/>
        <c:scaling>
          <c:orientation val="minMax"/>
          <c:max val="25"/>
          <c:min val="5"/>
        </c:scaling>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t>m/s2</a:t>
                </a:r>
              </a:p>
            </c:rich>
          </c:tx>
          <c:layout>
            <c:manualLayout>
              <c:xMode val="edge"/>
              <c:yMode val="edge"/>
              <c:x val="1.9512195121951219E-2"/>
              <c:y val="0.46524064171122997"/>
            </c:manualLayout>
          </c:layout>
          <c:spPr>
            <a:noFill/>
            <a:ln w="25400">
              <a:noFill/>
            </a:ln>
          </c:spPr>
        </c:title>
        <c:numFmt formatCode="0.0"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25890560"/>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21463427437423979"/>
          <c:y val="0.91443850267379678"/>
          <c:w val="0.86463465847256904"/>
          <c:h val="0.98128342245989308"/>
        </c:manualLayout>
      </c:layout>
      <c:spPr>
        <a:solidFill>
          <a:srgbClr val="FFFFFF"/>
        </a:solidFill>
        <a:ln w="3175">
          <a:solidFill>
            <a:srgbClr val="000000"/>
          </a:solidFill>
          <a:prstDash val="solid"/>
        </a:ln>
      </c:spPr>
      <c:txPr>
        <a:bodyPr/>
        <a:lstStyle/>
        <a:p>
          <a:pPr>
            <a:defRPr sz="96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7" Type="http://schemas.openxmlformats.org/officeDocument/2006/relationships/image" Target="../media/image8.png"/><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emf"/><Relationship Id="rId4" Type="http://schemas.openxmlformats.org/officeDocument/2006/relationships/image" Target="../media/image5.emf"/></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wmf"/></Relationships>
</file>

<file path=xl/drawings/_rels/drawing30.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image" Target="../media/image19.wmf"/><Relationship Id="rId21" Type="http://schemas.openxmlformats.org/officeDocument/2006/relationships/chart" Target="../charts/chart41.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5" Type="http://schemas.openxmlformats.org/officeDocument/2006/relationships/chart" Target="../charts/chart45.xml"/><Relationship Id="rId2" Type="http://schemas.openxmlformats.org/officeDocument/2006/relationships/image" Target="../media/image18.wmf"/><Relationship Id="rId16" Type="http://schemas.openxmlformats.org/officeDocument/2006/relationships/chart" Target="../charts/chart36.xml"/><Relationship Id="rId20" Type="http://schemas.openxmlformats.org/officeDocument/2006/relationships/chart" Target="../charts/chart40.xml"/><Relationship Id="rId1" Type="http://schemas.openxmlformats.org/officeDocument/2006/relationships/image" Target="../media/image17.emf"/><Relationship Id="rId6" Type="http://schemas.openxmlformats.org/officeDocument/2006/relationships/chart" Target="../charts/chart26.xml"/><Relationship Id="rId11" Type="http://schemas.openxmlformats.org/officeDocument/2006/relationships/chart" Target="../charts/chart31.xml"/><Relationship Id="rId24" Type="http://schemas.openxmlformats.org/officeDocument/2006/relationships/chart" Target="../charts/chart44.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10" Type="http://schemas.openxmlformats.org/officeDocument/2006/relationships/chart" Target="../charts/chart30.xml"/><Relationship Id="rId19" Type="http://schemas.openxmlformats.org/officeDocument/2006/relationships/chart" Target="../charts/chart39.xml"/><Relationship Id="rId4" Type="http://schemas.openxmlformats.org/officeDocument/2006/relationships/image" Target="../media/image20.wmf"/><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s>
</file>

<file path=xl/drawings/_rels/drawing4.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19050</xdr:colOff>
      <xdr:row>4</xdr:row>
      <xdr:rowOff>0</xdr:rowOff>
    </xdr:from>
    <xdr:to>
      <xdr:col>10</xdr:col>
      <xdr:colOff>828675</xdr:colOff>
      <xdr:row>5</xdr:row>
      <xdr:rowOff>0</xdr:rowOff>
    </xdr:to>
    <xdr:pic>
      <xdr:nvPicPr>
        <xdr:cNvPr id="199683" name="Picture 1"/>
        <xdr:cNvPicPr>
          <a:picLocks noChangeAspect="1" noChangeArrowheads="1"/>
        </xdr:cNvPicPr>
      </xdr:nvPicPr>
      <xdr:blipFill>
        <a:blip xmlns:r="http://schemas.openxmlformats.org/officeDocument/2006/relationships" r:embed="rId1"/>
        <a:srcRect/>
        <a:stretch>
          <a:fillRect/>
        </a:stretch>
      </xdr:blipFill>
      <xdr:spPr bwMode="auto">
        <a:xfrm>
          <a:off x="200025" y="1304925"/>
          <a:ext cx="9039225" cy="12477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6</xdr:row>
      <xdr:rowOff>0</xdr:rowOff>
    </xdr:from>
    <xdr:to>
      <xdr:col>11</xdr:col>
      <xdr:colOff>0</xdr:colOff>
      <xdr:row>28</xdr:row>
      <xdr:rowOff>0</xdr:rowOff>
    </xdr:to>
    <xdr:graphicFrame macro="">
      <xdr:nvGraphicFramePr>
        <xdr:cNvPr id="15565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6</xdr:row>
      <xdr:rowOff>0</xdr:rowOff>
    </xdr:from>
    <xdr:to>
      <xdr:col>11</xdr:col>
      <xdr:colOff>0</xdr:colOff>
      <xdr:row>28</xdr:row>
      <xdr:rowOff>0</xdr:rowOff>
    </xdr:to>
    <xdr:graphicFrame macro="">
      <xdr:nvGraphicFramePr>
        <xdr:cNvPr id="15668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6</xdr:row>
      <xdr:rowOff>0</xdr:rowOff>
    </xdr:from>
    <xdr:to>
      <xdr:col>11</xdr:col>
      <xdr:colOff>0</xdr:colOff>
      <xdr:row>28</xdr:row>
      <xdr:rowOff>0</xdr:rowOff>
    </xdr:to>
    <xdr:graphicFrame macro="">
      <xdr:nvGraphicFramePr>
        <xdr:cNvPr id="15156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6</xdr:row>
      <xdr:rowOff>0</xdr:rowOff>
    </xdr:from>
    <xdr:to>
      <xdr:col>11</xdr:col>
      <xdr:colOff>0</xdr:colOff>
      <xdr:row>28</xdr:row>
      <xdr:rowOff>0</xdr:rowOff>
    </xdr:to>
    <xdr:graphicFrame macro="">
      <xdr:nvGraphicFramePr>
        <xdr:cNvPr id="15361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6</xdr:row>
      <xdr:rowOff>0</xdr:rowOff>
    </xdr:from>
    <xdr:to>
      <xdr:col>11</xdr:col>
      <xdr:colOff>0</xdr:colOff>
      <xdr:row>28</xdr:row>
      <xdr:rowOff>0</xdr:rowOff>
    </xdr:to>
    <xdr:graphicFrame macro="">
      <xdr:nvGraphicFramePr>
        <xdr:cNvPr id="15873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6</xdr:row>
      <xdr:rowOff>0</xdr:rowOff>
    </xdr:from>
    <xdr:to>
      <xdr:col>10</xdr:col>
      <xdr:colOff>695325</xdr:colOff>
      <xdr:row>28</xdr:row>
      <xdr:rowOff>0</xdr:rowOff>
    </xdr:to>
    <xdr:graphicFrame macro="">
      <xdr:nvGraphicFramePr>
        <xdr:cNvPr id="14132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6</xdr:row>
      <xdr:rowOff>0</xdr:rowOff>
    </xdr:from>
    <xdr:to>
      <xdr:col>11</xdr:col>
      <xdr:colOff>9525</xdr:colOff>
      <xdr:row>27</xdr:row>
      <xdr:rowOff>0</xdr:rowOff>
    </xdr:to>
    <xdr:graphicFrame macro="">
      <xdr:nvGraphicFramePr>
        <xdr:cNvPr id="1454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6</xdr:row>
      <xdr:rowOff>0</xdr:rowOff>
    </xdr:from>
    <xdr:to>
      <xdr:col>11</xdr:col>
      <xdr:colOff>0</xdr:colOff>
      <xdr:row>28</xdr:row>
      <xdr:rowOff>0</xdr:rowOff>
    </xdr:to>
    <xdr:graphicFrame macro="">
      <xdr:nvGraphicFramePr>
        <xdr:cNvPr id="14644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9525</xdr:colOff>
      <xdr:row>6</xdr:row>
      <xdr:rowOff>0</xdr:rowOff>
    </xdr:from>
    <xdr:to>
      <xdr:col>11</xdr:col>
      <xdr:colOff>0</xdr:colOff>
      <xdr:row>28</xdr:row>
      <xdr:rowOff>0</xdr:rowOff>
    </xdr:to>
    <xdr:graphicFrame macro="">
      <xdr:nvGraphicFramePr>
        <xdr:cNvPr id="16589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6</xdr:row>
      <xdr:rowOff>0</xdr:rowOff>
    </xdr:from>
    <xdr:to>
      <xdr:col>11</xdr:col>
      <xdr:colOff>0</xdr:colOff>
      <xdr:row>28</xdr:row>
      <xdr:rowOff>0</xdr:rowOff>
    </xdr:to>
    <xdr:graphicFrame macro="">
      <xdr:nvGraphicFramePr>
        <xdr:cNvPr id="16385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262</xdr:row>
      <xdr:rowOff>0</xdr:rowOff>
    </xdr:from>
    <xdr:to>
      <xdr:col>7</xdr:col>
      <xdr:colOff>266700</xdr:colOff>
      <xdr:row>284</xdr:row>
      <xdr:rowOff>152400</xdr:rowOff>
    </xdr:to>
    <xdr:pic>
      <xdr:nvPicPr>
        <xdr:cNvPr id="196707" name="Picture 92"/>
        <xdr:cNvPicPr>
          <a:picLocks noChangeAspect="1" noChangeArrowheads="1"/>
        </xdr:cNvPicPr>
      </xdr:nvPicPr>
      <xdr:blipFill>
        <a:blip xmlns:r="http://schemas.openxmlformats.org/officeDocument/2006/relationships" r:embed="rId1"/>
        <a:srcRect/>
        <a:stretch>
          <a:fillRect/>
        </a:stretch>
      </xdr:blipFill>
      <xdr:spPr bwMode="auto">
        <a:xfrm>
          <a:off x="723900" y="42757725"/>
          <a:ext cx="4943475" cy="3714750"/>
        </a:xfrm>
        <a:prstGeom prst="rect">
          <a:avLst/>
        </a:prstGeom>
        <a:noFill/>
        <a:ln w="9525">
          <a:noFill/>
          <a:miter lim="800000"/>
          <a:headEnd/>
          <a:tailEnd/>
        </a:ln>
      </xdr:spPr>
    </xdr:pic>
    <xdr:clientData/>
  </xdr:twoCellAnchor>
  <xdr:twoCellAnchor editAs="oneCell">
    <xdr:from>
      <xdr:col>1</xdr:col>
      <xdr:colOff>0</xdr:colOff>
      <xdr:row>222</xdr:row>
      <xdr:rowOff>0</xdr:rowOff>
    </xdr:from>
    <xdr:to>
      <xdr:col>6</xdr:col>
      <xdr:colOff>714375</xdr:colOff>
      <xdr:row>243</xdr:row>
      <xdr:rowOff>66675</xdr:rowOff>
    </xdr:to>
    <xdr:pic>
      <xdr:nvPicPr>
        <xdr:cNvPr id="196708" name="Picture 91"/>
        <xdr:cNvPicPr>
          <a:picLocks noChangeAspect="1" noChangeArrowheads="1"/>
        </xdr:cNvPicPr>
      </xdr:nvPicPr>
      <xdr:blipFill>
        <a:blip xmlns:r="http://schemas.openxmlformats.org/officeDocument/2006/relationships" r:embed="rId2"/>
        <a:srcRect/>
        <a:stretch>
          <a:fillRect/>
        </a:stretch>
      </xdr:blipFill>
      <xdr:spPr bwMode="auto">
        <a:xfrm>
          <a:off x="714375" y="36280725"/>
          <a:ext cx="4619625" cy="3467100"/>
        </a:xfrm>
        <a:prstGeom prst="rect">
          <a:avLst/>
        </a:prstGeom>
        <a:noFill/>
        <a:ln w="9525">
          <a:noFill/>
          <a:miter lim="800000"/>
          <a:headEnd/>
          <a:tailEnd/>
        </a:ln>
      </xdr:spPr>
    </xdr:pic>
    <xdr:clientData/>
  </xdr:twoCellAnchor>
  <xdr:twoCellAnchor editAs="oneCell">
    <xdr:from>
      <xdr:col>2</xdr:col>
      <xdr:colOff>247650</xdr:colOff>
      <xdr:row>191</xdr:row>
      <xdr:rowOff>28575</xdr:rowOff>
    </xdr:from>
    <xdr:to>
      <xdr:col>7</xdr:col>
      <xdr:colOff>590550</xdr:colOff>
      <xdr:row>210</xdr:row>
      <xdr:rowOff>142875</xdr:rowOff>
    </xdr:to>
    <xdr:pic>
      <xdr:nvPicPr>
        <xdr:cNvPr id="196709" name="Picture 90"/>
        <xdr:cNvPicPr>
          <a:picLocks noChangeAspect="1" noChangeArrowheads="1"/>
        </xdr:cNvPicPr>
      </xdr:nvPicPr>
      <xdr:blipFill>
        <a:blip xmlns:r="http://schemas.openxmlformats.org/officeDocument/2006/relationships" r:embed="rId3"/>
        <a:srcRect/>
        <a:stretch>
          <a:fillRect/>
        </a:stretch>
      </xdr:blipFill>
      <xdr:spPr bwMode="auto">
        <a:xfrm>
          <a:off x="1743075" y="31289625"/>
          <a:ext cx="4248150" cy="3190875"/>
        </a:xfrm>
        <a:prstGeom prst="rect">
          <a:avLst/>
        </a:prstGeom>
        <a:noFill/>
        <a:ln w="9525">
          <a:noFill/>
          <a:miter lim="800000"/>
          <a:headEnd/>
          <a:tailEnd/>
        </a:ln>
      </xdr:spPr>
    </xdr:pic>
    <xdr:clientData/>
  </xdr:twoCellAnchor>
  <xdr:twoCellAnchor editAs="oneCell">
    <xdr:from>
      <xdr:col>1</xdr:col>
      <xdr:colOff>0</xdr:colOff>
      <xdr:row>142</xdr:row>
      <xdr:rowOff>0</xdr:rowOff>
    </xdr:from>
    <xdr:to>
      <xdr:col>5</xdr:col>
      <xdr:colOff>762000</xdr:colOff>
      <xdr:row>160</xdr:row>
      <xdr:rowOff>152400</xdr:rowOff>
    </xdr:to>
    <xdr:pic>
      <xdr:nvPicPr>
        <xdr:cNvPr id="196710" name="Picture 89"/>
        <xdr:cNvPicPr>
          <a:picLocks noChangeAspect="1" noChangeArrowheads="1"/>
        </xdr:cNvPicPr>
      </xdr:nvPicPr>
      <xdr:blipFill>
        <a:blip xmlns:r="http://schemas.openxmlformats.org/officeDocument/2006/relationships" r:embed="rId4"/>
        <a:srcRect/>
        <a:stretch>
          <a:fillRect/>
        </a:stretch>
      </xdr:blipFill>
      <xdr:spPr bwMode="auto">
        <a:xfrm>
          <a:off x="714375" y="23326725"/>
          <a:ext cx="3886200" cy="3067050"/>
        </a:xfrm>
        <a:prstGeom prst="rect">
          <a:avLst/>
        </a:prstGeom>
        <a:noFill/>
        <a:ln w="9525">
          <a:noFill/>
          <a:miter lim="800000"/>
          <a:headEnd/>
          <a:tailEnd/>
        </a:ln>
      </xdr:spPr>
    </xdr:pic>
    <xdr:clientData/>
  </xdr:twoCellAnchor>
  <xdr:twoCellAnchor editAs="oneCell">
    <xdr:from>
      <xdr:col>1</xdr:col>
      <xdr:colOff>0</xdr:colOff>
      <xdr:row>100</xdr:row>
      <xdr:rowOff>0</xdr:rowOff>
    </xdr:from>
    <xdr:to>
      <xdr:col>6</xdr:col>
      <xdr:colOff>381000</xdr:colOff>
      <xdr:row>119</xdr:row>
      <xdr:rowOff>142875</xdr:rowOff>
    </xdr:to>
    <xdr:pic>
      <xdr:nvPicPr>
        <xdr:cNvPr id="196711" name="Picture 88"/>
        <xdr:cNvPicPr>
          <a:picLocks noChangeAspect="1" noChangeArrowheads="1"/>
        </xdr:cNvPicPr>
      </xdr:nvPicPr>
      <xdr:blipFill>
        <a:blip xmlns:r="http://schemas.openxmlformats.org/officeDocument/2006/relationships" r:embed="rId5"/>
        <a:srcRect/>
        <a:stretch>
          <a:fillRect/>
        </a:stretch>
      </xdr:blipFill>
      <xdr:spPr bwMode="auto">
        <a:xfrm>
          <a:off x="714375" y="16525875"/>
          <a:ext cx="4286250" cy="3219450"/>
        </a:xfrm>
        <a:prstGeom prst="rect">
          <a:avLst/>
        </a:prstGeom>
        <a:noFill/>
        <a:ln w="9525">
          <a:noFill/>
          <a:miter lim="800000"/>
          <a:headEnd/>
          <a:tailEnd/>
        </a:ln>
      </xdr:spPr>
    </xdr:pic>
    <xdr:clientData/>
  </xdr:twoCellAnchor>
  <xdr:twoCellAnchor>
    <xdr:from>
      <xdr:col>1</xdr:col>
      <xdr:colOff>0</xdr:colOff>
      <xdr:row>70</xdr:row>
      <xdr:rowOff>0</xdr:rowOff>
    </xdr:from>
    <xdr:to>
      <xdr:col>7</xdr:col>
      <xdr:colOff>9525</xdr:colOff>
      <xdr:row>89</xdr:row>
      <xdr:rowOff>142875</xdr:rowOff>
    </xdr:to>
    <xdr:pic>
      <xdr:nvPicPr>
        <xdr:cNvPr id="196712" name="Picture 86"/>
        <xdr:cNvPicPr>
          <a:picLocks noChangeAspect="1" noChangeArrowheads="1"/>
        </xdr:cNvPicPr>
      </xdr:nvPicPr>
      <xdr:blipFill>
        <a:blip xmlns:r="http://schemas.openxmlformats.org/officeDocument/2006/relationships" r:embed="rId6"/>
        <a:srcRect/>
        <a:stretch>
          <a:fillRect/>
        </a:stretch>
      </xdr:blipFill>
      <xdr:spPr bwMode="auto">
        <a:xfrm>
          <a:off x="714375" y="11468100"/>
          <a:ext cx="4695825" cy="3219450"/>
        </a:xfrm>
        <a:prstGeom prst="rect">
          <a:avLst/>
        </a:prstGeom>
        <a:noFill/>
        <a:ln w="9525">
          <a:noFill/>
          <a:miter lim="800000"/>
          <a:headEnd/>
          <a:tailEnd/>
        </a:ln>
      </xdr:spPr>
    </xdr:pic>
    <xdr:clientData/>
  </xdr:twoCellAnchor>
  <xdr:twoCellAnchor>
    <xdr:from>
      <xdr:col>1</xdr:col>
      <xdr:colOff>0</xdr:colOff>
      <xdr:row>36</xdr:row>
      <xdr:rowOff>0</xdr:rowOff>
    </xdr:from>
    <xdr:to>
      <xdr:col>6</xdr:col>
      <xdr:colOff>695325</xdr:colOff>
      <xdr:row>55</xdr:row>
      <xdr:rowOff>123825</xdr:rowOff>
    </xdr:to>
    <xdr:pic>
      <xdr:nvPicPr>
        <xdr:cNvPr id="196713" name="Picture 85"/>
        <xdr:cNvPicPr>
          <a:picLocks noChangeAspect="1" noChangeArrowheads="1"/>
        </xdr:cNvPicPr>
      </xdr:nvPicPr>
      <xdr:blipFill>
        <a:blip xmlns:r="http://schemas.openxmlformats.org/officeDocument/2006/relationships" r:embed="rId6"/>
        <a:srcRect/>
        <a:stretch>
          <a:fillRect/>
        </a:stretch>
      </xdr:blipFill>
      <xdr:spPr bwMode="auto">
        <a:xfrm>
          <a:off x="714375" y="5962650"/>
          <a:ext cx="4600575" cy="3200400"/>
        </a:xfrm>
        <a:prstGeom prst="rect">
          <a:avLst/>
        </a:prstGeom>
        <a:noFill/>
        <a:ln w="9525">
          <a:noFill/>
          <a:miter lim="800000"/>
          <a:headEnd/>
          <a:tailEnd/>
        </a:ln>
      </xdr:spPr>
    </xdr:pic>
    <xdr:clientData/>
  </xdr:twoCellAnchor>
  <xdr:twoCellAnchor>
    <xdr:from>
      <xdr:col>1</xdr:col>
      <xdr:colOff>9525</xdr:colOff>
      <xdr:row>14</xdr:row>
      <xdr:rowOff>0</xdr:rowOff>
    </xdr:from>
    <xdr:to>
      <xdr:col>7</xdr:col>
      <xdr:colOff>9525</xdr:colOff>
      <xdr:row>33</xdr:row>
      <xdr:rowOff>142875</xdr:rowOff>
    </xdr:to>
    <xdr:pic>
      <xdr:nvPicPr>
        <xdr:cNvPr id="196714" name="Picture 2"/>
        <xdr:cNvPicPr>
          <a:picLocks noChangeAspect="1" noChangeArrowheads="1"/>
        </xdr:cNvPicPr>
      </xdr:nvPicPr>
      <xdr:blipFill>
        <a:blip xmlns:r="http://schemas.openxmlformats.org/officeDocument/2006/relationships" r:embed="rId7"/>
        <a:srcRect/>
        <a:stretch>
          <a:fillRect/>
        </a:stretch>
      </xdr:blipFill>
      <xdr:spPr bwMode="auto">
        <a:xfrm>
          <a:off x="723900" y="2400300"/>
          <a:ext cx="4686300" cy="3219450"/>
        </a:xfrm>
        <a:prstGeom prst="rect">
          <a:avLst/>
        </a:prstGeom>
        <a:noFill/>
        <a:ln w="9525">
          <a:noFill/>
          <a:miter lim="800000"/>
          <a:headEnd/>
          <a:tailEnd/>
        </a:ln>
      </xdr:spPr>
    </xdr:pic>
    <xdr:clientData/>
  </xdr:twoCellAnchor>
  <xdr:twoCellAnchor>
    <xdr:from>
      <xdr:col>7</xdr:col>
      <xdr:colOff>66675</xdr:colOff>
      <xdr:row>69</xdr:row>
      <xdr:rowOff>57150</xdr:rowOff>
    </xdr:from>
    <xdr:to>
      <xdr:col>10</xdr:col>
      <xdr:colOff>0</xdr:colOff>
      <xdr:row>79</xdr:row>
      <xdr:rowOff>0</xdr:rowOff>
    </xdr:to>
    <xdr:sp macro="" textlink="">
      <xdr:nvSpPr>
        <xdr:cNvPr id="196612" name="Text Box 4"/>
        <xdr:cNvSpPr txBox="1">
          <a:spLocks noChangeArrowheads="1"/>
        </xdr:cNvSpPr>
      </xdr:nvSpPr>
      <xdr:spPr bwMode="auto">
        <a:xfrm>
          <a:off x="5467350" y="11363325"/>
          <a:ext cx="2276475" cy="1562100"/>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The SPL emission of pneumatic rock drills are relatively dependent of the air-supply pressure and the user is therefore required to select the average stope face compressed air pressure by clicking on this button. Pressure range is 350 - 550 kPa and incremental change is in value of 5. This value will then be the default value used throughout the model.</a:t>
          </a:r>
        </a:p>
      </xdr:txBody>
    </xdr:sp>
    <xdr:clientData/>
  </xdr:twoCellAnchor>
  <xdr:twoCellAnchor>
    <xdr:from>
      <xdr:col>7</xdr:col>
      <xdr:colOff>85725</xdr:colOff>
      <xdr:row>80</xdr:row>
      <xdr:rowOff>114300</xdr:rowOff>
    </xdr:from>
    <xdr:to>
      <xdr:col>10</xdr:col>
      <xdr:colOff>0</xdr:colOff>
      <xdr:row>85</xdr:row>
      <xdr:rowOff>0</xdr:rowOff>
    </xdr:to>
    <xdr:sp macro="" textlink="">
      <xdr:nvSpPr>
        <xdr:cNvPr id="196613" name="Text Box 5"/>
        <xdr:cNvSpPr txBox="1">
          <a:spLocks noChangeArrowheads="1"/>
        </xdr:cNvSpPr>
      </xdr:nvSpPr>
      <xdr:spPr bwMode="auto">
        <a:xfrm>
          <a:off x="5486400" y="13201650"/>
          <a:ext cx="2257425" cy="695325"/>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To evaluate the primary characteristics the user is required to input values in the YELLOW CELLS ONLY indicated.</a:t>
          </a:r>
        </a:p>
      </xdr:txBody>
    </xdr:sp>
    <xdr:clientData/>
  </xdr:twoCellAnchor>
  <xdr:twoCellAnchor>
    <xdr:from>
      <xdr:col>7</xdr:col>
      <xdr:colOff>438150</xdr:colOff>
      <xdr:row>22</xdr:row>
      <xdr:rowOff>123825</xdr:rowOff>
    </xdr:from>
    <xdr:to>
      <xdr:col>10</xdr:col>
      <xdr:colOff>0</xdr:colOff>
      <xdr:row>25</xdr:row>
      <xdr:rowOff>114300</xdr:rowOff>
    </xdr:to>
    <xdr:sp macro="" textlink="">
      <xdr:nvSpPr>
        <xdr:cNvPr id="196614" name="Text Box 6"/>
        <xdr:cNvSpPr txBox="1">
          <a:spLocks noChangeArrowheads="1"/>
        </xdr:cNvSpPr>
      </xdr:nvSpPr>
      <xdr:spPr bwMode="auto">
        <a:xfrm>
          <a:off x="5838825" y="3819525"/>
          <a:ext cx="1905000" cy="476250"/>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By clicking on these buttons the user is able to advance to any sheet.</a:t>
          </a:r>
        </a:p>
      </xdr:txBody>
    </xdr:sp>
    <xdr:clientData/>
  </xdr:twoCellAnchor>
  <xdr:twoCellAnchor>
    <xdr:from>
      <xdr:col>7</xdr:col>
      <xdr:colOff>171450</xdr:colOff>
      <xdr:row>101</xdr:row>
      <xdr:rowOff>0</xdr:rowOff>
    </xdr:from>
    <xdr:to>
      <xdr:col>10</xdr:col>
      <xdr:colOff>0</xdr:colOff>
      <xdr:row>104</xdr:row>
      <xdr:rowOff>152400</xdr:rowOff>
    </xdr:to>
    <xdr:sp macro="" textlink="">
      <xdr:nvSpPr>
        <xdr:cNvPr id="196616" name="Text Box 8"/>
        <xdr:cNvSpPr txBox="1">
          <a:spLocks noChangeArrowheads="1"/>
        </xdr:cNvSpPr>
      </xdr:nvSpPr>
      <xdr:spPr bwMode="auto">
        <a:xfrm>
          <a:off x="5572125" y="16687800"/>
          <a:ext cx="2171700" cy="638175"/>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Clicking on this button will allow the user to select the type of HPD supplied to the RDO's at the respective operation.</a:t>
          </a:r>
        </a:p>
      </xdr:txBody>
    </xdr:sp>
    <xdr:clientData/>
  </xdr:twoCellAnchor>
  <xdr:twoCellAnchor>
    <xdr:from>
      <xdr:col>7</xdr:col>
      <xdr:colOff>171450</xdr:colOff>
      <xdr:row>110</xdr:row>
      <xdr:rowOff>0</xdr:rowOff>
    </xdr:from>
    <xdr:to>
      <xdr:col>10</xdr:col>
      <xdr:colOff>0</xdr:colOff>
      <xdr:row>113</xdr:row>
      <xdr:rowOff>114300</xdr:rowOff>
    </xdr:to>
    <xdr:sp macro="" textlink="">
      <xdr:nvSpPr>
        <xdr:cNvPr id="196617" name="Text Box 9"/>
        <xdr:cNvSpPr txBox="1">
          <a:spLocks noChangeArrowheads="1"/>
        </xdr:cNvSpPr>
      </xdr:nvSpPr>
      <xdr:spPr bwMode="auto">
        <a:xfrm>
          <a:off x="5572125" y="18145125"/>
          <a:ext cx="2171700" cy="600075"/>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Clicking on this button will allow the user to select the NRR value as displayed on the selected HPD packaging.</a:t>
          </a:r>
        </a:p>
      </xdr:txBody>
    </xdr:sp>
    <xdr:clientData/>
  </xdr:twoCellAnchor>
  <xdr:twoCellAnchor>
    <xdr:from>
      <xdr:col>6</xdr:col>
      <xdr:colOff>304800</xdr:colOff>
      <xdr:row>18</xdr:row>
      <xdr:rowOff>152400</xdr:rowOff>
    </xdr:from>
    <xdr:to>
      <xdr:col>7</xdr:col>
      <xdr:colOff>438150</xdr:colOff>
      <xdr:row>23</xdr:row>
      <xdr:rowOff>104775</xdr:rowOff>
    </xdr:to>
    <xdr:sp macro="" textlink="">
      <xdr:nvSpPr>
        <xdr:cNvPr id="196720" name="Line 10"/>
        <xdr:cNvSpPr>
          <a:spLocks noChangeShapeType="1"/>
        </xdr:cNvSpPr>
      </xdr:nvSpPr>
      <xdr:spPr bwMode="auto">
        <a:xfrm flipH="1" flipV="1">
          <a:off x="4924425" y="3200400"/>
          <a:ext cx="914400" cy="762000"/>
        </a:xfrm>
        <a:prstGeom prst="line">
          <a:avLst/>
        </a:prstGeom>
        <a:noFill/>
        <a:ln w="19050">
          <a:solidFill>
            <a:srgbClr val="000000"/>
          </a:solidFill>
          <a:round/>
          <a:headEnd/>
          <a:tailEnd type="triangle" w="med" len="med"/>
        </a:ln>
        <a:effectLst/>
      </xdr:spPr>
    </xdr:sp>
    <xdr:clientData/>
  </xdr:twoCellAnchor>
  <xdr:twoCellAnchor>
    <xdr:from>
      <xdr:col>6</xdr:col>
      <xdr:colOff>314325</xdr:colOff>
      <xdr:row>24</xdr:row>
      <xdr:rowOff>19050</xdr:rowOff>
    </xdr:from>
    <xdr:to>
      <xdr:col>7</xdr:col>
      <xdr:colOff>428625</xdr:colOff>
      <xdr:row>24</xdr:row>
      <xdr:rowOff>66675</xdr:rowOff>
    </xdr:to>
    <xdr:sp macro="" textlink="">
      <xdr:nvSpPr>
        <xdr:cNvPr id="196721" name="Line 11"/>
        <xdr:cNvSpPr>
          <a:spLocks noChangeShapeType="1"/>
        </xdr:cNvSpPr>
      </xdr:nvSpPr>
      <xdr:spPr bwMode="auto">
        <a:xfrm flipH="1" flipV="1">
          <a:off x="4933950" y="4038600"/>
          <a:ext cx="895350" cy="47625"/>
        </a:xfrm>
        <a:prstGeom prst="line">
          <a:avLst/>
        </a:prstGeom>
        <a:noFill/>
        <a:ln w="19050">
          <a:solidFill>
            <a:srgbClr val="000000"/>
          </a:solidFill>
          <a:round/>
          <a:headEnd/>
          <a:tailEnd type="triangle" w="med" len="med"/>
        </a:ln>
        <a:effectLst/>
      </xdr:spPr>
    </xdr:sp>
    <xdr:clientData/>
  </xdr:twoCellAnchor>
  <xdr:twoCellAnchor>
    <xdr:from>
      <xdr:col>6</xdr:col>
      <xdr:colOff>323850</xdr:colOff>
      <xdr:row>25</xdr:row>
      <xdr:rowOff>19050</xdr:rowOff>
    </xdr:from>
    <xdr:to>
      <xdr:col>7</xdr:col>
      <xdr:colOff>438150</xdr:colOff>
      <xdr:row>29</xdr:row>
      <xdr:rowOff>95250</xdr:rowOff>
    </xdr:to>
    <xdr:sp macro="" textlink="">
      <xdr:nvSpPr>
        <xdr:cNvPr id="196722" name="Line 12"/>
        <xdr:cNvSpPr>
          <a:spLocks noChangeShapeType="1"/>
        </xdr:cNvSpPr>
      </xdr:nvSpPr>
      <xdr:spPr bwMode="auto">
        <a:xfrm flipH="1">
          <a:off x="4943475" y="4200525"/>
          <a:ext cx="895350" cy="723900"/>
        </a:xfrm>
        <a:prstGeom prst="line">
          <a:avLst/>
        </a:prstGeom>
        <a:noFill/>
        <a:ln w="19050">
          <a:solidFill>
            <a:srgbClr val="000000"/>
          </a:solidFill>
          <a:round/>
          <a:headEnd/>
          <a:tailEnd type="triangle" w="med" len="med"/>
        </a:ln>
        <a:effectLst/>
      </xdr:spPr>
    </xdr:sp>
    <xdr:clientData/>
  </xdr:twoCellAnchor>
  <xdr:twoCellAnchor>
    <xdr:from>
      <xdr:col>3</xdr:col>
      <xdr:colOff>114300</xdr:colOff>
      <xdr:row>72</xdr:row>
      <xdr:rowOff>104775</xdr:rowOff>
    </xdr:from>
    <xdr:to>
      <xdr:col>7</xdr:col>
      <xdr:colOff>66675</xdr:colOff>
      <xdr:row>73</xdr:row>
      <xdr:rowOff>133350</xdr:rowOff>
    </xdr:to>
    <xdr:sp macro="" textlink="">
      <xdr:nvSpPr>
        <xdr:cNvPr id="196723" name="Line 13"/>
        <xdr:cNvSpPr>
          <a:spLocks noChangeShapeType="1"/>
        </xdr:cNvSpPr>
      </xdr:nvSpPr>
      <xdr:spPr bwMode="auto">
        <a:xfrm flipH="1">
          <a:off x="2390775" y="11896725"/>
          <a:ext cx="3076575" cy="190500"/>
        </a:xfrm>
        <a:prstGeom prst="line">
          <a:avLst/>
        </a:prstGeom>
        <a:noFill/>
        <a:ln w="19050">
          <a:solidFill>
            <a:srgbClr val="000000"/>
          </a:solidFill>
          <a:round/>
          <a:headEnd/>
          <a:tailEnd type="triangle" w="med" len="med"/>
        </a:ln>
        <a:effectLst/>
      </xdr:spPr>
    </xdr:sp>
    <xdr:clientData/>
  </xdr:twoCellAnchor>
  <xdr:twoCellAnchor>
    <xdr:from>
      <xdr:col>3</xdr:col>
      <xdr:colOff>695325</xdr:colOff>
      <xdr:row>76</xdr:row>
      <xdr:rowOff>133350</xdr:rowOff>
    </xdr:from>
    <xdr:to>
      <xdr:col>7</xdr:col>
      <xdr:colOff>95250</xdr:colOff>
      <xdr:row>81</xdr:row>
      <xdr:rowOff>152400</xdr:rowOff>
    </xdr:to>
    <xdr:sp macro="" textlink="">
      <xdr:nvSpPr>
        <xdr:cNvPr id="196724" name="Line 14"/>
        <xdr:cNvSpPr>
          <a:spLocks noChangeShapeType="1"/>
        </xdr:cNvSpPr>
      </xdr:nvSpPr>
      <xdr:spPr bwMode="auto">
        <a:xfrm flipH="1" flipV="1">
          <a:off x="2971800" y="12573000"/>
          <a:ext cx="2524125" cy="828675"/>
        </a:xfrm>
        <a:prstGeom prst="line">
          <a:avLst/>
        </a:prstGeom>
        <a:noFill/>
        <a:ln w="19050">
          <a:solidFill>
            <a:srgbClr val="000000"/>
          </a:solidFill>
          <a:round/>
          <a:headEnd/>
          <a:tailEnd type="triangle" w="med" len="med"/>
        </a:ln>
        <a:effectLst/>
      </xdr:spPr>
    </xdr:sp>
    <xdr:clientData/>
  </xdr:twoCellAnchor>
  <xdr:twoCellAnchor>
    <xdr:from>
      <xdr:col>3</xdr:col>
      <xdr:colOff>676275</xdr:colOff>
      <xdr:row>81</xdr:row>
      <xdr:rowOff>123825</xdr:rowOff>
    </xdr:from>
    <xdr:to>
      <xdr:col>7</xdr:col>
      <xdr:colOff>114300</xdr:colOff>
      <xdr:row>81</xdr:row>
      <xdr:rowOff>152400</xdr:rowOff>
    </xdr:to>
    <xdr:sp macro="" textlink="">
      <xdr:nvSpPr>
        <xdr:cNvPr id="196725" name="Line 15"/>
        <xdr:cNvSpPr>
          <a:spLocks noChangeShapeType="1"/>
        </xdr:cNvSpPr>
      </xdr:nvSpPr>
      <xdr:spPr bwMode="auto">
        <a:xfrm flipH="1" flipV="1">
          <a:off x="2952750" y="13373100"/>
          <a:ext cx="2562225" cy="28575"/>
        </a:xfrm>
        <a:prstGeom prst="line">
          <a:avLst/>
        </a:prstGeom>
        <a:noFill/>
        <a:ln w="19050">
          <a:solidFill>
            <a:srgbClr val="000000"/>
          </a:solidFill>
          <a:round/>
          <a:headEnd/>
          <a:tailEnd type="triangle" w="med" len="med"/>
        </a:ln>
        <a:effectLst/>
      </xdr:spPr>
    </xdr:sp>
    <xdr:clientData/>
  </xdr:twoCellAnchor>
  <xdr:twoCellAnchor>
    <xdr:from>
      <xdr:col>5</xdr:col>
      <xdr:colOff>457200</xdr:colOff>
      <xdr:row>102</xdr:row>
      <xdr:rowOff>95250</xdr:rowOff>
    </xdr:from>
    <xdr:to>
      <xdr:col>7</xdr:col>
      <xdr:colOff>171450</xdr:colOff>
      <xdr:row>105</xdr:row>
      <xdr:rowOff>76200</xdr:rowOff>
    </xdr:to>
    <xdr:sp macro="" textlink="">
      <xdr:nvSpPr>
        <xdr:cNvPr id="196726" name="Line 16"/>
        <xdr:cNvSpPr>
          <a:spLocks noChangeShapeType="1"/>
        </xdr:cNvSpPr>
      </xdr:nvSpPr>
      <xdr:spPr bwMode="auto">
        <a:xfrm flipH="1">
          <a:off x="4295775" y="16944975"/>
          <a:ext cx="1276350" cy="466725"/>
        </a:xfrm>
        <a:prstGeom prst="line">
          <a:avLst/>
        </a:prstGeom>
        <a:noFill/>
        <a:ln w="19050">
          <a:solidFill>
            <a:srgbClr val="000000"/>
          </a:solidFill>
          <a:round/>
          <a:headEnd/>
          <a:tailEnd type="triangle" w="med" len="med"/>
        </a:ln>
        <a:effectLst/>
      </xdr:spPr>
    </xdr:sp>
    <xdr:clientData/>
  </xdr:twoCellAnchor>
  <xdr:twoCellAnchor>
    <xdr:from>
      <xdr:col>5</xdr:col>
      <xdr:colOff>266700</xdr:colOff>
      <xdr:row>109</xdr:row>
      <xdr:rowOff>57150</xdr:rowOff>
    </xdr:from>
    <xdr:to>
      <xdr:col>7</xdr:col>
      <xdr:colOff>180975</xdr:colOff>
      <xdr:row>111</xdr:row>
      <xdr:rowOff>66675</xdr:rowOff>
    </xdr:to>
    <xdr:sp macro="" textlink="">
      <xdr:nvSpPr>
        <xdr:cNvPr id="196727" name="Line 17"/>
        <xdr:cNvSpPr>
          <a:spLocks noChangeShapeType="1"/>
        </xdr:cNvSpPr>
      </xdr:nvSpPr>
      <xdr:spPr bwMode="auto">
        <a:xfrm flipH="1" flipV="1">
          <a:off x="4105275" y="18040350"/>
          <a:ext cx="1476375" cy="333375"/>
        </a:xfrm>
        <a:prstGeom prst="line">
          <a:avLst/>
        </a:prstGeom>
        <a:noFill/>
        <a:ln w="19050">
          <a:solidFill>
            <a:srgbClr val="000000"/>
          </a:solidFill>
          <a:round/>
          <a:headEnd/>
          <a:tailEnd type="triangle" w="med" len="med"/>
        </a:ln>
        <a:effectLst/>
      </xdr:spPr>
    </xdr:sp>
    <xdr:clientData/>
  </xdr:twoCellAnchor>
  <xdr:twoCellAnchor>
    <xdr:from>
      <xdr:col>6</xdr:col>
      <xdr:colOff>0</xdr:colOff>
      <xdr:row>138</xdr:row>
      <xdr:rowOff>0</xdr:rowOff>
    </xdr:from>
    <xdr:to>
      <xdr:col>9</xdr:col>
      <xdr:colOff>152400</xdr:colOff>
      <xdr:row>139</xdr:row>
      <xdr:rowOff>152400</xdr:rowOff>
    </xdr:to>
    <xdr:sp macro="" textlink="">
      <xdr:nvSpPr>
        <xdr:cNvPr id="196627" name="Text Box 19"/>
        <xdr:cNvSpPr txBox="1">
          <a:spLocks noChangeArrowheads="1"/>
        </xdr:cNvSpPr>
      </xdr:nvSpPr>
      <xdr:spPr bwMode="auto">
        <a:xfrm>
          <a:off x="4619625" y="22679025"/>
          <a:ext cx="2495550" cy="314325"/>
        </a:xfrm>
        <a:prstGeom prst="rect">
          <a:avLst/>
        </a:prstGeom>
        <a:solidFill>
          <a:srgbClr val="FFFFFF"/>
        </a:solidFill>
        <a:ln w="19050">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Clicking on this button the user is able to select the Compressor Kilowatt rating</a:t>
          </a:r>
        </a:p>
      </xdr:txBody>
    </xdr:sp>
    <xdr:clientData/>
  </xdr:twoCellAnchor>
  <xdr:twoCellAnchor>
    <xdr:from>
      <xdr:col>3</xdr:col>
      <xdr:colOff>342900</xdr:colOff>
      <xdr:row>139</xdr:row>
      <xdr:rowOff>142875</xdr:rowOff>
    </xdr:from>
    <xdr:to>
      <xdr:col>5</xdr:col>
      <xdr:colOff>704850</xdr:colOff>
      <xdr:row>145</xdr:row>
      <xdr:rowOff>133350</xdr:rowOff>
    </xdr:to>
    <xdr:sp macro="" textlink="">
      <xdr:nvSpPr>
        <xdr:cNvPr id="196729" name="Line 20"/>
        <xdr:cNvSpPr>
          <a:spLocks noChangeShapeType="1"/>
        </xdr:cNvSpPr>
      </xdr:nvSpPr>
      <xdr:spPr bwMode="auto">
        <a:xfrm flipH="1">
          <a:off x="2619375" y="22983825"/>
          <a:ext cx="1924050" cy="962025"/>
        </a:xfrm>
        <a:prstGeom prst="line">
          <a:avLst/>
        </a:prstGeom>
        <a:noFill/>
        <a:ln w="19050">
          <a:solidFill>
            <a:srgbClr val="000000"/>
          </a:solidFill>
          <a:round/>
          <a:headEnd/>
          <a:tailEnd type="triangle" w="med" len="med"/>
        </a:ln>
        <a:effectLst/>
      </xdr:spPr>
    </xdr:sp>
    <xdr:clientData/>
  </xdr:twoCellAnchor>
  <xdr:twoCellAnchor>
    <xdr:from>
      <xdr:col>7</xdr:col>
      <xdr:colOff>200025</xdr:colOff>
      <xdr:row>142</xdr:row>
      <xdr:rowOff>152400</xdr:rowOff>
    </xdr:from>
    <xdr:to>
      <xdr:col>10</xdr:col>
      <xdr:colOff>0</xdr:colOff>
      <xdr:row>145</xdr:row>
      <xdr:rowOff>142875</xdr:rowOff>
    </xdr:to>
    <xdr:sp macro="" textlink="">
      <xdr:nvSpPr>
        <xdr:cNvPr id="196629" name="Text Box 21"/>
        <xdr:cNvSpPr txBox="1">
          <a:spLocks noChangeArrowheads="1"/>
        </xdr:cNvSpPr>
      </xdr:nvSpPr>
      <xdr:spPr bwMode="auto">
        <a:xfrm>
          <a:off x="5600700" y="23479125"/>
          <a:ext cx="2143125" cy="476250"/>
        </a:xfrm>
        <a:prstGeom prst="rect">
          <a:avLst/>
        </a:prstGeom>
        <a:solidFill>
          <a:srgbClr val="FFFFFF"/>
        </a:solidFill>
        <a:ln w="19050">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Clicking on these buttons the user is able to select the kWh cost for the two periods</a:t>
          </a:r>
        </a:p>
      </xdr:txBody>
    </xdr:sp>
    <xdr:clientData/>
  </xdr:twoCellAnchor>
  <xdr:twoCellAnchor>
    <xdr:from>
      <xdr:col>4</xdr:col>
      <xdr:colOff>514350</xdr:colOff>
      <xdr:row>145</xdr:row>
      <xdr:rowOff>38100</xdr:rowOff>
    </xdr:from>
    <xdr:to>
      <xdr:col>7</xdr:col>
      <xdr:colOff>133350</xdr:colOff>
      <xdr:row>147</xdr:row>
      <xdr:rowOff>0</xdr:rowOff>
    </xdr:to>
    <xdr:sp macro="" textlink="">
      <xdr:nvSpPr>
        <xdr:cNvPr id="196731" name="Line 22"/>
        <xdr:cNvSpPr>
          <a:spLocks noChangeShapeType="1"/>
        </xdr:cNvSpPr>
      </xdr:nvSpPr>
      <xdr:spPr bwMode="auto">
        <a:xfrm flipH="1">
          <a:off x="3571875" y="23850600"/>
          <a:ext cx="1962150" cy="285750"/>
        </a:xfrm>
        <a:prstGeom prst="line">
          <a:avLst/>
        </a:prstGeom>
        <a:noFill/>
        <a:ln w="19050">
          <a:solidFill>
            <a:srgbClr val="000000"/>
          </a:solidFill>
          <a:round/>
          <a:headEnd/>
          <a:tailEnd type="triangle" w="med" len="med"/>
        </a:ln>
        <a:effectLst/>
      </xdr:spPr>
    </xdr:sp>
    <xdr:clientData/>
  </xdr:twoCellAnchor>
  <xdr:twoCellAnchor>
    <xdr:from>
      <xdr:col>4</xdr:col>
      <xdr:colOff>514350</xdr:colOff>
      <xdr:row>145</xdr:row>
      <xdr:rowOff>38100</xdr:rowOff>
    </xdr:from>
    <xdr:to>
      <xdr:col>7</xdr:col>
      <xdr:colOff>133350</xdr:colOff>
      <xdr:row>147</xdr:row>
      <xdr:rowOff>133350</xdr:rowOff>
    </xdr:to>
    <xdr:sp macro="" textlink="">
      <xdr:nvSpPr>
        <xdr:cNvPr id="196732" name="Line 23"/>
        <xdr:cNvSpPr>
          <a:spLocks noChangeShapeType="1"/>
        </xdr:cNvSpPr>
      </xdr:nvSpPr>
      <xdr:spPr bwMode="auto">
        <a:xfrm flipH="1">
          <a:off x="3571875" y="23850600"/>
          <a:ext cx="1962150" cy="419100"/>
        </a:xfrm>
        <a:prstGeom prst="line">
          <a:avLst/>
        </a:prstGeom>
        <a:noFill/>
        <a:ln w="19050">
          <a:solidFill>
            <a:srgbClr val="000000"/>
          </a:solidFill>
          <a:round/>
          <a:headEnd/>
          <a:tailEnd type="triangle" w="med" len="med"/>
        </a:ln>
        <a:effectLst/>
      </xdr:spPr>
    </xdr:sp>
    <xdr:clientData/>
  </xdr:twoCellAnchor>
  <xdr:twoCellAnchor>
    <xdr:from>
      <xdr:col>7</xdr:col>
      <xdr:colOff>9525</xdr:colOff>
      <xdr:row>147</xdr:row>
      <xdr:rowOff>152400</xdr:rowOff>
    </xdr:from>
    <xdr:to>
      <xdr:col>9</xdr:col>
      <xdr:colOff>704850</xdr:colOff>
      <xdr:row>149</xdr:row>
      <xdr:rowOff>0</xdr:rowOff>
    </xdr:to>
    <xdr:sp macro="" textlink="">
      <xdr:nvSpPr>
        <xdr:cNvPr id="196632" name="Text Box 24"/>
        <xdr:cNvSpPr txBox="1">
          <a:spLocks noChangeArrowheads="1"/>
        </xdr:cNvSpPr>
      </xdr:nvSpPr>
      <xdr:spPr bwMode="auto">
        <a:xfrm>
          <a:off x="5410200" y="24288750"/>
          <a:ext cx="2257425" cy="171450"/>
        </a:xfrm>
        <a:prstGeom prst="rect">
          <a:avLst/>
        </a:prstGeom>
        <a:solidFill>
          <a:srgbClr val="FFFFFF"/>
        </a:solidFill>
        <a:ln w="19050">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total operating hours per day (hr/day)</a:t>
          </a:r>
        </a:p>
      </xdr:txBody>
    </xdr:sp>
    <xdr:clientData/>
  </xdr:twoCellAnchor>
  <xdr:twoCellAnchor>
    <xdr:from>
      <xdr:col>5</xdr:col>
      <xdr:colOff>495300</xdr:colOff>
      <xdr:row>148</xdr:row>
      <xdr:rowOff>76200</xdr:rowOff>
    </xdr:from>
    <xdr:to>
      <xdr:col>7</xdr:col>
      <xdr:colOff>0</xdr:colOff>
      <xdr:row>151</xdr:row>
      <xdr:rowOff>47625</xdr:rowOff>
    </xdr:to>
    <xdr:sp macro="" textlink="">
      <xdr:nvSpPr>
        <xdr:cNvPr id="196734" name="Line 25"/>
        <xdr:cNvSpPr>
          <a:spLocks noChangeShapeType="1"/>
        </xdr:cNvSpPr>
      </xdr:nvSpPr>
      <xdr:spPr bwMode="auto">
        <a:xfrm flipH="1">
          <a:off x="4333875" y="24374475"/>
          <a:ext cx="1066800" cy="457200"/>
        </a:xfrm>
        <a:prstGeom prst="line">
          <a:avLst/>
        </a:prstGeom>
        <a:noFill/>
        <a:ln w="19050">
          <a:solidFill>
            <a:srgbClr val="000000"/>
          </a:solidFill>
          <a:round/>
          <a:headEnd/>
          <a:tailEnd type="triangle" w="med" len="med"/>
        </a:ln>
        <a:effectLst/>
      </xdr:spPr>
    </xdr:sp>
    <xdr:clientData/>
  </xdr:twoCellAnchor>
  <xdr:twoCellAnchor>
    <xdr:from>
      <xdr:col>7</xdr:col>
      <xdr:colOff>495300</xdr:colOff>
      <xdr:row>150</xdr:row>
      <xdr:rowOff>152400</xdr:rowOff>
    </xdr:from>
    <xdr:to>
      <xdr:col>10</xdr:col>
      <xdr:colOff>0</xdr:colOff>
      <xdr:row>152</xdr:row>
      <xdr:rowOff>0</xdr:rowOff>
    </xdr:to>
    <xdr:sp macro="" textlink="">
      <xdr:nvSpPr>
        <xdr:cNvPr id="196634" name="Text Box 26"/>
        <xdr:cNvSpPr txBox="1">
          <a:spLocks noChangeArrowheads="1"/>
        </xdr:cNvSpPr>
      </xdr:nvSpPr>
      <xdr:spPr bwMode="auto">
        <a:xfrm>
          <a:off x="5895975" y="24774525"/>
          <a:ext cx="1847850" cy="171450"/>
        </a:xfrm>
        <a:prstGeom prst="rect">
          <a:avLst/>
        </a:prstGeom>
        <a:solidFill>
          <a:srgbClr val="FFFFFF"/>
        </a:solidFill>
        <a:ln w="19050">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percent full-load kW, loaded</a:t>
          </a:r>
        </a:p>
      </xdr:txBody>
    </xdr:sp>
    <xdr:clientData/>
  </xdr:twoCellAnchor>
  <xdr:twoCellAnchor>
    <xdr:from>
      <xdr:col>5</xdr:col>
      <xdr:colOff>533400</xdr:colOff>
      <xdr:row>151</xdr:row>
      <xdr:rowOff>76200</xdr:rowOff>
    </xdr:from>
    <xdr:to>
      <xdr:col>7</xdr:col>
      <xdr:colOff>485775</xdr:colOff>
      <xdr:row>154</xdr:row>
      <xdr:rowOff>19050</xdr:rowOff>
    </xdr:to>
    <xdr:sp macro="" textlink="">
      <xdr:nvSpPr>
        <xdr:cNvPr id="196736" name="Line 27"/>
        <xdr:cNvSpPr>
          <a:spLocks noChangeShapeType="1"/>
        </xdr:cNvSpPr>
      </xdr:nvSpPr>
      <xdr:spPr bwMode="auto">
        <a:xfrm flipH="1">
          <a:off x="4371975" y="24860250"/>
          <a:ext cx="1514475" cy="428625"/>
        </a:xfrm>
        <a:prstGeom prst="line">
          <a:avLst/>
        </a:prstGeom>
        <a:noFill/>
        <a:ln w="19050">
          <a:solidFill>
            <a:srgbClr val="000000"/>
          </a:solidFill>
          <a:round/>
          <a:headEnd/>
          <a:tailEnd type="triangle" w="med" len="med"/>
        </a:ln>
        <a:effectLst/>
      </xdr:spPr>
    </xdr:sp>
    <xdr:clientData/>
  </xdr:twoCellAnchor>
  <xdr:twoCellAnchor>
    <xdr:from>
      <xdr:col>7</xdr:col>
      <xdr:colOff>180975</xdr:colOff>
      <xdr:row>152</xdr:row>
      <xdr:rowOff>142875</xdr:rowOff>
    </xdr:from>
    <xdr:to>
      <xdr:col>10</xdr:col>
      <xdr:colOff>0</xdr:colOff>
      <xdr:row>154</xdr:row>
      <xdr:rowOff>0</xdr:rowOff>
    </xdr:to>
    <xdr:sp macro="" textlink="">
      <xdr:nvSpPr>
        <xdr:cNvPr id="196636" name="Text Box 28"/>
        <xdr:cNvSpPr txBox="1">
          <a:spLocks noChangeArrowheads="1"/>
        </xdr:cNvSpPr>
      </xdr:nvSpPr>
      <xdr:spPr bwMode="auto">
        <a:xfrm>
          <a:off x="5581650" y="25088850"/>
          <a:ext cx="2162175" cy="180975"/>
        </a:xfrm>
        <a:prstGeom prst="rect">
          <a:avLst/>
        </a:prstGeom>
        <a:solidFill>
          <a:srgbClr val="FFFFFF"/>
        </a:solidFill>
        <a:ln w="19050">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percent motor efficiency, loaded</a:t>
          </a:r>
        </a:p>
      </xdr:txBody>
    </xdr:sp>
    <xdr:clientData/>
  </xdr:twoCellAnchor>
  <xdr:twoCellAnchor>
    <xdr:from>
      <xdr:col>5</xdr:col>
      <xdr:colOff>542925</xdr:colOff>
      <xdr:row>153</xdr:row>
      <xdr:rowOff>57150</xdr:rowOff>
    </xdr:from>
    <xdr:to>
      <xdr:col>7</xdr:col>
      <xdr:colOff>180975</xdr:colOff>
      <xdr:row>155</xdr:row>
      <xdr:rowOff>47625</xdr:rowOff>
    </xdr:to>
    <xdr:sp macro="" textlink="">
      <xdr:nvSpPr>
        <xdr:cNvPr id="196738" name="Line 29"/>
        <xdr:cNvSpPr>
          <a:spLocks noChangeShapeType="1"/>
        </xdr:cNvSpPr>
      </xdr:nvSpPr>
      <xdr:spPr bwMode="auto">
        <a:xfrm flipH="1">
          <a:off x="4381500" y="25165050"/>
          <a:ext cx="1200150" cy="314325"/>
        </a:xfrm>
        <a:prstGeom prst="line">
          <a:avLst/>
        </a:prstGeom>
        <a:noFill/>
        <a:ln w="19050">
          <a:solidFill>
            <a:srgbClr val="000000"/>
          </a:solidFill>
          <a:round/>
          <a:headEnd/>
          <a:tailEnd type="triangle" w="med" len="med"/>
        </a:ln>
        <a:effectLst/>
      </xdr:spPr>
    </xdr:sp>
    <xdr:clientData/>
  </xdr:twoCellAnchor>
  <xdr:twoCellAnchor>
    <xdr:from>
      <xdr:col>7</xdr:col>
      <xdr:colOff>257175</xdr:colOff>
      <xdr:row>154</xdr:row>
      <xdr:rowOff>152400</xdr:rowOff>
    </xdr:from>
    <xdr:to>
      <xdr:col>9</xdr:col>
      <xdr:colOff>704850</xdr:colOff>
      <xdr:row>156</xdr:row>
      <xdr:rowOff>0</xdr:rowOff>
    </xdr:to>
    <xdr:sp macro="" textlink="">
      <xdr:nvSpPr>
        <xdr:cNvPr id="196638" name="Text Box 30"/>
        <xdr:cNvSpPr txBox="1">
          <a:spLocks noChangeArrowheads="1"/>
        </xdr:cNvSpPr>
      </xdr:nvSpPr>
      <xdr:spPr bwMode="auto">
        <a:xfrm>
          <a:off x="5657850" y="25422225"/>
          <a:ext cx="2009775" cy="171450"/>
        </a:xfrm>
        <a:prstGeom prst="rect">
          <a:avLst/>
        </a:prstGeom>
        <a:solidFill>
          <a:srgbClr val="FFFFFF"/>
        </a:solidFill>
        <a:ln w="19050">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percent full-load kW, unloaded</a:t>
          </a:r>
        </a:p>
      </xdr:txBody>
    </xdr:sp>
    <xdr:clientData/>
  </xdr:twoCellAnchor>
  <xdr:twoCellAnchor>
    <xdr:from>
      <xdr:col>5</xdr:col>
      <xdr:colOff>514350</xdr:colOff>
      <xdr:row>155</xdr:row>
      <xdr:rowOff>57150</xdr:rowOff>
    </xdr:from>
    <xdr:to>
      <xdr:col>7</xdr:col>
      <xdr:colOff>257175</xdr:colOff>
      <xdr:row>157</xdr:row>
      <xdr:rowOff>9525</xdr:rowOff>
    </xdr:to>
    <xdr:sp macro="" textlink="">
      <xdr:nvSpPr>
        <xdr:cNvPr id="196740" name="Line 31"/>
        <xdr:cNvSpPr>
          <a:spLocks noChangeShapeType="1"/>
        </xdr:cNvSpPr>
      </xdr:nvSpPr>
      <xdr:spPr bwMode="auto">
        <a:xfrm flipH="1">
          <a:off x="4352925" y="25488900"/>
          <a:ext cx="1304925" cy="276225"/>
        </a:xfrm>
        <a:prstGeom prst="line">
          <a:avLst/>
        </a:prstGeom>
        <a:noFill/>
        <a:ln w="19050">
          <a:solidFill>
            <a:srgbClr val="000000"/>
          </a:solidFill>
          <a:round/>
          <a:headEnd/>
          <a:tailEnd type="triangle" w="med" len="med"/>
        </a:ln>
        <a:effectLst/>
      </xdr:spPr>
    </xdr:sp>
    <xdr:clientData/>
  </xdr:twoCellAnchor>
  <xdr:twoCellAnchor>
    <xdr:from>
      <xdr:col>7</xdr:col>
      <xdr:colOff>180975</xdr:colOff>
      <xdr:row>156</xdr:row>
      <xdr:rowOff>142875</xdr:rowOff>
    </xdr:from>
    <xdr:to>
      <xdr:col>10</xdr:col>
      <xdr:colOff>0</xdr:colOff>
      <xdr:row>158</xdr:row>
      <xdr:rowOff>0</xdr:rowOff>
    </xdr:to>
    <xdr:sp macro="" textlink="">
      <xdr:nvSpPr>
        <xdr:cNvPr id="196640" name="Text Box 32"/>
        <xdr:cNvSpPr txBox="1">
          <a:spLocks noChangeArrowheads="1"/>
        </xdr:cNvSpPr>
      </xdr:nvSpPr>
      <xdr:spPr bwMode="auto">
        <a:xfrm>
          <a:off x="5581650" y="25736550"/>
          <a:ext cx="2162175" cy="180975"/>
        </a:xfrm>
        <a:prstGeom prst="rect">
          <a:avLst/>
        </a:prstGeom>
        <a:solidFill>
          <a:srgbClr val="FFFFFF"/>
        </a:solidFill>
        <a:ln w="19050">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percent motor efficiency, unloaded</a:t>
          </a:r>
        </a:p>
      </xdr:txBody>
    </xdr:sp>
    <xdr:clientData/>
  </xdr:twoCellAnchor>
  <xdr:twoCellAnchor>
    <xdr:from>
      <xdr:col>5</xdr:col>
      <xdr:colOff>523875</xdr:colOff>
      <xdr:row>157</xdr:row>
      <xdr:rowOff>47625</xdr:rowOff>
    </xdr:from>
    <xdr:to>
      <xdr:col>7</xdr:col>
      <xdr:colOff>171450</xdr:colOff>
      <xdr:row>158</xdr:row>
      <xdr:rowOff>0</xdr:rowOff>
    </xdr:to>
    <xdr:sp macro="" textlink="">
      <xdr:nvSpPr>
        <xdr:cNvPr id="196742" name="Line 33"/>
        <xdr:cNvSpPr>
          <a:spLocks noChangeShapeType="1"/>
        </xdr:cNvSpPr>
      </xdr:nvSpPr>
      <xdr:spPr bwMode="auto">
        <a:xfrm flipH="1">
          <a:off x="4362450" y="25803225"/>
          <a:ext cx="1209675" cy="114300"/>
        </a:xfrm>
        <a:prstGeom prst="line">
          <a:avLst/>
        </a:prstGeom>
        <a:noFill/>
        <a:ln w="19050">
          <a:solidFill>
            <a:srgbClr val="000000"/>
          </a:solidFill>
          <a:round/>
          <a:headEnd/>
          <a:tailEnd type="triangle" w="med" len="med"/>
        </a:ln>
        <a:effectLst/>
      </xdr:spPr>
    </xdr:sp>
    <xdr:clientData/>
  </xdr:twoCellAnchor>
  <xdr:twoCellAnchor>
    <xdr:from>
      <xdr:col>1</xdr:col>
      <xdr:colOff>0</xdr:colOff>
      <xdr:row>58</xdr:row>
      <xdr:rowOff>0</xdr:rowOff>
    </xdr:from>
    <xdr:to>
      <xdr:col>3</xdr:col>
      <xdr:colOff>276225</xdr:colOff>
      <xdr:row>61</xdr:row>
      <xdr:rowOff>28575</xdr:rowOff>
    </xdr:to>
    <xdr:sp macro="" textlink="">
      <xdr:nvSpPr>
        <xdr:cNvPr id="196643" name="Text Box 35"/>
        <xdr:cNvSpPr txBox="1">
          <a:spLocks noChangeArrowheads="1"/>
        </xdr:cNvSpPr>
      </xdr:nvSpPr>
      <xdr:spPr bwMode="auto">
        <a:xfrm>
          <a:off x="714375" y="9525000"/>
          <a:ext cx="1838325" cy="514350"/>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By clicking on this button the user is able to proceed back to the Main Menu</a:t>
          </a:r>
        </a:p>
      </xdr:txBody>
    </xdr:sp>
    <xdr:clientData/>
  </xdr:twoCellAnchor>
  <xdr:twoCellAnchor>
    <xdr:from>
      <xdr:col>7</xdr:col>
      <xdr:colOff>219075</xdr:colOff>
      <xdr:row>43</xdr:row>
      <xdr:rowOff>133350</xdr:rowOff>
    </xdr:from>
    <xdr:to>
      <xdr:col>9</xdr:col>
      <xdr:colOff>495300</xdr:colOff>
      <xdr:row>47</xdr:row>
      <xdr:rowOff>0</xdr:rowOff>
    </xdr:to>
    <xdr:sp macro="" textlink="">
      <xdr:nvSpPr>
        <xdr:cNvPr id="196644" name="Text Box 36"/>
        <xdr:cNvSpPr txBox="1">
          <a:spLocks noChangeArrowheads="1"/>
        </xdr:cNvSpPr>
      </xdr:nvSpPr>
      <xdr:spPr bwMode="auto">
        <a:xfrm>
          <a:off x="5619750" y="7229475"/>
          <a:ext cx="1838325" cy="514350"/>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By clicking on this button the user is able to advance to the prescribed sheet.</a:t>
          </a:r>
        </a:p>
      </xdr:txBody>
    </xdr:sp>
    <xdr:clientData/>
  </xdr:twoCellAnchor>
  <xdr:twoCellAnchor>
    <xdr:from>
      <xdr:col>4</xdr:col>
      <xdr:colOff>0</xdr:colOff>
      <xdr:row>58</xdr:row>
      <xdr:rowOff>0</xdr:rowOff>
    </xdr:from>
    <xdr:to>
      <xdr:col>6</xdr:col>
      <xdr:colOff>276225</xdr:colOff>
      <xdr:row>61</xdr:row>
      <xdr:rowOff>28575</xdr:rowOff>
    </xdr:to>
    <xdr:sp macro="" textlink="">
      <xdr:nvSpPr>
        <xdr:cNvPr id="196645" name="Text Box 37"/>
        <xdr:cNvSpPr txBox="1">
          <a:spLocks noChangeArrowheads="1"/>
        </xdr:cNvSpPr>
      </xdr:nvSpPr>
      <xdr:spPr bwMode="auto">
        <a:xfrm>
          <a:off x="3057525" y="9525000"/>
          <a:ext cx="1838325" cy="514350"/>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By clicking on this button the user is able to proceed back to the previous sheet.</a:t>
          </a:r>
        </a:p>
      </xdr:txBody>
    </xdr:sp>
    <xdr:clientData/>
  </xdr:twoCellAnchor>
  <xdr:twoCellAnchor>
    <xdr:from>
      <xdr:col>5</xdr:col>
      <xdr:colOff>638175</xdr:colOff>
      <xdr:row>45</xdr:row>
      <xdr:rowOff>9525</xdr:rowOff>
    </xdr:from>
    <xdr:to>
      <xdr:col>7</xdr:col>
      <xdr:colOff>219075</xdr:colOff>
      <xdr:row>51</xdr:row>
      <xdr:rowOff>28575</xdr:rowOff>
    </xdr:to>
    <xdr:sp macro="" textlink="">
      <xdr:nvSpPr>
        <xdr:cNvPr id="196746" name="Line 38"/>
        <xdr:cNvSpPr>
          <a:spLocks noChangeShapeType="1"/>
        </xdr:cNvSpPr>
      </xdr:nvSpPr>
      <xdr:spPr bwMode="auto">
        <a:xfrm flipH="1">
          <a:off x="4476750" y="7429500"/>
          <a:ext cx="1143000" cy="990600"/>
        </a:xfrm>
        <a:prstGeom prst="line">
          <a:avLst/>
        </a:prstGeom>
        <a:noFill/>
        <a:ln w="19050">
          <a:solidFill>
            <a:srgbClr val="000000"/>
          </a:solidFill>
          <a:round/>
          <a:headEnd/>
          <a:tailEnd type="triangle" w="med" len="med"/>
        </a:ln>
        <a:effectLst/>
      </xdr:spPr>
    </xdr:sp>
    <xdr:clientData/>
  </xdr:twoCellAnchor>
  <xdr:twoCellAnchor>
    <xdr:from>
      <xdr:col>3</xdr:col>
      <xdr:colOff>390525</xdr:colOff>
      <xdr:row>51</xdr:row>
      <xdr:rowOff>142875</xdr:rowOff>
    </xdr:from>
    <xdr:to>
      <xdr:col>4</xdr:col>
      <xdr:colOff>657225</xdr:colOff>
      <xdr:row>58</xdr:row>
      <xdr:rowOff>0</xdr:rowOff>
    </xdr:to>
    <xdr:sp macro="" textlink="">
      <xdr:nvSpPr>
        <xdr:cNvPr id="196747" name="Line 39"/>
        <xdr:cNvSpPr>
          <a:spLocks noChangeShapeType="1"/>
        </xdr:cNvSpPr>
      </xdr:nvSpPr>
      <xdr:spPr bwMode="auto">
        <a:xfrm flipH="1" flipV="1">
          <a:off x="2667000" y="8534400"/>
          <a:ext cx="1047750" cy="990600"/>
        </a:xfrm>
        <a:prstGeom prst="line">
          <a:avLst/>
        </a:prstGeom>
        <a:noFill/>
        <a:ln w="19050">
          <a:solidFill>
            <a:srgbClr val="000000"/>
          </a:solidFill>
          <a:round/>
          <a:headEnd/>
          <a:tailEnd type="triangle" w="med" len="med"/>
        </a:ln>
        <a:effectLst/>
      </xdr:spPr>
    </xdr:sp>
    <xdr:clientData/>
  </xdr:twoCellAnchor>
  <xdr:twoCellAnchor>
    <xdr:from>
      <xdr:col>1</xdr:col>
      <xdr:colOff>504825</xdr:colOff>
      <xdr:row>51</xdr:row>
      <xdr:rowOff>114300</xdr:rowOff>
    </xdr:from>
    <xdr:to>
      <xdr:col>1</xdr:col>
      <xdr:colOff>504825</xdr:colOff>
      <xdr:row>57</xdr:row>
      <xdr:rowOff>152400</xdr:rowOff>
    </xdr:to>
    <xdr:sp macro="" textlink="">
      <xdr:nvSpPr>
        <xdr:cNvPr id="196748" name="Line 40"/>
        <xdr:cNvSpPr>
          <a:spLocks noChangeShapeType="1"/>
        </xdr:cNvSpPr>
      </xdr:nvSpPr>
      <xdr:spPr bwMode="auto">
        <a:xfrm flipV="1">
          <a:off x="1219200" y="8505825"/>
          <a:ext cx="0" cy="1009650"/>
        </a:xfrm>
        <a:prstGeom prst="line">
          <a:avLst/>
        </a:prstGeom>
        <a:noFill/>
        <a:ln w="19050">
          <a:solidFill>
            <a:srgbClr val="000000"/>
          </a:solidFill>
          <a:round/>
          <a:headEnd/>
          <a:tailEnd type="triangle" w="med" len="med"/>
        </a:ln>
        <a:effectLst/>
      </xdr:spPr>
    </xdr:sp>
    <xdr:clientData/>
  </xdr:twoCellAnchor>
  <xdr:twoCellAnchor>
    <xdr:from>
      <xdr:col>1</xdr:col>
      <xdr:colOff>352425</xdr:colOff>
      <xdr:row>113</xdr:row>
      <xdr:rowOff>123825</xdr:rowOff>
    </xdr:from>
    <xdr:to>
      <xdr:col>4</xdr:col>
      <xdr:colOff>523875</xdr:colOff>
      <xdr:row>117</xdr:row>
      <xdr:rowOff>66675</xdr:rowOff>
    </xdr:to>
    <xdr:sp macro="" textlink="">
      <xdr:nvSpPr>
        <xdr:cNvPr id="196649" name="Text Box 41"/>
        <xdr:cNvSpPr txBox="1">
          <a:spLocks noChangeArrowheads="1"/>
        </xdr:cNvSpPr>
      </xdr:nvSpPr>
      <xdr:spPr bwMode="auto">
        <a:xfrm>
          <a:off x="1066800" y="18754725"/>
          <a:ext cx="2514600" cy="590550"/>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This value is the actual at ear NRR calculated as per NIOSH formula and is the default value used throughout the model.</a:t>
          </a:r>
        </a:p>
      </xdr:txBody>
    </xdr:sp>
    <xdr:clientData/>
  </xdr:twoCellAnchor>
  <xdr:twoCellAnchor>
    <xdr:from>
      <xdr:col>2</xdr:col>
      <xdr:colOff>590550</xdr:colOff>
      <xdr:row>109</xdr:row>
      <xdr:rowOff>133350</xdr:rowOff>
    </xdr:from>
    <xdr:to>
      <xdr:col>4</xdr:col>
      <xdr:colOff>514350</xdr:colOff>
      <xdr:row>113</xdr:row>
      <xdr:rowOff>123825</xdr:rowOff>
    </xdr:to>
    <xdr:sp macro="" textlink="">
      <xdr:nvSpPr>
        <xdr:cNvPr id="196750" name="Line 42"/>
        <xdr:cNvSpPr>
          <a:spLocks noChangeShapeType="1"/>
        </xdr:cNvSpPr>
      </xdr:nvSpPr>
      <xdr:spPr bwMode="auto">
        <a:xfrm flipV="1">
          <a:off x="2085975" y="18116550"/>
          <a:ext cx="1485900" cy="638175"/>
        </a:xfrm>
        <a:prstGeom prst="line">
          <a:avLst/>
        </a:prstGeom>
        <a:noFill/>
        <a:ln w="19050">
          <a:solidFill>
            <a:srgbClr val="000000"/>
          </a:solidFill>
          <a:round/>
          <a:headEnd/>
          <a:tailEnd type="triangle" w="med" len="med"/>
        </a:ln>
        <a:effectLst/>
      </xdr:spPr>
    </xdr:sp>
    <xdr:clientData/>
  </xdr:twoCellAnchor>
  <xdr:twoCellAnchor>
    <xdr:from>
      <xdr:col>7</xdr:col>
      <xdr:colOff>161925</xdr:colOff>
      <xdr:row>105</xdr:row>
      <xdr:rowOff>57150</xdr:rowOff>
    </xdr:from>
    <xdr:to>
      <xdr:col>10</xdr:col>
      <xdr:colOff>0</xdr:colOff>
      <xdr:row>109</xdr:row>
      <xdr:rowOff>9525</xdr:rowOff>
    </xdr:to>
    <xdr:sp macro="" textlink="">
      <xdr:nvSpPr>
        <xdr:cNvPr id="196651" name="Text Box 43"/>
        <xdr:cNvSpPr txBox="1">
          <a:spLocks noChangeArrowheads="1"/>
        </xdr:cNvSpPr>
      </xdr:nvSpPr>
      <xdr:spPr bwMode="auto">
        <a:xfrm>
          <a:off x="5562600" y="17392650"/>
          <a:ext cx="2181225" cy="600075"/>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This value is the selected HPD Product ID number and is the default value used throughout the model.</a:t>
          </a:r>
        </a:p>
      </xdr:txBody>
    </xdr:sp>
    <xdr:clientData/>
  </xdr:twoCellAnchor>
  <xdr:twoCellAnchor>
    <xdr:from>
      <xdr:col>5</xdr:col>
      <xdr:colOff>133350</xdr:colOff>
      <xdr:row>106</xdr:row>
      <xdr:rowOff>47625</xdr:rowOff>
    </xdr:from>
    <xdr:to>
      <xdr:col>7</xdr:col>
      <xdr:colOff>161925</xdr:colOff>
      <xdr:row>108</xdr:row>
      <xdr:rowOff>66675</xdr:rowOff>
    </xdr:to>
    <xdr:sp macro="" textlink="">
      <xdr:nvSpPr>
        <xdr:cNvPr id="196752" name="Line 44"/>
        <xdr:cNvSpPr>
          <a:spLocks noChangeShapeType="1"/>
        </xdr:cNvSpPr>
      </xdr:nvSpPr>
      <xdr:spPr bwMode="auto">
        <a:xfrm flipH="1">
          <a:off x="3971925" y="17545050"/>
          <a:ext cx="1590675" cy="342900"/>
        </a:xfrm>
        <a:prstGeom prst="line">
          <a:avLst/>
        </a:prstGeom>
        <a:noFill/>
        <a:ln w="19050">
          <a:solidFill>
            <a:srgbClr val="000000"/>
          </a:solidFill>
          <a:round/>
          <a:headEnd/>
          <a:tailEnd type="triangle" w="med" len="med"/>
        </a:ln>
        <a:effectLst/>
      </xdr:spPr>
    </xdr:sp>
    <xdr:clientData/>
  </xdr:twoCellAnchor>
  <xdr:twoCellAnchor>
    <xdr:from>
      <xdr:col>7</xdr:col>
      <xdr:colOff>342900</xdr:colOff>
      <xdr:row>190</xdr:row>
      <xdr:rowOff>152400</xdr:rowOff>
    </xdr:from>
    <xdr:to>
      <xdr:col>9</xdr:col>
      <xdr:colOff>400050</xdr:colOff>
      <xdr:row>194</xdr:row>
      <xdr:rowOff>142875</xdr:rowOff>
    </xdr:to>
    <xdr:sp macro="" textlink="">
      <xdr:nvSpPr>
        <xdr:cNvPr id="196653" name="Text Box 45"/>
        <xdr:cNvSpPr txBox="1">
          <a:spLocks noChangeArrowheads="1"/>
        </xdr:cNvSpPr>
      </xdr:nvSpPr>
      <xdr:spPr bwMode="auto">
        <a:xfrm>
          <a:off x="5743575" y="31251525"/>
          <a:ext cx="1619250" cy="638175"/>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The user is required to input these values to determine the capital cost per panel.</a:t>
          </a:r>
        </a:p>
      </xdr:txBody>
    </xdr:sp>
    <xdr:clientData/>
  </xdr:twoCellAnchor>
  <xdr:twoCellAnchor>
    <xdr:from>
      <xdr:col>7</xdr:col>
      <xdr:colOff>333375</xdr:colOff>
      <xdr:row>196</xdr:row>
      <xdr:rowOff>28575</xdr:rowOff>
    </xdr:from>
    <xdr:to>
      <xdr:col>9</xdr:col>
      <xdr:colOff>409575</xdr:colOff>
      <xdr:row>199</xdr:row>
      <xdr:rowOff>152400</xdr:rowOff>
    </xdr:to>
    <xdr:sp macro="" textlink="">
      <xdr:nvSpPr>
        <xdr:cNvPr id="196654" name="Text Box 46"/>
        <xdr:cNvSpPr txBox="1">
          <a:spLocks noChangeArrowheads="1"/>
        </xdr:cNvSpPr>
      </xdr:nvSpPr>
      <xdr:spPr bwMode="auto">
        <a:xfrm>
          <a:off x="5734050" y="32099250"/>
          <a:ext cx="1638300" cy="609600"/>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This figure represents the number of panels set as per the Prod Parameters Sheet.</a:t>
          </a:r>
        </a:p>
      </xdr:txBody>
    </xdr:sp>
    <xdr:clientData/>
  </xdr:twoCellAnchor>
  <xdr:twoCellAnchor>
    <xdr:from>
      <xdr:col>5</xdr:col>
      <xdr:colOff>457200</xdr:colOff>
      <xdr:row>192</xdr:row>
      <xdr:rowOff>66675</xdr:rowOff>
    </xdr:from>
    <xdr:to>
      <xdr:col>7</xdr:col>
      <xdr:colOff>352425</xdr:colOff>
      <xdr:row>195</xdr:row>
      <xdr:rowOff>9525</xdr:rowOff>
    </xdr:to>
    <xdr:sp macro="" textlink="">
      <xdr:nvSpPr>
        <xdr:cNvPr id="196755" name="Line 47"/>
        <xdr:cNvSpPr>
          <a:spLocks noChangeShapeType="1"/>
        </xdr:cNvSpPr>
      </xdr:nvSpPr>
      <xdr:spPr bwMode="auto">
        <a:xfrm flipH="1">
          <a:off x="4295775" y="31489650"/>
          <a:ext cx="1457325" cy="428625"/>
        </a:xfrm>
        <a:prstGeom prst="line">
          <a:avLst/>
        </a:prstGeom>
        <a:noFill/>
        <a:ln w="19050">
          <a:solidFill>
            <a:srgbClr val="000000"/>
          </a:solidFill>
          <a:round/>
          <a:headEnd/>
          <a:tailEnd type="triangle" w="med" len="med"/>
        </a:ln>
        <a:effectLst/>
      </xdr:spPr>
    </xdr:sp>
    <xdr:clientData/>
  </xdr:twoCellAnchor>
  <xdr:twoCellAnchor>
    <xdr:from>
      <xdr:col>6</xdr:col>
      <xdr:colOff>152400</xdr:colOff>
      <xdr:row>192</xdr:row>
      <xdr:rowOff>57150</xdr:rowOff>
    </xdr:from>
    <xdr:to>
      <xdr:col>7</xdr:col>
      <xdr:colOff>342900</xdr:colOff>
      <xdr:row>195</xdr:row>
      <xdr:rowOff>9525</xdr:rowOff>
    </xdr:to>
    <xdr:sp macro="" textlink="">
      <xdr:nvSpPr>
        <xdr:cNvPr id="196756" name="Line 48"/>
        <xdr:cNvSpPr>
          <a:spLocks noChangeShapeType="1"/>
        </xdr:cNvSpPr>
      </xdr:nvSpPr>
      <xdr:spPr bwMode="auto">
        <a:xfrm flipH="1">
          <a:off x="4772025" y="31480125"/>
          <a:ext cx="971550" cy="438150"/>
        </a:xfrm>
        <a:prstGeom prst="line">
          <a:avLst/>
        </a:prstGeom>
        <a:noFill/>
        <a:ln w="19050">
          <a:solidFill>
            <a:srgbClr val="000000"/>
          </a:solidFill>
          <a:round/>
          <a:headEnd/>
          <a:tailEnd type="triangle" w="med" len="med"/>
        </a:ln>
        <a:effectLst/>
      </xdr:spPr>
    </xdr:sp>
    <xdr:clientData/>
  </xdr:twoCellAnchor>
  <xdr:twoCellAnchor>
    <xdr:from>
      <xdr:col>5</xdr:col>
      <xdr:colOff>552450</xdr:colOff>
      <xdr:row>197</xdr:row>
      <xdr:rowOff>104775</xdr:rowOff>
    </xdr:from>
    <xdr:to>
      <xdr:col>7</xdr:col>
      <xdr:colOff>333375</xdr:colOff>
      <xdr:row>201</xdr:row>
      <xdr:rowOff>152400</xdr:rowOff>
    </xdr:to>
    <xdr:sp macro="" textlink="">
      <xdr:nvSpPr>
        <xdr:cNvPr id="196757" name="Line 49"/>
        <xdr:cNvSpPr>
          <a:spLocks noChangeShapeType="1"/>
        </xdr:cNvSpPr>
      </xdr:nvSpPr>
      <xdr:spPr bwMode="auto">
        <a:xfrm flipH="1">
          <a:off x="4391025" y="32337375"/>
          <a:ext cx="1343025" cy="695325"/>
        </a:xfrm>
        <a:prstGeom prst="line">
          <a:avLst/>
        </a:prstGeom>
        <a:noFill/>
        <a:ln w="19050">
          <a:solidFill>
            <a:srgbClr val="000000"/>
          </a:solidFill>
          <a:round/>
          <a:headEnd/>
          <a:tailEnd type="triangle" w="med" len="med"/>
        </a:ln>
        <a:effectLst/>
      </xdr:spPr>
    </xdr:sp>
    <xdr:clientData/>
  </xdr:twoCellAnchor>
  <xdr:twoCellAnchor>
    <xdr:from>
      <xdr:col>7</xdr:col>
      <xdr:colOff>523875</xdr:colOff>
      <xdr:row>203</xdr:row>
      <xdr:rowOff>9525</xdr:rowOff>
    </xdr:from>
    <xdr:to>
      <xdr:col>9</xdr:col>
      <xdr:colOff>581025</xdr:colOff>
      <xdr:row>207</xdr:row>
      <xdr:rowOff>142875</xdr:rowOff>
    </xdr:to>
    <xdr:sp macro="" textlink="">
      <xdr:nvSpPr>
        <xdr:cNvPr id="196658" name="Text Box 50"/>
        <xdr:cNvSpPr txBox="1">
          <a:spLocks noChangeArrowheads="1"/>
        </xdr:cNvSpPr>
      </xdr:nvSpPr>
      <xdr:spPr bwMode="auto">
        <a:xfrm>
          <a:off x="5924550" y="33213675"/>
          <a:ext cx="1619250" cy="781050"/>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lnSpc>
              <a:spcPts val="800"/>
            </a:lnSpc>
            <a:defRPr sz="1000"/>
          </a:pPr>
          <a:r>
            <a:rPr lang="en-ZA" sz="900" b="1" i="0" u="none" strike="noStrike" baseline="0">
              <a:solidFill>
                <a:srgbClr val="000000"/>
              </a:solidFill>
              <a:latin typeface="Arial"/>
              <a:cs typeface="Arial"/>
            </a:rPr>
            <a:t>The user is required to input these values to determine the consumable cost per panel.</a:t>
          </a:r>
        </a:p>
      </xdr:txBody>
    </xdr:sp>
    <xdr:clientData/>
  </xdr:twoCellAnchor>
  <xdr:twoCellAnchor>
    <xdr:from>
      <xdr:col>6</xdr:col>
      <xdr:colOff>266700</xdr:colOff>
      <xdr:row>203</xdr:row>
      <xdr:rowOff>38100</xdr:rowOff>
    </xdr:from>
    <xdr:to>
      <xdr:col>7</xdr:col>
      <xdr:colOff>533400</xdr:colOff>
      <xdr:row>204</xdr:row>
      <xdr:rowOff>28575</xdr:rowOff>
    </xdr:to>
    <xdr:sp macro="" textlink="">
      <xdr:nvSpPr>
        <xdr:cNvPr id="196759" name="Line 51"/>
        <xdr:cNvSpPr>
          <a:spLocks noChangeShapeType="1"/>
        </xdr:cNvSpPr>
      </xdr:nvSpPr>
      <xdr:spPr bwMode="auto">
        <a:xfrm flipH="1">
          <a:off x="4886325" y="33242250"/>
          <a:ext cx="1047750" cy="152400"/>
        </a:xfrm>
        <a:prstGeom prst="line">
          <a:avLst/>
        </a:prstGeom>
        <a:noFill/>
        <a:ln w="19050">
          <a:solidFill>
            <a:srgbClr val="000000"/>
          </a:solidFill>
          <a:round/>
          <a:headEnd/>
          <a:tailEnd type="triangle" w="med" len="med"/>
        </a:ln>
        <a:effectLst/>
      </xdr:spPr>
    </xdr:sp>
    <xdr:clientData/>
  </xdr:twoCellAnchor>
  <xdr:twoCellAnchor>
    <xdr:from>
      <xdr:col>1</xdr:col>
      <xdr:colOff>0</xdr:colOff>
      <xdr:row>211</xdr:row>
      <xdr:rowOff>104775</xdr:rowOff>
    </xdr:from>
    <xdr:to>
      <xdr:col>3</xdr:col>
      <xdr:colOff>123825</xdr:colOff>
      <xdr:row>215</xdr:row>
      <xdr:rowOff>114300</xdr:rowOff>
    </xdr:to>
    <xdr:sp macro="" textlink="">
      <xdr:nvSpPr>
        <xdr:cNvPr id="196660" name="Text Box 52"/>
        <xdr:cNvSpPr txBox="1">
          <a:spLocks noChangeArrowheads="1"/>
        </xdr:cNvSpPr>
      </xdr:nvSpPr>
      <xdr:spPr bwMode="auto">
        <a:xfrm>
          <a:off x="714375" y="34604325"/>
          <a:ext cx="1685925" cy="657225"/>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These figures are based on the meters drilled per panel and is calculated from the Prod Parameters sheet.</a:t>
          </a:r>
        </a:p>
      </xdr:txBody>
    </xdr:sp>
    <xdr:clientData/>
  </xdr:twoCellAnchor>
  <xdr:twoCellAnchor>
    <xdr:from>
      <xdr:col>3</xdr:col>
      <xdr:colOff>123825</xdr:colOff>
      <xdr:row>205</xdr:row>
      <xdr:rowOff>66675</xdr:rowOff>
    </xdr:from>
    <xdr:to>
      <xdr:col>5</xdr:col>
      <xdr:colOff>219075</xdr:colOff>
      <xdr:row>211</xdr:row>
      <xdr:rowOff>104775</xdr:rowOff>
    </xdr:to>
    <xdr:sp macro="" textlink="">
      <xdr:nvSpPr>
        <xdr:cNvPr id="196761" name="Line 53"/>
        <xdr:cNvSpPr>
          <a:spLocks noChangeShapeType="1"/>
        </xdr:cNvSpPr>
      </xdr:nvSpPr>
      <xdr:spPr bwMode="auto">
        <a:xfrm flipV="1">
          <a:off x="2400300" y="33594675"/>
          <a:ext cx="1657350" cy="1009650"/>
        </a:xfrm>
        <a:prstGeom prst="line">
          <a:avLst/>
        </a:prstGeom>
        <a:noFill/>
        <a:ln w="19050">
          <a:solidFill>
            <a:srgbClr val="000000"/>
          </a:solidFill>
          <a:round/>
          <a:headEnd/>
          <a:tailEnd type="triangle" w="med" len="med"/>
        </a:ln>
        <a:effectLst/>
      </xdr:spPr>
    </xdr:sp>
    <xdr:clientData/>
  </xdr:twoCellAnchor>
  <xdr:twoCellAnchor>
    <xdr:from>
      <xdr:col>3</xdr:col>
      <xdr:colOff>123825</xdr:colOff>
      <xdr:row>206</xdr:row>
      <xdr:rowOff>38100</xdr:rowOff>
    </xdr:from>
    <xdr:to>
      <xdr:col>5</xdr:col>
      <xdr:colOff>219075</xdr:colOff>
      <xdr:row>211</xdr:row>
      <xdr:rowOff>104775</xdr:rowOff>
    </xdr:to>
    <xdr:sp macro="" textlink="">
      <xdr:nvSpPr>
        <xdr:cNvPr id="196762" name="Line 54"/>
        <xdr:cNvSpPr>
          <a:spLocks noChangeShapeType="1"/>
        </xdr:cNvSpPr>
      </xdr:nvSpPr>
      <xdr:spPr bwMode="auto">
        <a:xfrm flipV="1">
          <a:off x="2400300" y="33728025"/>
          <a:ext cx="1657350" cy="876300"/>
        </a:xfrm>
        <a:prstGeom prst="line">
          <a:avLst/>
        </a:prstGeom>
        <a:noFill/>
        <a:ln w="19050">
          <a:solidFill>
            <a:srgbClr val="000000"/>
          </a:solidFill>
          <a:round/>
          <a:headEnd/>
          <a:tailEnd type="triangle" w="med" len="med"/>
        </a:ln>
        <a:effectLst/>
      </xdr:spPr>
    </xdr:sp>
    <xdr:clientData/>
  </xdr:twoCellAnchor>
  <xdr:twoCellAnchor>
    <xdr:from>
      <xdr:col>4</xdr:col>
      <xdr:colOff>485775</xdr:colOff>
      <xdr:row>212</xdr:row>
      <xdr:rowOff>0</xdr:rowOff>
    </xdr:from>
    <xdr:to>
      <xdr:col>6</xdr:col>
      <xdr:colOff>561975</xdr:colOff>
      <xdr:row>215</xdr:row>
      <xdr:rowOff>123825</xdr:rowOff>
    </xdr:to>
    <xdr:sp macro="" textlink="">
      <xdr:nvSpPr>
        <xdr:cNvPr id="196663" name="Text Box 55"/>
        <xdr:cNvSpPr txBox="1">
          <a:spLocks noChangeArrowheads="1"/>
        </xdr:cNvSpPr>
      </xdr:nvSpPr>
      <xdr:spPr bwMode="auto">
        <a:xfrm>
          <a:off x="3543300" y="34661475"/>
          <a:ext cx="1638300" cy="609600"/>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This figure represents the number of panels set as per the Prod Parameters Sheet.</a:t>
          </a:r>
        </a:p>
      </xdr:txBody>
    </xdr:sp>
    <xdr:clientData/>
  </xdr:twoCellAnchor>
  <xdr:twoCellAnchor>
    <xdr:from>
      <xdr:col>5</xdr:col>
      <xdr:colOff>428625</xdr:colOff>
      <xdr:row>207</xdr:row>
      <xdr:rowOff>66675</xdr:rowOff>
    </xdr:from>
    <xdr:to>
      <xdr:col>5</xdr:col>
      <xdr:colOff>438150</xdr:colOff>
      <xdr:row>211</xdr:row>
      <xdr:rowOff>152400</xdr:rowOff>
    </xdr:to>
    <xdr:sp macro="" textlink="">
      <xdr:nvSpPr>
        <xdr:cNvPr id="196764" name="Line 56"/>
        <xdr:cNvSpPr>
          <a:spLocks noChangeShapeType="1"/>
        </xdr:cNvSpPr>
      </xdr:nvSpPr>
      <xdr:spPr bwMode="auto">
        <a:xfrm flipV="1">
          <a:off x="4267200" y="33918525"/>
          <a:ext cx="9525" cy="733425"/>
        </a:xfrm>
        <a:prstGeom prst="line">
          <a:avLst/>
        </a:prstGeom>
        <a:noFill/>
        <a:ln w="19050">
          <a:solidFill>
            <a:srgbClr val="000000"/>
          </a:solidFill>
          <a:round/>
          <a:headEnd/>
          <a:tailEnd type="triangle" w="med" len="med"/>
        </a:ln>
        <a:effectLst/>
      </xdr:spPr>
    </xdr:sp>
    <xdr:clientData/>
  </xdr:twoCellAnchor>
  <xdr:twoCellAnchor>
    <xdr:from>
      <xdr:col>1</xdr:col>
      <xdr:colOff>0</xdr:colOff>
      <xdr:row>225</xdr:row>
      <xdr:rowOff>76200</xdr:rowOff>
    </xdr:from>
    <xdr:to>
      <xdr:col>3</xdr:col>
      <xdr:colOff>123825</xdr:colOff>
      <xdr:row>230</xdr:row>
      <xdr:rowOff>28575</xdr:rowOff>
    </xdr:to>
    <xdr:sp macro="" textlink="">
      <xdr:nvSpPr>
        <xdr:cNvPr id="196666" name="Text Box 58"/>
        <xdr:cNvSpPr txBox="1">
          <a:spLocks noChangeArrowheads="1"/>
        </xdr:cNvSpPr>
      </xdr:nvSpPr>
      <xdr:spPr bwMode="auto">
        <a:xfrm>
          <a:off x="714375" y="36842700"/>
          <a:ext cx="1685925" cy="762000"/>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These figures are based on the total meters drilled per month and is calculated from the Prod Parameters sheet.</a:t>
          </a:r>
        </a:p>
      </xdr:txBody>
    </xdr:sp>
    <xdr:clientData/>
  </xdr:twoCellAnchor>
  <xdr:twoCellAnchor>
    <xdr:from>
      <xdr:col>3</xdr:col>
      <xdr:colOff>133350</xdr:colOff>
      <xdr:row>230</xdr:row>
      <xdr:rowOff>28575</xdr:rowOff>
    </xdr:from>
    <xdr:to>
      <xdr:col>4</xdr:col>
      <xdr:colOff>342900</xdr:colOff>
      <xdr:row>231</xdr:row>
      <xdr:rowOff>95250</xdr:rowOff>
    </xdr:to>
    <xdr:sp macro="" textlink="">
      <xdr:nvSpPr>
        <xdr:cNvPr id="196766" name="Line 59"/>
        <xdr:cNvSpPr>
          <a:spLocks noChangeShapeType="1"/>
        </xdr:cNvSpPr>
      </xdr:nvSpPr>
      <xdr:spPr bwMode="auto">
        <a:xfrm>
          <a:off x="2409825" y="37604700"/>
          <a:ext cx="990600" cy="228600"/>
        </a:xfrm>
        <a:prstGeom prst="line">
          <a:avLst/>
        </a:prstGeom>
        <a:noFill/>
        <a:ln w="19050">
          <a:solidFill>
            <a:srgbClr val="000000"/>
          </a:solidFill>
          <a:round/>
          <a:headEnd/>
          <a:tailEnd type="triangle" w="med" len="med"/>
        </a:ln>
        <a:effectLst/>
      </xdr:spPr>
    </xdr:sp>
    <xdr:clientData/>
  </xdr:twoCellAnchor>
  <xdr:twoCellAnchor>
    <xdr:from>
      <xdr:col>3</xdr:col>
      <xdr:colOff>104775</xdr:colOff>
      <xdr:row>230</xdr:row>
      <xdr:rowOff>19050</xdr:rowOff>
    </xdr:from>
    <xdr:to>
      <xdr:col>3</xdr:col>
      <xdr:colOff>371475</xdr:colOff>
      <xdr:row>234</xdr:row>
      <xdr:rowOff>114300</xdr:rowOff>
    </xdr:to>
    <xdr:sp macro="" textlink="">
      <xdr:nvSpPr>
        <xdr:cNvPr id="196767" name="Line 60"/>
        <xdr:cNvSpPr>
          <a:spLocks noChangeShapeType="1"/>
        </xdr:cNvSpPr>
      </xdr:nvSpPr>
      <xdr:spPr bwMode="auto">
        <a:xfrm>
          <a:off x="2381250" y="37595175"/>
          <a:ext cx="266700" cy="742950"/>
        </a:xfrm>
        <a:prstGeom prst="line">
          <a:avLst/>
        </a:prstGeom>
        <a:noFill/>
        <a:ln w="19050">
          <a:solidFill>
            <a:srgbClr val="000000"/>
          </a:solidFill>
          <a:round/>
          <a:headEnd/>
          <a:tailEnd type="triangle" w="med" len="med"/>
        </a:ln>
        <a:effectLst/>
      </xdr:spPr>
    </xdr:sp>
    <xdr:clientData/>
  </xdr:twoCellAnchor>
  <xdr:twoCellAnchor>
    <xdr:from>
      <xdr:col>6</xdr:col>
      <xdr:colOff>123825</xdr:colOff>
      <xdr:row>225</xdr:row>
      <xdr:rowOff>142875</xdr:rowOff>
    </xdr:from>
    <xdr:to>
      <xdr:col>8</xdr:col>
      <xdr:colOff>180975</xdr:colOff>
      <xdr:row>230</xdr:row>
      <xdr:rowOff>114300</xdr:rowOff>
    </xdr:to>
    <xdr:sp macro="" textlink="">
      <xdr:nvSpPr>
        <xdr:cNvPr id="196669" name="Text Box 61"/>
        <xdr:cNvSpPr txBox="1">
          <a:spLocks noChangeArrowheads="1"/>
        </xdr:cNvSpPr>
      </xdr:nvSpPr>
      <xdr:spPr bwMode="auto">
        <a:xfrm>
          <a:off x="4743450" y="36909375"/>
          <a:ext cx="1619250" cy="781050"/>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lnSpc>
              <a:spcPts val="800"/>
            </a:lnSpc>
            <a:defRPr sz="1000"/>
          </a:pPr>
          <a:r>
            <a:rPr lang="en-ZA" sz="900" b="1" i="0" u="none" strike="noStrike" baseline="0">
              <a:solidFill>
                <a:srgbClr val="000000"/>
              </a:solidFill>
              <a:latin typeface="Arial"/>
              <a:cs typeface="Arial"/>
            </a:rPr>
            <a:t>The user is required to input these values to determine the consumable cost per month.</a:t>
          </a:r>
        </a:p>
      </xdr:txBody>
    </xdr:sp>
    <xdr:clientData/>
  </xdr:twoCellAnchor>
  <xdr:twoCellAnchor>
    <xdr:from>
      <xdr:col>4</xdr:col>
      <xdr:colOff>323850</xdr:colOff>
      <xdr:row>230</xdr:row>
      <xdr:rowOff>95250</xdr:rowOff>
    </xdr:from>
    <xdr:to>
      <xdr:col>6</xdr:col>
      <xdr:colOff>114300</xdr:colOff>
      <xdr:row>233</xdr:row>
      <xdr:rowOff>152400</xdr:rowOff>
    </xdr:to>
    <xdr:sp macro="" textlink="">
      <xdr:nvSpPr>
        <xdr:cNvPr id="196769" name="Line 62"/>
        <xdr:cNvSpPr>
          <a:spLocks noChangeShapeType="1"/>
        </xdr:cNvSpPr>
      </xdr:nvSpPr>
      <xdr:spPr bwMode="auto">
        <a:xfrm flipH="1">
          <a:off x="3381375" y="37671375"/>
          <a:ext cx="1352550" cy="542925"/>
        </a:xfrm>
        <a:prstGeom prst="line">
          <a:avLst/>
        </a:prstGeom>
        <a:noFill/>
        <a:ln w="19050">
          <a:solidFill>
            <a:srgbClr val="000000"/>
          </a:solidFill>
          <a:round/>
          <a:headEnd/>
          <a:tailEnd type="triangle" w="med" len="med"/>
        </a:ln>
        <a:effectLst/>
      </xdr:spPr>
    </xdr:sp>
    <xdr:clientData/>
  </xdr:twoCellAnchor>
  <xdr:twoCellAnchor>
    <xdr:from>
      <xdr:col>5</xdr:col>
      <xdr:colOff>628650</xdr:colOff>
      <xdr:row>230</xdr:row>
      <xdr:rowOff>95250</xdr:rowOff>
    </xdr:from>
    <xdr:to>
      <xdr:col>6</xdr:col>
      <xdr:colOff>123825</xdr:colOff>
      <xdr:row>233</xdr:row>
      <xdr:rowOff>133350</xdr:rowOff>
    </xdr:to>
    <xdr:sp macro="" textlink="">
      <xdr:nvSpPr>
        <xdr:cNvPr id="196770" name="Line 63"/>
        <xdr:cNvSpPr>
          <a:spLocks noChangeShapeType="1"/>
        </xdr:cNvSpPr>
      </xdr:nvSpPr>
      <xdr:spPr bwMode="auto">
        <a:xfrm flipH="1">
          <a:off x="4467225" y="37671375"/>
          <a:ext cx="276225" cy="523875"/>
        </a:xfrm>
        <a:prstGeom prst="line">
          <a:avLst/>
        </a:prstGeom>
        <a:noFill/>
        <a:ln w="19050">
          <a:solidFill>
            <a:srgbClr val="000000"/>
          </a:solidFill>
          <a:round/>
          <a:headEnd/>
          <a:tailEnd type="triangle" w="med" len="med"/>
        </a:ln>
        <a:effectLst/>
      </xdr:spPr>
    </xdr:sp>
    <xdr:clientData/>
  </xdr:twoCellAnchor>
  <xdr:twoCellAnchor>
    <xdr:from>
      <xdr:col>0</xdr:col>
      <xdr:colOff>66675</xdr:colOff>
      <xdr:row>237</xdr:row>
      <xdr:rowOff>9525</xdr:rowOff>
    </xdr:from>
    <xdr:to>
      <xdr:col>3</xdr:col>
      <xdr:colOff>9525</xdr:colOff>
      <xdr:row>243</xdr:row>
      <xdr:rowOff>9525</xdr:rowOff>
    </xdr:to>
    <xdr:sp macro="" textlink="">
      <xdr:nvSpPr>
        <xdr:cNvPr id="196672" name="Text Box 64"/>
        <xdr:cNvSpPr txBox="1">
          <a:spLocks noChangeArrowheads="1"/>
        </xdr:cNvSpPr>
      </xdr:nvSpPr>
      <xdr:spPr bwMode="auto">
        <a:xfrm>
          <a:off x="66675" y="38719125"/>
          <a:ext cx="2219325" cy="971550"/>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It is assumed that pneumatic drills need to be replaced on average every four years with six weekly overhauls during that period.</a:t>
          </a:r>
        </a:p>
      </xdr:txBody>
    </xdr:sp>
    <xdr:clientData/>
  </xdr:twoCellAnchor>
  <xdr:twoCellAnchor>
    <xdr:from>
      <xdr:col>2</xdr:col>
      <xdr:colOff>704850</xdr:colOff>
      <xdr:row>235</xdr:row>
      <xdr:rowOff>133350</xdr:rowOff>
    </xdr:from>
    <xdr:to>
      <xdr:col>3</xdr:col>
      <xdr:colOff>276225</xdr:colOff>
      <xdr:row>237</xdr:row>
      <xdr:rowOff>9525</xdr:rowOff>
    </xdr:to>
    <xdr:sp macro="" textlink="">
      <xdr:nvSpPr>
        <xdr:cNvPr id="196772" name="Line 65"/>
        <xdr:cNvSpPr>
          <a:spLocks noChangeShapeType="1"/>
        </xdr:cNvSpPr>
      </xdr:nvSpPr>
      <xdr:spPr bwMode="auto">
        <a:xfrm flipV="1">
          <a:off x="2200275" y="38519100"/>
          <a:ext cx="352425" cy="200025"/>
        </a:xfrm>
        <a:prstGeom prst="line">
          <a:avLst/>
        </a:prstGeom>
        <a:noFill/>
        <a:ln w="19050">
          <a:solidFill>
            <a:srgbClr val="000000"/>
          </a:solidFill>
          <a:round/>
          <a:headEnd/>
          <a:tailEnd type="triangle" w="med" len="med"/>
        </a:ln>
        <a:effectLst/>
      </xdr:spPr>
    </xdr:sp>
    <xdr:clientData/>
  </xdr:twoCellAnchor>
  <xdr:twoCellAnchor>
    <xdr:from>
      <xdr:col>3</xdr:col>
      <xdr:colOff>0</xdr:colOff>
      <xdr:row>237</xdr:row>
      <xdr:rowOff>9525</xdr:rowOff>
    </xdr:from>
    <xdr:to>
      <xdr:col>3</xdr:col>
      <xdr:colOff>276225</xdr:colOff>
      <xdr:row>237</xdr:row>
      <xdr:rowOff>152400</xdr:rowOff>
    </xdr:to>
    <xdr:sp macro="" textlink="">
      <xdr:nvSpPr>
        <xdr:cNvPr id="196773" name="Line 66"/>
        <xdr:cNvSpPr>
          <a:spLocks noChangeShapeType="1"/>
        </xdr:cNvSpPr>
      </xdr:nvSpPr>
      <xdr:spPr bwMode="auto">
        <a:xfrm>
          <a:off x="2276475" y="38719125"/>
          <a:ext cx="276225" cy="142875"/>
        </a:xfrm>
        <a:prstGeom prst="line">
          <a:avLst/>
        </a:prstGeom>
        <a:noFill/>
        <a:ln w="19050">
          <a:solidFill>
            <a:srgbClr val="000000"/>
          </a:solidFill>
          <a:round/>
          <a:headEnd/>
          <a:tailEnd type="triangle" w="med" len="med"/>
        </a:ln>
        <a:effectLst/>
      </xdr:spPr>
    </xdr:sp>
    <xdr:clientData/>
  </xdr:twoCellAnchor>
  <xdr:twoCellAnchor>
    <xdr:from>
      <xdr:col>7</xdr:col>
      <xdr:colOff>504825</xdr:colOff>
      <xdr:row>233</xdr:row>
      <xdr:rowOff>76200</xdr:rowOff>
    </xdr:from>
    <xdr:to>
      <xdr:col>9</xdr:col>
      <xdr:colOff>561975</xdr:colOff>
      <xdr:row>237</xdr:row>
      <xdr:rowOff>66675</xdr:rowOff>
    </xdr:to>
    <xdr:sp macro="" textlink="">
      <xdr:nvSpPr>
        <xdr:cNvPr id="196675" name="Text Box 67"/>
        <xdr:cNvSpPr txBox="1">
          <a:spLocks noChangeArrowheads="1"/>
        </xdr:cNvSpPr>
      </xdr:nvSpPr>
      <xdr:spPr bwMode="auto">
        <a:xfrm>
          <a:off x="5905500" y="38138100"/>
          <a:ext cx="1619250" cy="638175"/>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The figure allows for 10% of the Capital Cost outlay for electrical spares, cables, plugs etc.</a:t>
          </a:r>
        </a:p>
      </xdr:txBody>
    </xdr:sp>
    <xdr:clientData/>
  </xdr:twoCellAnchor>
  <xdr:twoCellAnchor>
    <xdr:from>
      <xdr:col>7</xdr:col>
      <xdr:colOff>9525</xdr:colOff>
      <xdr:row>234</xdr:row>
      <xdr:rowOff>133350</xdr:rowOff>
    </xdr:from>
    <xdr:to>
      <xdr:col>7</xdr:col>
      <xdr:colOff>514350</xdr:colOff>
      <xdr:row>235</xdr:row>
      <xdr:rowOff>142875</xdr:rowOff>
    </xdr:to>
    <xdr:sp macro="" textlink="">
      <xdr:nvSpPr>
        <xdr:cNvPr id="196775" name="Line 68"/>
        <xdr:cNvSpPr>
          <a:spLocks noChangeShapeType="1"/>
        </xdr:cNvSpPr>
      </xdr:nvSpPr>
      <xdr:spPr bwMode="auto">
        <a:xfrm flipH="1">
          <a:off x="5410200" y="38357175"/>
          <a:ext cx="504825" cy="171450"/>
        </a:xfrm>
        <a:prstGeom prst="line">
          <a:avLst/>
        </a:prstGeom>
        <a:noFill/>
        <a:ln w="19050">
          <a:solidFill>
            <a:srgbClr val="000000"/>
          </a:solidFill>
          <a:round/>
          <a:headEnd/>
          <a:tailEnd type="triangle" w="med" len="med"/>
        </a:ln>
        <a:effectLst/>
      </xdr:spPr>
    </xdr:sp>
    <xdr:clientData/>
  </xdr:twoCellAnchor>
  <xdr:twoCellAnchor>
    <xdr:from>
      <xdr:col>3</xdr:col>
      <xdr:colOff>123825</xdr:colOff>
      <xdr:row>230</xdr:row>
      <xdr:rowOff>19050</xdr:rowOff>
    </xdr:from>
    <xdr:to>
      <xdr:col>5</xdr:col>
      <xdr:colOff>133350</xdr:colOff>
      <xdr:row>235</xdr:row>
      <xdr:rowOff>0</xdr:rowOff>
    </xdr:to>
    <xdr:sp macro="" textlink="">
      <xdr:nvSpPr>
        <xdr:cNvPr id="196776" name="Line 69"/>
        <xdr:cNvSpPr>
          <a:spLocks noChangeShapeType="1"/>
        </xdr:cNvSpPr>
      </xdr:nvSpPr>
      <xdr:spPr bwMode="auto">
        <a:xfrm>
          <a:off x="2400300" y="37595175"/>
          <a:ext cx="1571625" cy="790575"/>
        </a:xfrm>
        <a:prstGeom prst="line">
          <a:avLst/>
        </a:prstGeom>
        <a:noFill/>
        <a:ln w="19050">
          <a:solidFill>
            <a:srgbClr val="000000"/>
          </a:solidFill>
          <a:round/>
          <a:headEnd/>
          <a:tailEnd type="triangle" w="med" len="med"/>
        </a:ln>
        <a:effectLst/>
      </xdr:spPr>
    </xdr:sp>
    <xdr:clientData/>
  </xdr:twoCellAnchor>
  <xdr:twoCellAnchor>
    <xdr:from>
      <xdr:col>5</xdr:col>
      <xdr:colOff>190500</xdr:colOff>
      <xdr:row>258</xdr:row>
      <xdr:rowOff>142875</xdr:rowOff>
    </xdr:from>
    <xdr:to>
      <xdr:col>7</xdr:col>
      <xdr:colOff>247650</xdr:colOff>
      <xdr:row>262</xdr:row>
      <xdr:rowOff>123825</xdr:rowOff>
    </xdr:to>
    <xdr:sp macro="" textlink="">
      <xdr:nvSpPr>
        <xdr:cNvPr id="196679" name="Text Box 71"/>
        <xdr:cNvSpPr txBox="1">
          <a:spLocks noChangeArrowheads="1"/>
        </xdr:cNvSpPr>
      </xdr:nvSpPr>
      <xdr:spPr bwMode="auto">
        <a:xfrm>
          <a:off x="4029075" y="42252900"/>
          <a:ext cx="1619250" cy="628650"/>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The user is required to set the values required for the respective opertaion by clicking on these buttons.</a:t>
          </a:r>
        </a:p>
      </xdr:txBody>
    </xdr:sp>
    <xdr:clientData/>
  </xdr:twoCellAnchor>
  <xdr:twoCellAnchor>
    <xdr:from>
      <xdr:col>3</xdr:col>
      <xdr:colOff>314325</xdr:colOff>
      <xdr:row>262</xdr:row>
      <xdr:rowOff>104775</xdr:rowOff>
    </xdr:from>
    <xdr:to>
      <xdr:col>5</xdr:col>
      <xdr:colOff>190500</xdr:colOff>
      <xdr:row>267</xdr:row>
      <xdr:rowOff>76200</xdr:rowOff>
    </xdr:to>
    <xdr:sp macro="" textlink="">
      <xdr:nvSpPr>
        <xdr:cNvPr id="196778" name="Line 72"/>
        <xdr:cNvSpPr>
          <a:spLocks noChangeShapeType="1"/>
        </xdr:cNvSpPr>
      </xdr:nvSpPr>
      <xdr:spPr bwMode="auto">
        <a:xfrm flipH="1">
          <a:off x="2590800" y="42862500"/>
          <a:ext cx="1438275" cy="781050"/>
        </a:xfrm>
        <a:prstGeom prst="line">
          <a:avLst/>
        </a:prstGeom>
        <a:noFill/>
        <a:ln w="19050">
          <a:solidFill>
            <a:srgbClr val="000000"/>
          </a:solidFill>
          <a:round/>
          <a:headEnd/>
          <a:tailEnd type="triangle" w="med" len="med"/>
        </a:ln>
        <a:effectLst/>
      </xdr:spPr>
    </xdr:sp>
    <xdr:clientData/>
  </xdr:twoCellAnchor>
  <xdr:twoCellAnchor>
    <xdr:from>
      <xdr:col>5</xdr:col>
      <xdr:colOff>200025</xdr:colOff>
      <xdr:row>262</xdr:row>
      <xdr:rowOff>104775</xdr:rowOff>
    </xdr:from>
    <xdr:to>
      <xdr:col>6</xdr:col>
      <xdr:colOff>619125</xdr:colOff>
      <xdr:row>266</xdr:row>
      <xdr:rowOff>9525</xdr:rowOff>
    </xdr:to>
    <xdr:sp macro="" textlink="">
      <xdr:nvSpPr>
        <xdr:cNvPr id="196779" name="Line 73"/>
        <xdr:cNvSpPr>
          <a:spLocks noChangeShapeType="1"/>
        </xdr:cNvSpPr>
      </xdr:nvSpPr>
      <xdr:spPr bwMode="auto">
        <a:xfrm>
          <a:off x="4038600" y="42862500"/>
          <a:ext cx="1200150" cy="552450"/>
        </a:xfrm>
        <a:prstGeom prst="line">
          <a:avLst/>
        </a:prstGeom>
        <a:noFill/>
        <a:ln w="19050">
          <a:solidFill>
            <a:srgbClr val="000000"/>
          </a:solidFill>
          <a:round/>
          <a:headEnd/>
          <a:tailEnd type="triangle" w="med" len="med"/>
        </a:ln>
        <a:effectLst/>
      </xdr:spPr>
    </xdr:sp>
    <xdr:clientData/>
  </xdr:twoCellAnchor>
  <xdr:twoCellAnchor>
    <xdr:from>
      <xdr:col>5</xdr:col>
      <xdr:colOff>190500</xdr:colOff>
      <xdr:row>262</xdr:row>
      <xdr:rowOff>104775</xdr:rowOff>
    </xdr:from>
    <xdr:to>
      <xdr:col>6</xdr:col>
      <xdr:colOff>352425</xdr:colOff>
      <xdr:row>267</xdr:row>
      <xdr:rowOff>104775</xdr:rowOff>
    </xdr:to>
    <xdr:sp macro="" textlink="">
      <xdr:nvSpPr>
        <xdr:cNvPr id="196780" name="Line 74"/>
        <xdr:cNvSpPr>
          <a:spLocks noChangeShapeType="1"/>
        </xdr:cNvSpPr>
      </xdr:nvSpPr>
      <xdr:spPr bwMode="auto">
        <a:xfrm>
          <a:off x="4029075" y="42862500"/>
          <a:ext cx="942975" cy="809625"/>
        </a:xfrm>
        <a:prstGeom prst="line">
          <a:avLst/>
        </a:prstGeom>
        <a:noFill/>
        <a:ln w="19050">
          <a:solidFill>
            <a:srgbClr val="000000"/>
          </a:solidFill>
          <a:round/>
          <a:headEnd/>
          <a:tailEnd type="triangle" w="med" len="med"/>
        </a:ln>
        <a:effectLst/>
      </xdr:spPr>
    </xdr:sp>
    <xdr:clientData/>
  </xdr:twoCellAnchor>
  <xdr:twoCellAnchor>
    <xdr:from>
      <xdr:col>6</xdr:col>
      <xdr:colOff>9525</xdr:colOff>
      <xdr:row>289</xdr:row>
      <xdr:rowOff>0</xdr:rowOff>
    </xdr:from>
    <xdr:to>
      <xdr:col>9</xdr:col>
      <xdr:colOff>447675</xdr:colOff>
      <xdr:row>293</xdr:row>
      <xdr:rowOff>9525</xdr:rowOff>
    </xdr:to>
    <xdr:sp macro="" textlink="">
      <xdr:nvSpPr>
        <xdr:cNvPr id="196684" name="Text Box 76"/>
        <xdr:cNvSpPr txBox="1">
          <a:spLocks noChangeArrowheads="1"/>
        </xdr:cNvSpPr>
      </xdr:nvSpPr>
      <xdr:spPr bwMode="auto">
        <a:xfrm>
          <a:off x="4629150" y="47129700"/>
          <a:ext cx="2781300" cy="657225"/>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A yearly maintenance cost of 5% of the compressor station, per year is assumed for the compressed air system and for this model is based on the total energy consumption cost.</a:t>
          </a:r>
        </a:p>
      </xdr:txBody>
    </xdr:sp>
    <xdr:clientData/>
  </xdr:twoCellAnchor>
  <xdr:twoCellAnchor>
    <xdr:from>
      <xdr:col>1</xdr:col>
      <xdr:colOff>685800</xdr:colOff>
      <xdr:row>288</xdr:row>
      <xdr:rowOff>152400</xdr:rowOff>
    </xdr:from>
    <xdr:to>
      <xdr:col>4</xdr:col>
      <xdr:colOff>600075</xdr:colOff>
      <xdr:row>293</xdr:row>
      <xdr:rowOff>123825</xdr:rowOff>
    </xdr:to>
    <xdr:sp macro="" textlink="">
      <xdr:nvSpPr>
        <xdr:cNvPr id="196688" name="Text Box 80"/>
        <xdr:cNvSpPr txBox="1">
          <a:spLocks noChangeArrowheads="1"/>
        </xdr:cNvSpPr>
      </xdr:nvSpPr>
      <xdr:spPr bwMode="auto">
        <a:xfrm>
          <a:off x="1400175" y="47120175"/>
          <a:ext cx="2257425" cy="781050"/>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ZA" sz="900" b="1" i="0" u="none" strike="noStrike" baseline="0">
              <a:solidFill>
                <a:srgbClr val="000000"/>
              </a:solidFill>
              <a:latin typeface="Arial"/>
              <a:cs typeface="Arial"/>
            </a:rPr>
            <a:t>For the Electric drilling the yearly maintenance cost is based on 5% of the "Off Shift" energy consumption cost because the Hilti is independent of comp air during drilling.</a:t>
          </a:r>
        </a:p>
      </xdr:txBody>
    </xdr:sp>
    <xdr:clientData/>
  </xdr:twoCellAnchor>
  <xdr:twoCellAnchor>
    <xdr:from>
      <xdr:col>4</xdr:col>
      <xdr:colOff>600075</xdr:colOff>
      <xdr:row>291</xdr:row>
      <xdr:rowOff>47625</xdr:rowOff>
    </xdr:from>
    <xdr:to>
      <xdr:col>5</xdr:col>
      <xdr:colOff>152400</xdr:colOff>
      <xdr:row>297</xdr:row>
      <xdr:rowOff>9525</xdr:rowOff>
    </xdr:to>
    <xdr:sp macro="" textlink="">
      <xdr:nvSpPr>
        <xdr:cNvPr id="196783" name="Line 93"/>
        <xdr:cNvSpPr>
          <a:spLocks noChangeShapeType="1"/>
        </xdr:cNvSpPr>
      </xdr:nvSpPr>
      <xdr:spPr bwMode="auto">
        <a:xfrm>
          <a:off x="3657600" y="47501175"/>
          <a:ext cx="333375" cy="933450"/>
        </a:xfrm>
        <a:prstGeom prst="line">
          <a:avLst/>
        </a:prstGeom>
        <a:noFill/>
        <a:ln w="19050">
          <a:solidFill>
            <a:srgbClr val="000000"/>
          </a:solidFill>
          <a:round/>
          <a:headEnd/>
          <a:tailEnd type="triangle" w="med" len="med"/>
        </a:ln>
        <a:effectLst/>
      </xdr:spPr>
    </xdr:sp>
    <xdr:clientData/>
  </xdr:twoCellAnchor>
  <xdr:twoCellAnchor>
    <xdr:from>
      <xdr:col>6</xdr:col>
      <xdr:colOff>590550</xdr:colOff>
      <xdr:row>293</xdr:row>
      <xdr:rowOff>0</xdr:rowOff>
    </xdr:from>
    <xdr:to>
      <xdr:col>7</xdr:col>
      <xdr:colOff>400050</xdr:colOff>
      <xdr:row>297</xdr:row>
      <xdr:rowOff>0</xdr:rowOff>
    </xdr:to>
    <xdr:sp macro="" textlink="">
      <xdr:nvSpPr>
        <xdr:cNvPr id="196784" name="Line 94"/>
        <xdr:cNvSpPr>
          <a:spLocks noChangeShapeType="1"/>
        </xdr:cNvSpPr>
      </xdr:nvSpPr>
      <xdr:spPr bwMode="auto">
        <a:xfrm flipH="1">
          <a:off x="5210175" y="47777400"/>
          <a:ext cx="590550" cy="647700"/>
        </a:xfrm>
        <a:prstGeom prst="line">
          <a:avLst/>
        </a:prstGeom>
        <a:noFill/>
        <a:ln w="19050">
          <a:solidFill>
            <a:srgbClr val="000000"/>
          </a:solidFill>
          <a:round/>
          <a:headEnd/>
          <a:tailEnd type="triangle" w="med" len="med"/>
        </a:ln>
        <a:effectLst/>
      </xdr:spPr>
    </xdr:sp>
    <xdr:clientData/>
  </xdr:twoCellAnchor>
  <xdr:twoCellAnchor>
    <xdr:from>
      <xdr:col>7</xdr:col>
      <xdr:colOff>400050</xdr:colOff>
      <xdr:row>293</xdr:row>
      <xdr:rowOff>0</xdr:rowOff>
    </xdr:from>
    <xdr:to>
      <xdr:col>7</xdr:col>
      <xdr:colOff>400050</xdr:colOff>
      <xdr:row>297</xdr:row>
      <xdr:rowOff>0</xdr:rowOff>
    </xdr:to>
    <xdr:sp macro="" textlink="">
      <xdr:nvSpPr>
        <xdr:cNvPr id="196785" name="Line 95"/>
        <xdr:cNvSpPr>
          <a:spLocks noChangeShapeType="1"/>
        </xdr:cNvSpPr>
      </xdr:nvSpPr>
      <xdr:spPr bwMode="auto">
        <a:xfrm>
          <a:off x="5800725" y="47777400"/>
          <a:ext cx="0" cy="647700"/>
        </a:xfrm>
        <a:prstGeom prst="line">
          <a:avLst/>
        </a:prstGeom>
        <a:noFill/>
        <a:ln w="19050">
          <a:solidFill>
            <a:srgbClr val="000000"/>
          </a:solidFill>
          <a:round/>
          <a:headEnd/>
          <a:tailEnd type="triangle" w="med" len="med"/>
        </a:ln>
        <a:effectLst/>
      </xdr:spPr>
    </xdr:sp>
    <xdr:clientData/>
  </xdr:twoCellAnchor>
  <xdr:twoCellAnchor>
    <xdr:from>
      <xdr:col>7</xdr:col>
      <xdr:colOff>400050</xdr:colOff>
      <xdr:row>293</xdr:row>
      <xdr:rowOff>19050</xdr:rowOff>
    </xdr:from>
    <xdr:to>
      <xdr:col>8</xdr:col>
      <xdr:colOff>342900</xdr:colOff>
      <xdr:row>297</xdr:row>
      <xdr:rowOff>0</xdr:rowOff>
    </xdr:to>
    <xdr:sp macro="" textlink="">
      <xdr:nvSpPr>
        <xdr:cNvPr id="196786" name="Line 96"/>
        <xdr:cNvSpPr>
          <a:spLocks noChangeShapeType="1"/>
        </xdr:cNvSpPr>
      </xdr:nvSpPr>
      <xdr:spPr bwMode="auto">
        <a:xfrm>
          <a:off x="5800725" y="47796450"/>
          <a:ext cx="723900" cy="628650"/>
        </a:xfrm>
        <a:prstGeom prst="line">
          <a:avLst/>
        </a:prstGeom>
        <a:noFill/>
        <a:ln w="19050">
          <a:solidFill>
            <a:srgbClr val="000000"/>
          </a:solidFill>
          <a:round/>
          <a:headEnd/>
          <a:tailEnd type="triangle" w="med" len="med"/>
        </a:ln>
        <a:effectLst/>
      </xdr:spPr>
    </xdr:sp>
    <xdr:clientData/>
  </xdr:twoCellAnchor>
  <xdr:twoCellAnchor>
    <xdr:from>
      <xdr:col>6</xdr:col>
      <xdr:colOff>514350</xdr:colOff>
      <xdr:row>76</xdr:row>
      <xdr:rowOff>114300</xdr:rowOff>
    </xdr:from>
    <xdr:to>
      <xdr:col>7</xdr:col>
      <xdr:colOff>95250</xdr:colOff>
      <xdr:row>82</xdr:row>
      <xdr:rowOff>0</xdr:rowOff>
    </xdr:to>
    <xdr:sp macro="" textlink="">
      <xdr:nvSpPr>
        <xdr:cNvPr id="196787" name="Line 97"/>
        <xdr:cNvSpPr>
          <a:spLocks noChangeShapeType="1"/>
        </xdr:cNvSpPr>
      </xdr:nvSpPr>
      <xdr:spPr bwMode="auto">
        <a:xfrm flipH="1" flipV="1">
          <a:off x="5133975" y="12553950"/>
          <a:ext cx="361950" cy="857250"/>
        </a:xfrm>
        <a:prstGeom prst="line">
          <a:avLst/>
        </a:prstGeom>
        <a:noFill/>
        <a:ln w="19050">
          <a:solidFill>
            <a:srgbClr val="000000"/>
          </a:solidFill>
          <a:round/>
          <a:headEnd/>
          <a:tailEnd type="triangle" w="med" len="med"/>
        </a:ln>
        <a:effec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6</xdr:row>
      <xdr:rowOff>0</xdr:rowOff>
    </xdr:from>
    <xdr:to>
      <xdr:col>10</xdr:col>
      <xdr:colOff>704850</xdr:colOff>
      <xdr:row>28</xdr:row>
      <xdr:rowOff>0</xdr:rowOff>
    </xdr:to>
    <xdr:graphicFrame macro="">
      <xdr:nvGraphicFramePr>
        <xdr:cNvPr id="16078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6</xdr:row>
      <xdr:rowOff>0</xdr:rowOff>
    </xdr:from>
    <xdr:to>
      <xdr:col>11</xdr:col>
      <xdr:colOff>0</xdr:colOff>
      <xdr:row>28</xdr:row>
      <xdr:rowOff>0</xdr:rowOff>
    </xdr:to>
    <xdr:graphicFrame macro="">
      <xdr:nvGraphicFramePr>
        <xdr:cNvPr id="16794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6</xdr:row>
      <xdr:rowOff>0</xdr:rowOff>
    </xdr:from>
    <xdr:to>
      <xdr:col>11</xdr:col>
      <xdr:colOff>0</xdr:colOff>
      <xdr:row>28</xdr:row>
      <xdr:rowOff>0</xdr:rowOff>
    </xdr:to>
    <xdr:graphicFrame macro="">
      <xdr:nvGraphicFramePr>
        <xdr:cNvPr id="16999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6</xdr:row>
      <xdr:rowOff>0</xdr:rowOff>
    </xdr:from>
    <xdr:to>
      <xdr:col>11</xdr:col>
      <xdr:colOff>0</xdr:colOff>
      <xdr:row>28</xdr:row>
      <xdr:rowOff>0</xdr:rowOff>
    </xdr:to>
    <xdr:graphicFrame macro="">
      <xdr:nvGraphicFramePr>
        <xdr:cNvPr id="17204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6</xdr:row>
      <xdr:rowOff>0</xdr:rowOff>
    </xdr:from>
    <xdr:to>
      <xdr:col>11</xdr:col>
      <xdr:colOff>0</xdr:colOff>
      <xdr:row>28</xdr:row>
      <xdr:rowOff>0</xdr:rowOff>
    </xdr:to>
    <xdr:graphicFrame macro="">
      <xdr:nvGraphicFramePr>
        <xdr:cNvPr id="174097"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6</xdr:row>
      <xdr:rowOff>0</xdr:rowOff>
    </xdr:from>
    <xdr:to>
      <xdr:col>11</xdr:col>
      <xdr:colOff>0</xdr:colOff>
      <xdr:row>27</xdr:row>
      <xdr:rowOff>0</xdr:rowOff>
    </xdr:to>
    <xdr:graphicFrame macro="">
      <xdr:nvGraphicFramePr>
        <xdr:cNvPr id="17614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6</xdr:row>
      <xdr:rowOff>0</xdr:rowOff>
    </xdr:from>
    <xdr:to>
      <xdr:col>11</xdr:col>
      <xdr:colOff>0</xdr:colOff>
      <xdr:row>27</xdr:row>
      <xdr:rowOff>0</xdr:rowOff>
    </xdr:to>
    <xdr:graphicFrame macro="">
      <xdr:nvGraphicFramePr>
        <xdr:cNvPr id="178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8</xdr:row>
      <xdr:rowOff>0</xdr:rowOff>
    </xdr:from>
    <xdr:to>
      <xdr:col>11</xdr:col>
      <xdr:colOff>0</xdr:colOff>
      <xdr:row>28</xdr:row>
      <xdr:rowOff>0</xdr:rowOff>
    </xdr:to>
    <xdr:graphicFrame macro="">
      <xdr:nvGraphicFramePr>
        <xdr:cNvPr id="18433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0</xdr:rowOff>
    </xdr:from>
    <xdr:to>
      <xdr:col>11</xdr:col>
      <xdr:colOff>0</xdr:colOff>
      <xdr:row>29</xdr:row>
      <xdr:rowOff>0</xdr:rowOff>
    </xdr:to>
    <xdr:graphicFrame macro="">
      <xdr:nvGraphicFramePr>
        <xdr:cNvPr id="10243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6</xdr:row>
      <xdr:rowOff>0</xdr:rowOff>
    </xdr:from>
    <xdr:to>
      <xdr:col>11</xdr:col>
      <xdr:colOff>0</xdr:colOff>
      <xdr:row>28</xdr:row>
      <xdr:rowOff>0</xdr:rowOff>
    </xdr:to>
    <xdr:graphicFrame macro="">
      <xdr:nvGraphicFramePr>
        <xdr:cNvPr id="18126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219075</xdr:colOff>
      <xdr:row>4</xdr:row>
      <xdr:rowOff>9525</xdr:rowOff>
    </xdr:from>
    <xdr:to>
      <xdr:col>8</xdr:col>
      <xdr:colOff>19050</xdr:colOff>
      <xdr:row>15</xdr:row>
      <xdr:rowOff>85725</xdr:rowOff>
    </xdr:to>
    <xdr:grpSp>
      <xdr:nvGrpSpPr>
        <xdr:cNvPr id="20519" name="Group 10"/>
        <xdr:cNvGrpSpPr>
          <a:grpSpLocks noChangeAspect="1"/>
        </xdr:cNvGrpSpPr>
      </xdr:nvGrpSpPr>
      <xdr:grpSpPr bwMode="auto">
        <a:xfrm>
          <a:off x="1609725" y="695325"/>
          <a:ext cx="4486275" cy="1857375"/>
          <a:chOff x="7898" y="3914"/>
          <a:chExt cx="2556" cy="976"/>
        </a:xfrm>
      </xdr:grpSpPr>
      <xdr:pic>
        <xdr:nvPicPr>
          <xdr:cNvPr id="20547" name="Picture 11"/>
          <xdr:cNvPicPr preferRelativeResize="0">
            <a:picLocks noChangeAspect="1" noChangeArrowheads="1"/>
          </xdr:cNvPicPr>
        </xdr:nvPicPr>
        <xdr:blipFill>
          <a:blip xmlns:r="http://schemas.openxmlformats.org/officeDocument/2006/relationships" r:embed="rId1"/>
          <a:srcRect/>
          <a:stretch>
            <a:fillRect/>
          </a:stretch>
        </xdr:blipFill>
        <xdr:spPr bwMode="auto">
          <a:xfrm>
            <a:off x="7898" y="3914"/>
            <a:ext cx="2556" cy="976"/>
          </a:xfrm>
          <a:prstGeom prst="rect">
            <a:avLst/>
          </a:prstGeom>
          <a:noFill/>
          <a:ln w="9525">
            <a:noFill/>
            <a:miter lim="800000"/>
            <a:headEnd/>
            <a:tailEnd/>
          </a:ln>
        </xdr:spPr>
      </xdr:pic>
      <xdr:pic>
        <xdr:nvPicPr>
          <xdr:cNvPr id="20548" name="Picture 12"/>
          <xdr:cNvPicPr preferRelativeResize="0">
            <a:picLocks noChangeAspect="1" noChangeArrowheads="1"/>
          </xdr:cNvPicPr>
        </xdr:nvPicPr>
        <xdr:blipFill>
          <a:blip xmlns:r="http://schemas.openxmlformats.org/officeDocument/2006/relationships" r:embed="rId2"/>
          <a:srcRect/>
          <a:stretch>
            <a:fillRect/>
          </a:stretch>
        </xdr:blipFill>
        <xdr:spPr bwMode="auto">
          <a:xfrm>
            <a:off x="8138" y="4500"/>
            <a:ext cx="1035" cy="231"/>
          </a:xfrm>
          <a:prstGeom prst="rect">
            <a:avLst/>
          </a:prstGeom>
          <a:noFill/>
          <a:ln w="9525">
            <a:noFill/>
            <a:miter lim="800000"/>
            <a:headEnd/>
            <a:tailEnd/>
          </a:ln>
        </xdr:spPr>
      </xdr:pic>
    </xdr:grpSp>
    <xdr:clientData/>
  </xdr:twoCellAnchor>
  <xdr:twoCellAnchor>
    <xdr:from>
      <xdr:col>1</xdr:col>
      <xdr:colOff>333375</xdr:colOff>
      <xdr:row>65</xdr:row>
      <xdr:rowOff>0</xdr:rowOff>
    </xdr:from>
    <xdr:to>
      <xdr:col>9</xdr:col>
      <xdr:colOff>342900</xdr:colOff>
      <xdr:row>78</xdr:row>
      <xdr:rowOff>38100</xdr:rowOff>
    </xdr:to>
    <xdr:grpSp>
      <xdr:nvGrpSpPr>
        <xdr:cNvPr id="20520" name="Group 37"/>
        <xdr:cNvGrpSpPr>
          <a:grpSpLocks/>
        </xdr:cNvGrpSpPr>
      </xdr:nvGrpSpPr>
      <xdr:grpSpPr bwMode="auto">
        <a:xfrm>
          <a:off x="942975" y="11934825"/>
          <a:ext cx="6257925" cy="2514600"/>
          <a:chOff x="89" y="1253"/>
          <a:chExt cx="513" cy="264"/>
        </a:xfrm>
      </xdr:grpSpPr>
      <xdr:sp macro="" textlink="">
        <xdr:nvSpPr>
          <xdr:cNvPr id="20533" name="AutoShape 9"/>
          <xdr:cNvSpPr>
            <a:spLocks noChangeAspect="1" noChangeArrowheads="1" noTextEdit="1"/>
          </xdr:cNvSpPr>
        </xdr:nvSpPr>
        <xdr:spPr bwMode="auto">
          <a:xfrm>
            <a:off x="89" y="1253"/>
            <a:ext cx="513" cy="264"/>
          </a:xfrm>
          <a:prstGeom prst="rect">
            <a:avLst/>
          </a:prstGeom>
          <a:noFill/>
          <a:ln w="9525">
            <a:noFill/>
            <a:miter lim="800000"/>
            <a:headEnd/>
            <a:tailEnd/>
          </a:ln>
        </xdr:spPr>
      </xdr:sp>
      <xdr:pic>
        <xdr:nvPicPr>
          <xdr:cNvPr id="20534" name="Picture 10"/>
          <xdr:cNvPicPr>
            <a:picLocks noChangeAspect="1" noChangeArrowheads="1"/>
          </xdr:cNvPicPr>
        </xdr:nvPicPr>
        <xdr:blipFill>
          <a:blip xmlns:r="http://schemas.openxmlformats.org/officeDocument/2006/relationships" r:embed="rId3"/>
          <a:srcRect/>
          <a:stretch>
            <a:fillRect/>
          </a:stretch>
        </xdr:blipFill>
        <xdr:spPr bwMode="auto">
          <a:xfrm>
            <a:off x="89" y="1253"/>
            <a:ext cx="447" cy="264"/>
          </a:xfrm>
          <a:prstGeom prst="rect">
            <a:avLst/>
          </a:prstGeom>
          <a:noFill/>
          <a:ln w="9525">
            <a:noFill/>
            <a:miter lim="800000"/>
            <a:headEnd/>
            <a:tailEnd/>
          </a:ln>
        </xdr:spPr>
      </xdr:pic>
      <xdr:sp macro="" textlink="">
        <xdr:nvSpPr>
          <xdr:cNvPr id="20535" name="Freeform 11"/>
          <xdr:cNvSpPr>
            <a:spLocks/>
          </xdr:cNvSpPr>
        </xdr:nvSpPr>
        <xdr:spPr bwMode="auto">
          <a:xfrm>
            <a:off x="282" y="1322"/>
            <a:ext cx="65" cy="32"/>
          </a:xfrm>
          <a:custGeom>
            <a:avLst/>
            <a:gdLst>
              <a:gd name="T0" fmla="*/ 2 w 320"/>
              <a:gd name="T1" fmla="*/ 32 h 154"/>
              <a:gd name="T2" fmla="*/ 3 w 320"/>
              <a:gd name="T3" fmla="*/ 25 h 154"/>
              <a:gd name="T4" fmla="*/ 2 w 320"/>
              <a:gd name="T5" fmla="*/ 21 h 154"/>
              <a:gd name="T6" fmla="*/ 3 w 320"/>
              <a:gd name="T7" fmla="*/ 20 h 154"/>
              <a:gd name="T8" fmla="*/ 4 w 320"/>
              <a:gd name="T9" fmla="*/ 17 h 154"/>
              <a:gd name="T10" fmla="*/ 6 w 320"/>
              <a:gd name="T11" fmla="*/ 14 h 154"/>
              <a:gd name="T12" fmla="*/ 6 w 320"/>
              <a:gd name="T13" fmla="*/ 14 h 154"/>
              <a:gd name="T14" fmla="*/ 8 w 320"/>
              <a:gd name="T15" fmla="*/ 12 h 154"/>
              <a:gd name="T16" fmla="*/ 9 w 320"/>
              <a:gd name="T17" fmla="*/ 10 h 154"/>
              <a:gd name="T18" fmla="*/ 11 w 320"/>
              <a:gd name="T19" fmla="*/ 9 h 154"/>
              <a:gd name="T20" fmla="*/ 14 w 320"/>
              <a:gd name="T21" fmla="*/ 8 h 154"/>
              <a:gd name="T22" fmla="*/ 16 w 320"/>
              <a:gd name="T23" fmla="*/ 7 h 154"/>
              <a:gd name="T24" fmla="*/ 19 w 320"/>
              <a:gd name="T25" fmla="*/ 6 h 154"/>
              <a:gd name="T26" fmla="*/ 20 w 320"/>
              <a:gd name="T27" fmla="*/ 5 h 154"/>
              <a:gd name="T28" fmla="*/ 24 w 320"/>
              <a:gd name="T29" fmla="*/ 6 h 154"/>
              <a:gd name="T30" fmla="*/ 31 w 320"/>
              <a:gd name="T31" fmla="*/ 5 h 154"/>
              <a:gd name="T32" fmla="*/ 39 w 320"/>
              <a:gd name="T33" fmla="*/ 4 h 154"/>
              <a:gd name="T34" fmla="*/ 47 w 320"/>
              <a:gd name="T35" fmla="*/ 3 h 154"/>
              <a:gd name="T36" fmla="*/ 54 w 320"/>
              <a:gd name="T37" fmla="*/ 3 h 154"/>
              <a:gd name="T38" fmla="*/ 59 w 320"/>
              <a:gd name="T39" fmla="*/ 3 h 154"/>
              <a:gd name="T40" fmla="*/ 62 w 320"/>
              <a:gd name="T41" fmla="*/ 3 h 154"/>
              <a:gd name="T42" fmla="*/ 64 w 320"/>
              <a:gd name="T43" fmla="*/ 2 h 154"/>
              <a:gd name="T44" fmla="*/ 65 w 320"/>
              <a:gd name="T45" fmla="*/ 0 h 154"/>
              <a:gd name="T46" fmla="*/ 63 w 320"/>
              <a:gd name="T47" fmla="*/ 0 h 154"/>
              <a:gd name="T48" fmla="*/ 61 w 320"/>
              <a:gd name="T49" fmla="*/ 0 h 154"/>
              <a:gd name="T50" fmla="*/ 58 w 320"/>
              <a:gd name="T51" fmla="*/ 0 h 154"/>
              <a:gd name="T52" fmla="*/ 51 w 320"/>
              <a:gd name="T53" fmla="*/ 1 h 154"/>
              <a:gd name="T54" fmla="*/ 43 w 320"/>
              <a:gd name="T55" fmla="*/ 1 h 154"/>
              <a:gd name="T56" fmla="*/ 35 w 320"/>
              <a:gd name="T57" fmla="*/ 2 h 154"/>
              <a:gd name="T58" fmla="*/ 27 w 320"/>
              <a:gd name="T59" fmla="*/ 3 h 154"/>
              <a:gd name="T60" fmla="*/ 20 w 320"/>
              <a:gd name="T61" fmla="*/ 4 h 154"/>
              <a:gd name="T62" fmla="*/ 18 w 320"/>
              <a:gd name="T63" fmla="*/ 4 h 154"/>
              <a:gd name="T64" fmla="*/ 15 w 320"/>
              <a:gd name="T65" fmla="*/ 5 h 154"/>
              <a:gd name="T66" fmla="*/ 13 w 320"/>
              <a:gd name="T67" fmla="*/ 6 h 154"/>
              <a:gd name="T68" fmla="*/ 10 w 320"/>
              <a:gd name="T69" fmla="*/ 7 h 154"/>
              <a:gd name="T70" fmla="*/ 8 w 320"/>
              <a:gd name="T71" fmla="*/ 9 h 154"/>
              <a:gd name="T72" fmla="*/ 5 w 320"/>
              <a:gd name="T73" fmla="*/ 11 h 154"/>
              <a:gd name="T74" fmla="*/ 4 w 320"/>
              <a:gd name="T75" fmla="*/ 13 h 154"/>
              <a:gd name="T76" fmla="*/ 2 w 320"/>
              <a:gd name="T77" fmla="*/ 16 h 154"/>
              <a:gd name="T78" fmla="*/ 1 w 320"/>
              <a:gd name="T79" fmla="*/ 19 h 154"/>
              <a:gd name="T80" fmla="*/ 1 w 320"/>
              <a:gd name="T81" fmla="*/ 21 h 154"/>
              <a:gd name="T82" fmla="*/ 0 w 320"/>
              <a:gd name="T83" fmla="*/ 25 h 154"/>
              <a:gd name="T84" fmla="*/ 0 w 320"/>
              <a:gd name="T85" fmla="*/ 32 h 154"/>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320" h="154">
                <a:moveTo>
                  <a:pt x="0" y="154"/>
                </a:moveTo>
                <a:lnTo>
                  <a:pt x="12" y="154"/>
                </a:lnTo>
                <a:lnTo>
                  <a:pt x="12" y="136"/>
                </a:lnTo>
                <a:lnTo>
                  <a:pt x="13" y="119"/>
                </a:lnTo>
                <a:lnTo>
                  <a:pt x="15" y="102"/>
                </a:lnTo>
                <a:lnTo>
                  <a:pt x="9" y="102"/>
                </a:lnTo>
                <a:lnTo>
                  <a:pt x="14" y="105"/>
                </a:lnTo>
                <a:lnTo>
                  <a:pt x="16" y="97"/>
                </a:lnTo>
                <a:lnTo>
                  <a:pt x="18" y="89"/>
                </a:lnTo>
                <a:lnTo>
                  <a:pt x="21" y="81"/>
                </a:lnTo>
                <a:lnTo>
                  <a:pt x="25" y="74"/>
                </a:lnTo>
                <a:lnTo>
                  <a:pt x="29" y="67"/>
                </a:lnTo>
                <a:lnTo>
                  <a:pt x="24" y="65"/>
                </a:lnTo>
                <a:lnTo>
                  <a:pt x="28" y="68"/>
                </a:lnTo>
                <a:lnTo>
                  <a:pt x="33" y="62"/>
                </a:lnTo>
                <a:lnTo>
                  <a:pt x="39" y="56"/>
                </a:lnTo>
                <a:lnTo>
                  <a:pt x="46" y="50"/>
                </a:lnTo>
                <a:lnTo>
                  <a:pt x="42" y="46"/>
                </a:lnTo>
                <a:lnTo>
                  <a:pt x="44" y="51"/>
                </a:lnTo>
                <a:lnTo>
                  <a:pt x="52" y="45"/>
                </a:lnTo>
                <a:lnTo>
                  <a:pt x="62" y="41"/>
                </a:lnTo>
                <a:lnTo>
                  <a:pt x="67" y="38"/>
                </a:lnTo>
                <a:lnTo>
                  <a:pt x="73" y="36"/>
                </a:lnTo>
                <a:lnTo>
                  <a:pt x="79" y="34"/>
                </a:lnTo>
                <a:lnTo>
                  <a:pt x="86" y="33"/>
                </a:lnTo>
                <a:lnTo>
                  <a:pt x="94" y="31"/>
                </a:lnTo>
                <a:lnTo>
                  <a:pt x="101" y="29"/>
                </a:lnTo>
                <a:lnTo>
                  <a:pt x="99" y="24"/>
                </a:lnTo>
                <a:lnTo>
                  <a:pt x="99" y="30"/>
                </a:lnTo>
                <a:lnTo>
                  <a:pt x="116" y="27"/>
                </a:lnTo>
                <a:lnTo>
                  <a:pt x="134" y="24"/>
                </a:lnTo>
                <a:lnTo>
                  <a:pt x="154" y="22"/>
                </a:lnTo>
                <a:lnTo>
                  <a:pt x="173" y="20"/>
                </a:lnTo>
                <a:lnTo>
                  <a:pt x="193" y="19"/>
                </a:lnTo>
                <a:lnTo>
                  <a:pt x="213" y="18"/>
                </a:lnTo>
                <a:lnTo>
                  <a:pt x="232" y="16"/>
                </a:lnTo>
                <a:lnTo>
                  <a:pt x="251" y="15"/>
                </a:lnTo>
                <a:lnTo>
                  <a:pt x="268" y="15"/>
                </a:lnTo>
                <a:lnTo>
                  <a:pt x="284" y="14"/>
                </a:lnTo>
                <a:lnTo>
                  <a:pt x="291" y="13"/>
                </a:lnTo>
                <a:lnTo>
                  <a:pt x="298" y="13"/>
                </a:lnTo>
                <a:lnTo>
                  <a:pt x="304" y="13"/>
                </a:lnTo>
                <a:lnTo>
                  <a:pt x="310" y="12"/>
                </a:lnTo>
                <a:lnTo>
                  <a:pt x="315" y="12"/>
                </a:lnTo>
                <a:lnTo>
                  <a:pt x="320" y="11"/>
                </a:lnTo>
                <a:lnTo>
                  <a:pt x="319" y="0"/>
                </a:lnTo>
                <a:lnTo>
                  <a:pt x="315" y="0"/>
                </a:lnTo>
                <a:lnTo>
                  <a:pt x="310" y="1"/>
                </a:lnTo>
                <a:lnTo>
                  <a:pt x="304" y="1"/>
                </a:lnTo>
                <a:lnTo>
                  <a:pt x="298" y="1"/>
                </a:lnTo>
                <a:lnTo>
                  <a:pt x="291" y="2"/>
                </a:lnTo>
                <a:lnTo>
                  <a:pt x="284" y="2"/>
                </a:lnTo>
                <a:lnTo>
                  <a:pt x="268" y="3"/>
                </a:lnTo>
                <a:lnTo>
                  <a:pt x="251" y="4"/>
                </a:lnTo>
                <a:lnTo>
                  <a:pt x="232" y="5"/>
                </a:lnTo>
                <a:lnTo>
                  <a:pt x="213" y="6"/>
                </a:lnTo>
                <a:lnTo>
                  <a:pt x="193" y="7"/>
                </a:lnTo>
                <a:lnTo>
                  <a:pt x="173" y="9"/>
                </a:lnTo>
                <a:lnTo>
                  <a:pt x="154" y="10"/>
                </a:lnTo>
                <a:lnTo>
                  <a:pt x="134" y="13"/>
                </a:lnTo>
                <a:lnTo>
                  <a:pt x="116" y="15"/>
                </a:lnTo>
                <a:lnTo>
                  <a:pt x="99" y="18"/>
                </a:lnTo>
                <a:lnTo>
                  <a:pt x="97" y="19"/>
                </a:lnTo>
                <a:lnTo>
                  <a:pt x="89" y="20"/>
                </a:lnTo>
                <a:lnTo>
                  <a:pt x="82" y="22"/>
                </a:lnTo>
                <a:lnTo>
                  <a:pt x="75" y="24"/>
                </a:lnTo>
                <a:lnTo>
                  <a:pt x="69" y="26"/>
                </a:lnTo>
                <a:lnTo>
                  <a:pt x="62" y="28"/>
                </a:lnTo>
                <a:lnTo>
                  <a:pt x="57" y="31"/>
                </a:lnTo>
                <a:lnTo>
                  <a:pt x="48" y="35"/>
                </a:lnTo>
                <a:lnTo>
                  <a:pt x="40" y="41"/>
                </a:lnTo>
                <a:lnTo>
                  <a:pt x="38" y="42"/>
                </a:lnTo>
                <a:lnTo>
                  <a:pt x="31" y="47"/>
                </a:lnTo>
                <a:lnTo>
                  <a:pt x="25" y="54"/>
                </a:lnTo>
                <a:lnTo>
                  <a:pt x="20" y="60"/>
                </a:lnTo>
                <a:lnTo>
                  <a:pt x="19" y="62"/>
                </a:lnTo>
                <a:lnTo>
                  <a:pt x="14" y="69"/>
                </a:lnTo>
                <a:lnTo>
                  <a:pt x="11" y="77"/>
                </a:lnTo>
                <a:lnTo>
                  <a:pt x="8" y="84"/>
                </a:lnTo>
                <a:lnTo>
                  <a:pt x="6" y="92"/>
                </a:lnTo>
                <a:lnTo>
                  <a:pt x="4" y="101"/>
                </a:lnTo>
                <a:lnTo>
                  <a:pt x="3" y="102"/>
                </a:lnTo>
                <a:lnTo>
                  <a:pt x="1" y="119"/>
                </a:lnTo>
                <a:lnTo>
                  <a:pt x="0" y="136"/>
                </a:lnTo>
                <a:lnTo>
                  <a:pt x="0" y="154"/>
                </a:lnTo>
                <a:close/>
              </a:path>
            </a:pathLst>
          </a:custGeom>
          <a:solidFill>
            <a:srgbClr val="000000"/>
          </a:solidFill>
          <a:ln w="9525">
            <a:noFill/>
            <a:round/>
            <a:headEnd/>
            <a:tailEnd/>
          </a:ln>
        </xdr:spPr>
      </xdr:sp>
      <xdr:sp macro="" textlink="">
        <xdr:nvSpPr>
          <xdr:cNvPr id="20536" name="Freeform 12"/>
          <xdr:cNvSpPr>
            <a:spLocks/>
          </xdr:cNvSpPr>
        </xdr:nvSpPr>
        <xdr:spPr bwMode="auto">
          <a:xfrm>
            <a:off x="374" y="1322"/>
            <a:ext cx="61" cy="33"/>
          </a:xfrm>
          <a:custGeom>
            <a:avLst/>
            <a:gdLst>
              <a:gd name="T0" fmla="*/ 0 w 296"/>
              <a:gd name="T1" fmla="*/ 0 h 160"/>
              <a:gd name="T2" fmla="*/ 1 w 296"/>
              <a:gd name="T3" fmla="*/ 8 h 160"/>
              <a:gd name="T4" fmla="*/ 2 w 296"/>
              <a:gd name="T5" fmla="*/ 12 h 160"/>
              <a:gd name="T6" fmla="*/ 3 w 296"/>
              <a:gd name="T7" fmla="*/ 15 h 160"/>
              <a:gd name="T8" fmla="*/ 5 w 296"/>
              <a:gd name="T9" fmla="*/ 18 h 160"/>
              <a:gd name="T10" fmla="*/ 6 w 296"/>
              <a:gd name="T11" fmla="*/ 20 h 160"/>
              <a:gd name="T12" fmla="*/ 8 w 296"/>
              <a:gd name="T13" fmla="*/ 23 h 160"/>
              <a:gd name="T14" fmla="*/ 12 w 296"/>
              <a:gd name="T15" fmla="*/ 26 h 160"/>
              <a:gd name="T16" fmla="*/ 14 w 296"/>
              <a:gd name="T17" fmla="*/ 27 h 160"/>
              <a:gd name="T18" fmla="*/ 16 w 296"/>
              <a:gd name="T19" fmla="*/ 28 h 160"/>
              <a:gd name="T20" fmla="*/ 21 w 296"/>
              <a:gd name="T21" fmla="*/ 29 h 160"/>
              <a:gd name="T22" fmla="*/ 24 w 296"/>
              <a:gd name="T23" fmla="*/ 30 h 160"/>
              <a:gd name="T24" fmla="*/ 31 w 296"/>
              <a:gd name="T25" fmla="*/ 31 h 160"/>
              <a:gd name="T26" fmla="*/ 41 w 296"/>
              <a:gd name="T27" fmla="*/ 32 h 160"/>
              <a:gd name="T28" fmla="*/ 48 w 296"/>
              <a:gd name="T29" fmla="*/ 32 h 160"/>
              <a:gd name="T30" fmla="*/ 54 w 296"/>
              <a:gd name="T31" fmla="*/ 32 h 160"/>
              <a:gd name="T32" fmla="*/ 59 w 296"/>
              <a:gd name="T33" fmla="*/ 33 h 160"/>
              <a:gd name="T34" fmla="*/ 61 w 296"/>
              <a:gd name="T35" fmla="*/ 33 h 160"/>
              <a:gd name="T36" fmla="*/ 60 w 296"/>
              <a:gd name="T37" fmla="*/ 31 h 160"/>
              <a:gd name="T38" fmla="*/ 57 w 296"/>
              <a:gd name="T39" fmla="*/ 30 h 160"/>
              <a:gd name="T40" fmla="*/ 51 w 296"/>
              <a:gd name="T41" fmla="*/ 30 h 160"/>
              <a:gd name="T42" fmla="*/ 45 w 296"/>
              <a:gd name="T43" fmla="*/ 29 h 160"/>
              <a:gd name="T44" fmla="*/ 38 w 296"/>
              <a:gd name="T45" fmla="*/ 29 h 160"/>
              <a:gd name="T46" fmla="*/ 28 w 296"/>
              <a:gd name="T47" fmla="*/ 28 h 160"/>
              <a:gd name="T48" fmla="*/ 21 w 296"/>
              <a:gd name="T49" fmla="*/ 27 h 160"/>
              <a:gd name="T50" fmla="*/ 22 w 296"/>
              <a:gd name="T51" fmla="*/ 27 h 160"/>
              <a:gd name="T52" fmla="*/ 16 w 296"/>
              <a:gd name="T53" fmla="*/ 26 h 160"/>
              <a:gd name="T54" fmla="*/ 15 w 296"/>
              <a:gd name="T55" fmla="*/ 25 h 160"/>
              <a:gd name="T56" fmla="*/ 12 w 296"/>
              <a:gd name="T57" fmla="*/ 25 h 160"/>
              <a:gd name="T58" fmla="*/ 12 w 296"/>
              <a:gd name="T59" fmla="*/ 23 h 160"/>
              <a:gd name="T60" fmla="*/ 9 w 296"/>
              <a:gd name="T61" fmla="*/ 20 h 160"/>
              <a:gd name="T62" fmla="*/ 7 w 296"/>
              <a:gd name="T63" fmla="*/ 20 h 160"/>
              <a:gd name="T64" fmla="*/ 7 w 296"/>
              <a:gd name="T65" fmla="*/ 18 h 160"/>
              <a:gd name="T66" fmla="*/ 5 w 296"/>
              <a:gd name="T67" fmla="*/ 14 h 160"/>
              <a:gd name="T68" fmla="*/ 4 w 296"/>
              <a:gd name="T69" fmla="*/ 11 h 160"/>
              <a:gd name="T70" fmla="*/ 2 w 296"/>
              <a:gd name="T71" fmla="*/ 8 h 160"/>
              <a:gd name="T72" fmla="*/ 3 w 296"/>
              <a:gd name="T73" fmla="*/ 4 h 160"/>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296" h="160">
                <a:moveTo>
                  <a:pt x="11" y="0"/>
                </a:moveTo>
                <a:lnTo>
                  <a:pt x="0" y="2"/>
                </a:lnTo>
                <a:lnTo>
                  <a:pt x="2" y="19"/>
                </a:lnTo>
                <a:lnTo>
                  <a:pt x="6" y="37"/>
                </a:lnTo>
                <a:lnTo>
                  <a:pt x="6" y="40"/>
                </a:lnTo>
                <a:lnTo>
                  <a:pt x="10" y="57"/>
                </a:lnTo>
                <a:lnTo>
                  <a:pt x="13" y="65"/>
                </a:lnTo>
                <a:lnTo>
                  <a:pt x="16" y="74"/>
                </a:lnTo>
                <a:lnTo>
                  <a:pt x="20" y="82"/>
                </a:lnTo>
                <a:lnTo>
                  <a:pt x="24" y="89"/>
                </a:lnTo>
                <a:lnTo>
                  <a:pt x="28" y="97"/>
                </a:lnTo>
                <a:lnTo>
                  <a:pt x="29" y="99"/>
                </a:lnTo>
                <a:lnTo>
                  <a:pt x="35" y="106"/>
                </a:lnTo>
                <a:lnTo>
                  <a:pt x="41" y="112"/>
                </a:lnTo>
                <a:lnTo>
                  <a:pt x="48" y="118"/>
                </a:lnTo>
                <a:lnTo>
                  <a:pt x="56" y="124"/>
                </a:lnTo>
                <a:lnTo>
                  <a:pt x="58" y="125"/>
                </a:lnTo>
                <a:lnTo>
                  <a:pt x="66" y="130"/>
                </a:lnTo>
                <a:lnTo>
                  <a:pt x="71" y="132"/>
                </a:lnTo>
                <a:lnTo>
                  <a:pt x="76" y="134"/>
                </a:lnTo>
                <a:lnTo>
                  <a:pt x="88" y="138"/>
                </a:lnTo>
                <a:lnTo>
                  <a:pt x="101" y="142"/>
                </a:lnTo>
                <a:lnTo>
                  <a:pt x="103" y="142"/>
                </a:lnTo>
                <a:lnTo>
                  <a:pt x="118" y="145"/>
                </a:lnTo>
                <a:lnTo>
                  <a:pt x="134" y="147"/>
                </a:lnTo>
                <a:lnTo>
                  <a:pt x="150" y="149"/>
                </a:lnTo>
                <a:lnTo>
                  <a:pt x="183" y="153"/>
                </a:lnTo>
                <a:lnTo>
                  <a:pt x="200" y="154"/>
                </a:lnTo>
                <a:lnTo>
                  <a:pt x="217" y="155"/>
                </a:lnTo>
                <a:lnTo>
                  <a:pt x="233" y="155"/>
                </a:lnTo>
                <a:lnTo>
                  <a:pt x="248" y="156"/>
                </a:lnTo>
                <a:lnTo>
                  <a:pt x="262" y="157"/>
                </a:lnTo>
                <a:lnTo>
                  <a:pt x="275" y="158"/>
                </a:lnTo>
                <a:lnTo>
                  <a:pt x="286" y="159"/>
                </a:lnTo>
                <a:lnTo>
                  <a:pt x="291" y="160"/>
                </a:lnTo>
                <a:lnTo>
                  <a:pt x="294" y="160"/>
                </a:lnTo>
                <a:lnTo>
                  <a:pt x="296" y="149"/>
                </a:lnTo>
                <a:lnTo>
                  <a:pt x="291" y="148"/>
                </a:lnTo>
                <a:lnTo>
                  <a:pt x="286" y="148"/>
                </a:lnTo>
                <a:lnTo>
                  <a:pt x="275" y="147"/>
                </a:lnTo>
                <a:lnTo>
                  <a:pt x="262" y="146"/>
                </a:lnTo>
                <a:lnTo>
                  <a:pt x="248" y="145"/>
                </a:lnTo>
                <a:lnTo>
                  <a:pt x="233" y="144"/>
                </a:lnTo>
                <a:lnTo>
                  <a:pt x="217" y="143"/>
                </a:lnTo>
                <a:lnTo>
                  <a:pt x="200" y="142"/>
                </a:lnTo>
                <a:lnTo>
                  <a:pt x="183" y="141"/>
                </a:lnTo>
                <a:lnTo>
                  <a:pt x="150" y="138"/>
                </a:lnTo>
                <a:lnTo>
                  <a:pt x="134" y="136"/>
                </a:lnTo>
                <a:lnTo>
                  <a:pt x="118" y="133"/>
                </a:lnTo>
                <a:lnTo>
                  <a:pt x="103" y="131"/>
                </a:lnTo>
                <a:lnTo>
                  <a:pt x="103" y="136"/>
                </a:lnTo>
                <a:lnTo>
                  <a:pt x="106" y="131"/>
                </a:lnTo>
                <a:lnTo>
                  <a:pt x="92" y="128"/>
                </a:lnTo>
                <a:lnTo>
                  <a:pt x="80" y="124"/>
                </a:lnTo>
                <a:lnTo>
                  <a:pt x="75" y="122"/>
                </a:lnTo>
                <a:lnTo>
                  <a:pt x="71" y="120"/>
                </a:lnTo>
                <a:lnTo>
                  <a:pt x="62" y="115"/>
                </a:lnTo>
                <a:lnTo>
                  <a:pt x="60" y="120"/>
                </a:lnTo>
                <a:lnTo>
                  <a:pt x="64" y="116"/>
                </a:lnTo>
                <a:lnTo>
                  <a:pt x="56" y="110"/>
                </a:lnTo>
                <a:lnTo>
                  <a:pt x="49" y="104"/>
                </a:lnTo>
                <a:lnTo>
                  <a:pt x="43" y="98"/>
                </a:lnTo>
                <a:lnTo>
                  <a:pt x="37" y="91"/>
                </a:lnTo>
                <a:lnTo>
                  <a:pt x="34" y="95"/>
                </a:lnTo>
                <a:lnTo>
                  <a:pt x="39" y="93"/>
                </a:lnTo>
                <a:lnTo>
                  <a:pt x="34" y="85"/>
                </a:lnTo>
                <a:lnTo>
                  <a:pt x="30" y="77"/>
                </a:lnTo>
                <a:lnTo>
                  <a:pt x="26" y="69"/>
                </a:lnTo>
                <a:lnTo>
                  <a:pt x="24" y="61"/>
                </a:lnTo>
                <a:lnTo>
                  <a:pt x="21" y="52"/>
                </a:lnTo>
                <a:lnTo>
                  <a:pt x="17" y="35"/>
                </a:lnTo>
                <a:lnTo>
                  <a:pt x="12" y="37"/>
                </a:lnTo>
                <a:lnTo>
                  <a:pt x="17" y="37"/>
                </a:lnTo>
                <a:lnTo>
                  <a:pt x="14" y="19"/>
                </a:lnTo>
                <a:lnTo>
                  <a:pt x="11" y="0"/>
                </a:lnTo>
                <a:close/>
              </a:path>
            </a:pathLst>
          </a:custGeom>
          <a:solidFill>
            <a:srgbClr val="000000"/>
          </a:solidFill>
          <a:ln w="9525">
            <a:noFill/>
            <a:round/>
            <a:headEnd/>
            <a:tailEnd/>
          </a:ln>
        </xdr:spPr>
      </xdr:sp>
      <xdr:sp macro="" textlink="">
        <xdr:nvSpPr>
          <xdr:cNvPr id="20493" name="Rectangle 13"/>
          <xdr:cNvSpPr>
            <a:spLocks noChangeArrowheads="1"/>
          </xdr:cNvSpPr>
        </xdr:nvSpPr>
        <xdr:spPr bwMode="auto">
          <a:xfrm>
            <a:off x="463" y="1347"/>
            <a:ext cx="125" cy="1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t" upright="1"/>
          <a:lstStyle/>
          <a:p>
            <a:pPr algn="l" rtl="0">
              <a:defRPr sz="1000"/>
            </a:pPr>
            <a:r>
              <a:rPr lang="en-ZA" sz="1000" b="1" i="0" u="none" strike="noStrike" baseline="0">
                <a:solidFill>
                  <a:srgbClr val="000000"/>
                </a:solidFill>
                <a:latin typeface="Arial"/>
                <a:cs typeface="Arial"/>
              </a:rPr>
              <a:t>Electric power supply</a:t>
            </a:r>
            <a:endParaRPr lang="en-ZA" sz="1000" b="1" i="0" u="none" strike="noStrike" baseline="0">
              <a:solidFill>
                <a:srgbClr val="000000"/>
              </a:solidFill>
              <a:latin typeface="Times New Roman"/>
              <a:cs typeface="Times New Roman"/>
            </a:endParaRPr>
          </a:p>
          <a:p>
            <a:pPr algn="l" rtl="0">
              <a:defRPr sz="1000"/>
            </a:pPr>
            <a:endParaRPr lang="en-ZA" sz="1000" b="1" i="0" u="none" strike="noStrike" baseline="0">
              <a:solidFill>
                <a:srgbClr val="000000"/>
              </a:solidFill>
              <a:latin typeface="Times New Roman"/>
              <a:cs typeface="Times New Roman"/>
            </a:endParaRPr>
          </a:p>
        </xdr:txBody>
      </xdr:sp>
      <xdr:sp macro="" textlink="">
        <xdr:nvSpPr>
          <xdr:cNvPr id="20494" name="Rectangle 14"/>
          <xdr:cNvSpPr>
            <a:spLocks noChangeArrowheads="1"/>
          </xdr:cNvSpPr>
        </xdr:nvSpPr>
        <xdr:spPr bwMode="auto">
          <a:xfrm>
            <a:off x="248" y="1362"/>
            <a:ext cx="77" cy="1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t" upright="1"/>
          <a:lstStyle/>
          <a:p>
            <a:pPr algn="l" rtl="0">
              <a:defRPr sz="1000"/>
            </a:pPr>
            <a:r>
              <a:rPr lang="en-ZA" sz="1000" b="1" i="0" u="none" strike="noStrike" baseline="0">
                <a:solidFill>
                  <a:srgbClr val="000000"/>
                </a:solidFill>
                <a:latin typeface="Arial"/>
                <a:cs typeface="Arial"/>
              </a:rPr>
              <a:t>Water supply</a:t>
            </a:r>
            <a:endParaRPr lang="en-ZA" sz="1000" b="1" i="0" u="none" strike="noStrike" baseline="0">
              <a:solidFill>
                <a:srgbClr val="000000"/>
              </a:solidFill>
              <a:latin typeface="Times New Roman"/>
              <a:cs typeface="Times New Roman"/>
            </a:endParaRPr>
          </a:p>
          <a:p>
            <a:pPr algn="l" rtl="0">
              <a:defRPr sz="1000"/>
            </a:pPr>
            <a:endParaRPr lang="en-ZA" sz="1000" b="1" i="0" u="none" strike="noStrike" baseline="0">
              <a:solidFill>
                <a:srgbClr val="000000"/>
              </a:solidFill>
              <a:latin typeface="Times New Roman"/>
              <a:cs typeface="Times New Roman"/>
            </a:endParaRPr>
          </a:p>
        </xdr:txBody>
      </xdr:sp>
      <xdr:sp macro="" textlink="">
        <xdr:nvSpPr>
          <xdr:cNvPr id="20495" name="Rectangle 15"/>
          <xdr:cNvSpPr>
            <a:spLocks noChangeArrowheads="1"/>
          </xdr:cNvSpPr>
        </xdr:nvSpPr>
        <xdr:spPr bwMode="auto">
          <a:xfrm>
            <a:off x="424" y="1287"/>
            <a:ext cx="178" cy="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t" upright="1"/>
          <a:lstStyle/>
          <a:p>
            <a:pPr algn="l" rtl="0">
              <a:defRPr sz="1000"/>
            </a:pPr>
            <a:r>
              <a:rPr lang="en-ZA" sz="1000" b="1" i="0" u="none" strike="noStrike" baseline="0">
                <a:solidFill>
                  <a:srgbClr val="000000"/>
                </a:solidFill>
                <a:latin typeface="Arial"/>
                <a:cs typeface="Arial"/>
              </a:rPr>
              <a:t>Hilti 4-pin socket grounded;</a:t>
            </a:r>
          </a:p>
          <a:p>
            <a:pPr algn="l" rtl="0">
              <a:defRPr sz="1000"/>
            </a:pPr>
            <a:r>
              <a:rPr lang="en-ZA" sz="1000" b="1" i="0" u="none" strike="noStrike" baseline="0">
                <a:solidFill>
                  <a:srgbClr val="000000"/>
                </a:solidFill>
                <a:latin typeface="Arial"/>
                <a:cs typeface="Arial"/>
              </a:rPr>
              <a:t> pilot wire (colliery concept)</a:t>
            </a:r>
          </a:p>
          <a:p>
            <a:pPr algn="l" rtl="0">
              <a:defRPr sz="1000"/>
            </a:pPr>
            <a:endParaRPr lang="en-ZA" sz="1000" b="1" i="0" u="none" strike="noStrike" baseline="0">
              <a:solidFill>
                <a:srgbClr val="000000"/>
              </a:solidFill>
              <a:latin typeface="Arial"/>
              <a:cs typeface="Arial"/>
            </a:endParaRPr>
          </a:p>
        </xdr:txBody>
      </xdr:sp>
      <xdr:sp macro="" textlink="">
        <xdr:nvSpPr>
          <xdr:cNvPr id="20540" name="Freeform 16"/>
          <xdr:cNvSpPr>
            <a:spLocks/>
          </xdr:cNvSpPr>
        </xdr:nvSpPr>
        <xdr:spPr bwMode="auto">
          <a:xfrm>
            <a:off x="429" y="1345"/>
            <a:ext cx="19" cy="18"/>
          </a:xfrm>
          <a:custGeom>
            <a:avLst/>
            <a:gdLst>
              <a:gd name="T0" fmla="*/ 19 w 91"/>
              <a:gd name="T1" fmla="*/ 0 h 88"/>
              <a:gd name="T2" fmla="*/ 0 w 91"/>
              <a:gd name="T3" fmla="*/ 5 h 88"/>
              <a:gd name="T4" fmla="*/ 0 w 91"/>
              <a:gd name="T5" fmla="*/ 14 h 88"/>
              <a:gd name="T6" fmla="*/ 19 w 91"/>
              <a:gd name="T7" fmla="*/ 18 h 88"/>
              <a:gd name="T8" fmla="*/ 19 w 91"/>
              <a:gd name="T9" fmla="*/ 0 h 88"/>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1" h="88">
                <a:moveTo>
                  <a:pt x="91" y="0"/>
                </a:moveTo>
                <a:lnTo>
                  <a:pt x="0" y="22"/>
                </a:lnTo>
                <a:lnTo>
                  <a:pt x="0" y="66"/>
                </a:lnTo>
                <a:lnTo>
                  <a:pt x="91" y="88"/>
                </a:lnTo>
                <a:lnTo>
                  <a:pt x="91" y="0"/>
                </a:lnTo>
                <a:close/>
              </a:path>
            </a:pathLst>
          </a:custGeom>
          <a:solidFill>
            <a:srgbClr val="000000"/>
          </a:solidFill>
          <a:ln w="6350">
            <a:solidFill>
              <a:srgbClr val="000000"/>
            </a:solidFill>
            <a:prstDash val="solid"/>
            <a:round/>
            <a:headEnd/>
            <a:tailEnd/>
          </a:ln>
        </xdr:spPr>
      </xdr:sp>
      <xdr:sp macro="" textlink="">
        <xdr:nvSpPr>
          <xdr:cNvPr id="20541" name="Rectangle 17"/>
          <xdr:cNvSpPr>
            <a:spLocks noChangeArrowheads="1"/>
          </xdr:cNvSpPr>
        </xdr:nvSpPr>
        <xdr:spPr bwMode="auto">
          <a:xfrm>
            <a:off x="448" y="1359"/>
            <a:ext cx="4" cy="3"/>
          </a:xfrm>
          <a:prstGeom prst="rect">
            <a:avLst/>
          </a:prstGeom>
          <a:solidFill>
            <a:srgbClr val="000000"/>
          </a:solidFill>
          <a:ln w="9525">
            <a:noFill/>
            <a:miter lim="800000"/>
            <a:headEnd/>
            <a:tailEnd/>
          </a:ln>
        </xdr:spPr>
      </xdr:sp>
      <xdr:sp macro="" textlink="">
        <xdr:nvSpPr>
          <xdr:cNvPr id="20542" name="Rectangle 18"/>
          <xdr:cNvSpPr>
            <a:spLocks noChangeArrowheads="1"/>
          </xdr:cNvSpPr>
        </xdr:nvSpPr>
        <xdr:spPr bwMode="auto">
          <a:xfrm>
            <a:off x="448" y="1347"/>
            <a:ext cx="4" cy="3"/>
          </a:xfrm>
          <a:prstGeom prst="rect">
            <a:avLst/>
          </a:prstGeom>
          <a:solidFill>
            <a:srgbClr val="000000"/>
          </a:solidFill>
          <a:ln w="9525">
            <a:noFill/>
            <a:miter lim="800000"/>
            <a:headEnd/>
            <a:tailEnd/>
          </a:ln>
        </xdr:spPr>
      </xdr:sp>
      <xdr:sp macro="" textlink="">
        <xdr:nvSpPr>
          <xdr:cNvPr id="20499" name="Text Box 19"/>
          <xdr:cNvSpPr txBox="1">
            <a:spLocks noChangeArrowheads="1"/>
          </xdr:cNvSpPr>
        </xdr:nvSpPr>
        <xdr:spPr bwMode="auto">
          <a:xfrm>
            <a:off x="308" y="1405"/>
            <a:ext cx="116" cy="32"/>
          </a:xfrm>
          <a:prstGeom prst="rect">
            <a:avLst/>
          </a:prstGeom>
          <a:noFill/>
          <a:ln>
            <a:noFill/>
          </a:ln>
          <a:extLst>
            <a:ext uri="{909E8E84-426E-40DD-AFC4-6F175D3DCCD1}">
              <a14:hiddenFill xmlns:a14="http://schemas.microsoft.com/office/drawing/2010/main" xmlns="">
                <a:solidFill>
                  <a:srgbClr val="BBE0E3"/>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ZA" sz="1000" b="1" i="0" u="none" strike="noStrike" baseline="0">
                <a:solidFill>
                  <a:srgbClr val="000000"/>
                </a:solidFill>
                <a:latin typeface="Arial"/>
                <a:cs typeface="Arial"/>
              </a:rPr>
              <a:t>Thrust leg</a:t>
            </a:r>
          </a:p>
          <a:p>
            <a:pPr algn="l" rtl="0">
              <a:defRPr sz="1000"/>
            </a:pPr>
            <a:endParaRPr lang="en-ZA" sz="1000" b="1" i="0" u="none" strike="noStrike" baseline="0">
              <a:solidFill>
                <a:srgbClr val="000000"/>
              </a:solidFill>
              <a:latin typeface="Arial"/>
              <a:cs typeface="Arial"/>
            </a:endParaRPr>
          </a:p>
        </xdr:txBody>
      </xdr:sp>
      <xdr:sp macro="" textlink="">
        <xdr:nvSpPr>
          <xdr:cNvPr id="20500" name="Text Box 20"/>
          <xdr:cNvSpPr txBox="1">
            <a:spLocks noChangeArrowheads="1"/>
          </xdr:cNvSpPr>
        </xdr:nvSpPr>
        <xdr:spPr bwMode="auto">
          <a:xfrm>
            <a:off x="152" y="1297"/>
            <a:ext cx="79" cy="28"/>
          </a:xfrm>
          <a:prstGeom prst="rect">
            <a:avLst/>
          </a:prstGeom>
          <a:noFill/>
          <a:ln>
            <a:noFill/>
          </a:ln>
          <a:extLst>
            <a:ext uri="{909E8E84-426E-40DD-AFC4-6F175D3DCCD1}">
              <a14:hiddenFill xmlns:a14="http://schemas.microsoft.com/office/drawing/2010/main" xmlns="">
                <a:solidFill>
                  <a:srgbClr val="BBE0E3"/>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ZA" sz="1000" b="1" i="0" u="none" strike="noStrike" baseline="0">
                <a:solidFill>
                  <a:srgbClr val="000000"/>
                </a:solidFill>
                <a:latin typeface="Arial"/>
                <a:cs typeface="Arial"/>
              </a:rPr>
              <a:t>Drill stem</a:t>
            </a:r>
          </a:p>
          <a:p>
            <a:pPr algn="l" rtl="0">
              <a:defRPr sz="1000"/>
            </a:pPr>
            <a:endParaRPr lang="en-ZA" sz="1000" b="1" i="0" u="none" strike="noStrike" baseline="0">
              <a:solidFill>
                <a:srgbClr val="000000"/>
              </a:solidFill>
              <a:latin typeface="Arial"/>
              <a:cs typeface="Arial"/>
            </a:endParaRPr>
          </a:p>
        </xdr:txBody>
      </xdr:sp>
      <xdr:sp macro="" textlink="">
        <xdr:nvSpPr>
          <xdr:cNvPr id="20501" name="Text Box 21"/>
          <xdr:cNvSpPr txBox="1">
            <a:spLocks noChangeArrowheads="1"/>
          </xdr:cNvSpPr>
        </xdr:nvSpPr>
        <xdr:spPr bwMode="auto">
          <a:xfrm>
            <a:off x="89" y="1342"/>
            <a:ext cx="142" cy="32"/>
          </a:xfrm>
          <a:prstGeom prst="rect">
            <a:avLst/>
          </a:prstGeom>
          <a:noFill/>
          <a:ln>
            <a:noFill/>
          </a:ln>
          <a:extLst>
            <a:ext uri="{909E8E84-426E-40DD-AFC4-6F175D3DCCD1}">
              <a14:hiddenFill xmlns:a14="http://schemas.microsoft.com/office/drawing/2010/main" xmlns="">
                <a:solidFill>
                  <a:srgbClr val="BBE0E3"/>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ZA" sz="1000" b="1" i="0" u="none" strike="noStrike" baseline="0">
                <a:solidFill>
                  <a:srgbClr val="000000"/>
                </a:solidFill>
                <a:latin typeface="Arial"/>
                <a:cs typeface="Arial"/>
              </a:rPr>
              <a:t>Dynamic bit</a:t>
            </a:r>
          </a:p>
          <a:p>
            <a:pPr algn="l" rtl="0">
              <a:defRPr sz="1000"/>
            </a:pPr>
            <a:endParaRPr lang="en-ZA" sz="1000" b="1" i="0" u="none" strike="noStrike" baseline="0">
              <a:solidFill>
                <a:srgbClr val="000000"/>
              </a:solidFill>
              <a:latin typeface="Arial"/>
              <a:cs typeface="Arial"/>
            </a:endParaRPr>
          </a:p>
        </xdr:txBody>
      </xdr:sp>
      <xdr:sp macro="" textlink="">
        <xdr:nvSpPr>
          <xdr:cNvPr id="20502" name="Text Box 22"/>
          <xdr:cNvSpPr txBox="1">
            <a:spLocks noChangeArrowheads="1"/>
          </xdr:cNvSpPr>
        </xdr:nvSpPr>
        <xdr:spPr bwMode="auto">
          <a:xfrm>
            <a:off x="254" y="1264"/>
            <a:ext cx="113" cy="33"/>
          </a:xfrm>
          <a:prstGeom prst="rect">
            <a:avLst/>
          </a:prstGeom>
          <a:noFill/>
          <a:ln>
            <a:noFill/>
          </a:ln>
          <a:extLst>
            <a:ext uri="{909E8E84-426E-40DD-AFC4-6F175D3DCCD1}">
              <a14:hiddenFill xmlns:a14="http://schemas.microsoft.com/office/drawing/2010/main" xmlns="">
                <a:solidFill>
                  <a:srgbClr val="BBE0E3"/>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ZA" sz="1000" b="1" i="0" u="none" strike="noStrike" baseline="0">
                <a:solidFill>
                  <a:srgbClr val="000000"/>
                </a:solidFill>
                <a:latin typeface="Arial"/>
                <a:cs typeface="Arial"/>
              </a:rPr>
              <a:t>Rock drill</a:t>
            </a:r>
          </a:p>
          <a:p>
            <a:pPr algn="l" rtl="0">
              <a:defRPr sz="1000"/>
            </a:pPr>
            <a:endParaRPr lang="en-ZA" sz="1000" b="1" i="0" u="none" strike="noStrike" baseline="0">
              <a:solidFill>
                <a:srgbClr val="000000"/>
              </a:solidFill>
              <a:latin typeface="Arial"/>
              <a:cs typeface="Arial"/>
            </a:endParaRPr>
          </a:p>
        </xdr:txBody>
      </xdr:sp>
    </xdr:grpSp>
    <xdr:clientData/>
  </xdr:twoCellAnchor>
  <xdr:twoCellAnchor>
    <xdr:from>
      <xdr:col>1</xdr:col>
      <xdr:colOff>457200</xdr:colOff>
      <xdr:row>93</xdr:row>
      <xdr:rowOff>161925</xdr:rowOff>
    </xdr:from>
    <xdr:to>
      <xdr:col>9</xdr:col>
      <xdr:colOff>257175</xdr:colOff>
      <xdr:row>107</xdr:row>
      <xdr:rowOff>133350</xdr:rowOff>
    </xdr:to>
    <xdr:grpSp>
      <xdr:nvGrpSpPr>
        <xdr:cNvPr id="20521" name="Group 36"/>
        <xdr:cNvGrpSpPr>
          <a:grpSpLocks/>
        </xdr:cNvGrpSpPr>
      </xdr:nvGrpSpPr>
      <xdr:grpSpPr bwMode="auto">
        <a:xfrm>
          <a:off x="1066800" y="17430750"/>
          <a:ext cx="6048375" cy="2638425"/>
          <a:chOff x="64" y="1833"/>
          <a:chExt cx="512" cy="334"/>
        </a:xfrm>
      </xdr:grpSpPr>
      <xdr:pic>
        <xdr:nvPicPr>
          <xdr:cNvPr id="20524" name="Picture 24"/>
          <xdr:cNvPicPr>
            <a:picLocks noChangeAspect="1" noChangeArrowheads="1"/>
          </xdr:cNvPicPr>
        </xdr:nvPicPr>
        <xdr:blipFill>
          <a:blip xmlns:r="http://schemas.openxmlformats.org/officeDocument/2006/relationships" r:embed="rId4"/>
          <a:srcRect/>
          <a:stretch>
            <a:fillRect/>
          </a:stretch>
        </xdr:blipFill>
        <xdr:spPr bwMode="auto">
          <a:xfrm>
            <a:off x="64" y="1833"/>
            <a:ext cx="437" cy="334"/>
          </a:xfrm>
          <a:prstGeom prst="rect">
            <a:avLst/>
          </a:prstGeom>
          <a:noFill/>
          <a:ln w="9525">
            <a:noFill/>
            <a:miter lim="800000"/>
            <a:headEnd/>
            <a:tailEnd/>
          </a:ln>
        </xdr:spPr>
      </xdr:pic>
      <xdr:sp macro="" textlink="">
        <xdr:nvSpPr>
          <xdr:cNvPr id="20505" name="Text Box 25"/>
          <xdr:cNvSpPr txBox="1">
            <a:spLocks noChangeArrowheads="1"/>
          </xdr:cNvSpPr>
        </xdr:nvSpPr>
        <xdr:spPr bwMode="auto">
          <a:xfrm>
            <a:off x="388" y="1872"/>
            <a:ext cx="136" cy="29"/>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ZA" sz="1000" b="1" i="0" u="none" strike="noStrike" baseline="0">
                <a:solidFill>
                  <a:srgbClr val="000000"/>
                </a:solidFill>
                <a:latin typeface="Arial"/>
                <a:cs typeface="Arial"/>
              </a:rPr>
              <a:t>Gearbox</a:t>
            </a:r>
          </a:p>
          <a:p>
            <a:pPr algn="l" rtl="0">
              <a:defRPr sz="1000"/>
            </a:pPr>
            <a:endParaRPr lang="en-ZA" sz="1000" b="1" i="0" u="none" strike="noStrike" baseline="0">
              <a:solidFill>
                <a:srgbClr val="000000"/>
              </a:solidFill>
              <a:latin typeface="Arial"/>
              <a:cs typeface="Arial"/>
            </a:endParaRPr>
          </a:p>
        </xdr:txBody>
      </xdr:sp>
      <xdr:sp macro="" textlink="">
        <xdr:nvSpPr>
          <xdr:cNvPr id="20506" name="Text Box 26"/>
          <xdr:cNvSpPr txBox="1">
            <a:spLocks noChangeArrowheads="1"/>
          </xdr:cNvSpPr>
        </xdr:nvSpPr>
        <xdr:spPr bwMode="auto">
          <a:xfrm>
            <a:off x="64" y="1948"/>
            <a:ext cx="118" cy="3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ZA" sz="1000" b="1" i="0" u="none" strike="noStrike" baseline="0">
                <a:solidFill>
                  <a:srgbClr val="000000"/>
                </a:solidFill>
                <a:latin typeface="Arial"/>
                <a:cs typeface="Arial"/>
              </a:rPr>
              <a:t>Electronics</a:t>
            </a:r>
          </a:p>
          <a:p>
            <a:pPr algn="l" rtl="0">
              <a:defRPr sz="1000"/>
            </a:pPr>
            <a:endParaRPr lang="en-ZA" sz="1000" b="1" i="0" u="none" strike="noStrike" baseline="0">
              <a:solidFill>
                <a:srgbClr val="000000"/>
              </a:solidFill>
              <a:latin typeface="Arial"/>
              <a:cs typeface="Arial"/>
            </a:endParaRPr>
          </a:p>
        </xdr:txBody>
      </xdr:sp>
      <xdr:sp macro="" textlink="">
        <xdr:nvSpPr>
          <xdr:cNvPr id="20507" name="Text Box 27"/>
          <xdr:cNvSpPr txBox="1">
            <a:spLocks noChangeArrowheads="1"/>
          </xdr:cNvSpPr>
        </xdr:nvSpPr>
        <xdr:spPr bwMode="auto">
          <a:xfrm>
            <a:off x="229" y="2107"/>
            <a:ext cx="119" cy="52"/>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ZA" sz="1000" b="1" i="0" u="none" strike="noStrike" baseline="0">
                <a:solidFill>
                  <a:srgbClr val="000000"/>
                </a:solidFill>
                <a:latin typeface="Arial"/>
                <a:cs typeface="Arial"/>
              </a:rPr>
              <a:t>Hammer mechanism</a:t>
            </a:r>
          </a:p>
          <a:p>
            <a:pPr algn="l" rtl="0">
              <a:defRPr sz="1000"/>
            </a:pPr>
            <a:endParaRPr lang="en-ZA" sz="1000" b="1" i="0" u="none" strike="noStrike" baseline="0">
              <a:solidFill>
                <a:srgbClr val="000000"/>
              </a:solidFill>
              <a:latin typeface="Arial"/>
              <a:cs typeface="Arial"/>
            </a:endParaRPr>
          </a:p>
        </xdr:txBody>
      </xdr:sp>
      <xdr:sp macro="" textlink="">
        <xdr:nvSpPr>
          <xdr:cNvPr id="20508" name="Text Box 28"/>
          <xdr:cNvSpPr txBox="1">
            <a:spLocks noChangeArrowheads="1"/>
          </xdr:cNvSpPr>
        </xdr:nvSpPr>
        <xdr:spPr bwMode="auto">
          <a:xfrm>
            <a:off x="458" y="2081"/>
            <a:ext cx="118" cy="53"/>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ZA" sz="1000" b="1" i="0" u="none" strike="noStrike" baseline="0">
                <a:solidFill>
                  <a:srgbClr val="000000"/>
                </a:solidFill>
                <a:latin typeface="Arial"/>
                <a:cs typeface="Arial"/>
              </a:rPr>
              <a:t>Electric motor (220v)</a:t>
            </a:r>
          </a:p>
          <a:p>
            <a:pPr algn="l" rtl="0">
              <a:defRPr sz="1000"/>
            </a:pPr>
            <a:endParaRPr lang="en-ZA" sz="1000" b="1" i="0" u="none" strike="noStrike" baseline="0">
              <a:solidFill>
                <a:srgbClr val="000000"/>
              </a:solidFill>
              <a:latin typeface="Arial"/>
              <a:cs typeface="Arial"/>
            </a:endParaRPr>
          </a:p>
        </xdr:txBody>
      </xdr:sp>
      <xdr:sp macro="" textlink="">
        <xdr:nvSpPr>
          <xdr:cNvPr id="20529" name="Line 29"/>
          <xdr:cNvSpPr>
            <a:spLocks noChangeShapeType="1"/>
          </xdr:cNvSpPr>
        </xdr:nvSpPr>
        <xdr:spPr bwMode="auto">
          <a:xfrm flipH="1">
            <a:off x="388" y="1901"/>
            <a:ext cx="38" cy="33"/>
          </a:xfrm>
          <a:prstGeom prst="line">
            <a:avLst/>
          </a:prstGeom>
          <a:noFill/>
          <a:ln w="9525">
            <a:solidFill>
              <a:srgbClr val="000000"/>
            </a:solidFill>
            <a:round/>
            <a:headEnd/>
            <a:tailEnd type="triangle" w="med" len="med"/>
          </a:ln>
        </xdr:spPr>
      </xdr:sp>
      <xdr:sp macro="" textlink="">
        <xdr:nvSpPr>
          <xdr:cNvPr id="20530" name="Line 30"/>
          <xdr:cNvSpPr>
            <a:spLocks noChangeShapeType="1"/>
          </xdr:cNvSpPr>
        </xdr:nvSpPr>
        <xdr:spPr bwMode="auto">
          <a:xfrm flipV="1">
            <a:off x="129" y="1934"/>
            <a:ext cx="61" cy="13"/>
          </a:xfrm>
          <a:prstGeom prst="line">
            <a:avLst/>
          </a:prstGeom>
          <a:noFill/>
          <a:ln w="9525">
            <a:solidFill>
              <a:srgbClr val="000000"/>
            </a:solidFill>
            <a:round/>
            <a:headEnd/>
            <a:tailEnd type="triangle" w="med" len="med"/>
          </a:ln>
        </xdr:spPr>
      </xdr:sp>
      <xdr:sp macro="" textlink="">
        <xdr:nvSpPr>
          <xdr:cNvPr id="20531" name="Line 31"/>
          <xdr:cNvSpPr>
            <a:spLocks noChangeShapeType="1"/>
          </xdr:cNvSpPr>
        </xdr:nvSpPr>
        <xdr:spPr bwMode="auto">
          <a:xfrm flipH="1">
            <a:off x="217" y="2107"/>
            <a:ext cx="40" cy="0"/>
          </a:xfrm>
          <a:prstGeom prst="line">
            <a:avLst/>
          </a:prstGeom>
          <a:noFill/>
          <a:ln w="9525">
            <a:solidFill>
              <a:srgbClr val="000000"/>
            </a:solidFill>
            <a:round/>
            <a:headEnd/>
            <a:tailEnd type="triangle" w="med" len="med"/>
          </a:ln>
        </xdr:spPr>
      </xdr:sp>
      <xdr:sp macro="" textlink="">
        <xdr:nvSpPr>
          <xdr:cNvPr id="20532" name="Line 32"/>
          <xdr:cNvSpPr>
            <a:spLocks noChangeShapeType="1"/>
          </xdr:cNvSpPr>
        </xdr:nvSpPr>
        <xdr:spPr bwMode="auto">
          <a:xfrm flipH="1" flipV="1">
            <a:off x="444" y="2069"/>
            <a:ext cx="43" cy="12"/>
          </a:xfrm>
          <a:prstGeom prst="line">
            <a:avLst/>
          </a:prstGeom>
          <a:noFill/>
          <a:ln w="9525">
            <a:solidFill>
              <a:srgbClr val="000000"/>
            </a:solidFill>
            <a:round/>
            <a:headEnd/>
            <a:tailEnd type="triangle" w="med" len="med"/>
          </a:ln>
        </xdr:spPr>
      </xdr:sp>
    </xdr:grpSp>
    <xdr:clientData/>
  </xdr:twoCellAnchor>
  <xdr:twoCellAnchor>
    <xdr:from>
      <xdr:col>1</xdr:col>
      <xdr:colOff>0</xdr:colOff>
      <xdr:row>113</xdr:row>
      <xdr:rowOff>0</xdr:rowOff>
    </xdr:from>
    <xdr:to>
      <xdr:col>5</xdr:col>
      <xdr:colOff>152400</xdr:colOff>
      <xdr:row>122</xdr:row>
      <xdr:rowOff>0</xdr:rowOff>
    </xdr:to>
    <xdr:pic>
      <xdr:nvPicPr>
        <xdr:cNvPr id="20522" name="Picture 33" descr="New Picture (1)"/>
        <xdr:cNvPicPr>
          <a:picLocks noChangeAspect="1" noChangeArrowheads="1"/>
        </xdr:cNvPicPr>
      </xdr:nvPicPr>
      <xdr:blipFill>
        <a:blip xmlns:r="http://schemas.openxmlformats.org/officeDocument/2006/relationships" r:embed="rId5"/>
        <a:srcRect/>
        <a:stretch>
          <a:fillRect/>
        </a:stretch>
      </xdr:blipFill>
      <xdr:spPr bwMode="auto">
        <a:xfrm>
          <a:off x="609600" y="21078825"/>
          <a:ext cx="3276600" cy="1714500"/>
        </a:xfrm>
        <a:prstGeom prst="rect">
          <a:avLst/>
        </a:prstGeom>
        <a:noFill/>
        <a:ln w="9525">
          <a:noFill/>
          <a:miter lim="800000"/>
          <a:headEnd/>
          <a:tailEnd/>
        </a:ln>
      </xdr:spPr>
    </xdr:pic>
    <xdr:clientData/>
  </xdr:twoCellAnchor>
  <xdr:twoCellAnchor>
    <xdr:from>
      <xdr:col>5</xdr:col>
      <xdr:colOff>476250</xdr:colOff>
      <xdr:row>113</xdr:row>
      <xdr:rowOff>0</xdr:rowOff>
    </xdr:from>
    <xdr:to>
      <xdr:col>10</xdr:col>
      <xdr:colOff>0</xdr:colOff>
      <xdr:row>121</xdr:row>
      <xdr:rowOff>180975</xdr:rowOff>
    </xdr:to>
    <xdr:pic>
      <xdr:nvPicPr>
        <xdr:cNvPr id="20523" name="Picture 34" descr="New Picture (2)"/>
        <xdr:cNvPicPr>
          <a:picLocks noChangeAspect="1" noChangeArrowheads="1"/>
        </xdr:cNvPicPr>
      </xdr:nvPicPr>
      <xdr:blipFill>
        <a:blip xmlns:r="http://schemas.openxmlformats.org/officeDocument/2006/relationships" r:embed="rId6"/>
        <a:srcRect/>
        <a:stretch>
          <a:fillRect/>
        </a:stretch>
      </xdr:blipFill>
      <xdr:spPr bwMode="auto">
        <a:xfrm>
          <a:off x="4210050" y="21078825"/>
          <a:ext cx="3429000" cy="1704975"/>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9</xdr:col>
      <xdr:colOff>209550</xdr:colOff>
      <xdr:row>1</xdr:row>
      <xdr:rowOff>9525</xdr:rowOff>
    </xdr:from>
    <xdr:to>
      <xdr:col>10</xdr:col>
      <xdr:colOff>676275</xdr:colOff>
      <xdr:row>4</xdr:row>
      <xdr:rowOff>142875</xdr:rowOff>
    </xdr:to>
    <xdr:pic>
      <xdr:nvPicPr>
        <xdr:cNvPr id="192513" name="Object 1"/>
        <xdr:cNvPicPr>
          <a:picLocks noChangeAspect="1" noChangeArrowheads="1"/>
        </xdr:cNvPicPr>
      </xdr:nvPicPr>
      <xdr:blipFill>
        <a:blip xmlns:r="http://schemas.openxmlformats.org/officeDocument/2006/relationships" r:embed="rId1"/>
        <a:srcRect/>
        <a:stretch>
          <a:fillRect/>
        </a:stretch>
      </xdr:blipFill>
      <xdr:spPr bwMode="auto">
        <a:xfrm>
          <a:off x="6172200" y="171450"/>
          <a:ext cx="1247775" cy="657225"/>
        </a:xfrm>
        <a:prstGeom prst="rect">
          <a:avLst/>
        </a:prstGeom>
        <a:noFill/>
      </xdr:spPr>
    </xdr:pic>
    <xdr:clientData/>
  </xdr:twoCellAnchor>
  <xdr:twoCellAnchor>
    <xdr:from>
      <xdr:col>2</xdr:col>
      <xdr:colOff>9525</xdr:colOff>
      <xdr:row>351</xdr:row>
      <xdr:rowOff>0</xdr:rowOff>
    </xdr:from>
    <xdr:to>
      <xdr:col>10</xdr:col>
      <xdr:colOff>704850</xdr:colOff>
      <xdr:row>362</xdr:row>
      <xdr:rowOff>142875</xdr:rowOff>
    </xdr:to>
    <xdr:pic>
      <xdr:nvPicPr>
        <xdr:cNvPr id="192584" name="Picture 2"/>
        <xdr:cNvPicPr>
          <a:picLocks noChangeAspect="1" noChangeArrowheads="1"/>
        </xdr:cNvPicPr>
      </xdr:nvPicPr>
      <xdr:blipFill>
        <a:blip xmlns:r="http://schemas.openxmlformats.org/officeDocument/2006/relationships" r:embed="rId2"/>
        <a:srcRect/>
        <a:stretch>
          <a:fillRect/>
        </a:stretch>
      </xdr:blipFill>
      <xdr:spPr bwMode="auto">
        <a:xfrm>
          <a:off x="504825" y="56978550"/>
          <a:ext cx="6943725" cy="1924050"/>
        </a:xfrm>
        <a:prstGeom prst="rect">
          <a:avLst/>
        </a:prstGeom>
        <a:noFill/>
        <a:ln w="9525">
          <a:noFill/>
          <a:miter lim="800000"/>
          <a:headEnd/>
          <a:tailEnd/>
        </a:ln>
      </xdr:spPr>
    </xdr:pic>
    <xdr:clientData/>
  </xdr:twoCellAnchor>
  <xdr:twoCellAnchor>
    <xdr:from>
      <xdr:col>2</xdr:col>
      <xdr:colOff>0</xdr:colOff>
      <xdr:row>1</xdr:row>
      <xdr:rowOff>19050</xdr:rowOff>
    </xdr:from>
    <xdr:to>
      <xdr:col>9</xdr:col>
      <xdr:colOff>200025</xdr:colOff>
      <xdr:row>5</xdr:row>
      <xdr:rowOff>0</xdr:rowOff>
    </xdr:to>
    <xdr:pic>
      <xdr:nvPicPr>
        <xdr:cNvPr id="192585" name="Picture 3"/>
        <xdr:cNvPicPr>
          <a:picLocks noChangeAspect="1" noChangeArrowheads="1"/>
        </xdr:cNvPicPr>
      </xdr:nvPicPr>
      <xdr:blipFill>
        <a:blip xmlns:r="http://schemas.openxmlformats.org/officeDocument/2006/relationships" r:embed="rId3"/>
        <a:srcRect/>
        <a:stretch>
          <a:fillRect/>
        </a:stretch>
      </xdr:blipFill>
      <xdr:spPr bwMode="auto">
        <a:xfrm>
          <a:off x="495300" y="180975"/>
          <a:ext cx="5667375" cy="666750"/>
        </a:xfrm>
        <a:prstGeom prst="rect">
          <a:avLst/>
        </a:prstGeom>
        <a:noFill/>
        <a:ln w="9525">
          <a:noFill/>
          <a:miter lim="800000"/>
          <a:headEnd/>
          <a:tailEnd/>
        </a:ln>
      </xdr:spPr>
    </xdr:pic>
    <xdr:clientData/>
  </xdr:twoCellAnchor>
  <xdr:twoCellAnchor>
    <xdr:from>
      <xdr:col>2</xdr:col>
      <xdr:colOff>0</xdr:colOff>
      <xdr:row>144</xdr:row>
      <xdr:rowOff>0</xdr:rowOff>
    </xdr:from>
    <xdr:to>
      <xdr:col>10</xdr:col>
      <xdr:colOff>704850</xdr:colOff>
      <xdr:row>163</xdr:row>
      <xdr:rowOff>0</xdr:rowOff>
    </xdr:to>
    <xdr:pic>
      <xdr:nvPicPr>
        <xdr:cNvPr id="192586" name="Picture 4"/>
        <xdr:cNvPicPr>
          <a:picLocks noChangeAspect="1" noChangeArrowheads="1"/>
        </xdr:cNvPicPr>
      </xdr:nvPicPr>
      <xdr:blipFill>
        <a:blip xmlns:r="http://schemas.openxmlformats.org/officeDocument/2006/relationships" r:embed="rId4"/>
        <a:srcRect/>
        <a:stretch>
          <a:fillRect/>
        </a:stretch>
      </xdr:blipFill>
      <xdr:spPr bwMode="auto">
        <a:xfrm>
          <a:off x="495300" y="23460075"/>
          <a:ext cx="6953250" cy="3076575"/>
        </a:xfrm>
        <a:prstGeom prst="rect">
          <a:avLst/>
        </a:prstGeom>
        <a:noFill/>
        <a:ln w="9525">
          <a:noFill/>
          <a:miter lim="800000"/>
          <a:headEnd/>
          <a:tailEnd/>
        </a:ln>
      </xdr:spPr>
    </xdr:pic>
    <xdr:clientData/>
  </xdr:twoCellAnchor>
  <xdr:twoCellAnchor>
    <xdr:from>
      <xdr:col>2</xdr:col>
      <xdr:colOff>0</xdr:colOff>
      <xdr:row>953</xdr:row>
      <xdr:rowOff>0</xdr:rowOff>
    </xdr:from>
    <xdr:to>
      <xdr:col>11</xdr:col>
      <xdr:colOff>0</xdr:colOff>
      <xdr:row>971</xdr:row>
      <xdr:rowOff>0</xdr:rowOff>
    </xdr:to>
    <xdr:graphicFrame macro="">
      <xdr:nvGraphicFramePr>
        <xdr:cNvPr id="192587"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1154</xdr:row>
      <xdr:rowOff>0</xdr:rowOff>
    </xdr:from>
    <xdr:to>
      <xdr:col>11</xdr:col>
      <xdr:colOff>19050</xdr:colOff>
      <xdr:row>1172</xdr:row>
      <xdr:rowOff>0</xdr:rowOff>
    </xdr:to>
    <xdr:graphicFrame macro="">
      <xdr:nvGraphicFramePr>
        <xdr:cNvPr id="192588"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577</xdr:row>
      <xdr:rowOff>0</xdr:rowOff>
    </xdr:from>
    <xdr:to>
      <xdr:col>11</xdr:col>
      <xdr:colOff>0</xdr:colOff>
      <xdr:row>595</xdr:row>
      <xdr:rowOff>0</xdr:rowOff>
    </xdr:to>
    <xdr:graphicFrame macro="">
      <xdr:nvGraphicFramePr>
        <xdr:cNvPr id="192589"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464</xdr:row>
      <xdr:rowOff>0</xdr:rowOff>
    </xdr:from>
    <xdr:to>
      <xdr:col>11</xdr:col>
      <xdr:colOff>0</xdr:colOff>
      <xdr:row>480</xdr:row>
      <xdr:rowOff>0</xdr:rowOff>
    </xdr:to>
    <xdr:graphicFrame macro="">
      <xdr:nvGraphicFramePr>
        <xdr:cNvPr id="192590"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483</xdr:row>
      <xdr:rowOff>0</xdr:rowOff>
    </xdr:from>
    <xdr:to>
      <xdr:col>11</xdr:col>
      <xdr:colOff>0</xdr:colOff>
      <xdr:row>499</xdr:row>
      <xdr:rowOff>0</xdr:rowOff>
    </xdr:to>
    <xdr:graphicFrame macro="">
      <xdr:nvGraphicFramePr>
        <xdr:cNvPr id="192591"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520</xdr:row>
      <xdr:rowOff>0</xdr:rowOff>
    </xdr:from>
    <xdr:to>
      <xdr:col>11</xdr:col>
      <xdr:colOff>0</xdr:colOff>
      <xdr:row>538</xdr:row>
      <xdr:rowOff>0</xdr:rowOff>
    </xdr:to>
    <xdr:graphicFrame macro="">
      <xdr:nvGraphicFramePr>
        <xdr:cNvPr id="192592"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543</xdr:row>
      <xdr:rowOff>0</xdr:rowOff>
    </xdr:from>
    <xdr:to>
      <xdr:col>11</xdr:col>
      <xdr:colOff>0</xdr:colOff>
      <xdr:row>561</xdr:row>
      <xdr:rowOff>0</xdr:rowOff>
    </xdr:to>
    <xdr:graphicFrame macro="">
      <xdr:nvGraphicFramePr>
        <xdr:cNvPr id="192593"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630</xdr:row>
      <xdr:rowOff>0</xdr:rowOff>
    </xdr:from>
    <xdr:to>
      <xdr:col>11</xdr:col>
      <xdr:colOff>0</xdr:colOff>
      <xdr:row>648</xdr:row>
      <xdr:rowOff>0</xdr:rowOff>
    </xdr:to>
    <xdr:graphicFrame macro="">
      <xdr:nvGraphicFramePr>
        <xdr:cNvPr id="192594"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693</xdr:row>
      <xdr:rowOff>0</xdr:rowOff>
    </xdr:from>
    <xdr:to>
      <xdr:col>11</xdr:col>
      <xdr:colOff>0</xdr:colOff>
      <xdr:row>711</xdr:row>
      <xdr:rowOff>0</xdr:rowOff>
    </xdr:to>
    <xdr:graphicFrame macro="">
      <xdr:nvGraphicFramePr>
        <xdr:cNvPr id="192595"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734</xdr:row>
      <xdr:rowOff>0</xdr:rowOff>
    </xdr:from>
    <xdr:to>
      <xdr:col>11</xdr:col>
      <xdr:colOff>0</xdr:colOff>
      <xdr:row>752</xdr:row>
      <xdr:rowOff>0</xdr:rowOff>
    </xdr:to>
    <xdr:graphicFrame macro="">
      <xdr:nvGraphicFramePr>
        <xdr:cNvPr id="192596"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0</xdr:colOff>
      <xdr:row>756</xdr:row>
      <xdr:rowOff>0</xdr:rowOff>
    </xdr:from>
    <xdr:to>
      <xdr:col>11</xdr:col>
      <xdr:colOff>0</xdr:colOff>
      <xdr:row>774</xdr:row>
      <xdr:rowOff>0</xdr:rowOff>
    </xdr:to>
    <xdr:graphicFrame macro="">
      <xdr:nvGraphicFramePr>
        <xdr:cNvPr id="192597"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779</xdr:row>
      <xdr:rowOff>0</xdr:rowOff>
    </xdr:from>
    <xdr:to>
      <xdr:col>11</xdr:col>
      <xdr:colOff>0</xdr:colOff>
      <xdr:row>797</xdr:row>
      <xdr:rowOff>0</xdr:rowOff>
    </xdr:to>
    <xdr:graphicFrame macro="">
      <xdr:nvGraphicFramePr>
        <xdr:cNvPr id="192598"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819</xdr:row>
      <xdr:rowOff>0</xdr:rowOff>
    </xdr:from>
    <xdr:to>
      <xdr:col>11</xdr:col>
      <xdr:colOff>0</xdr:colOff>
      <xdr:row>837</xdr:row>
      <xdr:rowOff>0</xdr:rowOff>
    </xdr:to>
    <xdr:graphicFrame macro="">
      <xdr:nvGraphicFramePr>
        <xdr:cNvPr id="192599"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0</xdr:colOff>
      <xdr:row>851</xdr:row>
      <xdr:rowOff>0</xdr:rowOff>
    </xdr:from>
    <xdr:to>
      <xdr:col>11</xdr:col>
      <xdr:colOff>0</xdr:colOff>
      <xdr:row>869</xdr:row>
      <xdr:rowOff>0</xdr:rowOff>
    </xdr:to>
    <xdr:graphicFrame macro="">
      <xdr:nvGraphicFramePr>
        <xdr:cNvPr id="192600"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0</xdr:colOff>
      <xdr:row>883</xdr:row>
      <xdr:rowOff>0</xdr:rowOff>
    </xdr:from>
    <xdr:to>
      <xdr:col>11</xdr:col>
      <xdr:colOff>0</xdr:colOff>
      <xdr:row>901</xdr:row>
      <xdr:rowOff>0</xdr:rowOff>
    </xdr:to>
    <xdr:graphicFrame macro="">
      <xdr:nvGraphicFramePr>
        <xdr:cNvPr id="192601"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0</xdr:colOff>
      <xdr:row>914</xdr:row>
      <xdr:rowOff>0</xdr:rowOff>
    </xdr:from>
    <xdr:to>
      <xdr:col>11</xdr:col>
      <xdr:colOff>0</xdr:colOff>
      <xdr:row>932</xdr:row>
      <xdr:rowOff>0</xdr:rowOff>
    </xdr:to>
    <xdr:graphicFrame macro="">
      <xdr:nvGraphicFramePr>
        <xdr:cNvPr id="192602"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0</xdr:colOff>
      <xdr:row>973</xdr:row>
      <xdr:rowOff>0</xdr:rowOff>
    </xdr:from>
    <xdr:to>
      <xdr:col>11</xdr:col>
      <xdr:colOff>0</xdr:colOff>
      <xdr:row>991</xdr:row>
      <xdr:rowOff>0</xdr:rowOff>
    </xdr:to>
    <xdr:graphicFrame macro="">
      <xdr:nvGraphicFramePr>
        <xdr:cNvPr id="192603"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0</xdr:colOff>
      <xdr:row>1110</xdr:row>
      <xdr:rowOff>0</xdr:rowOff>
    </xdr:from>
    <xdr:to>
      <xdr:col>11</xdr:col>
      <xdr:colOff>0</xdr:colOff>
      <xdr:row>1128</xdr:row>
      <xdr:rowOff>0</xdr:rowOff>
    </xdr:to>
    <xdr:graphicFrame macro="">
      <xdr:nvGraphicFramePr>
        <xdr:cNvPr id="192604"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0</xdr:colOff>
      <xdr:row>1134</xdr:row>
      <xdr:rowOff>0</xdr:rowOff>
    </xdr:from>
    <xdr:to>
      <xdr:col>11</xdr:col>
      <xdr:colOff>0</xdr:colOff>
      <xdr:row>1152</xdr:row>
      <xdr:rowOff>0</xdr:rowOff>
    </xdr:to>
    <xdr:graphicFrame macro="">
      <xdr:nvGraphicFramePr>
        <xdr:cNvPr id="192605"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0</xdr:colOff>
      <xdr:row>1174</xdr:row>
      <xdr:rowOff>0</xdr:rowOff>
    </xdr:from>
    <xdr:to>
      <xdr:col>11</xdr:col>
      <xdr:colOff>0</xdr:colOff>
      <xdr:row>1192</xdr:row>
      <xdr:rowOff>0</xdr:rowOff>
    </xdr:to>
    <xdr:graphicFrame macro="">
      <xdr:nvGraphicFramePr>
        <xdr:cNvPr id="192606"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0</xdr:colOff>
      <xdr:row>1335</xdr:row>
      <xdr:rowOff>0</xdr:rowOff>
    </xdr:from>
    <xdr:to>
      <xdr:col>11</xdr:col>
      <xdr:colOff>0</xdr:colOff>
      <xdr:row>1353</xdr:row>
      <xdr:rowOff>0</xdr:rowOff>
    </xdr:to>
    <xdr:graphicFrame macro="">
      <xdr:nvGraphicFramePr>
        <xdr:cNvPr id="192607"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5</xdr:col>
      <xdr:colOff>190500</xdr:colOff>
      <xdr:row>16</xdr:row>
      <xdr:rowOff>0</xdr:rowOff>
    </xdr:to>
    <xdr:pic>
      <xdr:nvPicPr>
        <xdr:cNvPr id="21510" name="Picture 1"/>
        <xdr:cNvPicPr>
          <a:picLocks noChangeAspect="1" noChangeArrowheads="1"/>
        </xdr:cNvPicPr>
      </xdr:nvPicPr>
      <xdr:blipFill>
        <a:blip xmlns:r="http://schemas.openxmlformats.org/officeDocument/2006/relationships" r:embed="rId1"/>
        <a:srcRect/>
        <a:stretch>
          <a:fillRect/>
        </a:stretch>
      </xdr:blipFill>
      <xdr:spPr bwMode="auto">
        <a:xfrm>
          <a:off x="609600" y="685800"/>
          <a:ext cx="3314700" cy="19431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xdr:row>
      <xdr:rowOff>0</xdr:rowOff>
    </xdr:from>
    <xdr:to>
      <xdr:col>5</xdr:col>
      <xdr:colOff>314325</xdr:colOff>
      <xdr:row>16</xdr:row>
      <xdr:rowOff>9525</xdr:rowOff>
    </xdr:to>
    <xdr:pic>
      <xdr:nvPicPr>
        <xdr:cNvPr id="22533" name="Picture 1"/>
        <xdr:cNvPicPr>
          <a:picLocks noChangeAspect="1" noChangeArrowheads="1"/>
        </xdr:cNvPicPr>
      </xdr:nvPicPr>
      <xdr:blipFill>
        <a:blip xmlns:r="http://schemas.openxmlformats.org/officeDocument/2006/relationships" r:embed="rId1"/>
        <a:srcRect/>
        <a:stretch>
          <a:fillRect/>
        </a:stretch>
      </xdr:blipFill>
      <xdr:spPr bwMode="auto">
        <a:xfrm>
          <a:off x="609600" y="685800"/>
          <a:ext cx="3438525" cy="1952625"/>
        </a:xfrm>
        <a:prstGeom prst="rect">
          <a:avLst/>
        </a:prstGeom>
        <a:noFill/>
        <a:ln w="9525">
          <a:noFill/>
          <a:miter lim="800000"/>
          <a:headEnd/>
          <a:tailEnd/>
        </a:ln>
      </xdr:spPr>
    </xdr:pic>
    <xdr:clientData fLocksWithSheet="0"/>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4</xdr:row>
      <xdr:rowOff>9525</xdr:rowOff>
    </xdr:from>
    <xdr:to>
      <xdr:col>11</xdr:col>
      <xdr:colOff>0</xdr:colOff>
      <xdr:row>25</xdr:row>
      <xdr:rowOff>0</xdr:rowOff>
    </xdr:to>
    <xdr:graphicFrame macro="">
      <xdr:nvGraphicFramePr>
        <xdr:cNvPr id="10548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4</xdr:row>
      <xdr:rowOff>9525</xdr:rowOff>
    </xdr:from>
    <xdr:to>
      <xdr:col>11</xdr:col>
      <xdr:colOff>0</xdr:colOff>
      <xdr:row>25</xdr:row>
      <xdr:rowOff>0</xdr:rowOff>
    </xdr:to>
    <xdr:graphicFrame macro="">
      <xdr:nvGraphicFramePr>
        <xdr:cNvPr id="10650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6</xdr:row>
      <xdr:rowOff>0</xdr:rowOff>
    </xdr:from>
    <xdr:to>
      <xdr:col>11</xdr:col>
      <xdr:colOff>0</xdr:colOff>
      <xdr:row>28</xdr:row>
      <xdr:rowOff>0</xdr:rowOff>
    </xdr:to>
    <xdr:graphicFrame macro="">
      <xdr:nvGraphicFramePr>
        <xdr:cNvPr id="14849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6</xdr:row>
      <xdr:rowOff>0</xdr:rowOff>
    </xdr:from>
    <xdr:to>
      <xdr:col>11</xdr:col>
      <xdr:colOff>0</xdr:colOff>
      <xdr:row>28</xdr:row>
      <xdr:rowOff>0</xdr:rowOff>
    </xdr:to>
    <xdr:graphicFrame macro="">
      <xdr:nvGraphicFramePr>
        <xdr:cNvPr id="15053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19050" cap="flat" cmpd="sng" algn="ctr">
          <a:solidFill>
            <a:srgbClr val="400000"/>
          </a:solidFill>
          <a:prstDash val="solid"/>
          <a:round/>
          <a:headEnd type="none" w="med" len="med"/>
          <a:tailEnd type="triangl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19050" cap="flat" cmpd="sng" algn="ctr">
          <a:solidFill>
            <a:srgbClr val="400000"/>
          </a:solidFill>
          <a:prstDash val="solid"/>
          <a:round/>
          <a:headEnd type="none" w="med" len="med"/>
          <a:tailEnd type="triangl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2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0.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49"/>
  <dimension ref="A1:O124"/>
  <sheetViews>
    <sheetView showRowColHeaders="0" workbookViewId="0">
      <selection activeCell="B8" sqref="B8:K14"/>
    </sheetView>
  </sheetViews>
  <sheetFormatPr defaultRowHeight="12.75"/>
  <cols>
    <col min="1" max="1" width="2.7109375" customWidth="1"/>
    <col min="2" max="11" width="13.7109375" customWidth="1"/>
    <col min="12" max="12" width="14.7109375" customWidth="1"/>
  </cols>
  <sheetData>
    <row r="1" spans="1:15" ht="13.5" thickBot="1">
      <c r="A1" s="732"/>
      <c r="B1" s="732"/>
      <c r="C1" s="732"/>
      <c r="D1" s="732"/>
      <c r="E1" s="732"/>
      <c r="F1" s="732"/>
      <c r="G1" s="732"/>
      <c r="H1" s="732"/>
      <c r="I1" s="732"/>
      <c r="J1" s="732"/>
      <c r="K1" s="732"/>
      <c r="L1" s="732"/>
      <c r="M1" s="732"/>
      <c r="N1" s="732"/>
      <c r="O1" s="732"/>
    </row>
    <row r="2" spans="1:15" ht="48.75" customHeight="1" thickTop="1">
      <c r="A2" s="732"/>
      <c r="B2" s="735" t="s">
        <v>615</v>
      </c>
      <c r="C2" s="736"/>
      <c r="D2" s="736"/>
      <c r="E2" s="736"/>
      <c r="F2" s="736"/>
      <c r="G2" s="736"/>
      <c r="H2" s="736"/>
      <c r="I2" s="736"/>
      <c r="J2" s="736"/>
      <c r="K2" s="737"/>
      <c r="L2" s="732"/>
      <c r="M2" s="732"/>
      <c r="N2" s="732"/>
      <c r="O2" s="732"/>
    </row>
    <row r="3" spans="1:15" ht="20.25" customHeight="1" thickBot="1">
      <c r="A3" s="732"/>
      <c r="B3" s="738"/>
      <c r="C3" s="739"/>
      <c r="D3" s="739"/>
      <c r="E3" s="739"/>
      <c r="F3" s="739"/>
      <c r="G3" s="739"/>
      <c r="H3" s="739"/>
      <c r="I3" s="739"/>
      <c r="J3" s="739"/>
      <c r="K3" s="740"/>
      <c r="L3" s="732"/>
      <c r="M3" s="732"/>
      <c r="N3" s="732"/>
      <c r="O3" s="732"/>
    </row>
    <row r="4" spans="1:15" ht="20.25" customHeight="1" thickTop="1">
      <c r="A4" s="732"/>
      <c r="B4" s="733"/>
      <c r="C4" s="733"/>
      <c r="D4" s="733"/>
      <c r="E4" s="733"/>
      <c r="F4" s="733"/>
      <c r="G4" s="733"/>
      <c r="H4" s="733"/>
      <c r="I4" s="733"/>
      <c r="J4" s="733"/>
      <c r="K4" s="733"/>
      <c r="L4" s="732"/>
      <c r="M4" s="732"/>
      <c r="N4" s="732"/>
      <c r="O4" s="732"/>
    </row>
    <row r="5" spans="1:15" ht="98.25" customHeight="1">
      <c r="A5" s="732"/>
      <c r="B5" s="734"/>
      <c r="C5" s="732"/>
      <c r="D5" s="732"/>
      <c r="E5" s="732"/>
      <c r="F5" s="732"/>
      <c r="G5" s="732"/>
      <c r="H5" s="732"/>
      <c r="I5" s="732"/>
      <c r="J5" s="732"/>
      <c r="K5" s="732"/>
      <c r="L5" s="732"/>
      <c r="M5" s="732"/>
      <c r="N5" s="732"/>
      <c r="O5" s="732"/>
    </row>
    <row r="6" spans="1:15">
      <c r="A6" s="732"/>
      <c r="B6" s="732"/>
      <c r="C6" s="732"/>
      <c r="D6" s="732"/>
      <c r="E6" s="732"/>
      <c r="F6" s="732"/>
      <c r="G6" s="732"/>
      <c r="H6" s="732"/>
      <c r="I6" s="732"/>
      <c r="J6" s="732"/>
      <c r="K6" s="732"/>
      <c r="L6" s="732"/>
      <c r="M6" s="732"/>
      <c r="N6" s="732"/>
      <c r="O6" s="732"/>
    </row>
    <row r="7" spans="1:15" ht="13.5" thickBot="1">
      <c r="A7" s="732"/>
      <c r="B7" s="732"/>
      <c r="C7" s="732"/>
      <c r="D7" s="732"/>
      <c r="E7" s="732"/>
      <c r="F7" s="732"/>
      <c r="G7" s="732"/>
      <c r="H7" s="732"/>
      <c r="I7" s="732"/>
      <c r="J7" s="732"/>
      <c r="K7" s="732"/>
      <c r="L7" s="732"/>
      <c r="M7" s="732"/>
      <c r="N7" s="732"/>
      <c r="O7" s="732"/>
    </row>
    <row r="8" spans="1:15" ht="51.75" customHeight="1" thickTop="1">
      <c r="A8" s="732"/>
      <c r="B8" s="741" t="s">
        <v>674</v>
      </c>
      <c r="C8" s="742"/>
      <c r="D8" s="742"/>
      <c r="E8" s="742"/>
      <c r="F8" s="742"/>
      <c r="G8" s="742"/>
      <c r="H8" s="742"/>
      <c r="I8" s="742"/>
      <c r="J8" s="742"/>
      <c r="K8" s="743"/>
      <c r="L8" s="732"/>
      <c r="M8" s="732"/>
      <c r="N8" s="732"/>
      <c r="O8" s="732"/>
    </row>
    <row r="9" spans="1:15" ht="12.75" customHeight="1">
      <c r="A9" s="732"/>
      <c r="B9" s="744"/>
      <c r="C9" s="745"/>
      <c r="D9" s="745"/>
      <c r="E9" s="745"/>
      <c r="F9" s="745"/>
      <c r="G9" s="745"/>
      <c r="H9" s="745"/>
      <c r="I9" s="745"/>
      <c r="J9" s="745"/>
      <c r="K9" s="746"/>
      <c r="L9" s="732"/>
      <c r="M9" s="732"/>
      <c r="N9" s="732"/>
      <c r="O9" s="732"/>
    </row>
    <row r="10" spans="1:15" ht="12.75" customHeight="1">
      <c r="A10" s="732"/>
      <c r="B10" s="744"/>
      <c r="C10" s="745"/>
      <c r="D10" s="745"/>
      <c r="E10" s="745"/>
      <c r="F10" s="745"/>
      <c r="G10" s="745"/>
      <c r="H10" s="745"/>
      <c r="I10" s="745"/>
      <c r="J10" s="745"/>
      <c r="K10" s="746"/>
      <c r="L10" s="732"/>
      <c r="M10" s="732"/>
      <c r="N10" s="732"/>
      <c r="O10" s="732"/>
    </row>
    <row r="11" spans="1:15" ht="12.75" customHeight="1">
      <c r="A11" s="732"/>
      <c r="B11" s="744"/>
      <c r="C11" s="745"/>
      <c r="D11" s="745"/>
      <c r="E11" s="745"/>
      <c r="F11" s="745"/>
      <c r="G11" s="745"/>
      <c r="H11" s="745"/>
      <c r="I11" s="745"/>
      <c r="J11" s="745"/>
      <c r="K11" s="746"/>
      <c r="L11" s="732"/>
      <c r="M11" s="732"/>
      <c r="N11" s="732"/>
      <c r="O11" s="732"/>
    </row>
    <row r="12" spans="1:15">
      <c r="A12" s="732"/>
      <c r="B12" s="744"/>
      <c r="C12" s="745"/>
      <c r="D12" s="745"/>
      <c r="E12" s="745"/>
      <c r="F12" s="745"/>
      <c r="G12" s="745"/>
      <c r="H12" s="745"/>
      <c r="I12" s="745"/>
      <c r="J12" s="745"/>
      <c r="K12" s="746"/>
      <c r="L12" s="732"/>
      <c r="M12" s="732"/>
      <c r="N12" s="732"/>
      <c r="O12" s="732"/>
    </row>
    <row r="13" spans="1:15">
      <c r="A13" s="732"/>
      <c r="B13" s="744"/>
      <c r="C13" s="745"/>
      <c r="D13" s="745"/>
      <c r="E13" s="745"/>
      <c r="F13" s="745"/>
      <c r="G13" s="745"/>
      <c r="H13" s="745"/>
      <c r="I13" s="745"/>
      <c r="J13" s="745"/>
      <c r="K13" s="746"/>
      <c r="L13" s="732"/>
      <c r="M13" s="732"/>
      <c r="N13" s="732"/>
      <c r="O13" s="732"/>
    </row>
    <row r="14" spans="1:15" ht="13.5" thickBot="1">
      <c r="A14" s="732"/>
      <c r="B14" s="747"/>
      <c r="C14" s="748"/>
      <c r="D14" s="748"/>
      <c r="E14" s="748"/>
      <c r="F14" s="748"/>
      <c r="G14" s="748"/>
      <c r="H14" s="748"/>
      <c r="I14" s="748"/>
      <c r="J14" s="748"/>
      <c r="K14" s="749"/>
      <c r="L14" s="732"/>
      <c r="M14" s="732"/>
      <c r="N14" s="732"/>
      <c r="O14" s="732"/>
    </row>
    <row r="15" spans="1:15" ht="13.5" thickTop="1">
      <c r="A15" s="732"/>
      <c r="B15" s="732"/>
      <c r="C15" s="732"/>
      <c r="D15" s="732"/>
      <c r="E15" s="732"/>
      <c r="F15" s="732"/>
      <c r="G15" s="732"/>
      <c r="H15" s="732"/>
      <c r="I15" s="732"/>
      <c r="J15" s="732"/>
      <c r="K15" s="732"/>
      <c r="L15" s="732"/>
      <c r="M15" s="732"/>
      <c r="N15" s="732"/>
      <c r="O15" s="732"/>
    </row>
    <row r="16" spans="1:15">
      <c r="A16" s="732"/>
      <c r="B16" s="732"/>
      <c r="C16" s="732"/>
      <c r="D16" s="732"/>
      <c r="E16" s="732"/>
      <c r="F16" s="732"/>
      <c r="G16" s="732"/>
      <c r="H16" s="732"/>
      <c r="I16" s="732"/>
      <c r="J16" s="732"/>
      <c r="K16" s="732"/>
      <c r="L16" s="732"/>
      <c r="M16" s="732"/>
      <c r="N16" s="732"/>
      <c r="O16" s="732"/>
    </row>
    <row r="17" spans="1:15">
      <c r="A17" s="732"/>
      <c r="B17" s="732"/>
      <c r="C17" s="732"/>
      <c r="D17" s="732"/>
      <c r="E17" s="732"/>
      <c r="F17" s="732"/>
      <c r="G17" s="732"/>
      <c r="H17" s="732"/>
      <c r="I17" s="732"/>
      <c r="J17" s="732"/>
      <c r="K17" s="732"/>
      <c r="L17" s="732"/>
      <c r="M17" s="732"/>
      <c r="N17" s="732"/>
      <c r="O17" s="732"/>
    </row>
    <row r="18" spans="1:15">
      <c r="A18" s="732"/>
      <c r="B18" s="732"/>
      <c r="C18" s="732"/>
      <c r="D18" s="732"/>
      <c r="E18" s="732"/>
      <c r="F18" s="732"/>
      <c r="G18" s="732"/>
      <c r="H18" s="732"/>
      <c r="I18" s="732"/>
      <c r="J18" s="732"/>
      <c r="K18" s="732"/>
      <c r="L18" s="732"/>
      <c r="M18" s="732"/>
      <c r="N18" s="732"/>
      <c r="O18" s="732"/>
    </row>
    <row r="19" spans="1:15">
      <c r="A19" s="732"/>
      <c r="B19" s="732"/>
      <c r="C19" s="732"/>
      <c r="D19" s="732"/>
      <c r="E19" s="732"/>
      <c r="F19" s="732"/>
      <c r="G19" s="732"/>
      <c r="H19" s="732"/>
      <c r="I19" s="732"/>
      <c r="J19" s="732"/>
      <c r="K19" s="732"/>
      <c r="L19" s="732"/>
      <c r="M19" s="732"/>
      <c r="N19" s="732"/>
      <c r="O19" s="732"/>
    </row>
    <row r="20" spans="1:15">
      <c r="A20" s="732"/>
      <c r="B20" s="732"/>
      <c r="C20" s="732"/>
      <c r="D20" s="732"/>
      <c r="E20" s="732"/>
      <c r="F20" s="732"/>
      <c r="G20" s="732"/>
      <c r="H20" s="732"/>
      <c r="I20" s="732"/>
      <c r="J20" s="732"/>
      <c r="K20" s="732"/>
      <c r="L20" s="732"/>
      <c r="M20" s="732"/>
      <c r="N20" s="732"/>
      <c r="O20" s="732"/>
    </row>
    <row r="21" spans="1:15">
      <c r="A21" s="732"/>
      <c r="B21" s="732"/>
      <c r="C21" s="732"/>
      <c r="D21" s="732"/>
      <c r="E21" s="732"/>
      <c r="F21" s="732"/>
      <c r="G21" s="732"/>
      <c r="H21" s="732"/>
      <c r="I21" s="732"/>
      <c r="J21" s="732"/>
      <c r="K21" s="732"/>
      <c r="L21" s="732"/>
      <c r="M21" s="732"/>
      <c r="N21" s="732"/>
      <c r="O21" s="732"/>
    </row>
    <row r="22" spans="1:15">
      <c r="A22" s="732"/>
      <c r="B22" s="732"/>
      <c r="C22" s="732"/>
      <c r="D22" s="732"/>
      <c r="E22" s="732"/>
      <c r="F22" s="732"/>
      <c r="G22" s="732"/>
      <c r="H22" s="732"/>
      <c r="I22" s="732"/>
      <c r="J22" s="732"/>
      <c r="K22" s="732"/>
      <c r="L22" s="732"/>
      <c r="M22" s="732"/>
      <c r="N22" s="732"/>
      <c r="O22" s="732"/>
    </row>
    <row r="23" spans="1:15">
      <c r="A23" s="732"/>
      <c r="B23" s="732"/>
      <c r="C23" s="732"/>
      <c r="D23" s="732"/>
      <c r="E23" s="732"/>
      <c r="F23" s="732"/>
      <c r="G23" s="732"/>
      <c r="H23" s="732"/>
      <c r="I23" s="732"/>
      <c r="J23" s="732"/>
      <c r="K23" s="732"/>
      <c r="L23" s="732"/>
      <c r="M23" s="732"/>
      <c r="N23" s="732"/>
      <c r="O23" s="732"/>
    </row>
    <row r="24" spans="1:15">
      <c r="A24" s="732"/>
      <c r="B24" s="732"/>
      <c r="C24" s="732"/>
      <c r="D24" s="732"/>
      <c r="E24" s="732"/>
      <c r="F24" s="732"/>
      <c r="G24" s="732"/>
      <c r="H24" s="732"/>
      <c r="I24" s="732"/>
      <c r="J24" s="732"/>
      <c r="K24" s="732"/>
      <c r="L24" s="732"/>
      <c r="M24" s="732"/>
      <c r="N24" s="732"/>
      <c r="O24" s="732"/>
    </row>
    <row r="25" spans="1:15">
      <c r="A25" s="732"/>
      <c r="B25" s="732"/>
      <c r="C25" s="732"/>
      <c r="D25" s="732"/>
      <c r="E25" s="732"/>
      <c r="F25" s="732"/>
      <c r="G25" s="732"/>
      <c r="H25" s="732"/>
      <c r="I25" s="732"/>
      <c r="J25" s="732"/>
      <c r="K25" s="732"/>
      <c r="L25" s="732"/>
      <c r="M25" s="732"/>
      <c r="N25" s="732"/>
      <c r="O25" s="732"/>
    </row>
    <row r="26" spans="1:15">
      <c r="A26" s="732"/>
      <c r="B26" s="732"/>
      <c r="C26" s="732"/>
      <c r="D26" s="732"/>
      <c r="E26" s="732"/>
      <c r="F26" s="732"/>
      <c r="G26" s="732"/>
      <c r="H26" s="732"/>
      <c r="I26" s="732"/>
      <c r="J26" s="732"/>
      <c r="K26" s="732"/>
      <c r="L26" s="732"/>
      <c r="M26" s="732"/>
      <c r="N26" s="732"/>
      <c r="O26" s="732"/>
    </row>
    <row r="27" spans="1:15">
      <c r="A27" s="732"/>
      <c r="B27" s="732"/>
      <c r="C27" s="732"/>
      <c r="D27" s="732"/>
      <c r="E27" s="732"/>
      <c r="F27" s="732"/>
      <c r="G27" s="732"/>
      <c r="H27" s="732"/>
      <c r="I27" s="732"/>
      <c r="J27" s="732"/>
      <c r="K27" s="732"/>
      <c r="L27" s="732"/>
      <c r="M27" s="732"/>
      <c r="N27" s="732"/>
      <c r="O27" s="732"/>
    </row>
    <row r="28" spans="1:15">
      <c r="A28" s="732"/>
      <c r="B28" s="732"/>
      <c r="C28" s="732"/>
      <c r="D28" s="732"/>
      <c r="E28" s="732"/>
      <c r="F28" s="732"/>
      <c r="G28" s="732"/>
      <c r="H28" s="732"/>
      <c r="I28" s="732"/>
      <c r="J28" s="732"/>
      <c r="K28" s="732"/>
      <c r="L28" s="732"/>
      <c r="M28" s="732"/>
      <c r="N28" s="732"/>
      <c r="O28" s="732"/>
    </row>
    <row r="29" spans="1:15">
      <c r="A29" s="732"/>
      <c r="B29" s="732"/>
      <c r="C29" s="732"/>
      <c r="D29" s="732"/>
      <c r="E29" s="732"/>
      <c r="F29" s="732"/>
      <c r="G29" s="732"/>
      <c r="H29" s="732"/>
      <c r="I29" s="732"/>
      <c r="J29" s="732"/>
      <c r="K29" s="732"/>
      <c r="L29" s="732"/>
      <c r="M29" s="732"/>
      <c r="N29" s="732"/>
      <c r="O29" s="732"/>
    </row>
    <row r="30" spans="1:15">
      <c r="A30" s="732"/>
      <c r="B30" s="732"/>
      <c r="C30" s="732"/>
      <c r="D30" s="732"/>
      <c r="E30" s="732"/>
      <c r="F30" s="732"/>
      <c r="G30" s="732"/>
      <c r="H30" s="732"/>
      <c r="I30" s="732"/>
      <c r="J30" s="732"/>
      <c r="K30" s="732"/>
      <c r="L30" s="732"/>
      <c r="M30" s="732"/>
      <c r="N30" s="732"/>
      <c r="O30" s="732"/>
    </row>
    <row r="31" spans="1:15">
      <c r="A31" s="732"/>
      <c r="B31" s="732"/>
      <c r="C31" s="732"/>
      <c r="D31" s="732"/>
      <c r="E31" s="732"/>
      <c r="F31" s="732"/>
      <c r="G31" s="732"/>
      <c r="H31" s="732"/>
      <c r="I31" s="732"/>
      <c r="J31" s="732"/>
      <c r="K31" s="732"/>
      <c r="L31" s="732"/>
      <c r="M31" s="732"/>
      <c r="N31" s="732"/>
      <c r="O31" s="732"/>
    </row>
    <row r="32" spans="1:15">
      <c r="A32" s="732"/>
      <c r="B32" s="732"/>
      <c r="C32" s="732"/>
      <c r="D32" s="732"/>
      <c r="E32" s="732"/>
      <c r="F32" s="732"/>
      <c r="G32" s="732"/>
      <c r="H32" s="732"/>
      <c r="I32" s="732"/>
      <c r="J32" s="732"/>
      <c r="K32" s="732"/>
      <c r="L32" s="732"/>
      <c r="M32" s="732"/>
      <c r="N32" s="732"/>
      <c r="O32" s="732"/>
    </row>
    <row r="33" spans="1:15">
      <c r="A33" s="732"/>
      <c r="B33" s="732"/>
      <c r="C33" s="732"/>
      <c r="D33" s="732"/>
      <c r="E33" s="732"/>
      <c r="F33" s="732"/>
      <c r="G33" s="732"/>
      <c r="H33" s="732"/>
      <c r="I33" s="732"/>
      <c r="J33" s="732"/>
      <c r="K33" s="732"/>
      <c r="L33" s="732"/>
      <c r="M33" s="732"/>
      <c r="N33" s="732"/>
      <c r="O33" s="732"/>
    </row>
    <row r="34" spans="1:15">
      <c r="A34" s="732"/>
      <c r="B34" s="732"/>
      <c r="C34" s="732"/>
      <c r="D34" s="732"/>
      <c r="E34" s="732"/>
      <c r="F34" s="732"/>
      <c r="G34" s="732"/>
      <c r="H34" s="732"/>
      <c r="I34" s="732"/>
      <c r="J34" s="732"/>
      <c r="K34" s="732"/>
      <c r="L34" s="732"/>
      <c r="M34" s="732"/>
      <c r="N34" s="732"/>
      <c r="O34" s="732"/>
    </row>
    <row r="35" spans="1:15">
      <c r="A35" s="732"/>
      <c r="B35" s="732"/>
      <c r="C35" s="732"/>
      <c r="D35" s="732"/>
      <c r="E35" s="732"/>
      <c r="F35" s="732"/>
      <c r="G35" s="732"/>
      <c r="H35" s="732"/>
      <c r="I35" s="732"/>
      <c r="J35" s="732"/>
      <c r="K35" s="732"/>
      <c r="L35" s="732"/>
      <c r="M35" s="732"/>
      <c r="N35" s="732"/>
      <c r="O35" s="732"/>
    </row>
    <row r="36" spans="1:15">
      <c r="A36" s="732"/>
      <c r="B36" s="732"/>
      <c r="C36" s="732"/>
      <c r="D36" s="732"/>
      <c r="E36" s="732"/>
      <c r="F36" s="732"/>
      <c r="G36" s="732"/>
      <c r="H36" s="732"/>
      <c r="I36" s="732"/>
      <c r="J36" s="732"/>
      <c r="K36" s="732"/>
      <c r="L36" s="732"/>
      <c r="M36" s="732"/>
      <c r="N36" s="732"/>
      <c r="O36" s="732"/>
    </row>
    <row r="37" spans="1:15">
      <c r="A37" s="732"/>
      <c r="B37" s="732"/>
      <c r="C37" s="732"/>
      <c r="D37" s="732"/>
      <c r="E37" s="732"/>
      <c r="F37" s="732"/>
      <c r="G37" s="732"/>
      <c r="H37" s="732"/>
      <c r="I37" s="732"/>
      <c r="J37" s="732"/>
      <c r="K37" s="732"/>
      <c r="L37" s="732"/>
      <c r="M37" s="732"/>
      <c r="N37" s="732"/>
      <c r="O37" s="732"/>
    </row>
    <row r="38" spans="1:15">
      <c r="A38" s="732"/>
      <c r="B38" s="732"/>
      <c r="C38" s="732"/>
      <c r="D38" s="732"/>
      <c r="E38" s="732"/>
      <c r="F38" s="732"/>
      <c r="G38" s="732"/>
      <c r="H38" s="732"/>
      <c r="I38" s="732"/>
      <c r="J38" s="732"/>
      <c r="K38" s="732"/>
      <c r="L38" s="732"/>
      <c r="M38" s="732"/>
      <c r="N38" s="732"/>
      <c r="O38" s="732"/>
    </row>
    <row r="39" spans="1:15">
      <c r="A39" s="732"/>
      <c r="B39" s="732"/>
      <c r="C39" s="732"/>
      <c r="D39" s="732"/>
      <c r="E39" s="732"/>
      <c r="F39" s="732"/>
      <c r="G39" s="732"/>
      <c r="H39" s="732"/>
      <c r="I39" s="732"/>
      <c r="J39" s="732"/>
      <c r="K39" s="732"/>
      <c r="L39" s="732"/>
      <c r="M39" s="732"/>
      <c r="N39" s="732"/>
      <c r="O39" s="732"/>
    </row>
    <row r="40" spans="1:15">
      <c r="A40" s="732"/>
      <c r="B40" s="732"/>
      <c r="C40" s="732"/>
      <c r="D40" s="732"/>
      <c r="E40" s="732"/>
      <c r="F40" s="732"/>
      <c r="G40" s="732"/>
      <c r="H40" s="732"/>
      <c r="I40" s="732"/>
      <c r="J40" s="732"/>
      <c r="K40" s="732"/>
      <c r="L40" s="732"/>
      <c r="M40" s="732"/>
      <c r="N40" s="732"/>
      <c r="O40" s="732"/>
    </row>
    <row r="41" spans="1:15">
      <c r="A41" s="732"/>
      <c r="B41" s="732"/>
      <c r="C41" s="732"/>
      <c r="D41" s="732"/>
      <c r="E41" s="732"/>
      <c r="F41" s="732"/>
      <c r="G41" s="732"/>
      <c r="H41" s="732"/>
      <c r="I41" s="732"/>
      <c r="J41" s="732"/>
      <c r="K41" s="732"/>
      <c r="L41" s="732"/>
      <c r="M41" s="732"/>
      <c r="N41" s="732"/>
      <c r="O41" s="732"/>
    </row>
    <row r="42" spans="1:15">
      <c r="A42" s="732"/>
      <c r="B42" s="732"/>
      <c r="C42" s="732"/>
      <c r="D42" s="732"/>
      <c r="E42" s="732"/>
      <c r="F42" s="732"/>
      <c r="G42" s="732"/>
      <c r="H42" s="732"/>
      <c r="I42" s="732"/>
      <c r="J42" s="732"/>
      <c r="K42" s="732"/>
      <c r="L42" s="732"/>
      <c r="M42" s="732"/>
      <c r="N42" s="732"/>
      <c r="O42" s="732"/>
    </row>
    <row r="43" spans="1:15">
      <c r="A43" s="732"/>
      <c r="B43" s="732"/>
      <c r="C43" s="732"/>
      <c r="D43" s="732"/>
      <c r="E43" s="732"/>
      <c r="F43" s="732"/>
      <c r="G43" s="732"/>
      <c r="H43" s="732"/>
      <c r="I43" s="732"/>
      <c r="J43" s="732"/>
      <c r="K43" s="732"/>
      <c r="L43" s="732"/>
      <c r="M43" s="732"/>
      <c r="N43" s="732"/>
      <c r="O43" s="732"/>
    </row>
    <row r="44" spans="1:15">
      <c r="A44" s="732"/>
      <c r="B44" s="732"/>
      <c r="C44" s="732"/>
      <c r="D44" s="732"/>
      <c r="E44" s="732"/>
      <c r="F44" s="732"/>
      <c r="G44" s="732"/>
      <c r="H44" s="732"/>
      <c r="I44" s="732"/>
      <c r="J44" s="732"/>
      <c r="K44" s="732"/>
      <c r="L44" s="732"/>
      <c r="M44" s="732"/>
      <c r="N44" s="732"/>
      <c r="O44" s="732"/>
    </row>
    <row r="45" spans="1:15">
      <c r="A45" s="732"/>
      <c r="B45" s="732"/>
      <c r="C45" s="732"/>
      <c r="D45" s="732"/>
      <c r="E45" s="732"/>
      <c r="F45" s="732"/>
      <c r="G45" s="732"/>
      <c r="H45" s="732"/>
      <c r="I45" s="732"/>
      <c r="J45" s="732"/>
      <c r="K45" s="732"/>
      <c r="L45" s="732"/>
      <c r="M45" s="732"/>
      <c r="N45" s="732"/>
      <c r="O45" s="732"/>
    </row>
    <row r="46" spans="1:15">
      <c r="A46" s="732"/>
      <c r="B46" s="732"/>
      <c r="C46" s="732"/>
      <c r="D46" s="732"/>
      <c r="E46" s="732"/>
      <c r="F46" s="732"/>
      <c r="G46" s="732"/>
      <c r="H46" s="732"/>
      <c r="I46" s="732"/>
      <c r="J46" s="732"/>
      <c r="K46" s="732"/>
      <c r="L46" s="732"/>
      <c r="M46" s="732"/>
      <c r="N46" s="732"/>
      <c r="O46" s="732"/>
    </row>
    <row r="47" spans="1:15">
      <c r="A47" s="732"/>
      <c r="B47" s="732"/>
      <c r="C47" s="732"/>
      <c r="D47" s="732"/>
      <c r="E47" s="732"/>
      <c r="F47" s="732"/>
      <c r="G47" s="732"/>
      <c r="H47" s="732"/>
      <c r="I47" s="732"/>
      <c r="J47" s="732"/>
      <c r="K47" s="732"/>
      <c r="L47" s="732"/>
      <c r="M47" s="732"/>
      <c r="N47" s="732"/>
      <c r="O47" s="732"/>
    </row>
    <row r="48" spans="1:15">
      <c r="A48" s="732"/>
      <c r="B48" s="732"/>
      <c r="C48" s="732"/>
      <c r="D48" s="732"/>
      <c r="E48" s="732"/>
      <c r="F48" s="732"/>
      <c r="G48" s="732"/>
      <c r="H48" s="732"/>
      <c r="I48" s="732"/>
      <c r="J48" s="732"/>
      <c r="K48" s="732"/>
      <c r="L48" s="732"/>
      <c r="M48" s="732"/>
      <c r="N48" s="732"/>
      <c r="O48" s="732"/>
    </row>
    <row r="49" spans="1:15">
      <c r="A49" s="732"/>
      <c r="B49" s="732"/>
      <c r="C49" s="732"/>
      <c r="D49" s="732"/>
      <c r="E49" s="732"/>
      <c r="F49" s="732"/>
      <c r="G49" s="732"/>
      <c r="H49" s="732"/>
      <c r="I49" s="732"/>
      <c r="J49" s="732"/>
      <c r="K49" s="732"/>
      <c r="L49" s="732"/>
      <c r="M49" s="732"/>
      <c r="N49" s="732"/>
      <c r="O49" s="732"/>
    </row>
    <row r="50" spans="1:15">
      <c r="A50" s="732"/>
      <c r="B50" s="732"/>
      <c r="C50" s="732"/>
      <c r="D50" s="732"/>
      <c r="E50" s="732"/>
      <c r="F50" s="732"/>
      <c r="G50" s="732"/>
      <c r="H50" s="732"/>
      <c r="I50" s="732"/>
      <c r="J50" s="732"/>
      <c r="K50" s="732"/>
      <c r="L50" s="732"/>
      <c r="M50" s="732"/>
      <c r="N50" s="732"/>
      <c r="O50" s="732"/>
    </row>
    <row r="51" spans="1:15">
      <c r="A51" s="732"/>
      <c r="B51" s="732"/>
      <c r="C51" s="732"/>
      <c r="D51" s="732"/>
      <c r="E51" s="732"/>
      <c r="F51" s="732"/>
      <c r="G51" s="732"/>
      <c r="H51" s="732"/>
      <c r="I51" s="732"/>
      <c r="J51" s="732"/>
      <c r="K51" s="732"/>
      <c r="L51" s="732"/>
      <c r="M51" s="732"/>
      <c r="N51" s="732"/>
      <c r="O51" s="732"/>
    </row>
    <row r="52" spans="1:15">
      <c r="A52" s="732"/>
      <c r="B52" s="732"/>
      <c r="C52" s="732"/>
      <c r="D52" s="732"/>
      <c r="E52" s="732"/>
      <c r="F52" s="732"/>
      <c r="G52" s="732"/>
      <c r="H52" s="732"/>
      <c r="I52" s="732"/>
      <c r="J52" s="732"/>
      <c r="K52" s="732"/>
      <c r="L52" s="732"/>
      <c r="M52" s="732"/>
      <c r="N52" s="732"/>
      <c r="O52" s="732"/>
    </row>
    <row r="53" spans="1:15">
      <c r="A53" s="732"/>
      <c r="B53" s="732"/>
      <c r="C53" s="732"/>
      <c r="D53" s="732"/>
      <c r="E53" s="732"/>
      <c r="F53" s="732"/>
      <c r="G53" s="732"/>
      <c r="H53" s="732"/>
      <c r="I53" s="732"/>
      <c r="J53" s="732"/>
      <c r="K53" s="732"/>
      <c r="L53" s="732"/>
      <c r="M53" s="732"/>
      <c r="N53" s="732"/>
      <c r="O53" s="732"/>
    </row>
    <row r="54" spans="1:15">
      <c r="A54" s="732"/>
      <c r="B54" s="732"/>
      <c r="C54" s="732"/>
      <c r="D54" s="732"/>
      <c r="E54" s="732"/>
      <c r="F54" s="732"/>
      <c r="G54" s="732"/>
      <c r="H54" s="732"/>
      <c r="I54" s="732"/>
      <c r="J54" s="732"/>
      <c r="K54" s="732"/>
      <c r="L54" s="732"/>
      <c r="M54" s="732"/>
      <c r="N54" s="732"/>
      <c r="O54" s="732"/>
    </row>
    <row r="55" spans="1:15">
      <c r="A55" s="732"/>
      <c r="B55" s="732"/>
      <c r="C55" s="732"/>
      <c r="D55" s="732"/>
      <c r="E55" s="732"/>
      <c r="F55" s="732"/>
      <c r="G55" s="732"/>
      <c r="H55" s="732"/>
      <c r="I55" s="732"/>
      <c r="J55" s="732"/>
      <c r="K55" s="732"/>
      <c r="L55" s="732"/>
      <c r="M55" s="732"/>
      <c r="N55" s="732"/>
      <c r="O55" s="732"/>
    </row>
    <row r="56" spans="1:15">
      <c r="A56" s="732"/>
      <c r="B56" s="732"/>
      <c r="C56" s="732"/>
      <c r="D56" s="732"/>
      <c r="E56" s="732"/>
      <c r="F56" s="732"/>
      <c r="G56" s="732"/>
      <c r="H56" s="732"/>
      <c r="I56" s="732"/>
      <c r="J56" s="732"/>
      <c r="K56" s="732"/>
      <c r="L56" s="732"/>
      <c r="M56" s="732"/>
      <c r="N56" s="732"/>
      <c r="O56" s="732"/>
    </row>
    <row r="57" spans="1:15">
      <c r="A57" s="732"/>
      <c r="B57" s="732"/>
      <c r="C57" s="732"/>
      <c r="D57" s="732"/>
      <c r="E57" s="732"/>
      <c r="F57" s="732"/>
      <c r="G57" s="732"/>
      <c r="H57" s="732"/>
      <c r="I57" s="732"/>
      <c r="J57" s="732"/>
      <c r="K57" s="732"/>
      <c r="L57" s="732"/>
      <c r="M57" s="732"/>
      <c r="N57" s="732"/>
      <c r="O57" s="732"/>
    </row>
    <row r="58" spans="1:15">
      <c r="A58" s="732"/>
      <c r="B58" s="732"/>
      <c r="C58" s="732"/>
      <c r="D58" s="732"/>
      <c r="E58" s="732"/>
      <c r="F58" s="732"/>
      <c r="G58" s="732"/>
      <c r="H58" s="732"/>
      <c r="I58" s="732"/>
      <c r="J58" s="732"/>
      <c r="K58" s="732"/>
      <c r="L58" s="732"/>
      <c r="M58" s="732"/>
      <c r="N58" s="732"/>
      <c r="O58" s="732"/>
    </row>
    <row r="59" spans="1:15">
      <c r="A59" s="732"/>
      <c r="B59" s="732"/>
      <c r="C59" s="732"/>
      <c r="D59" s="732"/>
      <c r="E59" s="732"/>
      <c r="F59" s="732"/>
      <c r="G59" s="732"/>
      <c r="H59" s="732"/>
      <c r="I59" s="732"/>
      <c r="J59" s="732"/>
      <c r="K59" s="732"/>
      <c r="L59" s="732"/>
      <c r="M59" s="732"/>
      <c r="N59" s="732"/>
      <c r="O59" s="732"/>
    </row>
    <row r="60" spans="1:15">
      <c r="A60" s="732"/>
      <c r="B60" s="732"/>
      <c r="C60" s="732"/>
      <c r="D60" s="732"/>
      <c r="E60" s="732"/>
      <c r="F60" s="732"/>
      <c r="G60" s="732"/>
      <c r="H60" s="732"/>
      <c r="I60" s="732"/>
      <c r="J60" s="732"/>
      <c r="K60" s="732"/>
      <c r="L60" s="732"/>
      <c r="M60" s="732"/>
      <c r="N60" s="732"/>
      <c r="O60" s="732"/>
    </row>
    <row r="61" spans="1:15">
      <c r="A61" s="732"/>
      <c r="B61" s="732"/>
      <c r="C61" s="732"/>
      <c r="D61" s="732"/>
      <c r="E61" s="732"/>
      <c r="F61" s="732"/>
      <c r="G61" s="732"/>
      <c r="H61" s="732"/>
      <c r="I61" s="732"/>
      <c r="J61" s="732"/>
      <c r="K61" s="732"/>
      <c r="L61" s="732"/>
      <c r="M61" s="732"/>
      <c r="N61" s="732"/>
      <c r="O61" s="732"/>
    </row>
    <row r="62" spans="1:15">
      <c r="A62" s="732"/>
      <c r="B62" s="732"/>
      <c r="C62" s="732"/>
      <c r="D62" s="732"/>
      <c r="E62" s="732"/>
      <c r="F62" s="732"/>
      <c r="G62" s="732"/>
      <c r="H62" s="732"/>
      <c r="I62" s="732"/>
      <c r="J62" s="732"/>
      <c r="K62" s="732"/>
      <c r="L62" s="732"/>
      <c r="M62" s="732"/>
      <c r="N62" s="732"/>
      <c r="O62" s="732"/>
    </row>
    <row r="63" spans="1:15">
      <c r="A63" s="732"/>
      <c r="B63" s="732"/>
      <c r="C63" s="732"/>
      <c r="D63" s="732"/>
      <c r="E63" s="732"/>
      <c r="F63" s="732"/>
      <c r="G63" s="732"/>
      <c r="H63" s="732"/>
      <c r="I63" s="732"/>
      <c r="J63" s="732"/>
      <c r="K63" s="732"/>
      <c r="L63" s="732"/>
      <c r="M63" s="732"/>
      <c r="N63" s="732"/>
      <c r="O63" s="732"/>
    </row>
    <row r="64" spans="1:15">
      <c r="A64" s="732"/>
      <c r="B64" s="732"/>
      <c r="C64" s="732"/>
      <c r="D64" s="732"/>
      <c r="E64" s="732"/>
      <c r="F64" s="732"/>
      <c r="G64" s="732"/>
      <c r="H64" s="732"/>
      <c r="I64" s="732"/>
      <c r="J64" s="732"/>
      <c r="K64" s="732"/>
      <c r="L64" s="732"/>
      <c r="M64" s="732"/>
      <c r="N64" s="732"/>
      <c r="O64" s="732"/>
    </row>
    <row r="65" spans="1:15">
      <c r="A65" s="732"/>
      <c r="B65" s="732"/>
      <c r="C65" s="732"/>
      <c r="D65" s="732"/>
      <c r="E65" s="732"/>
      <c r="F65" s="732"/>
      <c r="G65" s="732"/>
      <c r="H65" s="732"/>
      <c r="I65" s="732"/>
      <c r="J65" s="732"/>
      <c r="K65" s="732"/>
      <c r="L65" s="732"/>
      <c r="M65" s="732"/>
      <c r="N65" s="732"/>
      <c r="O65" s="732"/>
    </row>
    <row r="66" spans="1:15">
      <c r="A66" s="732"/>
      <c r="B66" s="732"/>
      <c r="C66" s="732"/>
      <c r="D66" s="732"/>
      <c r="E66" s="732"/>
      <c r="F66" s="732"/>
      <c r="G66" s="732"/>
      <c r="H66" s="732"/>
      <c r="I66" s="732"/>
      <c r="J66" s="732"/>
      <c r="K66" s="732"/>
      <c r="L66" s="732"/>
      <c r="M66" s="732"/>
      <c r="N66" s="732"/>
      <c r="O66" s="732"/>
    </row>
    <row r="67" spans="1:15">
      <c r="A67" s="732"/>
      <c r="B67" s="732"/>
      <c r="C67" s="732"/>
      <c r="D67" s="732"/>
      <c r="E67" s="732"/>
      <c r="F67" s="732"/>
      <c r="G67" s="732"/>
      <c r="H67" s="732"/>
      <c r="I67" s="732"/>
      <c r="J67" s="732"/>
      <c r="K67" s="732"/>
      <c r="L67" s="732"/>
      <c r="M67" s="732"/>
      <c r="N67" s="732"/>
      <c r="O67" s="732"/>
    </row>
    <row r="68" spans="1:15">
      <c r="A68" s="732"/>
      <c r="B68" s="732"/>
      <c r="C68" s="732"/>
      <c r="D68" s="732"/>
      <c r="E68" s="732"/>
      <c r="F68" s="732"/>
      <c r="G68" s="732"/>
      <c r="H68" s="732"/>
      <c r="I68" s="732"/>
      <c r="J68" s="732"/>
      <c r="K68" s="732"/>
      <c r="L68" s="732"/>
      <c r="M68" s="732"/>
      <c r="N68" s="732"/>
      <c r="O68" s="732"/>
    </row>
    <row r="69" spans="1:15">
      <c r="A69" s="732"/>
      <c r="B69" s="732"/>
      <c r="C69" s="732"/>
      <c r="D69" s="732"/>
      <c r="E69" s="732"/>
      <c r="F69" s="732"/>
      <c r="G69" s="732"/>
      <c r="H69" s="732"/>
      <c r="I69" s="732"/>
      <c r="J69" s="732"/>
      <c r="K69" s="732"/>
      <c r="L69" s="732"/>
      <c r="M69" s="732"/>
      <c r="N69" s="732"/>
      <c r="O69" s="732"/>
    </row>
    <row r="70" spans="1:15">
      <c r="A70" s="732"/>
      <c r="B70" s="732"/>
      <c r="C70" s="732"/>
      <c r="D70" s="732"/>
      <c r="E70" s="732"/>
      <c r="F70" s="732"/>
      <c r="G70" s="732"/>
      <c r="H70" s="732"/>
      <c r="I70" s="732"/>
      <c r="J70" s="732"/>
      <c r="K70" s="732"/>
      <c r="L70" s="732"/>
      <c r="M70" s="732"/>
      <c r="N70" s="732"/>
      <c r="O70" s="732"/>
    </row>
    <row r="71" spans="1:15">
      <c r="A71" s="732"/>
      <c r="B71" s="732"/>
      <c r="C71" s="732"/>
      <c r="D71" s="732"/>
      <c r="E71" s="732"/>
      <c r="F71" s="732"/>
      <c r="G71" s="732"/>
      <c r="H71" s="732"/>
      <c r="I71" s="732"/>
      <c r="J71" s="732"/>
      <c r="K71" s="732"/>
      <c r="L71" s="732"/>
      <c r="M71" s="732"/>
      <c r="N71" s="732"/>
      <c r="O71" s="732"/>
    </row>
    <row r="72" spans="1:15">
      <c r="A72" s="732"/>
      <c r="B72" s="732"/>
      <c r="C72" s="732"/>
      <c r="D72" s="732"/>
      <c r="E72" s="732"/>
      <c r="F72" s="732"/>
      <c r="G72" s="732"/>
      <c r="H72" s="732"/>
      <c r="I72" s="732"/>
      <c r="J72" s="732"/>
      <c r="K72" s="732"/>
      <c r="L72" s="732"/>
      <c r="M72" s="732"/>
      <c r="N72" s="732"/>
      <c r="O72" s="732"/>
    </row>
    <row r="73" spans="1:15">
      <c r="A73" s="732"/>
      <c r="B73" s="732"/>
      <c r="C73" s="732"/>
      <c r="D73" s="732"/>
      <c r="E73" s="732"/>
      <c r="F73" s="732"/>
      <c r="G73" s="732"/>
      <c r="H73" s="732"/>
      <c r="I73" s="732"/>
      <c r="J73" s="732"/>
      <c r="K73" s="732"/>
      <c r="L73" s="732"/>
      <c r="M73" s="732"/>
      <c r="N73" s="732"/>
      <c r="O73" s="732"/>
    </row>
    <row r="74" spans="1:15">
      <c r="A74" s="732"/>
      <c r="B74" s="732"/>
      <c r="C74" s="732"/>
      <c r="D74" s="732"/>
      <c r="E74" s="732"/>
      <c r="F74" s="732"/>
      <c r="G74" s="732"/>
      <c r="H74" s="732"/>
      <c r="I74" s="732"/>
      <c r="J74" s="732"/>
      <c r="K74" s="732"/>
      <c r="L74" s="732"/>
      <c r="M74" s="732"/>
      <c r="N74" s="732"/>
      <c r="O74" s="732"/>
    </row>
    <row r="75" spans="1:15">
      <c r="A75" s="732"/>
      <c r="B75" s="732"/>
      <c r="C75" s="732"/>
      <c r="D75" s="732"/>
      <c r="E75" s="732"/>
      <c r="F75" s="732"/>
      <c r="G75" s="732"/>
      <c r="H75" s="732"/>
      <c r="I75" s="732"/>
      <c r="J75" s="732"/>
      <c r="K75" s="732"/>
      <c r="L75" s="732"/>
      <c r="M75" s="732"/>
      <c r="N75" s="732"/>
      <c r="O75" s="732"/>
    </row>
    <row r="76" spans="1:15">
      <c r="A76" s="732"/>
      <c r="B76" s="732"/>
      <c r="C76" s="732"/>
      <c r="D76" s="732"/>
      <c r="E76" s="732"/>
      <c r="F76" s="732"/>
      <c r="G76" s="732"/>
      <c r="H76" s="732"/>
      <c r="I76" s="732"/>
      <c r="J76" s="732"/>
      <c r="K76" s="732"/>
      <c r="L76" s="732"/>
      <c r="M76" s="732"/>
      <c r="N76" s="732"/>
      <c r="O76" s="732"/>
    </row>
    <row r="77" spans="1:15">
      <c r="A77" s="732"/>
      <c r="B77" s="732"/>
      <c r="C77" s="732"/>
      <c r="D77" s="732"/>
      <c r="E77" s="732"/>
      <c r="F77" s="732"/>
      <c r="G77" s="732"/>
      <c r="H77" s="732"/>
      <c r="I77" s="732"/>
      <c r="J77" s="732"/>
      <c r="K77" s="732"/>
      <c r="L77" s="732"/>
      <c r="M77" s="732"/>
      <c r="N77" s="732"/>
      <c r="O77" s="732"/>
    </row>
    <row r="78" spans="1:15">
      <c r="A78" s="732"/>
      <c r="B78" s="732"/>
      <c r="C78" s="732"/>
      <c r="D78" s="732"/>
      <c r="E78" s="732"/>
      <c r="F78" s="732"/>
      <c r="G78" s="732"/>
      <c r="H78" s="732"/>
      <c r="I78" s="732"/>
      <c r="J78" s="732"/>
      <c r="K78" s="732"/>
      <c r="L78" s="732"/>
      <c r="M78" s="732"/>
      <c r="N78" s="732"/>
      <c r="O78" s="732"/>
    </row>
    <row r="79" spans="1:15">
      <c r="A79" s="732"/>
      <c r="B79" s="732"/>
      <c r="C79" s="732"/>
      <c r="D79" s="732"/>
      <c r="E79" s="732"/>
      <c r="F79" s="732"/>
      <c r="G79" s="732"/>
      <c r="H79" s="732"/>
      <c r="I79" s="732"/>
      <c r="J79" s="732"/>
      <c r="K79" s="732"/>
      <c r="L79" s="732"/>
      <c r="M79" s="732"/>
      <c r="N79" s="732"/>
      <c r="O79" s="732"/>
    </row>
    <row r="80" spans="1:15">
      <c r="A80" s="732"/>
      <c r="B80" s="732"/>
      <c r="C80" s="732"/>
      <c r="D80" s="732"/>
      <c r="E80" s="732"/>
      <c r="F80" s="732"/>
      <c r="G80" s="732"/>
      <c r="H80" s="732"/>
      <c r="I80" s="732"/>
      <c r="J80" s="732"/>
      <c r="K80" s="732"/>
      <c r="L80" s="732"/>
      <c r="M80" s="732"/>
      <c r="N80" s="732"/>
      <c r="O80" s="732"/>
    </row>
    <row r="81" spans="1:15">
      <c r="A81" s="732"/>
      <c r="B81" s="732"/>
      <c r="C81" s="732"/>
      <c r="D81" s="732"/>
      <c r="E81" s="732"/>
      <c r="F81" s="732"/>
      <c r="G81" s="732"/>
      <c r="H81" s="732"/>
      <c r="I81" s="732"/>
      <c r="J81" s="732"/>
      <c r="K81" s="732"/>
      <c r="L81" s="732"/>
      <c r="M81" s="732"/>
      <c r="N81" s="732"/>
      <c r="O81" s="732"/>
    </row>
    <row r="82" spans="1:15">
      <c r="A82" s="732"/>
      <c r="B82" s="732"/>
      <c r="C82" s="732"/>
      <c r="D82" s="732"/>
      <c r="E82" s="732"/>
      <c r="F82" s="732"/>
      <c r="G82" s="732"/>
      <c r="H82" s="732"/>
      <c r="I82" s="732"/>
      <c r="J82" s="732"/>
      <c r="K82" s="732"/>
      <c r="L82" s="732"/>
      <c r="M82" s="732"/>
      <c r="N82" s="732"/>
      <c r="O82" s="732"/>
    </row>
    <row r="83" spans="1:15">
      <c r="A83" s="732"/>
      <c r="B83" s="732"/>
      <c r="C83" s="732"/>
      <c r="D83" s="732"/>
      <c r="E83" s="732"/>
      <c r="F83" s="732"/>
      <c r="G83" s="732"/>
      <c r="H83" s="732"/>
      <c r="I83" s="732"/>
      <c r="J83" s="732"/>
      <c r="K83" s="732"/>
      <c r="L83" s="732"/>
      <c r="M83" s="732"/>
      <c r="N83" s="732"/>
      <c r="O83" s="732"/>
    </row>
    <row r="84" spans="1:15">
      <c r="A84" s="732"/>
      <c r="B84" s="732"/>
      <c r="C84" s="732"/>
      <c r="D84" s="732"/>
      <c r="E84" s="732"/>
      <c r="F84" s="732"/>
      <c r="G84" s="732"/>
      <c r="H84" s="732"/>
      <c r="I84" s="732"/>
      <c r="J84" s="732"/>
      <c r="K84" s="732"/>
      <c r="L84" s="732"/>
      <c r="M84" s="732"/>
      <c r="N84" s="732"/>
      <c r="O84" s="732"/>
    </row>
    <row r="85" spans="1:15">
      <c r="A85" s="732"/>
      <c r="B85" s="732"/>
      <c r="C85" s="732"/>
      <c r="D85" s="732"/>
      <c r="E85" s="732"/>
      <c r="F85" s="732"/>
      <c r="G85" s="732"/>
      <c r="H85" s="732"/>
      <c r="I85" s="732"/>
      <c r="J85" s="732"/>
      <c r="K85" s="732"/>
      <c r="L85" s="732"/>
      <c r="M85" s="732"/>
      <c r="N85" s="732"/>
      <c r="O85" s="732"/>
    </row>
    <row r="86" spans="1:15">
      <c r="A86" s="732"/>
      <c r="B86" s="732"/>
      <c r="C86" s="732"/>
      <c r="D86" s="732"/>
      <c r="E86" s="732"/>
      <c r="F86" s="732"/>
      <c r="G86" s="732"/>
      <c r="H86" s="732"/>
      <c r="I86" s="732"/>
      <c r="J86" s="732"/>
      <c r="K86" s="732"/>
      <c r="L86" s="732"/>
      <c r="M86" s="732"/>
      <c r="N86" s="732"/>
      <c r="O86" s="732"/>
    </row>
    <row r="87" spans="1:15">
      <c r="A87" s="732"/>
      <c r="B87" s="732"/>
      <c r="C87" s="732"/>
      <c r="D87" s="732"/>
      <c r="E87" s="732"/>
      <c r="F87" s="732"/>
      <c r="G87" s="732"/>
      <c r="H87" s="732"/>
      <c r="I87" s="732"/>
      <c r="J87" s="732"/>
      <c r="K87" s="732"/>
      <c r="L87" s="732"/>
      <c r="M87" s="732"/>
      <c r="N87" s="732"/>
      <c r="O87" s="732"/>
    </row>
    <row r="88" spans="1:15">
      <c r="A88" s="732"/>
      <c r="B88" s="732"/>
      <c r="C88" s="732"/>
      <c r="D88" s="732"/>
      <c r="E88" s="732"/>
      <c r="F88" s="732"/>
      <c r="G88" s="732"/>
      <c r="H88" s="732"/>
      <c r="I88" s="732"/>
      <c r="J88" s="732"/>
      <c r="K88" s="732"/>
      <c r="L88" s="732"/>
      <c r="M88" s="732"/>
      <c r="N88" s="732"/>
      <c r="O88" s="732"/>
    </row>
    <row r="89" spans="1:15">
      <c r="A89" s="732"/>
      <c r="B89" s="732"/>
      <c r="C89" s="732"/>
      <c r="D89" s="732"/>
      <c r="E89" s="732"/>
      <c r="F89" s="732"/>
      <c r="G89" s="732"/>
      <c r="H89" s="732"/>
      <c r="I89" s="732"/>
      <c r="J89" s="732"/>
      <c r="K89" s="732"/>
      <c r="L89" s="732"/>
      <c r="M89" s="732"/>
      <c r="N89" s="732"/>
      <c r="O89" s="732"/>
    </row>
    <row r="90" spans="1:15">
      <c r="A90" s="732"/>
      <c r="B90" s="732"/>
      <c r="C90" s="732"/>
      <c r="D90" s="732"/>
      <c r="E90" s="732"/>
      <c r="F90" s="732"/>
      <c r="G90" s="732"/>
      <c r="H90" s="732"/>
      <c r="I90" s="732"/>
      <c r="J90" s="732"/>
      <c r="K90" s="732"/>
      <c r="L90" s="732"/>
      <c r="M90" s="732"/>
      <c r="N90" s="732"/>
      <c r="O90" s="732"/>
    </row>
    <row r="91" spans="1:15">
      <c r="A91" s="732"/>
      <c r="B91" s="732"/>
      <c r="C91" s="732"/>
      <c r="D91" s="732"/>
      <c r="E91" s="732"/>
      <c r="F91" s="732"/>
      <c r="G91" s="732"/>
      <c r="H91" s="732"/>
      <c r="I91" s="732"/>
      <c r="J91" s="732"/>
      <c r="K91" s="732"/>
      <c r="L91" s="732"/>
      <c r="M91" s="732"/>
      <c r="N91" s="732"/>
      <c r="O91" s="732"/>
    </row>
    <row r="92" spans="1:15">
      <c r="A92" s="732"/>
      <c r="B92" s="732"/>
      <c r="C92" s="732"/>
      <c r="D92" s="732"/>
      <c r="E92" s="732"/>
      <c r="F92" s="732"/>
      <c r="G92" s="732"/>
      <c r="H92" s="732"/>
      <c r="I92" s="732"/>
      <c r="J92" s="732"/>
      <c r="K92" s="732"/>
      <c r="L92" s="732"/>
      <c r="M92" s="732"/>
      <c r="N92" s="732"/>
      <c r="O92" s="732"/>
    </row>
    <row r="93" spans="1:15">
      <c r="A93" s="732"/>
      <c r="B93" s="732"/>
      <c r="C93" s="732"/>
      <c r="D93" s="732"/>
      <c r="E93" s="732"/>
      <c r="F93" s="732"/>
      <c r="G93" s="732"/>
      <c r="H93" s="732"/>
      <c r="I93" s="732"/>
      <c r="J93" s="732"/>
      <c r="K93" s="732"/>
      <c r="L93" s="732"/>
      <c r="M93" s="732"/>
      <c r="N93" s="732"/>
      <c r="O93" s="732"/>
    </row>
    <row r="94" spans="1:15">
      <c r="A94" s="732"/>
      <c r="B94" s="732"/>
      <c r="C94" s="732"/>
      <c r="D94" s="732"/>
      <c r="E94" s="732"/>
      <c r="F94" s="732"/>
      <c r="G94" s="732"/>
      <c r="H94" s="732"/>
      <c r="I94" s="732"/>
      <c r="J94" s="732"/>
      <c r="K94" s="732"/>
      <c r="L94" s="732"/>
      <c r="M94" s="732"/>
      <c r="N94" s="732"/>
      <c r="O94" s="732"/>
    </row>
    <row r="95" spans="1:15">
      <c r="A95" s="732"/>
      <c r="B95" s="732"/>
      <c r="C95" s="732"/>
      <c r="D95" s="732"/>
      <c r="E95" s="732"/>
      <c r="F95" s="732"/>
      <c r="G95" s="732"/>
      <c r="H95" s="732"/>
      <c r="I95" s="732"/>
      <c r="J95" s="732"/>
      <c r="K95" s="732"/>
      <c r="L95" s="732"/>
      <c r="M95" s="732"/>
      <c r="N95" s="732"/>
      <c r="O95" s="732"/>
    </row>
    <row r="96" spans="1:15">
      <c r="A96" s="732"/>
      <c r="B96" s="732"/>
      <c r="C96" s="732"/>
      <c r="D96" s="732"/>
      <c r="E96" s="732"/>
      <c r="F96" s="732"/>
      <c r="G96" s="732"/>
      <c r="H96" s="732"/>
      <c r="I96" s="732"/>
      <c r="J96" s="732"/>
      <c r="K96" s="732"/>
      <c r="L96" s="732"/>
      <c r="M96" s="732"/>
      <c r="N96" s="732"/>
      <c r="O96" s="732"/>
    </row>
    <row r="97" spans="1:15">
      <c r="A97" s="732"/>
      <c r="B97" s="732"/>
      <c r="C97" s="732"/>
      <c r="D97" s="732"/>
      <c r="E97" s="732"/>
      <c r="F97" s="732"/>
      <c r="G97" s="732"/>
      <c r="H97" s="732"/>
      <c r="I97" s="732"/>
      <c r="J97" s="732"/>
      <c r="K97" s="732"/>
      <c r="L97" s="732"/>
      <c r="M97" s="732"/>
      <c r="N97" s="732"/>
      <c r="O97" s="732"/>
    </row>
    <row r="98" spans="1:15">
      <c r="A98" s="732"/>
      <c r="B98" s="732"/>
      <c r="C98" s="732"/>
      <c r="D98" s="732"/>
      <c r="E98" s="732"/>
      <c r="F98" s="732"/>
      <c r="G98" s="732"/>
      <c r="H98" s="732"/>
      <c r="I98" s="732"/>
      <c r="J98" s="732"/>
      <c r="K98" s="732"/>
      <c r="L98" s="732"/>
      <c r="M98" s="732"/>
      <c r="N98" s="732"/>
      <c r="O98" s="732"/>
    </row>
    <row r="99" spans="1:15">
      <c r="A99" s="732"/>
      <c r="B99" s="732"/>
      <c r="C99" s="732"/>
      <c r="D99" s="732"/>
      <c r="E99" s="732"/>
      <c r="F99" s="732"/>
      <c r="G99" s="732"/>
      <c r="H99" s="732"/>
      <c r="I99" s="732"/>
      <c r="J99" s="732"/>
      <c r="K99" s="732"/>
      <c r="L99" s="732"/>
      <c r="M99" s="732"/>
      <c r="N99" s="732"/>
      <c r="O99" s="732"/>
    </row>
    <row r="100" spans="1:15">
      <c r="A100" s="732"/>
      <c r="B100" s="732"/>
      <c r="C100" s="732"/>
      <c r="D100" s="732"/>
      <c r="E100" s="732"/>
      <c r="F100" s="732"/>
      <c r="G100" s="732"/>
      <c r="H100" s="732"/>
      <c r="I100" s="732"/>
      <c r="J100" s="732"/>
      <c r="K100" s="732"/>
      <c r="L100" s="732"/>
      <c r="M100" s="732"/>
      <c r="N100" s="732"/>
      <c r="O100" s="732"/>
    </row>
    <row r="101" spans="1:15">
      <c r="A101" s="732"/>
      <c r="B101" s="732"/>
      <c r="C101" s="732"/>
      <c r="D101" s="732"/>
      <c r="E101" s="732"/>
      <c r="F101" s="732"/>
      <c r="G101" s="732"/>
      <c r="H101" s="732"/>
      <c r="I101" s="732"/>
      <c r="J101" s="732"/>
      <c r="K101" s="732"/>
      <c r="L101" s="732"/>
      <c r="M101" s="732"/>
      <c r="N101" s="732"/>
      <c r="O101" s="732"/>
    </row>
    <row r="102" spans="1:15">
      <c r="A102" s="732"/>
      <c r="B102" s="732"/>
      <c r="C102" s="732"/>
      <c r="D102" s="732"/>
      <c r="E102" s="732"/>
      <c r="F102" s="732"/>
      <c r="G102" s="732"/>
      <c r="H102" s="732"/>
      <c r="I102" s="732"/>
      <c r="J102" s="732"/>
      <c r="K102" s="732"/>
      <c r="L102" s="732"/>
      <c r="M102" s="732"/>
      <c r="N102" s="732"/>
      <c r="O102" s="732"/>
    </row>
    <row r="103" spans="1:15">
      <c r="A103" s="732"/>
      <c r="B103" s="732"/>
      <c r="C103" s="732"/>
      <c r="D103" s="732"/>
      <c r="E103" s="732"/>
      <c r="F103" s="732"/>
      <c r="G103" s="732"/>
      <c r="H103" s="732"/>
      <c r="I103" s="732"/>
      <c r="J103" s="732"/>
      <c r="K103" s="732"/>
      <c r="L103" s="732"/>
      <c r="M103" s="732"/>
      <c r="N103" s="732"/>
      <c r="O103" s="732"/>
    </row>
    <row r="104" spans="1:15">
      <c r="A104" s="732"/>
      <c r="B104" s="732"/>
      <c r="C104" s="732"/>
      <c r="D104" s="732"/>
      <c r="E104" s="732"/>
      <c r="F104" s="732"/>
      <c r="G104" s="732"/>
      <c r="H104" s="732"/>
      <c r="I104" s="732"/>
      <c r="J104" s="732"/>
      <c r="K104" s="732"/>
      <c r="L104" s="732"/>
      <c r="M104" s="732"/>
      <c r="N104" s="732"/>
      <c r="O104" s="732"/>
    </row>
    <row r="105" spans="1:15">
      <c r="A105" s="732"/>
      <c r="B105" s="732"/>
      <c r="C105" s="732"/>
      <c r="D105" s="732"/>
      <c r="E105" s="732"/>
      <c r="F105" s="732"/>
      <c r="G105" s="732"/>
      <c r="H105" s="732"/>
      <c r="I105" s="732"/>
      <c r="J105" s="732"/>
      <c r="K105" s="732"/>
      <c r="L105" s="732"/>
      <c r="M105" s="732"/>
      <c r="N105" s="732"/>
      <c r="O105" s="732"/>
    </row>
    <row r="106" spans="1:15">
      <c r="A106" s="732"/>
      <c r="B106" s="732"/>
      <c r="C106" s="732"/>
      <c r="D106" s="732"/>
      <c r="E106" s="732"/>
      <c r="F106" s="732"/>
      <c r="G106" s="732"/>
      <c r="H106" s="732"/>
      <c r="I106" s="732"/>
      <c r="J106" s="732"/>
      <c r="K106" s="732"/>
      <c r="L106" s="732"/>
      <c r="M106" s="732"/>
      <c r="N106" s="732"/>
      <c r="O106" s="732"/>
    </row>
    <row r="107" spans="1:15">
      <c r="A107" s="732"/>
      <c r="B107" s="732"/>
      <c r="C107" s="732"/>
      <c r="D107" s="732"/>
      <c r="E107" s="732"/>
      <c r="F107" s="732"/>
      <c r="G107" s="732"/>
      <c r="H107" s="732"/>
      <c r="I107" s="732"/>
      <c r="J107" s="732"/>
      <c r="K107" s="732"/>
      <c r="L107" s="732"/>
      <c r="M107" s="732"/>
      <c r="N107" s="732"/>
      <c r="O107" s="732"/>
    </row>
    <row r="108" spans="1:15">
      <c r="A108" s="732"/>
      <c r="B108" s="732"/>
      <c r="C108" s="732"/>
      <c r="D108" s="732"/>
      <c r="E108" s="732"/>
      <c r="F108" s="732"/>
      <c r="G108" s="732"/>
      <c r="H108" s="732"/>
      <c r="I108" s="732"/>
      <c r="J108" s="732"/>
      <c r="K108" s="732"/>
      <c r="L108" s="732"/>
      <c r="M108" s="732"/>
      <c r="N108" s="732"/>
      <c r="O108" s="732"/>
    </row>
    <row r="109" spans="1:15">
      <c r="A109" s="732"/>
      <c r="B109" s="732"/>
      <c r="C109" s="732"/>
      <c r="D109" s="732"/>
      <c r="E109" s="732"/>
      <c r="F109" s="732"/>
      <c r="G109" s="732"/>
      <c r="H109" s="732"/>
      <c r="I109" s="732"/>
      <c r="J109" s="732"/>
      <c r="K109" s="732"/>
      <c r="L109" s="732"/>
      <c r="M109" s="732"/>
      <c r="N109" s="732"/>
      <c r="O109" s="732"/>
    </row>
    <row r="110" spans="1:15">
      <c r="A110" s="732"/>
      <c r="B110" s="732"/>
      <c r="C110" s="732"/>
      <c r="D110" s="732"/>
      <c r="E110" s="732"/>
      <c r="F110" s="732"/>
      <c r="G110" s="732"/>
      <c r="H110" s="732"/>
      <c r="I110" s="732"/>
      <c r="J110" s="732"/>
      <c r="K110" s="732"/>
      <c r="L110" s="732"/>
      <c r="M110" s="732"/>
      <c r="N110" s="732"/>
      <c r="O110" s="732"/>
    </row>
    <row r="111" spans="1:15">
      <c r="A111" s="732"/>
      <c r="B111" s="732"/>
      <c r="C111" s="732"/>
      <c r="D111" s="732"/>
      <c r="E111" s="732"/>
      <c r="F111" s="732"/>
      <c r="G111" s="732"/>
      <c r="H111" s="732"/>
      <c r="I111" s="732"/>
      <c r="J111" s="732"/>
      <c r="K111" s="732"/>
      <c r="L111" s="732"/>
      <c r="M111" s="732"/>
      <c r="N111" s="732"/>
      <c r="O111" s="732"/>
    </row>
    <row r="112" spans="1:15">
      <c r="A112" s="732"/>
      <c r="B112" s="732"/>
      <c r="C112" s="732"/>
      <c r="D112" s="732"/>
      <c r="E112" s="732"/>
      <c r="F112" s="732"/>
      <c r="G112" s="732"/>
      <c r="H112" s="732"/>
      <c r="I112" s="732"/>
      <c r="J112" s="732"/>
      <c r="K112" s="732"/>
      <c r="L112" s="732"/>
      <c r="M112" s="732"/>
      <c r="N112" s="732"/>
      <c r="O112" s="732"/>
    </row>
    <row r="113" spans="1:15">
      <c r="A113" s="732"/>
      <c r="B113" s="732"/>
      <c r="C113" s="732"/>
      <c r="D113" s="732"/>
      <c r="E113" s="732"/>
      <c r="F113" s="732"/>
      <c r="G113" s="732"/>
      <c r="H113" s="732"/>
      <c r="I113" s="732"/>
      <c r="J113" s="732"/>
      <c r="K113" s="732"/>
      <c r="L113" s="732"/>
      <c r="M113" s="732"/>
      <c r="N113" s="732"/>
      <c r="O113" s="732"/>
    </row>
    <row r="114" spans="1:15">
      <c r="A114" s="732"/>
      <c r="B114" s="732"/>
      <c r="C114" s="732"/>
      <c r="D114" s="732"/>
      <c r="E114" s="732"/>
      <c r="F114" s="732"/>
      <c r="G114" s="732"/>
      <c r="H114" s="732"/>
      <c r="I114" s="732"/>
      <c r="J114" s="732"/>
      <c r="K114" s="732"/>
      <c r="L114" s="732"/>
      <c r="M114" s="732"/>
      <c r="N114" s="732"/>
      <c r="O114" s="732"/>
    </row>
    <row r="115" spans="1:15">
      <c r="A115" s="732"/>
      <c r="B115" s="732"/>
      <c r="C115" s="732"/>
      <c r="D115" s="732"/>
      <c r="E115" s="732"/>
      <c r="F115" s="732"/>
      <c r="G115" s="732"/>
      <c r="H115" s="732"/>
      <c r="I115" s="732"/>
      <c r="J115" s="732"/>
      <c r="K115" s="732"/>
      <c r="L115" s="732"/>
      <c r="M115" s="732"/>
      <c r="N115" s="732"/>
      <c r="O115" s="732"/>
    </row>
    <row r="116" spans="1:15">
      <c r="A116" s="732"/>
      <c r="B116" s="732"/>
      <c r="C116" s="732"/>
      <c r="D116" s="732"/>
      <c r="E116" s="732"/>
      <c r="F116" s="732"/>
      <c r="G116" s="732"/>
      <c r="H116" s="732"/>
      <c r="I116" s="732"/>
      <c r="J116" s="732"/>
      <c r="K116" s="732"/>
      <c r="L116" s="732"/>
      <c r="M116" s="732"/>
      <c r="N116" s="732"/>
      <c r="O116" s="732"/>
    </row>
    <row r="117" spans="1:15">
      <c r="A117" s="732"/>
      <c r="B117" s="732"/>
      <c r="C117" s="732"/>
      <c r="D117" s="732"/>
      <c r="E117" s="732"/>
      <c r="F117" s="732"/>
      <c r="G117" s="732"/>
      <c r="H117" s="732"/>
      <c r="I117" s="732"/>
      <c r="J117" s="732"/>
      <c r="K117" s="732"/>
      <c r="L117" s="732"/>
      <c r="M117" s="732"/>
      <c r="N117" s="732"/>
      <c r="O117" s="732"/>
    </row>
    <row r="118" spans="1:15">
      <c r="A118" s="732"/>
      <c r="B118" s="732"/>
      <c r="C118" s="732"/>
      <c r="D118" s="732"/>
      <c r="E118" s="732"/>
      <c r="F118" s="732"/>
      <c r="G118" s="732"/>
      <c r="H118" s="732"/>
      <c r="I118" s="732"/>
      <c r="J118" s="732"/>
      <c r="K118" s="732"/>
      <c r="L118" s="732"/>
      <c r="M118" s="732"/>
      <c r="N118" s="732"/>
      <c r="O118" s="732"/>
    </row>
    <row r="119" spans="1:15">
      <c r="A119" s="732"/>
      <c r="B119" s="732"/>
      <c r="C119" s="732"/>
      <c r="D119" s="732"/>
      <c r="E119" s="732"/>
      <c r="F119" s="732"/>
      <c r="G119" s="732"/>
      <c r="H119" s="732"/>
      <c r="I119" s="732"/>
      <c r="J119" s="732"/>
      <c r="K119" s="732"/>
      <c r="L119" s="732"/>
      <c r="M119" s="732"/>
      <c r="N119" s="732"/>
      <c r="O119" s="732"/>
    </row>
    <row r="120" spans="1:15">
      <c r="A120" s="732"/>
      <c r="B120" s="732"/>
      <c r="C120" s="732"/>
      <c r="D120" s="732"/>
      <c r="E120" s="732"/>
      <c r="F120" s="732"/>
      <c r="G120" s="732"/>
      <c r="H120" s="732"/>
      <c r="I120" s="732"/>
      <c r="J120" s="732"/>
      <c r="K120" s="732"/>
      <c r="L120" s="732"/>
      <c r="M120" s="732"/>
      <c r="N120" s="732"/>
      <c r="O120" s="732"/>
    </row>
    <row r="121" spans="1:15">
      <c r="A121" s="732"/>
      <c r="B121" s="732"/>
      <c r="C121" s="732"/>
      <c r="D121" s="732"/>
      <c r="E121" s="732"/>
      <c r="F121" s="732"/>
      <c r="G121" s="732"/>
      <c r="H121" s="732"/>
      <c r="I121" s="732"/>
      <c r="J121" s="732"/>
      <c r="K121" s="732"/>
      <c r="L121" s="732"/>
      <c r="M121" s="732"/>
      <c r="N121" s="732"/>
      <c r="O121" s="732"/>
    </row>
    <row r="122" spans="1:15">
      <c r="A122" s="732"/>
      <c r="B122" s="732"/>
      <c r="C122" s="732"/>
      <c r="D122" s="732"/>
      <c r="E122" s="732"/>
      <c r="F122" s="732"/>
      <c r="G122" s="732"/>
      <c r="H122" s="732"/>
      <c r="I122" s="732"/>
      <c r="J122" s="732"/>
      <c r="K122" s="732"/>
      <c r="L122" s="732"/>
      <c r="M122" s="732"/>
      <c r="N122" s="732"/>
      <c r="O122" s="732"/>
    </row>
    <row r="123" spans="1:15">
      <c r="A123" s="732"/>
      <c r="B123" s="732"/>
      <c r="C123" s="732"/>
      <c r="D123" s="732"/>
      <c r="E123" s="732"/>
      <c r="F123" s="732"/>
      <c r="G123" s="732"/>
      <c r="H123" s="732"/>
      <c r="I123" s="732"/>
      <c r="J123" s="732"/>
      <c r="K123" s="732"/>
      <c r="L123" s="732"/>
      <c r="M123" s="732"/>
      <c r="N123" s="732"/>
      <c r="O123" s="732"/>
    </row>
    <row r="124" spans="1:15">
      <c r="A124" s="732"/>
      <c r="B124" s="732"/>
      <c r="C124" s="732"/>
      <c r="D124" s="732"/>
      <c r="E124" s="732"/>
      <c r="F124" s="732"/>
      <c r="G124" s="732"/>
      <c r="H124" s="732"/>
      <c r="I124" s="732"/>
      <c r="J124" s="732"/>
      <c r="K124" s="732"/>
      <c r="L124" s="732"/>
      <c r="M124" s="732"/>
      <c r="N124" s="732"/>
      <c r="O124" s="732"/>
    </row>
  </sheetData>
  <mergeCells count="2">
    <mergeCell ref="B2:K3"/>
    <mergeCell ref="B8:K14"/>
  </mergeCells>
  <phoneticPr fontId="70" type="noConversion"/>
  <pageMargins left="0.75" right="0.75" top="1" bottom="1" header="0.5" footer="0.5"/>
  <pageSetup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sheetPr codeName="Sheet22">
    <pageSetUpPr autoPageBreaks="0"/>
  </sheetPr>
  <dimension ref="A1:N100"/>
  <sheetViews>
    <sheetView showRowColHeaders="0" workbookViewId="0">
      <selection activeCell="B2" sqref="B2:J3"/>
    </sheetView>
  </sheetViews>
  <sheetFormatPr defaultRowHeight="12.75"/>
  <cols>
    <col min="2" max="10" width="11.7109375" customWidth="1"/>
  </cols>
  <sheetData>
    <row r="1" spans="1:14" ht="13.5" thickBot="1">
      <c r="A1" s="114"/>
      <c r="B1" s="114"/>
      <c r="C1" s="114"/>
      <c r="D1" s="114"/>
      <c r="E1" s="114"/>
      <c r="F1" s="114"/>
      <c r="G1" s="114"/>
      <c r="H1" s="114"/>
      <c r="I1" s="114"/>
      <c r="J1" s="114"/>
      <c r="K1" s="114"/>
      <c r="L1" s="114"/>
      <c r="M1" s="114"/>
      <c r="N1" s="114"/>
    </row>
    <row r="2" spans="1:14" ht="13.5" thickTop="1">
      <c r="A2" s="114"/>
      <c r="B2" s="753" t="s">
        <v>43</v>
      </c>
      <c r="C2" s="754"/>
      <c r="D2" s="754"/>
      <c r="E2" s="754"/>
      <c r="F2" s="754"/>
      <c r="G2" s="754"/>
      <c r="H2" s="754"/>
      <c r="I2" s="754"/>
      <c r="J2" s="755"/>
      <c r="K2" s="114"/>
      <c r="L2" s="114"/>
      <c r="M2" s="114"/>
      <c r="N2" s="114"/>
    </row>
    <row r="3" spans="1:14" ht="13.5" thickBot="1">
      <c r="A3" s="114"/>
      <c r="B3" s="756"/>
      <c r="C3" s="757"/>
      <c r="D3" s="757"/>
      <c r="E3" s="757"/>
      <c r="F3" s="757"/>
      <c r="G3" s="757"/>
      <c r="H3" s="757"/>
      <c r="I3" s="757"/>
      <c r="J3" s="758"/>
      <c r="K3" s="114"/>
      <c r="L3" s="114"/>
      <c r="M3" s="114"/>
      <c r="N3" s="114"/>
    </row>
    <row r="4" spans="1:14" ht="13.5" thickTop="1">
      <c r="A4" s="114"/>
      <c r="B4" s="114"/>
      <c r="C4" s="114"/>
      <c r="D4" s="114"/>
      <c r="E4" s="114"/>
      <c r="F4" s="114"/>
      <c r="G4" s="114"/>
      <c r="H4" s="114"/>
      <c r="I4" s="114"/>
      <c r="J4" s="114"/>
      <c r="K4" s="114"/>
      <c r="L4" s="114"/>
      <c r="M4" s="114"/>
      <c r="N4" s="114"/>
    </row>
    <row r="5" spans="1:14">
      <c r="A5" s="114"/>
      <c r="B5" s="114"/>
      <c r="C5" s="114"/>
      <c r="D5" s="114"/>
      <c r="E5" s="114"/>
      <c r="F5" s="114"/>
      <c r="G5" s="114"/>
      <c r="H5" s="114"/>
      <c r="I5" s="114"/>
      <c r="J5" s="114"/>
      <c r="K5" s="114"/>
      <c r="L5" s="114"/>
      <c r="M5" s="114"/>
      <c r="N5" s="114"/>
    </row>
    <row r="6" spans="1:14">
      <c r="A6" s="114"/>
      <c r="B6" s="114"/>
      <c r="C6" s="114"/>
      <c r="D6" s="114"/>
      <c r="E6" s="114"/>
      <c r="F6" s="114"/>
      <c r="G6" s="114"/>
      <c r="H6" s="114"/>
      <c r="I6" s="114"/>
      <c r="J6" s="114"/>
      <c r="K6" s="114"/>
      <c r="L6" s="114"/>
      <c r="M6" s="114"/>
      <c r="N6" s="114"/>
    </row>
    <row r="7" spans="1:14">
      <c r="A7" s="114"/>
      <c r="B7" s="114"/>
      <c r="C7" s="114"/>
      <c r="D7" s="114"/>
      <c r="E7" s="114"/>
      <c r="F7" s="114"/>
      <c r="G7" s="114"/>
      <c r="H7" s="114"/>
      <c r="I7" s="114"/>
      <c r="J7" s="114"/>
      <c r="K7" s="114"/>
      <c r="L7" s="114"/>
      <c r="M7" s="114"/>
      <c r="N7" s="114"/>
    </row>
    <row r="8" spans="1:14">
      <c r="A8" s="114"/>
      <c r="B8" s="114"/>
      <c r="C8" s="114"/>
      <c r="D8" s="114"/>
      <c r="E8" s="114"/>
      <c r="F8" s="114"/>
      <c r="G8" s="114"/>
      <c r="H8" s="114"/>
      <c r="I8" s="114"/>
      <c r="J8" s="114"/>
      <c r="K8" s="114"/>
      <c r="L8" s="114"/>
      <c r="M8" s="114"/>
      <c r="N8" s="114"/>
    </row>
    <row r="9" spans="1:14">
      <c r="A9" s="114"/>
      <c r="B9" s="114"/>
      <c r="C9" s="114"/>
      <c r="D9" s="114"/>
      <c r="E9" s="114"/>
      <c r="F9" s="114"/>
      <c r="G9" s="114"/>
      <c r="H9" s="114"/>
      <c r="I9" s="114"/>
      <c r="J9" s="114"/>
      <c r="K9" s="114"/>
      <c r="L9" s="114"/>
      <c r="M9" s="114"/>
      <c r="N9" s="114"/>
    </row>
    <row r="10" spans="1:14">
      <c r="A10" s="114"/>
      <c r="B10" s="114"/>
      <c r="C10" s="114"/>
      <c r="D10" s="114"/>
      <c r="E10" s="114"/>
      <c r="F10" s="114"/>
      <c r="G10" s="114"/>
      <c r="H10" s="114"/>
      <c r="I10" s="114"/>
      <c r="J10" s="114"/>
      <c r="K10" s="114"/>
      <c r="L10" s="114"/>
      <c r="M10" s="114"/>
      <c r="N10" s="114"/>
    </row>
    <row r="11" spans="1:14">
      <c r="A11" s="114"/>
      <c r="B11" s="114"/>
      <c r="C11" s="114"/>
      <c r="D11" s="114"/>
      <c r="E11" s="114"/>
      <c r="F11" s="114"/>
      <c r="G11" s="114"/>
      <c r="H11" s="114"/>
      <c r="I11" s="114"/>
      <c r="J11" s="114"/>
      <c r="K11" s="114"/>
      <c r="L11" s="114"/>
      <c r="M11" s="114"/>
      <c r="N11" s="114"/>
    </row>
    <row r="12" spans="1:14">
      <c r="A12" s="114"/>
      <c r="B12" s="114"/>
      <c r="C12" s="114"/>
      <c r="D12" s="114"/>
      <c r="E12" s="114"/>
      <c r="F12" s="114"/>
      <c r="G12" s="114"/>
      <c r="H12" s="114"/>
      <c r="I12" s="114"/>
      <c r="J12" s="114"/>
      <c r="K12" s="114"/>
      <c r="L12" s="114"/>
      <c r="M12" s="114"/>
      <c r="N12" s="114"/>
    </row>
    <row r="13" spans="1:14">
      <c r="A13" s="114"/>
      <c r="B13" s="114"/>
      <c r="C13" s="114"/>
      <c r="D13" s="114"/>
      <c r="E13" s="114"/>
      <c r="F13" s="114"/>
      <c r="G13" s="114"/>
      <c r="H13" s="114"/>
      <c r="I13" s="114"/>
      <c r="J13" s="114"/>
      <c r="K13" s="114"/>
      <c r="L13" s="114"/>
      <c r="M13" s="114"/>
      <c r="N13" s="114"/>
    </row>
    <row r="14" spans="1:14">
      <c r="A14" s="114"/>
      <c r="B14" s="114"/>
      <c r="C14" s="114"/>
      <c r="D14" s="114"/>
      <c r="E14" s="114"/>
      <c r="F14" s="114"/>
      <c r="G14" s="114"/>
      <c r="H14" s="114"/>
      <c r="I14" s="114"/>
      <c r="J14" s="114"/>
      <c r="K14" s="114"/>
      <c r="L14" s="114"/>
      <c r="M14" s="114"/>
      <c r="N14" s="114"/>
    </row>
    <row r="15" spans="1:14">
      <c r="A15" s="114"/>
      <c r="B15" s="114"/>
      <c r="C15" s="114"/>
      <c r="D15" s="114"/>
      <c r="E15" s="114"/>
      <c r="F15" s="114"/>
      <c r="G15" s="114"/>
      <c r="H15" s="114"/>
      <c r="I15" s="114"/>
      <c r="J15" s="114"/>
      <c r="K15" s="114"/>
      <c r="L15" s="114"/>
      <c r="M15" s="114"/>
      <c r="N15" s="114"/>
    </row>
    <row r="16" spans="1:14">
      <c r="A16" s="114"/>
      <c r="B16" s="114"/>
      <c r="C16" s="114"/>
      <c r="D16" s="114"/>
      <c r="E16" s="114"/>
      <c r="F16" s="114"/>
      <c r="G16" s="114"/>
      <c r="H16" s="114"/>
      <c r="I16" s="114"/>
      <c r="J16" s="114"/>
      <c r="K16" s="114"/>
      <c r="L16" s="114"/>
      <c r="M16" s="114"/>
      <c r="N16" s="114"/>
    </row>
    <row r="17" spans="1:14">
      <c r="A17" s="114"/>
      <c r="B17" s="114"/>
      <c r="C17" s="114"/>
      <c r="D17" s="114"/>
      <c r="E17" s="114"/>
      <c r="F17" s="114"/>
      <c r="G17" s="114"/>
      <c r="H17" s="114"/>
      <c r="I17" s="114"/>
      <c r="J17" s="114"/>
      <c r="K17" s="114"/>
      <c r="L17" s="114"/>
      <c r="M17" s="114"/>
      <c r="N17" s="114"/>
    </row>
    <row r="18" spans="1:14" ht="15.75">
      <c r="A18" s="114"/>
      <c r="B18" s="291" t="s">
        <v>36</v>
      </c>
      <c r="C18" s="114"/>
      <c r="D18" s="114"/>
      <c r="E18" s="114"/>
      <c r="F18" s="114"/>
      <c r="G18" s="114"/>
      <c r="H18" s="114"/>
      <c r="I18" s="114"/>
      <c r="J18" s="114"/>
      <c r="K18" s="114"/>
      <c r="L18" s="114"/>
      <c r="M18" s="114"/>
      <c r="N18" s="114"/>
    </row>
    <row r="19" spans="1:14" ht="15" customHeight="1">
      <c r="A19" s="114"/>
      <c r="B19" s="884" t="s">
        <v>38</v>
      </c>
      <c r="C19" s="884"/>
      <c r="D19" s="884"/>
      <c r="E19" s="884"/>
      <c r="F19" s="884"/>
      <c r="G19" s="884"/>
      <c r="H19" s="884"/>
      <c r="I19" s="884"/>
      <c r="J19" s="884"/>
      <c r="K19" s="114"/>
      <c r="L19" s="114"/>
      <c r="M19" s="114"/>
      <c r="N19" s="114"/>
    </row>
    <row r="20" spans="1:14" ht="15" customHeight="1">
      <c r="A20" s="114"/>
      <c r="B20" s="884"/>
      <c r="C20" s="884"/>
      <c r="D20" s="884"/>
      <c r="E20" s="884"/>
      <c r="F20" s="884"/>
      <c r="G20" s="884"/>
      <c r="H20" s="884"/>
      <c r="I20" s="884"/>
      <c r="J20" s="884"/>
      <c r="K20" s="114"/>
      <c r="L20" s="114"/>
      <c r="M20" s="114"/>
      <c r="N20" s="114"/>
    </row>
    <row r="21" spans="1:14" ht="15" customHeight="1">
      <c r="A21" s="114"/>
      <c r="B21" s="884"/>
      <c r="C21" s="884"/>
      <c r="D21" s="884"/>
      <c r="E21" s="884"/>
      <c r="F21" s="884"/>
      <c r="G21" s="884"/>
      <c r="H21" s="884"/>
      <c r="I21" s="884"/>
      <c r="J21" s="884"/>
      <c r="K21" s="114"/>
      <c r="L21" s="114"/>
      <c r="M21" s="114"/>
      <c r="N21" s="114"/>
    </row>
    <row r="22" spans="1:14" ht="15" customHeight="1">
      <c r="A22" s="114"/>
      <c r="B22" s="884"/>
      <c r="C22" s="884"/>
      <c r="D22" s="884"/>
      <c r="E22" s="884"/>
      <c r="F22" s="884"/>
      <c r="G22" s="884"/>
      <c r="H22" s="884"/>
      <c r="I22" s="884"/>
      <c r="J22" s="884"/>
      <c r="K22" s="114"/>
      <c r="L22" s="114"/>
      <c r="M22" s="114"/>
      <c r="N22" s="114"/>
    </row>
    <row r="23" spans="1:14" ht="15" customHeight="1">
      <c r="A23" s="114"/>
      <c r="B23" s="884"/>
      <c r="C23" s="884"/>
      <c r="D23" s="884"/>
      <c r="E23" s="884"/>
      <c r="F23" s="884"/>
      <c r="G23" s="884"/>
      <c r="H23" s="884"/>
      <c r="I23" s="884"/>
      <c r="J23" s="884"/>
      <c r="K23" s="114"/>
      <c r="L23" s="114"/>
      <c r="M23" s="114"/>
      <c r="N23" s="114"/>
    </row>
    <row r="24" spans="1:14" ht="15" customHeight="1">
      <c r="A24" s="114"/>
      <c r="B24" s="884"/>
      <c r="C24" s="884"/>
      <c r="D24" s="884"/>
      <c r="E24" s="884"/>
      <c r="F24" s="884"/>
      <c r="G24" s="884"/>
      <c r="H24" s="884"/>
      <c r="I24" s="884"/>
      <c r="J24" s="884"/>
      <c r="K24" s="114"/>
      <c r="L24" s="114"/>
      <c r="M24" s="114"/>
      <c r="N24" s="114"/>
    </row>
    <row r="25" spans="1:14">
      <c r="A25" s="114"/>
      <c r="B25" s="114"/>
      <c r="C25" s="114"/>
      <c r="D25" s="114"/>
      <c r="E25" s="114"/>
      <c r="F25" s="114"/>
      <c r="G25" s="114"/>
      <c r="H25" s="114"/>
      <c r="I25" s="114"/>
      <c r="J25" s="114"/>
      <c r="K25" s="114"/>
      <c r="L25" s="114"/>
      <c r="M25" s="114"/>
      <c r="N25" s="114"/>
    </row>
    <row r="26" spans="1:14">
      <c r="A26" s="114"/>
      <c r="B26" s="114"/>
      <c r="C26" s="114"/>
      <c r="D26" s="114"/>
      <c r="E26" s="114"/>
      <c r="F26" s="114"/>
      <c r="G26" s="114"/>
      <c r="H26" s="114"/>
      <c r="I26" s="114"/>
      <c r="J26" s="114"/>
      <c r="K26" s="114"/>
      <c r="L26" s="114"/>
      <c r="M26" s="114"/>
      <c r="N26" s="114"/>
    </row>
    <row r="27" spans="1:14">
      <c r="A27" s="114"/>
      <c r="B27" s="114"/>
      <c r="C27" s="114"/>
      <c r="D27" s="114"/>
      <c r="E27" s="114"/>
      <c r="F27" s="114"/>
      <c r="G27" s="114"/>
      <c r="H27" s="114"/>
      <c r="I27" s="114"/>
      <c r="J27" s="114"/>
      <c r="K27" s="114"/>
      <c r="L27" s="114"/>
      <c r="M27" s="114"/>
      <c r="N27" s="114"/>
    </row>
    <row r="28" spans="1:14">
      <c r="A28" s="114"/>
      <c r="B28" s="114"/>
      <c r="C28" s="114"/>
      <c r="D28" s="114"/>
      <c r="E28" s="114"/>
      <c r="F28" s="114"/>
      <c r="G28" s="114"/>
      <c r="H28" s="114"/>
      <c r="I28" s="114"/>
      <c r="J28" s="114"/>
      <c r="K28" s="114"/>
      <c r="L28" s="114"/>
      <c r="M28" s="114"/>
      <c r="N28" s="114"/>
    </row>
    <row r="29" spans="1:14">
      <c r="A29" s="114"/>
      <c r="B29" s="114"/>
      <c r="C29" s="114"/>
      <c r="D29" s="114"/>
      <c r="E29" s="114"/>
      <c r="F29" s="114"/>
      <c r="G29" s="114"/>
      <c r="H29" s="114"/>
      <c r="I29" s="114"/>
      <c r="J29" s="114"/>
      <c r="K29" s="114"/>
      <c r="L29" s="114"/>
      <c r="M29" s="114"/>
      <c r="N29" s="114"/>
    </row>
    <row r="30" spans="1:14">
      <c r="A30" s="114"/>
      <c r="B30" s="114"/>
      <c r="C30" s="114"/>
      <c r="D30" s="114"/>
      <c r="E30" s="114"/>
      <c r="F30" s="114"/>
      <c r="G30" s="114"/>
      <c r="H30" s="114"/>
      <c r="I30" s="114"/>
      <c r="J30" s="114"/>
      <c r="K30" s="114"/>
      <c r="L30" s="114"/>
      <c r="M30" s="114"/>
      <c r="N30" s="114"/>
    </row>
    <row r="31" spans="1:14">
      <c r="A31" s="114"/>
      <c r="B31" s="114"/>
      <c r="C31" s="114"/>
      <c r="D31" s="114"/>
      <c r="E31" s="114"/>
      <c r="F31" s="114"/>
      <c r="G31" s="114"/>
      <c r="H31" s="114"/>
      <c r="I31" s="114"/>
      <c r="J31" s="114"/>
      <c r="K31" s="114"/>
      <c r="L31" s="114"/>
      <c r="M31" s="114"/>
      <c r="N31" s="114"/>
    </row>
    <row r="32" spans="1:14">
      <c r="A32" s="114"/>
      <c r="B32" s="114"/>
      <c r="C32" s="114"/>
      <c r="D32" s="114"/>
      <c r="E32" s="114"/>
      <c r="F32" s="114"/>
      <c r="G32" s="114"/>
      <c r="H32" s="114"/>
      <c r="I32" s="114"/>
      <c r="J32" s="114"/>
      <c r="K32" s="114"/>
      <c r="L32" s="114"/>
      <c r="M32" s="114"/>
      <c r="N32" s="114"/>
    </row>
    <row r="33" spans="1:14">
      <c r="A33" s="114"/>
      <c r="B33" s="114"/>
      <c r="C33" s="114"/>
      <c r="D33" s="114"/>
      <c r="E33" s="114"/>
      <c r="F33" s="114"/>
      <c r="G33" s="114"/>
      <c r="H33" s="114"/>
      <c r="I33" s="114"/>
      <c r="J33" s="114"/>
      <c r="K33" s="114"/>
      <c r="L33" s="114"/>
      <c r="M33" s="114"/>
      <c r="N33" s="114"/>
    </row>
    <row r="34" spans="1:14">
      <c r="A34" s="114"/>
      <c r="B34" s="114"/>
      <c r="C34" s="114"/>
      <c r="D34" s="114"/>
      <c r="E34" s="114"/>
      <c r="F34" s="114"/>
      <c r="G34" s="114"/>
      <c r="H34" s="114"/>
      <c r="I34" s="114"/>
      <c r="J34" s="114"/>
      <c r="K34" s="114"/>
      <c r="L34" s="114"/>
      <c r="M34" s="114"/>
      <c r="N34" s="114"/>
    </row>
    <row r="35" spans="1:14">
      <c r="A35" s="114"/>
      <c r="B35" s="114"/>
      <c r="C35" s="114"/>
      <c r="D35" s="114"/>
      <c r="E35" s="114"/>
      <c r="F35" s="114"/>
      <c r="G35" s="114"/>
      <c r="H35" s="114"/>
      <c r="I35" s="114"/>
      <c r="J35" s="114"/>
      <c r="K35" s="114"/>
      <c r="L35" s="114"/>
      <c r="M35" s="114"/>
      <c r="N35" s="114"/>
    </row>
    <row r="36" spans="1:14">
      <c r="A36" s="114"/>
      <c r="B36" s="114"/>
      <c r="C36" s="114"/>
      <c r="D36" s="114"/>
      <c r="E36" s="114"/>
      <c r="F36" s="114"/>
      <c r="G36" s="114"/>
      <c r="H36" s="114"/>
      <c r="I36" s="114"/>
      <c r="J36" s="114"/>
      <c r="K36" s="114"/>
      <c r="L36" s="114"/>
      <c r="M36" s="114"/>
      <c r="N36" s="114"/>
    </row>
    <row r="37" spans="1:14">
      <c r="A37" s="114"/>
      <c r="B37" s="114"/>
      <c r="C37" s="114"/>
      <c r="D37" s="114"/>
      <c r="E37" s="114"/>
      <c r="F37" s="114"/>
      <c r="G37" s="114"/>
      <c r="H37" s="114"/>
      <c r="I37" s="114"/>
      <c r="J37" s="114"/>
      <c r="K37" s="114"/>
      <c r="L37" s="114"/>
      <c r="M37" s="114"/>
      <c r="N37" s="114"/>
    </row>
    <row r="38" spans="1:14">
      <c r="A38" s="114"/>
      <c r="B38" s="114"/>
      <c r="C38" s="114"/>
      <c r="D38" s="114"/>
      <c r="E38" s="114"/>
      <c r="F38" s="114"/>
      <c r="G38" s="114"/>
      <c r="H38" s="114"/>
      <c r="I38" s="114"/>
      <c r="J38" s="114"/>
      <c r="K38" s="114"/>
      <c r="L38" s="114"/>
      <c r="M38" s="114"/>
      <c r="N38" s="114"/>
    </row>
    <row r="39" spans="1:14">
      <c r="A39" s="114"/>
      <c r="B39" s="114"/>
      <c r="C39" s="114"/>
      <c r="D39" s="114"/>
      <c r="E39" s="114"/>
      <c r="F39" s="114"/>
      <c r="G39" s="114"/>
      <c r="H39" s="114"/>
      <c r="I39" s="114"/>
      <c r="J39" s="114"/>
      <c r="K39" s="114"/>
      <c r="L39" s="114"/>
      <c r="M39" s="114"/>
      <c r="N39" s="114"/>
    </row>
    <row r="40" spans="1:14">
      <c r="A40" s="114"/>
      <c r="B40" s="114"/>
      <c r="C40" s="114"/>
      <c r="D40" s="114"/>
      <c r="E40" s="114"/>
      <c r="F40" s="114"/>
      <c r="G40" s="114"/>
      <c r="H40" s="114"/>
      <c r="I40" s="114"/>
      <c r="J40" s="114"/>
      <c r="K40" s="114"/>
      <c r="L40" s="114"/>
      <c r="M40" s="114"/>
      <c r="N40" s="114"/>
    </row>
    <row r="41" spans="1:14">
      <c r="A41" s="114"/>
      <c r="B41" s="114"/>
      <c r="C41" s="114"/>
      <c r="D41" s="114"/>
      <c r="E41" s="114"/>
      <c r="F41" s="114"/>
      <c r="G41" s="114"/>
      <c r="H41" s="114"/>
      <c r="I41" s="114"/>
      <c r="J41" s="114"/>
      <c r="K41" s="114"/>
      <c r="L41" s="114"/>
      <c r="M41" s="114"/>
      <c r="N41" s="114"/>
    </row>
    <row r="42" spans="1:14">
      <c r="A42" s="114"/>
      <c r="B42" s="114"/>
      <c r="C42" s="114"/>
      <c r="D42" s="114"/>
      <c r="E42" s="114"/>
      <c r="F42" s="114"/>
      <c r="G42" s="114"/>
      <c r="H42" s="114"/>
      <c r="I42" s="114"/>
      <c r="J42" s="114"/>
      <c r="K42" s="114"/>
      <c r="L42" s="114"/>
      <c r="M42" s="114"/>
      <c r="N42" s="114"/>
    </row>
    <row r="43" spans="1:14">
      <c r="A43" s="114"/>
      <c r="B43" s="114"/>
      <c r="C43" s="114"/>
      <c r="D43" s="114"/>
      <c r="E43" s="114"/>
      <c r="F43" s="114"/>
      <c r="G43" s="114"/>
      <c r="H43" s="114"/>
      <c r="I43" s="114"/>
      <c r="J43" s="114"/>
      <c r="K43" s="114"/>
      <c r="L43" s="114"/>
      <c r="M43" s="114"/>
      <c r="N43" s="114"/>
    </row>
    <row r="44" spans="1:14">
      <c r="A44" s="114"/>
      <c r="B44" s="114"/>
      <c r="C44" s="114"/>
      <c r="D44" s="114"/>
      <c r="E44" s="114"/>
      <c r="F44" s="114"/>
      <c r="G44" s="114"/>
      <c r="H44" s="114"/>
      <c r="I44" s="114"/>
      <c r="J44" s="114"/>
      <c r="K44" s="114"/>
      <c r="L44" s="114"/>
      <c r="M44" s="114"/>
      <c r="N44" s="114"/>
    </row>
    <row r="45" spans="1:14">
      <c r="A45" s="114"/>
      <c r="B45" s="114"/>
      <c r="C45" s="114"/>
      <c r="D45" s="114"/>
      <c r="E45" s="114"/>
      <c r="F45" s="114"/>
      <c r="G45" s="114"/>
      <c r="H45" s="114"/>
      <c r="I45" s="114"/>
      <c r="J45" s="114"/>
      <c r="K45" s="114"/>
      <c r="L45" s="114"/>
      <c r="M45" s="114"/>
      <c r="N45" s="114"/>
    </row>
    <row r="46" spans="1:14">
      <c r="A46" s="114"/>
      <c r="B46" s="114"/>
      <c r="C46" s="114"/>
      <c r="D46" s="114"/>
      <c r="E46" s="114"/>
      <c r="F46" s="114"/>
      <c r="G46" s="114"/>
      <c r="H46" s="114"/>
      <c r="I46" s="114"/>
      <c r="J46" s="114"/>
      <c r="K46" s="114"/>
      <c r="L46" s="114"/>
      <c r="M46" s="114"/>
      <c r="N46" s="114"/>
    </row>
    <row r="47" spans="1:14">
      <c r="A47" s="114"/>
      <c r="B47" s="114"/>
      <c r="C47" s="114"/>
      <c r="D47" s="114"/>
      <c r="E47" s="114"/>
      <c r="F47" s="114"/>
      <c r="G47" s="114"/>
      <c r="H47" s="114"/>
      <c r="I47" s="114"/>
      <c r="J47" s="114"/>
      <c r="K47" s="114"/>
      <c r="L47" s="114"/>
      <c r="M47" s="114"/>
      <c r="N47" s="114"/>
    </row>
    <row r="48" spans="1:14">
      <c r="A48" s="114"/>
      <c r="B48" s="114"/>
      <c r="C48" s="114"/>
      <c r="D48" s="114"/>
      <c r="E48" s="114"/>
      <c r="F48" s="114"/>
      <c r="G48" s="114"/>
      <c r="H48" s="114"/>
      <c r="I48" s="114"/>
      <c r="J48" s="114"/>
      <c r="K48" s="114"/>
      <c r="L48" s="114"/>
      <c r="M48" s="114"/>
      <c r="N48" s="114"/>
    </row>
    <row r="49" spans="1:14">
      <c r="A49" s="114"/>
      <c r="B49" s="114"/>
      <c r="C49" s="114"/>
      <c r="D49" s="114"/>
      <c r="E49" s="114"/>
      <c r="F49" s="114"/>
      <c r="G49" s="114"/>
      <c r="H49" s="114"/>
      <c r="I49" s="114"/>
      <c r="J49" s="114"/>
      <c r="K49" s="114"/>
      <c r="L49" s="114"/>
      <c r="M49" s="114"/>
      <c r="N49" s="114"/>
    </row>
    <row r="50" spans="1:14">
      <c r="A50" s="114"/>
      <c r="B50" s="114"/>
      <c r="C50" s="114"/>
      <c r="D50" s="114"/>
      <c r="E50" s="114"/>
      <c r="F50" s="114"/>
      <c r="G50" s="114"/>
      <c r="H50" s="114"/>
      <c r="I50" s="114"/>
      <c r="J50" s="114"/>
      <c r="K50" s="114"/>
      <c r="L50" s="114"/>
      <c r="M50" s="114"/>
      <c r="N50" s="114"/>
    </row>
    <row r="51" spans="1:14">
      <c r="A51" s="114"/>
      <c r="B51" s="114"/>
      <c r="C51" s="114"/>
      <c r="D51" s="114"/>
      <c r="E51" s="114"/>
      <c r="F51" s="114"/>
      <c r="G51" s="114"/>
      <c r="H51" s="114"/>
      <c r="I51" s="114"/>
      <c r="J51" s="114"/>
      <c r="K51" s="114"/>
      <c r="L51" s="114"/>
      <c r="M51" s="114"/>
      <c r="N51" s="114"/>
    </row>
    <row r="52" spans="1:14">
      <c r="A52" s="114"/>
      <c r="B52" s="114"/>
      <c r="C52" s="114"/>
      <c r="D52" s="114"/>
      <c r="E52" s="114"/>
      <c r="F52" s="114"/>
      <c r="G52" s="114"/>
      <c r="H52" s="114"/>
      <c r="I52" s="114"/>
      <c r="J52" s="114"/>
      <c r="K52" s="114"/>
      <c r="L52" s="114"/>
      <c r="M52" s="114"/>
      <c r="N52" s="114"/>
    </row>
    <row r="53" spans="1:14">
      <c r="A53" s="114"/>
      <c r="B53" s="114"/>
      <c r="C53" s="114"/>
      <c r="D53" s="114"/>
      <c r="E53" s="114"/>
      <c r="F53" s="114"/>
      <c r="G53" s="114"/>
      <c r="H53" s="114"/>
      <c r="I53" s="114"/>
      <c r="J53" s="114"/>
      <c r="K53" s="114"/>
      <c r="L53" s="114"/>
      <c r="M53" s="114"/>
      <c r="N53" s="114"/>
    </row>
    <row r="54" spans="1:14">
      <c r="A54" s="114"/>
      <c r="B54" s="114"/>
      <c r="C54" s="114"/>
      <c r="D54" s="114"/>
      <c r="E54" s="114"/>
      <c r="F54" s="114"/>
      <c r="G54" s="114"/>
      <c r="H54" s="114"/>
      <c r="I54" s="114"/>
      <c r="J54" s="114"/>
      <c r="K54" s="114"/>
      <c r="L54" s="114"/>
      <c r="M54" s="114"/>
      <c r="N54" s="114"/>
    </row>
    <row r="55" spans="1:14">
      <c r="A55" s="114"/>
      <c r="B55" s="114"/>
      <c r="C55" s="114"/>
      <c r="D55" s="114"/>
      <c r="E55" s="114"/>
      <c r="F55" s="114"/>
      <c r="G55" s="114"/>
      <c r="H55" s="114"/>
      <c r="I55" s="114"/>
      <c r="J55" s="114"/>
      <c r="K55" s="114"/>
      <c r="L55" s="114"/>
      <c r="M55" s="114"/>
      <c r="N55" s="114"/>
    </row>
    <row r="56" spans="1:14">
      <c r="A56" s="114"/>
      <c r="B56" s="114"/>
      <c r="C56" s="114"/>
      <c r="D56" s="114"/>
      <c r="E56" s="114"/>
      <c r="F56" s="114"/>
      <c r="G56" s="114"/>
      <c r="H56" s="114"/>
      <c r="I56" s="114"/>
      <c r="J56" s="114"/>
      <c r="K56" s="114"/>
      <c r="L56" s="114"/>
      <c r="M56" s="114"/>
      <c r="N56" s="114"/>
    </row>
    <row r="57" spans="1:14">
      <c r="A57" s="114"/>
      <c r="B57" s="114"/>
      <c r="C57" s="114"/>
      <c r="D57" s="114"/>
      <c r="E57" s="114"/>
      <c r="F57" s="114"/>
      <c r="G57" s="114"/>
      <c r="H57" s="114"/>
      <c r="I57" s="114"/>
      <c r="J57" s="114"/>
      <c r="K57" s="114"/>
      <c r="L57" s="114"/>
      <c r="M57" s="114"/>
      <c r="N57" s="114"/>
    </row>
    <row r="58" spans="1:14">
      <c r="A58" s="114"/>
      <c r="B58" s="114"/>
      <c r="C58" s="114"/>
      <c r="D58" s="114"/>
      <c r="E58" s="114"/>
      <c r="F58" s="114"/>
      <c r="G58" s="114"/>
      <c r="H58" s="114"/>
      <c r="I58" s="114"/>
      <c r="J58" s="114"/>
      <c r="K58" s="114"/>
      <c r="L58" s="114"/>
      <c r="M58" s="114"/>
      <c r="N58" s="114"/>
    </row>
    <row r="59" spans="1:14">
      <c r="A59" s="114"/>
      <c r="B59" s="114"/>
      <c r="C59" s="114"/>
      <c r="D59" s="114"/>
      <c r="E59" s="114"/>
      <c r="F59" s="114"/>
      <c r="G59" s="114"/>
      <c r="H59" s="114"/>
      <c r="I59" s="114"/>
      <c r="J59" s="114"/>
      <c r="K59" s="114"/>
      <c r="L59" s="114"/>
      <c r="M59" s="114"/>
      <c r="N59" s="114"/>
    </row>
    <row r="60" spans="1:14">
      <c r="A60" s="114"/>
      <c r="B60" s="114"/>
      <c r="C60" s="114"/>
      <c r="D60" s="114"/>
      <c r="E60" s="114"/>
      <c r="F60" s="114"/>
      <c r="G60" s="114"/>
      <c r="H60" s="114"/>
      <c r="I60" s="114"/>
      <c r="J60" s="114"/>
      <c r="K60" s="114"/>
      <c r="L60" s="114"/>
      <c r="M60" s="114"/>
      <c r="N60" s="114"/>
    </row>
    <row r="61" spans="1:14">
      <c r="A61" s="114"/>
      <c r="B61" s="114"/>
      <c r="C61" s="114"/>
      <c r="D61" s="114"/>
      <c r="E61" s="114"/>
      <c r="F61" s="114"/>
      <c r="G61" s="114"/>
      <c r="H61" s="114"/>
      <c r="I61" s="114"/>
      <c r="J61" s="114"/>
      <c r="K61" s="114"/>
      <c r="L61" s="114"/>
      <c r="M61" s="114"/>
      <c r="N61" s="114"/>
    </row>
    <row r="62" spans="1:14">
      <c r="A62" s="114"/>
      <c r="B62" s="114"/>
      <c r="C62" s="114"/>
      <c r="D62" s="114"/>
      <c r="E62" s="114"/>
      <c r="F62" s="114"/>
      <c r="G62" s="114"/>
      <c r="H62" s="114"/>
      <c r="I62" s="114"/>
      <c r="J62" s="114"/>
      <c r="K62" s="114"/>
      <c r="L62" s="114"/>
      <c r="M62" s="114"/>
      <c r="N62" s="114"/>
    </row>
    <row r="63" spans="1:14">
      <c r="A63" s="114"/>
      <c r="B63" s="114"/>
      <c r="C63" s="114"/>
      <c r="D63" s="114"/>
      <c r="E63" s="114"/>
      <c r="F63" s="114"/>
      <c r="G63" s="114"/>
      <c r="H63" s="114"/>
      <c r="I63" s="114"/>
      <c r="J63" s="114"/>
      <c r="K63" s="114"/>
      <c r="L63" s="114"/>
      <c r="M63" s="114"/>
      <c r="N63" s="114"/>
    </row>
    <row r="64" spans="1:14">
      <c r="A64" s="114"/>
      <c r="B64" s="114"/>
      <c r="C64" s="114"/>
      <c r="D64" s="114"/>
      <c r="E64" s="114"/>
      <c r="F64" s="114"/>
      <c r="G64" s="114"/>
      <c r="H64" s="114"/>
      <c r="I64" s="114"/>
      <c r="J64" s="114"/>
      <c r="K64" s="114"/>
      <c r="L64" s="114"/>
      <c r="M64" s="114"/>
      <c r="N64" s="114"/>
    </row>
    <row r="65" spans="1:14">
      <c r="A65" s="114"/>
      <c r="B65" s="114"/>
      <c r="C65" s="114"/>
      <c r="D65" s="114"/>
      <c r="E65" s="114"/>
      <c r="F65" s="114"/>
      <c r="G65" s="114"/>
      <c r="H65" s="114"/>
      <c r="I65" s="114"/>
      <c r="J65" s="114"/>
      <c r="K65" s="114"/>
      <c r="L65" s="114"/>
      <c r="M65" s="114"/>
      <c r="N65" s="114"/>
    </row>
    <row r="66" spans="1:14">
      <c r="A66" s="114"/>
      <c r="B66" s="114"/>
      <c r="C66" s="114"/>
      <c r="D66" s="114"/>
      <c r="E66" s="114"/>
      <c r="F66" s="114"/>
      <c r="G66" s="114"/>
      <c r="H66" s="114"/>
      <c r="I66" s="114"/>
      <c r="J66" s="114"/>
      <c r="K66" s="114"/>
      <c r="L66" s="114"/>
      <c r="M66" s="114"/>
      <c r="N66" s="114"/>
    </row>
    <row r="67" spans="1:14">
      <c r="A67" s="114"/>
      <c r="B67" s="114"/>
      <c r="C67" s="114"/>
      <c r="D67" s="114"/>
      <c r="E67" s="114"/>
      <c r="F67" s="114"/>
      <c r="G67" s="114"/>
      <c r="H67" s="114"/>
      <c r="I67" s="114"/>
      <c r="J67" s="114"/>
      <c r="K67" s="114"/>
      <c r="L67" s="114"/>
      <c r="M67" s="114"/>
      <c r="N67" s="114"/>
    </row>
    <row r="68" spans="1:14">
      <c r="A68" s="114"/>
      <c r="B68" s="114"/>
      <c r="C68" s="114"/>
      <c r="D68" s="114"/>
      <c r="E68" s="114"/>
      <c r="F68" s="114"/>
      <c r="G68" s="114"/>
      <c r="H68" s="114"/>
      <c r="I68" s="114"/>
      <c r="J68" s="114"/>
      <c r="K68" s="114"/>
      <c r="L68" s="114"/>
      <c r="M68" s="114"/>
      <c r="N68" s="114"/>
    </row>
    <row r="69" spans="1:14">
      <c r="A69" s="114"/>
      <c r="B69" s="114"/>
      <c r="C69" s="114"/>
      <c r="D69" s="114"/>
      <c r="E69" s="114"/>
      <c r="F69" s="114"/>
      <c r="G69" s="114"/>
      <c r="H69" s="114"/>
      <c r="I69" s="114"/>
      <c r="J69" s="114"/>
      <c r="K69" s="114"/>
      <c r="L69" s="114"/>
      <c r="M69" s="114"/>
      <c r="N69" s="114"/>
    </row>
    <row r="70" spans="1:14">
      <c r="A70" s="114"/>
      <c r="B70" s="114"/>
      <c r="C70" s="114"/>
      <c r="D70" s="114"/>
      <c r="E70" s="114"/>
      <c r="F70" s="114"/>
      <c r="G70" s="114"/>
      <c r="H70" s="114"/>
      <c r="I70" s="114"/>
      <c r="J70" s="114"/>
      <c r="K70" s="114"/>
      <c r="L70" s="114"/>
      <c r="M70" s="114"/>
      <c r="N70" s="114"/>
    </row>
    <row r="71" spans="1:14">
      <c r="A71" s="114"/>
      <c r="B71" s="114"/>
      <c r="C71" s="114"/>
      <c r="D71" s="114"/>
      <c r="E71" s="114"/>
      <c r="F71" s="114"/>
      <c r="G71" s="114"/>
      <c r="H71" s="114"/>
      <c r="I71" s="114"/>
      <c r="J71" s="114"/>
      <c r="K71" s="114"/>
      <c r="L71" s="114"/>
      <c r="M71" s="114"/>
      <c r="N71" s="114"/>
    </row>
    <row r="72" spans="1:14">
      <c r="A72" s="114"/>
      <c r="B72" s="114"/>
      <c r="C72" s="114"/>
      <c r="D72" s="114"/>
      <c r="E72" s="114"/>
      <c r="F72" s="114"/>
      <c r="G72" s="114"/>
      <c r="H72" s="114"/>
      <c r="I72" s="114"/>
      <c r="J72" s="114"/>
      <c r="K72" s="114"/>
      <c r="L72" s="114"/>
      <c r="M72" s="114"/>
      <c r="N72" s="114"/>
    </row>
    <row r="73" spans="1:14">
      <c r="A73" s="114"/>
      <c r="B73" s="114"/>
      <c r="C73" s="114"/>
      <c r="D73" s="114"/>
      <c r="E73" s="114"/>
      <c r="F73" s="114"/>
      <c r="G73" s="114"/>
      <c r="H73" s="114"/>
      <c r="I73" s="114"/>
      <c r="J73" s="114"/>
      <c r="K73" s="114"/>
      <c r="L73" s="114"/>
      <c r="M73" s="114"/>
      <c r="N73" s="114"/>
    </row>
    <row r="74" spans="1:14">
      <c r="A74" s="114"/>
      <c r="B74" s="114"/>
      <c r="C74" s="114"/>
      <c r="D74" s="114"/>
      <c r="E74" s="114"/>
      <c r="F74" s="114"/>
      <c r="G74" s="114"/>
      <c r="H74" s="114"/>
      <c r="I74" s="114"/>
      <c r="J74" s="114"/>
      <c r="K74" s="114"/>
      <c r="L74" s="114"/>
      <c r="M74" s="114"/>
      <c r="N74" s="114"/>
    </row>
    <row r="75" spans="1:14">
      <c r="A75" s="114"/>
      <c r="B75" s="114"/>
      <c r="C75" s="114"/>
      <c r="D75" s="114"/>
      <c r="E75" s="114"/>
      <c r="F75" s="114"/>
      <c r="G75" s="114"/>
      <c r="H75" s="114"/>
      <c r="I75" s="114"/>
      <c r="J75" s="114"/>
      <c r="K75" s="114"/>
      <c r="L75" s="114"/>
      <c r="M75" s="114"/>
      <c r="N75" s="114"/>
    </row>
    <row r="76" spans="1:14">
      <c r="A76" s="114"/>
      <c r="B76" s="114"/>
      <c r="C76" s="114"/>
      <c r="D76" s="114"/>
      <c r="E76" s="114"/>
      <c r="F76" s="114"/>
      <c r="G76" s="114"/>
      <c r="H76" s="114"/>
      <c r="I76" s="114"/>
      <c r="J76" s="114"/>
      <c r="K76" s="114"/>
      <c r="L76" s="114"/>
      <c r="M76" s="114"/>
      <c r="N76" s="114"/>
    </row>
    <row r="77" spans="1:14">
      <c r="A77" s="114"/>
      <c r="B77" s="114"/>
      <c r="C77" s="114"/>
      <c r="D77" s="114"/>
      <c r="E77" s="114"/>
      <c r="F77" s="114"/>
      <c r="G77" s="114"/>
      <c r="H77" s="114"/>
      <c r="I77" s="114"/>
      <c r="J77" s="114"/>
      <c r="K77" s="114"/>
      <c r="L77" s="114"/>
      <c r="M77" s="114"/>
      <c r="N77" s="114"/>
    </row>
    <row r="78" spans="1:14">
      <c r="A78" s="114"/>
      <c r="B78" s="114"/>
      <c r="C78" s="114"/>
      <c r="D78" s="114"/>
      <c r="E78" s="114"/>
      <c r="F78" s="114"/>
      <c r="G78" s="114"/>
      <c r="H78" s="114"/>
      <c r="I78" s="114"/>
      <c r="J78" s="114"/>
      <c r="K78" s="114"/>
      <c r="L78" s="114"/>
      <c r="M78" s="114"/>
      <c r="N78" s="114"/>
    </row>
    <row r="79" spans="1:14">
      <c r="A79" s="114"/>
      <c r="B79" s="114"/>
      <c r="C79" s="114"/>
      <c r="D79" s="114"/>
      <c r="E79" s="114"/>
      <c r="F79" s="114"/>
      <c r="G79" s="114"/>
      <c r="H79" s="114"/>
      <c r="I79" s="114"/>
      <c r="J79" s="114"/>
      <c r="K79" s="114"/>
      <c r="L79" s="114"/>
      <c r="M79" s="114"/>
      <c r="N79" s="114"/>
    </row>
    <row r="80" spans="1:14">
      <c r="A80" s="114"/>
      <c r="B80" s="114"/>
      <c r="C80" s="114"/>
      <c r="D80" s="114"/>
      <c r="E80" s="114"/>
      <c r="F80" s="114"/>
      <c r="G80" s="114"/>
      <c r="H80" s="114"/>
      <c r="I80" s="114"/>
      <c r="J80" s="114"/>
      <c r="K80" s="114"/>
      <c r="L80" s="114"/>
      <c r="M80" s="114"/>
      <c r="N80" s="114"/>
    </row>
    <row r="81" spans="1:14">
      <c r="A81" s="114"/>
      <c r="B81" s="114"/>
      <c r="C81" s="114"/>
      <c r="D81" s="114"/>
      <c r="E81" s="114"/>
      <c r="F81" s="114"/>
      <c r="G81" s="114"/>
      <c r="H81" s="114"/>
      <c r="I81" s="114"/>
      <c r="J81" s="114"/>
      <c r="K81" s="114"/>
      <c r="L81" s="114"/>
      <c r="M81" s="114"/>
      <c r="N81" s="114"/>
    </row>
    <row r="82" spans="1:14">
      <c r="A82" s="114"/>
      <c r="B82" s="114"/>
      <c r="C82" s="114"/>
      <c r="D82" s="114"/>
      <c r="E82" s="114"/>
      <c r="F82" s="114"/>
      <c r="G82" s="114"/>
      <c r="H82" s="114"/>
      <c r="I82" s="114"/>
      <c r="J82" s="114"/>
      <c r="K82" s="114"/>
      <c r="L82" s="114"/>
      <c r="M82" s="114"/>
      <c r="N82" s="114"/>
    </row>
    <row r="83" spans="1:14">
      <c r="A83" s="114"/>
      <c r="B83" s="114"/>
      <c r="C83" s="114"/>
      <c r="D83" s="114"/>
      <c r="E83" s="114"/>
      <c r="F83" s="114"/>
      <c r="G83" s="114"/>
      <c r="H83" s="114"/>
      <c r="I83" s="114"/>
      <c r="J83" s="114"/>
      <c r="K83" s="114"/>
      <c r="L83" s="114"/>
      <c r="M83" s="114"/>
      <c r="N83" s="114"/>
    </row>
    <row r="84" spans="1:14">
      <c r="A84" s="114"/>
      <c r="B84" s="114"/>
      <c r="C84" s="114"/>
      <c r="D84" s="114"/>
      <c r="E84" s="114"/>
      <c r="F84" s="114"/>
      <c r="G84" s="114"/>
      <c r="H84" s="114"/>
      <c r="I84" s="114"/>
      <c r="J84" s="114"/>
      <c r="K84" s="114"/>
      <c r="L84" s="114"/>
      <c r="M84" s="114"/>
      <c r="N84" s="114"/>
    </row>
    <row r="85" spans="1:14">
      <c r="A85" s="114"/>
      <c r="B85" s="114"/>
      <c r="C85" s="114"/>
      <c r="D85" s="114"/>
      <c r="E85" s="114"/>
      <c r="F85" s="114"/>
      <c r="G85" s="114"/>
      <c r="H85" s="114"/>
      <c r="I85" s="114"/>
      <c r="J85" s="114"/>
      <c r="K85" s="114"/>
      <c r="L85" s="114"/>
      <c r="M85" s="114"/>
      <c r="N85" s="114"/>
    </row>
    <row r="86" spans="1:14">
      <c r="A86" s="114"/>
      <c r="B86" s="114"/>
      <c r="C86" s="114"/>
      <c r="D86" s="114"/>
      <c r="E86" s="114"/>
      <c r="F86" s="114"/>
      <c r="G86" s="114"/>
      <c r="H86" s="114"/>
      <c r="I86" s="114"/>
      <c r="J86" s="114"/>
      <c r="K86" s="114"/>
      <c r="L86" s="114"/>
      <c r="M86" s="114"/>
      <c r="N86" s="114"/>
    </row>
    <row r="87" spans="1:14">
      <c r="A87" s="114"/>
      <c r="B87" s="114"/>
      <c r="C87" s="114"/>
      <c r="D87" s="114"/>
      <c r="E87" s="114"/>
      <c r="F87" s="114"/>
      <c r="G87" s="114"/>
      <c r="H87" s="114"/>
      <c r="I87" s="114"/>
      <c r="J87" s="114"/>
      <c r="K87" s="114"/>
      <c r="L87" s="114"/>
      <c r="M87" s="114"/>
      <c r="N87" s="114"/>
    </row>
    <row r="88" spans="1:14">
      <c r="A88" s="114"/>
      <c r="B88" s="114"/>
      <c r="C88" s="114"/>
      <c r="D88" s="114"/>
      <c r="E88" s="114"/>
      <c r="F88" s="114"/>
      <c r="G88" s="114"/>
      <c r="H88" s="114"/>
      <c r="I88" s="114"/>
      <c r="J88" s="114"/>
      <c r="K88" s="114"/>
      <c r="L88" s="114"/>
      <c r="M88" s="114"/>
      <c r="N88" s="114"/>
    </row>
    <row r="89" spans="1:14">
      <c r="A89" s="114"/>
      <c r="B89" s="114"/>
      <c r="C89" s="114"/>
      <c r="D89" s="114"/>
      <c r="E89" s="114"/>
      <c r="F89" s="114"/>
      <c r="G89" s="114"/>
      <c r="H89" s="114"/>
      <c r="I89" s="114"/>
      <c r="J89" s="114"/>
      <c r="K89" s="114"/>
      <c r="L89" s="114"/>
      <c r="M89" s="114"/>
      <c r="N89" s="114"/>
    </row>
    <row r="90" spans="1:14">
      <c r="A90" s="114"/>
      <c r="B90" s="114"/>
      <c r="C90" s="114"/>
      <c r="D90" s="114"/>
      <c r="E90" s="114"/>
      <c r="F90" s="114"/>
      <c r="G90" s="114"/>
      <c r="H90" s="114"/>
      <c r="I90" s="114"/>
      <c r="J90" s="114"/>
      <c r="K90" s="114"/>
      <c r="L90" s="114"/>
      <c r="M90" s="114"/>
      <c r="N90" s="114"/>
    </row>
    <row r="91" spans="1:14">
      <c r="A91" s="114"/>
      <c r="B91" s="114"/>
      <c r="C91" s="114"/>
      <c r="D91" s="114"/>
      <c r="E91" s="114"/>
      <c r="F91" s="114"/>
      <c r="G91" s="114"/>
      <c r="H91" s="114"/>
      <c r="I91" s="114"/>
      <c r="J91" s="114"/>
      <c r="K91" s="114"/>
      <c r="L91" s="114"/>
      <c r="M91" s="114"/>
      <c r="N91" s="114"/>
    </row>
    <row r="92" spans="1:14">
      <c r="A92" s="114"/>
      <c r="B92" s="114"/>
      <c r="C92" s="114"/>
      <c r="D92" s="114"/>
      <c r="E92" s="114"/>
      <c r="F92" s="114"/>
      <c r="G92" s="114"/>
      <c r="H92" s="114"/>
      <c r="I92" s="114"/>
      <c r="J92" s="114"/>
      <c r="K92" s="114"/>
      <c r="L92" s="114"/>
      <c r="M92" s="114"/>
      <c r="N92" s="114"/>
    </row>
    <row r="93" spans="1:14">
      <c r="A93" s="114"/>
      <c r="B93" s="114"/>
      <c r="C93" s="114"/>
      <c r="D93" s="114"/>
      <c r="E93" s="114"/>
      <c r="F93" s="114"/>
      <c r="G93" s="114"/>
      <c r="H93" s="114"/>
      <c r="I93" s="114"/>
      <c r="J93" s="114"/>
      <c r="K93" s="114"/>
      <c r="L93" s="114"/>
      <c r="M93" s="114"/>
      <c r="N93" s="114"/>
    </row>
    <row r="94" spans="1:14">
      <c r="A94" s="114"/>
      <c r="B94" s="114"/>
      <c r="C94" s="114"/>
      <c r="D94" s="114"/>
      <c r="E94" s="114"/>
      <c r="F94" s="114"/>
      <c r="G94" s="114"/>
      <c r="H94" s="114"/>
      <c r="I94" s="114"/>
      <c r="J94" s="114"/>
      <c r="K94" s="114"/>
      <c r="L94" s="114"/>
      <c r="M94" s="114"/>
      <c r="N94" s="114"/>
    </row>
    <row r="95" spans="1:14">
      <c r="A95" s="114"/>
      <c r="B95" s="114"/>
      <c r="C95" s="114"/>
      <c r="D95" s="114"/>
      <c r="E95" s="114"/>
      <c r="F95" s="114"/>
      <c r="G95" s="114"/>
      <c r="H95" s="114"/>
      <c r="I95" s="114"/>
      <c r="J95" s="114"/>
      <c r="K95" s="114"/>
      <c r="L95" s="114"/>
      <c r="M95" s="114"/>
      <c r="N95" s="114"/>
    </row>
    <row r="96" spans="1:14">
      <c r="A96" s="114"/>
      <c r="B96" s="114"/>
      <c r="C96" s="114"/>
      <c r="D96" s="114"/>
      <c r="E96" s="114"/>
      <c r="F96" s="114"/>
      <c r="G96" s="114"/>
      <c r="H96" s="114"/>
      <c r="I96" s="114"/>
      <c r="J96" s="114"/>
      <c r="K96" s="114"/>
      <c r="L96" s="114"/>
      <c r="M96" s="114"/>
      <c r="N96" s="114"/>
    </row>
    <row r="97" spans="1:14">
      <c r="A97" s="114"/>
      <c r="B97" s="114"/>
      <c r="C97" s="114"/>
      <c r="D97" s="114"/>
      <c r="E97" s="114"/>
      <c r="F97" s="114"/>
      <c r="G97" s="114"/>
      <c r="H97" s="114"/>
      <c r="I97" s="114"/>
      <c r="J97" s="114"/>
      <c r="K97" s="114"/>
      <c r="L97" s="114"/>
      <c r="M97" s="114"/>
      <c r="N97" s="114"/>
    </row>
    <row r="98" spans="1:14">
      <c r="A98" s="114"/>
      <c r="B98" s="114"/>
      <c r="C98" s="114"/>
      <c r="D98" s="114"/>
      <c r="E98" s="114"/>
      <c r="F98" s="114"/>
      <c r="G98" s="114"/>
      <c r="H98" s="114"/>
      <c r="I98" s="114"/>
      <c r="J98" s="114"/>
      <c r="K98" s="114"/>
      <c r="L98" s="114"/>
      <c r="M98" s="114"/>
      <c r="N98" s="114"/>
    </row>
    <row r="99" spans="1:14">
      <c r="A99" s="114"/>
      <c r="B99" s="114"/>
      <c r="C99" s="114"/>
      <c r="D99" s="114"/>
      <c r="E99" s="114"/>
      <c r="F99" s="114"/>
      <c r="G99" s="114"/>
      <c r="H99" s="114"/>
      <c r="I99" s="114"/>
      <c r="J99" s="114"/>
      <c r="K99" s="114"/>
      <c r="L99" s="114"/>
      <c r="M99" s="114"/>
      <c r="N99" s="114"/>
    </row>
    <row r="100" spans="1:14">
      <c r="A100" s="114"/>
      <c r="B100" s="114"/>
      <c r="C100" s="114"/>
      <c r="D100" s="114"/>
      <c r="E100" s="114"/>
      <c r="F100" s="114"/>
      <c r="G100" s="114"/>
      <c r="H100" s="114"/>
      <c r="I100" s="114"/>
      <c r="J100" s="114"/>
      <c r="K100" s="114"/>
      <c r="L100" s="114"/>
      <c r="M100" s="114"/>
      <c r="N100" s="114"/>
    </row>
  </sheetData>
  <mergeCells count="2">
    <mergeCell ref="B19:J24"/>
    <mergeCell ref="B2:J3"/>
  </mergeCells>
  <phoneticPr fontId="0" type="noConversion"/>
  <pageMargins left="0.19685039370078741" right="0.19685039370078741" top="0.59055118110236227" bottom="0.39370078740157483" header="0.51181102362204722" footer="0.51181102362204722"/>
  <pageSetup paperSize="9"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sheetPr codeName="Sheet23">
    <pageSetUpPr autoPageBreaks="0" fitToPage="1"/>
  </sheetPr>
  <dimension ref="A1:O75"/>
  <sheetViews>
    <sheetView showRowColHeaders="0" workbookViewId="0">
      <selection activeCell="B2" sqref="B2:J3"/>
    </sheetView>
  </sheetViews>
  <sheetFormatPr defaultRowHeight="12.75"/>
  <cols>
    <col min="2" max="10" width="11.7109375" customWidth="1"/>
  </cols>
  <sheetData>
    <row r="1" spans="1:15" ht="13.5" thickBot="1">
      <c r="A1" s="114"/>
      <c r="B1" s="114"/>
      <c r="C1" s="114"/>
      <c r="D1" s="114"/>
      <c r="E1" s="114"/>
      <c r="F1" s="114"/>
      <c r="G1" s="114"/>
      <c r="H1" s="114"/>
      <c r="I1" s="114"/>
      <c r="J1" s="114"/>
      <c r="K1" s="114"/>
      <c r="L1" s="114"/>
      <c r="M1" s="114"/>
      <c r="N1" s="114"/>
      <c r="O1" s="114"/>
    </row>
    <row r="2" spans="1:15" ht="13.5" thickTop="1">
      <c r="A2" s="114"/>
      <c r="B2" s="753" t="s">
        <v>44</v>
      </c>
      <c r="C2" s="754"/>
      <c r="D2" s="754"/>
      <c r="E2" s="754"/>
      <c r="F2" s="754"/>
      <c r="G2" s="754"/>
      <c r="H2" s="754"/>
      <c r="I2" s="754"/>
      <c r="J2" s="755"/>
      <c r="K2" s="114"/>
      <c r="L2" s="114"/>
      <c r="M2" s="114"/>
      <c r="N2" s="114"/>
      <c r="O2" s="114"/>
    </row>
    <row r="3" spans="1:15" ht="13.5" thickBot="1">
      <c r="A3" s="114"/>
      <c r="B3" s="756"/>
      <c r="C3" s="757"/>
      <c r="D3" s="757"/>
      <c r="E3" s="757"/>
      <c r="F3" s="757"/>
      <c r="G3" s="757"/>
      <c r="H3" s="757"/>
      <c r="I3" s="757"/>
      <c r="J3" s="758"/>
      <c r="K3" s="114"/>
      <c r="L3" s="114"/>
      <c r="M3" s="114"/>
      <c r="N3" s="114"/>
      <c r="O3" s="114"/>
    </row>
    <row r="4" spans="1:15" ht="13.5" thickTop="1">
      <c r="A4" s="114"/>
      <c r="B4" s="114"/>
      <c r="C4" s="114"/>
      <c r="D4" s="114"/>
      <c r="E4" s="114"/>
      <c r="F4" s="114"/>
      <c r="G4" s="114"/>
      <c r="H4" s="114"/>
      <c r="I4" s="114"/>
      <c r="J4" s="114"/>
      <c r="K4" s="114"/>
      <c r="L4" s="114"/>
      <c r="M4" s="114"/>
      <c r="N4" s="114"/>
      <c r="O4" s="114"/>
    </row>
    <row r="5" spans="1:15">
      <c r="A5" s="114"/>
      <c r="B5" s="114"/>
      <c r="C5" s="114"/>
      <c r="D5" s="114"/>
      <c r="E5" s="114"/>
      <c r="F5" s="114"/>
      <c r="G5" s="114"/>
      <c r="H5" s="114"/>
      <c r="I5" s="114"/>
      <c r="J5" s="114"/>
      <c r="K5" s="114"/>
      <c r="L5" s="114"/>
      <c r="M5" s="114"/>
      <c r="N5" s="114"/>
      <c r="O5" s="114"/>
    </row>
    <row r="6" spans="1:15">
      <c r="A6" s="114"/>
      <c r="B6" s="114"/>
      <c r="C6" s="114"/>
      <c r="D6" s="114"/>
      <c r="E6" s="114"/>
      <c r="F6" s="114"/>
      <c r="G6" s="114"/>
      <c r="H6" s="114"/>
      <c r="I6" s="114"/>
      <c r="J6" s="114"/>
      <c r="K6" s="114"/>
      <c r="L6" s="114"/>
      <c r="M6" s="114"/>
      <c r="N6" s="114"/>
      <c r="O6" s="114"/>
    </row>
    <row r="7" spans="1:15">
      <c r="A7" s="114"/>
      <c r="B7" s="114"/>
      <c r="C7" s="114"/>
      <c r="D7" s="114"/>
      <c r="E7" s="114"/>
      <c r="F7" s="114"/>
      <c r="G7" s="114"/>
      <c r="H7" s="114"/>
      <c r="I7" s="114"/>
      <c r="J7" s="114"/>
      <c r="K7" s="114"/>
      <c r="L7" s="114"/>
      <c r="M7" s="114"/>
      <c r="N7" s="114"/>
      <c r="O7" s="114"/>
    </row>
    <row r="8" spans="1:15">
      <c r="A8" s="114"/>
      <c r="B8" s="114"/>
      <c r="C8" s="114"/>
      <c r="D8" s="114"/>
      <c r="E8" s="114"/>
      <c r="F8" s="114"/>
      <c r="G8" s="114"/>
      <c r="H8" s="114"/>
      <c r="I8" s="114"/>
      <c r="J8" s="114"/>
      <c r="K8" s="114"/>
      <c r="L8" s="114"/>
      <c r="M8" s="114"/>
      <c r="N8" s="114"/>
      <c r="O8" s="114"/>
    </row>
    <row r="9" spans="1:15">
      <c r="A9" s="114"/>
      <c r="B9" s="114"/>
      <c r="C9" s="114"/>
      <c r="D9" s="114"/>
      <c r="E9" s="114"/>
      <c r="F9" s="114"/>
      <c r="G9" s="114"/>
      <c r="H9" s="114"/>
      <c r="I9" s="114"/>
      <c r="J9" s="114"/>
      <c r="K9" s="114"/>
      <c r="L9" s="114"/>
      <c r="M9" s="114"/>
      <c r="N9" s="114"/>
      <c r="O9" s="114"/>
    </row>
    <row r="10" spans="1:15" ht="15.75">
      <c r="A10" s="114"/>
      <c r="B10" s="291" t="s">
        <v>36</v>
      </c>
      <c r="C10" s="114"/>
      <c r="D10" s="114"/>
      <c r="E10" s="114"/>
      <c r="F10" s="114"/>
      <c r="G10" s="114"/>
      <c r="H10" s="114"/>
      <c r="I10" s="114"/>
      <c r="J10" s="114"/>
      <c r="K10" s="114"/>
      <c r="L10" s="114"/>
      <c r="M10" s="114"/>
      <c r="N10" s="114"/>
      <c r="O10" s="114"/>
    </row>
    <row r="11" spans="1:15" ht="15" customHeight="1">
      <c r="A11" s="114"/>
      <c r="B11" s="884" t="s">
        <v>39</v>
      </c>
      <c r="C11" s="884"/>
      <c r="D11" s="884"/>
      <c r="E11" s="884"/>
      <c r="F11" s="884"/>
      <c r="G11" s="884"/>
      <c r="H11" s="884"/>
      <c r="I11" s="884"/>
      <c r="J11" s="884"/>
      <c r="K11" s="114"/>
      <c r="L11" s="114"/>
      <c r="M11" s="114"/>
      <c r="N11" s="114"/>
      <c r="O11" s="114"/>
    </row>
    <row r="12" spans="1:15" ht="15" customHeight="1">
      <c r="A12" s="114"/>
      <c r="B12" s="884"/>
      <c r="C12" s="884"/>
      <c r="D12" s="884"/>
      <c r="E12" s="884"/>
      <c r="F12" s="884"/>
      <c r="G12" s="884"/>
      <c r="H12" s="884"/>
      <c r="I12" s="884"/>
      <c r="J12" s="884"/>
      <c r="K12" s="114"/>
      <c r="L12" s="114"/>
      <c r="M12" s="114"/>
      <c r="N12" s="114"/>
      <c r="O12" s="114"/>
    </row>
    <row r="13" spans="1:15" ht="15" customHeight="1">
      <c r="A13" s="114"/>
      <c r="B13" s="884"/>
      <c r="C13" s="884"/>
      <c r="D13" s="884"/>
      <c r="E13" s="884"/>
      <c r="F13" s="884"/>
      <c r="G13" s="884"/>
      <c r="H13" s="884"/>
      <c r="I13" s="884"/>
      <c r="J13" s="884"/>
      <c r="K13" s="114"/>
      <c r="L13" s="114"/>
      <c r="M13" s="114"/>
      <c r="N13" s="114"/>
      <c r="O13" s="114"/>
    </row>
    <row r="14" spans="1:15" ht="15" customHeight="1">
      <c r="A14" s="114"/>
      <c r="B14" s="884"/>
      <c r="C14" s="884"/>
      <c r="D14" s="884"/>
      <c r="E14" s="884"/>
      <c r="F14" s="884"/>
      <c r="G14" s="884"/>
      <c r="H14" s="884"/>
      <c r="I14" s="884"/>
      <c r="J14" s="884"/>
      <c r="K14" s="114"/>
      <c r="L14" s="114"/>
      <c r="M14" s="114"/>
      <c r="N14" s="114"/>
      <c r="O14" s="114"/>
    </row>
    <row r="15" spans="1:15" ht="15" customHeight="1">
      <c r="A15" s="114"/>
      <c r="B15" s="884"/>
      <c r="C15" s="884"/>
      <c r="D15" s="884"/>
      <c r="E15" s="884"/>
      <c r="F15" s="884"/>
      <c r="G15" s="884"/>
      <c r="H15" s="884"/>
      <c r="I15" s="884"/>
      <c r="J15" s="884"/>
      <c r="K15" s="114"/>
      <c r="L15" s="114"/>
      <c r="M15" s="114"/>
      <c r="N15" s="114"/>
      <c r="O15" s="114"/>
    </row>
    <row r="16" spans="1:15" ht="15" customHeight="1">
      <c r="A16" s="114"/>
      <c r="B16" s="884"/>
      <c r="C16" s="884"/>
      <c r="D16" s="884"/>
      <c r="E16" s="884"/>
      <c r="F16" s="884"/>
      <c r="G16" s="884"/>
      <c r="H16" s="884"/>
      <c r="I16" s="884"/>
      <c r="J16" s="884"/>
      <c r="K16" s="114"/>
      <c r="L16" s="114"/>
      <c r="M16" s="114"/>
      <c r="N16" s="114"/>
      <c r="O16" s="114"/>
    </row>
    <row r="17" spans="1:15" ht="15" customHeight="1">
      <c r="A17" s="114"/>
      <c r="B17" s="884"/>
      <c r="C17" s="884"/>
      <c r="D17" s="884"/>
      <c r="E17" s="884"/>
      <c r="F17" s="884"/>
      <c r="G17" s="884"/>
      <c r="H17" s="884"/>
      <c r="I17" s="884"/>
      <c r="J17" s="884"/>
      <c r="K17" s="114"/>
      <c r="L17" s="114"/>
      <c r="M17" s="114"/>
      <c r="N17" s="114"/>
      <c r="O17" s="114"/>
    </row>
    <row r="18" spans="1:15" ht="15">
      <c r="A18" s="114"/>
      <c r="B18" s="303"/>
      <c r="C18" s="114"/>
      <c r="D18" s="114"/>
      <c r="E18" s="114"/>
      <c r="F18" s="114"/>
      <c r="G18" s="114"/>
      <c r="H18" s="114"/>
      <c r="I18" s="114"/>
      <c r="J18" s="114"/>
      <c r="K18" s="114"/>
      <c r="L18" s="114"/>
      <c r="M18" s="114"/>
      <c r="N18" s="114"/>
      <c r="O18" s="114"/>
    </row>
    <row r="19" spans="1:15">
      <c r="A19" s="114"/>
      <c r="B19" s="114"/>
      <c r="C19" s="114"/>
      <c r="D19" s="114"/>
      <c r="E19" s="114"/>
      <c r="F19" s="114"/>
      <c r="G19" s="114"/>
      <c r="H19" s="114"/>
      <c r="I19" s="114"/>
      <c r="J19" s="114"/>
      <c r="K19" s="114"/>
      <c r="L19" s="114"/>
      <c r="M19" s="114"/>
      <c r="N19" s="114"/>
      <c r="O19" s="114"/>
    </row>
    <row r="20" spans="1:15">
      <c r="A20" s="114"/>
      <c r="B20" s="114"/>
      <c r="C20" s="114"/>
      <c r="D20" s="114"/>
      <c r="E20" s="114"/>
      <c r="F20" s="114"/>
      <c r="G20" s="114"/>
      <c r="H20" s="114"/>
      <c r="I20" s="114"/>
      <c r="J20" s="114"/>
      <c r="K20" s="114"/>
      <c r="L20" s="114"/>
      <c r="M20" s="114"/>
      <c r="N20" s="114"/>
      <c r="O20" s="114"/>
    </row>
    <row r="21" spans="1:15">
      <c r="A21" s="114"/>
      <c r="B21" s="114"/>
      <c r="C21" s="114"/>
      <c r="D21" s="114"/>
      <c r="E21" s="114"/>
      <c r="F21" s="114"/>
      <c r="G21" s="114"/>
      <c r="H21" s="114"/>
      <c r="I21" s="114"/>
      <c r="J21" s="114"/>
      <c r="K21" s="114"/>
      <c r="L21" s="114"/>
      <c r="M21" s="114"/>
      <c r="N21" s="114"/>
      <c r="O21" s="114"/>
    </row>
    <row r="22" spans="1:15">
      <c r="A22" s="114"/>
      <c r="B22" s="114"/>
      <c r="C22" s="114"/>
      <c r="D22" s="114"/>
      <c r="E22" s="114"/>
      <c r="F22" s="114"/>
      <c r="G22" s="114"/>
      <c r="H22" s="114"/>
      <c r="I22" s="114"/>
      <c r="J22" s="114"/>
      <c r="K22" s="114"/>
      <c r="L22" s="114"/>
      <c r="M22" s="114"/>
      <c r="N22" s="114"/>
      <c r="O22" s="114"/>
    </row>
    <row r="23" spans="1:15">
      <c r="A23" s="114"/>
      <c r="B23" s="114"/>
      <c r="C23" s="114"/>
      <c r="D23" s="114"/>
      <c r="E23" s="114"/>
      <c r="F23" s="114"/>
      <c r="G23" s="114"/>
      <c r="H23" s="114"/>
      <c r="I23" s="114"/>
      <c r="J23" s="114"/>
      <c r="K23" s="114"/>
      <c r="L23" s="114"/>
      <c r="M23" s="114"/>
      <c r="N23" s="114"/>
      <c r="O23" s="114"/>
    </row>
    <row r="24" spans="1:15">
      <c r="A24" s="114"/>
      <c r="B24" s="114"/>
      <c r="C24" s="114"/>
      <c r="D24" s="114"/>
      <c r="E24" s="114"/>
      <c r="F24" s="114"/>
      <c r="G24" s="114"/>
      <c r="H24" s="114"/>
      <c r="I24" s="114"/>
      <c r="J24" s="114"/>
      <c r="K24" s="114"/>
      <c r="L24" s="114"/>
      <c r="M24" s="114"/>
      <c r="N24" s="114"/>
      <c r="O24" s="114"/>
    </row>
    <row r="25" spans="1:15">
      <c r="A25" s="114"/>
      <c r="B25" s="114"/>
      <c r="C25" s="114"/>
      <c r="D25" s="114"/>
      <c r="E25" s="114"/>
      <c r="F25" s="114"/>
      <c r="G25" s="114"/>
      <c r="H25" s="114"/>
      <c r="I25" s="114"/>
      <c r="J25" s="114"/>
      <c r="K25" s="114"/>
      <c r="L25" s="114"/>
      <c r="M25" s="114"/>
      <c r="N25" s="114"/>
      <c r="O25" s="114"/>
    </row>
    <row r="26" spans="1:15">
      <c r="A26" s="114"/>
      <c r="B26" s="114"/>
      <c r="C26" s="114"/>
      <c r="D26" s="114"/>
      <c r="E26" s="114"/>
      <c r="F26" s="114"/>
      <c r="G26" s="114"/>
      <c r="H26" s="114"/>
      <c r="I26" s="114"/>
      <c r="J26" s="114"/>
      <c r="K26" s="114"/>
      <c r="L26" s="114"/>
      <c r="M26" s="114"/>
      <c r="N26" s="114"/>
      <c r="O26" s="114"/>
    </row>
    <row r="27" spans="1:15">
      <c r="A27" s="114"/>
      <c r="B27" s="114"/>
      <c r="C27" s="114"/>
      <c r="D27" s="114"/>
      <c r="E27" s="114"/>
      <c r="F27" s="114"/>
      <c r="G27" s="114"/>
      <c r="H27" s="114"/>
      <c r="I27" s="114"/>
      <c r="J27" s="114"/>
      <c r="K27" s="114"/>
      <c r="L27" s="114"/>
      <c r="M27" s="114"/>
      <c r="N27" s="114"/>
      <c r="O27" s="114"/>
    </row>
    <row r="28" spans="1:15">
      <c r="A28" s="114"/>
      <c r="B28" s="114"/>
      <c r="C28" s="114"/>
      <c r="D28" s="114"/>
      <c r="E28" s="114"/>
      <c r="F28" s="114"/>
      <c r="G28" s="114"/>
      <c r="H28" s="114"/>
      <c r="I28" s="114"/>
      <c r="J28" s="114"/>
      <c r="K28" s="114"/>
      <c r="L28" s="114"/>
      <c r="M28" s="114"/>
      <c r="N28" s="114"/>
      <c r="O28" s="114"/>
    </row>
    <row r="29" spans="1:15">
      <c r="A29" s="114"/>
      <c r="B29" s="114"/>
      <c r="C29" s="114"/>
      <c r="D29" s="114"/>
      <c r="E29" s="114"/>
      <c r="F29" s="114"/>
      <c r="G29" s="114"/>
      <c r="H29" s="114"/>
      <c r="I29" s="114"/>
      <c r="J29" s="114"/>
      <c r="K29" s="114"/>
      <c r="L29" s="114"/>
      <c r="M29" s="114"/>
      <c r="N29" s="114"/>
      <c r="O29" s="114"/>
    </row>
    <row r="30" spans="1:15">
      <c r="A30" s="114"/>
      <c r="B30" s="114"/>
      <c r="C30" s="114"/>
      <c r="D30" s="114"/>
      <c r="E30" s="114"/>
      <c r="F30" s="114"/>
      <c r="G30" s="114"/>
      <c r="H30" s="114"/>
      <c r="I30" s="114"/>
      <c r="J30" s="114"/>
      <c r="K30" s="114"/>
      <c r="L30" s="114"/>
      <c r="M30" s="114"/>
      <c r="N30" s="114"/>
      <c r="O30" s="114"/>
    </row>
    <row r="31" spans="1:15">
      <c r="A31" s="114"/>
      <c r="B31" s="114"/>
      <c r="C31" s="114"/>
      <c r="D31" s="114"/>
      <c r="E31" s="114"/>
      <c r="F31" s="114"/>
      <c r="G31" s="114"/>
      <c r="H31" s="114"/>
      <c r="I31" s="114"/>
      <c r="J31" s="114"/>
      <c r="K31" s="114"/>
      <c r="L31" s="114"/>
      <c r="M31" s="114"/>
      <c r="N31" s="114"/>
      <c r="O31" s="114"/>
    </row>
    <row r="32" spans="1:15">
      <c r="A32" s="114"/>
      <c r="B32" s="114"/>
      <c r="C32" s="114"/>
      <c r="D32" s="114"/>
      <c r="E32" s="114"/>
      <c r="F32" s="114"/>
      <c r="G32" s="114"/>
      <c r="H32" s="114"/>
      <c r="I32" s="114"/>
      <c r="J32" s="114"/>
      <c r="K32" s="114"/>
      <c r="L32" s="114"/>
      <c r="M32" s="114"/>
      <c r="N32" s="114"/>
      <c r="O32" s="114"/>
    </row>
    <row r="33" spans="1:15">
      <c r="A33" s="114"/>
      <c r="B33" s="114"/>
      <c r="C33" s="114"/>
      <c r="D33" s="114"/>
      <c r="E33" s="114"/>
      <c r="F33" s="114"/>
      <c r="G33" s="114"/>
      <c r="H33" s="114"/>
      <c r="I33" s="114"/>
      <c r="J33" s="114"/>
      <c r="K33" s="114"/>
      <c r="L33" s="114"/>
      <c r="M33" s="114"/>
      <c r="N33" s="114"/>
      <c r="O33" s="114"/>
    </row>
    <row r="34" spans="1:15">
      <c r="A34" s="114"/>
      <c r="B34" s="114"/>
      <c r="C34" s="114"/>
      <c r="D34" s="114"/>
      <c r="E34" s="114"/>
      <c r="F34" s="114"/>
      <c r="G34" s="114"/>
      <c r="H34" s="114"/>
      <c r="I34" s="114"/>
      <c r="J34" s="114"/>
      <c r="K34" s="114"/>
      <c r="L34" s="114"/>
      <c r="M34" s="114"/>
      <c r="N34" s="114"/>
      <c r="O34" s="114"/>
    </row>
    <row r="35" spans="1:15">
      <c r="A35" s="114"/>
      <c r="B35" s="114"/>
      <c r="C35" s="114"/>
      <c r="D35" s="114"/>
      <c r="E35" s="114"/>
      <c r="F35" s="114"/>
      <c r="G35" s="114"/>
      <c r="H35" s="114"/>
      <c r="I35" s="114"/>
      <c r="J35" s="114"/>
      <c r="K35" s="114"/>
      <c r="L35" s="114"/>
      <c r="M35" s="114"/>
      <c r="N35" s="114"/>
      <c r="O35" s="114"/>
    </row>
    <row r="36" spans="1:15">
      <c r="A36" s="114"/>
      <c r="B36" s="114"/>
      <c r="C36" s="114"/>
      <c r="D36" s="114"/>
      <c r="E36" s="114"/>
      <c r="F36" s="114"/>
      <c r="G36" s="114"/>
      <c r="H36" s="114"/>
      <c r="I36" s="114"/>
      <c r="J36" s="114"/>
      <c r="K36" s="114"/>
      <c r="L36" s="114"/>
      <c r="M36" s="114"/>
      <c r="N36" s="114"/>
      <c r="O36" s="114"/>
    </row>
    <row r="37" spans="1:15">
      <c r="A37" s="114"/>
      <c r="B37" s="114"/>
      <c r="C37" s="114"/>
      <c r="D37" s="114"/>
      <c r="E37" s="114"/>
      <c r="F37" s="114"/>
      <c r="G37" s="114"/>
      <c r="H37" s="114"/>
      <c r="I37" s="114"/>
      <c r="J37" s="114"/>
      <c r="K37" s="114"/>
      <c r="L37" s="114"/>
      <c r="M37" s="114"/>
      <c r="N37" s="114"/>
      <c r="O37" s="114"/>
    </row>
    <row r="38" spans="1:15">
      <c r="A38" s="114"/>
      <c r="B38" s="114"/>
      <c r="C38" s="114"/>
      <c r="D38" s="114"/>
      <c r="E38" s="114"/>
      <c r="F38" s="114"/>
      <c r="G38" s="114"/>
      <c r="H38" s="114"/>
      <c r="I38" s="114"/>
      <c r="J38" s="114"/>
      <c r="K38" s="114"/>
      <c r="L38" s="114"/>
      <c r="M38" s="114"/>
      <c r="N38" s="114"/>
      <c r="O38" s="114"/>
    </row>
    <row r="39" spans="1:15">
      <c r="A39" s="114"/>
      <c r="B39" s="114"/>
      <c r="C39" s="114"/>
      <c r="D39" s="114"/>
      <c r="E39" s="114"/>
      <c r="F39" s="114"/>
      <c r="G39" s="114"/>
      <c r="H39" s="114"/>
      <c r="I39" s="114"/>
      <c r="J39" s="114"/>
      <c r="K39" s="114"/>
      <c r="L39" s="114"/>
      <c r="M39" s="114"/>
      <c r="N39" s="114"/>
      <c r="O39" s="114"/>
    </row>
    <row r="40" spans="1:15">
      <c r="A40" s="114"/>
      <c r="B40" s="114"/>
      <c r="C40" s="114"/>
      <c r="D40" s="114"/>
      <c r="E40" s="114"/>
      <c r="F40" s="114"/>
      <c r="G40" s="114"/>
      <c r="H40" s="114"/>
      <c r="I40" s="114"/>
      <c r="J40" s="114"/>
      <c r="K40" s="114"/>
      <c r="L40" s="114"/>
      <c r="M40" s="114"/>
      <c r="N40" s="114"/>
      <c r="O40" s="114"/>
    </row>
    <row r="41" spans="1:15">
      <c r="A41" s="114"/>
      <c r="B41" s="114"/>
      <c r="C41" s="114"/>
      <c r="D41" s="114"/>
      <c r="E41" s="114"/>
      <c r="F41" s="114"/>
      <c r="G41" s="114"/>
      <c r="H41" s="114"/>
      <c r="I41" s="114"/>
      <c r="J41" s="114"/>
      <c r="K41" s="114"/>
      <c r="L41" s="114"/>
      <c r="M41" s="114"/>
      <c r="N41" s="114"/>
      <c r="O41" s="114"/>
    </row>
    <row r="42" spans="1:15">
      <c r="A42" s="114"/>
      <c r="B42" s="114"/>
      <c r="C42" s="114"/>
      <c r="D42" s="114"/>
      <c r="E42" s="114"/>
      <c r="F42" s="114"/>
      <c r="G42" s="114"/>
      <c r="H42" s="114"/>
      <c r="I42" s="114"/>
      <c r="J42" s="114"/>
      <c r="K42" s="114"/>
      <c r="L42" s="114"/>
      <c r="M42" s="114"/>
      <c r="N42" s="114"/>
      <c r="O42" s="114"/>
    </row>
    <row r="43" spans="1:15">
      <c r="A43" s="114"/>
      <c r="B43" s="114"/>
      <c r="C43" s="114"/>
      <c r="D43" s="114"/>
      <c r="E43" s="114"/>
      <c r="F43" s="114"/>
      <c r="G43" s="114"/>
      <c r="H43" s="114"/>
      <c r="I43" s="114"/>
      <c r="J43" s="114"/>
      <c r="K43" s="114"/>
      <c r="L43" s="114"/>
      <c r="M43" s="114"/>
      <c r="N43" s="114"/>
      <c r="O43" s="114"/>
    </row>
    <row r="44" spans="1:15">
      <c r="A44" s="114"/>
      <c r="B44" s="114"/>
      <c r="C44" s="114"/>
      <c r="D44" s="114"/>
      <c r="E44" s="114"/>
      <c r="F44" s="114"/>
      <c r="G44" s="114"/>
      <c r="H44" s="114"/>
      <c r="I44" s="114"/>
      <c r="J44" s="114"/>
      <c r="K44" s="114"/>
      <c r="L44" s="114"/>
      <c r="M44" s="114"/>
      <c r="N44" s="114"/>
      <c r="O44" s="114"/>
    </row>
    <row r="45" spans="1:15">
      <c r="A45" s="114"/>
      <c r="B45" s="114"/>
      <c r="C45" s="114"/>
      <c r="D45" s="114"/>
      <c r="E45" s="114"/>
      <c r="F45" s="114"/>
      <c r="G45" s="114"/>
      <c r="H45" s="114"/>
      <c r="I45" s="114"/>
      <c r="J45" s="114"/>
      <c r="K45" s="114"/>
      <c r="L45" s="114"/>
      <c r="M45" s="114"/>
      <c r="N45" s="114"/>
      <c r="O45" s="114"/>
    </row>
    <row r="46" spans="1:15">
      <c r="A46" s="114"/>
      <c r="B46" s="114"/>
      <c r="C46" s="114"/>
      <c r="D46" s="114"/>
      <c r="E46" s="114"/>
      <c r="F46" s="114"/>
      <c r="G46" s="114"/>
      <c r="H46" s="114"/>
      <c r="I46" s="114"/>
      <c r="J46" s="114"/>
      <c r="K46" s="114"/>
      <c r="L46" s="114"/>
      <c r="M46" s="114"/>
      <c r="N46" s="114"/>
      <c r="O46" s="114"/>
    </row>
    <row r="47" spans="1:15">
      <c r="A47" s="114"/>
      <c r="B47" s="114"/>
      <c r="C47" s="114"/>
      <c r="D47" s="114"/>
      <c r="E47" s="114"/>
      <c r="F47" s="114"/>
      <c r="G47" s="114"/>
      <c r="H47" s="114"/>
      <c r="I47" s="114"/>
      <c r="J47" s="114"/>
      <c r="K47" s="114"/>
      <c r="L47" s="114"/>
      <c r="M47" s="114"/>
      <c r="N47" s="114"/>
      <c r="O47" s="114"/>
    </row>
    <row r="48" spans="1:15">
      <c r="A48" s="114"/>
      <c r="B48" s="114"/>
      <c r="C48" s="114"/>
      <c r="D48" s="114"/>
      <c r="E48" s="114"/>
      <c r="F48" s="114"/>
      <c r="G48" s="114"/>
      <c r="H48" s="114"/>
      <c r="I48" s="114"/>
      <c r="J48" s="114"/>
      <c r="K48" s="114"/>
      <c r="L48" s="114"/>
      <c r="M48" s="114"/>
      <c r="N48" s="114"/>
      <c r="O48" s="114"/>
    </row>
    <row r="49" spans="1:15">
      <c r="A49" s="114"/>
      <c r="B49" s="114"/>
      <c r="C49" s="114"/>
      <c r="D49" s="114"/>
      <c r="E49" s="114"/>
      <c r="F49" s="114"/>
      <c r="G49" s="114"/>
      <c r="H49" s="114"/>
      <c r="I49" s="114"/>
      <c r="J49" s="114"/>
      <c r="K49" s="114"/>
      <c r="L49" s="114"/>
      <c r="M49" s="114"/>
      <c r="N49" s="114"/>
      <c r="O49" s="114"/>
    </row>
    <row r="50" spans="1:15">
      <c r="A50" s="114"/>
      <c r="B50" s="114"/>
      <c r="C50" s="114"/>
      <c r="D50" s="114"/>
      <c r="E50" s="114"/>
      <c r="F50" s="114"/>
      <c r="G50" s="114"/>
      <c r="H50" s="114"/>
      <c r="I50" s="114"/>
      <c r="J50" s="114"/>
      <c r="K50" s="114"/>
      <c r="L50" s="114"/>
      <c r="M50" s="114"/>
      <c r="N50" s="114"/>
      <c r="O50" s="114"/>
    </row>
    <row r="51" spans="1:15">
      <c r="A51" s="114"/>
      <c r="B51" s="114"/>
      <c r="C51" s="114"/>
      <c r="D51" s="114"/>
      <c r="E51" s="114"/>
      <c r="F51" s="114"/>
      <c r="G51" s="114"/>
      <c r="H51" s="114"/>
      <c r="I51" s="114"/>
      <c r="J51" s="114"/>
      <c r="K51" s="114"/>
      <c r="L51" s="114"/>
      <c r="M51" s="114"/>
      <c r="N51" s="114"/>
      <c r="O51" s="114"/>
    </row>
    <row r="52" spans="1:15">
      <c r="A52" s="114"/>
      <c r="B52" s="114"/>
      <c r="C52" s="114"/>
      <c r="D52" s="114"/>
      <c r="E52" s="114"/>
      <c r="F52" s="114"/>
      <c r="G52" s="114"/>
      <c r="H52" s="114"/>
      <c r="I52" s="114"/>
      <c r="J52" s="114"/>
      <c r="K52" s="114"/>
      <c r="L52" s="114"/>
      <c r="M52" s="114"/>
      <c r="N52" s="114"/>
      <c r="O52" s="114"/>
    </row>
    <row r="53" spans="1:15">
      <c r="A53" s="114"/>
      <c r="B53" s="114"/>
      <c r="C53" s="114"/>
      <c r="D53" s="114"/>
      <c r="E53" s="114"/>
      <c r="F53" s="114"/>
      <c r="G53" s="114"/>
      <c r="H53" s="114"/>
      <c r="I53" s="114"/>
      <c r="J53" s="114"/>
      <c r="K53" s="114"/>
      <c r="L53" s="114"/>
      <c r="M53" s="114"/>
      <c r="N53" s="114"/>
      <c r="O53" s="114"/>
    </row>
    <row r="54" spans="1:15">
      <c r="A54" s="114"/>
      <c r="B54" s="114"/>
      <c r="C54" s="114"/>
      <c r="D54" s="114"/>
      <c r="E54" s="114"/>
      <c r="F54" s="114"/>
      <c r="G54" s="114"/>
      <c r="H54" s="114"/>
      <c r="I54" s="114"/>
      <c r="J54" s="114"/>
      <c r="K54" s="114"/>
      <c r="L54" s="114"/>
      <c r="M54" s="114"/>
      <c r="N54" s="114"/>
      <c r="O54" s="114"/>
    </row>
    <row r="55" spans="1:15">
      <c r="A55" s="114"/>
      <c r="B55" s="114"/>
      <c r="C55" s="114"/>
      <c r="D55" s="114"/>
      <c r="E55" s="114"/>
      <c r="F55" s="114"/>
      <c r="G55" s="114"/>
      <c r="H55" s="114"/>
      <c r="I55" s="114"/>
      <c r="J55" s="114"/>
      <c r="K55" s="114"/>
      <c r="L55" s="114"/>
      <c r="M55" s="114"/>
      <c r="N55" s="114"/>
      <c r="O55" s="114"/>
    </row>
    <row r="56" spans="1:15">
      <c r="A56" s="114"/>
      <c r="B56" s="114"/>
      <c r="C56" s="114"/>
      <c r="D56" s="114"/>
      <c r="E56" s="114"/>
      <c r="F56" s="114"/>
      <c r="G56" s="114"/>
      <c r="H56" s="114"/>
      <c r="I56" s="114"/>
      <c r="J56" s="114"/>
      <c r="K56" s="114"/>
      <c r="L56" s="114"/>
      <c r="M56" s="114"/>
      <c r="N56" s="114"/>
      <c r="O56" s="114"/>
    </row>
    <row r="57" spans="1:15">
      <c r="A57" s="114"/>
      <c r="B57" s="114"/>
      <c r="C57" s="114"/>
      <c r="D57" s="114"/>
      <c r="E57" s="114"/>
      <c r="F57" s="114"/>
      <c r="G57" s="114"/>
      <c r="H57" s="114"/>
      <c r="I57" s="114"/>
      <c r="J57" s="114"/>
      <c r="K57" s="114"/>
      <c r="L57" s="114"/>
      <c r="M57" s="114"/>
      <c r="N57" s="114"/>
      <c r="O57" s="114"/>
    </row>
    <row r="58" spans="1:15">
      <c r="A58" s="114"/>
      <c r="B58" s="114"/>
      <c r="C58" s="114"/>
      <c r="D58" s="114"/>
      <c r="E58" s="114"/>
      <c r="F58" s="114"/>
      <c r="G58" s="114"/>
      <c r="H58" s="114"/>
      <c r="I58" s="114"/>
      <c r="J58" s="114"/>
      <c r="K58" s="114"/>
      <c r="L58" s="114"/>
      <c r="M58" s="114"/>
      <c r="N58" s="114"/>
      <c r="O58" s="114"/>
    </row>
    <row r="59" spans="1:15">
      <c r="A59" s="114"/>
      <c r="B59" s="114"/>
      <c r="C59" s="114"/>
      <c r="D59" s="114"/>
      <c r="E59" s="114"/>
      <c r="F59" s="114"/>
      <c r="G59" s="114"/>
      <c r="H59" s="114"/>
      <c r="I59" s="114"/>
      <c r="J59" s="114"/>
      <c r="K59" s="114"/>
      <c r="L59" s="114"/>
      <c r="M59" s="114"/>
      <c r="N59" s="114"/>
      <c r="O59" s="114"/>
    </row>
    <row r="60" spans="1:15">
      <c r="A60" s="114"/>
      <c r="B60" s="114"/>
      <c r="C60" s="114"/>
      <c r="D60" s="114"/>
      <c r="E60" s="114"/>
      <c r="F60" s="114"/>
      <c r="G60" s="114"/>
      <c r="H60" s="114"/>
      <c r="I60" s="114"/>
      <c r="J60" s="114"/>
      <c r="K60" s="114"/>
      <c r="L60" s="114"/>
      <c r="M60" s="114"/>
      <c r="N60" s="114"/>
      <c r="O60" s="114"/>
    </row>
    <row r="61" spans="1:15">
      <c r="A61" s="114"/>
      <c r="B61" s="114"/>
      <c r="C61" s="114"/>
      <c r="D61" s="114"/>
      <c r="E61" s="114"/>
      <c r="F61" s="114"/>
      <c r="G61" s="114"/>
      <c r="H61" s="114"/>
      <c r="I61" s="114"/>
      <c r="J61" s="114"/>
      <c r="K61" s="114"/>
      <c r="L61" s="114"/>
      <c r="M61" s="114"/>
      <c r="N61" s="114"/>
      <c r="O61" s="114"/>
    </row>
    <row r="62" spans="1:15">
      <c r="A62" s="114"/>
      <c r="B62" s="114"/>
      <c r="C62" s="114"/>
      <c r="D62" s="114"/>
      <c r="E62" s="114"/>
      <c r="F62" s="114"/>
      <c r="G62" s="114"/>
      <c r="H62" s="114"/>
      <c r="I62" s="114"/>
      <c r="J62" s="114"/>
      <c r="K62" s="114"/>
      <c r="L62" s="114"/>
      <c r="M62" s="114"/>
      <c r="N62" s="114"/>
      <c r="O62" s="114"/>
    </row>
    <row r="63" spans="1:15">
      <c r="A63" s="114"/>
      <c r="B63" s="114"/>
      <c r="C63" s="114"/>
      <c r="D63" s="114"/>
      <c r="E63" s="114"/>
      <c r="F63" s="114"/>
      <c r="G63" s="114"/>
      <c r="H63" s="114"/>
      <c r="I63" s="114"/>
      <c r="J63" s="114"/>
      <c r="K63" s="114"/>
      <c r="L63" s="114"/>
      <c r="M63" s="114"/>
      <c r="N63" s="114"/>
      <c r="O63" s="114"/>
    </row>
    <row r="64" spans="1:15">
      <c r="A64" s="114"/>
      <c r="B64" s="114"/>
      <c r="C64" s="114"/>
      <c r="D64" s="114"/>
      <c r="E64" s="114"/>
      <c r="F64" s="114"/>
      <c r="G64" s="114"/>
      <c r="H64" s="114"/>
      <c r="I64" s="114"/>
      <c r="J64" s="114"/>
      <c r="K64" s="114"/>
      <c r="L64" s="114"/>
      <c r="M64" s="114"/>
      <c r="N64" s="114"/>
      <c r="O64" s="114"/>
    </row>
    <row r="65" spans="1:15">
      <c r="A65" s="114"/>
      <c r="B65" s="114"/>
      <c r="C65" s="114"/>
      <c r="D65" s="114"/>
      <c r="E65" s="114"/>
      <c r="F65" s="114"/>
      <c r="G65" s="114"/>
      <c r="H65" s="114"/>
      <c r="I65" s="114"/>
      <c r="J65" s="114"/>
      <c r="K65" s="114"/>
      <c r="L65" s="114"/>
      <c r="M65" s="114"/>
      <c r="N65" s="114"/>
      <c r="O65" s="114"/>
    </row>
    <row r="66" spans="1:15">
      <c r="A66" s="114"/>
      <c r="B66" s="114"/>
      <c r="C66" s="114"/>
      <c r="D66" s="114"/>
      <c r="E66" s="114"/>
      <c r="F66" s="114"/>
      <c r="G66" s="114"/>
      <c r="H66" s="114"/>
      <c r="I66" s="114"/>
      <c r="J66" s="114"/>
      <c r="K66" s="114"/>
      <c r="L66" s="114"/>
      <c r="M66" s="114"/>
      <c r="N66" s="114"/>
      <c r="O66" s="114"/>
    </row>
    <row r="67" spans="1:15">
      <c r="A67" s="114"/>
      <c r="B67" s="114"/>
      <c r="C67" s="114"/>
      <c r="D67" s="114"/>
      <c r="E67" s="114"/>
      <c r="F67" s="114"/>
      <c r="G67" s="114"/>
      <c r="H67" s="114"/>
      <c r="I67" s="114"/>
      <c r="J67" s="114"/>
      <c r="K67" s="114"/>
      <c r="L67" s="114"/>
      <c r="M67" s="114"/>
      <c r="N67" s="114"/>
      <c r="O67" s="114"/>
    </row>
    <row r="68" spans="1:15">
      <c r="A68" s="114"/>
      <c r="B68" s="114"/>
      <c r="C68" s="114"/>
      <c r="D68" s="114"/>
      <c r="E68" s="114"/>
      <c r="F68" s="114"/>
      <c r="G68" s="114"/>
      <c r="H68" s="114"/>
      <c r="I68" s="114"/>
      <c r="J68" s="114"/>
      <c r="K68" s="114"/>
      <c r="L68" s="114"/>
      <c r="M68" s="114"/>
      <c r="N68" s="114"/>
      <c r="O68" s="114"/>
    </row>
    <row r="69" spans="1:15">
      <c r="A69" s="114"/>
      <c r="B69" s="114"/>
      <c r="C69" s="114"/>
      <c r="D69" s="114"/>
      <c r="E69" s="114"/>
      <c r="F69" s="114"/>
      <c r="G69" s="114"/>
      <c r="H69" s="114"/>
      <c r="I69" s="114"/>
      <c r="J69" s="114"/>
      <c r="K69" s="114"/>
      <c r="L69" s="114"/>
      <c r="M69" s="114"/>
      <c r="N69" s="114"/>
      <c r="O69" s="114"/>
    </row>
    <row r="70" spans="1:15">
      <c r="A70" s="114"/>
      <c r="B70" s="114"/>
      <c r="C70" s="114"/>
      <c r="D70" s="114"/>
      <c r="E70" s="114"/>
      <c r="F70" s="114"/>
      <c r="G70" s="114"/>
      <c r="H70" s="114"/>
      <c r="I70" s="114"/>
      <c r="J70" s="114"/>
      <c r="K70" s="114"/>
      <c r="L70" s="114"/>
      <c r="M70" s="114"/>
      <c r="N70" s="114"/>
      <c r="O70" s="114"/>
    </row>
    <row r="71" spans="1:15">
      <c r="A71" s="114"/>
      <c r="B71" s="114"/>
      <c r="C71" s="114"/>
      <c r="D71" s="114"/>
      <c r="E71" s="114"/>
      <c r="F71" s="114"/>
      <c r="G71" s="114"/>
      <c r="H71" s="114"/>
      <c r="I71" s="114"/>
      <c r="J71" s="114"/>
      <c r="K71" s="114"/>
      <c r="L71" s="114"/>
      <c r="M71" s="114"/>
      <c r="N71" s="114"/>
      <c r="O71" s="114"/>
    </row>
    <row r="72" spans="1:15">
      <c r="A72" s="114"/>
      <c r="B72" s="114"/>
      <c r="C72" s="114"/>
      <c r="D72" s="114"/>
      <c r="E72" s="114"/>
      <c r="F72" s="114"/>
      <c r="G72" s="114"/>
      <c r="H72" s="114"/>
      <c r="I72" s="114"/>
      <c r="J72" s="114"/>
      <c r="K72" s="114"/>
      <c r="L72" s="114"/>
      <c r="M72" s="114"/>
      <c r="N72" s="114"/>
      <c r="O72" s="114"/>
    </row>
    <row r="73" spans="1:15">
      <c r="A73" s="114"/>
      <c r="B73" s="114"/>
      <c r="C73" s="114"/>
      <c r="D73" s="114"/>
      <c r="E73" s="114"/>
      <c r="F73" s="114"/>
      <c r="G73" s="114"/>
      <c r="H73" s="114"/>
      <c r="I73" s="114"/>
      <c r="J73" s="114"/>
      <c r="K73" s="114"/>
      <c r="L73" s="114"/>
      <c r="M73" s="114"/>
      <c r="N73" s="114"/>
      <c r="O73" s="114"/>
    </row>
    <row r="74" spans="1:15">
      <c r="A74" s="114"/>
      <c r="B74" s="114"/>
      <c r="C74" s="114"/>
      <c r="D74" s="114"/>
      <c r="E74" s="114"/>
      <c r="F74" s="114"/>
      <c r="G74" s="114"/>
      <c r="H74" s="114"/>
      <c r="I74" s="114"/>
      <c r="J74" s="114"/>
      <c r="K74" s="114"/>
      <c r="L74" s="114"/>
      <c r="M74" s="114"/>
      <c r="N74" s="114"/>
      <c r="O74" s="114"/>
    </row>
    <row r="75" spans="1:15">
      <c r="A75" s="114"/>
      <c r="B75" s="114"/>
      <c r="C75" s="114"/>
      <c r="D75" s="114"/>
      <c r="E75" s="114"/>
      <c r="F75" s="114"/>
      <c r="G75" s="114"/>
      <c r="H75" s="114"/>
      <c r="I75" s="114"/>
      <c r="J75" s="114"/>
      <c r="K75" s="114"/>
      <c r="L75" s="114"/>
      <c r="M75" s="114"/>
      <c r="N75" s="114"/>
      <c r="O75" s="114"/>
    </row>
  </sheetData>
  <mergeCells count="2">
    <mergeCell ref="B2:J3"/>
    <mergeCell ref="B11:J17"/>
  </mergeCells>
  <phoneticPr fontId="0" type="noConversion"/>
  <pageMargins left="0.19685039370078741" right="0.74803149606299213" top="0.59055118110236227" bottom="0.39370078740157483" header="0.51181102362204722" footer="0.51181102362204722"/>
  <pageSetup paperSize="9" scale="94"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sheetPr codeName="Sheet47">
    <pageSetUpPr autoPageBreaks="0" fitToPage="1"/>
  </sheetPr>
  <dimension ref="A1:AH844"/>
  <sheetViews>
    <sheetView showRowColHeaders="0" workbookViewId="0">
      <selection activeCell="B2" sqref="B2:K3"/>
    </sheetView>
  </sheetViews>
  <sheetFormatPr defaultRowHeight="12.75"/>
  <cols>
    <col min="1" max="1" width="10.7109375" style="1" customWidth="1"/>
    <col min="2" max="11" width="11.7109375" style="1" customWidth="1"/>
    <col min="12" max="14" width="10.7109375" style="1" customWidth="1"/>
    <col min="15" max="15" width="4.7109375" style="20" customWidth="1"/>
    <col min="16" max="24" width="10.7109375" style="18" customWidth="1"/>
    <col min="25" max="25" width="10.7109375" style="1" customWidth="1"/>
    <col min="26" max="28" width="8.7109375" style="1" customWidth="1"/>
    <col min="29" max="33" width="13.7109375" style="1" customWidth="1"/>
    <col min="34" max="35" width="10.7109375" style="1" customWidth="1"/>
    <col min="36" max="52" width="10.28515625" style="1" customWidth="1"/>
    <col min="53" max="108" width="10.7109375" style="1" customWidth="1"/>
    <col min="109" max="16384" width="9.140625" style="1"/>
  </cols>
  <sheetData>
    <row r="1" spans="1:30" ht="6" customHeight="1" thickBot="1">
      <c r="A1" s="121"/>
      <c r="B1" s="121"/>
      <c r="C1" s="121"/>
      <c r="D1" s="121"/>
      <c r="E1" s="121"/>
      <c r="F1" s="121"/>
      <c r="G1" s="121"/>
      <c r="H1" s="121"/>
      <c r="I1" s="121"/>
      <c r="J1" s="121"/>
      <c r="K1" s="121"/>
      <c r="L1" s="121"/>
      <c r="M1" s="121"/>
      <c r="N1" s="108"/>
    </row>
    <row r="2" spans="1:30" ht="12.75" customHeight="1" thickTop="1">
      <c r="A2" s="121"/>
      <c r="B2" s="885" t="s">
        <v>515</v>
      </c>
      <c r="C2" s="886"/>
      <c r="D2" s="886"/>
      <c r="E2" s="886"/>
      <c r="F2" s="886"/>
      <c r="G2" s="886"/>
      <c r="H2" s="886"/>
      <c r="I2" s="886"/>
      <c r="J2" s="886"/>
      <c r="K2" s="887"/>
      <c r="L2" s="304"/>
      <c r="M2" s="121"/>
      <c r="N2" s="108"/>
      <c r="O2" s="21"/>
      <c r="P2"/>
      <c r="Q2"/>
      <c r="R2"/>
      <c r="S2"/>
      <c r="T2"/>
      <c r="U2"/>
      <c r="V2"/>
      <c r="W2"/>
      <c r="X2"/>
    </row>
    <row r="3" spans="1:30" ht="12.75" customHeight="1" thickBot="1">
      <c r="A3" s="121"/>
      <c r="B3" s="888"/>
      <c r="C3" s="889"/>
      <c r="D3" s="889"/>
      <c r="E3" s="889"/>
      <c r="F3" s="889"/>
      <c r="G3" s="889"/>
      <c r="H3" s="889"/>
      <c r="I3" s="889"/>
      <c r="J3" s="889"/>
      <c r="K3" s="890"/>
      <c r="L3" s="304"/>
      <c r="M3" s="121"/>
      <c r="N3" s="108"/>
      <c r="O3" s="21"/>
      <c r="P3"/>
      <c r="Q3"/>
      <c r="R3"/>
      <c r="S3"/>
      <c r="T3"/>
      <c r="U3"/>
      <c r="V3"/>
      <c r="W3"/>
      <c r="X3"/>
    </row>
    <row r="4" spans="1:30" ht="12.75" customHeight="1" thickTop="1">
      <c r="A4" s="121"/>
      <c r="B4" s="121"/>
      <c r="C4" s="121"/>
      <c r="D4" s="121"/>
      <c r="E4" s="121"/>
      <c r="F4" s="121"/>
      <c r="G4" s="121"/>
      <c r="H4" s="121"/>
      <c r="I4" s="121"/>
      <c r="J4" s="121"/>
      <c r="K4" s="121"/>
      <c r="L4" s="121"/>
      <c r="M4" s="121"/>
      <c r="N4"/>
      <c r="O4"/>
      <c r="P4"/>
      <c r="Q4"/>
      <c r="R4"/>
      <c r="S4"/>
      <c r="T4"/>
      <c r="U4"/>
      <c r="V4"/>
      <c r="W4"/>
      <c r="X4"/>
      <c r="Y4"/>
      <c r="Z4"/>
      <c r="AA4"/>
      <c r="AB4"/>
      <c r="AC4"/>
      <c r="AD4"/>
    </row>
    <row r="5" spans="1:30" ht="12.75" customHeight="1">
      <c r="A5" s="121"/>
      <c r="B5" s="121"/>
      <c r="C5" s="121"/>
      <c r="D5" s="121"/>
      <c r="E5" s="121"/>
      <c r="F5" s="121"/>
      <c r="G5" s="121"/>
      <c r="H5" s="121"/>
      <c r="I5" s="121"/>
      <c r="J5" s="121"/>
      <c r="K5" s="121"/>
      <c r="L5" s="121"/>
      <c r="M5" s="121"/>
      <c r="N5"/>
      <c r="O5"/>
      <c r="P5"/>
      <c r="Q5"/>
      <c r="R5"/>
      <c r="S5"/>
      <c r="T5"/>
      <c r="U5"/>
      <c r="V5"/>
      <c r="W5"/>
      <c r="X5"/>
      <c r="Y5"/>
      <c r="Z5"/>
      <c r="AA5"/>
      <c r="AB5"/>
      <c r="AC5"/>
      <c r="AD5"/>
    </row>
    <row r="6" spans="1:30" ht="12.75" customHeight="1">
      <c r="A6" s="121"/>
      <c r="B6" s="121"/>
      <c r="C6" s="121"/>
      <c r="D6" s="121"/>
      <c r="E6" s="121"/>
      <c r="F6" s="121"/>
      <c r="G6" s="121"/>
      <c r="H6" s="121"/>
      <c r="I6" s="121"/>
      <c r="J6" s="121"/>
      <c r="K6" s="121"/>
      <c r="L6" s="121"/>
      <c r="M6" s="121"/>
      <c r="N6"/>
      <c r="O6"/>
      <c r="P6"/>
      <c r="Q6"/>
      <c r="R6"/>
      <c r="S6"/>
      <c r="T6"/>
      <c r="U6"/>
      <c r="V6"/>
      <c r="W6"/>
      <c r="X6"/>
      <c r="Y6"/>
      <c r="Z6"/>
      <c r="AA6"/>
      <c r="AB6"/>
      <c r="AC6"/>
      <c r="AD6"/>
    </row>
    <row r="7" spans="1:30" ht="12.75" customHeight="1">
      <c r="A7" s="121"/>
      <c r="B7" s="121"/>
      <c r="C7" s="121"/>
      <c r="D7" s="121"/>
      <c r="E7" s="121"/>
      <c r="F7" s="121"/>
      <c r="G7" s="121"/>
      <c r="H7" s="121"/>
      <c r="I7" s="121"/>
      <c r="J7" s="121"/>
      <c r="K7" s="121"/>
      <c r="L7" s="121"/>
      <c r="M7" s="121"/>
      <c r="N7"/>
      <c r="O7"/>
      <c r="P7"/>
      <c r="Q7"/>
      <c r="R7"/>
      <c r="S7"/>
      <c r="T7"/>
      <c r="U7"/>
      <c r="V7"/>
      <c r="W7"/>
      <c r="X7"/>
      <c r="Y7"/>
      <c r="Z7"/>
      <c r="AA7"/>
      <c r="AB7"/>
      <c r="AC7"/>
      <c r="AD7"/>
    </row>
    <row r="8" spans="1:30" ht="12.75" customHeight="1">
      <c r="A8" s="121"/>
      <c r="B8" s="121"/>
      <c r="C8" s="121"/>
      <c r="D8" s="121"/>
      <c r="E8" s="121"/>
      <c r="F8" s="121"/>
      <c r="G8" s="121"/>
      <c r="H8" s="121"/>
      <c r="I8" s="121"/>
      <c r="J8" s="121"/>
      <c r="K8" s="121"/>
      <c r="L8" s="121"/>
      <c r="M8" s="121"/>
      <c r="N8"/>
      <c r="O8"/>
      <c r="P8"/>
      <c r="Q8"/>
      <c r="R8"/>
      <c r="S8"/>
      <c r="T8"/>
      <c r="U8"/>
      <c r="V8"/>
      <c r="W8"/>
      <c r="X8"/>
      <c r="Y8"/>
      <c r="Z8"/>
      <c r="AA8"/>
      <c r="AB8"/>
      <c r="AC8"/>
      <c r="AD8"/>
    </row>
    <row r="9" spans="1:30" ht="12.75" customHeight="1">
      <c r="A9" s="121"/>
      <c r="B9" s="121"/>
      <c r="C9" s="121"/>
      <c r="D9" s="121"/>
      <c r="E9" s="121"/>
      <c r="F9" s="121"/>
      <c r="G9" s="121"/>
      <c r="H9" s="121"/>
      <c r="I9" s="121"/>
      <c r="J9" s="121"/>
      <c r="K9" s="121"/>
      <c r="L9" s="121"/>
      <c r="M9" s="121"/>
      <c r="N9"/>
      <c r="O9"/>
      <c r="P9"/>
      <c r="Q9"/>
      <c r="R9"/>
      <c r="S9"/>
      <c r="T9"/>
      <c r="U9"/>
      <c r="V9"/>
      <c r="W9"/>
      <c r="X9"/>
      <c r="Y9"/>
      <c r="Z9"/>
      <c r="AA9"/>
      <c r="AB9"/>
      <c r="AC9"/>
      <c r="AD9"/>
    </row>
    <row r="10" spans="1:30" ht="12.75" customHeight="1">
      <c r="A10" s="121"/>
      <c r="B10" s="121"/>
      <c r="C10" s="121"/>
      <c r="D10" s="121"/>
      <c r="E10" s="121"/>
      <c r="F10" s="121"/>
      <c r="G10" s="121"/>
      <c r="H10" s="121"/>
      <c r="I10" s="121"/>
      <c r="J10" s="121"/>
      <c r="K10" s="121"/>
      <c r="L10" s="121"/>
      <c r="M10" s="121"/>
      <c r="N10"/>
      <c r="O10"/>
      <c r="P10"/>
      <c r="Q10"/>
      <c r="R10"/>
      <c r="S10"/>
      <c r="T10"/>
      <c r="U10"/>
      <c r="V10"/>
      <c r="W10"/>
      <c r="X10"/>
      <c r="Y10"/>
      <c r="Z10"/>
      <c r="AA10"/>
      <c r="AB10"/>
      <c r="AC10"/>
      <c r="AD10"/>
    </row>
    <row r="11" spans="1:30" ht="12.75" customHeight="1">
      <c r="A11" s="121"/>
      <c r="B11" s="121"/>
      <c r="C11" s="121"/>
      <c r="D11" s="121"/>
      <c r="E11" s="121"/>
      <c r="F11" s="121"/>
      <c r="G11" s="121"/>
      <c r="H11" s="121"/>
      <c r="I11" s="121"/>
      <c r="J11" s="121"/>
      <c r="K11" s="121"/>
      <c r="L11" s="121"/>
      <c r="M11" s="121"/>
      <c r="N11"/>
      <c r="O11"/>
      <c r="P11"/>
      <c r="Q11"/>
      <c r="R11"/>
      <c r="S11"/>
      <c r="T11"/>
      <c r="U11"/>
      <c r="V11"/>
      <c r="W11"/>
      <c r="X11"/>
      <c r="Y11"/>
      <c r="Z11"/>
      <c r="AA11"/>
      <c r="AB11"/>
      <c r="AC11"/>
      <c r="AD11"/>
    </row>
    <row r="12" spans="1:30" ht="12.75" customHeight="1">
      <c r="A12" s="121"/>
      <c r="B12" s="121"/>
      <c r="C12" s="121"/>
      <c r="D12" s="121"/>
      <c r="E12" s="121"/>
      <c r="F12" s="121"/>
      <c r="G12" s="121"/>
      <c r="H12" s="121"/>
      <c r="I12" s="121"/>
      <c r="J12" s="121"/>
      <c r="K12" s="121"/>
      <c r="L12" s="121"/>
      <c r="M12" s="121"/>
      <c r="N12"/>
      <c r="O12"/>
      <c r="P12"/>
      <c r="Q12"/>
      <c r="R12"/>
      <c r="S12"/>
      <c r="T12"/>
      <c r="U12"/>
      <c r="V12"/>
      <c r="W12"/>
      <c r="X12"/>
      <c r="Y12"/>
      <c r="Z12"/>
      <c r="AA12"/>
      <c r="AB12"/>
      <c r="AC12"/>
      <c r="AD12"/>
    </row>
    <row r="13" spans="1:30" ht="12.75" customHeight="1">
      <c r="A13" s="121"/>
      <c r="B13" s="121"/>
      <c r="C13" s="121"/>
      <c r="D13" s="121"/>
      <c r="E13" s="121"/>
      <c r="F13" s="121"/>
      <c r="G13" s="121"/>
      <c r="H13" s="121"/>
      <c r="I13" s="121"/>
      <c r="J13" s="121"/>
      <c r="K13" s="121"/>
      <c r="L13" s="121"/>
      <c r="M13" s="121"/>
      <c r="N13"/>
      <c r="O13"/>
      <c r="P13"/>
      <c r="Q13"/>
      <c r="R13"/>
      <c r="S13"/>
      <c r="T13"/>
      <c r="U13"/>
      <c r="V13"/>
      <c r="W13"/>
      <c r="X13"/>
      <c r="Y13"/>
      <c r="Z13"/>
      <c r="AA13"/>
      <c r="AB13"/>
      <c r="AC13"/>
      <c r="AD13"/>
    </row>
    <row r="14" spans="1:30" ht="12.75" customHeight="1">
      <c r="A14" s="121"/>
      <c r="B14" s="121"/>
      <c r="C14" s="121"/>
      <c r="D14" s="121"/>
      <c r="E14" s="121"/>
      <c r="F14" s="121"/>
      <c r="G14" s="121"/>
      <c r="H14" s="121"/>
      <c r="I14" s="121"/>
      <c r="J14" s="121"/>
      <c r="K14" s="121"/>
      <c r="L14" s="121"/>
      <c r="M14" s="121"/>
      <c r="N14"/>
      <c r="O14"/>
      <c r="P14"/>
      <c r="Q14"/>
      <c r="R14"/>
      <c r="S14"/>
      <c r="T14"/>
      <c r="U14"/>
      <c r="V14"/>
      <c r="W14"/>
      <c r="X14"/>
      <c r="Y14"/>
      <c r="Z14"/>
      <c r="AA14"/>
      <c r="AB14"/>
      <c r="AC14"/>
      <c r="AD14"/>
    </row>
    <row r="15" spans="1:30" ht="12.75" customHeight="1">
      <c r="A15" s="121"/>
      <c r="B15" s="121"/>
      <c r="C15" s="121"/>
      <c r="D15" s="121"/>
      <c r="E15" s="121"/>
      <c r="F15" s="121"/>
      <c r="G15" s="121"/>
      <c r="H15" s="121"/>
      <c r="I15" s="121"/>
      <c r="J15" s="121"/>
      <c r="K15" s="121"/>
      <c r="L15" s="121"/>
      <c r="M15" s="121"/>
      <c r="N15"/>
      <c r="O15"/>
      <c r="P15"/>
      <c r="Q15"/>
      <c r="R15"/>
      <c r="S15"/>
      <c r="T15"/>
      <c r="U15"/>
      <c r="V15"/>
      <c r="W15"/>
      <c r="X15"/>
      <c r="Y15"/>
      <c r="Z15"/>
      <c r="AA15"/>
      <c r="AB15"/>
      <c r="AC15"/>
      <c r="AD15"/>
    </row>
    <row r="16" spans="1:30" ht="12.75" customHeight="1">
      <c r="A16" s="121"/>
      <c r="B16" s="121"/>
      <c r="C16" s="121"/>
      <c r="D16" s="121"/>
      <c r="E16" s="121"/>
      <c r="F16" s="121"/>
      <c r="G16" s="121"/>
      <c r="H16" s="121"/>
      <c r="I16" s="121"/>
      <c r="J16" s="121"/>
      <c r="K16" s="121"/>
      <c r="L16" s="121"/>
      <c r="M16" s="121"/>
      <c r="N16"/>
      <c r="O16"/>
      <c r="P16"/>
      <c r="Q16"/>
      <c r="R16"/>
      <c r="S16"/>
      <c r="T16"/>
      <c r="U16"/>
      <c r="V16"/>
      <c r="W16"/>
      <c r="X16"/>
      <c r="Y16"/>
      <c r="Z16"/>
      <c r="AA16"/>
      <c r="AB16"/>
      <c r="AC16"/>
      <c r="AD16"/>
    </row>
    <row r="17" spans="1:30" ht="12.75" customHeight="1">
      <c r="A17" s="121"/>
      <c r="B17" s="121"/>
      <c r="C17" s="121"/>
      <c r="D17" s="121"/>
      <c r="E17" s="121"/>
      <c r="F17" s="121"/>
      <c r="G17" s="121"/>
      <c r="H17" s="121"/>
      <c r="I17" s="121"/>
      <c r="J17" s="121"/>
      <c r="K17" s="121"/>
      <c r="L17" s="121"/>
      <c r="M17" s="121"/>
      <c r="N17"/>
      <c r="O17"/>
      <c r="P17"/>
      <c r="Q17"/>
      <c r="R17"/>
      <c r="S17"/>
      <c r="T17"/>
      <c r="U17"/>
      <c r="V17"/>
      <c r="W17"/>
      <c r="X17"/>
      <c r="Y17"/>
      <c r="Z17"/>
      <c r="AA17"/>
      <c r="AB17"/>
      <c r="AC17"/>
      <c r="AD17"/>
    </row>
    <row r="18" spans="1:30" ht="12.75" customHeight="1">
      <c r="A18" s="121"/>
      <c r="B18" s="121"/>
      <c r="C18" s="121"/>
      <c r="D18" s="121"/>
      <c r="E18" s="121"/>
      <c r="F18" s="121"/>
      <c r="G18" s="121"/>
      <c r="H18" s="121"/>
      <c r="I18" s="121"/>
      <c r="J18" s="121"/>
      <c r="K18" s="121"/>
      <c r="L18" s="121"/>
      <c r="M18" s="121"/>
      <c r="N18"/>
      <c r="O18"/>
      <c r="P18"/>
      <c r="Q18"/>
      <c r="R18"/>
      <c r="S18"/>
      <c r="T18"/>
      <c r="U18"/>
      <c r="V18"/>
      <c r="W18"/>
      <c r="X18"/>
      <c r="Y18"/>
      <c r="Z18"/>
      <c r="AA18"/>
      <c r="AB18"/>
      <c r="AC18"/>
      <c r="AD18"/>
    </row>
    <row r="19" spans="1:30" ht="12.75" customHeight="1">
      <c r="A19" s="121"/>
      <c r="B19" s="121"/>
      <c r="C19" s="121"/>
      <c r="D19" s="121"/>
      <c r="E19" s="121"/>
      <c r="F19" s="121"/>
      <c r="G19" s="121"/>
      <c r="H19" s="121"/>
      <c r="I19" s="121"/>
      <c r="J19" s="121"/>
      <c r="K19" s="121"/>
      <c r="L19" s="121"/>
      <c r="M19" s="121"/>
      <c r="N19"/>
      <c r="O19"/>
      <c r="P19"/>
      <c r="Q19"/>
      <c r="R19"/>
      <c r="S19"/>
      <c r="T19"/>
      <c r="U19"/>
      <c r="V19"/>
      <c r="W19"/>
      <c r="X19"/>
      <c r="Y19"/>
      <c r="Z19"/>
      <c r="AA19"/>
      <c r="AB19"/>
      <c r="AC19"/>
      <c r="AD19"/>
    </row>
    <row r="20" spans="1:30" ht="12.75" customHeight="1">
      <c r="A20" s="121"/>
      <c r="B20" s="121"/>
      <c r="C20" s="121"/>
      <c r="D20" s="121"/>
      <c r="E20" s="121"/>
      <c r="F20" s="121"/>
      <c r="G20" s="121"/>
      <c r="H20" s="121"/>
      <c r="I20" s="121"/>
      <c r="J20" s="121"/>
      <c r="K20" s="121"/>
      <c r="L20" s="121"/>
      <c r="M20" s="121"/>
      <c r="N20"/>
      <c r="O20"/>
      <c r="P20"/>
      <c r="Q20"/>
      <c r="R20"/>
      <c r="S20"/>
      <c r="T20"/>
      <c r="U20"/>
      <c r="V20"/>
      <c r="W20"/>
      <c r="X20"/>
      <c r="Y20"/>
      <c r="Z20"/>
      <c r="AA20"/>
      <c r="AB20"/>
      <c r="AC20"/>
      <c r="AD20"/>
    </row>
    <row r="21" spans="1:30" ht="12.75" customHeight="1">
      <c r="A21" s="121"/>
      <c r="B21" s="121"/>
      <c r="C21" s="121"/>
      <c r="D21" s="121"/>
      <c r="E21" s="121"/>
      <c r="F21" s="121"/>
      <c r="G21" s="121"/>
      <c r="H21" s="121"/>
      <c r="I21" s="121"/>
      <c r="J21" s="121"/>
      <c r="K21" s="121"/>
      <c r="L21" s="121"/>
      <c r="M21" s="121"/>
      <c r="N21"/>
      <c r="O21"/>
      <c r="P21"/>
      <c r="Q21"/>
      <c r="R21"/>
      <c r="S21"/>
      <c r="T21"/>
      <c r="U21"/>
      <c r="V21"/>
      <c r="W21"/>
      <c r="X21"/>
      <c r="Y21"/>
      <c r="Z21"/>
      <c r="AA21"/>
      <c r="AB21"/>
      <c r="AC21"/>
      <c r="AD21"/>
    </row>
    <row r="22" spans="1:30" ht="12.75" customHeight="1">
      <c r="A22" s="121"/>
      <c r="B22" s="121"/>
      <c r="C22" s="121"/>
      <c r="D22" s="121"/>
      <c r="E22" s="121"/>
      <c r="F22" s="121"/>
      <c r="G22" s="121"/>
      <c r="H22" s="121"/>
      <c r="I22" s="121"/>
      <c r="J22" s="121"/>
      <c r="K22" s="121"/>
      <c r="L22" s="121"/>
      <c r="M22" s="121"/>
      <c r="N22"/>
      <c r="O22"/>
      <c r="P22"/>
      <c r="Q22"/>
      <c r="R22"/>
      <c r="S22"/>
      <c r="T22"/>
      <c r="U22"/>
      <c r="V22"/>
      <c r="W22"/>
      <c r="X22"/>
      <c r="Y22"/>
      <c r="Z22"/>
      <c r="AA22"/>
      <c r="AB22"/>
      <c r="AC22"/>
      <c r="AD22"/>
    </row>
    <row r="23" spans="1:30" ht="12.75" customHeight="1">
      <c r="A23" s="121"/>
      <c r="B23" s="121"/>
      <c r="C23" s="121"/>
      <c r="D23" s="121"/>
      <c r="E23" s="121"/>
      <c r="F23" s="121"/>
      <c r="G23" s="121"/>
      <c r="H23" s="121"/>
      <c r="I23" s="121"/>
      <c r="J23" s="121"/>
      <c r="K23" s="121"/>
      <c r="L23" s="121"/>
      <c r="M23" s="121"/>
      <c r="N23"/>
      <c r="O23"/>
      <c r="P23"/>
      <c r="Q23"/>
      <c r="R23"/>
      <c r="S23"/>
      <c r="T23"/>
      <c r="U23"/>
      <c r="V23"/>
      <c r="W23"/>
      <c r="X23"/>
      <c r="Y23"/>
      <c r="Z23"/>
      <c r="AA23"/>
      <c r="AB23"/>
      <c r="AC23"/>
      <c r="AD23"/>
    </row>
    <row r="24" spans="1:30" ht="12.75" customHeight="1">
      <c r="A24" s="121"/>
      <c r="B24" s="121"/>
      <c r="C24" s="121"/>
      <c r="D24" s="121"/>
      <c r="E24" s="121"/>
      <c r="F24" s="121"/>
      <c r="G24" s="121"/>
      <c r="H24" s="121"/>
      <c r="I24" s="121"/>
      <c r="J24" s="121"/>
      <c r="K24" s="121"/>
      <c r="L24" s="121"/>
      <c r="M24" s="121"/>
      <c r="N24"/>
      <c r="O24"/>
      <c r="P24"/>
      <c r="Q24"/>
      <c r="R24"/>
      <c r="S24"/>
      <c r="T24"/>
      <c r="U24"/>
      <c r="V24"/>
      <c r="W24"/>
      <c r="X24"/>
      <c r="Y24"/>
      <c r="Z24"/>
      <c r="AA24"/>
      <c r="AB24"/>
      <c r="AC24"/>
      <c r="AD24"/>
    </row>
    <row r="25" spans="1:30" ht="12.75" customHeight="1">
      <c r="A25" s="121"/>
      <c r="B25" s="121"/>
      <c r="C25" s="121"/>
      <c r="D25" s="121"/>
      <c r="E25" s="121"/>
      <c r="F25" s="121"/>
      <c r="G25" s="121"/>
      <c r="H25" s="121"/>
      <c r="I25" s="121"/>
      <c r="J25" s="121"/>
      <c r="K25" s="121"/>
      <c r="L25" s="121"/>
      <c r="M25" s="121"/>
      <c r="N25"/>
      <c r="O25"/>
      <c r="P25"/>
      <c r="Q25"/>
      <c r="R25"/>
      <c r="S25"/>
      <c r="T25"/>
      <c r="U25"/>
      <c r="V25"/>
      <c r="W25"/>
      <c r="X25"/>
      <c r="Y25"/>
      <c r="Z25"/>
      <c r="AA25"/>
      <c r="AB25"/>
      <c r="AC25"/>
      <c r="AD25"/>
    </row>
    <row r="26" spans="1:30" ht="12.75" customHeight="1">
      <c r="A26" s="121"/>
      <c r="B26" s="891"/>
      <c r="C26" s="891"/>
      <c r="D26" s="891"/>
      <c r="E26" s="891"/>
      <c r="F26" s="891"/>
      <c r="G26" s="891"/>
      <c r="H26" s="891"/>
      <c r="I26" s="891"/>
      <c r="J26" s="891"/>
      <c r="K26" s="891"/>
      <c r="L26" s="121"/>
      <c r="M26" s="121"/>
      <c r="N26"/>
      <c r="O26"/>
      <c r="P26"/>
      <c r="Q26"/>
      <c r="R26"/>
      <c r="S26"/>
      <c r="T26"/>
      <c r="U26"/>
      <c r="V26"/>
      <c r="W26"/>
      <c r="X26"/>
      <c r="Y26"/>
      <c r="Z26"/>
      <c r="AA26"/>
      <c r="AB26"/>
      <c r="AC26"/>
      <c r="AD26"/>
    </row>
    <row r="27" spans="1:30" ht="12.75" customHeight="1">
      <c r="A27" s="121"/>
      <c r="B27" s="114"/>
      <c r="C27" s="114"/>
      <c r="D27" s="114"/>
      <c r="E27" s="114"/>
      <c r="F27" s="114"/>
      <c r="G27" s="114"/>
      <c r="H27" s="114"/>
      <c r="I27" s="114"/>
      <c r="J27" s="114"/>
      <c r="K27" s="114"/>
      <c r="L27" s="114"/>
      <c r="M27" s="121"/>
      <c r="N27"/>
      <c r="O27"/>
      <c r="P27"/>
      <c r="Q27"/>
      <c r="R27"/>
      <c r="S27"/>
      <c r="T27"/>
      <c r="U27"/>
      <c r="V27"/>
      <c r="W27"/>
      <c r="X27"/>
      <c r="Y27"/>
      <c r="Z27"/>
      <c r="AA27"/>
      <c r="AB27"/>
      <c r="AC27"/>
      <c r="AD27"/>
    </row>
    <row r="28" spans="1:30" ht="12.75" customHeight="1">
      <c r="A28" s="121"/>
      <c r="B28" s="114"/>
      <c r="C28" s="114"/>
      <c r="D28" s="114"/>
      <c r="E28" s="114"/>
      <c r="F28" s="114"/>
      <c r="G28" s="114"/>
      <c r="H28" s="114"/>
      <c r="I28" s="114"/>
      <c r="J28" s="114"/>
      <c r="K28" s="114"/>
      <c r="L28" s="114"/>
      <c r="M28" s="121"/>
      <c r="N28"/>
      <c r="O28"/>
      <c r="P28"/>
      <c r="Q28"/>
      <c r="R28"/>
      <c r="S28"/>
      <c r="T28"/>
      <c r="U28"/>
      <c r="V28"/>
      <c r="W28"/>
      <c r="X28"/>
      <c r="Y28"/>
      <c r="Z28"/>
      <c r="AA28"/>
      <c r="AB28"/>
      <c r="AC28"/>
      <c r="AD28"/>
    </row>
    <row r="29" spans="1:30" ht="12.75" customHeight="1">
      <c r="A29" s="121"/>
      <c r="B29" s="121"/>
      <c r="C29" s="121"/>
      <c r="D29" s="121"/>
      <c r="E29" s="121"/>
      <c r="F29" s="121"/>
      <c r="G29" s="121"/>
      <c r="H29" s="121"/>
      <c r="I29" s="121"/>
      <c r="J29" s="121"/>
      <c r="K29" s="121"/>
      <c r="L29" s="121"/>
      <c r="M29" s="121"/>
      <c r="N29"/>
      <c r="O29"/>
      <c r="P29"/>
      <c r="Q29"/>
      <c r="R29"/>
      <c r="S29"/>
      <c r="T29"/>
      <c r="U29"/>
      <c r="V29"/>
      <c r="W29"/>
      <c r="X29"/>
      <c r="Y29"/>
      <c r="Z29"/>
      <c r="AA29"/>
      <c r="AB29"/>
      <c r="AC29"/>
      <c r="AD29"/>
    </row>
    <row r="30" spans="1:30" ht="12.75" customHeight="1">
      <c r="A30" s="121"/>
      <c r="B30" s="121"/>
      <c r="C30" s="121"/>
      <c r="D30" s="121"/>
      <c r="E30" s="121"/>
      <c r="F30" s="121"/>
      <c r="G30" s="121"/>
      <c r="H30" s="121"/>
      <c r="I30" s="121"/>
      <c r="J30" s="121"/>
      <c r="K30" s="121"/>
      <c r="L30" s="121"/>
      <c r="M30" s="121"/>
      <c r="N30"/>
      <c r="O30"/>
      <c r="P30"/>
      <c r="Q30"/>
      <c r="R30"/>
      <c r="S30"/>
      <c r="T30"/>
      <c r="U30"/>
      <c r="V30"/>
      <c r="W30"/>
      <c r="X30"/>
      <c r="Y30"/>
      <c r="Z30"/>
      <c r="AA30"/>
      <c r="AB30"/>
      <c r="AC30"/>
      <c r="AD30"/>
    </row>
    <row r="31" spans="1:30" ht="12.75" customHeight="1">
      <c r="A31" s="121"/>
      <c r="B31" s="121"/>
      <c r="C31" s="121"/>
      <c r="D31" s="121"/>
      <c r="E31" s="121"/>
      <c r="F31" s="121"/>
      <c r="G31" s="121"/>
      <c r="H31" s="121"/>
      <c r="I31" s="121"/>
      <c r="J31" s="121"/>
      <c r="K31" s="121"/>
      <c r="L31" s="121"/>
      <c r="M31" s="121"/>
      <c r="N31"/>
      <c r="O31"/>
      <c r="P31"/>
      <c r="Q31"/>
      <c r="R31"/>
      <c r="S31"/>
      <c r="T31"/>
      <c r="U31"/>
      <c r="V31"/>
      <c r="W31"/>
      <c r="X31"/>
      <c r="Y31"/>
      <c r="Z31"/>
      <c r="AA31"/>
      <c r="AB31"/>
      <c r="AC31"/>
      <c r="AD31"/>
    </row>
    <row r="32" spans="1:30" ht="12.75" customHeight="1">
      <c r="A32" s="121"/>
      <c r="B32" s="121"/>
      <c r="C32" s="121"/>
      <c r="D32" s="121"/>
      <c r="E32" s="121"/>
      <c r="F32" s="121"/>
      <c r="G32" s="121"/>
      <c r="H32" s="121"/>
      <c r="I32" s="121"/>
      <c r="J32" s="121"/>
      <c r="K32" s="121"/>
      <c r="L32" s="121"/>
      <c r="M32" s="121"/>
      <c r="N32"/>
      <c r="O32"/>
      <c r="P32"/>
      <c r="Q32"/>
      <c r="R32"/>
      <c r="S32"/>
      <c r="T32"/>
      <c r="U32"/>
      <c r="V32"/>
      <c r="W32"/>
      <c r="X32"/>
      <c r="Y32"/>
      <c r="Z32"/>
      <c r="AA32"/>
      <c r="AB32"/>
      <c r="AC32"/>
      <c r="AD32"/>
    </row>
    <row r="33" spans="1:30" ht="12.75" customHeight="1">
      <c r="A33" s="121"/>
      <c r="B33" s="121"/>
      <c r="C33" s="121"/>
      <c r="D33" s="121"/>
      <c r="E33" s="121"/>
      <c r="F33" s="121"/>
      <c r="G33" s="121"/>
      <c r="H33" s="121"/>
      <c r="I33" s="121"/>
      <c r="J33" s="121"/>
      <c r="K33" s="121"/>
      <c r="L33" s="121"/>
      <c r="M33" s="121"/>
      <c r="N33"/>
      <c r="O33"/>
      <c r="P33"/>
      <c r="Q33"/>
      <c r="R33"/>
      <c r="S33"/>
      <c r="T33"/>
      <c r="U33"/>
      <c r="V33"/>
      <c r="W33"/>
      <c r="X33"/>
      <c r="Y33"/>
      <c r="Z33"/>
      <c r="AA33"/>
      <c r="AB33"/>
      <c r="AC33"/>
      <c r="AD33"/>
    </row>
    <row r="34" spans="1:30" ht="12.75" customHeight="1">
      <c r="A34" s="121"/>
      <c r="B34" s="121"/>
      <c r="C34" s="121"/>
      <c r="D34" s="121"/>
      <c r="E34" s="121"/>
      <c r="F34" s="121"/>
      <c r="G34" s="121"/>
      <c r="H34" s="121"/>
      <c r="I34" s="121"/>
      <c r="J34" s="121"/>
      <c r="K34" s="121"/>
      <c r="L34" s="121"/>
      <c r="M34" s="121"/>
      <c r="N34"/>
      <c r="O34"/>
      <c r="P34"/>
      <c r="Q34"/>
      <c r="R34"/>
      <c r="S34"/>
      <c r="T34"/>
      <c r="U34"/>
      <c r="V34"/>
      <c r="W34"/>
      <c r="X34"/>
      <c r="Y34"/>
      <c r="Z34"/>
      <c r="AA34"/>
      <c r="AB34"/>
      <c r="AC34"/>
      <c r="AD34"/>
    </row>
    <row r="35" spans="1:30" ht="12.75" customHeight="1">
      <c r="A35" s="121"/>
      <c r="B35" s="121"/>
      <c r="C35" s="121"/>
      <c r="D35" s="121"/>
      <c r="E35" s="121"/>
      <c r="F35" s="121"/>
      <c r="G35" s="121"/>
      <c r="H35" s="121"/>
      <c r="I35" s="121"/>
      <c r="J35" s="121"/>
      <c r="K35" s="121"/>
      <c r="L35" s="121"/>
      <c r="M35" s="121"/>
      <c r="N35"/>
      <c r="O35"/>
      <c r="P35"/>
      <c r="Q35"/>
      <c r="R35"/>
      <c r="S35"/>
      <c r="T35"/>
      <c r="U35"/>
      <c r="V35"/>
      <c r="W35"/>
      <c r="X35"/>
      <c r="Y35"/>
      <c r="Z35"/>
      <c r="AA35"/>
      <c r="AB35"/>
      <c r="AC35"/>
      <c r="AD35"/>
    </row>
    <row r="36" spans="1:30" ht="12.75" customHeight="1">
      <c r="A36" s="121"/>
      <c r="B36" s="121"/>
      <c r="C36" s="121"/>
      <c r="D36" s="121"/>
      <c r="E36" s="121"/>
      <c r="F36" s="121"/>
      <c r="G36" s="121"/>
      <c r="H36" s="121"/>
      <c r="I36" s="121"/>
      <c r="J36" s="121"/>
      <c r="K36" s="121"/>
      <c r="L36" s="121"/>
      <c r="M36" s="121"/>
      <c r="N36"/>
      <c r="O36"/>
      <c r="P36"/>
      <c r="Q36"/>
      <c r="R36"/>
      <c r="S36"/>
      <c r="T36"/>
      <c r="U36"/>
      <c r="V36"/>
      <c r="W36"/>
      <c r="X36"/>
      <c r="Y36"/>
      <c r="Z36"/>
      <c r="AA36"/>
      <c r="AB36"/>
      <c r="AC36"/>
      <c r="AD36"/>
    </row>
    <row r="37" spans="1:30" ht="12.75" customHeight="1">
      <c r="A37" s="121"/>
      <c r="B37" s="121"/>
      <c r="C37" s="121"/>
      <c r="D37" s="121"/>
      <c r="E37" s="121"/>
      <c r="F37" s="121"/>
      <c r="G37" s="121"/>
      <c r="H37" s="121"/>
      <c r="I37" s="121"/>
      <c r="J37" s="121"/>
      <c r="K37" s="121"/>
      <c r="L37" s="121"/>
      <c r="M37" s="121"/>
      <c r="N37"/>
      <c r="O37"/>
      <c r="P37"/>
      <c r="Q37"/>
      <c r="R37"/>
      <c r="S37"/>
      <c r="T37"/>
      <c r="U37"/>
      <c r="V37"/>
      <c r="W37"/>
      <c r="X37"/>
      <c r="Y37"/>
      <c r="Z37"/>
      <c r="AA37"/>
      <c r="AB37"/>
      <c r="AC37"/>
      <c r="AD37"/>
    </row>
    <row r="38" spans="1:30" ht="12.75" customHeight="1">
      <c r="A38" s="121"/>
      <c r="B38" s="121"/>
      <c r="C38" s="121"/>
      <c r="D38" s="121"/>
      <c r="E38" s="121"/>
      <c r="F38" s="121"/>
      <c r="G38" s="121"/>
      <c r="H38" s="121"/>
      <c r="I38" s="121"/>
      <c r="J38" s="121"/>
      <c r="K38" s="121"/>
      <c r="L38" s="121"/>
      <c r="M38" s="121"/>
      <c r="N38"/>
      <c r="O38"/>
      <c r="P38"/>
      <c r="Q38"/>
      <c r="R38"/>
      <c r="S38"/>
      <c r="T38"/>
      <c r="U38"/>
      <c r="V38"/>
      <c r="W38"/>
      <c r="X38"/>
      <c r="Y38"/>
      <c r="Z38"/>
      <c r="AA38"/>
      <c r="AB38"/>
      <c r="AC38"/>
      <c r="AD38"/>
    </row>
    <row r="39" spans="1:30" ht="12.75" customHeight="1">
      <c r="A39" s="121"/>
      <c r="B39" s="121"/>
      <c r="C39" s="121"/>
      <c r="D39" s="121"/>
      <c r="E39" s="121"/>
      <c r="F39" s="121"/>
      <c r="G39" s="121"/>
      <c r="H39" s="121"/>
      <c r="I39" s="121"/>
      <c r="J39" s="121"/>
      <c r="K39" s="121"/>
      <c r="L39" s="121"/>
      <c r="M39" s="121"/>
      <c r="N39"/>
      <c r="O39"/>
      <c r="P39"/>
      <c r="Q39"/>
      <c r="R39"/>
      <c r="S39"/>
      <c r="T39"/>
      <c r="U39"/>
      <c r="V39"/>
      <c r="W39"/>
      <c r="X39"/>
      <c r="Y39"/>
      <c r="Z39"/>
      <c r="AA39"/>
      <c r="AB39"/>
      <c r="AC39"/>
      <c r="AD39"/>
    </row>
    <row r="40" spans="1:30" ht="12.75" customHeight="1">
      <c r="A40" s="121"/>
      <c r="B40" s="121"/>
      <c r="C40" s="121"/>
      <c r="D40" s="121"/>
      <c r="E40" s="121"/>
      <c r="F40" s="121"/>
      <c r="G40" s="121"/>
      <c r="H40" s="121"/>
      <c r="I40" s="121"/>
      <c r="J40" s="121"/>
      <c r="K40" s="121"/>
      <c r="L40" s="121"/>
      <c r="M40" s="121"/>
      <c r="N40"/>
      <c r="O40"/>
      <c r="P40"/>
      <c r="Q40"/>
      <c r="R40"/>
      <c r="S40"/>
      <c r="T40"/>
      <c r="U40"/>
      <c r="V40"/>
      <c r="W40"/>
      <c r="X40"/>
      <c r="Y40"/>
      <c r="Z40"/>
      <c r="AA40"/>
      <c r="AB40"/>
      <c r="AC40"/>
      <c r="AD40"/>
    </row>
    <row r="41" spans="1:30" ht="12.75" customHeight="1">
      <c r="A41" s="121"/>
      <c r="B41" s="121"/>
      <c r="C41" s="121"/>
      <c r="D41" s="121"/>
      <c r="E41" s="121"/>
      <c r="F41" s="121"/>
      <c r="G41" s="121"/>
      <c r="H41" s="121"/>
      <c r="I41" s="121"/>
      <c r="J41" s="121"/>
      <c r="K41" s="121"/>
      <c r="L41" s="121"/>
      <c r="M41" s="121"/>
      <c r="N41"/>
      <c r="O41"/>
      <c r="P41"/>
      <c r="Q41"/>
      <c r="R41"/>
      <c r="S41"/>
      <c r="T41"/>
      <c r="U41"/>
      <c r="V41"/>
      <c r="W41"/>
      <c r="X41"/>
      <c r="Y41"/>
      <c r="Z41"/>
      <c r="AA41"/>
      <c r="AB41"/>
      <c r="AC41"/>
      <c r="AD41"/>
    </row>
    <row r="42" spans="1:30" ht="12.75" customHeight="1">
      <c r="A42" s="121"/>
      <c r="B42" s="121"/>
      <c r="C42" s="121"/>
      <c r="D42" s="121"/>
      <c r="E42" s="121"/>
      <c r="F42" s="121"/>
      <c r="G42" s="121"/>
      <c r="H42" s="121"/>
      <c r="I42" s="121"/>
      <c r="J42" s="121"/>
      <c r="K42" s="121"/>
      <c r="L42" s="121"/>
      <c r="M42" s="121"/>
      <c r="N42"/>
      <c r="O42"/>
      <c r="P42"/>
      <c r="Q42"/>
      <c r="R42"/>
      <c r="S42"/>
      <c r="T42"/>
      <c r="U42"/>
      <c r="V42"/>
      <c r="W42"/>
      <c r="X42"/>
      <c r="Y42"/>
      <c r="Z42"/>
      <c r="AA42"/>
      <c r="AB42"/>
      <c r="AC42"/>
      <c r="AD42"/>
    </row>
    <row r="43" spans="1:30" ht="12.75" customHeight="1">
      <c r="A43" s="121"/>
      <c r="B43" s="121"/>
      <c r="C43" s="121"/>
      <c r="D43" s="121"/>
      <c r="E43" s="121"/>
      <c r="F43" s="121"/>
      <c r="G43" s="121"/>
      <c r="H43" s="121"/>
      <c r="I43" s="121"/>
      <c r="J43" s="121"/>
      <c r="K43" s="121"/>
      <c r="L43" s="121"/>
      <c r="M43" s="121"/>
      <c r="N43"/>
      <c r="O43"/>
      <c r="P43"/>
      <c r="Q43"/>
      <c r="R43"/>
      <c r="S43"/>
      <c r="T43"/>
      <c r="U43"/>
      <c r="V43"/>
      <c r="W43"/>
      <c r="X43"/>
      <c r="Y43"/>
      <c r="Z43"/>
      <c r="AA43"/>
      <c r="AB43"/>
      <c r="AC43"/>
      <c r="AD43"/>
    </row>
    <row r="44" spans="1:30" ht="12.75" customHeight="1">
      <c r="A44" s="121"/>
      <c r="B44" s="121"/>
      <c r="C44" s="121"/>
      <c r="D44" s="121"/>
      <c r="E44" s="121"/>
      <c r="F44" s="121"/>
      <c r="G44" s="121"/>
      <c r="H44" s="121"/>
      <c r="I44" s="121"/>
      <c r="J44" s="121"/>
      <c r="K44" s="121"/>
      <c r="L44" s="121"/>
      <c r="M44" s="121"/>
      <c r="N44"/>
      <c r="O44"/>
      <c r="P44"/>
      <c r="Q44"/>
      <c r="R44"/>
      <c r="S44"/>
      <c r="T44"/>
      <c r="U44"/>
      <c r="V44"/>
      <c r="W44"/>
      <c r="X44"/>
      <c r="Y44"/>
      <c r="Z44"/>
      <c r="AA44"/>
      <c r="AB44"/>
      <c r="AC44"/>
      <c r="AD44"/>
    </row>
    <row r="45" spans="1:30" ht="12.75" customHeight="1">
      <c r="A45" s="121"/>
      <c r="B45" s="121"/>
      <c r="C45" s="121"/>
      <c r="D45" s="121"/>
      <c r="E45" s="121"/>
      <c r="F45" s="121"/>
      <c r="G45" s="121"/>
      <c r="H45" s="121"/>
      <c r="I45" s="121"/>
      <c r="J45" s="121"/>
      <c r="K45" s="121"/>
      <c r="L45" s="121"/>
      <c r="M45" s="121"/>
      <c r="N45"/>
      <c r="O45"/>
      <c r="P45"/>
      <c r="Q45"/>
      <c r="R45"/>
      <c r="S45"/>
      <c r="T45"/>
      <c r="U45"/>
      <c r="V45"/>
      <c r="W45"/>
      <c r="X45"/>
      <c r="Y45"/>
      <c r="Z45"/>
      <c r="AA45"/>
      <c r="AB45"/>
      <c r="AC45"/>
      <c r="AD45"/>
    </row>
    <row r="46" spans="1:30" ht="12.75" customHeight="1">
      <c r="A46" s="121"/>
      <c r="B46" s="121"/>
      <c r="C46" s="121"/>
      <c r="D46" s="121"/>
      <c r="E46" s="121"/>
      <c r="F46" s="121"/>
      <c r="G46" s="121"/>
      <c r="H46" s="121"/>
      <c r="I46" s="121"/>
      <c r="J46" s="121"/>
      <c r="K46" s="121"/>
      <c r="L46" s="121"/>
      <c r="M46" s="121"/>
      <c r="N46"/>
      <c r="O46"/>
      <c r="P46"/>
      <c r="Q46"/>
      <c r="R46"/>
      <c r="S46"/>
      <c r="T46"/>
      <c r="U46"/>
      <c r="V46"/>
      <c r="W46"/>
      <c r="X46"/>
      <c r="Y46"/>
      <c r="Z46"/>
      <c r="AA46"/>
      <c r="AB46"/>
      <c r="AC46"/>
      <c r="AD46"/>
    </row>
    <row r="47" spans="1:30" ht="12.75" customHeight="1">
      <c r="A47" s="121"/>
      <c r="B47" s="121"/>
      <c r="C47" s="121"/>
      <c r="D47" s="121"/>
      <c r="E47" s="121"/>
      <c r="F47" s="121"/>
      <c r="G47" s="121"/>
      <c r="H47" s="121"/>
      <c r="I47" s="121"/>
      <c r="J47" s="121"/>
      <c r="K47" s="121"/>
      <c r="L47" s="121"/>
      <c r="M47" s="121"/>
      <c r="N47"/>
      <c r="O47"/>
      <c r="P47"/>
      <c r="Q47"/>
      <c r="R47"/>
      <c r="S47"/>
      <c r="T47"/>
      <c r="U47"/>
      <c r="V47"/>
      <c r="W47"/>
      <c r="X47"/>
      <c r="Y47"/>
      <c r="Z47"/>
      <c r="AA47"/>
      <c r="AB47"/>
      <c r="AC47"/>
      <c r="AD47"/>
    </row>
    <row r="48" spans="1:30" ht="12.75" customHeight="1">
      <c r="A48" s="121"/>
      <c r="B48" s="121"/>
      <c r="C48" s="121"/>
      <c r="D48" s="121"/>
      <c r="E48" s="121"/>
      <c r="F48" s="121"/>
      <c r="G48" s="121"/>
      <c r="H48" s="121"/>
      <c r="I48" s="121"/>
      <c r="J48" s="121"/>
      <c r="K48" s="121"/>
      <c r="L48" s="121"/>
      <c r="M48" s="121"/>
      <c r="N48"/>
      <c r="O48"/>
      <c r="P48"/>
      <c r="Q48"/>
      <c r="R48"/>
      <c r="S48"/>
      <c r="T48"/>
      <c r="U48"/>
      <c r="V48"/>
      <c r="W48"/>
      <c r="X48"/>
      <c r="Y48"/>
      <c r="Z48"/>
      <c r="AA48"/>
      <c r="AB48"/>
      <c r="AC48"/>
      <c r="AD48"/>
    </row>
    <row r="49" spans="1:30" ht="12.75" customHeight="1">
      <c r="A49" s="121"/>
      <c r="B49" s="121"/>
      <c r="C49" s="121"/>
      <c r="D49" s="121"/>
      <c r="E49" s="121"/>
      <c r="F49" s="121"/>
      <c r="G49" s="121"/>
      <c r="H49" s="121"/>
      <c r="I49" s="121"/>
      <c r="J49" s="121"/>
      <c r="K49" s="121"/>
      <c r="L49" s="121"/>
      <c r="M49" s="121"/>
      <c r="N49"/>
      <c r="O49"/>
      <c r="P49"/>
      <c r="Q49"/>
      <c r="R49"/>
      <c r="S49"/>
      <c r="T49"/>
      <c r="U49"/>
      <c r="V49"/>
      <c r="W49"/>
      <c r="X49"/>
      <c r="Y49"/>
      <c r="Z49"/>
      <c r="AA49"/>
      <c r="AB49"/>
      <c r="AC49"/>
      <c r="AD49"/>
    </row>
    <row r="50" spans="1:30" ht="12.75" customHeight="1">
      <c r="A50" s="121"/>
      <c r="B50" s="121"/>
      <c r="C50" s="121"/>
      <c r="D50" s="121"/>
      <c r="E50" s="121"/>
      <c r="F50" s="121"/>
      <c r="G50" s="121"/>
      <c r="H50" s="121"/>
      <c r="I50" s="121"/>
      <c r="J50" s="121"/>
      <c r="K50" s="121"/>
      <c r="L50" s="121"/>
      <c r="M50" s="121"/>
      <c r="N50"/>
      <c r="O50"/>
      <c r="P50"/>
      <c r="Q50"/>
      <c r="R50"/>
      <c r="S50"/>
      <c r="T50"/>
      <c r="U50"/>
      <c r="V50"/>
      <c r="W50"/>
      <c r="X50"/>
      <c r="Y50"/>
      <c r="Z50"/>
      <c r="AA50"/>
      <c r="AB50"/>
      <c r="AC50"/>
      <c r="AD50"/>
    </row>
    <row r="51" spans="1:30" ht="12.75" customHeight="1">
      <c r="A51" s="121"/>
      <c r="B51" s="121"/>
      <c r="C51" s="121"/>
      <c r="D51" s="121"/>
      <c r="E51" s="121"/>
      <c r="F51" s="121"/>
      <c r="G51" s="121"/>
      <c r="H51" s="121"/>
      <c r="I51" s="121"/>
      <c r="J51" s="121"/>
      <c r="K51" s="121"/>
      <c r="L51" s="121"/>
      <c r="M51" s="121"/>
      <c r="N51"/>
      <c r="O51"/>
      <c r="P51"/>
      <c r="Q51"/>
      <c r="R51"/>
      <c r="S51"/>
      <c r="T51"/>
      <c r="U51"/>
      <c r="V51"/>
      <c r="W51"/>
      <c r="X51"/>
      <c r="Y51"/>
      <c r="Z51"/>
      <c r="AA51"/>
      <c r="AB51"/>
      <c r="AC51"/>
      <c r="AD51"/>
    </row>
    <row r="52" spans="1:30" ht="12.75" customHeight="1">
      <c r="A52" s="121"/>
      <c r="B52" s="121"/>
      <c r="C52" s="121"/>
      <c r="D52" s="121"/>
      <c r="E52" s="121"/>
      <c r="F52" s="121"/>
      <c r="G52" s="121"/>
      <c r="H52" s="121"/>
      <c r="I52" s="121"/>
      <c r="J52" s="121"/>
      <c r="K52" s="121"/>
      <c r="L52" s="121"/>
      <c r="M52" s="121"/>
      <c r="N52"/>
      <c r="O52"/>
      <c r="P52"/>
      <c r="Q52"/>
      <c r="R52"/>
      <c r="S52"/>
      <c r="T52"/>
      <c r="U52"/>
      <c r="V52"/>
      <c r="W52"/>
      <c r="X52"/>
      <c r="Y52"/>
      <c r="Z52"/>
      <c r="AA52"/>
      <c r="AB52"/>
      <c r="AC52"/>
      <c r="AD52"/>
    </row>
    <row r="53" spans="1:30" ht="12.75" customHeight="1">
      <c r="A53" s="121"/>
      <c r="B53" s="121"/>
      <c r="C53" s="121"/>
      <c r="D53" s="121"/>
      <c r="E53" s="121"/>
      <c r="F53" s="121"/>
      <c r="G53" s="121"/>
      <c r="H53" s="121"/>
      <c r="I53" s="121"/>
      <c r="J53" s="121"/>
      <c r="K53" s="121"/>
      <c r="L53" s="121"/>
      <c r="M53" s="121"/>
      <c r="N53"/>
      <c r="O53"/>
      <c r="P53"/>
      <c r="Q53"/>
      <c r="R53"/>
      <c r="S53"/>
      <c r="T53"/>
      <c r="U53"/>
      <c r="V53"/>
      <c r="W53"/>
      <c r="X53"/>
      <c r="Y53"/>
      <c r="Z53"/>
      <c r="AA53"/>
      <c r="AB53"/>
      <c r="AC53"/>
      <c r="AD53"/>
    </row>
    <row r="54" spans="1:30" ht="12.75" customHeight="1">
      <c r="A54" s="121"/>
      <c r="B54" s="121"/>
      <c r="C54" s="121"/>
      <c r="D54" s="121"/>
      <c r="E54" s="121"/>
      <c r="F54" s="121"/>
      <c r="G54" s="121"/>
      <c r="H54" s="121"/>
      <c r="I54" s="121"/>
      <c r="J54" s="121"/>
      <c r="K54" s="121"/>
      <c r="L54" s="121"/>
      <c r="M54" s="121"/>
      <c r="N54"/>
      <c r="O54"/>
      <c r="P54"/>
      <c r="Q54"/>
      <c r="R54"/>
      <c r="S54"/>
      <c r="T54"/>
      <c r="U54"/>
      <c r="V54"/>
      <c r="W54"/>
      <c r="X54"/>
      <c r="Y54"/>
      <c r="Z54"/>
      <c r="AA54"/>
      <c r="AB54"/>
      <c r="AC54"/>
      <c r="AD54"/>
    </row>
    <row r="55" spans="1:30" ht="12.75" customHeight="1">
      <c r="A55" s="121"/>
      <c r="B55" s="121"/>
      <c r="C55" s="121"/>
      <c r="D55" s="121"/>
      <c r="E55" s="121"/>
      <c r="F55" s="121"/>
      <c r="G55" s="121"/>
      <c r="H55" s="121"/>
      <c r="I55" s="121"/>
      <c r="J55" s="121"/>
      <c r="K55" s="121"/>
      <c r="L55" s="121"/>
      <c r="M55" s="121"/>
      <c r="N55"/>
      <c r="O55"/>
      <c r="P55"/>
      <c r="Q55"/>
      <c r="R55"/>
      <c r="S55"/>
      <c r="T55"/>
      <c r="U55"/>
      <c r="V55"/>
      <c r="W55"/>
      <c r="X55"/>
      <c r="Y55"/>
      <c r="Z55"/>
      <c r="AA55"/>
      <c r="AB55"/>
      <c r="AC55"/>
      <c r="AD55"/>
    </row>
    <row r="56" spans="1:30" ht="12.75" customHeight="1">
      <c r="A56" s="121"/>
      <c r="B56" s="121"/>
      <c r="C56" s="121"/>
      <c r="D56" s="121"/>
      <c r="E56" s="121"/>
      <c r="F56" s="121"/>
      <c r="G56" s="121"/>
      <c r="H56" s="121"/>
      <c r="I56" s="121"/>
      <c r="J56" s="121"/>
      <c r="K56" s="121"/>
      <c r="L56" s="121"/>
      <c r="M56" s="121"/>
      <c r="N56"/>
      <c r="O56"/>
      <c r="P56"/>
      <c r="Q56"/>
      <c r="R56"/>
      <c r="S56"/>
      <c r="T56"/>
      <c r="U56"/>
      <c r="V56"/>
      <c r="W56"/>
      <c r="X56"/>
      <c r="Y56"/>
      <c r="Z56"/>
      <c r="AA56"/>
      <c r="AB56"/>
      <c r="AC56"/>
      <c r="AD56"/>
    </row>
    <row r="57" spans="1:30" ht="12.75" customHeight="1">
      <c r="A57" s="121"/>
      <c r="B57" s="121"/>
      <c r="C57" s="121"/>
      <c r="D57" s="121"/>
      <c r="E57" s="121"/>
      <c r="F57" s="121"/>
      <c r="G57" s="121"/>
      <c r="H57" s="121"/>
      <c r="I57" s="121"/>
      <c r="J57" s="121"/>
      <c r="K57" s="121"/>
      <c r="L57" s="121"/>
      <c r="M57" s="121"/>
      <c r="N57"/>
      <c r="O57"/>
      <c r="P57"/>
      <c r="Q57"/>
      <c r="R57"/>
      <c r="S57"/>
      <c r="T57"/>
      <c r="U57"/>
      <c r="V57"/>
      <c r="W57"/>
      <c r="X57"/>
      <c r="Y57"/>
      <c r="Z57"/>
      <c r="AA57"/>
      <c r="AB57"/>
      <c r="AC57"/>
      <c r="AD57"/>
    </row>
    <row r="58" spans="1:30" ht="12.75" customHeight="1">
      <c r="A58" s="121"/>
      <c r="B58" s="121"/>
      <c r="C58" s="121"/>
      <c r="D58" s="121"/>
      <c r="E58" s="121"/>
      <c r="F58" s="121"/>
      <c r="G58" s="121"/>
      <c r="H58" s="121"/>
      <c r="I58" s="121"/>
      <c r="J58" s="121"/>
      <c r="K58" s="121"/>
      <c r="L58" s="121"/>
      <c r="M58" s="121"/>
      <c r="N58"/>
      <c r="O58"/>
      <c r="P58"/>
      <c r="Q58"/>
      <c r="R58"/>
      <c r="S58"/>
      <c r="T58"/>
      <c r="U58"/>
      <c r="V58"/>
      <c r="W58"/>
      <c r="X58"/>
      <c r="Y58"/>
      <c r="Z58"/>
      <c r="AA58"/>
      <c r="AB58"/>
      <c r="AC58"/>
      <c r="AD58"/>
    </row>
    <row r="59" spans="1:30" ht="12.75" customHeight="1">
      <c r="A59" s="121"/>
      <c r="B59" s="121"/>
      <c r="C59" s="121"/>
      <c r="D59" s="121"/>
      <c r="E59" s="121"/>
      <c r="F59" s="121"/>
      <c r="G59" s="121"/>
      <c r="H59" s="121"/>
      <c r="I59" s="121"/>
      <c r="J59" s="121"/>
      <c r="K59" s="121"/>
      <c r="L59" s="121"/>
      <c r="M59" s="121"/>
      <c r="N59"/>
      <c r="O59"/>
      <c r="P59"/>
      <c r="Q59"/>
      <c r="R59"/>
      <c r="S59"/>
      <c r="T59"/>
      <c r="U59"/>
      <c r="V59"/>
      <c r="W59"/>
      <c r="X59"/>
      <c r="Y59"/>
      <c r="Z59"/>
      <c r="AA59"/>
      <c r="AB59"/>
      <c r="AC59"/>
      <c r="AD59"/>
    </row>
    <row r="60" spans="1:30" ht="12.75" customHeight="1">
      <c r="A60" s="121"/>
      <c r="B60" s="121"/>
      <c r="C60" s="121"/>
      <c r="D60" s="121"/>
      <c r="E60" s="121"/>
      <c r="F60" s="121"/>
      <c r="G60" s="121"/>
      <c r="H60" s="121"/>
      <c r="I60" s="121"/>
      <c r="J60" s="121"/>
      <c r="K60" s="121"/>
      <c r="L60" s="121"/>
      <c r="M60" s="121"/>
      <c r="N60"/>
      <c r="O60"/>
      <c r="P60"/>
      <c r="Q60"/>
      <c r="R60"/>
      <c r="S60"/>
      <c r="T60"/>
      <c r="U60"/>
      <c r="V60"/>
      <c r="W60"/>
      <c r="X60"/>
      <c r="Y60"/>
      <c r="Z60"/>
      <c r="AA60"/>
      <c r="AB60"/>
      <c r="AC60"/>
      <c r="AD60"/>
    </row>
    <row r="61" spans="1:30" ht="12.75" customHeight="1">
      <c r="A61" s="121"/>
      <c r="B61" s="121"/>
      <c r="C61" s="121"/>
      <c r="D61" s="121"/>
      <c r="E61" s="121"/>
      <c r="F61" s="121"/>
      <c r="G61" s="121"/>
      <c r="H61" s="121"/>
      <c r="I61" s="121"/>
      <c r="J61" s="121"/>
      <c r="K61" s="121"/>
      <c r="L61" s="121"/>
      <c r="M61" s="121"/>
      <c r="N61"/>
      <c r="O61"/>
      <c r="P61"/>
      <c r="Q61"/>
      <c r="R61"/>
      <c r="S61"/>
      <c r="T61"/>
      <c r="U61"/>
      <c r="V61"/>
      <c r="W61"/>
      <c r="X61"/>
      <c r="Y61"/>
      <c r="Z61"/>
      <c r="AA61"/>
      <c r="AB61"/>
      <c r="AC61"/>
      <c r="AD61"/>
    </row>
    <row r="62" spans="1:30" ht="12.75" customHeight="1">
      <c r="A62" s="121"/>
      <c r="B62" s="121"/>
      <c r="C62" s="121"/>
      <c r="D62" s="121"/>
      <c r="E62" s="121"/>
      <c r="F62" s="121"/>
      <c r="G62" s="121"/>
      <c r="H62" s="121"/>
      <c r="I62" s="121"/>
      <c r="J62" s="121"/>
      <c r="K62" s="121"/>
      <c r="L62" s="121"/>
      <c r="M62" s="121"/>
      <c r="N62"/>
      <c r="O62"/>
      <c r="P62"/>
      <c r="Q62"/>
      <c r="R62"/>
      <c r="S62"/>
      <c r="T62"/>
      <c r="U62"/>
      <c r="V62"/>
      <c r="W62"/>
      <c r="X62"/>
      <c r="Y62"/>
      <c r="Z62"/>
      <c r="AA62"/>
      <c r="AB62"/>
      <c r="AC62"/>
      <c r="AD62"/>
    </row>
    <row r="63" spans="1:30" ht="12.75" customHeight="1">
      <c r="A63" s="121"/>
      <c r="B63" s="121"/>
      <c r="C63" s="121"/>
      <c r="D63" s="121"/>
      <c r="E63" s="121"/>
      <c r="F63" s="121"/>
      <c r="G63" s="121"/>
      <c r="H63" s="121"/>
      <c r="I63" s="121"/>
      <c r="J63" s="121"/>
      <c r="K63" s="121"/>
      <c r="L63" s="121"/>
      <c r="M63" s="121"/>
      <c r="N63"/>
      <c r="O63"/>
      <c r="P63"/>
      <c r="Q63"/>
      <c r="R63"/>
      <c r="S63"/>
      <c r="T63"/>
      <c r="U63"/>
      <c r="V63"/>
      <c r="W63"/>
      <c r="X63"/>
      <c r="Y63"/>
      <c r="Z63"/>
      <c r="AA63"/>
      <c r="AB63"/>
      <c r="AC63"/>
      <c r="AD63"/>
    </row>
    <row r="64" spans="1:30" ht="12.75" customHeight="1">
      <c r="A64" s="121"/>
      <c r="B64" s="121"/>
      <c r="C64" s="121"/>
      <c r="D64" s="121"/>
      <c r="E64" s="121"/>
      <c r="F64" s="121"/>
      <c r="G64" s="121"/>
      <c r="H64" s="121"/>
      <c r="I64" s="121"/>
      <c r="J64" s="121"/>
      <c r="K64" s="121"/>
      <c r="L64" s="121"/>
      <c r="M64" s="121"/>
      <c r="N64"/>
      <c r="O64"/>
      <c r="P64"/>
      <c r="Q64"/>
      <c r="R64"/>
      <c r="S64"/>
      <c r="T64"/>
      <c r="U64"/>
      <c r="V64"/>
      <c r="W64"/>
      <c r="X64"/>
      <c r="Y64"/>
      <c r="Z64"/>
      <c r="AA64"/>
      <c r="AB64"/>
      <c r="AC64"/>
      <c r="AD64"/>
    </row>
    <row r="65" spans="1:34" ht="12.75" customHeight="1">
      <c r="A65" s="121"/>
      <c r="B65" s="121"/>
      <c r="C65" s="121"/>
      <c r="D65" s="121"/>
      <c r="E65" s="121"/>
      <c r="F65" s="121"/>
      <c r="G65" s="121"/>
      <c r="H65" s="121"/>
      <c r="I65" s="121"/>
      <c r="J65" s="121"/>
      <c r="K65" s="121"/>
      <c r="L65" s="121"/>
      <c r="M65" s="121"/>
      <c r="N65"/>
      <c r="O65"/>
      <c r="P65"/>
      <c r="Q65"/>
      <c r="R65"/>
      <c r="S65"/>
      <c r="T65"/>
      <c r="U65"/>
      <c r="V65"/>
      <c r="W65"/>
      <c r="X65"/>
      <c r="Y65"/>
      <c r="Z65"/>
      <c r="AA65"/>
      <c r="AB65"/>
      <c r="AC65"/>
      <c r="AD65"/>
    </row>
    <row r="66" spans="1:34" ht="12.75" customHeight="1">
      <c r="A66" s="121"/>
      <c r="B66" s="121"/>
      <c r="C66" s="121"/>
      <c r="D66" s="121"/>
      <c r="E66" s="121"/>
      <c r="F66" s="121"/>
      <c r="G66" s="121"/>
      <c r="H66" s="121"/>
      <c r="I66" s="121"/>
      <c r="J66" s="121"/>
      <c r="K66" s="121"/>
      <c r="L66" s="121"/>
      <c r="M66" s="121"/>
      <c r="N66"/>
      <c r="O66"/>
      <c r="P66"/>
      <c r="Q66"/>
      <c r="R66"/>
      <c r="S66"/>
      <c r="T66"/>
      <c r="U66"/>
      <c r="V66"/>
      <c r="W66"/>
      <c r="X66"/>
      <c r="Y66"/>
      <c r="Z66"/>
      <c r="AA66"/>
      <c r="AB66"/>
      <c r="AC66"/>
      <c r="AD66"/>
    </row>
    <row r="67" spans="1:34" ht="12.75" customHeight="1">
      <c r="A67" s="121"/>
      <c r="B67" s="121"/>
      <c r="C67" s="121"/>
      <c r="D67" s="121"/>
      <c r="E67" s="121"/>
      <c r="F67" s="121"/>
      <c r="G67" s="121"/>
      <c r="H67" s="121"/>
      <c r="I67" s="121"/>
      <c r="J67" s="121"/>
      <c r="K67" s="121"/>
      <c r="L67" s="121"/>
      <c r="M67" s="121"/>
      <c r="N67"/>
      <c r="O67"/>
      <c r="P67"/>
      <c r="Q67"/>
      <c r="R67"/>
      <c r="S67"/>
      <c r="T67"/>
      <c r="U67"/>
      <c r="V67"/>
      <c r="W67"/>
      <c r="X67"/>
      <c r="Y67"/>
      <c r="Z67"/>
      <c r="AA67"/>
      <c r="AB67"/>
      <c r="AC67"/>
      <c r="AD67"/>
    </row>
    <row r="68" spans="1:34" ht="12.75" customHeight="1">
      <c r="A68" s="121"/>
      <c r="B68" s="121"/>
      <c r="C68" s="121"/>
      <c r="D68" s="121"/>
      <c r="E68" s="121"/>
      <c r="F68" s="121"/>
      <c r="G68" s="121"/>
      <c r="H68" s="121"/>
      <c r="I68" s="121"/>
      <c r="J68" s="121"/>
      <c r="K68" s="121"/>
      <c r="L68" s="121"/>
      <c r="M68" s="121"/>
      <c r="N68"/>
      <c r="O68"/>
      <c r="P68"/>
      <c r="Q68"/>
      <c r="R68"/>
      <c r="S68"/>
      <c r="T68"/>
      <c r="U68"/>
      <c r="V68"/>
      <c r="W68"/>
      <c r="X68"/>
      <c r="Y68"/>
      <c r="Z68"/>
      <c r="AA68"/>
      <c r="AB68"/>
      <c r="AC68"/>
      <c r="AD68"/>
      <c r="AE68" s="23"/>
      <c r="AF68" s="23"/>
      <c r="AG68" s="23"/>
    </row>
    <row r="69" spans="1:34" ht="12.75" customHeight="1">
      <c r="A69" s="121"/>
      <c r="B69" s="121"/>
      <c r="C69" s="121"/>
      <c r="D69" s="121"/>
      <c r="E69" s="121"/>
      <c r="F69" s="121"/>
      <c r="G69" s="121"/>
      <c r="H69" s="121"/>
      <c r="I69" s="121"/>
      <c r="J69" s="121"/>
      <c r="K69" s="121"/>
      <c r="L69" s="121"/>
      <c r="M69" s="121"/>
      <c r="N69"/>
      <c r="O69"/>
      <c r="P69"/>
      <c r="Q69"/>
      <c r="R69"/>
      <c r="S69"/>
      <c r="T69"/>
      <c r="U69"/>
      <c r="V69"/>
      <c r="W69"/>
      <c r="X69"/>
      <c r="Y69"/>
      <c r="Z69"/>
      <c r="AA69"/>
      <c r="AB69"/>
      <c r="AC69"/>
      <c r="AD69"/>
      <c r="AH69" s="17"/>
    </row>
    <row r="70" spans="1:34" ht="12.75" customHeight="1">
      <c r="A70" s="121"/>
      <c r="B70" s="121"/>
      <c r="C70" s="121"/>
      <c r="D70" s="121"/>
      <c r="E70" s="121"/>
      <c r="F70" s="121"/>
      <c r="G70" s="121"/>
      <c r="H70" s="121"/>
      <c r="I70" s="121"/>
      <c r="J70" s="121"/>
      <c r="K70" s="121"/>
      <c r="L70" s="121"/>
      <c r="M70" s="121"/>
      <c r="N70"/>
      <c r="O70"/>
      <c r="P70"/>
      <c r="Q70"/>
      <c r="R70"/>
      <c r="S70"/>
      <c r="T70"/>
      <c r="U70"/>
      <c r="V70"/>
      <c r="W70"/>
      <c r="X70"/>
      <c r="Y70"/>
      <c r="Z70"/>
      <c r="AA70"/>
      <c r="AB70"/>
      <c r="AC70"/>
      <c r="AD70"/>
      <c r="AH70" s="17"/>
    </row>
    <row r="71" spans="1:34" ht="12.75" customHeight="1">
      <c r="A71" s="121"/>
      <c r="B71" s="121"/>
      <c r="C71" s="121"/>
      <c r="D71" s="121"/>
      <c r="E71" s="121"/>
      <c r="F71" s="121"/>
      <c r="G71" s="121"/>
      <c r="H71" s="121"/>
      <c r="I71" s="121"/>
      <c r="J71" s="121"/>
      <c r="K71" s="121"/>
      <c r="L71" s="121"/>
      <c r="M71" s="121"/>
      <c r="N71"/>
      <c r="O71"/>
      <c r="P71"/>
      <c r="Q71"/>
      <c r="R71"/>
      <c r="S71"/>
      <c r="T71"/>
      <c r="U71"/>
      <c r="V71"/>
      <c r="W71"/>
      <c r="X71"/>
      <c r="Y71"/>
      <c r="Z71"/>
      <c r="AA71"/>
      <c r="AB71"/>
      <c r="AC71"/>
      <c r="AD71"/>
      <c r="AH71" s="17"/>
    </row>
    <row r="72" spans="1:34" ht="12.75" customHeight="1">
      <c r="A72" s="121"/>
      <c r="B72" s="121"/>
      <c r="C72" s="121"/>
      <c r="D72" s="121"/>
      <c r="E72" s="121"/>
      <c r="F72" s="121"/>
      <c r="G72" s="121"/>
      <c r="H72" s="121"/>
      <c r="I72" s="121"/>
      <c r="J72" s="121"/>
      <c r="K72" s="121"/>
      <c r="L72" s="121"/>
      <c r="M72" s="121"/>
      <c r="N72"/>
      <c r="O72"/>
      <c r="P72"/>
      <c r="Q72"/>
      <c r="R72"/>
      <c r="S72"/>
      <c r="T72"/>
      <c r="U72"/>
      <c r="V72"/>
      <c r="W72"/>
      <c r="X72"/>
      <c r="Y72"/>
      <c r="Z72"/>
      <c r="AA72"/>
      <c r="AB72"/>
      <c r="AC72"/>
      <c r="AD72"/>
      <c r="AH72" s="32"/>
    </row>
    <row r="73" spans="1:34" ht="12.75" customHeight="1">
      <c r="A73" s="121"/>
      <c r="B73" s="121"/>
      <c r="C73" s="121"/>
      <c r="D73" s="121"/>
      <c r="E73" s="121"/>
      <c r="F73" s="121"/>
      <c r="G73" s="121"/>
      <c r="H73" s="121"/>
      <c r="I73" s="121"/>
      <c r="J73" s="121"/>
      <c r="K73" s="121"/>
      <c r="L73" s="121"/>
      <c r="M73" s="121"/>
      <c r="N73"/>
      <c r="O73"/>
      <c r="P73"/>
      <c r="Q73"/>
      <c r="R73"/>
      <c r="S73"/>
      <c r="T73"/>
      <c r="U73"/>
      <c r="V73"/>
      <c r="W73"/>
      <c r="X73"/>
      <c r="Y73"/>
      <c r="Z73"/>
      <c r="AA73"/>
      <c r="AB73"/>
      <c r="AC73"/>
      <c r="AD73"/>
      <c r="AH73" s="32"/>
    </row>
    <row r="74" spans="1:34" ht="12.75" customHeight="1">
      <c r="A74" s="121"/>
      <c r="B74" s="121"/>
      <c r="C74" s="121"/>
      <c r="D74" s="121"/>
      <c r="E74" s="121"/>
      <c r="F74" s="121"/>
      <c r="G74" s="121"/>
      <c r="H74" s="121"/>
      <c r="I74" s="121"/>
      <c r="J74" s="121"/>
      <c r="K74" s="121"/>
      <c r="L74" s="121"/>
      <c r="M74" s="121"/>
      <c r="N74"/>
      <c r="O74"/>
      <c r="P74"/>
      <c r="Q74"/>
      <c r="R74"/>
      <c r="S74"/>
      <c r="T74"/>
      <c r="U74"/>
      <c r="V74"/>
      <c r="W74"/>
      <c r="X74"/>
      <c r="Y74"/>
      <c r="Z74"/>
      <c r="AA74"/>
      <c r="AB74"/>
      <c r="AC74"/>
      <c r="AD74"/>
      <c r="AH74" s="17"/>
    </row>
    <row r="75" spans="1:34" ht="12.75" customHeight="1">
      <c r="A75" s="121"/>
      <c r="B75" s="121"/>
      <c r="C75" s="121"/>
      <c r="D75" s="121"/>
      <c r="E75" s="121"/>
      <c r="F75" s="121"/>
      <c r="G75" s="121"/>
      <c r="H75" s="121"/>
      <c r="I75" s="121"/>
      <c r="J75" s="121"/>
      <c r="K75" s="121"/>
      <c r="L75" s="121"/>
      <c r="M75" s="121"/>
      <c r="N75"/>
      <c r="O75"/>
      <c r="P75"/>
      <c r="Q75"/>
      <c r="R75"/>
      <c r="S75"/>
      <c r="T75"/>
      <c r="U75"/>
      <c r="V75"/>
      <c r="W75"/>
      <c r="X75"/>
      <c r="Y75"/>
      <c r="Z75"/>
      <c r="AA75"/>
      <c r="AB75"/>
      <c r="AC75"/>
      <c r="AD75"/>
      <c r="AH75" s="17"/>
    </row>
    <row r="76" spans="1:34" ht="12.75" customHeight="1">
      <c r="A76" s="121"/>
      <c r="B76" s="121"/>
      <c r="C76" s="121"/>
      <c r="D76" s="121"/>
      <c r="E76" s="121"/>
      <c r="F76" s="121"/>
      <c r="G76" s="121"/>
      <c r="H76" s="121"/>
      <c r="I76" s="121"/>
      <c r="J76" s="121"/>
      <c r="K76" s="121"/>
      <c r="L76" s="121"/>
      <c r="M76" s="121"/>
      <c r="N76"/>
      <c r="O76"/>
      <c r="P76"/>
      <c r="Q76"/>
      <c r="R76"/>
      <c r="S76"/>
      <c r="T76"/>
      <c r="U76"/>
      <c r="V76"/>
      <c r="W76"/>
      <c r="X76"/>
      <c r="Y76"/>
      <c r="Z76"/>
      <c r="AA76"/>
      <c r="AB76"/>
      <c r="AC76"/>
      <c r="AD76"/>
      <c r="AH76" s="17"/>
    </row>
    <row r="77" spans="1:34" ht="12.75" customHeight="1">
      <c r="A77" s="121"/>
      <c r="B77" s="121"/>
      <c r="C77" s="121"/>
      <c r="D77" s="121"/>
      <c r="E77" s="121"/>
      <c r="F77" s="121"/>
      <c r="G77" s="121"/>
      <c r="H77" s="121"/>
      <c r="I77" s="121"/>
      <c r="J77" s="121"/>
      <c r="K77" s="121"/>
      <c r="L77" s="121"/>
      <c r="M77" s="121"/>
      <c r="N77"/>
      <c r="O77"/>
      <c r="P77"/>
      <c r="Q77"/>
      <c r="R77"/>
      <c r="S77"/>
      <c r="T77"/>
      <c r="U77"/>
      <c r="V77"/>
      <c r="W77"/>
      <c r="X77"/>
      <c r="Y77"/>
      <c r="Z77"/>
      <c r="AA77"/>
      <c r="AB77"/>
      <c r="AC77"/>
      <c r="AD77"/>
      <c r="AH77" s="17"/>
    </row>
    <row r="78" spans="1:34" ht="12.75" customHeight="1">
      <c r="A78" s="121"/>
      <c r="B78" s="121"/>
      <c r="C78" s="121"/>
      <c r="D78" s="121"/>
      <c r="E78" s="121"/>
      <c r="F78" s="121"/>
      <c r="G78" s="121"/>
      <c r="H78" s="121"/>
      <c r="I78" s="121"/>
      <c r="J78" s="121"/>
      <c r="K78" s="121"/>
      <c r="L78" s="121"/>
      <c r="M78" s="121"/>
      <c r="N78"/>
      <c r="O78"/>
      <c r="P78"/>
      <c r="Q78"/>
      <c r="R78"/>
      <c r="S78"/>
      <c r="T78"/>
      <c r="U78"/>
      <c r="V78"/>
      <c r="W78"/>
      <c r="X78"/>
      <c r="Y78"/>
      <c r="Z78"/>
      <c r="AA78"/>
      <c r="AB78"/>
      <c r="AC78"/>
      <c r="AD78"/>
      <c r="AH78" s="17"/>
    </row>
    <row r="79" spans="1:34" ht="12.75" customHeight="1">
      <c r="A79" s="121"/>
      <c r="B79" s="121"/>
      <c r="C79" s="121"/>
      <c r="D79" s="121"/>
      <c r="E79" s="121"/>
      <c r="F79" s="121"/>
      <c r="G79" s="121"/>
      <c r="H79" s="121"/>
      <c r="I79" s="121"/>
      <c r="J79" s="121"/>
      <c r="K79" s="121"/>
      <c r="L79" s="121"/>
      <c r="M79" s="121"/>
      <c r="N79"/>
      <c r="O79"/>
      <c r="P79"/>
      <c r="Q79"/>
      <c r="R79"/>
      <c r="S79"/>
      <c r="T79"/>
      <c r="U79"/>
      <c r="V79"/>
      <c r="W79"/>
      <c r="X79"/>
      <c r="Y79"/>
      <c r="Z79"/>
      <c r="AA79"/>
      <c r="AB79"/>
      <c r="AC79"/>
      <c r="AD79"/>
      <c r="AH79" s="17"/>
    </row>
    <row r="80" spans="1:34" ht="12.75" customHeight="1">
      <c r="A80" s="121"/>
      <c r="B80" s="121"/>
      <c r="C80" s="121"/>
      <c r="D80" s="121"/>
      <c r="E80" s="121"/>
      <c r="F80" s="121"/>
      <c r="G80" s="121"/>
      <c r="H80" s="121"/>
      <c r="I80" s="121"/>
      <c r="J80" s="121"/>
      <c r="K80" s="121"/>
      <c r="L80" s="121"/>
      <c r="M80" s="121"/>
      <c r="N80"/>
      <c r="O80"/>
      <c r="P80"/>
      <c r="Q80"/>
      <c r="R80"/>
      <c r="S80"/>
      <c r="T80"/>
      <c r="U80"/>
      <c r="V80"/>
      <c r="W80"/>
      <c r="X80"/>
      <c r="Y80"/>
      <c r="Z80"/>
      <c r="AA80"/>
      <c r="AB80"/>
      <c r="AC80"/>
      <c r="AD80"/>
      <c r="AH80" s="17"/>
    </row>
    <row r="81" spans="1:34" ht="12.75" customHeight="1">
      <c r="A81" s="121"/>
      <c r="B81" s="121"/>
      <c r="C81" s="121"/>
      <c r="D81" s="121"/>
      <c r="E81" s="121"/>
      <c r="F81" s="121"/>
      <c r="G81" s="121"/>
      <c r="H81" s="121"/>
      <c r="I81" s="121"/>
      <c r="J81" s="121"/>
      <c r="K81" s="121"/>
      <c r="L81" s="121"/>
      <c r="M81" s="121"/>
      <c r="N81"/>
      <c r="O81"/>
      <c r="P81"/>
      <c r="Q81"/>
      <c r="R81"/>
      <c r="S81"/>
      <c r="T81"/>
      <c r="U81"/>
      <c r="V81"/>
      <c r="W81"/>
      <c r="X81"/>
      <c r="Y81"/>
      <c r="Z81"/>
      <c r="AA81"/>
      <c r="AB81"/>
      <c r="AC81"/>
      <c r="AD81"/>
      <c r="AH81" s="43"/>
    </row>
    <row r="82" spans="1:34" ht="12.75" customHeight="1">
      <c r="A82" s="121"/>
      <c r="B82" s="121"/>
      <c r="C82" s="121"/>
      <c r="D82" s="121"/>
      <c r="E82" s="121"/>
      <c r="F82" s="121"/>
      <c r="G82" s="121"/>
      <c r="H82" s="121"/>
      <c r="I82" s="121"/>
      <c r="J82" s="121"/>
      <c r="K82" s="121"/>
      <c r="L82" s="121"/>
      <c r="M82" s="121"/>
      <c r="N82"/>
      <c r="O82"/>
      <c r="P82"/>
      <c r="Q82"/>
      <c r="R82"/>
      <c r="S82"/>
      <c r="T82"/>
      <c r="U82"/>
      <c r="V82"/>
      <c r="W82"/>
      <c r="X82"/>
      <c r="Y82"/>
      <c r="Z82"/>
      <c r="AA82"/>
      <c r="AB82"/>
      <c r="AC82"/>
      <c r="AD82"/>
    </row>
    <row r="83" spans="1:34" ht="12.75" customHeight="1">
      <c r="A83" s="121"/>
      <c r="B83" s="121"/>
      <c r="C83" s="121"/>
      <c r="D83" s="121"/>
      <c r="E83" s="121"/>
      <c r="F83" s="121"/>
      <c r="G83" s="121"/>
      <c r="H83" s="121"/>
      <c r="I83" s="121"/>
      <c r="J83" s="121"/>
      <c r="K83" s="121"/>
      <c r="L83" s="121"/>
      <c r="M83" s="121"/>
      <c r="N83"/>
      <c r="O83"/>
      <c r="P83"/>
      <c r="Q83"/>
      <c r="R83"/>
      <c r="S83"/>
      <c r="T83"/>
      <c r="U83"/>
      <c r="V83"/>
      <c r="W83"/>
      <c r="X83"/>
      <c r="Y83"/>
      <c r="Z83"/>
      <c r="AA83"/>
      <c r="AB83"/>
      <c r="AC83"/>
      <c r="AD83"/>
    </row>
    <row r="84" spans="1:34" ht="12.75" customHeight="1">
      <c r="A84" s="121"/>
      <c r="B84" s="121"/>
      <c r="C84" s="121"/>
      <c r="D84" s="121"/>
      <c r="E84" s="121"/>
      <c r="F84" s="121"/>
      <c r="G84" s="121"/>
      <c r="H84" s="121"/>
      <c r="I84" s="121"/>
      <c r="J84" s="121"/>
      <c r="K84" s="121"/>
      <c r="L84" s="121"/>
      <c r="M84" s="121"/>
      <c r="N84"/>
      <c r="O84"/>
      <c r="P84"/>
      <c r="Q84"/>
      <c r="R84"/>
      <c r="S84"/>
      <c r="T84"/>
      <c r="U84"/>
      <c r="V84"/>
      <c r="W84"/>
      <c r="X84"/>
      <c r="Y84"/>
      <c r="Z84"/>
      <c r="AA84"/>
      <c r="AB84"/>
      <c r="AC84"/>
      <c r="AD84"/>
    </row>
    <row r="85" spans="1:34" ht="12.75" customHeight="1">
      <c r="A85" s="121"/>
      <c r="B85" s="121"/>
      <c r="C85" s="121"/>
      <c r="D85" s="121"/>
      <c r="E85" s="121"/>
      <c r="F85" s="121"/>
      <c r="G85" s="121"/>
      <c r="H85" s="121"/>
      <c r="I85" s="121"/>
      <c r="J85" s="121"/>
      <c r="K85" s="121"/>
      <c r="L85" s="121"/>
      <c r="M85" s="121"/>
      <c r="N85"/>
      <c r="O85"/>
      <c r="P85"/>
      <c r="Q85"/>
      <c r="R85"/>
      <c r="S85"/>
      <c r="T85"/>
      <c r="U85"/>
      <c r="V85"/>
      <c r="W85"/>
      <c r="X85"/>
      <c r="Y85"/>
      <c r="Z85"/>
      <c r="AA85"/>
      <c r="AB85"/>
      <c r="AC85"/>
      <c r="AD85"/>
    </row>
    <row r="86" spans="1:34" ht="12.75" customHeight="1">
      <c r="A86" s="121"/>
      <c r="B86" s="121"/>
      <c r="C86" s="121"/>
      <c r="D86" s="121"/>
      <c r="E86" s="121"/>
      <c r="F86" s="121"/>
      <c r="G86" s="121"/>
      <c r="H86" s="121"/>
      <c r="I86" s="121"/>
      <c r="J86" s="121"/>
      <c r="K86" s="121"/>
      <c r="L86" s="121"/>
      <c r="M86" s="121"/>
      <c r="N86"/>
      <c r="O86"/>
      <c r="P86"/>
      <c r="Q86"/>
      <c r="R86"/>
      <c r="S86"/>
      <c r="T86"/>
      <c r="U86"/>
      <c r="V86"/>
      <c r="W86"/>
      <c r="X86"/>
      <c r="Y86"/>
      <c r="Z86"/>
      <c r="AA86"/>
      <c r="AB86"/>
      <c r="AC86"/>
      <c r="AD86"/>
    </row>
    <row r="87" spans="1:34" ht="12.75" customHeight="1">
      <c r="A87" s="121"/>
      <c r="B87" s="121"/>
      <c r="C87" s="121"/>
      <c r="D87" s="121"/>
      <c r="E87" s="121"/>
      <c r="F87" s="121"/>
      <c r="G87" s="121"/>
      <c r="H87" s="121"/>
      <c r="I87" s="121"/>
      <c r="J87" s="121"/>
      <c r="K87" s="121"/>
      <c r="L87" s="121"/>
      <c r="M87" s="121"/>
      <c r="N87"/>
      <c r="O87"/>
      <c r="P87"/>
      <c r="Q87"/>
      <c r="R87"/>
      <c r="S87"/>
      <c r="T87"/>
      <c r="U87"/>
      <c r="V87"/>
      <c r="W87"/>
      <c r="X87"/>
      <c r="Y87"/>
      <c r="Z87"/>
      <c r="AA87"/>
      <c r="AB87"/>
      <c r="AC87"/>
      <c r="AD87"/>
    </row>
    <row r="88" spans="1:34" ht="12.75" customHeight="1">
      <c r="A88" s="121"/>
      <c r="B88" s="121"/>
      <c r="C88" s="121"/>
      <c r="D88" s="121"/>
      <c r="E88" s="121"/>
      <c r="F88" s="121"/>
      <c r="G88" s="121"/>
      <c r="H88" s="121"/>
      <c r="I88" s="121"/>
      <c r="J88" s="121"/>
      <c r="K88" s="121"/>
      <c r="L88" s="121"/>
      <c r="M88" s="121"/>
      <c r="N88"/>
      <c r="O88"/>
      <c r="P88"/>
      <c r="Q88"/>
      <c r="R88"/>
      <c r="S88"/>
      <c r="T88"/>
      <c r="U88"/>
      <c r="V88"/>
      <c r="W88"/>
      <c r="X88"/>
      <c r="Y88"/>
      <c r="Z88"/>
      <c r="AA88"/>
      <c r="AB88"/>
      <c r="AC88"/>
      <c r="AD88"/>
    </row>
    <row r="89" spans="1:34" ht="12.75" customHeight="1">
      <c r="A89" s="121"/>
      <c r="B89" s="121"/>
      <c r="C89" s="121"/>
      <c r="D89" s="121"/>
      <c r="E89" s="121"/>
      <c r="F89" s="121"/>
      <c r="G89" s="121"/>
      <c r="H89" s="121"/>
      <c r="I89" s="121"/>
      <c r="J89" s="121"/>
      <c r="K89" s="121"/>
      <c r="L89" s="121"/>
      <c r="M89" s="121"/>
      <c r="N89"/>
      <c r="O89"/>
      <c r="P89"/>
      <c r="Q89"/>
      <c r="R89"/>
      <c r="S89"/>
      <c r="T89"/>
      <c r="U89"/>
      <c r="V89"/>
      <c r="W89"/>
      <c r="X89"/>
      <c r="Y89"/>
      <c r="Z89"/>
      <c r="AA89"/>
      <c r="AB89"/>
      <c r="AC89"/>
      <c r="AD89"/>
    </row>
    <row r="90" spans="1:34" ht="12.75" customHeight="1">
      <c r="A90" s="121"/>
      <c r="B90" s="121"/>
      <c r="C90" s="121"/>
      <c r="D90" s="121"/>
      <c r="E90" s="121"/>
      <c r="F90" s="121"/>
      <c r="G90" s="121"/>
      <c r="H90" s="121"/>
      <c r="I90" s="121"/>
      <c r="J90" s="121"/>
      <c r="K90" s="121"/>
      <c r="L90" s="121"/>
      <c r="M90" s="121"/>
      <c r="N90"/>
      <c r="O90"/>
      <c r="P90"/>
      <c r="Q90"/>
      <c r="R90"/>
      <c r="S90"/>
      <c r="T90"/>
      <c r="U90"/>
      <c r="V90"/>
      <c r="W90"/>
      <c r="X90"/>
      <c r="Y90"/>
      <c r="Z90"/>
      <c r="AA90"/>
      <c r="AB90"/>
      <c r="AC90"/>
      <c r="AD90"/>
    </row>
    <row r="91" spans="1:34" ht="12.75" customHeight="1">
      <c r="A91" s="121"/>
      <c r="B91" s="121"/>
      <c r="C91" s="121"/>
      <c r="D91" s="121"/>
      <c r="E91" s="121"/>
      <c r="F91" s="121"/>
      <c r="G91" s="121"/>
      <c r="H91" s="121"/>
      <c r="I91" s="121"/>
      <c r="J91" s="121"/>
      <c r="K91" s="121"/>
      <c r="L91" s="121"/>
      <c r="M91" s="121"/>
      <c r="N91"/>
      <c r="O91"/>
      <c r="P91"/>
      <c r="Q91"/>
      <c r="R91"/>
      <c r="S91"/>
      <c r="T91"/>
      <c r="U91"/>
      <c r="V91"/>
      <c r="W91"/>
      <c r="X91"/>
      <c r="Y91"/>
      <c r="Z91"/>
      <c r="AA91"/>
      <c r="AB91"/>
      <c r="AC91"/>
      <c r="AD91"/>
    </row>
    <row r="92" spans="1:34" ht="12.75" customHeight="1">
      <c r="A92" s="121"/>
      <c r="B92" s="121"/>
      <c r="C92" s="121"/>
      <c r="D92" s="121"/>
      <c r="E92" s="121"/>
      <c r="F92" s="121"/>
      <c r="G92" s="121"/>
      <c r="H92" s="121"/>
      <c r="I92" s="121"/>
      <c r="J92" s="121"/>
      <c r="K92" s="121"/>
      <c r="L92" s="121"/>
      <c r="M92" s="121"/>
      <c r="N92"/>
      <c r="O92"/>
      <c r="P92"/>
      <c r="Q92"/>
      <c r="R92"/>
      <c r="S92"/>
      <c r="T92"/>
      <c r="U92"/>
      <c r="V92"/>
      <c r="W92"/>
      <c r="X92"/>
      <c r="Y92"/>
      <c r="Z92"/>
      <c r="AA92"/>
      <c r="AB92"/>
      <c r="AC92"/>
      <c r="AD92"/>
    </row>
    <row r="93" spans="1:34" ht="12.75" customHeight="1">
      <c r="A93" s="121"/>
      <c r="B93" s="121"/>
      <c r="C93" s="121"/>
      <c r="D93" s="121"/>
      <c r="E93" s="121"/>
      <c r="F93" s="121"/>
      <c r="G93" s="121"/>
      <c r="H93" s="121"/>
      <c r="I93" s="121"/>
      <c r="J93" s="121"/>
      <c r="K93" s="121"/>
      <c r="L93" s="121"/>
      <c r="M93" s="121"/>
      <c r="N93"/>
      <c r="O93"/>
      <c r="P93"/>
      <c r="Q93"/>
      <c r="R93"/>
      <c r="S93"/>
      <c r="T93"/>
      <c r="U93"/>
      <c r="V93"/>
      <c r="W93"/>
      <c r="X93"/>
      <c r="Y93"/>
      <c r="Z93"/>
      <c r="AA93"/>
      <c r="AB93"/>
      <c r="AC93"/>
      <c r="AD93"/>
    </row>
    <row r="94" spans="1:34" ht="12.75" customHeight="1">
      <c r="A94" s="121"/>
      <c r="B94" s="121"/>
      <c r="C94" s="121"/>
      <c r="D94" s="121"/>
      <c r="E94" s="121"/>
      <c r="F94" s="121"/>
      <c r="G94" s="121"/>
      <c r="H94" s="121"/>
      <c r="I94" s="121"/>
      <c r="J94" s="121"/>
      <c r="K94" s="121"/>
      <c r="L94" s="121"/>
      <c r="M94" s="121"/>
      <c r="N94"/>
      <c r="O94"/>
      <c r="P94"/>
      <c r="Q94"/>
      <c r="R94"/>
      <c r="S94"/>
      <c r="T94"/>
      <c r="U94"/>
      <c r="V94"/>
      <c r="W94"/>
      <c r="X94"/>
      <c r="Y94"/>
      <c r="Z94"/>
      <c r="AA94"/>
      <c r="AB94"/>
      <c r="AC94"/>
      <c r="AD94"/>
    </row>
    <row r="95" spans="1:34" ht="12.75" customHeight="1">
      <c r="A95" s="121"/>
      <c r="B95" s="121"/>
      <c r="C95" s="121"/>
      <c r="D95" s="121"/>
      <c r="E95" s="121"/>
      <c r="F95" s="121"/>
      <c r="G95" s="121"/>
      <c r="H95" s="121"/>
      <c r="I95" s="121"/>
      <c r="J95" s="121"/>
      <c r="K95" s="121"/>
      <c r="L95" s="121"/>
      <c r="M95" s="121"/>
      <c r="N95"/>
      <c r="O95"/>
      <c r="P95"/>
      <c r="Q95"/>
      <c r="R95"/>
      <c r="S95"/>
      <c r="T95"/>
      <c r="U95"/>
      <c r="V95"/>
      <c r="W95"/>
      <c r="X95"/>
      <c r="Y95"/>
      <c r="Z95"/>
      <c r="AA95"/>
      <c r="AB95"/>
      <c r="AC95"/>
      <c r="AD95"/>
    </row>
    <row r="96" spans="1:34" ht="12.75" customHeight="1">
      <c r="A96" s="121"/>
      <c r="B96" s="121"/>
      <c r="C96" s="121"/>
      <c r="D96" s="121"/>
      <c r="E96" s="121"/>
      <c r="F96" s="121"/>
      <c r="G96" s="121"/>
      <c r="H96" s="121"/>
      <c r="I96" s="121"/>
      <c r="J96" s="121"/>
      <c r="K96" s="121"/>
      <c r="L96" s="121"/>
      <c r="M96" s="121"/>
      <c r="N96"/>
      <c r="O96"/>
      <c r="P96"/>
      <c r="Q96"/>
      <c r="R96"/>
      <c r="S96"/>
      <c r="T96"/>
      <c r="U96"/>
      <c r="V96"/>
      <c r="W96"/>
      <c r="X96"/>
      <c r="Y96"/>
      <c r="Z96"/>
      <c r="AA96"/>
      <c r="AB96"/>
      <c r="AC96"/>
      <c r="AD96"/>
    </row>
    <row r="97" spans="1:30" ht="12.75" customHeight="1">
      <c r="A97" s="121"/>
      <c r="B97" s="121"/>
      <c r="C97" s="121"/>
      <c r="D97" s="121"/>
      <c r="E97" s="121"/>
      <c r="F97" s="121"/>
      <c r="G97" s="121"/>
      <c r="H97" s="121"/>
      <c r="I97" s="121"/>
      <c r="J97" s="121"/>
      <c r="K97" s="121"/>
      <c r="L97" s="121"/>
      <c r="M97" s="121"/>
      <c r="N97"/>
      <c r="O97"/>
      <c r="P97"/>
      <c r="Q97"/>
      <c r="R97"/>
      <c r="S97"/>
      <c r="T97"/>
      <c r="U97"/>
      <c r="V97"/>
      <c r="W97"/>
      <c r="X97"/>
      <c r="Y97"/>
      <c r="Z97"/>
      <c r="AA97"/>
      <c r="AB97"/>
      <c r="AC97"/>
      <c r="AD97"/>
    </row>
    <row r="98" spans="1:30" ht="12.75" customHeight="1">
      <c r="A98" s="121"/>
      <c r="B98" s="121"/>
      <c r="C98" s="121"/>
      <c r="D98" s="121"/>
      <c r="E98" s="121"/>
      <c r="F98" s="121"/>
      <c r="G98" s="121"/>
      <c r="H98" s="121"/>
      <c r="I98" s="121"/>
      <c r="J98" s="121"/>
      <c r="K98" s="121"/>
      <c r="L98" s="121"/>
      <c r="M98" s="121"/>
      <c r="N98"/>
      <c r="O98"/>
      <c r="P98"/>
      <c r="Q98"/>
      <c r="R98"/>
      <c r="S98"/>
      <c r="T98"/>
      <c r="U98"/>
      <c r="V98"/>
      <c r="W98"/>
      <c r="X98"/>
      <c r="Y98"/>
      <c r="Z98"/>
      <c r="AA98"/>
      <c r="AB98"/>
      <c r="AC98"/>
      <c r="AD98"/>
    </row>
    <row r="99" spans="1:30" ht="12.75" customHeight="1">
      <c r="A99" s="121"/>
      <c r="B99" s="121"/>
      <c r="C99" s="121"/>
      <c r="D99" s="121"/>
      <c r="E99" s="121"/>
      <c r="F99" s="121"/>
      <c r="G99" s="121"/>
      <c r="H99" s="121"/>
      <c r="I99" s="121"/>
      <c r="J99" s="121"/>
      <c r="K99" s="121"/>
      <c r="L99" s="121"/>
      <c r="M99" s="121"/>
      <c r="N99"/>
      <c r="O99"/>
      <c r="P99"/>
      <c r="Q99"/>
      <c r="R99"/>
      <c r="S99"/>
      <c r="T99"/>
      <c r="U99"/>
      <c r="V99"/>
      <c r="W99"/>
      <c r="X99"/>
      <c r="Y99"/>
      <c r="Z99"/>
      <c r="AA99"/>
      <c r="AB99"/>
      <c r="AC99"/>
      <c r="AD99"/>
    </row>
    <row r="100" spans="1:30" ht="12.75" customHeight="1">
      <c r="A100" s="121"/>
      <c r="B100" s="121"/>
      <c r="C100" s="121"/>
      <c r="D100" s="121"/>
      <c r="E100" s="121"/>
      <c r="F100" s="121"/>
      <c r="G100" s="121"/>
      <c r="H100" s="121"/>
      <c r="I100" s="121"/>
      <c r="J100" s="121"/>
      <c r="K100" s="121"/>
      <c r="L100" s="121"/>
      <c r="M100" s="121"/>
      <c r="N100"/>
      <c r="O100"/>
      <c r="P100"/>
      <c r="Q100"/>
      <c r="R100"/>
      <c r="S100"/>
      <c r="T100"/>
      <c r="U100"/>
      <c r="V100"/>
      <c r="W100"/>
      <c r="X100"/>
      <c r="Y100"/>
      <c r="Z100"/>
      <c r="AA100"/>
      <c r="AB100"/>
      <c r="AC100"/>
      <c r="AD100"/>
    </row>
    <row r="101" spans="1:30" ht="12.75" customHeight="1">
      <c r="A101" s="121"/>
      <c r="B101" s="121"/>
      <c r="C101" s="121"/>
      <c r="D101" s="121"/>
      <c r="E101" s="121"/>
      <c r="F101" s="121"/>
      <c r="G101" s="121"/>
      <c r="H101" s="121"/>
      <c r="I101" s="121"/>
      <c r="J101" s="121"/>
      <c r="K101" s="121"/>
      <c r="L101" s="121"/>
      <c r="M101" s="121"/>
      <c r="N101"/>
      <c r="O101"/>
      <c r="P101"/>
      <c r="Q101"/>
      <c r="R101"/>
      <c r="S101"/>
      <c r="T101"/>
      <c r="U101"/>
      <c r="V101"/>
      <c r="W101"/>
      <c r="X101"/>
      <c r="Y101"/>
      <c r="Z101"/>
      <c r="AA101"/>
      <c r="AB101"/>
      <c r="AC101"/>
      <c r="AD101"/>
    </row>
    <row r="102" spans="1:30" ht="12.75" customHeight="1">
      <c r="A102" s="108"/>
      <c r="B102" s="108"/>
      <c r="C102" s="108"/>
      <c r="D102" s="108"/>
      <c r="E102" s="108"/>
      <c r="F102" s="108"/>
      <c r="G102" s="108"/>
      <c r="H102" s="108"/>
      <c r="I102" s="108"/>
      <c r="J102" s="108"/>
      <c r="K102" s="108"/>
      <c r="L102" s="108"/>
      <c r="M102" s="108"/>
      <c r="N102"/>
      <c r="O102"/>
      <c r="P102"/>
      <c r="Q102"/>
      <c r="R102"/>
      <c r="S102"/>
      <c r="T102"/>
      <c r="U102"/>
      <c r="V102"/>
      <c r="W102"/>
      <c r="X102"/>
      <c r="Y102"/>
      <c r="Z102"/>
      <c r="AA102"/>
      <c r="AB102"/>
      <c r="AC102"/>
      <c r="AD102"/>
    </row>
    <row r="103" spans="1:30" ht="12.75" customHeight="1">
      <c r="A103" s="108"/>
      <c r="B103" s="108"/>
      <c r="C103" s="108"/>
      <c r="D103" s="108"/>
      <c r="E103" s="108"/>
      <c r="F103" s="108"/>
      <c r="G103" s="108"/>
      <c r="H103" s="108"/>
      <c r="I103" s="108"/>
      <c r="J103" s="108"/>
      <c r="K103" s="108"/>
      <c r="L103" s="108"/>
      <c r="M103" s="108"/>
      <c r="N103"/>
      <c r="O103"/>
      <c r="P103"/>
      <c r="Q103"/>
      <c r="R103"/>
      <c r="S103"/>
      <c r="T103"/>
      <c r="U103"/>
      <c r="V103"/>
      <c r="W103"/>
      <c r="X103"/>
      <c r="Y103"/>
      <c r="Z103"/>
      <c r="AA103"/>
      <c r="AB103"/>
      <c r="AC103"/>
      <c r="AD103"/>
    </row>
    <row r="104" spans="1:30" ht="12.75" customHeight="1">
      <c r="A104" s="108"/>
      <c r="B104" s="108"/>
      <c r="C104" s="108"/>
      <c r="D104" s="108"/>
      <c r="E104" s="108"/>
      <c r="F104" s="108"/>
      <c r="G104" s="108"/>
      <c r="H104" s="108"/>
      <c r="I104" s="108"/>
      <c r="J104" s="108"/>
      <c r="K104" s="108"/>
      <c r="L104" s="108"/>
      <c r="M104" s="108"/>
      <c r="N104"/>
      <c r="O104"/>
      <c r="P104"/>
      <c r="Q104"/>
      <c r="R104"/>
      <c r="S104"/>
      <c r="T104"/>
      <c r="U104"/>
      <c r="V104"/>
      <c r="W104"/>
      <c r="X104"/>
      <c r="Y104"/>
      <c r="Z104"/>
      <c r="AA104"/>
      <c r="AB104"/>
      <c r="AC104"/>
      <c r="AD104"/>
    </row>
    <row r="105" spans="1:30" ht="12.75" customHeight="1">
      <c r="A105" s="108"/>
      <c r="B105" s="108"/>
      <c r="C105" s="108"/>
      <c r="D105" s="108"/>
      <c r="E105" s="108"/>
      <c r="F105" s="108"/>
      <c r="G105" s="108"/>
      <c r="H105" s="108"/>
      <c r="I105" s="108"/>
      <c r="J105" s="108"/>
      <c r="K105" s="108"/>
      <c r="L105" s="108"/>
      <c r="M105" s="108"/>
      <c r="N105"/>
      <c r="O105"/>
      <c r="P105"/>
      <c r="Q105"/>
      <c r="R105"/>
      <c r="S105"/>
      <c r="T105"/>
      <c r="U105"/>
      <c r="V105"/>
      <c r="W105"/>
      <c r="X105"/>
      <c r="Y105"/>
      <c r="Z105"/>
      <c r="AA105"/>
      <c r="AB105"/>
      <c r="AC105"/>
      <c r="AD105"/>
    </row>
    <row r="106" spans="1:30" ht="12.75" customHeight="1">
      <c r="A106" s="108"/>
      <c r="B106" s="108"/>
      <c r="C106" s="108"/>
      <c r="D106" s="108"/>
      <c r="E106" s="108"/>
      <c r="F106" s="108"/>
      <c r="G106" s="108"/>
      <c r="H106" s="108"/>
      <c r="I106" s="108"/>
      <c r="J106" s="108"/>
      <c r="K106" s="108"/>
      <c r="L106" s="108"/>
      <c r="M106" s="108"/>
      <c r="N106"/>
      <c r="O106"/>
      <c r="P106"/>
      <c r="Q106"/>
      <c r="R106"/>
      <c r="S106"/>
      <c r="T106"/>
      <c r="U106"/>
      <c r="V106"/>
      <c r="W106"/>
      <c r="X106"/>
      <c r="Y106"/>
      <c r="Z106"/>
      <c r="AA106"/>
      <c r="AB106"/>
      <c r="AC106"/>
      <c r="AD106"/>
    </row>
    <row r="107" spans="1:30" ht="12.75" customHeight="1">
      <c r="A107" s="108"/>
      <c r="B107" s="108"/>
      <c r="C107" s="108"/>
      <c r="D107" s="108"/>
      <c r="E107" s="108"/>
      <c r="F107" s="108"/>
      <c r="G107" s="108"/>
      <c r="H107" s="108"/>
      <c r="I107" s="108"/>
      <c r="J107" s="108"/>
      <c r="K107" s="108"/>
      <c r="L107" s="108"/>
      <c r="M107" s="108"/>
      <c r="N107"/>
      <c r="O107"/>
      <c r="P107"/>
      <c r="Q107"/>
      <c r="R107"/>
      <c r="S107"/>
      <c r="T107"/>
      <c r="U107"/>
      <c r="V107"/>
      <c r="W107"/>
      <c r="X107"/>
      <c r="Y107"/>
      <c r="Z107"/>
      <c r="AA107"/>
      <c r="AB107"/>
      <c r="AC107"/>
      <c r="AD107"/>
    </row>
    <row r="108" spans="1:30" ht="12.75" customHeight="1">
      <c r="A108" s="108"/>
      <c r="B108" s="108"/>
      <c r="C108" s="108"/>
      <c r="D108" s="108"/>
      <c r="E108" s="108"/>
      <c r="F108" s="108"/>
      <c r="G108" s="108"/>
      <c r="H108" s="108"/>
      <c r="I108" s="108"/>
      <c r="J108" s="108"/>
      <c r="K108" s="108"/>
      <c r="L108" s="108"/>
      <c r="M108" s="108"/>
      <c r="N108"/>
      <c r="O108"/>
      <c r="P108"/>
      <c r="Q108"/>
      <c r="R108"/>
      <c r="S108"/>
      <c r="T108"/>
      <c r="U108"/>
      <c r="V108"/>
      <c r="W108"/>
      <c r="X108"/>
      <c r="Y108"/>
      <c r="Z108"/>
      <c r="AA108"/>
      <c r="AB108"/>
      <c r="AC108"/>
      <c r="AD108"/>
    </row>
    <row r="109" spans="1:30" ht="12.75" customHeight="1">
      <c r="A109" s="108"/>
      <c r="B109" s="108"/>
      <c r="C109" s="108"/>
      <c r="D109" s="108"/>
      <c r="E109" s="108"/>
      <c r="F109" s="108"/>
      <c r="G109" s="108"/>
      <c r="H109" s="108"/>
      <c r="I109" s="108"/>
      <c r="J109" s="108"/>
      <c r="K109" s="108"/>
      <c r="L109" s="108"/>
      <c r="M109" s="108"/>
      <c r="N109"/>
      <c r="O109"/>
      <c r="P109"/>
      <c r="Q109"/>
      <c r="R109"/>
      <c r="S109"/>
      <c r="T109"/>
      <c r="U109"/>
      <c r="V109"/>
      <c r="W109"/>
      <c r="X109"/>
      <c r="Y109"/>
      <c r="Z109"/>
      <c r="AA109"/>
      <c r="AB109"/>
      <c r="AC109"/>
      <c r="AD109"/>
    </row>
    <row r="110" spans="1:30" ht="12.75" customHeight="1">
      <c r="A110" s="108"/>
      <c r="B110" s="108"/>
      <c r="C110" s="108"/>
      <c r="D110" s="108"/>
      <c r="E110" s="108"/>
      <c r="F110" s="108"/>
      <c r="G110" s="108"/>
      <c r="H110" s="108"/>
      <c r="I110" s="108"/>
      <c r="J110" s="108"/>
      <c r="K110" s="108"/>
      <c r="L110" s="108"/>
      <c r="M110" s="108"/>
      <c r="N110"/>
      <c r="O110"/>
      <c r="P110"/>
      <c r="Q110"/>
      <c r="R110"/>
      <c r="S110"/>
      <c r="T110"/>
      <c r="U110"/>
      <c r="V110"/>
      <c r="W110"/>
      <c r="X110"/>
      <c r="Y110"/>
      <c r="Z110"/>
      <c r="AA110"/>
      <c r="AB110"/>
      <c r="AC110"/>
      <c r="AD110"/>
    </row>
    <row r="111" spans="1:30" ht="12.75" customHeight="1">
      <c r="A111" s="108"/>
      <c r="B111" s="108"/>
      <c r="C111" s="108"/>
      <c r="D111" s="108"/>
      <c r="E111" s="108"/>
      <c r="F111" s="108"/>
      <c r="G111" s="108"/>
      <c r="H111" s="108"/>
      <c r="I111" s="108"/>
      <c r="J111" s="108"/>
      <c r="K111" s="108"/>
      <c r="L111" s="108"/>
      <c r="M111" s="108"/>
      <c r="N111"/>
      <c r="O111"/>
      <c r="P111"/>
      <c r="Q111"/>
      <c r="R111"/>
      <c r="S111"/>
      <c r="T111"/>
      <c r="U111"/>
      <c r="V111"/>
      <c r="W111"/>
      <c r="X111"/>
      <c r="Y111"/>
      <c r="Z111"/>
      <c r="AA111"/>
      <c r="AB111"/>
      <c r="AC111"/>
      <c r="AD111"/>
    </row>
    <row r="112" spans="1:30" ht="12.75" customHeight="1">
      <c r="A112" s="108"/>
      <c r="B112" s="108"/>
      <c r="C112" s="108"/>
      <c r="D112" s="108"/>
      <c r="E112" s="108"/>
      <c r="F112" s="108"/>
      <c r="G112" s="108"/>
      <c r="H112" s="108"/>
      <c r="I112" s="108"/>
      <c r="J112" s="108"/>
      <c r="K112" s="108"/>
      <c r="L112" s="108"/>
      <c r="M112" s="108"/>
      <c r="N112"/>
      <c r="O112"/>
      <c r="P112"/>
      <c r="Q112"/>
      <c r="R112"/>
      <c r="S112"/>
      <c r="T112"/>
      <c r="U112"/>
      <c r="V112"/>
      <c r="W112"/>
      <c r="X112"/>
      <c r="Y112"/>
      <c r="Z112"/>
      <c r="AA112"/>
      <c r="AB112"/>
      <c r="AC112"/>
      <c r="AD112"/>
    </row>
    <row r="113" spans="1:30" ht="12.75" customHeight="1">
      <c r="A113" s="108"/>
      <c r="B113" s="108"/>
      <c r="C113" s="108"/>
      <c r="D113" s="108"/>
      <c r="E113" s="108"/>
      <c r="F113" s="108"/>
      <c r="G113" s="108"/>
      <c r="H113" s="108"/>
      <c r="I113" s="108"/>
      <c r="J113" s="108"/>
      <c r="K113" s="108"/>
      <c r="L113" s="108"/>
      <c r="M113" s="108"/>
      <c r="N113"/>
      <c r="O113"/>
      <c r="P113"/>
      <c r="Q113"/>
      <c r="R113"/>
      <c r="S113"/>
      <c r="T113"/>
      <c r="U113"/>
      <c r="V113"/>
      <c r="W113"/>
      <c r="X113"/>
      <c r="Y113"/>
      <c r="Z113"/>
      <c r="AA113"/>
      <c r="AB113"/>
      <c r="AC113"/>
      <c r="AD113"/>
    </row>
    <row r="114" spans="1:30" ht="12.75" customHeight="1">
      <c r="A114" s="108"/>
      <c r="B114" s="108"/>
      <c r="C114" s="108"/>
      <c r="D114" s="108"/>
      <c r="E114" s="108"/>
      <c r="F114" s="108"/>
      <c r="G114" s="108"/>
      <c r="H114" s="108"/>
      <c r="I114" s="108"/>
      <c r="J114" s="108"/>
      <c r="K114" s="108"/>
      <c r="L114" s="108"/>
      <c r="M114" s="108"/>
      <c r="N114"/>
      <c r="O114"/>
      <c r="P114"/>
      <c r="Q114"/>
      <c r="R114"/>
      <c r="S114"/>
      <c r="T114"/>
      <c r="U114"/>
      <c r="V114"/>
      <c r="W114"/>
      <c r="X114"/>
      <c r="Y114"/>
      <c r="Z114"/>
      <c r="AA114"/>
      <c r="AB114"/>
      <c r="AC114"/>
      <c r="AD114"/>
    </row>
    <row r="115" spans="1:30" ht="12.75" customHeight="1">
      <c r="A115" s="108"/>
      <c r="B115" s="108"/>
      <c r="C115" s="108"/>
      <c r="D115" s="108"/>
      <c r="E115" s="108"/>
      <c r="F115" s="108"/>
      <c r="G115" s="108"/>
      <c r="H115" s="108"/>
      <c r="I115" s="108"/>
      <c r="J115" s="108"/>
      <c r="K115" s="108"/>
      <c r="L115" s="108"/>
      <c r="M115" s="108"/>
      <c r="N115"/>
      <c r="O115"/>
      <c r="P115"/>
      <c r="Q115"/>
      <c r="R115"/>
      <c r="S115"/>
      <c r="T115"/>
      <c r="U115"/>
      <c r="V115"/>
      <c r="W115"/>
      <c r="X115"/>
      <c r="Y115"/>
      <c r="Z115"/>
      <c r="AA115"/>
      <c r="AB115"/>
      <c r="AC115"/>
      <c r="AD115"/>
    </row>
    <row r="116" spans="1:30" ht="12.75" customHeight="1">
      <c r="A116" s="108"/>
      <c r="B116" s="108"/>
      <c r="C116" s="108"/>
      <c r="D116" s="108"/>
      <c r="E116" s="108"/>
      <c r="F116" s="108"/>
      <c r="G116" s="108"/>
      <c r="H116" s="108"/>
      <c r="I116" s="108"/>
      <c r="J116" s="108"/>
      <c r="K116" s="108"/>
      <c r="L116" s="108"/>
      <c r="M116" s="108"/>
      <c r="N116"/>
      <c r="O116"/>
      <c r="P116"/>
      <c r="Q116"/>
      <c r="R116"/>
      <c r="S116"/>
      <c r="T116"/>
      <c r="U116"/>
      <c r="V116"/>
      <c r="W116"/>
      <c r="X116"/>
      <c r="Y116"/>
      <c r="Z116"/>
      <c r="AA116"/>
      <c r="AB116"/>
      <c r="AC116"/>
      <c r="AD116"/>
    </row>
    <row r="117" spans="1:30" ht="12.75" customHeight="1">
      <c r="A117" s="108"/>
      <c r="B117" s="108"/>
      <c r="C117" s="108"/>
      <c r="D117" s="108"/>
      <c r="E117" s="108"/>
      <c r="F117" s="108"/>
      <c r="G117" s="108"/>
      <c r="H117" s="108"/>
      <c r="I117" s="108"/>
      <c r="J117" s="108"/>
      <c r="K117" s="108"/>
      <c r="L117" s="108"/>
      <c r="M117" s="108"/>
      <c r="N117"/>
      <c r="O117"/>
      <c r="P117"/>
      <c r="Q117"/>
      <c r="R117"/>
      <c r="S117"/>
      <c r="T117"/>
      <c r="U117"/>
      <c r="V117"/>
      <c r="W117"/>
      <c r="X117"/>
      <c r="Y117"/>
      <c r="Z117"/>
      <c r="AA117"/>
      <c r="AB117"/>
      <c r="AC117"/>
      <c r="AD117"/>
    </row>
    <row r="118" spans="1:30" ht="12.75" customHeight="1">
      <c r="A118" s="108"/>
      <c r="B118" s="108"/>
      <c r="C118" s="108"/>
      <c r="D118" s="108"/>
      <c r="E118" s="108"/>
      <c r="F118" s="108"/>
      <c r="G118" s="108"/>
      <c r="H118" s="108"/>
      <c r="I118" s="108"/>
      <c r="J118" s="108"/>
      <c r="K118" s="108"/>
      <c r="L118" s="108"/>
      <c r="M118" s="108"/>
      <c r="N118"/>
      <c r="O118"/>
      <c r="P118"/>
      <c r="Q118"/>
      <c r="R118"/>
      <c r="S118"/>
      <c r="T118"/>
      <c r="U118"/>
      <c r="V118"/>
      <c r="W118"/>
      <c r="X118"/>
      <c r="Y118"/>
      <c r="Z118"/>
      <c r="AA118"/>
      <c r="AB118"/>
      <c r="AC118"/>
      <c r="AD118"/>
    </row>
    <row r="119" spans="1:30" ht="12.75" customHeight="1">
      <c r="A119" s="108"/>
      <c r="B119" s="108"/>
      <c r="C119" s="108"/>
      <c r="D119" s="108"/>
      <c r="E119" s="108"/>
      <c r="F119" s="108"/>
      <c r="G119" s="108"/>
      <c r="H119" s="108"/>
      <c r="I119" s="108"/>
      <c r="J119" s="108"/>
      <c r="K119" s="108"/>
      <c r="L119" s="108"/>
      <c r="M119" s="108"/>
      <c r="N119"/>
      <c r="O119"/>
      <c r="P119"/>
      <c r="Q119"/>
      <c r="R119"/>
      <c r="S119"/>
      <c r="T119"/>
      <c r="U119"/>
      <c r="V119"/>
      <c r="W119"/>
      <c r="X119"/>
      <c r="Y119"/>
      <c r="Z119"/>
      <c r="AA119"/>
      <c r="AB119"/>
      <c r="AC119"/>
      <c r="AD119"/>
    </row>
    <row r="120" spans="1:30" ht="12.75" customHeight="1">
      <c r="A120" s="108"/>
      <c r="B120" s="108"/>
      <c r="C120" s="108"/>
      <c r="D120" s="108"/>
      <c r="E120" s="108"/>
      <c r="F120" s="108"/>
      <c r="G120" s="108"/>
      <c r="H120" s="108"/>
      <c r="I120" s="108"/>
      <c r="J120" s="108"/>
      <c r="K120" s="108"/>
      <c r="L120" s="108"/>
      <c r="M120" s="108"/>
      <c r="N120"/>
      <c r="O120"/>
      <c r="P120"/>
      <c r="Q120"/>
      <c r="R120"/>
      <c r="S120"/>
      <c r="T120"/>
      <c r="U120"/>
      <c r="V120"/>
      <c r="W120"/>
      <c r="X120"/>
      <c r="Y120"/>
      <c r="Z120"/>
      <c r="AA120"/>
      <c r="AB120"/>
      <c r="AC120"/>
      <c r="AD120"/>
    </row>
    <row r="121" spans="1:30" ht="12.75" customHeight="1">
      <c r="A121" s="108"/>
      <c r="B121" s="108"/>
      <c r="C121" s="108"/>
      <c r="D121" s="108"/>
      <c r="E121" s="108"/>
      <c r="F121" s="108"/>
      <c r="G121" s="108"/>
      <c r="H121" s="108"/>
      <c r="I121" s="108"/>
      <c r="J121" s="108"/>
      <c r="K121" s="108"/>
      <c r="L121" s="108"/>
      <c r="M121" s="108"/>
      <c r="N121"/>
      <c r="O121"/>
      <c r="P121"/>
      <c r="Q121"/>
      <c r="R121"/>
      <c r="S121"/>
      <c r="T121"/>
      <c r="U121"/>
      <c r="V121"/>
      <c r="W121"/>
      <c r="X121"/>
      <c r="Y121"/>
      <c r="Z121"/>
      <c r="AA121"/>
      <c r="AB121"/>
      <c r="AC121"/>
      <c r="AD121"/>
    </row>
    <row r="122" spans="1:30" ht="12.75" customHeight="1">
      <c r="A122" s="108"/>
      <c r="B122" s="108"/>
      <c r="C122" s="108"/>
      <c r="D122" s="108"/>
      <c r="E122" s="108"/>
      <c r="F122" s="108"/>
      <c r="G122" s="108"/>
      <c r="H122" s="108"/>
      <c r="I122" s="108"/>
      <c r="J122" s="108"/>
      <c r="K122" s="108"/>
      <c r="L122" s="108"/>
      <c r="M122" s="108"/>
      <c r="N122"/>
      <c r="O122"/>
      <c r="P122"/>
      <c r="Q122"/>
      <c r="R122"/>
      <c r="S122"/>
      <c r="T122"/>
      <c r="U122"/>
      <c r="V122"/>
      <c r="W122"/>
      <c r="X122"/>
      <c r="Y122"/>
      <c r="Z122"/>
      <c r="AA122"/>
      <c r="AB122"/>
      <c r="AC122"/>
      <c r="AD122"/>
    </row>
    <row r="123" spans="1:30" ht="12.75" customHeight="1">
      <c r="A123" s="108"/>
      <c r="B123" s="108"/>
      <c r="C123" s="108"/>
      <c r="D123" s="108"/>
      <c r="E123" s="108"/>
      <c r="F123" s="108"/>
      <c r="G123" s="108"/>
      <c r="H123" s="108"/>
      <c r="I123" s="108"/>
      <c r="J123" s="108"/>
      <c r="K123" s="108"/>
      <c r="L123" s="108"/>
      <c r="M123" s="108"/>
      <c r="N123"/>
      <c r="O123"/>
      <c r="P123"/>
      <c r="Q123"/>
      <c r="R123"/>
      <c r="S123"/>
      <c r="T123"/>
      <c r="U123"/>
      <c r="V123"/>
      <c r="W123"/>
      <c r="X123"/>
      <c r="Y123"/>
      <c r="Z123"/>
      <c r="AA123"/>
      <c r="AB123"/>
      <c r="AC123"/>
      <c r="AD123"/>
    </row>
    <row r="124" spans="1:30" ht="12.75" customHeight="1">
      <c r="A124" s="108"/>
      <c r="B124" s="108"/>
      <c r="C124" s="108"/>
      <c r="D124" s="108"/>
      <c r="E124" s="108"/>
      <c r="F124" s="108"/>
      <c r="G124" s="108"/>
      <c r="H124" s="108"/>
      <c r="I124" s="108"/>
      <c r="J124" s="108"/>
      <c r="K124" s="108"/>
      <c r="L124" s="108"/>
      <c r="M124" s="108"/>
      <c r="N124"/>
      <c r="O124"/>
      <c r="P124"/>
      <c r="Q124"/>
      <c r="R124"/>
      <c r="S124"/>
      <c r="T124"/>
      <c r="U124"/>
      <c r="V124"/>
      <c r="W124"/>
      <c r="X124"/>
      <c r="Y124"/>
      <c r="Z124"/>
      <c r="AA124"/>
      <c r="AB124"/>
      <c r="AC124"/>
      <c r="AD124"/>
    </row>
    <row r="125" spans="1:30" ht="12.75" customHeight="1">
      <c r="A125" s="108"/>
      <c r="B125" s="108"/>
      <c r="C125" s="108"/>
      <c r="D125" s="108"/>
      <c r="E125" s="108"/>
      <c r="F125" s="108"/>
      <c r="G125" s="108"/>
      <c r="H125" s="108"/>
      <c r="I125" s="108"/>
      <c r="J125" s="108"/>
      <c r="K125" s="108"/>
      <c r="L125" s="108"/>
      <c r="M125" s="108"/>
      <c r="N125"/>
      <c r="O125"/>
      <c r="P125"/>
      <c r="Q125"/>
      <c r="R125"/>
      <c r="S125"/>
      <c r="T125"/>
      <c r="U125"/>
      <c r="V125"/>
      <c r="W125"/>
      <c r="X125"/>
      <c r="Y125"/>
      <c r="Z125"/>
      <c r="AA125"/>
      <c r="AB125"/>
      <c r="AC125"/>
      <c r="AD125"/>
    </row>
    <row r="126" spans="1:30" ht="12.75" customHeight="1">
      <c r="A126" s="108"/>
      <c r="B126" s="108"/>
      <c r="C126" s="108"/>
      <c r="D126" s="108"/>
      <c r="E126" s="108"/>
      <c r="F126" s="108"/>
      <c r="G126" s="108"/>
      <c r="H126" s="108"/>
      <c r="I126" s="108"/>
      <c r="J126" s="108"/>
      <c r="K126" s="108"/>
      <c r="L126" s="108"/>
      <c r="M126" s="108"/>
      <c r="N126"/>
      <c r="O126"/>
      <c r="P126"/>
      <c r="Q126"/>
      <c r="R126"/>
      <c r="S126"/>
      <c r="T126"/>
      <c r="U126"/>
      <c r="V126"/>
      <c r="W126"/>
      <c r="X126"/>
      <c r="Y126"/>
      <c r="Z126"/>
      <c r="AA126"/>
      <c r="AB126"/>
      <c r="AC126"/>
      <c r="AD126"/>
    </row>
    <row r="127" spans="1:30" ht="12.75" customHeight="1">
      <c r="A127" s="108"/>
      <c r="B127" s="108"/>
      <c r="C127" s="108"/>
      <c r="D127" s="108"/>
      <c r="E127" s="108"/>
      <c r="F127" s="108"/>
      <c r="G127" s="108"/>
      <c r="H127" s="108"/>
      <c r="I127" s="108"/>
      <c r="J127" s="108"/>
      <c r="K127" s="108"/>
      <c r="L127" s="108"/>
      <c r="M127" s="108"/>
      <c r="N127"/>
      <c r="O127"/>
      <c r="P127"/>
      <c r="Q127"/>
      <c r="R127"/>
      <c r="S127"/>
      <c r="T127"/>
      <c r="U127"/>
      <c r="V127"/>
      <c r="W127"/>
      <c r="X127"/>
      <c r="Y127"/>
      <c r="Z127"/>
      <c r="AA127"/>
      <c r="AB127"/>
      <c r="AC127"/>
      <c r="AD127"/>
    </row>
    <row r="128" spans="1:30" ht="12.75" customHeight="1">
      <c r="A128" s="108"/>
      <c r="B128" s="108"/>
      <c r="C128" s="108"/>
      <c r="D128" s="108"/>
      <c r="E128" s="108"/>
      <c r="F128" s="108"/>
      <c r="G128" s="108"/>
      <c r="H128" s="108"/>
      <c r="I128" s="108"/>
      <c r="J128" s="108"/>
      <c r="K128" s="108"/>
      <c r="L128" s="108"/>
      <c r="M128" s="108"/>
      <c r="N128"/>
      <c r="O128"/>
      <c r="P128"/>
      <c r="Q128"/>
      <c r="R128"/>
      <c r="S128"/>
      <c r="T128"/>
      <c r="U128"/>
      <c r="V128"/>
      <c r="W128"/>
      <c r="X128"/>
      <c r="Y128"/>
      <c r="Z128"/>
      <c r="AA128"/>
      <c r="AB128"/>
      <c r="AC128"/>
      <c r="AD128"/>
    </row>
    <row r="129" spans="1:30" ht="13.5" customHeight="1">
      <c r="A129" s="108"/>
      <c r="B129" s="108"/>
      <c r="C129" s="108"/>
      <c r="D129" s="108"/>
      <c r="E129" s="108"/>
      <c r="F129" s="108"/>
      <c r="G129" s="108"/>
      <c r="H129" s="108"/>
      <c r="I129" s="108"/>
      <c r="J129" s="108"/>
      <c r="K129" s="108"/>
      <c r="L129" s="108"/>
      <c r="M129" s="108"/>
      <c r="N129"/>
      <c r="O129"/>
      <c r="P129"/>
      <c r="Q129"/>
      <c r="R129"/>
      <c r="S129"/>
      <c r="T129"/>
      <c r="U129"/>
      <c r="V129"/>
      <c r="W129"/>
      <c r="X129"/>
      <c r="Y129"/>
      <c r="Z129"/>
      <c r="AA129"/>
      <c r="AB129"/>
      <c r="AC129"/>
      <c r="AD129"/>
    </row>
    <row r="130" spans="1:30" ht="13.5" customHeight="1">
      <c r="A130" s="108"/>
      <c r="B130" s="108"/>
      <c r="C130" s="108"/>
      <c r="D130" s="108"/>
      <c r="E130" s="108"/>
      <c r="F130" s="108"/>
      <c r="G130" s="108"/>
      <c r="H130" s="108"/>
      <c r="I130" s="108"/>
      <c r="J130" s="108"/>
      <c r="K130" s="108"/>
      <c r="L130" s="108"/>
      <c r="M130" s="108"/>
      <c r="N130"/>
      <c r="O130"/>
      <c r="P130"/>
      <c r="Q130"/>
      <c r="R130"/>
      <c r="S130"/>
      <c r="T130"/>
      <c r="U130"/>
      <c r="V130"/>
      <c r="W130"/>
      <c r="X130"/>
      <c r="Y130"/>
      <c r="Z130"/>
      <c r="AA130"/>
      <c r="AB130"/>
      <c r="AC130"/>
      <c r="AD130"/>
    </row>
    <row r="131" spans="1:30" ht="13.5" customHeight="1">
      <c r="A131" s="108"/>
      <c r="B131" s="108"/>
      <c r="C131" s="108"/>
      <c r="D131" s="108"/>
      <c r="E131" s="108"/>
      <c r="F131" s="108"/>
      <c r="G131" s="108"/>
      <c r="H131" s="108"/>
      <c r="I131" s="108"/>
      <c r="J131" s="108"/>
      <c r="K131" s="108"/>
      <c r="L131" s="108"/>
      <c r="M131" s="108"/>
      <c r="N131"/>
      <c r="O131"/>
      <c r="P131"/>
      <c r="Q131"/>
      <c r="R131"/>
      <c r="S131"/>
      <c r="T131"/>
      <c r="U131"/>
      <c r="V131"/>
      <c r="W131"/>
      <c r="X131"/>
      <c r="Y131"/>
      <c r="Z131"/>
      <c r="AA131"/>
      <c r="AB131"/>
      <c r="AC131"/>
      <c r="AD131"/>
    </row>
    <row r="132" spans="1:30" ht="13.5" customHeight="1">
      <c r="A132" s="108"/>
      <c r="B132" s="108"/>
      <c r="C132" s="108"/>
      <c r="D132" s="108"/>
      <c r="E132" s="108"/>
      <c r="F132" s="108"/>
      <c r="G132" s="108"/>
      <c r="H132" s="108"/>
      <c r="I132" s="108"/>
      <c r="J132" s="108"/>
      <c r="K132" s="108"/>
      <c r="L132" s="108"/>
      <c r="M132" s="108"/>
      <c r="N132"/>
      <c r="O132"/>
      <c r="P132"/>
      <c r="Q132"/>
      <c r="R132"/>
      <c r="S132"/>
      <c r="T132"/>
      <c r="U132"/>
      <c r="V132"/>
      <c r="W132"/>
      <c r="X132"/>
      <c r="Y132"/>
      <c r="Z132"/>
      <c r="AA132"/>
      <c r="AB132"/>
      <c r="AC132"/>
      <c r="AD132"/>
    </row>
    <row r="133" spans="1:30" ht="12.75" customHeight="1">
      <c r="A133" s="108"/>
      <c r="B133" s="108"/>
      <c r="C133" s="108"/>
      <c r="D133" s="108"/>
      <c r="E133" s="108"/>
      <c r="F133" s="108"/>
      <c r="G133" s="108"/>
      <c r="H133" s="108"/>
      <c r="I133" s="108"/>
      <c r="J133" s="108"/>
      <c r="K133" s="108"/>
      <c r="L133" s="108"/>
      <c r="M133" s="108"/>
      <c r="N133"/>
      <c r="O133"/>
      <c r="P133"/>
      <c r="Q133"/>
      <c r="R133"/>
      <c r="S133"/>
      <c r="T133"/>
      <c r="U133"/>
      <c r="V133"/>
      <c r="W133"/>
      <c r="X133"/>
      <c r="Y133"/>
      <c r="Z133"/>
      <c r="AA133"/>
      <c r="AB133"/>
      <c r="AC133"/>
      <c r="AD133"/>
    </row>
    <row r="134" spans="1:30" ht="12.75" customHeight="1">
      <c r="A134" s="108"/>
      <c r="B134" s="108"/>
      <c r="C134" s="108"/>
      <c r="D134" s="108"/>
      <c r="E134" s="108"/>
      <c r="F134" s="108"/>
      <c r="G134" s="108"/>
      <c r="H134" s="108"/>
      <c r="I134" s="108"/>
      <c r="J134" s="108"/>
      <c r="K134" s="108"/>
      <c r="L134" s="108"/>
      <c r="M134" s="108"/>
      <c r="N134"/>
      <c r="O134"/>
      <c r="P134"/>
      <c r="Q134"/>
      <c r="R134"/>
      <c r="S134"/>
      <c r="T134"/>
      <c r="U134"/>
      <c r="V134"/>
      <c r="W134"/>
      <c r="X134"/>
      <c r="Y134"/>
      <c r="Z134"/>
      <c r="AA134"/>
      <c r="AB134"/>
      <c r="AC134"/>
      <c r="AD134"/>
    </row>
    <row r="135" spans="1:30" ht="12.75" customHeight="1">
      <c r="A135" s="108"/>
      <c r="B135" s="108"/>
      <c r="C135" s="108"/>
      <c r="D135" s="108"/>
      <c r="E135" s="108"/>
      <c r="F135" s="108"/>
      <c r="G135" s="108"/>
      <c r="H135" s="108"/>
      <c r="I135" s="108"/>
      <c r="J135" s="108"/>
      <c r="K135" s="108"/>
      <c r="L135" s="108"/>
      <c r="M135" s="108"/>
      <c r="N135"/>
      <c r="O135"/>
      <c r="P135"/>
      <c r="Q135"/>
      <c r="R135"/>
      <c r="S135"/>
      <c r="T135"/>
      <c r="U135"/>
      <c r="V135"/>
      <c r="W135"/>
      <c r="X135"/>
      <c r="Y135"/>
      <c r="Z135"/>
      <c r="AA135"/>
      <c r="AB135"/>
      <c r="AC135"/>
      <c r="AD135"/>
    </row>
    <row r="136" spans="1:30" ht="12.75" customHeight="1">
      <c r="A136" s="108"/>
      <c r="B136" s="108"/>
      <c r="C136" s="108"/>
      <c r="D136" s="108"/>
      <c r="E136" s="108"/>
      <c r="F136" s="108"/>
      <c r="G136" s="108"/>
      <c r="H136" s="108"/>
      <c r="I136" s="108"/>
      <c r="J136" s="108"/>
      <c r="K136" s="108"/>
      <c r="L136" s="108"/>
      <c r="M136" s="108"/>
      <c r="N136"/>
      <c r="O136"/>
      <c r="P136"/>
      <c r="Q136"/>
      <c r="R136"/>
      <c r="S136"/>
      <c r="T136"/>
      <c r="U136"/>
      <c r="V136"/>
      <c r="W136"/>
      <c r="X136"/>
      <c r="Y136"/>
      <c r="Z136"/>
      <c r="AA136"/>
      <c r="AB136"/>
      <c r="AC136"/>
      <c r="AD136"/>
    </row>
    <row r="137" spans="1:30" ht="12.75" customHeight="1">
      <c r="A137" s="108"/>
      <c r="B137" s="108"/>
      <c r="C137" s="108"/>
      <c r="D137" s="108"/>
      <c r="E137" s="108"/>
      <c r="F137" s="108"/>
      <c r="G137" s="108"/>
      <c r="H137" s="108"/>
      <c r="I137" s="108"/>
      <c r="J137" s="108"/>
      <c r="K137" s="108"/>
      <c r="L137" s="108"/>
      <c r="M137" s="108"/>
      <c r="N137"/>
      <c r="O137"/>
      <c r="P137"/>
      <c r="Q137"/>
      <c r="R137"/>
      <c r="S137"/>
      <c r="T137"/>
      <c r="U137"/>
      <c r="V137"/>
      <c r="W137"/>
      <c r="X137"/>
      <c r="Y137"/>
      <c r="Z137"/>
      <c r="AA137"/>
      <c r="AB137"/>
      <c r="AC137"/>
      <c r="AD137"/>
    </row>
    <row r="138" spans="1:30" ht="12.75" customHeight="1">
      <c r="A138" s="108"/>
      <c r="B138" s="108"/>
      <c r="C138" s="108"/>
      <c r="D138" s="108"/>
      <c r="E138" s="108"/>
      <c r="F138" s="108"/>
      <c r="G138" s="108"/>
      <c r="H138" s="108"/>
      <c r="I138" s="108"/>
      <c r="J138" s="108"/>
      <c r="K138" s="108"/>
      <c r="L138" s="108"/>
      <c r="M138" s="108"/>
      <c r="N138"/>
      <c r="O138"/>
      <c r="P138"/>
      <c r="Q138"/>
      <c r="R138"/>
      <c r="S138"/>
      <c r="T138"/>
      <c r="U138"/>
      <c r="V138"/>
      <c r="W138"/>
      <c r="X138"/>
      <c r="Y138"/>
      <c r="Z138"/>
      <c r="AA138"/>
      <c r="AB138"/>
      <c r="AC138"/>
      <c r="AD138"/>
    </row>
    <row r="139" spans="1:30" ht="12.75" customHeight="1">
      <c r="A139" s="108"/>
      <c r="B139" s="108"/>
      <c r="C139" s="108"/>
      <c r="D139" s="108"/>
      <c r="E139" s="108"/>
      <c r="F139" s="108"/>
      <c r="G139" s="108"/>
      <c r="H139" s="108"/>
      <c r="I139" s="108"/>
      <c r="J139" s="108"/>
      <c r="K139" s="108"/>
      <c r="L139" s="108"/>
      <c r="M139" s="108"/>
      <c r="N139"/>
      <c r="O139"/>
      <c r="P139"/>
      <c r="Q139"/>
      <c r="R139"/>
      <c r="S139"/>
      <c r="T139"/>
      <c r="U139"/>
      <c r="V139"/>
      <c r="W139"/>
      <c r="X139"/>
      <c r="Y139"/>
      <c r="Z139"/>
      <c r="AA139"/>
      <c r="AB139"/>
      <c r="AC139"/>
      <c r="AD139"/>
    </row>
    <row r="140" spans="1:30" ht="12.75" customHeight="1">
      <c r="A140" s="108"/>
      <c r="B140" s="108"/>
      <c r="C140" s="108"/>
      <c r="D140" s="108"/>
      <c r="E140" s="108"/>
      <c r="F140" s="108"/>
      <c r="G140" s="108"/>
      <c r="H140" s="108"/>
      <c r="I140" s="108"/>
      <c r="J140" s="108"/>
      <c r="K140" s="108"/>
      <c r="L140" s="108"/>
      <c r="M140" s="108"/>
      <c r="N140"/>
      <c r="O140"/>
      <c r="P140"/>
      <c r="Q140"/>
      <c r="R140"/>
      <c r="S140"/>
      <c r="T140"/>
      <c r="U140"/>
      <c r="V140"/>
      <c r="W140"/>
      <c r="X140"/>
      <c r="Y140"/>
      <c r="Z140"/>
      <c r="AA140"/>
      <c r="AB140"/>
      <c r="AC140"/>
      <c r="AD140"/>
    </row>
    <row r="141" spans="1:30" ht="12.75" customHeight="1">
      <c r="A141" s="108"/>
      <c r="B141" s="108"/>
      <c r="C141" s="108"/>
      <c r="D141" s="108"/>
      <c r="E141" s="108"/>
      <c r="F141" s="108"/>
      <c r="G141" s="108"/>
      <c r="H141" s="108"/>
      <c r="I141" s="108"/>
      <c r="J141" s="108"/>
      <c r="K141" s="108"/>
      <c r="L141" s="108"/>
      <c r="M141" s="108"/>
      <c r="N141"/>
      <c r="O141"/>
      <c r="P141"/>
      <c r="Q141"/>
      <c r="R141"/>
      <c r="S141"/>
      <c r="T141"/>
      <c r="U141"/>
      <c r="V141"/>
      <c r="W141"/>
      <c r="X141"/>
      <c r="Y141"/>
      <c r="Z141"/>
      <c r="AA141"/>
      <c r="AB141"/>
      <c r="AC141"/>
      <c r="AD141"/>
    </row>
    <row r="142" spans="1:30" ht="12.75" customHeight="1">
      <c r="A142" s="108"/>
      <c r="B142" s="108"/>
      <c r="C142" s="108"/>
      <c r="D142" s="108"/>
      <c r="E142" s="108"/>
      <c r="F142" s="108"/>
      <c r="G142" s="108"/>
      <c r="H142" s="108"/>
      <c r="I142" s="108"/>
      <c r="J142" s="108"/>
      <c r="K142" s="108"/>
      <c r="L142" s="108"/>
      <c r="M142" s="108"/>
      <c r="N142"/>
      <c r="O142"/>
      <c r="P142"/>
      <c r="Q142"/>
      <c r="R142"/>
      <c r="S142"/>
      <c r="T142"/>
      <c r="U142"/>
      <c r="V142"/>
      <c r="W142"/>
      <c r="X142"/>
      <c r="Y142"/>
      <c r="Z142"/>
      <c r="AA142"/>
      <c r="AB142"/>
      <c r="AC142"/>
      <c r="AD142"/>
    </row>
    <row r="143" spans="1:30" ht="12.75" customHeight="1">
      <c r="A143" s="108"/>
      <c r="B143" s="108"/>
      <c r="C143" s="108"/>
      <c r="D143" s="108"/>
      <c r="E143" s="108"/>
      <c r="F143" s="108"/>
      <c r="G143" s="108"/>
      <c r="H143" s="108"/>
      <c r="I143" s="108"/>
      <c r="J143" s="108"/>
      <c r="K143" s="108"/>
      <c r="L143" s="108"/>
      <c r="M143" s="108"/>
      <c r="N143"/>
      <c r="O143"/>
      <c r="P143"/>
      <c r="Q143"/>
      <c r="R143"/>
      <c r="S143"/>
      <c r="T143"/>
      <c r="U143"/>
      <c r="V143"/>
      <c r="W143"/>
      <c r="X143"/>
      <c r="Y143"/>
      <c r="Z143"/>
      <c r="AA143"/>
      <c r="AB143"/>
      <c r="AC143"/>
      <c r="AD143"/>
    </row>
    <row r="144" spans="1:30" ht="12.75" customHeight="1">
      <c r="A144" s="108"/>
      <c r="B144" s="108"/>
      <c r="C144" s="108"/>
      <c r="D144" s="108"/>
      <c r="E144" s="108"/>
      <c r="F144" s="108"/>
      <c r="G144" s="108"/>
      <c r="H144" s="108"/>
      <c r="I144" s="108"/>
      <c r="J144" s="108"/>
      <c r="K144" s="108"/>
      <c r="L144" s="108"/>
      <c r="M144" s="108"/>
      <c r="N144"/>
      <c r="O144"/>
      <c r="P144"/>
      <c r="Q144"/>
      <c r="R144"/>
      <c r="S144"/>
      <c r="T144"/>
      <c r="U144"/>
      <c r="V144"/>
      <c r="W144"/>
      <c r="X144"/>
      <c r="Y144"/>
      <c r="Z144"/>
      <c r="AA144"/>
      <c r="AB144"/>
      <c r="AC144"/>
      <c r="AD144"/>
    </row>
    <row r="145" spans="1:30" ht="12.75" customHeight="1">
      <c r="A145" s="108"/>
      <c r="B145" s="108"/>
      <c r="C145" s="108"/>
      <c r="D145" s="108"/>
      <c r="E145" s="108"/>
      <c r="F145" s="108"/>
      <c r="G145" s="108"/>
      <c r="H145" s="108"/>
      <c r="I145" s="108"/>
      <c r="J145" s="108"/>
      <c r="K145" s="108"/>
      <c r="L145" s="108"/>
      <c r="M145" s="108"/>
      <c r="N145"/>
      <c r="O145"/>
      <c r="P145"/>
      <c r="Q145"/>
      <c r="R145"/>
      <c r="S145"/>
      <c r="T145"/>
      <c r="U145"/>
      <c r="V145"/>
      <c r="W145"/>
      <c r="X145"/>
      <c r="Y145"/>
      <c r="Z145"/>
      <c r="AA145"/>
      <c r="AB145"/>
      <c r="AC145"/>
      <c r="AD145"/>
    </row>
    <row r="146" spans="1:30" ht="12.75" customHeight="1">
      <c r="A146" s="108"/>
      <c r="B146" s="108"/>
      <c r="C146" s="108"/>
      <c r="D146" s="108"/>
      <c r="E146" s="108"/>
      <c r="F146" s="108"/>
      <c r="G146" s="108"/>
      <c r="H146" s="108"/>
      <c r="I146" s="108"/>
      <c r="J146" s="108"/>
      <c r="K146" s="108"/>
      <c r="L146" s="108"/>
      <c r="M146" s="108"/>
      <c r="N146"/>
      <c r="O146"/>
      <c r="P146"/>
      <c r="Q146"/>
      <c r="R146"/>
      <c r="S146"/>
      <c r="T146"/>
      <c r="U146"/>
      <c r="V146"/>
      <c r="W146"/>
      <c r="X146"/>
      <c r="Y146"/>
      <c r="Z146"/>
      <c r="AA146"/>
      <c r="AB146"/>
      <c r="AC146"/>
      <c r="AD146"/>
    </row>
    <row r="147" spans="1:30" ht="12.75" customHeight="1">
      <c r="A147" s="108"/>
      <c r="B147" s="108"/>
      <c r="C147" s="108"/>
      <c r="D147" s="108"/>
      <c r="E147" s="108"/>
      <c r="F147" s="108"/>
      <c r="G147" s="108"/>
      <c r="H147" s="108"/>
      <c r="I147" s="108"/>
      <c r="J147" s="108"/>
      <c r="K147" s="108"/>
      <c r="L147" s="108"/>
      <c r="M147" s="108"/>
      <c r="N147"/>
      <c r="O147"/>
      <c r="P147"/>
      <c r="Q147"/>
      <c r="R147"/>
      <c r="S147"/>
      <c r="T147"/>
      <c r="U147"/>
      <c r="V147"/>
      <c r="W147"/>
      <c r="X147"/>
      <c r="Y147"/>
      <c r="Z147"/>
      <c r="AA147"/>
      <c r="AB147"/>
      <c r="AC147"/>
      <c r="AD147"/>
    </row>
    <row r="148" spans="1:30" ht="12.75" customHeight="1">
      <c r="A148" s="108"/>
      <c r="B148" s="108"/>
      <c r="C148" s="108"/>
      <c r="D148" s="108"/>
      <c r="E148" s="108"/>
      <c r="F148" s="108"/>
      <c r="G148" s="108"/>
      <c r="H148" s="108"/>
      <c r="I148" s="108"/>
      <c r="J148" s="108"/>
      <c r="K148" s="108"/>
      <c r="L148" s="108"/>
      <c r="M148" s="108"/>
      <c r="N148"/>
      <c r="O148"/>
      <c r="P148"/>
      <c r="Q148"/>
      <c r="R148"/>
      <c r="S148"/>
      <c r="T148"/>
      <c r="U148"/>
      <c r="V148"/>
      <c r="W148"/>
      <c r="X148"/>
      <c r="Y148"/>
      <c r="Z148"/>
      <c r="AA148"/>
      <c r="AB148"/>
      <c r="AC148"/>
      <c r="AD148"/>
    </row>
    <row r="149" spans="1:30" ht="12.75" customHeight="1">
      <c r="A149" s="108"/>
      <c r="B149" s="108"/>
      <c r="C149" s="108"/>
      <c r="D149" s="108"/>
      <c r="E149" s="108"/>
      <c r="F149" s="108"/>
      <c r="G149" s="108"/>
      <c r="H149" s="108"/>
      <c r="I149" s="108"/>
      <c r="J149" s="108"/>
      <c r="K149" s="108"/>
      <c r="L149" s="108"/>
      <c r="M149" s="108"/>
      <c r="N149"/>
      <c r="O149"/>
      <c r="P149"/>
      <c r="Q149"/>
      <c r="R149"/>
      <c r="S149"/>
      <c r="T149"/>
      <c r="U149"/>
      <c r="V149"/>
      <c r="W149"/>
      <c r="X149"/>
      <c r="Y149"/>
      <c r="Z149"/>
      <c r="AA149"/>
      <c r="AB149"/>
      <c r="AC149"/>
      <c r="AD149"/>
    </row>
    <row r="150" spans="1:30" ht="12.75" customHeight="1">
      <c r="A150" s="108"/>
      <c r="B150" s="108"/>
      <c r="C150" s="108"/>
      <c r="D150" s="108"/>
      <c r="E150" s="108"/>
      <c r="F150" s="108"/>
      <c r="G150" s="108"/>
      <c r="H150" s="108"/>
      <c r="I150" s="108"/>
      <c r="J150" s="108"/>
      <c r="K150" s="108"/>
      <c r="L150" s="108"/>
      <c r="M150" s="108"/>
      <c r="N150"/>
      <c r="O150"/>
      <c r="P150"/>
      <c r="Q150"/>
      <c r="R150"/>
      <c r="S150"/>
      <c r="T150"/>
      <c r="U150"/>
      <c r="V150"/>
      <c r="W150"/>
      <c r="X150"/>
      <c r="Y150"/>
      <c r="Z150"/>
      <c r="AA150"/>
      <c r="AB150"/>
      <c r="AC150"/>
      <c r="AD150"/>
    </row>
    <row r="151" spans="1:30" ht="12.75" customHeight="1">
      <c r="A151" s="108"/>
      <c r="B151" s="108"/>
      <c r="C151" s="108"/>
      <c r="D151" s="108"/>
      <c r="E151" s="108"/>
      <c r="F151" s="108"/>
      <c r="G151" s="108"/>
      <c r="H151" s="108"/>
      <c r="I151" s="108"/>
      <c r="J151" s="108"/>
      <c r="K151" s="108"/>
      <c r="L151" s="108"/>
      <c r="M151" s="108"/>
      <c r="N151"/>
      <c r="O151"/>
      <c r="P151"/>
      <c r="Q151"/>
      <c r="R151"/>
      <c r="S151"/>
      <c r="T151"/>
      <c r="U151"/>
      <c r="V151"/>
      <c r="W151"/>
      <c r="X151"/>
      <c r="Y151"/>
      <c r="Z151"/>
      <c r="AA151"/>
      <c r="AB151"/>
      <c r="AC151"/>
      <c r="AD151"/>
    </row>
    <row r="152" spans="1:30" ht="12.75" customHeight="1">
      <c r="A152" s="108"/>
      <c r="B152" s="108"/>
      <c r="C152" s="108"/>
      <c r="D152" s="108"/>
      <c r="E152" s="108"/>
      <c r="F152" s="108"/>
      <c r="G152" s="108"/>
      <c r="H152" s="108"/>
      <c r="I152" s="108"/>
      <c r="J152" s="108"/>
      <c r="K152" s="108"/>
      <c r="L152" s="108"/>
      <c r="M152" s="108"/>
      <c r="N152"/>
      <c r="O152"/>
      <c r="P152"/>
      <c r="Q152"/>
      <c r="R152"/>
      <c r="S152"/>
      <c r="T152"/>
      <c r="U152"/>
      <c r="V152"/>
      <c r="W152"/>
      <c r="X152"/>
      <c r="Y152"/>
      <c r="Z152"/>
      <c r="AA152"/>
      <c r="AB152"/>
      <c r="AC152"/>
      <c r="AD152"/>
    </row>
    <row r="153" spans="1:30" ht="12.75" customHeight="1">
      <c r="N153"/>
      <c r="O153"/>
      <c r="P153"/>
      <c r="Q153"/>
      <c r="R153"/>
      <c r="S153"/>
      <c r="T153"/>
      <c r="U153"/>
      <c r="V153"/>
      <c r="W153"/>
      <c r="X153"/>
      <c r="Y153"/>
      <c r="Z153"/>
      <c r="AA153"/>
      <c r="AB153"/>
      <c r="AC153"/>
      <c r="AD153"/>
    </row>
    <row r="154" spans="1:30" ht="12.75" customHeight="1">
      <c r="N154"/>
      <c r="O154"/>
      <c r="P154"/>
      <c r="Q154"/>
      <c r="R154"/>
      <c r="S154"/>
      <c r="T154"/>
      <c r="U154"/>
      <c r="V154"/>
      <c r="W154"/>
      <c r="X154"/>
      <c r="Y154"/>
      <c r="Z154"/>
      <c r="AA154"/>
      <c r="AB154"/>
      <c r="AC154"/>
      <c r="AD154"/>
    </row>
    <row r="155" spans="1:30" ht="12.75" customHeight="1">
      <c r="N155"/>
      <c r="O155"/>
      <c r="P155"/>
      <c r="Q155"/>
      <c r="R155"/>
      <c r="S155"/>
      <c r="T155"/>
      <c r="U155"/>
      <c r="V155"/>
      <c r="W155"/>
      <c r="X155"/>
      <c r="Y155"/>
      <c r="Z155"/>
      <c r="AA155"/>
      <c r="AB155"/>
      <c r="AC155"/>
      <c r="AD155"/>
    </row>
    <row r="156" spans="1:30" ht="12.75" customHeight="1">
      <c r="N156"/>
      <c r="O156"/>
      <c r="P156"/>
      <c r="Q156"/>
      <c r="R156"/>
      <c r="S156"/>
      <c r="T156"/>
      <c r="U156"/>
      <c r="V156"/>
      <c r="W156"/>
      <c r="X156"/>
      <c r="Y156"/>
      <c r="Z156"/>
      <c r="AA156"/>
      <c r="AB156"/>
      <c r="AC156"/>
      <c r="AD156"/>
    </row>
    <row r="157" spans="1:30" ht="12.75" customHeight="1">
      <c r="N157"/>
      <c r="O157"/>
      <c r="P157"/>
      <c r="Q157"/>
      <c r="R157"/>
      <c r="S157"/>
      <c r="T157"/>
      <c r="U157"/>
      <c r="V157"/>
      <c r="W157"/>
      <c r="X157"/>
      <c r="Y157"/>
      <c r="Z157"/>
      <c r="AA157"/>
      <c r="AB157"/>
      <c r="AC157"/>
      <c r="AD157"/>
    </row>
    <row r="158" spans="1:30" ht="12.75" customHeight="1">
      <c r="N158"/>
      <c r="O158"/>
      <c r="P158"/>
      <c r="Q158"/>
      <c r="R158"/>
      <c r="S158"/>
      <c r="T158"/>
      <c r="U158"/>
      <c r="V158"/>
      <c r="W158"/>
      <c r="X158"/>
      <c r="Y158"/>
      <c r="Z158"/>
      <c r="AA158"/>
      <c r="AB158"/>
      <c r="AC158"/>
      <c r="AD158"/>
    </row>
    <row r="159" spans="1:30" ht="12.75" customHeight="1">
      <c r="N159"/>
      <c r="O159"/>
      <c r="P159"/>
      <c r="Q159"/>
      <c r="R159"/>
      <c r="S159"/>
      <c r="T159"/>
      <c r="U159"/>
      <c r="V159"/>
      <c r="W159"/>
      <c r="X159"/>
      <c r="Y159"/>
      <c r="Z159"/>
      <c r="AA159"/>
      <c r="AB159"/>
      <c r="AC159"/>
      <c r="AD159"/>
    </row>
    <row r="160" spans="1:30" ht="12.75" customHeight="1">
      <c r="N160"/>
      <c r="O160"/>
      <c r="P160"/>
      <c r="Q160"/>
      <c r="R160"/>
      <c r="S160"/>
      <c r="T160"/>
      <c r="U160"/>
      <c r="V160"/>
      <c r="W160"/>
      <c r="X160"/>
      <c r="Y160"/>
      <c r="Z160"/>
      <c r="AA160"/>
      <c r="AB160"/>
      <c r="AC160"/>
      <c r="AD160"/>
    </row>
    <row r="161" spans="14:30" ht="12.75" customHeight="1">
      <c r="N161"/>
      <c r="O161"/>
      <c r="P161"/>
      <c r="Q161"/>
      <c r="R161"/>
      <c r="S161"/>
      <c r="T161"/>
      <c r="U161"/>
      <c r="V161"/>
      <c r="W161"/>
      <c r="X161"/>
      <c r="Y161"/>
      <c r="Z161"/>
      <c r="AA161"/>
      <c r="AB161"/>
      <c r="AC161"/>
      <c r="AD161"/>
    </row>
    <row r="162" spans="14:30" ht="12.75" customHeight="1">
      <c r="N162"/>
      <c r="O162"/>
      <c r="P162"/>
      <c r="Q162"/>
      <c r="R162"/>
      <c r="S162"/>
      <c r="T162"/>
      <c r="U162"/>
      <c r="V162"/>
      <c r="W162"/>
      <c r="X162"/>
      <c r="Y162"/>
      <c r="Z162"/>
      <c r="AA162"/>
      <c r="AB162"/>
      <c r="AC162"/>
      <c r="AD162"/>
    </row>
    <row r="163" spans="14:30" ht="12.75" customHeight="1">
      <c r="N163"/>
      <c r="O163"/>
      <c r="P163"/>
      <c r="Q163"/>
      <c r="R163"/>
      <c r="S163"/>
      <c r="T163"/>
      <c r="U163"/>
      <c r="V163"/>
      <c r="W163"/>
      <c r="X163"/>
      <c r="Y163"/>
      <c r="Z163"/>
      <c r="AA163"/>
      <c r="AB163"/>
      <c r="AC163"/>
      <c r="AD163"/>
    </row>
    <row r="164" spans="14:30" ht="12.75" customHeight="1">
      <c r="N164"/>
      <c r="O164"/>
      <c r="P164"/>
      <c r="Q164"/>
      <c r="R164"/>
      <c r="S164"/>
      <c r="T164"/>
      <c r="U164"/>
      <c r="V164"/>
      <c r="W164"/>
      <c r="X164"/>
      <c r="Y164"/>
      <c r="Z164"/>
      <c r="AA164"/>
      <c r="AB164"/>
      <c r="AC164"/>
      <c r="AD164"/>
    </row>
    <row r="165" spans="14:30" ht="12.75" customHeight="1">
      <c r="N165"/>
      <c r="O165"/>
      <c r="P165"/>
      <c r="Q165"/>
      <c r="R165"/>
      <c r="S165"/>
      <c r="T165"/>
      <c r="U165"/>
      <c r="V165"/>
      <c r="W165"/>
      <c r="X165"/>
      <c r="Y165"/>
      <c r="Z165"/>
      <c r="AA165"/>
      <c r="AB165"/>
      <c r="AC165"/>
      <c r="AD165"/>
    </row>
    <row r="166" spans="14:30" ht="12.75" customHeight="1">
      <c r="N166"/>
      <c r="O166"/>
      <c r="P166"/>
      <c r="Q166"/>
      <c r="R166"/>
      <c r="S166"/>
      <c r="T166"/>
      <c r="U166"/>
      <c r="V166"/>
      <c r="W166"/>
      <c r="X166"/>
      <c r="Y166"/>
      <c r="Z166"/>
      <c r="AA166"/>
      <c r="AB166"/>
      <c r="AC166"/>
      <c r="AD166"/>
    </row>
    <row r="167" spans="14:30" ht="12.75" customHeight="1">
      <c r="N167"/>
      <c r="O167"/>
      <c r="P167"/>
      <c r="Q167"/>
      <c r="R167"/>
      <c r="S167"/>
      <c r="T167"/>
      <c r="U167"/>
      <c r="V167"/>
      <c r="W167"/>
      <c r="X167"/>
      <c r="Y167"/>
      <c r="Z167"/>
      <c r="AA167"/>
      <c r="AB167"/>
      <c r="AC167"/>
      <c r="AD167"/>
    </row>
    <row r="168" spans="14:30" ht="12.75" customHeight="1">
      <c r="N168"/>
      <c r="O168"/>
      <c r="P168"/>
      <c r="Q168"/>
      <c r="R168"/>
      <c r="S168"/>
      <c r="T168"/>
      <c r="U168"/>
      <c r="V168"/>
      <c r="W168"/>
      <c r="X168"/>
      <c r="Y168"/>
      <c r="Z168"/>
      <c r="AA168"/>
      <c r="AB168"/>
      <c r="AC168"/>
      <c r="AD168"/>
    </row>
    <row r="169" spans="14:30" ht="12.75" customHeight="1">
      <c r="N169"/>
      <c r="O169"/>
      <c r="P169"/>
      <c r="Q169"/>
      <c r="R169"/>
      <c r="S169"/>
      <c r="T169"/>
      <c r="U169"/>
      <c r="V169"/>
      <c r="W169"/>
      <c r="X169"/>
      <c r="Y169"/>
      <c r="Z169"/>
      <c r="AA169"/>
      <c r="AB169"/>
      <c r="AC169"/>
      <c r="AD169"/>
    </row>
    <row r="170" spans="14:30" ht="12.75" customHeight="1">
      <c r="N170"/>
      <c r="O170"/>
      <c r="P170"/>
      <c r="Q170"/>
      <c r="R170"/>
      <c r="S170"/>
      <c r="T170"/>
      <c r="U170"/>
      <c r="V170"/>
      <c r="W170"/>
      <c r="X170"/>
      <c r="Y170"/>
      <c r="Z170"/>
      <c r="AA170"/>
      <c r="AB170"/>
      <c r="AC170"/>
      <c r="AD170"/>
    </row>
    <row r="171" spans="14:30" ht="12.75" customHeight="1">
      <c r="N171"/>
      <c r="O171"/>
      <c r="P171"/>
      <c r="Q171"/>
      <c r="R171"/>
      <c r="S171"/>
      <c r="T171"/>
      <c r="U171"/>
      <c r="V171"/>
      <c r="W171"/>
      <c r="X171"/>
      <c r="Y171"/>
      <c r="Z171"/>
      <c r="AA171"/>
      <c r="AB171"/>
      <c r="AC171"/>
      <c r="AD171"/>
    </row>
    <row r="172" spans="14:30" ht="12.75" customHeight="1">
      <c r="N172"/>
      <c r="O172"/>
      <c r="P172"/>
      <c r="Q172"/>
      <c r="R172"/>
      <c r="S172"/>
      <c r="T172"/>
      <c r="U172"/>
      <c r="V172"/>
      <c r="W172"/>
      <c r="X172"/>
      <c r="Y172"/>
      <c r="Z172"/>
      <c r="AA172"/>
      <c r="AB172"/>
      <c r="AC172"/>
      <c r="AD172"/>
    </row>
    <row r="173" spans="14:30" ht="12.75" customHeight="1">
      <c r="N173"/>
      <c r="O173"/>
      <c r="P173"/>
      <c r="Q173"/>
      <c r="R173"/>
      <c r="S173"/>
      <c r="T173"/>
      <c r="U173"/>
      <c r="V173"/>
      <c r="W173"/>
      <c r="X173"/>
      <c r="Y173"/>
      <c r="Z173"/>
      <c r="AA173"/>
      <c r="AB173"/>
      <c r="AC173"/>
      <c r="AD173"/>
    </row>
    <row r="174" spans="14:30" ht="12.75" customHeight="1">
      <c r="N174"/>
      <c r="O174"/>
      <c r="P174"/>
      <c r="Q174"/>
      <c r="R174"/>
      <c r="S174"/>
      <c r="T174"/>
      <c r="U174"/>
      <c r="V174"/>
      <c r="W174"/>
      <c r="X174"/>
      <c r="Y174"/>
      <c r="Z174"/>
      <c r="AA174"/>
      <c r="AB174"/>
      <c r="AC174"/>
      <c r="AD174"/>
    </row>
    <row r="175" spans="14:30" ht="12.75" customHeight="1">
      <c r="N175"/>
      <c r="O175"/>
      <c r="P175"/>
      <c r="Q175"/>
      <c r="R175"/>
      <c r="S175"/>
      <c r="T175"/>
      <c r="U175"/>
      <c r="V175"/>
      <c r="W175"/>
      <c r="X175"/>
      <c r="Y175"/>
      <c r="Z175"/>
      <c r="AA175"/>
      <c r="AB175"/>
      <c r="AC175"/>
      <c r="AD175"/>
    </row>
    <row r="176" spans="14:30" ht="12.75" customHeight="1">
      <c r="N176"/>
      <c r="O176"/>
      <c r="P176"/>
      <c r="Q176"/>
      <c r="R176"/>
      <c r="S176"/>
      <c r="T176"/>
      <c r="U176"/>
      <c r="V176"/>
      <c r="W176"/>
      <c r="X176"/>
      <c r="Y176"/>
      <c r="Z176"/>
      <c r="AA176"/>
      <c r="AB176"/>
      <c r="AC176"/>
      <c r="AD176"/>
    </row>
    <row r="177" spans="14:30" ht="12.75" customHeight="1">
      <c r="N177"/>
      <c r="O177"/>
      <c r="P177"/>
      <c r="Q177"/>
      <c r="R177"/>
      <c r="S177"/>
      <c r="T177"/>
      <c r="U177"/>
      <c r="V177"/>
      <c r="W177"/>
      <c r="X177"/>
      <c r="Y177"/>
      <c r="Z177"/>
      <c r="AA177"/>
      <c r="AB177"/>
      <c r="AC177"/>
      <c r="AD177"/>
    </row>
    <row r="178" spans="14:30" ht="12.75" customHeight="1">
      <c r="N178"/>
      <c r="O178"/>
      <c r="P178"/>
      <c r="Q178"/>
      <c r="R178"/>
      <c r="S178"/>
      <c r="T178"/>
      <c r="U178"/>
      <c r="V178"/>
      <c r="W178"/>
      <c r="X178"/>
      <c r="Y178"/>
      <c r="Z178"/>
      <c r="AA178"/>
      <c r="AB178"/>
      <c r="AC178"/>
      <c r="AD178"/>
    </row>
    <row r="179" spans="14:30" ht="12.75" customHeight="1">
      <c r="N179"/>
      <c r="O179"/>
      <c r="P179"/>
      <c r="Q179"/>
      <c r="R179"/>
      <c r="S179"/>
      <c r="T179"/>
      <c r="U179"/>
      <c r="V179"/>
      <c r="W179"/>
      <c r="X179"/>
      <c r="Y179"/>
      <c r="Z179"/>
      <c r="AA179"/>
      <c r="AB179"/>
      <c r="AC179"/>
      <c r="AD179"/>
    </row>
    <row r="180" spans="14:30" ht="12.75" customHeight="1">
      <c r="N180"/>
      <c r="O180"/>
      <c r="P180"/>
      <c r="Q180"/>
      <c r="R180"/>
      <c r="S180"/>
      <c r="T180"/>
      <c r="U180"/>
      <c r="V180"/>
      <c r="W180"/>
      <c r="X180"/>
      <c r="Y180"/>
      <c r="Z180"/>
      <c r="AA180"/>
      <c r="AB180"/>
      <c r="AC180"/>
      <c r="AD180"/>
    </row>
    <row r="181" spans="14:30" ht="12.75" customHeight="1">
      <c r="N181"/>
      <c r="O181"/>
      <c r="P181"/>
      <c r="Q181"/>
      <c r="R181"/>
      <c r="S181"/>
      <c r="T181"/>
      <c r="U181"/>
      <c r="V181"/>
      <c r="W181"/>
      <c r="X181"/>
      <c r="Y181"/>
      <c r="Z181"/>
      <c r="AA181"/>
      <c r="AB181"/>
      <c r="AC181"/>
      <c r="AD181"/>
    </row>
    <row r="182" spans="14:30" ht="12.75" customHeight="1">
      <c r="N182"/>
      <c r="O182"/>
      <c r="P182"/>
      <c r="Q182"/>
      <c r="R182"/>
      <c r="S182"/>
      <c r="T182"/>
      <c r="U182"/>
      <c r="V182"/>
      <c r="W182"/>
      <c r="X182"/>
      <c r="Y182"/>
      <c r="Z182"/>
      <c r="AA182"/>
      <c r="AB182"/>
      <c r="AC182"/>
      <c r="AD182"/>
    </row>
    <row r="183" spans="14:30" ht="12.75" customHeight="1">
      <c r="N183"/>
      <c r="O183"/>
      <c r="P183"/>
      <c r="Q183"/>
      <c r="R183"/>
      <c r="S183"/>
      <c r="T183"/>
      <c r="U183"/>
      <c r="V183"/>
      <c r="W183"/>
      <c r="X183"/>
      <c r="Y183"/>
      <c r="Z183"/>
      <c r="AA183"/>
      <c r="AB183"/>
      <c r="AC183"/>
      <c r="AD183"/>
    </row>
    <row r="184" spans="14:30" ht="12.75" customHeight="1">
      <c r="N184"/>
      <c r="O184"/>
      <c r="P184"/>
      <c r="Q184"/>
      <c r="R184"/>
      <c r="S184"/>
      <c r="T184"/>
      <c r="U184"/>
      <c r="V184"/>
      <c r="W184"/>
      <c r="X184"/>
      <c r="Y184"/>
      <c r="Z184"/>
      <c r="AA184"/>
      <c r="AB184"/>
      <c r="AC184"/>
      <c r="AD184"/>
    </row>
    <row r="185" spans="14:30" ht="12.75" customHeight="1">
      <c r="N185"/>
      <c r="O185"/>
      <c r="P185"/>
      <c r="Q185"/>
      <c r="R185"/>
      <c r="S185"/>
      <c r="T185"/>
      <c r="U185"/>
      <c r="V185"/>
      <c r="W185"/>
      <c r="X185"/>
      <c r="Y185"/>
      <c r="Z185"/>
      <c r="AA185"/>
      <c r="AB185"/>
      <c r="AC185"/>
      <c r="AD185"/>
    </row>
    <row r="186" spans="14:30" ht="12.75" customHeight="1">
      <c r="N186"/>
      <c r="O186"/>
      <c r="P186"/>
      <c r="Q186"/>
      <c r="R186"/>
      <c r="S186"/>
      <c r="T186"/>
      <c r="U186"/>
      <c r="V186"/>
      <c r="W186"/>
      <c r="X186"/>
      <c r="Y186"/>
      <c r="Z186"/>
      <c r="AA186"/>
      <c r="AB186"/>
      <c r="AC186"/>
      <c r="AD186"/>
    </row>
    <row r="187" spans="14:30" ht="12.75" customHeight="1">
      <c r="N187"/>
      <c r="O187"/>
      <c r="P187"/>
      <c r="Q187"/>
      <c r="R187"/>
      <c r="S187"/>
      <c r="T187"/>
      <c r="U187"/>
      <c r="V187"/>
      <c r="W187"/>
      <c r="X187"/>
      <c r="Y187"/>
      <c r="Z187"/>
      <c r="AA187"/>
      <c r="AB187"/>
      <c r="AC187"/>
      <c r="AD187"/>
    </row>
    <row r="188" spans="14:30" ht="12.75" customHeight="1">
      <c r="N188"/>
      <c r="O188"/>
      <c r="P188"/>
      <c r="Q188"/>
      <c r="R188"/>
      <c r="S188"/>
      <c r="T188"/>
      <c r="U188"/>
      <c r="V188"/>
      <c r="W188"/>
      <c r="X188"/>
      <c r="Y188"/>
      <c r="Z188"/>
      <c r="AA188"/>
      <c r="AB188"/>
      <c r="AC188"/>
      <c r="AD188"/>
    </row>
    <row r="189" spans="14:30" ht="12.75" customHeight="1">
      <c r="N189"/>
      <c r="O189"/>
      <c r="P189"/>
      <c r="Q189"/>
      <c r="R189"/>
      <c r="S189"/>
      <c r="T189"/>
      <c r="U189"/>
      <c r="V189"/>
      <c r="W189"/>
      <c r="X189"/>
      <c r="Y189"/>
      <c r="Z189"/>
      <c r="AA189"/>
      <c r="AB189"/>
      <c r="AC189"/>
      <c r="AD189"/>
    </row>
    <row r="190" spans="14:30" ht="12.75" customHeight="1">
      <c r="N190"/>
      <c r="O190"/>
      <c r="P190"/>
      <c r="Q190"/>
      <c r="R190"/>
      <c r="S190"/>
      <c r="T190"/>
      <c r="U190"/>
      <c r="V190"/>
      <c r="W190"/>
      <c r="X190"/>
      <c r="Y190"/>
      <c r="Z190"/>
      <c r="AA190"/>
      <c r="AB190"/>
      <c r="AC190"/>
      <c r="AD190"/>
    </row>
    <row r="191" spans="14:30" ht="12.75" customHeight="1">
      <c r="N191"/>
      <c r="O191"/>
      <c r="P191"/>
      <c r="Q191"/>
      <c r="R191"/>
      <c r="S191"/>
      <c r="T191"/>
      <c r="U191"/>
      <c r="V191"/>
      <c r="W191"/>
      <c r="X191"/>
      <c r="Y191"/>
      <c r="Z191"/>
      <c r="AA191"/>
      <c r="AB191"/>
      <c r="AC191"/>
      <c r="AD191"/>
    </row>
    <row r="192" spans="14:30" ht="12.75" customHeight="1">
      <c r="N192"/>
      <c r="O192"/>
      <c r="P192"/>
      <c r="Q192"/>
      <c r="R192"/>
      <c r="S192"/>
      <c r="T192"/>
      <c r="U192"/>
      <c r="V192"/>
      <c r="W192"/>
      <c r="X192"/>
      <c r="Y192"/>
      <c r="Z192"/>
      <c r="AA192"/>
      <c r="AB192"/>
      <c r="AC192"/>
      <c r="AD192"/>
    </row>
    <row r="193" spans="14:30" ht="12.75" customHeight="1">
      <c r="N193"/>
      <c r="O193"/>
      <c r="P193"/>
      <c r="Q193"/>
      <c r="R193"/>
      <c r="S193"/>
      <c r="T193"/>
      <c r="U193"/>
      <c r="V193"/>
      <c r="W193"/>
      <c r="X193"/>
      <c r="Y193"/>
      <c r="Z193"/>
      <c r="AA193"/>
      <c r="AB193"/>
      <c r="AC193"/>
      <c r="AD193"/>
    </row>
    <row r="194" spans="14:30" ht="12.75" customHeight="1">
      <c r="N194"/>
      <c r="O194"/>
      <c r="P194"/>
      <c r="Q194"/>
      <c r="R194"/>
      <c r="S194"/>
      <c r="T194"/>
      <c r="U194"/>
      <c r="V194"/>
      <c r="W194"/>
      <c r="X194"/>
      <c r="Y194"/>
      <c r="Z194"/>
      <c r="AA194"/>
      <c r="AB194"/>
      <c r="AC194"/>
      <c r="AD194"/>
    </row>
    <row r="195" spans="14:30" ht="12.75" customHeight="1">
      <c r="N195"/>
      <c r="O195"/>
      <c r="P195"/>
      <c r="Q195"/>
      <c r="R195"/>
      <c r="S195"/>
      <c r="T195"/>
      <c r="U195"/>
      <c r="V195"/>
      <c r="W195"/>
      <c r="X195"/>
      <c r="Y195"/>
      <c r="Z195"/>
      <c r="AA195"/>
      <c r="AB195"/>
      <c r="AC195"/>
      <c r="AD195"/>
    </row>
    <row r="196" spans="14:30" ht="12.75" customHeight="1">
      <c r="N196"/>
      <c r="O196"/>
      <c r="P196"/>
      <c r="Q196"/>
      <c r="R196"/>
      <c r="S196"/>
      <c r="T196"/>
      <c r="U196"/>
      <c r="V196"/>
      <c r="W196"/>
      <c r="X196"/>
      <c r="Y196"/>
      <c r="Z196"/>
      <c r="AA196"/>
      <c r="AB196"/>
      <c r="AC196"/>
      <c r="AD196"/>
    </row>
    <row r="197" spans="14:30" ht="12.75" customHeight="1">
      <c r="N197"/>
      <c r="O197"/>
      <c r="P197"/>
      <c r="Q197"/>
      <c r="R197"/>
      <c r="S197"/>
      <c r="T197"/>
      <c r="U197"/>
      <c r="V197"/>
      <c r="W197"/>
      <c r="X197"/>
      <c r="Y197"/>
      <c r="Z197"/>
      <c r="AA197"/>
      <c r="AB197"/>
      <c r="AC197"/>
      <c r="AD197"/>
    </row>
    <row r="198" spans="14:30" ht="12.75" customHeight="1">
      <c r="N198"/>
      <c r="O198"/>
      <c r="P198"/>
      <c r="Q198"/>
      <c r="R198"/>
      <c r="S198"/>
      <c r="T198"/>
      <c r="U198"/>
      <c r="V198"/>
      <c r="W198"/>
      <c r="X198"/>
      <c r="Y198"/>
      <c r="Z198"/>
      <c r="AA198"/>
      <c r="AB198"/>
      <c r="AC198"/>
      <c r="AD198"/>
    </row>
    <row r="199" spans="14:30" ht="12.75" customHeight="1">
      <c r="N199"/>
      <c r="O199"/>
      <c r="P199"/>
      <c r="Q199"/>
      <c r="R199"/>
      <c r="S199"/>
      <c r="T199"/>
      <c r="U199"/>
      <c r="V199"/>
      <c r="W199"/>
      <c r="X199"/>
      <c r="Y199"/>
      <c r="Z199"/>
      <c r="AA199"/>
      <c r="AB199"/>
      <c r="AC199"/>
      <c r="AD199"/>
    </row>
    <row r="200" spans="14:30" ht="12.75" customHeight="1">
      <c r="N200"/>
      <c r="O200"/>
      <c r="P200"/>
      <c r="Q200"/>
      <c r="R200"/>
      <c r="S200"/>
      <c r="T200"/>
      <c r="U200"/>
      <c r="V200"/>
      <c r="W200"/>
      <c r="X200"/>
      <c r="Y200"/>
      <c r="Z200"/>
      <c r="AA200"/>
      <c r="AB200"/>
      <c r="AC200"/>
      <c r="AD200"/>
    </row>
    <row r="201" spans="14:30" ht="12.75" customHeight="1">
      <c r="N201"/>
      <c r="O201"/>
      <c r="P201"/>
      <c r="Q201"/>
      <c r="R201"/>
      <c r="S201"/>
      <c r="T201"/>
      <c r="U201"/>
      <c r="V201"/>
      <c r="W201"/>
      <c r="X201"/>
      <c r="Y201"/>
      <c r="Z201"/>
      <c r="AA201"/>
      <c r="AB201"/>
      <c r="AC201"/>
      <c r="AD201"/>
    </row>
    <row r="202" spans="14:30" ht="12.75" customHeight="1">
      <c r="N202"/>
      <c r="O202"/>
      <c r="P202"/>
      <c r="Q202"/>
      <c r="R202"/>
      <c r="S202"/>
      <c r="T202"/>
      <c r="U202"/>
      <c r="V202"/>
      <c r="W202"/>
      <c r="X202"/>
      <c r="Y202"/>
      <c r="Z202"/>
      <c r="AA202"/>
      <c r="AB202"/>
      <c r="AC202"/>
      <c r="AD202"/>
    </row>
    <row r="203" spans="14:30" ht="12.75" customHeight="1">
      <c r="N203"/>
      <c r="O203"/>
      <c r="P203"/>
      <c r="Q203"/>
      <c r="R203"/>
      <c r="S203"/>
      <c r="T203"/>
      <c r="U203"/>
      <c r="V203"/>
      <c r="W203"/>
      <c r="X203"/>
      <c r="Y203"/>
      <c r="Z203"/>
      <c r="AA203"/>
      <c r="AB203"/>
      <c r="AC203"/>
      <c r="AD203"/>
    </row>
    <row r="204" spans="14:30" ht="12.75" customHeight="1">
      <c r="N204"/>
      <c r="O204"/>
      <c r="P204"/>
      <c r="Q204"/>
      <c r="R204"/>
      <c r="S204"/>
      <c r="T204"/>
      <c r="U204"/>
      <c r="V204"/>
      <c r="W204"/>
      <c r="X204"/>
      <c r="Y204"/>
      <c r="Z204"/>
      <c r="AA204"/>
      <c r="AB204"/>
      <c r="AC204"/>
      <c r="AD204"/>
    </row>
    <row r="205" spans="14:30" ht="12.75" customHeight="1">
      <c r="N205"/>
      <c r="O205"/>
      <c r="P205"/>
      <c r="Q205"/>
      <c r="R205"/>
      <c r="S205"/>
      <c r="T205"/>
      <c r="U205"/>
      <c r="V205"/>
      <c r="W205"/>
      <c r="X205"/>
      <c r="Y205"/>
      <c r="Z205"/>
      <c r="AA205"/>
      <c r="AB205"/>
      <c r="AC205"/>
      <c r="AD205"/>
    </row>
    <row r="206" spans="14:30" ht="12.75" customHeight="1">
      <c r="N206"/>
      <c r="O206"/>
      <c r="P206"/>
      <c r="Q206"/>
      <c r="R206"/>
      <c r="S206"/>
      <c r="T206"/>
      <c r="U206"/>
      <c r="V206"/>
      <c r="W206"/>
      <c r="X206"/>
      <c r="Y206"/>
      <c r="Z206"/>
      <c r="AA206"/>
      <c r="AB206"/>
      <c r="AC206"/>
      <c r="AD206"/>
    </row>
    <row r="207" spans="14:30" ht="12.75" customHeight="1">
      <c r="N207"/>
      <c r="O207"/>
      <c r="P207"/>
      <c r="Q207"/>
      <c r="R207"/>
      <c r="S207"/>
      <c r="T207"/>
      <c r="U207"/>
      <c r="V207"/>
      <c r="W207"/>
      <c r="X207"/>
      <c r="Y207"/>
      <c r="Z207"/>
      <c r="AA207"/>
      <c r="AB207"/>
      <c r="AC207"/>
      <c r="AD207"/>
    </row>
    <row r="208" spans="14:30" ht="12.75" customHeight="1">
      <c r="N208"/>
      <c r="O208"/>
      <c r="P208"/>
      <c r="Q208"/>
      <c r="R208"/>
      <c r="S208"/>
      <c r="T208"/>
      <c r="U208"/>
      <c r="V208"/>
      <c r="W208"/>
      <c r="X208"/>
      <c r="Y208"/>
      <c r="Z208"/>
      <c r="AA208"/>
      <c r="AB208"/>
      <c r="AC208"/>
      <c r="AD208"/>
    </row>
    <row r="209" spans="14:30" ht="12.75" customHeight="1">
      <c r="N209"/>
      <c r="O209"/>
      <c r="P209"/>
      <c r="Q209"/>
      <c r="R209"/>
      <c r="S209"/>
      <c r="T209"/>
      <c r="U209"/>
      <c r="V209"/>
      <c r="W209"/>
      <c r="X209"/>
      <c r="Y209"/>
      <c r="Z209"/>
      <c r="AA209"/>
      <c r="AB209"/>
      <c r="AC209"/>
      <c r="AD209"/>
    </row>
    <row r="210" spans="14:30" ht="12.75" customHeight="1">
      <c r="N210"/>
      <c r="O210"/>
      <c r="P210"/>
      <c r="Q210"/>
      <c r="R210"/>
      <c r="S210"/>
      <c r="T210"/>
      <c r="U210"/>
      <c r="V210"/>
      <c r="W210"/>
      <c r="X210"/>
      <c r="Y210"/>
      <c r="Z210"/>
      <c r="AA210"/>
      <c r="AB210"/>
      <c r="AC210"/>
      <c r="AD210"/>
    </row>
    <row r="211" spans="14:30" ht="12.75" customHeight="1">
      <c r="N211"/>
      <c r="O211"/>
      <c r="P211"/>
      <c r="Q211"/>
      <c r="R211"/>
      <c r="S211"/>
      <c r="T211"/>
      <c r="U211"/>
      <c r="V211"/>
      <c r="W211"/>
      <c r="X211"/>
      <c r="Y211"/>
      <c r="Z211"/>
      <c r="AA211"/>
      <c r="AB211"/>
      <c r="AC211"/>
      <c r="AD211"/>
    </row>
    <row r="212" spans="14:30" ht="12.75" customHeight="1">
      <c r="N212"/>
      <c r="O212"/>
      <c r="P212"/>
      <c r="Q212"/>
      <c r="R212"/>
      <c r="S212"/>
      <c r="T212"/>
      <c r="U212"/>
      <c r="V212"/>
      <c r="W212"/>
      <c r="X212"/>
      <c r="Y212"/>
      <c r="Z212"/>
      <c r="AA212"/>
      <c r="AB212"/>
      <c r="AC212"/>
      <c r="AD212"/>
    </row>
    <row r="213" spans="14:30" ht="12.75" customHeight="1">
      <c r="N213"/>
      <c r="O213"/>
      <c r="P213"/>
      <c r="Q213"/>
      <c r="R213"/>
      <c r="S213"/>
      <c r="T213"/>
      <c r="U213"/>
      <c r="V213"/>
      <c r="W213"/>
      <c r="X213"/>
      <c r="Y213"/>
      <c r="Z213"/>
      <c r="AA213"/>
      <c r="AB213"/>
      <c r="AC213"/>
      <c r="AD213"/>
    </row>
    <row r="214" spans="14:30" ht="12.75" customHeight="1">
      <c r="N214"/>
      <c r="O214"/>
      <c r="P214"/>
      <c r="Q214"/>
      <c r="R214"/>
      <c r="S214"/>
      <c r="T214"/>
      <c r="U214"/>
      <c r="V214"/>
      <c r="W214"/>
      <c r="X214"/>
      <c r="Y214"/>
      <c r="Z214"/>
      <c r="AA214"/>
      <c r="AB214"/>
      <c r="AC214"/>
      <c r="AD214"/>
    </row>
    <row r="215" spans="14:30" ht="12.75" customHeight="1">
      <c r="N215"/>
      <c r="O215"/>
      <c r="P215"/>
      <c r="Q215"/>
      <c r="R215"/>
      <c r="S215"/>
      <c r="T215"/>
      <c r="U215"/>
      <c r="V215"/>
      <c r="W215"/>
      <c r="X215"/>
      <c r="Y215"/>
      <c r="Z215"/>
      <c r="AA215"/>
      <c r="AB215"/>
      <c r="AC215"/>
      <c r="AD215"/>
    </row>
    <row r="216" spans="14:30" ht="12.75" customHeight="1">
      <c r="N216"/>
      <c r="O216"/>
      <c r="P216"/>
      <c r="Q216"/>
      <c r="R216"/>
      <c r="S216"/>
      <c r="T216"/>
      <c r="U216"/>
      <c r="V216"/>
      <c r="W216"/>
      <c r="X216"/>
      <c r="Y216"/>
      <c r="Z216"/>
      <c r="AA216"/>
      <c r="AB216"/>
      <c r="AC216"/>
      <c r="AD216"/>
    </row>
    <row r="217" spans="14:30" ht="12.75" customHeight="1">
      <c r="N217"/>
      <c r="O217"/>
      <c r="P217"/>
      <c r="Q217"/>
      <c r="R217"/>
      <c r="S217"/>
      <c r="T217"/>
      <c r="U217"/>
      <c r="V217"/>
      <c r="W217"/>
      <c r="X217"/>
      <c r="Y217"/>
      <c r="Z217"/>
      <c r="AA217"/>
      <c r="AB217"/>
      <c r="AC217"/>
      <c r="AD217"/>
    </row>
    <row r="218" spans="14:30" ht="12.75" customHeight="1">
      <c r="N218"/>
      <c r="O218"/>
      <c r="P218"/>
      <c r="Q218"/>
      <c r="R218"/>
      <c r="S218"/>
      <c r="T218"/>
      <c r="U218"/>
      <c r="V218"/>
      <c r="W218"/>
      <c r="X218"/>
      <c r="Y218"/>
      <c r="Z218"/>
      <c r="AA218"/>
      <c r="AB218"/>
      <c r="AC218"/>
      <c r="AD218"/>
    </row>
    <row r="219" spans="14:30" ht="12.75" customHeight="1">
      <c r="N219"/>
      <c r="O219"/>
      <c r="P219"/>
      <c r="Q219"/>
      <c r="R219"/>
      <c r="S219"/>
      <c r="T219"/>
      <c r="U219"/>
      <c r="V219"/>
      <c r="W219"/>
      <c r="X219"/>
      <c r="Y219"/>
      <c r="Z219"/>
      <c r="AA219"/>
      <c r="AB219"/>
      <c r="AC219"/>
      <c r="AD219"/>
    </row>
    <row r="220" spans="14:30" ht="12.75" customHeight="1">
      <c r="N220"/>
      <c r="O220"/>
      <c r="P220"/>
      <c r="Q220"/>
      <c r="R220"/>
      <c r="S220"/>
      <c r="T220"/>
      <c r="U220"/>
      <c r="V220"/>
      <c r="W220"/>
      <c r="X220"/>
      <c r="Y220"/>
      <c r="Z220"/>
      <c r="AA220"/>
      <c r="AB220"/>
      <c r="AC220"/>
      <c r="AD220"/>
    </row>
    <row r="221" spans="14:30" ht="12.75" customHeight="1">
      <c r="N221"/>
      <c r="O221"/>
      <c r="P221"/>
      <c r="Q221"/>
      <c r="R221"/>
      <c r="S221"/>
      <c r="T221"/>
      <c r="U221"/>
      <c r="V221"/>
      <c r="W221"/>
      <c r="X221"/>
      <c r="Y221"/>
      <c r="Z221"/>
      <c r="AA221"/>
      <c r="AB221"/>
      <c r="AC221"/>
      <c r="AD221"/>
    </row>
    <row r="222" spans="14:30" ht="12.75" customHeight="1">
      <c r="N222"/>
      <c r="O222"/>
      <c r="P222"/>
      <c r="Q222"/>
      <c r="R222"/>
      <c r="S222"/>
      <c r="T222"/>
      <c r="U222"/>
      <c r="V222"/>
      <c r="W222"/>
      <c r="X222"/>
      <c r="Y222"/>
      <c r="Z222"/>
      <c r="AA222"/>
      <c r="AB222"/>
      <c r="AC222"/>
      <c r="AD222"/>
    </row>
    <row r="223" spans="14:30" ht="12.75" customHeight="1">
      <c r="N223"/>
      <c r="O223"/>
      <c r="P223"/>
      <c r="Q223"/>
      <c r="R223"/>
      <c r="S223"/>
      <c r="T223"/>
      <c r="U223"/>
      <c r="V223"/>
      <c r="W223"/>
      <c r="X223"/>
      <c r="Y223"/>
      <c r="Z223"/>
      <c r="AA223"/>
      <c r="AB223"/>
      <c r="AC223"/>
      <c r="AD223"/>
    </row>
    <row r="224" spans="14:30" ht="12.75" customHeight="1">
      <c r="N224"/>
      <c r="O224"/>
      <c r="P224"/>
      <c r="Q224"/>
      <c r="R224"/>
      <c r="S224"/>
      <c r="T224"/>
      <c r="U224"/>
      <c r="V224"/>
      <c r="W224"/>
      <c r="X224"/>
      <c r="Y224"/>
      <c r="Z224"/>
      <c r="AA224"/>
      <c r="AB224"/>
      <c r="AC224"/>
      <c r="AD224"/>
    </row>
    <row r="225" spans="14:30" ht="12.75" customHeight="1">
      <c r="N225"/>
      <c r="O225"/>
      <c r="P225"/>
      <c r="Q225"/>
      <c r="R225"/>
      <c r="S225"/>
      <c r="T225"/>
      <c r="U225"/>
      <c r="V225"/>
      <c r="W225"/>
      <c r="X225"/>
      <c r="Y225"/>
      <c r="Z225"/>
      <c r="AA225"/>
      <c r="AB225"/>
      <c r="AC225"/>
      <c r="AD225"/>
    </row>
    <row r="226" spans="14:30" ht="12.75" customHeight="1">
      <c r="N226"/>
      <c r="O226"/>
      <c r="P226"/>
      <c r="Q226"/>
      <c r="R226"/>
      <c r="S226"/>
      <c r="T226"/>
      <c r="U226"/>
      <c r="V226"/>
      <c r="W226"/>
      <c r="X226"/>
      <c r="Y226"/>
      <c r="Z226"/>
      <c r="AA226"/>
      <c r="AB226"/>
      <c r="AC226"/>
      <c r="AD226"/>
    </row>
    <row r="227" spans="14:30" ht="12.75" customHeight="1">
      <c r="N227"/>
      <c r="O227"/>
      <c r="P227"/>
      <c r="Q227"/>
      <c r="R227"/>
      <c r="S227"/>
      <c r="T227"/>
      <c r="U227"/>
      <c r="V227"/>
      <c r="W227"/>
      <c r="X227"/>
      <c r="Y227"/>
      <c r="Z227"/>
      <c r="AA227"/>
      <c r="AB227"/>
      <c r="AC227"/>
      <c r="AD227"/>
    </row>
    <row r="228" spans="14:30" ht="12.75" customHeight="1">
      <c r="N228"/>
      <c r="O228"/>
      <c r="P228"/>
      <c r="Q228"/>
      <c r="R228"/>
      <c r="S228"/>
      <c r="T228"/>
      <c r="U228"/>
      <c r="V228"/>
      <c r="W228"/>
      <c r="X228"/>
      <c r="Y228"/>
      <c r="Z228"/>
      <c r="AA228"/>
      <c r="AB228"/>
      <c r="AC228"/>
      <c r="AD228"/>
    </row>
    <row r="229" spans="14:30" ht="12.75" customHeight="1">
      <c r="N229"/>
      <c r="O229"/>
      <c r="P229"/>
      <c r="Q229"/>
      <c r="R229"/>
      <c r="S229"/>
      <c r="T229"/>
      <c r="U229"/>
      <c r="V229"/>
      <c r="W229"/>
      <c r="X229"/>
      <c r="Y229"/>
      <c r="Z229"/>
      <c r="AA229"/>
      <c r="AB229"/>
      <c r="AC229"/>
      <c r="AD229"/>
    </row>
    <row r="230" spans="14:30" ht="12.75" customHeight="1">
      <c r="N230"/>
      <c r="O230"/>
      <c r="P230"/>
      <c r="Q230"/>
      <c r="R230"/>
      <c r="S230"/>
      <c r="T230"/>
      <c r="U230"/>
      <c r="V230"/>
      <c r="W230"/>
      <c r="X230"/>
      <c r="Y230"/>
      <c r="Z230"/>
      <c r="AA230"/>
      <c r="AB230"/>
      <c r="AC230"/>
      <c r="AD230"/>
    </row>
    <row r="231" spans="14:30" ht="12.75" customHeight="1">
      <c r="N231"/>
      <c r="O231"/>
      <c r="P231"/>
      <c r="Q231"/>
      <c r="R231"/>
      <c r="S231"/>
      <c r="T231"/>
      <c r="U231"/>
      <c r="V231"/>
      <c r="W231"/>
      <c r="X231"/>
      <c r="Y231"/>
      <c r="Z231"/>
      <c r="AA231"/>
      <c r="AB231"/>
      <c r="AC231"/>
      <c r="AD231"/>
    </row>
    <row r="232" spans="14:30" ht="12.75" customHeight="1">
      <c r="N232"/>
      <c r="O232"/>
      <c r="P232"/>
      <c r="Q232"/>
      <c r="R232"/>
      <c r="S232"/>
      <c r="T232"/>
      <c r="U232"/>
      <c r="V232"/>
      <c r="W232"/>
      <c r="X232"/>
      <c r="Y232"/>
      <c r="Z232"/>
      <c r="AA232"/>
      <c r="AB232"/>
      <c r="AC232"/>
      <c r="AD232"/>
    </row>
    <row r="233" spans="14:30" ht="12.75" customHeight="1">
      <c r="N233"/>
      <c r="O233"/>
      <c r="P233"/>
      <c r="Q233"/>
      <c r="R233"/>
      <c r="S233"/>
      <c r="T233"/>
      <c r="U233"/>
      <c r="V233"/>
      <c r="W233"/>
      <c r="X233"/>
      <c r="Y233"/>
      <c r="Z233"/>
      <c r="AA233"/>
      <c r="AB233"/>
      <c r="AC233"/>
      <c r="AD233"/>
    </row>
    <row r="234" spans="14:30" ht="12.75" customHeight="1">
      <c r="N234"/>
      <c r="O234"/>
      <c r="P234"/>
      <c r="Q234"/>
      <c r="R234"/>
      <c r="S234"/>
      <c r="T234"/>
      <c r="U234"/>
      <c r="V234"/>
      <c r="W234"/>
      <c r="X234"/>
      <c r="Y234"/>
      <c r="Z234"/>
      <c r="AA234"/>
      <c r="AB234"/>
      <c r="AC234"/>
      <c r="AD234"/>
    </row>
    <row r="235" spans="14:30" ht="12.75" customHeight="1">
      <c r="N235"/>
      <c r="O235"/>
      <c r="P235"/>
      <c r="Q235"/>
      <c r="R235"/>
      <c r="S235"/>
      <c r="T235"/>
      <c r="U235"/>
      <c r="V235"/>
      <c r="W235"/>
      <c r="X235"/>
      <c r="Y235"/>
      <c r="Z235"/>
      <c r="AA235"/>
      <c r="AB235"/>
      <c r="AC235"/>
      <c r="AD235"/>
    </row>
    <row r="236" spans="14:30" ht="12.75" customHeight="1">
      <c r="N236"/>
      <c r="O236"/>
      <c r="P236"/>
      <c r="Q236"/>
      <c r="R236"/>
      <c r="S236"/>
      <c r="T236"/>
      <c r="U236"/>
      <c r="V236"/>
      <c r="W236"/>
      <c r="X236"/>
      <c r="Y236"/>
      <c r="Z236"/>
      <c r="AA236"/>
      <c r="AB236"/>
      <c r="AC236"/>
      <c r="AD236"/>
    </row>
    <row r="237" spans="14:30" ht="12.75" customHeight="1">
      <c r="N237"/>
      <c r="O237"/>
      <c r="P237"/>
      <c r="Q237"/>
      <c r="R237"/>
      <c r="S237"/>
      <c r="T237"/>
      <c r="U237"/>
      <c r="V237"/>
      <c r="W237"/>
      <c r="X237"/>
      <c r="Y237"/>
      <c r="Z237"/>
      <c r="AA237"/>
      <c r="AB237"/>
      <c r="AC237"/>
      <c r="AD237"/>
    </row>
    <row r="238" spans="14:30" ht="12.75" customHeight="1">
      <c r="N238"/>
      <c r="O238"/>
      <c r="P238"/>
      <c r="Q238"/>
      <c r="R238"/>
      <c r="S238"/>
      <c r="T238"/>
      <c r="U238"/>
      <c r="V238"/>
      <c r="W238"/>
      <c r="X238"/>
      <c r="Y238"/>
      <c r="Z238"/>
      <c r="AA238"/>
      <c r="AB238"/>
      <c r="AC238"/>
      <c r="AD238"/>
    </row>
    <row r="239" spans="14:30" ht="12.75" customHeight="1">
      <c r="N239"/>
      <c r="O239"/>
      <c r="P239"/>
      <c r="Q239"/>
      <c r="R239"/>
      <c r="S239"/>
      <c r="T239"/>
      <c r="U239"/>
      <c r="V239"/>
      <c r="W239"/>
      <c r="X239"/>
      <c r="Y239"/>
      <c r="Z239"/>
      <c r="AA239"/>
      <c r="AB239"/>
      <c r="AC239"/>
      <c r="AD239"/>
    </row>
    <row r="240" spans="14:30" ht="12.75" customHeight="1">
      <c r="N240"/>
      <c r="O240"/>
      <c r="P240"/>
      <c r="Q240"/>
      <c r="R240"/>
      <c r="S240"/>
      <c r="T240"/>
      <c r="U240"/>
      <c r="V240"/>
      <c r="W240"/>
      <c r="X240"/>
      <c r="Y240"/>
      <c r="Z240"/>
      <c r="AA240"/>
      <c r="AB240"/>
      <c r="AC240"/>
      <c r="AD240"/>
    </row>
    <row r="241" spans="14:30" ht="12.75" customHeight="1">
      <c r="N241"/>
      <c r="O241"/>
      <c r="P241"/>
      <c r="Q241"/>
      <c r="R241"/>
      <c r="S241"/>
      <c r="T241"/>
      <c r="U241"/>
      <c r="V241"/>
      <c r="W241"/>
      <c r="X241"/>
      <c r="Y241"/>
      <c r="Z241"/>
      <c r="AA241"/>
      <c r="AB241"/>
      <c r="AC241"/>
      <c r="AD241"/>
    </row>
    <row r="242" spans="14:30" ht="12.75" customHeight="1">
      <c r="N242"/>
      <c r="O242"/>
      <c r="P242"/>
      <c r="Q242"/>
      <c r="R242"/>
      <c r="S242"/>
      <c r="T242"/>
      <c r="U242"/>
      <c r="V242"/>
      <c r="W242"/>
      <c r="X242"/>
      <c r="Y242"/>
      <c r="Z242"/>
      <c r="AA242"/>
      <c r="AB242"/>
      <c r="AC242"/>
      <c r="AD242"/>
    </row>
    <row r="243" spans="14:30" ht="12.75" customHeight="1">
      <c r="N243"/>
      <c r="O243"/>
      <c r="P243"/>
      <c r="Q243"/>
      <c r="R243"/>
      <c r="S243"/>
      <c r="T243"/>
      <c r="U243"/>
      <c r="V243"/>
      <c r="W243"/>
      <c r="X243"/>
      <c r="Y243"/>
      <c r="Z243"/>
      <c r="AA243"/>
      <c r="AB243"/>
      <c r="AC243"/>
      <c r="AD243"/>
    </row>
    <row r="244" spans="14:30" ht="12.75" customHeight="1">
      <c r="N244"/>
      <c r="O244"/>
      <c r="P244"/>
      <c r="Q244"/>
      <c r="R244"/>
      <c r="S244"/>
      <c r="T244"/>
      <c r="U244"/>
      <c r="V244"/>
      <c r="W244"/>
      <c r="X244"/>
      <c r="Y244"/>
      <c r="Z244"/>
      <c r="AA244"/>
      <c r="AB244"/>
      <c r="AC244"/>
      <c r="AD244"/>
    </row>
    <row r="245" spans="14:30" ht="12.75" customHeight="1">
      <c r="N245"/>
      <c r="O245"/>
      <c r="P245"/>
      <c r="Q245"/>
      <c r="R245"/>
      <c r="S245"/>
      <c r="T245"/>
      <c r="U245"/>
      <c r="V245"/>
      <c r="W245"/>
      <c r="X245"/>
      <c r="Y245"/>
      <c r="Z245"/>
      <c r="AA245"/>
      <c r="AB245"/>
      <c r="AC245"/>
      <c r="AD245"/>
    </row>
    <row r="246" spans="14:30" ht="12.75" customHeight="1">
      <c r="N246"/>
      <c r="O246"/>
      <c r="P246"/>
      <c r="Q246"/>
      <c r="R246"/>
      <c r="S246"/>
      <c r="T246"/>
      <c r="U246"/>
      <c r="V246"/>
      <c r="W246"/>
      <c r="X246"/>
      <c r="Y246"/>
      <c r="Z246"/>
      <c r="AA246"/>
      <c r="AB246"/>
      <c r="AC246"/>
      <c r="AD246"/>
    </row>
    <row r="247" spans="14:30" ht="12.75" customHeight="1">
      <c r="N247"/>
      <c r="O247"/>
      <c r="P247"/>
      <c r="Q247"/>
      <c r="R247"/>
      <c r="S247"/>
      <c r="T247"/>
      <c r="U247"/>
      <c r="V247"/>
      <c r="W247"/>
      <c r="X247"/>
      <c r="Y247"/>
      <c r="Z247"/>
      <c r="AA247"/>
      <c r="AB247"/>
      <c r="AC247"/>
      <c r="AD247"/>
    </row>
    <row r="248" spans="14:30" ht="12.75" customHeight="1">
      <c r="N248"/>
      <c r="O248"/>
      <c r="P248"/>
      <c r="Q248"/>
      <c r="R248"/>
      <c r="S248"/>
      <c r="T248"/>
      <c r="U248"/>
      <c r="V248"/>
      <c r="W248"/>
      <c r="X248"/>
      <c r="Y248"/>
      <c r="Z248"/>
      <c r="AA248"/>
      <c r="AB248"/>
      <c r="AC248"/>
      <c r="AD248"/>
    </row>
    <row r="249" spans="14:30" ht="12.75" customHeight="1">
      <c r="N249"/>
      <c r="O249"/>
      <c r="P249"/>
      <c r="Q249"/>
      <c r="R249"/>
      <c r="S249"/>
      <c r="T249"/>
      <c r="U249"/>
      <c r="V249"/>
      <c r="W249"/>
      <c r="X249"/>
      <c r="Y249"/>
      <c r="Z249"/>
      <c r="AA249"/>
      <c r="AB249"/>
      <c r="AC249"/>
      <c r="AD249"/>
    </row>
    <row r="250" spans="14:30" ht="12.75" customHeight="1">
      <c r="N250"/>
      <c r="O250"/>
      <c r="P250"/>
      <c r="Q250"/>
      <c r="R250"/>
      <c r="S250"/>
      <c r="T250"/>
      <c r="U250"/>
      <c r="V250"/>
      <c r="W250"/>
      <c r="X250"/>
      <c r="Y250"/>
      <c r="Z250"/>
      <c r="AA250"/>
      <c r="AB250"/>
      <c r="AC250"/>
      <c r="AD250"/>
    </row>
    <row r="251" spans="14:30" ht="12.75" customHeight="1">
      <c r="N251"/>
      <c r="O251"/>
      <c r="P251"/>
      <c r="Q251"/>
      <c r="R251"/>
      <c r="S251"/>
      <c r="T251"/>
      <c r="U251"/>
      <c r="V251"/>
      <c r="W251"/>
      <c r="X251"/>
      <c r="Y251"/>
      <c r="Z251"/>
      <c r="AA251"/>
      <c r="AB251"/>
      <c r="AC251"/>
      <c r="AD251"/>
    </row>
    <row r="252" spans="14:30" ht="12.75" customHeight="1">
      <c r="N252"/>
      <c r="O252"/>
      <c r="P252"/>
      <c r="Q252"/>
      <c r="R252"/>
      <c r="S252"/>
      <c r="T252"/>
      <c r="U252"/>
      <c r="V252"/>
      <c r="W252"/>
      <c r="X252"/>
      <c r="Y252"/>
      <c r="Z252"/>
      <c r="AA252"/>
      <c r="AB252"/>
      <c r="AC252"/>
      <c r="AD252"/>
    </row>
    <row r="253" spans="14:30" ht="12.75" customHeight="1">
      <c r="N253"/>
      <c r="O253"/>
      <c r="P253"/>
      <c r="Q253"/>
      <c r="R253"/>
      <c r="S253"/>
      <c r="T253"/>
      <c r="U253"/>
      <c r="V253"/>
      <c r="W253"/>
      <c r="X253"/>
      <c r="Y253"/>
      <c r="Z253"/>
      <c r="AA253"/>
      <c r="AB253"/>
      <c r="AC253"/>
      <c r="AD253"/>
    </row>
    <row r="254" spans="14:30" ht="12.75" customHeight="1">
      <c r="N254"/>
      <c r="O254"/>
      <c r="P254"/>
      <c r="Q254"/>
      <c r="R254"/>
      <c r="S254"/>
      <c r="T254"/>
      <c r="U254"/>
      <c r="V254"/>
      <c r="W254"/>
      <c r="X254"/>
      <c r="Y254"/>
      <c r="Z254"/>
      <c r="AA254"/>
      <c r="AB254"/>
      <c r="AC254"/>
      <c r="AD254"/>
    </row>
    <row r="255" spans="14:30" ht="12.75" customHeight="1">
      <c r="N255"/>
      <c r="O255"/>
      <c r="P255"/>
      <c r="Q255"/>
      <c r="R255"/>
      <c r="S255"/>
      <c r="T255"/>
      <c r="U255"/>
      <c r="V255"/>
      <c r="W255"/>
      <c r="X255"/>
      <c r="Y255"/>
      <c r="Z255"/>
      <c r="AA255"/>
      <c r="AB255"/>
      <c r="AC255"/>
      <c r="AD255"/>
    </row>
    <row r="256" spans="14:30" ht="12.75" customHeight="1">
      <c r="N256"/>
      <c r="O256"/>
      <c r="P256"/>
      <c r="Q256"/>
      <c r="R256"/>
      <c r="S256"/>
      <c r="T256"/>
      <c r="U256"/>
      <c r="V256"/>
      <c r="W256"/>
      <c r="X256"/>
      <c r="Y256"/>
      <c r="Z256"/>
      <c r="AA256"/>
      <c r="AB256"/>
      <c r="AC256"/>
      <c r="AD256"/>
    </row>
    <row r="257" spans="14:30" ht="12.75" customHeight="1">
      <c r="N257"/>
      <c r="O257"/>
      <c r="P257"/>
      <c r="Q257"/>
      <c r="R257"/>
      <c r="S257"/>
      <c r="T257"/>
      <c r="U257"/>
      <c r="V257"/>
      <c r="W257"/>
      <c r="X257"/>
      <c r="Y257"/>
      <c r="Z257"/>
      <c r="AA257"/>
      <c r="AB257"/>
      <c r="AC257"/>
      <c r="AD257"/>
    </row>
    <row r="258" spans="14:30" ht="12.75" customHeight="1">
      <c r="N258"/>
      <c r="O258"/>
      <c r="P258"/>
      <c r="Q258"/>
      <c r="R258"/>
      <c r="S258"/>
      <c r="T258"/>
      <c r="U258"/>
      <c r="V258"/>
      <c r="W258"/>
      <c r="X258"/>
      <c r="Y258"/>
      <c r="Z258"/>
      <c r="AA258"/>
      <c r="AB258"/>
      <c r="AC258"/>
      <c r="AD258"/>
    </row>
    <row r="259" spans="14:30" ht="12.75" customHeight="1">
      <c r="N259"/>
      <c r="O259"/>
      <c r="P259"/>
      <c r="Q259"/>
      <c r="R259"/>
      <c r="S259"/>
      <c r="T259"/>
      <c r="U259"/>
      <c r="V259"/>
      <c r="W259"/>
      <c r="X259"/>
      <c r="Y259"/>
      <c r="Z259"/>
      <c r="AA259"/>
      <c r="AB259"/>
      <c r="AC259"/>
      <c r="AD259"/>
    </row>
    <row r="260" spans="14:30" ht="12.75" customHeight="1">
      <c r="N260"/>
      <c r="O260"/>
      <c r="P260"/>
      <c r="Q260"/>
      <c r="R260"/>
      <c r="S260"/>
      <c r="T260"/>
      <c r="U260"/>
      <c r="V260"/>
      <c r="W260"/>
      <c r="X260"/>
      <c r="Y260"/>
      <c r="Z260"/>
      <c r="AA260"/>
      <c r="AB260"/>
      <c r="AC260"/>
      <c r="AD260"/>
    </row>
    <row r="261" spans="14:30" ht="12.75" customHeight="1">
      <c r="N261"/>
      <c r="O261"/>
      <c r="P261"/>
      <c r="Q261"/>
      <c r="R261"/>
      <c r="S261"/>
      <c r="T261"/>
      <c r="U261"/>
      <c r="V261"/>
      <c r="W261"/>
      <c r="X261"/>
      <c r="Y261"/>
      <c r="Z261"/>
      <c r="AA261"/>
      <c r="AB261"/>
      <c r="AC261"/>
      <c r="AD261"/>
    </row>
    <row r="262" spans="14:30" ht="12.75" customHeight="1">
      <c r="N262"/>
      <c r="O262"/>
      <c r="P262"/>
      <c r="Q262"/>
      <c r="R262"/>
      <c r="S262"/>
      <c r="T262"/>
      <c r="U262"/>
      <c r="V262"/>
      <c r="W262"/>
      <c r="X262"/>
      <c r="Y262"/>
      <c r="Z262"/>
      <c r="AA262"/>
      <c r="AB262"/>
      <c r="AC262"/>
      <c r="AD262"/>
    </row>
    <row r="263" spans="14:30" ht="12.75" customHeight="1">
      <c r="N263"/>
      <c r="O263"/>
      <c r="P263"/>
      <c r="Q263"/>
      <c r="R263"/>
      <c r="S263"/>
      <c r="T263"/>
      <c r="U263"/>
      <c r="V263"/>
      <c r="W263"/>
      <c r="X263"/>
      <c r="Y263"/>
      <c r="Z263"/>
      <c r="AA263"/>
      <c r="AB263"/>
      <c r="AC263"/>
      <c r="AD263"/>
    </row>
    <row r="264" spans="14:30" ht="12.75" customHeight="1">
      <c r="N264"/>
      <c r="O264"/>
      <c r="P264"/>
      <c r="Q264"/>
      <c r="R264"/>
      <c r="S264"/>
      <c r="T264"/>
      <c r="U264"/>
      <c r="V264"/>
      <c r="W264"/>
      <c r="X264"/>
      <c r="Y264"/>
      <c r="Z264"/>
      <c r="AA264"/>
      <c r="AB264"/>
      <c r="AC264"/>
      <c r="AD264"/>
    </row>
    <row r="265" spans="14:30" ht="12.75" customHeight="1">
      <c r="N265"/>
      <c r="O265"/>
      <c r="P265"/>
      <c r="Q265"/>
      <c r="R265"/>
      <c r="S265"/>
      <c r="T265"/>
      <c r="U265"/>
      <c r="V265"/>
      <c r="W265"/>
      <c r="X265"/>
      <c r="Y265"/>
      <c r="Z265"/>
      <c r="AA265"/>
      <c r="AB265"/>
      <c r="AC265"/>
      <c r="AD265"/>
    </row>
    <row r="266" spans="14:30" ht="12.75" customHeight="1">
      <c r="N266"/>
      <c r="O266"/>
      <c r="P266"/>
      <c r="Q266"/>
      <c r="R266"/>
      <c r="S266"/>
      <c r="T266"/>
      <c r="U266"/>
      <c r="V266"/>
      <c r="W266"/>
      <c r="X266"/>
      <c r="Y266"/>
      <c r="Z266"/>
      <c r="AA266"/>
      <c r="AB266"/>
      <c r="AC266"/>
      <c r="AD266"/>
    </row>
    <row r="267" spans="14:30" ht="12.75" customHeight="1">
      <c r="N267"/>
      <c r="O267"/>
      <c r="P267"/>
      <c r="Q267"/>
      <c r="R267"/>
      <c r="S267"/>
      <c r="T267"/>
      <c r="U267"/>
      <c r="V267"/>
      <c r="W267"/>
      <c r="X267"/>
      <c r="Y267"/>
      <c r="Z267"/>
      <c r="AA267"/>
      <c r="AB267"/>
      <c r="AC267"/>
      <c r="AD267"/>
    </row>
    <row r="268" spans="14:30" ht="12.75" customHeight="1">
      <c r="N268"/>
      <c r="O268"/>
      <c r="P268"/>
      <c r="Q268"/>
      <c r="R268"/>
      <c r="S268"/>
      <c r="T268"/>
      <c r="U268"/>
      <c r="V268"/>
      <c r="W268"/>
      <c r="X268"/>
      <c r="Y268"/>
      <c r="Z268"/>
      <c r="AA268"/>
      <c r="AB268"/>
      <c r="AC268"/>
      <c r="AD268"/>
    </row>
    <row r="269" spans="14:30" ht="12.75" customHeight="1">
      <c r="N269"/>
      <c r="O269"/>
      <c r="P269"/>
      <c r="Q269"/>
      <c r="R269"/>
      <c r="S269"/>
      <c r="T269"/>
      <c r="U269"/>
      <c r="V269"/>
      <c r="W269"/>
      <c r="X269"/>
      <c r="Y269"/>
      <c r="Z269"/>
      <c r="AA269"/>
      <c r="AB269"/>
      <c r="AC269"/>
      <c r="AD269"/>
    </row>
    <row r="270" spans="14:30" ht="12.75" customHeight="1">
      <c r="N270"/>
      <c r="O270"/>
      <c r="P270"/>
      <c r="Q270"/>
      <c r="R270"/>
      <c r="S270"/>
      <c r="T270"/>
      <c r="U270"/>
      <c r="V270"/>
      <c r="W270"/>
      <c r="X270"/>
      <c r="Y270"/>
      <c r="Z270"/>
      <c r="AA270"/>
      <c r="AB270"/>
      <c r="AC270"/>
      <c r="AD270"/>
    </row>
    <row r="271" spans="14:30" ht="12.75" customHeight="1">
      <c r="N271"/>
      <c r="O271"/>
      <c r="P271"/>
      <c r="Q271"/>
      <c r="R271"/>
      <c r="S271"/>
      <c r="T271"/>
      <c r="U271"/>
      <c r="V271"/>
      <c r="W271"/>
      <c r="X271"/>
      <c r="Y271"/>
      <c r="Z271"/>
      <c r="AA271"/>
      <c r="AB271"/>
      <c r="AC271"/>
      <c r="AD271"/>
    </row>
    <row r="272" spans="14:30" ht="12.75" customHeight="1">
      <c r="N272"/>
      <c r="O272"/>
      <c r="P272"/>
      <c r="Q272"/>
      <c r="R272"/>
      <c r="S272"/>
      <c r="T272"/>
      <c r="U272"/>
      <c r="V272"/>
      <c r="W272"/>
      <c r="X272"/>
      <c r="Y272"/>
      <c r="Z272"/>
      <c r="AA272"/>
      <c r="AB272"/>
      <c r="AC272"/>
      <c r="AD272"/>
    </row>
    <row r="273" spans="14:30" ht="12.75" customHeight="1">
      <c r="N273"/>
      <c r="O273"/>
      <c r="P273"/>
      <c r="Q273"/>
      <c r="R273"/>
      <c r="S273"/>
      <c r="T273"/>
      <c r="U273"/>
      <c r="V273"/>
      <c r="W273"/>
      <c r="X273"/>
      <c r="Y273"/>
      <c r="Z273"/>
      <c r="AA273"/>
      <c r="AB273"/>
      <c r="AC273"/>
      <c r="AD273"/>
    </row>
    <row r="274" spans="14:30" ht="12.75" customHeight="1">
      <c r="N274"/>
      <c r="O274"/>
      <c r="P274"/>
      <c r="Q274"/>
      <c r="R274"/>
      <c r="S274"/>
      <c r="T274"/>
      <c r="U274"/>
      <c r="V274"/>
      <c r="W274"/>
      <c r="X274"/>
      <c r="Y274"/>
      <c r="Z274"/>
      <c r="AA274"/>
      <c r="AB274"/>
      <c r="AC274"/>
      <c r="AD274"/>
    </row>
    <row r="275" spans="14:30" ht="12.75" customHeight="1">
      <c r="N275"/>
      <c r="O275"/>
      <c r="P275"/>
      <c r="Q275"/>
      <c r="R275"/>
      <c r="S275"/>
      <c r="T275"/>
      <c r="U275"/>
      <c r="V275"/>
      <c r="W275"/>
      <c r="X275"/>
      <c r="Y275"/>
      <c r="Z275"/>
      <c r="AA275"/>
      <c r="AB275"/>
      <c r="AC275"/>
      <c r="AD275"/>
    </row>
    <row r="276" spans="14:30" ht="12.75" customHeight="1">
      <c r="N276"/>
      <c r="O276"/>
      <c r="P276"/>
      <c r="Q276"/>
      <c r="R276"/>
      <c r="S276"/>
      <c r="T276"/>
      <c r="U276"/>
      <c r="V276"/>
      <c r="W276"/>
      <c r="X276"/>
      <c r="Y276"/>
      <c r="Z276"/>
      <c r="AA276"/>
      <c r="AB276"/>
      <c r="AC276"/>
      <c r="AD276"/>
    </row>
    <row r="277" spans="14:30" ht="12.75" customHeight="1">
      <c r="N277"/>
      <c r="O277"/>
      <c r="P277"/>
      <c r="Q277"/>
      <c r="R277"/>
      <c r="S277"/>
      <c r="T277"/>
      <c r="U277"/>
      <c r="V277"/>
      <c r="W277"/>
      <c r="X277"/>
      <c r="Y277"/>
      <c r="Z277"/>
      <c r="AA277"/>
      <c r="AB277"/>
      <c r="AC277"/>
      <c r="AD277"/>
    </row>
    <row r="278" spans="14:30" ht="12.75" customHeight="1">
      <c r="N278"/>
      <c r="O278"/>
      <c r="P278"/>
      <c r="Q278"/>
      <c r="R278"/>
      <c r="S278"/>
      <c r="T278"/>
      <c r="U278"/>
      <c r="V278"/>
      <c r="W278"/>
      <c r="X278"/>
      <c r="Y278"/>
      <c r="Z278"/>
      <c r="AA278"/>
      <c r="AB278"/>
      <c r="AC278"/>
      <c r="AD278"/>
    </row>
    <row r="279" spans="14:30" ht="12.75" customHeight="1">
      <c r="N279"/>
      <c r="O279"/>
      <c r="P279"/>
      <c r="Q279"/>
      <c r="R279"/>
      <c r="S279"/>
      <c r="T279"/>
      <c r="U279"/>
      <c r="V279"/>
      <c r="W279"/>
      <c r="X279"/>
      <c r="Y279"/>
      <c r="Z279"/>
      <c r="AA279"/>
      <c r="AB279"/>
      <c r="AC279"/>
      <c r="AD279"/>
    </row>
    <row r="280" spans="14:30" ht="12.75" customHeight="1">
      <c r="N280"/>
      <c r="O280"/>
      <c r="P280"/>
      <c r="Q280"/>
      <c r="R280"/>
      <c r="S280"/>
      <c r="T280"/>
      <c r="U280"/>
      <c r="V280"/>
      <c r="W280"/>
      <c r="X280"/>
      <c r="Y280"/>
      <c r="Z280"/>
      <c r="AA280"/>
      <c r="AB280"/>
      <c r="AC280"/>
      <c r="AD280"/>
    </row>
    <row r="281" spans="14:30" ht="12.75" customHeight="1">
      <c r="N281"/>
      <c r="O281"/>
      <c r="P281"/>
      <c r="Q281"/>
      <c r="R281"/>
      <c r="S281"/>
      <c r="T281"/>
      <c r="U281"/>
      <c r="V281"/>
      <c r="W281"/>
      <c r="X281"/>
      <c r="Y281"/>
      <c r="Z281"/>
      <c r="AA281"/>
      <c r="AB281"/>
      <c r="AC281"/>
      <c r="AD281"/>
    </row>
    <row r="282" spans="14:30" ht="12.75" customHeight="1">
      <c r="N282"/>
      <c r="O282"/>
      <c r="P282"/>
      <c r="Q282"/>
      <c r="R282"/>
      <c r="S282"/>
      <c r="T282"/>
      <c r="U282"/>
      <c r="V282"/>
      <c r="W282"/>
      <c r="X282"/>
      <c r="Y282"/>
      <c r="Z282"/>
      <c r="AA282"/>
      <c r="AB282"/>
      <c r="AC282"/>
      <c r="AD282"/>
    </row>
    <row r="283" spans="14:30" ht="12.75" customHeight="1">
      <c r="N283"/>
      <c r="O283"/>
      <c r="P283"/>
      <c r="Q283"/>
      <c r="R283"/>
      <c r="S283"/>
      <c r="T283"/>
      <c r="U283"/>
      <c r="V283"/>
      <c r="W283"/>
      <c r="X283"/>
      <c r="Y283"/>
      <c r="Z283"/>
      <c r="AA283"/>
      <c r="AB283"/>
      <c r="AC283"/>
      <c r="AD283"/>
    </row>
    <row r="284" spans="14:30" ht="12.75" customHeight="1">
      <c r="N284"/>
      <c r="O284"/>
      <c r="P284"/>
      <c r="Q284"/>
      <c r="R284"/>
      <c r="S284"/>
      <c r="T284"/>
      <c r="U284"/>
      <c r="V284"/>
      <c r="W284"/>
      <c r="X284"/>
      <c r="Y284"/>
      <c r="Z284"/>
      <c r="AA284"/>
      <c r="AB284"/>
      <c r="AC284"/>
      <c r="AD284"/>
    </row>
    <row r="285" spans="14:30" ht="12.75" customHeight="1">
      <c r="N285"/>
      <c r="O285"/>
      <c r="P285"/>
      <c r="Q285"/>
      <c r="R285"/>
      <c r="S285"/>
      <c r="T285"/>
      <c r="U285"/>
      <c r="V285"/>
      <c r="W285"/>
      <c r="X285"/>
      <c r="Y285"/>
      <c r="Z285"/>
      <c r="AA285"/>
      <c r="AB285"/>
      <c r="AC285"/>
      <c r="AD285"/>
    </row>
    <row r="286" spans="14:30" ht="12.75" customHeight="1">
      <c r="N286"/>
      <c r="O286"/>
      <c r="P286"/>
      <c r="Q286"/>
      <c r="R286"/>
      <c r="S286"/>
      <c r="T286"/>
      <c r="U286"/>
      <c r="V286"/>
      <c r="W286"/>
      <c r="X286"/>
      <c r="Y286"/>
      <c r="Z286"/>
      <c r="AA286"/>
      <c r="AB286"/>
      <c r="AC286"/>
      <c r="AD286"/>
    </row>
    <row r="287" spans="14:30" ht="12.75" customHeight="1">
      <c r="N287"/>
      <c r="O287"/>
      <c r="P287"/>
      <c r="Q287"/>
      <c r="R287"/>
      <c r="S287"/>
      <c r="T287"/>
      <c r="U287"/>
      <c r="V287"/>
      <c r="W287"/>
      <c r="X287"/>
      <c r="Y287"/>
      <c r="Z287"/>
      <c r="AA287"/>
      <c r="AB287"/>
      <c r="AC287"/>
      <c r="AD287"/>
    </row>
    <row r="288" spans="14:30" ht="12.75" customHeight="1">
      <c r="N288"/>
      <c r="O288"/>
      <c r="P288"/>
      <c r="Q288"/>
      <c r="R288"/>
      <c r="S288"/>
      <c r="T288"/>
      <c r="U288"/>
      <c r="V288"/>
      <c r="W288"/>
      <c r="X288"/>
      <c r="Y288"/>
      <c r="Z288"/>
      <c r="AA288"/>
      <c r="AB288"/>
      <c r="AC288"/>
      <c r="AD288"/>
    </row>
    <row r="289" spans="14:30" ht="12.75" customHeight="1">
      <c r="N289"/>
      <c r="O289"/>
      <c r="P289"/>
      <c r="Q289"/>
      <c r="R289"/>
      <c r="S289"/>
      <c r="T289"/>
      <c r="U289"/>
      <c r="V289"/>
      <c r="W289"/>
      <c r="X289"/>
      <c r="Y289"/>
      <c r="Z289"/>
      <c r="AA289"/>
      <c r="AB289"/>
      <c r="AC289"/>
      <c r="AD289"/>
    </row>
    <row r="290" spans="14:30" ht="12.75" customHeight="1">
      <c r="N290"/>
      <c r="O290"/>
      <c r="P290"/>
      <c r="Q290"/>
      <c r="R290"/>
      <c r="S290"/>
      <c r="T290"/>
      <c r="U290"/>
      <c r="V290"/>
      <c r="W290"/>
      <c r="X290"/>
      <c r="Y290"/>
      <c r="Z290"/>
      <c r="AA290"/>
      <c r="AB290"/>
      <c r="AC290"/>
      <c r="AD290"/>
    </row>
    <row r="291" spans="14:30" ht="12.75" customHeight="1">
      <c r="N291"/>
      <c r="O291"/>
      <c r="P291"/>
      <c r="Q291"/>
      <c r="R291"/>
      <c r="S291"/>
      <c r="T291"/>
      <c r="U291"/>
      <c r="V291"/>
      <c r="W291"/>
      <c r="X291"/>
      <c r="Y291"/>
      <c r="Z291"/>
      <c r="AA291"/>
      <c r="AB291"/>
      <c r="AC291"/>
      <c r="AD291"/>
    </row>
    <row r="292" spans="14:30" ht="12.75" customHeight="1">
      <c r="N292"/>
      <c r="O292"/>
      <c r="P292"/>
      <c r="Q292"/>
      <c r="R292"/>
      <c r="S292"/>
      <c r="T292"/>
      <c r="U292"/>
      <c r="V292"/>
      <c r="W292"/>
      <c r="X292"/>
      <c r="Y292"/>
      <c r="Z292"/>
      <c r="AA292"/>
      <c r="AB292"/>
      <c r="AC292"/>
      <c r="AD292"/>
    </row>
    <row r="293" spans="14:30" ht="12.75" customHeight="1">
      <c r="N293"/>
      <c r="O293"/>
      <c r="P293"/>
      <c r="Q293"/>
      <c r="R293"/>
      <c r="S293"/>
      <c r="T293"/>
      <c r="U293"/>
      <c r="V293"/>
      <c r="W293"/>
      <c r="X293"/>
      <c r="Y293"/>
      <c r="Z293"/>
      <c r="AA293"/>
      <c r="AB293"/>
      <c r="AC293"/>
      <c r="AD293"/>
    </row>
    <row r="294" spans="14:30" ht="12.75" customHeight="1">
      <c r="N294"/>
      <c r="O294"/>
      <c r="P294"/>
      <c r="Q294"/>
      <c r="R294"/>
      <c r="S294"/>
      <c r="T294"/>
      <c r="U294"/>
      <c r="V294"/>
      <c r="W294"/>
      <c r="X294"/>
      <c r="Y294"/>
      <c r="Z294"/>
      <c r="AA294"/>
      <c r="AB294"/>
      <c r="AC294"/>
      <c r="AD294"/>
    </row>
    <row r="295" spans="14:30" ht="12.75" customHeight="1">
      <c r="N295"/>
      <c r="O295"/>
      <c r="P295"/>
      <c r="Q295"/>
      <c r="R295"/>
      <c r="S295"/>
      <c r="T295"/>
      <c r="U295"/>
      <c r="V295"/>
      <c r="W295"/>
      <c r="X295"/>
      <c r="Y295"/>
      <c r="Z295"/>
      <c r="AA295"/>
      <c r="AB295"/>
      <c r="AC295"/>
      <c r="AD295"/>
    </row>
    <row r="296" spans="14:30" ht="12.75" customHeight="1">
      <c r="N296"/>
      <c r="O296"/>
      <c r="P296"/>
      <c r="Q296"/>
      <c r="R296"/>
      <c r="S296"/>
      <c r="T296"/>
      <c r="U296"/>
      <c r="V296"/>
      <c r="W296"/>
      <c r="X296"/>
      <c r="Y296"/>
      <c r="Z296"/>
      <c r="AA296"/>
      <c r="AB296"/>
      <c r="AC296"/>
      <c r="AD296"/>
    </row>
    <row r="297" spans="14:30" ht="12.75" customHeight="1">
      <c r="N297"/>
      <c r="O297"/>
      <c r="P297"/>
      <c r="Q297"/>
      <c r="R297"/>
      <c r="S297"/>
      <c r="T297"/>
      <c r="U297"/>
      <c r="V297"/>
      <c r="W297"/>
      <c r="X297"/>
      <c r="Y297"/>
      <c r="Z297"/>
      <c r="AA297"/>
      <c r="AB297"/>
      <c r="AC297"/>
      <c r="AD297"/>
    </row>
    <row r="298" spans="14:30" ht="12.75" customHeight="1">
      <c r="N298"/>
      <c r="O298"/>
      <c r="P298"/>
      <c r="Q298"/>
      <c r="R298"/>
      <c r="S298"/>
      <c r="T298"/>
      <c r="U298"/>
      <c r="V298"/>
      <c r="W298"/>
      <c r="X298"/>
      <c r="Y298"/>
      <c r="Z298"/>
      <c r="AA298"/>
      <c r="AB298"/>
      <c r="AC298"/>
      <c r="AD298"/>
    </row>
    <row r="299" spans="14:30" ht="12.75" customHeight="1">
      <c r="N299"/>
      <c r="O299"/>
      <c r="P299"/>
      <c r="Q299"/>
      <c r="R299"/>
      <c r="S299"/>
      <c r="T299"/>
      <c r="U299"/>
      <c r="V299"/>
      <c r="W299"/>
      <c r="X299"/>
      <c r="Y299"/>
      <c r="Z299"/>
      <c r="AA299"/>
      <c r="AB299"/>
      <c r="AC299"/>
      <c r="AD299"/>
    </row>
    <row r="300" spans="14:30" ht="12.75" customHeight="1">
      <c r="N300"/>
      <c r="O300"/>
      <c r="P300"/>
      <c r="Q300"/>
      <c r="R300"/>
      <c r="S300"/>
      <c r="T300"/>
      <c r="U300"/>
      <c r="V300"/>
      <c r="W300"/>
      <c r="X300"/>
      <c r="Y300"/>
      <c r="Z300"/>
      <c r="AA300"/>
      <c r="AB300"/>
      <c r="AC300"/>
      <c r="AD300"/>
    </row>
    <row r="301" spans="14:30" ht="12.75" customHeight="1">
      <c r="N301"/>
      <c r="O301"/>
      <c r="P301"/>
      <c r="Q301"/>
      <c r="R301"/>
      <c r="S301"/>
      <c r="T301"/>
      <c r="U301"/>
      <c r="V301"/>
      <c r="W301"/>
      <c r="X301"/>
      <c r="Y301"/>
      <c r="Z301"/>
      <c r="AA301"/>
      <c r="AB301"/>
      <c r="AC301"/>
      <c r="AD301"/>
    </row>
    <row r="302" spans="14:30" ht="12.75" customHeight="1">
      <c r="N302"/>
      <c r="O302"/>
      <c r="P302"/>
      <c r="Q302"/>
      <c r="R302"/>
      <c r="S302"/>
      <c r="T302"/>
      <c r="U302"/>
      <c r="V302"/>
      <c r="W302"/>
      <c r="X302"/>
      <c r="Y302"/>
      <c r="Z302"/>
      <c r="AA302"/>
      <c r="AB302"/>
      <c r="AC302"/>
      <c r="AD302"/>
    </row>
    <row r="303" spans="14:30" ht="12.75" customHeight="1">
      <c r="N303"/>
      <c r="O303"/>
      <c r="P303"/>
      <c r="Q303"/>
      <c r="R303"/>
      <c r="S303"/>
      <c r="T303"/>
      <c r="U303"/>
      <c r="V303"/>
      <c r="W303"/>
      <c r="X303"/>
      <c r="Y303"/>
      <c r="Z303"/>
      <c r="AA303"/>
      <c r="AB303"/>
      <c r="AC303"/>
      <c r="AD303"/>
    </row>
    <row r="304" spans="14:30" ht="12.75" customHeight="1">
      <c r="N304"/>
      <c r="O304"/>
      <c r="P304"/>
      <c r="Q304"/>
      <c r="R304"/>
      <c r="S304"/>
      <c r="T304"/>
      <c r="U304"/>
      <c r="V304"/>
      <c r="W304"/>
      <c r="X304"/>
      <c r="Y304"/>
      <c r="Z304"/>
      <c r="AA304"/>
      <c r="AB304"/>
      <c r="AC304"/>
      <c r="AD304"/>
    </row>
    <row r="305" spans="14:30" ht="12.75" customHeight="1">
      <c r="N305"/>
      <c r="O305"/>
      <c r="P305"/>
      <c r="Q305"/>
      <c r="R305"/>
      <c r="S305"/>
      <c r="T305"/>
      <c r="U305"/>
      <c r="V305"/>
      <c r="W305"/>
      <c r="X305"/>
      <c r="Y305"/>
      <c r="Z305"/>
      <c r="AA305"/>
      <c r="AB305"/>
      <c r="AC305"/>
      <c r="AD305"/>
    </row>
    <row r="306" spans="14:30" ht="12.75" customHeight="1">
      <c r="N306"/>
      <c r="O306"/>
      <c r="P306"/>
      <c r="Q306"/>
      <c r="R306"/>
      <c r="S306"/>
      <c r="T306"/>
      <c r="U306"/>
      <c r="V306"/>
      <c r="W306"/>
      <c r="X306"/>
      <c r="Y306"/>
      <c r="Z306"/>
      <c r="AA306"/>
      <c r="AB306"/>
      <c r="AC306"/>
      <c r="AD306"/>
    </row>
    <row r="307" spans="14:30" ht="12.75" customHeight="1">
      <c r="N307"/>
      <c r="O307"/>
      <c r="P307"/>
      <c r="Q307"/>
      <c r="R307"/>
      <c r="S307"/>
      <c r="T307"/>
      <c r="U307"/>
      <c r="V307"/>
      <c r="W307"/>
      <c r="X307"/>
      <c r="Y307"/>
      <c r="Z307"/>
      <c r="AA307"/>
      <c r="AB307"/>
      <c r="AC307"/>
      <c r="AD307"/>
    </row>
    <row r="308" spans="14:30" ht="12.75" customHeight="1">
      <c r="N308"/>
      <c r="O308"/>
      <c r="P308"/>
      <c r="Q308"/>
      <c r="R308"/>
      <c r="S308"/>
      <c r="T308"/>
      <c r="U308"/>
      <c r="V308"/>
      <c r="W308"/>
      <c r="X308"/>
      <c r="Y308"/>
      <c r="Z308"/>
      <c r="AA308"/>
      <c r="AB308"/>
      <c r="AC308"/>
      <c r="AD308"/>
    </row>
    <row r="309" spans="14:30" ht="12.75" customHeight="1">
      <c r="N309"/>
      <c r="O309"/>
      <c r="P309"/>
      <c r="Q309"/>
      <c r="R309"/>
      <c r="S309"/>
      <c r="T309"/>
      <c r="U309"/>
      <c r="V309"/>
      <c r="W309"/>
      <c r="X309"/>
      <c r="Y309"/>
      <c r="Z309"/>
      <c r="AA309"/>
      <c r="AB309"/>
      <c r="AC309"/>
      <c r="AD309"/>
    </row>
    <row r="310" spans="14:30" ht="12.75" customHeight="1">
      <c r="N310"/>
      <c r="O310"/>
      <c r="P310"/>
      <c r="Q310"/>
      <c r="R310"/>
      <c r="S310"/>
      <c r="T310"/>
      <c r="U310"/>
      <c r="V310"/>
      <c r="W310"/>
      <c r="X310"/>
      <c r="Y310"/>
      <c r="Z310"/>
      <c r="AA310"/>
      <c r="AB310"/>
      <c r="AC310"/>
      <c r="AD310"/>
    </row>
    <row r="311" spans="14:30" ht="12.75" customHeight="1">
      <c r="N311"/>
      <c r="O311"/>
      <c r="P311"/>
      <c r="Q311"/>
      <c r="R311"/>
      <c r="S311"/>
      <c r="T311"/>
      <c r="U311"/>
      <c r="V311"/>
      <c r="W311"/>
      <c r="X311"/>
      <c r="Y311"/>
      <c r="Z311"/>
      <c r="AA311"/>
      <c r="AB311"/>
      <c r="AC311"/>
      <c r="AD311"/>
    </row>
    <row r="312" spans="14:30" ht="12.75" customHeight="1">
      <c r="N312"/>
      <c r="O312"/>
      <c r="P312"/>
      <c r="Q312"/>
      <c r="R312"/>
      <c r="S312"/>
      <c r="T312"/>
      <c r="U312"/>
      <c r="V312"/>
      <c r="W312"/>
      <c r="X312"/>
      <c r="Y312"/>
      <c r="Z312"/>
      <c r="AA312"/>
      <c r="AB312"/>
      <c r="AC312"/>
      <c r="AD312"/>
    </row>
    <row r="313" spans="14:30" ht="12.75" customHeight="1">
      <c r="N313"/>
      <c r="O313"/>
      <c r="P313"/>
      <c r="Q313"/>
      <c r="R313"/>
      <c r="S313"/>
      <c r="T313"/>
      <c r="U313"/>
      <c r="V313"/>
      <c r="W313"/>
      <c r="X313"/>
      <c r="Y313"/>
      <c r="Z313"/>
      <c r="AA313"/>
      <c r="AB313"/>
      <c r="AC313"/>
      <c r="AD313"/>
    </row>
    <row r="314" spans="14:30" ht="12.75" customHeight="1">
      <c r="N314"/>
      <c r="O314"/>
      <c r="P314"/>
      <c r="Q314"/>
      <c r="R314"/>
      <c r="S314"/>
      <c r="T314"/>
      <c r="U314"/>
      <c r="V314"/>
      <c r="W314"/>
      <c r="X314"/>
      <c r="Y314"/>
      <c r="Z314"/>
      <c r="AA314"/>
      <c r="AB314"/>
      <c r="AC314"/>
      <c r="AD314"/>
    </row>
    <row r="315" spans="14:30" ht="12.75" customHeight="1">
      <c r="N315"/>
      <c r="O315"/>
      <c r="P315"/>
      <c r="Q315"/>
      <c r="R315"/>
      <c r="S315"/>
      <c r="T315"/>
      <c r="U315"/>
      <c r="V315"/>
      <c r="W315"/>
      <c r="X315"/>
      <c r="Y315"/>
      <c r="Z315"/>
      <c r="AA315"/>
      <c r="AB315"/>
      <c r="AC315"/>
      <c r="AD315"/>
    </row>
    <row r="316" spans="14:30" ht="12.75" customHeight="1">
      <c r="N316"/>
      <c r="O316"/>
      <c r="P316"/>
      <c r="Q316"/>
      <c r="R316"/>
      <c r="S316"/>
      <c r="T316"/>
      <c r="U316"/>
      <c r="V316"/>
      <c r="W316"/>
      <c r="X316"/>
      <c r="Y316"/>
      <c r="Z316"/>
      <c r="AA316"/>
      <c r="AB316"/>
      <c r="AC316"/>
      <c r="AD316"/>
    </row>
    <row r="317" spans="14:30" ht="12.75" customHeight="1">
      <c r="N317"/>
      <c r="O317"/>
      <c r="P317"/>
      <c r="Q317"/>
      <c r="R317"/>
      <c r="S317"/>
      <c r="T317"/>
      <c r="U317"/>
      <c r="V317"/>
      <c r="W317"/>
      <c r="X317"/>
      <c r="Y317"/>
      <c r="Z317"/>
      <c r="AA317"/>
      <c r="AB317"/>
      <c r="AC317"/>
      <c r="AD317"/>
    </row>
    <row r="318" spans="14:30" ht="12.75" customHeight="1">
      <c r="N318"/>
      <c r="O318"/>
      <c r="P318"/>
      <c r="Q318"/>
      <c r="R318"/>
      <c r="S318"/>
      <c r="T318"/>
      <c r="U318"/>
      <c r="V318"/>
      <c r="W318"/>
      <c r="X318"/>
      <c r="Y318"/>
      <c r="Z318"/>
      <c r="AA318"/>
      <c r="AB318"/>
      <c r="AC318"/>
      <c r="AD318"/>
    </row>
    <row r="319" spans="14:30" ht="12.75" customHeight="1">
      <c r="N319"/>
      <c r="O319"/>
      <c r="P319"/>
      <c r="Q319"/>
      <c r="R319"/>
      <c r="S319"/>
      <c r="T319"/>
      <c r="U319"/>
      <c r="V319"/>
      <c r="W319"/>
      <c r="X319"/>
      <c r="Y319"/>
      <c r="Z319"/>
      <c r="AA319"/>
      <c r="AB319"/>
      <c r="AC319"/>
      <c r="AD319"/>
    </row>
    <row r="320" spans="14:30" ht="12.75" customHeight="1">
      <c r="N320"/>
      <c r="O320"/>
      <c r="P320"/>
      <c r="Q320"/>
      <c r="R320"/>
      <c r="S320"/>
      <c r="T320"/>
      <c r="U320"/>
      <c r="V320"/>
      <c r="W320"/>
      <c r="X320"/>
      <c r="Y320"/>
      <c r="Z320"/>
      <c r="AA320"/>
      <c r="AB320"/>
      <c r="AC320"/>
      <c r="AD320"/>
    </row>
    <row r="321" spans="14:30" ht="12.75" customHeight="1">
      <c r="N321"/>
      <c r="O321"/>
      <c r="P321"/>
      <c r="Q321"/>
      <c r="R321"/>
      <c r="S321"/>
      <c r="T321"/>
      <c r="U321"/>
      <c r="V321"/>
      <c r="W321"/>
      <c r="X321"/>
      <c r="Y321"/>
      <c r="Z321"/>
      <c r="AA321"/>
      <c r="AB321"/>
      <c r="AC321"/>
      <c r="AD321"/>
    </row>
    <row r="322" spans="14:30" ht="12.75" customHeight="1">
      <c r="N322"/>
      <c r="O322"/>
      <c r="P322"/>
      <c r="Q322"/>
      <c r="R322"/>
      <c r="S322"/>
      <c r="T322"/>
      <c r="U322"/>
      <c r="V322"/>
      <c r="W322"/>
      <c r="X322"/>
      <c r="Y322"/>
      <c r="Z322"/>
      <c r="AA322"/>
      <c r="AB322"/>
      <c r="AC322"/>
      <c r="AD322"/>
    </row>
    <row r="323" spans="14:30" ht="12.75" customHeight="1">
      <c r="N323"/>
      <c r="O323"/>
      <c r="P323"/>
      <c r="Q323"/>
      <c r="R323"/>
      <c r="S323"/>
      <c r="T323"/>
      <c r="U323"/>
      <c r="V323"/>
      <c r="W323"/>
      <c r="X323"/>
      <c r="Y323"/>
      <c r="Z323"/>
      <c r="AA323"/>
      <c r="AB323"/>
      <c r="AC323"/>
      <c r="AD323"/>
    </row>
    <row r="324" spans="14:30" ht="12.75" customHeight="1">
      <c r="N324"/>
      <c r="O324"/>
      <c r="P324"/>
      <c r="Q324"/>
      <c r="R324"/>
      <c r="S324"/>
      <c r="T324"/>
      <c r="U324"/>
      <c r="V324"/>
      <c r="W324"/>
      <c r="X324"/>
      <c r="Y324"/>
      <c r="Z324"/>
      <c r="AA324"/>
      <c r="AB324"/>
      <c r="AC324"/>
      <c r="AD324"/>
    </row>
    <row r="325" spans="14:30" ht="12.75" customHeight="1">
      <c r="N325"/>
      <c r="O325"/>
      <c r="P325"/>
      <c r="Q325"/>
      <c r="R325"/>
      <c r="S325"/>
      <c r="T325"/>
      <c r="U325"/>
      <c r="V325"/>
      <c r="W325"/>
      <c r="X325"/>
      <c r="Y325"/>
      <c r="Z325"/>
      <c r="AA325"/>
      <c r="AB325"/>
      <c r="AC325"/>
      <c r="AD325"/>
    </row>
    <row r="326" spans="14:30" ht="12.75" customHeight="1">
      <c r="N326"/>
      <c r="O326"/>
      <c r="P326"/>
      <c r="Q326"/>
      <c r="R326"/>
      <c r="S326"/>
      <c r="T326"/>
      <c r="U326"/>
      <c r="V326"/>
      <c r="W326"/>
      <c r="X326"/>
      <c r="Y326"/>
      <c r="Z326"/>
      <c r="AA326"/>
      <c r="AB326"/>
      <c r="AC326"/>
      <c r="AD326"/>
    </row>
    <row r="327" spans="14:30" ht="12.75" customHeight="1">
      <c r="N327"/>
      <c r="O327"/>
      <c r="P327"/>
      <c r="Q327"/>
      <c r="R327"/>
      <c r="S327"/>
      <c r="T327"/>
      <c r="U327"/>
      <c r="V327"/>
      <c r="W327"/>
      <c r="X327"/>
      <c r="Y327"/>
      <c r="Z327"/>
      <c r="AA327"/>
      <c r="AB327"/>
      <c r="AC327"/>
      <c r="AD327"/>
    </row>
    <row r="328" spans="14:30" ht="12.75" customHeight="1">
      <c r="N328"/>
      <c r="O328"/>
      <c r="P328"/>
      <c r="Q328"/>
      <c r="R328"/>
      <c r="S328"/>
      <c r="T328"/>
      <c r="U328"/>
      <c r="V328"/>
      <c r="W328"/>
      <c r="X328"/>
      <c r="Y328"/>
      <c r="Z328"/>
      <c r="AA328"/>
      <c r="AB328"/>
      <c r="AC328"/>
      <c r="AD328"/>
    </row>
    <row r="329" spans="14:30" ht="12.75" customHeight="1">
      <c r="N329"/>
      <c r="O329"/>
      <c r="P329"/>
      <c r="Q329"/>
      <c r="R329"/>
      <c r="S329"/>
      <c r="T329"/>
      <c r="U329"/>
      <c r="V329"/>
      <c r="W329"/>
      <c r="X329"/>
      <c r="Y329"/>
      <c r="Z329"/>
      <c r="AA329"/>
      <c r="AB329"/>
      <c r="AC329"/>
      <c r="AD329"/>
    </row>
    <row r="330" spans="14:30" ht="12.75" customHeight="1">
      <c r="N330"/>
      <c r="O330"/>
      <c r="P330"/>
      <c r="Q330"/>
      <c r="R330"/>
      <c r="S330"/>
      <c r="T330"/>
      <c r="U330"/>
      <c r="V330"/>
      <c r="W330"/>
      <c r="X330"/>
      <c r="Y330"/>
      <c r="Z330"/>
      <c r="AA330"/>
      <c r="AB330"/>
      <c r="AC330"/>
      <c r="AD330"/>
    </row>
    <row r="331" spans="14:30" ht="12.75" customHeight="1">
      <c r="N331"/>
      <c r="O331"/>
      <c r="P331"/>
      <c r="Q331"/>
      <c r="R331"/>
      <c r="S331"/>
      <c r="T331"/>
      <c r="U331"/>
      <c r="V331"/>
      <c r="W331"/>
      <c r="X331"/>
      <c r="Y331"/>
      <c r="Z331"/>
      <c r="AA331"/>
      <c r="AB331"/>
      <c r="AC331"/>
      <c r="AD331"/>
    </row>
    <row r="332" spans="14:30" ht="12.75" customHeight="1">
      <c r="N332"/>
      <c r="O332"/>
      <c r="P332"/>
      <c r="Q332"/>
      <c r="R332"/>
      <c r="S332"/>
      <c r="T332"/>
      <c r="U332"/>
      <c r="V332"/>
      <c r="W332"/>
      <c r="X332"/>
      <c r="Y332"/>
      <c r="Z332"/>
      <c r="AA332"/>
      <c r="AB332"/>
      <c r="AC332"/>
      <c r="AD332"/>
    </row>
    <row r="333" spans="14:30" ht="12.75" customHeight="1">
      <c r="N333"/>
      <c r="O333"/>
      <c r="P333"/>
      <c r="Q333"/>
      <c r="R333"/>
      <c r="S333"/>
      <c r="T333"/>
      <c r="U333"/>
      <c r="V333"/>
      <c r="W333"/>
      <c r="X333"/>
      <c r="Y333"/>
      <c r="Z333"/>
      <c r="AA333"/>
      <c r="AB333"/>
      <c r="AC333"/>
      <c r="AD333"/>
    </row>
    <row r="334" spans="14:30" ht="12.75" customHeight="1">
      <c r="N334"/>
      <c r="O334"/>
      <c r="P334"/>
      <c r="Q334"/>
      <c r="R334"/>
      <c r="S334"/>
      <c r="T334"/>
      <c r="U334"/>
      <c r="V334"/>
      <c r="W334"/>
      <c r="X334"/>
      <c r="Y334"/>
      <c r="Z334"/>
      <c r="AA334"/>
      <c r="AB334"/>
      <c r="AC334"/>
      <c r="AD334"/>
    </row>
    <row r="335" spans="14:30" ht="12.75" customHeight="1">
      <c r="N335"/>
      <c r="O335"/>
      <c r="P335"/>
      <c r="Q335"/>
      <c r="R335"/>
      <c r="S335"/>
      <c r="T335"/>
      <c r="U335"/>
      <c r="V335"/>
      <c r="W335"/>
      <c r="X335"/>
      <c r="Y335"/>
      <c r="Z335"/>
      <c r="AA335"/>
      <c r="AB335"/>
      <c r="AC335"/>
      <c r="AD335"/>
    </row>
    <row r="336" spans="14:30" ht="12.75" customHeight="1">
      <c r="N336"/>
      <c r="O336"/>
      <c r="P336"/>
      <c r="Q336"/>
      <c r="R336"/>
      <c r="S336"/>
      <c r="T336"/>
      <c r="U336"/>
      <c r="V336"/>
      <c r="W336"/>
      <c r="X336"/>
      <c r="Y336"/>
      <c r="Z336"/>
      <c r="AA336"/>
      <c r="AB336"/>
      <c r="AC336"/>
      <c r="AD336"/>
    </row>
    <row r="337" spans="14:30" ht="12.75" customHeight="1">
      <c r="N337"/>
      <c r="O337"/>
      <c r="P337"/>
      <c r="Q337"/>
      <c r="R337"/>
      <c r="S337"/>
      <c r="T337"/>
      <c r="U337"/>
      <c r="V337"/>
      <c r="W337"/>
      <c r="X337"/>
      <c r="Y337"/>
      <c r="Z337"/>
      <c r="AA337"/>
      <c r="AB337"/>
      <c r="AC337"/>
      <c r="AD337"/>
    </row>
    <row r="338" spans="14:30" ht="12.75" customHeight="1">
      <c r="N338"/>
      <c r="O338"/>
      <c r="P338"/>
      <c r="Q338"/>
      <c r="R338"/>
      <c r="S338"/>
      <c r="T338"/>
      <c r="U338"/>
      <c r="V338"/>
      <c r="W338"/>
      <c r="X338"/>
      <c r="Y338"/>
      <c r="Z338"/>
      <c r="AA338"/>
      <c r="AB338"/>
      <c r="AC338"/>
      <c r="AD338"/>
    </row>
    <row r="339" spans="14:30" ht="12.75" customHeight="1">
      <c r="N339"/>
      <c r="O339"/>
      <c r="P339"/>
      <c r="Q339"/>
      <c r="R339"/>
      <c r="S339"/>
      <c r="T339"/>
      <c r="U339"/>
      <c r="V339"/>
      <c r="W339"/>
      <c r="X339"/>
      <c r="Y339"/>
      <c r="Z339"/>
      <c r="AA339"/>
      <c r="AB339"/>
      <c r="AC339"/>
      <c r="AD339"/>
    </row>
    <row r="340" spans="14:30" ht="12.75" customHeight="1">
      <c r="N340"/>
      <c r="O340"/>
      <c r="P340"/>
      <c r="Q340"/>
      <c r="R340"/>
      <c r="S340"/>
      <c r="T340"/>
      <c r="U340"/>
      <c r="V340"/>
      <c r="W340"/>
      <c r="X340"/>
      <c r="Y340"/>
      <c r="Z340"/>
      <c r="AA340"/>
      <c r="AB340"/>
      <c r="AC340"/>
      <c r="AD340"/>
    </row>
    <row r="341" spans="14:30" ht="12.75" customHeight="1">
      <c r="N341"/>
      <c r="O341"/>
      <c r="P341"/>
      <c r="Q341"/>
      <c r="R341"/>
      <c r="S341"/>
      <c r="T341"/>
      <c r="U341"/>
      <c r="V341"/>
      <c r="W341"/>
      <c r="X341"/>
      <c r="Y341"/>
      <c r="Z341"/>
      <c r="AA341"/>
      <c r="AB341"/>
      <c r="AC341"/>
      <c r="AD341"/>
    </row>
    <row r="342" spans="14:30" ht="12.75" customHeight="1">
      <c r="N342"/>
      <c r="O342"/>
      <c r="P342"/>
      <c r="Q342"/>
      <c r="R342"/>
      <c r="S342"/>
      <c r="T342"/>
      <c r="U342"/>
      <c r="V342"/>
      <c r="W342"/>
      <c r="X342"/>
      <c r="Y342"/>
      <c r="Z342"/>
      <c r="AA342"/>
      <c r="AB342"/>
      <c r="AC342"/>
      <c r="AD342"/>
    </row>
    <row r="343" spans="14:30" ht="12.75" customHeight="1">
      <c r="N343"/>
      <c r="O343"/>
      <c r="P343"/>
      <c r="Q343"/>
      <c r="R343"/>
      <c r="S343"/>
      <c r="T343"/>
      <c r="U343"/>
      <c r="V343"/>
      <c r="W343"/>
      <c r="X343"/>
      <c r="Y343"/>
      <c r="Z343"/>
      <c r="AA343"/>
      <c r="AB343"/>
      <c r="AC343"/>
      <c r="AD343"/>
    </row>
    <row r="344" spans="14:30" ht="12.75" customHeight="1">
      <c r="N344"/>
      <c r="O344"/>
      <c r="P344"/>
      <c r="Q344"/>
      <c r="R344"/>
      <c r="S344"/>
      <c r="T344"/>
      <c r="U344"/>
      <c r="V344"/>
      <c r="W344"/>
      <c r="X344"/>
      <c r="Y344"/>
      <c r="Z344"/>
      <c r="AA344"/>
      <c r="AB344"/>
      <c r="AC344"/>
      <c r="AD344"/>
    </row>
    <row r="345" spans="14:30" ht="12.75" customHeight="1">
      <c r="N345"/>
      <c r="O345"/>
      <c r="P345"/>
      <c r="Q345"/>
      <c r="R345"/>
      <c r="S345"/>
      <c r="T345"/>
      <c r="U345"/>
      <c r="V345"/>
      <c r="W345"/>
      <c r="X345"/>
      <c r="Y345"/>
      <c r="Z345"/>
      <c r="AA345"/>
      <c r="AB345"/>
      <c r="AC345"/>
      <c r="AD345"/>
    </row>
    <row r="346" spans="14:30" ht="12.75" customHeight="1">
      <c r="N346"/>
      <c r="O346"/>
      <c r="P346"/>
      <c r="Q346"/>
      <c r="R346"/>
      <c r="S346"/>
      <c r="T346"/>
      <c r="U346"/>
      <c r="V346"/>
      <c r="W346"/>
      <c r="X346"/>
      <c r="Y346"/>
      <c r="Z346"/>
      <c r="AA346"/>
      <c r="AB346"/>
      <c r="AC346"/>
      <c r="AD346"/>
    </row>
    <row r="347" spans="14:30" ht="12.75" customHeight="1">
      <c r="N347"/>
      <c r="O347"/>
      <c r="P347"/>
      <c r="Q347"/>
      <c r="R347"/>
      <c r="S347"/>
      <c r="T347"/>
      <c r="U347"/>
      <c r="V347"/>
      <c r="W347"/>
      <c r="X347"/>
      <c r="Y347"/>
      <c r="Z347"/>
      <c r="AA347"/>
      <c r="AB347"/>
      <c r="AC347"/>
      <c r="AD347"/>
    </row>
    <row r="348" spans="14:30" ht="12.75" customHeight="1">
      <c r="N348"/>
      <c r="O348"/>
      <c r="P348"/>
      <c r="Q348"/>
      <c r="R348"/>
      <c r="S348"/>
      <c r="T348"/>
      <c r="U348"/>
      <c r="V348"/>
      <c r="W348"/>
      <c r="X348"/>
      <c r="Y348"/>
      <c r="Z348"/>
      <c r="AA348"/>
      <c r="AB348"/>
      <c r="AC348"/>
      <c r="AD348"/>
    </row>
    <row r="349" spans="14:30" ht="12.75" customHeight="1">
      <c r="N349"/>
      <c r="O349"/>
      <c r="P349"/>
      <c r="Q349"/>
      <c r="R349"/>
      <c r="S349"/>
      <c r="T349"/>
      <c r="U349"/>
      <c r="V349"/>
      <c r="W349"/>
      <c r="X349"/>
      <c r="Y349"/>
      <c r="Z349"/>
      <c r="AA349"/>
      <c r="AB349"/>
      <c r="AC349"/>
      <c r="AD349"/>
    </row>
    <row r="350" spans="14:30" ht="12.75" customHeight="1">
      <c r="N350"/>
      <c r="O350"/>
      <c r="P350"/>
      <c r="Q350"/>
      <c r="R350"/>
      <c r="S350"/>
      <c r="T350"/>
      <c r="U350"/>
      <c r="V350"/>
      <c r="W350"/>
      <c r="X350"/>
      <c r="Y350"/>
      <c r="Z350"/>
      <c r="AA350"/>
      <c r="AB350"/>
      <c r="AC350"/>
      <c r="AD350"/>
    </row>
    <row r="351" spans="14:30" ht="12.75" customHeight="1">
      <c r="N351"/>
      <c r="O351"/>
      <c r="P351"/>
      <c r="Q351"/>
      <c r="R351"/>
      <c r="S351"/>
      <c r="T351"/>
      <c r="U351"/>
      <c r="V351"/>
      <c r="W351"/>
      <c r="X351"/>
      <c r="Y351"/>
      <c r="Z351"/>
      <c r="AA351"/>
      <c r="AB351"/>
      <c r="AC351"/>
      <c r="AD351"/>
    </row>
    <row r="352" spans="14:30" ht="12.75" customHeight="1">
      <c r="N352"/>
      <c r="O352"/>
      <c r="P352"/>
      <c r="Q352"/>
      <c r="R352"/>
      <c r="S352"/>
      <c r="T352"/>
      <c r="U352"/>
      <c r="V352"/>
      <c r="W352"/>
      <c r="X352"/>
      <c r="Y352"/>
      <c r="Z352"/>
      <c r="AA352"/>
      <c r="AB352"/>
      <c r="AC352"/>
      <c r="AD352"/>
    </row>
    <row r="353" spans="14:30" ht="12.75" customHeight="1">
      <c r="N353"/>
      <c r="O353"/>
      <c r="P353"/>
      <c r="Q353"/>
      <c r="R353"/>
      <c r="S353"/>
      <c r="T353"/>
      <c r="U353"/>
      <c r="V353"/>
      <c r="W353"/>
      <c r="X353"/>
      <c r="Y353"/>
      <c r="Z353"/>
      <c r="AA353"/>
      <c r="AB353"/>
      <c r="AC353"/>
      <c r="AD353"/>
    </row>
    <row r="354" spans="14:30" ht="12.75" customHeight="1">
      <c r="N354"/>
      <c r="O354"/>
      <c r="P354"/>
      <c r="Q354"/>
      <c r="R354"/>
      <c r="S354"/>
      <c r="T354"/>
      <c r="U354"/>
      <c r="V354"/>
      <c r="W354"/>
      <c r="X354"/>
      <c r="Y354"/>
      <c r="Z354"/>
      <c r="AA354"/>
      <c r="AB354"/>
      <c r="AC354"/>
      <c r="AD354"/>
    </row>
    <row r="355" spans="14:30" ht="12.75" customHeight="1">
      <c r="N355"/>
      <c r="O355"/>
      <c r="P355"/>
      <c r="Q355"/>
      <c r="R355"/>
      <c r="S355"/>
      <c r="T355"/>
      <c r="U355"/>
      <c r="V355"/>
      <c r="W355"/>
      <c r="X355"/>
      <c r="Y355"/>
      <c r="Z355"/>
      <c r="AA355"/>
      <c r="AB355"/>
      <c r="AC355"/>
      <c r="AD355"/>
    </row>
    <row r="356" spans="14:30" ht="12.75" customHeight="1">
      <c r="N356"/>
      <c r="O356"/>
      <c r="P356"/>
      <c r="Q356"/>
      <c r="R356"/>
      <c r="S356"/>
      <c r="T356"/>
      <c r="U356"/>
      <c r="V356"/>
      <c r="W356"/>
      <c r="X356"/>
      <c r="Y356"/>
      <c r="Z356"/>
      <c r="AA356"/>
      <c r="AB356"/>
      <c r="AC356"/>
      <c r="AD356"/>
    </row>
    <row r="357" spans="14:30" ht="12.75" customHeight="1">
      <c r="N357"/>
      <c r="O357"/>
      <c r="P357"/>
      <c r="Q357"/>
      <c r="R357"/>
      <c r="S357"/>
      <c r="T357"/>
      <c r="U357"/>
      <c r="V357"/>
      <c r="W357"/>
      <c r="X357"/>
      <c r="Y357"/>
      <c r="Z357"/>
      <c r="AA357"/>
      <c r="AB357"/>
      <c r="AC357"/>
      <c r="AD357"/>
    </row>
    <row r="358" spans="14:30" ht="12.75" customHeight="1">
      <c r="N358"/>
      <c r="O358"/>
      <c r="P358"/>
      <c r="Q358"/>
      <c r="R358"/>
      <c r="S358"/>
      <c r="T358"/>
      <c r="U358"/>
      <c r="V358"/>
      <c r="W358"/>
      <c r="X358"/>
      <c r="Y358"/>
      <c r="Z358"/>
      <c r="AA358"/>
      <c r="AB358"/>
      <c r="AC358"/>
      <c r="AD358"/>
    </row>
    <row r="359" spans="14:30" ht="12.75" customHeight="1">
      <c r="N359"/>
      <c r="O359"/>
      <c r="P359"/>
      <c r="Q359"/>
      <c r="R359"/>
      <c r="S359"/>
      <c r="T359"/>
      <c r="U359"/>
      <c r="V359"/>
      <c r="W359"/>
      <c r="X359"/>
      <c r="Y359"/>
      <c r="Z359"/>
      <c r="AA359"/>
      <c r="AB359"/>
      <c r="AC359"/>
      <c r="AD359"/>
    </row>
    <row r="360" spans="14:30" ht="12.75" customHeight="1">
      <c r="N360"/>
      <c r="O360"/>
      <c r="P360"/>
      <c r="Q360"/>
      <c r="R360"/>
      <c r="S360"/>
      <c r="T360"/>
      <c r="U360"/>
      <c r="V360"/>
      <c r="W360"/>
      <c r="X360"/>
      <c r="Y360"/>
      <c r="Z360"/>
      <c r="AA360"/>
      <c r="AB360"/>
      <c r="AC360"/>
      <c r="AD360"/>
    </row>
    <row r="361" spans="14:30" ht="12.75" customHeight="1">
      <c r="N361"/>
      <c r="O361"/>
      <c r="P361"/>
      <c r="Q361"/>
      <c r="R361"/>
      <c r="S361"/>
      <c r="T361"/>
      <c r="U361"/>
      <c r="V361"/>
      <c r="W361"/>
      <c r="X361"/>
      <c r="Y361"/>
      <c r="Z361"/>
      <c r="AA361"/>
      <c r="AB361"/>
      <c r="AC361"/>
      <c r="AD361"/>
    </row>
    <row r="362" spans="14:30" ht="12.75" customHeight="1">
      <c r="N362"/>
      <c r="O362"/>
      <c r="P362"/>
      <c r="Q362"/>
      <c r="R362"/>
      <c r="S362"/>
      <c r="T362"/>
      <c r="U362"/>
      <c r="V362"/>
      <c r="W362"/>
      <c r="X362"/>
      <c r="Y362"/>
      <c r="Z362"/>
      <c r="AA362"/>
      <c r="AB362"/>
      <c r="AC362"/>
      <c r="AD362"/>
    </row>
    <row r="363" spans="14:30" ht="12.75" customHeight="1">
      <c r="N363"/>
      <c r="O363"/>
      <c r="P363"/>
      <c r="Q363"/>
      <c r="R363"/>
      <c r="S363"/>
      <c r="T363"/>
      <c r="U363"/>
      <c r="V363"/>
      <c r="W363"/>
      <c r="X363"/>
      <c r="Y363"/>
      <c r="Z363"/>
      <c r="AA363"/>
      <c r="AB363"/>
      <c r="AC363"/>
      <c r="AD363"/>
    </row>
    <row r="364" spans="14:30" ht="12.75" customHeight="1">
      <c r="N364"/>
      <c r="O364"/>
      <c r="P364"/>
      <c r="Q364"/>
      <c r="R364"/>
      <c r="S364"/>
      <c r="T364"/>
      <c r="U364"/>
      <c r="V364"/>
      <c r="W364"/>
      <c r="X364"/>
      <c r="Y364"/>
      <c r="Z364"/>
      <c r="AA364"/>
      <c r="AB364"/>
      <c r="AC364"/>
      <c r="AD364"/>
    </row>
    <row r="365" spans="14:30" ht="12.75" customHeight="1">
      <c r="N365"/>
      <c r="O365"/>
      <c r="P365"/>
      <c r="Q365"/>
      <c r="R365"/>
      <c r="S365"/>
      <c r="T365"/>
      <c r="U365"/>
      <c r="V365"/>
      <c r="W365"/>
      <c r="X365"/>
      <c r="Y365"/>
      <c r="Z365"/>
      <c r="AA365"/>
      <c r="AB365"/>
      <c r="AC365"/>
      <c r="AD365"/>
    </row>
    <row r="366" spans="14:30" ht="12.75" customHeight="1">
      <c r="N366"/>
      <c r="O366"/>
      <c r="P366"/>
      <c r="Q366"/>
      <c r="R366"/>
      <c r="S366"/>
      <c r="T366"/>
      <c r="U366"/>
      <c r="V366"/>
      <c r="W366"/>
      <c r="X366"/>
      <c r="Y366"/>
      <c r="Z366"/>
      <c r="AA366"/>
      <c r="AB366"/>
      <c r="AC366"/>
      <c r="AD366"/>
    </row>
    <row r="367" spans="14:30" ht="12.75" customHeight="1">
      <c r="N367"/>
      <c r="O367"/>
      <c r="P367"/>
      <c r="Q367"/>
      <c r="R367"/>
      <c r="S367"/>
      <c r="T367"/>
      <c r="U367"/>
      <c r="V367"/>
      <c r="W367"/>
      <c r="X367"/>
      <c r="Y367"/>
      <c r="Z367"/>
      <c r="AA367"/>
      <c r="AB367"/>
      <c r="AC367"/>
      <c r="AD367"/>
    </row>
    <row r="368" spans="14:30" ht="12.75" customHeight="1">
      <c r="N368"/>
      <c r="O368"/>
      <c r="P368"/>
      <c r="Q368"/>
      <c r="R368"/>
      <c r="S368"/>
      <c r="T368"/>
      <c r="U368"/>
      <c r="V368"/>
      <c r="W368"/>
      <c r="X368"/>
      <c r="Y368"/>
      <c r="Z368"/>
      <c r="AA368"/>
      <c r="AB368"/>
      <c r="AC368"/>
      <c r="AD368"/>
    </row>
    <row r="369" spans="14:30" ht="12.75" customHeight="1">
      <c r="N369"/>
      <c r="O369"/>
      <c r="P369"/>
      <c r="Q369"/>
      <c r="R369"/>
      <c r="S369"/>
      <c r="T369"/>
      <c r="U369"/>
      <c r="V369"/>
      <c r="W369"/>
      <c r="X369"/>
      <c r="Y369"/>
      <c r="Z369"/>
      <c r="AA369"/>
      <c r="AB369"/>
      <c r="AC369"/>
      <c r="AD369"/>
    </row>
    <row r="370" spans="14:30" ht="12.75" customHeight="1">
      <c r="N370"/>
      <c r="O370"/>
      <c r="P370"/>
      <c r="Q370"/>
      <c r="R370"/>
      <c r="S370"/>
      <c r="T370"/>
      <c r="U370"/>
      <c r="V370"/>
      <c r="W370"/>
      <c r="X370"/>
      <c r="Y370"/>
      <c r="Z370"/>
      <c r="AA370"/>
      <c r="AB370"/>
      <c r="AC370"/>
      <c r="AD370"/>
    </row>
    <row r="371" spans="14:30" ht="12.75" customHeight="1">
      <c r="N371"/>
      <c r="O371"/>
      <c r="P371"/>
      <c r="Q371"/>
      <c r="R371"/>
      <c r="S371"/>
      <c r="T371"/>
      <c r="U371"/>
      <c r="V371"/>
      <c r="W371"/>
      <c r="X371"/>
      <c r="Y371"/>
      <c r="Z371"/>
      <c r="AA371"/>
      <c r="AB371"/>
      <c r="AC371"/>
      <c r="AD371"/>
    </row>
    <row r="372" spans="14:30" ht="12.75" customHeight="1">
      <c r="N372"/>
      <c r="O372"/>
      <c r="P372"/>
      <c r="Q372"/>
      <c r="R372"/>
      <c r="S372"/>
      <c r="T372"/>
      <c r="U372"/>
      <c r="V372"/>
      <c r="W372"/>
      <c r="X372"/>
      <c r="Y372"/>
      <c r="Z372"/>
      <c r="AA372"/>
      <c r="AB372"/>
      <c r="AC372"/>
      <c r="AD372"/>
    </row>
    <row r="373" spans="14:30" ht="12.75" customHeight="1">
      <c r="N373"/>
      <c r="O373"/>
      <c r="P373"/>
      <c r="Q373"/>
      <c r="R373"/>
      <c r="S373"/>
      <c r="T373"/>
      <c r="U373"/>
      <c r="V373"/>
      <c r="W373"/>
      <c r="X373"/>
      <c r="Y373"/>
      <c r="Z373"/>
      <c r="AA373"/>
      <c r="AB373"/>
      <c r="AC373"/>
      <c r="AD373"/>
    </row>
    <row r="374" spans="14:30" ht="12.75" customHeight="1">
      <c r="N374"/>
      <c r="O374"/>
      <c r="P374"/>
      <c r="Q374"/>
      <c r="R374"/>
      <c r="S374"/>
      <c r="T374"/>
      <c r="U374"/>
      <c r="V374"/>
      <c r="W374"/>
      <c r="X374"/>
      <c r="Y374"/>
      <c r="Z374"/>
      <c r="AA374"/>
      <c r="AB374"/>
      <c r="AC374"/>
      <c r="AD374"/>
    </row>
    <row r="375" spans="14:30" ht="12.75" customHeight="1">
      <c r="N375"/>
      <c r="O375"/>
      <c r="P375"/>
      <c r="Q375"/>
      <c r="R375"/>
      <c r="S375"/>
      <c r="T375"/>
      <c r="U375"/>
      <c r="V375"/>
      <c r="W375"/>
      <c r="X375"/>
      <c r="Y375"/>
      <c r="Z375"/>
      <c r="AA375"/>
      <c r="AB375"/>
      <c r="AC375"/>
      <c r="AD375"/>
    </row>
    <row r="376" spans="14:30" ht="12.75" customHeight="1">
      <c r="N376"/>
      <c r="O376"/>
      <c r="P376"/>
      <c r="Q376"/>
      <c r="R376"/>
      <c r="S376"/>
      <c r="T376"/>
      <c r="U376"/>
      <c r="V376"/>
      <c r="W376"/>
      <c r="X376"/>
      <c r="Y376"/>
      <c r="Z376"/>
      <c r="AA376"/>
      <c r="AB376"/>
      <c r="AC376"/>
      <c r="AD376"/>
    </row>
    <row r="377" spans="14:30" ht="12.75" customHeight="1">
      <c r="N377"/>
      <c r="O377"/>
      <c r="P377"/>
      <c r="Q377"/>
      <c r="R377"/>
      <c r="S377"/>
      <c r="T377"/>
      <c r="U377"/>
      <c r="V377"/>
      <c r="W377"/>
      <c r="X377"/>
      <c r="Y377"/>
      <c r="Z377"/>
      <c r="AA377"/>
      <c r="AB377"/>
      <c r="AC377"/>
      <c r="AD377"/>
    </row>
    <row r="378" spans="14:30" ht="12.75" customHeight="1">
      <c r="N378"/>
      <c r="O378"/>
      <c r="P378"/>
      <c r="Q378"/>
      <c r="R378"/>
      <c r="S378"/>
      <c r="T378"/>
      <c r="U378"/>
      <c r="V378"/>
      <c r="W378"/>
      <c r="X378"/>
      <c r="Y378"/>
      <c r="Z378"/>
      <c r="AA378"/>
      <c r="AB378"/>
      <c r="AC378"/>
      <c r="AD378"/>
    </row>
    <row r="379" spans="14:30" ht="12.75" customHeight="1">
      <c r="N379"/>
      <c r="O379"/>
      <c r="P379"/>
      <c r="Q379"/>
      <c r="R379"/>
      <c r="S379"/>
      <c r="T379"/>
      <c r="U379"/>
      <c r="V379"/>
      <c r="W379"/>
      <c r="X379"/>
      <c r="Y379"/>
      <c r="Z379"/>
      <c r="AA379"/>
      <c r="AB379"/>
      <c r="AC379"/>
      <c r="AD379"/>
    </row>
    <row r="380" spans="14:30" ht="12.75" customHeight="1">
      <c r="N380"/>
      <c r="O380"/>
      <c r="P380"/>
      <c r="Q380"/>
      <c r="R380"/>
      <c r="S380"/>
      <c r="T380"/>
      <c r="U380"/>
      <c r="V380"/>
      <c r="W380"/>
      <c r="X380"/>
      <c r="Y380"/>
      <c r="Z380"/>
      <c r="AA380"/>
      <c r="AB380"/>
      <c r="AC380"/>
      <c r="AD380"/>
    </row>
    <row r="381" spans="14:30" ht="12.75" customHeight="1">
      <c r="N381"/>
      <c r="O381"/>
      <c r="P381"/>
      <c r="Q381"/>
      <c r="R381"/>
      <c r="S381"/>
      <c r="T381"/>
      <c r="U381"/>
      <c r="V381"/>
      <c r="W381"/>
      <c r="X381"/>
      <c r="Y381"/>
      <c r="Z381"/>
      <c r="AA381"/>
      <c r="AB381"/>
      <c r="AC381"/>
      <c r="AD381"/>
    </row>
    <row r="382" spans="14:30" ht="12.75" customHeight="1">
      <c r="N382"/>
      <c r="O382"/>
      <c r="P382"/>
      <c r="Q382"/>
      <c r="R382"/>
      <c r="S382"/>
      <c r="T382"/>
      <c r="U382"/>
      <c r="V382"/>
      <c r="W382"/>
      <c r="X382"/>
      <c r="Y382"/>
      <c r="Z382"/>
      <c r="AA382"/>
      <c r="AB382"/>
      <c r="AC382"/>
      <c r="AD382"/>
    </row>
    <row r="383" spans="14:30" ht="12.75" customHeight="1">
      <c r="N383"/>
      <c r="O383"/>
      <c r="P383"/>
      <c r="Q383"/>
      <c r="R383"/>
      <c r="S383"/>
      <c r="T383"/>
      <c r="U383"/>
      <c r="V383"/>
      <c r="W383"/>
      <c r="X383"/>
      <c r="Y383"/>
      <c r="Z383"/>
      <c r="AA383"/>
      <c r="AB383"/>
      <c r="AC383"/>
      <c r="AD383"/>
    </row>
    <row r="384" spans="14:30" ht="12.75" customHeight="1">
      <c r="N384"/>
      <c r="O384"/>
      <c r="P384"/>
      <c r="Q384"/>
      <c r="R384"/>
      <c r="S384"/>
      <c r="T384"/>
      <c r="U384"/>
      <c r="V384"/>
      <c r="W384"/>
      <c r="X384"/>
      <c r="Y384"/>
      <c r="Z384"/>
      <c r="AA384"/>
      <c r="AB384"/>
      <c r="AC384"/>
      <c r="AD384"/>
    </row>
    <row r="385" spans="14:30" ht="12.75" customHeight="1">
      <c r="N385"/>
      <c r="O385"/>
      <c r="P385"/>
      <c r="Q385"/>
      <c r="R385"/>
      <c r="S385"/>
      <c r="T385"/>
      <c r="U385"/>
      <c r="V385"/>
      <c r="W385"/>
      <c r="X385"/>
      <c r="Y385"/>
      <c r="Z385"/>
      <c r="AA385"/>
      <c r="AB385"/>
      <c r="AC385"/>
      <c r="AD385"/>
    </row>
    <row r="386" spans="14:30" ht="12.75" customHeight="1">
      <c r="N386"/>
      <c r="O386"/>
      <c r="P386"/>
      <c r="Q386"/>
      <c r="R386"/>
      <c r="S386"/>
      <c r="T386"/>
      <c r="U386"/>
      <c r="V386"/>
      <c r="W386"/>
      <c r="X386"/>
      <c r="Y386"/>
      <c r="Z386"/>
      <c r="AA386"/>
      <c r="AB386"/>
      <c r="AC386"/>
      <c r="AD386"/>
    </row>
    <row r="387" spans="14:30" ht="12.75" customHeight="1">
      <c r="N387"/>
      <c r="O387"/>
      <c r="P387"/>
      <c r="Q387"/>
      <c r="R387"/>
      <c r="S387"/>
      <c r="T387"/>
      <c r="U387"/>
      <c r="V387"/>
      <c r="W387"/>
      <c r="X387"/>
      <c r="Y387"/>
      <c r="Z387"/>
      <c r="AA387"/>
      <c r="AB387"/>
      <c r="AC387"/>
      <c r="AD387"/>
    </row>
    <row r="388" spans="14:30" ht="12.75" customHeight="1">
      <c r="N388"/>
      <c r="O388"/>
      <c r="P388"/>
      <c r="Q388"/>
      <c r="R388"/>
      <c r="S388"/>
      <c r="T388"/>
      <c r="U388"/>
      <c r="V388"/>
      <c r="W388"/>
      <c r="X388"/>
      <c r="Y388"/>
      <c r="Z388"/>
      <c r="AA388"/>
      <c r="AB388"/>
      <c r="AC388"/>
      <c r="AD388"/>
    </row>
    <row r="389" spans="14:30" ht="12.75" customHeight="1">
      <c r="N389"/>
      <c r="O389"/>
      <c r="P389"/>
      <c r="Q389"/>
      <c r="R389"/>
      <c r="S389"/>
      <c r="T389"/>
      <c r="U389"/>
      <c r="V389"/>
      <c r="W389"/>
      <c r="X389"/>
      <c r="Y389"/>
      <c r="Z389"/>
      <c r="AA389"/>
      <c r="AB389"/>
      <c r="AC389"/>
      <c r="AD389"/>
    </row>
    <row r="390" spans="14:30" ht="12.75" customHeight="1">
      <c r="N390"/>
      <c r="O390"/>
      <c r="P390"/>
      <c r="Q390"/>
      <c r="R390"/>
      <c r="S390"/>
      <c r="T390"/>
      <c r="U390"/>
      <c r="V390"/>
      <c r="W390"/>
      <c r="X390"/>
      <c r="Y390"/>
      <c r="Z390"/>
      <c r="AA390"/>
      <c r="AB390"/>
      <c r="AC390"/>
      <c r="AD390"/>
    </row>
    <row r="391" spans="14:30" ht="12.75" customHeight="1">
      <c r="N391"/>
      <c r="O391"/>
      <c r="P391"/>
      <c r="Q391"/>
      <c r="R391"/>
      <c r="S391"/>
      <c r="T391"/>
      <c r="U391"/>
      <c r="V391"/>
      <c r="W391"/>
      <c r="X391"/>
      <c r="Y391"/>
      <c r="Z391"/>
      <c r="AA391"/>
      <c r="AB391"/>
      <c r="AC391"/>
      <c r="AD391"/>
    </row>
    <row r="392" spans="14:30" ht="12.75" customHeight="1">
      <c r="N392"/>
      <c r="O392"/>
      <c r="P392"/>
      <c r="Q392"/>
      <c r="R392"/>
      <c r="S392"/>
      <c r="T392"/>
      <c r="U392"/>
      <c r="V392"/>
      <c r="W392"/>
      <c r="X392"/>
      <c r="Y392"/>
      <c r="Z392"/>
      <c r="AA392"/>
      <c r="AB392"/>
      <c r="AC392"/>
      <c r="AD392"/>
    </row>
    <row r="393" spans="14:30" ht="12.75" customHeight="1">
      <c r="N393"/>
      <c r="O393"/>
      <c r="P393"/>
      <c r="Q393"/>
      <c r="R393"/>
      <c r="S393"/>
      <c r="T393"/>
      <c r="U393"/>
      <c r="V393"/>
      <c r="W393"/>
      <c r="X393"/>
      <c r="Y393"/>
      <c r="Z393"/>
      <c r="AA393"/>
      <c r="AB393"/>
      <c r="AC393"/>
      <c r="AD393"/>
    </row>
    <row r="394" spans="14:30" ht="12.75" customHeight="1">
      <c r="N394"/>
      <c r="O394"/>
      <c r="P394"/>
      <c r="Q394"/>
      <c r="R394"/>
      <c r="S394"/>
      <c r="T394"/>
      <c r="U394"/>
      <c r="V394"/>
      <c r="W394"/>
      <c r="X394"/>
      <c r="Y394"/>
      <c r="Z394"/>
      <c r="AA394"/>
      <c r="AB394"/>
      <c r="AC394"/>
      <c r="AD394"/>
    </row>
    <row r="395" spans="14:30" ht="12.75" customHeight="1">
      <c r="N395"/>
      <c r="O395"/>
      <c r="P395"/>
      <c r="Q395"/>
      <c r="R395"/>
      <c r="S395"/>
      <c r="T395"/>
      <c r="U395"/>
      <c r="V395"/>
      <c r="W395"/>
      <c r="X395"/>
      <c r="Y395"/>
      <c r="Z395"/>
      <c r="AA395"/>
      <c r="AB395"/>
      <c r="AC395"/>
      <c r="AD395"/>
    </row>
    <row r="396" spans="14:30" ht="12.75" customHeight="1">
      <c r="N396"/>
      <c r="O396"/>
      <c r="P396"/>
      <c r="Q396"/>
      <c r="R396"/>
      <c r="S396"/>
      <c r="T396"/>
      <c r="U396"/>
      <c r="V396"/>
      <c r="W396"/>
      <c r="X396"/>
      <c r="Y396"/>
      <c r="Z396"/>
      <c r="AA396"/>
      <c r="AB396"/>
      <c r="AC396"/>
      <c r="AD396"/>
    </row>
    <row r="397" spans="14:30" ht="12.75" customHeight="1">
      <c r="N397"/>
      <c r="O397"/>
      <c r="P397"/>
      <c r="Q397"/>
      <c r="R397"/>
      <c r="S397"/>
      <c r="T397"/>
      <c r="U397"/>
      <c r="V397"/>
      <c r="W397"/>
      <c r="X397"/>
      <c r="Y397"/>
      <c r="Z397"/>
      <c r="AA397"/>
      <c r="AB397"/>
      <c r="AC397"/>
      <c r="AD397"/>
    </row>
    <row r="398" spans="14:30" ht="12.75" customHeight="1">
      <c r="N398"/>
      <c r="O398"/>
      <c r="P398"/>
      <c r="Q398"/>
      <c r="R398"/>
      <c r="S398"/>
      <c r="T398"/>
      <c r="U398"/>
      <c r="V398"/>
      <c r="W398"/>
      <c r="X398"/>
      <c r="Y398"/>
      <c r="Z398"/>
      <c r="AA398"/>
      <c r="AB398"/>
      <c r="AC398"/>
      <c r="AD398"/>
    </row>
    <row r="399" spans="14:30" ht="12.75" customHeight="1">
      <c r="N399"/>
      <c r="O399"/>
      <c r="P399"/>
      <c r="Q399"/>
      <c r="R399"/>
      <c r="S399"/>
      <c r="T399"/>
      <c r="U399"/>
      <c r="V399"/>
      <c r="W399"/>
      <c r="X399"/>
      <c r="Y399"/>
      <c r="Z399"/>
      <c r="AA399"/>
      <c r="AB399"/>
      <c r="AC399"/>
      <c r="AD399"/>
    </row>
    <row r="400" spans="14:30" ht="12.75" customHeight="1">
      <c r="N400"/>
      <c r="O400"/>
      <c r="P400"/>
      <c r="Q400"/>
      <c r="R400"/>
      <c r="S400"/>
      <c r="T400"/>
      <c r="U400"/>
      <c r="V400"/>
      <c r="W400"/>
      <c r="X400"/>
      <c r="Y400"/>
      <c r="Z400"/>
      <c r="AA400"/>
      <c r="AB400"/>
      <c r="AC400"/>
      <c r="AD400"/>
    </row>
    <row r="401" spans="14:30" ht="12.75" customHeight="1">
      <c r="N401"/>
      <c r="O401"/>
      <c r="P401"/>
      <c r="Q401"/>
      <c r="R401"/>
      <c r="S401"/>
      <c r="T401"/>
      <c r="U401"/>
      <c r="V401"/>
      <c r="W401"/>
      <c r="X401"/>
      <c r="Y401"/>
      <c r="Z401"/>
      <c r="AA401"/>
      <c r="AB401"/>
      <c r="AC401"/>
      <c r="AD401"/>
    </row>
    <row r="402" spans="14:30" ht="12.75" customHeight="1">
      <c r="N402"/>
      <c r="O402"/>
      <c r="P402"/>
      <c r="Q402"/>
      <c r="R402"/>
      <c r="S402"/>
      <c r="T402"/>
      <c r="U402"/>
      <c r="V402"/>
      <c r="W402"/>
      <c r="X402"/>
      <c r="Y402"/>
      <c r="Z402"/>
      <c r="AA402"/>
      <c r="AB402"/>
      <c r="AC402"/>
      <c r="AD402"/>
    </row>
    <row r="403" spans="14:30" ht="12.75" customHeight="1">
      <c r="N403"/>
      <c r="O403"/>
      <c r="P403"/>
      <c r="Q403"/>
      <c r="R403"/>
      <c r="S403"/>
      <c r="T403"/>
      <c r="U403"/>
      <c r="V403"/>
      <c r="W403"/>
      <c r="X403"/>
      <c r="Y403"/>
      <c r="Z403"/>
      <c r="AA403"/>
      <c r="AB403"/>
      <c r="AC403"/>
      <c r="AD403"/>
    </row>
    <row r="404" spans="14:30" ht="12.75" customHeight="1">
      <c r="N404"/>
      <c r="O404"/>
      <c r="P404"/>
      <c r="Q404"/>
      <c r="R404"/>
      <c r="S404"/>
      <c r="T404"/>
      <c r="U404"/>
      <c r="V404"/>
      <c r="W404"/>
      <c r="X404"/>
      <c r="Y404"/>
      <c r="Z404"/>
      <c r="AA404"/>
      <c r="AB404"/>
      <c r="AC404"/>
      <c r="AD404"/>
    </row>
    <row r="405" spans="14:30" ht="12.75" customHeight="1">
      <c r="N405"/>
      <c r="O405"/>
      <c r="P405"/>
      <c r="Q405"/>
      <c r="R405"/>
      <c r="S405"/>
      <c r="T405"/>
      <c r="U405"/>
      <c r="V405"/>
      <c r="W405"/>
      <c r="X405"/>
      <c r="Y405"/>
      <c r="Z405"/>
      <c r="AA405"/>
      <c r="AB405"/>
      <c r="AC405"/>
      <c r="AD405"/>
    </row>
    <row r="406" spans="14:30" ht="12.75" customHeight="1">
      <c r="N406"/>
      <c r="O406"/>
      <c r="P406"/>
      <c r="Q406"/>
      <c r="R406"/>
      <c r="S406"/>
      <c r="T406"/>
      <c r="U406"/>
      <c r="V406"/>
      <c r="W406"/>
      <c r="X406"/>
      <c r="Y406"/>
      <c r="Z406"/>
      <c r="AA406"/>
      <c r="AB406"/>
      <c r="AC406"/>
      <c r="AD406"/>
    </row>
    <row r="407" spans="14:30" ht="12.75" customHeight="1">
      <c r="N407"/>
      <c r="O407"/>
      <c r="P407"/>
      <c r="Q407"/>
      <c r="R407"/>
      <c r="S407"/>
      <c r="T407"/>
      <c r="U407"/>
      <c r="V407"/>
      <c r="W407"/>
      <c r="X407"/>
      <c r="Y407"/>
      <c r="Z407"/>
      <c r="AA407"/>
      <c r="AB407"/>
      <c r="AC407"/>
      <c r="AD407"/>
    </row>
    <row r="408" spans="14:30" ht="12.75" customHeight="1">
      <c r="N408"/>
      <c r="O408"/>
      <c r="P408"/>
      <c r="Q408"/>
      <c r="R408"/>
      <c r="S408"/>
      <c r="T408"/>
      <c r="U408"/>
      <c r="V408"/>
      <c r="W408"/>
      <c r="X408"/>
      <c r="Y408"/>
      <c r="Z408"/>
      <c r="AA408"/>
      <c r="AB408"/>
      <c r="AC408"/>
      <c r="AD408"/>
    </row>
    <row r="409" spans="14:30" ht="12.75" customHeight="1">
      <c r="N409"/>
      <c r="O409"/>
      <c r="P409"/>
      <c r="Q409"/>
      <c r="R409"/>
      <c r="S409"/>
      <c r="T409"/>
      <c r="U409"/>
      <c r="V409"/>
      <c r="W409"/>
      <c r="X409"/>
      <c r="Y409"/>
      <c r="Z409"/>
      <c r="AA409"/>
      <c r="AB409"/>
      <c r="AC409"/>
      <c r="AD409"/>
    </row>
    <row r="410" spans="14:30" ht="12.75" customHeight="1">
      <c r="N410"/>
      <c r="O410"/>
      <c r="P410"/>
      <c r="Q410"/>
      <c r="R410"/>
      <c r="S410"/>
      <c r="T410"/>
      <c r="U410"/>
      <c r="V410"/>
      <c r="W410"/>
      <c r="X410"/>
      <c r="Y410"/>
      <c r="Z410"/>
      <c r="AA410"/>
      <c r="AB410"/>
      <c r="AC410"/>
      <c r="AD410"/>
    </row>
    <row r="411" spans="14:30" ht="12.75" customHeight="1">
      <c r="N411"/>
      <c r="O411"/>
      <c r="P411"/>
      <c r="Q411"/>
      <c r="R411"/>
      <c r="S411"/>
      <c r="T411"/>
      <c r="U411"/>
      <c r="V411"/>
      <c r="W411"/>
      <c r="X411"/>
      <c r="Y411"/>
      <c r="Z411"/>
      <c r="AA411"/>
      <c r="AB411"/>
      <c r="AC411"/>
      <c r="AD411"/>
    </row>
    <row r="412" spans="14:30" ht="12.75" customHeight="1">
      <c r="N412"/>
      <c r="O412"/>
      <c r="P412"/>
      <c r="Q412"/>
      <c r="R412"/>
      <c r="S412"/>
      <c r="T412"/>
      <c r="U412"/>
      <c r="V412"/>
      <c r="W412"/>
      <c r="X412"/>
      <c r="Y412"/>
      <c r="Z412"/>
      <c r="AA412"/>
      <c r="AB412"/>
      <c r="AC412"/>
      <c r="AD412"/>
    </row>
    <row r="413" spans="14:30" ht="12.75" customHeight="1">
      <c r="N413"/>
      <c r="O413"/>
      <c r="P413"/>
      <c r="Q413"/>
      <c r="R413"/>
      <c r="S413"/>
      <c r="T413"/>
      <c r="U413"/>
      <c r="V413"/>
      <c r="W413"/>
      <c r="X413"/>
      <c r="Y413"/>
      <c r="Z413"/>
      <c r="AA413"/>
      <c r="AB413"/>
      <c r="AC413"/>
      <c r="AD413"/>
    </row>
    <row r="414" spans="14:30" ht="12.75" customHeight="1">
      <c r="N414"/>
      <c r="O414"/>
      <c r="P414"/>
      <c r="Q414"/>
      <c r="R414"/>
      <c r="S414"/>
      <c r="T414"/>
      <c r="U414"/>
      <c r="V414"/>
      <c r="W414"/>
      <c r="X414"/>
      <c r="Y414"/>
      <c r="Z414"/>
      <c r="AA414"/>
      <c r="AB414"/>
      <c r="AC414"/>
      <c r="AD414"/>
    </row>
    <row r="415" spans="14:30" ht="12.75" customHeight="1">
      <c r="N415"/>
      <c r="O415"/>
      <c r="P415"/>
      <c r="Q415"/>
      <c r="R415"/>
      <c r="S415"/>
      <c r="T415"/>
      <c r="U415"/>
      <c r="V415"/>
      <c r="W415"/>
      <c r="X415"/>
      <c r="Y415"/>
      <c r="Z415"/>
      <c r="AA415"/>
      <c r="AB415"/>
      <c r="AC415"/>
      <c r="AD415"/>
    </row>
    <row r="416" spans="14:30" ht="12.75" customHeight="1">
      <c r="N416"/>
      <c r="O416"/>
      <c r="P416"/>
      <c r="Q416"/>
      <c r="R416"/>
      <c r="S416"/>
      <c r="T416"/>
      <c r="U416"/>
      <c r="V416"/>
      <c r="W416"/>
      <c r="X416"/>
      <c r="Y416"/>
      <c r="Z416"/>
      <c r="AA416"/>
      <c r="AB416"/>
      <c r="AC416"/>
      <c r="AD416"/>
    </row>
    <row r="417" spans="14:30" ht="12.75" customHeight="1">
      <c r="N417"/>
      <c r="O417"/>
      <c r="P417"/>
      <c r="Q417"/>
      <c r="R417"/>
      <c r="S417"/>
      <c r="T417"/>
      <c r="U417"/>
      <c r="V417"/>
      <c r="W417"/>
      <c r="X417"/>
      <c r="Y417"/>
      <c r="Z417"/>
      <c r="AA417"/>
      <c r="AB417"/>
      <c r="AC417"/>
      <c r="AD417"/>
    </row>
    <row r="418" spans="14:30" ht="12.75" customHeight="1">
      <c r="N418"/>
      <c r="O418"/>
      <c r="P418"/>
      <c r="Q418"/>
      <c r="R418"/>
      <c r="S418"/>
      <c r="T418"/>
      <c r="U418"/>
      <c r="V418"/>
      <c r="W418"/>
      <c r="X418"/>
      <c r="Y418"/>
      <c r="Z418"/>
      <c r="AA418"/>
      <c r="AB418"/>
      <c r="AC418"/>
      <c r="AD418"/>
    </row>
    <row r="419" spans="14:30" ht="12.75" customHeight="1">
      <c r="N419"/>
      <c r="O419"/>
      <c r="P419"/>
      <c r="Q419"/>
      <c r="R419"/>
      <c r="S419"/>
      <c r="T419"/>
      <c r="U419"/>
      <c r="V419"/>
      <c r="W419"/>
      <c r="X419"/>
      <c r="Y419"/>
      <c r="Z419"/>
      <c r="AA419"/>
      <c r="AB419"/>
      <c r="AC419"/>
      <c r="AD419"/>
    </row>
    <row r="420" spans="14:30" ht="12.75" customHeight="1">
      <c r="N420"/>
      <c r="O420"/>
      <c r="P420"/>
      <c r="Q420"/>
      <c r="R420"/>
      <c r="S420"/>
      <c r="T420"/>
      <c r="U420"/>
      <c r="V420"/>
      <c r="W420"/>
      <c r="X420"/>
      <c r="Y420"/>
      <c r="Z420"/>
      <c r="AA420"/>
      <c r="AB420"/>
      <c r="AC420"/>
      <c r="AD420"/>
    </row>
    <row r="421" spans="14:30" ht="12.75" customHeight="1">
      <c r="N421"/>
      <c r="O421"/>
      <c r="P421"/>
      <c r="Q421"/>
      <c r="R421"/>
      <c r="S421"/>
      <c r="T421"/>
      <c r="U421"/>
      <c r="V421"/>
      <c r="W421"/>
      <c r="X421"/>
      <c r="Y421"/>
      <c r="Z421"/>
      <c r="AA421"/>
      <c r="AB421"/>
      <c r="AC421"/>
      <c r="AD421"/>
    </row>
    <row r="422" spans="14:30" ht="12.75" customHeight="1">
      <c r="N422"/>
      <c r="O422"/>
      <c r="P422"/>
      <c r="Q422"/>
      <c r="R422"/>
      <c r="S422"/>
      <c r="T422"/>
      <c r="U422"/>
      <c r="V422"/>
      <c r="W422"/>
      <c r="X422"/>
      <c r="Y422"/>
      <c r="Z422"/>
      <c r="AA422"/>
      <c r="AB422"/>
      <c r="AC422"/>
      <c r="AD422"/>
    </row>
    <row r="423" spans="14:30" ht="12.75" customHeight="1">
      <c r="N423"/>
      <c r="O423"/>
      <c r="P423"/>
      <c r="Q423"/>
      <c r="R423"/>
      <c r="S423"/>
      <c r="T423"/>
      <c r="U423"/>
      <c r="V423"/>
      <c r="W423"/>
      <c r="X423"/>
      <c r="Y423"/>
      <c r="Z423"/>
      <c r="AA423"/>
      <c r="AB423"/>
      <c r="AC423"/>
      <c r="AD423"/>
    </row>
    <row r="424" spans="14:30" ht="12.75" customHeight="1">
      <c r="N424"/>
      <c r="O424"/>
      <c r="P424"/>
      <c r="Q424"/>
      <c r="R424"/>
      <c r="S424"/>
      <c r="T424"/>
      <c r="U424"/>
      <c r="V424"/>
      <c r="W424"/>
      <c r="X424"/>
      <c r="Y424"/>
      <c r="Z424"/>
      <c r="AA424"/>
      <c r="AB424"/>
      <c r="AC424"/>
      <c r="AD424"/>
    </row>
    <row r="425" spans="14:30" ht="12.75" customHeight="1">
      <c r="N425"/>
      <c r="O425"/>
      <c r="P425"/>
      <c r="Q425"/>
      <c r="R425"/>
      <c r="S425"/>
      <c r="T425"/>
      <c r="U425"/>
      <c r="V425"/>
      <c r="W425"/>
      <c r="X425"/>
      <c r="Y425"/>
      <c r="Z425"/>
      <c r="AA425"/>
      <c r="AB425"/>
      <c r="AC425"/>
      <c r="AD425"/>
    </row>
    <row r="426" spans="14:30" ht="12.75" customHeight="1">
      <c r="N426"/>
      <c r="O426"/>
      <c r="P426"/>
      <c r="Q426"/>
      <c r="R426"/>
      <c r="S426"/>
      <c r="T426"/>
      <c r="U426"/>
      <c r="V426"/>
      <c r="W426"/>
      <c r="X426"/>
      <c r="Y426"/>
      <c r="Z426"/>
      <c r="AA426"/>
      <c r="AB426"/>
      <c r="AC426"/>
      <c r="AD426"/>
    </row>
    <row r="427" spans="14:30" ht="12.75" customHeight="1">
      <c r="N427"/>
      <c r="O427"/>
      <c r="P427"/>
      <c r="Q427"/>
      <c r="R427"/>
      <c r="S427"/>
      <c r="T427"/>
      <c r="U427"/>
      <c r="V427"/>
      <c r="W427"/>
      <c r="X427"/>
      <c r="Y427"/>
      <c r="Z427"/>
      <c r="AA427"/>
      <c r="AB427"/>
      <c r="AC427"/>
      <c r="AD427"/>
    </row>
    <row r="428" spans="14:30" ht="12.75" customHeight="1">
      <c r="N428"/>
      <c r="O428"/>
      <c r="P428"/>
      <c r="Q428"/>
      <c r="R428"/>
      <c r="S428"/>
      <c r="T428"/>
      <c r="U428"/>
      <c r="V428"/>
      <c r="W428"/>
      <c r="X428"/>
      <c r="Y428"/>
      <c r="Z428"/>
      <c r="AA428"/>
      <c r="AB428"/>
      <c r="AC428"/>
      <c r="AD428"/>
    </row>
    <row r="429" spans="14:30" ht="12.75" customHeight="1">
      <c r="N429"/>
      <c r="O429"/>
      <c r="P429"/>
      <c r="Q429"/>
      <c r="R429"/>
      <c r="S429"/>
      <c r="T429"/>
      <c r="U429"/>
      <c r="V429"/>
      <c r="W429"/>
      <c r="X429"/>
      <c r="Y429"/>
      <c r="Z429"/>
      <c r="AA429"/>
      <c r="AB429"/>
      <c r="AC429"/>
      <c r="AD429"/>
    </row>
    <row r="430" spans="14:30" ht="12.75" customHeight="1">
      <c r="N430"/>
      <c r="O430"/>
      <c r="P430"/>
      <c r="Q430"/>
      <c r="R430"/>
      <c r="S430"/>
      <c r="T430"/>
      <c r="U430"/>
      <c r="V430"/>
      <c r="W430"/>
      <c r="X430"/>
      <c r="Y430"/>
      <c r="Z430"/>
      <c r="AA430"/>
      <c r="AB430"/>
      <c r="AC430"/>
      <c r="AD430"/>
    </row>
    <row r="431" spans="14:30" ht="12.75" customHeight="1">
      <c r="N431"/>
      <c r="O431"/>
      <c r="P431"/>
      <c r="Q431"/>
      <c r="R431"/>
      <c r="S431"/>
      <c r="T431"/>
      <c r="U431"/>
      <c r="V431"/>
      <c r="W431"/>
      <c r="X431"/>
      <c r="Y431"/>
      <c r="Z431"/>
      <c r="AA431"/>
      <c r="AB431"/>
      <c r="AC431"/>
      <c r="AD431"/>
    </row>
    <row r="432" spans="14:30" ht="12.75" customHeight="1">
      <c r="N432"/>
      <c r="O432"/>
      <c r="P432"/>
      <c r="Q432"/>
      <c r="R432"/>
      <c r="S432"/>
      <c r="T432"/>
      <c r="U432"/>
      <c r="V432"/>
      <c r="W432"/>
      <c r="X432"/>
      <c r="Y432"/>
      <c r="Z432"/>
      <c r="AA432"/>
      <c r="AB432"/>
      <c r="AC432"/>
      <c r="AD432"/>
    </row>
    <row r="433" spans="14:30" ht="12.75" customHeight="1">
      <c r="N433"/>
      <c r="O433"/>
      <c r="P433"/>
      <c r="Q433"/>
      <c r="R433"/>
      <c r="S433"/>
      <c r="T433"/>
      <c r="U433"/>
      <c r="V433"/>
      <c r="W433"/>
      <c r="X433"/>
      <c r="Y433"/>
      <c r="Z433"/>
      <c r="AA433"/>
      <c r="AB433"/>
      <c r="AC433"/>
      <c r="AD433"/>
    </row>
    <row r="434" spans="14:30" ht="12.75" customHeight="1">
      <c r="N434"/>
      <c r="O434"/>
      <c r="P434"/>
      <c r="Q434"/>
      <c r="R434"/>
      <c r="S434"/>
      <c r="T434"/>
      <c r="U434"/>
      <c r="V434"/>
      <c r="W434"/>
      <c r="X434"/>
      <c r="Y434"/>
      <c r="Z434"/>
      <c r="AA434"/>
      <c r="AB434"/>
      <c r="AC434"/>
      <c r="AD434"/>
    </row>
    <row r="435" spans="14:30" ht="12.75" customHeight="1">
      <c r="N435"/>
      <c r="O435"/>
      <c r="P435"/>
      <c r="Q435"/>
      <c r="R435"/>
      <c r="S435"/>
      <c r="T435"/>
      <c r="U435"/>
      <c r="V435"/>
      <c r="W435"/>
      <c r="X435"/>
      <c r="Y435"/>
      <c r="Z435"/>
      <c r="AA435"/>
      <c r="AB435"/>
      <c r="AC435"/>
      <c r="AD435"/>
    </row>
    <row r="436" spans="14:30" ht="12.75" customHeight="1">
      <c r="N436"/>
      <c r="O436"/>
      <c r="P436"/>
      <c r="Q436"/>
      <c r="R436"/>
      <c r="S436"/>
      <c r="T436"/>
      <c r="U436"/>
      <c r="V436"/>
      <c r="W436"/>
      <c r="X436"/>
      <c r="Y436"/>
      <c r="Z436"/>
      <c r="AA436"/>
      <c r="AB436"/>
      <c r="AC436"/>
      <c r="AD436"/>
    </row>
    <row r="437" spans="14:30" ht="12.75" customHeight="1">
      <c r="N437"/>
      <c r="O437"/>
      <c r="P437"/>
      <c r="Q437"/>
      <c r="R437"/>
      <c r="S437"/>
      <c r="T437"/>
      <c r="U437"/>
      <c r="V437"/>
      <c r="W437"/>
      <c r="X437"/>
      <c r="Y437"/>
      <c r="Z437"/>
      <c r="AA437"/>
      <c r="AB437"/>
      <c r="AC437"/>
      <c r="AD437"/>
    </row>
    <row r="438" spans="14:30" ht="12.75" customHeight="1">
      <c r="N438"/>
      <c r="O438"/>
      <c r="P438"/>
      <c r="Q438"/>
      <c r="R438"/>
      <c r="S438"/>
      <c r="T438"/>
      <c r="U438"/>
      <c r="V438"/>
      <c r="W438"/>
      <c r="X438"/>
      <c r="Y438"/>
      <c r="Z438"/>
      <c r="AA438"/>
      <c r="AB438"/>
      <c r="AC438"/>
      <c r="AD438"/>
    </row>
    <row r="439" spans="14:30" ht="12.75" customHeight="1">
      <c r="N439"/>
      <c r="O439"/>
      <c r="P439"/>
      <c r="Q439"/>
      <c r="R439"/>
      <c r="S439"/>
      <c r="T439"/>
      <c r="U439"/>
      <c r="V439"/>
      <c r="W439"/>
      <c r="X439"/>
      <c r="Y439"/>
      <c r="Z439"/>
      <c r="AA439"/>
      <c r="AB439"/>
      <c r="AC439"/>
      <c r="AD439"/>
    </row>
    <row r="440" spans="14:30" ht="12.75" customHeight="1">
      <c r="N440"/>
      <c r="O440"/>
      <c r="P440"/>
      <c r="Q440"/>
      <c r="R440"/>
      <c r="S440"/>
      <c r="T440"/>
      <c r="U440"/>
      <c r="V440"/>
      <c r="W440"/>
      <c r="X440"/>
      <c r="Y440"/>
      <c r="Z440"/>
      <c r="AA440"/>
      <c r="AB440"/>
      <c r="AC440"/>
      <c r="AD440"/>
    </row>
    <row r="441" spans="14:30" ht="12.75" customHeight="1">
      <c r="N441"/>
      <c r="O441"/>
      <c r="P441"/>
      <c r="Q441"/>
      <c r="R441"/>
      <c r="S441"/>
      <c r="T441"/>
      <c r="U441"/>
      <c r="V441"/>
      <c r="W441"/>
      <c r="X441"/>
      <c r="Y441"/>
      <c r="Z441"/>
      <c r="AA441"/>
      <c r="AB441"/>
      <c r="AC441"/>
      <c r="AD441"/>
    </row>
    <row r="442" spans="14:30" ht="12.75" customHeight="1">
      <c r="N442"/>
      <c r="O442"/>
      <c r="P442"/>
      <c r="Q442"/>
      <c r="R442"/>
      <c r="S442"/>
      <c r="T442"/>
      <c r="U442"/>
      <c r="V442"/>
      <c r="W442"/>
      <c r="X442"/>
      <c r="Y442"/>
      <c r="Z442"/>
      <c r="AA442"/>
      <c r="AB442"/>
      <c r="AC442"/>
      <c r="AD442"/>
    </row>
    <row r="443" spans="14:30" ht="12.75" customHeight="1">
      <c r="N443"/>
      <c r="O443"/>
      <c r="P443"/>
      <c r="Q443"/>
      <c r="R443"/>
      <c r="S443"/>
      <c r="T443"/>
      <c r="U443"/>
      <c r="V443"/>
      <c r="W443"/>
      <c r="X443"/>
      <c r="Y443"/>
      <c r="Z443"/>
      <c r="AA443"/>
      <c r="AB443"/>
      <c r="AC443"/>
      <c r="AD443"/>
    </row>
    <row r="444" spans="14:30" ht="12.75" customHeight="1">
      <c r="N444"/>
      <c r="O444"/>
      <c r="P444"/>
      <c r="Q444"/>
      <c r="R444"/>
      <c r="S444"/>
      <c r="T444"/>
      <c r="U444"/>
      <c r="V444"/>
      <c r="W444"/>
      <c r="X444"/>
      <c r="Y444"/>
      <c r="Z444"/>
      <c r="AA444"/>
      <c r="AB444"/>
      <c r="AC444"/>
      <c r="AD444"/>
    </row>
    <row r="445" spans="14:30" ht="12.75" customHeight="1">
      <c r="N445"/>
      <c r="O445"/>
      <c r="P445"/>
      <c r="Q445"/>
      <c r="R445"/>
      <c r="S445"/>
      <c r="T445"/>
      <c r="U445"/>
      <c r="V445"/>
      <c r="W445"/>
      <c r="X445"/>
      <c r="Y445"/>
      <c r="Z445"/>
      <c r="AA445"/>
      <c r="AB445"/>
      <c r="AC445"/>
      <c r="AD445"/>
    </row>
    <row r="446" spans="14:30" ht="12.75" customHeight="1">
      <c r="N446"/>
      <c r="O446"/>
      <c r="P446"/>
      <c r="Q446"/>
      <c r="R446"/>
      <c r="S446"/>
      <c r="T446"/>
      <c r="U446"/>
      <c r="V446"/>
      <c r="W446"/>
      <c r="X446"/>
      <c r="Y446"/>
      <c r="Z446"/>
      <c r="AA446"/>
      <c r="AB446"/>
      <c r="AC446"/>
      <c r="AD446"/>
    </row>
    <row r="447" spans="14:30" ht="12.75" customHeight="1">
      <c r="N447"/>
      <c r="O447"/>
      <c r="P447"/>
      <c r="Q447"/>
      <c r="R447"/>
      <c r="S447"/>
      <c r="T447"/>
      <c r="U447"/>
      <c r="V447"/>
      <c r="W447"/>
      <c r="X447"/>
      <c r="Y447"/>
      <c r="Z447"/>
      <c r="AA447"/>
      <c r="AB447"/>
      <c r="AC447"/>
      <c r="AD447"/>
    </row>
    <row r="448" spans="14:30" ht="12.75" customHeight="1">
      <c r="N448"/>
      <c r="O448"/>
      <c r="P448"/>
      <c r="Q448"/>
      <c r="R448"/>
      <c r="S448"/>
      <c r="T448"/>
      <c r="U448"/>
      <c r="V448"/>
      <c r="W448"/>
      <c r="X448"/>
      <c r="Y448"/>
      <c r="Z448"/>
      <c r="AA448"/>
      <c r="AB448"/>
      <c r="AC448"/>
      <c r="AD448"/>
    </row>
    <row r="449" spans="14:30" ht="12.75" customHeight="1">
      <c r="N449"/>
      <c r="O449"/>
      <c r="P449"/>
      <c r="Q449"/>
      <c r="R449"/>
      <c r="S449"/>
      <c r="T449"/>
      <c r="U449"/>
      <c r="V449"/>
      <c r="W449"/>
      <c r="X449"/>
      <c r="Y449"/>
      <c r="Z449"/>
      <c r="AA449"/>
      <c r="AB449"/>
      <c r="AC449"/>
      <c r="AD449"/>
    </row>
    <row r="450" spans="14:30" ht="12.75" customHeight="1">
      <c r="N450"/>
      <c r="O450"/>
      <c r="P450"/>
      <c r="Q450"/>
      <c r="R450"/>
      <c r="S450"/>
      <c r="T450"/>
      <c r="U450"/>
      <c r="V450"/>
      <c r="W450"/>
      <c r="X450"/>
      <c r="Y450"/>
      <c r="Z450"/>
      <c r="AA450"/>
      <c r="AB450"/>
      <c r="AC450"/>
      <c r="AD450"/>
    </row>
    <row r="451" spans="14:30" ht="12.75" customHeight="1">
      <c r="N451"/>
      <c r="O451"/>
      <c r="P451"/>
      <c r="Q451"/>
      <c r="R451"/>
      <c r="S451"/>
      <c r="T451"/>
      <c r="U451"/>
      <c r="V451"/>
      <c r="W451"/>
      <c r="X451"/>
      <c r="Y451"/>
      <c r="Z451"/>
      <c r="AA451"/>
      <c r="AB451"/>
      <c r="AC451"/>
      <c r="AD451"/>
    </row>
    <row r="452" spans="14:30" ht="12.75" customHeight="1">
      <c r="N452"/>
      <c r="O452"/>
      <c r="P452"/>
      <c r="Q452"/>
      <c r="R452"/>
      <c r="S452"/>
      <c r="T452"/>
      <c r="U452"/>
      <c r="V452"/>
      <c r="W452"/>
      <c r="X452"/>
      <c r="Y452"/>
      <c r="Z452"/>
      <c r="AA452"/>
      <c r="AB452"/>
      <c r="AC452"/>
      <c r="AD452"/>
    </row>
    <row r="453" spans="14:30" ht="12.75" customHeight="1">
      <c r="N453"/>
      <c r="O453"/>
      <c r="P453"/>
      <c r="Q453"/>
      <c r="R453"/>
      <c r="S453"/>
      <c r="T453"/>
      <c r="U453"/>
      <c r="V453"/>
      <c r="W453"/>
      <c r="X453"/>
      <c r="Y453"/>
      <c r="Z453"/>
      <c r="AA453"/>
      <c r="AB453"/>
      <c r="AC453"/>
      <c r="AD453"/>
    </row>
    <row r="454" spans="14:30" ht="12.75" customHeight="1">
      <c r="N454"/>
      <c r="O454"/>
      <c r="P454"/>
      <c r="Q454"/>
      <c r="R454"/>
      <c r="S454"/>
      <c r="T454"/>
      <c r="U454"/>
      <c r="V454"/>
      <c r="W454"/>
      <c r="X454"/>
      <c r="Y454"/>
      <c r="Z454"/>
      <c r="AA454"/>
      <c r="AB454"/>
      <c r="AC454"/>
      <c r="AD454"/>
    </row>
    <row r="455" spans="14:30" ht="12.75" customHeight="1">
      <c r="N455"/>
      <c r="O455"/>
      <c r="P455"/>
      <c r="Q455"/>
      <c r="R455"/>
      <c r="S455"/>
      <c r="T455"/>
      <c r="U455"/>
      <c r="V455"/>
      <c r="W455"/>
      <c r="X455"/>
      <c r="Y455"/>
      <c r="Z455"/>
      <c r="AA455"/>
      <c r="AB455"/>
      <c r="AC455"/>
      <c r="AD455"/>
    </row>
    <row r="456" spans="14:30" ht="12.75" customHeight="1">
      <c r="N456"/>
      <c r="O456"/>
      <c r="P456"/>
      <c r="Q456"/>
      <c r="R456"/>
      <c r="S456"/>
      <c r="T456"/>
      <c r="U456"/>
      <c r="V456"/>
      <c r="W456"/>
      <c r="X456"/>
      <c r="Y456"/>
      <c r="Z456"/>
      <c r="AA456"/>
      <c r="AB456"/>
      <c r="AC456"/>
      <c r="AD456"/>
    </row>
    <row r="457" spans="14:30" ht="12.75" customHeight="1">
      <c r="N457"/>
      <c r="O457"/>
      <c r="P457"/>
      <c r="Q457"/>
      <c r="R457"/>
      <c r="S457"/>
      <c r="T457"/>
      <c r="U457"/>
      <c r="V457"/>
      <c r="W457"/>
      <c r="X457"/>
      <c r="Y457"/>
      <c r="Z457"/>
      <c r="AA457"/>
      <c r="AB457"/>
      <c r="AC457"/>
      <c r="AD457"/>
    </row>
    <row r="458" spans="14:30" ht="12.75" customHeight="1">
      <c r="N458"/>
      <c r="O458"/>
      <c r="P458"/>
      <c r="Q458"/>
      <c r="R458"/>
      <c r="S458"/>
      <c r="T458"/>
      <c r="U458"/>
      <c r="V458"/>
      <c r="W458"/>
      <c r="X458"/>
      <c r="Y458"/>
      <c r="Z458"/>
      <c r="AA458"/>
      <c r="AB458"/>
      <c r="AC458"/>
      <c r="AD458"/>
    </row>
    <row r="459" spans="14:30" ht="12.75" customHeight="1">
      <c r="N459"/>
      <c r="O459"/>
      <c r="P459"/>
      <c r="Q459"/>
      <c r="R459"/>
      <c r="S459"/>
      <c r="T459"/>
      <c r="U459"/>
      <c r="V459"/>
      <c r="W459"/>
      <c r="X459"/>
      <c r="Y459"/>
      <c r="Z459"/>
      <c r="AA459"/>
      <c r="AB459"/>
      <c r="AC459"/>
      <c r="AD459"/>
    </row>
    <row r="460" spans="14:30" ht="12.75" customHeight="1">
      <c r="N460"/>
      <c r="O460"/>
      <c r="P460"/>
      <c r="Q460"/>
      <c r="R460"/>
      <c r="S460"/>
      <c r="T460"/>
      <c r="U460"/>
      <c r="V460"/>
      <c r="W460"/>
      <c r="X460"/>
      <c r="Y460"/>
      <c r="Z460"/>
      <c r="AA460"/>
      <c r="AB460"/>
      <c r="AC460"/>
      <c r="AD460"/>
    </row>
    <row r="461" spans="14:30" ht="12.75" customHeight="1">
      <c r="N461"/>
      <c r="O461"/>
      <c r="P461"/>
      <c r="Q461"/>
      <c r="R461"/>
      <c r="S461"/>
      <c r="T461"/>
      <c r="U461"/>
      <c r="V461"/>
      <c r="W461"/>
      <c r="X461"/>
      <c r="Y461"/>
      <c r="Z461"/>
      <c r="AA461"/>
      <c r="AB461"/>
      <c r="AC461"/>
      <c r="AD461"/>
    </row>
    <row r="462" spans="14:30" ht="12.75" customHeight="1">
      <c r="N462"/>
      <c r="O462"/>
      <c r="P462"/>
      <c r="Q462"/>
      <c r="R462"/>
      <c r="S462"/>
      <c r="T462"/>
      <c r="U462"/>
      <c r="V462"/>
      <c r="W462"/>
      <c r="X462"/>
      <c r="Y462"/>
      <c r="Z462"/>
      <c r="AA462"/>
      <c r="AB462"/>
      <c r="AC462"/>
      <c r="AD462"/>
    </row>
    <row r="463" spans="14:30" ht="12.75" customHeight="1">
      <c r="N463"/>
      <c r="O463"/>
      <c r="P463"/>
      <c r="Q463"/>
      <c r="R463"/>
      <c r="S463"/>
      <c r="T463"/>
      <c r="U463"/>
      <c r="V463"/>
      <c r="W463"/>
      <c r="X463"/>
      <c r="Y463"/>
      <c r="Z463"/>
      <c r="AA463"/>
      <c r="AB463"/>
      <c r="AC463"/>
      <c r="AD463"/>
    </row>
    <row r="464" spans="14:30" ht="12.75" customHeight="1">
      <c r="N464"/>
      <c r="O464"/>
      <c r="P464"/>
      <c r="Q464"/>
      <c r="R464"/>
      <c r="S464"/>
      <c r="T464"/>
      <c r="U464"/>
      <c r="V464"/>
      <c r="W464"/>
      <c r="X464"/>
      <c r="Y464"/>
      <c r="Z464"/>
      <c r="AA464"/>
      <c r="AB464"/>
      <c r="AC464"/>
      <c r="AD464"/>
    </row>
    <row r="465" spans="14:30" ht="12.75" customHeight="1">
      <c r="N465"/>
      <c r="O465"/>
      <c r="P465"/>
      <c r="Q465"/>
      <c r="R465"/>
      <c r="S465"/>
      <c r="T465"/>
      <c r="U465"/>
      <c r="V465"/>
      <c r="W465"/>
      <c r="X465"/>
      <c r="Y465"/>
      <c r="Z465"/>
      <c r="AA465"/>
      <c r="AB465"/>
      <c r="AC465"/>
      <c r="AD465"/>
    </row>
    <row r="466" spans="14:30" ht="12.75" customHeight="1">
      <c r="N466"/>
      <c r="O466"/>
      <c r="P466"/>
      <c r="Q466"/>
      <c r="R466"/>
      <c r="S466"/>
      <c r="T466"/>
      <c r="U466"/>
      <c r="V466"/>
      <c r="W466"/>
      <c r="X466"/>
      <c r="Y466"/>
      <c r="Z466"/>
      <c r="AA466"/>
      <c r="AB466"/>
      <c r="AC466"/>
      <c r="AD466"/>
    </row>
    <row r="467" spans="14:30" ht="12.75" customHeight="1">
      <c r="N467"/>
      <c r="O467"/>
      <c r="P467"/>
      <c r="Q467"/>
      <c r="R467"/>
      <c r="S467"/>
      <c r="T467"/>
      <c r="U467"/>
      <c r="V467"/>
      <c r="W467"/>
      <c r="X467"/>
      <c r="Y467"/>
      <c r="Z467"/>
      <c r="AA467"/>
      <c r="AB467"/>
      <c r="AC467"/>
      <c r="AD467"/>
    </row>
    <row r="468" spans="14:30" ht="12.75" customHeight="1">
      <c r="N468"/>
      <c r="O468"/>
      <c r="P468"/>
      <c r="Q468"/>
      <c r="R468"/>
      <c r="S468"/>
      <c r="T468"/>
      <c r="U468"/>
      <c r="V468"/>
      <c r="W468"/>
      <c r="X468"/>
      <c r="Y468"/>
      <c r="Z468"/>
      <c r="AA468"/>
      <c r="AB468"/>
      <c r="AC468"/>
      <c r="AD468"/>
    </row>
    <row r="469" spans="14:30" ht="12.75" customHeight="1">
      <c r="N469"/>
      <c r="O469"/>
      <c r="P469"/>
      <c r="Q469"/>
      <c r="R469"/>
      <c r="S469"/>
      <c r="T469"/>
      <c r="U469"/>
      <c r="V469"/>
      <c r="W469"/>
      <c r="X469"/>
      <c r="Y469"/>
      <c r="Z469"/>
      <c r="AA469"/>
      <c r="AB469"/>
      <c r="AC469"/>
      <c r="AD469"/>
    </row>
    <row r="470" spans="14:30" ht="12.75" customHeight="1">
      <c r="N470"/>
      <c r="O470"/>
      <c r="P470"/>
      <c r="Q470"/>
      <c r="R470"/>
      <c r="S470"/>
      <c r="T470"/>
      <c r="U470"/>
      <c r="V470"/>
      <c r="W470"/>
      <c r="X470"/>
      <c r="Y470"/>
      <c r="Z470"/>
      <c r="AA470"/>
      <c r="AB470"/>
      <c r="AC470"/>
      <c r="AD470"/>
    </row>
    <row r="471" spans="14:30" ht="12.75" customHeight="1">
      <c r="N471"/>
      <c r="O471"/>
      <c r="P471"/>
      <c r="Q471"/>
      <c r="R471"/>
      <c r="S471"/>
      <c r="T471"/>
      <c r="U471"/>
      <c r="V471"/>
      <c r="W471"/>
      <c r="X471"/>
      <c r="Y471"/>
      <c r="Z471"/>
      <c r="AA471"/>
      <c r="AB471"/>
      <c r="AC471"/>
      <c r="AD471"/>
    </row>
    <row r="472" spans="14:30" ht="12.75" customHeight="1">
      <c r="N472"/>
      <c r="O472"/>
      <c r="P472"/>
      <c r="Q472"/>
      <c r="R472"/>
      <c r="S472"/>
      <c r="T472"/>
      <c r="U472"/>
      <c r="V472"/>
      <c r="W472"/>
      <c r="X472"/>
      <c r="Y472"/>
      <c r="Z472"/>
      <c r="AA472"/>
      <c r="AB472"/>
      <c r="AC472"/>
      <c r="AD472"/>
    </row>
    <row r="473" spans="14:30" ht="12.75" customHeight="1">
      <c r="N473"/>
      <c r="O473"/>
      <c r="P473"/>
      <c r="Q473"/>
      <c r="R473"/>
      <c r="S473"/>
      <c r="T473"/>
      <c r="U473"/>
      <c r="V473"/>
      <c r="W473"/>
      <c r="X473"/>
      <c r="Y473"/>
      <c r="Z473"/>
      <c r="AA473"/>
      <c r="AB473"/>
      <c r="AC473"/>
      <c r="AD473"/>
    </row>
    <row r="474" spans="14:30" ht="12.75" customHeight="1">
      <c r="N474"/>
      <c r="O474"/>
      <c r="P474"/>
      <c r="Q474"/>
      <c r="R474"/>
      <c r="S474"/>
      <c r="T474"/>
      <c r="U474"/>
      <c r="V474"/>
      <c r="W474"/>
      <c r="X474"/>
      <c r="Y474"/>
      <c r="Z474"/>
      <c r="AA474"/>
      <c r="AB474"/>
      <c r="AC474"/>
      <c r="AD474"/>
    </row>
    <row r="475" spans="14:30" ht="12.75" customHeight="1">
      <c r="N475"/>
      <c r="O475"/>
      <c r="P475"/>
      <c r="Q475"/>
      <c r="R475"/>
      <c r="S475"/>
      <c r="T475"/>
      <c r="U475"/>
      <c r="V475"/>
      <c r="W475"/>
      <c r="X475"/>
      <c r="Y475"/>
      <c r="Z475"/>
      <c r="AA475"/>
      <c r="AB475"/>
      <c r="AC475"/>
      <c r="AD475"/>
    </row>
    <row r="476" spans="14:30" ht="12.75" customHeight="1">
      <c r="N476"/>
      <c r="O476"/>
      <c r="P476"/>
      <c r="Q476"/>
      <c r="R476"/>
      <c r="S476"/>
      <c r="T476"/>
      <c r="U476"/>
      <c r="V476"/>
      <c r="W476"/>
      <c r="X476"/>
      <c r="Y476"/>
      <c r="Z476"/>
      <c r="AA476"/>
      <c r="AB476"/>
      <c r="AC476"/>
      <c r="AD476"/>
    </row>
    <row r="477" spans="14:30" ht="12.75" customHeight="1">
      <c r="N477"/>
      <c r="O477"/>
      <c r="P477"/>
      <c r="Q477"/>
      <c r="R477"/>
      <c r="S477"/>
      <c r="T477"/>
      <c r="U477"/>
      <c r="V477"/>
      <c r="W477"/>
      <c r="X477"/>
      <c r="Y477"/>
      <c r="Z477"/>
      <c r="AA477"/>
      <c r="AB477"/>
      <c r="AC477"/>
      <c r="AD477"/>
    </row>
    <row r="478" spans="14:30" ht="12.75" customHeight="1">
      <c r="N478"/>
      <c r="O478"/>
      <c r="P478"/>
      <c r="Q478"/>
      <c r="R478"/>
      <c r="S478"/>
      <c r="T478"/>
      <c r="U478"/>
      <c r="V478"/>
      <c r="W478"/>
      <c r="X478"/>
      <c r="Y478"/>
      <c r="Z478"/>
      <c r="AA478"/>
      <c r="AB478"/>
      <c r="AC478"/>
      <c r="AD478"/>
    </row>
    <row r="479" spans="14:30" ht="12.75" customHeight="1">
      <c r="N479"/>
      <c r="O479"/>
      <c r="P479"/>
      <c r="Q479"/>
      <c r="R479"/>
      <c r="S479"/>
      <c r="T479"/>
      <c r="U479"/>
      <c r="V479"/>
      <c r="W479"/>
      <c r="X479"/>
      <c r="Y479"/>
      <c r="Z479"/>
      <c r="AA479"/>
      <c r="AB479"/>
      <c r="AC479"/>
      <c r="AD479"/>
    </row>
    <row r="480" spans="14:30" ht="12.75" customHeight="1">
      <c r="N480"/>
      <c r="O480"/>
      <c r="P480"/>
      <c r="Q480"/>
      <c r="R480"/>
      <c r="S480"/>
      <c r="T480"/>
      <c r="U480"/>
      <c r="V480"/>
      <c r="W480"/>
      <c r="X480"/>
      <c r="Y480"/>
      <c r="Z480"/>
      <c r="AA480"/>
      <c r="AB480"/>
      <c r="AC480"/>
      <c r="AD480"/>
    </row>
    <row r="481" spans="14:30" ht="12.75" customHeight="1">
      <c r="N481"/>
      <c r="O481"/>
      <c r="P481"/>
      <c r="Q481"/>
      <c r="R481"/>
      <c r="S481"/>
      <c r="T481"/>
      <c r="U481"/>
      <c r="V481"/>
      <c r="W481"/>
      <c r="X481"/>
      <c r="Y481"/>
      <c r="Z481"/>
      <c r="AA481"/>
      <c r="AB481"/>
      <c r="AC481"/>
      <c r="AD481"/>
    </row>
    <row r="482" spans="14:30" ht="12.75" customHeight="1">
      <c r="N482"/>
      <c r="O482"/>
      <c r="P482"/>
      <c r="Q482"/>
      <c r="R482"/>
      <c r="S482"/>
      <c r="T482"/>
      <c r="U482"/>
      <c r="V482"/>
      <c r="W482"/>
      <c r="X482"/>
      <c r="Y482"/>
      <c r="Z482"/>
      <c r="AA482"/>
      <c r="AB482"/>
      <c r="AC482"/>
      <c r="AD482"/>
    </row>
    <row r="483" spans="14:30" ht="12.75" customHeight="1">
      <c r="N483"/>
      <c r="O483"/>
      <c r="P483"/>
      <c r="Q483"/>
      <c r="R483"/>
      <c r="S483"/>
      <c r="T483"/>
      <c r="U483"/>
      <c r="V483"/>
      <c r="W483"/>
      <c r="X483"/>
      <c r="Y483"/>
      <c r="Z483"/>
      <c r="AA483"/>
      <c r="AB483"/>
      <c r="AC483"/>
      <c r="AD483"/>
    </row>
    <row r="484" spans="14:30" ht="12.75" customHeight="1">
      <c r="N484"/>
      <c r="O484"/>
      <c r="P484"/>
      <c r="Q484"/>
      <c r="R484"/>
      <c r="S484"/>
      <c r="T484"/>
      <c r="U484"/>
      <c r="V484"/>
      <c r="W484"/>
      <c r="X484"/>
      <c r="Y484"/>
      <c r="Z484"/>
      <c r="AA484"/>
      <c r="AB484"/>
      <c r="AC484"/>
      <c r="AD484"/>
    </row>
    <row r="485" spans="14:30" ht="12.75" customHeight="1">
      <c r="N485"/>
      <c r="O485"/>
      <c r="P485"/>
      <c r="Q485"/>
      <c r="R485"/>
      <c r="S485"/>
      <c r="T485"/>
      <c r="U485"/>
      <c r="V485"/>
      <c r="W485"/>
      <c r="X485"/>
      <c r="Y485"/>
      <c r="Z485"/>
      <c r="AA485"/>
      <c r="AB485"/>
      <c r="AC485"/>
      <c r="AD485"/>
    </row>
    <row r="486" spans="14:30" ht="12.75" customHeight="1">
      <c r="N486"/>
      <c r="O486"/>
      <c r="P486"/>
      <c r="Q486"/>
      <c r="R486"/>
      <c r="S486"/>
      <c r="T486"/>
      <c r="U486"/>
      <c r="V486"/>
      <c r="W486"/>
      <c r="X486"/>
      <c r="Y486"/>
      <c r="Z486"/>
      <c r="AA486"/>
      <c r="AB486"/>
      <c r="AC486"/>
      <c r="AD486"/>
    </row>
    <row r="487" spans="14:30" ht="12.75" customHeight="1">
      <c r="N487"/>
      <c r="O487"/>
      <c r="P487"/>
      <c r="Q487"/>
      <c r="R487"/>
      <c r="S487"/>
      <c r="T487"/>
      <c r="U487"/>
      <c r="V487"/>
      <c r="W487"/>
      <c r="X487"/>
      <c r="Y487"/>
      <c r="Z487"/>
      <c r="AA487"/>
      <c r="AB487"/>
      <c r="AC487"/>
      <c r="AD487"/>
    </row>
    <row r="488" spans="14:30" ht="12.75" customHeight="1">
      <c r="N488"/>
      <c r="O488"/>
      <c r="P488"/>
      <c r="Q488"/>
      <c r="R488"/>
      <c r="S488"/>
      <c r="T488"/>
      <c r="U488"/>
      <c r="V488"/>
      <c r="W488"/>
      <c r="X488"/>
      <c r="Y488"/>
      <c r="Z488"/>
      <c r="AA488"/>
      <c r="AB488"/>
      <c r="AC488"/>
      <c r="AD488"/>
    </row>
    <row r="489" spans="14:30" ht="12.75" customHeight="1">
      <c r="N489"/>
      <c r="O489"/>
      <c r="P489"/>
      <c r="Q489"/>
      <c r="R489"/>
      <c r="S489"/>
      <c r="T489"/>
      <c r="U489"/>
      <c r="V489"/>
      <c r="W489"/>
      <c r="X489"/>
      <c r="Y489"/>
      <c r="Z489"/>
      <c r="AA489"/>
      <c r="AB489"/>
      <c r="AC489"/>
      <c r="AD489"/>
    </row>
    <row r="490" spans="14:30" ht="12.75" customHeight="1">
      <c r="N490"/>
      <c r="O490"/>
      <c r="P490"/>
      <c r="Q490"/>
      <c r="R490"/>
      <c r="S490"/>
      <c r="T490"/>
      <c r="U490"/>
      <c r="V490"/>
      <c r="W490"/>
      <c r="X490"/>
      <c r="Y490"/>
      <c r="Z490"/>
      <c r="AA490"/>
      <c r="AB490"/>
      <c r="AC490"/>
      <c r="AD490"/>
    </row>
    <row r="491" spans="14:30" ht="12.75" customHeight="1">
      <c r="N491"/>
      <c r="O491"/>
      <c r="P491"/>
      <c r="Q491"/>
      <c r="R491"/>
      <c r="S491"/>
      <c r="T491"/>
      <c r="U491"/>
      <c r="V491"/>
      <c r="W491"/>
      <c r="X491"/>
      <c r="Y491"/>
      <c r="Z491"/>
      <c r="AA491"/>
      <c r="AB491"/>
      <c r="AC491"/>
      <c r="AD491"/>
    </row>
    <row r="492" spans="14:30" ht="12.75" customHeight="1">
      <c r="N492"/>
      <c r="O492"/>
      <c r="P492"/>
      <c r="Q492"/>
      <c r="R492"/>
      <c r="S492"/>
      <c r="T492"/>
      <c r="U492"/>
      <c r="V492"/>
      <c r="W492"/>
      <c r="X492"/>
      <c r="Y492"/>
      <c r="Z492"/>
      <c r="AA492"/>
      <c r="AB492"/>
      <c r="AC492"/>
      <c r="AD492"/>
    </row>
    <row r="493" spans="14:30" ht="12.75" customHeight="1">
      <c r="N493"/>
      <c r="O493"/>
      <c r="P493"/>
      <c r="Q493"/>
      <c r="R493"/>
      <c r="S493"/>
      <c r="T493"/>
      <c r="U493"/>
      <c r="V493"/>
      <c r="W493"/>
      <c r="X493"/>
      <c r="Y493"/>
      <c r="Z493"/>
      <c r="AA493"/>
      <c r="AB493"/>
      <c r="AC493"/>
      <c r="AD493"/>
    </row>
    <row r="494" spans="14:30" ht="12.75" customHeight="1">
      <c r="N494"/>
      <c r="O494"/>
      <c r="P494"/>
      <c r="Q494"/>
      <c r="R494"/>
      <c r="S494"/>
      <c r="T494"/>
      <c r="U494"/>
      <c r="V494"/>
      <c r="W494"/>
      <c r="X494"/>
      <c r="Y494"/>
      <c r="Z494"/>
      <c r="AA494"/>
      <c r="AB494"/>
      <c r="AC494"/>
      <c r="AD494"/>
    </row>
    <row r="495" spans="14:30" ht="12.75" customHeight="1">
      <c r="N495"/>
      <c r="O495"/>
      <c r="P495"/>
      <c r="Q495"/>
      <c r="R495"/>
      <c r="S495"/>
      <c r="T495"/>
      <c r="U495"/>
      <c r="V495"/>
      <c r="W495"/>
      <c r="X495"/>
      <c r="Y495"/>
      <c r="Z495"/>
      <c r="AA495"/>
      <c r="AB495"/>
      <c r="AC495"/>
      <c r="AD495"/>
    </row>
    <row r="496" spans="14:30" ht="12.75" customHeight="1">
      <c r="N496"/>
      <c r="O496"/>
      <c r="P496"/>
      <c r="Q496"/>
      <c r="R496"/>
      <c r="S496"/>
      <c r="T496"/>
      <c r="U496"/>
      <c r="V496"/>
      <c r="W496"/>
      <c r="X496"/>
      <c r="Y496"/>
      <c r="Z496"/>
      <c r="AA496"/>
      <c r="AB496"/>
      <c r="AC496"/>
      <c r="AD496"/>
    </row>
    <row r="497" spans="14:30" ht="12.75" customHeight="1">
      <c r="N497"/>
      <c r="O497"/>
      <c r="P497"/>
      <c r="Q497"/>
      <c r="R497"/>
      <c r="S497"/>
      <c r="T497"/>
      <c r="U497"/>
      <c r="V497"/>
      <c r="W497"/>
      <c r="X497"/>
      <c r="Y497"/>
      <c r="Z497"/>
      <c r="AA497"/>
      <c r="AB497"/>
      <c r="AC497"/>
      <c r="AD497"/>
    </row>
    <row r="498" spans="14:30" ht="12.75" customHeight="1">
      <c r="N498"/>
      <c r="O498"/>
      <c r="P498"/>
      <c r="Q498"/>
      <c r="R498"/>
      <c r="S498"/>
      <c r="T498"/>
      <c r="U498"/>
      <c r="V498"/>
      <c r="W498"/>
      <c r="X498"/>
      <c r="Y498"/>
      <c r="Z498"/>
      <c r="AA498"/>
      <c r="AB498"/>
      <c r="AC498"/>
      <c r="AD498"/>
    </row>
    <row r="499" spans="14:30" ht="12.75" customHeight="1">
      <c r="N499"/>
      <c r="O499"/>
      <c r="P499"/>
      <c r="Q499"/>
      <c r="R499"/>
      <c r="S499"/>
      <c r="T499"/>
      <c r="U499"/>
      <c r="V499"/>
      <c r="W499"/>
      <c r="X499"/>
      <c r="Y499"/>
      <c r="Z499"/>
      <c r="AA499"/>
      <c r="AB499"/>
      <c r="AC499"/>
      <c r="AD499"/>
    </row>
    <row r="500" spans="14:30" ht="12.75" customHeight="1">
      <c r="N500"/>
      <c r="O500"/>
      <c r="P500"/>
      <c r="Q500"/>
      <c r="R500"/>
      <c r="S500"/>
      <c r="T500"/>
      <c r="U500"/>
      <c r="V500"/>
      <c r="W500"/>
      <c r="X500"/>
      <c r="Y500"/>
      <c r="Z500"/>
      <c r="AA500"/>
      <c r="AB500"/>
      <c r="AC500"/>
      <c r="AD500"/>
    </row>
    <row r="501" spans="14:30" ht="12.75" customHeight="1">
      <c r="N501"/>
      <c r="O501"/>
      <c r="P501"/>
      <c r="Q501"/>
      <c r="R501"/>
      <c r="S501"/>
      <c r="T501"/>
      <c r="U501"/>
      <c r="V501"/>
      <c r="W501"/>
      <c r="X501"/>
      <c r="Y501"/>
      <c r="Z501"/>
      <c r="AA501"/>
      <c r="AB501"/>
      <c r="AC501"/>
      <c r="AD501"/>
    </row>
    <row r="502" spans="14:30" ht="12.75" customHeight="1">
      <c r="N502"/>
      <c r="O502"/>
      <c r="P502"/>
      <c r="Q502"/>
      <c r="R502"/>
      <c r="S502"/>
      <c r="T502"/>
      <c r="U502"/>
      <c r="V502"/>
      <c r="W502"/>
      <c r="X502"/>
      <c r="Y502"/>
      <c r="Z502"/>
      <c r="AA502"/>
      <c r="AB502"/>
      <c r="AC502"/>
      <c r="AD502"/>
    </row>
    <row r="503" spans="14:30" ht="12.75" customHeight="1">
      <c r="N503"/>
      <c r="O503"/>
      <c r="P503"/>
      <c r="Q503"/>
      <c r="R503"/>
      <c r="S503"/>
      <c r="T503"/>
      <c r="U503"/>
      <c r="V503"/>
      <c r="W503"/>
      <c r="X503"/>
      <c r="Y503"/>
      <c r="Z503"/>
      <c r="AA503"/>
      <c r="AB503"/>
      <c r="AC503"/>
      <c r="AD503"/>
    </row>
    <row r="504" spans="14:30" ht="12.75" customHeight="1">
      <c r="N504"/>
      <c r="O504"/>
      <c r="P504"/>
      <c r="Q504"/>
      <c r="R504"/>
      <c r="S504"/>
      <c r="T504"/>
      <c r="U504"/>
      <c r="V504"/>
      <c r="W504"/>
      <c r="X504"/>
      <c r="Y504"/>
      <c r="Z504"/>
      <c r="AA504"/>
      <c r="AB504"/>
      <c r="AC504"/>
      <c r="AD504"/>
    </row>
    <row r="505" spans="14:30" ht="12.75" customHeight="1">
      <c r="N505"/>
      <c r="O505"/>
      <c r="P505"/>
      <c r="Q505"/>
      <c r="R505"/>
      <c r="S505"/>
      <c r="T505"/>
      <c r="U505"/>
      <c r="V505"/>
      <c r="W505"/>
      <c r="X505"/>
      <c r="Y505"/>
      <c r="Z505"/>
      <c r="AA505"/>
      <c r="AB505"/>
      <c r="AC505"/>
      <c r="AD505"/>
    </row>
    <row r="506" spans="14:30" ht="12.75" customHeight="1">
      <c r="N506"/>
      <c r="O506"/>
      <c r="P506"/>
      <c r="Q506"/>
      <c r="R506"/>
      <c r="S506"/>
      <c r="T506"/>
      <c r="U506"/>
      <c r="V506"/>
      <c r="W506"/>
      <c r="X506"/>
      <c r="Y506"/>
      <c r="Z506"/>
      <c r="AA506"/>
      <c r="AB506"/>
      <c r="AC506"/>
      <c r="AD506"/>
    </row>
    <row r="507" spans="14:30" ht="12.75" customHeight="1">
      <c r="N507"/>
      <c r="O507"/>
      <c r="P507"/>
      <c r="Q507"/>
      <c r="R507"/>
      <c r="S507"/>
      <c r="T507"/>
      <c r="U507"/>
      <c r="V507"/>
      <c r="W507"/>
      <c r="X507"/>
      <c r="Y507"/>
      <c r="Z507"/>
      <c r="AA507"/>
      <c r="AB507"/>
      <c r="AC507"/>
      <c r="AD507"/>
    </row>
    <row r="508" spans="14:30" ht="12.75" customHeight="1">
      <c r="N508"/>
      <c r="O508"/>
      <c r="P508"/>
      <c r="Q508"/>
      <c r="R508"/>
      <c r="S508"/>
      <c r="T508"/>
      <c r="U508"/>
      <c r="V508"/>
      <c r="W508"/>
      <c r="X508"/>
      <c r="Y508"/>
      <c r="Z508"/>
      <c r="AA508"/>
      <c r="AB508"/>
      <c r="AC508"/>
      <c r="AD508"/>
    </row>
    <row r="509" spans="14:30" ht="12.75" customHeight="1">
      <c r="N509"/>
      <c r="O509"/>
      <c r="P509"/>
      <c r="Q509"/>
      <c r="R509"/>
      <c r="S509"/>
      <c r="T509"/>
      <c r="U509"/>
      <c r="V509"/>
      <c r="W509"/>
      <c r="X509"/>
      <c r="Y509"/>
      <c r="Z509"/>
      <c r="AA509"/>
      <c r="AB509"/>
      <c r="AC509"/>
      <c r="AD509"/>
    </row>
    <row r="510" spans="14:30" ht="12.75" customHeight="1">
      <c r="N510"/>
      <c r="O510"/>
      <c r="P510"/>
      <c r="Q510"/>
      <c r="R510"/>
      <c r="S510"/>
      <c r="T510"/>
      <c r="U510"/>
      <c r="V510"/>
      <c r="W510"/>
      <c r="X510"/>
      <c r="Y510"/>
      <c r="Z510"/>
      <c r="AA510"/>
      <c r="AB510"/>
      <c r="AC510"/>
      <c r="AD510"/>
    </row>
    <row r="511" spans="14:30" ht="12.75" customHeight="1">
      <c r="N511"/>
      <c r="O511"/>
      <c r="P511"/>
      <c r="Q511"/>
      <c r="R511"/>
      <c r="S511"/>
      <c r="T511"/>
      <c r="U511"/>
      <c r="V511"/>
      <c r="W511"/>
      <c r="X511"/>
      <c r="Y511"/>
      <c r="Z511"/>
      <c r="AA511"/>
      <c r="AB511"/>
      <c r="AC511"/>
      <c r="AD511"/>
    </row>
    <row r="512" spans="14:30" ht="12.75" customHeight="1">
      <c r="N512"/>
      <c r="O512"/>
      <c r="P512"/>
      <c r="Q512"/>
      <c r="R512"/>
      <c r="S512"/>
      <c r="T512"/>
      <c r="U512"/>
      <c r="V512"/>
      <c r="W512"/>
      <c r="X512"/>
      <c r="Y512"/>
      <c r="Z512"/>
      <c r="AA512"/>
      <c r="AB512"/>
      <c r="AC512"/>
      <c r="AD512"/>
    </row>
    <row r="513" spans="14:30" ht="12.75" customHeight="1">
      <c r="N513"/>
      <c r="O513"/>
      <c r="P513"/>
      <c r="Q513"/>
      <c r="R513"/>
      <c r="S513"/>
      <c r="T513"/>
      <c r="U513"/>
      <c r="V513"/>
      <c r="W513"/>
      <c r="X513"/>
      <c r="Y513"/>
      <c r="Z513"/>
      <c r="AA513"/>
      <c r="AB513"/>
      <c r="AC513"/>
      <c r="AD513"/>
    </row>
    <row r="514" spans="14:30" ht="12.75" customHeight="1">
      <c r="N514"/>
      <c r="O514"/>
      <c r="P514"/>
      <c r="Q514"/>
      <c r="R514"/>
      <c r="S514"/>
      <c r="T514"/>
      <c r="U514"/>
      <c r="V514"/>
      <c r="W514"/>
      <c r="X514"/>
      <c r="Y514"/>
      <c r="Z514"/>
      <c r="AA514"/>
      <c r="AB514"/>
      <c r="AC514"/>
      <c r="AD514"/>
    </row>
    <row r="515" spans="14:30" ht="12.75" customHeight="1">
      <c r="N515"/>
      <c r="O515"/>
      <c r="P515"/>
      <c r="Q515"/>
      <c r="R515"/>
      <c r="S515"/>
      <c r="T515"/>
      <c r="U515"/>
      <c r="V515"/>
      <c r="W515"/>
      <c r="X515"/>
      <c r="Y515"/>
      <c r="Z515"/>
      <c r="AA515"/>
      <c r="AB515"/>
      <c r="AC515"/>
      <c r="AD515"/>
    </row>
    <row r="516" spans="14:30" ht="12.75" customHeight="1">
      <c r="N516"/>
      <c r="O516"/>
      <c r="P516"/>
      <c r="Q516"/>
      <c r="R516"/>
      <c r="S516"/>
      <c r="T516"/>
      <c r="U516"/>
      <c r="V516"/>
      <c r="W516"/>
      <c r="X516"/>
      <c r="Y516"/>
      <c r="Z516"/>
      <c r="AA516"/>
      <c r="AB516"/>
      <c r="AC516"/>
      <c r="AD516"/>
    </row>
    <row r="517" spans="14:30" ht="12.75" customHeight="1">
      <c r="N517"/>
      <c r="O517"/>
      <c r="P517"/>
      <c r="Q517"/>
      <c r="R517"/>
      <c r="S517"/>
      <c r="T517"/>
      <c r="U517"/>
      <c r="V517"/>
      <c r="W517"/>
      <c r="X517"/>
      <c r="Y517"/>
      <c r="Z517"/>
      <c r="AA517"/>
      <c r="AB517"/>
      <c r="AC517"/>
      <c r="AD517"/>
    </row>
    <row r="518" spans="14:30" ht="12.75" customHeight="1">
      <c r="N518"/>
      <c r="O518"/>
      <c r="P518"/>
      <c r="Q518"/>
      <c r="R518"/>
      <c r="S518"/>
      <c r="T518"/>
      <c r="U518"/>
      <c r="V518"/>
      <c r="W518"/>
      <c r="X518"/>
      <c r="Y518"/>
      <c r="Z518"/>
      <c r="AA518"/>
      <c r="AB518"/>
      <c r="AC518"/>
      <c r="AD518"/>
    </row>
    <row r="519" spans="14:30" ht="12.75" customHeight="1">
      <c r="N519"/>
      <c r="O519"/>
      <c r="P519"/>
      <c r="Q519"/>
      <c r="R519"/>
      <c r="S519"/>
      <c r="T519"/>
      <c r="U519"/>
      <c r="V519"/>
      <c r="W519"/>
      <c r="X519"/>
      <c r="Y519"/>
      <c r="Z519"/>
      <c r="AA519"/>
      <c r="AB519"/>
      <c r="AC519"/>
      <c r="AD519"/>
    </row>
    <row r="520" spans="14:30" ht="12.75" customHeight="1">
      <c r="N520"/>
      <c r="O520"/>
      <c r="P520"/>
      <c r="Q520"/>
      <c r="R520"/>
      <c r="S520"/>
      <c r="T520"/>
      <c r="U520"/>
      <c r="V520"/>
      <c r="W520"/>
      <c r="X520"/>
      <c r="Y520"/>
      <c r="Z520"/>
      <c r="AA520"/>
      <c r="AB520"/>
      <c r="AC520"/>
      <c r="AD520"/>
    </row>
    <row r="521" spans="14:30" ht="12.75" customHeight="1">
      <c r="N521"/>
      <c r="O521"/>
      <c r="P521"/>
      <c r="Q521"/>
      <c r="R521"/>
      <c r="S521"/>
      <c r="T521"/>
      <c r="U521"/>
      <c r="V521"/>
      <c r="W521"/>
      <c r="X521"/>
      <c r="Y521"/>
      <c r="Z521"/>
      <c r="AA521"/>
      <c r="AB521"/>
      <c r="AC521"/>
      <c r="AD521"/>
    </row>
    <row r="522" spans="14:30" ht="12.75" customHeight="1">
      <c r="N522"/>
      <c r="O522"/>
      <c r="P522"/>
      <c r="Q522"/>
      <c r="R522"/>
      <c r="S522"/>
      <c r="T522"/>
      <c r="U522"/>
      <c r="V522"/>
      <c r="W522"/>
      <c r="X522"/>
      <c r="Y522"/>
      <c r="Z522"/>
      <c r="AA522"/>
      <c r="AB522"/>
      <c r="AC522"/>
      <c r="AD522"/>
    </row>
    <row r="523" spans="14:30" ht="12.75" customHeight="1">
      <c r="N523"/>
      <c r="O523"/>
      <c r="P523"/>
      <c r="Q523"/>
      <c r="R523"/>
      <c r="S523"/>
      <c r="T523"/>
      <c r="U523"/>
      <c r="V523"/>
      <c r="W523"/>
      <c r="X523"/>
      <c r="Y523"/>
      <c r="Z523"/>
      <c r="AA523"/>
      <c r="AB523"/>
      <c r="AC523"/>
      <c r="AD523"/>
    </row>
    <row r="524" spans="14:30" ht="12.75" customHeight="1">
      <c r="N524"/>
      <c r="O524"/>
      <c r="P524"/>
      <c r="Q524"/>
      <c r="R524"/>
      <c r="S524"/>
      <c r="T524"/>
      <c r="U524"/>
      <c r="V524"/>
      <c r="W524"/>
      <c r="X524"/>
      <c r="Y524"/>
      <c r="Z524"/>
      <c r="AA524"/>
      <c r="AB524"/>
      <c r="AC524"/>
      <c r="AD524"/>
    </row>
    <row r="525" spans="14:30" ht="12.75" customHeight="1">
      <c r="N525"/>
      <c r="O525"/>
      <c r="P525"/>
      <c r="Q525"/>
      <c r="R525"/>
      <c r="S525"/>
      <c r="T525"/>
      <c r="U525"/>
      <c r="V525"/>
      <c r="W525"/>
      <c r="X525"/>
      <c r="Y525"/>
      <c r="Z525"/>
      <c r="AA525"/>
      <c r="AB525"/>
      <c r="AC525"/>
      <c r="AD525"/>
    </row>
    <row r="526" spans="14:30" ht="12.75" customHeight="1">
      <c r="N526"/>
      <c r="O526"/>
      <c r="P526"/>
      <c r="Q526"/>
      <c r="R526"/>
      <c r="S526"/>
      <c r="T526"/>
      <c r="U526"/>
      <c r="V526"/>
      <c r="W526"/>
      <c r="X526"/>
      <c r="Y526"/>
      <c r="Z526"/>
      <c r="AA526"/>
      <c r="AB526"/>
      <c r="AC526"/>
      <c r="AD526"/>
    </row>
    <row r="527" spans="14:30" ht="12.75" customHeight="1">
      <c r="N527"/>
      <c r="O527"/>
      <c r="P527"/>
      <c r="Q527"/>
      <c r="R527"/>
      <c r="S527"/>
      <c r="T527"/>
      <c r="U527"/>
      <c r="V527"/>
      <c r="W527"/>
      <c r="X527"/>
      <c r="Y527"/>
      <c r="Z527"/>
      <c r="AA527"/>
      <c r="AB527"/>
      <c r="AC527"/>
      <c r="AD527"/>
    </row>
    <row r="528" spans="14:30" ht="12.75" customHeight="1">
      <c r="N528"/>
      <c r="O528"/>
      <c r="P528"/>
      <c r="Q528"/>
      <c r="R528"/>
      <c r="S528"/>
      <c r="T528"/>
      <c r="U528"/>
      <c r="V528"/>
      <c r="W528"/>
      <c r="X528"/>
      <c r="Y528"/>
      <c r="Z528"/>
      <c r="AA528"/>
      <c r="AB528"/>
      <c r="AC528"/>
      <c r="AD528"/>
    </row>
    <row r="529" spans="14:30" ht="12.75" customHeight="1">
      <c r="N529"/>
      <c r="O529"/>
      <c r="P529"/>
      <c r="Q529"/>
      <c r="R529"/>
      <c r="S529"/>
      <c r="T529"/>
      <c r="U529"/>
      <c r="V529"/>
      <c r="W529"/>
      <c r="X529"/>
      <c r="Y529"/>
      <c r="Z529"/>
      <c r="AA529"/>
      <c r="AB529"/>
      <c r="AC529"/>
      <c r="AD529"/>
    </row>
    <row r="530" spans="14:30" ht="12.75" customHeight="1">
      <c r="N530"/>
      <c r="O530"/>
      <c r="P530"/>
      <c r="Q530"/>
      <c r="R530"/>
      <c r="S530"/>
      <c r="T530"/>
      <c r="U530"/>
      <c r="V530"/>
      <c r="W530"/>
      <c r="X530"/>
      <c r="Y530"/>
      <c r="Z530"/>
      <c r="AA530"/>
      <c r="AB530"/>
      <c r="AC530"/>
      <c r="AD530"/>
    </row>
    <row r="531" spans="14:30" ht="12.75" customHeight="1">
      <c r="N531"/>
      <c r="O531"/>
      <c r="P531"/>
      <c r="Q531"/>
      <c r="R531"/>
      <c r="S531"/>
      <c r="T531"/>
      <c r="U531"/>
      <c r="V531"/>
      <c r="W531"/>
      <c r="X531"/>
      <c r="Y531"/>
      <c r="Z531"/>
      <c r="AA531"/>
      <c r="AB531"/>
      <c r="AC531"/>
      <c r="AD531"/>
    </row>
    <row r="532" spans="14:30" ht="12.75" customHeight="1">
      <c r="N532"/>
      <c r="O532"/>
      <c r="P532"/>
      <c r="Q532"/>
      <c r="R532"/>
      <c r="S532"/>
      <c r="T532"/>
      <c r="U532"/>
      <c r="V532"/>
      <c r="W532"/>
      <c r="X532"/>
      <c r="Y532"/>
      <c r="Z532"/>
      <c r="AA532"/>
      <c r="AB532"/>
      <c r="AC532"/>
      <c r="AD532"/>
    </row>
    <row r="533" spans="14:30" ht="12.75" customHeight="1">
      <c r="N533"/>
      <c r="O533"/>
      <c r="P533"/>
      <c r="Q533"/>
      <c r="R533"/>
      <c r="S533"/>
      <c r="T533"/>
      <c r="U533"/>
      <c r="V533"/>
      <c r="W533"/>
      <c r="X533"/>
      <c r="Y533"/>
      <c r="Z533"/>
      <c r="AA533"/>
      <c r="AB533"/>
      <c r="AC533"/>
      <c r="AD533"/>
    </row>
    <row r="534" spans="14:30" ht="12.75" customHeight="1">
      <c r="N534"/>
      <c r="O534"/>
      <c r="P534"/>
      <c r="Q534"/>
      <c r="R534"/>
      <c r="S534"/>
      <c r="T534"/>
      <c r="U534"/>
      <c r="V534"/>
      <c r="W534"/>
      <c r="X534"/>
      <c r="Y534"/>
      <c r="Z534"/>
      <c r="AA534"/>
      <c r="AB534"/>
      <c r="AC534"/>
      <c r="AD534"/>
    </row>
    <row r="535" spans="14:30" ht="12.75" customHeight="1">
      <c r="N535"/>
      <c r="O535"/>
      <c r="P535"/>
      <c r="Q535"/>
      <c r="R535"/>
      <c r="S535"/>
      <c r="T535"/>
      <c r="U535"/>
      <c r="V535"/>
      <c r="W535"/>
      <c r="X535"/>
      <c r="Y535"/>
      <c r="Z535"/>
      <c r="AA535"/>
      <c r="AB535"/>
      <c r="AC535"/>
      <c r="AD535"/>
    </row>
    <row r="536" spans="14:30" ht="12.75" customHeight="1">
      <c r="N536"/>
      <c r="O536"/>
      <c r="P536"/>
      <c r="Q536"/>
      <c r="R536"/>
      <c r="S536"/>
      <c r="T536"/>
      <c r="U536"/>
      <c r="V536"/>
      <c r="W536"/>
      <c r="X536"/>
      <c r="Y536"/>
      <c r="Z536"/>
      <c r="AA536"/>
      <c r="AB536"/>
      <c r="AC536"/>
      <c r="AD536"/>
    </row>
    <row r="537" spans="14:30" ht="12.75" customHeight="1">
      <c r="N537"/>
      <c r="O537"/>
      <c r="P537"/>
      <c r="Q537"/>
      <c r="R537"/>
      <c r="S537"/>
      <c r="T537"/>
      <c r="U537"/>
      <c r="V537"/>
      <c r="W537"/>
      <c r="X537"/>
      <c r="Y537"/>
      <c r="Z537"/>
      <c r="AA537"/>
      <c r="AB537"/>
      <c r="AC537"/>
      <c r="AD537"/>
    </row>
    <row r="538" spans="14:30" ht="12.75" customHeight="1">
      <c r="N538"/>
      <c r="O538"/>
      <c r="P538"/>
      <c r="Q538"/>
      <c r="R538"/>
      <c r="S538"/>
      <c r="T538"/>
      <c r="U538"/>
      <c r="V538"/>
      <c r="W538"/>
      <c r="X538"/>
      <c r="Y538"/>
      <c r="Z538"/>
      <c r="AA538"/>
      <c r="AB538"/>
      <c r="AC538"/>
      <c r="AD538"/>
    </row>
    <row r="539" spans="14:30" ht="12.75" customHeight="1">
      <c r="N539"/>
      <c r="O539"/>
      <c r="P539"/>
      <c r="Q539"/>
      <c r="R539"/>
      <c r="S539"/>
      <c r="T539"/>
      <c r="U539"/>
      <c r="V539"/>
      <c r="W539"/>
      <c r="X539"/>
      <c r="Y539"/>
      <c r="Z539"/>
      <c r="AA539"/>
      <c r="AB539"/>
      <c r="AC539"/>
      <c r="AD539"/>
    </row>
    <row r="540" spans="14:30" ht="12.75" customHeight="1">
      <c r="N540"/>
      <c r="O540"/>
      <c r="P540"/>
      <c r="Q540"/>
      <c r="R540"/>
      <c r="S540"/>
      <c r="T540"/>
      <c r="U540"/>
      <c r="V540"/>
      <c r="W540"/>
      <c r="X540"/>
      <c r="Y540"/>
      <c r="Z540"/>
      <c r="AA540"/>
      <c r="AB540"/>
      <c r="AC540"/>
      <c r="AD540"/>
    </row>
    <row r="541" spans="14:30" ht="12.75" customHeight="1">
      <c r="N541"/>
      <c r="O541"/>
      <c r="P541"/>
      <c r="Q541"/>
      <c r="R541"/>
      <c r="S541"/>
      <c r="T541"/>
      <c r="U541"/>
      <c r="V541"/>
      <c r="W541"/>
      <c r="X541"/>
      <c r="Y541"/>
      <c r="Z541"/>
      <c r="AA541"/>
      <c r="AB541"/>
      <c r="AC541"/>
      <c r="AD541"/>
    </row>
    <row r="542" spans="14:30" ht="12.75" customHeight="1">
      <c r="N542"/>
      <c r="O542"/>
      <c r="P542"/>
      <c r="Q542"/>
      <c r="R542"/>
      <c r="S542"/>
      <c r="T542"/>
      <c r="U542"/>
      <c r="V542"/>
      <c r="W542"/>
      <c r="X542"/>
      <c r="Y542"/>
      <c r="Z542"/>
      <c r="AA542"/>
      <c r="AB542"/>
      <c r="AC542"/>
      <c r="AD542"/>
    </row>
    <row r="543" spans="14:30" ht="12.75" customHeight="1">
      <c r="N543"/>
      <c r="O543"/>
      <c r="P543"/>
      <c r="Q543"/>
      <c r="R543"/>
      <c r="S543"/>
      <c r="T543"/>
      <c r="U543"/>
      <c r="V543"/>
      <c r="W543"/>
      <c r="X543"/>
      <c r="Y543"/>
      <c r="Z543"/>
      <c r="AA543"/>
      <c r="AB543"/>
      <c r="AC543"/>
      <c r="AD543"/>
    </row>
    <row r="544" spans="14:30" ht="12.75" customHeight="1">
      <c r="N544"/>
      <c r="O544"/>
      <c r="P544"/>
      <c r="Q544"/>
      <c r="R544"/>
      <c r="S544"/>
      <c r="T544"/>
      <c r="U544"/>
      <c r="V544"/>
      <c r="W544"/>
      <c r="X544"/>
      <c r="Y544"/>
      <c r="Z544"/>
      <c r="AA544"/>
      <c r="AB544"/>
      <c r="AC544"/>
      <c r="AD544"/>
    </row>
    <row r="545" spans="14:30" ht="12.75" customHeight="1">
      <c r="N545"/>
      <c r="O545"/>
      <c r="P545"/>
      <c r="Q545"/>
      <c r="R545"/>
      <c r="S545"/>
      <c r="T545"/>
      <c r="U545"/>
      <c r="V545"/>
      <c r="W545"/>
      <c r="X545"/>
      <c r="Y545"/>
      <c r="Z545"/>
      <c r="AA545"/>
      <c r="AB545"/>
      <c r="AC545"/>
      <c r="AD545"/>
    </row>
    <row r="546" spans="14:30" ht="12.75" customHeight="1">
      <c r="N546"/>
      <c r="O546"/>
      <c r="P546"/>
      <c r="Q546"/>
      <c r="R546"/>
      <c r="S546"/>
      <c r="T546"/>
      <c r="U546"/>
      <c r="V546"/>
      <c r="W546"/>
      <c r="X546"/>
      <c r="Y546"/>
      <c r="Z546"/>
      <c r="AA546"/>
      <c r="AB546"/>
      <c r="AC546"/>
      <c r="AD546"/>
    </row>
    <row r="547" spans="14:30" ht="12.75" customHeight="1">
      <c r="N547"/>
      <c r="O547"/>
      <c r="P547"/>
      <c r="Q547"/>
      <c r="R547"/>
      <c r="S547"/>
      <c r="T547"/>
      <c r="U547"/>
      <c r="V547"/>
      <c r="W547"/>
      <c r="X547"/>
      <c r="Y547"/>
      <c r="Z547"/>
      <c r="AA547"/>
      <c r="AB547"/>
      <c r="AC547"/>
      <c r="AD547"/>
    </row>
    <row r="548" spans="14:30" ht="12.75" customHeight="1">
      <c r="N548"/>
      <c r="O548"/>
      <c r="P548"/>
      <c r="Q548"/>
      <c r="R548"/>
      <c r="S548"/>
      <c r="T548"/>
      <c r="U548"/>
      <c r="V548"/>
      <c r="W548"/>
      <c r="X548"/>
      <c r="Y548"/>
      <c r="Z548"/>
      <c r="AA548"/>
      <c r="AB548"/>
      <c r="AC548"/>
      <c r="AD548"/>
    </row>
    <row r="549" spans="14:30" ht="12.75" customHeight="1">
      <c r="N549"/>
      <c r="O549"/>
      <c r="P549"/>
      <c r="Q549"/>
      <c r="R549"/>
      <c r="S549"/>
      <c r="T549"/>
      <c r="U549"/>
      <c r="V549"/>
      <c r="W549"/>
      <c r="X549"/>
      <c r="Y549"/>
      <c r="Z549"/>
      <c r="AA549"/>
      <c r="AB549"/>
      <c r="AC549"/>
      <c r="AD549"/>
    </row>
    <row r="550" spans="14:30" ht="12.75" customHeight="1">
      <c r="N550"/>
      <c r="O550"/>
      <c r="P550"/>
      <c r="Q550"/>
      <c r="R550"/>
      <c r="S550"/>
      <c r="T550"/>
      <c r="U550"/>
      <c r="V550"/>
      <c r="W550"/>
      <c r="X550"/>
      <c r="Y550"/>
      <c r="Z550"/>
      <c r="AA550"/>
      <c r="AB550"/>
      <c r="AC550"/>
      <c r="AD550"/>
    </row>
    <row r="551" spans="14:30" ht="12.75" customHeight="1">
      <c r="N551"/>
      <c r="O551"/>
      <c r="P551"/>
      <c r="Q551"/>
      <c r="R551"/>
      <c r="S551"/>
      <c r="T551"/>
      <c r="U551"/>
      <c r="V551"/>
      <c r="W551"/>
      <c r="X551"/>
      <c r="Y551"/>
      <c r="Z551"/>
      <c r="AA551"/>
      <c r="AB551"/>
      <c r="AC551"/>
      <c r="AD551"/>
    </row>
    <row r="552" spans="14:30" ht="12.75" customHeight="1">
      <c r="N552"/>
      <c r="O552"/>
      <c r="P552"/>
      <c r="Q552"/>
      <c r="R552"/>
      <c r="S552"/>
      <c r="T552"/>
      <c r="U552"/>
      <c r="V552"/>
      <c r="W552"/>
      <c r="X552"/>
      <c r="Y552"/>
      <c r="Z552"/>
      <c r="AA552"/>
      <c r="AB552"/>
      <c r="AC552"/>
      <c r="AD552"/>
    </row>
    <row r="553" spans="14:30" ht="12.75" customHeight="1">
      <c r="N553"/>
      <c r="O553"/>
      <c r="P553"/>
      <c r="Q553"/>
      <c r="R553"/>
      <c r="S553"/>
      <c r="T553"/>
      <c r="U553"/>
      <c r="V553"/>
      <c r="W553"/>
      <c r="X553"/>
      <c r="Y553"/>
      <c r="Z553"/>
      <c r="AA553"/>
      <c r="AB553"/>
      <c r="AC553"/>
      <c r="AD553"/>
    </row>
    <row r="554" spans="14:30" ht="12.75" customHeight="1">
      <c r="N554"/>
      <c r="O554"/>
      <c r="P554"/>
      <c r="Q554"/>
      <c r="R554"/>
      <c r="S554"/>
      <c r="T554"/>
      <c r="U554"/>
      <c r="V554"/>
      <c r="W554"/>
      <c r="X554"/>
      <c r="Y554"/>
      <c r="Z554"/>
      <c r="AA554"/>
      <c r="AB554"/>
      <c r="AC554"/>
      <c r="AD554"/>
    </row>
    <row r="555" spans="14:30" ht="12.75" customHeight="1">
      <c r="N555"/>
      <c r="O555"/>
      <c r="P555"/>
      <c r="Q555"/>
      <c r="R555"/>
      <c r="S555"/>
      <c r="T555"/>
      <c r="U555"/>
      <c r="V555"/>
      <c r="W555"/>
      <c r="X555"/>
      <c r="Y555"/>
      <c r="Z555"/>
      <c r="AA555"/>
      <c r="AB555"/>
      <c r="AC555"/>
      <c r="AD555"/>
    </row>
    <row r="556" spans="14:30" ht="12.75" customHeight="1">
      <c r="N556"/>
      <c r="O556"/>
      <c r="P556"/>
      <c r="Q556"/>
      <c r="R556"/>
      <c r="S556"/>
      <c r="T556"/>
      <c r="U556"/>
      <c r="V556"/>
      <c r="W556"/>
      <c r="X556"/>
      <c r="Y556"/>
      <c r="Z556"/>
      <c r="AA556"/>
      <c r="AB556"/>
      <c r="AC556"/>
      <c r="AD556"/>
    </row>
    <row r="557" spans="14:30" ht="12.75" customHeight="1">
      <c r="N557"/>
      <c r="O557"/>
      <c r="P557"/>
      <c r="Q557"/>
      <c r="R557"/>
      <c r="S557"/>
      <c r="T557"/>
      <c r="U557"/>
      <c r="V557"/>
      <c r="W557"/>
      <c r="X557"/>
      <c r="Y557"/>
      <c r="Z557"/>
      <c r="AA557"/>
      <c r="AB557"/>
      <c r="AC557"/>
      <c r="AD557"/>
    </row>
    <row r="558" spans="14:30" ht="12.75" customHeight="1">
      <c r="N558"/>
      <c r="O558"/>
      <c r="P558"/>
      <c r="Q558"/>
      <c r="R558"/>
      <c r="S558"/>
      <c r="T558"/>
      <c r="U558"/>
      <c r="V558"/>
      <c r="W558"/>
      <c r="X558"/>
      <c r="Y558"/>
      <c r="Z558"/>
      <c r="AA558"/>
      <c r="AB558"/>
      <c r="AC558"/>
      <c r="AD558"/>
    </row>
    <row r="559" spans="14:30" ht="12.75" customHeight="1">
      <c r="N559"/>
      <c r="O559"/>
      <c r="P559"/>
      <c r="Q559"/>
      <c r="R559"/>
      <c r="S559"/>
      <c r="T559"/>
      <c r="U559"/>
      <c r="V559"/>
      <c r="W559"/>
      <c r="X559"/>
      <c r="Y559"/>
      <c r="Z559"/>
      <c r="AA559"/>
      <c r="AB559"/>
      <c r="AC559"/>
      <c r="AD559"/>
    </row>
    <row r="560" spans="14:30" ht="12.75" customHeight="1">
      <c r="N560"/>
      <c r="O560"/>
      <c r="P560"/>
      <c r="Q560"/>
      <c r="R560"/>
      <c r="S560"/>
      <c r="T560"/>
      <c r="U560"/>
      <c r="V560"/>
      <c r="W560"/>
      <c r="X560"/>
      <c r="Y560"/>
      <c r="Z560"/>
      <c r="AA560"/>
      <c r="AB560"/>
      <c r="AC560"/>
      <c r="AD560"/>
    </row>
    <row r="561" spans="14:30" ht="12.75" customHeight="1">
      <c r="N561"/>
      <c r="O561"/>
      <c r="P561"/>
      <c r="Q561"/>
      <c r="R561"/>
      <c r="S561"/>
      <c r="T561"/>
      <c r="U561"/>
      <c r="V561"/>
      <c r="W561"/>
      <c r="X561"/>
      <c r="Y561"/>
      <c r="Z561"/>
      <c r="AA561"/>
      <c r="AB561"/>
      <c r="AC561"/>
      <c r="AD561"/>
    </row>
    <row r="562" spans="14:30" ht="12.75" customHeight="1">
      <c r="N562"/>
      <c r="O562"/>
      <c r="P562"/>
      <c r="Q562"/>
      <c r="R562"/>
      <c r="S562"/>
      <c r="T562"/>
      <c r="U562"/>
      <c r="V562"/>
      <c r="W562"/>
      <c r="X562"/>
      <c r="Y562"/>
      <c r="Z562"/>
      <c r="AA562"/>
      <c r="AB562"/>
      <c r="AC562"/>
      <c r="AD562"/>
    </row>
    <row r="563" spans="14:30" ht="12.75" customHeight="1">
      <c r="N563"/>
      <c r="O563"/>
      <c r="P563"/>
      <c r="Q563"/>
      <c r="R563"/>
      <c r="S563"/>
      <c r="T563"/>
      <c r="U563"/>
      <c r="V563"/>
      <c r="W563"/>
      <c r="X563"/>
      <c r="Y563"/>
      <c r="Z563"/>
      <c r="AA563"/>
      <c r="AB563"/>
      <c r="AC563"/>
      <c r="AD563"/>
    </row>
    <row r="564" spans="14:30" ht="12.75" customHeight="1">
      <c r="N564"/>
      <c r="O564"/>
      <c r="P564"/>
      <c r="Q564"/>
      <c r="R564"/>
      <c r="S564"/>
      <c r="T564"/>
      <c r="U564"/>
      <c r="V564"/>
      <c r="W564"/>
      <c r="X564"/>
      <c r="Y564"/>
      <c r="Z564"/>
      <c r="AA564"/>
      <c r="AB564"/>
      <c r="AC564"/>
      <c r="AD564"/>
    </row>
    <row r="565" spans="14:30" ht="12.75" customHeight="1">
      <c r="N565"/>
      <c r="O565"/>
      <c r="P565"/>
      <c r="Q565"/>
      <c r="R565"/>
      <c r="S565"/>
      <c r="T565"/>
      <c r="U565"/>
      <c r="V565"/>
      <c r="W565"/>
      <c r="X565"/>
      <c r="Y565"/>
      <c r="Z565"/>
      <c r="AA565"/>
      <c r="AB565"/>
      <c r="AC565"/>
      <c r="AD565"/>
    </row>
    <row r="566" spans="14:30" ht="12.75" customHeight="1">
      <c r="N566"/>
      <c r="O566"/>
      <c r="P566"/>
      <c r="Q566"/>
      <c r="R566"/>
      <c r="S566"/>
      <c r="T566"/>
      <c r="U566"/>
      <c r="V566"/>
      <c r="W566"/>
      <c r="X566"/>
      <c r="Y566"/>
      <c r="Z566"/>
      <c r="AA566"/>
      <c r="AB566"/>
      <c r="AC566"/>
      <c r="AD566"/>
    </row>
    <row r="567" spans="14:30" ht="12.75" customHeight="1">
      <c r="N567"/>
      <c r="O567"/>
      <c r="P567"/>
      <c r="Q567"/>
      <c r="R567"/>
      <c r="S567"/>
      <c r="T567"/>
      <c r="U567"/>
      <c r="V567"/>
      <c r="W567"/>
      <c r="X567"/>
      <c r="Y567"/>
      <c r="Z567"/>
      <c r="AA567"/>
      <c r="AB567"/>
      <c r="AC567"/>
      <c r="AD567"/>
    </row>
    <row r="568" spans="14:30" ht="12.75" customHeight="1">
      <c r="N568"/>
      <c r="O568"/>
      <c r="P568"/>
      <c r="Q568"/>
      <c r="R568"/>
      <c r="S568"/>
      <c r="T568"/>
      <c r="U568"/>
      <c r="V568"/>
      <c r="W568"/>
      <c r="X568"/>
      <c r="Y568"/>
      <c r="Z568"/>
      <c r="AA568"/>
      <c r="AB568"/>
      <c r="AC568"/>
      <c r="AD568"/>
    </row>
    <row r="569" spans="14:30" ht="12.75" customHeight="1">
      <c r="N569"/>
      <c r="O569"/>
      <c r="P569"/>
      <c r="Q569"/>
      <c r="R569"/>
      <c r="S569"/>
      <c r="T569"/>
      <c r="U569"/>
      <c r="V569"/>
      <c r="W569"/>
      <c r="X569"/>
      <c r="Y569"/>
      <c r="Z569"/>
      <c r="AA569"/>
      <c r="AB569"/>
      <c r="AC569"/>
      <c r="AD569"/>
    </row>
    <row r="570" spans="14:30" ht="12.75" customHeight="1">
      <c r="N570"/>
      <c r="O570"/>
      <c r="P570"/>
      <c r="Q570"/>
      <c r="R570"/>
      <c r="S570"/>
      <c r="T570"/>
      <c r="U570"/>
      <c r="V570"/>
      <c r="W570"/>
      <c r="X570"/>
      <c r="Y570"/>
      <c r="Z570"/>
      <c r="AA570"/>
      <c r="AB570"/>
      <c r="AC570"/>
      <c r="AD570"/>
    </row>
    <row r="571" spans="14:30" ht="12.75" customHeight="1">
      <c r="N571"/>
      <c r="O571"/>
      <c r="P571"/>
      <c r="Q571"/>
      <c r="R571"/>
      <c r="S571"/>
      <c r="T571"/>
      <c r="U571"/>
      <c r="V571"/>
      <c r="W571"/>
      <c r="X571"/>
      <c r="Y571"/>
      <c r="Z571"/>
      <c r="AA571"/>
      <c r="AB571"/>
      <c r="AC571"/>
      <c r="AD571"/>
    </row>
    <row r="572" spans="14:30" ht="12.75" customHeight="1">
      <c r="N572"/>
      <c r="O572"/>
      <c r="P572"/>
      <c r="Q572"/>
      <c r="R572"/>
      <c r="S572"/>
      <c r="T572"/>
      <c r="U572"/>
      <c r="V572"/>
      <c r="W572"/>
      <c r="X572"/>
      <c r="Y572"/>
      <c r="Z572"/>
      <c r="AA572"/>
      <c r="AB572"/>
      <c r="AC572"/>
      <c r="AD572"/>
    </row>
    <row r="573" spans="14:30" ht="12.75" customHeight="1">
      <c r="N573"/>
      <c r="O573"/>
      <c r="P573"/>
      <c r="Q573"/>
      <c r="R573"/>
      <c r="S573"/>
      <c r="T573"/>
      <c r="U573"/>
      <c r="V573"/>
      <c r="W573"/>
      <c r="X573"/>
      <c r="Y573"/>
      <c r="Z573"/>
      <c r="AA573"/>
      <c r="AB573"/>
      <c r="AC573"/>
      <c r="AD573"/>
    </row>
    <row r="574" spans="14:30" ht="12.75" customHeight="1">
      <c r="N574"/>
      <c r="O574"/>
      <c r="P574"/>
      <c r="Q574"/>
      <c r="R574"/>
      <c r="S574"/>
      <c r="T574"/>
      <c r="U574"/>
      <c r="V574"/>
      <c r="W574"/>
      <c r="X574"/>
      <c r="Y574"/>
      <c r="Z574"/>
      <c r="AA574"/>
      <c r="AB574"/>
      <c r="AC574"/>
      <c r="AD574"/>
    </row>
    <row r="575" spans="14:30" ht="12.75" customHeight="1">
      <c r="N575"/>
      <c r="O575"/>
      <c r="P575"/>
      <c r="Q575"/>
      <c r="R575"/>
      <c r="S575"/>
      <c r="T575"/>
      <c r="U575"/>
      <c r="V575"/>
      <c r="W575"/>
      <c r="X575"/>
      <c r="Y575"/>
      <c r="Z575"/>
      <c r="AA575"/>
      <c r="AB575"/>
      <c r="AC575"/>
      <c r="AD575"/>
    </row>
    <row r="576" spans="14:30" ht="12.75" customHeight="1">
      <c r="N576"/>
      <c r="O576"/>
      <c r="P576"/>
      <c r="Q576"/>
      <c r="R576"/>
      <c r="S576"/>
      <c r="T576"/>
      <c r="U576"/>
      <c r="V576"/>
      <c r="W576"/>
      <c r="X576"/>
      <c r="Y576"/>
      <c r="Z576"/>
      <c r="AA576"/>
      <c r="AB576"/>
      <c r="AC576"/>
      <c r="AD576"/>
    </row>
    <row r="577" spans="14:30" ht="12.75" customHeight="1">
      <c r="N577"/>
      <c r="O577"/>
      <c r="P577"/>
      <c r="Q577"/>
      <c r="R577"/>
      <c r="S577"/>
      <c r="T577"/>
      <c r="U577"/>
      <c r="V577"/>
      <c r="W577"/>
      <c r="X577"/>
      <c r="Y577"/>
      <c r="Z577"/>
      <c r="AA577"/>
      <c r="AB577"/>
      <c r="AC577"/>
      <c r="AD577"/>
    </row>
    <row r="578" spans="14:30" ht="12.75" customHeight="1">
      <c r="N578"/>
      <c r="O578"/>
      <c r="P578"/>
      <c r="Q578"/>
      <c r="R578"/>
      <c r="S578"/>
      <c r="T578"/>
      <c r="U578"/>
      <c r="V578"/>
      <c r="W578"/>
      <c r="X578"/>
      <c r="Y578"/>
      <c r="Z578"/>
      <c r="AA578"/>
      <c r="AB578"/>
      <c r="AC578"/>
      <c r="AD578"/>
    </row>
    <row r="579" spans="14:30" ht="12.75" customHeight="1">
      <c r="N579"/>
      <c r="O579"/>
      <c r="P579"/>
      <c r="Q579"/>
      <c r="R579"/>
      <c r="S579"/>
      <c r="T579"/>
      <c r="U579"/>
      <c r="V579"/>
      <c r="W579"/>
      <c r="X579"/>
      <c r="Y579"/>
      <c r="Z579"/>
      <c r="AA579"/>
      <c r="AB579"/>
      <c r="AC579"/>
      <c r="AD579"/>
    </row>
    <row r="580" spans="14:30" ht="12.75" customHeight="1">
      <c r="N580"/>
      <c r="O580"/>
      <c r="P580"/>
      <c r="Q580"/>
      <c r="R580"/>
      <c r="S580"/>
      <c r="T580"/>
      <c r="U580"/>
      <c r="V580"/>
      <c r="W580"/>
      <c r="X580"/>
      <c r="Y580"/>
      <c r="Z580"/>
      <c r="AA580"/>
      <c r="AB580"/>
      <c r="AC580"/>
      <c r="AD580"/>
    </row>
    <row r="581" spans="14:30" ht="12.75" customHeight="1">
      <c r="N581"/>
      <c r="O581"/>
      <c r="P581"/>
      <c r="Q581"/>
      <c r="R581"/>
      <c r="S581"/>
      <c r="T581"/>
      <c r="U581"/>
      <c r="V581"/>
      <c r="W581"/>
      <c r="X581"/>
      <c r="Y581"/>
      <c r="Z581"/>
      <c r="AA581"/>
      <c r="AB581"/>
      <c r="AC581"/>
      <c r="AD581"/>
    </row>
    <row r="582" spans="14:30" ht="12.75" customHeight="1">
      <c r="N582"/>
      <c r="O582"/>
      <c r="P582"/>
      <c r="Q582"/>
      <c r="R582"/>
      <c r="S582"/>
      <c r="T582"/>
      <c r="U582"/>
      <c r="V582"/>
      <c r="W582"/>
      <c r="X582"/>
      <c r="Y582"/>
      <c r="Z582"/>
      <c r="AA582"/>
      <c r="AB582"/>
      <c r="AC582"/>
      <c r="AD582"/>
    </row>
    <row r="583" spans="14:30" ht="12.75" customHeight="1">
      <c r="N583"/>
      <c r="O583"/>
      <c r="P583"/>
      <c r="Q583"/>
      <c r="R583"/>
      <c r="S583"/>
      <c r="T583"/>
      <c r="U583"/>
      <c r="V583"/>
      <c r="W583"/>
      <c r="X583"/>
      <c r="Y583"/>
      <c r="Z583"/>
      <c r="AA583"/>
      <c r="AB583"/>
      <c r="AC583"/>
      <c r="AD583"/>
    </row>
    <row r="584" spans="14:30" ht="12.75" customHeight="1">
      <c r="N584"/>
      <c r="O584"/>
      <c r="P584"/>
      <c r="Q584"/>
      <c r="R584"/>
      <c r="S584"/>
      <c r="T584"/>
      <c r="U584"/>
      <c r="V584"/>
      <c r="W584"/>
      <c r="X584"/>
      <c r="Y584"/>
      <c r="Z584"/>
      <c r="AA584"/>
      <c r="AB584"/>
      <c r="AC584"/>
      <c r="AD584"/>
    </row>
    <row r="585" spans="14:30" ht="12.75" customHeight="1">
      <c r="N585"/>
      <c r="O585"/>
      <c r="P585"/>
      <c r="Q585"/>
      <c r="R585"/>
      <c r="S585"/>
      <c r="T585"/>
      <c r="U585"/>
      <c r="V585"/>
      <c r="W585"/>
      <c r="X585"/>
      <c r="Y585"/>
      <c r="Z585"/>
      <c r="AA585"/>
      <c r="AB585"/>
      <c r="AC585"/>
      <c r="AD585"/>
    </row>
    <row r="586" spans="14:30" ht="12.75" customHeight="1">
      <c r="N586"/>
      <c r="O586"/>
      <c r="P586"/>
      <c r="Q586"/>
      <c r="R586"/>
      <c r="S586"/>
      <c r="T586"/>
      <c r="U586"/>
      <c r="V586"/>
      <c r="W586"/>
      <c r="X586"/>
      <c r="Y586"/>
      <c r="Z586"/>
      <c r="AA586"/>
      <c r="AB586"/>
      <c r="AC586"/>
      <c r="AD586"/>
    </row>
    <row r="587" spans="14:30" ht="12.75" customHeight="1">
      <c r="N587"/>
      <c r="O587"/>
      <c r="P587"/>
      <c r="Q587"/>
      <c r="R587"/>
      <c r="S587"/>
      <c r="T587"/>
      <c r="U587"/>
      <c r="V587"/>
      <c r="W587"/>
      <c r="X587"/>
      <c r="Y587"/>
      <c r="Z587"/>
      <c r="AA587"/>
      <c r="AB587"/>
      <c r="AC587"/>
      <c r="AD587"/>
    </row>
    <row r="588" spans="14:30" ht="12.75" customHeight="1">
      <c r="N588"/>
      <c r="O588"/>
      <c r="P588"/>
      <c r="Q588"/>
      <c r="R588"/>
      <c r="S588"/>
      <c r="T588"/>
      <c r="U588"/>
      <c r="V588"/>
      <c r="W588"/>
      <c r="X588"/>
      <c r="Y588"/>
      <c r="Z588"/>
      <c r="AA588"/>
      <c r="AB588"/>
      <c r="AC588"/>
      <c r="AD588"/>
    </row>
    <row r="589" spans="14:30" ht="12.75" customHeight="1">
      <c r="N589"/>
      <c r="O589"/>
      <c r="P589"/>
      <c r="Q589"/>
      <c r="R589"/>
      <c r="S589"/>
      <c r="T589"/>
      <c r="U589"/>
      <c r="V589"/>
      <c r="W589"/>
      <c r="X589"/>
      <c r="Y589"/>
      <c r="Z589"/>
      <c r="AA589"/>
      <c r="AB589"/>
      <c r="AC589"/>
      <c r="AD589"/>
    </row>
    <row r="590" spans="14:30" ht="12.75" customHeight="1">
      <c r="N590"/>
      <c r="O590"/>
      <c r="P590"/>
      <c r="Q590"/>
      <c r="R590"/>
      <c r="S590"/>
      <c r="T590"/>
      <c r="U590"/>
      <c r="V590"/>
      <c r="W590"/>
      <c r="X590"/>
      <c r="Y590"/>
      <c r="Z590"/>
      <c r="AA590"/>
      <c r="AB590"/>
      <c r="AC590"/>
      <c r="AD590"/>
    </row>
    <row r="591" spans="14:30" ht="12.75" customHeight="1">
      <c r="N591"/>
      <c r="O591"/>
      <c r="P591"/>
      <c r="Q591"/>
      <c r="R591"/>
      <c r="S591"/>
      <c r="T591"/>
      <c r="U591"/>
      <c r="V591"/>
      <c r="W591"/>
      <c r="X591"/>
      <c r="Y591"/>
      <c r="Z591"/>
      <c r="AA591"/>
      <c r="AB591"/>
      <c r="AC591"/>
      <c r="AD591"/>
    </row>
    <row r="592" spans="14:30" ht="12.75" customHeight="1">
      <c r="N592"/>
      <c r="O592"/>
      <c r="P592"/>
      <c r="Q592"/>
      <c r="R592"/>
      <c r="S592"/>
      <c r="T592"/>
      <c r="U592"/>
      <c r="V592"/>
      <c r="W592"/>
      <c r="X592"/>
      <c r="Y592"/>
      <c r="Z592"/>
      <c r="AA592"/>
      <c r="AB592"/>
      <c r="AC592"/>
      <c r="AD592"/>
    </row>
    <row r="593" spans="14:30" ht="12.75" customHeight="1">
      <c r="N593"/>
      <c r="O593"/>
      <c r="P593"/>
      <c r="Q593"/>
      <c r="R593"/>
      <c r="S593"/>
      <c r="T593"/>
      <c r="U593"/>
      <c r="V593"/>
      <c r="W593"/>
      <c r="X593"/>
      <c r="Y593"/>
      <c r="Z593"/>
      <c r="AA593"/>
      <c r="AB593"/>
      <c r="AC593"/>
      <c r="AD593"/>
    </row>
    <row r="594" spans="14:30" ht="12.75" customHeight="1">
      <c r="N594"/>
      <c r="O594"/>
      <c r="P594"/>
      <c r="Q594"/>
      <c r="R594"/>
      <c r="S594"/>
      <c r="T594"/>
      <c r="U594"/>
      <c r="V594"/>
      <c r="W594"/>
      <c r="X594"/>
      <c r="Y594"/>
      <c r="Z594"/>
      <c r="AA594"/>
      <c r="AB594"/>
      <c r="AC594"/>
      <c r="AD594"/>
    </row>
    <row r="595" spans="14:30" ht="12.75" customHeight="1">
      <c r="N595"/>
      <c r="O595"/>
      <c r="P595"/>
      <c r="Q595"/>
      <c r="R595"/>
      <c r="S595"/>
      <c r="T595"/>
      <c r="U595"/>
      <c r="V595"/>
      <c r="W595"/>
      <c r="X595"/>
      <c r="Y595"/>
      <c r="Z595"/>
      <c r="AA595"/>
      <c r="AB595"/>
      <c r="AC595"/>
      <c r="AD595"/>
    </row>
    <row r="596" spans="14:30" ht="12.75" customHeight="1">
      <c r="N596"/>
      <c r="O596"/>
      <c r="P596"/>
      <c r="Q596"/>
      <c r="R596"/>
      <c r="S596"/>
      <c r="T596"/>
      <c r="U596"/>
      <c r="V596"/>
      <c r="W596"/>
      <c r="X596"/>
      <c r="Y596"/>
      <c r="Z596"/>
      <c r="AA596"/>
      <c r="AB596"/>
      <c r="AC596"/>
      <c r="AD596"/>
    </row>
    <row r="597" spans="14:30" ht="12.75" customHeight="1">
      <c r="N597"/>
      <c r="O597"/>
      <c r="P597"/>
      <c r="Q597"/>
      <c r="R597"/>
      <c r="S597"/>
      <c r="T597"/>
      <c r="U597"/>
      <c r="V597"/>
      <c r="W597"/>
      <c r="X597"/>
      <c r="Y597"/>
      <c r="Z597"/>
      <c r="AA597"/>
      <c r="AB597"/>
      <c r="AC597"/>
      <c r="AD597"/>
    </row>
    <row r="598" spans="14:30" ht="12.75" customHeight="1">
      <c r="N598"/>
      <c r="O598"/>
      <c r="P598"/>
      <c r="Q598"/>
      <c r="R598"/>
      <c r="S598"/>
      <c r="T598"/>
      <c r="U598"/>
      <c r="V598"/>
      <c r="W598"/>
      <c r="X598"/>
      <c r="Y598"/>
      <c r="Z598"/>
      <c r="AA598"/>
      <c r="AB598"/>
      <c r="AC598"/>
      <c r="AD598"/>
    </row>
    <row r="599" spans="14:30" ht="12.75" customHeight="1">
      <c r="N599"/>
      <c r="O599"/>
      <c r="P599"/>
      <c r="Q599"/>
      <c r="R599"/>
      <c r="S599"/>
      <c r="T599"/>
      <c r="U599"/>
      <c r="V599"/>
      <c r="W599"/>
      <c r="X599"/>
      <c r="Y599"/>
      <c r="Z599"/>
      <c r="AA599"/>
      <c r="AB599"/>
      <c r="AC599"/>
      <c r="AD599"/>
    </row>
    <row r="600" spans="14:30" ht="12.75" customHeight="1">
      <c r="N600"/>
      <c r="O600"/>
      <c r="P600"/>
      <c r="Q600"/>
      <c r="R600"/>
      <c r="S600"/>
      <c r="T600"/>
      <c r="U600"/>
      <c r="V600"/>
      <c r="W600"/>
      <c r="X600"/>
      <c r="Y600"/>
      <c r="Z600"/>
      <c r="AA600"/>
      <c r="AB600"/>
      <c r="AC600"/>
      <c r="AD600"/>
    </row>
    <row r="601" spans="14:30" ht="12.75" customHeight="1">
      <c r="N601"/>
      <c r="O601"/>
      <c r="P601"/>
      <c r="Q601"/>
      <c r="R601"/>
      <c r="S601"/>
      <c r="T601"/>
      <c r="U601"/>
      <c r="V601"/>
      <c r="W601"/>
      <c r="X601"/>
      <c r="Y601"/>
      <c r="Z601"/>
      <c r="AA601"/>
      <c r="AB601"/>
      <c r="AC601"/>
      <c r="AD601"/>
    </row>
    <row r="602" spans="14:30" ht="12.75" customHeight="1">
      <c r="N602"/>
      <c r="O602"/>
      <c r="P602"/>
      <c r="Q602"/>
      <c r="R602"/>
      <c r="S602"/>
      <c r="T602"/>
      <c r="U602"/>
      <c r="V602"/>
      <c r="W602"/>
      <c r="X602"/>
      <c r="Y602"/>
      <c r="Z602"/>
      <c r="AA602"/>
      <c r="AB602"/>
      <c r="AC602"/>
      <c r="AD602"/>
    </row>
    <row r="603" spans="14:30" ht="12.75" customHeight="1">
      <c r="O603" s="23"/>
      <c r="P603" s="1"/>
      <c r="Q603" s="1"/>
      <c r="R603" s="1"/>
      <c r="S603" s="1"/>
      <c r="T603" s="1"/>
      <c r="U603" s="1"/>
      <c r="V603" s="1"/>
      <c r="W603" s="1"/>
      <c r="X603" s="1"/>
    </row>
    <row r="604" spans="14:30" ht="12.75" customHeight="1">
      <c r="O604" s="23"/>
      <c r="P604" s="1"/>
      <c r="Q604" s="1"/>
      <c r="R604" s="1"/>
      <c r="S604" s="1"/>
      <c r="T604" s="1"/>
      <c r="U604" s="1"/>
      <c r="V604" s="1"/>
      <c r="W604" s="1"/>
      <c r="X604" s="1"/>
    </row>
    <row r="605" spans="14:30" ht="12.75" customHeight="1">
      <c r="O605" s="23"/>
      <c r="P605" s="1"/>
      <c r="Q605" s="1"/>
      <c r="R605" s="1"/>
      <c r="S605" s="1"/>
      <c r="T605" s="1"/>
      <c r="U605" s="1"/>
      <c r="V605" s="1"/>
      <c r="W605" s="1"/>
      <c r="X605" s="1"/>
    </row>
    <row r="606" spans="14:30" ht="12.75" customHeight="1">
      <c r="O606" s="23"/>
      <c r="P606" s="1"/>
      <c r="Q606" s="1"/>
      <c r="R606" s="1"/>
      <c r="S606" s="1"/>
      <c r="T606" s="1"/>
      <c r="U606" s="1"/>
      <c r="V606" s="1"/>
      <c r="W606" s="1"/>
      <c r="X606" s="1"/>
    </row>
    <row r="607" spans="14:30" ht="12.75" customHeight="1">
      <c r="O607" s="23"/>
      <c r="P607" s="1"/>
      <c r="Q607" s="1"/>
      <c r="R607" s="1"/>
      <c r="S607" s="1"/>
      <c r="T607" s="1"/>
      <c r="U607" s="1"/>
      <c r="V607" s="1"/>
      <c r="W607" s="1"/>
      <c r="X607" s="1"/>
    </row>
    <row r="608" spans="14:30" ht="12.75" customHeight="1">
      <c r="O608" s="23"/>
      <c r="P608" s="1"/>
      <c r="Q608" s="1"/>
      <c r="R608" s="1"/>
      <c r="S608" s="1"/>
      <c r="T608" s="1"/>
      <c r="U608" s="1"/>
      <c r="V608" s="1"/>
      <c r="W608" s="1"/>
      <c r="X608" s="1"/>
    </row>
    <row r="609" spans="15:24" ht="12.75" customHeight="1">
      <c r="O609" s="23"/>
      <c r="P609" s="1"/>
      <c r="Q609" s="1"/>
      <c r="R609" s="1"/>
      <c r="S609" s="1"/>
      <c r="T609" s="1"/>
      <c r="U609" s="1"/>
      <c r="V609" s="1"/>
      <c r="W609" s="1"/>
      <c r="X609" s="1"/>
    </row>
    <row r="610" spans="15:24" ht="12.75" customHeight="1">
      <c r="O610" s="23"/>
      <c r="P610" s="1"/>
      <c r="Q610" s="1"/>
      <c r="R610" s="1"/>
      <c r="S610" s="1"/>
      <c r="T610" s="1"/>
      <c r="U610" s="1"/>
      <c r="V610" s="1"/>
      <c r="W610" s="1"/>
      <c r="X610" s="1"/>
    </row>
    <row r="611" spans="15:24" ht="12.75" customHeight="1">
      <c r="O611" s="23"/>
      <c r="P611" s="1"/>
      <c r="Q611" s="1"/>
      <c r="R611" s="1"/>
      <c r="S611" s="1"/>
      <c r="T611" s="1"/>
      <c r="U611" s="1"/>
      <c r="V611" s="1"/>
      <c r="W611" s="1"/>
      <c r="X611" s="1"/>
    </row>
    <row r="612" spans="15:24" ht="12.75" customHeight="1">
      <c r="O612" s="23"/>
      <c r="P612" s="1"/>
      <c r="Q612" s="1"/>
      <c r="R612" s="1"/>
      <c r="S612" s="1"/>
      <c r="T612" s="1"/>
      <c r="U612" s="1"/>
      <c r="V612" s="1"/>
      <c r="W612" s="1"/>
      <c r="X612" s="1"/>
    </row>
    <row r="613" spans="15:24" ht="12.75" customHeight="1">
      <c r="O613" s="23"/>
      <c r="P613" s="1"/>
      <c r="Q613" s="1"/>
      <c r="R613" s="1"/>
      <c r="S613" s="1"/>
      <c r="T613" s="1"/>
      <c r="U613" s="1"/>
      <c r="V613" s="1"/>
      <c r="W613" s="1"/>
      <c r="X613" s="1"/>
    </row>
    <row r="614" spans="15:24" ht="12.75" customHeight="1">
      <c r="O614" s="23"/>
      <c r="P614" s="1"/>
      <c r="Q614" s="1"/>
      <c r="R614" s="1"/>
      <c r="S614" s="1"/>
      <c r="T614" s="1"/>
      <c r="U614" s="1"/>
      <c r="V614" s="1"/>
      <c r="W614" s="1"/>
      <c r="X614" s="1"/>
    </row>
    <row r="615" spans="15:24" ht="12.75" customHeight="1">
      <c r="O615" s="23"/>
      <c r="P615" s="1"/>
      <c r="Q615" s="1"/>
      <c r="R615" s="1"/>
      <c r="S615" s="1"/>
      <c r="T615" s="1"/>
      <c r="U615" s="1"/>
      <c r="V615" s="1"/>
      <c r="W615" s="1"/>
      <c r="X615" s="1"/>
    </row>
    <row r="616" spans="15:24" ht="12.75" customHeight="1">
      <c r="O616" s="23"/>
      <c r="P616" s="1"/>
      <c r="Q616" s="1"/>
      <c r="R616" s="1"/>
      <c r="S616" s="1"/>
      <c r="T616" s="1"/>
      <c r="U616" s="1"/>
      <c r="V616" s="1"/>
      <c r="W616" s="1"/>
      <c r="X616" s="1"/>
    </row>
    <row r="617" spans="15:24" ht="12.75" customHeight="1">
      <c r="O617" s="23"/>
      <c r="P617" s="1"/>
      <c r="Q617" s="1"/>
      <c r="R617" s="1"/>
      <c r="S617" s="1"/>
      <c r="T617" s="1"/>
      <c r="U617" s="1"/>
      <c r="V617" s="1"/>
      <c r="W617" s="1"/>
      <c r="X617" s="1"/>
    </row>
    <row r="618" spans="15:24" ht="12.75" customHeight="1">
      <c r="O618" s="23"/>
      <c r="P618" s="1"/>
      <c r="Q618" s="1"/>
      <c r="R618" s="1"/>
      <c r="S618" s="1"/>
      <c r="T618" s="1"/>
      <c r="U618" s="1"/>
      <c r="V618" s="1"/>
      <c r="W618" s="1"/>
      <c r="X618" s="1"/>
    </row>
    <row r="619" spans="15:24" ht="12.75" customHeight="1">
      <c r="O619" s="23"/>
      <c r="P619" s="1"/>
      <c r="Q619" s="1"/>
      <c r="R619" s="1"/>
      <c r="S619" s="1"/>
      <c r="T619" s="1"/>
      <c r="U619" s="1"/>
      <c r="V619" s="1"/>
      <c r="W619" s="1"/>
      <c r="X619" s="1"/>
    </row>
    <row r="620" spans="15:24" ht="12.75" customHeight="1">
      <c r="O620" s="23"/>
      <c r="P620" s="1"/>
      <c r="Q620" s="1"/>
      <c r="R620" s="1"/>
      <c r="S620" s="1"/>
      <c r="T620" s="1"/>
      <c r="U620" s="1"/>
      <c r="V620" s="1"/>
      <c r="W620" s="1"/>
      <c r="X620" s="1"/>
    </row>
    <row r="621" spans="15:24" ht="12.75" customHeight="1">
      <c r="O621" s="23"/>
      <c r="P621" s="1"/>
      <c r="Q621" s="1"/>
      <c r="R621" s="1"/>
      <c r="S621" s="1"/>
      <c r="T621" s="1"/>
      <c r="U621" s="1"/>
      <c r="V621" s="1"/>
      <c r="W621" s="1"/>
      <c r="X621" s="1"/>
    </row>
    <row r="622" spans="15:24" ht="12.75" customHeight="1">
      <c r="O622" s="23"/>
      <c r="P622" s="1"/>
      <c r="Q622" s="1"/>
      <c r="R622" s="1"/>
      <c r="S622" s="1"/>
      <c r="T622" s="1"/>
      <c r="U622" s="1"/>
      <c r="V622" s="1"/>
      <c r="W622" s="1"/>
      <c r="X622" s="1"/>
    </row>
    <row r="623" spans="15:24" ht="12.75" customHeight="1">
      <c r="O623" s="23"/>
      <c r="P623" s="1"/>
      <c r="Q623" s="1"/>
      <c r="R623" s="1"/>
      <c r="S623" s="1"/>
      <c r="T623" s="1"/>
      <c r="U623" s="1"/>
      <c r="V623" s="1"/>
      <c r="W623" s="1"/>
      <c r="X623" s="1"/>
    </row>
    <row r="624" spans="15:24" ht="12.75" customHeight="1">
      <c r="O624" s="23"/>
      <c r="P624" s="1"/>
      <c r="Q624" s="1"/>
      <c r="R624" s="1"/>
      <c r="S624" s="1"/>
      <c r="T624" s="1"/>
      <c r="U624" s="1"/>
      <c r="V624" s="1"/>
      <c r="W624" s="1"/>
      <c r="X624" s="1"/>
    </row>
    <row r="625" spans="15:24" ht="12.75" customHeight="1">
      <c r="O625" s="23"/>
      <c r="P625" s="1"/>
      <c r="Q625" s="1"/>
      <c r="R625" s="1"/>
      <c r="S625" s="1"/>
      <c r="T625" s="1"/>
      <c r="U625" s="1"/>
      <c r="V625" s="1"/>
      <c r="W625" s="1"/>
      <c r="X625" s="1"/>
    </row>
    <row r="626" spans="15:24" ht="12.75" customHeight="1">
      <c r="O626" s="23"/>
      <c r="P626" s="1"/>
      <c r="Q626" s="1"/>
      <c r="R626" s="1"/>
      <c r="S626" s="1"/>
      <c r="T626" s="1"/>
      <c r="U626" s="1"/>
      <c r="V626" s="1"/>
      <c r="W626" s="1"/>
      <c r="X626" s="1"/>
    </row>
    <row r="627" spans="15:24">
      <c r="O627" s="23"/>
      <c r="P627" s="1"/>
      <c r="Q627" s="1"/>
      <c r="R627" s="1"/>
      <c r="S627" s="1"/>
      <c r="T627" s="1"/>
      <c r="U627" s="1"/>
      <c r="V627" s="1"/>
      <c r="W627" s="1"/>
      <c r="X627" s="1"/>
    </row>
    <row r="628" spans="15:24">
      <c r="O628" s="23"/>
      <c r="P628" s="1"/>
      <c r="Q628" s="1"/>
      <c r="R628" s="1"/>
      <c r="S628" s="1"/>
      <c r="T628" s="1"/>
      <c r="U628" s="1"/>
      <c r="V628" s="1"/>
      <c r="W628" s="1"/>
      <c r="X628" s="1"/>
    </row>
    <row r="629" spans="15:24">
      <c r="O629" s="23"/>
      <c r="P629" s="1"/>
      <c r="Q629" s="1"/>
      <c r="R629" s="1"/>
      <c r="S629" s="1"/>
      <c r="T629" s="1"/>
      <c r="U629" s="1"/>
      <c r="V629" s="1"/>
      <c r="W629" s="1"/>
      <c r="X629" s="1"/>
    </row>
    <row r="630" spans="15:24">
      <c r="O630" s="23"/>
      <c r="P630" s="1"/>
      <c r="Q630" s="1"/>
      <c r="R630" s="1"/>
      <c r="S630" s="1"/>
      <c r="T630" s="1"/>
      <c r="U630" s="1"/>
      <c r="V630" s="1"/>
      <c r="W630" s="1"/>
      <c r="X630" s="1"/>
    </row>
    <row r="631" spans="15:24">
      <c r="O631" s="23"/>
      <c r="P631" s="1"/>
      <c r="Q631" s="1"/>
      <c r="R631" s="1"/>
      <c r="S631" s="1"/>
      <c r="T631" s="1"/>
      <c r="U631" s="1"/>
      <c r="V631" s="1"/>
      <c r="W631" s="1"/>
      <c r="X631" s="1"/>
    </row>
    <row r="632" spans="15:24">
      <c r="O632" s="23"/>
      <c r="P632" s="1"/>
      <c r="Q632" s="1"/>
      <c r="R632" s="1"/>
      <c r="S632" s="1"/>
      <c r="T632" s="1"/>
      <c r="U632" s="1"/>
      <c r="V632" s="1"/>
      <c r="W632" s="1"/>
      <c r="X632" s="1"/>
    </row>
    <row r="633" spans="15:24">
      <c r="O633" s="23"/>
      <c r="P633" s="1"/>
      <c r="Q633" s="1"/>
      <c r="R633" s="1"/>
      <c r="S633" s="1"/>
      <c r="T633" s="1"/>
      <c r="U633" s="1"/>
      <c r="V633" s="1"/>
      <c r="W633" s="1"/>
      <c r="X633" s="1"/>
    </row>
    <row r="634" spans="15:24">
      <c r="O634" s="23"/>
      <c r="P634" s="1"/>
      <c r="Q634" s="1"/>
      <c r="R634" s="1"/>
      <c r="S634" s="1"/>
      <c r="T634" s="1"/>
      <c r="U634" s="1"/>
      <c r="V634" s="1"/>
      <c r="W634" s="1"/>
      <c r="X634" s="1"/>
    </row>
    <row r="635" spans="15:24">
      <c r="O635" s="23"/>
      <c r="P635" s="1"/>
      <c r="Q635" s="1"/>
      <c r="R635" s="1"/>
      <c r="S635" s="1"/>
      <c r="T635" s="1"/>
      <c r="U635" s="1"/>
      <c r="V635" s="1"/>
      <c r="W635" s="1"/>
      <c r="X635" s="1"/>
    </row>
    <row r="636" spans="15:24">
      <c r="O636" s="23"/>
      <c r="P636" s="1"/>
      <c r="Q636" s="1"/>
      <c r="R636" s="1"/>
      <c r="S636" s="1"/>
      <c r="T636" s="1"/>
      <c r="U636" s="1"/>
      <c r="V636" s="1"/>
      <c r="W636" s="1"/>
      <c r="X636" s="1"/>
    </row>
    <row r="637" spans="15:24">
      <c r="O637" s="23"/>
      <c r="P637" s="1"/>
      <c r="Q637" s="1"/>
      <c r="R637" s="1"/>
      <c r="S637" s="1"/>
      <c r="T637" s="1"/>
      <c r="U637" s="1"/>
      <c r="V637" s="1"/>
      <c r="W637" s="1"/>
      <c r="X637" s="1"/>
    </row>
    <row r="638" spans="15:24">
      <c r="O638" s="23"/>
      <c r="P638" s="1"/>
      <c r="Q638" s="1"/>
      <c r="R638" s="1"/>
      <c r="S638" s="1"/>
      <c r="T638" s="1"/>
      <c r="U638" s="1"/>
      <c r="V638" s="1"/>
      <c r="W638" s="1"/>
      <c r="X638" s="1"/>
    </row>
    <row r="639" spans="15:24">
      <c r="O639" s="23"/>
      <c r="P639" s="1"/>
      <c r="Q639" s="1"/>
      <c r="R639" s="1"/>
      <c r="S639" s="1"/>
      <c r="T639" s="1"/>
      <c r="U639" s="1"/>
      <c r="V639" s="1"/>
      <c r="W639" s="1"/>
      <c r="X639" s="1"/>
    </row>
    <row r="640" spans="15:24">
      <c r="O640" s="23"/>
      <c r="P640" s="1"/>
      <c r="Q640" s="1"/>
      <c r="R640" s="1"/>
      <c r="S640" s="1"/>
      <c r="T640" s="1"/>
      <c r="U640" s="1"/>
      <c r="V640" s="1"/>
      <c r="W640" s="1"/>
      <c r="X640" s="1"/>
    </row>
    <row r="641" spans="15:24">
      <c r="O641" s="23"/>
      <c r="P641" s="1"/>
      <c r="Q641" s="1"/>
      <c r="R641" s="1"/>
      <c r="S641" s="1"/>
      <c r="T641" s="1"/>
      <c r="U641" s="1"/>
      <c r="V641" s="1"/>
      <c r="W641" s="1"/>
      <c r="X641" s="1"/>
    </row>
    <row r="642" spans="15:24">
      <c r="O642" s="23"/>
      <c r="P642" s="1"/>
      <c r="Q642" s="1"/>
      <c r="R642" s="1"/>
      <c r="S642" s="1"/>
      <c r="T642" s="1"/>
      <c r="U642" s="1"/>
      <c r="V642" s="1"/>
      <c r="W642" s="1"/>
      <c r="X642" s="1"/>
    </row>
    <row r="643" spans="15:24">
      <c r="O643" s="23"/>
      <c r="P643" s="1"/>
      <c r="Q643" s="1"/>
      <c r="R643" s="1"/>
      <c r="S643" s="1"/>
      <c r="T643" s="1"/>
      <c r="U643" s="1"/>
      <c r="V643" s="1"/>
      <c r="W643" s="1"/>
      <c r="X643" s="1"/>
    </row>
    <row r="644" spans="15:24">
      <c r="O644" s="23"/>
      <c r="P644" s="1"/>
      <c r="Q644" s="1"/>
      <c r="R644" s="1"/>
      <c r="S644" s="1"/>
      <c r="T644" s="1"/>
      <c r="U644" s="1"/>
      <c r="V644" s="1"/>
      <c r="W644" s="1"/>
      <c r="X644" s="1"/>
    </row>
    <row r="645" spans="15:24">
      <c r="O645" s="23"/>
      <c r="P645" s="1"/>
      <c r="Q645" s="1"/>
      <c r="R645" s="1"/>
      <c r="S645" s="1"/>
      <c r="T645" s="1"/>
      <c r="U645" s="1"/>
      <c r="V645" s="1"/>
      <c r="W645" s="1"/>
      <c r="X645" s="1"/>
    </row>
    <row r="646" spans="15:24">
      <c r="O646" s="23"/>
      <c r="P646" s="1"/>
      <c r="Q646" s="1"/>
      <c r="R646" s="1"/>
      <c r="S646" s="1"/>
      <c r="T646" s="1"/>
      <c r="U646" s="1"/>
      <c r="V646" s="1"/>
      <c r="W646" s="1"/>
      <c r="X646" s="1"/>
    </row>
    <row r="647" spans="15:24">
      <c r="O647" s="23"/>
      <c r="P647" s="1"/>
      <c r="Q647" s="1"/>
      <c r="R647" s="1"/>
      <c r="S647" s="1"/>
      <c r="T647" s="1"/>
      <c r="U647" s="1"/>
      <c r="V647" s="1"/>
      <c r="W647" s="1"/>
      <c r="X647" s="1"/>
    </row>
    <row r="648" spans="15:24">
      <c r="O648" s="23"/>
      <c r="P648" s="1"/>
      <c r="Q648" s="1"/>
      <c r="R648" s="1"/>
      <c r="S648" s="1"/>
      <c r="T648" s="1"/>
      <c r="U648" s="1"/>
      <c r="V648" s="1"/>
      <c r="W648" s="1"/>
      <c r="X648" s="1"/>
    </row>
    <row r="649" spans="15:24">
      <c r="O649" s="23"/>
      <c r="P649" s="1"/>
      <c r="Q649" s="1"/>
      <c r="R649" s="1"/>
      <c r="S649" s="1"/>
      <c r="T649" s="1"/>
      <c r="U649" s="1"/>
      <c r="V649" s="1"/>
      <c r="W649" s="1"/>
      <c r="X649" s="1"/>
    </row>
    <row r="650" spans="15:24">
      <c r="O650" s="23"/>
      <c r="P650" s="1"/>
      <c r="Q650" s="1"/>
      <c r="R650" s="1"/>
      <c r="S650" s="1"/>
      <c r="T650" s="1"/>
      <c r="U650" s="1"/>
      <c r="V650" s="1"/>
      <c r="W650" s="1"/>
      <c r="X650" s="1"/>
    </row>
    <row r="651" spans="15:24">
      <c r="O651" s="23"/>
      <c r="P651" s="1"/>
      <c r="Q651" s="1"/>
      <c r="R651" s="1"/>
      <c r="S651" s="1"/>
      <c r="T651" s="1"/>
      <c r="U651" s="1"/>
      <c r="V651" s="1"/>
      <c r="W651" s="1"/>
      <c r="X651" s="1"/>
    </row>
    <row r="652" spans="15:24">
      <c r="O652" s="23"/>
      <c r="P652" s="1"/>
      <c r="Q652" s="1"/>
      <c r="R652" s="1"/>
      <c r="S652" s="1"/>
      <c r="T652" s="1"/>
      <c r="U652" s="1"/>
      <c r="V652" s="1"/>
      <c r="W652" s="1"/>
      <c r="X652" s="1"/>
    </row>
    <row r="653" spans="15:24">
      <c r="O653" s="23"/>
      <c r="P653" s="1"/>
      <c r="Q653" s="1"/>
      <c r="R653" s="1"/>
      <c r="S653" s="1"/>
      <c r="T653" s="1"/>
      <c r="U653" s="1"/>
      <c r="V653" s="1"/>
      <c r="W653" s="1"/>
      <c r="X653" s="1"/>
    </row>
    <row r="654" spans="15:24">
      <c r="O654" s="23"/>
      <c r="P654" s="1"/>
      <c r="Q654" s="1"/>
      <c r="R654" s="1"/>
      <c r="S654" s="1"/>
      <c r="T654" s="1"/>
      <c r="U654" s="1"/>
      <c r="V654" s="1"/>
      <c r="W654" s="1"/>
      <c r="X654" s="1"/>
    </row>
    <row r="655" spans="15:24">
      <c r="O655" s="23"/>
      <c r="P655" s="1"/>
      <c r="Q655" s="1"/>
      <c r="R655" s="1"/>
      <c r="S655" s="1"/>
      <c r="T655" s="1"/>
      <c r="U655" s="1"/>
      <c r="V655" s="1"/>
      <c r="W655" s="1"/>
      <c r="X655" s="1"/>
    </row>
    <row r="656" spans="15:24">
      <c r="O656" s="23"/>
      <c r="P656" s="1"/>
      <c r="Q656" s="1"/>
      <c r="R656" s="1"/>
      <c r="S656" s="1"/>
      <c r="T656" s="1"/>
      <c r="U656" s="1"/>
      <c r="V656" s="1"/>
      <c r="W656" s="1"/>
      <c r="X656" s="1"/>
    </row>
    <row r="657" spans="15:24">
      <c r="O657" s="23"/>
      <c r="P657" s="1"/>
      <c r="Q657" s="1"/>
      <c r="R657" s="1"/>
      <c r="S657" s="1"/>
      <c r="T657" s="1"/>
      <c r="U657" s="1"/>
      <c r="V657" s="1"/>
      <c r="W657" s="1"/>
      <c r="X657" s="1"/>
    </row>
    <row r="658" spans="15:24">
      <c r="O658" s="23"/>
      <c r="P658" s="1"/>
      <c r="Q658" s="1"/>
      <c r="R658" s="1"/>
      <c r="S658" s="1"/>
      <c r="T658" s="1"/>
      <c r="U658" s="1"/>
      <c r="V658" s="1"/>
      <c r="W658" s="1"/>
      <c r="X658" s="1"/>
    </row>
    <row r="659" spans="15:24">
      <c r="O659" s="23"/>
      <c r="P659" s="1"/>
      <c r="Q659" s="1"/>
      <c r="R659" s="1"/>
      <c r="S659" s="1"/>
      <c r="T659" s="1"/>
      <c r="U659" s="1"/>
      <c r="V659" s="1"/>
      <c r="W659" s="1"/>
      <c r="X659" s="1"/>
    </row>
    <row r="660" spans="15:24">
      <c r="O660" s="23"/>
      <c r="P660" s="1"/>
      <c r="Q660" s="1"/>
      <c r="R660" s="1"/>
      <c r="S660" s="1"/>
      <c r="T660" s="1"/>
      <c r="U660" s="1"/>
      <c r="V660" s="1"/>
      <c r="W660" s="1"/>
      <c r="X660" s="1"/>
    </row>
    <row r="661" spans="15:24">
      <c r="O661" s="23"/>
      <c r="P661" s="1"/>
      <c r="Q661" s="1"/>
      <c r="R661" s="1"/>
      <c r="S661" s="1"/>
      <c r="T661" s="1"/>
      <c r="U661" s="1"/>
      <c r="V661" s="1"/>
      <c r="W661" s="1"/>
      <c r="X661" s="1"/>
    </row>
    <row r="662" spans="15:24">
      <c r="O662" s="23"/>
      <c r="P662" s="1"/>
      <c r="Q662" s="1"/>
      <c r="R662" s="1"/>
      <c r="S662" s="1"/>
      <c r="T662" s="1"/>
      <c r="U662" s="1"/>
      <c r="V662" s="1"/>
      <c r="W662" s="1"/>
      <c r="X662" s="1"/>
    </row>
    <row r="663" spans="15:24">
      <c r="O663" s="23"/>
      <c r="P663" s="1"/>
      <c r="Q663" s="1"/>
      <c r="R663" s="1"/>
      <c r="S663" s="1"/>
      <c r="T663" s="1"/>
      <c r="U663" s="1"/>
      <c r="V663" s="1"/>
      <c r="W663" s="1"/>
      <c r="X663" s="1"/>
    </row>
    <row r="664" spans="15:24">
      <c r="O664" s="23"/>
      <c r="P664" s="1"/>
      <c r="Q664" s="1"/>
      <c r="R664" s="1"/>
      <c r="S664" s="1"/>
      <c r="T664" s="1"/>
      <c r="U664" s="1"/>
      <c r="V664" s="1"/>
      <c r="W664" s="1"/>
      <c r="X664" s="1"/>
    </row>
    <row r="665" spans="15:24">
      <c r="O665" s="23"/>
      <c r="P665" s="1"/>
      <c r="Q665" s="1"/>
      <c r="R665" s="1"/>
      <c r="S665" s="1"/>
      <c r="T665" s="1"/>
      <c r="U665" s="1"/>
      <c r="V665" s="1"/>
      <c r="W665" s="1"/>
      <c r="X665" s="1"/>
    </row>
    <row r="666" spans="15:24">
      <c r="O666" s="23"/>
      <c r="P666" s="1"/>
      <c r="Q666" s="1"/>
      <c r="R666" s="1"/>
      <c r="S666" s="1"/>
      <c r="T666" s="1"/>
      <c r="U666" s="1"/>
      <c r="V666" s="1"/>
      <c r="W666" s="1"/>
      <c r="X666" s="1"/>
    </row>
    <row r="667" spans="15:24">
      <c r="O667" s="23"/>
      <c r="P667" s="1"/>
      <c r="Q667" s="1"/>
      <c r="R667" s="1"/>
      <c r="S667" s="1"/>
      <c r="T667" s="1"/>
      <c r="U667" s="1"/>
      <c r="V667" s="1"/>
      <c r="W667" s="1"/>
      <c r="X667" s="1"/>
    </row>
    <row r="668" spans="15:24">
      <c r="O668" s="23"/>
      <c r="P668" s="1"/>
      <c r="Q668" s="1"/>
      <c r="R668" s="1"/>
      <c r="S668" s="1"/>
      <c r="T668" s="1"/>
      <c r="U668" s="1"/>
      <c r="V668" s="1"/>
      <c r="W668" s="1"/>
      <c r="X668" s="1"/>
    </row>
    <row r="669" spans="15:24">
      <c r="O669" s="23"/>
      <c r="P669" s="1"/>
      <c r="Q669" s="1"/>
      <c r="R669" s="1"/>
      <c r="S669" s="1"/>
      <c r="T669" s="1"/>
      <c r="U669" s="1"/>
      <c r="V669" s="1"/>
      <c r="W669" s="1"/>
      <c r="X669" s="1"/>
    </row>
    <row r="670" spans="15:24">
      <c r="O670" s="23"/>
      <c r="P670" s="1"/>
      <c r="Q670" s="1"/>
      <c r="R670" s="1"/>
      <c r="S670" s="1"/>
      <c r="T670" s="1"/>
      <c r="U670" s="1"/>
      <c r="V670" s="1"/>
      <c r="W670" s="1"/>
      <c r="X670" s="1"/>
    </row>
    <row r="671" spans="15:24">
      <c r="O671" s="23"/>
      <c r="P671" s="1"/>
      <c r="Q671" s="1"/>
      <c r="R671" s="1"/>
      <c r="S671" s="1"/>
      <c r="T671" s="1"/>
      <c r="U671" s="1"/>
      <c r="V671" s="1"/>
      <c r="W671" s="1"/>
      <c r="X671" s="1"/>
    </row>
    <row r="672" spans="15:24">
      <c r="O672" s="23"/>
      <c r="P672" s="1"/>
      <c r="Q672" s="1"/>
      <c r="R672" s="1"/>
      <c r="S672" s="1"/>
      <c r="T672" s="1"/>
      <c r="U672" s="1"/>
      <c r="V672" s="1"/>
      <c r="W672" s="1"/>
      <c r="X672" s="1"/>
    </row>
    <row r="673" spans="15:24">
      <c r="O673" s="23"/>
      <c r="P673" s="1"/>
      <c r="Q673" s="1"/>
      <c r="R673" s="1"/>
      <c r="S673" s="1"/>
      <c r="T673" s="1"/>
      <c r="U673" s="1"/>
      <c r="V673" s="1"/>
      <c r="W673" s="1"/>
      <c r="X673" s="1"/>
    </row>
    <row r="674" spans="15:24">
      <c r="O674" s="23"/>
      <c r="P674" s="1"/>
      <c r="Q674" s="1"/>
      <c r="R674" s="1"/>
      <c r="S674" s="1"/>
      <c r="T674" s="1"/>
      <c r="U674" s="1"/>
      <c r="V674" s="1"/>
      <c r="W674" s="1"/>
      <c r="X674" s="1"/>
    </row>
    <row r="675" spans="15:24">
      <c r="O675" s="23"/>
      <c r="P675" s="1"/>
      <c r="Q675" s="1"/>
      <c r="R675" s="1"/>
      <c r="S675" s="1"/>
      <c r="T675" s="1"/>
      <c r="U675" s="1"/>
      <c r="V675" s="1"/>
      <c r="W675" s="1"/>
      <c r="X675" s="1"/>
    </row>
    <row r="676" spans="15:24">
      <c r="O676" s="23"/>
      <c r="P676" s="1"/>
      <c r="Q676" s="1"/>
      <c r="R676" s="1"/>
      <c r="S676" s="1"/>
      <c r="T676" s="1"/>
      <c r="U676" s="1"/>
      <c r="V676" s="1"/>
      <c r="W676" s="1"/>
      <c r="X676" s="1"/>
    </row>
    <row r="677" spans="15:24">
      <c r="O677" s="23"/>
      <c r="P677" s="1"/>
      <c r="Q677" s="1"/>
      <c r="R677" s="1"/>
      <c r="S677" s="1"/>
      <c r="T677" s="1"/>
      <c r="U677" s="1"/>
      <c r="V677" s="1"/>
      <c r="W677" s="1"/>
      <c r="X677" s="1"/>
    </row>
    <row r="678" spans="15:24">
      <c r="O678" s="23"/>
      <c r="P678" s="1"/>
      <c r="Q678" s="1"/>
      <c r="R678" s="1"/>
      <c r="S678" s="1"/>
      <c r="T678" s="1"/>
      <c r="U678" s="1"/>
      <c r="V678" s="1"/>
      <c r="W678" s="1"/>
      <c r="X678" s="1"/>
    </row>
    <row r="679" spans="15:24">
      <c r="O679" s="23"/>
      <c r="P679" s="1"/>
      <c r="Q679" s="1"/>
      <c r="R679" s="1"/>
      <c r="S679" s="1"/>
      <c r="T679" s="1"/>
      <c r="U679" s="1"/>
      <c r="V679" s="1"/>
      <c r="W679" s="1"/>
      <c r="X679" s="1"/>
    </row>
    <row r="680" spans="15:24">
      <c r="O680" s="23"/>
      <c r="P680" s="1"/>
      <c r="Q680" s="1"/>
      <c r="R680" s="1"/>
      <c r="S680" s="1"/>
      <c r="T680" s="1"/>
      <c r="U680" s="1"/>
      <c r="V680" s="1"/>
      <c r="W680" s="1"/>
      <c r="X680" s="1"/>
    </row>
    <row r="681" spans="15:24">
      <c r="O681" s="23"/>
      <c r="P681" s="1"/>
      <c r="Q681" s="1"/>
      <c r="R681" s="1"/>
      <c r="S681" s="1"/>
      <c r="T681" s="1"/>
      <c r="U681" s="1"/>
      <c r="V681" s="1"/>
      <c r="W681" s="1"/>
      <c r="X681" s="1"/>
    </row>
    <row r="682" spans="15:24">
      <c r="O682" s="23"/>
      <c r="P682" s="1"/>
      <c r="Q682" s="1"/>
      <c r="R682" s="1"/>
      <c r="S682" s="1"/>
      <c r="T682" s="1"/>
      <c r="U682" s="1"/>
      <c r="V682" s="1"/>
      <c r="W682" s="1"/>
      <c r="X682" s="1"/>
    </row>
    <row r="683" spans="15:24">
      <c r="O683" s="23"/>
      <c r="P683" s="1"/>
      <c r="Q683" s="1"/>
      <c r="R683" s="1"/>
      <c r="S683" s="1"/>
      <c r="T683" s="1"/>
      <c r="U683" s="1"/>
      <c r="V683" s="1"/>
      <c r="W683" s="1"/>
      <c r="X683" s="1"/>
    </row>
    <row r="684" spans="15:24">
      <c r="O684" s="23"/>
      <c r="P684" s="1"/>
      <c r="Q684" s="1"/>
      <c r="R684" s="1"/>
      <c r="S684" s="1"/>
      <c r="T684" s="1"/>
      <c r="U684" s="1"/>
      <c r="V684" s="1"/>
      <c r="W684" s="1"/>
      <c r="X684" s="1"/>
    </row>
    <row r="685" spans="15:24">
      <c r="O685" s="23"/>
      <c r="P685" s="1"/>
      <c r="Q685" s="1"/>
      <c r="R685" s="1"/>
      <c r="S685" s="1"/>
      <c r="T685" s="1"/>
      <c r="U685" s="1"/>
      <c r="V685" s="1"/>
      <c r="W685" s="1"/>
      <c r="X685" s="1"/>
    </row>
    <row r="686" spans="15:24">
      <c r="O686" s="23"/>
      <c r="P686" s="1"/>
      <c r="Q686" s="1"/>
      <c r="R686" s="1"/>
      <c r="S686" s="1"/>
      <c r="T686" s="1"/>
      <c r="U686" s="1"/>
      <c r="V686" s="1"/>
      <c r="W686" s="1"/>
      <c r="X686" s="1"/>
    </row>
    <row r="687" spans="15:24">
      <c r="O687" s="23"/>
      <c r="P687" s="1"/>
      <c r="Q687" s="1"/>
      <c r="R687" s="1"/>
      <c r="S687" s="1"/>
      <c r="T687" s="1"/>
      <c r="U687" s="1"/>
      <c r="V687" s="1"/>
      <c r="W687" s="1"/>
      <c r="X687" s="1"/>
    </row>
    <row r="688" spans="15:24">
      <c r="O688" s="23"/>
      <c r="P688" s="1"/>
      <c r="Q688" s="1"/>
      <c r="R688" s="1"/>
      <c r="S688" s="1"/>
      <c r="T688" s="1"/>
      <c r="U688" s="1"/>
      <c r="V688" s="1"/>
      <c r="W688" s="1"/>
      <c r="X688" s="1"/>
    </row>
    <row r="689" spans="15:24">
      <c r="O689" s="23"/>
      <c r="P689" s="1"/>
      <c r="Q689" s="1"/>
      <c r="R689" s="1"/>
      <c r="S689" s="1"/>
      <c r="T689" s="1"/>
      <c r="U689" s="1"/>
      <c r="V689" s="1"/>
      <c r="W689" s="1"/>
      <c r="X689" s="1"/>
    </row>
    <row r="690" spans="15:24">
      <c r="O690" s="23"/>
      <c r="P690" s="1"/>
      <c r="Q690" s="1"/>
      <c r="R690" s="1"/>
      <c r="S690" s="1"/>
      <c r="T690" s="1"/>
      <c r="U690" s="1"/>
      <c r="V690" s="1"/>
      <c r="W690" s="1"/>
      <c r="X690" s="1"/>
    </row>
    <row r="691" spans="15:24">
      <c r="O691" s="23"/>
      <c r="P691" s="1"/>
      <c r="Q691" s="1"/>
      <c r="R691" s="1"/>
      <c r="S691" s="1"/>
      <c r="T691" s="1"/>
      <c r="U691" s="1"/>
      <c r="V691" s="1"/>
      <c r="W691" s="1"/>
      <c r="X691" s="1"/>
    </row>
    <row r="692" spans="15:24">
      <c r="O692" s="23"/>
      <c r="P692" s="1"/>
      <c r="Q692" s="1"/>
      <c r="R692" s="1"/>
      <c r="S692" s="1"/>
      <c r="T692" s="1"/>
      <c r="U692" s="1"/>
      <c r="V692" s="1"/>
      <c r="W692" s="1"/>
      <c r="X692" s="1"/>
    </row>
    <row r="693" spans="15:24">
      <c r="O693" s="23"/>
      <c r="P693" s="1"/>
      <c r="Q693" s="1"/>
      <c r="R693" s="1"/>
      <c r="S693" s="1"/>
      <c r="T693" s="1"/>
      <c r="U693" s="1"/>
      <c r="V693" s="1"/>
      <c r="W693" s="1"/>
      <c r="X693" s="1"/>
    </row>
    <row r="694" spans="15:24">
      <c r="O694" s="23"/>
      <c r="P694" s="1"/>
      <c r="Q694" s="1"/>
      <c r="R694" s="1"/>
      <c r="S694" s="1"/>
      <c r="T694" s="1"/>
      <c r="U694" s="1"/>
      <c r="V694" s="1"/>
      <c r="W694" s="1"/>
      <c r="X694" s="1"/>
    </row>
    <row r="695" spans="15:24">
      <c r="O695" s="23"/>
      <c r="P695" s="1"/>
      <c r="Q695" s="1"/>
      <c r="R695" s="1"/>
      <c r="S695" s="1"/>
      <c r="T695" s="1"/>
      <c r="U695" s="1"/>
      <c r="V695" s="1"/>
      <c r="W695" s="1"/>
      <c r="X695" s="1"/>
    </row>
    <row r="696" spans="15:24">
      <c r="O696" s="23"/>
      <c r="P696" s="1"/>
      <c r="Q696" s="1"/>
      <c r="R696" s="1"/>
      <c r="S696" s="1"/>
      <c r="T696" s="1"/>
      <c r="U696" s="1"/>
      <c r="V696" s="1"/>
      <c r="W696" s="1"/>
      <c r="X696" s="1"/>
    </row>
    <row r="697" spans="15:24">
      <c r="O697" s="23"/>
      <c r="P697" s="1"/>
      <c r="Q697" s="1"/>
      <c r="R697" s="1"/>
      <c r="S697" s="1"/>
      <c r="T697" s="1"/>
      <c r="U697" s="1"/>
      <c r="V697" s="1"/>
      <c r="W697" s="1"/>
      <c r="X697" s="1"/>
    </row>
    <row r="698" spans="15:24">
      <c r="O698" s="23"/>
      <c r="P698" s="1"/>
      <c r="Q698" s="1"/>
      <c r="R698" s="1"/>
      <c r="S698" s="1"/>
      <c r="T698" s="1"/>
      <c r="U698" s="1"/>
      <c r="V698" s="1"/>
      <c r="W698" s="1"/>
      <c r="X698" s="1"/>
    </row>
    <row r="699" spans="15:24">
      <c r="O699" s="23"/>
      <c r="P699" s="1"/>
      <c r="Q699" s="1"/>
      <c r="R699" s="1"/>
      <c r="S699" s="1"/>
      <c r="T699" s="1"/>
      <c r="U699" s="1"/>
      <c r="V699" s="1"/>
      <c r="W699" s="1"/>
      <c r="X699" s="1"/>
    </row>
    <row r="700" spans="15:24">
      <c r="O700" s="23"/>
      <c r="P700" s="1"/>
      <c r="Q700" s="1"/>
      <c r="R700" s="1"/>
      <c r="S700" s="1"/>
      <c r="T700" s="1"/>
      <c r="U700" s="1"/>
      <c r="V700" s="1"/>
      <c r="W700" s="1"/>
      <c r="X700" s="1"/>
    </row>
    <row r="701" spans="15:24">
      <c r="O701" s="23"/>
      <c r="P701" s="1"/>
      <c r="Q701" s="1"/>
      <c r="R701" s="1"/>
      <c r="S701" s="1"/>
      <c r="T701" s="1"/>
      <c r="U701" s="1"/>
      <c r="V701" s="1"/>
      <c r="W701" s="1"/>
      <c r="X701" s="1"/>
    </row>
    <row r="702" spans="15:24">
      <c r="O702" s="23"/>
      <c r="P702" s="1"/>
      <c r="Q702" s="1"/>
      <c r="R702" s="1"/>
      <c r="S702" s="1"/>
      <c r="T702" s="1"/>
      <c r="U702" s="1"/>
      <c r="V702" s="1"/>
      <c r="W702" s="1"/>
      <c r="X702" s="1"/>
    </row>
    <row r="703" spans="15:24">
      <c r="O703" s="23"/>
      <c r="P703" s="1"/>
      <c r="Q703" s="1"/>
      <c r="R703" s="1"/>
      <c r="S703" s="1"/>
      <c r="T703" s="1"/>
      <c r="U703" s="1"/>
      <c r="V703" s="1"/>
      <c r="W703" s="1"/>
      <c r="X703" s="1"/>
    </row>
    <row r="704" spans="15:24">
      <c r="O704" s="23"/>
      <c r="P704" s="1"/>
      <c r="Q704" s="1"/>
      <c r="R704" s="1"/>
      <c r="S704" s="1"/>
      <c r="T704" s="1"/>
      <c r="U704" s="1"/>
      <c r="V704" s="1"/>
      <c r="W704" s="1"/>
      <c r="X704" s="1"/>
    </row>
    <row r="705" spans="15:24">
      <c r="O705" s="23"/>
      <c r="P705" s="1"/>
      <c r="Q705" s="1"/>
      <c r="R705" s="1"/>
      <c r="S705" s="1"/>
      <c r="T705" s="1"/>
      <c r="U705" s="1"/>
      <c r="V705" s="1"/>
      <c r="W705" s="1"/>
      <c r="X705" s="1"/>
    </row>
    <row r="706" spans="15:24">
      <c r="O706" s="23"/>
      <c r="P706" s="1"/>
      <c r="Q706" s="1"/>
      <c r="R706" s="1"/>
      <c r="S706" s="1"/>
      <c r="T706" s="1"/>
      <c r="U706" s="1"/>
      <c r="V706" s="1"/>
      <c r="W706" s="1"/>
      <c r="X706" s="1"/>
    </row>
    <row r="707" spans="15:24">
      <c r="O707" s="23"/>
      <c r="P707" s="1"/>
      <c r="Q707" s="1"/>
      <c r="R707" s="1"/>
      <c r="S707" s="1"/>
      <c r="T707" s="1"/>
      <c r="U707" s="1"/>
      <c r="V707" s="1"/>
      <c r="W707" s="1"/>
      <c r="X707" s="1"/>
    </row>
    <row r="708" spans="15:24">
      <c r="O708" s="23"/>
      <c r="P708" s="1"/>
      <c r="Q708" s="1"/>
      <c r="R708" s="1"/>
      <c r="S708" s="1"/>
      <c r="T708" s="1"/>
      <c r="U708" s="1"/>
      <c r="V708" s="1"/>
      <c r="W708" s="1"/>
      <c r="X708" s="1"/>
    </row>
    <row r="709" spans="15:24">
      <c r="O709" s="23"/>
      <c r="P709" s="1"/>
      <c r="Q709" s="1"/>
      <c r="R709" s="1"/>
      <c r="S709" s="1"/>
      <c r="T709" s="1"/>
      <c r="U709" s="1"/>
      <c r="V709" s="1"/>
      <c r="W709" s="1"/>
      <c r="X709" s="1"/>
    </row>
    <row r="710" spans="15:24">
      <c r="O710" s="23"/>
      <c r="P710" s="1"/>
      <c r="Q710" s="1"/>
      <c r="R710" s="1"/>
      <c r="S710" s="1"/>
      <c r="T710" s="1"/>
      <c r="U710" s="1"/>
      <c r="V710" s="1"/>
      <c r="W710" s="1"/>
      <c r="X710" s="1"/>
    </row>
    <row r="711" spans="15:24">
      <c r="O711" s="23"/>
      <c r="P711" s="1"/>
      <c r="Q711" s="1"/>
      <c r="R711" s="1"/>
      <c r="S711" s="1"/>
      <c r="T711" s="1"/>
      <c r="U711" s="1"/>
      <c r="V711" s="1"/>
      <c r="W711" s="1"/>
      <c r="X711" s="1"/>
    </row>
    <row r="712" spans="15:24">
      <c r="O712" s="23"/>
      <c r="P712" s="1"/>
      <c r="Q712" s="1"/>
      <c r="R712" s="1"/>
      <c r="S712" s="1"/>
      <c r="T712" s="1"/>
      <c r="U712" s="1"/>
      <c r="V712" s="1"/>
      <c r="W712" s="1"/>
      <c r="X712" s="1"/>
    </row>
    <row r="713" spans="15:24">
      <c r="O713" s="23"/>
      <c r="P713" s="1"/>
      <c r="Q713" s="1"/>
      <c r="R713" s="1"/>
      <c r="S713" s="1"/>
      <c r="T713" s="1"/>
      <c r="U713" s="1"/>
      <c r="V713" s="1"/>
      <c r="W713" s="1"/>
      <c r="X713" s="1"/>
    </row>
    <row r="714" spans="15:24">
      <c r="O714" s="23"/>
      <c r="P714" s="1"/>
      <c r="Q714" s="1"/>
      <c r="R714" s="1"/>
      <c r="S714" s="1"/>
      <c r="T714" s="1"/>
      <c r="U714" s="1"/>
      <c r="V714" s="1"/>
      <c r="W714" s="1"/>
      <c r="X714" s="1"/>
    </row>
    <row r="715" spans="15:24">
      <c r="O715" s="23"/>
      <c r="P715" s="1"/>
      <c r="Q715" s="1"/>
      <c r="R715" s="1"/>
      <c r="S715" s="1"/>
      <c r="T715" s="1"/>
      <c r="U715" s="1"/>
      <c r="V715" s="1"/>
      <c r="W715" s="1"/>
      <c r="X715" s="1"/>
    </row>
    <row r="716" spans="15:24">
      <c r="O716" s="23"/>
      <c r="P716" s="1"/>
      <c r="Q716" s="1"/>
      <c r="R716" s="1"/>
      <c r="S716" s="1"/>
      <c r="T716" s="1"/>
      <c r="U716" s="1"/>
      <c r="V716" s="1"/>
      <c r="W716" s="1"/>
      <c r="X716" s="1"/>
    </row>
    <row r="717" spans="15:24">
      <c r="O717" s="23"/>
      <c r="P717" s="1"/>
      <c r="Q717" s="1"/>
      <c r="R717" s="1"/>
      <c r="S717" s="1"/>
      <c r="T717" s="1"/>
      <c r="U717" s="1"/>
      <c r="V717" s="1"/>
      <c r="W717" s="1"/>
      <c r="X717" s="1"/>
    </row>
    <row r="718" spans="15:24">
      <c r="O718" s="23"/>
      <c r="P718" s="1"/>
      <c r="Q718" s="1"/>
      <c r="R718" s="1"/>
      <c r="S718" s="1"/>
      <c r="T718" s="1"/>
      <c r="U718" s="1"/>
      <c r="V718" s="1"/>
      <c r="W718" s="1"/>
      <c r="X718" s="1"/>
    </row>
    <row r="719" spans="15:24">
      <c r="O719" s="23"/>
      <c r="P719" s="1"/>
      <c r="Q719" s="1"/>
      <c r="R719" s="1"/>
      <c r="S719" s="1"/>
      <c r="T719" s="1"/>
      <c r="U719" s="1"/>
      <c r="V719" s="1"/>
      <c r="W719" s="1"/>
      <c r="X719" s="1"/>
    </row>
    <row r="720" spans="15:24">
      <c r="O720" s="23"/>
      <c r="P720" s="1"/>
      <c r="Q720" s="1"/>
      <c r="R720" s="1"/>
      <c r="S720" s="1"/>
      <c r="T720" s="1"/>
      <c r="U720" s="1"/>
      <c r="V720" s="1"/>
      <c r="W720" s="1"/>
      <c r="X720" s="1"/>
    </row>
    <row r="721" spans="15:24">
      <c r="O721" s="23"/>
      <c r="P721" s="1"/>
      <c r="Q721" s="1"/>
      <c r="R721" s="1"/>
      <c r="S721" s="1"/>
      <c r="T721" s="1"/>
      <c r="U721" s="1"/>
      <c r="V721" s="1"/>
      <c r="W721" s="1"/>
      <c r="X721" s="1"/>
    </row>
    <row r="722" spans="15:24">
      <c r="O722" s="23"/>
      <c r="P722" s="1"/>
      <c r="Q722" s="1"/>
      <c r="R722" s="1"/>
      <c r="S722" s="1"/>
      <c r="T722" s="1"/>
      <c r="U722" s="1"/>
      <c r="V722" s="1"/>
      <c r="W722" s="1"/>
      <c r="X722" s="1"/>
    </row>
    <row r="723" spans="15:24">
      <c r="O723" s="23"/>
      <c r="P723" s="1"/>
      <c r="Q723" s="1"/>
      <c r="R723" s="1"/>
      <c r="S723" s="1"/>
      <c r="T723" s="1"/>
      <c r="U723" s="1"/>
      <c r="V723" s="1"/>
      <c r="W723" s="1"/>
      <c r="X723" s="1"/>
    </row>
    <row r="724" spans="15:24">
      <c r="O724" s="23"/>
      <c r="P724" s="1"/>
      <c r="Q724" s="1"/>
      <c r="R724" s="1"/>
      <c r="S724" s="1"/>
      <c r="T724" s="1"/>
      <c r="U724" s="1"/>
      <c r="V724" s="1"/>
      <c r="W724" s="1"/>
      <c r="X724" s="1"/>
    </row>
    <row r="725" spans="15:24">
      <c r="O725" s="23"/>
      <c r="P725" s="1"/>
      <c r="Q725" s="1"/>
      <c r="R725" s="1"/>
      <c r="S725" s="1"/>
      <c r="T725" s="1"/>
      <c r="U725" s="1"/>
      <c r="V725" s="1"/>
      <c r="W725" s="1"/>
      <c r="X725" s="1"/>
    </row>
    <row r="726" spans="15:24">
      <c r="O726" s="23"/>
      <c r="P726" s="1"/>
      <c r="Q726" s="1"/>
      <c r="R726" s="1"/>
      <c r="S726" s="1"/>
      <c r="T726" s="1"/>
      <c r="U726" s="1"/>
      <c r="V726" s="1"/>
      <c r="W726" s="1"/>
      <c r="X726" s="1"/>
    </row>
    <row r="727" spans="15:24">
      <c r="O727" s="23"/>
      <c r="P727" s="1"/>
      <c r="Q727" s="1"/>
      <c r="R727" s="1"/>
      <c r="S727" s="1"/>
      <c r="T727" s="1"/>
      <c r="U727" s="1"/>
      <c r="V727" s="1"/>
      <c r="W727" s="1"/>
      <c r="X727" s="1"/>
    </row>
    <row r="728" spans="15:24">
      <c r="O728" s="23"/>
      <c r="P728" s="1"/>
      <c r="Q728" s="1"/>
      <c r="R728" s="1"/>
      <c r="S728" s="1"/>
      <c r="T728" s="1"/>
      <c r="U728" s="1"/>
      <c r="V728" s="1"/>
      <c r="W728" s="1"/>
      <c r="X728" s="1"/>
    </row>
    <row r="729" spans="15:24">
      <c r="O729" s="23"/>
      <c r="P729" s="1"/>
      <c r="Q729" s="1"/>
      <c r="R729" s="1"/>
      <c r="S729" s="1"/>
      <c r="T729" s="1"/>
      <c r="U729" s="1"/>
      <c r="V729" s="1"/>
      <c r="W729" s="1"/>
      <c r="X729" s="1"/>
    </row>
    <row r="730" spans="15:24">
      <c r="O730" s="23"/>
      <c r="P730" s="1"/>
      <c r="Q730" s="1"/>
      <c r="R730" s="1"/>
      <c r="S730" s="1"/>
      <c r="T730" s="1"/>
      <c r="U730" s="1"/>
      <c r="V730" s="1"/>
      <c r="W730" s="1"/>
      <c r="X730" s="1"/>
    </row>
    <row r="731" spans="15:24">
      <c r="O731" s="23"/>
      <c r="P731" s="1"/>
      <c r="Q731" s="1"/>
      <c r="R731" s="1"/>
      <c r="S731" s="1"/>
      <c r="T731" s="1"/>
      <c r="U731" s="1"/>
      <c r="V731" s="1"/>
      <c r="W731" s="1"/>
      <c r="X731" s="1"/>
    </row>
    <row r="732" spans="15:24">
      <c r="O732" s="23"/>
      <c r="P732" s="1"/>
      <c r="Q732" s="1"/>
      <c r="R732" s="1"/>
      <c r="S732" s="1"/>
      <c r="T732" s="1"/>
      <c r="U732" s="1"/>
      <c r="V732" s="1"/>
      <c r="W732" s="1"/>
      <c r="X732" s="1"/>
    </row>
    <row r="733" spans="15:24">
      <c r="O733" s="23"/>
      <c r="P733" s="1"/>
      <c r="Q733" s="1"/>
      <c r="R733" s="1"/>
      <c r="S733" s="1"/>
      <c r="T733" s="1"/>
      <c r="U733" s="1"/>
      <c r="V733" s="1"/>
      <c r="W733" s="1"/>
      <c r="X733" s="1"/>
    </row>
    <row r="734" spans="15:24">
      <c r="O734" s="23"/>
      <c r="P734" s="1"/>
      <c r="Q734" s="1"/>
      <c r="R734" s="1"/>
      <c r="S734" s="1"/>
      <c r="T734" s="1"/>
      <c r="U734" s="1"/>
      <c r="V734" s="1"/>
      <c r="W734" s="1"/>
      <c r="X734" s="1"/>
    </row>
    <row r="735" spans="15:24">
      <c r="O735" s="23"/>
      <c r="P735" s="1"/>
      <c r="Q735" s="1"/>
      <c r="R735" s="1"/>
      <c r="S735" s="1"/>
      <c r="T735" s="1"/>
      <c r="U735" s="1"/>
      <c r="V735" s="1"/>
      <c r="W735" s="1"/>
      <c r="X735" s="1"/>
    </row>
    <row r="736" spans="15:24">
      <c r="O736" s="23"/>
      <c r="P736" s="1"/>
      <c r="Q736" s="1"/>
      <c r="R736" s="1"/>
      <c r="S736" s="1"/>
      <c r="T736" s="1"/>
      <c r="U736" s="1"/>
      <c r="V736" s="1"/>
      <c r="W736" s="1"/>
      <c r="X736" s="1"/>
    </row>
    <row r="737" spans="15:24">
      <c r="O737" s="23"/>
      <c r="P737" s="1"/>
      <c r="Q737" s="1"/>
      <c r="R737" s="1"/>
      <c r="S737" s="1"/>
      <c r="T737" s="1"/>
      <c r="U737" s="1"/>
      <c r="V737" s="1"/>
      <c r="W737" s="1"/>
      <c r="X737" s="1"/>
    </row>
    <row r="738" spans="15:24">
      <c r="O738" s="23"/>
      <c r="P738" s="1"/>
      <c r="Q738" s="1"/>
      <c r="R738" s="1"/>
      <c r="S738" s="1"/>
      <c r="T738" s="1"/>
      <c r="U738" s="1"/>
      <c r="V738" s="1"/>
      <c r="W738" s="1"/>
      <c r="X738" s="1"/>
    </row>
    <row r="739" spans="15:24">
      <c r="O739" s="23"/>
      <c r="P739" s="1"/>
      <c r="Q739" s="1"/>
      <c r="R739" s="1"/>
      <c r="S739" s="1"/>
      <c r="T739" s="1"/>
      <c r="U739" s="1"/>
      <c r="V739" s="1"/>
      <c r="W739" s="1"/>
      <c r="X739" s="1"/>
    </row>
    <row r="740" spans="15:24">
      <c r="O740" s="23"/>
      <c r="P740" s="1"/>
      <c r="Q740" s="1"/>
      <c r="R740" s="1"/>
      <c r="S740" s="1"/>
      <c r="T740" s="1"/>
      <c r="U740" s="1"/>
      <c r="V740" s="1"/>
      <c r="W740" s="1"/>
      <c r="X740" s="1"/>
    </row>
    <row r="741" spans="15:24">
      <c r="O741" s="23"/>
      <c r="P741" s="1"/>
      <c r="Q741" s="1"/>
      <c r="R741" s="1"/>
      <c r="S741" s="1"/>
      <c r="T741" s="1"/>
      <c r="U741" s="1"/>
      <c r="V741" s="1"/>
      <c r="W741" s="1"/>
      <c r="X741" s="1"/>
    </row>
    <row r="742" spans="15:24">
      <c r="O742" s="23"/>
      <c r="P742" s="1"/>
      <c r="Q742" s="1"/>
      <c r="R742" s="1"/>
      <c r="S742" s="1"/>
      <c r="T742" s="1"/>
      <c r="U742" s="1"/>
      <c r="V742" s="1"/>
      <c r="W742" s="1"/>
      <c r="X742" s="1"/>
    </row>
    <row r="743" spans="15:24">
      <c r="O743" s="23"/>
      <c r="P743" s="1"/>
      <c r="Q743" s="1"/>
      <c r="R743" s="1"/>
      <c r="S743" s="1"/>
      <c r="T743" s="1"/>
      <c r="U743" s="1"/>
      <c r="V743" s="1"/>
      <c r="W743" s="1"/>
      <c r="X743" s="1"/>
    </row>
    <row r="744" spans="15:24">
      <c r="O744" s="23"/>
      <c r="P744" s="1"/>
      <c r="Q744" s="1"/>
      <c r="R744" s="1"/>
      <c r="S744" s="1"/>
      <c r="T744" s="1"/>
      <c r="U744" s="1"/>
      <c r="V744" s="1"/>
      <c r="W744" s="1"/>
      <c r="X744" s="1"/>
    </row>
    <row r="745" spans="15:24">
      <c r="O745" s="23"/>
      <c r="P745" s="1"/>
      <c r="Q745" s="1"/>
      <c r="R745" s="1"/>
      <c r="S745" s="1"/>
      <c r="T745" s="1"/>
      <c r="U745" s="1"/>
      <c r="V745" s="1"/>
      <c r="W745" s="1"/>
      <c r="X745" s="1"/>
    </row>
    <row r="746" spans="15:24">
      <c r="O746" s="23"/>
      <c r="P746" s="1"/>
      <c r="Q746" s="1"/>
      <c r="R746" s="1"/>
      <c r="S746" s="1"/>
      <c r="T746" s="1"/>
      <c r="U746" s="1"/>
      <c r="V746" s="1"/>
      <c r="W746" s="1"/>
      <c r="X746" s="1"/>
    </row>
    <row r="747" spans="15:24">
      <c r="O747" s="23"/>
      <c r="P747" s="1"/>
      <c r="Q747" s="1"/>
      <c r="R747" s="1"/>
      <c r="S747" s="1"/>
      <c r="T747" s="1"/>
      <c r="U747" s="1"/>
      <c r="V747" s="1"/>
      <c r="W747" s="1"/>
      <c r="X747" s="1"/>
    </row>
    <row r="748" spans="15:24">
      <c r="O748" s="23"/>
      <c r="P748" s="1"/>
      <c r="Q748" s="1"/>
      <c r="R748" s="1"/>
      <c r="S748" s="1"/>
      <c r="T748" s="1"/>
      <c r="U748" s="1"/>
      <c r="V748" s="1"/>
      <c r="W748" s="1"/>
      <c r="X748" s="1"/>
    </row>
    <row r="749" spans="15:24">
      <c r="O749" s="23"/>
      <c r="P749" s="1"/>
      <c r="Q749" s="1"/>
      <c r="R749" s="1"/>
      <c r="S749" s="1"/>
      <c r="T749" s="1"/>
      <c r="U749" s="1"/>
      <c r="V749" s="1"/>
      <c r="W749" s="1"/>
      <c r="X749" s="1"/>
    </row>
    <row r="750" spans="15:24">
      <c r="O750" s="23"/>
      <c r="P750" s="1"/>
      <c r="Q750" s="1"/>
      <c r="R750" s="1"/>
      <c r="S750" s="1"/>
      <c r="T750" s="1"/>
      <c r="U750" s="1"/>
      <c r="V750" s="1"/>
      <c r="W750" s="1"/>
      <c r="X750" s="1"/>
    </row>
    <row r="751" spans="15:24">
      <c r="O751" s="23"/>
      <c r="P751" s="1"/>
      <c r="Q751" s="1"/>
      <c r="R751" s="1"/>
      <c r="S751" s="1"/>
      <c r="T751" s="1"/>
      <c r="U751" s="1"/>
      <c r="V751" s="1"/>
      <c r="W751" s="1"/>
      <c r="X751" s="1"/>
    </row>
    <row r="752" spans="15:24">
      <c r="O752" s="23"/>
      <c r="P752" s="1"/>
      <c r="Q752" s="1"/>
      <c r="R752" s="1"/>
      <c r="S752" s="1"/>
      <c r="T752" s="1"/>
      <c r="U752" s="1"/>
      <c r="V752" s="1"/>
      <c r="W752" s="1"/>
      <c r="X752" s="1"/>
    </row>
    <row r="753" spans="15:24">
      <c r="O753" s="23"/>
      <c r="P753" s="1"/>
      <c r="Q753" s="1"/>
      <c r="R753" s="1"/>
      <c r="S753" s="1"/>
      <c r="T753" s="1"/>
      <c r="U753" s="1"/>
      <c r="V753" s="1"/>
      <c r="W753" s="1"/>
      <c r="X753" s="1"/>
    </row>
    <row r="754" spans="15:24">
      <c r="O754" s="23"/>
      <c r="P754" s="1"/>
      <c r="Q754" s="1"/>
      <c r="R754" s="1"/>
      <c r="S754" s="1"/>
      <c r="T754" s="1"/>
      <c r="U754" s="1"/>
      <c r="V754" s="1"/>
      <c r="W754" s="1"/>
      <c r="X754" s="1"/>
    </row>
    <row r="755" spans="15:24">
      <c r="O755" s="23"/>
      <c r="P755" s="1"/>
      <c r="Q755" s="1"/>
      <c r="R755" s="1"/>
      <c r="S755" s="1"/>
      <c r="T755" s="1"/>
      <c r="U755" s="1"/>
      <c r="V755" s="1"/>
      <c r="W755" s="1"/>
      <c r="X755" s="1"/>
    </row>
    <row r="756" spans="15:24">
      <c r="O756" s="23"/>
      <c r="P756" s="1"/>
      <c r="Q756" s="1"/>
      <c r="R756" s="1"/>
      <c r="S756" s="1"/>
      <c r="T756" s="1"/>
      <c r="U756" s="1"/>
      <c r="V756" s="1"/>
      <c r="W756" s="1"/>
      <c r="X756" s="1"/>
    </row>
    <row r="757" spans="15:24">
      <c r="O757" s="23"/>
      <c r="P757" s="1"/>
      <c r="Q757" s="1"/>
      <c r="R757" s="1"/>
      <c r="S757" s="1"/>
      <c r="T757" s="1"/>
      <c r="U757" s="1"/>
      <c r="V757" s="1"/>
      <c r="W757" s="1"/>
      <c r="X757" s="1"/>
    </row>
    <row r="758" spans="15:24">
      <c r="O758" s="23"/>
      <c r="P758" s="1"/>
      <c r="Q758" s="1"/>
      <c r="R758" s="1"/>
      <c r="S758" s="1"/>
      <c r="T758" s="1"/>
      <c r="U758" s="1"/>
      <c r="V758" s="1"/>
      <c r="W758" s="1"/>
      <c r="X758" s="1"/>
    </row>
    <row r="759" spans="15:24">
      <c r="O759" s="23"/>
      <c r="P759" s="1"/>
      <c r="Q759" s="1"/>
      <c r="R759" s="1"/>
      <c r="S759" s="1"/>
      <c r="T759" s="1"/>
      <c r="U759" s="1"/>
      <c r="V759" s="1"/>
      <c r="W759" s="1"/>
      <c r="X759" s="1"/>
    </row>
    <row r="760" spans="15:24">
      <c r="O760" s="23"/>
      <c r="P760" s="1"/>
      <c r="Q760" s="1"/>
      <c r="R760" s="1"/>
      <c r="S760" s="1"/>
      <c r="T760" s="1"/>
      <c r="U760" s="1"/>
      <c r="V760" s="1"/>
      <c r="W760" s="1"/>
      <c r="X760" s="1"/>
    </row>
    <row r="761" spans="15:24">
      <c r="O761" s="23"/>
      <c r="P761" s="1"/>
      <c r="Q761" s="1"/>
      <c r="R761" s="1"/>
      <c r="S761" s="1"/>
      <c r="T761" s="1"/>
      <c r="U761" s="1"/>
      <c r="V761" s="1"/>
      <c r="W761" s="1"/>
      <c r="X761" s="1"/>
    </row>
    <row r="762" spans="15:24">
      <c r="O762" s="23"/>
      <c r="P762" s="1"/>
      <c r="Q762" s="1"/>
      <c r="R762" s="1"/>
      <c r="S762" s="1"/>
      <c r="T762" s="1"/>
      <c r="U762" s="1"/>
      <c r="V762" s="1"/>
      <c r="W762" s="1"/>
      <c r="X762" s="1"/>
    </row>
    <row r="763" spans="15:24">
      <c r="O763" s="23"/>
      <c r="P763" s="1"/>
      <c r="Q763" s="1"/>
      <c r="R763" s="1"/>
      <c r="S763" s="1"/>
      <c r="T763" s="1"/>
      <c r="U763" s="1"/>
      <c r="V763" s="1"/>
      <c r="W763" s="1"/>
      <c r="X763" s="1"/>
    </row>
    <row r="764" spans="15:24">
      <c r="O764" s="23"/>
      <c r="P764" s="1"/>
      <c r="Q764" s="1"/>
      <c r="R764" s="1"/>
      <c r="S764" s="1"/>
      <c r="T764" s="1"/>
      <c r="U764" s="1"/>
      <c r="V764" s="1"/>
      <c r="W764" s="1"/>
      <c r="X764" s="1"/>
    </row>
    <row r="765" spans="15:24">
      <c r="O765" s="23"/>
      <c r="P765" s="1"/>
      <c r="Q765" s="1"/>
      <c r="R765" s="1"/>
      <c r="S765" s="1"/>
      <c r="T765" s="1"/>
      <c r="U765" s="1"/>
      <c r="V765" s="1"/>
      <c r="W765" s="1"/>
      <c r="X765" s="1"/>
    </row>
    <row r="766" spans="15:24">
      <c r="O766" s="23"/>
      <c r="P766" s="1"/>
      <c r="Q766" s="1"/>
      <c r="R766" s="1"/>
      <c r="S766" s="1"/>
      <c r="T766" s="1"/>
      <c r="U766" s="1"/>
      <c r="V766" s="1"/>
      <c r="W766" s="1"/>
      <c r="X766" s="1"/>
    </row>
    <row r="767" spans="15:24">
      <c r="O767" s="23"/>
      <c r="P767" s="1"/>
      <c r="Q767" s="1"/>
      <c r="R767" s="1"/>
      <c r="S767" s="1"/>
      <c r="T767" s="1"/>
      <c r="U767" s="1"/>
      <c r="V767" s="1"/>
      <c r="W767" s="1"/>
      <c r="X767" s="1"/>
    </row>
    <row r="768" spans="15:24">
      <c r="O768" s="23"/>
      <c r="P768" s="1"/>
      <c r="Q768" s="1"/>
      <c r="R768" s="1"/>
      <c r="S768" s="1"/>
      <c r="T768" s="1"/>
      <c r="U768" s="1"/>
      <c r="V768" s="1"/>
      <c r="W768" s="1"/>
      <c r="X768" s="1"/>
    </row>
    <row r="769" spans="15:24">
      <c r="O769" s="23"/>
      <c r="P769" s="1"/>
      <c r="Q769" s="1"/>
      <c r="R769" s="1"/>
      <c r="S769" s="1"/>
      <c r="T769" s="1"/>
      <c r="U769" s="1"/>
      <c r="V769" s="1"/>
      <c r="W769" s="1"/>
      <c r="X769" s="1"/>
    </row>
    <row r="770" spans="15:24">
      <c r="O770" s="23"/>
      <c r="P770" s="1"/>
      <c r="Q770" s="1"/>
      <c r="R770" s="1"/>
      <c r="S770" s="1"/>
      <c r="T770" s="1"/>
      <c r="U770" s="1"/>
      <c r="V770" s="1"/>
      <c r="W770" s="1"/>
      <c r="X770" s="1"/>
    </row>
    <row r="771" spans="15:24">
      <c r="O771" s="23"/>
      <c r="P771" s="1"/>
      <c r="Q771" s="1"/>
      <c r="R771" s="1"/>
      <c r="S771" s="1"/>
      <c r="T771" s="1"/>
      <c r="U771" s="1"/>
      <c r="V771" s="1"/>
      <c r="W771" s="1"/>
      <c r="X771" s="1"/>
    </row>
    <row r="772" spans="15:24">
      <c r="O772" s="23"/>
      <c r="P772" s="1"/>
      <c r="Q772" s="1"/>
      <c r="R772" s="1"/>
      <c r="S772" s="1"/>
      <c r="T772" s="1"/>
      <c r="U772" s="1"/>
      <c r="V772" s="1"/>
      <c r="W772" s="1"/>
      <c r="X772" s="1"/>
    </row>
    <row r="773" spans="15:24">
      <c r="O773" s="23"/>
      <c r="P773" s="1"/>
      <c r="Q773" s="1"/>
      <c r="R773" s="1"/>
      <c r="S773" s="1"/>
      <c r="T773" s="1"/>
      <c r="U773" s="1"/>
      <c r="V773" s="1"/>
      <c r="W773" s="1"/>
      <c r="X773" s="1"/>
    </row>
    <row r="774" spans="15:24">
      <c r="O774" s="23"/>
      <c r="P774" s="1"/>
      <c r="Q774" s="1"/>
      <c r="R774" s="1"/>
      <c r="S774" s="1"/>
      <c r="T774" s="1"/>
      <c r="U774" s="1"/>
      <c r="V774" s="1"/>
      <c r="W774" s="1"/>
      <c r="X774" s="1"/>
    </row>
    <row r="775" spans="15:24">
      <c r="O775" s="23"/>
      <c r="P775" s="1"/>
      <c r="Q775" s="1"/>
      <c r="R775" s="1"/>
      <c r="S775" s="1"/>
      <c r="T775" s="1"/>
      <c r="U775" s="1"/>
      <c r="V775" s="1"/>
      <c r="W775" s="1"/>
      <c r="X775" s="1"/>
    </row>
    <row r="776" spans="15:24">
      <c r="O776" s="23"/>
      <c r="P776" s="1"/>
      <c r="Q776" s="1"/>
      <c r="R776" s="1"/>
      <c r="S776" s="1"/>
      <c r="T776" s="1"/>
      <c r="U776" s="1"/>
      <c r="V776" s="1"/>
      <c r="W776" s="1"/>
      <c r="X776" s="1"/>
    </row>
    <row r="777" spans="15:24">
      <c r="O777" s="23"/>
      <c r="P777" s="1"/>
      <c r="Q777" s="1"/>
      <c r="R777" s="1"/>
      <c r="S777" s="1"/>
      <c r="T777" s="1"/>
      <c r="U777" s="1"/>
      <c r="V777" s="1"/>
      <c r="W777" s="1"/>
      <c r="X777" s="1"/>
    </row>
    <row r="778" spans="15:24">
      <c r="O778" s="23"/>
      <c r="P778" s="1"/>
      <c r="Q778" s="1"/>
      <c r="R778" s="1"/>
      <c r="S778" s="1"/>
      <c r="T778" s="1"/>
      <c r="U778" s="1"/>
      <c r="V778" s="1"/>
      <c r="W778" s="1"/>
      <c r="X778" s="1"/>
    </row>
    <row r="779" spans="15:24">
      <c r="O779" s="23"/>
      <c r="P779" s="1"/>
      <c r="Q779" s="1"/>
      <c r="R779" s="1"/>
      <c r="S779" s="1"/>
      <c r="T779" s="1"/>
      <c r="U779" s="1"/>
      <c r="V779" s="1"/>
      <c r="W779" s="1"/>
      <c r="X779" s="1"/>
    </row>
    <row r="780" spans="15:24">
      <c r="O780" s="23"/>
      <c r="P780" s="1"/>
      <c r="Q780" s="1"/>
      <c r="R780" s="1"/>
      <c r="S780" s="1"/>
      <c r="T780" s="1"/>
      <c r="U780" s="1"/>
      <c r="V780" s="1"/>
      <c r="W780" s="1"/>
      <c r="X780" s="1"/>
    </row>
    <row r="781" spans="15:24">
      <c r="O781" s="23"/>
      <c r="P781" s="1"/>
      <c r="Q781" s="1"/>
      <c r="R781" s="1"/>
      <c r="S781" s="1"/>
      <c r="T781" s="1"/>
      <c r="U781" s="1"/>
      <c r="V781" s="1"/>
      <c r="W781" s="1"/>
      <c r="X781" s="1"/>
    </row>
    <row r="782" spans="15:24">
      <c r="O782" s="23"/>
      <c r="P782" s="1"/>
      <c r="Q782" s="1"/>
      <c r="R782" s="1"/>
      <c r="S782" s="1"/>
      <c r="T782" s="1"/>
      <c r="U782" s="1"/>
      <c r="V782" s="1"/>
      <c r="W782" s="1"/>
      <c r="X782" s="1"/>
    </row>
    <row r="783" spans="15:24">
      <c r="O783" s="23"/>
      <c r="P783" s="1"/>
      <c r="Q783" s="1"/>
      <c r="R783" s="1"/>
      <c r="S783" s="1"/>
      <c r="T783" s="1"/>
      <c r="U783" s="1"/>
      <c r="V783" s="1"/>
      <c r="W783" s="1"/>
      <c r="X783" s="1"/>
    </row>
    <row r="784" spans="15:24">
      <c r="O784" s="23"/>
      <c r="P784" s="1"/>
      <c r="Q784" s="1"/>
      <c r="R784" s="1"/>
      <c r="S784" s="1"/>
      <c r="T784" s="1"/>
      <c r="U784" s="1"/>
      <c r="V784" s="1"/>
      <c r="W784" s="1"/>
      <c r="X784" s="1"/>
    </row>
    <row r="785" spans="15:24">
      <c r="O785" s="23"/>
      <c r="P785" s="1"/>
      <c r="Q785" s="1"/>
      <c r="R785" s="1"/>
      <c r="S785" s="1"/>
      <c r="T785" s="1"/>
      <c r="U785" s="1"/>
      <c r="V785" s="1"/>
      <c r="W785" s="1"/>
      <c r="X785" s="1"/>
    </row>
    <row r="786" spans="15:24">
      <c r="O786" s="23"/>
      <c r="P786" s="1"/>
      <c r="Q786" s="1"/>
      <c r="R786" s="1"/>
      <c r="S786" s="1"/>
      <c r="T786" s="1"/>
      <c r="U786" s="1"/>
      <c r="V786" s="1"/>
      <c r="W786" s="1"/>
      <c r="X786" s="1"/>
    </row>
    <row r="787" spans="15:24">
      <c r="O787" s="23"/>
      <c r="P787" s="1"/>
      <c r="Q787" s="1"/>
      <c r="R787" s="1"/>
      <c r="S787" s="1"/>
      <c r="T787" s="1"/>
      <c r="U787" s="1"/>
      <c r="V787" s="1"/>
      <c r="W787" s="1"/>
      <c r="X787" s="1"/>
    </row>
    <row r="788" spans="15:24">
      <c r="O788" s="23"/>
      <c r="P788" s="1"/>
      <c r="Q788" s="1"/>
      <c r="R788" s="1"/>
      <c r="S788" s="1"/>
      <c r="T788" s="1"/>
      <c r="U788" s="1"/>
      <c r="V788" s="1"/>
      <c r="W788" s="1"/>
      <c r="X788" s="1"/>
    </row>
    <row r="789" spans="15:24">
      <c r="O789" s="23"/>
      <c r="P789" s="1"/>
      <c r="Q789" s="1"/>
      <c r="R789" s="1"/>
      <c r="S789" s="1"/>
      <c r="T789" s="1"/>
      <c r="U789" s="1"/>
      <c r="V789" s="1"/>
      <c r="W789" s="1"/>
      <c r="X789" s="1"/>
    </row>
    <row r="790" spans="15:24">
      <c r="O790" s="23"/>
      <c r="P790" s="1"/>
      <c r="Q790" s="1"/>
      <c r="R790" s="1"/>
      <c r="S790" s="1"/>
      <c r="T790" s="1"/>
      <c r="U790" s="1"/>
      <c r="V790" s="1"/>
      <c r="W790" s="1"/>
      <c r="X790" s="1"/>
    </row>
    <row r="791" spans="15:24">
      <c r="O791" s="23"/>
      <c r="P791" s="1"/>
      <c r="Q791" s="1"/>
      <c r="R791" s="1"/>
      <c r="S791" s="1"/>
      <c r="T791" s="1"/>
      <c r="U791" s="1"/>
      <c r="V791" s="1"/>
      <c r="W791" s="1"/>
      <c r="X791" s="1"/>
    </row>
    <row r="792" spans="15:24">
      <c r="O792" s="23"/>
      <c r="P792" s="1"/>
      <c r="Q792" s="1"/>
      <c r="R792" s="1"/>
      <c r="S792" s="1"/>
      <c r="T792" s="1"/>
      <c r="U792" s="1"/>
      <c r="V792" s="1"/>
      <c r="W792" s="1"/>
      <c r="X792" s="1"/>
    </row>
    <row r="793" spans="15:24">
      <c r="O793" s="23"/>
      <c r="P793" s="1"/>
      <c r="Q793" s="1"/>
      <c r="R793" s="1"/>
      <c r="S793" s="1"/>
      <c r="T793" s="1"/>
      <c r="U793" s="1"/>
      <c r="V793" s="1"/>
      <c r="W793" s="1"/>
      <c r="X793" s="1"/>
    </row>
    <row r="794" spans="15:24">
      <c r="O794" s="23"/>
      <c r="P794" s="1"/>
      <c r="Q794" s="1"/>
      <c r="R794" s="1"/>
      <c r="S794" s="1"/>
      <c r="T794" s="1"/>
      <c r="U794" s="1"/>
      <c r="V794" s="1"/>
      <c r="W794" s="1"/>
      <c r="X794" s="1"/>
    </row>
    <row r="795" spans="15:24">
      <c r="O795" s="23"/>
      <c r="P795" s="1"/>
      <c r="Q795" s="1"/>
      <c r="R795" s="1"/>
      <c r="S795" s="1"/>
      <c r="T795" s="1"/>
      <c r="U795" s="1"/>
      <c r="V795" s="1"/>
      <c r="W795" s="1"/>
      <c r="X795" s="1"/>
    </row>
    <row r="796" spans="15:24">
      <c r="O796" s="23"/>
      <c r="P796" s="1"/>
      <c r="Q796" s="1"/>
      <c r="R796" s="1"/>
      <c r="S796" s="1"/>
      <c r="T796" s="1"/>
      <c r="U796" s="1"/>
      <c r="V796" s="1"/>
      <c r="W796" s="1"/>
      <c r="X796" s="1"/>
    </row>
    <row r="797" spans="15:24">
      <c r="O797" s="23"/>
      <c r="P797" s="1"/>
      <c r="Q797" s="1"/>
      <c r="R797" s="1"/>
      <c r="S797" s="1"/>
      <c r="T797" s="1"/>
      <c r="U797" s="1"/>
      <c r="V797" s="1"/>
      <c r="W797" s="1"/>
      <c r="X797" s="1"/>
    </row>
    <row r="798" spans="15:24">
      <c r="O798" s="23"/>
      <c r="P798" s="1"/>
      <c r="Q798" s="1"/>
      <c r="R798" s="1"/>
      <c r="S798" s="1"/>
      <c r="T798" s="1"/>
      <c r="U798" s="1"/>
      <c r="V798" s="1"/>
      <c r="W798" s="1"/>
      <c r="X798" s="1"/>
    </row>
    <row r="799" spans="15:24">
      <c r="O799" s="23"/>
      <c r="P799" s="1"/>
      <c r="Q799" s="1"/>
      <c r="R799" s="1"/>
      <c r="S799" s="1"/>
      <c r="T799" s="1"/>
      <c r="U799" s="1"/>
      <c r="V799" s="1"/>
      <c r="W799" s="1"/>
      <c r="X799" s="1"/>
    </row>
    <row r="800" spans="15:24">
      <c r="O800" s="23"/>
      <c r="P800" s="1"/>
      <c r="Q800" s="1"/>
      <c r="R800" s="1"/>
      <c r="S800" s="1"/>
      <c r="T800" s="1"/>
      <c r="U800" s="1"/>
      <c r="V800" s="1"/>
      <c r="W800" s="1"/>
      <c r="X800" s="1"/>
    </row>
    <row r="801" spans="15:24">
      <c r="O801" s="23"/>
      <c r="P801" s="1"/>
      <c r="Q801" s="1"/>
      <c r="R801" s="1"/>
      <c r="S801" s="1"/>
      <c r="T801" s="1"/>
      <c r="U801" s="1"/>
      <c r="V801" s="1"/>
      <c r="W801" s="1"/>
      <c r="X801" s="1"/>
    </row>
    <row r="802" spans="15:24">
      <c r="O802" s="23"/>
      <c r="P802" s="1"/>
      <c r="Q802" s="1"/>
      <c r="R802" s="1"/>
      <c r="S802" s="1"/>
      <c r="T802" s="1"/>
      <c r="U802" s="1"/>
      <c r="V802" s="1"/>
      <c r="W802" s="1"/>
      <c r="X802" s="1"/>
    </row>
    <row r="803" spans="15:24">
      <c r="O803" s="23"/>
      <c r="P803" s="1"/>
      <c r="Q803" s="1"/>
      <c r="R803" s="1"/>
      <c r="S803" s="1"/>
      <c r="T803" s="1"/>
      <c r="U803" s="1"/>
      <c r="V803" s="1"/>
      <c r="W803" s="1"/>
      <c r="X803" s="1"/>
    </row>
    <row r="804" spans="15:24">
      <c r="O804" s="23"/>
      <c r="P804" s="1"/>
      <c r="Q804" s="1"/>
      <c r="R804" s="1"/>
      <c r="S804" s="1"/>
      <c r="T804" s="1"/>
      <c r="U804" s="1"/>
      <c r="V804" s="1"/>
      <c r="W804" s="1"/>
      <c r="X804" s="1"/>
    </row>
    <row r="805" spans="15:24">
      <c r="O805" s="23"/>
      <c r="P805" s="1"/>
      <c r="Q805" s="1"/>
      <c r="R805" s="1"/>
      <c r="S805" s="1"/>
      <c r="T805" s="1"/>
      <c r="U805" s="1"/>
      <c r="V805" s="1"/>
      <c r="W805" s="1"/>
      <c r="X805" s="1"/>
    </row>
    <row r="806" spans="15:24">
      <c r="O806" s="23"/>
      <c r="P806" s="1"/>
      <c r="Q806" s="1"/>
      <c r="R806" s="1"/>
      <c r="S806" s="1"/>
      <c r="T806" s="1"/>
      <c r="U806" s="1"/>
      <c r="V806" s="1"/>
      <c r="W806" s="1"/>
      <c r="X806" s="1"/>
    </row>
    <row r="807" spans="15:24">
      <c r="O807" s="23"/>
      <c r="P807" s="1"/>
      <c r="Q807" s="1"/>
      <c r="R807" s="1"/>
      <c r="S807" s="1"/>
      <c r="T807" s="1"/>
      <c r="U807" s="1"/>
      <c r="V807" s="1"/>
      <c r="W807" s="1"/>
      <c r="X807" s="1"/>
    </row>
    <row r="808" spans="15:24">
      <c r="O808" s="23"/>
      <c r="P808" s="1"/>
      <c r="Q808" s="1"/>
      <c r="R808" s="1"/>
      <c r="S808" s="1"/>
      <c r="T808" s="1"/>
      <c r="U808" s="1"/>
      <c r="V808" s="1"/>
      <c r="W808" s="1"/>
      <c r="X808" s="1"/>
    </row>
    <row r="809" spans="15:24">
      <c r="O809" s="23"/>
      <c r="P809" s="1"/>
      <c r="Q809" s="1"/>
      <c r="R809" s="1"/>
      <c r="S809" s="1"/>
      <c r="T809" s="1"/>
      <c r="U809" s="1"/>
      <c r="V809" s="1"/>
      <c r="W809" s="1"/>
      <c r="X809" s="1"/>
    </row>
    <row r="810" spans="15:24">
      <c r="O810" s="23"/>
      <c r="P810" s="1"/>
      <c r="Q810" s="1"/>
      <c r="R810" s="1"/>
      <c r="S810" s="1"/>
      <c r="T810" s="1"/>
      <c r="U810" s="1"/>
      <c r="V810" s="1"/>
      <c r="W810" s="1"/>
      <c r="X810" s="1"/>
    </row>
    <row r="811" spans="15:24">
      <c r="O811" s="23"/>
      <c r="P811" s="1"/>
      <c r="Q811" s="1"/>
      <c r="R811" s="1"/>
      <c r="S811" s="1"/>
      <c r="T811" s="1"/>
      <c r="U811" s="1"/>
      <c r="V811" s="1"/>
      <c r="W811" s="1"/>
      <c r="X811" s="1"/>
    </row>
    <row r="812" spans="15:24">
      <c r="O812" s="23"/>
      <c r="P812" s="1"/>
      <c r="Q812" s="1"/>
      <c r="R812" s="1"/>
      <c r="S812" s="1"/>
      <c r="T812" s="1"/>
      <c r="U812" s="1"/>
      <c r="V812" s="1"/>
      <c r="W812" s="1"/>
      <c r="X812" s="1"/>
    </row>
    <row r="813" spans="15:24">
      <c r="O813" s="23"/>
      <c r="P813" s="1"/>
      <c r="Q813" s="1"/>
      <c r="R813" s="1"/>
      <c r="S813" s="1"/>
      <c r="T813" s="1"/>
      <c r="U813" s="1"/>
      <c r="V813" s="1"/>
      <c r="W813" s="1"/>
      <c r="X813" s="1"/>
    </row>
    <row r="814" spans="15:24">
      <c r="O814" s="23"/>
      <c r="P814" s="1"/>
      <c r="Q814" s="1"/>
      <c r="R814" s="1"/>
      <c r="S814" s="1"/>
      <c r="T814" s="1"/>
      <c r="U814" s="1"/>
      <c r="V814" s="1"/>
      <c r="W814" s="1"/>
      <c r="X814" s="1"/>
    </row>
    <row r="815" spans="15:24">
      <c r="O815" s="23"/>
      <c r="P815" s="1"/>
      <c r="Q815" s="1"/>
      <c r="R815" s="1"/>
      <c r="S815" s="1"/>
      <c r="T815" s="1"/>
      <c r="U815" s="1"/>
      <c r="V815" s="1"/>
      <c r="W815" s="1"/>
      <c r="X815" s="1"/>
    </row>
    <row r="816" spans="15:24">
      <c r="O816" s="23"/>
      <c r="P816" s="1"/>
      <c r="Q816" s="1"/>
      <c r="R816" s="1"/>
      <c r="S816" s="1"/>
      <c r="T816" s="1"/>
      <c r="U816" s="1"/>
      <c r="V816" s="1"/>
      <c r="W816" s="1"/>
      <c r="X816" s="1"/>
    </row>
    <row r="817" spans="15:24">
      <c r="O817" s="23"/>
      <c r="P817" s="1"/>
      <c r="Q817" s="1"/>
      <c r="R817" s="1"/>
      <c r="S817" s="1"/>
      <c r="T817" s="1"/>
      <c r="U817" s="1"/>
      <c r="V817" s="1"/>
      <c r="W817" s="1"/>
      <c r="X817" s="1"/>
    </row>
    <row r="818" spans="15:24">
      <c r="O818" s="23"/>
      <c r="P818" s="1"/>
      <c r="Q818" s="1"/>
      <c r="R818" s="1"/>
      <c r="S818" s="1"/>
      <c r="T818" s="1"/>
      <c r="U818" s="1"/>
      <c r="V818" s="1"/>
      <c r="W818" s="1"/>
      <c r="X818" s="1"/>
    </row>
    <row r="819" spans="15:24">
      <c r="O819" s="23"/>
      <c r="P819" s="1"/>
      <c r="Q819" s="1"/>
      <c r="R819" s="1"/>
      <c r="S819" s="1"/>
      <c r="T819" s="1"/>
      <c r="U819" s="1"/>
      <c r="V819" s="1"/>
      <c r="W819" s="1"/>
      <c r="X819" s="1"/>
    </row>
    <row r="820" spans="15:24">
      <c r="O820" s="23"/>
      <c r="P820" s="1"/>
      <c r="Q820" s="1"/>
      <c r="R820" s="1"/>
      <c r="S820" s="1"/>
      <c r="T820" s="1"/>
      <c r="U820" s="1"/>
      <c r="V820" s="1"/>
      <c r="W820" s="1"/>
      <c r="X820" s="1"/>
    </row>
    <row r="821" spans="15:24">
      <c r="O821" s="23"/>
      <c r="P821" s="1"/>
      <c r="Q821" s="1"/>
      <c r="R821" s="1"/>
      <c r="S821" s="1"/>
      <c r="T821" s="1"/>
      <c r="U821" s="1"/>
      <c r="V821" s="1"/>
      <c r="W821" s="1"/>
      <c r="X821" s="1"/>
    </row>
    <row r="822" spans="15:24">
      <c r="O822" s="23"/>
      <c r="P822" s="1"/>
      <c r="Q822" s="1"/>
      <c r="R822" s="1"/>
      <c r="S822" s="1"/>
      <c r="T822" s="1"/>
      <c r="U822" s="1"/>
      <c r="V822" s="1"/>
      <c r="W822" s="1"/>
      <c r="X822" s="1"/>
    </row>
    <row r="823" spans="15:24">
      <c r="O823" s="23"/>
      <c r="P823" s="1"/>
      <c r="Q823" s="1"/>
      <c r="R823" s="1"/>
      <c r="S823" s="1"/>
      <c r="T823" s="1"/>
      <c r="U823" s="1"/>
      <c r="V823" s="1"/>
      <c r="W823" s="1"/>
      <c r="X823" s="1"/>
    </row>
    <row r="824" spans="15:24">
      <c r="O824" s="23"/>
      <c r="P824" s="1"/>
      <c r="Q824" s="1"/>
      <c r="R824" s="1"/>
      <c r="S824" s="1"/>
      <c r="T824" s="1"/>
      <c r="U824" s="1"/>
      <c r="V824" s="1"/>
      <c r="W824" s="1"/>
      <c r="X824" s="1"/>
    </row>
    <row r="825" spans="15:24">
      <c r="O825" s="23"/>
      <c r="P825" s="1"/>
      <c r="Q825" s="1"/>
      <c r="R825" s="1"/>
      <c r="S825" s="1"/>
      <c r="T825" s="1"/>
      <c r="U825" s="1"/>
      <c r="V825" s="1"/>
      <c r="W825" s="1"/>
      <c r="X825" s="1"/>
    </row>
    <row r="826" spans="15:24">
      <c r="O826" s="23"/>
      <c r="P826" s="1"/>
      <c r="Q826" s="1"/>
      <c r="R826" s="1"/>
      <c r="S826" s="1"/>
      <c r="T826" s="1"/>
      <c r="U826" s="1"/>
      <c r="V826" s="1"/>
      <c r="W826" s="1"/>
      <c r="X826" s="1"/>
    </row>
    <row r="827" spans="15:24">
      <c r="O827" s="23"/>
      <c r="P827" s="1"/>
      <c r="Q827" s="1"/>
      <c r="R827" s="1"/>
      <c r="S827" s="1"/>
      <c r="T827" s="1"/>
      <c r="U827" s="1"/>
      <c r="V827" s="1"/>
      <c r="W827" s="1"/>
      <c r="X827" s="1"/>
    </row>
    <row r="828" spans="15:24">
      <c r="O828" s="23"/>
      <c r="P828" s="1"/>
      <c r="Q828" s="1"/>
      <c r="R828" s="1"/>
      <c r="S828" s="1"/>
      <c r="T828" s="1"/>
      <c r="U828" s="1"/>
      <c r="V828" s="1"/>
      <c r="W828" s="1"/>
      <c r="X828" s="1"/>
    </row>
    <row r="829" spans="15:24">
      <c r="O829" s="23"/>
      <c r="P829" s="1"/>
      <c r="Q829" s="1"/>
      <c r="R829" s="1"/>
      <c r="S829" s="1"/>
      <c r="T829" s="1"/>
      <c r="U829" s="1"/>
      <c r="V829" s="1"/>
      <c r="W829" s="1"/>
      <c r="X829" s="1"/>
    </row>
    <row r="830" spans="15:24">
      <c r="O830" s="23"/>
      <c r="P830" s="1"/>
      <c r="Q830" s="1"/>
      <c r="R830" s="1"/>
      <c r="S830" s="1"/>
      <c r="T830" s="1"/>
      <c r="U830" s="1"/>
      <c r="V830" s="1"/>
      <c r="W830" s="1"/>
      <c r="X830" s="1"/>
    </row>
    <row r="831" spans="15:24">
      <c r="O831" s="23"/>
      <c r="P831" s="1"/>
      <c r="Q831" s="1"/>
      <c r="R831" s="1"/>
      <c r="S831" s="1"/>
      <c r="T831" s="1"/>
      <c r="U831" s="1"/>
      <c r="V831" s="1"/>
      <c r="W831" s="1"/>
      <c r="X831" s="1"/>
    </row>
    <row r="832" spans="15:24">
      <c r="O832" s="23"/>
      <c r="P832" s="1"/>
      <c r="Q832" s="1"/>
      <c r="R832" s="1"/>
      <c r="S832" s="1"/>
      <c r="T832" s="1"/>
      <c r="U832" s="1"/>
      <c r="V832" s="1"/>
      <c r="W832" s="1"/>
      <c r="X832" s="1"/>
    </row>
    <row r="833" spans="15:24">
      <c r="O833" s="23"/>
      <c r="P833" s="1"/>
      <c r="Q833" s="1"/>
      <c r="R833" s="1"/>
      <c r="S833" s="1"/>
      <c r="T833" s="1"/>
      <c r="U833" s="1"/>
      <c r="V833" s="1"/>
      <c r="W833" s="1"/>
      <c r="X833" s="1"/>
    </row>
    <row r="834" spans="15:24">
      <c r="O834" s="23"/>
      <c r="P834" s="1"/>
      <c r="Q834" s="1"/>
      <c r="R834" s="1"/>
      <c r="S834" s="1"/>
      <c r="T834" s="1"/>
      <c r="U834" s="1"/>
      <c r="V834" s="1"/>
      <c r="W834" s="1"/>
      <c r="X834" s="1"/>
    </row>
    <row r="835" spans="15:24">
      <c r="O835" s="23"/>
      <c r="P835" s="1"/>
      <c r="Q835" s="1"/>
      <c r="R835" s="1"/>
      <c r="S835" s="1"/>
      <c r="T835" s="1"/>
      <c r="U835" s="1"/>
      <c r="V835" s="1"/>
      <c r="W835" s="1"/>
      <c r="X835" s="1"/>
    </row>
    <row r="836" spans="15:24">
      <c r="O836" s="1"/>
      <c r="P836" s="1"/>
      <c r="Q836" s="1"/>
      <c r="R836" s="1"/>
      <c r="S836" s="1"/>
      <c r="T836" s="1"/>
      <c r="U836" s="1"/>
      <c r="V836" s="1"/>
      <c r="W836" s="1"/>
      <c r="X836" s="1"/>
    </row>
    <row r="837" spans="15:24">
      <c r="O837" s="1"/>
      <c r="P837" s="1"/>
      <c r="Q837" s="1"/>
      <c r="R837" s="1"/>
      <c r="S837" s="1"/>
      <c r="T837" s="1"/>
      <c r="U837" s="1"/>
      <c r="V837" s="1"/>
      <c r="W837" s="1"/>
      <c r="X837" s="1"/>
    </row>
    <row r="838" spans="15:24">
      <c r="O838" s="1"/>
      <c r="P838" s="1"/>
      <c r="Q838" s="1"/>
      <c r="R838" s="1"/>
      <c r="S838" s="1"/>
      <c r="T838" s="1"/>
      <c r="U838" s="1"/>
      <c r="V838" s="1"/>
      <c r="W838" s="1"/>
      <c r="X838" s="1"/>
    </row>
    <row r="839" spans="15:24">
      <c r="O839" s="1"/>
      <c r="P839" s="1"/>
      <c r="Q839" s="1"/>
      <c r="R839" s="1"/>
      <c r="S839" s="1"/>
      <c r="T839" s="1"/>
      <c r="U839" s="1"/>
      <c r="V839" s="1"/>
      <c r="W839" s="1"/>
      <c r="X839" s="1"/>
    </row>
    <row r="840" spans="15:24">
      <c r="O840" s="1"/>
      <c r="P840" s="1"/>
      <c r="Q840" s="1"/>
      <c r="R840" s="1"/>
      <c r="S840" s="1"/>
      <c r="T840" s="1"/>
      <c r="U840" s="1"/>
      <c r="V840" s="1"/>
      <c r="W840" s="1"/>
      <c r="X840" s="1"/>
    </row>
    <row r="841" spans="15:24">
      <c r="O841" s="1"/>
      <c r="P841" s="1"/>
      <c r="Q841" s="1"/>
      <c r="R841" s="1"/>
      <c r="S841" s="1"/>
      <c r="T841" s="1"/>
      <c r="U841" s="1"/>
      <c r="V841" s="1"/>
      <c r="W841" s="1"/>
      <c r="X841" s="1"/>
    </row>
    <row r="842" spans="15:24">
      <c r="O842" s="1"/>
      <c r="P842" s="1"/>
      <c r="Q842" s="1"/>
      <c r="R842" s="1"/>
      <c r="S842" s="1"/>
      <c r="T842" s="1"/>
      <c r="U842" s="1"/>
      <c r="V842" s="1"/>
      <c r="W842" s="1"/>
      <c r="X842" s="1"/>
    </row>
    <row r="843" spans="15:24">
      <c r="O843" s="1"/>
      <c r="P843" s="1"/>
      <c r="Q843" s="1"/>
      <c r="R843" s="1"/>
      <c r="S843" s="1"/>
      <c r="T843" s="1"/>
      <c r="U843" s="1"/>
      <c r="V843" s="1"/>
      <c r="W843" s="1"/>
      <c r="X843" s="1"/>
    </row>
    <row r="844" spans="15:24">
      <c r="O844" s="1"/>
      <c r="P844" s="1"/>
      <c r="Q844" s="1"/>
      <c r="R844" s="1"/>
      <c r="S844" s="1"/>
      <c r="T844" s="1"/>
      <c r="U844" s="1"/>
      <c r="V844" s="1"/>
      <c r="W844" s="1"/>
      <c r="X844" s="1"/>
    </row>
  </sheetData>
  <mergeCells count="2">
    <mergeCell ref="B2:K3"/>
    <mergeCell ref="B26:K26"/>
  </mergeCells>
  <phoneticPr fontId="0" type="noConversion"/>
  <pageMargins left="0" right="0" top="0.59055118110236227" bottom="0.39370078740157483" header="0.51181102362204722" footer="0.51181102362204722"/>
  <pageSetup paperSize="9" scale="96" fitToHeight="6"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sheetPr codeName="Sheet48">
    <pageSetUpPr autoPageBreaks="0" fitToPage="1"/>
  </sheetPr>
  <dimension ref="A1:AH843"/>
  <sheetViews>
    <sheetView showRowColHeaders="0" workbookViewId="0">
      <selection activeCell="B2" sqref="B2:K3"/>
    </sheetView>
  </sheetViews>
  <sheetFormatPr defaultRowHeight="12.75"/>
  <cols>
    <col min="1" max="1" width="10.7109375" style="1" customWidth="1"/>
    <col min="2" max="11" width="11.7109375" style="1" customWidth="1"/>
    <col min="12" max="14" width="10.7109375" style="1" customWidth="1"/>
    <col min="15" max="15" width="4.7109375" style="20" customWidth="1"/>
    <col min="16" max="24" width="10.7109375" style="18" customWidth="1"/>
    <col min="25" max="25" width="10.7109375" style="1" customWidth="1"/>
    <col min="26" max="28" width="8.7109375" style="1" customWidth="1"/>
    <col min="29" max="33" width="13.7109375" style="1" customWidth="1"/>
    <col min="34" max="35" width="10.7109375" style="1" customWidth="1"/>
    <col min="36" max="52" width="10.28515625" style="1" customWidth="1"/>
    <col min="53" max="108" width="10.7109375" style="1" customWidth="1"/>
    <col min="109" max="16384" width="9.140625" style="1"/>
  </cols>
  <sheetData>
    <row r="1" spans="1:28" ht="6" customHeight="1" thickBot="1">
      <c r="A1" s="121"/>
      <c r="B1" s="121"/>
      <c r="C1" s="121"/>
      <c r="D1" s="121"/>
      <c r="E1" s="121"/>
      <c r="F1" s="121"/>
      <c r="G1" s="121"/>
      <c r="H1" s="121"/>
      <c r="I1" s="121"/>
      <c r="J1" s="121"/>
      <c r="K1" s="121"/>
      <c r="L1" s="121"/>
      <c r="M1" s="121"/>
      <c r="N1" s="121"/>
      <c r="O1"/>
      <c r="P1"/>
      <c r="Q1"/>
      <c r="R1"/>
      <c r="S1"/>
      <c r="T1"/>
      <c r="U1"/>
      <c r="V1"/>
      <c r="W1"/>
      <c r="X1"/>
      <c r="Y1"/>
      <c r="Z1"/>
      <c r="AA1" s="362"/>
      <c r="AB1" s="362"/>
    </row>
    <row r="2" spans="1:28" ht="12.75" customHeight="1" thickTop="1">
      <c r="A2" s="121"/>
      <c r="B2" s="885" t="s">
        <v>516</v>
      </c>
      <c r="C2" s="886"/>
      <c r="D2" s="886"/>
      <c r="E2" s="886"/>
      <c r="F2" s="886"/>
      <c r="G2" s="886"/>
      <c r="H2" s="886"/>
      <c r="I2" s="886"/>
      <c r="J2" s="886"/>
      <c r="K2" s="887"/>
      <c r="L2" s="304"/>
      <c r="M2" s="121"/>
      <c r="N2" s="121"/>
      <c r="O2"/>
      <c r="P2"/>
      <c r="Q2"/>
      <c r="R2"/>
      <c r="S2"/>
      <c r="T2"/>
      <c r="U2"/>
      <c r="V2"/>
      <c r="W2"/>
      <c r="X2"/>
      <c r="Y2"/>
      <c r="Z2"/>
      <c r="AA2" s="362"/>
      <c r="AB2" s="362"/>
    </row>
    <row r="3" spans="1:28" ht="12.75" customHeight="1" thickBot="1">
      <c r="A3" s="121"/>
      <c r="B3" s="888"/>
      <c r="C3" s="889"/>
      <c r="D3" s="889"/>
      <c r="E3" s="889"/>
      <c r="F3" s="889"/>
      <c r="G3" s="889"/>
      <c r="H3" s="889"/>
      <c r="I3" s="889"/>
      <c r="J3" s="889"/>
      <c r="K3" s="890"/>
      <c r="L3" s="304"/>
      <c r="M3" s="121"/>
      <c r="N3" s="121"/>
      <c r="O3"/>
      <c r="P3"/>
      <c r="Q3"/>
      <c r="R3"/>
      <c r="S3"/>
      <c r="T3"/>
      <c r="U3"/>
      <c r="V3"/>
      <c r="W3"/>
      <c r="X3"/>
      <c r="Y3"/>
      <c r="Z3"/>
      <c r="AA3" s="362"/>
      <c r="AB3" s="362"/>
    </row>
    <row r="4" spans="1:28" ht="12.75" customHeight="1" thickTop="1">
      <c r="A4" s="121"/>
      <c r="B4" s="121"/>
      <c r="C4" s="121"/>
      <c r="D4" s="121"/>
      <c r="E4" s="121"/>
      <c r="F4" s="121"/>
      <c r="G4" s="121"/>
      <c r="H4" s="121"/>
      <c r="I4" s="121"/>
      <c r="J4" s="121"/>
      <c r="K4" s="121"/>
      <c r="L4" s="121"/>
      <c r="M4" s="121"/>
      <c r="N4" s="121"/>
      <c r="O4"/>
      <c r="P4"/>
      <c r="Q4"/>
      <c r="R4"/>
      <c r="S4"/>
      <c r="T4"/>
      <c r="U4"/>
      <c r="V4"/>
      <c r="W4"/>
      <c r="X4"/>
      <c r="Y4"/>
      <c r="Z4"/>
      <c r="AA4" s="362"/>
      <c r="AB4" s="362"/>
    </row>
    <row r="5" spans="1:28" ht="12.75" customHeight="1">
      <c r="A5" s="121"/>
      <c r="B5" s="121"/>
      <c r="C5" s="121"/>
      <c r="D5" s="121"/>
      <c r="E5" s="121"/>
      <c r="F5" s="121"/>
      <c r="G5" s="121"/>
      <c r="H5" s="121"/>
      <c r="I5" s="121"/>
      <c r="J5" s="121"/>
      <c r="K5" s="121"/>
      <c r="L5" s="121"/>
      <c r="M5" s="121"/>
      <c r="N5" s="121"/>
      <c r="O5"/>
      <c r="P5"/>
      <c r="Q5"/>
      <c r="R5"/>
      <c r="S5"/>
      <c r="T5"/>
      <c r="U5"/>
      <c r="V5"/>
      <c r="W5"/>
      <c r="X5"/>
      <c r="Y5"/>
      <c r="Z5"/>
      <c r="AA5" s="362"/>
      <c r="AB5" s="362"/>
    </row>
    <row r="6" spans="1:28" ht="12.75" customHeight="1">
      <c r="A6" s="121"/>
      <c r="B6" s="121"/>
      <c r="C6" s="121"/>
      <c r="D6" s="121"/>
      <c r="E6" s="121"/>
      <c r="F6" s="121"/>
      <c r="G6" s="121"/>
      <c r="H6" s="121"/>
      <c r="I6" s="121"/>
      <c r="J6" s="121"/>
      <c r="K6" s="121"/>
      <c r="L6" s="121"/>
      <c r="M6" s="121"/>
      <c r="N6" s="121"/>
      <c r="O6"/>
      <c r="P6"/>
      <c r="Q6"/>
      <c r="R6"/>
      <c r="S6"/>
      <c r="T6"/>
      <c r="U6"/>
      <c r="V6"/>
      <c r="W6"/>
      <c r="X6"/>
      <c r="Y6"/>
      <c r="Z6"/>
      <c r="AA6" s="362"/>
      <c r="AB6" s="362"/>
    </row>
    <row r="7" spans="1:28" ht="12.75" customHeight="1">
      <c r="A7" s="121"/>
      <c r="B7" s="121"/>
      <c r="C7" s="121"/>
      <c r="D7" s="121"/>
      <c r="E7" s="121"/>
      <c r="F7" s="121"/>
      <c r="G7" s="121"/>
      <c r="H7" s="121"/>
      <c r="I7" s="121"/>
      <c r="J7" s="121"/>
      <c r="K7" s="121"/>
      <c r="L7" s="121"/>
      <c r="M7" s="121"/>
      <c r="N7" s="121"/>
      <c r="O7"/>
      <c r="P7"/>
      <c r="Q7"/>
      <c r="R7"/>
      <c r="S7"/>
      <c r="T7"/>
      <c r="U7"/>
      <c r="V7"/>
      <c r="W7"/>
      <c r="X7"/>
      <c r="Y7"/>
      <c r="Z7"/>
      <c r="AA7" s="362"/>
      <c r="AB7" s="362"/>
    </row>
    <row r="8" spans="1:28" ht="12.75" customHeight="1">
      <c r="A8" s="121"/>
      <c r="B8" s="121"/>
      <c r="C8" s="121"/>
      <c r="D8" s="121"/>
      <c r="E8" s="121"/>
      <c r="F8" s="121"/>
      <c r="G8" s="121"/>
      <c r="H8" s="121"/>
      <c r="I8" s="121"/>
      <c r="J8" s="121"/>
      <c r="K8" s="121"/>
      <c r="L8" s="121"/>
      <c r="M8" s="121"/>
      <c r="N8" s="121"/>
      <c r="O8"/>
      <c r="P8"/>
      <c r="Q8"/>
      <c r="R8"/>
      <c r="S8"/>
      <c r="T8"/>
      <c r="U8"/>
      <c r="V8"/>
      <c r="W8"/>
      <c r="X8"/>
      <c r="Y8"/>
      <c r="Z8"/>
      <c r="AA8" s="362"/>
      <c r="AB8" s="362"/>
    </row>
    <row r="9" spans="1:28" ht="12.75" customHeight="1">
      <c r="A9" s="121"/>
      <c r="B9" s="121"/>
      <c r="C9" s="121"/>
      <c r="D9" s="121"/>
      <c r="E9" s="121"/>
      <c r="F9" s="121"/>
      <c r="G9" s="121"/>
      <c r="H9" s="121"/>
      <c r="I9" s="121"/>
      <c r="J9" s="121"/>
      <c r="K9" s="121"/>
      <c r="L9" s="121"/>
      <c r="M9" s="121"/>
      <c r="N9" s="121"/>
      <c r="O9"/>
      <c r="P9"/>
      <c r="Q9"/>
      <c r="R9"/>
      <c r="S9"/>
      <c r="T9"/>
      <c r="U9"/>
      <c r="V9"/>
      <c r="W9"/>
      <c r="X9"/>
      <c r="Y9"/>
      <c r="Z9"/>
      <c r="AA9" s="362"/>
      <c r="AB9" s="362"/>
    </row>
    <row r="10" spans="1:28" ht="12.75" customHeight="1">
      <c r="A10" s="121"/>
      <c r="B10" s="121"/>
      <c r="C10" s="121"/>
      <c r="D10" s="121"/>
      <c r="E10" s="121"/>
      <c r="F10" s="121"/>
      <c r="G10" s="121"/>
      <c r="H10" s="121"/>
      <c r="I10" s="121"/>
      <c r="J10" s="121"/>
      <c r="K10" s="121"/>
      <c r="L10" s="121"/>
      <c r="M10" s="121"/>
      <c r="N10" s="121"/>
      <c r="O10"/>
      <c r="P10"/>
      <c r="Q10"/>
      <c r="R10"/>
      <c r="S10"/>
      <c r="T10"/>
      <c r="U10"/>
      <c r="V10"/>
      <c r="W10"/>
      <c r="X10"/>
      <c r="Y10"/>
      <c r="Z10"/>
      <c r="AA10" s="362"/>
      <c r="AB10" s="362"/>
    </row>
    <row r="11" spans="1:28" ht="12.75" customHeight="1">
      <c r="A11" s="121"/>
      <c r="B11" s="121"/>
      <c r="C11" s="121"/>
      <c r="D11" s="121"/>
      <c r="E11" s="121"/>
      <c r="F11" s="121"/>
      <c r="G11" s="121"/>
      <c r="H11" s="121"/>
      <c r="I11" s="121"/>
      <c r="J11" s="121"/>
      <c r="K11" s="121"/>
      <c r="L11" s="121"/>
      <c r="M11" s="121"/>
      <c r="N11" s="121"/>
      <c r="O11"/>
      <c r="P11"/>
      <c r="Q11"/>
      <c r="R11"/>
      <c r="S11"/>
      <c r="T11"/>
      <c r="U11"/>
      <c r="V11"/>
      <c r="W11"/>
      <c r="X11"/>
      <c r="Y11"/>
      <c r="Z11"/>
      <c r="AA11" s="362"/>
      <c r="AB11" s="362"/>
    </row>
    <row r="12" spans="1:28" ht="12.75" customHeight="1">
      <c r="A12" s="121"/>
      <c r="B12" s="121"/>
      <c r="C12" s="121"/>
      <c r="D12" s="121"/>
      <c r="E12" s="121"/>
      <c r="F12" s="121"/>
      <c r="G12" s="121"/>
      <c r="H12" s="121"/>
      <c r="I12" s="121"/>
      <c r="J12" s="121"/>
      <c r="K12" s="121"/>
      <c r="L12" s="121"/>
      <c r="M12" s="121"/>
      <c r="N12" s="121"/>
      <c r="O12"/>
      <c r="P12"/>
      <c r="Q12"/>
      <c r="R12"/>
      <c r="S12"/>
      <c r="T12"/>
      <c r="U12"/>
      <c r="V12"/>
      <c r="W12"/>
      <c r="X12"/>
      <c r="Y12"/>
      <c r="Z12"/>
      <c r="AA12" s="362"/>
      <c r="AB12" s="362"/>
    </row>
    <row r="13" spans="1:28" ht="12.75" customHeight="1">
      <c r="A13" s="121"/>
      <c r="B13" s="121"/>
      <c r="C13" s="121"/>
      <c r="D13" s="121"/>
      <c r="E13" s="121"/>
      <c r="F13" s="121"/>
      <c r="G13" s="121"/>
      <c r="H13" s="121"/>
      <c r="I13" s="121"/>
      <c r="J13" s="121"/>
      <c r="K13" s="121"/>
      <c r="L13" s="121"/>
      <c r="M13" s="121"/>
      <c r="N13" s="121"/>
      <c r="O13"/>
      <c r="P13"/>
      <c r="Q13"/>
      <c r="R13"/>
      <c r="S13"/>
      <c r="T13"/>
      <c r="U13"/>
      <c r="V13"/>
      <c r="W13"/>
      <c r="X13"/>
      <c r="Y13"/>
      <c r="Z13"/>
      <c r="AA13" s="362"/>
      <c r="AB13" s="362"/>
    </row>
    <row r="14" spans="1:28" ht="12.75" customHeight="1">
      <c r="A14" s="121"/>
      <c r="B14" s="121"/>
      <c r="C14" s="121"/>
      <c r="D14" s="121"/>
      <c r="E14" s="121"/>
      <c r="F14" s="121"/>
      <c r="G14" s="121"/>
      <c r="H14" s="121"/>
      <c r="I14" s="121"/>
      <c r="J14" s="121"/>
      <c r="K14" s="121"/>
      <c r="L14" s="121"/>
      <c r="M14" s="121"/>
      <c r="N14" s="121"/>
      <c r="O14"/>
      <c r="P14"/>
      <c r="Q14"/>
      <c r="R14"/>
      <c r="S14"/>
      <c r="T14"/>
      <c r="U14"/>
      <c r="V14"/>
      <c r="W14"/>
      <c r="X14"/>
      <c r="Y14"/>
      <c r="Z14"/>
      <c r="AA14" s="362"/>
      <c r="AB14" s="362"/>
    </row>
    <row r="15" spans="1:28" ht="12.75" customHeight="1">
      <c r="A15" s="121"/>
      <c r="B15" s="121"/>
      <c r="C15" s="121"/>
      <c r="D15" s="121"/>
      <c r="E15" s="121"/>
      <c r="F15" s="121"/>
      <c r="G15" s="121"/>
      <c r="H15" s="121"/>
      <c r="I15" s="121"/>
      <c r="J15" s="121"/>
      <c r="K15" s="121"/>
      <c r="L15" s="121"/>
      <c r="M15" s="121"/>
      <c r="N15" s="121"/>
      <c r="O15"/>
      <c r="P15"/>
      <c r="Q15"/>
      <c r="R15"/>
      <c r="S15"/>
      <c r="T15"/>
      <c r="U15"/>
      <c r="V15"/>
      <c r="W15"/>
      <c r="X15"/>
      <c r="Y15"/>
      <c r="Z15"/>
      <c r="AA15" s="362"/>
      <c r="AB15" s="362"/>
    </row>
    <row r="16" spans="1:28" ht="12.75" customHeight="1">
      <c r="A16" s="121"/>
      <c r="B16" s="121"/>
      <c r="C16" s="121"/>
      <c r="D16" s="121"/>
      <c r="E16" s="121"/>
      <c r="F16" s="121"/>
      <c r="G16" s="121"/>
      <c r="H16" s="121"/>
      <c r="I16" s="121"/>
      <c r="J16" s="121"/>
      <c r="K16" s="121"/>
      <c r="L16" s="121"/>
      <c r="M16" s="121"/>
      <c r="N16" s="121"/>
      <c r="O16"/>
      <c r="P16"/>
      <c r="Q16"/>
      <c r="R16"/>
      <c r="S16"/>
      <c r="T16"/>
      <c r="U16"/>
      <c r="V16"/>
      <c r="W16"/>
      <c r="X16"/>
      <c r="Y16"/>
      <c r="Z16"/>
      <c r="AA16" s="362"/>
      <c r="AB16" s="362"/>
    </row>
    <row r="17" spans="1:28" ht="12.75" customHeight="1">
      <c r="A17" s="121"/>
      <c r="B17" s="121"/>
      <c r="C17" s="121"/>
      <c r="D17" s="121"/>
      <c r="E17" s="121"/>
      <c r="F17" s="121"/>
      <c r="G17" s="121"/>
      <c r="H17" s="121"/>
      <c r="I17" s="121"/>
      <c r="J17" s="121"/>
      <c r="K17" s="121"/>
      <c r="L17" s="121"/>
      <c r="M17" s="121"/>
      <c r="N17" s="121"/>
      <c r="O17"/>
      <c r="P17"/>
      <c r="Q17"/>
      <c r="R17"/>
      <c r="S17"/>
      <c r="T17"/>
      <c r="U17"/>
      <c r="V17"/>
      <c r="W17"/>
      <c r="X17"/>
      <c r="Y17"/>
      <c r="Z17"/>
      <c r="AA17" s="362"/>
      <c r="AB17" s="362"/>
    </row>
    <row r="18" spans="1:28" ht="12.75" customHeight="1">
      <c r="A18" s="121"/>
      <c r="B18" s="121"/>
      <c r="C18" s="121"/>
      <c r="D18" s="121"/>
      <c r="E18" s="121"/>
      <c r="F18" s="121"/>
      <c r="G18" s="121"/>
      <c r="H18" s="121"/>
      <c r="I18" s="121"/>
      <c r="J18" s="121"/>
      <c r="K18" s="121"/>
      <c r="L18" s="121"/>
      <c r="M18" s="121"/>
      <c r="N18" s="121"/>
      <c r="O18"/>
      <c r="P18"/>
      <c r="Q18"/>
      <c r="R18"/>
      <c r="S18"/>
      <c r="T18"/>
      <c r="U18"/>
      <c r="V18"/>
      <c r="W18"/>
      <c r="X18"/>
      <c r="Y18"/>
      <c r="Z18"/>
      <c r="AA18" s="362"/>
      <c r="AB18" s="362"/>
    </row>
    <row r="19" spans="1:28" ht="12.75" customHeight="1">
      <c r="A19" s="121"/>
      <c r="B19" s="121"/>
      <c r="C19" s="121"/>
      <c r="D19" s="121"/>
      <c r="E19" s="121"/>
      <c r="F19" s="121"/>
      <c r="G19" s="121"/>
      <c r="H19" s="121"/>
      <c r="I19" s="121"/>
      <c r="J19" s="121"/>
      <c r="K19" s="121"/>
      <c r="L19" s="121"/>
      <c r="M19" s="121"/>
      <c r="N19" s="121"/>
      <c r="O19"/>
      <c r="P19"/>
      <c r="Q19"/>
      <c r="R19"/>
      <c r="S19"/>
      <c r="T19"/>
      <c r="U19"/>
      <c r="V19"/>
      <c r="W19"/>
      <c r="X19"/>
      <c r="Y19"/>
      <c r="Z19"/>
      <c r="AA19" s="362"/>
      <c r="AB19" s="362"/>
    </row>
    <row r="20" spans="1:28" ht="12.75" customHeight="1">
      <c r="A20" s="121"/>
      <c r="B20" s="121"/>
      <c r="C20" s="121"/>
      <c r="D20" s="121"/>
      <c r="E20" s="121"/>
      <c r="F20" s="121"/>
      <c r="G20" s="121"/>
      <c r="H20" s="121"/>
      <c r="I20" s="121"/>
      <c r="J20" s="121"/>
      <c r="K20" s="121"/>
      <c r="L20" s="121"/>
      <c r="M20" s="121"/>
      <c r="N20" s="121"/>
      <c r="O20"/>
      <c r="P20"/>
      <c r="Q20"/>
      <c r="R20"/>
      <c r="S20"/>
      <c r="T20"/>
      <c r="U20"/>
      <c r="V20"/>
      <c r="W20"/>
      <c r="X20"/>
      <c r="Y20"/>
      <c r="Z20"/>
      <c r="AA20" s="362"/>
      <c r="AB20" s="362"/>
    </row>
    <row r="21" spans="1:28" ht="12.75" customHeight="1">
      <c r="A21" s="121"/>
      <c r="B21" s="121"/>
      <c r="C21" s="121"/>
      <c r="D21" s="121"/>
      <c r="E21" s="121"/>
      <c r="F21" s="121"/>
      <c r="G21" s="121"/>
      <c r="H21" s="121"/>
      <c r="I21" s="121"/>
      <c r="J21" s="121"/>
      <c r="K21" s="121"/>
      <c r="L21" s="121"/>
      <c r="M21" s="121"/>
      <c r="N21" s="121"/>
      <c r="O21"/>
      <c r="P21"/>
      <c r="Q21"/>
      <c r="R21"/>
      <c r="S21"/>
      <c r="T21"/>
      <c r="U21"/>
      <c r="V21"/>
      <c r="W21"/>
      <c r="X21"/>
      <c r="Y21"/>
      <c r="Z21"/>
      <c r="AA21" s="362"/>
      <c r="AB21" s="362"/>
    </row>
    <row r="22" spans="1:28" ht="12.75" customHeight="1">
      <c r="A22" s="121"/>
      <c r="B22" s="121"/>
      <c r="C22" s="121"/>
      <c r="D22" s="121"/>
      <c r="E22" s="121"/>
      <c r="F22" s="121"/>
      <c r="G22" s="121"/>
      <c r="H22" s="121"/>
      <c r="I22" s="121"/>
      <c r="J22" s="121"/>
      <c r="K22" s="121"/>
      <c r="L22" s="121"/>
      <c r="M22" s="121"/>
      <c r="N22" s="121"/>
      <c r="O22"/>
      <c r="P22"/>
      <c r="Q22"/>
      <c r="R22"/>
      <c r="S22"/>
      <c r="T22"/>
      <c r="U22"/>
      <c r="V22"/>
      <c r="W22"/>
      <c r="X22"/>
      <c r="Y22"/>
      <c r="Z22"/>
      <c r="AA22" s="362"/>
      <c r="AB22" s="362"/>
    </row>
    <row r="23" spans="1:28" ht="12.75" customHeight="1">
      <c r="A23" s="121"/>
      <c r="B23" s="121"/>
      <c r="C23" s="121"/>
      <c r="D23" s="121"/>
      <c r="E23" s="121"/>
      <c r="F23" s="121"/>
      <c r="G23" s="121"/>
      <c r="H23" s="121"/>
      <c r="I23" s="121"/>
      <c r="J23" s="121"/>
      <c r="K23" s="121"/>
      <c r="L23" s="121"/>
      <c r="M23" s="121"/>
      <c r="N23" s="121"/>
      <c r="O23"/>
      <c r="P23"/>
      <c r="Q23"/>
      <c r="R23"/>
      <c r="S23"/>
      <c r="T23"/>
      <c r="U23"/>
      <c r="V23"/>
      <c r="W23"/>
      <c r="X23"/>
      <c r="Y23"/>
      <c r="Z23"/>
      <c r="AA23" s="362"/>
      <c r="AB23" s="362"/>
    </row>
    <row r="24" spans="1:28" ht="12.75" customHeight="1">
      <c r="A24" s="121"/>
      <c r="B24" s="121"/>
      <c r="C24" s="121"/>
      <c r="D24" s="121"/>
      <c r="E24" s="121"/>
      <c r="F24" s="121"/>
      <c r="G24" s="121"/>
      <c r="H24" s="121"/>
      <c r="I24" s="121"/>
      <c r="J24" s="121"/>
      <c r="K24" s="121"/>
      <c r="L24" s="121"/>
      <c r="M24" s="121"/>
      <c r="N24" s="121"/>
      <c r="O24"/>
      <c r="P24"/>
      <c r="Q24"/>
      <c r="R24"/>
      <c r="S24"/>
      <c r="T24"/>
      <c r="U24"/>
      <c r="V24"/>
      <c r="W24"/>
      <c r="X24"/>
      <c r="Y24"/>
      <c r="Z24"/>
      <c r="AA24" s="362"/>
      <c r="AB24" s="362"/>
    </row>
    <row r="25" spans="1:28" ht="12.75" customHeight="1">
      <c r="A25" s="121"/>
      <c r="B25" s="121"/>
      <c r="C25" s="121"/>
      <c r="D25" s="121"/>
      <c r="E25" s="121"/>
      <c r="F25" s="121"/>
      <c r="G25" s="121"/>
      <c r="H25" s="121"/>
      <c r="I25" s="121"/>
      <c r="J25" s="121"/>
      <c r="K25" s="121"/>
      <c r="L25" s="121"/>
      <c r="M25" s="121"/>
      <c r="N25" s="121"/>
      <c r="O25"/>
      <c r="P25"/>
      <c r="Q25"/>
      <c r="R25"/>
      <c r="S25"/>
      <c r="T25"/>
      <c r="U25"/>
      <c r="V25"/>
      <c r="W25"/>
      <c r="X25"/>
      <c r="Y25"/>
      <c r="Z25"/>
      <c r="AA25" s="362"/>
      <c r="AB25" s="362"/>
    </row>
    <row r="26" spans="1:28" ht="12.75" customHeight="1">
      <c r="A26" s="121"/>
      <c r="B26" s="114"/>
      <c r="C26" s="114"/>
      <c r="D26" s="114"/>
      <c r="E26" s="114"/>
      <c r="F26" s="114"/>
      <c r="G26" s="114"/>
      <c r="H26" s="114"/>
      <c r="I26" s="114"/>
      <c r="J26" s="114"/>
      <c r="K26" s="114"/>
      <c r="L26" s="114"/>
      <c r="M26" s="121"/>
      <c r="N26" s="121"/>
      <c r="O26"/>
      <c r="P26"/>
      <c r="Q26"/>
      <c r="R26"/>
      <c r="S26"/>
      <c r="T26"/>
      <c r="U26"/>
      <c r="V26"/>
      <c r="W26"/>
      <c r="X26"/>
      <c r="Y26"/>
      <c r="Z26"/>
      <c r="AA26" s="362"/>
      <c r="AB26" s="362"/>
    </row>
    <row r="27" spans="1:28" ht="12.75" customHeight="1">
      <c r="A27" s="121"/>
      <c r="B27" s="114"/>
      <c r="C27" s="114"/>
      <c r="D27" s="114"/>
      <c r="E27" s="114"/>
      <c r="F27" s="114"/>
      <c r="G27" s="114"/>
      <c r="H27" s="114"/>
      <c r="I27" s="114"/>
      <c r="J27" s="114"/>
      <c r="K27" s="114"/>
      <c r="L27" s="114"/>
      <c r="M27" s="121"/>
      <c r="N27" s="121"/>
      <c r="O27"/>
      <c r="P27"/>
      <c r="Q27"/>
      <c r="R27"/>
      <c r="S27"/>
      <c r="T27"/>
      <c r="U27"/>
      <c r="V27"/>
      <c r="W27"/>
      <c r="X27"/>
      <c r="Y27"/>
      <c r="Z27"/>
      <c r="AA27" s="362"/>
      <c r="AB27" s="362"/>
    </row>
    <row r="28" spans="1:28" ht="12.75" customHeight="1">
      <c r="A28" s="121"/>
      <c r="B28" s="121"/>
      <c r="C28" s="121"/>
      <c r="D28" s="121"/>
      <c r="E28" s="121"/>
      <c r="F28" s="121"/>
      <c r="G28" s="121"/>
      <c r="H28" s="121"/>
      <c r="I28" s="121"/>
      <c r="J28" s="121"/>
      <c r="K28" s="121"/>
      <c r="L28" s="121"/>
      <c r="M28" s="121"/>
      <c r="N28" s="121"/>
      <c r="O28"/>
      <c r="P28"/>
      <c r="Q28"/>
      <c r="R28"/>
      <c r="S28"/>
      <c r="T28"/>
      <c r="U28"/>
      <c r="V28"/>
      <c r="W28"/>
      <c r="X28"/>
      <c r="Y28"/>
      <c r="Z28"/>
      <c r="AA28" s="362"/>
      <c r="AB28" s="362"/>
    </row>
    <row r="29" spans="1:28" ht="12.75" customHeight="1">
      <c r="A29" s="121"/>
      <c r="B29" s="121"/>
      <c r="C29" s="121"/>
      <c r="D29" s="121"/>
      <c r="E29" s="121"/>
      <c r="F29" s="121"/>
      <c r="G29" s="121"/>
      <c r="H29" s="121"/>
      <c r="I29" s="121"/>
      <c r="J29" s="121"/>
      <c r="K29" s="121"/>
      <c r="L29" s="121"/>
      <c r="M29" s="121"/>
      <c r="N29" s="121"/>
      <c r="O29"/>
      <c r="P29"/>
      <c r="Q29"/>
      <c r="R29"/>
      <c r="S29"/>
      <c r="T29"/>
      <c r="U29"/>
      <c r="V29"/>
      <c r="W29"/>
      <c r="X29"/>
      <c r="Y29"/>
      <c r="Z29"/>
      <c r="AA29" s="362"/>
      <c r="AB29" s="362"/>
    </row>
    <row r="30" spans="1:28" ht="12.75" customHeight="1">
      <c r="A30" s="121"/>
      <c r="B30" s="121"/>
      <c r="C30" s="121"/>
      <c r="D30" s="121"/>
      <c r="E30" s="121"/>
      <c r="F30" s="121"/>
      <c r="G30" s="121"/>
      <c r="H30" s="121"/>
      <c r="I30" s="121"/>
      <c r="J30" s="121"/>
      <c r="K30" s="121"/>
      <c r="L30" s="121"/>
      <c r="M30" s="121"/>
      <c r="N30" s="121"/>
      <c r="O30"/>
      <c r="P30"/>
      <c r="Q30"/>
      <c r="R30"/>
      <c r="S30"/>
      <c r="T30"/>
      <c r="U30"/>
      <c r="V30"/>
      <c r="W30"/>
      <c r="X30"/>
      <c r="Y30"/>
      <c r="Z30"/>
      <c r="AA30" s="362"/>
      <c r="AB30" s="362"/>
    </row>
    <row r="31" spans="1:28" ht="12.75" customHeight="1">
      <c r="A31" s="121"/>
      <c r="B31" s="121"/>
      <c r="C31" s="121"/>
      <c r="D31" s="121"/>
      <c r="E31" s="121"/>
      <c r="F31" s="121"/>
      <c r="G31" s="121"/>
      <c r="H31" s="121"/>
      <c r="I31" s="121"/>
      <c r="J31" s="121"/>
      <c r="K31" s="121"/>
      <c r="L31" s="121"/>
      <c r="M31" s="121"/>
      <c r="N31" s="121"/>
      <c r="O31"/>
      <c r="P31"/>
      <c r="Q31"/>
      <c r="R31"/>
      <c r="S31"/>
      <c r="T31"/>
      <c r="U31"/>
      <c r="V31"/>
      <c r="W31"/>
      <c r="X31"/>
      <c r="Y31"/>
      <c r="Z31"/>
      <c r="AA31" s="362"/>
      <c r="AB31" s="362"/>
    </row>
    <row r="32" spans="1:28" ht="12.75" customHeight="1">
      <c r="A32" s="121"/>
      <c r="B32" s="121"/>
      <c r="C32" s="121"/>
      <c r="D32" s="121"/>
      <c r="E32" s="121"/>
      <c r="F32" s="121"/>
      <c r="G32" s="121"/>
      <c r="H32" s="121"/>
      <c r="I32" s="121"/>
      <c r="J32" s="121"/>
      <c r="K32" s="121"/>
      <c r="L32" s="121"/>
      <c r="M32" s="121"/>
      <c r="N32" s="121"/>
      <c r="O32"/>
      <c r="P32"/>
      <c r="Q32"/>
      <c r="R32"/>
      <c r="S32"/>
      <c r="T32"/>
      <c r="U32"/>
      <c r="V32"/>
      <c r="W32"/>
      <c r="X32"/>
      <c r="Y32"/>
      <c r="Z32"/>
      <c r="AA32" s="365"/>
      <c r="AB32" s="365"/>
    </row>
    <row r="33" spans="1:28" ht="12.75" customHeight="1">
      <c r="A33" s="121"/>
      <c r="B33" s="121"/>
      <c r="C33" s="121"/>
      <c r="D33" s="121"/>
      <c r="E33" s="121"/>
      <c r="F33" s="121"/>
      <c r="G33" s="121"/>
      <c r="H33" s="121"/>
      <c r="I33" s="121"/>
      <c r="J33" s="121"/>
      <c r="K33" s="121"/>
      <c r="L33" s="121"/>
      <c r="M33" s="121"/>
      <c r="N33" s="121"/>
      <c r="O33"/>
      <c r="P33"/>
      <c r="Q33"/>
      <c r="R33"/>
      <c r="S33"/>
      <c r="T33"/>
      <c r="U33"/>
      <c r="V33"/>
      <c r="W33"/>
      <c r="X33"/>
      <c r="Y33"/>
      <c r="Z33"/>
      <c r="AA33" s="368"/>
      <c r="AB33" s="368"/>
    </row>
    <row r="34" spans="1:28" ht="12.75" customHeight="1">
      <c r="A34" s="121"/>
      <c r="B34" s="121"/>
      <c r="C34" s="121"/>
      <c r="D34" s="121"/>
      <c r="E34" s="121"/>
      <c r="F34" s="121"/>
      <c r="G34" s="121"/>
      <c r="H34" s="121"/>
      <c r="I34" s="121"/>
      <c r="J34" s="121"/>
      <c r="K34" s="121"/>
      <c r="L34" s="121"/>
      <c r="M34" s="121"/>
      <c r="N34" s="121"/>
      <c r="O34"/>
      <c r="P34"/>
      <c r="Q34"/>
      <c r="R34"/>
      <c r="S34"/>
      <c r="T34"/>
      <c r="U34"/>
      <c r="V34"/>
      <c r="W34"/>
      <c r="X34"/>
      <c r="Y34"/>
      <c r="Z34"/>
      <c r="AA34" s="368"/>
      <c r="AB34" s="368"/>
    </row>
    <row r="35" spans="1:28" ht="12.75" customHeight="1">
      <c r="A35" s="121"/>
      <c r="B35" s="121"/>
      <c r="C35" s="121"/>
      <c r="D35" s="121"/>
      <c r="E35" s="121"/>
      <c r="F35" s="121"/>
      <c r="G35" s="121"/>
      <c r="H35" s="121"/>
      <c r="I35" s="121"/>
      <c r="J35" s="121"/>
      <c r="K35" s="121"/>
      <c r="L35" s="121"/>
      <c r="M35" s="121"/>
      <c r="N35" s="121"/>
      <c r="O35"/>
      <c r="P35"/>
      <c r="Q35"/>
      <c r="R35"/>
      <c r="S35"/>
      <c r="T35"/>
      <c r="U35"/>
      <c r="V35"/>
      <c r="W35"/>
      <c r="X35"/>
      <c r="Y35"/>
      <c r="Z35"/>
      <c r="AA35" s="368"/>
      <c r="AB35" s="368"/>
    </row>
    <row r="36" spans="1:28" ht="12.75" customHeight="1">
      <c r="A36" s="121"/>
      <c r="B36" s="121"/>
      <c r="C36" s="121"/>
      <c r="D36" s="121"/>
      <c r="E36" s="121"/>
      <c r="F36" s="121"/>
      <c r="G36" s="121"/>
      <c r="H36" s="121"/>
      <c r="I36" s="121"/>
      <c r="J36" s="121"/>
      <c r="K36" s="121"/>
      <c r="L36" s="121"/>
      <c r="M36" s="121"/>
      <c r="N36" s="121"/>
      <c r="O36"/>
      <c r="P36"/>
      <c r="Q36"/>
      <c r="R36"/>
      <c r="S36"/>
      <c r="T36"/>
      <c r="U36"/>
      <c r="V36"/>
      <c r="W36"/>
      <c r="X36"/>
      <c r="Y36"/>
      <c r="Z36"/>
      <c r="AA36" s="368"/>
      <c r="AB36" s="368"/>
    </row>
    <row r="37" spans="1:28" ht="12.75" customHeight="1">
      <c r="A37" s="121"/>
      <c r="B37" s="121"/>
      <c r="C37" s="121"/>
      <c r="D37" s="121"/>
      <c r="E37" s="121"/>
      <c r="F37" s="121"/>
      <c r="G37" s="121"/>
      <c r="H37" s="121"/>
      <c r="I37" s="121"/>
      <c r="J37" s="121"/>
      <c r="K37" s="121"/>
      <c r="L37" s="121"/>
      <c r="M37" s="121"/>
      <c r="N37" s="121"/>
      <c r="O37"/>
      <c r="P37"/>
      <c r="Q37"/>
      <c r="R37"/>
      <c r="S37"/>
      <c r="T37"/>
      <c r="U37"/>
      <c r="V37"/>
      <c r="W37"/>
      <c r="X37"/>
      <c r="Y37"/>
      <c r="Z37"/>
      <c r="AA37" s="368"/>
      <c r="AB37" s="368"/>
    </row>
    <row r="38" spans="1:28" ht="12.75" customHeight="1">
      <c r="A38" s="121"/>
      <c r="B38" s="121"/>
      <c r="C38" s="121"/>
      <c r="D38" s="121"/>
      <c r="E38" s="121"/>
      <c r="F38" s="121"/>
      <c r="G38" s="121"/>
      <c r="H38" s="121"/>
      <c r="I38" s="121"/>
      <c r="J38" s="121"/>
      <c r="K38" s="121"/>
      <c r="L38" s="121"/>
      <c r="M38" s="121"/>
      <c r="N38" s="121"/>
      <c r="O38"/>
      <c r="P38"/>
      <c r="Q38"/>
      <c r="R38"/>
      <c r="S38"/>
      <c r="T38"/>
      <c r="U38"/>
      <c r="V38"/>
      <c r="W38"/>
      <c r="X38"/>
      <c r="Y38"/>
      <c r="Z38"/>
      <c r="AA38" s="368"/>
      <c r="AB38" s="368"/>
    </row>
    <row r="39" spans="1:28" ht="12.75" customHeight="1">
      <c r="A39" s="121"/>
      <c r="B39" s="121"/>
      <c r="C39" s="121"/>
      <c r="D39" s="121"/>
      <c r="E39" s="121"/>
      <c r="F39" s="121"/>
      <c r="G39" s="121"/>
      <c r="H39" s="121"/>
      <c r="I39" s="121"/>
      <c r="J39" s="121"/>
      <c r="K39" s="121"/>
      <c r="L39" s="121"/>
      <c r="M39" s="121"/>
      <c r="N39" s="121"/>
      <c r="O39"/>
      <c r="P39"/>
      <c r="Q39"/>
      <c r="R39"/>
      <c r="S39"/>
      <c r="T39"/>
      <c r="U39"/>
      <c r="V39"/>
      <c r="W39"/>
      <c r="X39"/>
      <c r="Y39"/>
      <c r="Z39"/>
      <c r="AA39" s="370"/>
      <c r="AB39" s="370"/>
    </row>
    <row r="40" spans="1:28" ht="12.75" customHeight="1">
      <c r="A40" s="121"/>
      <c r="B40" s="121"/>
      <c r="C40" s="121"/>
      <c r="D40" s="121"/>
      <c r="E40" s="121"/>
      <c r="F40" s="121"/>
      <c r="G40" s="121"/>
      <c r="H40" s="121"/>
      <c r="I40" s="121"/>
      <c r="J40" s="121"/>
      <c r="K40" s="121"/>
      <c r="L40" s="121"/>
      <c r="M40" s="121"/>
      <c r="N40" s="121"/>
      <c r="O40"/>
      <c r="P40"/>
      <c r="Q40"/>
      <c r="R40"/>
      <c r="S40"/>
      <c r="T40"/>
      <c r="U40"/>
      <c r="V40"/>
      <c r="W40"/>
      <c r="X40"/>
      <c r="Y40"/>
      <c r="Z40"/>
      <c r="AA40" s="370"/>
      <c r="AB40" s="370"/>
    </row>
    <row r="41" spans="1:28" ht="12.75" customHeight="1">
      <c r="A41" s="121"/>
      <c r="B41" s="121"/>
      <c r="C41" s="121"/>
      <c r="D41" s="121"/>
      <c r="E41" s="121"/>
      <c r="F41" s="121"/>
      <c r="G41" s="121"/>
      <c r="H41" s="121"/>
      <c r="I41" s="121"/>
      <c r="J41" s="121"/>
      <c r="K41" s="121"/>
      <c r="L41" s="121"/>
      <c r="M41" s="121"/>
      <c r="N41" s="121"/>
      <c r="O41"/>
      <c r="P41"/>
      <c r="Q41"/>
      <c r="R41"/>
      <c r="S41"/>
      <c r="T41"/>
      <c r="U41"/>
      <c r="V41"/>
      <c r="W41"/>
      <c r="X41"/>
      <c r="Y41"/>
      <c r="Z41"/>
      <c r="AA41" s="368"/>
      <c r="AB41" s="368"/>
    </row>
    <row r="42" spans="1:28" ht="12.75" customHeight="1">
      <c r="A42" s="121"/>
      <c r="B42" s="121"/>
      <c r="C42" s="121"/>
      <c r="D42" s="121"/>
      <c r="E42" s="121"/>
      <c r="F42" s="121"/>
      <c r="G42" s="121"/>
      <c r="H42" s="121"/>
      <c r="I42" s="121"/>
      <c r="J42" s="121"/>
      <c r="K42" s="121"/>
      <c r="L42" s="121"/>
      <c r="M42" s="121"/>
      <c r="N42" s="121"/>
      <c r="O42"/>
      <c r="P42"/>
      <c r="Q42"/>
      <c r="R42"/>
      <c r="S42"/>
      <c r="T42"/>
      <c r="U42"/>
      <c r="V42"/>
      <c r="W42"/>
      <c r="X42"/>
      <c r="Y42"/>
      <c r="Z42"/>
      <c r="AA42" s="368"/>
      <c r="AB42" s="368"/>
    </row>
    <row r="43" spans="1:28" ht="12.75" customHeight="1">
      <c r="A43" s="121"/>
      <c r="B43" s="121"/>
      <c r="C43" s="121"/>
      <c r="D43" s="121"/>
      <c r="E43" s="121"/>
      <c r="F43" s="121"/>
      <c r="G43" s="121"/>
      <c r="H43" s="121"/>
      <c r="I43" s="121"/>
      <c r="J43" s="121"/>
      <c r="K43" s="121"/>
      <c r="L43" s="121"/>
      <c r="M43" s="121"/>
      <c r="N43" s="121"/>
      <c r="O43"/>
      <c r="P43"/>
      <c r="Q43"/>
      <c r="R43"/>
      <c r="S43"/>
      <c r="T43"/>
      <c r="U43"/>
      <c r="V43"/>
      <c r="W43"/>
      <c r="X43"/>
      <c r="Y43"/>
      <c r="Z43"/>
      <c r="AA43" s="368"/>
      <c r="AB43" s="368"/>
    </row>
    <row r="44" spans="1:28" ht="12.75" customHeight="1">
      <c r="A44" s="121"/>
      <c r="B44" s="121"/>
      <c r="C44" s="121"/>
      <c r="D44" s="121"/>
      <c r="E44" s="121"/>
      <c r="F44" s="121"/>
      <c r="G44" s="121"/>
      <c r="H44" s="121"/>
      <c r="I44" s="121"/>
      <c r="J44" s="121"/>
      <c r="K44" s="121"/>
      <c r="L44" s="121"/>
      <c r="M44" s="121"/>
      <c r="N44" s="121"/>
      <c r="O44"/>
      <c r="P44"/>
      <c r="Q44"/>
      <c r="R44"/>
      <c r="S44"/>
      <c r="T44"/>
      <c r="U44"/>
      <c r="V44"/>
      <c r="W44"/>
      <c r="X44"/>
      <c r="Y44"/>
      <c r="Z44"/>
      <c r="AA44" s="368"/>
      <c r="AB44" s="368"/>
    </row>
    <row r="45" spans="1:28" ht="12.75" customHeight="1">
      <c r="A45" s="121"/>
      <c r="B45" s="121"/>
      <c r="C45" s="121"/>
      <c r="D45" s="121"/>
      <c r="E45" s="121"/>
      <c r="F45" s="121"/>
      <c r="G45" s="121"/>
      <c r="H45" s="121"/>
      <c r="I45" s="121"/>
      <c r="J45" s="121"/>
      <c r="K45" s="121"/>
      <c r="L45" s="121"/>
      <c r="M45" s="121"/>
      <c r="N45" s="121"/>
      <c r="O45"/>
      <c r="P45"/>
      <c r="Q45"/>
      <c r="R45"/>
      <c r="S45"/>
      <c r="T45"/>
      <c r="U45"/>
      <c r="V45"/>
      <c r="W45"/>
      <c r="X45"/>
      <c r="Y45"/>
      <c r="Z45"/>
      <c r="AA45" s="368"/>
      <c r="AB45" s="368"/>
    </row>
    <row r="46" spans="1:28" ht="12.75" customHeight="1">
      <c r="A46" s="121"/>
      <c r="B46" s="121"/>
      <c r="C46" s="121"/>
      <c r="D46" s="121"/>
      <c r="E46" s="121"/>
      <c r="F46" s="121"/>
      <c r="G46" s="121"/>
      <c r="H46" s="121"/>
      <c r="I46" s="121"/>
      <c r="J46" s="121"/>
      <c r="K46" s="121"/>
      <c r="L46" s="121"/>
      <c r="M46" s="121"/>
      <c r="N46" s="121"/>
      <c r="O46"/>
      <c r="P46"/>
      <c r="Q46"/>
      <c r="R46"/>
      <c r="S46"/>
      <c r="T46"/>
      <c r="U46"/>
      <c r="V46"/>
      <c r="W46"/>
      <c r="X46"/>
      <c r="Y46"/>
      <c r="Z46"/>
      <c r="AA46" s="368"/>
      <c r="AB46" s="368"/>
    </row>
    <row r="47" spans="1:28" ht="12.75" customHeight="1">
      <c r="A47" s="121"/>
      <c r="B47" s="121"/>
      <c r="C47" s="121"/>
      <c r="D47" s="121"/>
      <c r="E47" s="121"/>
      <c r="F47" s="121"/>
      <c r="G47" s="121"/>
      <c r="H47" s="121"/>
      <c r="I47" s="121"/>
      <c r="J47" s="121"/>
      <c r="K47" s="121"/>
      <c r="L47" s="121"/>
      <c r="M47" s="121"/>
      <c r="N47" s="121"/>
      <c r="O47"/>
      <c r="P47"/>
      <c r="Q47"/>
      <c r="R47"/>
      <c r="S47"/>
      <c r="T47"/>
      <c r="U47"/>
      <c r="V47"/>
      <c r="W47"/>
      <c r="X47"/>
      <c r="Y47"/>
      <c r="Z47"/>
      <c r="AA47" s="362"/>
      <c r="AB47" s="362"/>
    </row>
    <row r="48" spans="1:28" ht="12.75" customHeight="1">
      <c r="A48" s="121"/>
      <c r="B48" s="121"/>
      <c r="C48" s="121"/>
      <c r="D48" s="121"/>
      <c r="E48" s="121"/>
      <c r="F48" s="121"/>
      <c r="G48" s="121"/>
      <c r="H48" s="121"/>
      <c r="I48" s="121"/>
      <c r="J48" s="121"/>
      <c r="K48" s="121"/>
      <c r="L48" s="121"/>
      <c r="M48" s="121"/>
      <c r="N48" s="121"/>
      <c r="O48"/>
      <c r="P48"/>
      <c r="Q48"/>
      <c r="R48"/>
      <c r="S48"/>
      <c r="T48"/>
      <c r="U48"/>
      <c r="V48"/>
      <c r="W48"/>
      <c r="X48"/>
      <c r="Y48"/>
      <c r="Z48"/>
      <c r="AA48" s="362"/>
      <c r="AB48" s="362"/>
    </row>
    <row r="49" spans="1:28" ht="12.75" customHeight="1">
      <c r="A49" s="121"/>
      <c r="B49" s="121"/>
      <c r="C49" s="121"/>
      <c r="D49" s="121"/>
      <c r="E49" s="121"/>
      <c r="F49" s="121"/>
      <c r="G49" s="121"/>
      <c r="H49" s="121"/>
      <c r="I49" s="121"/>
      <c r="J49" s="121"/>
      <c r="K49" s="121"/>
      <c r="L49" s="121"/>
      <c r="M49" s="121"/>
      <c r="N49" s="121"/>
      <c r="O49"/>
      <c r="P49"/>
      <c r="Q49"/>
      <c r="R49"/>
      <c r="S49"/>
      <c r="T49"/>
      <c r="U49"/>
      <c r="V49"/>
      <c r="W49"/>
      <c r="X49"/>
      <c r="Y49"/>
      <c r="Z49"/>
      <c r="AA49" s="362"/>
      <c r="AB49" s="362"/>
    </row>
    <row r="50" spans="1:28" ht="12.75" customHeight="1">
      <c r="A50" s="121"/>
      <c r="B50" s="121"/>
      <c r="C50" s="121"/>
      <c r="D50" s="121"/>
      <c r="E50" s="121"/>
      <c r="F50" s="121"/>
      <c r="G50" s="121"/>
      <c r="H50" s="121"/>
      <c r="I50" s="121"/>
      <c r="J50" s="121"/>
      <c r="K50" s="121"/>
      <c r="L50" s="121"/>
      <c r="M50" s="121"/>
      <c r="N50" s="121"/>
      <c r="O50"/>
      <c r="P50"/>
      <c r="Q50"/>
      <c r="R50"/>
      <c r="S50"/>
      <c r="T50"/>
      <c r="U50"/>
      <c r="V50"/>
      <c r="W50"/>
      <c r="X50"/>
      <c r="Y50"/>
      <c r="Z50"/>
      <c r="AA50" s="362"/>
      <c r="AB50" s="362"/>
    </row>
    <row r="51" spans="1:28" ht="12.75" customHeight="1">
      <c r="A51" s="121"/>
      <c r="B51" s="121"/>
      <c r="C51" s="121"/>
      <c r="D51" s="121"/>
      <c r="E51" s="121"/>
      <c r="F51" s="121"/>
      <c r="G51" s="121"/>
      <c r="H51" s="121"/>
      <c r="I51" s="121"/>
      <c r="J51" s="121"/>
      <c r="K51" s="121"/>
      <c r="L51" s="121"/>
      <c r="M51" s="121"/>
      <c r="N51" s="121"/>
      <c r="O51"/>
      <c r="P51"/>
      <c r="Q51"/>
      <c r="R51"/>
      <c r="S51"/>
      <c r="T51"/>
      <c r="U51"/>
      <c r="V51"/>
      <c r="W51"/>
      <c r="X51"/>
      <c r="Y51"/>
      <c r="Z51"/>
      <c r="AA51" s="368"/>
      <c r="AB51" s="368"/>
    </row>
    <row r="52" spans="1:28" ht="12.75" customHeight="1">
      <c r="A52" s="121"/>
      <c r="B52" s="121"/>
      <c r="C52" s="121"/>
      <c r="D52" s="121"/>
      <c r="E52" s="121"/>
      <c r="F52" s="121"/>
      <c r="G52" s="121"/>
      <c r="H52" s="121"/>
      <c r="I52" s="121"/>
      <c r="J52" s="121"/>
      <c r="K52" s="121"/>
      <c r="L52" s="121"/>
      <c r="M52" s="121"/>
      <c r="N52" s="121"/>
      <c r="O52"/>
      <c r="P52"/>
      <c r="Q52"/>
      <c r="R52"/>
      <c r="S52"/>
      <c r="T52"/>
      <c r="U52"/>
      <c r="V52"/>
      <c r="W52"/>
      <c r="X52"/>
      <c r="Y52"/>
      <c r="Z52"/>
      <c r="AA52" s="368"/>
      <c r="AB52" s="368"/>
    </row>
    <row r="53" spans="1:28" ht="12.75" customHeight="1">
      <c r="A53" s="121"/>
      <c r="B53" s="121"/>
      <c r="C53" s="121"/>
      <c r="D53" s="121"/>
      <c r="E53" s="121"/>
      <c r="F53" s="121"/>
      <c r="G53" s="121"/>
      <c r="H53" s="121"/>
      <c r="I53" s="121"/>
      <c r="J53" s="121"/>
      <c r="K53" s="121"/>
      <c r="L53" s="121"/>
      <c r="M53" s="121"/>
      <c r="N53" s="121"/>
      <c r="O53"/>
      <c r="P53"/>
      <c r="Q53"/>
      <c r="R53"/>
      <c r="S53"/>
      <c r="T53"/>
      <c r="U53"/>
      <c r="V53"/>
      <c r="W53"/>
      <c r="X53"/>
      <c r="Y53"/>
      <c r="Z53"/>
      <c r="AA53" s="371"/>
      <c r="AB53" s="371"/>
    </row>
    <row r="54" spans="1:28" ht="12.75" customHeight="1">
      <c r="A54" s="121"/>
      <c r="B54" s="121"/>
      <c r="C54" s="121"/>
      <c r="D54" s="121"/>
      <c r="E54" s="121"/>
      <c r="F54" s="121"/>
      <c r="G54" s="121"/>
      <c r="H54" s="121"/>
      <c r="I54" s="121"/>
      <c r="J54" s="121"/>
      <c r="K54" s="121"/>
      <c r="L54" s="121"/>
      <c r="M54" s="121"/>
      <c r="N54" s="121"/>
      <c r="O54"/>
      <c r="P54"/>
      <c r="Q54"/>
      <c r="R54"/>
      <c r="S54"/>
      <c r="T54"/>
      <c r="U54"/>
      <c r="V54"/>
      <c r="W54"/>
      <c r="X54"/>
      <c r="Y54"/>
      <c r="Z54"/>
      <c r="AA54" s="370"/>
      <c r="AB54" s="370"/>
    </row>
    <row r="55" spans="1:28" ht="12.75" customHeight="1">
      <c r="A55" s="121"/>
      <c r="B55" s="121"/>
      <c r="C55" s="121"/>
      <c r="D55" s="121"/>
      <c r="E55" s="121"/>
      <c r="F55" s="121"/>
      <c r="G55" s="121"/>
      <c r="H55" s="121"/>
      <c r="I55" s="121"/>
      <c r="J55" s="121"/>
      <c r="K55" s="121"/>
      <c r="L55" s="121"/>
      <c r="M55" s="121"/>
      <c r="N55" s="121"/>
      <c r="O55"/>
      <c r="P55"/>
      <c r="Q55"/>
      <c r="R55"/>
      <c r="S55"/>
      <c r="T55"/>
      <c r="U55"/>
      <c r="V55"/>
      <c r="W55"/>
      <c r="X55"/>
      <c r="Y55"/>
      <c r="Z55"/>
      <c r="AA55" s="370"/>
      <c r="AB55" s="370"/>
    </row>
    <row r="56" spans="1:28" ht="12.75" customHeight="1">
      <c r="A56" s="121"/>
      <c r="B56" s="121"/>
      <c r="C56" s="121"/>
      <c r="D56" s="121"/>
      <c r="E56" s="121"/>
      <c r="F56" s="121"/>
      <c r="G56" s="121"/>
      <c r="H56" s="121"/>
      <c r="I56" s="121"/>
      <c r="J56" s="121"/>
      <c r="K56" s="121"/>
      <c r="L56" s="121"/>
      <c r="M56" s="121"/>
      <c r="N56" s="121"/>
      <c r="O56"/>
      <c r="P56"/>
      <c r="Q56"/>
      <c r="R56"/>
      <c r="S56"/>
      <c r="T56"/>
      <c r="U56"/>
      <c r="V56"/>
      <c r="W56"/>
      <c r="X56"/>
      <c r="Y56"/>
      <c r="Z56"/>
      <c r="AA56" s="368"/>
      <c r="AB56" s="368"/>
    </row>
    <row r="57" spans="1:28" ht="12.75" customHeight="1">
      <c r="A57" s="121"/>
      <c r="B57" s="121"/>
      <c r="C57" s="121"/>
      <c r="D57" s="121"/>
      <c r="E57" s="121"/>
      <c r="F57" s="121"/>
      <c r="G57" s="121"/>
      <c r="H57" s="121"/>
      <c r="I57" s="121"/>
      <c r="J57" s="121"/>
      <c r="K57" s="121"/>
      <c r="L57" s="121"/>
      <c r="M57" s="121"/>
      <c r="N57" s="121"/>
      <c r="O57"/>
      <c r="P57"/>
      <c r="Q57"/>
      <c r="R57"/>
      <c r="S57"/>
      <c r="T57"/>
      <c r="U57"/>
      <c r="V57"/>
      <c r="W57"/>
      <c r="X57"/>
      <c r="Y57"/>
      <c r="Z57"/>
      <c r="AA57" s="368"/>
      <c r="AB57" s="368"/>
    </row>
    <row r="58" spans="1:28" ht="12.75" customHeight="1">
      <c r="A58" s="121"/>
      <c r="B58" s="121"/>
      <c r="C58" s="121"/>
      <c r="D58" s="121"/>
      <c r="E58" s="121"/>
      <c r="F58" s="121"/>
      <c r="G58" s="121"/>
      <c r="H58" s="121"/>
      <c r="I58" s="121"/>
      <c r="J58" s="121"/>
      <c r="K58" s="121"/>
      <c r="L58" s="121"/>
      <c r="M58" s="121"/>
      <c r="N58" s="121"/>
      <c r="O58"/>
      <c r="P58"/>
      <c r="Q58"/>
      <c r="R58"/>
      <c r="S58"/>
      <c r="T58"/>
      <c r="U58"/>
      <c r="V58"/>
      <c r="W58"/>
      <c r="X58"/>
      <c r="Y58"/>
      <c r="Z58"/>
      <c r="AA58" s="371"/>
      <c r="AB58" s="371"/>
    </row>
    <row r="59" spans="1:28" ht="12.75" customHeight="1">
      <c r="A59" s="121"/>
      <c r="B59" s="121"/>
      <c r="C59" s="121"/>
      <c r="D59" s="121"/>
      <c r="E59" s="121"/>
      <c r="F59" s="121"/>
      <c r="G59" s="121"/>
      <c r="H59" s="121"/>
      <c r="I59" s="121"/>
      <c r="J59" s="121"/>
      <c r="K59" s="121"/>
      <c r="L59" s="121"/>
      <c r="M59" s="121"/>
      <c r="N59" s="121"/>
      <c r="O59"/>
      <c r="P59"/>
      <c r="Q59"/>
      <c r="R59"/>
      <c r="S59"/>
      <c r="T59"/>
      <c r="U59"/>
      <c r="V59"/>
      <c r="W59"/>
      <c r="X59"/>
      <c r="Y59"/>
      <c r="Z59"/>
      <c r="AA59" s="362"/>
      <c r="AB59" s="362"/>
    </row>
    <row r="60" spans="1:28" ht="12.75" customHeight="1">
      <c r="A60" s="121"/>
      <c r="B60" s="121"/>
      <c r="C60" s="121"/>
      <c r="D60" s="121"/>
      <c r="E60" s="121"/>
      <c r="F60" s="121"/>
      <c r="G60" s="121"/>
      <c r="H60" s="121"/>
      <c r="I60" s="121"/>
      <c r="J60" s="121"/>
      <c r="K60" s="121"/>
      <c r="L60" s="121"/>
      <c r="M60" s="121"/>
      <c r="N60" s="121"/>
      <c r="O60"/>
      <c r="P60"/>
      <c r="Q60"/>
      <c r="R60"/>
      <c r="S60"/>
      <c r="T60"/>
      <c r="U60"/>
      <c r="V60"/>
      <c r="W60"/>
      <c r="X60"/>
      <c r="Y60"/>
      <c r="Z60"/>
      <c r="AA60" s="362"/>
      <c r="AB60" s="362"/>
    </row>
    <row r="61" spans="1:28" ht="12.75" customHeight="1">
      <c r="A61" s="121"/>
      <c r="B61" s="121"/>
      <c r="C61" s="121"/>
      <c r="D61" s="121"/>
      <c r="E61" s="121"/>
      <c r="F61" s="121"/>
      <c r="G61" s="121"/>
      <c r="H61" s="121"/>
      <c r="I61" s="121"/>
      <c r="J61" s="121"/>
      <c r="K61" s="121"/>
      <c r="L61" s="121"/>
      <c r="M61" s="121"/>
      <c r="N61" s="121"/>
      <c r="O61"/>
      <c r="P61"/>
      <c r="Q61"/>
      <c r="R61"/>
      <c r="S61"/>
      <c r="T61"/>
      <c r="U61"/>
      <c r="V61"/>
      <c r="W61"/>
      <c r="X61"/>
      <c r="Y61"/>
      <c r="Z61"/>
      <c r="AA61" s="368"/>
      <c r="AB61" s="368"/>
    </row>
    <row r="62" spans="1:28" ht="12.75" customHeight="1">
      <c r="A62" s="121"/>
      <c r="B62" s="121"/>
      <c r="C62" s="121"/>
      <c r="D62" s="121"/>
      <c r="E62" s="121"/>
      <c r="F62" s="121"/>
      <c r="G62" s="121"/>
      <c r="H62" s="121"/>
      <c r="I62" s="121"/>
      <c r="J62" s="121"/>
      <c r="K62" s="121"/>
      <c r="L62" s="121"/>
      <c r="M62" s="121"/>
      <c r="N62" s="121"/>
      <c r="O62"/>
      <c r="P62"/>
      <c r="Q62"/>
      <c r="R62"/>
      <c r="S62"/>
      <c r="T62"/>
      <c r="U62"/>
      <c r="V62"/>
      <c r="W62"/>
      <c r="X62"/>
      <c r="Y62"/>
      <c r="Z62"/>
      <c r="AA62" s="368"/>
      <c r="AB62" s="368"/>
    </row>
    <row r="63" spans="1:28" ht="12.75" customHeight="1">
      <c r="A63" s="121"/>
      <c r="B63" s="121"/>
      <c r="C63" s="121"/>
      <c r="D63" s="121"/>
      <c r="E63" s="121"/>
      <c r="F63" s="121"/>
      <c r="G63" s="121"/>
      <c r="H63" s="121"/>
      <c r="I63" s="121"/>
      <c r="J63" s="121"/>
      <c r="K63" s="121"/>
      <c r="L63" s="121"/>
      <c r="M63" s="121"/>
      <c r="N63" s="121"/>
      <c r="O63"/>
      <c r="P63"/>
      <c r="Q63"/>
      <c r="R63"/>
      <c r="S63"/>
      <c r="T63"/>
      <c r="U63"/>
      <c r="V63"/>
      <c r="W63"/>
      <c r="X63"/>
      <c r="Y63"/>
      <c r="Z63"/>
      <c r="AA63" s="372"/>
      <c r="AB63" s="372"/>
    </row>
    <row r="64" spans="1:28" ht="12.75" customHeight="1">
      <c r="A64" s="121"/>
      <c r="B64" s="121"/>
      <c r="C64" s="121"/>
      <c r="D64" s="121"/>
      <c r="E64" s="121"/>
      <c r="F64" s="121"/>
      <c r="G64" s="121"/>
      <c r="H64" s="121"/>
      <c r="I64" s="121"/>
      <c r="J64" s="121"/>
      <c r="K64" s="121"/>
      <c r="L64" s="121"/>
      <c r="M64" s="121"/>
      <c r="N64" s="121"/>
      <c r="O64"/>
      <c r="P64"/>
      <c r="Q64"/>
      <c r="R64"/>
      <c r="S64"/>
      <c r="T64"/>
      <c r="U64"/>
      <c r="V64"/>
      <c r="W64"/>
      <c r="X64"/>
      <c r="Y64"/>
      <c r="Z64"/>
      <c r="AA64" s="372"/>
      <c r="AB64" s="372"/>
    </row>
    <row r="65" spans="1:34" ht="12.75" customHeight="1">
      <c r="A65" s="121"/>
      <c r="B65" s="121"/>
      <c r="C65" s="121"/>
      <c r="D65" s="121"/>
      <c r="E65" s="121"/>
      <c r="F65" s="121"/>
      <c r="G65" s="121"/>
      <c r="H65" s="121"/>
      <c r="I65" s="121"/>
      <c r="J65" s="121"/>
      <c r="K65" s="121"/>
      <c r="L65" s="121"/>
      <c r="M65" s="121"/>
      <c r="N65" s="121"/>
      <c r="O65"/>
      <c r="P65"/>
      <c r="Q65"/>
      <c r="R65"/>
      <c r="S65"/>
      <c r="T65"/>
      <c r="U65"/>
      <c r="V65"/>
      <c r="W65"/>
      <c r="X65"/>
      <c r="Y65"/>
      <c r="Z65"/>
      <c r="AA65" s="373"/>
      <c r="AB65" s="373"/>
    </row>
    <row r="66" spans="1:34" ht="12.75" customHeight="1">
      <c r="A66" s="121"/>
      <c r="B66" s="121"/>
      <c r="C66" s="121"/>
      <c r="D66" s="121"/>
      <c r="E66" s="121"/>
      <c r="F66" s="121"/>
      <c r="G66" s="121"/>
      <c r="H66" s="121"/>
      <c r="I66" s="121"/>
      <c r="J66" s="121"/>
      <c r="K66" s="121"/>
      <c r="L66" s="121"/>
      <c r="M66" s="121"/>
      <c r="N66" s="121"/>
      <c r="O66"/>
      <c r="P66"/>
      <c r="Q66"/>
      <c r="R66"/>
      <c r="S66"/>
      <c r="T66"/>
      <c r="U66"/>
      <c r="V66"/>
      <c r="W66"/>
      <c r="X66"/>
      <c r="Y66"/>
      <c r="Z66"/>
      <c r="AA66" s="373"/>
      <c r="AB66" s="373"/>
    </row>
    <row r="67" spans="1:34" ht="12.75" customHeight="1">
      <c r="A67" s="121"/>
      <c r="B67" s="121"/>
      <c r="C67" s="121"/>
      <c r="D67" s="121"/>
      <c r="E67" s="121"/>
      <c r="F67" s="121"/>
      <c r="G67" s="121"/>
      <c r="H67" s="121"/>
      <c r="I67" s="121"/>
      <c r="J67" s="121"/>
      <c r="K67" s="121"/>
      <c r="L67" s="121"/>
      <c r="M67" s="121"/>
      <c r="N67" s="121"/>
      <c r="O67"/>
      <c r="P67"/>
      <c r="Q67"/>
      <c r="R67"/>
      <c r="S67"/>
      <c r="T67"/>
      <c r="U67"/>
      <c r="V67"/>
      <c r="W67"/>
      <c r="X67"/>
      <c r="Y67"/>
      <c r="Z67"/>
      <c r="AA67" s="373"/>
      <c r="AB67" s="373"/>
      <c r="AC67" s="23"/>
      <c r="AD67" s="23"/>
      <c r="AE67" s="23"/>
      <c r="AF67" s="23"/>
      <c r="AG67" s="23"/>
    </row>
    <row r="68" spans="1:34" ht="12.75" customHeight="1">
      <c r="A68" s="121"/>
      <c r="B68" s="121"/>
      <c r="C68" s="121"/>
      <c r="D68" s="121"/>
      <c r="E68" s="121"/>
      <c r="F68" s="121"/>
      <c r="G68" s="121"/>
      <c r="H68" s="121"/>
      <c r="I68" s="121"/>
      <c r="J68" s="121"/>
      <c r="K68" s="121"/>
      <c r="L68" s="121"/>
      <c r="M68" s="121"/>
      <c r="N68" s="121"/>
      <c r="O68"/>
      <c r="P68"/>
      <c r="Q68"/>
      <c r="R68"/>
      <c r="S68"/>
      <c r="T68"/>
      <c r="U68"/>
      <c r="V68"/>
      <c r="W68"/>
      <c r="X68"/>
      <c r="Y68"/>
      <c r="Z68"/>
      <c r="AA68" s="373"/>
      <c r="AB68" s="373"/>
      <c r="AH68" s="17"/>
    </row>
    <row r="69" spans="1:34" ht="12.75" customHeight="1">
      <c r="A69" s="121"/>
      <c r="B69" s="121"/>
      <c r="C69" s="121"/>
      <c r="D69" s="121"/>
      <c r="E69" s="121"/>
      <c r="F69" s="121"/>
      <c r="G69" s="121"/>
      <c r="H69" s="121"/>
      <c r="I69" s="121"/>
      <c r="J69" s="121"/>
      <c r="K69" s="121"/>
      <c r="L69" s="121"/>
      <c r="M69" s="121"/>
      <c r="N69" s="121"/>
      <c r="O69"/>
      <c r="P69"/>
      <c r="Q69"/>
      <c r="R69"/>
      <c r="S69"/>
      <c r="T69"/>
      <c r="U69"/>
      <c r="V69"/>
      <c r="W69"/>
      <c r="X69"/>
      <c r="Y69"/>
      <c r="Z69"/>
      <c r="AA69" s="368"/>
      <c r="AB69" s="368"/>
      <c r="AH69" s="17"/>
    </row>
    <row r="70" spans="1:34" ht="12.75" customHeight="1">
      <c r="A70" s="121"/>
      <c r="B70" s="121"/>
      <c r="C70" s="121"/>
      <c r="D70" s="121"/>
      <c r="E70" s="121"/>
      <c r="F70" s="121"/>
      <c r="G70" s="121"/>
      <c r="H70" s="121"/>
      <c r="I70" s="121"/>
      <c r="J70" s="121"/>
      <c r="K70" s="121"/>
      <c r="L70" s="121"/>
      <c r="M70" s="121"/>
      <c r="N70" s="121"/>
      <c r="O70"/>
      <c r="P70"/>
      <c r="Q70"/>
      <c r="R70"/>
      <c r="S70"/>
      <c r="T70"/>
      <c r="U70"/>
      <c r="V70"/>
      <c r="W70"/>
      <c r="X70"/>
      <c r="Y70"/>
      <c r="Z70"/>
      <c r="AA70" s="368"/>
      <c r="AB70" s="368"/>
      <c r="AH70" s="17"/>
    </row>
    <row r="71" spans="1:34" ht="12.75" customHeight="1">
      <c r="A71" s="121"/>
      <c r="B71" s="121"/>
      <c r="C71" s="121"/>
      <c r="D71" s="121"/>
      <c r="E71" s="121"/>
      <c r="F71" s="121"/>
      <c r="G71" s="121"/>
      <c r="H71" s="121"/>
      <c r="I71" s="121"/>
      <c r="J71" s="121"/>
      <c r="K71" s="121"/>
      <c r="L71" s="121"/>
      <c r="M71" s="121"/>
      <c r="N71" s="121"/>
      <c r="O71"/>
      <c r="P71"/>
      <c r="Q71"/>
      <c r="R71"/>
      <c r="S71"/>
      <c r="T71"/>
      <c r="U71"/>
      <c r="V71"/>
      <c r="W71"/>
      <c r="X71"/>
      <c r="Y71"/>
      <c r="Z71"/>
      <c r="AA71" s="368"/>
      <c r="AB71" s="368"/>
      <c r="AH71" s="32"/>
    </row>
    <row r="72" spans="1:34" ht="12.75" customHeight="1">
      <c r="A72" s="121"/>
      <c r="B72" s="121"/>
      <c r="C72" s="121"/>
      <c r="D72" s="121"/>
      <c r="E72" s="121"/>
      <c r="F72" s="121"/>
      <c r="G72" s="121"/>
      <c r="H72" s="121"/>
      <c r="I72" s="121"/>
      <c r="J72" s="121"/>
      <c r="K72" s="121"/>
      <c r="L72" s="121"/>
      <c r="M72" s="121"/>
      <c r="N72" s="121"/>
      <c r="O72"/>
      <c r="P72"/>
      <c r="Q72"/>
      <c r="R72"/>
      <c r="S72"/>
      <c r="T72"/>
      <c r="U72"/>
      <c r="V72"/>
      <c r="W72"/>
      <c r="X72"/>
      <c r="Y72"/>
      <c r="Z72"/>
      <c r="AA72" s="368"/>
      <c r="AB72" s="368"/>
      <c r="AH72" s="32"/>
    </row>
    <row r="73" spans="1:34" ht="12.75" customHeight="1">
      <c r="A73" s="121"/>
      <c r="B73" s="121"/>
      <c r="C73" s="121"/>
      <c r="D73" s="121"/>
      <c r="E73" s="121"/>
      <c r="F73" s="121"/>
      <c r="G73" s="121"/>
      <c r="H73" s="121"/>
      <c r="I73" s="121"/>
      <c r="J73" s="121"/>
      <c r="K73" s="121"/>
      <c r="L73" s="121"/>
      <c r="M73" s="121"/>
      <c r="N73" s="121"/>
      <c r="O73"/>
      <c r="P73"/>
      <c r="Q73"/>
      <c r="R73"/>
      <c r="S73"/>
      <c r="T73"/>
      <c r="U73"/>
      <c r="V73"/>
      <c r="W73"/>
      <c r="X73"/>
      <c r="Y73"/>
      <c r="Z73"/>
      <c r="AA73" s="373"/>
      <c r="AB73" s="373"/>
      <c r="AH73" s="17"/>
    </row>
    <row r="74" spans="1:34" ht="12.75" customHeight="1">
      <c r="A74" s="121"/>
      <c r="B74" s="121"/>
      <c r="C74" s="121"/>
      <c r="D74" s="121"/>
      <c r="E74" s="121"/>
      <c r="F74" s="121"/>
      <c r="G74" s="121"/>
      <c r="H74" s="121"/>
      <c r="I74" s="121"/>
      <c r="J74" s="121"/>
      <c r="K74" s="121"/>
      <c r="L74" s="121"/>
      <c r="M74" s="121"/>
      <c r="N74" s="121"/>
      <c r="O74"/>
      <c r="P74"/>
      <c r="Q74"/>
      <c r="R74"/>
      <c r="S74"/>
      <c r="T74"/>
      <c r="U74"/>
      <c r="V74"/>
      <c r="W74"/>
      <c r="X74"/>
      <c r="Y74"/>
      <c r="Z74"/>
      <c r="AA74" s="373"/>
      <c r="AB74" s="373"/>
      <c r="AH74" s="17"/>
    </row>
    <row r="75" spans="1:34" ht="12.75" customHeight="1">
      <c r="A75" s="121"/>
      <c r="B75" s="121"/>
      <c r="C75" s="121"/>
      <c r="D75" s="121"/>
      <c r="E75" s="121"/>
      <c r="F75" s="121"/>
      <c r="G75" s="121"/>
      <c r="H75" s="121"/>
      <c r="I75" s="121"/>
      <c r="J75" s="121"/>
      <c r="K75" s="121"/>
      <c r="L75" s="121"/>
      <c r="M75" s="121"/>
      <c r="N75" s="121"/>
      <c r="O75"/>
      <c r="P75"/>
      <c r="Q75"/>
      <c r="R75"/>
      <c r="S75"/>
      <c r="T75"/>
      <c r="U75"/>
      <c r="V75"/>
      <c r="W75"/>
      <c r="X75"/>
      <c r="Y75"/>
      <c r="Z75"/>
      <c r="AA75" s="373"/>
      <c r="AB75" s="373"/>
      <c r="AH75" s="17"/>
    </row>
    <row r="76" spans="1:34" ht="12.75" customHeight="1">
      <c r="A76" s="121"/>
      <c r="B76" s="121"/>
      <c r="C76" s="121"/>
      <c r="D76" s="121"/>
      <c r="E76" s="121"/>
      <c r="F76" s="121"/>
      <c r="G76" s="121"/>
      <c r="H76" s="121"/>
      <c r="I76" s="121"/>
      <c r="J76" s="121"/>
      <c r="K76" s="121"/>
      <c r="L76" s="121"/>
      <c r="M76" s="121"/>
      <c r="N76" s="121"/>
      <c r="O76"/>
      <c r="P76"/>
      <c r="Q76"/>
      <c r="R76"/>
      <c r="S76"/>
      <c r="T76"/>
      <c r="U76"/>
      <c r="V76"/>
      <c r="W76"/>
      <c r="X76"/>
      <c r="Y76"/>
      <c r="Z76"/>
      <c r="AA76" s="373"/>
      <c r="AB76" s="373"/>
      <c r="AH76" s="17"/>
    </row>
    <row r="77" spans="1:34" ht="12.75" customHeight="1">
      <c r="A77" s="121"/>
      <c r="B77" s="121"/>
      <c r="C77" s="121"/>
      <c r="D77" s="121"/>
      <c r="E77" s="121"/>
      <c r="F77" s="121"/>
      <c r="G77" s="121"/>
      <c r="H77" s="121"/>
      <c r="I77" s="121"/>
      <c r="J77" s="121"/>
      <c r="K77" s="121"/>
      <c r="L77" s="121"/>
      <c r="M77" s="121"/>
      <c r="N77" s="121"/>
      <c r="O77"/>
      <c r="P77"/>
      <c r="Q77"/>
      <c r="R77"/>
      <c r="S77"/>
      <c r="T77"/>
      <c r="U77"/>
      <c r="V77"/>
      <c r="W77"/>
      <c r="X77"/>
      <c r="Y77"/>
      <c r="Z77"/>
      <c r="AA77" s="373"/>
      <c r="AB77" s="373"/>
      <c r="AH77" s="17"/>
    </row>
    <row r="78" spans="1:34" ht="12.75" customHeight="1">
      <c r="A78" s="121"/>
      <c r="B78" s="121"/>
      <c r="C78" s="121"/>
      <c r="D78" s="121"/>
      <c r="E78" s="121"/>
      <c r="F78" s="121"/>
      <c r="G78" s="121"/>
      <c r="H78" s="121"/>
      <c r="I78" s="121"/>
      <c r="J78" s="121"/>
      <c r="K78" s="121"/>
      <c r="L78" s="121"/>
      <c r="M78" s="121"/>
      <c r="N78" s="121"/>
      <c r="O78"/>
      <c r="P78"/>
      <c r="Q78"/>
      <c r="R78"/>
      <c r="S78"/>
      <c r="T78"/>
      <c r="U78"/>
      <c r="V78"/>
      <c r="W78"/>
      <c r="X78"/>
      <c r="Y78"/>
      <c r="Z78"/>
      <c r="AA78" s="373"/>
      <c r="AB78" s="373"/>
      <c r="AH78" s="17"/>
    </row>
    <row r="79" spans="1:34" ht="12.75" customHeight="1">
      <c r="A79" s="121"/>
      <c r="B79" s="121"/>
      <c r="C79" s="121"/>
      <c r="D79" s="121"/>
      <c r="E79" s="121"/>
      <c r="F79" s="121"/>
      <c r="G79" s="121"/>
      <c r="H79" s="121"/>
      <c r="I79" s="121"/>
      <c r="J79" s="121"/>
      <c r="K79" s="121"/>
      <c r="L79" s="121"/>
      <c r="M79" s="121"/>
      <c r="N79" s="121"/>
      <c r="O79"/>
      <c r="P79"/>
      <c r="Q79"/>
      <c r="R79"/>
      <c r="S79"/>
      <c r="T79"/>
      <c r="U79"/>
      <c r="V79"/>
      <c r="W79"/>
      <c r="X79"/>
      <c r="Y79"/>
      <c r="Z79"/>
      <c r="AA79" s="373"/>
      <c r="AB79" s="373"/>
      <c r="AH79" s="17"/>
    </row>
    <row r="80" spans="1:34" ht="12.75" customHeight="1">
      <c r="A80" s="121"/>
      <c r="B80" s="121"/>
      <c r="C80" s="121"/>
      <c r="D80" s="121"/>
      <c r="E80" s="121"/>
      <c r="F80" s="121"/>
      <c r="G80" s="121"/>
      <c r="H80" s="121"/>
      <c r="I80" s="121"/>
      <c r="J80" s="121"/>
      <c r="K80" s="121"/>
      <c r="L80" s="121"/>
      <c r="M80" s="121"/>
      <c r="N80" s="121"/>
      <c r="O80"/>
      <c r="P80"/>
      <c r="Q80"/>
      <c r="R80"/>
      <c r="S80"/>
      <c r="T80"/>
      <c r="U80"/>
      <c r="V80"/>
      <c r="W80"/>
      <c r="X80"/>
      <c r="Y80"/>
      <c r="Z80"/>
      <c r="AA80" s="373"/>
      <c r="AB80" s="373"/>
      <c r="AH80" s="43"/>
    </row>
    <row r="81" spans="1:28" ht="12.75" customHeight="1">
      <c r="A81" s="121"/>
      <c r="B81" s="121"/>
      <c r="C81" s="121"/>
      <c r="D81" s="121"/>
      <c r="E81" s="121"/>
      <c r="F81" s="121"/>
      <c r="G81" s="121"/>
      <c r="H81" s="121"/>
      <c r="I81" s="121"/>
      <c r="J81" s="121"/>
      <c r="K81" s="121"/>
      <c r="L81" s="121"/>
      <c r="M81" s="121"/>
      <c r="N81" s="121"/>
      <c r="O81"/>
      <c r="P81"/>
      <c r="Q81"/>
      <c r="R81"/>
      <c r="S81"/>
      <c r="T81"/>
      <c r="U81"/>
      <c r="V81"/>
      <c r="W81"/>
      <c r="X81"/>
      <c r="Y81"/>
      <c r="Z81"/>
      <c r="AA81" s="368"/>
      <c r="AB81" s="368"/>
    </row>
    <row r="82" spans="1:28" ht="12.75" customHeight="1">
      <c r="A82" s="121"/>
      <c r="B82" s="121"/>
      <c r="C82" s="121"/>
      <c r="D82" s="121"/>
      <c r="E82" s="121"/>
      <c r="F82" s="121"/>
      <c r="G82" s="121"/>
      <c r="H82" s="121"/>
      <c r="I82" s="121"/>
      <c r="J82" s="121"/>
      <c r="K82" s="121"/>
      <c r="L82" s="121"/>
      <c r="M82" s="121"/>
      <c r="N82" s="121"/>
      <c r="O82"/>
      <c r="P82"/>
      <c r="Q82"/>
      <c r="R82"/>
      <c r="S82"/>
      <c r="T82"/>
      <c r="U82"/>
      <c r="V82"/>
      <c r="W82"/>
      <c r="X82"/>
      <c r="Y82"/>
      <c r="Z82"/>
      <c r="AA82" s="368"/>
      <c r="AB82" s="368"/>
    </row>
    <row r="83" spans="1:28" ht="12.75" customHeight="1">
      <c r="A83" s="121"/>
      <c r="B83" s="121"/>
      <c r="C83" s="121"/>
      <c r="D83" s="121"/>
      <c r="E83" s="121"/>
      <c r="F83" s="121"/>
      <c r="G83" s="121"/>
      <c r="H83" s="121"/>
      <c r="I83" s="121"/>
      <c r="J83" s="121"/>
      <c r="K83" s="121"/>
      <c r="L83" s="121"/>
      <c r="M83" s="121"/>
      <c r="N83" s="121"/>
      <c r="O83"/>
      <c r="P83"/>
      <c r="Q83"/>
      <c r="R83"/>
      <c r="S83"/>
      <c r="T83"/>
      <c r="U83"/>
      <c r="V83"/>
      <c r="W83"/>
      <c r="X83"/>
      <c r="Y83"/>
      <c r="Z83"/>
      <c r="AA83" s="372"/>
      <c r="AB83" s="372"/>
    </row>
    <row r="84" spans="1:28" ht="12.75" customHeight="1">
      <c r="A84" s="121"/>
      <c r="B84" s="121"/>
      <c r="C84" s="121"/>
      <c r="D84" s="121"/>
      <c r="E84" s="121"/>
      <c r="F84" s="121"/>
      <c r="G84" s="121"/>
      <c r="H84" s="121"/>
      <c r="I84" s="121"/>
      <c r="J84" s="121"/>
      <c r="K84" s="121"/>
      <c r="L84" s="121"/>
      <c r="M84" s="121"/>
      <c r="N84" s="121"/>
      <c r="O84"/>
      <c r="P84"/>
      <c r="Q84"/>
      <c r="R84"/>
      <c r="S84"/>
      <c r="T84"/>
      <c r="U84"/>
      <c r="V84"/>
      <c r="W84"/>
      <c r="X84"/>
      <c r="Y84"/>
      <c r="Z84"/>
      <c r="AA84" s="372"/>
      <c r="AB84" s="372"/>
    </row>
    <row r="85" spans="1:28" ht="12.75" customHeight="1">
      <c r="A85" s="121"/>
      <c r="B85" s="121"/>
      <c r="C85" s="121"/>
      <c r="D85" s="121"/>
      <c r="E85" s="121"/>
      <c r="F85" s="121"/>
      <c r="G85" s="121"/>
      <c r="H85" s="121"/>
      <c r="I85" s="121"/>
      <c r="J85" s="121"/>
      <c r="K85" s="121"/>
      <c r="L85" s="121"/>
      <c r="M85" s="121"/>
      <c r="N85" s="121"/>
      <c r="O85"/>
      <c r="P85"/>
      <c r="Q85"/>
      <c r="R85"/>
      <c r="S85"/>
      <c r="T85"/>
      <c r="U85"/>
      <c r="V85"/>
      <c r="W85"/>
      <c r="X85"/>
      <c r="Y85"/>
      <c r="Z85"/>
      <c r="AA85" s="373"/>
      <c r="AB85" s="373"/>
    </row>
    <row r="86" spans="1:28" ht="12.75" customHeight="1">
      <c r="A86" s="121"/>
      <c r="B86" s="121"/>
      <c r="C86" s="121"/>
      <c r="D86" s="121"/>
      <c r="E86" s="121"/>
      <c r="F86" s="121"/>
      <c r="G86" s="121"/>
      <c r="H86" s="121"/>
      <c r="I86" s="121"/>
      <c r="J86" s="121"/>
      <c r="K86" s="121"/>
      <c r="L86" s="121"/>
      <c r="M86" s="121"/>
      <c r="N86" s="121"/>
      <c r="O86"/>
      <c r="P86"/>
      <c r="Q86"/>
      <c r="R86"/>
      <c r="S86"/>
      <c r="T86"/>
      <c r="U86"/>
      <c r="V86"/>
      <c r="W86"/>
      <c r="X86"/>
      <c r="Y86"/>
      <c r="Z86"/>
      <c r="AA86" s="373"/>
      <c r="AB86" s="373"/>
    </row>
    <row r="87" spans="1:28" ht="12.75" customHeight="1">
      <c r="A87" s="121"/>
      <c r="B87" s="121"/>
      <c r="C87" s="121"/>
      <c r="D87" s="121"/>
      <c r="E87" s="121"/>
      <c r="F87" s="121"/>
      <c r="G87" s="121"/>
      <c r="H87" s="121"/>
      <c r="I87" s="121"/>
      <c r="J87" s="121"/>
      <c r="K87" s="121"/>
      <c r="L87" s="121"/>
      <c r="M87" s="121"/>
      <c r="N87" s="121"/>
      <c r="O87"/>
      <c r="P87"/>
      <c r="Q87"/>
      <c r="R87"/>
      <c r="S87"/>
      <c r="T87"/>
      <c r="U87"/>
      <c r="V87"/>
      <c r="W87"/>
      <c r="X87"/>
      <c r="Y87"/>
      <c r="Z87"/>
      <c r="AA87" s="373"/>
      <c r="AB87" s="373"/>
    </row>
    <row r="88" spans="1:28" ht="12.75" customHeight="1">
      <c r="A88" s="121"/>
      <c r="B88" s="121"/>
      <c r="C88" s="121"/>
      <c r="D88" s="121"/>
      <c r="E88" s="121"/>
      <c r="F88" s="121"/>
      <c r="G88" s="121"/>
      <c r="H88" s="121"/>
      <c r="I88" s="121"/>
      <c r="J88" s="121"/>
      <c r="K88" s="121"/>
      <c r="L88" s="121"/>
      <c r="M88" s="121"/>
      <c r="N88" s="121"/>
      <c r="O88"/>
      <c r="P88"/>
      <c r="Q88"/>
      <c r="R88"/>
      <c r="S88"/>
      <c r="T88"/>
      <c r="U88"/>
      <c r="V88"/>
      <c r="W88"/>
      <c r="X88"/>
      <c r="Y88"/>
      <c r="Z88"/>
      <c r="AA88" s="373"/>
      <c r="AB88" s="373"/>
    </row>
    <row r="89" spans="1:28" ht="12.75" customHeight="1">
      <c r="A89" s="121"/>
      <c r="B89" s="121"/>
      <c r="C89" s="121"/>
      <c r="D89" s="121"/>
      <c r="E89" s="121"/>
      <c r="F89" s="121"/>
      <c r="G89" s="121"/>
      <c r="H89" s="121"/>
      <c r="I89" s="121"/>
      <c r="J89" s="121"/>
      <c r="K89" s="121"/>
      <c r="L89" s="121"/>
      <c r="M89" s="121"/>
      <c r="N89" s="121"/>
      <c r="O89"/>
      <c r="P89"/>
      <c r="Q89"/>
      <c r="R89"/>
      <c r="S89"/>
      <c r="T89"/>
      <c r="U89"/>
      <c r="V89"/>
      <c r="W89"/>
      <c r="X89"/>
      <c r="Y89"/>
      <c r="Z89"/>
      <c r="AA89" s="373"/>
      <c r="AB89" s="373"/>
    </row>
    <row r="90" spans="1:28" ht="12.75" customHeight="1">
      <c r="A90" s="121"/>
      <c r="B90" s="121"/>
      <c r="C90" s="121"/>
      <c r="D90" s="121"/>
      <c r="E90" s="121"/>
      <c r="F90" s="121"/>
      <c r="G90" s="121"/>
      <c r="H90" s="121"/>
      <c r="I90" s="121"/>
      <c r="J90" s="121"/>
      <c r="K90" s="121"/>
      <c r="L90" s="121"/>
      <c r="M90" s="121"/>
      <c r="N90" s="121"/>
      <c r="O90"/>
      <c r="P90"/>
      <c r="Q90"/>
      <c r="R90"/>
      <c r="S90"/>
      <c r="T90"/>
      <c r="U90"/>
      <c r="V90"/>
      <c r="W90"/>
      <c r="X90"/>
      <c r="Y90"/>
      <c r="Z90"/>
      <c r="AA90" s="368"/>
      <c r="AB90" s="368"/>
    </row>
    <row r="91" spans="1:28" ht="12.75" customHeight="1">
      <c r="A91" s="121"/>
      <c r="B91" s="121"/>
      <c r="C91" s="121"/>
      <c r="D91" s="121"/>
      <c r="E91" s="121"/>
      <c r="F91" s="121"/>
      <c r="G91" s="121"/>
      <c r="H91" s="121"/>
      <c r="I91" s="121"/>
      <c r="J91" s="121"/>
      <c r="K91" s="121"/>
      <c r="L91" s="121"/>
      <c r="M91" s="121"/>
      <c r="N91" s="121"/>
      <c r="O91"/>
      <c r="P91"/>
      <c r="Q91"/>
      <c r="R91"/>
      <c r="S91"/>
      <c r="T91"/>
      <c r="U91"/>
      <c r="V91"/>
      <c r="W91"/>
      <c r="X91"/>
      <c r="Y91"/>
      <c r="Z91"/>
      <c r="AA91" s="368"/>
      <c r="AB91" s="368"/>
    </row>
    <row r="92" spans="1:28" ht="12.75" customHeight="1">
      <c r="A92" s="121"/>
      <c r="B92" s="121"/>
      <c r="C92" s="121"/>
      <c r="D92" s="121"/>
      <c r="E92" s="121"/>
      <c r="F92" s="121"/>
      <c r="G92" s="121"/>
      <c r="H92" s="121"/>
      <c r="I92" s="121"/>
      <c r="J92" s="121"/>
      <c r="K92" s="121"/>
      <c r="L92" s="121"/>
      <c r="M92" s="121"/>
      <c r="N92" s="121"/>
      <c r="O92"/>
      <c r="P92"/>
      <c r="Q92"/>
      <c r="R92"/>
      <c r="S92"/>
      <c r="T92"/>
      <c r="U92"/>
      <c r="V92"/>
      <c r="W92"/>
      <c r="X92"/>
      <c r="Y92"/>
      <c r="Z92"/>
      <c r="AA92" s="374"/>
      <c r="AB92" s="374"/>
    </row>
    <row r="93" spans="1:28" ht="12.75" customHeight="1">
      <c r="A93" s="121"/>
      <c r="B93" s="121"/>
      <c r="C93" s="121"/>
      <c r="D93" s="121"/>
      <c r="E93" s="121"/>
      <c r="F93" s="121"/>
      <c r="G93" s="121"/>
      <c r="H93" s="121"/>
      <c r="I93" s="121"/>
      <c r="J93" s="121"/>
      <c r="K93" s="121"/>
      <c r="L93" s="121"/>
      <c r="M93" s="121"/>
      <c r="N93" s="121"/>
      <c r="O93"/>
      <c r="P93"/>
      <c r="Q93"/>
      <c r="R93"/>
      <c r="S93"/>
      <c r="T93"/>
      <c r="U93"/>
      <c r="V93"/>
      <c r="W93"/>
      <c r="X93"/>
      <c r="Y93"/>
      <c r="Z93"/>
      <c r="AA93" s="374"/>
      <c r="AB93" s="374"/>
    </row>
    <row r="94" spans="1:28" ht="12.75" customHeight="1">
      <c r="A94" s="121"/>
      <c r="B94" s="121"/>
      <c r="C94" s="121"/>
      <c r="D94" s="121"/>
      <c r="E94" s="121"/>
      <c r="F94" s="121"/>
      <c r="G94" s="121"/>
      <c r="H94" s="121"/>
      <c r="I94" s="121"/>
      <c r="J94" s="121"/>
      <c r="K94" s="121"/>
      <c r="L94" s="121"/>
      <c r="M94" s="121"/>
      <c r="N94" s="121"/>
      <c r="O94"/>
      <c r="P94"/>
      <c r="Q94"/>
      <c r="R94"/>
      <c r="S94"/>
      <c r="T94"/>
      <c r="U94"/>
      <c r="V94"/>
      <c r="W94"/>
      <c r="X94"/>
      <c r="Y94"/>
      <c r="Z94"/>
      <c r="AA94" s="373"/>
      <c r="AB94" s="373"/>
    </row>
    <row r="95" spans="1:28" ht="12.75" customHeight="1">
      <c r="A95" s="121"/>
      <c r="B95" s="121"/>
      <c r="C95" s="121"/>
      <c r="D95" s="121"/>
      <c r="E95" s="121"/>
      <c r="F95" s="121"/>
      <c r="G95" s="121"/>
      <c r="H95" s="121"/>
      <c r="I95" s="121"/>
      <c r="J95" s="121"/>
      <c r="K95" s="121"/>
      <c r="L95" s="121"/>
      <c r="M95" s="121"/>
      <c r="N95" s="121"/>
      <c r="O95"/>
      <c r="P95"/>
      <c r="Q95"/>
      <c r="R95"/>
      <c r="S95"/>
      <c r="T95"/>
      <c r="U95"/>
      <c r="V95"/>
      <c r="W95"/>
      <c r="X95"/>
      <c r="Y95"/>
      <c r="Z95"/>
      <c r="AA95" s="373"/>
      <c r="AB95" s="373"/>
    </row>
    <row r="96" spans="1:28" ht="12.75" customHeight="1">
      <c r="A96" s="121"/>
      <c r="B96" s="121"/>
      <c r="C96" s="121"/>
      <c r="D96" s="121"/>
      <c r="E96" s="121"/>
      <c r="F96" s="121"/>
      <c r="G96" s="121"/>
      <c r="H96" s="121"/>
      <c r="I96" s="121"/>
      <c r="J96" s="121"/>
      <c r="K96" s="121"/>
      <c r="L96" s="121"/>
      <c r="M96" s="121"/>
      <c r="N96" s="121"/>
      <c r="O96"/>
      <c r="P96"/>
      <c r="Q96"/>
      <c r="R96"/>
      <c r="S96"/>
      <c r="T96"/>
      <c r="U96"/>
      <c r="V96"/>
      <c r="W96"/>
      <c r="X96"/>
      <c r="Y96"/>
      <c r="Z96"/>
      <c r="AA96" s="373"/>
      <c r="AB96" s="373"/>
    </row>
    <row r="97" spans="1:28" ht="12.75" customHeight="1">
      <c r="A97" s="121"/>
      <c r="B97" s="121"/>
      <c r="C97" s="121"/>
      <c r="D97" s="121"/>
      <c r="E97" s="121"/>
      <c r="F97" s="121"/>
      <c r="G97" s="121"/>
      <c r="H97" s="121"/>
      <c r="I97" s="121"/>
      <c r="J97" s="121"/>
      <c r="K97" s="121"/>
      <c r="L97" s="121"/>
      <c r="M97" s="121"/>
      <c r="N97" s="121"/>
      <c r="O97"/>
      <c r="P97"/>
      <c r="Q97"/>
      <c r="R97"/>
      <c r="S97"/>
      <c r="T97"/>
      <c r="U97"/>
      <c r="V97"/>
      <c r="W97"/>
      <c r="X97"/>
      <c r="Y97"/>
      <c r="Z97"/>
      <c r="AA97" s="373"/>
      <c r="AB97" s="373"/>
    </row>
    <row r="98" spans="1:28" ht="12.75" customHeight="1">
      <c r="A98" s="108"/>
      <c r="B98" s="108"/>
      <c r="C98" s="108"/>
      <c r="D98" s="108"/>
      <c r="E98" s="108"/>
      <c r="F98" s="108"/>
      <c r="G98" s="108"/>
      <c r="H98" s="108"/>
      <c r="I98" s="108"/>
      <c r="J98" s="108"/>
      <c r="K98" s="108"/>
      <c r="L98" s="108"/>
      <c r="M98" s="108"/>
      <c r="N98" s="108"/>
      <c r="O98"/>
      <c r="P98"/>
      <c r="Q98"/>
      <c r="R98"/>
      <c r="S98"/>
      <c r="T98"/>
      <c r="U98"/>
      <c r="V98"/>
      <c r="W98"/>
      <c r="X98"/>
      <c r="Y98"/>
      <c r="Z98"/>
      <c r="AA98" s="373"/>
      <c r="AB98" s="373"/>
    </row>
    <row r="99" spans="1:28" ht="12.75" customHeight="1">
      <c r="A99" s="108"/>
      <c r="B99" s="108"/>
      <c r="C99" s="108"/>
      <c r="D99" s="108"/>
      <c r="E99" s="108"/>
      <c r="F99" s="108"/>
      <c r="G99" s="108"/>
      <c r="H99" s="108"/>
      <c r="I99" s="108"/>
      <c r="J99" s="108"/>
      <c r="K99" s="108"/>
      <c r="L99" s="108"/>
      <c r="M99" s="108"/>
      <c r="N99" s="108"/>
      <c r="O99"/>
      <c r="P99"/>
      <c r="Q99"/>
      <c r="R99"/>
      <c r="S99"/>
      <c r="T99"/>
      <c r="U99"/>
      <c r="V99"/>
      <c r="W99"/>
      <c r="X99"/>
      <c r="Y99"/>
      <c r="Z99"/>
      <c r="AA99" s="373"/>
      <c r="AB99" s="373"/>
    </row>
    <row r="100" spans="1:28" ht="12.75" customHeight="1">
      <c r="A100" s="108"/>
      <c r="B100" s="108"/>
      <c r="C100" s="108"/>
      <c r="D100" s="108"/>
      <c r="E100" s="108"/>
      <c r="F100" s="108"/>
      <c r="G100" s="108"/>
      <c r="H100" s="108"/>
      <c r="I100" s="108"/>
      <c r="J100" s="108"/>
      <c r="K100" s="108"/>
      <c r="L100" s="108"/>
      <c r="M100" s="108"/>
      <c r="N100" s="108"/>
      <c r="O100"/>
      <c r="P100"/>
      <c r="Q100"/>
      <c r="R100"/>
      <c r="S100"/>
      <c r="T100"/>
      <c r="U100"/>
      <c r="V100"/>
      <c r="W100"/>
      <c r="X100"/>
      <c r="Y100"/>
      <c r="Z100"/>
      <c r="AA100" s="373"/>
      <c r="AB100" s="373"/>
    </row>
    <row r="101" spans="1:28" ht="12.75" customHeight="1">
      <c r="A101" s="108"/>
      <c r="B101" s="108"/>
      <c r="C101" s="108"/>
      <c r="D101" s="108"/>
      <c r="E101" s="108"/>
      <c r="F101" s="108"/>
      <c r="G101" s="108"/>
      <c r="H101" s="108"/>
      <c r="I101" s="108"/>
      <c r="J101" s="108"/>
      <c r="K101" s="108"/>
      <c r="L101" s="108"/>
      <c r="M101" s="108"/>
      <c r="N101" s="108"/>
      <c r="O101"/>
      <c r="P101"/>
      <c r="Q101"/>
      <c r="R101"/>
      <c r="S101"/>
      <c r="T101"/>
      <c r="U101"/>
      <c r="V101"/>
      <c r="W101"/>
      <c r="X101"/>
      <c r="Y101"/>
      <c r="Z101"/>
      <c r="AA101" s="373"/>
      <c r="AB101" s="373"/>
    </row>
    <row r="102" spans="1:28" ht="12.75" customHeight="1">
      <c r="O102"/>
      <c r="P102"/>
      <c r="Q102"/>
      <c r="R102"/>
      <c r="S102"/>
      <c r="T102"/>
      <c r="U102"/>
      <c r="V102"/>
      <c r="W102"/>
      <c r="X102"/>
      <c r="Y102"/>
      <c r="Z102"/>
      <c r="AA102" s="373"/>
      <c r="AB102" s="373"/>
    </row>
    <row r="103" spans="1:28" ht="12.75" customHeight="1">
      <c r="O103"/>
      <c r="P103"/>
      <c r="Q103"/>
      <c r="R103"/>
      <c r="S103"/>
      <c r="T103"/>
      <c r="U103"/>
      <c r="V103"/>
      <c r="W103"/>
      <c r="X103"/>
      <c r="Y103"/>
      <c r="Z103"/>
      <c r="AA103" s="373"/>
      <c r="AB103" s="373"/>
    </row>
    <row r="104" spans="1:28" ht="12.75" customHeight="1">
      <c r="O104"/>
      <c r="P104"/>
      <c r="Q104"/>
      <c r="R104"/>
      <c r="S104"/>
      <c r="T104"/>
      <c r="U104"/>
      <c r="V104"/>
      <c r="W104"/>
      <c r="X104"/>
      <c r="Y104"/>
      <c r="Z104"/>
      <c r="AA104" s="373"/>
      <c r="AB104" s="373"/>
    </row>
    <row r="105" spans="1:28" ht="12.75" customHeight="1">
      <c r="O105"/>
      <c r="P105"/>
      <c r="Q105"/>
      <c r="R105"/>
      <c r="S105"/>
      <c r="T105"/>
      <c r="U105"/>
      <c r="V105"/>
      <c r="W105"/>
      <c r="X105"/>
      <c r="Y105"/>
      <c r="Z105"/>
      <c r="AA105" s="373"/>
      <c r="AB105" s="373"/>
    </row>
    <row r="106" spans="1:28" ht="12.75" customHeight="1">
      <c r="O106"/>
      <c r="P106"/>
      <c r="Q106"/>
      <c r="R106"/>
      <c r="S106"/>
      <c r="T106"/>
      <c r="U106"/>
      <c r="V106"/>
      <c r="W106"/>
      <c r="X106"/>
      <c r="Y106"/>
      <c r="Z106"/>
      <c r="AA106" s="373"/>
      <c r="AB106" s="373"/>
    </row>
    <row r="107" spans="1:28" ht="12.75" customHeight="1">
      <c r="O107"/>
      <c r="P107"/>
      <c r="Q107"/>
      <c r="R107"/>
      <c r="S107"/>
      <c r="T107"/>
      <c r="U107"/>
      <c r="V107"/>
      <c r="W107"/>
      <c r="X107"/>
      <c r="Y107"/>
      <c r="Z107"/>
      <c r="AA107" s="373"/>
      <c r="AB107" s="373"/>
    </row>
    <row r="108" spans="1:28" ht="12.75" customHeight="1">
      <c r="O108"/>
      <c r="P108"/>
      <c r="Q108"/>
      <c r="R108"/>
      <c r="S108"/>
      <c r="T108"/>
      <c r="U108"/>
      <c r="V108"/>
      <c r="W108"/>
      <c r="X108"/>
      <c r="Y108"/>
      <c r="Z108"/>
      <c r="AA108" s="368"/>
      <c r="AB108" s="368"/>
    </row>
    <row r="109" spans="1:28" ht="12.75" customHeight="1">
      <c r="O109"/>
      <c r="P109"/>
      <c r="Q109"/>
      <c r="R109"/>
      <c r="S109"/>
      <c r="T109"/>
      <c r="U109"/>
      <c r="V109"/>
      <c r="W109"/>
      <c r="X109"/>
      <c r="Y109"/>
      <c r="Z109"/>
      <c r="AA109" s="368"/>
      <c r="AB109" s="368"/>
    </row>
    <row r="110" spans="1:28" ht="12.75" customHeight="1">
      <c r="O110"/>
      <c r="P110"/>
      <c r="Q110"/>
      <c r="R110"/>
      <c r="S110"/>
      <c r="T110"/>
      <c r="U110"/>
      <c r="V110"/>
      <c r="W110"/>
      <c r="X110"/>
      <c r="Y110"/>
      <c r="Z110"/>
      <c r="AA110" s="372"/>
      <c r="AB110" s="372"/>
    </row>
    <row r="111" spans="1:28" ht="12.75" customHeight="1">
      <c r="O111"/>
      <c r="P111"/>
      <c r="Q111"/>
      <c r="R111"/>
      <c r="S111"/>
      <c r="T111"/>
      <c r="U111"/>
      <c r="V111"/>
      <c r="W111"/>
      <c r="X111"/>
      <c r="Y111"/>
      <c r="Z111"/>
      <c r="AA111" s="372"/>
      <c r="AB111" s="372"/>
    </row>
    <row r="112" spans="1:28" ht="12.75" customHeight="1">
      <c r="O112"/>
      <c r="P112"/>
      <c r="Q112"/>
      <c r="R112"/>
      <c r="S112"/>
      <c r="T112"/>
      <c r="U112"/>
      <c r="V112"/>
      <c r="W112"/>
      <c r="X112"/>
      <c r="Y112"/>
      <c r="Z112"/>
      <c r="AA112" s="373"/>
      <c r="AB112" s="373"/>
    </row>
    <row r="113" spans="15:28" ht="12.75" customHeight="1">
      <c r="O113"/>
      <c r="P113"/>
      <c r="Q113"/>
      <c r="R113"/>
      <c r="S113"/>
      <c r="T113"/>
      <c r="U113"/>
      <c r="V113"/>
      <c r="W113"/>
      <c r="X113"/>
      <c r="Y113"/>
      <c r="Z113"/>
      <c r="AA113" s="373"/>
      <c r="AB113" s="373"/>
    </row>
    <row r="114" spans="15:28" ht="12.75" customHeight="1">
      <c r="O114"/>
      <c r="P114"/>
      <c r="Q114"/>
      <c r="R114"/>
      <c r="S114"/>
      <c r="T114"/>
      <c r="U114"/>
      <c r="V114"/>
      <c r="W114"/>
      <c r="X114"/>
      <c r="Y114"/>
      <c r="Z114"/>
      <c r="AA114" s="373"/>
      <c r="AB114" s="373"/>
    </row>
    <row r="115" spans="15:28" ht="12.75" customHeight="1">
      <c r="O115"/>
      <c r="P115"/>
      <c r="Q115"/>
      <c r="R115"/>
      <c r="S115"/>
      <c r="T115"/>
      <c r="U115"/>
      <c r="V115"/>
      <c r="W115"/>
      <c r="X115"/>
      <c r="Y115"/>
      <c r="Z115"/>
      <c r="AA115" s="368"/>
      <c r="AB115" s="368"/>
    </row>
    <row r="116" spans="15:28" ht="12.75" customHeight="1">
      <c r="O116"/>
      <c r="P116"/>
      <c r="Q116"/>
      <c r="R116"/>
      <c r="S116"/>
      <c r="T116"/>
      <c r="U116"/>
      <c r="V116"/>
      <c r="W116"/>
      <c r="X116"/>
      <c r="Y116"/>
      <c r="Z116"/>
      <c r="AA116" s="368"/>
      <c r="AB116" s="368"/>
    </row>
    <row r="117" spans="15:28" ht="12.75" customHeight="1">
      <c r="O117"/>
      <c r="P117"/>
      <c r="Q117"/>
      <c r="R117"/>
      <c r="S117"/>
      <c r="T117"/>
      <c r="U117"/>
      <c r="V117"/>
      <c r="W117"/>
      <c r="X117"/>
      <c r="Y117"/>
      <c r="Z117"/>
      <c r="AA117" s="372"/>
      <c r="AB117" s="372"/>
    </row>
    <row r="118" spans="15:28" ht="12.75" customHeight="1">
      <c r="O118"/>
      <c r="P118"/>
      <c r="Q118"/>
      <c r="R118"/>
      <c r="S118"/>
      <c r="T118"/>
      <c r="U118"/>
      <c r="V118"/>
      <c r="W118"/>
      <c r="X118"/>
      <c r="Y118"/>
      <c r="Z118"/>
      <c r="AA118" s="373"/>
      <c r="AB118" s="373"/>
    </row>
    <row r="119" spans="15:28" ht="12.75" customHeight="1">
      <c r="O119"/>
      <c r="P119"/>
      <c r="Q119"/>
      <c r="R119"/>
      <c r="S119"/>
      <c r="T119"/>
      <c r="U119"/>
      <c r="V119"/>
      <c r="W119"/>
      <c r="X119"/>
      <c r="Y119"/>
      <c r="Z119"/>
      <c r="AA119" s="373"/>
      <c r="AB119" s="373"/>
    </row>
    <row r="120" spans="15:28" ht="12.75" customHeight="1">
      <c r="O120"/>
      <c r="P120"/>
      <c r="Q120"/>
      <c r="R120"/>
      <c r="S120"/>
      <c r="T120"/>
      <c r="U120"/>
      <c r="V120"/>
      <c r="W120"/>
      <c r="X120"/>
      <c r="Y120"/>
      <c r="Z120"/>
      <c r="AA120" s="368"/>
      <c r="AB120" s="368"/>
    </row>
    <row r="121" spans="15:28" ht="12.75" customHeight="1">
      <c r="O121"/>
      <c r="P121"/>
      <c r="Q121"/>
      <c r="R121"/>
      <c r="S121"/>
      <c r="T121"/>
      <c r="U121"/>
      <c r="V121"/>
      <c r="W121"/>
      <c r="X121"/>
      <c r="Y121"/>
      <c r="Z121"/>
      <c r="AA121" s="368"/>
      <c r="AB121" s="368"/>
    </row>
    <row r="122" spans="15:28" ht="12.75" customHeight="1">
      <c r="O122"/>
      <c r="P122"/>
      <c r="Q122"/>
      <c r="R122"/>
      <c r="S122"/>
      <c r="T122"/>
      <c r="U122"/>
      <c r="V122"/>
      <c r="W122"/>
      <c r="X122"/>
      <c r="Y122"/>
      <c r="Z122"/>
      <c r="AA122" s="368"/>
      <c r="AB122" s="368"/>
    </row>
    <row r="123" spans="15:28" ht="12.75" customHeight="1">
      <c r="O123"/>
      <c r="P123"/>
      <c r="Q123"/>
      <c r="R123"/>
      <c r="S123"/>
      <c r="T123"/>
      <c r="U123"/>
      <c r="V123"/>
      <c r="W123"/>
      <c r="X123"/>
      <c r="Y123"/>
      <c r="Z123"/>
      <c r="AA123" s="368"/>
      <c r="AB123" s="368"/>
    </row>
    <row r="124" spans="15:28" ht="12.75" customHeight="1">
      <c r="O124"/>
      <c r="P124"/>
      <c r="Q124"/>
      <c r="R124"/>
      <c r="S124"/>
      <c r="T124"/>
      <c r="U124"/>
      <c r="V124"/>
      <c r="W124"/>
      <c r="X124"/>
      <c r="Y124"/>
      <c r="Z124"/>
      <c r="AA124" s="373"/>
      <c r="AB124" s="373"/>
    </row>
    <row r="125" spans="15:28" ht="12.75" customHeight="1">
      <c r="O125"/>
      <c r="P125"/>
      <c r="Q125"/>
      <c r="R125"/>
      <c r="S125"/>
      <c r="T125"/>
      <c r="U125"/>
      <c r="V125"/>
      <c r="W125"/>
      <c r="X125"/>
      <c r="Y125"/>
      <c r="Z125"/>
      <c r="AA125" s="373"/>
      <c r="AB125" s="373"/>
    </row>
    <row r="126" spans="15:28" ht="12.75" customHeight="1">
      <c r="O126"/>
      <c r="P126"/>
      <c r="Q126"/>
      <c r="R126"/>
      <c r="S126"/>
      <c r="T126"/>
      <c r="U126"/>
      <c r="V126"/>
      <c r="W126"/>
      <c r="X126"/>
      <c r="Y126"/>
      <c r="Z126"/>
      <c r="AA126" s="373"/>
      <c r="AB126" s="373"/>
    </row>
    <row r="127" spans="15:28" ht="12.75" customHeight="1">
      <c r="O127"/>
      <c r="P127"/>
      <c r="Q127"/>
      <c r="R127"/>
      <c r="S127"/>
      <c r="T127"/>
      <c r="U127"/>
      <c r="V127"/>
      <c r="W127"/>
      <c r="X127"/>
      <c r="Y127"/>
      <c r="Z127"/>
      <c r="AA127" s="373"/>
      <c r="AB127" s="373"/>
    </row>
    <row r="128" spans="15:28" ht="13.5" customHeight="1">
      <c r="O128"/>
      <c r="P128"/>
      <c r="Q128"/>
      <c r="R128"/>
      <c r="S128"/>
      <c r="T128"/>
      <c r="U128"/>
      <c r="V128"/>
      <c r="W128"/>
      <c r="X128"/>
      <c r="Y128"/>
      <c r="Z128"/>
      <c r="AA128" s="373"/>
      <c r="AB128" s="373"/>
    </row>
    <row r="129" spans="15:28" ht="13.5" customHeight="1">
      <c r="O129"/>
      <c r="P129"/>
      <c r="Q129"/>
      <c r="R129"/>
      <c r="S129"/>
      <c r="T129"/>
      <c r="U129"/>
      <c r="V129"/>
      <c r="W129"/>
      <c r="X129"/>
      <c r="Y129"/>
      <c r="Z129"/>
      <c r="AA129" s="373"/>
      <c r="AB129" s="373"/>
    </row>
    <row r="130" spans="15:28" ht="13.5" customHeight="1">
      <c r="O130"/>
      <c r="P130"/>
      <c r="Q130"/>
      <c r="R130"/>
      <c r="S130"/>
      <c r="T130"/>
      <c r="U130"/>
      <c r="V130"/>
      <c r="W130"/>
      <c r="X130"/>
      <c r="Y130"/>
      <c r="Z130"/>
      <c r="AA130" s="373"/>
      <c r="AB130" s="373"/>
    </row>
    <row r="131" spans="15:28" ht="13.5" customHeight="1">
      <c r="O131"/>
      <c r="P131"/>
      <c r="Q131"/>
      <c r="R131"/>
      <c r="S131"/>
      <c r="T131"/>
      <c r="U131"/>
      <c r="V131"/>
      <c r="W131"/>
      <c r="X131"/>
      <c r="Y131"/>
      <c r="Z131"/>
      <c r="AA131" s="373"/>
      <c r="AB131" s="373"/>
    </row>
    <row r="132" spans="15:28" ht="12.75" customHeight="1">
      <c r="O132"/>
      <c r="P132"/>
      <c r="Q132"/>
      <c r="R132"/>
      <c r="S132"/>
      <c r="T132"/>
      <c r="U132"/>
      <c r="V132"/>
      <c r="W132"/>
      <c r="X132"/>
      <c r="Y132"/>
      <c r="Z132"/>
      <c r="AA132" s="373"/>
      <c r="AB132" s="373"/>
    </row>
    <row r="133" spans="15:28" ht="12.75" customHeight="1">
      <c r="O133"/>
      <c r="P133"/>
      <c r="Q133"/>
      <c r="R133"/>
      <c r="S133"/>
      <c r="T133"/>
      <c r="U133"/>
      <c r="V133"/>
      <c r="W133"/>
      <c r="X133"/>
      <c r="Y133"/>
      <c r="Z133"/>
      <c r="AA133" s="373"/>
      <c r="AB133" s="373"/>
    </row>
    <row r="134" spans="15:28" ht="12.75" customHeight="1">
      <c r="O134"/>
      <c r="P134"/>
      <c r="Q134"/>
      <c r="R134"/>
      <c r="S134"/>
      <c r="T134"/>
      <c r="U134"/>
      <c r="V134"/>
      <c r="W134"/>
      <c r="X134"/>
      <c r="Y134"/>
      <c r="Z134"/>
      <c r="AA134" s="373"/>
      <c r="AB134" s="373"/>
    </row>
    <row r="135" spans="15:28" ht="12.75" customHeight="1">
      <c r="O135"/>
      <c r="P135"/>
      <c r="Q135"/>
      <c r="R135"/>
      <c r="S135"/>
      <c r="T135"/>
      <c r="U135"/>
      <c r="V135"/>
      <c r="W135"/>
      <c r="X135"/>
      <c r="Y135"/>
      <c r="Z135"/>
      <c r="AA135" s="373"/>
      <c r="AB135" s="373"/>
    </row>
    <row r="136" spans="15:28" ht="12.75" customHeight="1">
      <c r="O136"/>
      <c r="P136"/>
      <c r="Q136"/>
      <c r="R136"/>
      <c r="S136"/>
      <c r="T136"/>
      <c r="U136"/>
      <c r="V136"/>
      <c r="W136"/>
      <c r="X136"/>
      <c r="Y136"/>
      <c r="Z136"/>
      <c r="AA136" s="373"/>
      <c r="AB136" s="373"/>
    </row>
    <row r="137" spans="15:28" ht="12.75" customHeight="1">
      <c r="O137"/>
      <c r="P137"/>
      <c r="Q137"/>
      <c r="R137"/>
      <c r="S137"/>
      <c r="T137"/>
      <c r="U137"/>
      <c r="V137"/>
      <c r="W137"/>
      <c r="X137"/>
      <c r="Y137"/>
      <c r="Z137"/>
      <c r="AA137" s="373"/>
      <c r="AB137" s="373"/>
    </row>
    <row r="138" spans="15:28" ht="12.75" customHeight="1">
      <c r="O138"/>
      <c r="P138"/>
      <c r="Q138"/>
      <c r="R138"/>
      <c r="S138"/>
      <c r="T138"/>
      <c r="U138"/>
      <c r="V138"/>
      <c r="W138"/>
      <c r="X138"/>
      <c r="Y138"/>
      <c r="Z138"/>
      <c r="AA138" s="376"/>
      <c r="AB138" s="376"/>
    </row>
    <row r="139" spans="15:28" ht="12.75" customHeight="1">
      <c r="O139"/>
      <c r="P139"/>
      <c r="Q139"/>
      <c r="R139"/>
      <c r="S139"/>
      <c r="T139"/>
      <c r="U139"/>
      <c r="V139"/>
      <c r="W139"/>
      <c r="X139"/>
      <c r="Y139"/>
      <c r="Z139"/>
      <c r="AA139" s="376"/>
      <c r="AB139" s="376"/>
    </row>
    <row r="140" spans="15:28" ht="12.75" customHeight="1">
      <c r="O140"/>
      <c r="P140"/>
      <c r="Q140"/>
      <c r="R140"/>
      <c r="S140"/>
      <c r="T140"/>
      <c r="U140"/>
      <c r="V140"/>
      <c r="W140"/>
      <c r="X140"/>
      <c r="Y140"/>
      <c r="Z140"/>
      <c r="AA140" s="376"/>
      <c r="AB140" s="376"/>
    </row>
    <row r="141" spans="15:28" ht="12.75" customHeight="1">
      <c r="O141"/>
      <c r="P141"/>
      <c r="Q141"/>
      <c r="R141"/>
      <c r="S141"/>
      <c r="T141"/>
      <c r="U141"/>
      <c r="V141"/>
      <c r="W141"/>
      <c r="X141"/>
      <c r="Y141"/>
      <c r="Z141"/>
      <c r="AA141" s="376"/>
      <c r="AB141" s="376"/>
    </row>
    <row r="142" spans="15:28" ht="12.75" customHeight="1">
      <c r="O142"/>
      <c r="P142"/>
      <c r="Q142"/>
      <c r="R142"/>
      <c r="S142"/>
      <c r="T142"/>
      <c r="U142"/>
      <c r="V142"/>
      <c r="W142"/>
      <c r="X142"/>
      <c r="Y142"/>
      <c r="Z142"/>
      <c r="AA142" s="376"/>
      <c r="AB142" s="376"/>
    </row>
    <row r="143" spans="15:28" ht="12.75" customHeight="1">
      <c r="O143"/>
      <c r="P143"/>
      <c r="Q143"/>
      <c r="R143"/>
      <c r="S143"/>
      <c r="T143"/>
      <c r="U143"/>
      <c r="V143"/>
      <c r="W143"/>
      <c r="X143"/>
      <c r="Y143"/>
      <c r="Z143"/>
      <c r="AA143" s="376"/>
      <c r="AB143" s="376"/>
    </row>
    <row r="144" spans="15:28" ht="12.75" customHeight="1">
      <c r="O144"/>
      <c r="P144"/>
      <c r="Q144"/>
      <c r="R144"/>
      <c r="S144"/>
      <c r="T144"/>
      <c r="U144"/>
      <c r="V144"/>
      <c r="W144"/>
      <c r="X144"/>
      <c r="Y144"/>
      <c r="Z144"/>
      <c r="AA144" s="376"/>
      <c r="AB144" s="376"/>
    </row>
    <row r="145" spans="15:28" ht="12.75" customHeight="1">
      <c r="O145"/>
      <c r="P145"/>
      <c r="Q145"/>
      <c r="R145"/>
      <c r="S145"/>
      <c r="T145"/>
      <c r="U145"/>
      <c r="V145"/>
      <c r="W145"/>
      <c r="X145"/>
      <c r="Y145"/>
      <c r="Z145"/>
      <c r="AA145" s="376"/>
      <c r="AB145" s="376"/>
    </row>
    <row r="146" spans="15:28" ht="12.75" customHeight="1">
      <c r="O146"/>
      <c r="P146"/>
      <c r="Q146"/>
      <c r="R146"/>
      <c r="S146"/>
      <c r="T146"/>
      <c r="U146"/>
      <c r="V146"/>
      <c r="W146"/>
      <c r="X146"/>
      <c r="Y146"/>
      <c r="Z146"/>
      <c r="AA146" s="376"/>
      <c r="AB146" s="376"/>
    </row>
    <row r="147" spans="15:28" ht="12.75" customHeight="1">
      <c r="O147"/>
      <c r="P147"/>
      <c r="Q147"/>
      <c r="R147"/>
      <c r="S147"/>
      <c r="T147"/>
      <c r="U147"/>
      <c r="V147"/>
      <c r="W147"/>
      <c r="X147"/>
      <c r="Y147"/>
      <c r="Z147"/>
      <c r="AA147" s="376"/>
      <c r="AB147" s="376"/>
    </row>
    <row r="148" spans="15:28" ht="12.75" customHeight="1">
      <c r="O148"/>
      <c r="P148"/>
      <c r="Q148"/>
      <c r="R148"/>
      <c r="S148"/>
      <c r="T148"/>
      <c r="U148"/>
      <c r="V148"/>
      <c r="W148"/>
      <c r="X148"/>
      <c r="Y148"/>
      <c r="Z148"/>
      <c r="AA148" s="376"/>
      <c r="AB148" s="376"/>
    </row>
    <row r="149" spans="15:28" ht="12.75" customHeight="1">
      <c r="O149"/>
      <c r="P149"/>
      <c r="Q149"/>
      <c r="R149"/>
      <c r="S149"/>
      <c r="T149"/>
      <c r="U149"/>
      <c r="V149"/>
      <c r="W149"/>
      <c r="X149"/>
      <c r="Y149"/>
      <c r="Z149"/>
      <c r="AA149" s="376"/>
      <c r="AB149" s="376"/>
    </row>
    <row r="150" spans="15:28" ht="12.75" customHeight="1">
      <c r="O150"/>
      <c r="P150"/>
      <c r="Q150"/>
      <c r="R150"/>
      <c r="S150"/>
      <c r="T150"/>
      <c r="U150"/>
      <c r="V150"/>
      <c r="W150"/>
      <c r="X150"/>
      <c r="Y150"/>
      <c r="Z150"/>
      <c r="AA150" s="376"/>
      <c r="AB150" s="376"/>
    </row>
    <row r="151" spans="15:28" ht="12.75" customHeight="1">
      <c r="O151"/>
      <c r="P151"/>
      <c r="Q151"/>
      <c r="R151"/>
      <c r="S151"/>
      <c r="T151"/>
      <c r="U151"/>
      <c r="V151"/>
      <c r="W151"/>
      <c r="X151"/>
      <c r="Y151"/>
      <c r="Z151"/>
      <c r="AA151" s="376"/>
      <c r="AB151" s="376"/>
    </row>
    <row r="152" spans="15:28" ht="12.75" customHeight="1">
      <c r="O152"/>
      <c r="P152"/>
      <c r="Q152"/>
      <c r="R152"/>
      <c r="S152"/>
      <c r="T152"/>
      <c r="U152"/>
      <c r="V152"/>
      <c r="W152"/>
      <c r="X152"/>
      <c r="Y152"/>
      <c r="Z152"/>
      <c r="AA152" s="376"/>
      <c r="AB152" s="376"/>
    </row>
    <row r="153" spans="15:28" ht="12.75" customHeight="1">
      <c r="O153"/>
      <c r="P153"/>
      <c r="Q153"/>
      <c r="R153"/>
      <c r="S153"/>
      <c r="T153"/>
      <c r="U153"/>
      <c r="V153"/>
      <c r="W153"/>
      <c r="X153"/>
      <c r="Y153"/>
      <c r="Z153"/>
      <c r="AA153" s="376"/>
      <c r="AB153" s="376"/>
    </row>
    <row r="154" spans="15:28" ht="12.75" customHeight="1">
      <c r="O154"/>
      <c r="P154"/>
      <c r="Q154"/>
      <c r="R154"/>
      <c r="S154"/>
      <c r="T154"/>
      <c r="U154"/>
      <c r="V154"/>
      <c r="W154"/>
      <c r="X154"/>
      <c r="Y154"/>
      <c r="Z154"/>
      <c r="AA154" s="377"/>
      <c r="AB154" s="377"/>
    </row>
    <row r="155" spans="15:28" ht="12.75" customHeight="1">
      <c r="O155"/>
      <c r="P155"/>
      <c r="Q155"/>
      <c r="R155"/>
      <c r="S155"/>
      <c r="T155"/>
      <c r="U155"/>
      <c r="V155"/>
      <c r="W155"/>
      <c r="X155"/>
      <c r="Y155"/>
      <c r="Z155"/>
      <c r="AA155" s="368"/>
      <c r="AB155" s="368"/>
    </row>
    <row r="156" spans="15:28" ht="12.75" customHeight="1">
      <c r="O156"/>
      <c r="P156"/>
      <c r="Q156"/>
      <c r="R156"/>
      <c r="S156"/>
      <c r="T156"/>
      <c r="U156"/>
      <c r="V156"/>
      <c r="W156"/>
      <c r="X156"/>
      <c r="Y156"/>
      <c r="Z156"/>
      <c r="AA156" s="368"/>
      <c r="AB156" s="368"/>
    </row>
    <row r="157" spans="15:28" ht="12.75" customHeight="1">
      <c r="O157"/>
      <c r="P157"/>
      <c r="Q157"/>
      <c r="R157"/>
      <c r="S157"/>
      <c r="T157"/>
      <c r="U157"/>
      <c r="V157"/>
      <c r="W157"/>
      <c r="X157"/>
      <c r="Y157"/>
      <c r="Z157"/>
      <c r="AA157" s="378"/>
      <c r="AB157" s="378"/>
    </row>
    <row r="158" spans="15:28" ht="12.75" customHeight="1">
      <c r="O158"/>
      <c r="P158"/>
      <c r="Q158"/>
      <c r="R158"/>
      <c r="S158"/>
      <c r="T158"/>
      <c r="U158"/>
      <c r="V158"/>
      <c r="W158"/>
      <c r="X158"/>
      <c r="Y158"/>
      <c r="Z158"/>
      <c r="AA158" s="373"/>
      <c r="AB158" s="373"/>
    </row>
    <row r="159" spans="15:28" ht="12.75" customHeight="1">
      <c r="O159"/>
      <c r="P159"/>
      <c r="Q159"/>
      <c r="R159"/>
      <c r="S159"/>
      <c r="T159"/>
      <c r="U159"/>
      <c r="V159"/>
      <c r="W159"/>
      <c r="X159"/>
      <c r="Y159"/>
      <c r="Z159"/>
      <c r="AA159" s="373"/>
      <c r="AB159" s="373"/>
    </row>
    <row r="160" spans="15:28" ht="12.75" customHeight="1">
      <c r="O160"/>
      <c r="P160"/>
      <c r="Q160"/>
      <c r="R160"/>
      <c r="S160"/>
      <c r="T160"/>
      <c r="U160"/>
      <c r="V160"/>
      <c r="W160"/>
      <c r="X160"/>
      <c r="Y160"/>
      <c r="Z160"/>
      <c r="AA160" s="373"/>
      <c r="AB160" s="373"/>
    </row>
    <row r="161" spans="15:28" ht="12.75" customHeight="1">
      <c r="O161"/>
      <c r="P161"/>
      <c r="Q161"/>
      <c r="R161"/>
      <c r="S161"/>
      <c r="T161"/>
      <c r="U161"/>
      <c r="V161"/>
      <c r="W161"/>
      <c r="X161"/>
      <c r="Y161"/>
      <c r="Z161"/>
      <c r="AA161" s="373"/>
      <c r="AB161" s="373"/>
    </row>
    <row r="162" spans="15:28" ht="12.75" customHeight="1">
      <c r="O162"/>
      <c r="P162"/>
      <c r="Q162"/>
      <c r="R162"/>
      <c r="S162"/>
      <c r="T162"/>
      <c r="U162"/>
      <c r="V162"/>
      <c r="W162"/>
      <c r="X162"/>
      <c r="Y162"/>
      <c r="Z162"/>
      <c r="AA162" s="368"/>
      <c r="AB162" s="368"/>
    </row>
    <row r="163" spans="15:28" ht="12.75" customHeight="1">
      <c r="O163"/>
      <c r="P163"/>
      <c r="Q163"/>
      <c r="R163"/>
      <c r="S163"/>
      <c r="T163"/>
      <c r="U163"/>
      <c r="V163"/>
      <c r="W163"/>
      <c r="X163"/>
      <c r="Y163"/>
      <c r="Z163"/>
      <c r="AA163" s="368"/>
      <c r="AB163" s="368"/>
    </row>
    <row r="164" spans="15:28" ht="12.75" customHeight="1">
      <c r="O164"/>
      <c r="P164"/>
      <c r="Q164"/>
      <c r="R164"/>
      <c r="S164"/>
      <c r="T164"/>
      <c r="U164"/>
      <c r="V164"/>
      <c r="W164"/>
      <c r="X164"/>
      <c r="Y164"/>
      <c r="Z164"/>
      <c r="AA164" s="379"/>
      <c r="AB164" s="379"/>
    </row>
    <row r="165" spans="15:28" ht="12.75" customHeight="1">
      <c r="O165"/>
      <c r="P165"/>
      <c r="Q165"/>
      <c r="R165"/>
      <c r="S165"/>
      <c r="T165"/>
      <c r="U165"/>
      <c r="V165"/>
      <c r="W165"/>
      <c r="X165"/>
      <c r="Y165"/>
      <c r="Z165"/>
      <c r="AA165" s="379"/>
      <c r="AB165" s="379"/>
    </row>
    <row r="166" spans="15:28" ht="12.75" customHeight="1">
      <c r="O166"/>
      <c r="P166"/>
      <c r="Q166"/>
      <c r="R166"/>
      <c r="S166"/>
      <c r="T166"/>
      <c r="U166"/>
      <c r="V166"/>
      <c r="W166"/>
      <c r="X166"/>
      <c r="Y166"/>
      <c r="Z166"/>
      <c r="AA166" s="379"/>
      <c r="AB166" s="379"/>
    </row>
    <row r="167" spans="15:28" ht="12.75" customHeight="1">
      <c r="O167"/>
      <c r="P167"/>
      <c r="Q167"/>
      <c r="R167"/>
      <c r="S167"/>
      <c r="T167"/>
      <c r="U167"/>
      <c r="V167"/>
      <c r="W167"/>
      <c r="X167"/>
      <c r="Y167"/>
      <c r="Z167"/>
      <c r="AA167" s="373"/>
      <c r="AB167" s="373"/>
    </row>
    <row r="168" spans="15:28" ht="12.75" customHeight="1">
      <c r="O168"/>
      <c r="P168"/>
      <c r="Q168"/>
      <c r="R168"/>
      <c r="S168"/>
      <c r="T168"/>
      <c r="U168"/>
      <c r="V168"/>
      <c r="W168"/>
      <c r="X168"/>
      <c r="Y168"/>
      <c r="Z168"/>
      <c r="AA168" s="368"/>
      <c r="AB168" s="368"/>
    </row>
    <row r="169" spans="15:28" ht="12.75" customHeight="1">
      <c r="O169"/>
      <c r="P169"/>
      <c r="Q169"/>
      <c r="R169"/>
      <c r="S169"/>
      <c r="T169"/>
      <c r="U169"/>
      <c r="V169"/>
      <c r="W169"/>
      <c r="X169"/>
      <c r="Y169"/>
      <c r="Z169"/>
      <c r="AA169" s="368"/>
      <c r="AB169" s="368"/>
    </row>
    <row r="170" spans="15:28" ht="12.75" customHeight="1">
      <c r="O170"/>
      <c r="P170"/>
      <c r="Q170"/>
      <c r="R170"/>
      <c r="S170"/>
      <c r="T170"/>
      <c r="U170"/>
      <c r="V170"/>
      <c r="W170"/>
      <c r="X170"/>
      <c r="Y170"/>
      <c r="Z170"/>
      <c r="AA170" s="379"/>
      <c r="AB170" s="379"/>
    </row>
    <row r="171" spans="15:28" ht="12.75" customHeight="1">
      <c r="O171"/>
      <c r="P171"/>
      <c r="Q171"/>
      <c r="R171"/>
      <c r="S171"/>
      <c r="T171"/>
      <c r="U171"/>
      <c r="V171"/>
      <c r="W171"/>
      <c r="X171"/>
      <c r="Y171"/>
      <c r="Z171"/>
      <c r="AA171" s="379"/>
      <c r="AB171" s="379"/>
    </row>
    <row r="172" spans="15:28" ht="12.75" customHeight="1">
      <c r="O172"/>
      <c r="P172"/>
      <c r="Q172"/>
      <c r="R172"/>
      <c r="S172"/>
      <c r="T172"/>
      <c r="U172"/>
      <c r="V172"/>
      <c r="W172"/>
      <c r="X172"/>
      <c r="Y172"/>
      <c r="Z172"/>
      <c r="AA172" s="379"/>
      <c r="AB172" s="379"/>
    </row>
    <row r="173" spans="15:28" ht="12.75" customHeight="1">
      <c r="O173"/>
      <c r="P173"/>
      <c r="Q173"/>
      <c r="R173"/>
      <c r="S173"/>
      <c r="T173"/>
      <c r="U173"/>
      <c r="V173"/>
      <c r="W173"/>
      <c r="X173"/>
      <c r="Y173"/>
      <c r="Z173"/>
      <c r="AA173" s="373"/>
      <c r="AB173" s="373"/>
    </row>
    <row r="174" spans="15:28" ht="12.75" customHeight="1">
      <c r="O174"/>
      <c r="P174"/>
      <c r="Q174"/>
      <c r="R174"/>
      <c r="S174"/>
      <c r="T174"/>
      <c r="U174"/>
      <c r="V174"/>
      <c r="W174"/>
      <c r="X174"/>
      <c r="Y174"/>
      <c r="Z174"/>
      <c r="AA174" s="368"/>
      <c r="AB174" s="368"/>
    </row>
    <row r="175" spans="15:28" ht="12.75" customHeight="1">
      <c r="O175"/>
      <c r="P175"/>
      <c r="Q175"/>
      <c r="R175"/>
      <c r="S175"/>
      <c r="T175"/>
      <c r="U175"/>
      <c r="V175"/>
      <c r="W175"/>
      <c r="X175"/>
      <c r="Y175"/>
      <c r="Z175"/>
      <c r="AA175" s="368"/>
      <c r="AB175" s="368"/>
    </row>
    <row r="176" spans="15:28" ht="12.75" customHeight="1">
      <c r="O176"/>
      <c r="P176"/>
      <c r="Q176"/>
      <c r="R176"/>
      <c r="S176"/>
      <c r="T176"/>
      <c r="U176"/>
      <c r="V176"/>
      <c r="W176"/>
      <c r="X176"/>
      <c r="Y176"/>
      <c r="Z176"/>
      <c r="AA176" s="379"/>
      <c r="AB176" s="379"/>
    </row>
    <row r="177" spans="15:28" ht="12.75" customHeight="1">
      <c r="O177"/>
      <c r="P177"/>
      <c r="Q177"/>
      <c r="R177"/>
      <c r="S177"/>
      <c r="T177"/>
      <c r="U177"/>
      <c r="V177"/>
      <c r="W177"/>
      <c r="X177"/>
      <c r="Y177"/>
      <c r="Z177"/>
      <c r="AA177" s="379"/>
      <c r="AB177" s="379"/>
    </row>
    <row r="178" spans="15:28" ht="12.75" customHeight="1">
      <c r="O178"/>
      <c r="P178"/>
      <c r="Q178"/>
      <c r="R178"/>
      <c r="S178"/>
      <c r="T178"/>
      <c r="U178"/>
      <c r="V178"/>
      <c r="W178"/>
      <c r="X178"/>
      <c r="Y178"/>
      <c r="Z178"/>
      <c r="AA178" s="379"/>
      <c r="AB178" s="379"/>
    </row>
    <row r="179" spans="15:28" ht="12.75" customHeight="1">
      <c r="O179"/>
      <c r="P179"/>
      <c r="Q179"/>
      <c r="R179"/>
      <c r="S179"/>
      <c r="T179"/>
      <c r="U179"/>
      <c r="V179"/>
      <c r="W179"/>
      <c r="X179"/>
      <c r="Y179"/>
      <c r="Z179"/>
      <c r="AA179" s="373"/>
      <c r="AB179" s="373"/>
    </row>
    <row r="180" spans="15:28" ht="12.75" customHeight="1">
      <c r="O180"/>
      <c r="P180"/>
      <c r="Q180"/>
      <c r="R180"/>
      <c r="S180"/>
      <c r="T180"/>
      <c r="U180"/>
      <c r="V180"/>
      <c r="W180"/>
      <c r="X180"/>
      <c r="Y180"/>
      <c r="Z180"/>
      <c r="AA180" s="373"/>
      <c r="AB180" s="373"/>
    </row>
    <row r="181" spans="15:28" ht="12.75" customHeight="1">
      <c r="O181"/>
      <c r="P181"/>
      <c r="Q181"/>
      <c r="R181"/>
      <c r="S181"/>
      <c r="T181"/>
      <c r="U181"/>
      <c r="V181"/>
      <c r="W181"/>
      <c r="X181"/>
      <c r="Y181"/>
      <c r="Z181"/>
      <c r="AA181" s="368"/>
      <c r="AB181" s="368"/>
    </row>
    <row r="182" spans="15:28" ht="12.75" customHeight="1">
      <c r="O182"/>
      <c r="P182"/>
      <c r="Q182"/>
      <c r="R182"/>
      <c r="S182"/>
      <c r="T182"/>
      <c r="U182"/>
      <c r="V182"/>
      <c r="W182"/>
      <c r="X182"/>
      <c r="Y182"/>
      <c r="Z182"/>
      <c r="AA182" s="368"/>
      <c r="AB182" s="368"/>
    </row>
    <row r="183" spans="15:28" ht="12.75" customHeight="1">
      <c r="O183"/>
      <c r="P183"/>
      <c r="Q183"/>
      <c r="R183"/>
      <c r="S183"/>
      <c r="T183"/>
      <c r="U183"/>
      <c r="V183"/>
      <c r="W183"/>
      <c r="X183"/>
      <c r="Y183"/>
      <c r="Z183"/>
      <c r="AA183" s="381"/>
      <c r="AB183" s="381"/>
    </row>
    <row r="184" spans="15:28" ht="12.75" customHeight="1">
      <c r="O184"/>
      <c r="P184"/>
      <c r="Q184"/>
      <c r="R184"/>
      <c r="S184"/>
      <c r="T184"/>
      <c r="U184"/>
      <c r="V184"/>
      <c r="W184"/>
      <c r="X184"/>
      <c r="Y184"/>
      <c r="Z184"/>
      <c r="AA184" s="382"/>
      <c r="AB184" s="382"/>
    </row>
    <row r="185" spans="15:28" ht="12.75" customHeight="1">
      <c r="O185"/>
      <c r="P185"/>
      <c r="Q185"/>
      <c r="R185"/>
      <c r="S185"/>
      <c r="T185"/>
      <c r="U185"/>
      <c r="V185"/>
      <c r="W185"/>
      <c r="X185"/>
      <c r="Y185"/>
      <c r="Z185"/>
      <c r="AA185" s="383"/>
      <c r="AB185" s="383"/>
    </row>
    <row r="186" spans="15:28" ht="12.75" customHeight="1">
      <c r="O186"/>
      <c r="P186"/>
      <c r="Q186"/>
      <c r="R186"/>
      <c r="S186"/>
      <c r="T186"/>
      <c r="U186"/>
      <c r="V186"/>
      <c r="W186"/>
      <c r="X186"/>
      <c r="Y186"/>
      <c r="Z186"/>
      <c r="AA186" s="373"/>
      <c r="AB186" s="373"/>
    </row>
    <row r="187" spans="15:28" ht="12.75" customHeight="1">
      <c r="O187"/>
      <c r="P187"/>
      <c r="Q187"/>
      <c r="R187"/>
      <c r="S187"/>
      <c r="T187"/>
      <c r="U187"/>
      <c r="V187"/>
      <c r="W187"/>
      <c r="X187"/>
      <c r="Y187"/>
      <c r="Z187"/>
      <c r="AA187" s="373"/>
      <c r="AB187" s="373"/>
    </row>
    <row r="188" spans="15:28" ht="12.75" customHeight="1">
      <c r="O188"/>
      <c r="P188"/>
      <c r="Q188"/>
      <c r="R188"/>
      <c r="S188"/>
      <c r="T188"/>
      <c r="U188"/>
      <c r="V188"/>
      <c r="W188"/>
      <c r="X188"/>
      <c r="Y188"/>
      <c r="Z188"/>
      <c r="AA188" s="373"/>
      <c r="AB188" s="373"/>
    </row>
    <row r="189" spans="15:28" ht="12.75" customHeight="1">
      <c r="O189"/>
      <c r="P189"/>
      <c r="Q189"/>
      <c r="R189"/>
      <c r="S189"/>
      <c r="T189"/>
      <c r="U189"/>
      <c r="V189"/>
      <c r="W189"/>
      <c r="X189"/>
      <c r="Y189"/>
      <c r="Z189"/>
      <c r="AA189" s="373"/>
      <c r="AB189" s="373"/>
    </row>
    <row r="190" spans="15:28" ht="12.75" customHeight="1">
      <c r="O190"/>
      <c r="P190"/>
      <c r="Q190"/>
      <c r="R190"/>
      <c r="S190"/>
      <c r="T190"/>
      <c r="U190"/>
      <c r="V190"/>
      <c r="W190"/>
      <c r="X190"/>
      <c r="Y190"/>
      <c r="Z190"/>
      <c r="AA190" s="373"/>
      <c r="AB190" s="373"/>
    </row>
    <row r="191" spans="15:28" ht="12.75" customHeight="1">
      <c r="O191"/>
      <c r="P191"/>
      <c r="Q191"/>
      <c r="R191"/>
      <c r="S191"/>
      <c r="T191"/>
      <c r="U191"/>
      <c r="V191"/>
      <c r="W191"/>
      <c r="X191"/>
      <c r="Y191"/>
      <c r="Z191"/>
      <c r="AA191" s="373"/>
      <c r="AB191" s="373"/>
    </row>
    <row r="192" spans="15:28" ht="12.75" customHeight="1">
      <c r="O192"/>
      <c r="P192"/>
      <c r="Q192"/>
      <c r="R192"/>
      <c r="S192"/>
      <c r="T192"/>
      <c r="U192"/>
      <c r="V192"/>
      <c r="W192"/>
      <c r="X192"/>
      <c r="Y192"/>
      <c r="Z192"/>
      <c r="AA192" s="373"/>
      <c r="AB192" s="373"/>
    </row>
    <row r="193" spans="15:28" ht="12.75" customHeight="1">
      <c r="O193"/>
      <c r="P193"/>
      <c r="Q193"/>
      <c r="R193"/>
      <c r="S193"/>
      <c r="T193"/>
      <c r="U193"/>
      <c r="V193"/>
      <c r="W193"/>
      <c r="X193"/>
      <c r="Y193"/>
      <c r="Z193"/>
      <c r="AA193" s="373"/>
      <c r="AB193" s="373"/>
    </row>
    <row r="194" spans="15:28" ht="12.75" customHeight="1">
      <c r="O194"/>
      <c r="P194"/>
      <c r="Q194"/>
      <c r="R194"/>
      <c r="S194"/>
      <c r="T194"/>
      <c r="U194"/>
      <c r="V194"/>
      <c r="W194"/>
      <c r="X194"/>
      <c r="Y194"/>
      <c r="Z194"/>
      <c r="AA194" s="373"/>
      <c r="AB194" s="373"/>
    </row>
    <row r="195" spans="15:28" ht="12.75" customHeight="1">
      <c r="O195"/>
      <c r="P195"/>
      <c r="Q195"/>
      <c r="R195"/>
      <c r="S195"/>
      <c r="T195"/>
      <c r="U195"/>
      <c r="V195"/>
      <c r="W195"/>
      <c r="X195"/>
      <c r="Y195"/>
      <c r="Z195"/>
      <c r="AA195" s="373"/>
      <c r="AB195" s="373"/>
    </row>
    <row r="196" spans="15:28" ht="12.75" customHeight="1">
      <c r="O196"/>
      <c r="P196"/>
      <c r="Q196"/>
      <c r="R196"/>
      <c r="S196"/>
      <c r="T196"/>
      <c r="U196"/>
      <c r="V196"/>
      <c r="W196"/>
      <c r="X196"/>
      <c r="Y196"/>
      <c r="Z196"/>
      <c r="AA196" s="373"/>
      <c r="AB196" s="373"/>
    </row>
    <row r="197" spans="15:28" ht="12.75" customHeight="1">
      <c r="O197"/>
      <c r="P197"/>
      <c r="Q197"/>
      <c r="R197"/>
      <c r="S197"/>
      <c r="T197"/>
      <c r="U197"/>
      <c r="V197"/>
      <c r="W197"/>
      <c r="X197"/>
      <c r="Y197"/>
      <c r="Z197"/>
      <c r="AA197" s="362"/>
      <c r="AB197" s="362"/>
    </row>
    <row r="198" spans="15:28" ht="12.75" customHeight="1">
      <c r="O198"/>
      <c r="P198"/>
      <c r="Q198"/>
      <c r="R198"/>
      <c r="S198"/>
      <c r="T198"/>
      <c r="U198"/>
      <c r="V198"/>
      <c r="W198"/>
      <c r="X198"/>
      <c r="Y198"/>
      <c r="Z198"/>
      <c r="AA198" s="362"/>
      <c r="AB198" s="362"/>
    </row>
    <row r="199" spans="15:28" ht="12.75" customHeight="1">
      <c r="O199"/>
      <c r="P199"/>
      <c r="Q199"/>
      <c r="R199"/>
      <c r="S199"/>
      <c r="T199"/>
      <c r="U199"/>
      <c r="V199"/>
      <c r="W199"/>
      <c r="X199"/>
      <c r="Y199"/>
      <c r="Z199"/>
      <c r="AA199" s="362"/>
      <c r="AB199" s="362"/>
    </row>
    <row r="200" spans="15:28" ht="12.75" customHeight="1">
      <c r="O200"/>
      <c r="P200"/>
      <c r="Q200"/>
      <c r="R200"/>
      <c r="S200"/>
      <c r="T200"/>
      <c r="U200"/>
      <c r="V200"/>
      <c r="W200"/>
      <c r="X200"/>
      <c r="Y200"/>
      <c r="Z200"/>
      <c r="AA200" s="362"/>
      <c r="AB200" s="362"/>
    </row>
    <row r="201" spans="15:28" ht="12.75" customHeight="1">
      <c r="O201"/>
      <c r="P201"/>
      <c r="Q201"/>
      <c r="R201"/>
      <c r="S201"/>
      <c r="T201"/>
      <c r="U201"/>
      <c r="V201"/>
      <c r="W201"/>
      <c r="X201"/>
      <c r="Y201"/>
      <c r="Z201"/>
      <c r="AA201" s="362"/>
      <c r="AB201" s="362"/>
    </row>
    <row r="202" spans="15:28" ht="12.75" customHeight="1">
      <c r="O202"/>
      <c r="P202"/>
      <c r="Q202"/>
      <c r="R202"/>
      <c r="S202"/>
      <c r="T202"/>
      <c r="U202"/>
      <c r="V202"/>
      <c r="W202"/>
      <c r="X202"/>
      <c r="Y202"/>
      <c r="Z202"/>
      <c r="AA202" s="362"/>
      <c r="AB202" s="362"/>
    </row>
    <row r="203" spans="15:28" ht="12.75" customHeight="1">
      <c r="O203"/>
      <c r="P203"/>
      <c r="Q203"/>
      <c r="R203"/>
      <c r="S203"/>
      <c r="T203"/>
      <c r="U203"/>
      <c r="V203"/>
      <c r="W203"/>
      <c r="X203"/>
      <c r="Y203"/>
      <c r="Z203"/>
      <c r="AA203" s="362"/>
      <c r="AB203" s="362"/>
    </row>
    <row r="204" spans="15:28" ht="12.75" customHeight="1">
      <c r="O204"/>
      <c r="P204"/>
      <c r="Q204"/>
      <c r="R204"/>
      <c r="S204"/>
      <c r="T204"/>
      <c r="U204"/>
      <c r="V204"/>
      <c r="W204"/>
      <c r="X204"/>
      <c r="Y204"/>
      <c r="Z204"/>
      <c r="AA204" s="362"/>
      <c r="AB204" s="362"/>
    </row>
    <row r="205" spans="15:28" ht="12.75" customHeight="1">
      <c r="O205"/>
      <c r="P205"/>
      <c r="Q205"/>
      <c r="R205"/>
      <c r="S205"/>
      <c r="T205"/>
      <c r="U205"/>
      <c r="V205"/>
      <c r="W205"/>
      <c r="X205"/>
      <c r="Y205"/>
      <c r="Z205"/>
      <c r="AA205" s="362"/>
      <c r="AB205" s="362"/>
    </row>
    <row r="206" spans="15:28" ht="12.75" customHeight="1">
      <c r="O206"/>
      <c r="P206"/>
      <c r="Q206"/>
      <c r="R206"/>
      <c r="S206"/>
      <c r="T206"/>
      <c r="U206"/>
      <c r="V206"/>
      <c r="W206"/>
      <c r="X206"/>
      <c r="Y206"/>
      <c r="Z206"/>
      <c r="AA206" s="362"/>
      <c r="AB206" s="362"/>
    </row>
    <row r="207" spans="15:28" ht="12.75" customHeight="1">
      <c r="O207"/>
      <c r="P207"/>
      <c r="Q207"/>
      <c r="R207"/>
      <c r="S207"/>
      <c r="T207"/>
      <c r="U207"/>
      <c r="V207"/>
      <c r="W207"/>
      <c r="X207"/>
      <c r="Y207"/>
      <c r="Z207"/>
      <c r="AA207" s="362"/>
      <c r="AB207" s="362"/>
    </row>
    <row r="208" spans="15:28" ht="12.75" customHeight="1">
      <c r="O208"/>
      <c r="P208"/>
      <c r="Q208"/>
      <c r="R208"/>
      <c r="S208"/>
      <c r="T208"/>
      <c r="U208"/>
      <c r="V208"/>
      <c r="W208"/>
      <c r="X208"/>
      <c r="Y208"/>
      <c r="Z208"/>
      <c r="AA208" s="362"/>
      <c r="AB208" s="362"/>
    </row>
    <row r="209" spans="15:28" ht="12.75" customHeight="1">
      <c r="O209"/>
      <c r="P209"/>
      <c r="Q209"/>
      <c r="R209"/>
      <c r="S209"/>
      <c r="T209"/>
      <c r="U209"/>
      <c r="V209"/>
      <c r="W209"/>
      <c r="X209"/>
      <c r="Y209"/>
      <c r="Z209"/>
      <c r="AA209" s="362"/>
      <c r="AB209" s="362"/>
    </row>
    <row r="210" spans="15:28" ht="12.75" customHeight="1">
      <c r="O210"/>
      <c r="P210"/>
      <c r="Q210"/>
      <c r="R210"/>
      <c r="S210"/>
      <c r="T210"/>
      <c r="U210"/>
      <c r="V210"/>
      <c r="W210"/>
      <c r="X210"/>
      <c r="Y210"/>
      <c r="Z210"/>
      <c r="AA210" s="362"/>
      <c r="AB210" s="362"/>
    </row>
    <row r="211" spans="15:28" ht="12.75" customHeight="1">
      <c r="O211"/>
      <c r="P211"/>
      <c r="Q211"/>
      <c r="R211"/>
      <c r="S211"/>
      <c r="T211"/>
      <c r="U211"/>
      <c r="V211"/>
      <c r="W211"/>
      <c r="X211"/>
      <c r="Y211"/>
      <c r="Z211"/>
      <c r="AA211" s="362"/>
      <c r="AB211" s="362"/>
    </row>
    <row r="212" spans="15:28" ht="12.75" customHeight="1">
      <c r="O212"/>
      <c r="P212"/>
      <c r="Q212"/>
      <c r="R212"/>
      <c r="S212"/>
      <c r="T212"/>
      <c r="U212"/>
      <c r="V212"/>
      <c r="W212"/>
      <c r="X212"/>
      <c r="Y212"/>
      <c r="Z212"/>
      <c r="AA212" s="362"/>
      <c r="AB212" s="362"/>
    </row>
    <row r="213" spans="15:28" ht="12.75" customHeight="1">
      <c r="O213"/>
      <c r="P213"/>
      <c r="Q213"/>
      <c r="R213"/>
      <c r="S213"/>
      <c r="T213"/>
      <c r="U213"/>
      <c r="V213"/>
      <c r="W213"/>
      <c r="X213"/>
      <c r="Y213"/>
      <c r="Z213"/>
      <c r="AA213" s="362"/>
      <c r="AB213" s="362"/>
    </row>
    <row r="214" spans="15:28" ht="12.75" customHeight="1">
      <c r="O214"/>
      <c r="P214"/>
      <c r="Q214"/>
      <c r="R214"/>
      <c r="S214"/>
      <c r="T214"/>
      <c r="U214"/>
      <c r="V214"/>
      <c r="W214"/>
      <c r="X214"/>
      <c r="Y214"/>
      <c r="Z214"/>
      <c r="AA214" s="362"/>
      <c r="AB214" s="362"/>
    </row>
    <row r="215" spans="15:28" ht="12.75" customHeight="1">
      <c r="O215"/>
      <c r="P215"/>
      <c r="Q215"/>
      <c r="R215"/>
      <c r="S215"/>
      <c r="T215"/>
      <c r="U215"/>
      <c r="V215"/>
      <c r="W215"/>
      <c r="X215"/>
      <c r="Y215"/>
      <c r="Z215"/>
      <c r="AA215" s="362"/>
      <c r="AB215" s="362"/>
    </row>
    <row r="216" spans="15:28" ht="12.75" customHeight="1">
      <c r="O216"/>
      <c r="P216"/>
      <c r="Q216"/>
      <c r="R216"/>
      <c r="S216"/>
      <c r="T216"/>
      <c r="U216"/>
      <c r="V216"/>
      <c r="W216"/>
      <c r="X216"/>
      <c r="Y216"/>
      <c r="Z216"/>
      <c r="AA216" s="362"/>
      <c r="AB216" s="362"/>
    </row>
    <row r="217" spans="15:28" ht="12.75" customHeight="1">
      <c r="O217"/>
      <c r="P217"/>
      <c r="Q217"/>
      <c r="R217"/>
      <c r="S217"/>
      <c r="T217"/>
      <c r="U217"/>
      <c r="V217"/>
      <c r="W217"/>
      <c r="X217"/>
      <c r="Y217"/>
      <c r="Z217"/>
      <c r="AA217" s="362"/>
      <c r="AB217" s="362"/>
    </row>
    <row r="218" spans="15:28" ht="12.75" customHeight="1">
      <c r="O218"/>
      <c r="P218"/>
      <c r="Q218"/>
      <c r="R218"/>
      <c r="S218"/>
      <c r="T218"/>
      <c r="U218"/>
      <c r="V218"/>
      <c r="W218"/>
      <c r="X218"/>
      <c r="Y218"/>
      <c r="Z218"/>
      <c r="AA218" s="362"/>
      <c r="AB218" s="362"/>
    </row>
    <row r="219" spans="15:28" ht="12.75" customHeight="1">
      <c r="O219"/>
      <c r="P219"/>
      <c r="Q219"/>
      <c r="R219"/>
      <c r="S219"/>
      <c r="T219"/>
      <c r="U219"/>
      <c r="V219"/>
      <c r="W219"/>
      <c r="X219"/>
      <c r="Y219"/>
      <c r="Z219"/>
      <c r="AA219" s="362"/>
      <c r="AB219" s="362"/>
    </row>
    <row r="220" spans="15:28" ht="12.75" customHeight="1">
      <c r="O220"/>
      <c r="P220"/>
      <c r="Q220"/>
      <c r="R220"/>
      <c r="S220"/>
      <c r="T220"/>
      <c r="U220"/>
      <c r="V220"/>
      <c r="W220"/>
      <c r="X220"/>
      <c r="Y220"/>
      <c r="Z220"/>
      <c r="AA220" s="362"/>
      <c r="AB220" s="362"/>
    </row>
    <row r="221" spans="15:28" ht="12.75" customHeight="1">
      <c r="O221"/>
      <c r="P221"/>
      <c r="Q221"/>
      <c r="R221"/>
      <c r="S221"/>
      <c r="T221"/>
      <c r="U221"/>
      <c r="V221"/>
      <c r="W221"/>
      <c r="X221"/>
      <c r="Y221"/>
      <c r="Z221"/>
      <c r="AA221" s="362"/>
      <c r="AB221" s="362"/>
    </row>
    <row r="222" spans="15:28" ht="12.75" customHeight="1">
      <c r="O222"/>
      <c r="P222"/>
      <c r="Q222"/>
      <c r="R222"/>
      <c r="S222"/>
      <c r="T222"/>
      <c r="U222"/>
      <c r="V222"/>
      <c r="W222"/>
      <c r="X222"/>
      <c r="Y222"/>
      <c r="Z222"/>
      <c r="AA222" s="362"/>
      <c r="AB222" s="362"/>
    </row>
    <row r="223" spans="15:28" ht="12.75" customHeight="1">
      <c r="O223"/>
      <c r="P223"/>
      <c r="Q223"/>
      <c r="R223"/>
      <c r="S223"/>
      <c r="T223"/>
      <c r="U223"/>
      <c r="V223"/>
      <c r="W223"/>
      <c r="X223"/>
      <c r="Y223"/>
      <c r="Z223"/>
      <c r="AA223" s="362"/>
      <c r="AB223" s="362"/>
    </row>
    <row r="224" spans="15:28" ht="12.75" customHeight="1">
      <c r="O224"/>
      <c r="P224"/>
      <c r="Q224"/>
      <c r="R224"/>
      <c r="S224"/>
      <c r="T224"/>
      <c r="U224"/>
      <c r="V224"/>
      <c r="W224"/>
      <c r="X224"/>
      <c r="Y224"/>
      <c r="Z224"/>
      <c r="AA224" s="362"/>
      <c r="AB224" s="362"/>
    </row>
    <row r="225" spans="15:28" ht="12.75" customHeight="1">
      <c r="O225"/>
      <c r="P225"/>
      <c r="Q225"/>
      <c r="R225"/>
      <c r="S225"/>
      <c r="T225"/>
      <c r="U225"/>
      <c r="V225"/>
      <c r="W225"/>
      <c r="X225"/>
      <c r="Y225"/>
      <c r="Z225"/>
      <c r="AA225" s="362"/>
      <c r="AB225" s="362"/>
    </row>
    <row r="226" spans="15:28" ht="12.75" customHeight="1">
      <c r="O226"/>
      <c r="P226"/>
      <c r="Q226"/>
      <c r="R226"/>
      <c r="S226"/>
      <c r="T226"/>
      <c r="U226"/>
      <c r="V226"/>
      <c r="W226"/>
      <c r="X226"/>
      <c r="Y226"/>
      <c r="Z226"/>
      <c r="AA226" s="362"/>
      <c r="AB226" s="362"/>
    </row>
    <row r="227" spans="15:28" ht="12.75" customHeight="1">
      <c r="O227"/>
      <c r="P227"/>
      <c r="Q227"/>
      <c r="R227"/>
      <c r="S227"/>
      <c r="T227"/>
      <c r="U227"/>
      <c r="V227"/>
      <c r="W227"/>
      <c r="X227"/>
      <c r="Y227"/>
      <c r="Z227"/>
      <c r="AA227" s="362"/>
      <c r="AB227" s="362"/>
    </row>
    <row r="228" spans="15:28" ht="12.75" customHeight="1">
      <c r="O228"/>
      <c r="P228"/>
      <c r="Q228"/>
      <c r="R228"/>
      <c r="S228"/>
      <c r="T228"/>
      <c r="U228"/>
      <c r="V228"/>
      <c r="W228"/>
      <c r="X228"/>
      <c r="Y228"/>
      <c r="Z228"/>
      <c r="AA228" s="362"/>
      <c r="AB228" s="362"/>
    </row>
    <row r="229" spans="15:28" ht="12.75" customHeight="1">
      <c r="O229"/>
      <c r="P229"/>
      <c r="Q229"/>
      <c r="R229"/>
      <c r="S229"/>
      <c r="T229"/>
      <c r="U229"/>
      <c r="V229"/>
      <c r="W229"/>
      <c r="X229"/>
      <c r="Y229"/>
      <c r="Z229"/>
      <c r="AA229" s="362"/>
      <c r="AB229" s="362"/>
    </row>
    <row r="230" spans="15:28" ht="12.75" customHeight="1">
      <c r="O230"/>
      <c r="P230"/>
      <c r="Q230"/>
      <c r="R230"/>
      <c r="S230"/>
      <c r="T230"/>
      <c r="U230"/>
      <c r="V230"/>
      <c r="W230"/>
      <c r="X230"/>
      <c r="Y230"/>
      <c r="Z230"/>
      <c r="AA230" s="362"/>
      <c r="AB230" s="362"/>
    </row>
    <row r="231" spans="15:28" ht="12.75" customHeight="1">
      <c r="O231"/>
      <c r="P231"/>
      <c r="Q231"/>
      <c r="R231"/>
      <c r="S231"/>
      <c r="T231"/>
      <c r="U231"/>
      <c r="V231"/>
      <c r="W231"/>
      <c r="X231"/>
      <c r="Y231"/>
      <c r="Z231"/>
      <c r="AA231" s="362"/>
      <c r="AB231" s="362"/>
    </row>
    <row r="232" spans="15:28" ht="12.75" customHeight="1">
      <c r="O232"/>
      <c r="P232"/>
      <c r="Q232"/>
      <c r="R232"/>
      <c r="S232"/>
      <c r="T232"/>
      <c r="U232"/>
      <c r="V232"/>
      <c r="W232"/>
      <c r="X232"/>
      <c r="Y232"/>
      <c r="Z232"/>
      <c r="AA232" s="362"/>
      <c r="AB232" s="362"/>
    </row>
    <row r="233" spans="15:28" ht="12.75" customHeight="1">
      <c r="O233"/>
      <c r="P233"/>
      <c r="Q233"/>
      <c r="R233"/>
      <c r="S233"/>
      <c r="T233"/>
      <c r="U233"/>
      <c r="V233"/>
      <c r="W233"/>
      <c r="X233"/>
      <c r="Y233"/>
      <c r="Z233"/>
      <c r="AA233" s="362"/>
      <c r="AB233" s="362"/>
    </row>
    <row r="234" spans="15:28" ht="12.75" customHeight="1">
      <c r="O234"/>
      <c r="P234"/>
      <c r="Q234"/>
      <c r="R234"/>
      <c r="S234"/>
      <c r="T234"/>
      <c r="U234"/>
      <c r="V234"/>
      <c r="W234"/>
      <c r="X234"/>
      <c r="Y234"/>
      <c r="Z234"/>
      <c r="AA234" s="362"/>
      <c r="AB234" s="362"/>
    </row>
    <row r="235" spans="15:28" ht="12.75" customHeight="1">
      <c r="O235"/>
      <c r="P235"/>
      <c r="Q235"/>
      <c r="R235"/>
      <c r="S235"/>
      <c r="T235"/>
      <c r="U235"/>
      <c r="V235"/>
      <c r="W235"/>
      <c r="X235"/>
      <c r="Y235"/>
      <c r="Z235"/>
      <c r="AA235" s="362"/>
      <c r="AB235" s="362"/>
    </row>
    <row r="236" spans="15:28" ht="12.75" customHeight="1">
      <c r="O236"/>
      <c r="P236"/>
      <c r="Q236"/>
      <c r="R236"/>
      <c r="S236"/>
      <c r="T236"/>
      <c r="U236"/>
      <c r="V236"/>
      <c r="W236"/>
      <c r="X236"/>
      <c r="Y236"/>
      <c r="Z236"/>
      <c r="AA236" s="362"/>
      <c r="AB236" s="362"/>
    </row>
    <row r="237" spans="15:28" ht="12.75" customHeight="1">
      <c r="O237"/>
      <c r="P237"/>
      <c r="Q237"/>
      <c r="R237"/>
      <c r="S237"/>
      <c r="T237"/>
      <c r="U237"/>
      <c r="V237"/>
      <c r="W237"/>
      <c r="X237"/>
      <c r="Y237"/>
      <c r="Z237"/>
      <c r="AA237" s="362"/>
      <c r="AB237" s="362"/>
    </row>
    <row r="238" spans="15:28" ht="12.75" customHeight="1">
      <c r="O238"/>
      <c r="P238"/>
      <c r="Q238"/>
      <c r="R238"/>
      <c r="S238"/>
      <c r="T238"/>
      <c r="U238"/>
      <c r="V238"/>
      <c r="W238"/>
      <c r="X238"/>
      <c r="Y238"/>
      <c r="Z238"/>
      <c r="AA238" s="362"/>
      <c r="AB238" s="362"/>
    </row>
    <row r="239" spans="15:28" ht="12.75" customHeight="1">
      <c r="O239"/>
      <c r="P239"/>
      <c r="Q239"/>
      <c r="R239"/>
      <c r="S239"/>
      <c r="T239"/>
      <c r="U239"/>
      <c r="V239"/>
      <c r="W239"/>
      <c r="X239"/>
      <c r="Y239"/>
      <c r="Z239"/>
      <c r="AA239" s="362"/>
      <c r="AB239" s="362"/>
    </row>
    <row r="240" spans="15:28" ht="12.75" customHeight="1">
      <c r="O240"/>
      <c r="P240"/>
      <c r="Q240"/>
      <c r="R240"/>
      <c r="S240"/>
      <c r="T240"/>
      <c r="U240"/>
      <c r="V240"/>
      <c r="W240"/>
      <c r="X240"/>
      <c r="Y240"/>
      <c r="Z240"/>
      <c r="AA240" s="362"/>
      <c r="AB240" s="362"/>
    </row>
    <row r="241" spans="15:28" ht="12.75" customHeight="1">
      <c r="O241"/>
      <c r="P241"/>
      <c r="Q241"/>
      <c r="R241"/>
      <c r="S241"/>
      <c r="T241"/>
      <c r="U241"/>
      <c r="V241"/>
      <c r="W241"/>
      <c r="X241"/>
      <c r="Y241"/>
      <c r="Z241"/>
      <c r="AA241" s="362"/>
      <c r="AB241" s="362"/>
    </row>
    <row r="242" spans="15:28" ht="12.75" customHeight="1">
      <c r="O242"/>
      <c r="P242"/>
      <c r="Q242"/>
      <c r="R242"/>
      <c r="S242"/>
      <c r="T242"/>
      <c r="U242"/>
      <c r="V242"/>
      <c r="W242"/>
      <c r="X242"/>
      <c r="Y242"/>
      <c r="Z242"/>
      <c r="AA242" s="362"/>
      <c r="AB242" s="362"/>
    </row>
    <row r="243" spans="15:28" ht="12.75" customHeight="1">
      <c r="O243"/>
      <c r="P243"/>
      <c r="Q243"/>
      <c r="R243"/>
      <c r="S243"/>
      <c r="T243"/>
      <c r="U243"/>
      <c r="V243"/>
      <c r="W243"/>
      <c r="X243"/>
      <c r="Y243"/>
      <c r="Z243"/>
      <c r="AA243" s="362"/>
      <c r="AB243" s="362"/>
    </row>
    <row r="244" spans="15:28" ht="12.75" customHeight="1">
      <c r="O244"/>
      <c r="P244"/>
      <c r="Q244"/>
      <c r="R244"/>
      <c r="S244"/>
      <c r="T244"/>
      <c r="U244"/>
      <c r="V244"/>
      <c r="W244"/>
      <c r="X244"/>
      <c r="Y244"/>
      <c r="Z244"/>
      <c r="AA244" s="362"/>
      <c r="AB244" s="362"/>
    </row>
    <row r="245" spans="15:28" ht="12.75" customHeight="1">
      <c r="O245"/>
      <c r="P245"/>
      <c r="Q245"/>
      <c r="R245"/>
      <c r="S245"/>
      <c r="T245"/>
      <c r="U245"/>
      <c r="V245"/>
      <c r="W245"/>
      <c r="X245"/>
      <c r="Y245"/>
      <c r="Z245"/>
      <c r="AA245" s="362"/>
      <c r="AB245" s="362"/>
    </row>
    <row r="246" spans="15:28" ht="12.75" customHeight="1">
      <c r="O246"/>
      <c r="P246"/>
      <c r="Q246"/>
      <c r="R246"/>
      <c r="S246"/>
      <c r="T246"/>
      <c r="U246"/>
      <c r="V246"/>
      <c r="W246"/>
      <c r="X246"/>
      <c r="Y246"/>
      <c r="Z246"/>
      <c r="AA246" s="362"/>
      <c r="AB246" s="362"/>
    </row>
    <row r="247" spans="15:28" ht="12.75" customHeight="1">
      <c r="O247"/>
      <c r="P247"/>
      <c r="Q247"/>
      <c r="R247"/>
      <c r="S247"/>
      <c r="T247"/>
      <c r="U247"/>
      <c r="V247"/>
      <c r="W247"/>
      <c r="X247"/>
      <c r="Y247"/>
      <c r="Z247"/>
      <c r="AA247" s="362"/>
      <c r="AB247" s="362"/>
    </row>
    <row r="248" spans="15:28" ht="12.75" customHeight="1">
      <c r="O248"/>
      <c r="P248"/>
      <c r="Q248"/>
      <c r="R248"/>
      <c r="S248"/>
      <c r="T248"/>
      <c r="U248"/>
      <c r="V248"/>
      <c r="W248"/>
      <c r="X248"/>
      <c r="Y248"/>
      <c r="Z248"/>
      <c r="AA248" s="362"/>
      <c r="AB248" s="362"/>
    </row>
    <row r="249" spans="15:28" ht="12.75" customHeight="1">
      <c r="O249"/>
      <c r="P249"/>
      <c r="Q249"/>
      <c r="R249"/>
      <c r="S249"/>
      <c r="T249"/>
      <c r="U249"/>
      <c r="V249"/>
      <c r="W249"/>
      <c r="X249"/>
      <c r="Y249"/>
      <c r="Z249"/>
      <c r="AA249" s="362"/>
      <c r="AB249" s="362"/>
    </row>
    <row r="250" spans="15:28" ht="12.75" customHeight="1">
      <c r="O250"/>
      <c r="P250"/>
      <c r="Q250"/>
      <c r="R250"/>
      <c r="S250"/>
      <c r="T250"/>
      <c r="U250"/>
      <c r="V250"/>
      <c r="W250"/>
      <c r="X250"/>
      <c r="Y250"/>
      <c r="Z250"/>
      <c r="AA250" s="362"/>
      <c r="AB250" s="362"/>
    </row>
    <row r="251" spans="15:28" ht="12.75" customHeight="1">
      <c r="O251"/>
      <c r="P251"/>
      <c r="Q251"/>
      <c r="R251"/>
      <c r="S251"/>
      <c r="T251"/>
      <c r="U251"/>
      <c r="V251"/>
      <c r="W251"/>
      <c r="X251"/>
      <c r="Y251"/>
      <c r="Z251"/>
      <c r="AA251" s="362"/>
      <c r="AB251" s="362"/>
    </row>
    <row r="252" spans="15:28" ht="12.75" customHeight="1">
      <c r="O252"/>
      <c r="P252"/>
      <c r="Q252"/>
      <c r="R252"/>
      <c r="S252"/>
      <c r="T252"/>
      <c r="U252"/>
      <c r="V252"/>
      <c r="W252"/>
      <c r="X252"/>
      <c r="Y252"/>
      <c r="Z252"/>
      <c r="AA252" s="362"/>
      <c r="AB252" s="362"/>
    </row>
    <row r="253" spans="15:28" ht="12.75" customHeight="1">
      <c r="O253"/>
      <c r="P253"/>
      <c r="Q253"/>
      <c r="R253"/>
      <c r="S253"/>
      <c r="T253"/>
      <c r="U253"/>
      <c r="V253"/>
      <c r="W253"/>
      <c r="X253"/>
      <c r="Y253"/>
      <c r="Z253"/>
      <c r="AA253" s="362"/>
      <c r="AB253" s="362"/>
    </row>
    <row r="254" spans="15:28" ht="12.75" customHeight="1">
      <c r="O254"/>
      <c r="P254"/>
      <c r="Q254"/>
      <c r="R254"/>
      <c r="S254"/>
      <c r="T254"/>
      <c r="U254"/>
      <c r="V254"/>
      <c r="W254"/>
      <c r="X254"/>
      <c r="Y254"/>
      <c r="Z254"/>
      <c r="AA254" s="362"/>
      <c r="AB254" s="362"/>
    </row>
    <row r="255" spans="15:28" ht="12.75" customHeight="1">
      <c r="O255"/>
      <c r="P255"/>
      <c r="Q255"/>
      <c r="R255"/>
      <c r="S255"/>
      <c r="T255"/>
      <c r="U255"/>
      <c r="V255"/>
      <c r="W255"/>
      <c r="X255"/>
      <c r="Y255"/>
      <c r="Z255"/>
      <c r="AA255" s="362"/>
      <c r="AB255" s="362"/>
    </row>
    <row r="256" spans="15:28" ht="12.75" customHeight="1">
      <c r="O256"/>
      <c r="P256"/>
      <c r="Q256"/>
      <c r="R256"/>
      <c r="S256"/>
      <c r="T256"/>
      <c r="U256"/>
      <c r="V256"/>
      <c r="W256"/>
      <c r="X256"/>
      <c r="Y256"/>
      <c r="Z256"/>
      <c r="AA256" s="362"/>
      <c r="AB256" s="362"/>
    </row>
    <row r="257" spans="15:28" ht="12.75" customHeight="1">
      <c r="O257"/>
      <c r="P257"/>
      <c r="Q257"/>
      <c r="R257"/>
      <c r="S257"/>
      <c r="T257"/>
      <c r="U257"/>
      <c r="V257"/>
      <c r="W257"/>
      <c r="X257"/>
      <c r="Y257"/>
      <c r="Z257"/>
      <c r="AA257" s="362"/>
      <c r="AB257" s="362"/>
    </row>
    <row r="258" spans="15:28" ht="12.75" customHeight="1">
      <c r="O258"/>
      <c r="P258"/>
      <c r="Q258"/>
      <c r="R258"/>
      <c r="S258"/>
      <c r="T258"/>
      <c r="U258"/>
      <c r="V258"/>
      <c r="W258"/>
      <c r="X258"/>
      <c r="Y258"/>
      <c r="Z258"/>
      <c r="AA258" s="362"/>
      <c r="AB258" s="362"/>
    </row>
    <row r="259" spans="15:28" ht="12.75" customHeight="1">
      <c r="O259"/>
      <c r="P259"/>
      <c r="Q259"/>
      <c r="R259"/>
      <c r="S259"/>
      <c r="T259"/>
      <c r="U259"/>
      <c r="V259"/>
      <c r="W259"/>
      <c r="X259"/>
      <c r="Y259"/>
      <c r="Z259"/>
      <c r="AA259" s="362"/>
      <c r="AB259" s="362"/>
    </row>
    <row r="260" spans="15:28" ht="12.75" customHeight="1">
      <c r="O260"/>
      <c r="P260"/>
      <c r="Q260"/>
      <c r="R260"/>
      <c r="S260"/>
      <c r="T260"/>
      <c r="U260"/>
      <c r="V260"/>
      <c r="W260"/>
      <c r="X260"/>
      <c r="Y260"/>
      <c r="Z260"/>
      <c r="AA260" s="362"/>
      <c r="AB260" s="362"/>
    </row>
    <row r="261" spans="15:28" ht="12.75" customHeight="1">
      <c r="O261"/>
      <c r="P261"/>
      <c r="Q261"/>
      <c r="R261"/>
      <c r="S261"/>
      <c r="T261"/>
      <c r="U261"/>
      <c r="V261"/>
      <c r="W261"/>
      <c r="X261"/>
      <c r="Y261"/>
      <c r="Z261"/>
      <c r="AA261" s="362"/>
      <c r="AB261" s="362"/>
    </row>
    <row r="262" spans="15:28" ht="12.75" customHeight="1">
      <c r="O262"/>
      <c r="P262"/>
      <c r="Q262"/>
      <c r="R262"/>
      <c r="S262"/>
      <c r="T262"/>
      <c r="U262"/>
      <c r="V262"/>
      <c r="W262"/>
      <c r="X262"/>
      <c r="Y262"/>
      <c r="Z262"/>
      <c r="AA262" s="362"/>
      <c r="AB262" s="362"/>
    </row>
    <row r="263" spans="15:28" ht="12.75" customHeight="1">
      <c r="O263"/>
      <c r="P263"/>
      <c r="Q263"/>
      <c r="R263"/>
      <c r="S263"/>
      <c r="T263"/>
      <c r="U263"/>
      <c r="V263"/>
      <c r="W263"/>
      <c r="X263"/>
      <c r="Y263"/>
      <c r="Z263"/>
      <c r="AA263" s="362"/>
      <c r="AB263" s="362"/>
    </row>
    <row r="264" spans="15:28" ht="12.75" customHeight="1">
      <c r="O264"/>
      <c r="P264"/>
      <c r="Q264"/>
      <c r="R264"/>
      <c r="S264"/>
      <c r="T264"/>
      <c r="U264"/>
      <c r="V264"/>
      <c r="W264"/>
      <c r="X264"/>
      <c r="Y264"/>
      <c r="Z264"/>
      <c r="AA264" s="362"/>
      <c r="AB264" s="362"/>
    </row>
    <row r="265" spans="15:28" ht="12.75" customHeight="1">
      <c r="O265"/>
      <c r="P265"/>
      <c r="Q265"/>
      <c r="R265"/>
      <c r="S265"/>
      <c r="T265"/>
      <c r="U265"/>
      <c r="V265"/>
      <c r="W265"/>
      <c r="X265"/>
      <c r="Y265"/>
      <c r="Z265"/>
      <c r="AA265" s="362"/>
      <c r="AB265" s="362"/>
    </row>
    <row r="266" spans="15:28" ht="12.75" customHeight="1">
      <c r="O266"/>
      <c r="P266"/>
      <c r="Q266"/>
      <c r="R266"/>
      <c r="S266"/>
      <c r="T266"/>
      <c r="U266"/>
      <c r="V266"/>
      <c r="W266"/>
      <c r="X266"/>
      <c r="Y266"/>
      <c r="Z266"/>
      <c r="AA266" s="362"/>
      <c r="AB266" s="362"/>
    </row>
    <row r="267" spans="15:28" ht="12.75" customHeight="1">
      <c r="O267"/>
      <c r="P267"/>
      <c r="Q267"/>
      <c r="R267"/>
      <c r="S267"/>
      <c r="T267"/>
      <c r="U267"/>
      <c r="V267"/>
      <c r="W267"/>
      <c r="X267"/>
      <c r="Y267"/>
      <c r="Z267"/>
      <c r="AA267" s="362"/>
      <c r="AB267" s="362"/>
    </row>
    <row r="268" spans="15:28" ht="12.75" customHeight="1">
      <c r="O268"/>
      <c r="P268"/>
      <c r="Q268"/>
      <c r="R268"/>
      <c r="S268"/>
      <c r="T268"/>
      <c r="U268"/>
      <c r="V268"/>
      <c r="W268"/>
      <c r="X268"/>
      <c r="Y268"/>
      <c r="Z268"/>
      <c r="AA268" s="362"/>
      <c r="AB268" s="362"/>
    </row>
    <row r="269" spans="15:28" ht="12.75" customHeight="1">
      <c r="O269"/>
      <c r="P269"/>
      <c r="Q269"/>
      <c r="R269"/>
      <c r="S269"/>
      <c r="T269"/>
      <c r="U269"/>
      <c r="V269"/>
      <c r="W269"/>
      <c r="X269"/>
      <c r="Y269"/>
      <c r="Z269"/>
      <c r="AA269" s="362"/>
      <c r="AB269" s="362"/>
    </row>
    <row r="270" spans="15:28" ht="12.75" customHeight="1">
      <c r="O270"/>
      <c r="P270"/>
      <c r="Q270"/>
      <c r="R270"/>
      <c r="S270"/>
      <c r="T270"/>
      <c r="U270"/>
      <c r="V270"/>
      <c r="W270"/>
      <c r="X270"/>
      <c r="Y270"/>
      <c r="Z270"/>
      <c r="AA270" s="362"/>
      <c r="AB270" s="362"/>
    </row>
    <row r="271" spans="15:28" ht="12.75" customHeight="1">
      <c r="O271"/>
      <c r="P271"/>
      <c r="Q271"/>
      <c r="R271"/>
      <c r="S271"/>
      <c r="T271"/>
      <c r="U271"/>
      <c r="V271"/>
      <c r="W271"/>
      <c r="X271"/>
      <c r="Y271"/>
      <c r="Z271"/>
      <c r="AA271" s="362"/>
      <c r="AB271" s="362"/>
    </row>
    <row r="272" spans="15:28" ht="12.75" customHeight="1">
      <c r="O272"/>
      <c r="P272"/>
      <c r="Q272"/>
      <c r="R272"/>
      <c r="S272"/>
      <c r="T272"/>
      <c r="U272"/>
      <c r="V272"/>
      <c r="W272"/>
      <c r="X272"/>
      <c r="Y272"/>
      <c r="Z272"/>
      <c r="AA272" s="362"/>
      <c r="AB272" s="362"/>
    </row>
    <row r="273" spans="15:28" ht="12.75" customHeight="1">
      <c r="O273"/>
      <c r="P273"/>
      <c r="Q273"/>
      <c r="R273"/>
      <c r="S273"/>
      <c r="T273"/>
      <c r="U273"/>
      <c r="V273"/>
      <c r="W273"/>
      <c r="X273"/>
      <c r="Y273"/>
      <c r="Z273"/>
      <c r="AA273" s="362"/>
      <c r="AB273" s="362"/>
    </row>
    <row r="274" spans="15:28" ht="12.75" customHeight="1">
      <c r="O274"/>
      <c r="P274"/>
      <c r="Q274"/>
      <c r="R274"/>
      <c r="S274"/>
      <c r="T274"/>
      <c r="U274"/>
      <c r="V274"/>
      <c r="W274"/>
      <c r="X274"/>
      <c r="Y274"/>
      <c r="Z274"/>
      <c r="AA274" s="362"/>
      <c r="AB274" s="362"/>
    </row>
    <row r="275" spans="15:28" ht="12.75" customHeight="1">
      <c r="O275"/>
      <c r="P275"/>
      <c r="Q275"/>
      <c r="R275"/>
      <c r="S275"/>
      <c r="T275"/>
      <c r="U275"/>
      <c r="V275"/>
      <c r="W275"/>
      <c r="X275"/>
      <c r="Y275"/>
      <c r="Z275"/>
      <c r="AA275" s="362"/>
      <c r="AB275" s="362"/>
    </row>
    <row r="276" spans="15:28" ht="12.75" customHeight="1">
      <c r="O276"/>
      <c r="P276"/>
      <c r="Q276"/>
      <c r="R276"/>
      <c r="S276"/>
      <c r="T276"/>
      <c r="U276"/>
      <c r="V276"/>
      <c r="W276"/>
      <c r="X276"/>
      <c r="Y276"/>
      <c r="Z276"/>
      <c r="AA276" s="362"/>
      <c r="AB276" s="362"/>
    </row>
    <row r="277" spans="15:28" ht="12.75" customHeight="1">
      <c r="O277"/>
      <c r="P277"/>
      <c r="Q277"/>
      <c r="R277"/>
      <c r="S277"/>
      <c r="T277"/>
      <c r="U277"/>
      <c r="V277"/>
      <c r="W277"/>
      <c r="X277"/>
      <c r="Y277"/>
      <c r="Z277"/>
      <c r="AA277" s="362"/>
      <c r="AB277" s="362"/>
    </row>
    <row r="278" spans="15:28" ht="12.75" customHeight="1">
      <c r="O278"/>
      <c r="P278"/>
      <c r="Q278"/>
      <c r="R278"/>
      <c r="S278"/>
      <c r="T278"/>
      <c r="U278"/>
      <c r="V278"/>
      <c r="W278"/>
      <c r="X278"/>
      <c r="Y278"/>
      <c r="Z278"/>
      <c r="AA278" s="362"/>
      <c r="AB278" s="362"/>
    </row>
    <row r="279" spans="15:28" ht="12.75" customHeight="1">
      <c r="O279"/>
      <c r="P279"/>
      <c r="Q279"/>
      <c r="R279"/>
      <c r="S279"/>
      <c r="T279"/>
      <c r="U279"/>
      <c r="V279"/>
      <c r="W279"/>
      <c r="X279"/>
      <c r="Y279"/>
      <c r="Z279"/>
      <c r="AA279" s="362"/>
      <c r="AB279" s="362"/>
    </row>
    <row r="280" spans="15:28" ht="12.75" customHeight="1">
      <c r="O280"/>
      <c r="P280"/>
      <c r="Q280"/>
      <c r="R280"/>
      <c r="S280"/>
      <c r="T280"/>
      <c r="U280"/>
      <c r="V280"/>
      <c r="W280"/>
      <c r="X280"/>
      <c r="Y280"/>
      <c r="Z280"/>
      <c r="AA280" s="362"/>
      <c r="AB280" s="362"/>
    </row>
    <row r="281" spans="15:28" ht="12.75" customHeight="1">
      <c r="O281"/>
      <c r="P281"/>
      <c r="Q281"/>
      <c r="R281"/>
      <c r="S281"/>
      <c r="T281"/>
      <c r="U281"/>
      <c r="V281"/>
      <c r="W281"/>
      <c r="X281"/>
      <c r="Y281"/>
      <c r="Z281"/>
      <c r="AA281" s="362"/>
      <c r="AB281" s="362"/>
    </row>
    <row r="282" spans="15:28" ht="12.75" customHeight="1">
      <c r="O282"/>
      <c r="P282"/>
      <c r="Q282"/>
      <c r="R282"/>
      <c r="S282"/>
      <c r="T282"/>
      <c r="U282"/>
      <c r="V282"/>
      <c r="W282"/>
      <c r="X282"/>
      <c r="Y282"/>
      <c r="Z282"/>
      <c r="AA282" s="362"/>
      <c r="AB282" s="362"/>
    </row>
    <row r="283" spans="15:28" ht="12.75" customHeight="1">
      <c r="O283"/>
      <c r="P283"/>
      <c r="Q283"/>
      <c r="R283"/>
      <c r="S283"/>
      <c r="T283"/>
      <c r="U283"/>
      <c r="V283"/>
      <c r="W283"/>
      <c r="X283"/>
      <c r="Y283"/>
      <c r="Z283"/>
      <c r="AA283" s="362"/>
      <c r="AB283" s="362"/>
    </row>
    <row r="284" spans="15:28" ht="12.75" customHeight="1">
      <c r="O284"/>
      <c r="P284"/>
      <c r="Q284"/>
      <c r="R284"/>
      <c r="S284"/>
      <c r="T284"/>
      <c r="U284"/>
      <c r="V284"/>
      <c r="W284"/>
      <c r="X284"/>
      <c r="Y284"/>
      <c r="Z284"/>
      <c r="AA284" s="362"/>
      <c r="AB284" s="362"/>
    </row>
    <row r="285" spans="15:28" ht="12.75" customHeight="1">
      <c r="O285"/>
      <c r="P285"/>
      <c r="Q285"/>
      <c r="R285"/>
      <c r="S285"/>
      <c r="T285"/>
      <c r="U285"/>
      <c r="V285"/>
      <c r="W285"/>
      <c r="X285"/>
      <c r="Y285"/>
      <c r="Z285"/>
      <c r="AA285" s="362"/>
      <c r="AB285" s="362"/>
    </row>
    <row r="286" spans="15:28" ht="12.75" customHeight="1">
      <c r="O286"/>
      <c r="P286"/>
      <c r="Q286"/>
      <c r="R286"/>
      <c r="S286"/>
      <c r="T286"/>
      <c r="U286"/>
      <c r="V286"/>
      <c r="W286"/>
      <c r="X286"/>
      <c r="Y286"/>
      <c r="Z286"/>
      <c r="AA286" s="362"/>
      <c r="AB286" s="362"/>
    </row>
    <row r="287" spans="15:28" ht="12.75" customHeight="1">
      <c r="O287"/>
      <c r="P287"/>
      <c r="Q287"/>
      <c r="R287"/>
      <c r="S287"/>
      <c r="T287"/>
      <c r="U287"/>
      <c r="V287"/>
      <c r="W287"/>
      <c r="X287"/>
      <c r="Y287"/>
      <c r="Z287"/>
      <c r="AA287" s="362"/>
      <c r="AB287" s="362"/>
    </row>
    <row r="288" spans="15:28" ht="12.75" customHeight="1">
      <c r="O288"/>
      <c r="P288"/>
      <c r="Q288"/>
      <c r="R288"/>
      <c r="S288"/>
      <c r="T288"/>
      <c r="U288"/>
      <c r="V288"/>
      <c r="W288"/>
      <c r="X288"/>
      <c r="Y288"/>
      <c r="Z288"/>
      <c r="AA288" s="362"/>
      <c r="AB288" s="362"/>
    </row>
    <row r="289" spans="15:28" ht="12.75" customHeight="1">
      <c r="O289"/>
      <c r="P289"/>
      <c r="Q289"/>
      <c r="R289"/>
      <c r="S289"/>
      <c r="T289"/>
      <c r="U289"/>
      <c r="V289"/>
      <c r="W289"/>
      <c r="X289"/>
      <c r="Y289"/>
      <c r="Z289"/>
      <c r="AA289" s="362"/>
      <c r="AB289" s="362"/>
    </row>
    <row r="290" spans="15:28" ht="12.75" customHeight="1">
      <c r="O290"/>
      <c r="P290"/>
      <c r="Q290"/>
      <c r="R290"/>
      <c r="S290"/>
      <c r="T290"/>
      <c r="U290"/>
      <c r="V290"/>
      <c r="W290"/>
      <c r="X290"/>
      <c r="Y290"/>
      <c r="Z290"/>
      <c r="AA290" s="362"/>
      <c r="AB290" s="362"/>
    </row>
    <row r="291" spans="15:28" ht="12.75" customHeight="1">
      <c r="O291"/>
      <c r="P291"/>
      <c r="Q291"/>
      <c r="R291"/>
      <c r="S291"/>
      <c r="T291"/>
      <c r="U291"/>
      <c r="V291"/>
      <c r="W291"/>
      <c r="X291"/>
      <c r="Y291"/>
      <c r="Z291"/>
      <c r="AA291" s="362"/>
      <c r="AB291" s="362"/>
    </row>
    <row r="292" spans="15:28" ht="12.75" customHeight="1">
      <c r="O292"/>
      <c r="P292"/>
      <c r="Q292"/>
      <c r="R292"/>
      <c r="S292"/>
      <c r="T292"/>
      <c r="U292"/>
      <c r="V292"/>
      <c r="W292"/>
      <c r="X292"/>
      <c r="Y292"/>
      <c r="Z292"/>
      <c r="AA292" s="362"/>
      <c r="AB292" s="362"/>
    </row>
    <row r="293" spans="15:28" ht="12.75" customHeight="1">
      <c r="O293"/>
      <c r="P293"/>
      <c r="Q293"/>
      <c r="R293"/>
      <c r="S293"/>
      <c r="T293"/>
      <c r="U293"/>
      <c r="V293"/>
      <c r="W293"/>
      <c r="X293"/>
      <c r="Y293"/>
      <c r="Z293"/>
      <c r="AA293" s="362"/>
      <c r="AB293" s="362"/>
    </row>
    <row r="294" spans="15:28" ht="12.75" customHeight="1">
      <c r="O294"/>
      <c r="P294"/>
      <c r="Q294"/>
      <c r="R294"/>
      <c r="S294"/>
      <c r="T294"/>
      <c r="U294"/>
      <c r="V294"/>
      <c r="W294"/>
      <c r="X294"/>
      <c r="Y294"/>
      <c r="Z294"/>
      <c r="AA294" s="362"/>
      <c r="AB294" s="362"/>
    </row>
    <row r="295" spans="15:28" ht="12.75" customHeight="1">
      <c r="O295"/>
      <c r="P295"/>
      <c r="Q295"/>
      <c r="R295"/>
      <c r="S295"/>
      <c r="T295"/>
      <c r="U295"/>
      <c r="V295"/>
      <c r="W295"/>
      <c r="X295"/>
      <c r="Y295"/>
      <c r="Z295"/>
      <c r="AA295" s="362"/>
      <c r="AB295" s="362"/>
    </row>
    <row r="296" spans="15:28" ht="12.75" customHeight="1">
      <c r="O296"/>
      <c r="P296"/>
      <c r="Q296"/>
      <c r="R296"/>
      <c r="S296"/>
      <c r="T296"/>
      <c r="U296"/>
      <c r="V296"/>
      <c r="W296"/>
      <c r="X296"/>
      <c r="Y296"/>
      <c r="Z296"/>
      <c r="AA296" s="362"/>
      <c r="AB296" s="362"/>
    </row>
    <row r="297" spans="15:28" ht="12.75" customHeight="1">
      <c r="O297"/>
      <c r="P297"/>
      <c r="Q297"/>
      <c r="R297"/>
      <c r="S297"/>
      <c r="T297"/>
      <c r="U297"/>
      <c r="V297"/>
      <c r="W297"/>
      <c r="X297"/>
      <c r="Y297"/>
      <c r="Z297"/>
      <c r="AA297" s="362"/>
      <c r="AB297" s="362"/>
    </row>
    <row r="298" spans="15:28" ht="12.75" customHeight="1">
      <c r="O298"/>
      <c r="P298"/>
      <c r="Q298"/>
      <c r="R298"/>
      <c r="S298"/>
      <c r="T298"/>
      <c r="U298"/>
      <c r="V298"/>
      <c r="W298"/>
      <c r="X298"/>
      <c r="Y298"/>
      <c r="Z298"/>
      <c r="AA298" s="362"/>
      <c r="AB298" s="362"/>
    </row>
    <row r="299" spans="15:28" ht="12.75" customHeight="1">
      <c r="O299"/>
      <c r="P299"/>
      <c r="Q299"/>
      <c r="R299"/>
      <c r="S299"/>
      <c r="T299"/>
      <c r="U299"/>
      <c r="V299"/>
      <c r="W299"/>
      <c r="X299"/>
      <c r="Y299"/>
      <c r="Z299"/>
      <c r="AA299" s="362"/>
      <c r="AB299" s="362"/>
    </row>
    <row r="300" spans="15:28" ht="12.75" customHeight="1">
      <c r="O300"/>
      <c r="P300"/>
      <c r="Q300"/>
      <c r="R300"/>
      <c r="S300"/>
      <c r="T300"/>
      <c r="U300"/>
      <c r="V300"/>
      <c r="W300"/>
      <c r="X300"/>
      <c r="Y300"/>
      <c r="Z300"/>
      <c r="AA300" s="362"/>
      <c r="AB300" s="362"/>
    </row>
    <row r="301" spans="15:28" ht="12.75" customHeight="1">
      <c r="O301"/>
      <c r="P301"/>
      <c r="Q301"/>
      <c r="R301"/>
      <c r="S301"/>
      <c r="T301"/>
      <c r="U301"/>
      <c r="V301"/>
      <c r="W301"/>
      <c r="X301"/>
      <c r="Y301"/>
      <c r="Z301"/>
      <c r="AA301" s="362"/>
      <c r="AB301" s="362"/>
    </row>
    <row r="302" spans="15:28" ht="12.75" customHeight="1">
      <c r="O302"/>
      <c r="P302"/>
      <c r="Q302"/>
      <c r="R302"/>
      <c r="S302"/>
      <c r="T302"/>
      <c r="U302"/>
      <c r="V302"/>
      <c r="W302"/>
      <c r="X302"/>
      <c r="Y302"/>
      <c r="Z302"/>
      <c r="AA302" s="362"/>
      <c r="AB302" s="362"/>
    </row>
    <row r="303" spans="15:28" ht="12.75" customHeight="1">
      <c r="O303"/>
      <c r="P303"/>
      <c r="Q303"/>
      <c r="R303"/>
      <c r="S303"/>
      <c r="T303"/>
      <c r="U303"/>
      <c r="V303"/>
      <c r="W303"/>
      <c r="X303"/>
      <c r="Y303"/>
      <c r="Z303"/>
      <c r="AA303" s="362"/>
      <c r="AB303" s="362"/>
    </row>
    <row r="304" spans="15:28" ht="12.75" customHeight="1">
      <c r="O304"/>
      <c r="P304"/>
      <c r="Q304"/>
      <c r="R304"/>
      <c r="S304"/>
      <c r="T304"/>
      <c r="U304"/>
      <c r="V304"/>
      <c r="W304"/>
      <c r="X304"/>
      <c r="Y304"/>
      <c r="Z304"/>
      <c r="AA304" s="362"/>
      <c r="AB304" s="362"/>
    </row>
    <row r="305" spans="15:28" ht="12.75" customHeight="1">
      <c r="O305"/>
      <c r="P305"/>
      <c r="Q305"/>
      <c r="R305"/>
      <c r="S305"/>
      <c r="T305"/>
      <c r="U305"/>
      <c r="V305"/>
      <c r="W305"/>
      <c r="X305"/>
      <c r="Y305"/>
      <c r="Z305"/>
      <c r="AA305" s="362"/>
      <c r="AB305" s="362"/>
    </row>
    <row r="306" spans="15:28" ht="12.75" customHeight="1">
      <c r="O306"/>
      <c r="P306"/>
      <c r="Q306"/>
      <c r="R306"/>
      <c r="S306"/>
      <c r="T306"/>
      <c r="U306"/>
      <c r="V306"/>
      <c r="W306"/>
      <c r="X306"/>
      <c r="Y306"/>
      <c r="Z306"/>
      <c r="AA306" s="362"/>
      <c r="AB306" s="362"/>
    </row>
    <row r="307" spans="15:28" ht="12.75" customHeight="1">
      <c r="O307"/>
      <c r="P307"/>
      <c r="Q307"/>
      <c r="R307"/>
      <c r="S307"/>
      <c r="T307"/>
      <c r="U307"/>
      <c r="V307"/>
      <c r="W307"/>
      <c r="X307"/>
      <c r="Y307"/>
      <c r="Z307"/>
      <c r="AA307" s="362"/>
      <c r="AB307" s="362"/>
    </row>
    <row r="308" spans="15:28" ht="12.75" customHeight="1">
      <c r="O308"/>
      <c r="P308"/>
      <c r="Q308"/>
      <c r="R308"/>
      <c r="S308"/>
      <c r="T308"/>
      <c r="U308"/>
      <c r="V308"/>
      <c r="W308"/>
      <c r="X308"/>
      <c r="Y308"/>
      <c r="Z308"/>
      <c r="AA308" s="362"/>
      <c r="AB308" s="362"/>
    </row>
    <row r="309" spans="15:28" ht="12.75" customHeight="1">
      <c r="O309"/>
      <c r="P309"/>
      <c r="Q309"/>
      <c r="R309"/>
      <c r="S309"/>
      <c r="T309"/>
      <c r="U309"/>
      <c r="V309"/>
      <c r="W309"/>
      <c r="X309"/>
      <c r="Y309"/>
      <c r="Z309"/>
      <c r="AA309" s="362"/>
      <c r="AB309" s="362"/>
    </row>
    <row r="310" spans="15:28" ht="12.75" customHeight="1">
      <c r="O310"/>
      <c r="P310"/>
      <c r="Q310"/>
      <c r="R310"/>
      <c r="S310"/>
      <c r="T310"/>
      <c r="U310"/>
      <c r="V310"/>
      <c r="W310"/>
      <c r="X310"/>
      <c r="Y310"/>
      <c r="Z310"/>
      <c r="AA310" s="362"/>
      <c r="AB310" s="362"/>
    </row>
    <row r="311" spans="15:28" ht="12.75" customHeight="1">
      <c r="O311"/>
      <c r="P311"/>
      <c r="Q311"/>
      <c r="R311"/>
      <c r="S311"/>
      <c r="T311"/>
      <c r="U311"/>
      <c r="V311"/>
      <c r="W311"/>
      <c r="X311"/>
      <c r="Y311"/>
      <c r="Z311"/>
      <c r="AA311" s="362"/>
      <c r="AB311" s="362"/>
    </row>
    <row r="312" spans="15:28" ht="12.75" customHeight="1">
      <c r="O312"/>
      <c r="P312"/>
      <c r="Q312"/>
      <c r="R312"/>
      <c r="S312"/>
      <c r="T312"/>
      <c r="U312"/>
      <c r="V312"/>
      <c r="W312"/>
      <c r="X312"/>
      <c r="Y312"/>
      <c r="Z312"/>
      <c r="AA312" s="362"/>
      <c r="AB312" s="362"/>
    </row>
    <row r="313" spans="15:28" ht="12.75" customHeight="1">
      <c r="O313"/>
      <c r="P313"/>
      <c r="Q313"/>
      <c r="R313"/>
      <c r="S313"/>
      <c r="T313"/>
      <c r="U313"/>
      <c r="V313"/>
      <c r="W313"/>
      <c r="X313"/>
      <c r="Y313"/>
      <c r="Z313"/>
      <c r="AA313" s="362"/>
      <c r="AB313" s="362"/>
    </row>
    <row r="314" spans="15:28" ht="12.75" customHeight="1">
      <c r="O314"/>
      <c r="P314"/>
      <c r="Q314"/>
      <c r="R314"/>
      <c r="S314"/>
      <c r="T314"/>
      <c r="U314"/>
      <c r="V314"/>
      <c r="W314"/>
      <c r="X314"/>
      <c r="Y314"/>
      <c r="Z314"/>
      <c r="AA314" s="362"/>
      <c r="AB314" s="362"/>
    </row>
    <row r="315" spans="15:28" ht="12.75" customHeight="1">
      <c r="O315"/>
      <c r="P315"/>
      <c r="Q315"/>
      <c r="R315"/>
      <c r="S315"/>
      <c r="T315"/>
      <c r="U315"/>
      <c r="V315"/>
      <c r="W315"/>
      <c r="X315"/>
      <c r="Y315"/>
      <c r="Z315"/>
      <c r="AA315" s="362"/>
      <c r="AB315" s="362"/>
    </row>
    <row r="316" spans="15:28" ht="12.75" customHeight="1">
      <c r="O316"/>
      <c r="P316"/>
      <c r="Q316"/>
      <c r="R316"/>
      <c r="S316"/>
      <c r="T316"/>
      <c r="U316"/>
      <c r="V316"/>
      <c r="W316"/>
      <c r="X316"/>
      <c r="Y316"/>
      <c r="Z316"/>
      <c r="AA316" s="362"/>
      <c r="AB316" s="362"/>
    </row>
    <row r="317" spans="15:28" ht="12.75" customHeight="1">
      <c r="O317"/>
      <c r="P317"/>
      <c r="Q317"/>
      <c r="R317"/>
      <c r="S317"/>
      <c r="T317"/>
      <c r="U317"/>
      <c r="V317"/>
      <c r="W317"/>
      <c r="X317"/>
      <c r="Y317"/>
      <c r="Z317"/>
      <c r="AA317" s="362"/>
      <c r="AB317" s="362"/>
    </row>
    <row r="318" spans="15:28" ht="12.75" customHeight="1">
      <c r="O318"/>
      <c r="P318"/>
      <c r="Q318"/>
      <c r="R318"/>
      <c r="S318"/>
      <c r="T318"/>
      <c r="U318"/>
      <c r="V318"/>
      <c r="W318"/>
      <c r="X318"/>
      <c r="Y318"/>
      <c r="Z318"/>
      <c r="AA318" s="362"/>
      <c r="AB318" s="362"/>
    </row>
    <row r="319" spans="15:28" ht="12.75" customHeight="1">
      <c r="O319"/>
      <c r="P319"/>
      <c r="Q319"/>
      <c r="R319"/>
      <c r="S319"/>
      <c r="T319"/>
      <c r="U319"/>
      <c r="V319"/>
      <c r="W319"/>
      <c r="X319"/>
      <c r="Y319"/>
      <c r="Z319"/>
      <c r="AA319" s="362"/>
      <c r="AB319" s="362"/>
    </row>
    <row r="320" spans="15:28" ht="12.75" customHeight="1">
      <c r="O320"/>
      <c r="P320"/>
      <c r="Q320"/>
      <c r="R320"/>
      <c r="S320"/>
      <c r="T320"/>
      <c r="U320"/>
      <c r="V320"/>
      <c r="W320"/>
      <c r="X320"/>
      <c r="Y320"/>
      <c r="Z320"/>
      <c r="AA320" s="362"/>
      <c r="AB320" s="362"/>
    </row>
    <row r="321" spans="15:28" ht="12.75" customHeight="1">
      <c r="O321"/>
      <c r="P321"/>
      <c r="Q321"/>
      <c r="R321"/>
      <c r="S321"/>
      <c r="T321"/>
      <c r="U321"/>
      <c r="V321"/>
      <c r="W321"/>
      <c r="X321"/>
      <c r="Y321"/>
      <c r="Z321"/>
      <c r="AA321" s="362"/>
      <c r="AB321" s="362"/>
    </row>
    <row r="322" spans="15:28" ht="12.75" customHeight="1">
      <c r="O322"/>
      <c r="P322"/>
      <c r="Q322"/>
      <c r="R322"/>
      <c r="S322"/>
      <c r="T322"/>
      <c r="U322"/>
      <c r="V322"/>
      <c r="W322"/>
      <c r="X322"/>
      <c r="Y322"/>
      <c r="Z322"/>
      <c r="AA322" s="362"/>
      <c r="AB322" s="362"/>
    </row>
    <row r="323" spans="15:28" ht="12.75" customHeight="1">
      <c r="O323"/>
      <c r="P323"/>
      <c r="Q323"/>
      <c r="R323"/>
      <c r="S323"/>
      <c r="T323"/>
      <c r="U323"/>
      <c r="V323"/>
      <c r="W323"/>
      <c r="X323"/>
      <c r="Y323"/>
      <c r="Z323"/>
      <c r="AA323" s="362"/>
      <c r="AB323" s="362"/>
    </row>
    <row r="324" spans="15:28" ht="12.75" customHeight="1">
      <c r="O324"/>
      <c r="P324"/>
      <c r="Q324"/>
      <c r="R324"/>
      <c r="S324"/>
      <c r="T324"/>
      <c r="U324"/>
      <c r="V324"/>
      <c r="W324"/>
      <c r="X324"/>
      <c r="Y324"/>
      <c r="Z324"/>
      <c r="AA324" s="362"/>
      <c r="AB324" s="362"/>
    </row>
    <row r="325" spans="15:28" ht="12.75" customHeight="1">
      <c r="O325"/>
      <c r="P325"/>
      <c r="Q325"/>
      <c r="R325"/>
      <c r="S325"/>
      <c r="T325"/>
      <c r="U325"/>
      <c r="V325"/>
      <c r="W325"/>
      <c r="X325"/>
      <c r="Y325"/>
      <c r="Z325"/>
      <c r="AA325" s="362"/>
      <c r="AB325" s="362"/>
    </row>
    <row r="326" spans="15:28" ht="12.75" customHeight="1">
      <c r="O326"/>
      <c r="P326"/>
      <c r="Q326"/>
      <c r="R326"/>
      <c r="S326"/>
      <c r="T326"/>
      <c r="U326"/>
      <c r="V326"/>
      <c r="W326"/>
      <c r="X326"/>
      <c r="Y326"/>
      <c r="Z326"/>
      <c r="AA326" s="362"/>
      <c r="AB326" s="362"/>
    </row>
    <row r="327" spans="15:28" ht="12.75" customHeight="1">
      <c r="O327"/>
      <c r="P327"/>
      <c r="Q327"/>
      <c r="R327"/>
      <c r="S327"/>
      <c r="T327"/>
      <c r="U327"/>
      <c r="V327"/>
      <c r="W327"/>
      <c r="X327"/>
      <c r="Y327"/>
      <c r="Z327"/>
      <c r="AA327" s="362"/>
      <c r="AB327" s="362"/>
    </row>
    <row r="328" spans="15:28" ht="12.75" customHeight="1">
      <c r="O328"/>
      <c r="P328"/>
      <c r="Q328"/>
      <c r="R328"/>
      <c r="S328"/>
      <c r="T328"/>
      <c r="U328"/>
      <c r="V328"/>
      <c r="W328"/>
      <c r="X328"/>
      <c r="Y328"/>
      <c r="Z328"/>
      <c r="AA328" s="362"/>
      <c r="AB328" s="362"/>
    </row>
    <row r="329" spans="15:28" ht="12.75" customHeight="1">
      <c r="O329"/>
      <c r="P329"/>
      <c r="Q329"/>
      <c r="R329"/>
      <c r="S329"/>
      <c r="T329"/>
      <c r="U329"/>
      <c r="V329"/>
      <c r="W329"/>
      <c r="X329"/>
      <c r="Y329"/>
      <c r="Z329"/>
      <c r="AA329" s="362"/>
      <c r="AB329" s="362"/>
    </row>
    <row r="330" spans="15:28" ht="12.75" customHeight="1">
      <c r="O330"/>
      <c r="P330"/>
      <c r="Q330"/>
      <c r="R330"/>
      <c r="S330"/>
      <c r="T330"/>
      <c r="U330"/>
      <c r="V330"/>
      <c r="W330"/>
      <c r="X330"/>
      <c r="Y330"/>
      <c r="Z330"/>
      <c r="AA330" s="362"/>
      <c r="AB330" s="362"/>
    </row>
    <row r="331" spans="15:28" ht="12.75" customHeight="1">
      <c r="O331"/>
      <c r="P331"/>
      <c r="Q331"/>
      <c r="R331"/>
      <c r="S331"/>
      <c r="T331"/>
      <c r="U331"/>
      <c r="V331"/>
      <c r="W331"/>
      <c r="X331"/>
      <c r="Y331"/>
      <c r="Z331"/>
      <c r="AA331" s="362"/>
      <c r="AB331" s="362"/>
    </row>
    <row r="332" spans="15:28" ht="12.75" customHeight="1">
      <c r="O332"/>
      <c r="P332"/>
      <c r="Q332"/>
      <c r="R332"/>
      <c r="S332"/>
      <c r="T332"/>
      <c r="U332"/>
      <c r="V332"/>
      <c r="W332"/>
      <c r="X332"/>
      <c r="Y332"/>
      <c r="Z332"/>
      <c r="AA332" s="362"/>
      <c r="AB332" s="362"/>
    </row>
    <row r="333" spans="15:28" ht="12.75" customHeight="1">
      <c r="O333"/>
      <c r="P333"/>
      <c r="Q333"/>
      <c r="R333"/>
      <c r="S333"/>
      <c r="T333"/>
      <c r="U333"/>
      <c r="V333"/>
      <c r="W333"/>
      <c r="X333"/>
      <c r="Y333"/>
      <c r="Z333"/>
      <c r="AA333" s="362"/>
      <c r="AB333" s="362"/>
    </row>
    <row r="334" spans="15:28" ht="12.75" customHeight="1">
      <c r="O334"/>
      <c r="P334"/>
      <c r="Q334"/>
      <c r="R334"/>
      <c r="S334"/>
      <c r="T334"/>
      <c r="U334"/>
      <c r="V334"/>
      <c r="W334"/>
      <c r="X334"/>
      <c r="Y334"/>
      <c r="Z334"/>
      <c r="AA334" s="362"/>
      <c r="AB334" s="362"/>
    </row>
    <row r="335" spans="15:28" ht="12.75" customHeight="1">
      <c r="O335"/>
      <c r="P335"/>
      <c r="Q335"/>
      <c r="R335"/>
      <c r="S335"/>
      <c r="T335"/>
      <c r="U335"/>
      <c r="V335"/>
      <c r="W335"/>
      <c r="X335"/>
      <c r="Y335"/>
      <c r="Z335"/>
      <c r="AA335" s="362"/>
      <c r="AB335" s="362"/>
    </row>
    <row r="336" spans="15:28" ht="12.75" customHeight="1">
      <c r="O336"/>
      <c r="P336"/>
      <c r="Q336"/>
      <c r="R336"/>
      <c r="S336"/>
      <c r="T336"/>
      <c r="U336"/>
      <c r="V336"/>
      <c r="W336"/>
      <c r="X336"/>
      <c r="Y336"/>
      <c r="Z336"/>
      <c r="AA336" s="362"/>
      <c r="AB336" s="362"/>
    </row>
    <row r="337" spans="15:28" ht="12.75" customHeight="1">
      <c r="O337"/>
      <c r="P337"/>
      <c r="Q337"/>
      <c r="R337"/>
      <c r="S337"/>
      <c r="T337"/>
      <c r="U337"/>
      <c r="V337"/>
      <c r="W337"/>
      <c r="X337"/>
      <c r="Y337"/>
      <c r="Z337"/>
      <c r="AA337" s="362"/>
      <c r="AB337" s="362"/>
    </row>
    <row r="338" spans="15:28" ht="12.75" customHeight="1">
      <c r="O338"/>
      <c r="P338"/>
      <c r="Q338"/>
      <c r="R338"/>
      <c r="S338"/>
      <c r="T338"/>
      <c r="U338"/>
      <c r="V338"/>
      <c r="W338"/>
      <c r="X338"/>
      <c r="Y338"/>
      <c r="Z338"/>
      <c r="AA338" s="362"/>
      <c r="AB338" s="362"/>
    </row>
    <row r="339" spans="15:28" ht="12.75" customHeight="1">
      <c r="O339"/>
      <c r="P339"/>
      <c r="Q339"/>
      <c r="R339"/>
      <c r="S339"/>
      <c r="T339"/>
      <c r="U339"/>
      <c r="V339"/>
      <c r="W339"/>
      <c r="X339"/>
      <c r="Y339"/>
      <c r="Z339"/>
      <c r="AA339" s="362"/>
      <c r="AB339" s="362"/>
    </row>
    <row r="340" spans="15:28" ht="12.75" customHeight="1">
      <c r="O340"/>
      <c r="P340"/>
      <c r="Q340"/>
      <c r="R340"/>
      <c r="S340"/>
      <c r="T340"/>
      <c r="U340"/>
      <c r="V340"/>
      <c r="W340"/>
      <c r="X340"/>
      <c r="Y340"/>
      <c r="Z340"/>
      <c r="AA340" s="362"/>
      <c r="AB340" s="362"/>
    </row>
    <row r="341" spans="15:28" ht="12.75" customHeight="1">
      <c r="O341"/>
      <c r="P341"/>
      <c r="Q341"/>
      <c r="R341"/>
      <c r="S341"/>
      <c r="T341"/>
      <c r="U341"/>
      <c r="V341"/>
      <c r="W341"/>
      <c r="X341"/>
      <c r="Y341"/>
      <c r="Z341"/>
      <c r="AA341" s="362"/>
      <c r="AB341" s="362"/>
    </row>
    <row r="342" spans="15:28" ht="12.75" customHeight="1">
      <c r="O342"/>
      <c r="P342"/>
      <c r="Q342"/>
      <c r="R342"/>
      <c r="S342"/>
      <c r="T342"/>
      <c r="U342"/>
      <c r="V342"/>
      <c r="W342"/>
      <c r="X342"/>
      <c r="Y342"/>
      <c r="Z342"/>
      <c r="AA342" s="362"/>
      <c r="AB342" s="362"/>
    </row>
    <row r="343" spans="15:28" ht="12.75" customHeight="1">
      <c r="O343"/>
      <c r="P343"/>
      <c r="Q343"/>
      <c r="R343"/>
      <c r="S343"/>
      <c r="T343"/>
      <c r="U343"/>
      <c r="V343"/>
      <c r="W343"/>
      <c r="X343"/>
      <c r="Y343"/>
      <c r="Z343"/>
      <c r="AA343" s="362"/>
      <c r="AB343" s="362"/>
    </row>
    <row r="344" spans="15:28" ht="12.75" customHeight="1">
      <c r="O344"/>
      <c r="P344"/>
      <c r="Q344"/>
      <c r="R344"/>
      <c r="S344"/>
      <c r="T344"/>
      <c r="U344"/>
      <c r="V344"/>
      <c r="W344"/>
      <c r="X344"/>
      <c r="Y344"/>
      <c r="Z344"/>
      <c r="AA344" s="362"/>
      <c r="AB344" s="362"/>
    </row>
    <row r="345" spans="15:28" ht="12.75" customHeight="1">
      <c r="O345"/>
      <c r="P345"/>
      <c r="Q345"/>
      <c r="R345"/>
      <c r="S345"/>
      <c r="T345"/>
      <c r="U345"/>
      <c r="V345"/>
      <c r="W345"/>
      <c r="X345"/>
      <c r="Y345"/>
      <c r="Z345"/>
      <c r="AA345" s="362"/>
      <c r="AB345" s="362"/>
    </row>
    <row r="346" spans="15:28" ht="12.75" customHeight="1">
      <c r="O346"/>
      <c r="P346"/>
      <c r="Q346"/>
      <c r="R346"/>
      <c r="S346"/>
      <c r="T346"/>
      <c r="U346"/>
      <c r="V346"/>
      <c r="W346"/>
      <c r="X346"/>
      <c r="Y346"/>
      <c r="Z346"/>
      <c r="AA346" s="362"/>
      <c r="AB346" s="362"/>
    </row>
    <row r="347" spans="15:28" ht="12.75" customHeight="1">
      <c r="O347"/>
      <c r="P347"/>
      <c r="Q347"/>
      <c r="R347"/>
      <c r="S347"/>
      <c r="T347"/>
      <c r="U347"/>
      <c r="V347"/>
      <c r="W347"/>
      <c r="X347"/>
      <c r="Y347"/>
      <c r="Z347"/>
      <c r="AA347" s="362"/>
      <c r="AB347" s="362"/>
    </row>
    <row r="348" spans="15:28" ht="12.75" customHeight="1">
      <c r="O348"/>
      <c r="P348"/>
      <c r="Q348"/>
      <c r="R348"/>
      <c r="S348"/>
      <c r="T348"/>
      <c r="U348"/>
      <c r="V348"/>
      <c r="W348"/>
      <c r="X348"/>
      <c r="Y348"/>
      <c r="Z348"/>
      <c r="AA348" s="362"/>
      <c r="AB348" s="362"/>
    </row>
    <row r="349" spans="15:28" ht="12.75" customHeight="1">
      <c r="O349"/>
      <c r="P349"/>
      <c r="Q349"/>
      <c r="R349"/>
      <c r="S349"/>
      <c r="T349"/>
      <c r="U349"/>
      <c r="V349"/>
      <c r="W349"/>
      <c r="X349"/>
      <c r="Y349"/>
      <c r="Z349"/>
      <c r="AA349" s="362"/>
      <c r="AB349" s="362"/>
    </row>
    <row r="350" spans="15:28" ht="12.75" customHeight="1">
      <c r="O350"/>
      <c r="P350"/>
      <c r="Q350"/>
      <c r="R350"/>
      <c r="S350"/>
      <c r="T350"/>
      <c r="U350"/>
      <c r="V350"/>
      <c r="W350"/>
      <c r="X350"/>
      <c r="Y350"/>
      <c r="Z350"/>
      <c r="AA350" s="362"/>
      <c r="AB350" s="362"/>
    </row>
    <row r="351" spans="15:28" ht="12.75" customHeight="1">
      <c r="O351"/>
      <c r="P351"/>
      <c r="Q351"/>
      <c r="R351"/>
      <c r="S351"/>
      <c r="T351"/>
      <c r="U351"/>
      <c r="V351"/>
      <c r="W351"/>
      <c r="X351"/>
      <c r="Y351"/>
      <c r="Z351"/>
      <c r="AA351" s="362"/>
      <c r="AB351" s="362"/>
    </row>
    <row r="352" spans="15:28" ht="12.75" customHeight="1">
      <c r="O352"/>
      <c r="P352"/>
      <c r="Q352"/>
      <c r="R352"/>
      <c r="S352"/>
      <c r="T352"/>
      <c r="U352"/>
      <c r="V352"/>
      <c r="W352"/>
      <c r="X352"/>
      <c r="Y352"/>
      <c r="Z352"/>
      <c r="AA352" s="362"/>
      <c r="AB352" s="362"/>
    </row>
    <row r="353" spans="15:28" ht="12.75" customHeight="1">
      <c r="O353"/>
      <c r="P353"/>
      <c r="Q353"/>
      <c r="R353"/>
      <c r="S353"/>
      <c r="T353"/>
      <c r="U353"/>
      <c r="V353"/>
      <c r="W353"/>
      <c r="X353"/>
      <c r="Y353"/>
      <c r="Z353"/>
      <c r="AA353" s="362"/>
      <c r="AB353" s="362"/>
    </row>
    <row r="354" spans="15:28" ht="12.75" customHeight="1">
      <c r="O354"/>
      <c r="P354"/>
      <c r="Q354"/>
      <c r="R354"/>
      <c r="S354"/>
      <c r="T354"/>
      <c r="U354"/>
      <c r="V354"/>
      <c r="W354"/>
      <c r="X354"/>
      <c r="Y354"/>
      <c r="Z354"/>
      <c r="AA354" s="362"/>
      <c r="AB354" s="362"/>
    </row>
    <row r="355" spans="15:28" ht="12.75" customHeight="1">
      <c r="O355"/>
      <c r="P355"/>
      <c r="Q355"/>
      <c r="R355"/>
      <c r="S355"/>
      <c r="T355"/>
      <c r="U355"/>
      <c r="V355"/>
      <c r="W355"/>
      <c r="X355"/>
      <c r="Y355"/>
      <c r="Z355"/>
      <c r="AA355" s="362"/>
      <c r="AB355" s="362"/>
    </row>
    <row r="356" spans="15:28" ht="12.75" customHeight="1">
      <c r="O356"/>
      <c r="P356"/>
      <c r="Q356"/>
      <c r="R356"/>
      <c r="S356"/>
      <c r="T356"/>
      <c r="U356"/>
      <c r="V356"/>
      <c r="W356"/>
      <c r="X356"/>
      <c r="Y356"/>
      <c r="Z356"/>
      <c r="AA356" s="362"/>
      <c r="AB356" s="362"/>
    </row>
    <row r="357" spans="15:28" ht="12.75" customHeight="1">
      <c r="O357"/>
      <c r="P357"/>
      <c r="Q357"/>
      <c r="R357"/>
      <c r="S357"/>
      <c r="T357"/>
      <c r="U357"/>
      <c r="V357"/>
      <c r="W357"/>
      <c r="X357"/>
      <c r="Y357"/>
      <c r="Z357"/>
      <c r="AA357" s="362"/>
      <c r="AB357" s="362"/>
    </row>
    <row r="358" spans="15:28" ht="12.75" customHeight="1">
      <c r="O358"/>
      <c r="P358"/>
      <c r="Q358"/>
      <c r="R358"/>
      <c r="S358"/>
      <c r="T358"/>
      <c r="U358"/>
      <c r="V358"/>
      <c r="W358"/>
      <c r="X358"/>
      <c r="Y358"/>
      <c r="Z358"/>
      <c r="AA358" s="362"/>
      <c r="AB358" s="362"/>
    </row>
    <row r="359" spans="15:28" ht="12.75" customHeight="1">
      <c r="O359"/>
      <c r="P359"/>
      <c r="Q359"/>
      <c r="R359"/>
      <c r="S359"/>
      <c r="T359"/>
      <c r="U359"/>
      <c r="V359"/>
      <c r="W359"/>
      <c r="X359"/>
      <c r="Y359"/>
      <c r="Z359"/>
      <c r="AA359" s="362"/>
      <c r="AB359" s="362"/>
    </row>
    <row r="360" spans="15:28" ht="12.75" customHeight="1">
      <c r="O360"/>
      <c r="P360"/>
      <c r="Q360"/>
      <c r="R360"/>
      <c r="S360"/>
      <c r="T360"/>
      <c r="U360"/>
      <c r="V360"/>
      <c r="W360"/>
      <c r="X360"/>
      <c r="Y360"/>
      <c r="Z360"/>
      <c r="AA360" s="362"/>
      <c r="AB360" s="362"/>
    </row>
    <row r="361" spans="15:28" ht="12.75" customHeight="1">
      <c r="O361"/>
      <c r="P361"/>
      <c r="Q361"/>
      <c r="R361"/>
      <c r="S361"/>
      <c r="T361"/>
      <c r="U361"/>
      <c r="V361"/>
      <c r="W361"/>
      <c r="X361"/>
      <c r="Y361"/>
      <c r="Z361"/>
      <c r="AA361" s="362"/>
      <c r="AB361" s="362"/>
    </row>
    <row r="362" spans="15:28" ht="12.75" customHeight="1">
      <c r="O362"/>
      <c r="P362"/>
      <c r="Q362"/>
      <c r="R362"/>
      <c r="S362"/>
      <c r="T362"/>
      <c r="U362"/>
      <c r="V362"/>
      <c r="W362"/>
      <c r="X362"/>
      <c r="Y362"/>
      <c r="Z362"/>
      <c r="AA362" s="362"/>
      <c r="AB362" s="362"/>
    </row>
    <row r="363" spans="15:28" ht="12.75" customHeight="1">
      <c r="O363"/>
      <c r="P363"/>
      <c r="Q363"/>
      <c r="R363"/>
      <c r="S363"/>
      <c r="T363"/>
      <c r="U363"/>
      <c r="V363"/>
      <c r="W363"/>
      <c r="X363"/>
      <c r="Y363"/>
      <c r="Z363"/>
      <c r="AA363" s="362"/>
      <c r="AB363" s="362"/>
    </row>
    <row r="364" spans="15:28" ht="12.75" customHeight="1">
      <c r="O364"/>
      <c r="P364"/>
      <c r="Q364"/>
      <c r="R364"/>
      <c r="S364"/>
      <c r="T364"/>
      <c r="U364"/>
      <c r="V364"/>
      <c r="W364"/>
      <c r="X364"/>
      <c r="Y364"/>
      <c r="Z364"/>
      <c r="AA364" s="362"/>
      <c r="AB364" s="362"/>
    </row>
    <row r="365" spans="15:28" ht="12.75" customHeight="1">
      <c r="O365"/>
      <c r="P365"/>
      <c r="Q365"/>
      <c r="R365"/>
      <c r="S365"/>
      <c r="T365"/>
      <c r="U365"/>
      <c r="V365"/>
      <c r="W365"/>
      <c r="X365"/>
      <c r="Y365"/>
      <c r="Z365"/>
      <c r="AA365" s="362"/>
      <c r="AB365" s="362"/>
    </row>
    <row r="366" spans="15:28" ht="12.75" customHeight="1">
      <c r="O366"/>
      <c r="P366"/>
      <c r="Q366"/>
      <c r="R366"/>
      <c r="S366"/>
      <c r="T366"/>
      <c r="U366"/>
      <c r="V366"/>
      <c r="W366"/>
      <c r="X366"/>
      <c r="Y366"/>
      <c r="Z366"/>
      <c r="AA366" s="362"/>
      <c r="AB366" s="362"/>
    </row>
    <row r="367" spans="15:28" ht="12.75" customHeight="1">
      <c r="O367"/>
      <c r="P367"/>
      <c r="Q367"/>
      <c r="R367"/>
      <c r="S367"/>
      <c r="T367"/>
      <c r="U367"/>
      <c r="V367"/>
      <c r="W367"/>
      <c r="X367"/>
      <c r="Y367"/>
      <c r="Z367"/>
      <c r="AA367" s="362"/>
      <c r="AB367" s="362"/>
    </row>
    <row r="368" spans="15:28" ht="12.75" customHeight="1">
      <c r="O368"/>
      <c r="P368"/>
      <c r="Q368"/>
      <c r="R368"/>
      <c r="S368"/>
      <c r="T368"/>
      <c r="U368"/>
      <c r="V368"/>
      <c r="W368"/>
      <c r="X368"/>
      <c r="Y368"/>
      <c r="Z368"/>
      <c r="AA368" s="362"/>
      <c r="AB368" s="362"/>
    </row>
    <row r="369" spans="15:28" ht="12.75" customHeight="1">
      <c r="O369"/>
      <c r="P369"/>
      <c r="Q369"/>
      <c r="R369"/>
      <c r="S369"/>
      <c r="T369"/>
      <c r="U369"/>
      <c r="V369"/>
      <c r="W369"/>
      <c r="X369"/>
      <c r="Y369"/>
      <c r="Z369"/>
      <c r="AA369" s="362"/>
      <c r="AB369" s="362"/>
    </row>
    <row r="370" spans="15:28" ht="12.75" customHeight="1">
      <c r="O370"/>
      <c r="P370"/>
      <c r="Q370"/>
      <c r="R370"/>
      <c r="S370"/>
      <c r="T370"/>
      <c r="U370"/>
      <c r="V370"/>
      <c r="W370"/>
      <c r="X370"/>
      <c r="Y370"/>
      <c r="Z370"/>
      <c r="AA370" s="362"/>
      <c r="AB370" s="362"/>
    </row>
    <row r="371" spans="15:28" ht="12.75" customHeight="1">
      <c r="O371"/>
      <c r="P371"/>
      <c r="Q371"/>
      <c r="R371"/>
      <c r="S371"/>
      <c r="T371"/>
      <c r="U371"/>
      <c r="V371"/>
      <c r="W371"/>
      <c r="X371"/>
      <c r="Y371"/>
      <c r="Z371"/>
      <c r="AA371" s="362"/>
      <c r="AB371" s="362"/>
    </row>
    <row r="372" spans="15:28" ht="12.75" customHeight="1">
      <c r="O372"/>
      <c r="P372"/>
      <c r="Q372"/>
      <c r="R372"/>
      <c r="S372"/>
      <c r="T372"/>
      <c r="U372"/>
      <c r="V372"/>
      <c r="W372"/>
      <c r="X372"/>
      <c r="Y372"/>
      <c r="Z372"/>
      <c r="AA372" s="362"/>
      <c r="AB372" s="362"/>
    </row>
    <row r="373" spans="15:28" ht="12.75" customHeight="1">
      <c r="O373"/>
      <c r="P373"/>
      <c r="Q373"/>
      <c r="R373"/>
      <c r="S373"/>
      <c r="T373"/>
      <c r="U373"/>
      <c r="V373"/>
      <c r="W373"/>
      <c r="X373"/>
      <c r="Y373"/>
      <c r="Z373"/>
      <c r="AA373" s="362"/>
      <c r="AB373" s="362"/>
    </row>
    <row r="374" spans="15:28" ht="12.75" customHeight="1">
      <c r="O374"/>
      <c r="P374"/>
      <c r="Q374"/>
      <c r="R374"/>
      <c r="S374"/>
      <c r="T374"/>
      <c r="U374"/>
      <c r="V374"/>
      <c r="W374"/>
      <c r="X374"/>
      <c r="Y374"/>
      <c r="Z374"/>
      <c r="AA374" s="362"/>
      <c r="AB374" s="362"/>
    </row>
    <row r="375" spans="15:28" ht="12.75" customHeight="1">
      <c r="O375"/>
      <c r="P375"/>
      <c r="Q375"/>
      <c r="R375"/>
      <c r="S375"/>
      <c r="T375"/>
      <c r="U375"/>
      <c r="V375"/>
      <c r="W375"/>
      <c r="X375"/>
      <c r="Y375"/>
      <c r="Z375"/>
      <c r="AA375" s="362"/>
      <c r="AB375" s="362"/>
    </row>
    <row r="376" spans="15:28" ht="12.75" customHeight="1">
      <c r="O376"/>
      <c r="P376"/>
      <c r="Q376"/>
      <c r="R376"/>
      <c r="S376"/>
      <c r="T376"/>
      <c r="U376"/>
      <c r="V376"/>
      <c r="W376"/>
      <c r="X376"/>
      <c r="Y376"/>
      <c r="Z376"/>
      <c r="AA376" s="362"/>
      <c r="AB376" s="362"/>
    </row>
    <row r="377" spans="15:28" ht="12.75" customHeight="1">
      <c r="O377"/>
      <c r="P377"/>
      <c r="Q377"/>
      <c r="R377"/>
      <c r="S377"/>
      <c r="T377"/>
      <c r="U377"/>
      <c r="V377"/>
      <c r="W377"/>
      <c r="X377"/>
      <c r="Y377"/>
      <c r="Z377"/>
      <c r="AA377" s="362"/>
      <c r="AB377" s="362"/>
    </row>
    <row r="378" spans="15:28" ht="12.75" customHeight="1">
      <c r="O378"/>
      <c r="P378"/>
      <c r="Q378"/>
      <c r="R378"/>
      <c r="S378"/>
      <c r="T378"/>
      <c r="U378"/>
      <c r="V378"/>
      <c r="W378"/>
      <c r="X378"/>
      <c r="Y378"/>
      <c r="Z378"/>
      <c r="AA378" s="362"/>
      <c r="AB378" s="362"/>
    </row>
    <row r="379" spans="15:28" ht="12.75" customHeight="1">
      <c r="O379"/>
      <c r="P379"/>
      <c r="Q379"/>
      <c r="R379"/>
      <c r="S379"/>
      <c r="T379"/>
      <c r="U379"/>
      <c r="V379"/>
      <c r="W379"/>
      <c r="X379"/>
      <c r="Y379"/>
      <c r="Z379"/>
      <c r="AA379" s="362"/>
      <c r="AB379" s="362"/>
    </row>
    <row r="380" spans="15:28" ht="12.75" customHeight="1">
      <c r="O380"/>
      <c r="P380"/>
      <c r="Q380"/>
      <c r="R380"/>
      <c r="S380"/>
      <c r="T380"/>
      <c r="U380"/>
      <c r="V380"/>
      <c r="W380"/>
      <c r="X380"/>
      <c r="Y380"/>
      <c r="Z380"/>
      <c r="AA380" s="362"/>
      <c r="AB380" s="362"/>
    </row>
    <row r="381" spans="15:28" ht="12.75" customHeight="1">
      <c r="O381"/>
      <c r="P381"/>
      <c r="Q381"/>
      <c r="R381"/>
      <c r="S381"/>
      <c r="T381"/>
      <c r="U381"/>
      <c r="V381"/>
      <c r="W381"/>
      <c r="X381"/>
      <c r="Y381"/>
      <c r="Z381"/>
      <c r="AA381" s="362"/>
      <c r="AB381" s="362"/>
    </row>
    <row r="382" spans="15:28" ht="12.75" customHeight="1">
      <c r="O382"/>
      <c r="P382"/>
      <c r="Q382"/>
      <c r="R382"/>
      <c r="S382"/>
      <c r="T382"/>
      <c r="U382"/>
      <c r="V382"/>
      <c r="W382"/>
      <c r="X382"/>
      <c r="Y382"/>
      <c r="Z382"/>
      <c r="AA382" s="362"/>
      <c r="AB382" s="362"/>
    </row>
    <row r="383" spans="15:28" ht="12.75" customHeight="1">
      <c r="O383"/>
      <c r="P383"/>
      <c r="Q383"/>
      <c r="R383"/>
      <c r="S383"/>
      <c r="T383"/>
      <c r="U383"/>
      <c r="V383"/>
      <c r="W383"/>
      <c r="X383"/>
      <c r="Y383"/>
      <c r="Z383"/>
      <c r="AA383" s="362"/>
      <c r="AB383" s="362"/>
    </row>
    <row r="384" spans="15:28" ht="12.75" customHeight="1">
      <c r="O384"/>
      <c r="P384"/>
      <c r="Q384"/>
      <c r="R384"/>
      <c r="S384"/>
      <c r="T384"/>
      <c r="U384"/>
      <c r="V384"/>
      <c r="W384"/>
      <c r="X384"/>
      <c r="Y384"/>
      <c r="Z384"/>
      <c r="AA384" s="362"/>
      <c r="AB384" s="362"/>
    </row>
    <row r="385" spans="15:28" ht="12.75" customHeight="1">
      <c r="O385"/>
      <c r="P385"/>
      <c r="Q385"/>
      <c r="R385"/>
      <c r="S385"/>
      <c r="T385"/>
      <c r="U385"/>
      <c r="V385"/>
      <c r="W385"/>
      <c r="X385"/>
      <c r="Y385"/>
      <c r="Z385"/>
      <c r="AA385" s="362"/>
      <c r="AB385" s="362"/>
    </row>
    <row r="386" spans="15:28" ht="12.75" customHeight="1">
      <c r="O386"/>
      <c r="P386"/>
      <c r="Q386"/>
      <c r="R386"/>
      <c r="S386"/>
      <c r="T386"/>
      <c r="U386"/>
      <c r="V386"/>
      <c r="W386"/>
      <c r="X386"/>
      <c r="Y386"/>
      <c r="Z386"/>
      <c r="AA386" s="362"/>
      <c r="AB386" s="362"/>
    </row>
    <row r="387" spans="15:28" ht="12.75" customHeight="1">
      <c r="O387"/>
      <c r="P387"/>
      <c r="Q387"/>
      <c r="R387"/>
      <c r="S387"/>
      <c r="T387"/>
      <c r="U387"/>
      <c r="V387"/>
      <c r="W387"/>
      <c r="X387"/>
      <c r="Y387"/>
      <c r="Z387"/>
      <c r="AA387" s="362"/>
      <c r="AB387" s="362"/>
    </row>
    <row r="388" spans="15:28" ht="12.75" customHeight="1">
      <c r="O388"/>
      <c r="P388"/>
      <c r="Q388"/>
      <c r="R388"/>
      <c r="S388"/>
      <c r="T388"/>
      <c r="U388"/>
      <c r="V388"/>
      <c r="W388"/>
      <c r="X388"/>
      <c r="Y388"/>
      <c r="Z388"/>
      <c r="AA388" s="362"/>
      <c r="AB388" s="362"/>
    </row>
    <row r="389" spans="15:28" ht="12.75" customHeight="1">
      <c r="O389"/>
      <c r="P389"/>
      <c r="Q389"/>
      <c r="R389"/>
      <c r="S389"/>
      <c r="T389"/>
      <c r="U389"/>
      <c r="V389"/>
      <c r="W389"/>
      <c r="X389"/>
      <c r="Y389"/>
      <c r="Z389"/>
      <c r="AA389" s="362"/>
      <c r="AB389" s="362"/>
    </row>
    <row r="390" spans="15:28" ht="12.75" customHeight="1">
      <c r="O390"/>
      <c r="P390"/>
      <c r="Q390"/>
      <c r="R390"/>
      <c r="S390"/>
      <c r="T390"/>
      <c r="U390"/>
      <c r="V390"/>
      <c r="W390"/>
      <c r="X390"/>
      <c r="Y390"/>
      <c r="Z390"/>
      <c r="AA390" s="362"/>
      <c r="AB390" s="362"/>
    </row>
    <row r="391" spans="15:28" ht="12.75" customHeight="1">
      <c r="O391"/>
      <c r="P391"/>
      <c r="Q391"/>
      <c r="R391"/>
      <c r="S391"/>
      <c r="T391"/>
      <c r="U391"/>
      <c r="V391"/>
      <c r="W391"/>
      <c r="X391"/>
      <c r="Y391"/>
      <c r="Z391"/>
      <c r="AA391" s="362"/>
      <c r="AB391" s="362"/>
    </row>
    <row r="392" spans="15:28" ht="12.75" customHeight="1">
      <c r="O392"/>
      <c r="P392"/>
      <c r="Q392"/>
      <c r="R392"/>
      <c r="S392"/>
      <c r="T392"/>
      <c r="U392"/>
      <c r="V392"/>
      <c r="W392"/>
      <c r="X392"/>
      <c r="Y392"/>
      <c r="Z392"/>
      <c r="AA392" s="362"/>
      <c r="AB392" s="362"/>
    </row>
    <row r="393" spans="15:28" ht="12.75" customHeight="1">
      <c r="O393"/>
      <c r="P393"/>
      <c r="Q393"/>
      <c r="R393"/>
      <c r="S393"/>
      <c r="T393"/>
      <c r="U393"/>
      <c r="V393"/>
      <c r="W393"/>
      <c r="X393"/>
      <c r="Y393"/>
      <c r="Z393"/>
      <c r="AA393" s="362"/>
      <c r="AB393" s="362"/>
    </row>
    <row r="394" spans="15:28" ht="12.75" customHeight="1">
      <c r="O394"/>
      <c r="P394"/>
      <c r="Q394"/>
      <c r="R394"/>
      <c r="S394"/>
      <c r="T394"/>
      <c r="U394"/>
      <c r="V394"/>
      <c r="W394"/>
      <c r="X394"/>
      <c r="Y394"/>
      <c r="Z394"/>
      <c r="AA394" s="362"/>
      <c r="AB394" s="362"/>
    </row>
    <row r="395" spans="15:28" ht="12.75" customHeight="1">
      <c r="O395"/>
      <c r="P395"/>
      <c r="Q395"/>
      <c r="R395"/>
      <c r="S395"/>
      <c r="T395"/>
      <c r="U395"/>
      <c r="V395"/>
      <c r="W395"/>
      <c r="X395"/>
      <c r="Y395"/>
      <c r="Z395"/>
      <c r="AA395" s="362"/>
      <c r="AB395" s="362"/>
    </row>
    <row r="396" spans="15:28" ht="12.75" customHeight="1">
      <c r="O396"/>
      <c r="P396"/>
      <c r="Q396"/>
      <c r="R396"/>
      <c r="S396"/>
      <c r="T396"/>
      <c r="U396"/>
      <c r="V396"/>
      <c r="W396"/>
      <c r="X396"/>
      <c r="Y396"/>
      <c r="Z396"/>
      <c r="AA396" s="362"/>
      <c r="AB396" s="362"/>
    </row>
    <row r="397" spans="15:28" ht="12.75" customHeight="1">
      <c r="O397"/>
      <c r="P397"/>
      <c r="Q397"/>
      <c r="R397"/>
      <c r="S397"/>
      <c r="T397"/>
      <c r="U397"/>
      <c r="V397"/>
      <c r="W397"/>
      <c r="X397"/>
      <c r="Y397"/>
      <c r="Z397"/>
      <c r="AA397" s="362"/>
      <c r="AB397" s="362"/>
    </row>
    <row r="398" spans="15:28" ht="12.75" customHeight="1">
      <c r="O398"/>
      <c r="P398"/>
      <c r="Q398"/>
      <c r="R398"/>
      <c r="S398"/>
      <c r="T398"/>
      <c r="U398"/>
      <c r="V398"/>
      <c r="W398"/>
      <c r="X398"/>
      <c r="Y398"/>
      <c r="Z398"/>
      <c r="AA398" s="362"/>
      <c r="AB398" s="362"/>
    </row>
    <row r="399" spans="15:28" ht="12.75" customHeight="1">
      <c r="O399"/>
      <c r="P399"/>
      <c r="Q399"/>
      <c r="R399"/>
      <c r="S399"/>
      <c r="T399"/>
      <c r="U399"/>
      <c r="V399"/>
      <c r="W399"/>
      <c r="X399"/>
      <c r="Y399"/>
      <c r="Z399"/>
      <c r="AA399" s="362"/>
      <c r="AB399" s="362"/>
    </row>
    <row r="400" spans="15:28" ht="12.75" customHeight="1">
      <c r="O400"/>
      <c r="P400"/>
      <c r="Q400"/>
      <c r="R400"/>
      <c r="S400"/>
      <c r="T400"/>
      <c r="U400"/>
      <c r="V400"/>
      <c r="W400"/>
      <c r="X400"/>
      <c r="Y400"/>
      <c r="Z400"/>
      <c r="AA400" s="362"/>
      <c r="AB400" s="362"/>
    </row>
    <row r="401" spans="15:28" ht="12.75" customHeight="1">
      <c r="O401"/>
      <c r="P401"/>
      <c r="Q401"/>
      <c r="R401"/>
      <c r="S401"/>
      <c r="T401"/>
      <c r="U401"/>
      <c r="V401"/>
      <c r="W401"/>
      <c r="X401"/>
      <c r="Y401"/>
      <c r="Z401"/>
      <c r="AA401" s="362"/>
      <c r="AB401" s="362"/>
    </row>
    <row r="402" spans="15:28" ht="12.75" customHeight="1">
      <c r="O402"/>
      <c r="P402"/>
      <c r="Q402"/>
      <c r="R402"/>
      <c r="S402"/>
      <c r="T402"/>
      <c r="U402"/>
      <c r="V402"/>
      <c r="W402"/>
      <c r="X402"/>
      <c r="Y402"/>
      <c r="Z402"/>
      <c r="AA402" s="362"/>
      <c r="AB402" s="362"/>
    </row>
    <row r="403" spans="15:28" ht="12.75" customHeight="1">
      <c r="O403"/>
      <c r="P403"/>
      <c r="Q403"/>
      <c r="R403"/>
      <c r="S403"/>
      <c r="T403"/>
      <c r="U403"/>
      <c r="V403"/>
      <c r="W403"/>
      <c r="X403"/>
      <c r="Y403"/>
      <c r="Z403"/>
      <c r="AA403" s="362"/>
      <c r="AB403" s="362"/>
    </row>
    <row r="404" spans="15:28" ht="12.75" customHeight="1">
      <c r="O404"/>
      <c r="P404"/>
      <c r="Q404"/>
      <c r="R404"/>
      <c r="S404"/>
      <c r="T404"/>
      <c r="U404"/>
      <c r="V404"/>
      <c r="W404"/>
      <c r="X404"/>
      <c r="Y404"/>
      <c r="Z404"/>
      <c r="AA404" s="362"/>
      <c r="AB404" s="362"/>
    </row>
    <row r="405" spans="15:28" ht="12.75" customHeight="1">
      <c r="O405"/>
      <c r="P405"/>
      <c r="Q405"/>
      <c r="R405"/>
      <c r="S405"/>
      <c r="T405"/>
      <c r="U405"/>
      <c r="V405"/>
      <c r="W405"/>
      <c r="X405"/>
      <c r="Y405"/>
      <c r="Z405"/>
      <c r="AA405" s="362"/>
      <c r="AB405" s="362"/>
    </row>
    <row r="406" spans="15:28" ht="12.75" customHeight="1">
      <c r="O406"/>
      <c r="P406"/>
      <c r="Q406"/>
      <c r="R406"/>
      <c r="S406"/>
      <c r="T406"/>
      <c r="U406"/>
      <c r="V406"/>
      <c r="W406"/>
      <c r="X406"/>
      <c r="Y406"/>
      <c r="Z406"/>
      <c r="AA406" s="362"/>
      <c r="AB406" s="362"/>
    </row>
    <row r="407" spans="15:28" ht="12.75" customHeight="1">
      <c r="O407"/>
      <c r="P407"/>
      <c r="Q407"/>
      <c r="R407"/>
      <c r="S407"/>
      <c r="T407"/>
      <c r="U407"/>
      <c r="V407"/>
      <c r="W407"/>
      <c r="X407"/>
      <c r="Y407"/>
      <c r="Z407"/>
      <c r="AA407" s="362"/>
      <c r="AB407" s="362"/>
    </row>
    <row r="408" spans="15:28" ht="12.75" customHeight="1">
      <c r="O408"/>
      <c r="P408"/>
      <c r="Q408"/>
      <c r="R408"/>
      <c r="S408"/>
      <c r="T408"/>
      <c r="U408"/>
      <c r="V408"/>
      <c r="W408"/>
      <c r="X408"/>
      <c r="Y408"/>
      <c r="Z408"/>
      <c r="AA408" s="362"/>
      <c r="AB408" s="362"/>
    </row>
    <row r="409" spans="15:28" ht="12.75" customHeight="1">
      <c r="O409"/>
      <c r="P409"/>
      <c r="Q409"/>
      <c r="R409"/>
      <c r="S409"/>
      <c r="T409"/>
      <c r="U409"/>
      <c r="V409"/>
      <c r="W409"/>
      <c r="X409"/>
      <c r="Y409"/>
      <c r="Z409"/>
      <c r="AA409" s="362"/>
      <c r="AB409" s="362"/>
    </row>
    <row r="410" spans="15:28" ht="12.75" customHeight="1">
      <c r="O410"/>
      <c r="P410"/>
      <c r="Q410"/>
      <c r="R410"/>
      <c r="S410"/>
      <c r="T410"/>
      <c r="U410"/>
      <c r="V410"/>
      <c r="W410"/>
      <c r="X410"/>
      <c r="Y410"/>
      <c r="Z410"/>
      <c r="AA410" s="362"/>
      <c r="AB410" s="362"/>
    </row>
    <row r="411" spans="15:28" ht="12.75" customHeight="1">
      <c r="O411"/>
      <c r="P411"/>
      <c r="Q411"/>
      <c r="R411"/>
      <c r="S411"/>
      <c r="T411"/>
      <c r="U411"/>
      <c r="V411"/>
      <c r="W411"/>
      <c r="X411"/>
      <c r="Y411"/>
      <c r="Z411"/>
      <c r="AA411" s="362"/>
      <c r="AB411" s="362"/>
    </row>
    <row r="412" spans="15:28" ht="12.75" customHeight="1">
      <c r="O412"/>
      <c r="P412"/>
      <c r="Q412"/>
      <c r="R412"/>
      <c r="S412"/>
      <c r="T412"/>
      <c r="U412"/>
      <c r="V412"/>
      <c r="W412"/>
      <c r="X412"/>
      <c r="Y412"/>
      <c r="Z412"/>
      <c r="AA412" s="362"/>
      <c r="AB412" s="362"/>
    </row>
    <row r="413" spans="15:28" ht="12.75" customHeight="1">
      <c r="O413"/>
      <c r="P413"/>
      <c r="Q413"/>
      <c r="R413"/>
      <c r="S413"/>
      <c r="T413"/>
      <c r="U413"/>
      <c r="V413"/>
      <c r="W413"/>
      <c r="X413"/>
      <c r="Y413"/>
      <c r="Z413"/>
      <c r="AA413" s="362"/>
      <c r="AB413" s="362"/>
    </row>
    <row r="414" spans="15:28" ht="12.75" customHeight="1">
      <c r="O414"/>
      <c r="P414"/>
      <c r="Q414"/>
      <c r="R414"/>
      <c r="S414"/>
      <c r="T414"/>
      <c r="U414"/>
      <c r="V414"/>
      <c r="W414"/>
      <c r="X414"/>
      <c r="Y414"/>
      <c r="Z414"/>
      <c r="AA414" s="362"/>
      <c r="AB414" s="362"/>
    </row>
    <row r="415" spans="15:28" ht="12.75" customHeight="1">
      <c r="O415"/>
      <c r="P415"/>
      <c r="Q415"/>
      <c r="R415"/>
      <c r="S415"/>
      <c r="T415"/>
      <c r="U415"/>
      <c r="V415"/>
      <c r="W415"/>
      <c r="X415"/>
      <c r="Y415"/>
      <c r="Z415"/>
      <c r="AA415" s="362"/>
      <c r="AB415" s="362"/>
    </row>
    <row r="416" spans="15:28" ht="12.75" customHeight="1">
      <c r="O416"/>
      <c r="P416"/>
      <c r="Q416"/>
      <c r="R416"/>
      <c r="S416"/>
      <c r="T416"/>
      <c r="U416"/>
      <c r="V416"/>
      <c r="W416"/>
      <c r="X416"/>
      <c r="Y416"/>
      <c r="Z416"/>
      <c r="AA416" s="362"/>
      <c r="AB416" s="362"/>
    </row>
    <row r="417" spans="15:28" ht="12.75" customHeight="1">
      <c r="O417"/>
      <c r="P417"/>
      <c r="Q417"/>
      <c r="R417"/>
      <c r="S417"/>
      <c r="T417"/>
      <c r="U417"/>
      <c r="V417"/>
      <c r="W417"/>
      <c r="X417"/>
      <c r="Y417"/>
      <c r="Z417"/>
      <c r="AA417" s="362"/>
      <c r="AB417" s="362"/>
    </row>
    <row r="418" spans="15:28" ht="12.75" customHeight="1">
      <c r="O418"/>
      <c r="P418"/>
      <c r="Q418"/>
      <c r="R418"/>
      <c r="S418"/>
      <c r="T418"/>
      <c r="U418"/>
      <c r="V418"/>
      <c r="W418"/>
      <c r="X418"/>
      <c r="Y418"/>
      <c r="Z418"/>
      <c r="AA418" s="362"/>
      <c r="AB418" s="362"/>
    </row>
    <row r="419" spans="15:28" ht="12.75" customHeight="1">
      <c r="O419"/>
      <c r="P419"/>
      <c r="Q419"/>
      <c r="R419"/>
      <c r="S419"/>
      <c r="T419"/>
      <c r="U419"/>
      <c r="V419"/>
      <c r="W419"/>
      <c r="X419"/>
      <c r="Y419"/>
      <c r="Z419"/>
      <c r="AA419" s="362"/>
      <c r="AB419" s="362"/>
    </row>
    <row r="420" spans="15:28" ht="12.75" customHeight="1">
      <c r="O420"/>
      <c r="P420"/>
      <c r="Q420"/>
      <c r="R420"/>
      <c r="S420"/>
      <c r="T420"/>
      <c r="U420"/>
      <c r="V420"/>
      <c r="W420"/>
      <c r="X420"/>
      <c r="Y420"/>
      <c r="Z420"/>
      <c r="AA420" s="362"/>
      <c r="AB420" s="362"/>
    </row>
    <row r="421" spans="15:28" ht="12.75" customHeight="1">
      <c r="O421"/>
      <c r="P421"/>
      <c r="Q421"/>
      <c r="R421"/>
      <c r="S421"/>
      <c r="T421"/>
      <c r="U421"/>
      <c r="V421"/>
      <c r="W421"/>
      <c r="X421"/>
      <c r="Y421"/>
      <c r="Z421"/>
      <c r="AA421" s="362"/>
      <c r="AB421" s="362"/>
    </row>
    <row r="422" spans="15:28" ht="12.75" customHeight="1">
      <c r="O422"/>
      <c r="P422"/>
      <c r="Q422"/>
      <c r="R422"/>
      <c r="S422"/>
      <c r="T422"/>
      <c r="U422"/>
      <c r="V422"/>
      <c r="W422"/>
      <c r="X422"/>
      <c r="Y422"/>
      <c r="Z422"/>
      <c r="AA422" s="362"/>
      <c r="AB422" s="362"/>
    </row>
    <row r="423" spans="15:28" ht="12.75" customHeight="1">
      <c r="O423"/>
      <c r="P423"/>
      <c r="Q423"/>
      <c r="R423"/>
      <c r="S423"/>
      <c r="T423"/>
      <c r="U423"/>
      <c r="V423"/>
      <c r="W423"/>
      <c r="X423"/>
      <c r="Y423"/>
      <c r="Z423"/>
      <c r="AA423" s="362"/>
      <c r="AB423" s="362"/>
    </row>
    <row r="424" spans="15:28" ht="12.75" customHeight="1">
      <c r="O424"/>
      <c r="P424"/>
      <c r="Q424"/>
      <c r="R424"/>
      <c r="S424"/>
      <c r="T424"/>
      <c r="U424"/>
      <c r="V424"/>
      <c r="W424"/>
      <c r="X424"/>
      <c r="Y424"/>
      <c r="Z424"/>
      <c r="AA424" s="362"/>
      <c r="AB424" s="362"/>
    </row>
    <row r="425" spans="15:28" ht="12.75" customHeight="1">
      <c r="O425"/>
      <c r="P425"/>
      <c r="Q425"/>
      <c r="R425"/>
      <c r="S425"/>
      <c r="T425"/>
      <c r="U425"/>
      <c r="V425"/>
      <c r="W425"/>
      <c r="X425"/>
      <c r="Y425"/>
      <c r="Z425"/>
      <c r="AA425" s="362"/>
      <c r="AB425" s="362"/>
    </row>
    <row r="426" spans="15:28" ht="12.75" customHeight="1">
      <c r="O426"/>
      <c r="P426"/>
      <c r="Q426"/>
      <c r="R426"/>
      <c r="S426"/>
      <c r="T426"/>
      <c r="U426"/>
      <c r="V426"/>
      <c r="W426"/>
      <c r="X426"/>
      <c r="Y426"/>
      <c r="Z426"/>
      <c r="AA426" s="362"/>
      <c r="AB426" s="362"/>
    </row>
    <row r="427" spans="15:28" ht="12.75" customHeight="1">
      <c r="O427"/>
      <c r="P427"/>
      <c r="Q427"/>
      <c r="R427"/>
      <c r="S427"/>
      <c r="T427"/>
      <c r="U427"/>
      <c r="V427"/>
      <c r="W427"/>
      <c r="X427"/>
      <c r="Y427"/>
      <c r="Z427"/>
      <c r="AA427" s="362"/>
      <c r="AB427" s="362"/>
    </row>
    <row r="428" spans="15:28" ht="12.75" customHeight="1">
      <c r="O428"/>
      <c r="P428"/>
      <c r="Q428"/>
      <c r="R428"/>
      <c r="S428"/>
      <c r="T428"/>
      <c r="U428"/>
      <c r="V428"/>
      <c r="W428"/>
      <c r="X428"/>
      <c r="Y428"/>
      <c r="Z428"/>
      <c r="AA428" s="362"/>
      <c r="AB428" s="362"/>
    </row>
    <row r="429" spans="15:28" ht="12.75" customHeight="1">
      <c r="O429"/>
      <c r="P429"/>
      <c r="Q429"/>
      <c r="R429"/>
      <c r="S429"/>
      <c r="T429"/>
      <c r="U429"/>
      <c r="V429"/>
      <c r="W429"/>
      <c r="X429"/>
      <c r="Y429"/>
      <c r="Z429"/>
      <c r="AA429" s="362"/>
      <c r="AB429" s="362"/>
    </row>
    <row r="430" spans="15:28" ht="12.75" customHeight="1">
      <c r="O430"/>
      <c r="P430"/>
      <c r="Q430"/>
      <c r="R430"/>
      <c r="S430"/>
      <c r="T430"/>
      <c r="U430"/>
      <c r="V430"/>
      <c r="W430"/>
      <c r="X430"/>
      <c r="Y430"/>
      <c r="Z430"/>
      <c r="AA430" s="362"/>
      <c r="AB430" s="362"/>
    </row>
    <row r="431" spans="15:28" ht="12.75" customHeight="1">
      <c r="O431"/>
      <c r="P431"/>
      <c r="Q431"/>
      <c r="R431"/>
      <c r="S431"/>
      <c r="T431"/>
      <c r="U431"/>
      <c r="V431"/>
      <c r="W431"/>
      <c r="X431"/>
      <c r="Y431"/>
      <c r="Z431"/>
      <c r="AA431" s="362"/>
      <c r="AB431" s="362"/>
    </row>
    <row r="432" spans="15:28" ht="12.75" customHeight="1">
      <c r="O432"/>
      <c r="P432"/>
      <c r="Q432"/>
      <c r="R432"/>
      <c r="S432"/>
      <c r="T432"/>
      <c r="U432"/>
      <c r="V432"/>
      <c r="W432"/>
      <c r="X432"/>
      <c r="Y432"/>
      <c r="Z432"/>
      <c r="AA432" s="362"/>
      <c r="AB432" s="362"/>
    </row>
    <row r="433" spans="15:28" ht="12.75" customHeight="1">
      <c r="O433"/>
      <c r="P433"/>
      <c r="Q433"/>
      <c r="R433"/>
      <c r="S433"/>
      <c r="T433"/>
      <c r="U433"/>
      <c r="V433"/>
      <c r="W433"/>
      <c r="X433"/>
      <c r="Y433"/>
      <c r="Z433"/>
      <c r="AA433" s="362"/>
      <c r="AB433" s="362"/>
    </row>
    <row r="434" spans="15:28" ht="12.75" customHeight="1">
      <c r="O434"/>
      <c r="P434"/>
      <c r="Q434"/>
      <c r="R434"/>
      <c r="S434"/>
      <c r="T434"/>
      <c r="U434"/>
      <c r="V434"/>
      <c r="W434"/>
      <c r="X434"/>
      <c r="Y434"/>
      <c r="Z434"/>
      <c r="AA434" s="362"/>
      <c r="AB434" s="362"/>
    </row>
    <row r="435" spans="15:28" ht="12.75" customHeight="1">
      <c r="O435"/>
      <c r="P435"/>
      <c r="Q435"/>
      <c r="R435"/>
      <c r="S435"/>
      <c r="T435"/>
      <c r="U435"/>
      <c r="V435"/>
      <c r="W435"/>
      <c r="X435"/>
      <c r="Y435"/>
      <c r="Z435"/>
      <c r="AA435" s="362"/>
      <c r="AB435" s="362"/>
    </row>
    <row r="436" spans="15:28" ht="12.75" customHeight="1">
      <c r="O436"/>
      <c r="P436"/>
      <c r="Q436"/>
      <c r="R436"/>
      <c r="S436"/>
      <c r="T436"/>
      <c r="U436"/>
      <c r="V436"/>
      <c r="W436"/>
      <c r="X436"/>
      <c r="Y436"/>
      <c r="Z436"/>
      <c r="AA436" s="362"/>
      <c r="AB436" s="362"/>
    </row>
    <row r="437" spans="15:28" ht="12.75" customHeight="1">
      <c r="O437"/>
      <c r="P437"/>
      <c r="Q437"/>
      <c r="R437"/>
      <c r="S437"/>
      <c r="T437"/>
      <c r="U437"/>
      <c r="V437"/>
      <c r="W437"/>
      <c r="X437"/>
      <c r="Y437"/>
      <c r="Z437"/>
      <c r="AA437" s="362"/>
      <c r="AB437" s="362"/>
    </row>
    <row r="438" spans="15:28" ht="12.75" customHeight="1">
      <c r="O438"/>
      <c r="P438"/>
      <c r="Q438"/>
      <c r="R438"/>
      <c r="S438"/>
      <c r="T438"/>
      <c r="U438"/>
      <c r="V438"/>
      <c r="W438"/>
      <c r="X438"/>
      <c r="Y438"/>
      <c r="Z438"/>
      <c r="AA438" s="362"/>
      <c r="AB438" s="362"/>
    </row>
    <row r="439" spans="15:28" ht="12.75" customHeight="1">
      <c r="O439"/>
      <c r="P439"/>
      <c r="Q439"/>
      <c r="R439"/>
      <c r="S439"/>
      <c r="T439"/>
      <c r="U439"/>
      <c r="V439"/>
      <c r="W439"/>
      <c r="X439"/>
      <c r="Y439"/>
      <c r="Z439"/>
      <c r="AA439" s="362"/>
      <c r="AB439" s="362"/>
    </row>
    <row r="440" spans="15:28" ht="12.75" customHeight="1">
      <c r="O440"/>
      <c r="P440"/>
      <c r="Q440"/>
      <c r="R440"/>
      <c r="S440"/>
      <c r="T440"/>
      <c r="U440"/>
      <c r="V440"/>
      <c r="W440"/>
      <c r="X440"/>
      <c r="Y440"/>
      <c r="Z440"/>
      <c r="AA440" s="362"/>
      <c r="AB440" s="362"/>
    </row>
    <row r="441" spans="15:28" ht="12.75" customHeight="1">
      <c r="O441"/>
      <c r="P441"/>
      <c r="Q441"/>
      <c r="R441"/>
      <c r="S441"/>
      <c r="T441"/>
      <c r="U441"/>
      <c r="V441"/>
      <c r="W441"/>
      <c r="X441"/>
      <c r="Y441"/>
      <c r="Z441"/>
      <c r="AA441" s="362"/>
      <c r="AB441" s="362"/>
    </row>
    <row r="442" spans="15:28" ht="12.75" customHeight="1">
      <c r="O442"/>
      <c r="P442"/>
      <c r="Q442"/>
      <c r="R442"/>
      <c r="S442"/>
      <c r="T442"/>
      <c r="U442"/>
      <c r="V442"/>
      <c r="W442"/>
      <c r="X442"/>
      <c r="Y442"/>
      <c r="Z442"/>
      <c r="AA442" s="362"/>
      <c r="AB442" s="362"/>
    </row>
    <row r="443" spans="15:28" ht="12.75" customHeight="1">
      <c r="O443"/>
      <c r="P443"/>
      <c r="Q443"/>
      <c r="R443"/>
      <c r="S443"/>
      <c r="T443"/>
      <c r="U443"/>
      <c r="V443"/>
      <c r="W443"/>
      <c r="X443"/>
      <c r="Y443"/>
      <c r="Z443"/>
      <c r="AA443" s="362"/>
      <c r="AB443" s="362"/>
    </row>
    <row r="444" spans="15:28" ht="12.75" customHeight="1">
      <c r="O444"/>
      <c r="P444"/>
      <c r="Q444"/>
      <c r="R444"/>
      <c r="S444"/>
      <c r="T444"/>
      <c r="U444"/>
      <c r="V444"/>
      <c r="W444"/>
      <c r="X444"/>
      <c r="Y444"/>
      <c r="Z444"/>
      <c r="AA444" s="362"/>
      <c r="AB444" s="362"/>
    </row>
    <row r="445" spans="15:28" ht="12.75" customHeight="1">
      <c r="O445"/>
      <c r="P445"/>
      <c r="Q445"/>
      <c r="R445"/>
      <c r="S445"/>
      <c r="T445"/>
      <c r="U445"/>
      <c r="V445"/>
      <c r="W445"/>
      <c r="X445"/>
      <c r="Y445"/>
      <c r="Z445"/>
      <c r="AA445" s="362"/>
      <c r="AB445" s="362"/>
    </row>
    <row r="446" spans="15:28" ht="12.75" customHeight="1">
      <c r="O446"/>
      <c r="P446"/>
      <c r="Q446"/>
      <c r="R446"/>
      <c r="S446"/>
      <c r="T446"/>
      <c r="U446"/>
      <c r="V446"/>
      <c r="W446"/>
      <c r="X446"/>
      <c r="Y446"/>
      <c r="Z446"/>
      <c r="AA446" s="362"/>
      <c r="AB446" s="362"/>
    </row>
    <row r="447" spans="15:28" ht="12.75" customHeight="1">
      <c r="O447"/>
      <c r="P447"/>
      <c r="Q447"/>
      <c r="R447"/>
      <c r="S447"/>
      <c r="T447"/>
      <c r="U447"/>
      <c r="V447"/>
      <c r="W447"/>
      <c r="X447"/>
      <c r="Y447"/>
      <c r="Z447"/>
      <c r="AA447" s="362"/>
      <c r="AB447" s="362"/>
    </row>
    <row r="448" spans="15:28" ht="12.75" customHeight="1">
      <c r="O448"/>
      <c r="P448"/>
      <c r="Q448"/>
      <c r="R448"/>
      <c r="S448"/>
      <c r="T448"/>
      <c r="U448"/>
      <c r="V448"/>
      <c r="W448"/>
      <c r="X448"/>
      <c r="Y448"/>
      <c r="Z448"/>
      <c r="AA448" s="362"/>
      <c r="AB448" s="362"/>
    </row>
    <row r="449" spans="15:28" ht="12.75" customHeight="1">
      <c r="O449"/>
      <c r="P449"/>
      <c r="Q449"/>
      <c r="R449"/>
      <c r="S449"/>
      <c r="T449"/>
      <c r="U449"/>
      <c r="V449"/>
      <c r="W449"/>
      <c r="X449"/>
      <c r="Y449"/>
      <c r="Z449"/>
      <c r="AA449" s="362"/>
      <c r="AB449" s="362"/>
    </row>
    <row r="450" spans="15:28" ht="12.75" customHeight="1">
      <c r="O450"/>
      <c r="P450"/>
      <c r="Q450"/>
      <c r="R450"/>
      <c r="S450"/>
      <c r="T450"/>
      <c r="U450"/>
      <c r="V450"/>
      <c r="W450"/>
      <c r="X450"/>
      <c r="Y450"/>
      <c r="Z450"/>
      <c r="AA450" s="362"/>
      <c r="AB450" s="362"/>
    </row>
    <row r="451" spans="15:28" ht="12.75" customHeight="1">
      <c r="O451"/>
      <c r="P451"/>
      <c r="Q451"/>
      <c r="R451"/>
      <c r="S451"/>
      <c r="T451"/>
      <c r="U451"/>
      <c r="V451"/>
      <c r="W451"/>
      <c r="X451"/>
      <c r="Y451"/>
      <c r="Z451"/>
      <c r="AA451" s="362"/>
      <c r="AB451" s="362"/>
    </row>
    <row r="452" spans="15:28" ht="12.75" customHeight="1">
      <c r="O452"/>
      <c r="P452"/>
      <c r="Q452"/>
      <c r="R452"/>
      <c r="S452"/>
      <c r="T452"/>
      <c r="U452"/>
      <c r="V452"/>
      <c r="W452"/>
      <c r="X452"/>
      <c r="Y452"/>
      <c r="Z452"/>
      <c r="AA452" s="362"/>
      <c r="AB452" s="362"/>
    </row>
    <row r="453" spans="15:28" ht="12.75" customHeight="1">
      <c r="O453"/>
      <c r="P453"/>
      <c r="Q453"/>
      <c r="R453"/>
      <c r="S453"/>
      <c r="T453"/>
      <c r="U453"/>
      <c r="V453"/>
      <c r="W453"/>
      <c r="X453"/>
      <c r="Y453"/>
      <c r="Z453"/>
      <c r="AA453" s="362"/>
      <c r="AB453" s="362"/>
    </row>
    <row r="454" spans="15:28" ht="12.75" customHeight="1">
      <c r="O454"/>
      <c r="P454"/>
      <c r="Q454"/>
      <c r="R454"/>
      <c r="S454"/>
      <c r="T454"/>
      <c r="U454"/>
      <c r="V454"/>
      <c r="W454"/>
      <c r="X454"/>
      <c r="Y454"/>
      <c r="Z454"/>
      <c r="AA454" s="362"/>
      <c r="AB454" s="362"/>
    </row>
    <row r="455" spans="15:28" ht="12.75" customHeight="1">
      <c r="O455"/>
      <c r="P455"/>
      <c r="Q455"/>
      <c r="R455"/>
      <c r="S455"/>
      <c r="T455"/>
      <c r="U455"/>
      <c r="V455"/>
      <c r="W455"/>
      <c r="X455"/>
      <c r="Y455"/>
      <c r="Z455"/>
      <c r="AA455" s="362"/>
      <c r="AB455" s="362"/>
    </row>
    <row r="456" spans="15:28" ht="12.75" customHeight="1">
      <c r="O456"/>
      <c r="P456"/>
      <c r="Q456"/>
      <c r="R456"/>
      <c r="S456"/>
      <c r="T456"/>
      <c r="U456"/>
      <c r="V456"/>
      <c r="W456"/>
      <c r="X456"/>
      <c r="Y456"/>
      <c r="Z456"/>
      <c r="AA456" s="362"/>
      <c r="AB456" s="362"/>
    </row>
    <row r="457" spans="15:28" ht="12.75" customHeight="1">
      <c r="O457"/>
      <c r="P457"/>
      <c r="Q457"/>
      <c r="R457"/>
      <c r="S457"/>
      <c r="T457"/>
      <c r="U457"/>
      <c r="V457"/>
      <c r="W457"/>
      <c r="X457"/>
      <c r="Y457"/>
      <c r="Z457"/>
      <c r="AA457" s="362"/>
      <c r="AB457" s="362"/>
    </row>
    <row r="458" spans="15:28" ht="12.75" customHeight="1">
      <c r="O458"/>
      <c r="P458"/>
      <c r="Q458"/>
      <c r="R458"/>
      <c r="S458"/>
      <c r="T458"/>
      <c r="U458"/>
      <c r="V458"/>
      <c r="W458"/>
      <c r="X458"/>
      <c r="Y458"/>
      <c r="Z458"/>
      <c r="AA458" s="362"/>
      <c r="AB458" s="362"/>
    </row>
    <row r="459" spans="15:28" ht="12.75" customHeight="1">
      <c r="O459"/>
      <c r="P459"/>
      <c r="Q459"/>
      <c r="R459"/>
      <c r="S459"/>
      <c r="T459"/>
      <c r="U459"/>
      <c r="V459"/>
      <c r="W459"/>
      <c r="X459"/>
      <c r="Y459"/>
      <c r="Z459"/>
      <c r="AA459" s="362"/>
      <c r="AB459" s="362"/>
    </row>
    <row r="460" spans="15:28" ht="12.75" customHeight="1">
      <c r="O460"/>
      <c r="P460"/>
      <c r="Q460"/>
      <c r="R460"/>
      <c r="S460"/>
      <c r="T460"/>
      <c r="U460"/>
      <c r="V460"/>
      <c r="W460"/>
      <c r="X460"/>
      <c r="Y460"/>
      <c r="Z460"/>
      <c r="AA460" s="362"/>
      <c r="AB460" s="362"/>
    </row>
    <row r="461" spans="15:28" ht="12.75" customHeight="1">
      <c r="O461"/>
      <c r="P461"/>
      <c r="Q461"/>
      <c r="R461"/>
      <c r="S461"/>
      <c r="T461"/>
      <c r="U461"/>
      <c r="V461"/>
      <c r="W461"/>
      <c r="X461"/>
      <c r="Y461"/>
      <c r="Z461"/>
      <c r="AA461" s="362"/>
      <c r="AB461" s="362"/>
    </row>
    <row r="462" spans="15:28" ht="12.75" customHeight="1">
      <c r="O462"/>
      <c r="P462"/>
      <c r="Q462"/>
      <c r="R462"/>
      <c r="S462"/>
      <c r="T462"/>
      <c r="U462"/>
      <c r="V462"/>
      <c r="W462"/>
      <c r="X462"/>
      <c r="Y462"/>
      <c r="Z462"/>
      <c r="AA462" s="362"/>
      <c r="AB462" s="362"/>
    </row>
    <row r="463" spans="15:28" ht="12.75" customHeight="1">
      <c r="O463"/>
      <c r="P463"/>
      <c r="Q463"/>
      <c r="R463"/>
      <c r="S463"/>
      <c r="T463"/>
      <c r="U463"/>
      <c r="V463"/>
      <c r="W463"/>
      <c r="X463"/>
      <c r="Y463"/>
      <c r="Z463"/>
      <c r="AA463" s="362"/>
      <c r="AB463" s="362"/>
    </row>
    <row r="464" spans="15:28" ht="12.75" customHeight="1">
      <c r="O464"/>
      <c r="P464"/>
      <c r="Q464"/>
      <c r="R464"/>
      <c r="S464"/>
      <c r="T464"/>
      <c r="U464"/>
      <c r="V464"/>
      <c r="W464"/>
      <c r="X464"/>
      <c r="Y464"/>
      <c r="Z464"/>
      <c r="AA464" s="362"/>
      <c r="AB464" s="362"/>
    </row>
    <row r="465" spans="15:28" ht="12.75" customHeight="1">
      <c r="O465"/>
      <c r="P465"/>
      <c r="Q465"/>
      <c r="R465"/>
      <c r="S465"/>
      <c r="T465"/>
      <c r="U465"/>
      <c r="V465"/>
      <c r="W465"/>
      <c r="X465"/>
      <c r="Y465"/>
      <c r="Z465"/>
      <c r="AA465" s="362"/>
      <c r="AB465" s="362"/>
    </row>
    <row r="466" spans="15:28" ht="12.75" customHeight="1">
      <c r="O466"/>
      <c r="P466"/>
      <c r="Q466"/>
      <c r="R466"/>
      <c r="S466"/>
      <c r="T466"/>
      <c r="U466"/>
      <c r="V466"/>
      <c r="W466"/>
      <c r="X466"/>
      <c r="Y466"/>
      <c r="Z466"/>
      <c r="AA466" s="362"/>
      <c r="AB466" s="362"/>
    </row>
    <row r="467" spans="15:28" ht="12.75" customHeight="1">
      <c r="O467"/>
      <c r="P467"/>
      <c r="Q467"/>
      <c r="R467"/>
      <c r="S467"/>
      <c r="T467"/>
      <c r="U467"/>
      <c r="V467"/>
      <c r="W467"/>
      <c r="X467"/>
      <c r="Y467"/>
      <c r="Z467"/>
      <c r="AA467" s="362"/>
      <c r="AB467" s="362"/>
    </row>
    <row r="468" spans="15:28" ht="12.75" customHeight="1">
      <c r="O468"/>
      <c r="P468"/>
      <c r="Q468"/>
      <c r="R468"/>
      <c r="S468"/>
      <c r="T468"/>
      <c r="U468"/>
      <c r="V468"/>
      <c r="W468"/>
      <c r="X468"/>
      <c r="Y468"/>
      <c r="Z468"/>
      <c r="AA468" s="362"/>
      <c r="AB468" s="362"/>
    </row>
    <row r="469" spans="15:28" ht="12.75" customHeight="1">
      <c r="O469"/>
      <c r="P469"/>
      <c r="Q469"/>
      <c r="R469"/>
      <c r="S469"/>
      <c r="T469"/>
      <c r="U469"/>
      <c r="V469"/>
      <c r="W469"/>
      <c r="X469"/>
      <c r="Y469"/>
      <c r="Z469"/>
      <c r="AA469" s="362"/>
      <c r="AB469" s="362"/>
    </row>
    <row r="470" spans="15:28" ht="12.75" customHeight="1">
      <c r="O470"/>
      <c r="P470"/>
      <c r="Q470"/>
      <c r="R470"/>
      <c r="S470"/>
      <c r="T470"/>
      <c r="U470"/>
      <c r="V470"/>
      <c r="W470"/>
      <c r="X470"/>
      <c r="Y470"/>
      <c r="Z470"/>
      <c r="AA470" s="362"/>
      <c r="AB470" s="362"/>
    </row>
    <row r="471" spans="15:28" ht="12.75" customHeight="1">
      <c r="O471"/>
      <c r="P471"/>
      <c r="Q471"/>
      <c r="R471"/>
      <c r="S471"/>
      <c r="T471"/>
      <c r="U471"/>
      <c r="V471"/>
      <c r="W471"/>
      <c r="X471"/>
      <c r="Y471"/>
      <c r="Z471"/>
      <c r="AA471" s="362"/>
      <c r="AB471" s="362"/>
    </row>
    <row r="472" spans="15:28" ht="12.75" customHeight="1">
      <c r="O472"/>
      <c r="P472"/>
      <c r="Q472"/>
      <c r="R472"/>
      <c r="S472"/>
      <c r="T472"/>
      <c r="U472"/>
      <c r="V472"/>
      <c r="W472"/>
      <c r="X472"/>
      <c r="Y472"/>
      <c r="Z472"/>
      <c r="AA472" s="362"/>
      <c r="AB472" s="362"/>
    </row>
    <row r="473" spans="15:28" ht="12.75" customHeight="1">
      <c r="O473"/>
      <c r="P473"/>
      <c r="Q473"/>
      <c r="R473"/>
      <c r="S473"/>
      <c r="T473"/>
      <c r="U473"/>
      <c r="V473"/>
      <c r="W473"/>
      <c r="X473"/>
      <c r="Y473"/>
      <c r="Z473"/>
      <c r="AA473" s="362"/>
      <c r="AB473" s="362"/>
    </row>
    <row r="474" spans="15:28" ht="12.75" customHeight="1">
      <c r="O474"/>
      <c r="P474"/>
      <c r="Q474"/>
      <c r="R474"/>
      <c r="S474"/>
      <c r="T474"/>
      <c r="U474"/>
      <c r="V474"/>
      <c r="W474"/>
      <c r="X474"/>
      <c r="Y474"/>
      <c r="Z474"/>
      <c r="AA474" s="362"/>
      <c r="AB474" s="362"/>
    </row>
    <row r="475" spans="15:28" ht="12.75" customHeight="1">
      <c r="O475"/>
      <c r="P475"/>
      <c r="Q475"/>
      <c r="R475"/>
      <c r="S475"/>
      <c r="T475"/>
      <c r="U475"/>
      <c r="V475"/>
      <c r="W475"/>
      <c r="X475"/>
      <c r="Y475"/>
      <c r="Z475"/>
      <c r="AA475" s="362"/>
      <c r="AB475" s="362"/>
    </row>
    <row r="476" spans="15:28" ht="12.75" customHeight="1">
      <c r="O476"/>
      <c r="P476"/>
      <c r="Q476"/>
      <c r="R476"/>
      <c r="S476"/>
      <c r="T476"/>
      <c r="U476"/>
      <c r="V476"/>
      <c r="W476"/>
      <c r="X476"/>
      <c r="Y476"/>
      <c r="Z476"/>
      <c r="AA476" s="362"/>
      <c r="AB476" s="362"/>
    </row>
    <row r="477" spans="15:28" ht="12.75" customHeight="1">
      <c r="O477"/>
      <c r="P477"/>
      <c r="Q477"/>
      <c r="R477"/>
      <c r="S477"/>
      <c r="T477"/>
      <c r="U477"/>
      <c r="V477"/>
      <c r="W477"/>
      <c r="X477"/>
      <c r="Y477"/>
      <c r="Z477"/>
      <c r="AA477" s="362"/>
      <c r="AB477" s="362"/>
    </row>
    <row r="478" spans="15:28" ht="12.75" customHeight="1">
      <c r="O478"/>
      <c r="P478"/>
      <c r="Q478"/>
      <c r="R478"/>
      <c r="S478"/>
      <c r="T478"/>
      <c r="U478"/>
      <c r="V478"/>
      <c r="W478"/>
      <c r="X478"/>
      <c r="Y478"/>
      <c r="Z478"/>
      <c r="AA478" s="362"/>
      <c r="AB478" s="362"/>
    </row>
    <row r="479" spans="15:28" ht="12.75" customHeight="1">
      <c r="O479"/>
      <c r="P479"/>
      <c r="Q479"/>
      <c r="R479"/>
      <c r="S479"/>
      <c r="T479"/>
      <c r="U479"/>
      <c r="V479"/>
      <c r="W479"/>
      <c r="X479"/>
      <c r="Y479"/>
      <c r="Z479"/>
      <c r="AA479" s="362"/>
      <c r="AB479" s="362"/>
    </row>
    <row r="480" spans="15:28" ht="12.75" customHeight="1">
      <c r="O480"/>
      <c r="P480"/>
      <c r="Q480"/>
      <c r="R480"/>
      <c r="S480"/>
      <c r="T480"/>
      <c r="U480"/>
      <c r="V480"/>
      <c r="W480"/>
      <c r="X480"/>
      <c r="Y480"/>
      <c r="Z480"/>
      <c r="AA480" s="362"/>
      <c r="AB480" s="362"/>
    </row>
    <row r="481" spans="15:28" ht="12.75" customHeight="1">
      <c r="O481"/>
      <c r="P481"/>
      <c r="Q481"/>
      <c r="R481"/>
      <c r="S481"/>
      <c r="T481"/>
      <c r="U481"/>
      <c r="V481"/>
      <c r="W481"/>
      <c r="X481"/>
      <c r="Y481"/>
      <c r="Z481"/>
      <c r="AA481" s="362"/>
      <c r="AB481" s="362"/>
    </row>
    <row r="482" spans="15:28" ht="12.75" customHeight="1">
      <c r="O482"/>
      <c r="P482"/>
      <c r="Q482"/>
      <c r="R482"/>
      <c r="S482"/>
      <c r="T482"/>
      <c r="U482"/>
      <c r="V482"/>
      <c r="W482"/>
      <c r="X482"/>
      <c r="Y482"/>
      <c r="Z482"/>
      <c r="AA482" s="362"/>
      <c r="AB482" s="362"/>
    </row>
    <row r="483" spans="15:28" ht="12.75" customHeight="1">
      <c r="O483"/>
      <c r="P483"/>
      <c r="Q483"/>
      <c r="R483"/>
      <c r="S483"/>
      <c r="T483"/>
      <c r="U483"/>
      <c r="V483"/>
      <c r="W483"/>
      <c r="X483"/>
      <c r="Y483"/>
      <c r="Z483"/>
      <c r="AA483" s="362"/>
      <c r="AB483" s="362"/>
    </row>
    <row r="484" spans="15:28" ht="12.75" customHeight="1">
      <c r="O484"/>
      <c r="P484"/>
      <c r="Q484"/>
      <c r="R484"/>
      <c r="S484"/>
      <c r="T484"/>
      <c r="U484"/>
      <c r="V484"/>
      <c r="W484"/>
      <c r="X484"/>
      <c r="Y484"/>
      <c r="Z484"/>
      <c r="AA484" s="362"/>
      <c r="AB484" s="362"/>
    </row>
    <row r="485" spans="15:28" ht="12.75" customHeight="1">
      <c r="O485"/>
      <c r="P485"/>
      <c r="Q485"/>
      <c r="R485"/>
      <c r="S485"/>
      <c r="T485"/>
      <c r="U485"/>
      <c r="V485"/>
      <c r="W485"/>
      <c r="X485"/>
      <c r="Y485"/>
      <c r="Z485"/>
      <c r="AA485" s="362"/>
      <c r="AB485" s="362"/>
    </row>
    <row r="486" spans="15:28" ht="12.75" customHeight="1">
      <c r="O486"/>
      <c r="P486"/>
      <c r="Q486"/>
      <c r="R486"/>
      <c r="S486"/>
      <c r="T486"/>
      <c r="U486"/>
      <c r="V486"/>
      <c r="W486"/>
      <c r="X486"/>
      <c r="Y486"/>
      <c r="Z486"/>
      <c r="AA486" s="362"/>
      <c r="AB486" s="362"/>
    </row>
    <row r="487" spans="15:28" ht="12.75" customHeight="1">
      <c r="O487"/>
      <c r="P487"/>
      <c r="Q487"/>
      <c r="R487"/>
      <c r="S487"/>
      <c r="T487"/>
      <c r="U487"/>
      <c r="V487"/>
      <c r="W487"/>
      <c r="X487"/>
      <c r="Y487"/>
      <c r="Z487"/>
      <c r="AA487" s="362"/>
      <c r="AB487" s="362"/>
    </row>
    <row r="488" spans="15:28" ht="12.75" customHeight="1">
      <c r="O488"/>
      <c r="P488"/>
      <c r="Q488"/>
      <c r="R488"/>
      <c r="S488"/>
      <c r="T488"/>
      <c r="U488"/>
      <c r="V488"/>
      <c r="W488"/>
      <c r="X488"/>
      <c r="Y488"/>
      <c r="Z488"/>
      <c r="AA488" s="362"/>
      <c r="AB488" s="362"/>
    </row>
    <row r="489" spans="15:28" ht="12.75" customHeight="1">
      <c r="O489"/>
      <c r="P489"/>
      <c r="Q489"/>
      <c r="R489"/>
      <c r="S489"/>
      <c r="T489"/>
      <c r="U489"/>
      <c r="V489"/>
      <c r="W489"/>
      <c r="X489"/>
      <c r="Y489"/>
      <c r="Z489"/>
      <c r="AA489" s="362"/>
      <c r="AB489" s="362"/>
    </row>
    <row r="490" spans="15:28" ht="12.75" customHeight="1">
      <c r="O490"/>
      <c r="P490"/>
      <c r="Q490"/>
      <c r="R490"/>
      <c r="S490"/>
      <c r="T490"/>
      <c r="U490"/>
      <c r="V490"/>
      <c r="W490"/>
      <c r="X490"/>
      <c r="Y490"/>
      <c r="Z490"/>
      <c r="AA490" s="362"/>
      <c r="AB490" s="362"/>
    </row>
    <row r="491" spans="15:28" ht="12.75" customHeight="1">
      <c r="O491"/>
      <c r="P491"/>
      <c r="Q491"/>
      <c r="R491"/>
      <c r="S491"/>
      <c r="T491"/>
      <c r="U491"/>
      <c r="V491"/>
      <c r="W491"/>
      <c r="X491"/>
      <c r="Y491"/>
      <c r="Z491"/>
      <c r="AA491" s="362"/>
      <c r="AB491" s="362"/>
    </row>
    <row r="492" spans="15:28" ht="12.75" customHeight="1">
      <c r="O492"/>
      <c r="P492"/>
      <c r="Q492"/>
      <c r="R492"/>
      <c r="S492"/>
      <c r="T492"/>
      <c r="U492"/>
      <c r="V492"/>
      <c r="W492"/>
      <c r="X492"/>
      <c r="Y492"/>
      <c r="Z492"/>
      <c r="AA492" s="362"/>
      <c r="AB492" s="362"/>
    </row>
    <row r="493" spans="15:28" ht="12.75" customHeight="1">
      <c r="O493"/>
      <c r="P493"/>
      <c r="Q493"/>
      <c r="R493"/>
      <c r="S493"/>
      <c r="T493"/>
      <c r="U493"/>
      <c r="V493"/>
      <c r="W493"/>
      <c r="X493"/>
      <c r="Y493"/>
      <c r="Z493"/>
      <c r="AA493" s="362"/>
      <c r="AB493" s="362"/>
    </row>
    <row r="494" spans="15:28" ht="12.75" customHeight="1">
      <c r="O494"/>
      <c r="P494"/>
      <c r="Q494"/>
      <c r="R494"/>
      <c r="S494"/>
      <c r="T494"/>
      <c r="U494"/>
      <c r="V494"/>
      <c r="W494"/>
      <c r="X494"/>
      <c r="Y494"/>
      <c r="Z494"/>
      <c r="AA494" s="362"/>
      <c r="AB494" s="362"/>
    </row>
    <row r="495" spans="15:28" ht="12.75" customHeight="1">
      <c r="O495"/>
      <c r="P495"/>
      <c r="Q495"/>
      <c r="R495"/>
      <c r="S495"/>
      <c r="T495"/>
      <c r="U495"/>
      <c r="V495"/>
      <c r="W495"/>
      <c r="X495"/>
      <c r="Y495"/>
      <c r="Z495"/>
      <c r="AA495" s="362"/>
      <c r="AB495" s="362"/>
    </row>
    <row r="496" spans="15:28" ht="12.75" customHeight="1">
      <c r="O496"/>
      <c r="P496"/>
      <c r="Q496"/>
      <c r="R496"/>
      <c r="S496"/>
      <c r="T496"/>
      <c r="U496"/>
      <c r="V496"/>
      <c r="W496"/>
      <c r="X496"/>
      <c r="Y496"/>
      <c r="Z496"/>
      <c r="AA496" s="362"/>
      <c r="AB496" s="362"/>
    </row>
    <row r="497" spans="15:28" ht="12.75" customHeight="1">
      <c r="O497"/>
      <c r="P497"/>
      <c r="Q497"/>
      <c r="R497"/>
      <c r="S497"/>
      <c r="T497"/>
      <c r="U497"/>
      <c r="V497"/>
      <c r="W497"/>
      <c r="X497"/>
      <c r="Y497"/>
      <c r="Z497"/>
      <c r="AA497" s="362"/>
      <c r="AB497" s="362"/>
    </row>
    <row r="498" spans="15:28" ht="12.75" customHeight="1">
      <c r="O498"/>
      <c r="P498"/>
      <c r="Q498"/>
      <c r="R498"/>
      <c r="S498"/>
      <c r="T498"/>
      <c r="U498"/>
      <c r="V498"/>
      <c r="W498"/>
      <c r="X498"/>
      <c r="Y498"/>
      <c r="Z498"/>
      <c r="AA498" s="362"/>
      <c r="AB498" s="362"/>
    </row>
    <row r="499" spans="15:28" ht="12.75" customHeight="1">
      <c r="O499"/>
      <c r="P499"/>
      <c r="Q499"/>
      <c r="R499"/>
      <c r="S499"/>
      <c r="T499"/>
      <c r="U499"/>
      <c r="V499"/>
      <c r="W499"/>
      <c r="X499"/>
      <c r="Y499"/>
      <c r="Z499"/>
      <c r="AA499" s="362"/>
      <c r="AB499" s="362"/>
    </row>
    <row r="500" spans="15:28" ht="12.75" customHeight="1">
      <c r="O500"/>
      <c r="P500"/>
      <c r="Q500"/>
      <c r="R500"/>
      <c r="S500"/>
      <c r="T500"/>
      <c r="U500"/>
      <c r="V500"/>
      <c r="W500"/>
      <c r="X500"/>
      <c r="Y500"/>
      <c r="Z500"/>
      <c r="AA500" s="362"/>
      <c r="AB500" s="362"/>
    </row>
    <row r="501" spans="15:28" ht="12.75" customHeight="1">
      <c r="O501"/>
      <c r="P501"/>
      <c r="Q501"/>
      <c r="R501"/>
      <c r="S501"/>
      <c r="T501"/>
      <c r="U501"/>
      <c r="V501"/>
      <c r="W501"/>
      <c r="X501"/>
      <c r="Y501"/>
      <c r="Z501"/>
      <c r="AA501" s="362"/>
      <c r="AB501" s="362"/>
    </row>
    <row r="502" spans="15:28" ht="12.75" customHeight="1">
      <c r="O502"/>
      <c r="P502"/>
      <c r="Q502"/>
      <c r="R502"/>
      <c r="S502"/>
      <c r="T502"/>
      <c r="U502"/>
      <c r="V502"/>
      <c r="W502"/>
      <c r="X502"/>
      <c r="Y502"/>
      <c r="Z502"/>
      <c r="AA502" s="362"/>
      <c r="AB502" s="362"/>
    </row>
    <row r="503" spans="15:28" ht="12.75" customHeight="1">
      <c r="O503"/>
      <c r="P503"/>
      <c r="Q503"/>
      <c r="R503"/>
      <c r="S503"/>
      <c r="T503"/>
      <c r="U503"/>
      <c r="V503"/>
      <c r="W503"/>
      <c r="X503"/>
      <c r="Y503"/>
      <c r="Z503"/>
      <c r="AA503" s="362"/>
      <c r="AB503" s="362"/>
    </row>
    <row r="504" spans="15:28" ht="12.75" customHeight="1">
      <c r="O504"/>
      <c r="P504"/>
      <c r="Q504"/>
      <c r="R504"/>
      <c r="S504"/>
      <c r="T504"/>
      <c r="U504"/>
      <c r="V504"/>
      <c r="W504"/>
      <c r="X504"/>
      <c r="Y504"/>
      <c r="Z504"/>
      <c r="AA504" s="362"/>
      <c r="AB504" s="362"/>
    </row>
    <row r="505" spans="15:28" ht="12.75" customHeight="1">
      <c r="O505"/>
      <c r="P505"/>
      <c r="Q505"/>
      <c r="R505"/>
      <c r="S505"/>
      <c r="T505"/>
      <c r="U505"/>
      <c r="V505"/>
      <c r="W505"/>
      <c r="X505"/>
      <c r="Y505"/>
      <c r="Z505"/>
      <c r="AA505" s="362"/>
      <c r="AB505" s="362"/>
    </row>
    <row r="506" spans="15:28" ht="12.75" customHeight="1">
      <c r="O506"/>
      <c r="P506"/>
      <c r="Q506"/>
      <c r="R506"/>
      <c r="S506"/>
      <c r="T506"/>
      <c r="U506"/>
      <c r="V506"/>
      <c r="W506"/>
      <c r="X506"/>
      <c r="Y506"/>
      <c r="Z506"/>
      <c r="AA506" s="362"/>
      <c r="AB506" s="362"/>
    </row>
    <row r="507" spans="15:28" ht="12.75" customHeight="1">
      <c r="O507"/>
      <c r="P507"/>
      <c r="Q507"/>
      <c r="R507"/>
      <c r="S507"/>
      <c r="T507"/>
      <c r="U507"/>
      <c r="V507"/>
      <c r="W507"/>
      <c r="X507"/>
      <c r="Y507"/>
      <c r="Z507"/>
      <c r="AA507" s="362"/>
      <c r="AB507" s="362"/>
    </row>
    <row r="508" spans="15:28" ht="12.75" customHeight="1">
      <c r="O508"/>
      <c r="P508"/>
      <c r="Q508"/>
      <c r="R508"/>
      <c r="S508"/>
      <c r="T508"/>
      <c r="U508"/>
      <c r="V508"/>
      <c r="W508"/>
      <c r="X508"/>
      <c r="Y508"/>
      <c r="Z508"/>
      <c r="AA508" s="362"/>
      <c r="AB508" s="362"/>
    </row>
    <row r="509" spans="15:28" ht="12.75" customHeight="1">
      <c r="O509"/>
      <c r="P509"/>
      <c r="Q509"/>
      <c r="R509"/>
      <c r="S509"/>
      <c r="T509"/>
      <c r="U509"/>
      <c r="V509"/>
      <c r="W509"/>
      <c r="X509"/>
      <c r="Y509"/>
      <c r="Z509"/>
      <c r="AA509" s="362"/>
      <c r="AB509" s="362"/>
    </row>
    <row r="510" spans="15:28" ht="12.75" customHeight="1">
      <c r="O510"/>
      <c r="P510"/>
      <c r="Q510"/>
      <c r="R510"/>
      <c r="S510"/>
      <c r="T510"/>
      <c r="U510"/>
      <c r="V510"/>
      <c r="W510"/>
      <c r="X510"/>
      <c r="Y510"/>
      <c r="Z510"/>
      <c r="AA510" s="362"/>
      <c r="AB510" s="362"/>
    </row>
    <row r="511" spans="15:28" ht="12.75" customHeight="1">
      <c r="O511"/>
      <c r="P511"/>
      <c r="Q511"/>
      <c r="R511"/>
      <c r="S511"/>
      <c r="T511"/>
      <c r="U511"/>
      <c r="V511"/>
      <c r="W511"/>
      <c r="X511"/>
      <c r="Y511"/>
      <c r="Z511"/>
      <c r="AA511" s="362"/>
      <c r="AB511" s="362"/>
    </row>
    <row r="512" spans="15:28" ht="12.75" customHeight="1">
      <c r="O512"/>
      <c r="P512"/>
      <c r="Q512"/>
      <c r="R512"/>
      <c r="S512"/>
      <c r="T512"/>
      <c r="U512"/>
      <c r="V512"/>
      <c r="W512"/>
      <c r="X512"/>
      <c r="Y512"/>
      <c r="Z512"/>
      <c r="AA512" s="362"/>
      <c r="AB512" s="362"/>
    </row>
    <row r="513" spans="15:28" ht="12.75" customHeight="1">
      <c r="O513"/>
      <c r="P513"/>
      <c r="Q513"/>
      <c r="R513"/>
      <c r="S513"/>
      <c r="T513"/>
      <c r="U513"/>
      <c r="V513"/>
      <c r="W513"/>
      <c r="X513"/>
      <c r="Y513"/>
      <c r="Z513"/>
      <c r="AA513" s="362"/>
      <c r="AB513" s="362"/>
    </row>
    <row r="514" spans="15:28" ht="12.75" customHeight="1">
      <c r="O514"/>
      <c r="P514"/>
      <c r="Q514"/>
      <c r="R514"/>
      <c r="S514"/>
      <c r="T514"/>
      <c r="U514"/>
      <c r="V514"/>
      <c r="W514"/>
      <c r="X514"/>
      <c r="Y514"/>
      <c r="Z514"/>
      <c r="AA514" s="362"/>
      <c r="AB514" s="362"/>
    </row>
    <row r="515" spans="15:28" ht="12.75" customHeight="1">
      <c r="O515"/>
      <c r="P515"/>
      <c r="Q515"/>
      <c r="R515"/>
      <c r="S515"/>
      <c r="T515"/>
      <c r="U515"/>
      <c r="V515"/>
      <c r="W515"/>
      <c r="X515"/>
      <c r="Y515"/>
      <c r="Z515"/>
      <c r="AA515" s="362"/>
      <c r="AB515" s="362"/>
    </row>
    <row r="516" spans="15:28" ht="12.75" customHeight="1">
      <c r="O516"/>
      <c r="P516"/>
      <c r="Q516"/>
      <c r="R516"/>
      <c r="S516"/>
      <c r="T516"/>
      <c r="U516"/>
      <c r="V516"/>
      <c r="W516"/>
      <c r="X516"/>
      <c r="Y516"/>
      <c r="Z516"/>
      <c r="AA516" s="362"/>
      <c r="AB516" s="362"/>
    </row>
    <row r="517" spans="15:28" ht="12.75" customHeight="1">
      <c r="O517"/>
      <c r="P517"/>
      <c r="Q517"/>
      <c r="R517"/>
      <c r="S517"/>
      <c r="T517"/>
      <c r="U517"/>
      <c r="V517"/>
      <c r="W517"/>
      <c r="X517"/>
      <c r="Y517"/>
      <c r="Z517"/>
      <c r="AA517" s="362"/>
      <c r="AB517" s="362"/>
    </row>
    <row r="518" spans="15:28" ht="12.75" customHeight="1">
      <c r="O518"/>
      <c r="P518"/>
      <c r="Q518"/>
      <c r="R518"/>
      <c r="S518"/>
      <c r="T518"/>
      <c r="U518"/>
      <c r="V518"/>
      <c r="W518"/>
      <c r="X518"/>
      <c r="Y518"/>
      <c r="Z518"/>
      <c r="AA518" s="362"/>
      <c r="AB518" s="362"/>
    </row>
    <row r="519" spans="15:28" ht="12.75" customHeight="1">
      <c r="O519"/>
      <c r="P519"/>
      <c r="Q519"/>
      <c r="R519"/>
      <c r="S519"/>
      <c r="T519"/>
      <c r="U519"/>
      <c r="V519"/>
      <c r="W519"/>
      <c r="X519"/>
      <c r="Y519"/>
      <c r="Z519"/>
      <c r="AA519" s="362"/>
      <c r="AB519" s="362"/>
    </row>
    <row r="520" spans="15:28" ht="12.75" customHeight="1">
      <c r="O520"/>
      <c r="P520"/>
      <c r="Q520"/>
      <c r="R520"/>
      <c r="S520"/>
      <c r="T520"/>
      <c r="U520"/>
      <c r="V520"/>
      <c r="W520"/>
      <c r="X520"/>
      <c r="Y520"/>
      <c r="Z520"/>
      <c r="AA520" s="362"/>
      <c r="AB520" s="362"/>
    </row>
    <row r="521" spans="15:28" ht="12.75" customHeight="1">
      <c r="O521"/>
      <c r="P521"/>
      <c r="Q521"/>
      <c r="R521"/>
      <c r="S521"/>
      <c r="T521"/>
      <c r="U521"/>
      <c r="V521"/>
      <c r="W521"/>
      <c r="X521"/>
      <c r="Y521"/>
      <c r="Z521"/>
    </row>
    <row r="522" spans="15:28" ht="12.75" customHeight="1">
      <c r="O522"/>
      <c r="P522"/>
      <c r="Q522"/>
      <c r="R522"/>
      <c r="S522"/>
      <c r="T522"/>
      <c r="U522"/>
      <c r="V522"/>
      <c r="W522"/>
      <c r="X522"/>
      <c r="Y522"/>
      <c r="Z522"/>
    </row>
    <row r="523" spans="15:28" ht="12.75" customHeight="1">
      <c r="O523"/>
      <c r="P523"/>
      <c r="Q523"/>
      <c r="R523"/>
      <c r="S523"/>
      <c r="T523"/>
      <c r="U523"/>
      <c r="V523"/>
      <c r="W523"/>
      <c r="X523"/>
      <c r="Y523"/>
      <c r="Z523"/>
    </row>
    <row r="524" spans="15:28" ht="12.75" customHeight="1">
      <c r="O524"/>
      <c r="P524"/>
      <c r="Q524"/>
      <c r="R524"/>
      <c r="S524"/>
      <c r="T524"/>
      <c r="U524"/>
      <c r="V524"/>
      <c r="W524"/>
      <c r="X524"/>
      <c r="Y524"/>
      <c r="Z524"/>
    </row>
    <row r="525" spans="15:28" ht="12.75" customHeight="1">
      <c r="O525"/>
      <c r="P525"/>
      <c r="Q525"/>
      <c r="R525"/>
      <c r="S525"/>
      <c r="T525"/>
      <c r="U525"/>
      <c r="V525"/>
      <c r="W525"/>
      <c r="X525"/>
      <c r="Y525"/>
      <c r="Z525"/>
    </row>
    <row r="526" spans="15:28" ht="12.75" customHeight="1">
      <c r="O526"/>
      <c r="P526"/>
      <c r="Q526"/>
      <c r="R526"/>
      <c r="S526"/>
      <c r="T526"/>
      <c r="U526"/>
      <c r="V526"/>
      <c r="W526"/>
      <c r="X526"/>
      <c r="Y526"/>
      <c r="Z526"/>
    </row>
    <row r="527" spans="15:28" ht="12.75" customHeight="1">
      <c r="O527"/>
      <c r="P527"/>
      <c r="Q527"/>
      <c r="R527"/>
      <c r="S527"/>
      <c r="T527"/>
      <c r="U527"/>
      <c r="V527"/>
      <c r="W527"/>
      <c r="X527"/>
      <c r="Y527"/>
      <c r="Z527"/>
    </row>
    <row r="528" spans="15:28" ht="12.75" customHeight="1">
      <c r="O528"/>
      <c r="P528"/>
      <c r="Q528"/>
      <c r="R528"/>
      <c r="S528"/>
      <c r="T528"/>
      <c r="U528"/>
      <c r="V528"/>
      <c r="W528"/>
      <c r="X528"/>
      <c r="Y528"/>
      <c r="Z528"/>
    </row>
    <row r="529" spans="15:26" ht="12.75" customHeight="1">
      <c r="O529"/>
      <c r="P529"/>
      <c r="Q529"/>
      <c r="R529"/>
      <c r="S529"/>
      <c r="T529"/>
      <c r="U529"/>
      <c r="V529"/>
      <c r="W529"/>
      <c r="X529"/>
      <c r="Y529"/>
      <c r="Z529"/>
    </row>
    <row r="530" spans="15:26" ht="12.75" customHeight="1">
      <c r="O530"/>
      <c r="P530"/>
      <c r="Q530"/>
      <c r="R530"/>
      <c r="S530"/>
      <c r="T530"/>
      <c r="U530"/>
      <c r="V530"/>
      <c r="W530"/>
      <c r="X530"/>
      <c r="Y530"/>
      <c r="Z530"/>
    </row>
    <row r="531" spans="15:26" ht="12.75" customHeight="1">
      <c r="O531"/>
      <c r="P531"/>
      <c r="Q531"/>
      <c r="R531"/>
      <c r="S531"/>
      <c r="T531"/>
      <c r="U531"/>
      <c r="V531"/>
      <c r="W531"/>
      <c r="X531"/>
      <c r="Y531"/>
      <c r="Z531"/>
    </row>
    <row r="532" spans="15:26" ht="12.75" customHeight="1">
      <c r="O532"/>
      <c r="P532"/>
      <c r="Q532"/>
      <c r="R532"/>
      <c r="S532"/>
      <c r="T532"/>
      <c r="U532"/>
      <c r="V532"/>
      <c r="W532"/>
      <c r="X532"/>
      <c r="Y532"/>
      <c r="Z532"/>
    </row>
    <row r="533" spans="15:26" ht="12.75" customHeight="1">
      <c r="O533"/>
      <c r="P533"/>
      <c r="Q533"/>
      <c r="R533"/>
      <c r="S533"/>
      <c r="T533"/>
      <c r="U533"/>
      <c r="V533"/>
      <c r="W533"/>
      <c r="X533"/>
      <c r="Y533"/>
      <c r="Z533"/>
    </row>
    <row r="534" spans="15:26" ht="12.75" customHeight="1">
      <c r="O534"/>
      <c r="P534"/>
      <c r="Q534"/>
      <c r="R534"/>
      <c r="S534"/>
      <c r="T534"/>
      <c r="U534"/>
      <c r="V534"/>
      <c r="W534"/>
      <c r="X534"/>
      <c r="Y534"/>
      <c r="Z534"/>
    </row>
    <row r="535" spans="15:26" ht="12.75" customHeight="1">
      <c r="O535"/>
      <c r="P535"/>
      <c r="Q535"/>
      <c r="R535"/>
      <c r="S535"/>
      <c r="T535"/>
      <c r="U535"/>
      <c r="V535"/>
      <c r="W535"/>
      <c r="X535"/>
      <c r="Y535"/>
      <c r="Z535"/>
    </row>
    <row r="536" spans="15:26" ht="12.75" customHeight="1">
      <c r="O536"/>
      <c r="P536"/>
      <c r="Q536"/>
      <c r="R536"/>
      <c r="S536"/>
      <c r="T536"/>
      <c r="U536"/>
      <c r="V536"/>
      <c r="W536"/>
      <c r="X536"/>
      <c r="Y536"/>
      <c r="Z536"/>
    </row>
    <row r="537" spans="15:26" ht="12.75" customHeight="1">
      <c r="O537"/>
      <c r="P537"/>
      <c r="Q537"/>
      <c r="R537"/>
      <c r="S537"/>
      <c r="T537"/>
      <c r="U537"/>
      <c r="V537"/>
      <c r="W537"/>
      <c r="X537"/>
      <c r="Y537"/>
      <c r="Z537"/>
    </row>
    <row r="538" spans="15:26" ht="12.75" customHeight="1">
      <c r="O538"/>
      <c r="P538"/>
      <c r="Q538"/>
      <c r="R538"/>
      <c r="S538"/>
      <c r="T538"/>
      <c r="U538"/>
      <c r="V538"/>
      <c r="W538"/>
      <c r="X538"/>
      <c r="Y538"/>
      <c r="Z538"/>
    </row>
    <row r="539" spans="15:26" ht="12.75" customHeight="1">
      <c r="O539"/>
      <c r="P539"/>
      <c r="Q539"/>
      <c r="R539"/>
      <c r="S539"/>
      <c r="T539"/>
      <c r="U539"/>
      <c r="V539"/>
      <c r="W539"/>
      <c r="X539"/>
      <c r="Y539"/>
      <c r="Z539"/>
    </row>
    <row r="540" spans="15:26" ht="12.75" customHeight="1">
      <c r="O540"/>
      <c r="P540"/>
      <c r="Q540"/>
      <c r="R540"/>
      <c r="S540"/>
      <c r="T540"/>
      <c r="U540"/>
      <c r="V540"/>
      <c r="W540"/>
      <c r="X540"/>
      <c r="Y540"/>
      <c r="Z540"/>
    </row>
    <row r="541" spans="15:26" ht="12.75" customHeight="1">
      <c r="O541"/>
      <c r="P541"/>
      <c r="Q541"/>
      <c r="R541"/>
      <c r="S541"/>
      <c r="T541"/>
      <c r="U541"/>
      <c r="V541"/>
      <c r="W541"/>
      <c r="X541"/>
      <c r="Y541"/>
      <c r="Z541"/>
    </row>
    <row r="542" spans="15:26" ht="12.75" customHeight="1">
      <c r="O542"/>
      <c r="P542"/>
      <c r="Q542"/>
      <c r="R542"/>
      <c r="S542"/>
      <c r="T542"/>
      <c r="U542"/>
      <c r="V542"/>
      <c r="W542"/>
      <c r="X542"/>
      <c r="Y542"/>
      <c r="Z542"/>
    </row>
    <row r="543" spans="15:26" ht="12.75" customHeight="1">
      <c r="O543"/>
      <c r="P543"/>
      <c r="Q543"/>
      <c r="R543"/>
      <c r="S543"/>
      <c r="T543"/>
      <c r="U543"/>
      <c r="V543"/>
      <c r="W543"/>
      <c r="X543"/>
      <c r="Y543"/>
      <c r="Z543"/>
    </row>
    <row r="544" spans="15:26" ht="12.75" customHeight="1">
      <c r="O544"/>
      <c r="P544"/>
      <c r="Q544"/>
      <c r="R544"/>
      <c r="S544"/>
      <c r="T544"/>
      <c r="U544"/>
      <c r="V544"/>
      <c r="W544"/>
      <c r="X544"/>
      <c r="Y544"/>
      <c r="Z544"/>
    </row>
    <row r="545" spans="15:26" ht="12.75" customHeight="1">
      <c r="O545"/>
      <c r="P545"/>
      <c r="Q545"/>
      <c r="R545"/>
      <c r="S545"/>
      <c r="T545"/>
      <c r="U545"/>
      <c r="V545"/>
      <c r="W545"/>
      <c r="X545"/>
      <c r="Y545"/>
      <c r="Z545"/>
    </row>
    <row r="546" spans="15:26" ht="12.75" customHeight="1">
      <c r="O546"/>
      <c r="P546"/>
      <c r="Q546"/>
      <c r="R546"/>
      <c r="S546"/>
      <c r="T546"/>
      <c r="U546"/>
      <c r="V546"/>
      <c r="W546"/>
      <c r="X546"/>
      <c r="Y546"/>
      <c r="Z546"/>
    </row>
    <row r="547" spans="15:26" ht="12.75" customHeight="1">
      <c r="O547"/>
      <c r="P547"/>
      <c r="Q547"/>
      <c r="R547"/>
      <c r="S547"/>
      <c r="T547"/>
      <c r="U547"/>
      <c r="V547"/>
      <c r="W547"/>
      <c r="X547"/>
      <c r="Y547"/>
      <c r="Z547"/>
    </row>
    <row r="548" spans="15:26" ht="12.75" customHeight="1">
      <c r="O548"/>
      <c r="P548"/>
      <c r="Q548"/>
      <c r="R548"/>
      <c r="S548"/>
      <c r="T548"/>
      <c r="U548"/>
      <c r="V548"/>
      <c r="W548"/>
      <c r="X548"/>
      <c r="Y548"/>
      <c r="Z548"/>
    </row>
    <row r="549" spans="15:26" ht="12.75" customHeight="1">
      <c r="O549"/>
      <c r="P549"/>
      <c r="Q549"/>
      <c r="R549"/>
      <c r="S549"/>
      <c r="T549"/>
      <c r="U549"/>
      <c r="V549"/>
      <c r="W549"/>
      <c r="X549"/>
      <c r="Y549"/>
      <c r="Z549"/>
    </row>
    <row r="550" spans="15:26" ht="12.75" customHeight="1">
      <c r="O550"/>
      <c r="P550"/>
      <c r="Q550"/>
      <c r="R550"/>
      <c r="S550"/>
      <c r="T550"/>
      <c r="U550"/>
      <c r="V550"/>
      <c r="W550"/>
      <c r="X550"/>
      <c r="Y550"/>
      <c r="Z550"/>
    </row>
    <row r="551" spans="15:26" ht="12.75" customHeight="1">
      <c r="O551"/>
      <c r="P551"/>
      <c r="Q551"/>
      <c r="R551"/>
      <c r="S551"/>
      <c r="T551"/>
      <c r="U551"/>
      <c r="V551"/>
      <c r="W551"/>
      <c r="X551"/>
      <c r="Y551"/>
      <c r="Z551"/>
    </row>
    <row r="552" spans="15:26" ht="12.75" customHeight="1">
      <c r="O552"/>
      <c r="P552"/>
      <c r="Q552"/>
      <c r="R552"/>
      <c r="S552"/>
      <c r="T552"/>
      <c r="U552"/>
      <c r="V552"/>
      <c r="W552"/>
      <c r="X552"/>
      <c r="Y552"/>
      <c r="Z552"/>
    </row>
    <row r="553" spans="15:26" ht="12.75" customHeight="1">
      <c r="O553"/>
      <c r="P553"/>
      <c r="Q553"/>
      <c r="R553"/>
      <c r="S553"/>
      <c r="T553"/>
      <c r="U553"/>
      <c r="V553"/>
      <c r="W553"/>
      <c r="X553"/>
      <c r="Y553"/>
      <c r="Z553"/>
    </row>
    <row r="554" spans="15:26" ht="12.75" customHeight="1">
      <c r="O554"/>
      <c r="P554"/>
      <c r="Q554"/>
      <c r="R554"/>
      <c r="S554"/>
      <c r="T554"/>
      <c r="U554"/>
      <c r="V554"/>
      <c r="W554"/>
      <c r="X554"/>
      <c r="Y554"/>
      <c r="Z554"/>
    </row>
    <row r="555" spans="15:26" ht="12.75" customHeight="1">
      <c r="O555"/>
      <c r="P555"/>
      <c r="Q555"/>
      <c r="R555"/>
      <c r="S555"/>
      <c r="T555"/>
      <c r="U555"/>
      <c r="V555"/>
      <c r="W555"/>
      <c r="X555"/>
      <c r="Y555"/>
      <c r="Z555"/>
    </row>
    <row r="556" spans="15:26" ht="12.75" customHeight="1">
      <c r="O556"/>
      <c r="P556"/>
      <c r="Q556"/>
      <c r="R556"/>
      <c r="S556"/>
      <c r="T556"/>
      <c r="U556"/>
      <c r="V556"/>
      <c r="W556"/>
      <c r="X556"/>
      <c r="Y556"/>
      <c r="Z556"/>
    </row>
    <row r="557" spans="15:26" ht="12.75" customHeight="1">
      <c r="O557"/>
      <c r="P557"/>
      <c r="Q557"/>
      <c r="R557"/>
      <c r="S557"/>
      <c r="T557"/>
      <c r="U557"/>
      <c r="V557"/>
      <c r="W557"/>
      <c r="X557"/>
      <c r="Y557"/>
      <c r="Z557"/>
    </row>
    <row r="558" spans="15:26" ht="12.75" customHeight="1">
      <c r="O558"/>
      <c r="P558"/>
      <c r="Q558"/>
      <c r="R558"/>
      <c r="S558"/>
      <c r="T558"/>
      <c r="U558"/>
      <c r="V558"/>
      <c r="W558"/>
      <c r="X558"/>
      <c r="Y558"/>
      <c r="Z558"/>
    </row>
    <row r="559" spans="15:26" ht="12.75" customHeight="1">
      <c r="O559"/>
      <c r="P559"/>
      <c r="Q559"/>
      <c r="R559"/>
      <c r="S559"/>
      <c r="T559"/>
      <c r="U559"/>
      <c r="V559"/>
      <c r="W559"/>
      <c r="X559"/>
      <c r="Y559"/>
      <c r="Z559"/>
    </row>
    <row r="560" spans="15:26" ht="12.75" customHeight="1">
      <c r="O560"/>
      <c r="P560"/>
      <c r="Q560"/>
      <c r="R560"/>
      <c r="S560"/>
      <c r="T560"/>
      <c r="U560"/>
      <c r="V560"/>
      <c r="W560"/>
      <c r="X560"/>
      <c r="Y560"/>
      <c r="Z560"/>
    </row>
    <row r="561" spans="15:26" ht="12.75" customHeight="1">
      <c r="O561"/>
      <c r="P561"/>
      <c r="Q561"/>
      <c r="R561"/>
      <c r="S561"/>
      <c r="T561"/>
      <c r="U561"/>
      <c r="V561"/>
      <c r="W561"/>
      <c r="X561"/>
      <c r="Y561"/>
      <c r="Z561"/>
    </row>
    <row r="562" spans="15:26" ht="12.75" customHeight="1">
      <c r="O562"/>
      <c r="P562"/>
      <c r="Q562"/>
      <c r="R562"/>
      <c r="S562"/>
      <c r="T562"/>
      <c r="U562"/>
      <c r="V562"/>
      <c r="W562"/>
      <c r="X562"/>
      <c r="Y562"/>
      <c r="Z562"/>
    </row>
    <row r="563" spans="15:26" ht="12.75" customHeight="1">
      <c r="O563"/>
      <c r="P563"/>
      <c r="Q563"/>
      <c r="R563"/>
      <c r="S563"/>
      <c r="T563"/>
      <c r="U563"/>
      <c r="V563"/>
      <c r="W563"/>
      <c r="X563"/>
      <c r="Y563"/>
      <c r="Z563"/>
    </row>
    <row r="564" spans="15:26" ht="12.75" customHeight="1">
      <c r="O564"/>
      <c r="P564"/>
      <c r="Q564"/>
      <c r="R564"/>
      <c r="S564"/>
      <c r="T564"/>
      <c r="U564"/>
      <c r="V564"/>
      <c r="W564"/>
      <c r="X564"/>
      <c r="Y564"/>
      <c r="Z564"/>
    </row>
    <row r="565" spans="15:26" ht="12.75" customHeight="1">
      <c r="O565"/>
      <c r="P565"/>
      <c r="Q565"/>
      <c r="R565"/>
      <c r="S565"/>
      <c r="T565"/>
      <c r="U565"/>
      <c r="V565"/>
      <c r="W565"/>
      <c r="X565"/>
      <c r="Y565"/>
      <c r="Z565"/>
    </row>
    <row r="566" spans="15:26" ht="12.75" customHeight="1">
      <c r="O566"/>
      <c r="P566"/>
      <c r="Q566"/>
      <c r="R566"/>
      <c r="S566"/>
      <c r="T566"/>
      <c r="U566"/>
      <c r="V566"/>
      <c r="W566"/>
      <c r="X566"/>
      <c r="Y566"/>
      <c r="Z566"/>
    </row>
    <row r="567" spans="15:26" ht="12.75" customHeight="1">
      <c r="O567"/>
      <c r="P567"/>
      <c r="Q567"/>
      <c r="R567"/>
      <c r="S567"/>
      <c r="T567"/>
      <c r="U567"/>
      <c r="V567"/>
      <c r="W567"/>
      <c r="X567"/>
      <c r="Y567"/>
      <c r="Z567"/>
    </row>
    <row r="568" spans="15:26" ht="12.75" customHeight="1">
      <c r="O568"/>
      <c r="P568"/>
      <c r="Q568"/>
      <c r="R568"/>
      <c r="S568"/>
      <c r="T568"/>
      <c r="U568"/>
      <c r="V568"/>
      <c r="W568"/>
      <c r="X568"/>
      <c r="Y568"/>
      <c r="Z568"/>
    </row>
    <row r="569" spans="15:26" ht="12.75" customHeight="1">
      <c r="O569"/>
      <c r="P569"/>
      <c r="Q569"/>
      <c r="R569"/>
      <c r="S569"/>
      <c r="T569"/>
      <c r="U569"/>
      <c r="V569"/>
      <c r="W569"/>
      <c r="X569"/>
      <c r="Y569"/>
      <c r="Z569"/>
    </row>
    <row r="570" spans="15:26" ht="12.75" customHeight="1">
      <c r="O570"/>
      <c r="P570"/>
      <c r="Q570"/>
      <c r="R570"/>
      <c r="S570"/>
      <c r="T570"/>
      <c r="U570"/>
      <c r="V570"/>
      <c r="W570"/>
      <c r="X570"/>
      <c r="Y570"/>
      <c r="Z570"/>
    </row>
    <row r="571" spans="15:26" ht="12.75" customHeight="1">
      <c r="O571"/>
      <c r="P571"/>
      <c r="Q571"/>
      <c r="R571"/>
      <c r="S571"/>
      <c r="T571"/>
      <c r="U571"/>
      <c r="V571"/>
      <c r="W571"/>
      <c r="X571"/>
      <c r="Y571"/>
      <c r="Z571"/>
    </row>
    <row r="572" spans="15:26" ht="12.75" customHeight="1">
      <c r="O572"/>
      <c r="P572"/>
      <c r="Q572"/>
      <c r="R572"/>
      <c r="S572"/>
      <c r="T572"/>
      <c r="U572"/>
      <c r="V572"/>
      <c r="W572"/>
      <c r="X572"/>
      <c r="Y572"/>
      <c r="Z572"/>
    </row>
    <row r="573" spans="15:26" ht="12.75" customHeight="1">
      <c r="O573"/>
      <c r="P573"/>
      <c r="Q573"/>
      <c r="R573"/>
      <c r="S573"/>
      <c r="T573"/>
      <c r="U573"/>
      <c r="V573"/>
      <c r="W573"/>
      <c r="X573"/>
      <c r="Y573"/>
      <c r="Z573"/>
    </row>
    <row r="574" spans="15:26" ht="12.75" customHeight="1">
      <c r="O574"/>
      <c r="P574"/>
      <c r="Q574"/>
      <c r="R574"/>
      <c r="S574"/>
      <c r="T574"/>
      <c r="U574"/>
      <c r="V574"/>
      <c r="W574"/>
      <c r="X574"/>
      <c r="Y574"/>
      <c r="Z574"/>
    </row>
    <row r="575" spans="15:26" ht="12.75" customHeight="1">
      <c r="O575"/>
      <c r="P575"/>
      <c r="Q575"/>
      <c r="R575"/>
      <c r="S575"/>
      <c r="T575"/>
      <c r="U575"/>
      <c r="V575"/>
      <c r="W575"/>
      <c r="X575"/>
      <c r="Y575"/>
      <c r="Z575"/>
    </row>
    <row r="576" spans="15:26" ht="12.75" customHeight="1">
      <c r="O576"/>
      <c r="P576"/>
      <c r="Q576"/>
      <c r="R576"/>
      <c r="S576"/>
      <c r="T576"/>
      <c r="U576"/>
      <c r="V576"/>
      <c r="W576"/>
      <c r="X576"/>
      <c r="Y576"/>
      <c r="Z576"/>
    </row>
    <row r="577" spans="15:26" ht="12.75" customHeight="1">
      <c r="O577"/>
      <c r="P577"/>
      <c r="Q577"/>
      <c r="R577"/>
      <c r="S577"/>
      <c r="T577"/>
      <c r="U577"/>
      <c r="V577"/>
      <c r="W577"/>
      <c r="X577"/>
      <c r="Y577"/>
      <c r="Z577"/>
    </row>
    <row r="578" spans="15:26" ht="12.75" customHeight="1">
      <c r="O578"/>
      <c r="P578"/>
      <c r="Q578"/>
      <c r="R578"/>
      <c r="S578"/>
      <c r="T578"/>
      <c r="U578"/>
      <c r="V578"/>
      <c r="W578"/>
      <c r="X578"/>
      <c r="Y578"/>
      <c r="Z578"/>
    </row>
    <row r="579" spans="15:26" ht="12.75" customHeight="1">
      <c r="O579"/>
      <c r="P579"/>
      <c r="Q579"/>
      <c r="R579"/>
      <c r="S579"/>
      <c r="T579"/>
      <c r="U579"/>
      <c r="V579"/>
      <c r="W579"/>
      <c r="X579"/>
      <c r="Y579"/>
      <c r="Z579"/>
    </row>
    <row r="580" spans="15:26" ht="12.75" customHeight="1">
      <c r="O580"/>
      <c r="P580"/>
      <c r="Q580"/>
      <c r="R580"/>
      <c r="S580"/>
      <c r="T580"/>
      <c r="U580"/>
      <c r="V580"/>
      <c r="W580"/>
      <c r="X580"/>
      <c r="Y580"/>
      <c r="Z580"/>
    </row>
    <row r="581" spans="15:26" ht="12.75" customHeight="1">
      <c r="O581"/>
      <c r="P581"/>
      <c r="Q581"/>
      <c r="R581"/>
      <c r="S581"/>
      <c r="T581"/>
      <c r="U581"/>
      <c r="V581"/>
      <c r="W581"/>
      <c r="X581"/>
      <c r="Y581"/>
      <c r="Z581"/>
    </row>
    <row r="582" spans="15:26" ht="12.75" customHeight="1">
      <c r="O582"/>
      <c r="P582"/>
      <c r="Q582"/>
      <c r="R582"/>
      <c r="S582"/>
      <c r="T582"/>
      <c r="U582"/>
      <c r="V582"/>
      <c r="W582"/>
      <c r="X582"/>
      <c r="Y582"/>
      <c r="Z582"/>
    </row>
    <row r="583" spans="15:26" ht="12.75" customHeight="1">
      <c r="O583"/>
      <c r="P583"/>
      <c r="Q583"/>
      <c r="R583"/>
      <c r="S583"/>
      <c r="T583"/>
      <c r="U583"/>
      <c r="V583"/>
      <c r="W583"/>
      <c r="X583"/>
      <c r="Y583"/>
      <c r="Z583"/>
    </row>
    <row r="584" spans="15:26" ht="12.75" customHeight="1">
      <c r="O584"/>
      <c r="P584"/>
      <c r="Q584"/>
      <c r="R584"/>
      <c r="S584"/>
      <c r="T584"/>
      <c r="U584"/>
      <c r="V584"/>
      <c r="W584"/>
      <c r="X584"/>
      <c r="Y584"/>
      <c r="Z584"/>
    </row>
    <row r="585" spans="15:26" ht="12.75" customHeight="1">
      <c r="O585"/>
      <c r="P585"/>
      <c r="Q585"/>
      <c r="R585"/>
      <c r="S585"/>
      <c r="T585"/>
      <c r="U585"/>
      <c r="V585"/>
      <c r="W585"/>
      <c r="X585"/>
      <c r="Y585"/>
      <c r="Z585"/>
    </row>
    <row r="586" spans="15:26" ht="12.75" customHeight="1">
      <c r="O586"/>
      <c r="P586"/>
      <c r="Q586"/>
      <c r="R586"/>
      <c r="S586"/>
      <c r="T586"/>
      <c r="U586"/>
      <c r="V586"/>
      <c r="W586"/>
      <c r="X586"/>
      <c r="Y586"/>
      <c r="Z586"/>
    </row>
    <row r="587" spans="15:26" ht="12.75" customHeight="1">
      <c r="O587"/>
      <c r="P587"/>
      <c r="Q587"/>
      <c r="R587"/>
      <c r="S587"/>
      <c r="T587"/>
      <c r="U587"/>
      <c r="V587"/>
      <c r="W587"/>
      <c r="X587"/>
      <c r="Y587"/>
      <c r="Z587"/>
    </row>
    <row r="588" spans="15:26" ht="12.75" customHeight="1">
      <c r="O588"/>
      <c r="P588"/>
      <c r="Q588"/>
      <c r="R588"/>
      <c r="S588"/>
      <c r="T588"/>
      <c r="U588"/>
      <c r="V588"/>
      <c r="W588"/>
      <c r="X588"/>
      <c r="Y588"/>
      <c r="Z588"/>
    </row>
    <row r="589" spans="15:26" ht="12.75" customHeight="1">
      <c r="O589"/>
      <c r="P589"/>
      <c r="Q589"/>
      <c r="R589"/>
      <c r="S589"/>
      <c r="T589"/>
      <c r="U589"/>
      <c r="V589"/>
      <c r="W589"/>
      <c r="X589"/>
      <c r="Y589"/>
      <c r="Z589"/>
    </row>
    <row r="590" spans="15:26" ht="12.75" customHeight="1">
      <c r="O590"/>
      <c r="P590"/>
      <c r="Q590"/>
      <c r="R590"/>
      <c r="S590"/>
      <c r="T590"/>
      <c r="U590"/>
      <c r="V590"/>
      <c r="W590"/>
      <c r="X590"/>
      <c r="Y590"/>
      <c r="Z590"/>
    </row>
    <row r="591" spans="15:26" ht="12.75" customHeight="1">
      <c r="O591"/>
      <c r="P591"/>
      <c r="Q591"/>
      <c r="R591"/>
      <c r="S591"/>
      <c r="T591"/>
      <c r="U591"/>
      <c r="V591"/>
      <c r="W591"/>
      <c r="X591"/>
      <c r="Y591"/>
      <c r="Z591"/>
    </row>
    <row r="592" spans="15:26" ht="12.75" customHeight="1">
      <c r="O592"/>
      <c r="P592"/>
      <c r="Q592"/>
      <c r="R592"/>
      <c r="S592"/>
      <c r="T592"/>
      <c r="U592"/>
      <c r="V592"/>
      <c r="W592"/>
      <c r="X592"/>
      <c r="Y592"/>
      <c r="Z592"/>
    </row>
    <row r="593" spans="15:26" ht="12.75" customHeight="1">
      <c r="O593"/>
      <c r="P593"/>
      <c r="Q593"/>
      <c r="R593"/>
      <c r="S593"/>
      <c r="T593"/>
      <c r="U593"/>
      <c r="V593"/>
      <c r="W593"/>
      <c r="X593"/>
      <c r="Y593"/>
      <c r="Z593"/>
    </row>
    <row r="594" spans="15:26" ht="12.75" customHeight="1">
      <c r="O594"/>
      <c r="P594"/>
      <c r="Q594"/>
      <c r="R594"/>
      <c r="S594"/>
      <c r="T594"/>
      <c r="U594"/>
      <c r="V594"/>
      <c r="W594"/>
      <c r="X594"/>
      <c r="Y594"/>
      <c r="Z594"/>
    </row>
    <row r="595" spans="15:26" ht="12.75" customHeight="1">
      <c r="O595"/>
      <c r="P595"/>
      <c r="Q595"/>
      <c r="R595"/>
      <c r="S595"/>
      <c r="T595"/>
      <c r="U595"/>
      <c r="V595"/>
      <c r="W595"/>
      <c r="X595"/>
      <c r="Y595"/>
      <c r="Z595"/>
    </row>
    <row r="596" spans="15:26" ht="12.75" customHeight="1">
      <c r="O596"/>
      <c r="P596"/>
      <c r="Q596"/>
      <c r="R596"/>
      <c r="S596"/>
      <c r="T596"/>
      <c r="U596"/>
      <c r="V596"/>
      <c r="W596"/>
      <c r="X596"/>
      <c r="Y596"/>
      <c r="Z596"/>
    </row>
    <row r="597" spans="15:26" ht="12.75" customHeight="1">
      <c r="O597"/>
      <c r="P597"/>
      <c r="Q597"/>
      <c r="R597"/>
      <c r="S597"/>
      <c r="T597"/>
      <c r="U597"/>
      <c r="V597"/>
      <c r="W597"/>
      <c r="X597"/>
      <c r="Y597"/>
      <c r="Z597"/>
    </row>
    <row r="598" spans="15:26" ht="12.75" customHeight="1">
      <c r="O598"/>
      <c r="P598"/>
      <c r="Q598"/>
      <c r="R598"/>
      <c r="S598"/>
      <c r="T598"/>
      <c r="U598"/>
      <c r="V598"/>
      <c r="W598"/>
      <c r="X598"/>
      <c r="Y598"/>
      <c r="Z598"/>
    </row>
    <row r="599" spans="15:26" ht="12.75" customHeight="1">
      <c r="O599"/>
      <c r="P599"/>
      <c r="Q599"/>
      <c r="R599"/>
      <c r="S599"/>
      <c r="T599"/>
      <c r="U599"/>
      <c r="V599"/>
      <c r="W599"/>
      <c r="X599"/>
      <c r="Y599"/>
      <c r="Z599"/>
    </row>
    <row r="600" spans="15:26" ht="12.75" customHeight="1">
      <c r="O600"/>
      <c r="P600"/>
      <c r="Q600"/>
      <c r="R600"/>
      <c r="S600"/>
      <c r="T600"/>
      <c r="U600"/>
      <c r="V600"/>
      <c r="W600"/>
      <c r="X600"/>
      <c r="Y600"/>
      <c r="Z600"/>
    </row>
    <row r="601" spans="15:26" ht="12.75" customHeight="1">
      <c r="O601"/>
      <c r="P601"/>
      <c r="Q601"/>
      <c r="R601"/>
      <c r="S601"/>
      <c r="T601"/>
      <c r="U601"/>
      <c r="V601"/>
      <c r="W601"/>
      <c r="X601"/>
      <c r="Y601"/>
      <c r="Z601"/>
    </row>
    <row r="602" spans="15:26" ht="12.75" customHeight="1">
      <c r="O602"/>
      <c r="P602"/>
      <c r="Q602"/>
      <c r="R602"/>
      <c r="S602"/>
      <c r="T602"/>
      <c r="U602"/>
      <c r="V602"/>
      <c r="W602"/>
      <c r="X602"/>
      <c r="Y602"/>
      <c r="Z602"/>
    </row>
    <row r="603" spans="15:26" ht="12.75" customHeight="1">
      <c r="O603"/>
      <c r="P603"/>
      <c r="Q603"/>
      <c r="R603"/>
      <c r="S603"/>
      <c r="T603"/>
      <c r="U603"/>
      <c r="V603"/>
      <c r="W603"/>
      <c r="X603"/>
      <c r="Y603"/>
      <c r="Z603"/>
    </row>
    <row r="604" spans="15:26" ht="12.75" customHeight="1">
      <c r="O604"/>
      <c r="P604"/>
      <c r="Q604"/>
      <c r="R604"/>
      <c r="S604"/>
      <c r="T604"/>
      <c r="U604"/>
      <c r="V604"/>
      <c r="W604"/>
      <c r="X604"/>
      <c r="Y604"/>
      <c r="Z604"/>
    </row>
    <row r="605" spans="15:26" ht="12.75" customHeight="1">
      <c r="O605"/>
      <c r="P605"/>
      <c r="Q605"/>
      <c r="R605"/>
      <c r="S605"/>
      <c r="T605"/>
      <c r="U605"/>
      <c r="V605"/>
      <c r="W605"/>
      <c r="X605"/>
      <c r="Y605"/>
      <c r="Z605"/>
    </row>
    <row r="606" spans="15:26" ht="12.75" customHeight="1">
      <c r="O606"/>
      <c r="P606"/>
      <c r="Q606"/>
      <c r="R606"/>
      <c r="S606"/>
      <c r="T606"/>
      <c r="U606"/>
      <c r="V606"/>
      <c r="W606"/>
      <c r="X606"/>
      <c r="Y606"/>
      <c r="Z606"/>
    </row>
    <row r="607" spans="15:26" ht="12.75" customHeight="1">
      <c r="O607"/>
      <c r="P607"/>
      <c r="Q607"/>
      <c r="R607"/>
      <c r="S607"/>
      <c r="T607"/>
      <c r="U607"/>
      <c r="V607"/>
      <c r="W607"/>
      <c r="X607"/>
      <c r="Y607"/>
      <c r="Z607"/>
    </row>
    <row r="608" spans="15:26" ht="12.75" customHeight="1">
      <c r="O608"/>
      <c r="P608"/>
      <c r="Q608"/>
      <c r="R608"/>
      <c r="S608"/>
      <c r="T608"/>
      <c r="U608"/>
      <c r="V608"/>
      <c r="W608"/>
      <c r="X608"/>
      <c r="Y608"/>
      <c r="Z608"/>
    </row>
    <row r="609" spans="15:26" ht="12.75" customHeight="1">
      <c r="O609"/>
      <c r="P609"/>
      <c r="Q609"/>
      <c r="R609"/>
      <c r="S609"/>
      <c r="T609"/>
      <c r="U609"/>
      <c r="V609"/>
      <c r="W609"/>
      <c r="X609"/>
      <c r="Y609"/>
      <c r="Z609"/>
    </row>
    <row r="610" spans="15:26" ht="12.75" customHeight="1">
      <c r="O610"/>
      <c r="P610"/>
      <c r="Q610"/>
      <c r="R610"/>
      <c r="S610"/>
      <c r="T610"/>
      <c r="U610"/>
      <c r="V610"/>
      <c r="W610"/>
      <c r="X610"/>
      <c r="Y610"/>
      <c r="Z610"/>
    </row>
    <row r="611" spans="15:26" ht="12.75" customHeight="1">
      <c r="O611"/>
      <c r="P611"/>
      <c r="Q611"/>
      <c r="R611"/>
      <c r="S611"/>
      <c r="T611"/>
      <c r="U611"/>
      <c r="V611"/>
      <c r="W611"/>
      <c r="X611"/>
      <c r="Y611"/>
      <c r="Z611"/>
    </row>
    <row r="612" spans="15:26" ht="12.75" customHeight="1">
      <c r="O612"/>
      <c r="P612"/>
      <c r="Q612"/>
      <c r="R612"/>
      <c r="S612"/>
      <c r="T612"/>
      <c r="U612"/>
      <c r="V612"/>
      <c r="W612"/>
      <c r="X612"/>
      <c r="Y612"/>
      <c r="Z612"/>
    </row>
    <row r="613" spans="15:26" ht="12.75" customHeight="1">
      <c r="O613"/>
      <c r="P613"/>
      <c r="Q613"/>
      <c r="R613"/>
      <c r="S613"/>
      <c r="T613"/>
      <c r="U613"/>
      <c r="V613"/>
      <c r="W613"/>
      <c r="X613"/>
      <c r="Y613"/>
      <c r="Z613"/>
    </row>
    <row r="614" spans="15:26" ht="12.75" customHeight="1">
      <c r="O614"/>
      <c r="P614"/>
      <c r="Q614"/>
      <c r="R614"/>
      <c r="S614"/>
      <c r="T614"/>
      <c r="U614"/>
      <c r="V614"/>
      <c r="W614"/>
      <c r="X614"/>
      <c r="Y614"/>
      <c r="Z614"/>
    </row>
    <row r="615" spans="15:26" ht="12.75" customHeight="1">
      <c r="O615"/>
      <c r="P615"/>
      <c r="Q615"/>
      <c r="R615"/>
      <c r="S615"/>
      <c r="T615"/>
      <c r="U615"/>
      <c r="V615"/>
      <c r="W615"/>
      <c r="X615"/>
      <c r="Y615"/>
      <c r="Z615"/>
    </row>
    <row r="616" spans="15:26" ht="12.75" customHeight="1">
      <c r="O616"/>
      <c r="P616"/>
      <c r="Q616"/>
      <c r="R616"/>
      <c r="S616"/>
      <c r="T616"/>
      <c r="U616"/>
      <c r="V616"/>
      <c r="W616"/>
      <c r="X616"/>
      <c r="Y616"/>
      <c r="Z616"/>
    </row>
    <row r="617" spans="15:26" ht="12.75" customHeight="1">
      <c r="O617"/>
      <c r="P617"/>
      <c r="Q617"/>
      <c r="R617"/>
      <c r="S617"/>
      <c r="T617"/>
      <c r="U617"/>
      <c r="V617"/>
      <c r="W617"/>
      <c r="X617"/>
      <c r="Y617"/>
      <c r="Z617"/>
    </row>
    <row r="618" spans="15:26" ht="12.75" customHeight="1">
      <c r="O618"/>
      <c r="P618"/>
      <c r="Q618"/>
      <c r="R618"/>
      <c r="S618"/>
      <c r="T618"/>
      <c r="U618"/>
      <c r="V618"/>
      <c r="W618"/>
      <c r="X618"/>
      <c r="Y618"/>
      <c r="Z618"/>
    </row>
    <row r="619" spans="15:26" ht="12.75" customHeight="1">
      <c r="O619"/>
      <c r="P619"/>
      <c r="Q619"/>
      <c r="R619"/>
      <c r="S619"/>
      <c r="T619"/>
      <c r="U619"/>
      <c r="V619"/>
      <c r="W619"/>
      <c r="X619"/>
      <c r="Y619"/>
      <c r="Z619"/>
    </row>
    <row r="620" spans="15:26" ht="12.75" customHeight="1">
      <c r="O620"/>
      <c r="P620"/>
      <c r="Q620"/>
      <c r="R620"/>
      <c r="S620"/>
      <c r="T620"/>
      <c r="U620"/>
      <c r="V620"/>
      <c r="W620"/>
      <c r="X620"/>
      <c r="Y620"/>
      <c r="Z620"/>
    </row>
    <row r="621" spans="15:26" ht="12.75" customHeight="1">
      <c r="O621"/>
      <c r="P621"/>
      <c r="Q621"/>
      <c r="R621"/>
      <c r="S621"/>
      <c r="T621"/>
      <c r="U621"/>
      <c r="V621"/>
      <c r="W621"/>
      <c r="X621"/>
      <c r="Y621"/>
      <c r="Z621"/>
    </row>
    <row r="622" spans="15:26" ht="12.75" customHeight="1">
      <c r="O622"/>
      <c r="P622"/>
      <c r="Q622"/>
      <c r="R622"/>
      <c r="S622"/>
      <c r="T622"/>
      <c r="U622"/>
      <c r="V622"/>
      <c r="W622"/>
      <c r="X622"/>
      <c r="Y622"/>
      <c r="Z622"/>
    </row>
    <row r="623" spans="15:26" ht="12.75" customHeight="1">
      <c r="O623"/>
      <c r="P623"/>
      <c r="Q623"/>
      <c r="R623"/>
      <c r="S623"/>
      <c r="T623"/>
      <c r="U623"/>
      <c r="V623"/>
      <c r="W623"/>
      <c r="X623"/>
      <c r="Y623"/>
      <c r="Z623"/>
    </row>
    <row r="624" spans="15:26" ht="12.75" customHeight="1">
      <c r="O624"/>
      <c r="P624"/>
      <c r="Q624"/>
      <c r="R624"/>
      <c r="S624"/>
      <c r="T624"/>
      <c r="U624"/>
      <c r="V624"/>
      <c r="W624"/>
      <c r="X624"/>
      <c r="Y624"/>
      <c r="Z624"/>
    </row>
    <row r="625" spans="15:26" ht="12.75" customHeight="1">
      <c r="O625"/>
      <c r="P625"/>
      <c r="Q625"/>
      <c r="R625"/>
      <c r="S625"/>
      <c r="T625"/>
      <c r="U625"/>
      <c r="V625"/>
      <c r="W625"/>
      <c r="X625"/>
      <c r="Y625"/>
      <c r="Z625"/>
    </row>
    <row r="626" spans="15:26">
      <c r="O626"/>
      <c r="P626"/>
      <c r="Q626"/>
      <c r="R626"/>
      <c r="S626"/>
      <c r="T626"/>
      <c r="U626"/>
      <c r="V626"/>
      <c r="W626"/>
      <c r="X626"/>
      <c r="Y626"/>
      <c r="Z626"/>
    </row>
    <row r="627" spans="15:26">
      <c r="O627"/>
      <c r="P627"/>
      <c r="Q627"/>
      <c r="R627"/>
      <c r="S627"/>
      <c r="T627"/>
      <c r="U627"/>
      <c r="V627"/>
      <c r="W627"/>
      <c r="X627"/>
      <c r="Y627"/>
      <c r="Z627"/>
    </row>
    <row r="628" spans="15:26">
      <c r="O628"/>
      <c r="P628"/>
      <c r="Q628"/>
      <c r="R628"/>
      <c r="S628"/>
      <c r="T628"/>
      <c r="U628"/>
      <c r="V628"/>
      <c r="W628"/>
      <c r="X628"/>
      <c r="Y628"/>
      <c r="Z628"/>
    </row>
    <row r="629" spans="15:26">
      <c r="O629"/>
      <c r="P629"/>
      <c r="Q629"/>
      <c r="R629"/>
      <c r="S629"/>
      <c r="T629"/>
      <c r="U629"/>
      <c r="V629"/>
      <c r="W629"/>
      <c r="X629"/>
      <c r="Y629"/>
      <c r="Z629"/>
    </row>
    <row r="630" spans="15:26">
      <c r="O630"/>
      <c r="P630"/>
      <c r="Q630"/>
      <c r="R630"/>
      <c r="S630"/>
      <c r="T630"/>
      <c r="U630"/>
      <c r="V630"/>
      <c r="W630"/>
      <c r="X630"/>
      <c r="Y630"/>
      <c r="Z630"/>
    </row>
    <row r="631" spans="15:26">
      <c r="O631"/>
      <c r="P631"/>
      <c r="Q631"/>
      <c r="R631"/>
      <c r="S631"/>
      <c r="T631"/>
      <c r="U631"/>
      <c r="V631"/>
      <c r="W631"/>
      <c r="X631"/>
      <c r="Y631"/>
      <c r="Z631"/>
    </row>
    <row r="632" spans="15:26">
      <c r="O632"/>
      <c r="P632"/>
      <c r="Q632"/>
      <c r="R632"/>
      <c r="S632"/>
      <c r="T632"/>
      <c r="U632"/>
      <c r="V632"/>
      <c r="W632"/>
      <c r="X632"/>
      <c r="Y632"/>
      <c r="Z632"/>
    </row>
    <row r="633" spans="15:26">
      <c r="O633"/>
      <c r="P633"/>
      <c r="Q633"/>
      <c r="R633"/>
      <c r="S633"/>
      <c r="T633"/>
      <c r="U633"/>
      <c r="V633"/>
      <c r="W633"/>
      <c r="X633"/>
      <c r="Y633"/>
      <c r="Z633"/>
    </row>
    <row r="634" spans="15:26">
      <c r="O634"/>
      <c r="P634"/>
      <c r="Q634"/>
      <c r="R634"/>
      <c r="S634"/>
      <c r="T634"/>
      <c r="U634"/>
      <c r="V634"/>
      <c r="W634"/>
      <c r="X634"/>
      <c r="Y634"/>
      <c r="Z634"/>
    </row>
    <row r="635" spans="15:26">
      <c r="O635"/>
      <c r="P635"/>
      <c r="Q635"/>
      <c r="R635"/>
      <c r="S635"/>
      <c r="T635"/>
      <c r="U635"/>
      <c r="V635"/>
      <c r="W635"/>
      <c r="X635"/>
      <c r="Y635"/>
      <c r="Z635"/>
    </row>
    <row r="636" spans="15:26">
      <c r="O636"/>
      <c r="P636"/>
      <c r="Q636"/>
      <c r="R636"/>
      <c r="S636"/>
      <c r="T636"/>
      <c r="U636"/>
      <c r="V636"/>
      <c r="W636"/>
      <c r="X636"/>
      <c r="Y636"/>
      <c r="Z636"/>
    </row>
    <row r="637" spans="15:26">
      <c r="O637"/>
      <c r="P637"/>
      <c r="Q637"/>
      <c r="R637"/>
      <c r="S637"/>
      <c r="T637"/>
      <c r="U637"/>
      <c r="V637"/>
      <c r="W637"/>
      <c r="X637"/>
      <c r="Y637"/>
      <c r="Z637"/>
    </row>
    <row r="638" spans="15:26">
      <c r="O638"/>
      <c r="P638"/>
      <c r="Q638"/>
      <c r="R638"/>
      <c r="S638"/>
      <c r="T638"/>
      <c r="U638"/>
      <c r="V638"/>
      <c r="W638"/>
      <c r="X638"/>
      <c r="Y638"/>
      <c r="Z638"/>
    </row>
    <row r="639" spans="15:26">
      <c r="O639"/>
      <c r="P639"/>
      <c r="Q639"/>
      <c r="R639"/>
      <c r="S639"/>
      <c r="T639"/>
      <c r="U639"/>
      <c r="V639"/>
      <c r="W639"/>
      <c r="X639"/>
      <c r="Y639"/>
      <c r="Z639"/>
    </row>
    <row r="640" spans="15:26">
      <c r="O640"/>
      <c r="P640"/>
      <c r="Q640"/>
      <c r="R640"/>
      <c r="S640"/>
      <c r="T640"/>
      <c r="U640"/>
      <c r="V640"/>
      <c r="W640"/>
      <c r="X640"/>
      <c r="Y640"/>
      <c r="Z640"/>
    </row>
    <row r="641" spans="15:26">
      <c r="O641"/>
      <c r="P641"/>
      <c r="Q641"/>
      <c r="R641"/>
      <c r="S641"/>
      <c r="T641"/>
      <c r="U641"/>
      <c r="V641"/>
      <c r="W641"/>
      <c r="X641"/>
      <c r="Y641"/>
      <c r="Z641"/>
    </row>
    <row r="642" spans="15:26">
      <c r="O642"/>
      <c r="P642"/>
      <c r="Q642"/>
      <c r="R642"/>
      <c r="S642"/>
      <c r="T642"/>
      <c r="U642"/>
      <c r="V642"/>
      <c r="W642"/>
      <c r="X642"/>
      <c r="Y642"/>
      <c r="Z642"/>
    </row>
    <row r="643" spans="15:26">
      <c r="O643"/>
      <c r="P643"/>
      <c r="Q643"/>
      <c r="R643"/>
      <c r="S643"/>
      <c r="T643"/>
      <c r="U643"/>
      <c r="V643"/>
      <c r="W643"/>
      <c r="X643"/>
      <c r="Y643"/>
      <c r="Z643"/>
    </row>
    <row r="644" spans="15:26">
      <c r="O644"/>
      <c r="P644"/>
      <c r="Q644"/>
      <c r="R644"/>
      <c r="S644"/>
      <c r="T644"/>
      <c r="U644"/>
      <c r="V644"/>
      <c r="W644"/>
      <c r="X644"/>
      <c r="Y644"/>
      <c r="Z644"/>
    </row>
    <row r="645" spans="15:26">
      <c r="O645"/>
      <c r="P645"/>
      <c r="Q645"/>
      <c r="R645"/>
      <c r="S645"/>
      <c r="T645"/>
      <c r="U645"/>
      <c r="V645"/>
      <c r="W645"/>
      <c r="X645"/>
      <c r="Y645"/>
      <c r="Z645"/>
    </row>
    <row r="646" spans="15:26">
      <c r="O646"/>
      <c r="P646"/>
      <c r="Q646"/>
      <c r="R646"/>
      <c r="S646"/>
      <c r="T646"/>
      <c r="U646"/>
      <c r="V646"/>
      <c r="W646"/>
      <c r="X646"/>
      <c r="Y646"/>
      <c r="Z646"/>
    </row>
    <row r="647" spans="15:26">
      <c r="O647"/>
      <c r="P647"/>
      <c r="Q647"/>
      <c r="R647"/>
      <c r="S647"/>
      <c r="T647"/>
      <c r="U647"/>
      <c r="V647"/>
      <c r="W647"/>
      <c r="X647"/>
      <c r="Y647"/>
      <c r="Z647"/>
    </row>
    <row r="648" spans="15:26">
      <c r="O648"/>
      <c r="P648"/>
      <c r="Q648"/>
      <c r="R648"/>
      <c r="S648"/>
      <c r="T648"/>
      <c r="U648"/>
      <c r="V648"/>
      <c r="W648"/>
      <c r="X648"/>
      <c r="Y648"/>
      <c r="Z648"/>
    </row>
    <row r="649" spans="15:26">
      <c r="O649"/>
      <c r="P649"/>
      <c r="Q649"/>
      <c r="R649"/>
      <c r="S649"/>
      <c r="T649"/>
      <c r="U649"/>
      <c r="V649"/>
      <c r="W649"/>
      <c r="X649"/>
      <c r="Y649"/>
      <c r="Z649"/>
    </row>
    <row r="650" spans="15:26">
      <c r="O650"/>
      <c r="P650"/>
      <c r="Q650"/>
      <c r="R650"/>
      <c r="S650"/>
      <c r="T650"/>
      <c r="U650"/>
      <c r="V650"/>
      <c r="W650"/>
      <c r="X650"/>
      <c r="Y650"/>
      <c r="Z650"/>
    </row>
    <row r="651" spans="15:26">
      <c r="O651"/>
      <c r="P651"/>
      <c r="Q651"/>
      <c r="R651"/>
      <c r="S651"/>
      <c r="T651"/>
      <c r="U651"/>
      <c r="V651"/>
      <c r="W651"/>
      <c r="X651"/>
      <c r="Y651"/>
      <c r="Z651"/>
    </row>
    <row r="652" spans="15:26">
      <c r="O652"/>
      <c r="P652"/>
      <c r="Q652"/>
      <c r="R652"/>
      <c r="S652"/>
      <c r="T652"/>
      <c r="U652"/>
      <c r="V652"/>
      <c r="W652"/>
      <c r="X652"/>
      <c r="Y652"/>
      <c r="Z652"/>
    </row>
    <row r="653" spans="15:26">
      <c r="O653"/>
      <c r="P653"/>
      <c r="Q653"/>
      <c r="R653"/>
      <c r="S653"/>
      <c r="T653"/>
      <c r="U653"/>
      <c r="V653"/>
      <c r="W653"/>
      <c r="X653"/>
      <c r="Y653"/>
      <c r="Z653"/>
    </row>
    <row r="654" spans="15:26">
      <c r="O654"/>
      <c r="P654"/>
      <c r="Q654"/>
      <c r="R654"/>
      <c r="S654"/>
      <c r="T654"/>
      <c r="U654"/>
      <c r="V654"/>
      <c r="W654"/>
      <c r="X654"/>
      <c r="Y654"/>
      <c r="Z654"/>
    </row>
    <row r="655" spans="15:26">
      <c r="O655"/>
      <c r="P655"/>
      <c r="Q655"/>
      <c r="R655"/>
      <c r="S655"/>
      <c r="T655"/>
      <c r="U655"/>
      <c r="V655"/>
      <c r="W655"/>
      <c r="X655"/>
      <c r="Y655"/>
      <c r="Z655"/>
    </row>
    <row r="656" spans="15:26">
      <c r="O656" s="23"/>
      <c r="P656" s="1"/>
      <c r="Q656" s="1"/>
      <c r="R656" s="1"/>
      <c r="S656" s="1"/>
      <c r="T656" s="1"/>
      <c r="U656" s="1"/>
      <c r="V656" s="1"/>
      <c r="W656" s="1"/>
      <c r="X656" s="1"/>
    </row>
    <row r="657" spans="15:24">
      <c r="O657" s="23"/>
      <c r="P657" s="1"/>
      <c r="Q657" s="1"/>
      <c r="R657" s="1"/>
      <c r="S657" s="1"/>
      <c r="T657" s="1"/>
      <c r="U657" s="1"/>
      <c r="V657" s="1"/>
      <c r="W657" s="1"/>
      <c r="X657" s="1"/>
    </row>
    <row r="658" spans="15:24">
      <c r="O658" s="23"/>
      <c r="P658" s="1"/>
      <c r="Q658" s="1"/>
      <c r="R658" s="1"/>
      <c r="S658" s="1"/>
      <c r="T658" s="1"/>
      <c r="U658" s="1"/>
      <c r="V658" s="1"/>
      <c r="W658" s="1"/>
      <c r="X658" s="1"/>
    </row>
    <row r="659" spans="15:24">
      <c r="O659" s="23"/>
      <c r="P659" s="1"/>
      <c r="Q659" s="1"/>
      <c r="R659" s="1"/>
      <c r="S659" s="1"/>
      <c r="T659" s="1"/>
      <c r="U659" s="1"/>
      <c r="V659" s="1"/>
      <c r="W659" s="1"/>
      <c r="X659" s="1"/>
    </row>
    <row r="660" spans="15:24">
      <c r="O660" s="23"/>
      <c r="P660" s="1"/>
      <c r="Q660" s="1"/>
      <c r="R660" s="1"/>
      <c r="S660" s="1"/>
      <c r="T660" s="1"/>
      <c r="U660" s="1"/>
      <c r="V660" s="1"/>
      <c r="W660" s="1"/>
      <c r="X660" s="1"/>
    </row>
    <row r="661" spans="15:24">
      <c r="O661" s="23"/>
      <c r="P661" s="1"/>
      <c r="Q661" s="1"/>
      <c r="R661" s="1"/>
      <c r="S661" s="1"/>
      <c r="T661" s="1"/>
      <c r="U661" s="1"/>
      <c r="V661" s="1"/>
      <c r="W661" s="1"/>
      <c r="X661" s="1"/>
    </row>
    <row r="662" spans="15:24">
      <c r="O662" s="23"/>
      <c r="P662" s="1"/>
      <c r="Q662" s="1"/>
      <c r="R662" s="1"/>
      <c r="S662" s="1"/>
      <c r="T662" s="1"/>
      <c r="U662" s="1"/>
      <c r="V662" s="1"/>
      <c r="W662" s="1"/>
      <c r="X662" s="1"/>
    </row>
    <row r="663" spans="15:24">
      <c r="O663" s="23"/>
      <c r="P663" s="1"/>
      <c r="Q663" s="1"/>
      <c r="R663" s="1"/>
      <c r="S663" s="1"/>
      <c r="T663" s="1"/>
      <c r="U663" s="1"/>
      <c r="V663" s="1"/>
      <c r="W663" s="1"/>
      <c r="X663" s="1"/>
    </row>
    <row r="664" spans="15:24">
      <c r="O664" s="23"/>
      <c r="P664" s="1"/>
      <c r="Q664" s="1"/>
      <c r="R664" s="1"/>
      <c r="S664" s="1"/>
      <c r="T664" s="1"/>
      <c r="U664" s="1"/>
      <c r="V664" s="1"/>
      <c r="W664" s="1"/>
      <c r="X664" s="1"/>
    </row>
    <row r="665" spans="15:24">
      <c r="O665" s="23"/>
      <c r="P665" s="1"/>
      <c r="Q665" s="1"/>
      <c r="R665" s="1"/>
      <c r="S665" s="1"/>
      <c r="T665" s="1"/>
      <c r="U665" s="1"/>
      <c r="V665" s="1"/>
      <c r="W665" s="1"/>
      <c r="X665" s="1"/>
    </row>
    <row r="666" spans="15:24">
      <c r="O666" s="23"/>
      <c r="P666" s="1"/>
      <c r="Q666" s="1"/>
      <c r="R666" s="1"/>
      <c r="S666" s="1"/>
      <c r="T666" s="1"/>
      <c r="U666" s="1"/>
      <c r="V666" s="1"/>
      <c r="W666" s="1"/>
      <c r="X666" s="1"/>
    </row>
    <row r="667" spans="15:24">
      <c r="O667" s="23"/>
      <c r="P667" s="1"/>
      <c r="Q667" s="1"/>
      <c r="R667" s="1"/>
      <c r="S667" s="1"/>
      <c r="T667" s="1"/>
      <c r="U667" s="1"/>
      <c r="V667" s="1"/>
      <c r="W667" s="1"/>
      <c r="X667" s="1"/>
    </row>
    <row r="668" spans="15:24">
      <c r="O668" s="23"/>
      <c r="P668" s="1"/>
      <c r="Q668" s="1"/>
      <c r="R668" s="1"/>
      <c r="S668" s="1"/>
      <c r="T668" s="1"/>
      <c r="U668" s="1"/>
      <c r="V668" s="1"/>
      <c r="W668" s="1"/>
      <c r="X668" s="1"/>
    </row>
    <row r="669" spans="15:24">
      <c r="O669" s="23"/>
      <c r="P669" s="1"/>
      <c r="Q669" s="1"/>
      <c r="R669" s="1"/>
      <c r="S669" s="1"/>
      <c r="T669" s="1"/>
      <c r="U669" s="1"/>
      <c r="V669" s="1"/>
      <c r="W669" s="1"/>
      <c r="X669" s="1"/>
    </row>
    <row r="670" spans="15:24">
      <c r="O670" s="23"/>
      <c r="P670" s="1"/>
      <c r="Q670" s="1"/>
      <c r="R670" s="1"/>
      <c r="S670" s="1"/>
      <c r="T670" s="1"/>
      <c r="U670" s="1"/>
      <c r="V670" s="1"/>
      <c r="W670" s="1"/>
      <c r="X670" s="1"/>
    </row>
    <row r="671" spans="15:24">
      <c r="O671" s="23"/>
      <c r="P671" s="1"/>
      <c r="Q671" s="1"/>
      <c r="R671" s="1"/>
      <c r="S671" s="1"/>
      <c r="T671" s="1"/>
      <c r="U671" s="1"/>
      <c r="V671" s="1"/>
      <c r="W671" s="1"/>
      <c r="X671" s="1"/>
    </row>
    <row r="672" spans="15:24">
      <c r="O672" s="23"/>
      <c r="P672" s="1"/>
      <c r="Q672" s="1"/>
      <c r="R672" s="1"/>
      <c r="S672" s="1"/>
      <c r="T672" s="1"/>
      <c r="U672" s="1"/>
      <c r="V672" s="1"/>
      <c r="W672" s="1"/>
      <c r="X672" s="1"/>
    </row>
    <row r="673" spans="15:24">
      <c r="O673" s="23"/>
      <c r="P673" s="1"/>
      <c r="Q673" s="1"/>
      <c r="R673" s="1"/>
      <c r="S673" s="1"/>
      <c r="T673" s="1"/>
      <c r="U673" s="1"/>
      <c r="V673" s="1"/>
      <c r="W673" s="1"/>
      <c r="X673" s="1"/>
    </row>
    <row r="674" spans="15:24">
      <c r="O674" s="23"/>
      <c r="P674" s="1"/>
      <c r="Q674" s="1"/>
      <c r="R674" s="1"/>
      <c r="S674" s="1"/>
      <c r="T674" s="1"/>
      <c r="U674" s="1"/>
      <c r="V674" s="1"/>
      <c r="W674" s="1"/>
      <c r="X674" s="1"/>
    </row>
    <row r="675" spans="15:24">
      <c r="O675" s="23"/>
      <c r="P675" s="1"/>
      <c r="Q675" s="1"/>
      <c r="R675" s="1"/>
      <c r="S675" s="1"/>
      <c r="T675" s="1"/>
      <c r="U675" s="1"/>
      <c r="V675" s="1"/>
      <c r="W675" s="1"/>
      <c r="X675" s="1"/>
    </row>
    <row r="676" spans="15:24">
      <c r="O676" s="23"/>
      <c r="P676" s="1"/>
      <c r="Q676" s="1"/>
      <c r="R676" s="1"/>
      <c r="S676" s="1"/>
      <c r="T676" s="1"/>
      <c r="U676" s="1"/>
      <c r="V676" s="1"/>
      <c r="W676" s="1"/>
      <c r="X676" s="1"/>
    </row>
    <row r="677" spans="15:24">
      <c r="O677" s="23"/>
      <c r="P677" s="1"/>
      <c r="Q677" s="1"/>
      <c r="R677" s="1"/>
      <c r="S677" s="1"/>
      <c r="T677" s="1"/>
      <c r="U677" s="1"/>
      <c r="V677" s="1"/>
      <c r="W677" s="1"/>
      <c r="X677" s="1"/>
    </row>
    <row r="678" spans="15:24">
      <c r="O678" s="23"/>
      <c r="P678" s="1"/>
      <c r="Q678" s="1"/>
      <c r="R678" s="1"/>
      <c r="S678" s="1"/>
      <c r="T678" s="1"/>
      <c r="U678" s="1"/>
      <c r="V678" s="1"/>
      <c r="W678" s="1"/>
      <c r="X678" s="1"/>
    </row>
    <row r="679" spans="15:24">
      <c r="O679" s="23"/>
      <c r="P679" s="1"/>
      <c r="Q679" s="1"/>
      <c r="R679" s="1"/>
      <c r="S679" s="1"/>
      <c r="T679" s="1"/>
      <c r="U679" s="1"/>
      <c r="V679" s="1"/>
      <c r="W679" s="1"/>
      <c r="X679" s="1"/>
    </row>
    <row r="680" spans="15:24">
      <c r="O680" s="23"/>
      <c r="P680" s="1"/>
      <c r="Q680" s="1"/>
      <c r="R680" s="1"/>
      <c r="S680" s="1"/>
      <c r="T680" s="1"/>
      <c r="U680" s="1"/>
      <c r="V680" s="1"/>
      <c r="W680" s="1"/>
      <c r="X680" s="1"/>
    </row>
    <row r="681" spans="15:24">
      <c r="O681" s="23"/>
      <c r="P681" s="1"/>
      <c r="Q681" s="1"/>
      <c r="R681" s="1"/>
      <c r="S681" s="1"/>
      <c r="T681" s="1"/>
      <c r="U681" s="1"/>
      <c r="V681" s="1"/>
      <c r="W681" s="1"/>
      <c r="X681" s="1"/>
    </row>
    <row r="682" spans="15:24">
      <c r="O682" s="23"/>
      <c r="P682" s="1"/>
      <c r="Q682" s="1"/>
      <c r="R682" s="1"/>
      <c r="S682" s="1"/>
      <c r="T682" s="1"/>
      <c r="U682" s="1"/>
      <c r="V682" s="1"/>
      <c r="W682" s="1"/>
      <c r="X682" s="1"/>
    </row>
    <row r="683" spans="15:24">
      <c r="O683" s="23"/>
      <c r="P683" s="1"/>
      <c r="Q683" s="1"/>
      <c r="R683" s="1"/>
      <c r="S683" s="1"/>
      <c r="T683" s="1"/>
      <c r="U683" s="1"/>
      <c r="V683" s="1"/>
      <c r="W683" s="1"/>
      <c r="X683" s="1"/>
    </row>
    <row r="684" spans="15:24">
      <c r="O684" s="23"/>
      <c r="P684" s="1"/>
      <c r="Q684" s="1"/>
      <c r="R684" s="1"/>
      <c r="S684" s="1"/>
      <c r="T684" s="1"/>
      <c r="U684" s="1"/>
      <c r="V684" s="1"/>
      <c r="W684" s="1"/>
      <c r="X684" s="1"/>
    </row>
    <row r="685" spans="15:24">
      <c r="O685" s="23"/>
      <c r="P685" s="1"/>
      <c r="Q685" s="1"/>
      <c r="R685" s="1"/>
      <c r="S685" s="1"/>
      <c r="T685" s="1"/>
      <c r="U685" s="1"/>
      <c r="V685" s="1"/>
      <c r="W685" s="1"/>
      <c r="X685" s="1"/>
    </row>
    <row r="686" spans="15:24">
      <c r="O686" s="23"/>
      <c r="P686" s="1"/>
      <c r="Q686" s="1"/>
      <c r="R686" s="1"/>
      <c r="S686" s="1"/>
      <c r="T686" s="1"/>
      <c r="U686" s="1"/>
      <c r="V686" s="1"/>
      <c r="W686" s="1"/>
      <c r="X686" s="1"/>
    </row>
    <row r="687" spans="15:24">
      <c r="O687" s="23"/>
      <c r="P687" s="1"/>
      <c r="Q687" s="1"/>
      <c r="R687" s="1"/>
      <c r="S687" s="1"/>
      <c r="T687" s="1"/>
      <c r="U687" s="1"/>
      <c r="V687" s="1"/>
      <c r="W687" s="1"/>
      <c r="X687" s="1"/>
    </row>
    <row r="688" spans="15:24">
      <c r="O688" s="23"/>
      <c r="P688" s="1"/>
      <c r="Q688" s="1"/>
      <c r="R688" s="1"/>
      <c r="S688" s="1"/>
      <c r="T688" s="1"/>
      <c r="U688" s="1"/>
      <c r="V688" s="1"/>
      <c r="W688" s="1"/>
      <c r="X688" s="1"/>
    </row>
    <row r="689" spans="15:24">
      <c r="O689" s="23"/>
      <c r="P689" s="1"/>
      <c r="Q689" s="1"/>
      <c r="R689" s="1"/>
      <c r="S689" s="1"/>
      <c r="T689" s="1"/>
      <c r="U689" s="1"/>
      <c r="V689" s="1"/>
      <c r="W689" s="1"/>
      <c r="X689" s="1"/>
    </row>
    <row r="690" spans="15:24">
      <c r="O690" s="23"/>
      <c r="P690" s="1"/>
      <c r="Q690" s="1"/>
      <c r="R690" s="1"/>
      <c r="S690" s="1"/>
      <c r="T690" s="1"/>
      <c r="U690" s="1"/>
      <c r="V690" s="1"/>
      <c r="W690" s="1"/>
      <c r="X690" s="1"/>
    </row>
    <row r="691" spans="15:24">
      <c r="O691" s="23"/>
      <c r="P691" s="1"/>
      <c r="Q691" s="1"/>
      <c r="R691" s="1"/>
      <c r="S691" s="1"/>
      <c r="T691" s="1"/>
      <c r="U691" s="1"/>
      <c r="V691" s="1"/>
      <c r="W691" s="1"/>
      <c r="X691" s="1"/>
    </row>
    <row r="692" spans="15:24">
      <c r="O692" s="23"/>
      <c r="P692" s="1"/>
      <c r="Q692" s="1"/>
      <c r="R692" s="1"/>
      <c r="S692" s="1"/>
      <c r="T692" s="1"/>
      <c r="U692" s="1"/>
      <c r="V692" s="1"/>
      <c r="W692" s="1"/>
      <c r="X692" s="1"/>
    </row>
    <row r="693" spans="15:24">
      <c r="O693" s="23"/>
      <c r="P693" s="1"/>
      <c r="Q693" s="1"/>
      <c r="R693" s="1"/>
      <c r="S693" s="1"/>
      <c r="T693" s="1"/>
      <c r="U693" s="1"/>
      <c r="V693" s="1"/>
      <c r="W693" s="1"/>
      <c r="X693" s="1"/>
    </row>
    <row r="694" spans="15:24">
      <c r="O694" s="23"/>
      <c r="P694" s="1"/>
      <c r="Q694" s="1"/>
      <c r="R694" s="1"/>
      <c r="S694" s="1"/>
      <c r="T694" s="1"/>
      <c r="U694" s="1"/>
      <c r="V694" s="1"/>
      <c r="W694" s="1"/>
      <c r="X694" s="1"/>
    </row>
    <row r="695" spans="15:24">
      <c r="O695" s="23"/>
      <c r="P695" s="1"/>
      <c r="Q695" s="1"/>
      <c r="R695" s="1"/>
      <c r="S695" s="1"/>
      <c r="T695" s="1"/>
      <c r="U695" s="1"/>
      <c r="V695" s="1"/>
      <c r="W695" s="1"/>
      <c r="X695" s="1"/>
    </row>
    <row r="696" spans="15:24">
      <c r="O696" s="23"/>
      <c r="P696" s="1"/>
      <c r="Q696" s="1"/>
      <c r="R696" s="1"/>
      <c r="S696" s="1"/>
      <c r="T696" s="1"/>
      <c r="U696" s="1"/>
      <c r="V696" s="1"/>
      <c r="W696" s="1"/>
      <c r="X696" s="1"/>
    </row>
    <row r="697" spans="15:24">
      <c r="O697" s="23"/>
      <c r="P697" s="1"/>
      <c r="Q697" s="1"/>
      <c r="R697" s="1"/>
      <c r="S697" s="1"/>
      <c r="T697" s="1"/>
      <c r="U697" s="1"/>
      <c r="V697" s="1"/>
      <c r="W697" s="1"/>
      <c r="X697" s="1"/>
    </row>
    <row r="698" spans="15:24">
      <c r="O698" s="23"/>
      <c r="P698" s="1"/>
      <c r="Q698" s="1"/>
      <c r="R698" s="1"/>
      <c r="S698" s="1"/>
      <c r="T698" s="1"/>
      <c r="U698" s="1"/>
      <c r="V698" s="1"/>
      <c r="W698" s="1"/>
      <c r="X698" s="1"/>
    </row>
    <row r="699" spans="15:24">
      <c r="O699" s="23"/>
      <c r="P699" s="1"/>
      <c r="Q699" s="1"/>
      <c r="R699" s="1"/>
      <c r="S699" s="1"/>
      <c r="T699" s="1"/>
      <c r="U699" s="1"/>
      <c r="V699" s="1"/>
      <c r="W699" s="1"/>
      <c r="X699" s="1"/>
    </row>
    <row r="700" spans="15:24">
      <c r="O700" s="23"/>
      <c r="P700" s="1"/>
      <c r="Q700" s="1"/>
      <c r="R700" s="1"/>
      <c r="S700" s="1"/>
      <c r="T700" s="1"/>
      <c r="U700" s="1"/>
      <c r="V700" s="1"/>
      <c r="W700" s="1"/>
      <c r="X700" s="1"/>
    </row>
    <row r="701" spans="15:24">
      <c r="O701" s="23"/>
      <c r="P701" s="1"/>
      <c r="Q701" s="1"/>
      <c r="R701" s="1"/>
      <c r="S701" s="1"/>
      <c r="T701" s="1"/>
      <c r="U701" s="1"/>
      <c r="V701" s="1"/>
      <c r="W701" s="1"/>
      <c r="X701" s="1"/>
    </row>
    <row r="702" spans="15:24">
      <c r="O702" s="23"/>
      <c r="P702" s="1"/>
      <c r="Q702" s="1"/>
      <c r="R702" s="1"/>
      <c r="S702" s="1"/>
      <c r="T702" s="1"/>
      <c r="U702" s="1"/>
      <c r="V702" s="1"/>
      <c r="W702" s="1"/>
      <c r="X702" s="1"/>
    </row>
    <row r="703" spans="15:24">
      <c r="O703" s="23"/>
      <c r="P703" s="1"/>
      <c r="Q703" s="1"/>
      <c r="R703" s="1"/>
      <c r="S703" s="1"/>
      <c r="T703" s="1"/>
      <c r="U703" s="1"/>
      <c r="V703" s="1"/>
      <c r="W703" s="1"/>
      <c r="X703" s="1"/>
    </row>
    <row r="704" spans="15:24">
      <c r="O704" s="23"/>
      <c r="P704" s="1"/>
      <c r="Q704" s="1"/>
      <c r="R704" s="1"/>
      <c r="S704" s="1"/>
      <c r="T704" s="1"/>
      <c r="U704" s="1"/>
      <c r="V704" s="1"/>
      <c r="W704" s="1"/>
      <c r="X704" s="1"/>
    </row>
    <row r="705" spans="15:24">
      <c r="O705" s="23"/>
      <c r="P705" s="1"/>
      <c r="Q705" s="1"/>
      <c r="R705" s="1"/>
      <c r="S705" s="1"/>
      <c r="T705" s="1"/>
      <c r="U705" s="1"/>
      <c r="V705" s="1"/>
      <c r="W705" s="1"/>
      <c r="X705" s="1"/>
    </row>
    <row r="706" spans="15:24">
      <c r="O706" s="23"/>
      <c r="P706" s="1"/>
      <c r="Q706" s="1"/>
      <c r="R706" s="1"/>
      <c r="S706" s="1"/>
      <c r="T706" s="1"/>
      <c r="U706" s="1"/>
      <c r="V706" s="1"/>
      <c r="W706" s="1"/>
      <c r="X706" s="1"/>
    </row>
    <row r="707" spans="15:24">
      <c r="O707" s="23"/>
      <c r="P707" s="1"/>
      <c r="Q707" s="1"/>
      <c r="R707" s="1"/>
      <c r="S707" s="1"/>
      <c r="T707" s="1"/>
      <c r="U707" s="1"/>
      <c r="V707" s="1"/>
      <c r="W707" s="1"/>
      <c r="X707" s="1"/>
    </row>
    <row r="708" spans="15:24">
      <c r="O708" s="23"/>
      <c r="P708" s="1"/>
      <c r="Q708" s="1"/>
      <c r="R708" s="1"/>
      <c r="S708" s="1"/>
      <c r="T708" s="1"/>
      <c r="U708" s="1"/>
      <c r="V708" s="1"/>
      <c r="W708" s="1"/>
      <c r="X708" s="1"/>
    </row>
    <row r="709" spans="15:24">
      <c r="O709" s="23"/>
      <c r="P709" s="1"/>
      <c r="Q709" s="1"/>
      <c r="R709" s="1"/>
      <c r="S709" s="1"/>
      <c r="T709" s="1"/>
      <c r="U709" s="1"/>
      <c r="V709" s="1"/>
      <c r="W709" s="1"/>
      <c r="X709" s="1"/>
    </row>
    <row r="710" spans="15:24">
      <c r="O710" s="23"/>
      <c r="P710" s="1"/>
      <c r="Q710" s="1"/>
      <c r="R710" s="1"/>
      <c r="S710" s="1"/>
      <c r="T710" s="1"/>
      <c r="U710" s="1"/>
      <c r="V710" s="1"/>
      <c r="W710" s="1"/>
      <c r="X710" s="1"/>
    </row>
    <row r="711" spans="15:24">
      <c r="O711" s="23"/>
      <c r="P711" s="1"/>
      <c r="Q711" s="1"/>
      <c r="R711" s="1"/>
      <c r="S711" s="1"/>
      <c r="T711" s="1"/>
      <c r="U711" s="1"/>
      <c r="V711" s="1"/>
      <c r="W711" s="1"/>
      <c r="X711" s="1"/>
    </row>
    <row r="712" spans="15:24">
      <c r="O712" s="23"/>
      <c r="P712" s="1"/>
      <c r="Q712" s="1"/>
      <c r="R712" s="1"/>
      <c r="S712" s="1"/>
      <c r="T712" s="1"/>
      <c r="U712" s="1"/>
      <c r="V712" s="1"/>
      <c r="W712" s="1"/>
      <c r="X712" s="1"/>
    </row>
    <row r="713" spans="15:24">
      <c r="O713" s="23"/>
      <c r="P713" s="1"/>
      <c r="Q713" s="1"/>
      <c r="R713" s="1"/>
      <c r="S713" s="1"/>
      <c r="T713" s="1"/>
      <c r="U713" s="1"/>
      <c r="V713" s="1"/>
      <c r="W713" s="1"/>
      <c r="X713" s="1"/>
    </row>
    <row r="714" spans="15:24">
      <c r="O714" s="23"/>
      <c r="P714" s="1"/>
      <c r="Q714" s="1"/>
      <c r="R714" s="1"/>
      <c r="S714" s="1"/>
      <c r="T714" s="1"/>
      <c r="U714" s="1"/>
      <c r="V714" s="1"/>
      <c r="W714" s="1"/>
      <c r="X714" s="1"/>
    </row>
    <row r="715" spans="15:24">
      <c r="O715" s="23"/>
      <c r="P715" s="1"/>
      <c r="Q715" s="1"/>
      <c r="R715" s="1"/>
      <c r="S715" s="1"/>
      <c r="T715" s="1"/>
      <c r="U715" s="1"/>
      <c r="V715" s="1"/>
      <c r="W715" s="1"/>
      <c r="X715" s="1"/>
    </row>
    <row r="716" spans="15:24">
      <c r="O716" s="23"/>
      <c r="P716" s="1"/>
      <c r="Q716" s="1"/>
      <c r="R716" s="1"/>
      <c r="S716" s="1"/>
      <c r="T716" s="1"/>
      <c r="U716" s="1"/>
      <c r="V716" s="1"/>
      <c r="W716" s="1"/>
      <c r="X716" s="1"/>
    </row>
    <row r="717" spans="15:24">
      <c r="O717" s="23"/>
      <c r="P717" s="1"/>
      <c r="Q717" s="1"/>
      <c r="R717" s="1"/>
      <c r="S717" s="1"/>
      <c r="T717" s="1"/>
      <c r="U717" s="1"/>
      <c r="V717" s="1"/>
      <c r="W717" s="1"/>
      <c r="X717" s="1"/>
    </row>
    <row r="718" spans="15:24">
      <c r="O718" s="23"/>
      <c r="P718" s="1"/>
      <c r="Q718" s="1"/>
      <c r="R718" s="1"/>
      <c r="S718" s="1"/>
      <c r="T718" s="1"/>
      <c r="U718" s="1"/>
      <c r="V718" s="1"/>
      <c r="W718" s="1"/>
      <c r="X718" s="1"/>
    </row>
    <row r="719" spans="15:24">
      <c r="O719" s="23"/>
      <c r="P719" s="1"/>
      <c r="Q719" s="1"/>
      <c r="R719" s="1"/>
      <c r="S719" s="1"/>
      <c r="T719" s="1"/>
      <c r="U719" s="1"/>
      <c r="V719" s="1"/>
      <c r="W719" s="1"/>
      <c r="X719" s="1"/>
    </row>
    <row r="720" spans="15:24">
      <c r="O720" s="23"/>
      <c r="P720" s="1"/>
      <c r="Q720" s="1"/>
      <c r="R720" s="1"/>
      <c r="S720" s="1"/>
      <c r="T720" s="1"/>
      <c r="U720" s="1"/>
      <c r="V720" s="1"/>
      <c r="W720" s="1"/>
      <c r="X720" s="1"/>
    </row>
    <row r="721" spans="15:24">
      <c r="O721" s="23"/>
      <c r="P721" s="1"/>
      <c r="Q721" s="1"/>
      <c r="R721" s="1"/>
      <c r="S721" s="1"/>
      <c r="T721" s="1"/>
      <c r="U721" s="1"/>
      <c r="V721" s="1"/>
      <c r="W721" s="1"/>
      <c r="X721" s="1"/>
    </row>
    <row r="722" spans="15:24">
      <c r="O722" s="23"/>
      <c r="P722" s="1"/>
      <c r="Q722" s="1"/>
      <c r="R722" s="1"/>
      <c r="S722" s="1"/>
      <c r="T722" s="1"/>
      <c r="U722" s="1"/>
      <c r="V722" s="1"/>
      <c r="W722" s="1"/>
      <c r="X722" s="1"/>
    </row>
    <row r="723" spans="15:24">
      <c r="O723" s="23"/>
      <c r="P723" s="1"/>
      <c r="Q723" s="1"/>
      <c r="R723" s="1"/>
      <c r="S723" s="1"/>
      <c r="T723" s="1"/>
      <c r="U723" s="1"/>
      <c r="V723" s="1"/>
      <c r="W723" s="1"/>
      <c r="X723" s="1"/>
    </row>
    <row r="724" spans="15:24">
      <c r="O724" s="23"/>
      <c r="P724" s="1"/>
      <c r="Q724" s="1"/>
      <c r="R724" s="1"/>
      <c r="S724" s="1"/>
      <c r="T724" s="1"/>
      <c r="U724" s="1"/>
      <c r="V724" s="1"/>
      <c r="W724" s="1"/>
      <c r="X724" s="1"/>
    </row>
    <row r="725" spans="15:24">
      <c r="O725" s="23"/>
      <c r="P725" s="1"/>
      <c r="Q725" s="1"/>
      <c r="R725" s="1"/>
      <c r="S725" s="1"/>
      <c r="T725" s="1"/>
      <c r="U725" s="1"/>
      <c r="V725" s="1"/>
      <c r="W725" s="1"/>
      <c r="X725" s="1"/>
    </row>
    <row r="726" spans="15:24">
      <c r="O726" s="23"/>
      <c r="P726" s="1"/>
      <c r="Q726" s="1"/>
      <c r="R726" s="1"/>
      <c r="S726" s="1"/>
      <c r="T726" s="1"/>
      <c r="U726" s="1"/>
      <c r="V726" s="1"/>
      <c r="W726" s="1"/>
      <c r="X726" s="1"/>
    </row>
    <row r="727" spans="15:24">
      <c r="O727" s="23"/>
      <c r="P727" s="1"/>
      <c r="Q727" s="1"/>
      <c r="R727" s="1"/>
      <c r="S727" s="1"/>
      <c r="T727" s="1"/>
      <c r="U727" s="1"/>
      <c r="V727" s="1"/>
      <c r="W727" s="1"/>
      <c r="X727" s="1"/>
    </row>
    <row r="728" spans="15:24">
      <c r="O728" s="23"/>
      <c r="P728" s="1"/>
      <c r="Q728" s="1"/>
      <c r="R728" s="1"/>
      <c r="S728" s="1"/>
      <c r="T728" s="1"/>
      <c r="U728" s="1"/>
      <c r="V728" s="1"/>
      <c r="W728" s="1"/>
      <c r="X728" s="1"/>
    </row>
    <row r="729" spans="15:24">
      <c r="O729" s="23"/>
      <c r="P729" s="1"/>
      <c r="Q729" s="1"/>
      <c r="R729" s="1"/>
      <c r="S729" s="1"/>
      <c r="T729" s="1"/>
      <c r="U729" s="1"/>
      <c r="V729" s="1"/>
      <c r="W729" s="1"/>
      <c r="X729" s="1"/>
    </row>
    <row r="730" spans="15:24">
      <c r="O730" s="23"/>
      <c r="P730" s="1"/>
      <c r="Q730" s="1"/>
      <c r="R730" s="1"/>
      <c r="S730" s="1"/>
      <c r="T730" s="1"/>
      <c r="U730" s="1"/>
      <c r="V730" s="1"/>
      <c r="W730" s="1"/>
      <c r="X730" s="1"/>
    </row>
    <row r="731" spans="15:24">
      <c r="O731" s="23"/>
      <c r="P731" s="1"/>
      <c r="Q731" s="1"/>
      <c r="R731" s="1"/>
      <c r="S731" s="1"/>
      <c r="T731" s="1"/>
      <c r="U731" s="1"/>
      <c r="V731" s="1"/>
      <c r="W731" s="1"/>
      <c r="X731" s="1"/>
    </row>
    <row r="732" spans="15:24">
      <c r="O732" s="23"/>
      <c r="P732" s="1"/>
      <c r="Q732" s="1"/>
      <c r="R732" s="1"/>
      <c r="S732" s="1"/>
      <c r="T732" s="1"/>
      <c r="U732" s="1"/>
      <c r="V732" s="1"/>
      <c r="W732" s="1"/>
      <c r="X732" s="1"/>
    </row>
    <row r="733" spans="15:24">
      <c r="O733" s="23"/>
      <c r="P733" s="1"/>
      <c r="Q733" s="1"/>
      <c r="R733" s="1"/>
      <c r="S733" s="1"/>
      <c r="T733" s="1"/>
      <c r="U733" s="1"/>
      <c r="V733" s="1"/>
      <c r="W733" s="1"/>
      <c r="X733" s="1"/>
    </row>
    <row r="734" spans="15:24">
      <c r="O734" s="23"/>
      <c r="P734" s="1"/>
      <c r="Q734" s="1"/>
      <c r="R734" s="1"/>
      <c r="S734" s="1"/>
      <c r="T734" s="1"/>
      <c r="U734" s="1"/>
      <c r="V734" s="1"/>
      <c r="W734" s="1"/>
      <c r="X734" s="1"/>
    </row>
    <row r="735" spans="15:24">
      <c r="O735" s="23"/>
      <c r="P735" s="1"/>
      <c r="Q735" s="1"/>
      <c r="R735" s="1"/>
      <c r="S735" s="1"/>
      <c r="T735" s="1"/>
      <c r="U735" s="1"/>
      <c r="V735" s="1"/>
      <c r="W735" s="1"/>
      <c r="X735" s="1"/>
    </row>
    <row r="736" spans="15:24">
      <c r="O736" s="23"/>
      <c r="P736" s="1"/>
      <c r="Q736" s="1"/>
      <c r="R736" s="1"/>
      <c r="S736" s="1"/>
      <c r="T736" s="1"/>
      <c r="U736" s="1"/>
      <c r="V736" s="1"/>
      <c r="W736" s="1"/>
      <c r="X736" s="1"/>
    </row>
    <row r="737" spans="15:24">
      <c r="O737" s="23"/>
      <c r="P737" s="1"/>
      <c r="Q737" s="1"/>
      <c r="R737" s="1"/>
      <c r="S737" s="1"/>
      <c r="T737" s="1"/>
      <c r="U737" s="1"/>
      <c r="V737" s="1"/>
      <c r="W737" s="1"/>
      <c r="X737" s="1"/>
    </row>
    <row r="738" spans="15:24">
      <c r="O738" s="23"/>
      <c r="P738" s="1"/>
      <c r="Q738" s="1"/>
      <c r="R738" s="1"/>
      <c r="S738" s="1"/>
      <c r="T738" s="1"/>
      <c r="U738" s="1"/>
      <c r="V738" s="1"/>
      <c r="W738" s="1"/>
      <c r="X738" s="1"/>
    </row>
    <row r="739" spans="15:24">
      <c r="O739" s="23"/>
      <c r="P739" s="1"/>
      <c r="Q739" s="1"/>
      <c r="R739" s="1"/>
      <c r="S739" s="1"/>
      <c r="T739" s="1"/>
      <c r="U739" s="1"/>
      <c r="V739" s="1"/>
      <c r="W739" s="1"/>
      <c r="X739" s="1"/>
    </row>
    <row r="740" spans="15:24">
      <c r="O740" s="23"/>
      <c r="P740" s="1"/>
      <c r="Q740" s="1"/>
      <c r="R740" s="1"/>
      <c r="S740" s="1"/>
      <c r="T740" s="1"/>
      <c r="U740" s="1"/>
      <c r="V740" s="1"/>
      <c r="W740" s="1"/>
      <c r="X740" s="1"/>
    </row>
    <row r="741" spans="15:24">
      <c r="O741" s="23"/>
      <c r="P741" s="1"/>
      <c r="Q741" s="1"/>
      <c r="R741" s="1"/>
      <c r="S741" s="1"/>
      <c r="T741" s="1"/>
      <c r="U741" s="1"/>
      <c r="V741" s="1"/>
      <c r="W741" s="1"/>
      <c r="X741" s="1"/>
    </row>
    <row r="742" spans="15:24">
      <c r="O742" s="23"/>
      <c r="P742" s="1"/>
      <c r="Q742" s="1"/>
      <c r="R742" s="1"/>
      <c r="S742" s="1"/>
      <c r="T742" s="1"/>
      <c r="U742" s="1"/>
      <c r="V742" s="1"/>
      <c r="W742" s="1"/>
      <c r="X742" s="1"/>
    </row>
    <row r="743" spans="15:24">
      <c r="O743" s="23"/>
      <c r="P743" s="1"/>
      <c r="Q743" s="1"/>
      <c r="R743" s="1"/>
      <c r="S743" s="1"/>
      <c r="T743" s="1"/>
      <c r="U743" s="1"/>
      <c r="V743" s="1"/>
      <c r="W743" s="1"/>
      <c r="X743" s="1"/>
    </row>
    <row r="744" spans="15:24">
      <c r="O744" s="23"/>
      <c r="P744" s="1"/>
      <c r="Q744" s="1"/>
      <c r="R744" s="1"/>
      <c r="S744" s="1"/>
      <c r="T744" s="1"/>
      <c r="U744" s="1"/>
      <c r="V744" s="1"/>
      <c r="W744" s="1"/>
      <c r="X744" s="1"/>
    </row>
    <row r="745" spans="15:24">
      <c r="O745" s="23"/>
      <c r="P745" s="1"/>
      <c r="Q745" s="1"/>
      <c r="R745" s="1"/>
      <c r="S745" s="1"/>
      <c r="T745" s="1"/>
      <c r="U745" s="1"/>
      <c r="V745" s="1"/>
      <c r="W745" s="1"/>
      <c r="X745" s="1"/>
    </row>
    <row r="746" spans="15:24">
      <c r="O746" s="23"/>
      <c r="P746" s="1"/>
      <c r="Q746" s="1"/>
      <c r="R746" s="1"/>
      <c r="S746" s="1"/>
      <c r="T746" s="1"/>
      <c r="U746" s="1"/>
      <c r="V746" s="1"/>
      <c r="W746" s="1"/>
      <c r="X746" s="1"/>
    </row>
    <row r="747" spans="15:24">
      <c r="O747" s="23"/>
      <c r="P747" s="1"/>
      <c r="Q747" s="1"/>
      <c r="R747" s="1"/>
      <c r="S747" s="1"/>
      <c r="T747" s="1"/>
      <c r="U747" s="1"/>
      <c r="V747" s="1"/>
      <c r="W747" s="1"/>
      <c r="X747" s="1"/>
    </row>
    <row r="748" spans="15:24">
      <c r="O748" s="23"/>
      <c r="P748" s="1"/>
      <c r="Q748" s="1"/>
      <c r="R748" s="1"/>
      <c r="S748" s="1"/>
      <c r="T748" s="1"/>
      <c r="U748" s="1"/>
      <c r="V748" s="1"/>
      <c r="W748" s="1"/>
      <c r="X748" s="1"/>
    </row>
    <row r="749" spans="15:24">
      <c r="O749" s="23"/>
      <c r="P749" s="1"/>
      <c r="Q749" s="1"/>
      <c r="R749" s="1"/>
      <c r="S749" s="1"/>
      <c r="T749" s="1"/>
      <c r="U749" s="1"/>
      <c r="V749" s="1"/>
      <c r="W749" s="1"/>
      <c r="X749" s="1"/>
    </row>
    <row r="750" spans="15:24">
      <c r="O750" s="23"/>
      <c r="P750" s="1"/>
      <c r="Q750" s="1"/>
      <c r="R750" s="1"/>
      <c r="S750" s="1"/>
      <c r="T750" s="1"/>
      <c r="U750" s="1"/>
      <c r="V750" s="1"/>
      <c r="W750" s="1"/>
      <c r="X750" s="1"/>
    </row>
    <row r="751" spans="15:24">
      <c r="O751" s="23"/>
      <c r="P751" s="1"/>
      <c r="Q751" s="1"/>
      <c r="R751" s="1"/>
      <c r="S751" s="1"/>
      <c r="T751" s="1"/>
      <c r="U751" s="1"/>
      <c r="V751" s="1"/>
      <c r="W751" s="1"/>
      <c r="X751" s="1"/>
    </row>
    <row r="752" spans="15:24">
      <c r="O752" s="23"/>
      <c r="P752" s="1"/>
      <c r="Q752" s="1"/>
      <c r="R752" s="1"/>
      <c r="S752" s="1"/>
      <c r="T752" s="1"/>
      <c r="U752" s="1"/>
      <c r="V752" s="1"/>
      <c r="W752" s="1"/>
      <c r="X752" s="1"/>
    </row>
    <row r="753" spans="15:24">
      <c r="O753" s="23"/>
      <c r="P753" s="1"/>
      <c r="Q753" s="1"/>
      <c r="R753" s="1"/>
      <c r="S753" s="1"/>
      <c r="T753" s="1"/>
      <c r="U753" s="1"/>
      <c r="V753" s="1"/>
      <c r="W753" s="1"/>
      <c r="X753" s="1"/>
    </row>
    <row r="754" spans="15:24">
      <c r="O754" s="23"/>
      <c r="P754" s="1"/>
      <c r="Q754" s="1"/>
      <c r="R754" s="1"/>
      <c r="S754" s="1"/>
      <c r="T754" s="1"/>
      <c r="U754" s="1"/>
      <c r="V754" s="1"/>
      <c r="W754" s="1"/>
      <c r="X754" s="1"/>
    </row>
    <row r="755" spans="15:24">
      <c r="O755" s="23"/>
      <c r="P755" s="1"/>
      <c r="Q755" s="1"/>
      <c r="R755" s="1"/>
      <c r="S755" s="1"/>
      <c r="T755" s="1"/>
      <c r="U755" s="1"/>
      <c r="V755" s="1"/>
      <c r="W755" s="1"/>
      <c r="X755" s="1"/>
    </row>
    <row r="756" spans="15:24">
      <c r="O756" s="23"/>
      <c r="P756" s="1"/>
      <c r="Q756" s="1"/>
      <c r="R756" s="1"/>
      <c r="S756" s="1"/>
      <c r="T756" s="1"/>
      <c r="U756" s="1"/>
      <c r="V756" s="1"/>
      <c r="W756" s="1"/>
      <c r="X756" s="1"/>
    </row>
    <row r="757" spans="15:24">
      <c r="O757" s="23"/>
      <c r="P757" s="1"/>
      <c r="Q757" s="1"/>
      <c r="R757" s="1"/>
      <c r="S757" s="1"/>
      <c r="T757" s="1"/>
      <c r="U757" s="1"/>
      <c r="V757" s="1"/>
      <c r="W757" s="1"/>
      <c r="X757" s="1"/>
    </row>
    <row r="758" spans="15:24">
      <c r="O758" s="23"/>
      <c r="P758" s="1"/>
      <c r="Q758" s="1"/>
      <c r="R758" s="1"/>
      <c r="S758" s="1"/>
      <c r="T758" s="1"/>
      <c r="U758" s="1"/>
      <c r="V758" s="1"/>
      <c r="W758" s="1"/>
      <c r="X758" s="1"/>
    </row>
    <row r="759" spans="15:24">
      <c r="O759" s="23"/>
      <c r="P759" s="1"/>
      <c r="Q759" s="1"/>
      <c r="R759" s="1"/>
      <c r="S759" s="1"/>
      <c r="T759" s="1"/>
      <c r="U759" s="1"/>
      <c r="V759" s="1"/>
      <c r="W759" s="1"/>
      <c r="X759" s="1"/>
    </row>
    <row r="760" spans="15:24">
      <c r="O760" s="23"/>
      <c r="P760" s="1"/>
      <c r="Q760" s="1"/>
      <c r="R760" s="1"/>
      <c r="S760" s="1"/>
      <c r="T760" s="1"/>
      <c r="U760" s="1"/>
      <c r="V760" s="1"/>
      <c r="W760" s="1"/>
      <c r="X760" s="1"/>
    </row>
    <row r="761" spans="15:24">
      <c r="O761" s="23"/>
      <c r="P761" s="1"/>
      <c r="Q761" s="1"/>
      <c r="R761" s="1"/>
      <c r="S761" s="1"/>
      <c r="T761" s="1"/>
      <c r="U761" s="1"/>
      <c r="V761" s="1"/>
      <c r="W761" s="1"/>
      <c r="X761" s="1"/>
    </row>
    <row r="762" spans="15:24">
      <c r="O762" s="23"/>
      <c r="P762" s="1"/>
      <c r="Q762" s="1"/>
      <c r="R762" s="1"/>
      <c r="S762" s="1"/>
      <c r="T762" s="1"/>
      <c r="U762" s="1"/>
      <c r="V762" s="1"/>
      <c r="W762" s="1"/>
      <c r="X762" s="1"/>
    </row>
    <row r="763" spans="15:24">
      <c r="O763" s="23"/>
      <c r="P763" s="1"/>
      <c r="Q763" s="1"/>
      <c r="R763" s="1"/>
      <c r="S763" s="1"/>
      <c r="T763" s="1"/>
      <c r="U763" s="1"/>
      <c r="V763" s="1"/>
      <c r="W763" s="1"/>
      <c r="X763" s="1"/>
    </row>
    <row r="764" spans="15:24">
      <c r="O764" s="23"/>
      <c r="P764" s="1"/>
      <c r="Q764" s="1"/>
      <c r="R764" s="1"/>
      <c r="S764" s="1"/>
      <c r="T764" s="1"/>
      <c r="U764" s="1"/>
      <c r="V764" s="1"/>
      <c r="W764" s="1"/>
      <c r="X764" s="1"/>
    </row>
    <row r="765" spans="15:24">
      <c r="O765" s="23"/>
      <c r="P765" s="1"/>
      <c r="Q765" s="1"/>
      <c r="R765" s="1"/>
      <c r="S765" s="1"/>
      <c r="T765" s="1"/>
      <c r="U765" s="1"/>
      <c r="V765" s="1"/>
      <c r="W765" s="1"/>
      <c r="X765" s="1"/>
    </row>
    <row r="766" spans="15:24">
      <c r="O766" s="23"/>
      <c r="P766" s="1"/>
      <c r="Q766" s="1"/>
      <c r="R766" s="1"/>
      <c r="S766" s="1"/>
      <c r="T766" s="1"/>
      <c r="U766" s="1"/>
      <c r="V766" s="1"/>
      <c r="W766" s="1"/>
      <c r="X766" s="1"/>
    </row>
    <row r="767" spans="15:24">
      <c r="O767" s="23"/>
      <c r="P767" s="1"/>
      <c r="Q767" s="1"/>
      <c r="R767" s="1"/>
      <c r="S767" s="1"/>
      <c r="T767" s="1"/>
      <c r="U767" s="1"/>
      <c r="V767" s="1"/>
      <c r="W767" s="1"/>
      <c r="X767" s="1"/>
    </row>
    <row r="768" spans="15:24">
      <c r="O768" s="23"/>
      <c r="P768" s="1"/>
      <c r="Q768" s="1"/>
      <c r="R768" s="1"/>
      <c r="S768" s="1"/>
      <c r="T768" s="1"/>
      <c r="U768" s="1"/>
      <c r="V768" s="1"/>
      <c r="W768" s="1"/>
      <c r="X768" s="1"/>
    </row>
    <row r="769" spans="15:24">
      <c r="O769" s="23"/>
      <c r="P769" s="1"/>
      <c r="Q769" s="1"/>
      <c r="R769" s="1"/>
      <c r="S769" s="1"/>
      <c r="T769" s="1"/>
      <c r="U769" s="1"/>
      <c r="V769" s="1"/>
      <c r="W769" s="1"/>
      <c r="X769" s="1"/>
    </row>
    <row r="770" spans="15:24">
      <c r="O770" s="23"/>
      <c r="P770" s="1"/>
      <c r="Q770" s="1"/>
      <c r="R770" s="1"/>
      <c r="S770" s="1"/>
      <c r="T770" s="1"/>
      <c r="U770" s="1"/>
      <c r="V770" s="1"/>
      <c r="W770" s="1"/>
      <c r="X770" s="1"/>
    </row>
    <row r="771" spans="15:24">
      <c r="O771" s="23"/>
      <c r="P771" s="1"/>
      <c r="Q771" s="1"/>
      <c r="R771" s="1"/>
      <c r="S771" s="1"/>
      <c r="T771" s="1"/>
      <c r="U771" s="1"/>
      <c r="V771" s="1"/>
      <c r="W771" s="1"/>
      <c r="X771" s="1"/>
    </row>
    <row r="772" spans="15:24">
      <c r="O772" s="23"/>
      <c r="P772" s="1"/>
      <c r="Q772" s="1"/>
      <c r="R772" s="1"/>
      <c r="S772" s="1"/>
      <c r="T772" s="1"/>
      <c r="U772" s="1"/>
      <c r="V772" s="1"/>
      <c r="W772" s="1"/>
      <c r="X772" s="1"/>
    </row>
    <row r="773" spans="15:24">
      <c r="O773" s="23"/>
      <c r="P773" s="1"/>
      <c r="Q773" s="1"/>
      <c r="R773" s="1"/>
      <c r="S773" s="1"/>
      <c r="T773" s="1"/>
      <c r="U773" s="1"/>
      <c r="V773" s="1"/>
      <c r="W773" s="1"/>
      <c r="X773" s="1"/>
    </row>
    <row r="774" spans="15:24">
      <c r="O774" s="23"/>
      <c r="P774" s="1"/>
      <c r="Q774" s="1"/>
      <c r="R774" s="1"/>
      <c r="S774" s="1"/>
      <c r="T774" s="1"/>
      <c r="U774" s="1"/>
      <c r="V774" s="1"/>
      <c r="W774" s="1"/>
      <c r="X774" s="1"/>
    </row>
    <row r="775" spans="15:24">
      <c r="O775" s="23"/>
      <c r="P775" s="1"/>
      <c r="Q775" s="1"/>
      <c r="R775" s="1"/>
      <c r="S775" s="1"/>
      <c r="T775" s="1"/>
      <c r="U775" s="1"/>
      <c r="V775" s="1"/>
      <c r="W775" s="1"/>
      <c r="X775" s="1"/>
    </row>
    <row r="776" spans="15:24">
      <c r="O776" s="23"/>
      <c r="P776" s="1"/>
      <c r="Q776" s="1"/>
      <c r="R776" s="1"/>
      <c r="S776" s="1"/>
      <c r="T776" s="1"/>
      <c r="U776" s="1"/>
      <c r="V776" s="1"/>
      <c r="W776" s="1"/>
      <c r="X776" s="1"/>
    </row>
    <row r="777" spans="15:24">
      <c r="O777" s="23"/>
      <c r="P777" s="1"/>
      <c r="Q777" s="1"/>
      <c r="R777" s="1"/>
      <c r="S777" s="1"/>
      <c r="T777" s="1"/>
      <c r="U777" s="1"/>
      <c r="V777" s="1"/>
      <c r="W777" s="1"/>
      <c r="X777" s="1"/>
    </row>
    <row r="778" spans="15:24">
      <c r="O778" s="23"/>
      <c r="P778" s="1"/>
      <c r="Q778" s="1"/>
      <c r="R778" s="1"/>
      <c r="S778" s="1"/>
      <c r="T778" s="1"/>
      <c r="U778" s="1"/>
      <c r="V778" s="1"/>
      <c r="W778" s="1"/>
      <c r="X778" s="1"/>
    </row>
    <row r="779" spans="15:24">
      <c r="O779" s="23"/>
      <c r="P779" s="1"/>
      <c r="Q779" s="1"/>
      <c r="R779" s="1"/>
      <c r="S779" s="1"/>
      <c r="T779" s="1"/>
      <c r="U779" s="1"/>
      <c r="V779" s="1"/>
      <c r="W779" s="1"/>
      <c r="X779" s="1"/>
    </row>
    <row r="780" spans="15:24">
      <c r="O780" s="23"/>
      <c r="P780" s="1"/>
      <c r="Q780" s="1"/>
      <c r="R780" s="1"/>
      <c r="S780" s="1"/>
      <c r="T780" s="1"/>
      <c r="U780" s="1"/>
      <c r="V780" s="1"/>
      <c r="W780" s="1"/>
      <c r="X780" s="1"/>
    </row>
    <row r="781" spans="15:24">
      <c r="O781" s="23"/>
      <c r="P781" s="1"/>
      <c r="Q781" s="1"/>
      <c r="R781" s="1"/>
      <c r="S781" s="1"/>
      <c r="T781" s="1"/>
      <c r="U781" s="1"/>
      <c r="V781" s="1"/>
      <c r="W781" s="1"/>
      <c r="X781" s="1"/>
    </row>
    <row r="782" spans="15:24">
      <c r="O782" s="23"/>
      <c r="P782" s="1"/>
      <c r="Q782" s="1"/>
      <c r="R782" s="1"/>
      <c r="S782" s="1"/>
      <c r="T782" s="1"/>
      <c r="U782" s="1"/>
      <c r="V782" s="1"/>
      <c r="W782" s="1"/>
      <c r="X782" s="1"/>
    </row>
    <row r="783" spans="15:24">
      <c r="O783" s="23"/>
      <c r="P783" s="1"/>
      <c r="Q783" s="1"/>
      <c r="R783" s="1"/>
      <c r="S783" s="1"/>
      <c r="T783" s="1"/>
      <c r="U783" s="1"/>
      <c r="V783" s="1"/>
      <c r="W783" s="1"/>
      <c r="X783" s="1"/>
    </row>
    <row r="784" spans="15:24">
      <c r="O784" s="23"/>
      <c r="P784" s="1"/>
      <c r="Q784" s="1"/>
      <c r="R784" s="1"/>
      <c r="S784" s="1"/>
      <c r="T784" s="1"/>
      <c r="U784" s="1"/>
      <c r="V784" s="1"/>
      <c r="W784" s="1"/>
      <c r="X784" s="1"/>
    </row>
    <row r="785" spans="15:24">
      <c r="O785" s="23"/>
      <c r="P785" s="1"/>
      <c r="Q785" s="1"/>
      <c r="R785" s="1"/>
      <c r="S785" s="1"/>
      <c r="T785" s="1"/>
      <c r="U785" s="1"/>
      <c r="V785" s="1"/>
      <c r="W785" s="1"/>
      <c r="X785" s="1"/>
    </row>
    <row r="786" spans="15:24">
      <c r="O786" s="23"/>
      <c r="P786" s="1"/>
      <c r="Q786" s="1"/>
      <c r="R786" s="1"/>
      <c r="S786" s="1"/>
      <c r="T786" s="1"/>
      <c r="U786" s="1"/>
      <c r="V786" s="1"/>
      <c r="W786" s="1"/>
      <c r="X786" s="1"/>
    </row>
    <row r="787" spans="15:24">
      <c r="O787" s="23"/>
      <c r="P787" s="1"/>
      <c r="Q787" s="1"/>
      <c r="R787" s="1"/>
      <c r="S787" s="1"/>
      <c r="T787" s="1"/>
      <c r="U787" s="1"/>
      <c r="V787" s="1"/>
      <c r="W787" s="1"/>
      <c r="X787" s="1"/>
    </row>
    <row r="788" spans="15:24">
      <c r="O788" s="23"/>
      <c r="P788" s="1"/>
      <c r="Q788" s="1"/>
      <c r="R788" s="1"/>
      <c r="S788" s="1"/>
      <c r="T788" s="1"/>
      <c r="U788" s="1"/>
      <c r="V788" s="1"/>
      <c r="W788" s="1"/>
      <c r="X788" s="1"/>
    </row>
    <row r="789" spans="15:24">
      <c r="O789" s="23"/>
      <c r="P789" s="1"/>
      <c r="Q789" s="1"/>
      <c r="R789" s="1"/>
      <c r="S789" s="1"/>
      <c r="T789" s="1"/>
      <c r="U789" s="1"/>
      <c r="V789" s="1"/>
      <c r="W789" s="1"/>
      <c r="X789" s="1"/>
    </row>
    <row r="790" spans="15:24">
      <c r="O790" s="23"/>
      <c r="P790" s="1"/>
      <c r="Q790" s="1"/>
      <c r="R790" s="1"/>
      <c r="S790" s="1"/>
      <c r="T790" s="1"/>
      <c r="U790" s="1"/>
      <c r="V790" s="1"/>
      <c r="W790" s="1"/>
      <c r="X790" s="1"/>
    </row>
    <row r="791" spans="15:24">
      <c r="O791" s="23"/>
      <c r="P791" s="1"/>
      <c r="Q791" s="1"/>
      <c r="R791" s="1"/>
      <c r="S791" s="1"/>
      <c r="T791" s="1"/>
      <c r="U791" s="1"/>
      <c r="V791" s="1"/>
      <c r="W791" s="1"/>
      <c r="X791" s="1"/>
    </row>
    <row r="792" spans="15:24">
      <c r="O792" s="23"/>
      <c r="P792" s="1"/>
      <c r="Q792" s="1"/>
      <c r="R792" s="1"/>
      <c r="S792" s="1"/>
      <c r="T792" s="1"/>
      <c r="U792" s="1"/>
      <c r="V792" s="1"/>
      <c r="W792" s="1"/>
      <c r="X792" s="1"/>
    </row>
    <row r="793" spans="15:24">
      <c r="O793" s="23"/>
      <c r="P793" s="1"/>
      <c r="Q793" s="1"/>
      <c r="R793" s="1"/>
      <c r="S793" s="1"/>
      <c r="T793" s="1"/>
      <c r="U793" s="1"/>
      <c r="V793" s="1"/>
      <c r="W793" s="1"/>
      <c r="X793" s="1"/>
    </row>
    <row r="794" spans="15:24">
      <c r="O794" s="23"/>
      <c r="P794" s="1"/>
      <c r="Q794" s="1"/>
      <c r="R794" s="1"/>
      <c r="S794" s="1"/>
      <c r="T794" s="1"/>
      <c r="U794" s="1"/>
      <c r="V794" s="1"/>
      <c r="W794" s="1"/>
      <c r="X794" s="1"/>
    </row>
    <row r="795" spans="15:24">
      <c r="O795" s="23"/>
      <c r="P795" s="1"/>
      <c r="Q795" s="1"/>
      <c r="R795" s="1"/>
      <c r="S795" s="1"/>
      <c r="T795" s="1"/>
      <c r="U795" s="1"/>
      <c r="V795" s="1"/>
      <c r="W795" s="1"/>
      <c r="X795" s="1"/>
    </row>
    <row r="796" spans="15:24">
      <c r="O796" s="23"/>
      <c r="P796" s="1"/>
      <c r="Q796" s="1"/>
      <c r="R796" s="1"/>
      <c r="S796" s="1"/>
      <c r="T796" s="1"/>
      <c r="U796" s="1"/>
      <c r="V796" s="1"/>
      <c r="W796" s="1"/>
      <c r="X796" s="1"/>
    </row>
    <row r="797" spans="15:24">
      <c r="O797" s="23"/>
      <c r="P797" s="1"/>
      <c r="Q797" s="1"/>
      <c r="R797" s="1"/>
      <c r="S797" s="1"/>
      <c r="T797" s="1"/>
      <c r="U797" s="1"/>
      <c r="V797" s="1"/>
      <c r="W797" s="1"/>
      <c r="X797" s="1"/>
    </row>
    <row r="798" spans="15:24">
      <c r="O798" s="23"/>
      <c r="P798" s="1"/>
      <c r="Q798" s="1"/>
      <c r="R798" s="1"/>
      <c r="S798" s="1"/>
      <c r="T798" s="1"/>
      <c r="U798" s="1"/>
      <c r="V798" s="1"/>
      <c r="W798" s="1"/>
      <c r="X798" s="1"/>
    </row>
    <row r="799" spans="15:24">
      <c r="O799" s="23"/>
      <c r="P799" s="1"/>
      <c r="Q799" s="1"/>
      <c r="R799" s="1"/>
      <c r="S799" s="1"/>
      <c r="T799" s="1"/>
      <c r="U799" s="1"/>
      <c r="V799" s="1"/>
      <c r="W799" s="1"/>
      <c r="X799" s="1"/>
    </row>
    <row r="800" spans="15:24">
      <c r="O800" s="23"/>
      <c r="P800" s="1"/>
      <c r="Q800" s="1"/>
      <c r="R800" s="1"/>
      <c r="S800" s="1"/>
      <c r="T800" s="1"/>
      <c r="U800" s="1"/>
      <c r="V800" s="1"/>
      <c r="W800" s="1"/>
      <c r="X800" s="1"/>
    </row>
    <row r="801" spans="15:24">
      <c r="O801" s="23"/>
      <c r="P801" s="1"/>
      <c r="Q801" s="1"/>
      <c r="R801" s="1"/>
      <c r="S801" s="1"/>
      <c r="T801" s="1"/>
      <c r="U801" s="1"/>
      <c r="V801" s="1"/>
      <c r="W801" s="1"/>
      <c r="X801" s="1"/>
    </row>
    <row r="802" spans="15:24">
      <c r="O802" s="23"/>
      <c r="P802" s="1"/>
      <c r="Q802" s="1"/>
      <c r="R802" s="1"/>
      <c r="S802" s="1"/>
      <c r="T802" s="1"/>
      <c r="U802" s="1"/>
      <c r="V802" s="1"/>
      <c r="W802" s="1"/>
      <c r="X802" s="1"/>
    </row>
    <row r="803" spans="15:24">
      <c r="O803" s="23"/>
      <c r="P803" s="1"/>
      <c r="Q803" s="1"/>
      <c r="R803" s="1"/>
      <c r="S803" s="1"/>
      <c r="T803" s="1"/>
      <c r="U803" s="1"/>
      <c r="V803" s="1"/>
      <c r="W803" s="1"/>
      <c r="X803" s="1"/>
    </row>
    <row r="804" spans="15:24">
      <c r="O804" s="23"/>
      <c r="P804" s="1"/>
      <c r="Q804" s="1"/>
      <c r="R804" s="1"/>
      <c r="S804" s="1"/>
      <c r="T804" s="1"/>
      <c r="U804" s="1"/>
      <c r="V804" s="1"/>
      <c r="W804" s="1"/>
      <c r="X804" s="1"/>
    </row>
    <row r="805" spans="15:24">
      <c r="O805" s="23"/>
      <c r="P805" s="1"/>
      <c r="Q805" s="1"/>
      <c r="R805" s="1"/>
      <c r="S805" s="1"/>
      <c r="T805" s="1"/>
      <c r="U805" s="1"/>
      <c r="V805" s="1"/>
      <c r="W805" s="1"/>
      <c r="X805" s="1"/>
    </row>
    <row r="806" spans="15:24">
      <c r="O806" s="23"/>
      <c r="P806" s="1"/>
      <c r="Q806" s="1"/>
      <c r="R806" s="1"/>
      <c r="S806" s="1"/>
      <c r="T806" s="1"/>
      <c r="U806" s="1"/>
      <c r="V806" s="1"/>
      <c r="W806" s="1"/>
      <c r="X806" s="1"/>
    </row>
    <row r="807" spans="15:24">
      <c r="O807" s="23"/>
      <c r="P807" s="1"/>
      <c r="Q807" s="1"/>
      <c r="R807" s="1"/>
      <c r="S807" s="1"/>
      <c r="T807" s="1"/>
      <c r="U807" s="1"/>
      <c r="V807" s="1"/>
      <c r="W807" s="1"/>
      <c r="X807" s="1"/>
    </row>
    <row r="808" spans="15:24">
      <c r="O808" s="23"/>
      <c r="P808" s="1"/>
      <c r="Q808" s="1"/>
      <c r="R808" s="1"/>
      <c r="S808" s="1"/>
      <c r="T808" s="1"/>
      <c r="U808" s="1"/>
      <c r="V808" s="1"/>
      <c r="W808" s="1"/>
      <c r="X808" s="1"/>
    </row>
    <row r="809" spans="15:24">
      <c r="O809" s="23"/>
      <c r="P809" s="1"/>
      <c r="Q809" s="1"/>
      <c r="R809" s="1"/>
      <c r="S809" s="1"/>
      <c r="T809" s="1"/>
      <c r="U809" s="1"/>
      <c r="V809" s="1"/>
      <c r="W809" s="1"/>
      <c r="X809" s="1"/>
    </row>
    <row r="810" spans="15:24">
      <c r="O810" s="23"/>
      <c r="P810" s="1"/>
      <c r="Q810" s="1"/>
      <c r="R810" s="1"/>
      <c r="S810" s="1"/>
      <c r="T810" s="1"/>
      <c r="U810" s="1"/>
      <c r="V810" s="1"/>
      <c r="W810" s="1"/>
      <c r="X810" s="1"/>
    </row>
    <row r="811" spans="15:24">
      <c r="O811" s="23"/>
      <c r="P811" s="1"/>
      <c r="Q811" s="1"/>
      <c r="R811" s="1"/>
      <c r="S811" s="1"/>
      <c r="T811" s="1"/>
      <c r="U811" s="1"/>
      <c r="V811" s="1"/>
      <c r="W811" s="1"/>
      <c r="X811" s="1"/>
    </row>
    <row r="812" spans="15:24">
      <c r="O812" s="23"/>
      <c r="P812" s="1"/>
      <c r="Q812" s="1"/>
      <c r="R812" s="1"/>
      <c r="S812" s="1"/>
      <c r="T812" s="1"/>
      <c r="U812" s="1"/>
      <c r="V812" s="1"/>
      <c r="W812" s="1"/>
      <c r="X812" s="1"/>
    </row>
    <row r="813" spans="15:24">
      <c r="O813" s="23"/>
      <c r="P813" s="1"/>
      <c r="Q813" s="1"/>
      <c r="R813" s="1"/>
      <c r="S813" s="1"/>
      <c r="T813" s="1"/>
      <c r="U813" s="1"/>
      <c r="V813" s="1"/>
      <c r="W813" s="1"/>
      <c r="X813" s="1"/>
    </row>
    <row r="814" spans="15:24">
      <c r="O814" s="23"/>
      <c r="P814" s="1"/>
      <c r="Q814" s="1"/>
      <c r="R814" s="1"/>
      <c r="S814" s="1"/>
      <c r="T814" s="1"/>
      <c r="U814" s="1"/>
      <c r="V814" s="1"/>
      <c r="W814" s="1"/>
      <c r="X814" s="1"/>
    </row>
    <row r="815" spans="15:24">
      <c r="O815" s="23"/>
      <c r="P815" s="1"/>
      <c r="Q815" s="1"/>
      <c r="R815" s="1"/>
      <c r="S815" s="1"/>
      <c r="T815" s="1"/>
      <c r="U815" s="1"/>
      <c r="V815" s="1"/>
      <c r="W815" s="1"/>
      <c r="X815" s="1"/>
    </row>
    <row r="816" spans="15:24">
      <c r="O816" s="23"/>
      <c r="P816" s="1"/>
      <c r="Q816" s="1"/>
      <c r="R816" s="1"/>
      <c r="S816" s="1"/>
      <c r="T816" s="1"/>
      <c r="U816" s="1"/>
      <c r="V816" s="1"/>
      <c r="W816" s="1"/>
      <c r="X816" s="1"/>
    </row>
    <row r="817" spans="15:24">
      <c r="O817" s="23"/>
      <c r="P817" s="1"/>
      <c r="Q817" s="1"/>
      <c r="R817" s="1"/>
      <c r="S817" s="1"/>
      <c r="T817" s="1"/>
      <c r="U817" s="1"/>
      <c r="V817" s="1"/>
      <c r="W817" s="1"/>
      <c r="X817" s="1"/>
    </row>
    <row r="818" spans="15:24">
      <c r="O818" s="23"/>
      <c r="P818" s="1"/>
      <c r="Q818" s="1"/>
      <c r="R818" s="1"/>
      <c r="S818" s="1"/>
      <c r="T818" s="1"/>
      <c r="U818" s="1"/>
      <c r="V818" s="1"/>
      <c r="W818" s="1"/>
      <c r="X818" s="1"/>
    </row>
    <row r="819" spans="15:24">
      <c r="O819" s="23"/>
      <c r="P819" s="1"/>
      <c r="Q819" s="1"/>
      <c r="R819" s="1"/>
      <c r="S819" s="1"/>
      <c r="T819" s="1"/>
      <c r="U819" s="1"/>
      <c r="V819" s="1"/>
      <c r="W819" s="1"/>
      <c r="X819" s="1"/>
    </row>
    <row r="820" spans="15:24">
      <c r="O820" s="23"/>
      <c r="P820" s="1"/>
      <c r="Q820" s="1"/>
      <c r="R820" s="1"/>
      <c r="S820" s="1"/>
      <c r="T820" s="1"/>
      <c r="U820" s="1"/>
      <c r="V820" s="1"/>
      <c r="W820" s="1"/>
      <c r="X820" s="1"/>
    </row>
    <row r="821" spans="15:24">
      <c r="O821" s="23"/>
      <c r="P821" s="1"/>
      <c r="Q821" s="1"/>
      <c r="R821" s="1"/>
      <c r="S821" s="1"/>
      <c r="T821" s="1"/>
      <c r="U821" s="1"/>
      <c r="V821" s="1"/>
      <c r="W821" s="1"/>
      <c r="X821" s="1"/>
    </row>
    <row r="822" spans="15:24">
      <c r="O822" s="23"/>
      <c r="P822" s="1"/>
      <c r="Q822" s="1"/>
      <c r="R822" s="1"/>
      <c r="S822" s="1"/>
      <c r="T822" s="1"/>
      <c r="U822" s="1"/>
      <c r="V822" s="1"/>
      <c r="W822" s="1"/>
      <c r="X822" s="1"/>
    </row>
    <row r="823" spans="15:24">
      <c r="O823" s="23"/>
      <c r="P823" s="1"/>
      <c r="Q823" s="1"/>
      <c r="R823" s="1"/>
      <c r="S823" s="1"/>
      <c r="T823" s="1"/>
      <c r="U823" s="1"/>
      <c r="V823" s="1"/>
      <c r="W823" s="1"/>
      <c r="X823" s="1"/>
    </row>
    <row r="824" spans="15:24">
      <c r="O824" s="23"/>
      <c r="P824" s="1"/>
      <c r="Q824" s="1"/>
      <c r="R824" s="1"/>
      <c r="S824" s="1"/>
      <c r="T824" s="1"/>
      <c r="U824" s="1"/>
      <c r="V824" s="1"/>
      <c r="W824" s="1"/>
      <c r="X824" s="1"/>
    </row>
    <row r="825" spans="15:24">
      <c r="O825" s="23"/>
      <c r="P825" s="1"/>
      <c r="Q825" s="1"/>
      <c r="R825" s="1"/>
      <c r="S825" s="1"/>
      <c r="T825" s="1"/>
      <c r="U825" s="1"/>
      <c r="V825" s="1"/>
      <c r="W825" s="1"/>
      <c r="X825" s="1"/>
    </row>
    <row r="826" spans="15:24">
      <c r="O826" s="23"/>
      <c r="P826" s="1"/>
      <c r="Q826" s="1"/>
      <c r="R826" s="1"/>
      <c r="S826" s="1"/>
      <c r="T826" s="1"/>
      <c r="U826" s="1"/>
      <c r="V826" s="1"/>
      <c r="W826" s="1"/>
      <c r="X826" s="1"/>
    </row>
    <row r="827" spans="15:24">
      <c r="O827" s="23"/>
      <c r="P827" s="1"/>
      <c r="Q827" s="1"/>
      <c r="R827" s="1"/>
      <c r="S827" s="1"/>
      <c r="T827" s="1"/>
      <c r="U827" s="1"/>
      <c r="V827" s="1"/>
      <c r="W827" s="1"/>
      <c r="X827" s="1"/>
    </row>
    <row r="828" spans="15:24">
      <c r="O828" s="23"/>
      <c r="P828" s="1"/>
      <c r="Q828" s="1"/>
      <c r="R828" s="1"/>
      <c r="S828" s="1"/>
      <c r="T828" s="1"/>
      <c r="U828" s="1"/>
      <c r="V828" s="1"/>
      <c r="W828" s="1"/>
      <c r="X828" s="1"/>
    </row>
    <row r="829" spans="15:24">
      <c r="O829" s="23"/>
      <c r="P829" s="1"/>
      <c r="Q829" s="1"/>
      <c r="R829" s="1"/>
      <c r="S829" s="1"/>
      <c r="T829" s="1"/>
      <c r="U829" s="1"/>
      <c r="V829" s="1"/>
      <c r="W829" s="1"/>
      <c r="X829" s="1"/>
    </row>
    <row r="830" spans="15:24">
      <c r="O830" s="23"/>
      <c r="P830" s="1"/>
      <c r="Q830" s="1"/>
      <c r="R830" s="1"/>
      <c r="S830" s="1"/>
      <c r="T830" s="1"/>
      <c r="U830" s="1"/>
      <c r="V830" s="1"/>
      <c r="W830" s="1"/>
      <c r="X830" s="1"/>
    </row>
    <row r="831" spans="15:24">
      <c r="O831" s="23"/>
      <c r="P831" s="1"/>
      <c r="Q831" s="1"/>
      <c r="R831" s="1"/>
      <c r="S831" s="1"/>
      <c r="T831" s="1"/>
      <c r="U831" s="1"/>
      <c r="V831" s="1"/>
      <c r="W831" s="1"/>
      <c r="X831" s="1"/>
    </row>
    <row r="832" spans="15:24">
      <c r="O832" s="23"/>
      <c r="P832" s="1"/>
      <c r="Q832" s="1"/>
      <c r="R832" s="1"/>
      <c r="S832" s="1"/>
      <c r="T832" s="1"/>
      <c r="U832" s="1"/>
      <c r="V832" s="1"/>
      <c r="W832" s="1"/>
      <c r="X832" s="1"/>
    </row>
    <row r="833" spans="15:24">
      <c r="O833" s="23"/>
      <c r="P833" s="1"/>
      <c r="Q833" s="1"/>
      <c r="R833" s="1"/>
      <c r="S833" s="1"/>
      <c r="T833" s="1"/>
      <c r="U833" s="1"/>
      <c r="V833" s="1"/>
      <c r="W833" s="1"/>
      <c r="X833" s="1"/>
    </row>
    <row r="834" spans="15:24">
      <c r="O834" s="23"/>
      <c r="P834" s="1"/>
      <c r="Q834" s="1"/>
      <c r="R834" s="1"/>
      <c r="S834" s="1"/>
      <c r="T834" s="1"/>
      <c r="U834" s="1"/>
      <c r="V834" s="1"/>
      <c r="W834" s="1"/>
      <c r="X834" s="1"/>
    </row>
    <row r="835" spans="15:24">
      <c r="O835" s="1"/>
      <c r="P835" s="1"/>
      <c r="Q835" s="1"/>
      <c r="R835" s="1"/>
      <c r="S835" s="1"/>
      <c r="T835" s="1"/>
      <c r="U835" s="1"/>
      <c r="V835" s="1"/>
      <c r="W835" s="1"/>
      <c r="X835" s="1"/>
    </row>
    <row r="836" spans="15:24">
      <c r="O836" s="1"/>
      <c r="P836" s="1"/>
      <c r="Q836" s="1"/>
      <c r="R836" s="1"/>
      <c r="S836" s="1"/>
      <c r="T836" s="1"/>
      <c r="U836" s="1"/>
      <c r="V836" s="1"/>
      <c r="W836" s="1"/>
      <c r="X836" s="1"/>
    </row>
    <row r="837" spans="15:24">
      <c r="O837" s="1"/>
      <c r="P837" s="1"/>
      <c r="Q837" s="1"/>
      <c r="R837" s="1"/>
      <c r="S837" s="1"/>
      <c r="T837" s="1"/>
      <c r="U837" s="1"/>
      <c r="V837" s="1"/>
      <c r="W837" s="1"/>
      <c r="X837" s="1"/>
    </row>
    <row r="838" spans="15:24">
      <c r="O838" s="1"/>
      <c r="P838" s="1"/>
      <c r="Q838" s="1"/>
      <c r="R838" s="1"/>
      <c r="S838" s="1"/>
      <c r="T838" s="1"/>
      <c r="U838" s="1"/>
      <c r="V838" s="1"/>
      <c r="W838" s="1"/>
      <c r="X838" s="1"/>
    </row>
    <row r="839" spans="15:24">
      <c r="O839" s="1"/>
      <c r="P839" s="1"/>
      <c r="Q839" s="1"/>
      <c r="R839" s="1"/>
      <c r="S839" s="1"/>
      <c r="T839" s="1"/>
      <c r="U839" s="1"/>
      <c r="V839" s="1"/>
      <c r="W839" s="1"/>
      <c r="X839" s="1"/>
    </row>
    <row r="840" spans="15:24">
      <c r="O840" s="1"/>
      <c r="P840" s="1"/>
      <c r="Q840" s="1"/>
      <c r="R840" s="1"/>
      <c r="S840" s="1"/>
      <c r="T840" s="1"/>
      <c r="U840" s="1"/>
      <c r="V840" s="1"/>
      <c r="W840" s="1"/>
      <c r="X840" s="1"/>
    </row>
    <row r="841" spans="15:24">
      <c r="O841" s="1"/>
      <c r="P841" s="1"/>
      <c r="Q841" s="1"/>
      <c r="R841" s="1"/>
      <c r="S841" s="1"/>
      <c r="T841" s="1"/>
      <c r="U841" s="1"/>
      <c r="V841" s="1"/>
      <c r="W841" s="1"/>
      <c r="X841" s="1"/>
    </row>
    <row r="842" spans="15:24">
      <c r="O842" s="1"/>
      <c r="P842" s="1"/>
      <c r="Q842" s="1"/>
      <c r="R842" s="1"/>
      <c r="S842" s="1"/>
      <c r="T842" s="1"/>
      <c r="U842" s="1"/>
      <c r="V842" s="1"/>
      <c r="W842" s="1"/>
      <c r="X842" s="1"/>
    </row>
    <row r="843" spans="15:24">
      <c r="O843" s="1"/>
      <c r="P843" s="1"/>
      <c r="Q843" s="1"/>
      <c r="R843" s="1"/>
      <c r="S843" s="1"/>
      <c r="T843" s="1"/>
      <c r="U843" s="1"/>
      <c r="V843" s="1"/>
      <c r="W843" s="1"/>
      <c r="X843" s="1"/>
    </row>
  </sheetData>
  <mergeCells count="1">
    <mergeCell ref="B2:K3"/>
  </mergeCells>
  <phoneticPr fontId="0" type="noConversion"/>
  <conditionalFormatting sqref="AA183:AB183">
    <cfRule type="cellIs" dxfId="623" priority="1" stopIfTrue="1" operator="lessThan">
      <formula>$S$107</formula>
    </cfRule>
    <cfRule type="cellIs" dxfId="622" priority="2" stopIfTrue="1" operator="greaterThan">
      <formula>$S$107</formula>
    </cfRule>
  </conditionalFormatting>
  <pageMargins left="0" right="0" top="0.59055118110236227" bottom="0.39370078740157483" header="0.51181102362204722" footer="0.51181102362204722"/>
  <pageSetup paperSize="9" scale="96" fitToHeight="6"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sheetPr codeName="Sheet64">
    <pageSetUpPr fitToPage="1"/>
  </sheetPr>
  <dimension ref="A1:AX1273"/>
  <sheetViews>
    <sheetView showRowColHeaders="0" workbookViewId="0">
      <selection activeCell="B2" sqref="B2:K3"/>
    </sheetView>
  </sheetViews>
  <sheetFormatPr defaultRowHeight="12.75"/>
  <cols>
    <col min="1" max="1" width="10.7109375" style="1" customWidth="1"/>
    <col min="2" max="11" width="11.7109375" style="1" customWidth="1"/>
    <col min="12" max="16" width="10.7109375" style="1" customWidth="1"/>
    <col min="17" max="17" width="4.7109375" style="20" customWidth="1"/>
    <col min="18" max="20" width="10.7109375" style="18" customWidth="1"/>
    <col min="21" max="23" width="11.7109375" style="18" customWidth="1"/>
    <col min="24" max="26" width="10.7109375" style="18" customWidth="1"/>
    <col min="27" max="27" width="10.7109375" style="1" customWidth="1"/>
    <col min="28" max="30" width="8.7109375" style="1" customWidth="1"/>
    <col min="31" max="35" width="13.7109375" style="1" customWidth="1"/>
    <col min="36" max="37" width="10.7109375" style="1" customWidth="1"/>
    <col min="38" max="54" width="10.28515625" style="1" customWidth="1"/>
    <col min="55" max="110" width="10.7109375" style="1" customWidth="1"/>
    <col min="111" max="16384" width="9.140625" style="1"/>
  </cols>
  <sheetData>
    <row r="1" spans="1:50" ht="13.5" thickBot="1">
      <c r="A1" s="305"/>
      <c r="B1" s="305"/>
      <c r="C1" s="305"/>
      <c r="D1" s="305"/>
      <c r="E1" s="305"/>
      <c r="F1" s="305"/>
      <c r="G1" s="305"/>
      <c r="H1" s="305"/>
      <c r="I1" s="305"/>
      <c r="J1" s="305"/>
      <c r="K1" s="305"/>
      <c r="L1" s="305"/>
      <c r="M1" s="121"/>
      <c r="N1" s="121"/>
      <c r="O1" s="121"/>
      <c r="P1" s="121"/>
      <c r="Q1" s="360"/>
      <c r="R1" s="361"/>
      <c r="S1" s="361"/>
      <c r="T1" s="361"/>
      <c r="U1" s="361"/>
      <c r="V1" s="361"/>
      <c r="W1" s="361"/>
      <c r="X1" s="361"/>
      <c r="Y1" s="361"/>
      <c r="Z1" s="361"/>
      <c r="AA1" s="362"/>
      <c r="AB1"/>
      <c r="AC1"/>
      <c r="AD1"/>
      <c r="AE1"/>
      <c r="AF1"/>
      <c r="AG1"/>
      <c r="AH1"/>
      <c r="AI1"/>
      <c r="AJ1"/>
      <c r="AK1"/>
      <c r="AL1"/>
      <c r="AM1"/>
      <c r="AN1"/>
      <c r="AO1"/>
      <c r="AP1"/>
      <c r="AQ1"/>
      <c r="AR1"/>
      <c r="AS1"/>
      <c r="AT1"/>
      <c r="AU1"/>
      <c r="AV1"/>
      <c r="AW1"/>
      <c r="AX1"/>
    </row>
    <row r="2" spans="1:50" ht="12.75" customHeight="1" thickTop="1">
      <c r="A2" s="121"/>
      <c r="B2" s="753" t="s">
        <v>443</v>
      </c>
      <c r="C2" s="754"/>
      <c r="D2" s="754"/>
      <c r="E2" s="754"/>
      <c r="F2" s="754"/>
      <c r="G2" s="754"/>
      <c r="H2" s="754"/>
      <c r="I2" s="754"/>
      <c r="J2" s="754"/>
      <c r="K2" s="755"/>
      <c r="L2" s="121"/>
      <c r="M2" s="121"/>
      <c r="N2" s="121"/>
      <c r="O2" s="121"/>
      <c r="P2" s="121"/>
      <c r="Q2" s="363"/>
      <c r="R2" s="1024" t="s">
        <v>396</v>
      </c>
      <c r="S2" s="1025"/>
      <c r="T2" s="1025"/>
      <c r="U2" s="1025"/>
      <c r="V2" s="1025"/>
      <c r="W2" s="1025"/>
      <c r="X2" s="1025"/>
      <c r="Y2" s="1026"/>
      <c r="Z2" s="362"/>
      <c r="AA2" s="362"/>
      <c r="AB2"/>
      <c r="AC2"/>
      <c r="AD2"/>
      <c r="AE2"/>
      <c r="AF2"/>
      <c r="AG2"/>
      <c r="AH2"/>
      <c r="AI2"/>
      <c r="AJ2"/>
      <c r="AK2"/>
      <c r="AL2"/>
      <c r="AM2"/>
      <c r="AN2"/>
      <c r="AO2"/>
      <c r="AP2"/>
      <c r="AQ2"/>
      <c r="AR2"/>
      <c r="AS2"/>
      <c r="AT2"/>
      <c r="AU2"/>
      <c r="AV2"/>
      <c r="AW2"/>
      <c r="AX2"/>
    </row>
    <row r="3" spans="1:50" ht="12.75" customHeight="1" thickBot="1">
      <c r="A3" s="121"/>
      <c r="B3" s="756"/>
      <c r="C3" s="757"/>
      <c r="D3" s="757"/>
      <c r="E3" s="757"/>
      <c r="F3" s="757"/>
      <c r="G3" s="757"/>
      <c r="H3" s="757"/>
      <c r="I3" s="757"/>
      <c r="J3" s="757"/>
      <c r="K3" s="758"/>
      <c r="L3" s="121"/>
      <c r="M3" s="121"/>
      <c r="N3" s="121"/>
      <c r="O3" s="121"/>
      <c r="P3" s="121"/>
      <c r="Q3" s="363"/>
      <c r="R3" s="1027"/>
      <c r="S3" s="1028"/>
      <c r="T3" s="1028"/>
      <c r="U3" s="1028"/>
      <c r="V3" s="1028"/>
      <c r="W3" s="1028"/>
      <c r="X3" s="1028"/>
      <c r="Y3" s="1029"/>
      <c r="Z3" s="362"/>
      <c r="AA3" s="362"/>
      <c r="AB3"/>
      <c r="AC3"/>
      <c r="AD3"/>
      <c r="AE3"/>
      <c r="AF3"/>
      <c r="AG3"/>
      <c r="AH3"/>
      <c r="AI3"/>
      <c r="AJ3"/>
      <c r="AK3"/>
      <c r="AL3"/>
      <c r="AM3"/>
      <c r="AN3"/>
      <c r="AO3"/>
      <c r="AP3"/>
      <c r="AQ3"/>
      <c r="AR3"/>
      <c r="AS3"/>
      <c r="AT3"/>
      <c r="AU3"/>
      <c r="AV3"/>
      <c r="AW3"/>
      <c r="AX3"/>
    </row>
    <row r="4" spans="1:50" ht="12.75" customHeight="1" thickTop="1">
      <c r="A4" s="121"/>
      <c r="B4" s="121"/>
      <c r="C4" s="121"/>
      <c r="D4" s="121"/>
      <c r="E4" s="121"/>
      <c r="F4" s="121"/>
      <c r="G4" s="121"/>
      <c r="H4" s="121"/>
      <c r="I4" s="121"/>
      <c r="J4" s="121"/>
      <c r="K4" s="121"/>
      <c r="L4" s="121"/>
      <c r="M4" s="121"/>
      <c r="N4" s="121"/>
      <c r="O4" s="121"/>
      <c r="P4" s="121"/>
      <c r="Q4" s="363"/>
      <c r="R4" s="361"/>
      <c r="S4" s="361"/>
      <c r="T4" s="361"/>
      <c r="U4" s="361"/>
      <c r="V4" s="361"/>
      <c r="W4" s="361"/>
      <c r="X4" s="361"/>
      <c r="Y4" s="361"/>
      <c r="Z4" s="361"/>
      <c r="AA4" s="362"/>
      <c r="AB4"/>
      <c r="AC4"/>
      <c r="AD4"/>
      <c r="AE4"/>
      <c r="AF4"/>
      <c r="AG4"/>
      <c r="AH4"/>
      <c r="AI4"/>
      <c r="AJ4"/>
      <c r="AK4"/>
      <c r="AL4"/>
      <c r="AM4"/>
      <c r="AN4"/>
      <c r="AO4"/>
      <c r="AP4"/>
      <c r="AQ4"/>
      <c r="AR4"/>
      <c r="AS4"/>
      <c r="AT4"/>
      <c r="AU4"/>
      <c r="AV4"/>
      <c r="AW4"/>
      <c r="AX4"/>
    </row>
    <row r="5" spans="1:50" ht="12.75" customHeight="1">
      <c r="A5" s="121"/>
      <c r="B5" s="828" t="s">
        <v>581</v>
      </c>
      <c r="C5" s="829"/>
      <c r="D5" s="830"/>
      <c r="E5" s="460">
        <v>480</v>
      </c>
      <c r="F5" s="461">
        <f>+E5</f>
        <v>480</v>
      </c>
      <c r="G5" s="121"/>
      <c r="H5" s="121"/>
      <c r="I5" s="121"/>
      <c r="J5" s="121"/>
      <c r="K5" s="121"/>
      <c r="L5" s="121"/>
      <c r="M5" s="121"/>
      <c r="N5" s="121"/>
      <c r="O5" s="121"/>
      <c r="P5" s="121"/>
      <c r="Q5" s="360"/>
      <c r="R5" s="951" t="s">
        <v>868</v>
      </c>
      <c r="S5" s="951"/>
      <c r="T5" s="951"/>
      <c r="U5" s="951"/>
      <c r="V5" s="447">
        <f>F5</f>
        <v>480</v>
      </c>
      <c r="W5" s="362"/>
      <c r="X5" s="362"/>
      <c r="Y5" s="362"/>
      <c r="Z5" s="362"/>
      <c r="AA5" s="362"/>
      <c r="AB5"/>
      <c r="AC5"/>
      <c r="AD5"/>
      <c r="AE5"/>
      <c r="AF5"/>
      <c r="AG5"/>
      <c r="AH5"/>
      <c r="AI5"/>
      <c r="AJ5"/>
      <c r="AK5"/>
      <c r="AL5"/>
      <c r="AM5"/>
      <c r="AN5"/>
      <c r="AO5"/>
      <c r="AP5"/>
      <c r="AQ5"/>
      <c r="AR5"/>
      <c r="AS5"/>
      <c r="AT5"/>
      <c r="AU5"/>
      <c r="AV5"/>
      <c r="AW5"/>
      <c r="AX5"/>
    </row>
    <row r="6" spans="1:50" ht="12.75" customHeight="1">
      <c r="A6" s="121"/>
      <c r="B6" s="121"/>
      <c r="C6" s="121"/>
      <c r="D6" s="121"/>
      <c r="E6" s="121"/>
      <c r="F6" s="121"/>
      <c r="G6" s="121"/>
      <c r="H6" s="121"/>
      <c r="I6" s="121"/>
      <c r="J6" s="121"/>
      <c r="K6" s="121"/>
      <c r="L6" s="121"/>
      <c r="M6" s="121"/>
      <c r="N6" s="121"/>
      <c r="O6" s="121"/>
      <c r="P6" s="121"/>
      <c r="Q6" s="360"/>
      <c r="R6" s="362"/>
      <c r="S6" s="362"/>
      <c r="T6" s="362"/>
      <c r="U6" s="362"/>
      <c r="V6" s="361"/>
      <c r="W6" s="361"/>
      <c r="X6" s="361"/>
      <c r="Y6" s="361"/>
      <c r="Z6" s="361"/>
      <c r="AA6" s="362"/>
      <c r="AB6"/>
      <c r="AC6"/>
      <c r="AD6"/>
      <c r="AE6"/>
      <c r="AF6"/>
      <c r="AG6"/>
      <c r="AH6"/>
      <c r="AI6"/>
      <c r="AJ6"/>
      <c r="AK6"/>
      <c r="AL6"/>
      <c r="AM6"/>
      <c r="AN6"/>
      <c r="AO6"/>
      <c r="AP6"/>
      <c r="AQ6"/>
      <c r="AR6"/>
      <c r="AS6"/>
      <c r="AT6"/>
      <c r="AU6"/>
      <c r="AV6"/>
      <c r="AW6"/>
      <c r="AX6"/>
    </row>
    <row r="7" spans="1:50" ht="12.75" customHeight="1">
      <c r="A7" s="121"/>
      <c r="B7" s="121"/>
      <c r="C7" s="121"/>
      <c r="D7" s="121"/>
      <c r="E7" s="121"/>
      <c r="F7" s="121"/>
      <c r="G7" s="121"/>
      <c r="H7" s="121"/>
      <c r="I7" s="121"/>
      <c r="J7" s="121"/>
      <c r="K7" s="121"/>
      <c r="L7" s="121"/>
      <c r="M7" s="121"/>
      <c r="N7" s="121"/>
      <c r="O7" s="121"/>
      <c r="P7" s="121"/>
      <c r="Q7" s="385">
        <v>1</v>
      </c>
      <c r="R7" s="1008" t="s">
        <v>24</v>
      </c>
      <c r="S7" s="1008"/>
      <c r="T7" s="1008"/>
      <c r="U7" s="1008"/>
      <c r="V7" s="1008"/>
      <c r="W7" s="1008"/>
      <c r="X7" s="1008"/>
      <c r="Y7" s="1008"/>
      <c r="Z7" s="536"/>
      <c r="AA7" s="362"/>
      <c r="AB7"/>
      <c r="AC7"/>
      <c r="AD7"/>
      <c r="AE7"/>
      <c r="AF7"/>
      <c r="AG7"/>
      <c r="AH7"/>
      <c r="AI7"/>
      <c r="AJ7"/>
      <c r="AK7"/>
      <c r="AL7"/>
      <c r="AM7"/>
      <c r="AN7"/>
      <c r="AO7"/>
      <c r="AP7"/>
      <c r="AQ7"/>
      <c r="AR7"/>
      <c r="AS7"/>
      <c r="AT7"/>
      <c r="AU7"/>
      <c r="AV7"/>
      <c r="AW7"/>
      <c r="AX7"/>
    </row>
    <row r="8" spans="1:50" ht="12.75" customHeight="1">
      <c r="A8" s="121"/>
      <c r="B8" s="121"/>
      <c r="C8" s="121"/>
      <c r="D8" s="121"/>
      <c r="E8" s="121"/>
      <c r="F8" s="121"/>
      <c r="G8" s="121"/>
      <c r="H8" s="121"/>
      <c r="I8" s="121"/>
      <c r="J8" s="121"/>
      <c r="K8" s="121"/>
      <c r="L8" s="121"/>
      <c r="M8" s="121"/>
      <c r="N8" s="121"/>
      <c r="O8" s="121"/>
      <c r="P8" s="121"/>
      <c r="Q8" s="386"/>
      <c r="R8" s="361"/>
      <c r="S8" s="361"/>
      <c r="T8" s="361"/>
      <c r="U8" s="361"/>
      <c r="V8" s="361"/>
      <c r="W8" s="361"/>
      <c r="X8" s="361"/>
      <c r="Y8" s="361"/>
      <c r="Z8" s="361"/>
      <c r="AA8" s="362"/>
      <c r="AB8"/>
      <c r="AC8"/>
      <c r="AD8"/>
      <c r="AE8"/>
      <c r="AF8"/>
      <c r="AG8"/>
      <c r="AH8"/>
      <c r="AI8"/>
      <c r="AJ8"/>
      <c r="AK8"/>
      <c r="AL8"/>
      <c r="AM8"/>
      <c r="AN8"/>
      <c r="AO8"/>
      <c r="AP8"/>
      <c r="AQ8"/>
      <c r="AR8"/>
      <c r="AS8"/>
      <c r="AT8"/>
      <c r="AU8"/>
      <c r="AV8"/>
      <c r="AW8"/>
      <c r="AX8"/>
    </row>
    <row r="9" spans="1:50" ht="12.75" customHeight="1">
      <c r="A9" s="121"/>
      <c r="B9" s="121"/>
      <c r="C9" s="121"/>
      <c r="D9" s="121"/>
      <c r="E9" s="121"/>
      <c r="F9" s="121"/>
      <c r="G9" s="121"/>
      <c r="H9" s="121"/>
      <c r="I9" s="121"/>
      <c r="J9" s="121"/>
      <c r="K9" s="121"/>
      <c r="L9" s="121"/>
      <c r="M9" s="121"/>
      <c r="N9" s="121"/>
      <c r="O9" s="121"/>
      <c r="P9" s="121"/>
      <c r="Q9" s="360">
        <v>1.1000000000000001</v>
      </c>
      <c r="R9" s="364" t="s">
        <v>586</v>
      </c>
      <c r="S9" s="363"/>
      <c r="T9" s="363"/>
      <c r="U9" s="363"/>
      <c r="V9" s="363"/>
      <c r="W9" s="363"/>
      <c r="X9" s="363"/>
      <c r="Y9" s="363"/>
      <c r="Z9" s="363"/>
      <c r="AA9" s="362"/>
      <c r="AB9"/>
      <c r="AC9"/>
      <c r="AD9"/>
      <c r="AE9"/>
      <c r="AF9"/>
      <c r="AG9"/>
      <c r="AH9"/>
      <c r="AI9"/>
      <c r="AJ9"/>
      <c r="AK9"/>
      <c r="AL9"/>
      <c r="AM9"/>
      <c r="AN9"/>
      <c r="AO9"/>
      <c r="AP9"/>
      <c r="AQ9"/>
      <c r="AR9"/>
      <c r="AS9"/>
      <c r="AT9"/>
      <c r="AU9"/>
      <c r="AV9"/>
      <c r="AW9"/>
      <c r="AX9"/>
    </row>
    <row r="10" spans="1:50" ht="12.75" customHeight="1">
      <c r="A10" s="121"/>
      <c r="B10" s="121"/>
      <c r="C10" s="121"/>
      <c r="D10" s="121"/>
      <c r="E10" s="121"/>
      <c r="F10" s="121"/>
      <c r="G10" s="121"/>
      <c r="H10" s="121"/>
      <c r="I10" s="121"/>
      <c r="J10" s="121"/>
      <c r="K10" s="121"/>
      <c r="L10" s="121"/>
      <c r="M10" s="121"/>
      <c r="N10" s="121"/>
      <c r="O10" s="121"/>
      <c r="P10" s="121"/>
      <c r="Q10" s="360"/>
      <c r="R10" s="969" t="s">
        <v>25</v>
      </c>
      <c r="S10" s="969"/>
      <c r="T10" s="969"/>
      <c r="U10" s="969"/>
      <c r="V10" s="447">
        <f>'Prod Parameters'!F8</f>
        <v>23</v>
      </c>
      <c r="W10" s="363"/>
      <c r="X10" s="363"/>
      <c r="Y10" s="363"/>
      <c r="Z10" s="363"/>
      <c r="AA10" s="362"/>
      <c r="AB10"/>
      <c r="AC10"/>
      <c r="AD10"/>
      <c r="AE10"/>
      <c r="AF10"/>
      <c r="AG10"/>
      <c r="AH10"/>
      <c r="AI10"/>
      <c r="AJ10"/>
      <c r="AK10"/>
      <c r="AL10"/>
      <c r="AM10"/>
      <c r="AN10"/>
      <c r="AO10"/>
      <c r="AP10"/>
      <c r="AQ10"/>
      <c r="AR10"/>
      <c r="AS10"/>
      <c r="AT10"/>
      <c r="AU10"/>
      <c r="AV10"/>
      <c r="AW10"/>
      <c r="AX10"/>
    </row>
    <row r="11" spans="1:50" ht="12.75" customHeight="1">
      <c r="A11" s="121"/>
      <c r="B11" s="121"/>
      <c r="C11" s="121"/>
      <c r="D11" s="121"/>
      <c r="E11" s="121"/>
      <c r="F11" s="121"/>
      <c r="G11" s="121"/>
      <c r="H11" s="121"/>
      <c r="I11" s="121"/>
      <c r="J11" s="121"/>
      <c r="K11" s="121"/>
      <c r="L11" s="121"/>
      <c r="M11" s="121"/>
      <c r="N11" s="121"/>
      <c r="O11" s="121"/>
      <c r="P11" s="121"/>
      <c r="Q11" s="360"/>
      <c r="R11" s="969" t="s">
        <v>325</v>
      </c>
      <c r="S11" s="969"/>
      <c r="T11" s="969"/>
      <c r="U11" s="969"/>
      <c r="V11" s="447">
        <f>'Prod Parameters'!F9</f>
        <v>23</v>
      </c>
      <c r="W11" s="363"/>
      <c r="X11" s="363"/>
      <c r="Y11" s="363"/>
      <c r="Z11" s="363"/>
      <c r="AA11" s="362"/>
      <c r="AB11"/>
      <c r="AC11"/>
      <c r="AD11"/>
      <c r="AE11"/>
      <c r="AF11"/>
      <c r="AG11"/>
      <c r="AH11"/>
      <c r="AI11"/>
      <c r="AJ11"/>
      <c r="AK11"/>
      <c r="AL11"/>
      <c r="AM11"/>
      <c r="AN11"/>
      <c r="AO11"/>
      <c r="AP11"/>
      <c r="AQ11"/>
      <c r="AR11"/>
      <c r="AS11"/>
      <c r="AT11"/>
      <c r="AU11"/>
      <c r="AV11"/>
      <c r="AW11"/>
      <c r="AX11"/>
    </row>
    <row r="12" spans="1:50" ht="12.75" customHeight="1">
      <c r="A12" s="121"/>
      <c r="B12" s="121"/>
      <c r="C12" s="121"/>
      <c r="D12" s="121"/>
      <c r="E12" s="121"/>
      <c r="F12" s="121"/>
      <c r="G12" s="121"/>
      <c r="H12" s="121"/>
      <c r="I12" s="121"/>
      <c r="J12" s="121"/>
      <c r="K12" s="121"/>
      <c r="L12" s="121"/>
      <c r="M12" s="121"/>
      <c r="N12" s="121"/>
      <c r="O12" s="121"/>
      <c r="P12" s="121"/>
      <c r="Q12" s="360"/>
      <c r="R12" s="1021" t="s">
        <v>26</v>
      </c>
      <c r="S12" s="1022"/>
      <c r="T12" s="1022"/>
      <c r="U12" s="1023"/>
      <c r="V12" s="447">
        <f>'Prod Parameters'!F10</f>
        <v>6</v>
      </c>
      <c r="W12" s="363"/>
      <c r="X12" s="363"/>
      <c r="Y12" s="363"/>
      <c r="Z12" s="363"/>
      <c r="AA12" s="362"/>
      <c r="AB12"/>
      <c r="AC12"/>
      <c r="AD12"/>
      <c r="AE12"/>
      <c r="AF12"/>
      <c r="AG12"/>
      <c r="AH12"/>
      <c r="AI12"/>
      <c r="AJ12"/>
      <c r="AK12"/>
      <c r="AL12"/>
      <c r="AM12"/>
      <c r="AN12"/>
      <c r="AO12"/>
      <c r="AP12"/>
      <c r="AQ12"/>
      <c r="AR12"/>
      <c r="AS12"/>
      <c r="AT12"/>
      <c r="AU12"/>
      <c r="AV12"/>
      <c r="AW12"/>
      <c r="AX12"/>
    </row>
    <row r="13" spans="1:50" ht="12.75" customHeight="1">
      <c r="A13" s="121"/>
      <c r="B13" s="121"/>
      <c r="C13" s="121"/>
      <c r="D13" s="121"/>
      <c r="E13" s="121"/>
      <c r="F13" s="121"/>
      <c r="G13" s="121"/>
      <c r="H13" s="121"/>
      <c r="I13" s="121"/>
      <c r="J13" s="121"/>
      <c r="K13" s="121"/>
      <c r="L13" s="121"/>
      <c r="M13" s="121"/>
      <c r="N13" s="121"/>
      <c r="O13" s="121"/>
      <c r="P13" s="121"/>
      <c r="Q13" s="360"/>
      <c r="R13" s="969" t="s">
        <v>27</v>
      </c>
      <c r="S13" s="969"/>
      <c r="T13" s="969"/>
      <c r="U13" s="969"/>
      <c r="V13" s="447">
        <f>'Prod Parameters'!F11</f>
        <v>52</v>
      </c>
      <c r="W13" s="363"/>
      <c r="X13" s="363"/>
      <c r="Y13" s="363"/>
      <c r="Z13" s="363"/>
      <c r="AA13" s="362"/>
      <c r="AB13"/>
      <c r="AC13"/>
      <c r="AD13"/>
      <c r="AE13"/>
      <c r="AF13"/>
      <c r="AG13"/>
      <c r="AH13"/>
      <c r="AI13"/>
      <c r="AJ13"/>
      <c r="AK13"/>
      <c r="AL13"/>
      <c r="AM13"/>
      <c r="AN13"/>
      <c r="AO13"/>
      <c r="AP13"/>
      <c r="AQ13"/>
      <c r="AR13"/>
      <c r="AS13"/>
      <c r="AT13"/>
      <c r="AU13"/>
      <c r="AV13"/>
      <c r="AW13"/>
      <c r="AX13"/>
    </row>
    <row r="14" spans="1:50" ht="12.75" customHeight="1">
      <c r="A14" s="121"/>
      <c r="B14" s="121"/>
      <c r="C14" s="121"/>
      <c r="D14" s="121"/>
      <c r="E14" s="121"/>
      <c r="F14" s="121"/>
      <c r="G14" s="121"/>
      <c r="H14" s="121"/>
      <c r="I14" s="121"/>
      <c r="J14" s="121"/>
      <c r="K14" s="121"/>
      <c r="L14" s="121"/>
      <c r="M14" s="121"/>
      <c r="N14" s="121"/>
      <c r="O14" s="121"/>
      <c r="P14" s="121"/>
      <c r="Q14" s="360"/>
      <c r="R14" s="969" t="s">
        <v>28</v>
      </c>
      <c r="S14" s="969"/>
      <c r="T14" s="969"/>
      <c r="U14" s="969"/>
      <c r="V14" s="447">
        <f>'Prod Parameters'!F12</f>
        <v>260</v>
      </c>
      <c r="W14" s="363"/>
      <c r="X14" s="363"/>
      <c r="Y14" s="363"/>
      <c r="Z14" s="363"/>
      <c r="AA14" s="362"/>
      <c r="AB14"/>
      <c r="AC14"/>
      <c r="AD14"/>
      <c r="AE14"/>
      <c r="AF14"/>
      <c r="AG14"/>
      <c r="AH14"/>
      <c r="AI14"/>
      <c r="AJ14"/>
      <c r="AK14"/>
      <c r="AL14"/>
      <c r="AM14"/>
      <c r="AN14"/>
      <c r="AO14"/>
      <c r="AP14"/>
      <c r="AQ14"/>
      <c r="AR14"/>
      <c r="AS14"/>
      <c r="AT14"/>
      <c r="AU14"/>
      <c r="AV14"/>
      <c r="AW14"/>
      <c r="AX14"/>
    </row>
    <row r="15" spans="1:50" ht="12.75" customHeight="1">
      <c r="A15" s="121"/>
      <c r="B15" s="121"/>
      <c r="C15" s="121"/>
      <c r="D15" s="121"/>
      <c r="E15" s="121"/>
      <c r="F15" s="121"/>
      <c r="G15" s="121"/>
      <c r="H15" s="121"/>
      <c r="I15" s="121"/>
      <c r="J15" s="121"/>
      <c r="K15" s="121"/>
      <c r="L15" s="121"/>
      <c r="M15" s="121"/>
      <c r="N15" s="121"/>
      <c r="O15" s="121"/>
      <c r="P15" s="121"/>
      <c r="Q15" s="360"/>
      <c r="R15" s="969" t="s">
        <v>29</v>
      </c>
      <c r="S15" s="969"/>
      <c r="T15" s="969"/>
      <c r="U15" s="969"/>
      <c r="V15" s="447">
        <f>'Prod Parameters'!F13</f>
        <v>30</v>
      </c>
      <c r="W15" s="363"/>
      <c r="X15" s="363"/>
      <c r="Y15" s="363"/>
      <c r="Z15" s="363"/>
      <c r="AA15" s="362"/>
      <c r="AB15"/>
      <c r="AC15"/>
      <c r="AD15"/>
      <c r="AE15"/>
      <c r="AF15"/>
      <c r="AG15"/>
      <c r="AH15"/>
      <c r="AI15"/>
      <c r="AJ15"/>
      <c r="AK15"/>
      <c r="AL15"/>
      <c r="AM15"/>
      <c r="AN15"/>
      <c r="AO15"/>
      <c r="AP15"/>
      <c r="AQ15"/>
      <c r="AR15"/>
      <c r="AS15"/>
      <c r="AT15"/>
      <c r="AU15"/>
      <c r="AV15"/>
      <c r="AW15"/>
      <c r="AX15"/>
    </row>
    <row r="16" spans="1:50" ht="12.75" customHeight="1">
      <c r="A16" s="121"/>
      <c r="B16" s="121"/>
      <c r="C16" s="121"/>
      <c r="D16" s="121"/>
      <c r="E16" s="121"/>
      <c r="F16" s="121"/>
      <c r="G16" s="121"/>
      <c r="H16" s="121"/>
      <c r="I16" s="121"/>
      <c r="J16" s="121"/>
      <c r="K16" s="121"/>
      <c r="L16" s="121"/>
      <c r="M16" s="121"/>
      <c r="N16" s="121"/>
      <c r="O16" s="121"/>
      <c r="P16" s="121"/>
      <c r="Q16" s="360"/>
      <c r="R16" s="968" t="s">
        <v>30</v>
      </c>
      <c r="S16" s="968"/>
      <c r="T16" s="968"/>
      <c r="U16" s="968"/>
      <c r="V16" s="447">
        <f>'Prod Parameters'!F14</f>
        <v>230</v>
      </c>
      <c r="W16" s="363"/>
      <c r="X16" s="363"/>
      <c r="Y16" s="363"/>
      <c r="Z16" s="363"/>
      <c r="AA16" s="362"/>
      <c r="AB16"/>
      <c r="AC16"/>
      <c r="AD16"/>
      <c r="AE16"/>
      <c r="AF16"/>
      <c r="AG16"/>
      <c r="AH16"/>
      <c r="AI16"/>
      <c r="AJ16"/>
      <c r="AK16"/>
      <c r="AL16"/>
      <c r="AM16"/>
      <c r="AN16"/>
      <c r="AO16"/>
      <c r="AP16"/>
      <c r="AQ16"/>
      <c r="AR16"/>
      <c r="AS16"/>
      <c r="AT16"/>
      <c r="AU16"/>
      <c r="AV16"/>
      <c r="AW16"/>
      <c r="AX16"/>
    </row>
    <row r="17" spans="1:50" ht="12.75" customHeight="1">
      <c r="A17" s="121"/>
      <c r="B17" s="121"/>
      <c r="C17" s="121"/>
      <c r="D17" s="121"/>
      <c r="E17" s="121"/>
      <c r="F17" s="121"/>
      <c r="G17" s="121"/>
      <c r="H17" s="121"/>
      <c r="I17" s="121"/>
      <c r="J17" s="121"/>
      <c r="K17" s="121"/>
      <c r="L17" s="121"/>
      <c r="M17" s="121"/>
      <c r="N17" s="121"/>
      <c r="O17" s="121"/>
      <c r="P17" s="121"/>
      <c r="Q17" s="360"/>
      <c r="R17" s="363"/>
      <c r="S17" s="363"/>
      <c r="T17" s="363"/>
      <c r="U17" s="363"/>
      <c r="V17" s="363"/>
      <c r="W17" s="363"/>
      <c r="X17" s="363"/>
      <c r="Y17" s="363"/>
      <c r="Z17" s="363"/>
      <c r="AA17" s="367"/>
      <c r="AB17"/>
      <c r="AC17"/>
      <c r="AD17"/>
      <c r="AE17"/>
      <c r="AF17"/>
      <c r="AG17"/>
      <c r="AH17"/>
      <c r="AI17"/>
      <c r="AJ17"/>
      <c r="AK17"/>
      <c r="AL17"/>
      <c r="AM17"/>
      <c r="AN17"/>
      <c r="AO17"/>
      <c r="AP17"/>
      <c r="AQ17"/>
      <c r="AR17"/>
      <c r="AS17"/>
      <c r="AT17"/>
      <c r="AU17"/>
      <c r="AV17"/>
      <c r="AW17"/>
      <c r="AX17"/>
    </row>
    <row r="18" spans="1:50" ht="12.75" customHeight="1">
      <c r="A18" s="121"/>
      <c r="B18" s="121"/>
      <c r="C18" s="121"/>
      <c r="D18" s="121"/>
      <c r="E18" s="121"/>
      <c r="F18" s="121"/>
      <c r="G18" s="121"/>
      <c r="H18" s="121"/>
      <c r="I18" s="121"/>
      <c r="J18" s="121"/>
      <c r="K18" s="121"/>
      <c r="L18" s="121"/>
      <c r="M18" s="121"/>
      <c r="N18" s="121"/>
      <c r="O18" s="121"/>
      <c r="P18" s="121"/>
      <c r="Q18" s="360">
        <v>1.2</v>
      </c>
      <c r="R18" s="364" t="s">
        <v>19</v>
      </c>
      <c r="S18" s="363"/>
      <c r="T18" s="363"/>
      <c r="U18" s="363"/>
      <c r="V18" s="363"/>
      <c r="W18" s="363"/>
      <c r="X18" s="363"/>
      <c r="Y18" s="363"/>
      <c r="Z18" s="363"/>
      <c r="AA18" s="367"/>
      <c r="AB18"/>
      <c r="AC18"/>
      <c r="AD18"/>
      <c r="AE18"/>
      <c r="AF18"/>
      <c r="AG18"/>
      <c r="AH18"/>
      <c r="AI18"/>
      <c r="AJ18"/>
      <c r="AK18"/>
      <c r="AL18"/>
      <c r="AM18"/>
      <c r="AN18"/>
      <c r="AO18"/>
      <c r="AP18"/>
      <c r="AQ18"/>
      <c r="AR18"/>
      <c r="AS18"/>
      <c r="AT18"/>
      <c r="AU18"/>
      <c r="AV18"/>
      <c r="AW18"/>
      <c r="AX18"/>
    </row>
    <row r="19" spans="1:50" ht="12.75" customHeight="1">
      <c r="A19" s="121"/>
      <c r="B19" s="121"/>
      <c r="C19" s="121"/>
      <c r="D19" s="121"/>
      <c r="E19" s="121"/>
      <c r="F19" s="121"/>
      <c r="G19" s="121"/>
      <c r="H19" s="121"/>
      <c r="I19" s="121"/>
      <c r="J19" s="121"/>
      <c r="K19" s="121"/>
      <c r="L19" s="121"/>
      <c r="M19" s="121"/>
      <c r="N19" s="121"/>
      <c r="O19" s="121"/>
      <c r="P19" s="121"/>
      <c r="Q19" s="360"/>
      <c r="R19" s="969" t="s">
        <v>314</v>
      </c>
      <c r="S19" s="969"/>
      <c r="T19" s="969"/>
      <c r="U19" s="969"/>
      <c r="V19" s="447">
        <f>'Prod Parameters'!F17</f>
        <v>160</v>
      </c>
      <c r="W19" s="363"/>
      <c r="X19" s="363"/>
      <c r="Y19" s="363"/>
      <c r="Z19" s="363"/>
      <c r="AA19" s="367"/>
      <c r="AB19"/>
      <c r="AC19"/>
      <c r="AD19"/>
      <c r="AE19"/>
      <c r="AF19"/>
      <c r="AG19"/>
      <c r="AH19"/>
      <c r="AI19"/>
      <c r="AJ19"/>
      <c r="AK19"/>
      <c r="AL19"/>
      <c r="AM19"/>
      <c r="AN19"/>
      <c r="AO19"/>
      <c r="AP19"/>
      <c r="AQ19"/>
      <c r="AR19"/>
      <c r="AS19"/>
      <c r="AT19"/>
      <c r="AU19"/>
      <c r="AV19"/>
      <c r="AW19"/>
      <c r="AX19"/>
    </row>
    <row r="20" spans="1:50" ht="12.75" customHeight="1">
      <c r="A20" s="121"/>
      <c r="B20" s="121"/>
      <c r="C20" s="121"/>
      <c r="D20" s="121"/>
      <c r="E20" s="121"/>
      <c r="F20" s="121"/>
      <c r="G20" s="121"/>
      <c r="H20" s="121"/>
      <c r="I20" s="121"/>
      <c r="J20" s="121"/>
      <c r="K20" s="121"/>
      <c r="L20" s="121"/>
      <c r="M20" s="121"/>
      <c r="N20" s="121"/>
      <c r="O20" s="121"/>
      <c r="P20" s="121"/>
      <c r="Q20" s="360"/>
      <c r="R20" s="969" t="s">
        <v>31</v>
      </c>
      <c r="S20" s="969"/>
      <c r="T20" s="969"/>
      <c r="U20" s="969"/>
      <c r="V20" s="447">
        <f>'Prod Parameters'!F18</f>
        <v>1.2</v>
      </c>
      <c r="W20" s="363"/>
      <c r="X20" s="363"/>
      <c r="Y20" s="363"/>
      <c r="Z20" s="363"/>
      <c r="AA20" s="367"/>
      <c r="AB20"/>
      <c r="AC20"/>
      <c r="AD20"/>
      <c r="AE20"/>
      <c r="AF20"/>
      <c r="AG20"/>
      <c r="AH20"/>
      <c r="AI20"/>
      <c r="AJ20"/>
      <c r="AK20"/>
      <c r="AL20"/>
      <c r="AM20"/>
      <c r="AN20"/>
      <c r="AO20"/>
      <c r="AP20"/>
      <c r="AQ20"/>
      <c r="AR20"/>
      <c r="AS20"/>
      <c r="AT20"/>
      <c r="AU20"/>
      <c r="AV20"/>
      <c r="AW20"/>
      <c r="AX20"/>
    </row>
    <row r="21" spans="1:50" ht="12.75" customHeight="1">
      <c r="A21" s="121"/>
      <c r="B21" s="121"/>
      <c r="C21" s="121"/>
      <c r="D21" s="121"/>
      <c r="E21" s="121"/>
      <c r="F21" s="121"/>
      <c r="G21" s="121"/>
      <c r="H21" s="121"/>
      <c r="I21" s="121"/>
      <c r="J21" s="121"/>
      <c r="K21" s="121"/>
      <c r="L21" s="121"/>
      <c r="M21" s="121"/>
      <c r="N21" s="121"/>
      <c r="O21" s="121"/>
      <c r="P21" s="121"/>
      <c r="Q21" s="360"/>
      <c r="R21" s="969" t="s">
        <v>199</v>
      </c>
      <c r="S21" s="969"/>
      <c r="T21" s="969"/>
      <c r="U21" s="969"/>
      <c r="V21" s="447">
        <f>'Prod Parameters'!F19</f>
        <v>4</v>
      </c>
      <c r="W21" s="363"/>
      <c r="X21" s="363"/>
      <c r="Y21" s="363"/>
      <c r="Z21" s="363"/>
      <c r="AA21" s="367"/>
      <c r="AB21"/>
      <c r="AC21"/>
      <c r="AD21"/>
      <c r="AE21"/>
      <c r="AF21"/>
      <c r="AG21"/>
      <c r="AH21"/>
      <c r="AI21"/>
      <c r="AJ21"/>
      <c r="AK21"/>
      <c r="AL21"/>
      <c r="AM21"/>
      <c r="AN21"/>
      <c r="AO21"/>
      <c r="AP21"/>
      <c r="AQ21"/>
      <c r="AR21"/>
      <c r="AS21"/>
      <c r="AT21"/>
      <c r="AU21"/>
      <c r="AV21"/>
      <c r="AW21"/>
      <c r="AX21"/>
    </row>
    <row r="22" spans="1:50" ht="12.75" customHeight="1">
      <c r="A22" s="121"/>
      <c r="B22" s="121"/>
      <c r="C22" s="121"/>
      <c r="D22" s="121"/>
      <c r="E22" s="121"/>
      <c r="F22" s="121"/>
      <c r="G22" s="121"/>
      <c r="H22" s="121"/>
      <c r="I22" s="121"/>
      <c r="J22" s="121"/>
      <c r="K22" s="121"/>
      <c r="L22" s="121"/>
      <c r="M22" s="121"/>
      <c r="N22" s="121"/>
      <c r="O22" s="121"/>
      <c r="P22" s="121"/>
      <c r="Q22" s="360"/>
      <c r="R22" s="969" t="s">
        <v>20</v>
      </c>
      <c r="S22" s="969"/>
      <c r="T22" s="969"/>
      <c r="U22" s="969"/>
      <c r="V22" s="447">
        <f>'Prod Parameters'!F20</f>
        <v>40</v>
      </c>
      <c r="W22" s="363"/>
      <c r="X22" s="363"/>
      <c r="Y22" s="363"/>
      <c r="Z22" s="363"/>
      <c r="AA22" s="367"/>
      <c r="AB22"/>
      <c r="AC22"/>
      <c r="AD22"/>
      <c r="AE22"/>
      <c r="AF22"/>
      <c r="AG22"/>
      <c r="AH22"/>
      <c r="AI22"/>
      <c r="AJ22"/>
      <c r="AK22"/>
      <c r="AL22"/>
      <c r="AM22"/>
      <c r="AN22"/>
      <c r="AO22"/>
      <c r="AP22"/>
      <c r="AQ22"/>
      <c r="AR22"/>
      <c r="AS22"/>
      <c r="AT22"/>
      <c r="AU22"/>
      <c r="AV22"/>
      <c r="AW22"/>
      <c r="AX22"/>
    </row>
    <row r="23" spans="1:50" ht="12.75" customHeight="1">
      <c r="A23" s="121"/>
      <c r="B23" s="121"/>
      <c r="C23" s="121"/>
      <c r="D23" s="121"/>
      <c r="E23" s="121"/>
      <c r="F23" s="121"/>
      <c r="G23" s="121"/>
      <c r="H23" s="121"/>
      <c r="I23" s="121"/>
      <c r="J23" s="121"/>
      <c r="K23" s="121"/>
      <c r="L23" s="121"/>
      <c r="M23" s="121"/>
      <c r="N23" s="121"/>
      <c r="O23" s="121"/>
      <c r="P23" s="121"/>
      <c r="Q23" s="360"/>
      <c r="R23" s="969" t="s">
        <v>310</v>
      </c>
      <c r="S23" s="969"/>
      <c r="T23" s="969"/>
      <c r="U23" s="969"/>
      <c r="V23" s="447">
        <f>'Prod Parameters'!F21</f>
        <v>160</v>
      </c>
      <c r="W23" s="363"/>
      <c r="X23" s="363"/>
      <c r="Y23" s="363"/>
      <c r="Z23" s="363"/>
      <c r="AA23" s="367"/>
      <c r="AB23"/>
      <c r="AC23"/>
      <c r="AD23"/>
      <c r="AE23"/>
      <c r="AF23"/>
      <c r="AG23"/>
      <c r="AH23"/>
      <c r="AI23"/>
      <c r="AJ23"/>
      <c r="AK23"/>
      <c r="AL23"/>
      <c r="AM23"/>
      <c r="AN23"/>
      <c r="AO23"/>
      <c r="AP23"/>
      <c r="AQ23"/>
      <c r="AR23"/>
      <c r="AS23"/>
      <c r="AT23"/>
      <c r="AU23"/>
      <c r="AV23"/>
      <c r="AW23"/>
      <c r="AX23"/>
    </row>
    <row r="24" spans="1:50" ht="12.75" customHeight="1">
      <c r="A24" s="121"/>
      <c r="B24" s="121"/>
      <c r="C24" s="121"/>
      <c r="D24" s="121"/>
      <c r="E24" s="121"/>
      <c r="F24" s="121"/>
      <c r="G24" s="121"/>
      <c r="H24" s="121"/>
      <c r="I24" s="121"/>
      <c r="J24" s="121"/>
      <c r="K24" s="121"/>
      <c r="L24" s="121"/>
      <c r="M24" s="121"/>
      <c r="N24" s="121"/>
      <c r="O24" s="121"/>
      <c r="P24" s="121"/>
      <c r="Q24" s="360"/>
      <c r="R24" s="969" t="s">
        <v>315</v>
      </c>
      <c r="S24" s="969"/>
      <c r="T24" s="969"/>
      <c r="U24" s="969"/>
      <c r="V24" s="447">
        <f>'Prod Parameters'!F22</f>
        <v>6400</v>
      </c>
      <c r="W24" s="363"/>
      <c r="X24" s="363"/>
      <c r="Y24" s="363"/>
      <c r="Z24" s="363"/>
      <c r="AA24" s="367"/>
      <c r="AB24"/>
      <c r="AC24"/>
      <c r="AD24"/>
      <c r="AE24"/>
      <c r="AF24"/>
      <c r="AG24"/>
      <c r="AH24"/>
      <c r="AI24"/>
      <c r="AJ24"/>
      <c r="AK24"/>
      <c r="AL24"/>
      <c r="AM24"/>
      <c r="AN24"/>
      <c r="AO24"/>
      <c r="AP24"/>
      <c r="AQ24"/>
      <c r="AR24"/>
      <c r="AS24"/>
      <c r="AT24"/>
      <c r="AU24"/>
      <c r="AV24"/>
      <c r="AW24"/>
      <c r="AX24"/>
    </row>
    <row r="25" spans="1:50" ht="12.75" customHeight="1">
      <c r="A25" s="121"/>
      <c r="B25" s="121"/>
      <c r="C25" s="121"/>
      <c r="D25" s="121"/>
      <c r="E25" s="121"/>
      <c r="F25" s="121"/>
      <c r="G25" s="121"/>
      <c r="H25" s="121"/>
      <c r="I25" s="121"/>
      <c r="J25" s="121"/>
      <c r="K25" s="121"/>
      <c r="L25" s="121"/>
      <c r="M25" s="121"/>
      <c r="N25" s="121"/>
      <c r="O25" s="121"/>
      <c r="P25" s="121"/>
      <c r="Q25" s="360"/>
      <c r="R25" s="969" t="s">
        <v>187</v>
      </c>
      <c r="S25" s="969"/>
      <c r="T25" s="969"/>
      <c r="U25" s="969"/>
      <c r="V25" s="447">
        <f>'Prod Parameters'!F23</f>
        <v>7680</v>
      </c>
      <c r="W25" s="363"/>
      <c r="X25" s="363"/>
      <c r="Y25" s="363"/>
      <c r="Z25" s="363"/>
      <c r="AA25" s="367"/>
      <c r="AB25"/>
      <c r="AC25"/>
      <c r="AD25"/>
      <c r="AE25"/>
      <c r="AF25"/>
      <c r="AG25"/>
      <c r="AH25"/>
      <c r="AI25"/>
      <c r="AJ25"/>
      <c r="AK25"/>
      <c r="AL25"/>
      <c r="AM25"/>
      <c r="AN25"/>
      <c r="AO25"/>
      <c r="AP25"/>
      <c r="AQ25"/>
      <c r="AR25"/>
      <c r="AS25"/>
      <c r="AT25"/>
      <c r="AU25"/>
      <c r="AV25"/>
      <c r="AW25"/>
      <c r="AX25"/>
    </row>
    <row r="26" spans="1:50" ht="12.75" customHeight="1">
      <c r="A26" s="121"/>
      <c r="B26" s="121"/>
      <c r="C26" s="121"/>
      <c r="D26" s="121"/>
      <c r="E26" s="121"/>
      <c r="F26" s="121"/>
      <c r="G26" s="121"/>
      <c r="H26" s="121"/>
      <c r="I26" s="121"/>
      <c r="J26" s="121"/>
      <c r="K26" s="121"/>
      <c r="L26" s="121"/>
      <c r="M26" s="121"/>
      <c r="N26" s="121"/>
      <c r="O26" s="121"/>
      <c r="P26" s="121"/>
      <c r="Q26" s="360"/>
      <c r="R26" s="969" t="s">
        <v>200</v>
      </c>
      <c r="S26" s="969"/>
      <c r="T26" s="969"/>
      <c r="U26" s="969"/>
      <c r="V26" s="447">
        <f>'Prod Parameters'!F24</f>
        <v>176640</v>
      </c>
      <c r="W26" s="363"/>
      <c r="X26" s="363"/>
      <c r="Y26" s="363"/>
      <c r="Z26" s="363"/>
      <c r="AA26" s="367"/>
      <c r="AB26"/>
      <c r="AC26"/>
      <c r="AD26"/>
      <c r="AE26"/>
      <c r="AF26"/>
      <c r="AG26"/>
      <c r="AH26"/>
      <c r="AI26"/>
      <c r="AJ26"/>
      <c r="AK26"/>
      <c r="AL26"/>
      <c r="AM26"/>
      <c r="AN26"/>
      <c r="AO26"/>
      <c r="AP26"/>
      <c r="AQ26"/>
      <c r="AR26"/>
      <c r="AS26"/>
      <c r="AT26"/>
      <c r="AU26"/>
      <c r="AV26"/>
      <c r="AW26"/>
      <c r="AX26"/>
    </row>
    <row r="27" spans="1:50" ht="12.75" customHeight="1">
      <c r="A27" s="121"/>
      <c r="B27" s="121"/>
      <c r="C27" s="121"/>
      <c r="D27" s="121"/>
      <c r="E27" s="121"/>
      <c r="F27" s="121"/>
      <c r="G27" s="121"/>
      <c r="H27" s="121"/>
      <c r="I27" s="121"/>
      <c r="J27" s="121"/>
      <c r="K27" s="121"/>
      <c r="L27" s="121"/>
      <c r="M27" s="121"/>
      <c r="N27" s="121"/>
      <c r="O27" s="121"/>
      <c r="P27" s="121"/>
      <c r="Q27" s="360"/>
      <c r="R27" s="363"/>
      <c r="S27" s="363"/>
      <c r="T27" s="363"/>
      <c r="U27" s="363"/>
      <c r="V27" s="363"/>
      <c r="W27" s="363"/>
      <c r="X27" s="363"/>
      <c r="Y27" s="363"/>
      <c r="Z27" s="363"/>
      <c r="AA27" s="367"/>
      <c r="AB27"/>
      <c r="AC27"/>
      <c r="AD27"/>
      <c r="AE27"/>
      <c r="AF27"/>
      <c r="AG27"/>
      <c r="AH27"/>
      <c r="AI27"/>
      <c r="AJ27"/>
      <c r="AK27"/>
      <c r="AL27"/>
      <c r="AM27"/>
      <c r="AN27"/>
      <c r="AO27"/>
      <c r="AP27"/>
      <c r="AQ27"/>
      <c r="AR27"/>
      <c r="AS27"/>
      <c r="AT27"/>
      <c r="AU27"/>
      <c r="AV27"/>
      <c r="AW27"/>
      <c r="AX27"/>
    </row>
    <row r="28" spans="1:50" ht="12.75" customHeight="1">
      <c r="A28" s="121"/>
      <c r="B28" s="121"/>
      <c r="C28" s="121"/>
      <c r="D28" s="121"/>
      <c r="E28" s="121"/>
      <c r="F28" s="121"/>
      <c r="G28" s="121"/>
      <c r="H28" s="121"/>
      <c r="I28" s="121"/>
      <c r="J28" s="121"/>
      <c r="K28" s="121"/>
      <c r="L28" s="121"/>
      <c r="M28" s="121"/>
      <c r="N28" s="121"/>
      <c r="O28" s="121"/>
      <c r="P28" s="121"/>
      <c r="Q28" s="385" t="s">
        <v>33</v>
      </c>
      <c r="R28" s="1008" t="s">
        <v>821</v>
      </c>
      <c r="S28" s="1008"/>
      <c r="T28" s="1008"/>
      <c r="U28" s="1008"/>
      <c r="V28" s="1008"/>
      <c r="W28" s="1008"/>
      <c r="X28" s="1008"/>
      <c r="Y28" s="1008"/>
      <c r="Z28" s="536"/>
      <c r="AA28" s="367"/>
      <c r="AB28"/>
      <c r="AC28"/>
      <c r="AD28"/>
      <c r="AE28"/>
      <c r="AF28"/>
      <c r="AG28"/>
      <c r="AH28"/>
      <c r="AI28"/>
      <c r="AJ28"/>
      <c r="AK28"/>
      <c r="AL28"/>
      <c r="AM28"/>
      <c r="AN28"/>
      <c r="AO28"/>
      <c r="AP28"/>
      <c r="AQ28"/>
      <c r="AR28"/>
      <c r="AS28"/>
      <c r="AT28"/>
      <c r="AU28"/>
      <c r="AV28"/>
      <c r="AW28"/>
      <c r="AX28"/>
    </row>
    <row r="29" spans="1:50" ht="12.75" customHeight="1">
      <c r="A29" s="121"/>
      <c r="B29" s="121"/>
      <c r="C29" s="121"/>
      <c r="D29" s="121"/>
      <c r="E29" s="121"/>
      <c r="F29" s="121"/>
      <c r="G29" s="121"/>
      <c r="H29" s="121"/>
      <c r="I29" s="121"/>
      <c r="J29" s="121"/>
      <c r="K29" s="121"/>
      <c r="L29" s="121"/>
      <c r="M29" s="121"/>
      <c r="N29" s="121"/>
      <c r="O29" s="121"/>
      <c r="P29" s="121"/>
      <c r="Q29" s="546"/>
      <c r="R29" s="363"/>
      <c r="S29" s="363"/>
      <c r="T29" s="363"/>
      <c r="U29" s="363"/>
      <c r="V29" s="363"/>
      <c r="W29" s="363"/>
      <c r="X29" s="363"/>
      <c r="Y29" s="363"/>
      <c r="Z29" s="363"/>
      <c r="AA29" s="367"/>
      <c r="AB29"/>
      <c r="AC29"/>
      <c r="AD29"/>
      <c r="AE29"/>
      <c r="AF29"/>
      <c r="AG29"/>
      <c r="AH29"/>
      <c r="AI29"/>
      <c r="AJ29"/>
      <c r="AK29"/>
      <c r="AL29"/>
      <c r="AM29"/>
      <c r="AN29"/>
      <c r="AO29"/>
      <c r="AP29"/>
      <c r="AQ29"/>
      <c r="AR29"/>
      <c r="AS29"/>
      <c r="AT29"/>
      <c r="AU29"/>
      <c r="AV29"/>
      <c r="AW29"/>
      <c r="AX29"/>
    </row>
    <row r="30" spans="1:50" ht="12.75" customHeight="1">
      <c r="A30" s="121"/>
      <c r="B30" s="121"/>
      <c r="C30" s="121"/>
      <c r="D30" s="121"/>
      <c r="E30" s="121"/>
      <c r="F30" s="121"/>
      <c r="G30" s="121"/>
      <c r="H30" s="121"/>
      <c r="I30" s="121"/>
      <c r="J30" s="121"/>
      <c r="K30" s="121"/>
      <c r="L30" s="121"/>
      <c r="M30" s="121"/>
      <c r="N30" s="121"/>
      <c r="O30" s="121"/>
      <c r="P30" s="121"/>
      <c r="Q30" s="546">
        <v>2.1</v>
      </c>
      <c r="R30" s="363" t="s">
        <v>831</v>
      </c>
      <c r="S30" s="363"/>
      <c r="T30" s="363"/>
      <c r="U30" s="550"/>
      <c r="V30" s="550"/>
      <c r="W30" s="550"/>
      <c r="X30" s="550"/>
      <c r="Y30" s="551"/>
      <c r="Z30" s="551"/>
      <c r="AA30" s="367"/>
      <c r="AB30"/>
      <c r="AC30"/>
      <c r="AD30"/>
      <c r="AE30"/>
      <c r="AF30"/>
      <c r="AG30"/>
      <c r="AH30"/>
      <c r="AI30"/>
      <c r="AJ30"/>
      <c r="AK30"/>
      <c r="AL30"/>
      <c r="AM30"/>
      <c r="AN30"/>
      <c r="AO30"/>
      <c r="AP30"/>
      <c r="AQ30"/>
      <c r="AR30"/>
      <c r="AS30"/>
      <c r="AT30"/>
      <c r="AU30"/>
      <c r="AV30"/>
      <c r="AW30"/>
      <c r="AX30"/>
    </row>
    <row r="31" spans="1:50" ht="12.75" customHeight="1">
      <c r="A31" s="121"/>
      <c r="B31" s="121"/>
      <c r="C31" s="121"/>
      <c r="D31" s="121"/>
      <c r="E31" s="121"/>
      <c r="F31" s="121"/>
      <c r="G31" s="121"/>
      <c r="H31" s="121"/>
      <c r="I31" s="121"/>
      <c r="J31" s="121"/>
      <c r="K31" s="121"/>
      <c r="L31" s="121"/>
      <c r="M31" s="121"/>
      <c r="N31" s="121"/>
      <c r="O31" s="121"/>
      <c r="P31" s="121"/>
      <c r="Q31" s="546"/>
      <c r="R31" s="998" t="s">
        <v>77</v>
      </c>
      <c r="S31" s="999"/>
      <c r="T31" s="1000"/>
      <c r="U31" s="1019" t="s">
        <v>824</v>
      </c>
      <c r="V31" s="1019" t="s">
        <v>828</v>
      </c>
      <c r="W31" s="1019" t="s">
        <v>826</v>
      </c>
      <c r="X31" s="1019" t="s">
        <v>23</v>
      </c>
      <c r="Y31" s="552"/>
      <c r="Z31" s="552"/>
      <c r="AA31" s="367"/>
      <c r="AB31"/>
      <c r="AC31"/>
      <c r="AD31"/>
      <c r="AE31"/>
      <c r="AF31"/>
      <c r="AG31"/>
      <c r="AH31"/>
      <c r="AI31"/>
      <c r="AJ31"/>
      <c r="AK31"/>
      <c r="AL31"/>
      <c r="AM31"/>
      <c r="AN31"/>
      <c r="AO31"/>
      <c r="AP31"/>
      <c r="AQ31"/>
      <c r="AR31"/>
      <c r="AS31"/>
      <c r="AT31"/>
      <c r="AU31"/>
      <c r="AV31"/>
      <c r="AW31"/>
      <c r="AX31"/>
    </row>
    <row r="32" spans="1:50" ht="12.75" customHeight="1">
      <c r="A32" s="121"/>
      <c r="B32" s="121"/>
      <c r="C32" s="121"/>
      <c r="D32" s="121"/>
      <c r="E32" s="121"/>
      <c r="F32" s="121"/>
      <c r="G32" s="121"/>
      <c r="H32" s="121"/>
      <c r="I32" s="121"/>
      <c r="J32" s="121"/>
      <c r="K32" s="121"/>
      <c r="L32" s="121"/>
      <c r="M32" s="121"/>
      <c r="N32" s="121"/>
      <c r="O32" s="121"/>
      <c r="P32" s="121"/>
      <c r="Q32" s="546"/>
      <c r="R32" s="1001"/>
      <c r="S32" s="1002"/>
      <c r="T32" s="1003"/>
      <c r="U32" s="1019"/>
      <c r="V32" s="1019"/>
      <c r="W32" s="1019"/>
      <c r="X32" s="1019"/>
      <c r="Y32" s="364"/>
      <c r="Z32" s="364"/>
      <c r="AA32" s="367"/>
      <c r="AB32"/>
      <c r="AC32"/>
      <c r="AD32"/>
      <c r="AE32"/>
      <c r="AF32"/>
      <c r="AG32"/>
      <c r="AH32"/>
      <c r="AI32"/>
      <c r="AJ32"/>
      <c r="AK32"/>
      <c r="AL32"/>
      <c r="AM32"/>
      <c r="AN32"/>
      <c r="AO32"/>
      <c r="AP32"/>
      <c r="AQ32"/>
      <c r="AR32"/>
      <c r="AS32"/>
      <c r="AT32"/>
      <c r="AU32"/>
      <c r="AV32"/>
      <c r="AW32"/>
      <c r="AX32"/>
    </row>
    <row r="33" spans="1:50" ht="12.75" customHeight="1">
      <c r="A33" s="121"/>
      <c r="B33" s="121"/>
      <c r="C33" s="121"/>
      <c r="D33" s="121"/>
      <c r="E33" s="121"/>
      <c r="F33" s="121"/>
      <c r="G33" s="121"/>
      <c r="H33" s="121"/>
      <c r="I33" s="121"/>
      <c r="J33" s="121"/>
      <c r="K33" s="121"/>
      <c r="L33" s="121"/>
      <c r="M33" s="121"/>
      <c r="N33" s="121"/>
      <c r="O33" s="121"/>
      <c r="P33" s="121"/>
      <c r="Q33" s="546"/>
      <c r="R33" s="1020" t="s">
        <v>500</v>
      </c>
      <c r="S33" s="1020"/>
      <c r="T33" s="1020"/>
      <c r="U33" s="369">
        <v>23.9</v>
      </c>
      <c r="V33" s="369">
        <f>'Lookup Properties'!$C$7</f>
        <v>15.4</v>
      </c>
      <c r="W33" s="369">
        <f>'Lookup Properties'!$D$7</f>
        <v>4.8</v>
      </c>
      <c r="X33" s="553">
        <f>SUM(U33:W33)</f>
        <v>44.099999999999994</v>
      </c>
      <c r="Y33" s="364"/>
      <c r="Z33" s="364"/>
      <c r="AA33" s="367"/>
      <c r="AB33"/>
      <c r="AC33"/>
      <c r="AD33"/>
      <c r="AE33"/>
      <c r="AF33"/>
      <c r="AG33"/>
      <c r="AH33"/>
      <c r="AI33"/>
      <c r="AJ33"/>
      <c r="AK33"/>
      <c r="AL33"/>
      <c r="AM33"/>
      <c r="AN33"/>
      <c r="AO33"/>
      <c r="AP33"/>
      <c r="AQ33"/>
      <c r="AR33"/>
      <c r="AS33"/>
      <c r="AT33"/>
      <c r="AU33"/>
      <c r="AV33"/>
      <c r="AW33"/>
      <c r="AX33"/>
    </row>
    <row r="34" spans="1:50" ht="12.75" customHeight="1">
      <c r="A34" s="121"/>
      <c r="B34" s="121"/>
      <c r="C34" s="121"/>
      <c r="D34" s="121"/>
      <c r="E34" s="121"/>
      <c r="F34" s="121"/>
      <c r="G34" s="121"/>
      <c r="H34" s="121"/>
      <c r="I34" s="121"/>
      <c r="J34" s="121"/>
      <c r="K34" s="121"/>
      <c r="L34" s="121"/>
      <c r="M34" s="121"/>
      <c r="N34" s="121"/>
      <c r="O34" s="121"/>
      <c r="P34" s="121"/>
      <c r="Q34" s="546"/>
      <c r="R34" s="1017" t="s">
        <v>22</v>
      </c>
      <c r="S34" s="1017"/>
      <c r="T34" s="1017"/>
      <c r="U34" s="369">
        <f>'Lookup Properties'!$B$5</f>
        <v>22.35</v>
      </c>
      <c r="V34" s="369">
        <f>'Lookup Properties'!$C$5</f>
        <v>17.399999999999999</v>
      </c>
      <c r="W34" s="369">
        <f>'Lookup Properties'!$D$5</f>
        <v>5</v>
      </c>
      <c r="X34" s="553">
        <f>SUM(U34:W34)</f>
        <v>44.75</v>
      </c>
      <c r="Y34" s="364"/>
      <c r="Z34" s="364"/>
      <c r="AA34" s="367"/>
      <c r="AB34"/>
      <c r="AC34"/>
      <c r="AD34"/>
      <c r="AE34"/>
      <c r="AF34"/>
      <c r="AG34"/>
      <c r="AH34"/>
      <c r="AI34"/>
      <c r="AJ34"/>
      <c r="AK34"/>
      <c r="AL34"/>
      <c r="AM34"/>
      <c r="AN34"/>
      <c r="AO34"/>
      <c r="AP34"/>
      <c r="AQ34"/>
      <c r="AR34"/>
      <c r="AS34"/>
      <c r="AT34"/>
      <c r="AU34"/>
      <c r="AV34"/>
      <c r="AW34"/>
      <c r="AX34"/>
    </row>
    <row r="35" spans="1:50" ht="12.75" customHeight="1">
      <c r="A35" s="121"/>
      <c r="B35" s="121"/>
      <c r="C35" s="121"/>
      <c r="D35" s="121"/>
      <c r="E35" s="121"/>
      <c r="F35" s="121"/>
      <c r="G35" s="121"/>
      <c r="H35" s="121"/>
      <c r="I35" s="121"/>
      <c r="J35" s="121"/>
      <c r="K35" s="121"/>
      <c r="L35" s="121"/>
      <c r="M35" s="121"/>
      <c r="N35" s="121"/>
      <c r="O35" s="121"/>
      <c r="P35" s="121"/>
      <c r="Q35" s="546"/>
      <c r="R35" s="1018" t="s">
        <v>579</v>
      </c>
      <c r="S35" s="1018"/>
      <c r="T35" s="1018"/>
      <c r="U35" s="369">
        <f>'Lookup Properties'!$B$6</f>
        <v>22.15</v>
      </c>
      <c r="V35" s="369">
        <f>'Lookup Properties'!$C$6</f>
        <v>18.149999999999999</v>
      </c>
      <c r="W35" s="369">
        <f>'Lookup Properties'!$D$6</f>
        <v>5</v>
      </c>
      <c r="X35" s="553">
        <f>SUM(U35:W35)</f>
        <v>45.3</v>
      </c>
      <c r="Y35" s="364"/>
      <c r="Z35" s="364"/>
      <c r="AA35" s="367"/>
      <c r="AB35"/>
      <c r="AC35"/>
      <c r="AD35"/>
      <c r="AE35"/>
      <c r="AF35"/>
      <c r="AG35"/>
      <c r="AH35"/>
      <c r="AI35"/>
      <c r="AJ35"/>
      <c r="AK35"/>
      <c r="AL35"/>
      <c r="AM35"/>
      <c r="AN35"/>
      <c r="AO35"/>
      <c r="AP35"/>
      <c r="AQ35"/>
      <c r="AR35"/>
      <c r="AS35"/>
      <c r="AT35"/>
      <c r="AU35"/>
      <c r="AV35"/>
      <c r="AW35"/>
      <c r="AX35"/>
    </row>
    <row r="36" spans="1:50" ht="12.75" customHeight="1">
      <c r="A36" s="121"/>
      <c r="B36" s="121"/>
      <c r="C36" s="121"/>
      <c r="D36" s="121"/>
      <c r="E36" s="121"/>
      <c r="F36" s="121"/>
      <c r="G36" s="121"/>
      <c r="H36" s="121"/>
      <c r="I36" s="121"/>
      <c r="J36" s="121"/>
      <c r="K36" s="121"/>
      <c r="L36" s="121"/>
      <c r="M36" s="121"/>
      <c r="N36" s="121"/>
      <c r="O36" s="121"/>
      <c r="P36" s="121"/>
      <c r="Q36" s="546"/>
      <c r="R36" s="1016" t="s">
        <v>21</v>
      </c>
      <c r="S36" s="1016"/>
      <c r="T36" s="1016"/>
      <c r="U36" s="369">
        <f>'Lookup Properties'!$B$4</f>
        <v>21.25</v>
      </c>
      <c r="V36" s="369">
        <f>'Lookup Properties'!$C$4</f>
        <v>17.399999999999999</v>
      </c>
      <c r="W36" s="369">
        <f>'Lookup Properties'!$D$4</f>
        <v>5</v>
      </c>
      <c r="X36" s="553">
        <f>SUM(U36:W36)</f>
        <v>43.65</v>
      </c>
      <c r="Y36" s="364"/>
      <c r="Z36" s="364"/>
      <c r="AA36" s="367"/>
      <c r="AB36"/>
      <c r="AC36"/>
      <c r="AD36"/>
      <c r="AE36"/>
      <c r="AF36"/>
      <c r="AG36"/>
      <c r="AH36"/>
      <c r="AI36"/>
      <c r="AJ36"/>
      <c r="AK36"/>
      <c r="AL36"/>
      <c r="AM36"/>
      <c r="AN36"/>
      <c r="AO36"/>
      <c r="AP36"/>
      <c r="AQ36"/>
      <c r="AR36"/>
      <c r="AS36"/>
      <c r="AT36"/>
      <c r="AU36"/>
      <c r="AV36"/>
      <c r="AW36"/>
      <c r="AX36"/>
    </row>
    <row r="37" spans="1:50" ht="12.75" customHeight="1">
      <c r="A37" s="121"/>
      <c r="B37" s="121"/>
      <c r="C37" s="121"/>
      <c r="D37" s="121"/>
      <c r="E37" s="121"/>
      <c r="F37" s="121"/>
      <c r="G37" s="121"/>
      <c r="H37" s="121"/>
      <c r="I37" s="121"/>
      <c r="J37" s="121"/>
      <c r="K37" s="121"/>
      <c r="L37" s="121"/>
      <c r="M37" s="121"/>
      <c r="N37" s="121"/>
      <c r="O37" s="121"/>
      <c r="P37" s="121"/>
      <c r="Q37" s="364"/>
      <c r="R37" s="364"/>
      <c r="S37" s="364"/>
      <c r="T37" s="364"/>
      <c r="U37" s="555"/>
      <c r="V37" s="555"/>
      <c r="W37" s="555"/>
      <c r="X37" s="555"/>
      <c r="Y37" s="555"/>
      <c r="Z37" s="364"/>
      <c r="AA37" s="367"/>
      <c r="AB37"/>
      <c r="AC37"/>
      <c r="AD37"/>
      <c r="AE37"/>
      <c r="AF37"/>
      <c r="AG37"/>
      <c r="AH37"/>
      <c r="AI37"/>
      <c r="AJ37"/>
      <c r="AK37"/>
      <c r="AL37"/>
      <c r="AM37"/>
      <c r="AN37"/>
      <c r="AO37"/>
      <c r="AP37"/>
      <c r="AQ37"/>
      <c r="AR37"/>
      <c r="AS37"/>
      <c r="AT37"/>
      <c r="AU37"/>
      <c r="AV37"/>
      <c r="AW37"/>
      <c r="AX37"/>
    </row>
    <row r="38" spans="1:50" ht="12.75" customHeight="1">
      <c r="A38" s="121"/>
      <c r="B38" s="121"/>
      <c r="C38" s="121"/>
      <c r="D38" s="121"/>
      <c r="E38" s="121"/>
      <c r="F38" s="121"/>
      <c r="G38" s="121"/>
      <c r="H38" s="121"/>
      <c r="I38" s="121"/>
      <c r="J38" s="121"/>
      <c r="K38" s="121"/>
      <c r="L38" s="121"/>
      <c r="M38" s="121"/>
      <c r="N38" s="121"/>
      <c r="O38" s="121"/>
      <c r="P38" s="121"/>
      <c r="Q38" s="360">
        <v>2.2000000000000002</v>
      </c>
      <c r="R38" s="363" t="s">
        <v>832</v>
      </c>
      <c r="S38" s="363"/>
      <c r="T38" s="363"/>
      <c r="U38" s="363"/>
      <c r="V38" s="363"/>
      <c r="W38" s="363"/>
      <c r="X38" s="363"/>
      <c r="Y38" s="363"/>
      <c r="Z38" s="364"/>
      <c r="AA38" s="367"/>
      <c r="AB38"/>
      <c r="AC38"/>
      <c r="AD38"/>
      <c r="AE38"/>
      <c r="AF38"/>
      <c r="AG38"/>
      <c r="AH38"/>
      <c r="AI38"/>
      <c r="AJ38"/>
      <c r="AK38"/>
      <c r="AL38"/>
      <c r="AM38"/>
      <c r="AN38"/>
      <c r="AO38"/>
      <c r="AP38"/>
      <c r="AQ38"/>
      <c r="AR38"/>
      <c r="AS38"/>
      <c r="AT38"/>
      <c r="AU38"/>
      <c r="AV38"/>
      <c r="AW38"/>
      <c r="AX38"/>
    </row>
    <row r="39" spans="1:50" ht="12.75" customHeight="1">
      <c r="A39" s="121"/>
      <c r="B39" s="121"/>
      <c r="C39" s="121"/>
      <c r="D39" s="121"/>
      <c r="E39" s="121"/>
      <c r="F39" s="121"/>
      <c r="G39" s="121"/>
      <c r="H39" s="121"/>
      <c r="I39" s="121"/>
      <c r="J39" s="121"/>
      <c r="K39" s="121"/>
      <c r="L39" s="121"/>
      <c r="M39" s="121"/>
      <c r="N39" s="121"/>
      <c r="O39" s="121"/>
      <c r="P39" s="121"/>
      <c r="Q39" s="360"/>
      <c r="R39" s="998" t="s">
        <v>77</v>
      </c>
      <c r="S39" s="999"/>
      <c r="T39" s="1000"/>
      <c r="U39" s="1019" t="s">
        <v>824</v>
      </c>
      <c r="V39" s="1019" t="s">
        <v>828</v>
      </c>
      <c r="W39" s="1019" t="s">
        <v>826</v>
      </c>
      <c r="X39" s="1019" t="s">
        <v>23</v>
      </c>
      <c r="Y39" s="364"/>
      <c r="Z39" s="364"/>
      <c r="AA39" s="367"/>
      <c r="AB39"/>
      <c r="AC39"/>
      <c r="AD39"/>
      <c r="AE39"/>
      <c r="AF39"/>
      <c r="AG39"/>
      <c r="AH39"/>
      <c r="AI39"/>
      <c r="AJ39"/>
      <c r="AK39"/>
      <c r="AL39"/>
      <c r="AM39"/>
      <c r="AN39"/>
      <c r="AO39"/>
      <c r="AP39"/>
      <c r="AQ39"/>
      <c r="AR39"/>
      <c r="AS39"/>
      <c r="AT39"/>
      <c r="AU39"/>
      <c r="AV39"/>
      <c r="AW39"/>
      <c r="AX39"/>
    </row>
    <row r="40" spans="1:50" ht="12.75" customHeight="1">
      <c r="A40" s="121"/>
      <c r="B40" s="121"/>
      <c r="C40" s="121"/>
      <c r="D40" s="121"/>
      <c r="E40" s="121"/>
      <c r="F40" s="121"/>
      <c r="G40" s="121"/>
      <c r="H40" s="121"/>
      <c r="I40" s="121"/>
      <c r="J40" s="121"/>
      <c r="K40" s="121"/>
      <c r="L40" s="121"/>
      <c r="M40" s="121"/>
      <c r="N40" s="121"/>
      <c r="O40" s="121"/>
      <c r="P40" s="121"/>
      <c r="Q40" s="360"/>
      <c r="R40" s="1001"/>
      <c r="S40" s="1002"/>
      <c r="T40" s="1003"/>
      <c r="U40" s="1019"/>
      <c r="V40" s="1019"/>
      <c r="W40" s="1019"/>
      <c r="X40" s="1019"/>
      <c r="Y40" s="364"/>
      <c r="Z40" s="364"/>
      <c r="AA40" s="367"/>
      <c r="AB40"/>
      <c r="AC40"/>
      <c r="AD40"/>
      <c r="AE40"/>
      <c r="AF40"/>
      <c r="AG40"/>
      <c r="AH40"/>
      <c r="AI40"/>
      <c r="AJ40"/>
      <c r="AK40"/>
      <c r="AL40"/>
      <c r="AM40"/>
      <c r="AN40"/>
      <c r="AO40"/>
      <c r="AP40"/>
      <c r="AQ40"/>
      <c r="AR40"/>
      <c r="AS40"/>
      <c r="AT40"/>
      <c r="AU40"/>
      <c r="AV40"/>
      <c r="AW40"/>
      <c r="AX40"/>
    </row>
    <row r="41" spans="1:50" ht="12.75" customHeight="1">
      <c r="A41" s="121"/>
      <c r="B41" s="121"/>
      <c r="C41" s="121"/>
      <c r="D41" s="121"/>
      <c r="E41" s="121"/>
      <c r="F41" s="121"/>
      <c r="G41" s="121"/>
      <c r="H41" s="121"/>
      <c r="I41" s="121"/>
      <c r="J41" s="121"/>
      <c r="K41" s="121"/>
      <c r="L41" s="121"/>
      <c r="M41" s="121"/>
      <c r="N41" s="121"/>
      <c r="O41" s="121"/>
      <c r="P41" s="121"/>
      <c r="Q41" s="360"/>
      <c r="R41" s="1020" t="s">
        <v>500</v>
      </c>
      <c r="S41" s="1020"/>
      <c r="T41" s="1020"/>
      <c r="U41" s="556">
        <f>'Lookup Properties'!$B$13</f>
        <v>0.74</v>
      </c>
      <c r="V41" s="556">
        <f>'Lookup Properties'!$C$13</f>
        <v>0.78</v>
      </c>
      <c r="W41" s="556">
        <f>'Lookup Properties'!$D$13</f>
        <v>1.26</v>
      </c>
      <c r="X41" s="553">
        <f>SUM(U41:W41)</f>
        <v>2.7800000000000002</v>
      </c>
      <c r="Y41" s="364"/>
      <c r="Z41" s="364"/>
      <c r="AA41" s="367"/>
      <c r="AB41"/>
      <c r="AC41"/>
      <c r="AD41"/>
      <c r="AE41"/>
      <c r="AF41"/>
      <c r="AG41"/>
      <c r="AH41"/>
      <c r="AI41"/>
      <c r="AJ41"/>
      <c r="AK41"/>
      <c r="AL41"/>
      <c r="AM41"/>
      <c r="AN41"/>
      <c r="AO41"/>
      <c r="AP41"/>
      <c r="AQ41"/>
      <c r="AR41"/>
      <c r="AS41"/>
      <c r="AT41"/>
      <c r="AU41"/>
      <c r="AV41"/>
      <c r="AW41"/>
      <c r="AX41"/>
    </row>
    <row r="42" spans="1:50" ht="12.75" customHeight="1">
      <c r="A42" s="121"/>
      <c r="B42" s="121"/>
      <c r="C42" s="121"/>
      <c r="D42" s="121"/>
      <c r="E42" s="121"/>
      <c r="F42" s="121"/>
      <c r="G42" s="121"/>
      <c r="H42" s="121"/>
      <c r="I42" s="121"/>
      <c r="J42" s="121"/>
      <c r="K42" s="121"/>
      <c r="L42" s="121"/>
      <c r="M42" s="121"/>
      <c r="N42" s="121"/>
      <c r="O42" s="121"/>
      <c r="P42" s="121"/>
      <c r="Q42" s="360"/>
      <c r="R42" s="1017" t="s">
        <v>22</v>
      </c>
      <c r="S42" s="1017"/>
      <c r="T42" s="1017"/>
      <c r="U42" s="557">
        <f>'Lookup Properties'!$B$11</f>
        <v>0.71499999999999997</v>
      </c>
      <c r="V42" s="557">
        <f>'Lookup Properties'!$C$11</f>
        <v>1.03</v>
      </c>
      <c r="W42" s="557">
        <f>'Lookup Properties'!$D$11</f>
        <v>1.29</v>
      </c>
      <c r="X42" s="553">
        <f>SUM(U42:W42)</f>
        <v>3.0350000000000001</v>
      </c>
      <c r="Y42" s="364"/>
      <c r="Z42" s="364"/>
      <c r="AA42" s="367"/>
      <c r="AB42"/>
      <c r="AC42"/>
      <c r="AD42"/>
      <c r="AE42"/>
      <c r="AF42"/>
      <c r="AG42"/>
      <c r="AH42"/>
      <c r="AI42"/>
      <c r="AJ42"/>
      <c r="AK42"/>
      <c r="AL42"/>
      <c r="AM42"/>
      <c r="AN42"/>
      <c r="AO42"/>
      <c r="AP42"/>
      <c r="AQ42"/>
      <c r="AR42"/>
      <c r="AS42"/>
      <c r="AT42"/>
      <c r="AU42"/>
      <c r="AV42"/>
      <c r="AW42"/>
      <c r="AX42"/>
    </row>
    <row r="43" spans="1:50" ht="12.75" customHeight="1">
      <c r="A43" s="121"/>
      <c r="B43" s="121"/>
      <c r="C43" s="121"/>
      <c r="D43" s="121"/>
      <c r="E43" s="121"/>
      <c r="F43" s="121"/>
      <c r="G43" s="121"/>
      <c r="H43" s="121"/>
      <c r="I43" s="121"/>
      <c r="J43" s="121"/>
      <c r="K43" s="121"/>
      <c r="L43" s="121"/>
      <c r="M43" s="121"/>
      <c r="N43" s="121"/>
      <c r="O43" s="121"/>
      <c r="P43" s="121"/>
      <c r="Q43" s="360"/>
      <c r="R43" s="1018" t="s">
        <v>579</v>
      </c>
      <c r="S43" s="1018"/>
      <c r="T43" s="1018"/>
      <c r="U43" s="557">
        <f>'Lookup Properties'!$B$12</f>
        <v>0.755</v>
      </c>
      <c r="V43" s="557">
        <f>'Lookup Properties'!$C$12</f>
        <v>1.07</v>
      </c>
      <c r="W43" s="557">
        <f>'Lookup Properties'!$D$12</f>
        <v>1.2949999999999999</v>
      </c>
      <c r="X43" s="553">
        <f>SUM(U43:W43)</f>
        <v>3.12</v>
      </c>
      <c r="Y43" s="364"/>
      <c r="Z43" s="364"/>
      <c r="AA43" s="367"/>
      <c r="AB43"/>
      <c r="AC43"/>
      <c r="AD43"/>
      <c r="AE43"/>
      <c r="AF43"/>
      <c r="AG43"/>
      <c r="AH43"/>
      <c r="AI43"/>
      <c r="AJ43"/>
      <c r="AK43"/>
      <c r="AL43"/>
      <c r="AM43"/>
      <c r="AN43"/>
      <c r="AO43"/>
      <c r="AP43"/>
      <c r="AQ43"/>
      <c r="AR43"/>
      <c r="AS43"/>
      <c r="AT43"/>
      <c r="AU43"/>
      <c r="AV43"/>
      <c r="AW43"/>
      <c r="AX43"/>
    </row>
    <row r="44" spans="1:50" ht="12.75" customHeight="1">
      <c r="A44" s="121"/>
      <c r="B44" s="121"/>
      <c r="C44" s="121"/>
      <c r="D44" s="121"/>
      <c r="E44" s="121"/>
      <c r="F44" s="121"/>
      <c r="G44" s="121"/>
      <c r="H44" s="121"/>
      <c r="I44" s="121"/>
      <c r="J44" s="121"/>
      <c r="K44" s="121"/>
      <c r="L44" s="121"/>
      <c r="M44" s="121"/>
      <c r="N44" s="121"/>
      <c r="O44" s="121"/>
      <c r="P44" s="121"/>
      <c r="Q44" s="360"/>
      <c r="R44" s="1016" t="s">
        <v>21</v>
      </c>
      <c r="S44" s="1016"/>
      <c r="T44" s="1016"/>
      <c r="U44" s="557">
        <f>'Lookup Properties'!$B$10</f>
        <v>0.71</v>
      </c>
      <c r="V44" s="557">
        <f>'Lookup Properties'!$C$10</f>
        <v>1.03</v>
      </c>
      <c r="W44" s="557">
        <f>'Lookup Properties'!$D$10</f>
        <v>1.29</v>
      </c>
      <c r="X44" s="553">
        <f>SUM(U44:W44)</f>
        <v>3.0300000000000002</v>
      </c>
      <c r="Y44" s="364"/>
      <c r="Z44" s="364"/>
      <c r="AA44" s="367"/>
      <c r="AB44"/>
      <c r="AC44"/>
      <c r="AD44"/>
      <c r="AE44"/>
      <c r="AF44"/>
      <c r="AG44"/>
      <c r="AH44"/>
      <c r="AI44"/>
      <c r="AJ44"/>
      <c r="AK44"/>
      <c r="AL44"/>
      <c r="AM44"/>
      <c r="AN44"/>
      <c r="AO44"/>
      <c r="AP44"/>
      <c r="AQ44"/>
      <c r="AR44"/>
      <c r="AS44"/>
      <c r="AT44"/>
      <c r="AU44"/>
      <c r="AV44"/>
      <c r="AW44"/>
      <c r="AX44"/>
    </row>
    <row r="45" spans="1:50" ht="12.75" customHeight="1">
      <c r="A45" s="121"/>
      <c r="B45" s="121"/>
      <c r="C45" s="121"/>
      <c r="D45" s="121"/>
      <c r="E45" s="121"/>
      <c r="F45" s="121"/>
      <c r="G45" s="121"/>
      <c r="H45" s="121"/>
      <c r="I45" s="121"/>
      <c r="J45" s="121"/>
      <c r="K45" s="121"/>
      <c r="L45" s="121"/>
      <c r="M45" s="121"/>
      <c r="N45" s="121"/>
      <c r="O45" s="121"/>
      <c r="P45" s="121"/>
      <c r="Q45" s="364"/>
      <c r="R45" s="364"/>
      <c r="S45" s="364"/>
      <c r="T45" s="364"/>
      <c r="U45" s="555"/>
      <c r="V45" s="555"/>
      <c r="W45" s="555"/>
      <c r="X45" s="555"/>
      <c r="Y45" s="555"/>
      <c r="Z45" s="364"/>
      <c r="AA45" s="367"/>
      <c r="AB45"/>
      <c r="AC45"/>
      <c r="AD45"/>
      <c r="AE45"/>
      <c r="AF45"/>
      <c r="AG45"/>
      <c r="AH45"/>
      <c r="AI45"/>
      <c r="AJ45"/>
      <c r="AK45"/>
      <c r="AL45"/>
      <c r="AM45"/>
      <c r="AN45"/>
      <c r="AO45"/>
      <c r="AP45"/>
      <c r="AQ45"/>
      <c r="AR45"/>
      <c r="AS45"/>
      <c r="AT45"/>
      <c r="AU45"/>
      <c r="AV45"/>
      <c r="AW45"/>
      <c r="AX45"/>
    </row>
    <row r="46" spans="1:50" ht="12.75" customHeight="1">
      <c r="A46" s="121"/>
      <c r="B46" s="121"/>
      <c r="C46" s="121"/>
      <c r="D46" s="121"/>
      <c r="E46" s="121"/>
      <c r="F46" s="121"/>
      <c r="G46" s="121"/>
      <c r="H46" s="121"/>
      <c r="I46" s="121"/>
      <c r="J46" s="121"/>
      <c r="K46" s="121"/>
      <c r="L46" s="121"/>
      <c r="M46" s="121"/>
      <c r="N46" s="121"/>
      <c r="O46" s="121"/>
      <c r="P46" s="121"/>
      <c r="Q46" s="387" t="s">
        <v>817</v>
      </c>
      <c r="R46" s="1015" t="s">
        <v>206</v>
      </c>
      <c r="S46" s="1015"/>
      <c r="T46" s="1015"/>
      <c r="U46" s="1015"/>
      <c r="V46" s="1015"/>
      <c r="W46" s="1015"/>
      <c r="X46" s="1015"/>
      <c r="Y46" s="1015"/>
      <c r="Z46" s="536"/>
      <c r="AA46" s="367"/>
      <c r="AB46"/>
      <c r="AC46"/>
      <c r="AD46"/>
      <c r="AE46"/>
      <c r="AF46"/>
      <c r="AG46"/>
      <c r="AH46"/>
      <c r="AI46"/>
      <c r="AJ46"/>
      <c r="AK46"/>
      <c r="AL46"/>
      <c r="AM46"/>
      <c r="AN46"/>
      <c r="AO46"/>
      <c r="AP46"/>
      <c r="AQ46"/>
      <c r="AR46"/>
      <c r="AS46"/>
      <c r="AT46"/>
      <c r="AU46"/>
      <c r="AV46"/>
      <c r="AW46"/>
      <c r="AX46"/>
    </row>
    <row r="47" spans="1:50" ht="12.75" customHeight="1">
      <c r="A47" s="121"/>
      <c r="B47" s="121"/>
      <c r="C47" s="121"/>
      <c r="D47" s="121"/>
      <c r="E47" s="121"/>
      <c r="F47" s="121"/>
      <c r="G47" s="121"/>
      <c r="H47" s="121"/>
      <c r="I47" s="121"/>
      <c r="J47" s="121"/>
      <c r="K47" s="121"/>
      <c r="L47" s="121"/>
      <c r="M47" s="121"/>
      <c r="N47" s="121"/>
      <c r="O47" s="121"/>
      <c r="P47" s="121"/>
      <c r="Q47" s="668"/>
      <c r="R47" s="364"/>
      <c r="S47" s="364"/>
      <c r="T47" s="364"/>
      <c r="U47" s="555"/>
      <c r="V47" s="555"/>
      <c r="W47" s="555"/>
      <c r="X47" s="555"/>
      <c r="Y47" s="555"/>
      <c r="Z47" s="364"/>
      <c r="AA47" s="367"/>
      <c r="AB47"/>
      <c r="AC47"/>
      <c r="AD47"/>
      <c r="AE47"/>
      <c r="AF47"/>
      <c r="AG47"/>
      <c r="AH47"/>
      <c r="AI47"/>
      <c r="AJ47"/>
      <c r="AK47"/>
      <c r="AL47"/>
      <c r="AM47"/>
      <c r="AN47"/>
      <c r="AO47"/>
      <c r="AP47"/>
      <c r="AQ47"/>
      <c r="AR47"/>
      <c r="AS47"/>
      <c r="AT47"/>
      <c r="AU47"/>
      <c r="AV47"/>
      <c r="AW47"/>
      <c r="AX47"/>
    </row>
    <row r="48" spans="1:50" ht="12.75" customHeight="1">
      <c r="A48" s="121"/>
      <c r="B48" s="121"/>
      <c r="C48" s="121"/>
      <c r="D48" s="121"/>
      <c r="E48" s="121"/>
      <c r="F48" s="121"/>
      <c r="G48" s="121"/>
      <c r="H48" s="121"/>
      <c r="I48" s="121"/>
      <c r="J48" s="121"/>
      <c r="K48" s="121"/>
      <c r="L48" s="121"/>
      <c r="M48" s="121"/>
      <c r="N48" s="121"/>
      <c r="O48" s="121"/>
      <c r="P48" s="121"/>
      <c r="Q48" s="668" t="s">
        <v>196</v>
      </c>
      <c r="R48" s="364" t="s">
        <v>207</v>
      </c>
      <c r="S48" s="364"/>
      <c r="T48" s="364"/>
      <c r="U48" s="555"/>
      <c r="V48" s="555"/>
      <c r="W48" s="555"/>
      <c r="X48" s="555"/>
      <c r="Y48" s="555"/>
      <c r="Z48" s="364"/>
      <c r="AA48" s="367"/>
      <c r="AB48"/>
      <c r="AC48"/>
      <c r="AD48"/>
      <c r="AE48"/>
      <c r="AF48"/>
      <c r="AG48"/>
      <c r="AH48"/>
      <c r="AI48"/>
      <c r="AJ48"/>
      <c r="AK48"/>
      <c r="AL48"/>
      <c r="AM48"/>
      <c r="AN48"/>
      <c r="AO48"/>
      <c r="AP48"/>
      <c r="AQ48"/>
      <c r="AR48"/>
      <c r="AS48"/>
      <c r="AT48"/>
      <c r="AU48"/>
      <c r="AV48"/>
      <c r="AW48"/>
      <c r="AX48"/>
    </row>
    <row r="49" spans="1:50" ht="12.75" customHeight="1">
      <c r="A49" s="121"/>
      <c r="B49" s="121"/>
      <c r="C49" s="121"/>
      <c r="D49" s="121"/>
      <c r="E49" s="121"/>
      <c r="F49" s="121"/>
      <c r="G49" s="121"/>
      <c r="H49" s="121"/>
      <c r="I49" s="121"/>
      <c r="J49" s="121"/>
      <c r="K49" s="121"/>
      <c r="L49" s="121"/>
      <c r="M49" s="121"/>
      <c r="N49" s="121"/>
      <c r="O49" s="121"/>
      <c r="P49" s="121"/>
      <c r="Q49" s="364"/>
      <c r="R49" s="962" t="s">
        <v>678</v>
      </c>
      <c r="S49" s="963"/>
      <c r="T49" s="964"/>
      <c r="U49" s="949" t="s">
        <v>500</v>
      </c>
      <c r="V49" s="938" t="s">
        <v>22</v>
      </c>
      <c r="W49" s="940" t="s">
        <v>579</v>
      </c>
      <c r="X49" s="942" t="s">
        <v>21</v>
      </c>
      <c r="Y49" s="361"/>
      <c r="Z49" s="364"/>
      <c r="AA49" s="367"/>
      <c r="AB49"/>
      <c r="AC49"/>
      <c r="AD49"/>
      <c r="AE49"/>
      <c r="AF49"/>
      <c r="AG49"/>
      <c r="AH49"/>
      <c r="AI49"/>
      <c r="AJ49"/>
      <c r="AK49"/>
      <c r="AL49"/>
      <c r="AM49"/>
      <c r="AN49"/>
      <c r="AO49"/>
      <c r="AP49"/>
      <c r="AQ49"/>
      <c r="AR49"/>
      <c r="AS49"/>
      <c r="AT49"/>
      <c r="AU49"/>
      <c r="AV49"/>
      <c r="AW49"/>
      <c r="AX49"/>
    </row>
    <row r="50" spans="1:50" ht="12.75" customHeight="1">
      <c r="A50" s="121"/>
      <c r="B50" s="121"/>
      <c r="C50" s="121"/>
      <c r="D50" s="121"/>
      <c r="E50" s="121"/>
      <c r="F50" s="121"/>
      <c r="G50" s="121"/>
      <c r="H50" s="121"/>
      <c r="I50" s="121"/>
      <c r="J50" s="121"/>
      <c r="K50" s="121"/>
      <c r="L50" s="121"/>
      <c r="M50" s="121"/>
      <c r="N50" s="121"/>
      <c r="O50" s="121"/>
      <c r="P50" s="121"/>
      <c r="Q50" s="364"/>
      <c r="R50" s="965"/>
      <c r="S50" s="966"/>
      <c r="T50" s="967"/>
      <c r="U50" s="950"/>
      <c r="V50" s="939"/>
      <c r="W50" s="941"/>
      <c r="X50" s="943"/>
      <c r="Y50" s="361"/>
      <c r="Z50" s="364"/>
      <c r="AA50" s="367"/>
      <c r="AB50"/>
      <c r="AC50"/>
      <c r="AD50"/>
      <c r="AE50"/>
      <c r="AF50"/>
      <c r="AG50"/>
      <c r="AH50"/>
      <c r="AI50"/>
      <c r="AJ50"/>
      <c r="AK50"/>
      <c r="AL50"/>
      <c r="AM50"/>
      <c r="AN50"/>
      <c r="AO50"/>
      <c r="AP50"/>
      <c r="AQ50"/>
      <c r="AR50"/>
      <c r="AS50"/>
      <c r="AT50"/>
      <c r="AU50"/>
      <c r="AV50"/>
      <c r="AW50"/>
      <c r="AX50"/>
    </row>
    <row r="51" spans="1:50" ht="12.75" customHeight="1">
      <c r="A51" s="121"/>
      <c r="B51" s="121"/>
      <c r="C51" s="121"/>
      <c r="D51" s="121"/>
      <c r="E51" s="121"/>
      <c r="F51" s="121"/>
      <c r="G51" s="121"/>
      <c r="H51" s="121"/>
      <c r="I51" s="121"/>
      <c r="J51" s="121"/>
      <c r="K51" s="121"/>
      <c r="L51" s="121"/>
      <c r="M51" s="121"/>
      <c r="N51" s="121"/>
      <c r="O51" s="121"/>
      <c r="P51" s="121"/>
      <c r="Q51" s="364"/>
      <c r="R51" s="969" t="s">
        <v>210</v>
      </c>
      <c r="S51" s="969"/>
      <c r="T51" s="969"/>
      <c r="U51" s="560">
        <v>0.3</v>
      </c>
      <c r="V51" s="537">
        <f>VLOOKUP($V$5,'Lookup Penetration Rate'!$B$8:$E$208,3)</f>
        <v>0.47200000000000042</v>
      </c>
      <c r="W51" s="537">
        <f>VLOOKUP($V$5,'Lookup Penetration Rate'!$B$8:$E$208,4)</f>
        <v>0.48400000000000071</v>
      </c>
      <c r="X51" s="537">
        <f>VLOOKUP($V$5,'Lookup Penetration Rate'!$B$8:$E$208,2)</f>
        <v>0.61700000000000044</v>
      </c>
      <c r="Y51" s="361"/>
      <c r="Z51" s="364"/>
      <c r="AA51" s="367"/>
      <c r="AB51"/>
      <c r="AC51"/>
      <c r="AD51"/>
      <c r="AE51"/>
      <c r="AF51"/>
      <c r="AG51"/>
      <c r="AH51"/>
      <c r="AI51"/>
      <c r="AJ51"/>
      <c r="AK51"/>
      <c r="AL51"/>
      <c r="AM51"/>
      <c r="AN51"/>
      <c r="AO51"/>
      <c r="AP51"/>
      <c r="AQ51"/>
      <c r="AR51"/>
      <c r="AS51"/>
      <c r="AT51"/>
      <c r="AU51"/>
      <c r="AV51"/>
      <c r="AW51"/>
      <c r="AX51"/>
    </row>
    <row r="52" spans="1:50" ht="12.75" customHeight="1">
      <c r="A52" s="121"/>
      <c r="B52" s="121"/>
      <c r="C52" s="121"/>
      <c r="D52" s="121"/>
      <c r="E52" s="121"/>
      <c r="F52" s="121"/>
      <c r="G52" s="121"/>
      <c r="H52" s="121"/>
      <c r="I52" s="121"/>
      <c r="J52" s="121"/>
      <c r="K52" s="121"/>
      <c r="L52" s="121"/>
      <c r="M52" s="121"/>
      <c r="N52" s="121"/>
      <c r="O52" s="121"/>
      <c r="P52" s="121"/>
      <c r="Q52" s="364"/>
      <c r="R52" s="364"/>
      <c r="S52" s="364"/>
      <c r="T52" s="364"/>
      <c r="U52" s="555"/>
      <c r="V52" s="555"/>
      <c r="W52" s="555"/>
      <c r="X52" s="555"/>
      <c r="Y52" s="555"/>
      <c r="Z52" s="364"/>
      <c r="AA52" s="367"/>
      <c r="AB52"/>
      <c r="AC52"/>
      <c r="AD52"/>
      <c r="AE52"/>
      <c r="AF52"/>
      <c r="AG52"/>
      <c r="AH52"/>
      <c r="AI52"/>
      <c r="AJ52"/>
      <c r="AK52"/>
      <c r="AL52"/>
      <c r="AM52"/>
      <c r="AN52"/>
      <c r="AO52"/>
      <c r="AP52"/>
      <c r="AQ52"/>
      <c r="AR52"/>
      <c r="AS52"/>
      <c r="AT52"/>
      <c r="AU52"/>
      <c r="AV52"/>
      <c r="AW52"/>
      <c r="AX52"/>
    </row>
    <row r="53" spans="1:50" ht="12.75" customHeight="1">
      <c r="A53" s="121"/>
      <c r="B53" s="121"/>
      <c r="C53" s="121"/>
      <c r="D53" s="121"/>
      <c r="E53" s="121"/>
      <c r="F53" s="121"/>
      <c r="G53" s="121"/>
      <c r="H53" s="121"/>
      <c r="I53" s="121"/>
      <c r="J53" s="121"/>
      <c r="K53" s="121"/>
      <c r="L53" s="121"/>
      <c r="M53" s="121"/>
      <c r="N53" s="121"/>
      <c r="O53" s="121"/>
      <c r="P53" s="121"/>
      <c r="Q53" s="668" t="s">
        <v>197</v>
      </c>
      <c r="R53" s="364" t="s">
        <v>208</v>
      </c>
      <c r="S53" s="364"/>
      <c r="T53" s="364"/>
      <c r="U53" s="555"/>
      <c r="V53" s="555"/>
      <c r="W53" s="555"/>
      <c r="X53" s="555"/>
      <c r="Y53" s="555"/>
      <c r="Z53" s="364"/>
      <c r="AA53" s="367"/>
      <c r="AB53"/>
      <c r="AC53"/>
      <c r="AD53"/>
      <c r="AE53"/>
      <c r="AF53"/>
      <c r="AG53"/>
      <c r="AH53"/>
      <c r="AI53"/>
      <c r="AJ53"/>
      <c r="AK53"/>
      <c r="AL53"/>
      <c r="AM53"/>
      <c r="AN53"/>
      <c r="AO53"/>
      <c r="AP53"/>
      <c r="AQ53"/>
      <c r="AR53"/>
      <c r="AS53"/>
      <c r="AT53"/>
      <c r="AU53"/>
      <c r="AV53"/>
      <c r="AW53"/>
      <c r="AX53"/>
    </row>
    <row r="54" spans="1:50" ht="12.75" customHeight="1">
      <c r="A54" s="121"/>
      <c r="B54" s="121"/>
      <c r="C54" s="121"/>
      <c r="D54" s="121"/>
      <c r="E54" s="121"/>
      <c r="F54" s="121"/>
      <c r="G54" s="121"/>
      <c r="H54" s="121"/>
      <c r="I54" s="121"/>
      <c r="J54" s="121"/>
      <c r="K54" s="121"/>
      <c r="L54" s="121"/>
      <c r="M54" s="121"/>
      <c r="N54" s="121"/>
      <c r="O54" s="121"/>
      <c r="P54" s="121"/>
      <c r="Q54" s="668"/>
      <c r="R54" s="962" t="s">
        <v>678</v>
      </c>
      <c r="S54" s="963"/>
      <c r="T54" s="964"/>
      <c r="U54" s="949" t="s">
        <v>500</v>
      </c>
      <c r="V54" s="938" t="s">
        <v>22</v>
      </c>
      <c r="W54" s="940" t="s">
        <v>579</v>
      </c>
      <c r="X54" s="942" t="s">
        <v>21</v>
      </c>
      <c r="Y54" s="361"/>
      <c r="Z54" s="364"/>
      <c r="AA54" s="367"/>
      <c r="AB54"/>
      <c r="AC54"/>
      <c r="AD54"/>
      <c r="AE54"/>
      <c r="AF54"/>
      <c r="AG54"/>
      <c r="AH54"/>
      <c r="AI54"/>
      <c r="AJ54"/>
      <c r="AK54"/>
      <c r="AL54"/>
      <c r="AM54"/>
      <c r="AN54"/>
      <c r="AO54"/>
      <c r="AP54"/>
      <c r="AQ54"/>
      <c r="AR54"/>
      <c r="AS54"/>
      <c r="AT54"/>
      <c r="AU54"/>
      <c r="AV54"/>
      <c r="AW54"/>
      <c r="AX54"/>
    </row>
    <row r="55" spans="1:50" ht="12.75" customHeight="1">
      <c r="A55" s="121"/>
      <c r="B55" s="121"/>
      <c r="C55" s="121"/>
      <c r="D55" s="121"/>
      <c r="E55" s="121"/>
      <c r="F55" s="121"/>
      <c r="G55" s="121"/>
      <c r="H55" s="121"/>
      <c r="I55" s="121"/>
      <c r="J55" s="121"/>
      <c r="K55" s="121"/>
      <c r="L55" s="121"/>
      <c r="M55" s="121"/>
      <c r="N55" s="121"/>
      <c r="O55" s="121"/>
      <c r="P55" s="121"/>
      <c r="Q55" s="668"/>
      <c r="R55" s="965"/>
      <c r="S55" s="966"/>
      <c r="T55" s="967"/>
      <c r="U55" s="950"/>
      <c r="V55" s="939"/>
      <c r="W55" s="941"/>
      <c r="X55" s="943"/>
      <c r="Y55" s="361"/>
      <c r="Z55" s="364"/>
      <c r="AA55" s="367"/>
      <c r="AB55"/>
      <c r="AC55"/>
      <c r="AD55"/>
      <c r="AE55"/>
      <c r="AF55"/>
      <c r="AG55"/>
      <c r="AH55"/>
      <c r="AI55"/>
      <c r="AJ55"/>
      <c r="AK55"/>
      <c r="AL55"/>
      <c r="AM55"/>
      <c r="AN55"/>
      <c r="AO55"/>
      <c r="AP55"/>
      <c r="AQ55"/>
      <c r="AR55"/>
      <c r="AS55"/>
      <c r="AT55"/>
      <c r="AU55"/>
      <c r="AV55"/>
      <c r="AW55"/>
      <c r="AX55"/>
    </row>
    <row r="56" spans="1:50" ht="12.75" customHeight="1">
      <c r="A56" s="121"/>
      <c r="B56" s="121"/>
      <c r="C56" s="121"/>
      <c r="D56" s="121"/>
      <c r="E56" s="121"/>
      <c r="F56" s="121"/>
      <c r="G56" s="121"/>
      <c r="H56" s="121"/>
      <c r="I56" s="121"/>
      <c r="J56" s="121"/>
      <c r="K56" s="121"/>
      <c r="L56" s="121"/>
      <c r="M56" s="121"/>
      <c r="N56" s="121"/>
      <c r="O56" s="121"/>
      <c r="P56" s="121"/>
      <c r="Q56" s="668"/>
      <c r="R56" s="969" t="s">
        <v>209</v>
      </c>
      <c r="S56" s="969"/>
      <c r="T56" s="969"/>
      <c r="U56" s="560">
        <f>$V$20/U51</f>
        <v>4</v>
      </c>
      <c r="V56" s="669">
        <f>$V$20/V51</f>
        <v>2.5423728813559299</v>
      </c>
      <c r="W56" s="669">
        <f>$V$20/W51</f>
        <v>2.4793388429752028</v>
      </c>
      <c r="X56" s="669">
        <f>$V$20/X51</f>
        <v>1.9448946515397068</v>
      </c>
      <c r="Y56" s="361"/>
      <c r="Z56" s="364"/>
      <c r="AA56" s="367"/>
      <c r="AB56"/>
      <c r="AC56"/>
      <c r="AD56"/>
      <c r="AE56"/>
      <c r="AF56"/>
      <c r="AG56"/>
      <c r="AH56"/>
      <c r="AI56"/>
      <c r="AJ56"/>
      <c r="AK56"/>
      <c r="AL56"/>
      <c r="AM56"/>
      <c r="AN56"/>
      <c r="AO56"/>
      <c r="AP56"/>
      <c r="AQ56"/>
      <c r="AR56"/>
      <c r="AS56"/>
      <c r="AT56"/>
      <c r="AU56"/>
      <c r="AV56"/>
      <c r="AW56"/>
      <c r="AX56"/>
    </row>
    <row r="57" spans="1:50" ht="12.75" customHeight="1">
      <c r="A57" s="121"/>
      <c r="B57" s="121"/>
      <c r="C57" s="121"/>
      <c r="D57" s="121"/>
      <c r="E57" s="121"/>
      <c r="F57" s="121"/>
      <c r="G57" s="121"/>
      <c r="H57" s="121"/>
      <c r="I57" s="121"/>
      <c r="J57" s="121"/>
      <c r="K57" s="121"/>
      <c r="L57" s="121"/>
      <c r="M57" s="121"/>
      <c r="N57" s="121"/>
      <c r="O57" s="121"/>
      <c r="P57" s="121"/>
      <c r="Q57" s="364"/>
      <c r="R57" s="364"/>
      <c r="S57" s="364"/>
      <c r="T57" s="364"/>
      <c r="U57" s="555"/>
      <c r="V57" s="555"/>
      <c r="W57" s="555"/>
      <c r="X57" s="555"/>
      <c r="Y57" s="555"/>
      <c r="Z57" s="364"/>
      <c r="AA57" s="367"/>
      <c r="AB57"/>
      <c r="AC57"/>
      <c r="AD57"/>
      <c r="AE57"/>
      <c r="AF57"/>
      <c r="AG57"/>
      <c r="AH57"/>
      <c r="AI57"/>
      <c r="AJ57"/>
      <c r="AK57"/>
      <c r="AL57"/>
      <c r="AM57"/>
      <c r="AN57"/>
      <c r="AO57"/>
      <c r="AP57"/>
      <c r="AQ57"/>
      <c r="AR57"/>
      <c r="AS57"/>
      <c r="AT57"/>
      <c r="AU57"/>
      <c r="AV57"/>
      <c r="AW57"/>
      <c r="AX57"/>
    </row>
    <row r="58" spans="1:50" ht="12.75" customHeight="1">
      <c r="A58" s="121"/>
      <c r="B58" s="121"/>
      <c r="C58" s="121"/>
      <c r="D58" s="121"/>
      <c r="E58" s="121"/>
      <c r="F58" s="121"/>
      <c r="G58" s="121"/>
      <c r="H58" s="121"/>
      <c r="I58" s="121"/>
      <c r="J58" s="121"/>
      <c r="K58" s="121"/>
      <c r="L58" s="121"/>
      <c r="M58" s="121"/>
      <c r="N58" s="121"/>
      <c r="O58" s="121"/>
      <c r="P58" s="121"/>
      <c r="Q58" s="563">
        <v>3.3</v>
      </c>
      <c r="R58" s="363" t="s">
        <v>211</v>
      </c>
      <c r="S58" s="363"/>
      <c r="T58" s="363"/>
      <c r="U58" s="363"/>
      <c r="V58" s="363"/>
      <c r="W58" s="363"/>
      <c r="X58" s="363"/>
      <c r="Y58" s="363"/>
      <c r="Z58" s="364"/>
      <c r="AA58" s="367"/>
      <c r="AB58"/>
      <c r="AC58"/>
      <c r="AD58"/>
      <c r="AE58"/>
      <c r="AF58"/>
      <c r="AG58"/>
      <c r="AH58"/>
      <c r="AI58"/>
      <c r="AJ58"/>
      <c r="AK58"/>
      <c r="AL58"/>
      <c r="AM58"/>
      <c r="AN58"/>
      <c r="AO58"/>
      <c r="AP58"/>
      <c r="AQ58"/>
      <c r="AR58"/>
      <c r="AS58"/>
      <c r="AT58"/>
      <c r="AU58"/>
      <c r="AV58"/>
      <c r="AW58"/>
      <c r="AX58"/>
    </row>
    <row r="59" spans="1:50" ht="12.75" customHeight="1">
      <c r="A59" s="121"/>
      <c r="B59" s="121"/>
      <c r="C59" s="121"/>
      <c r="D59" s="121"/>
      <c r="E59" s="121"/>
      <c r="F59" s="121"/>
      <c r="G59" s="121"/>
      <c r="H59" s="121"/>
      <c r="I59" s="121"/>
      <c r="J59" s="121"/>
      <c r="K59" s="121"/>
      <c r="L59" s="121"/>
      <c r="M59" s="121"/>
      <c r="N59" s="121"/>
      <c r="O59" s="121"/>
      <c r="P59" s="121"/>
      <c r="Q59" s="563"/>
      <c r="R59" s="962" t="s">
        <v>678</v>
      </c>
      <c r="S59" s="963"/>
      <c r="T59" s="964"/>
      <c r="U59" s="949" t="s">
        <v>500</v>
      </c>
      <c r="V59" s="938" t="s">
        <v>22</v>
      </c>
      <c r="W59" s="940" t="s">
        <v>579</v>
      </c>
      <c r="X59" s="942" t="s">
        <v>21</v>
      </c>
      <c r="Y59" s="361"/>
      <c r="Z59" s="364"/>
      <c r="AA59" s="367"/>
      <c r="AB59"/>
      <c r="AC59"/>
      <c r="AD59"/>
      <c r="AE59"/>
      <c r="AF59"/>
      <c r="AG59"/>
      <c r="AH59"/>
      <c r="AI59"/>
      <c r="AJ59"/>
      <c r="AK59"/>
      <c r="AL59"/>
      <c r="AM59"/>
      <c r="AN59"/>
      <c r="AO59"/>
      <c r="AP59"/>
      <c r="AQ59"/>
      <c r="AR59"/>
      <c r="AS59"/>
      <c r="AT59"/>
      <c r="AU59"/>
      <c r="AV59"/>
      <c r="AW59"/>
      <c r="AX59"/>
    </row>
    <row r="60" spans="1:50" ht="12.75" customHeight="1">
      <c r="A60" s="121"/>
      <c r="B60" s="121"/>
      <c r="C60" s="121"/>
      <c r="D60" s="121"/>
      <c r="E60" s="121"/>
      <c r="F60" s="121"/>
      <c r="G60" s="121"/>
      <c r="H60" s="121"/>
      <c r="I60" s="121"/>
      <c r="J60" s="121"/>
      <c r="K60" s="121"/>
      <c r="L60" s="121"/>
      <c r="M60" s="121"/>
      <c r="N60" s="121"/>
      <c r="O60" s="121"/>
      <c r="P60" s="121"/>
      <c r="Q60" s="563"/>
      <c r="R60" s="965"/>
      <c r="S60" s="966"/>
      <c r="T60" s="967"/>
      <c r="U60" s="950"/>
      <c r="V60" s="939"/>
      <c r="W60" s="941"/>
      <c r="X60" s="943"/>
      <c r="Y60" s="361"/>
      <c r="Z60" s="364"/>
      <c r="AA60" s="367"/>
      <c r="AB60"/>
      <c r="AC60"/>
      <c r="AD60"/>
      <c r="AE60"/>
      <c r="AF60"/>
      <c r="AG60"/>
      <c r="AH60"/>
      <c r="AI60"/>
      <c r="AJ60"/>
      <c r="AK60"/>
      <c r="AL60"/>
      <c r="AM60"/>
      <c r="AN60"/>
      <c r="AO60"/>
      <c r="AP60"/>
      <c r="AQ60"/>
      <c r="AR60"/>
      <c r="AS60"/>
      <c r="AT60"/>
      <c r="AU60"/>
      <c r="AV60"/>
      <c r="AW60"/>
      <c r="AX60"/>
    </row>
    <row r="61" spans="1:50" ht="12.75" customHeight="1">
      <c r="A61" s="121"/>
      <c r="B61" s="121"/>
      <c r="C61" s="121"/>
      <c r="D61" s="121"/>
      <c r="E61" s="121"/>
      <c r="F61" s="121"/>
      <c r="G61" s="121"/>
      <c r="H61" s="121"/>
      <c r="I61" s="121"/>
      <c r="J61" s="121"/>
      <c r="K61" s="121"/>
      <c r="L61" s="121"/>
      <c r="M61" s="121"/>
      <c r="N61" s="121"/>
      <c r="O61" s="121"/>
      <c r="P61" s="121"/>
      <c r="Q61" s="563"/>
      <c r="R61" s="969" t="s">
        <v>209</v>
      </c>
      <c r="S61" s="969"/>
      <c r="T61" s="969"/>
      <c r="U61" s="562">
        <f>(U56*$V$24)/$V$23</f>
        <v>160</v>
      </c>
      <c r="V61" s="670">
        <f>(V56*$V$24)/$V$23</f>
        <v>101.6949152542372</v>
      </c>
      <c r="W61" s="670">
        <f>(W56*$V$24)/$V$23</f>
        <v>99.173553719008112</v>
      </c>
      <c r="X61" s="670">
        <f>(X56*$V$24)/$V$23</f>
        <v>77.795786061588274</v>
      </c>
      <c r="Y61" s="361"/>
      <c r="Z61" s="364"/>
      <c r="AA61" s="367"/>
      <c r="AB61"/>
      <c r="AC61"/>
      <c r="AD61"/>
      <c r="AE61"/>
      <c r="AF61"/>
      <c r="AG61"/>
      <c r="AH61"/>
      <c r="AI61"/>
      <c r="AJ61"/>
      <c r="AK61"/>
      <c r="AL61"/>
      <c r="AM61"/>
      <c r="AN61"/>
      <c r="AO61"/>
      <c r="AP61"/>
      <c r="AQ61"/>
      <c r="AR61"/>
      <c r="AS61"/>
      <c r="AT61"/>
      <c r="AU61"/>
      <c r="AV61"/>
      <c r="AW61"/>
      <c r="AX61"/>
    </row>
    <row r="62" spans="1:50" ht="12.75" customHeight="1">
      <c r="A62" s="121"/>
      <c r="B62" s="121"/>
      <c r="C62" s="121"/>
      <c r="D62" s="121"/>
      <c r="E62" s="121"/>
      <c r="F62" s="121"/>
      <c r="G62" s="121"/>
      <c r="H62" s="121"/>
      <c r="I62" s="121"/>
      <c r="J62" s="121"/>
      <c r="K62" s="121"/>
      <c r="L62" s="121"/>
      <c r="M62" s="121"/>
      <c r="N62" s="121"/>
      <c r="O62" s="121"/>
      <c r="P62" s="121"/>
      <c r="Q62" s="563"/>
      <c r="R62" s="931" t="s">
        <v>212</v>
      </c>
      <c r="S62" s="931"/>
      <c r="T62" s="931"/>
      <c r="U62" s="537">
        <f>U61/60</f>
        <v>2.6666666666666665</v>
      </c>
      <c r="V62" s="557">
        <f>V61/60</f>
        <v>1.6949152542372867</v>
      </c>
      <c r="W62" s="557">
        <f>W61/60</f>
        <v>1.6528925619834685</v>
      </c>
      <c r="X62" s="557">
        <f>X61/60</f>
        <v>1.2965964343598047</v>
      </c>
      <c r="Y62" s="361"/>
      <c r="Z62" s="364"/>
      <c r="AA62" s="367"/>
      <c r="AB62"/>
      <c r="AC62"/>
      <c r="AD62"/>
      <c r="AE62"/>
      <c r="AF62"/>
      <c r="AG62"/>
      <c r="AH62"/>
      <c r="AI62"/>
      <c r="AJ62"/>
      <c r="AK62"/>
      <c r="AL62"/>
      <c r="AM62"/>
      <c r="AN62"/>
      <c r="AO62"/>
      <c r="AP62"/>
      <c r="AQ62"/>
      <c r="AR62"/>
      <c r="AS62"/>
      <c r="AT62"/>
      <c r="AU62"/>
      <c r="AV62"/>
      <c r="AW62"/>
      <c r="AX62"/>
    </row>
    <row r="63" spans="1:50" ht="12.75" customHeight="1">
      <c r="A63" s="121"/>
      <c r="B63" s="121"/>
      <c r="C63" s="121"/>
      <c r="D63" s="121"/>
      <c r="E63" s="121"/>
      <c r="F63" s="121"/>
      <c r="G63" s="121"/>
      <c r="H63" s="121"/>
      <c r="I63" s="121"/>
      <c r="J63" s="121"/>
      <c r="K63" s="121"/>
      <c r="L63" s="121"/>
      <c r="M63" s="121"/>
      <c r="N63" s="121"/>
      <c r="O63" s="121"/>
      <c r="P63" s="121"/>
      <c r="Q63" s="563"/>
      <c r="R63" s="363"/>
      <c r="S63" s="363"/>
      <c r="T63" s="363"/>
      <c r="U63" s="363"/>
      <c r="V63" s="363"/>
      <c r="W63" s="363"/>
      <c r="X63" s="363"/>
      <c r="Y63" s="363"/>
      <c r="Z63" s="364"/>
      <c r="AA63" s="367"/>
      <c r="AB63"/>
      <c r="AC63"/>
      <c r="AD63"/>
      <c r="AE63"/>
      <c r="AF63"/>
      <c r="AG63"/>
      <c r="AH63"/>
      <c r="AI63"/>
      <c r="AJ63"/>
      <c r="AK63"/>
      <c r="AL63"/>
      <c r="AM63"/>
      <c r="AN63"/>
      <c r="AO63"/>
      <c r="AP63"/>
      <c r="AQ63"/>
      <c r="AR63"/>
      <c r="AS63"/>
      <c r="AT63"/>
      <c r="AU63"/>
      <c r="AV63"/>
      <c r="AW63"/>
      <c r="AX63"/>
    </row>
    <row r="64" spans="1:50" ht="12.75" customHeight="1">
      <c r="A64" s="121"/>
      <c r="B64" s="121"/>
      <c r="C64" s="121"/>
      <c r="D64" s="121"/>
      <c r="E64" s="121"/>
      <c r="F64" s="121"/>
      <c r="G64" s="121"/>
      <c r="H64" s="121"/>
      <c r="I64" s="121"/>
      <c r="J64" s="121"/>
      <c r="K64" s="121"/>
      <c r="L64" s="121"/>
      <c r="M64" s="121"/>
      <c r="N64" s="121"/>
      <c r="O64" s="121"/>
      <c r="P64" s="121"/>
      <c r="Q64" s="388" t="s">
        <v>295</v>
      </c>
      <c r="R64" s="1015" t="s">
        <v>216</v>
      </c>
      <c r="S64" s="1015"/>
      <c r="T64" s="1015"/>
      <c r="U64" s="1015"/>
      <c r="V64" s="1015"/>
      <c r="W64" s="1015"/>
      <c r="X64" s="1015"/>
      <c r="Y64" s="1015"/>
      <c r="Z64" s="536"/>
      <c r="AA64" s="367"/>
      <c r="AB64"/>
      <c r="AC64"/>
      <c r="AD64"/>
      <c r="AE64"/>
      <c r="AF64"/>
      <c r="AG64"/>
      <c r="AH64"/>
      <c r="AI64"/>
      <c r="AJ64"/>
      <c r="AK64"/>
      <c r="AL64"/>
      <c r="AM64"/>
      <c r="AN64"/>
      <c r="AO64"/>
      <c r="AP64"/>
      <c r="AQ64"/>
      <c r="AR64"/>
      <c r="AS64"/>
      <c r="AT64"/>
      <c r="AU64"/>
      <c r="AV64"/>
      <c r="AW64"/>
      <c r="AX64"/>
    </row>
    <row r="65" spans="1:50" ht="12.75" customHeight="1">
      <c r="A65" s="121"/>
      <c r="B65" s="121"/>
      <c r="C65" s="121"/>
      <c r="D65" s="121"/>
      <c r="E65" s="121"/>
      <c r="F65" s="121"/>
      <c r="G65" s="121"/>
      <c r="H65" s="121"/>
      <c r="I65" s="121"/>
      <c r="J65" s="121"/>
      <c r="K65" s="121"/>
      <c r="L65" s="121"/>
      <c r="M65" s="121"/>
      <c r="N65" s="121"/>
      <c r="O65" s="121"/>
      <c r="P65" s="121"/>
      <c r="Q65" s="563"/>
      <c r="R65" s="363"/>
      <c r="S65" s="363"/>
      <c r="T65" s="363"/>
      <c r="U65" s="363"/>
      <c r="V65" s="363"/>
      <c r="W65" s="363"/>
      <c r="X65" s="363"/>
      <c r="Y65" s="363"/>
      <c r="Z65" s="364"/>
      <c r="AA65" s="367"/>
      <c r="AB65"/>
      <c r="AC65"/>
      <c r="AD65"/>
      <c r="AE65"/>
      <c r="AF65"/>
      <c r="AG65"/>
      <c r="AH65"/>
      <c r="AI65"/>
      <c r="AJ65"/>
      <c r="AK65"/>
      <c r="AL65"/>
      <c r="AM65"/>
      <c r="AN65"/>
      <c r="AO65"/>
      <c r="AP65"/>
      <c r="AQ65"/>
      <c r="AR65"/>
      <c r="AS65"/>
      <c r="AT65"/>
      <c r="AU65"/>
      <c r="AV65"/>
      <c r="AW65"/>
      <c r="AX65"/>
    </row>
    <row r="66" spans="1:50" ht="12.75" customHeight="1">
      <c r="A66" s="121"/>
      <c r="B66" s="121"/>
      <c r="C66" s="121"/>
      <c r="D66" s="121"/>
      <c r="E66" s="121"/>
      <c r="F66" s="121"/>
      <c r="G66" s="121"/>
      <c r="H66" s="121"/>
      <c r="I66" s="121"/>
      <c r="J66" s="121"/>
      <c r="K66" s="121"/>
      <c r="L66" s="121"/>
      <c r="M66" s="121"/>
      <c r="N66" s="121"/>
      <c r="O66" s="121"/>
      <c r="P66" s="121"/>
      <c r="Q66" s="360" t="s">
        <v>502</v>
      </c>
      <c r="R66" s="364" t="s">
        <v>527</v>
      </c>
      <c r="S66" s="364"/>
      <c r="T66" s="364"/>
      <c r="U66" s="555"/>
      <c r="V66" s="555"/>
      <c r="W66" s="555"/>
      <c r="X66" s="555"/>
      <c r="Y66" s="555"/>
      <c r="Z66" s="364"/>
      <c r="AA66" s="367"/>
      <c r="AB66"/>
      <c r="AC66"/>
      <c r="AD66"/>
      <c r="AE66"/>
      <c r="AF66"/>
      <c r="AG66"/>
      <c r="AH66"/>
      <c r="AI66"/>
      <c r="AJ66"/>
      <c r="AK66"/>
      <c r="AL66"/>
      <c r="AM66"/>
      <c r="AN66"/>
      <c r="AO66"/>
      <c r="AP66"/>
      <c r="AQ66"/>
      <c r="AR66"/>
      <c r="AS66"/>
      <c r="AT66"/>
      <c r="AU66"/>
      <c r="AV66"/>
      <c r="AW66"/>
      <c r="AX66"/>
    </row>
    <row r="67" spans="1:50" ht="12.75" customHeight="1">
      <c r="A67" s="121"/>
      <c r="B67" s="121"/>
      <c r="C67" s="121"/>
      <c r="D67" s="121"/>
      <c r="E67" s="121"/>
      <c r="F67" s="121"/>
      <c r="G67" s="121"/>
      <c r="H67" s="121"/>
      <c r="I67" s="121"/>
      <c r="J67" s="121"/>
      <c r="K67" s="121"/>
      <c r="L67" s="121"/>
      <c r="M67" s="121"/>
      <c r="N67" s="121"/>
      <c r="O67" s="121"/>
      <c r="P67" s="121"/>
      <c r="Q67" s="360"/>
      <c r="R67" s="962" t="s">
        <v>678</v>
      </c>
      <c r="S67" s="963"/>
      <c r="T67" s="964"/>
      <c r="U67" s="949" t="s">
        <v>500</v>
      </c>
      <c r="V67" s="938" t="s">
        <v>22</v>
      </c>
      <c r="W67" s="940" t="s">
        <v>579</v>
      </c>
      <c r="X67" s="942" t="s">
        <v>21</v>
      </c>
      <c r="Y67" s="361"/>
      <c r="Z67" s="364"/>
      <c r="AA67" s="367"/>
      <c r="AB67"/>
      <c r="AC67"/>
      <c r="AD67"/>
      <c r="AE67"/>
      <c r="AF67"/>
      <c r="AG67"/>
      <c r="AH67"/>
      <c r="AI67"/>
      <c r="AJ67"/>
      <c r="AK67"/>
      <c r="AL67"/>
      <c r="AM67"/>
      <c r="AN67"/>
      <c r="AO67"/>
      <c r="AP67"/>
      <c r="AQ67"/>
      <c r="AR67"/>
      <c r="AS67"/>
      <c r="AT67"/>
      <c r="AU67"/>
      <c r="AV67"/>
      <c r="AW67"/>
      <c r="AX67"/>
    </row>
    <row r="68" spans="1:50" ht="12.75" customHeight="1">
      <c r="A68" s="121"/>
      <c r="B68" s="121"/>
      <c r="C68" s="121"/>
      <c r="D68" s="121"/>
      <c r="E68" s="121"/>
      <c r="F68" s="121"/>
      <c r="G68" s="121"/>
      <c r="H68" s="121"/>
      <c r="I68" s="121"/>
      <c r="J68" s="121"/>
      <c r="K68" s="121"/>
      <c r="L68" s="121"/>
      <c r="M68" s="121"/>
      <c r="N68" s="121"/>
      <c r="O68" s="121"/>
      <c r="P68" s="121"/>
      <c r="Q68" s="360"/>
      <c r="R68" s="965"/>
      <c r="S68" s="966"/>
      <c r="T68" s="967"/>
      <c r="U68" s="950"/>
      <c r="V68" s="939"/>
      <c r="W68" s="941"/>
      <c r="X68" s="943"/>
      <c r="Y68" s="361"/>
      <c r="Z68" s="364"/>
      <c r="AA68" s="367"/>
      <c r="AB68"/>
      <c r="AC68"/>
      <c r="AD68"/>
      <c r="AE68"/>
      <c r="AF68"/>
      <c r="AG68"/>
      <c r="AH68"/>
      <c r="AI68"/>
      <c r="AJ68"/>
      <c r="AK68"/>
      <c r="AL68"/>
      <c r="AM68"/>
      <c r="AN68"/>
      <c r="AO68"/>
      <c r="AP68"/>
      <c r="AQ68"/>
      <c r="AR68"/>
      <c r="AS68"/>
      <c r="AT68"/>
      <c r="AU68"/>
      <c r="AV68"/>
      <c r="AW68"/>
      <c r="AX68"/>
    </row>
    <row r="69" spans="1:50" ht="12.75" customHeight="1">
      <c r="A69" s="121"/>
      <c r="B69" s="121"/>
      <c r="C69" s="121"/>
      <c r="D69" s="121"/>
      <c r="E69" s="121"/>
      <c r="F69" s="121"/>
      <c r="G69" s="121"/>
      <c r="H69" s="121"/>
      <c r="I69" s="121"/>
      <c r="J69" s="121"/>
      <c r="K69" s="121"/>
      <c r="L69" s="121"/>
      <c r="M69" s="121"/>
      <c r="N69" s="121"/>
      <c r="O69" s="121"/>
      <c r="P69" s="121"/>
      <c r="Q69" s="360"/>
      <c r="R69" s="969" t="s">
        <v>63</v>
      </c>
      <c r="S69" s="969"/>
      <c r="T69" s="969"/>
      <c r="U69" s="369">
        <v>102</v>
      </c>
      <c r="V69" s="369">
        <f>VLOOKUP($V$5,'Lookup dBA'!$B$8:$E$208,3)</f>
        <v>108.59999999999988</v>
      </c>
      <c r="W69" s="369">
        <f>VLOOKUP($V$5,'Lookup dBA'!$B$8:$E$208,4)</f>
        <v>109.59999999999988</v>
      </c>
      <c r="X69" s="369">
        <f>VLOOKUP($V$5,'Lookup dBA'!$B$8:$E$208,2)</f>
        <v>116.90000000000003</v>
      </c>
      <c r="Y69" s="361"/>
      <c r="Z69" s="364"/>
      <c r="AA69" s="367"/>
      <c r="AB69"/>
      <c r="AC69"/>
      <c r="AD69"/>
      <c r="AE69"/>
      <c r="AF69"/>
      <c r="AG69"/>
      <c r="AH69"/>
      <c r="AI69"/>
      <c r="AJ69"/>
      <c r="AK69"/>
      <c r="AL69"/>
      <c r="AM69"/>
      <c r="AN69"/>
      <c r="AO69"/>
      <c r="AP69"/>
      <c r="AQ69"/>
      <c r="AR69"/>
      <c r="AS69"/>
      <c r="AT69"/>
      <c r="AU69"/>
      <c r="AV69"/>
      <c r="AW69"/>
      <c r="AX69"/>
    </row>
    <row r="70" spans="1:50" ht="12.75" customHeight="1">
      <c r="A70" s="121"/>
      <c r="B70" s="121"/>
      <c r="C70" s="121"/>
      <c r="D70" s="121"/>
      <c r="E70" s="121"/>
      <c r="F70" s="121"/>
      <c r="G70" s="121"/>
      <c r="H70" s="121"/>
      <c r="I70" s="121"/>
      <c r="J70" s="121"/>
      <c r="K70" s="121"/>
      <c r="L70" s="121"/>
      <c r="M70" s="121"/>
      <c r="N70" s="121"/>
      <c r="O70" s="121"/>
      <c r="P70" s="121"/>
      <c r="Q70" s="360"/>
      <c r="R70" s="969" t="s">
        <v>64</v>
      </c>
      <c r="S70" s="969"/>
      <c r="T70" s="969"/>
      <c r="U70" s="369">
        <f>U69-PPE!$I$15</f>
        <v>89</v>
      </c>
      <c r="V70" s="369">
        <f>V69-PPE!$I$15</f>
        <v>95.599999999999881</v>
      </c>
      <c r="W70" s="369">
        <f>W69-PPE!$I$15</f>
        <v>96.599999999999881</v>
      </c>
      <c r="X70" s="369">
        <f>X69-PPE!$I$15</f>
        <v>103.90000000000003</v>
      </c>
      <c r="Y70" s="361"/>
      <c r="Z70" s="364"/>
      <c r="AA70" s="367"/>
      <c r="AB70"/>
      <c r="AC70"/>
      <c r="AD70"/>
      <c r="AE70"/>
      <c r="AF70"/>
      <c r="AG70"/>
      <c r="AH70"/>
      <c r="AI70"/>
      <c r="AJ70"/>
      <c r="AK70"/>
      <c r="AL70"/>
      <c r="AM70"/>
      <c r="AN70"/>
      <c r="AO70"/>
      <c r="AP70"/>
      <c r="AQ70"/>
      <c r="AR70"/>
      <c r="AS70"/>
      <c r="AT70"/>
      <c r="AU70"/>
      <c r="AV70"/>
      <c r="AW70"/>
      <c r="AX70"/>
    </row>
    <row r="71" spans="1:50" ht="12.75" customHeight="1">
      <c r="A71" s="121"/>
      <c r="B71" s="121"/>
      <c r="C71" s="121"/>
      <c r="D71" s="121"/>
      <c r="E71" s="121"/>
      <c r="F71" s="121"/>
      <c r="G71" s="121"/>
      <c r="H71" s="121"/>
      <c r="I71" s="121"/>
      <c r="J71" s="121"/>
      <c r="K71" s="121"/>
      <c r="L71" s="121"/>
      <c r="M71" s="121"/>
      <c r="N71" s="121"/>
      <c r="O71" s="121"/>
      <c r="P71" s="121"/>
      <c r="Q71" s="360"/>
      <c r="R71" s="969" t="s">
        <v>529</v>
      </c>
      <c r="S71" s="969"/>
      <c r="T71" s="969"/>
      <c r="U71" s="369">
        <v>110</v>
      </c>
      <c r="V71" s="369">
        <v>110</v>
      </c>
      <c r="W71" s="369">
        <v>110</v>
      </c>
      <c r="X71" s="369">
        <v>110</v>
      </c>
      <c r="Y71" s="361"/>
      <c r="Z71" s="364"/>
      <c r="AA71" s="367"/>
      <c r="AB71"/>
      <c r="AC71"/>
      <c r="AD71"/>
      <c r="AE71"/>
      <c r="AF71"/>
      <c r="AG71"/>
      <c r="AH71"/>
      <c r="AI71"/>
      <c r="AJ71"/>
      <c r="AK71"/>
      <c r="AL71"/>
      <c r="AM71"/>
      <c r="AN71"/>
      <c r="AO71"/>
      <c r="AP71"/>
      <c r="AQ71"/>
      <c r="AR71"/>
      <c r="AS71"/>
      <c r="AT71"/>
      <c r="AU71"/>
      <c r="AV71"/>
      <c r="AW71"/>
      <c r="AX71"/>
    </row>
    <row r="72" spans="1:50" ht="12.75" customHeight="1">
      <c r="A72" s="121"/>
      <c r="B72" s="121"/>
      <c r="C72" s="121"/>
      <c r="D72" s="121"/>
      <c r="E72" s="121"/>
      <c r="F72" s="121"/>
      <c r="G72" s="121"/>
      <c r="H72" s="121"/>
      <c r="I72" s="121"/>
      <c r="J72" s="121"/>
      <c r="K72" s="121"/>
      <c r="L72" s="121"/>
      <c r="M72" s="121"/>
      <c r="N72" s="121"/>
      <c r="O72" s="121"/>
      <c r="P72" s="121"/>
      <c r="Q72" s="360"/>
      <c r="R72" s="363"/>
      <c r="S72" s="363"/>
      <c r="T72" s="363"/>
      <c r="U72" s="363"/>
      <c r="V72" s="363"/>
      <c r="W72" s="363"/>
      <c r="X72" s="363"/>
      <c r="Y72" s="555"/>
      <c r="Z72" s="364"/>
      <c r="AA72" s="367"/>
      <c r="AB72"/>
      <c r="AC72"/>
      <c r="AD72"/>
      <c r="AE72"/>
      <c r="AF72"/>
      <c r="AG72"/>
      <c r="AH72"/>
      <c r="AI72"/>
      <c r="AJ72"/>
      <c r="AK72"/>
      <c r="AL72"/>
      <c r="AM72"/>
      <c r="AN72"/>
      <c r="AO72"/>
      <c r="AP72"/>
      <c r="AQ72"/>
      <c r="AR72"/>
      <c r="AS72"/>
      <c r="AT72"/>
      <c r="AU72"/>
      <c r="AV72"/>
      <c r="AW72"/>
      <c r="AX72"/>
    </row>
    <row r="73" spans="1:50" ht="12.75" customHeight="1">
      <c r="A73" s="121"/>
      <c r="B73" s="121"/>
      <c r="C73" s="121"/>
      <c r="D73" s="121"/>
      <c r="E73" s="121"/>
      <c r="F73" s="121"/>
      <c r="G73" s="121"/>
      <c r="H73" s="121"/>
      <c r="I73" s="121"/>
      <c r="J73" s="121"/>
      <c r="K73" s="121"/>
      <c r="L73" s="121"/>
      <c r="M73" s="121"/>
      <c r="N73" s="121"/>
      <c r="O73" s="121"/>
      <c r="P73" s="121"/>
      <c r="Q73" s="360" t="s">
        <v>503</v>
      </c>
      <c r="R73" s="364" t="s">
        <v>528</v>
      </c>
      <c r="S73" s="364"/>
      <c r="T73" s="364"/>
      <c r="U73" s="555"/>
      <c r="V73" s="555"/>
      <c r="W73" s="555"/>
      <c r="X73" s="555"/>
      <c r="Y73" s="555"/>
      <c r="Z73" s="364"/>
      <c r="AA73" s="367"/>
      <c r="AB73"/>
      <c r="AC73"/>
      <c r="AD73"/>
      <c r="AE73"/>
      <c r="AF73"/>
      <c r="AG73"/>
      <c r="AH73"/>
      <c r="AI73"/>
      <c r="AJ73"/>
      <c r="AK73"/>
      <c r="AL73"/>
      <c r="AM73"/>
      <c r="AN73"/>
      <c r="AO73"/>
      <c r="AP73"/>
      <c r="AQ73"/>
      <c r="AR73"/>
      <c r="AS73"/>
      <c r="AT73"/>
      <c r="AU73"/>
      <c r="AV73"/>
      <c r="AW73"/>
      <c r="AX73"/>
    </row>
    <row r="74" spans="1:50" ht="12.75" customHeight="1">
      <c r="A74" s="121"/>
      <c r="B74" s="121"/>
      <c r="C74" s="121"/>
      <c r="D74" s="121"/>
      <c r="E74" s="121"/>
      <c r="F74" s="121"/>
      <c r="G74" s="121"/>
      <c r="H74" s="121"/>
      <c r="I74" s="121"/>
      <c r="J74" s="121"/>
      <c r="K74" s="121"/>
      <c r="L74" s="121"/>
      <c r="M74" s="121"/>
      <c r="N74" s="121"/>
      <c r="O74" s="121"/>
      <c r="P74" s="121"/>
      <c r="Q74" s="360"/>
      <c r="R74" s="935" t="s">
        <v>678</v>
      </c>
      <c r="S74" s="935"/>
      <c r="T74" s="935"/>
      <c r="U74" s="930" t="s">
        <v>500</v>
      </c>
      <c r="V74" s="928" t="s">
        <v>22</v>
      </c>
      <c r="W74" s="929" t="s">
        <v>579</v>
      </c>
      <c r="X74" s="927" t="s">
        <v>21</v>
      </c>
      <c r="Y74" s="361"/>
      <c r="Z74" s="364"/>
      <c r="AA74" s="367"/>
      <c r="AB74"/>
      <c r="AC74"/>
      <c r="AD74"/>
      <c r="AE74"/>
      <c r="AF74"/>
      <c r="AG74"/>
      <c r="AH74"/>
      <c r="AI74"/>
      <c r="AJ74"/>
      <c r="AK74"/>
      <c r="AL74"/>
      <c r="AM74"/>
      <c r="AN74"/>
      <c r="AO74"/>
      <c r="AP74"/>
      <c r="AQ74"/>
      <c r="AR74"/>
      <c r="AS74"/>
      <c r="AT74"/>
      <c r="AU74"/>
      <c r="AV74"/>
      <c r="AW74"/>
      <c r="AX74"/>
    </row>
    <row r="75" spans="1:50" ht="12.75" customHeight="1">
      <c r="A75" s="121"/>
      <c r="B75" s="121"/>
      <c r="C75" s="121"/>
      <c r="D75" s="121"/>
      <c r="E75" s="121"/>
      <c r="F75" s="121"/>
      <c r="G75" s="121"/>
      <c r="H75" s="121"/>
      <c r="I75" s="121"/>
      <c r="J75" s="121"/>
      <c r="K75" s="121"/>
      <c r="L75" s="121"/>
      <c r="M75" s="121"/>
      <c r="N75" s="121"/>
      <c r="O75" s="121"/>
      <c r="P75" s="121"/>
      <c r="Q75" s="360"/>
      <c r="R75" s="935"/>
      <c r="S75" s="935"/>
      <c r="T75" s="935"/>
      <c r="U75" s="930"/>
      <c r="V75" s="928"/>
      <c r="W75" s="929"/>
      <c r="X75" s="927"/>
      <c r="Y75" s="361"/>
      <c r="Z75" s="364"/>
      <c r="AA75" s="367"/>
      <c r="AB75"/>
      <c r="AC75"/>
      <c r="AD75"/>
      <c r="AE75"/>
      <c r="AF75"/>
      <c r="AG75"/>
      <c r="AH75"/>
      <c r="AI75"/>
      <c r="AJ75"/>
      <c r="AK75"/>
      <c r="AL75"/>
      <c r="AM75"/>
      <c r="AN75"/>
      <c r="AO75"/>
      <c r="AP75"/>
      <c r="AQ75"/>
      <c r="AR75"/>
      <c r="AS75"/>
      <c r="AT75"/>
      <c r="AU75"/>
      <c r="AV75"/>
      <c r="AW75"/>
      <c r="AX75"/>
    </row>
    <row r="76" spans="1:50" ht="12.75" customHeight="1">
      <c r="A76" s="121"/>
      <c r="B76" s="121"/>
      <c r="C76" s="121"/>
      <c r="D76" s="121"/>
      <c r="E76" s="121"/>
      <c r="F76" s="121"/>
      <c r="G76" s="121"/>
      <c r="H76" s="121"/>
      <c r="I76" s="121"/>
      <c r="J76" s="121"/>
      <c r="K76" s="121"/>
      <c r="L76" s="121"/>
      <c r="M76" s="121"/>
      <c r="N76" s="121"/>
      <c r="O76" s="121"/>
      <c r="P76" s="121"/>
      <c r="Q76" s="360"/>
      <c r="R76" s="969" t="s">
        <v>63</v>
      </c>
      <c r="S76" s="969"/>
      <c r="T76" s="969"/>
      <c r="U76" s="369">
        <f>VLOOKUP($V$21,$R$309:$Z$314,5)</f>
        <v>108.02059991327964</v>
      </c>
      <c r="V76" s="369">
        <f>VLOOKUP($V$21,$R$309:$Z$314,3)</f>
        <v>114.62059991327953</v>
      </c>
      <c r="W76" s="369">
        <f>VLOOKUP($V$21,$R$309:$Z$314,4)</f>
        <v>115.62059991327953</v>
      </c>
      <c r="X76" s="369">
        <f>VLOOKUP($V$21,$R$309:$Z$314,2)</f>
        <v>122.92059991327966</v>
      </c>
      <c r="Y76" s="361"/>
      <c r="Z76" s="364"/>
      <c r="AA76" s="367"/>
      <c r="AB76"/>
      <c r="AC76"/>
      <c r="AD76"/>
      <c r="AE76"/>
      <c r="AF76"/>
      <c r="AG76"/>
      <c r="AH76"/>
      <c r="AI76"/>
      <c r="AJ76"/>
      <c r="AK76"/>
      <c r="AL76"/>
      <c r="AM76"/>
      <c r="AN76"/>
      <c r="AO76"/>
      <c r="AP76"/>
      <c r="AQ76"/>
      <c r="AR76"/>
      <c r="AS76"/>
      <c r="AT76"/>
      <c r="AU76"/>
      <c r="AV76"/>
      <c r="AW76"/>
      <c r="AX76"/>
    </row>
    <row r="77" spans="1:50" ht="12.75" customHeight="1">
      <c r="Q77" s="360"/>
      <c r="R77" s="969" t="s">
        <v>64</v>
      </c>
      <c r="S77" s="969"/>
      <c r="T77" s="969"/>
      <c r="U77" s="369">
        <f>U76-PPE!$I$15</f>
        <v>95.020599913279639</v>
      </c>
      <c r="V77" s="369">
        <f>V76-PPE!$I$15</f>
        <v>101.62059991327953</v>
      </c>
      <c r="W77" s="369">
        <f>W76-PPE!$I$15</f>
        <v>102.62059991327953</v>
      </c>
      <c r="X77" s="369">
        <f>X76-PPE!$I$15</f>
        <v>109.92059991327966</v>
      </c>
      <c r="Y77" s="361"/>
      <c r="Z77" s="364"/>
      <c r="AA77" s="367"/>
      <c r="AB77"/>
      <c r="AC77"/>
      <c r="AD77"/>
      <c r="AE77"/>
      <c r="AF77"/>
      <c r="AG77"/>
      <c r="AH77"/>
      <c r="AI77"/>
      <c r="AJ77"/>
      <c r="AK77"/>
      <c r="AL77"/>
      <c r="AM77"/>
      <c r="AN77"/>
      <c r="AO77"/>
      <c r="AP77"/>
      <c r="AQ77"/>
      <c r="AR77"/>
      <c r="AS77"/>
      <c r="AT77"/>
      <c r="AU77"/>
      <c r="AV77"/>
      <c r="AW77"/>
      <c r="AX77"/>
    </row>
    <row r="78" spans="1:50" ht="12.75" customHeight="1">
      <c r="Q78" s="360"/>
      <c r="R78" s="969" t="s">
        <v>529</v>
      </c>
      <c r="S78" s="969"/>
      <c r="T78" s="969"/>
      <c r="U78" s="369">
        <v>110</v>
      </c>
      <c r="V78" s="369">
        <v>110</v>
      </c>
      <c r="W78" s="369">
        <v>110</v>
      </c>
      <c r="X78" s="369">
        <v>110</v>
      </c>
      <c r="Y78" s="361"/>
      <c r="Z78" s="364"/>
      <c r="AA78" s="367"/>
      <c r="AB78"/>
      <c r="AC78"/>
      <c r="AD78"/>
      <c r="AE78"/>
      <c r="AF78"/>
      <c r="AG78"/>
      <c r="AH78"/>
      <c r="AI78"/>
      <c r="AJ78"/>
      <c r="AK78"/>
      <c r="AL78"/>
      <c r="AM78"/>
      <c r="AN78"/>
      <c r="AO78"/>
      <c r="AP78"/>
      <c r="AQ78"/>
      <c r="AR78"/>
      <c r="AS78"/>
      <c r="AT78"/>
      <c r="AU78"/>
      <c r="AV78"/>
      <c r="AW78"/>
      <c r="AX78"/>
    </row>
    <row r="79" spans="1:50" ht="12.75" customHeight="1">
      <c r="Q79" s="360"/>
      <c r="R79" s="364"/>
      <c r="S79" s="364"/>
      <c r="T79" s="364"/>
      <c r="U79" s="555"/>
      <c r="V79" s="555"/>
      <c r="W79" s="555"/>
      <c r="X79" s="555"/>
      <c r="Y79" s="555"/>
      <c r="Z79" s="364"/>
      <c r="AA79" s="367"/>
      <c r="AB79"/>
      <c r="AC79"/>
      <c r="AD79"/>
      <c r="AE79"/>
      <c r="AF79"/>
      <c r="AG79"/>
      <c r="AH79"/>
      <c r="AI79"/>
      <c r="AJ79"/>
      <c r="AK79"/>
      <c r="AL79"/>
      <c r="AM79"/>
      <c r="AN79"/>
      <c r="AO79"/>
      <c r="AP79"/>
      <c r="AQ79"/>
      <c r="AR79"/>
      <c r="AS79"/>
      <c r="AT79"/>
      <c r="AU79"/>
      <c r="AV79"/>
      <c r="AW79"/>
      <c r="AX79"/>
    </row>
    <row r="80" spans="1:50" ht="12.75" customHeight="1">
      <c r="Q80" s="385" t="s">
        <v>305</v>
      </c>
      <c r="R80" s="1008" t="s">
        <v>218</v>
      </c>
      <c r="S80" s="1008"/>
      <c r="T80" s="1008"/>
      <c r="U80" s="1008"/>
      <c r="V80" s="1008"/>
      <c r="W80" s="1008"/>
      <c r="X80" s="1008"/>
      <c r="Y80" s="1008"/>
      <c r="Z80" s="536"/>
      <c r="AA80" s="367"/>
      <c r="AB80"/>
      <c r="AC80"/>
      <c r="AD80"/>
      <c r="AE80"/>
      <c r="AF80"/>
      <c r="AG80"/>
      <c r="AH80"/>
      <c r="AI80"/>
      <c r="AJ80"/>
      <c r="AK80"/>
      <c r="AL80"/>
      <c r="AM80"/>
      <c r="AN80"/>
      <c r="AO80"/>
      <c r="AP80"/>
      <c r="AQ80"/>
      <c r="AR80"/>
      <c r="AS80"/>
      <c r="AT80"/>
      <c r="AU80"/>
      <c r="AV80"/>
      <c r="AW80"/>
      <c r="AX80"/>
    </row>
    <row r="81" spans="17:50" ht="12.75" customHeight="1">
      <c r="Q81" s="546"/>
      <c r="R81" s="363"/>
      <c r="S81" s="363"/>
      <c r="T81" s="363"/>
      <c r="U81" s="363"/>
      <c r="V81" s="363"/>
      <c r="W81" s="363"/>
      <c r="X81" s="363"/>
      <c r="Y81" s="363"/>
      <c r="Z81" s="364"/>
      <c r="AA81" s="367"/>
      <c r="AB81"/>
      <c r="AC81"/>
      <c r="AD81"/>
      <c r="AE81"/>
      <c r="AF81"/>
      <c r="AG81"/>
      <c r="AH81"/>
      <c r="AI81"/>
      <c r="AJ81"/>
      <c r="AK81"/>
      <c r="AL81"/>
      <c r="AM81"/>
      <c r="AN81"/>
      <c r="AO81"/>
      <c r="AP81"/>
      <c r="AQ81"/>
      <c r="AR81"/>
      <c r="AS81"/>
      <c r="AT81"/>
      <c r="AU81"/>
      <c r="AV81"/>
      <c r="AW81"/>
      <c r="AX81"/>
    </row>
    <row r="82" spans="17:50" ht="12.75" customHeight="1">
      <c r="Q82" s="546"/>
      <c r="R82" s="363" t="s">
        <v>436</v>
      </c>
      <c r="S82" s="363"/>
      <c r="T82" s="363"/>
      <c r="U82" s="363"/>
      <c r="V82" s="363"/>
      <c r="W82" s="363"/>
      <c r="X82" s="363"/>
      <c r="Y82" s="363"/>
      <c r="Z82" s="364"/>
      <c r="AA82" s="367"/>
      <c r="AB82"/>
      <c r="AC82"/>
      <c r="AD82"/>
      <c r="AE82"/>
      <c r="AF82"/>
      <c r="AG82"/>
      <c r="AH82"/>
      <c r="AI82"/>
      <c r="AJ82"/>
      <c r="AK82"/>
      <c r="AL82"/>
      <c r="AM82"/>
      <c r="AN82"/>
      <c r="AO82"/>
      <c r="AP82"/>
      <c r="AQ82"/>
      <c r="AR82"/>
      <c r="AS82"/>
      <c r="AT82"/>
      <c r="AU82"/>
      <c r="AV82"/>
      <c r="AW82"/>
      <c r="AX82"/>
    </row>
    <row r="83" spans="17:50" ht="12.75" customHeight="1">
      <c r="Q83" s="360"/>
      <c r="R83" s="935" t="s">
        <v>678</v>
      </c>
      <c r="S83" s="935"/>
      <c r="T83" s="935"/>
      <c r="U83" s="949" t="s">
        <v>500</v>
      </c>
      <c r="V83" s="1011" t="s">
        <v>22</v>
      </c>
      <c r="W83" s="1013" t="s">
        <v>579</v>
      </c>
      <c r="X83" s="1009" t="s">
        <v>21</v>
      </c>
      <c r="Y83" s="361"/>
      <c r="Z83" s="364"/>
      <c r="AA83" s="367"/>
      <c r="AB83"/>
      <c r="AC83"/>
      <c r="AD83"/>
      <c r="AE83"/>
      <c r="AF83"/>
      <c r="AG83"/>
      <c r="AH83"/>
      <c r="AI83"/>
      <c r="AJ83"/>
      <c r="AK83"/>
      <c r="AL83"/>
      <c r="AM83"/>
      <c r="AN83"/>
      <c r="AO83"/>
      <c r="AP83"/>
      <c r="AQ83"/>
      <c r="AR83"/>
      <c r="AS83"/>
      <c r="AT83"/>
      <c r="AU83"/>
      <c r="AV83"/>
      <c r="AW83"/>
      <c r="AX83"/>
    </row>
    <row r="84" spans="17:50" ht="12.75" customHeight="1">
      <c r="Q84" s="360"/>
      <c r="R84" s="935"/>
      <c r="S84" s="935"/>
      <c r="T84" s="935"/>
      <c r="U84" s="950"/>
      <c r="V84" s="1012"/>
      <c r="W84" s="1014"/>
      <c r="X84" s="1010"/>
      <c r="Y84" s="361"/>
      <c r="Z84" s="364"/>
      <c r="AA84" s="367"/>
      <c r="AB84"/>
      <c r="AC84"/>
      <c r="AD84"/>
      <c r="AE84"/>
      <c r="AF84"/>
      <c r="AG84"/>
      <c r="AH84"/>
      <c r="AI84"/>
      <c r="AJ84"/>
      <c r="AK84"/>
      <c r="AL84"/>
      <c r="AM84"/>
      <c r="AN84"/>
      <c r="AO84"/>
      <c r="AP84"/>
      <c r="AQ84"/>
      <c r="AR84"/>
      <c r="AS84"/>
      <c r="AT84"/>
      <c r="AU84"/>
      <c r="AV84"/>
      <c r="AW84"/>
      <c r="AX84"/>
    </row>
    <row r="85" spans="17:50" ht="12.75" customHeight="1">
      <c r="Q85" s="360"/>
      <c r="R85" s="969" t="s">
        <v>63</v>
      </c>
      <c r="S85" s="969"/>
      <c r="T85" s="969"/>
      <c r="U85" s="369">
        <f>U414</f>
        <v>97.15</v>
      </c>
      <c r="V85" s="369">
        <f>U356</f>
        <v>101.85</v>
      </c>
      <c r="W85" s="369">
        <f>U385</f>
        <v>102.7</v>
      </c>
      <c r="X85" s="369">
        <f>U327</f>
        <v>108.95</v>
      </c>
      <c r="Y85" s="361"/>
      <c r="Z85" s="364"/>
      <c r="AA85" s="367"/>
      <c r="AB85"/>
      <c r="AC85"/>
      <c r="AD85"/>
      <c r="AE85"/>
      <c r="AF85"/>
      <c r="AG85"/>
      <c r="AH85"/>
      <c r="AI85"/>
      <c r="AJ85"/>
      <c r="AK85"/>
      <c r="AL85"/>
      <c r="AM85"/>
      <c r="AN85"/>
      <c r="AO85"/>
      <c r="AP85"/>
      <c r="AQ85"/>
      <c r="AR85"/>
      <c r="AS85"/>
      <c r="AT85"/>
      <c r="AU85"/>
      <c r="AV85"/>
      <c r="AW85"/>
      <c r="AX85"/>
    </row>
    <row r="86" spans="17:50" ht="12.75" customHeight="1">
      <c r="Q86" s="360"/>
      <c r="R86" s="969" t="s">
        <v>64</v>
      </c>
      <c r="S86" s="969"/>
      <c r="T86" s="969"/>
      <c r="U86" s="369">
        <f>U427</f>
        <v>84.15</v>
      </c>
      <c r="V86" s="369">
        <f>U369</f>
        <v>88.8</v>
      </c>
      <c r="W86" s="369">
        <f>U398</f>
        <v>89.65</v>
      </c>
      <c r="X86" s="369">
        <f>U340</f>
        <v>96.05</v>
      </c>
      <c r="Y86" s="361"/>
      <c r="Z86" s="364"/>
      <c r="AA86" s="367"/>
      <c r="AB86"/>
      <c r="AC86"/>
      <c r="AD86"/>
      <c r="AE86"/>
      <c r="AF86"/>
      <c r="AG86"/>
      <c r="AH86"/>
      <c r="AI86"/>
      <c r="AJ86"/>
      <c r="AK86"/>
      <c r="AL86"/>
      <c r="AM86"/>
      <c r="AN86"/>
      <c r="AO86"/>
      <c r="AP86"/>
      <c r="AQ86"/>
      <c r="AR86"/>
      <c r="AS86"/>
      <c r="AT86"/>
      <c r="AU86"/>
      <c r="AV86"/>
      <c r="AW86"/>
      <c r="AX86"/>
    </row>
    <row r="87" spans="17:50" ht="12.75" customHeight="1">
      <c r="Q87" s="360"/>
      <c r="R87" s="969" t="s">
        <v>530</v>
      </c>
      <c r="S87" s="969"/>
      <c r="T87" s="969"/>
      <c r="U87" s="369">
        <v>85</v>
      </c>
      <c r="V87" s="369">
        <v>85</v>
      </c>
      <c r="W87" s="369">
        <v>85</v>
      </c>
      <c r="X87" s="369">
        <v>85</v>
      </c>
      <c r="Y87" s="361"/>
      <c r="Z87" s="364"/>
      <c r="AA87" s="367"/>
      <c r="AB87"/>
      <c r="AC87"/>
      <c r="AD87"/>
      <c r="AE87"/>
      <c r="AF87"/>
      <c r="AG87"/>
      <c r="AH87"/>
      <c r="AI87"/>
      <c r="AJ87"/>
      <c r="AK87"/>
      <c r="AL87"/>
      <c r="AM87"/>
      <c r="AN87"/>
      <c r="AO87"/>
      <c r="AP87"/>
      <c r="AQ87"/>
      <c r="AR87"/>
      <c r="AS87"/>
      <c r="AT87"/>
      <c r="AU87"/>
      <c r="AV87"/>
      <c r="AW87"/>
      <c r="AX87"/>
    </row>
    <row r="88" spans="17:50" ht="12.75" customHeight="1">
      <c r="Q88" s="360"/>
      <c r="R88" s="363"/>
      <c r="S88" s="363"/>
      <c r="T88" s="363"/>
      <c r="U88" s="363"/>
      <c r="V88" s="363"/>
      <c r="W88" s="363"/>
      <c r="X88" s="363"/>
      <c r="Y88" s="363"/>
      <c r="Z88" s="364"/>
      <c r="AA88" s="367"/>
      <c r="AB88"/>
      <c r="AC88"/>
      <c r="AD88"/>
      <c r="AE88"/>
      <c r="AF88"/>
      <c r="AG88"/>
      <c r="AH88"/>
      <c r="AI88"/>
      <c r="AJ88"/>
      <c r="AK88"/>
      <c r="AL88"/>
      <c r="AM88"/>
      <c r="AN88"/>
      <c r="AO88"/>
      <c r="AP88"/>
      <c r="AQ88"/>
      <c r="AR88"/>
      <c r="AS88"/>
      <c r="AT88"/>
      <c r="AU88"/>
      <c r="AV88"/>
      <c r="AW88"/>
      <c r="AX88"/>
    </row>
    <row r="89" spans="17:50" ht="12.75" customHeight="1">
      <c r="Q89" s="360"/>
      <c r="R89" s="363" t="s">
        <v>437</v>
      </c>
      <c r="S89" s="363"/>
      <c r="T89" s="363"/>
      <c r="U89" s="363"/>
      <c r="V89" s="363"/>
      <c r="W89" s="363"/>
      <c r="X89" s="363"/>
      <c r="Y89" s="363"/>
      <c r="Z89" s="364"/>
      <c r="AA89" s="367"/>
      <c r="AB89"/>
      <c r="AC89"/>
      <c r="AD89"/>
      <c r="AE89"/>
      <c r="AF89"/>
      <c r="AG89"/>
      <c r="AH89"/>
      <c r="AI89"/>
      <c r="AJ89"/>
      <c r="AK89"/>
      <c r="AL89"/>
      <c r="AM89"/>
      <c r="AN89"/>
      <c r="AO89"/>
      <c r="AP89"/>
      <c r="AQ89"/>
      <c r="AR89"/>
      <c r="AS89"/>
      <c r="AT89"/>
      <c r="AU89"/>
      <c r="AV89"/>
      <c r="AW89"/>
      <c r="AX89"/>
    </row>
    <row r="90" spans="17:50" ht="12.75" customHeight="1">
      <c r="Q90" s="360"/>
      <c r="R90" s="935" t="s">
        <v>678</v>
      </c>
      <c r="S90" s="935"/>
      <c r="T90" s="935"/>
      <c r="U90" s="949" t="s">
        <v>500</v>
      </c>
      <c r="V90" s="1011" t="s">
        <v>22</v>
      </c>
      <c r="W90" s="1013" t="s">
        <v>579</v>
      </c>
      <c r="X90" s="1009" t="s">
        <v>21</v>
      </c>
      <c r="Y90" s="361"/>
      <c r="Z90" s="364"/>
      <c r="AA90" s="367"/>
      <c r="AB90"/>
      <c r="AC90"/>
      <c r="AD90"/>
      <c r="AE90"/>
      <c r="AF90"/>
      <c r="AG90"/>
      <c r="AH90"/>
      <c r="AI90"/>
      <c r="AJ90"/>
      <c r="AK90"/>
      <c r="AL90"/>
      <c r="AM90"/>
      <c r="AN90"/>
      <c r="AO90"/>
      <c r="AP90"/>
      <c r="AQ90"/>
      <c r="AR90"/>
      <c r="AS90"/>
      <c r="AT90"/>
      <c r="AU90"/>
      <c r="AV90"/>
      <c r="AW90"/>
      <c r="AX90"/>
    </row>
    <row r="91" spans="17:50" ht="12.75" customHeight="1">
      <c r="Q91" s="360"/>
      <c r="R91" s="935"/>
      <c r="S91" s="935"/>
      <c r="T91" s="935"/>
      <c r="U91" s="950"/>
      <c r="V91" s="1012"/>
      <c r="W91" s="1014"/>
      <c r="X91" s="1010"/>
      <c r="Y91" s="361"/>
      <c r="Z91" s="364"/>
      <c r="AA91" s="367"/>
      <c r="AB91"/>
      <c r="AC91"/>
      <c r="AD91"/>
      <c r="AE91"/>
      <c r="AF91"/>
      <c r="AG91"/>
      <c r="AH91"/>
      <c r="AI91"/>
      <c r="AJ91"/>
      <c r="AK91"/>
      <c r="AL91"/>
      <c r="AM91"/>
      <c r="AN91"/>
      <c r="AO91"/>
      <c r="AP91"/>
      <c r="AQ91"/>
      <c r="AR91"/>
      <c r="AS91"/>
      <c r="AT91"/>
      <c r="AU91"/>
      <c r="AV91"/>
      <c r="AW91"/>
      <c r="AX91"/>
    </row>
    <row r="92" spans="17:50" ht="12.75" customHeight="1">
      <c r="Q92" s="360"/>
      <c r="R92" s="969" t="s">
        <v>63</v>
      </c>
      <c r="S92" s="969"/>
      <c r="T92" s="969"/>
      <c r="U92" s="369">
        <f>U533</f>
        <v>103.15</v>
      </c>
      <c r="V92" s="369">
        <f>U475</f>
        <v>107.9</v>
      </c>
      <c r="W92" s="369">
        <f>U504</f>
        <v>108.75</v>
      </c>
      <c r="X92" s="369">
        <f>U446</f>
        <v>114.05</v>
      </c>
      <c r="Y92" s="361"/>
      <c r="Z92" s="364"/>
      <c r="AA92" s="367"/>
      <c r="AB92"/>
      <c r="AC92"/>
      <c r="AD92"/>
      <c r="AE92"/>
      <c r="AF92"/>
      <c r="AG92"/>
      <c r="AH92"/>
      <c r="AI92"/>
      <c r="AJ92"/>
      <c r="AK92"/>
      <c r="AL92"/>
      <c r="AM92"/>
      <c r="AN92"/>
      <c r="AO92"/>
      <c r="AP92"/>
      <c r="AQ92"/>
      <c r="AR92"/>
      <c r="AS92"/>
      <c r="AT92"/>
      <c r="AU92"/>
      <c r="AV92"/>
      <c r="AW92"/>
      <c r="AX92"/>
    </row>
    <row r="93" spans="17:50" ht="12.75" customHeight="1">
      <c r="Q93" s="360"/>
      <c r="R93" s="969" t="s">
        <v>64</v>
      </c>
      <c r="S93" s="969"/>
      <c r="T93" s="969"/>
      <c r="U93" s="369">
        <f>U546</f>
        <v>90.15</v>
      </c>
      <c r="V93" s="369">
        <f>U488</f>
        <v>94.85</v>
      </c>
      <c r="W93" s="369">
        <f>U517</f>
        <v>95.8</v>
      </c>
      <c r="X93" s="369">
        <f>U459</f>
        <v>102.05</v>
      </c>
      <c r="Y93" s="361"/>
      <c r="Z93" s="364"/>
      <c r="AA93" s="367"/>
      <c r="AB93"/>
      <c r="AC93"/>
      <c r="AD93"/>
      <c r="AE93"/>
      <c r="AF93"/>
      <c r="AG93"/>
      <c r="AH93"/>
      <c r="AI93"/>
      <c r="AJ93"/>
      <c r="AK93"/>
      <c r="AL93"/>
      <c r="AM93"/>
      <c r="AN93"/>
      <c r="AO93"/>
      <c r="AP93"/>
      <c r="AQ93"/>
      <c r="AR93"/>
      <c r="AS93"/>
      <c r="AT93"/>
      <c r="AU93"/>
      <c r="AV93"/>
      <c r="AW93"/>
      <c r="AX93"/>
    </row>
    <row r="94" spans="17:50" ht="12.75" customHeight="1">
      <c r="Q94" s="360"/>
      <c r="R94" s="969" t="s">
        <v>530</v>
      </c>
      <c r="S94" s="969"/>
      <c r="T94" s="969"/>
      <c r="U94" s="369">
        <v>85</v>
      </c>
      <c r="V94" s="369">
        <v>85</v>
      </c>
      <c r="W94" s="369">
        <v>85</v>
      </c>
      <c r="X94" s="369">
        <v>85</v>
      </c>
      <c r="Y94" s="361"/>
      <c r="Z94" s="364"/>
      <c r="AA94" s="367"/>
      <c r="AB94"/>
      <c r="AC94"/>
      <c r="AD94"/>
      <c r="AE94"/>
      <c r="AF94"/>
      <c r="AG94"/>
      <c r="AH94"/>
      <c r="AI94"/>
      <c r="AJ94"/>
      <c r="AK94"/>
      <c r="AL94"/>
      <c r="AM94"/>
      <c r="AN94"/>
      <c r="AO94"/>
      <c r="AP94"/>
      <c r="AQ94"/>
      <c r="AR94"/>
      <c r="AS94"/>
      <c r="AT94"/>
      <c r="AU94"/>
      <c r="AV94"/>
      <c r="AW94"/>
      <c r="AX94"/>
    </row>
    <row r="95" spans="17:50" ht="12.75" customHeight="1">
      <c r="Q95" s="360"/>
      <c r="R95" s="363"/>
      <c r="S95" s="363"/>
      <c r="T95" s="363"/>
      <c r="U95" s="363"/>
      <c r="V95" s="363"/>
      <c r="W95" s="363"/>
      <c r="X95" s="363"/>
      <c r="Y95" s="363"/>
      <c r="Z95" s="364"/>
      <c r="AA95" s="367"/>
      <c r="AB95"/>
      <c r="AC95"/>
      <c r="AD95"/>
      <c r="AE95"/>
      <c r="AF95"/>
      <c r="AG95"/>
      <c r="AH95"/>
      <c r="AI95"/>
      <c r="AJ95"/>
      <c r="AK95"/>
      <c r="AL95"/>
      <c r="AM95"/>
      <c r="AN95"/>
      <c r="AO95"/>
      <c r="AP95"/>
      <c r="AQ95"/>
      <c r="AR95"/>
      <c r="AS95"/>
      <c r="AT95"/>
      <c r="AU95"/>
      <c r="AV95"/>
      <c r="AW95"/>
      <c r="AX95"/>
    </row>
    <row r="96" spans="17:50" ht="12.75" customHeight="1">
      <c r="Q96" s="385" t="s">
        <v>222</v>
      </c>
      <c r="R96" s="1008" t="s">
        <v>504</v>
      </c>
      <c r="S96" s="1008"/>
      <c r="T96" s="1008"/>
      <c r="U96" s="1008"/>
      <c r="V96" s="1008"/>
      <c r="W96" s="1008"/>
      <c r="X96" s="1008"/>
      <c r="Y96" s="1008"/>
      <c r="Z96" s="547"/>
      <c r="AA96" s="367"/>
      <c r="AB96"/>
      <c r="AC96"/>
      <c r="AD96"/>
      <c r="AE96"/>
      <c r="AF96"/>
      <c r="AG96"/>
      <c r="AH96"/>
      <c r="AI96"/>
      <c r="AJ96"/>
      <c r="AK96"/>
      <c r="AL96"/>
      <c r="AM96"/>
      <c r="AN96"/>
      <c r="AO96"/>
      <c r="AP96"/>
      <c r="AQ96"/>
      <c r="AR96"/>
      <c r="AS96"/>
      <c r="AT96"/>
      <c r="AU96"/>
      <c r="AV96"/>
      <c r="AW96"/>
      <c r="AX96"/>
    </row>
    <row r="97" spans="17:50" s="133" customFormat="1" ht="12.75" customHeight="1">
      <c r="Q97" s="360"/>
      <c r="R97" s="363"/>
      <c r="S97" s="363"/>
      <c r="T97" s="363"/>
      <c r="U97" s="363"/>
      <c r="V97" s="363"/>
      <c r="W97" s="363"/>
      <c r="X97" s="363"/>
      <c r="Y97" s="363"/>
      <c r="Z97" s="364"/>
      <c r="AA97" s="367"/>
      <c r="AB97"/>
      <c r="AC97"/>
      <c r="AD97"/>
      <c r="AE97"/>
      <c r="AF97"/>
      <c r="AG97"/>
      <c r="AH97"/>
      <c r="AI97"/>
      <c r="AJ97"/>
      <c r="AK97"/>
      <c r="AL97"/>
      <c r="AM97"/>
      <c r="AN97"/>
      <c r="AO97"/>
      <c r="AP97"/>
      <c r="AQ97"/>
      <c r="AR97"/>
      <c r="AS97"/>
      <c r="AT97"/>
      <c r="AU97"/>
      <c r="AV97"/>
      <c r="AW97"/>
      <c r="AX97"/>
    </row>
    <row r="98" spans="17:50" ht="12.75" customHeight="1">
      <c r="Q98" s="360" t="s">
        <v>505</v>
      </c>
      <c r="R98" s="363" t="s">
        <v>514</v>
      </c>
      <c r="S98" s="363"/>
      <c r="T98" s="363"/>
      <c r="U98" s="363"/>
      <c r="V98" s="363"/>
      <c r="W98" s="363"/>
      <c r="X98" s="363"/>
      <c r="Y98" s="363"/>
      <c r="Z98" s="364"/>
      <c r="AA98" s="367"/>
      <c r="AB98"/>
      <c r="AC98"/>
      <c r="AD98"/>
      <c r="AE98"/>
      <c r="AF98"/>
      <c r="AG98"/>
      <c r="AH98"/>
      <c r="AI98"/>
      <c r="AJ98"/>
      <c r="AK98"/>
      <c r="AL98"/>
      <c r="AM98"/>
      <c r="AN98"/>
      <c r="AO98"/>
      <c r="AP98"/>
      <c r="AQ98"/>
      <c r="AR98"/>
      <c r="AS98"/>
      <c r="AT98"/>
      <c r="AU98"/>
      <c r="AV98"/>
      <c r="AW98"/>
      <c r="AX98"/>
    </row>
    <row r="99" spans="17:50" ht="12.75" customHeight="1">
      <c r="Q99" s="360"/>
      <c r="R99" s="363" t="s">
        <v>512</v>
      </c>
      <c r="S99" s="363"/>
      <c r="T99" s="363"/>
      <c r="U99" s="363"/>
      <c r="V99" s="363"/>
      <c r="W99" s="363"/>
      <c r="X99" s="363"/>
      <c r="Y99" s="363"/>
      <c r="Z99" s="364"/>
      <c r="AA99" s="367"/>
      <c r="AB99"/>
      <c r="AC99"/>
      <c r="AD99"/>
      <c r="AE99"/>
      <c r="AF99"/>
      <c r="AG99"/>
      <c r="AH99"/>
      <c r="AI99"/>
      <c r="AJ99"/>
      <c r="AK99"/>
      <c r="AL99"/>
      <c r="AM99"/>
      <c r="AN99"/>
      <c r="AO99"/>
      <c r="AP99"/>
      <c r="AQ99"/>
      <c r="AR99"/>
      <c r="AS99"/>
      <c r="AT99"/>
      <c r="AU99"/>
      <c r="AV99"/>
      <c r="AW99"/>
      <c r="AX99"/>
    </row>
    <row r="100" spans="17:50" ht="12.75" customHeight="1">
      <c r="Q100" s="360"/>
      <c r="R100" s="998" t="s">
        <v>191</v>
      </c>
      <c r="S100" s="999"/>
      <c r="T100" s="1000"/>
      <c r="U100" s="949" t="s">
        <v>500</v>
      </c>
      <c r="V100" s="938" t="s">
        <v>22</v>
      </c>
      <c r="W100" s="940" t="s">
        <v>579</v>
      </c>
      <c r="X100" s="942" t="s">
        <v>21</v>
      </c>
      <c r="Y100" s="361"/>
      <c r="Z100" s="364"/>
      <c r="AA100" s="367"/>
      <c r="AB100"/>
      <c r="AC100"/>
      <c r="AD100"/>
      <c r="AE100"/>
      <c r="AF100"/>
      <c r="AG100"/>
      <c r="AH100"/>
      <c r="AI100"/>
      <c r="AJ100"/>
      <c r="AK100"/>
      <c r="AL100"/>
      <c r="AM100"/>
      <c r="AN100"/>
      <c r="AO100"/>
      <c r="AP100"/>
      <c r="AQ100"/>
      <c r="AR100"/>
      <c r="AS100"/>
      <c r="AT100"/>
      <c r="AU100"/>
      <c r="AV100"/>
      <c r="AW100"/>
      <c r="AX100"/>
    </row>
    <row r="101" spans="17:50" ht="12.75" customHeight="1">
      <c r="Q101" s="360"/>
      <c r="R101" s="1001"/>
      <c r="S101" s="1002"/>
      <c r="T101" s="1003"/>
      <c r="U101" s="950"/>
      <c r="V101" s="939"/>
      <c r="W101" s="941"/>
      <c r="X101" s="943"/>
      <c r="Y101" s="361"/>
      <c r="Z101" s="364"/>
      <c r="AA101" s="367"/>
      <c r="AB101"/>
      <c r="AC101"/>
      <c r="AD101"/>
      <c r="AE101"/>
      <c r="AF101"/>
      <c r="AG101"/>
      <c r="AH101"/>
      <c r="AI101"/>
      <c r="AJ101"/>
      <c r="AK101"/>
      <c r="AL101"/>
      <c r="AM101"/>
      <c r="AN101"/>
      <c r="AO101"/>
      <c r="AP101"/>
      <c r="AQ101"/>
      <c r="AR101"/>
      <c r="AS101"/>
      <c r="AT101"/>
      <c r="AU101"/>
      <c r="AV101"/>
      <c r="AW101"/>
      <c r="AX101"/>
    </row>
    <row r="102" spans="17:50" ht="12.75" customHeight="1">
      <c r="Q102" s="360"/>
      <c r="R102" s="969" t="s">
        <v>63</v>
      </c>
      <c r="S102" s="969"/>
      <c r="T102" s="969"/>
      <c r="U102" s="537">
        <f>VLOOKUP(U69,'Lookup Exposure Time'!$B$12:$C$732,2)</f>
        <v>10</v>
      </c>
      <c r="V102" s="537">
        <f>VLOOKUP(V69,'Lookup Exposure Time'!$B$12:$C$732,2)</f>
        <v>2.1875</v>
      </c>
      <c r="W102" s="537">
        <f>VLOOKUP(W69,'Lookup Exposure Time'!$B$12:$C$732,2)</f>
        <v>1.71875</v>
      </c>
      <c r="X102" s="537">
        <f>VLOOKUP(X69,'Lookup Exposure Time'!$B$12:$C$732,2)</f>
        <v>0.32030299999999973</v>
      </c>
      <c r="Y102" s="361"/>
      <c r="Z102" s="364"/>
      <c r="AA102" s="367"/>
      <c r="AB102"/>
      <c r="AC102"/>
      <c r="AD102"/>
      <c r="AE102"/>
      <c r="AF102"/>
      <c r="AG102"/>
      <c r="AH102"/>
      <c r="AI102"/>
      <c r="AJ102"/>
      <c r="AK102"/>
      <c r="AL102"/>
      <c r="AM102"/>
      <c r="AN102"/>
      <c r="AO102"/>
      <c r="AP102"/>
      <c r="AQ102"/>
      <c r="AR102"/>
      <c r="AS102"/>
      <c r="AT102"/>
      <c r="AU102"/>
      <c r="AV102"/>
      <c r="AW102"/>
      <c r="AX102"/>
    </row>
    <row r="103" spans="17:50" ht="12.75" customHeight="1">
      <c r="Q103" s="360"/>
      <c r="R103" s="969" t="s">
        <v>64</v>
      </c>
      <c r="S103" s="969"/>
      <c r="T103" s="969"/>
      <c r="U103" s="537">
        <f>VLOOKUP(U70,'Lookup Exposure Time'!$B$12:$C$732,2)</f>
        <v>200</v>
      </c>
      <c r="V103" s="537">
        <f>VLOOKUP(V70,'Lookup Exposure Time'!$B$12:$C$732,2)</f>
        <v>45</v>
      </c>
      <c r="W103" s="537">
        <f>VLOOKUP(W70,'Lookup Exposure Time'!$B$12:$C$732,2)</f>
        <v>35</v>
      </c>
      <c r="X103" s="537">
        <f>VLOOKUP(X70,'Lookup Exposure Time'!$B$12:$C$732,2)</f>
        <v>6.375</v>
      </c>
      <c r="Y103" s="361"/>
      <c r="Z103" s="364"/>
      <c r="AA103" s="367"/>
      <c r="AB103"/>
      <c r="AC103"/>
      <c r="AD103"/>
      <c r="AE103"/>
      <c r="AF103"/>
      <c r="AG103"/>
      <c r="AH103"/>
      <c r="AI103"/>
      <c r="AJ103"/>
      <c r="AK103"/>
      <c r="AL103"/>
      <c r="AM103"/>
      <c r="AN103"/>
      <c r="AO103"/>
      <c r="AP103"/>
      <c r="AQ103"/>
      <c r="AR103"/>
      <c r="AS103"/>
      <c r="AT103"/>
      <c r="AU103"/>
      <c r="AV103"/>
      <c r="AW103"/>
      <c r="AX103"/>
    </row>
    <row r="104" spans="17:50" ht="12.75" customHeight="1">
      <c r="Q104" s="360"/>
      <c r="R104" s="364"/>
      <c r="S104" s="364"/>
      <c r="T104" s="364"/>
      <c r="U104" s="364"/>
      <c r="V104" s="364"/>
      <c r="W104" s="364"/>
      <c r="X104" s="364"/>
      <c r="Y104" s="363"/>
      <c r="Z104" s="364"/>
      <c r="AA104" s="367"/>
      <c r="AB104"/>
      <c r="AC104"/>
      <c r="AD104"/>
      <c r="AE104"/>
      <c r="AF104"/>
      <c r="AG104"/>
      <c r="AH104"/>
      <c r="AI104"/>
      <c r="AJ104"/>
      <c r="AK104"/>
      <c r="AL104"/>
      <c r="AM104"/>
      <c r="AN104"/>
      <c r="AO104"/>
      <c r="AP104"/>
      <c r="AQ104"/>
      <c r="AR104"/>
      <c r="AS104"/>
      <c r="AT104"/>
      <c r="AU104"/>
      <c r="AV104"/>
      <c r="AW104"/>
      <c r="AX104"/>
    </row>
    <row r="105" spans="17:50" ht="12.75" customHeight="1">
      <c r="Q105" s="360" t="s">
        <v>507</v>
      </c>
      <c r="R105" s="363" t="s">
        <v>513</v>
      </c>
      <c r="S105" s="363"/>
      <c r="T105" s="363"/>
      <c r="U105" s="363"/>
      <c r="V105" s="363"/>
      <c r="W105" s="363"/>
      <c r="X105" s="363"/>
      <c r="Y105" s="363"/>
      <c r="Z105" s="364"/>
      <c r="AA105" s="367"/>
      <c r="AB105"/>
      <c r="AC105"/>
      <c r="AD105"/>
      <c r="AE105"/>
      <c r="AF105"/>
      <c r="AG105"/>
      <c r="AH105"/>
      <c r="AI105"/>
      <c r="AJ105"/>
      <c r="AK105"/>
      <c r="AL105"/>
      <c r="AM105"/>
      <c r="AN105"/>
      <c r="AO105"/>
      <c r="AP105"/>
      <c r="AQ105"/>
      <c r="AR105"/>
      <c r="AS105"/>
      <c r="AT105"/>
      <c r="AU105"/>
      <c r="AV105"/>
      <c r="AW105"/>
      <c r="AX105"/>
    </row>
    <row r="106" spans="17:50" ht="12.75" customHeight="1">
      <c r="Q106" s="360"/>
      <c r="R106" s="998" t="s">
        <v>191</v>
      </c>
      <c r="S106" s="999"/>
      <c r="T106" s="1000"/>
      <c r="U106" s="949" t="s">
        <v>500</v>
      </c>
      <c r="V106" s="938" t="s">
        <v>22</v>
      </c>
      <c r="W106" s="940" t="s">
        <v>579</v>
      </c>
      <c r="X106" s="942" t="s">
        <v>21</v>
      </c>
      <c r="Y106" s="361"/>
      <c r="Z106" s="364"/>
      <c r="AA106" s="367"/>
      <c r="AB106"/>
      <c r="AC106"/>
      <c r="AD106"/>
      <c r="AE106"/>
      <c r="AF106"/>
      <c r="AG106"/>
      <c r="AH106"/>
      <c r="AI106"/>
      <c r="AJ106"/>
      <c r="AK106"/>
      <c r="AL106"/>
      <c r="AM106"/>
      <c r="AN106"/>
      <c r="AO106"/>
      <c r="AP106"/>
      <c r="AQ106"/>
      <c r="AR106"/>
      <c r="AS106"/>
      <c r="AT106"/>
      <c r="AU106"/>
      <c r="AV106"/>
      <c r="AW106"/>
      <c r="AX106"/>
    </row>
    <row r="107" spans="17:50" ht="12.75" customHeight="1">
      <c r="Q107" s="360"/>
      <c r="R107" s="1001"/>
      <c r="S107" s="1002"/>
      <c r="T107" s="1003"/>
      <c r="U107" s="950"/>
      <c r="V107" s="939"/>
      <c r="W107" s="941"/>
      <c r="X107" s="943"/>
      <c r="Y107" s="361"/>
      <c r="Z107" s="364"/>
      <c r="AA107" s="367"/>
      <c r="AB107"/>
      <c r="AC107"/>
      <c r="AD107"/>
      <c r="AE107"/>
      <c r="AF107"/>
      <c r="AG107"/>
      <c r="AH107"/>
      <c r="AI107"/>
      <c r="AJ107"/>
      <c r="AK107"/>
      <c r="AL107"/>
      <c r="AM107"/>
      <c r="AN107"/>
      <c r="AO107"/>
      <c r="AP107"/>
      <c r="AQ107"/>
      <c r="AR107"/>
      <c r="AS107"/>
      <c r="AT107"/>
      <c r="AU107"/>
      <c r="AV107"/>
      <c r="AW107"/>
      <c r="AX107"/>
    </row>
    <row r="108" spans="17:50" ht="12.75" customHeight="1">
      <c r="Q108" s="360"/>
      <c r="R108" s="969" t="s">
        <v>63</v>
      </c>
      <c r="S108" s="969"/>
      <c r="T108" s="969"/>
      <c r="U108" s="671">
        <f>VLOOKUP(U76,'Lookup Exposure Time'!$B$12:$C$732,2)</f>
        <v>2.5</v>
      </c>
      <c r="V108" s="671">
        <f>VLOOKUP(V76,'Lookup Exposure Time'!$B$12:$C$732,2)</f>
        <v>0.53125</v>
      </c>
      <c r="W108" s="671">
        <f>VLOOKUP(W76,'Lookup Exposure Time'!$B$12:$C$732,2)</f>
        <v>0.42187199999999991</v>
      </c>
      <c r="X108" s="671">
        <f>VLOOKUP(X76,'Lookup Exposure Time'!$B$12:$C$732,2)</f>
        <v>8.0078125E-2</v>
      </c>
      <c r="Y108" s="361"/>
      <c r="Z108" s="364"/>
      <c r="AA108" s="367"/>
      <c r="AB108"/>
      <c r="AC108"/>
      <c r="AD108"/>
      <c r="AE108"/>
      <c r="AF108"/>
      <c r="AG108"/>
      <c r="AH108"/>
      <c r="AI108"/>
      <c r="AJ108"/>
      <c r="AK108"/>
      <c r="AL108"/>
      <c r="AM108"/>
      <c r="AN108"/>
      <c r="AO108"/>
      <c r="AP108"/>
      <c r="AQ108"/>
      <c r="AR108"/>
      <c r="AS108"/>
      <c r="AT108"/>
      <c r="AU108"/>
      <c r="AV108"/>
      <c r="AW108"/>
      <c r="AX108"/>
    </row>
    <row r="109" spans="17:50" ht="12.75" customHeight="1">
      <c r="Q109" s="360"/>
      <c r="R109" s="969" t="s">
        <v>64</v>
      </c>
      <c r="S109" s="969"/>
      <c r="T109" s="969"/>
      <c r="U109" s="557">
        <f>VLOOKUP(U77,'Lookup Exposure Time'!$B$12:$C$732,2)</f>
        <v>50</v>
      </c>
      <c r="V109" s="557">
        <f>VLOOKUP(V77,'Lookup Exposure Time'!$B$12:$C$732,2)</f>
        <v>11</v>
      </c>
      <c r="W109" s="557">
        <f>VLOOKUP(W77,'Lookup Exposure Time'!$B$12:$C$732,2)</f>
        <v>8.5</v>
      </c>
      <c r="X109" s="557">
        <f>VLOOKUP(X77,'Lookup Exposure Time'!$B$12:$C$732,2)</f>
        <v>1.59375</v>
      </c>
      <c r="Y109" s="361"/>
      <c r="Z109" s="364"/>
      <c r="AA109" s="367"/>
      <c r="AB109"/>
      <c r="AC109"/>
      <c r="AD109"/>
      <c r="AE109"/>
      <c r="AF109"/>
      <c r="AG109"/>
      <c r="AH109"/>
      <c r="AI109"/>
      <c r="AJ109"/>
      <c r="AK109"/>
      <c r="AL109"/>
      <c r="AM109"/>
      <c r="AN109"/>
      <c r="AO109"/>
      <c r="AP109"/>
      <c r="AQ109"/>
      <c r="AR109"/>
      <c r="AS109"/>
      <c r="AT109"/>
      <c r="AU109"/>
      <c r="AV109"/>
      <c r="AW109"/>
      <c r="AX109"/>
    </row>
    <row r="110" spans="17:50" ht="12.75" customHeight="1">
      <c r="Q110" s="360"/>
      <c r="R110" s="363"/>
      <c r="S110" s="363"/>
      <c r="T110" s="363"/>
      <c r="U110" s="363"/>
      <c r="V110" s="363"/>
      <c r="W110" s="363"/>
      <c r="X110" s="363"/>
      <c r="Y110" s="363"/>
      <c r="Z110" s="364"/>
      <c r="AA110" s="367"/>
      <c r="AB110"/>
      <c r="AC110"/>
      <c r="AD110"/>
      <c r="AE110"/>
      <c r="AF110"/>
      <c r="AG110"/>
      <c r="AH110"/>
      <c r="AI110"/>
      <c r="AJ110"/>
      <c r="AK110"/>
      <c r="AL110"/>
      <c r="AM110"/>
      <c r="AN110"/>
      <c r="AO110"/>
      <c r="AP110"/>
      <c r="AQ110"/>
      <c r="AR110"/>
      <c r="AS110"/>
      <c r="AT110"/>
      <c r="AU110"/>
      <c r="AV110"/>
      <c r="AW110"/>
      <c r="AX110"/>
    </row>
    <row r="111" spans="17:50" ht="12.75" customHeight="1">
      <c r="Q111" s="360" t="s">
        <v>508</v>
      </c>
      <c r="R111" s="363" t="s">
        <v>531</v>
      </c>
      <c r="S111" s="363"/>
      <c r="T111" s="363"/>
      <c r="U111" s="363"/>
      <c r="V111" s="363"/>
      <c r="W111" s="363"/>
      <c r="X111" s="363"/>
      <c r="Y111" s="363"/>
      <c r="Z111" s="364"/>
      <c r="AA111" s="367"/>
      <c r="AB111"/>
      <c r="AC111"/>
      <c r="AD111"/>
      <c r="AE111"/>
      <c r="AF111"/>
      <c r="AG111"/>
      <c r="AH111"/>
      <c r="AI111"/>
      <c r="AJ111"/>
      <c r="AK111"/>
      <c r="AL111"/>
      <c r="AM111"/>
      <c r="AN111"/>
      <c r="AO111"/>
      <c r="AP111"/>
      <c r="AQ111"/>
      <c r="AR111"/>
      <c r="AS111"/>
      <c r="AT111"/>
      <c r="AU111"/>
      <c r="AV111"/>
      <c r="AW111"/>
      <c r="AX111"/>
    </row>
    <row r="112" spans="17:50" ht="12.75" customHeight="1">
      <c r="Q112" s="360"/>
      <c r="R112" s="998" t="s">
        <v>191</v>
      </c>
      <c r="S112" s="999"/>
      <c r="T112" s="1000"/>
      <c r="U112" s="949" t="s">
        <v>500</v>
      </c>
      <c r="V112" s="938" t="s">
        <v>22</v>
      </c>
      <c r="W112" s="940" t="s">
        <v>579</v>
      </c>
      <c r="X112" s="942" t="s">
        <v>21</v>
      </c>
      <c r="Y112" s="361"/>
      <c r="Z112" s="364"/>
      <c r="AA112" s="367"/>
      <c r="AB112"/>
      <c r="AC112"/>
      <c r="AD112"/>
      <c r="AE112"/>
      <c r="AF112"/>
      <c r="AG112"/>
      <c r="AH112"/>
      <c r="AI112"/>
      <c r="AJ112"/>
      <c r="AK112"/>
      <c r="AL112"/>
      <c r="AM112"/>
      <c r="AN112"/>
      <c r="AO112"/>
      <c r="AP112"/>
      <c r="AQ112"/>
      <c r="AR112"/>
      <c r="AS112"/>
      <c r="AT112"/>
      <c r="AU112"/>
      <c r="AV112"/>
      <c r="AW112"/>
      <c r="AX112"/>
    </row>
    <row r="113" spans="17:50" ht="12.75" customHeight="1">
      <c r="Q113" s="360"/>
      <c r="R113" s="1001"/>
      <c r="S113" s="1002"/>
      <c r="T113" s="1003"/>
      <c r="U113" s="950"/>
      <c r="V113" s="939"/>
      <c r="W113" s="941"/>
      <c r="X113" s="943"/>
      <c r="Y113" s="361"/>
      <c r="Z113" s="364"/>
      <c r="AA113" s="367"/>
      <c r="AB113"/>
      <c r="AC113"/>
      <c r="AD113"/>
      <c r="AE113"/>
      <c r="AF113"/>
      <c r="AG113"/>
      <c r="AH113"/>
      <c r="AI113"/>
      <c r="AJ113"/>
      <c r="AK113"/>
      <c r="AL113"/>
      <c r="AM113"/>
      <c r="AN113"/>
      <c r="AO113"/>
      <c r="AP113"/>
      <c r="AQ113"/>
      <c r="AR113"/>
      <c r="AS113"/>
      <c r="AT113"/>
      <c r="AU113"/>
      <c r="AV113"/>
      <c r="AW113"/>
      <c r="AX113"/>
    </row>
    <row r="114" spans="17:50" ht="12.75" customHeight="1">
      <c r="Q114" s="360"/>
      <c r="R114" s="969" t="s">
        <v>63</v>
      </c>
      <c r="S114" s="969"/>
      <c r="T114" s="969"/>
      <c r="U114" s="537">
        <f t="shared" ref="U114:X115" si="0">U102/60</f>
        <v>0.16666666666666666</v>
      </c>
      <c r="V114" s="537">
        <f t="shared" si="0"/>
        <v>3.6458333333333336E-2</v>
      </c>
      <c r="W114" s="537">
        <f t="shared" si="0"/>
        <v>2.8645833333333332E-2</v>
      </c>
      <c r="X114" s="537">
        <f t="shared" si="0"/>
        <v>5.3383833333333292E-3</v>
      </c>
      <c r="Y114" s="361"/>
      <c r="Z114" s="364"/>
      <c r="AA114" s="367"/>
      <c r="AB114"/>
      <c r="AC114"/>
      <c r="AD114"/>
      <c r="AE114"/>
      <c r="AF114"/>
      <c r="AG114"/>
      <c r="AH114"/>
      <c r="AI114"/>
      <c r="AJ114"/>
      <c r="AK114"/>
      <c r="AL114"/>
      <c r="AM114"/>
      <c r="AN114"/>
      <c r="AO114"/>
      <c r="AP114"/>
      <c r="AQ114"/>
      <c r="AR114"/>
      <c r="AS114"/>
      <c r="AT114"/>
      <c r="AU114"/>
      <c r="AV114"/>
      <c r="AW114"/>
      <c r="AX114"/>
    </row>
    <row r="115" spans="17:50" ht="12.75" customHeight="1">
      <c r="Q115" s="360"/>
      <c r="R115" s="969" t="s">
        <v>64</v>
      </c>
      <c r="S115" s="969"/>
      <c r="T115" s="969"/>
      <c r="U115" s="537">
        <f t="shared" si="0"/>
        <v>3.3333333333333335</v>
      </c>
      <c r="V115" s="537">
        <f t="shared" si="0"/>
        <v>0.75</v>
      </c>
      <c r="W115" s="537">
        <f t="shared" si="0"/>
        <v>0.58333333333333337</v>
      </c>
      <c r="X115" s="537">
        <f t="shared" si="0"/>
        <v>0.10625</v>
      </c>
      <c r="Y115" s="361"/>
      <c r="Z115" s="364"/>
      <c r="AA115" s="367"/>
      <c r="AB115"/>
      <c r="AC115"/>
      <c r="AD115"/>
      <c r="AE115"/>
      <c r="AF115"/>
      <c r="AG115"/>
      <c r="AH115"/>
      <c r="AI115"/>
      <c r="AJ115"/>
      <c r="AK115"/>
      <c r="AL115"/>
      <c r="AM115"/>
      <c r="AN115"/>
      <c r="AO115"/>
      <c r="AP115"/>
      <c r="AQ115"/>
      <c r="AR115"/>
      <c r="AS115"/>
      <c r="AT115"/>
      <c r="AU115"/>
      <c r="AV115"/>
      <c r="AW115"/>
      <c r="AX115"/>
    </row>
    <row r="116" spans="17:50" ht="12.75" customHeight="1">
      <c r="Q116" s="360"/>
      <c r="R116" s="364"/>
      <c r="S116" s="364"/>
      <c r="T116" s="364"/>
      <c r="U116" s="364"/>
      <c r="V116" s="364"/>
      <c r="W116" s="364"/>
      <c r="X116" s="364"/>
      <c r="Y116" s="363"/>
      <c r="Z116" s="364"/>
      <c r="AA116" s="367"/>
      <c r="AB116"/>
      <c r="AC116"/>
      <c r="AD116"/>
      <c r="AE116"/>
      <c r="AF116"/>
      <c r="AG116"/>
      <c r="AH116"/>
      <c r="AI116"/>
      <c r="AJ116"/>
      <c r="AK116"/>
      <c r="AL116"/>
      <c r="AM116"/>
      <c r="AN116"/>
      <c r="AO116"/>
      <c r="AP116"/>
      <c r="AQ116"/>
      <c r="AR116"/>
      <c r="AS116"/>
      <c r="AT116"/>
      <c r="AU116"/>
      <c r="AV116"/>
      <c r="AW116"/>
      <c r="AX116"/>
    </row>
    <row r="117" spans="17:50" ht="12.75" customHeight="1">
      <c r="Q117" s="360" t="s">
        <v>506</v>
      </c>
      <c r="R117" s="363" t="s">
        <v>532</v>
      </c>
      <c r="S117" s="363"/>
      <c r="T117" s="363"/>
      <c r="U117" s="363"/>
      <c r="V117" s="363"/>
      <c r="W117" s="363"/>
      <c r="X117" s="363"/>
      <c r="Y117" s="363"/>
      <c r="Z117" s="364"/>
      <c r="AA117" s="367"/>
      <c r="AB117"/>
      <c r="AC117"/>
      <c r="AD117"/>
      <c r="AE117"/>
      <c r="AF117"/>
      <c r="AG117"/>
      <c r="AH117"/>
      <c r="AI117"/>
      <c r="AJ117"/>
      <c r="AK117"/>
      <c r="AL117"/>
      <c r="AM117"/>
      <c r="AN117"/>
      <c r="AO117"/>
      <c r="AP117"/>
      <c r="AQ117"/>
      <c r="AR117"/>
      <c r="AS117"/>
      <c r="AT117"/>
      <c r="AU117"/>
      <c r="AV117"/>
      <c r="AW117"/>
      <c r="AX117"/>
    </row>
    <row r="118" spans="17:50" ht="12.75" customHeight="1">
      <c r="Q118" s="360"/>
      <c r="R118" s="998" t="s">
        <v>191</v>
      </c>
      <c r="S118" s="999"/>
      <c r="T118" s="1000"/>
      <c r="U118" s="949" t="s">
        <v>500</v>
      </c>
      <c r="V118" s="938" t="s">
        <v>22</v>
      </c>
      <c r="W118" s="940" t="s">
        <v>579</v>
      </c>
      <c r="X118" s="942" t="s">
        <v>21</v>
      </c>
      <c r="Y118" s="361"/>
      <c r="Z118" s="364"/>
      <c r="AA118" s="367"/>
      <c r="AB118"/>
      <c r="AC118"/>
      <c r="AD118"/>
      <c r="AE118"/>
      <c r="AF118"/>
      <c r="AG118"/>
      <c r="AH118"/>
      <c r="AI118"/>
      <c r="AJ118"/>
      <c r="AK118"/>
      <c r="AL118"/>
      <c r="AM118"/>
      <c r="AN118"/>
      <c r="AO118"/>
      <c r="AP118"/>
      <c r="AQ118"/>
      <c r="AR118"/>
      <c r="AS118"/>
      <c r="AT118"/>
      <c r="AU118"/>
      <c r="AV118"/>
      <c r="AW118"/>
      <c r="AX118"/>
    </row>
    <row r="119" spans="17:50" ht="12.75" customHeight="1">
      <c r="Q119" s="360"/>
      <c r="R119" s="1001"/>
      <c r="S119" s="1002"/>
      <c r="T119" s="1003"/>
      <c r="U119" s="950"/>
      <c r="V119" s="939"/>
      <c r="W119" s="941"/>
      <c r="X119" s="943"/>
      <c r="Y119" s="361"/>
      <c r="Z119" s="364"/>
      <c r="AA119" s="367"/>
      <c r="AB119"/>
      <c r="AC119"/>
      <c r="AD119"/>
      <c r="AE119"/>
      <c r="AF119"/>
      <c r="AG119"/>
      <c r="AH119"/>
      <c r="AI119"/>
      <c r="AJ119"/>
      <c r="AK119"/>
      <c r="AL119"/>
      <c r="AM119"/>
      <c r="AN119"/>
      <c r="AO119"/>
      <c r="AP119"/>
      <c r="AQ119"/>
      <c r="AR119"/>
      <c r="AS119"/>
      <c r="AT119"/>
      <c r="AU119"/>
      <c r="AV119"/>
      <c r="AW119"/>
      <c r="AX119"/>
    </row>
    <row r="120" spans="17:50" ht="12.75" customHeight="1">
      <c r="Q120" s="360"/>
      <c r="R120" s="969" t="s">
        <v>63</v>
      </c>
      <c r="S120" s="969"/>
      <c r="T120" s="969"/>
      <c r="U120" s="537">
        <f t="shared" ref="U120:X121" si="1">U108/60</f>
        <v>4.1666666666666664E-2</v>
      </c>
      <c r="V120" s="537">
        <f t="shared" si="1"/>
        <v>8.8541666666666664E-3</v>
      </c>
      <c r="W120" s="537">
        <f t="shared" si="1"/>
        <v>7.0311999999999987E-3</v>
      </c>
      <c r="X120" s="537">
        <f t="shared" si="1"/>
        <v>1.3346354166666667E-3</v>
      </c>
      <c r="Y120" s="361"/>
      <c r="Z120" s="364"/>
      <c r="AA120" s="367"/>
      <c r="AB120"/>
      <c r="AC120"/>
      <c r="AD120"/>
      <c r="AE120"/>
      <c r="AF120"/>
      <c r="AG120"/>
      <c r="AH120"/>
      <c r="AI120"/>
      <c r="AJ120"/>
      <c r="AK120"/>
      <c r="AL120"/>
      <c r="AM120"/>
      <c r="AN120"/>
      <c r="AO120"/>
      <c r="AP120"/>
      <c r="AQ120"/>
      <c r="AR120"/>
      <c r="AS120"/>
      <c r="AT120"/>
      <c r="AU120"/>
      <c r="AV120"/>
      <c r="AW120"/>
      <c r="AX120"/>
    </row>
    <row r="121" spans="17:50" ht="12.75" customHeight="1">
      <c r="Q121" s="360"/>
      <c r="R121" s="969" t="s">
        <v>64</v>
      </c>
      <c r="S121" s="969"/>
      <c r="T121" s="969"/>
      <c r="U121" s="537">
        <f t="shared" si="1"/>
        <v>0.83333333333333337</v>
      </c>
      <c r="V121" s="537">
        <f t="shared" si="1"/>
        <v>0.18333333333333332</v>
      </c>
      <c r="W121" s="537">
        <f t="shared" si="1"/>
        <v>0.14166666666666666</v>
      </c>
      <c r="X121" s="537">
        <f t="shared" si="1"/>
        <v>2.6562499999999999E-2</v>
      </c>
      <c r="Y121" s="361"/>
      <c r="Z121" s="364"/>
      <c r="AA121" s="367"/>
      <c r="AB121"/>
      <c r="AC121"/>
      <c r="AD121"/>
      <c r="AE121"/>
      <c r="AF121"/>
      <c r="AG121"/>
      <c r="AH121"/>
      <c r="AI121"/>
      <c r="AJ121"/>
      <c r="AK121"/>
      <c r="AL121"/>
      <c r="AM121"/>
      <c r="AN121"/>
      <c r="AO121"/>
      <c r="AP121"/>
      <c r="AQ121"/>
      <c r="AR121"/>
      <c r="AS121"/>
      <c r="AT121"/>
      <c r="AU121"/>
      <c r="AV121"/>
      <c r="AW121"/>
      <c r="AX121"/>
    </row>
    <row r="122" spans="17:50" ht="12.75" customHeight="1">
      <c r="Q122" s="360"/>
      <c r="R122" s="363"/>
      <c r="S122" s="363"/>
      <c r="T122" s="363"/>
      <c r="U122" s="363"/>
      <c r="V122" s="363"/>
      <c r="W122" s="363"/>
      <c r="X122" s="363"/>
      <c r="Y122" s="363"/>
      <c r="Z122" s="364"/>
      <c r="AA122" s="367"/>
      <c r="AB122"/>
      <c r="AC122"/>
      <c r="AD122"/>
      <c r="AE122"/>
      <c r="AF122"/>
      <c r="AG122"/>
      <c r="AH122"/>
      <c r="AI122"/>
      <c r="AJ122"/>
      <c r="AK122"/>
      <c r="AL122"/>
      <c r="AM122"/>
      <c r="AN122"/>
      <c r="AO122"/>
      <c r="AP122"/>
      <c r="AQ122"/>
      <c r="AR122"/>
      <c r="AS122"/>
      <c r="AT122"/>
      <c r="AU122"/>
      <c r="AV122"/>
      <c r="AW122"/>
      <c r="AX122"/>
    </row>
    <row r="123" spans="17:50" ht="12.75" customHeight="1">
      <c r="Q123" s="546" t="s">
        <v>231</v>
      </c>
      <c r="R123" s="952" t="s">
        <v>232</v>
      </c>
      <c r="S123" s="952"/>
      <c r="T123" s="952"/>
      <c r="U123" s="952"/>
      <c r="V123" s="952"/>
      <c r="W123" s="952"/>
      <c r="X123" s="952"/>
      <c r="Y123" s="952"/>
      <c r="Z123" s="360"/>
      <c r="AA123" s="367"/>
      <c r="AB123"/>
      <c r="AC123"/>
      <c r="AD123"/>
      <c r="AE123"/>
      <c r="AF123"/>
      <c r="AG123"/>
      <c r="AH123"/>
      <c r="AI123"/>
      <c r="AJ123"/>
      <c r="AK123"/>
      <c r="AL123"/>
      <c r="AM123"/>
      <c r="AN123"/>
      <c r="AO123"/>
      <c r="AP123"/>
      <c r="AQ123"/>
      <c r="AR123"/>
      <c r="AS123"/>
      <c r="AT123"/>
      <c r="AU123"/>
      <c r="AV123"/>
      <c r="AW123"/>
      <c r="AX123"/>
    </row>
    <row r="124" spans="17:50" ht="12.75" customHeight="1">
      <c r="Q124" s="546"/>
      <c r="R124" s="360"/>
      <c r="S124" s="360"/>
      <c r="T124" s="360"/>
      <c r="U124" s="360"/>
      <c r="V124" s="360"/>
      <c r="W124" s="360"/>
      <c r="X124" s="360"/>
      <c r="Y124" s="360"/>
      <c r="Z124" s="360"/>
      <c r="AA124" s="367"/>
      <c r="AB124"/>
      <c r="AC124"/>
      <c r="AD124"/>
      <c r="AE124"/>
      <c r="AF124"/>
      <c r="AG124"/>
      <c r="AH124"/>
      <c r="AI124"/>
      <c r="AJ124"/>
      <c r="AK124"/>
      <c r="AL124"/>
      <c r="AM124"/>
      <c r="AN124"/>
      <c r="AO124"/>
      <c r="AP124"/>
      <c r="AQ124"/>
      <c r="AR124"/>
      <c r="AS124"/>
      <c r="AT124"/>
      <c r="AU124"/>
      <c r="AV124"/>
      <c r="AW124"/>
      <c r="AX124"/>
    </row>
    <row r="125" spans="17:50" ht="12.75" customHeight="1">
      <c r="Q125" s="546"/>
      <c r="R125" s="363" t="s">
        <v>233</v>
      </c>
      <c r="S125" s="363"/>
      <c r="T125" s="363"/>
      <c r="U125" s="363"/>
      <c r="V125" s="363"/>
      <c r="W125" s="363"/>
      <c r="X125" s="363"/>
      <c r="Y125" s="363"/>
      <c r="Z125" s="364"/>
      <c r="AA125" s="367"/>
      <c r="AB125"/>
      <c r="AC125"/>
      <c r="AD125"/>
      <c r="AE125"/>
      <c r="AF125"/>
      <c r="AG125"/>
      <c r="AH125"/>
      <c r="AI125"/>
      <c r="AJ125"/>
      <c r="AK125"/>
      <c r="AL125"/>
      <c r="AM125"/>
      <c r="AN125"/>
      <c r="AO125"/>
      <c r="AP125"/>
      <c r="AQ125"/>
      <c r="AR125"/>
      <c r="AS125"/>
      <c r="AT125"/>
      <c r="AU125"/>
      <c r="AV125"/>
      <c r="AW125"/>
      <c r="AX125"/>
    </row>
    <row r="126" spans="17:50" ht="12.75" customHeight="1">
      <c r="Q126" s="360"/>
      <c r="R126" s="998" t="s">
        <v>678</v>
      </c>
      <c r="S126" s="999"/>
      <c r="T126" s="1000"/>
      <c r="U126" s="949" t="s">
        <v>470</v>
      </c>
      <c r="V126" s="938" t="s">
        <v>22</v>
      </c>
      <c r="W126" s="940" t="s">
        <v>579</v>
      </c>
      <c r="X126" s="942" t="s">
        <v>21</v>
      </c>
      <c r="Y126" s="361"/>
      <c r="Z126" s="364"/>
      <c r="AA126" s="367"/>
      <c r="AB126"/>
      <c r="AC126"/>
      <c r="AD126"/>
      <c r="AE126"/>
      <c r="AF126"/>
      <c r="AG126"/>
      <c r="AH126"/>
      <c r="AI126"/>
      <c r="AJ126"/>
      <c r="AK126"/>
      <c r="AL126"/>
      <c r="AM126"/>
      <c r="AN126"/>
      <c r="AO126"/>
      <c r="AP126"/>
      <c r="AQ126"/>
      <c r="AR126"/>
      <c r="AS126"/>
      <c r="AT126"/>
      <c r="AU126"/>
      <c r="AV126"/>
      <c r="AW126"/>
      <c r="AX126"/>
    </row>
    <row r="127" spans="17:50" ht="12.75" customHeight="1">
      <c r="Q127" s="360"/>
      <c r="R127" s="1001"/>
      <c r="S127" s="1002"/>
      <c r="T127" s="1003"/>
      <c r="U127" s="950"/>
      <c r="V127" s="939"/>
      <c r="W127" s="941"/>
      <c r="X127" s="943"/>
      <c r="Y127" s="361"/>
      <c r="Z127" s="364"/>
      <c r="AA127" s="367"/>
      <c r="AB127"/>
      <c r="AC127"/>
      <c r="AD127"/>
      <c r="AE127"/>
      <c r="AF127"/>
      <c r="AG127"/>
      <c r="AH127"/>
      <c r="AI127"/>
      <c r="AJ127"/>
      <c r="AK127"/>
      <c r="AL127"/>
      <c r="AM127"/>
      <c r="AN127"/>
      <c r="AO127"/>
      <c r="AP127"/>
      <c r="AQ127"/>
      <c r="AR127"/>
      <c r="AS127"/>
      <c r="AT127"/>
      <c r="AU127"/>
      <c r="AV127"/>
      <c r="AW127"/>
      <c r="AX127"/>
    </row>
    <row r="128" spans="17:50" ht="12.75" customHeight="1">
      <c r="Q128" s="360"/>
      <c r="R128" s="969" t="s">
        <v>234</v>
      </c>
      <c r="S128" s="969"/>
      <c r="T128" s="969"/>
      <c r="U128" s="672">
        <v>8.3000000000000007</v>
      </c>
      <c r="V128" s="672">
        <f>VLOOKUP($V$5,'Lookup Vibration'!$B$8:$F$208,3)</f>
        <v>18.604999999999936</v>
      </c>
      <c r="W128" s="672">
        <f>VLOOKUP($V$5,'Lookup Vibration'!$B$8:$F$208,4)</f>
        <v>20.535000000000096</v>
      </c>
      <c r="X128" s="672">
        <f>VLOOKUP($V$5,'Lookup Vibration'!$B$8:$F$208,2)</f>
        <v>18.604999999999936</v>
      </c>
      <c r="Y128" s="361"/>
      <c r="Z128" s="364"/>
      <c r="AA128" s="367"/>
      <c r="AB128"/>
      <c r="AC128"/>
      <c r="AD128"/>
      <c r="AE128"/>
      <c r="AF128"/>
      <c r="AG128"/>
      <c r="AH128"/>
      <c r="AI128"/>
      <c r="AJ128"/>
      <c r="AK128"/>
      <c r="AL128"/>
      <c r="AM128"/>
      <c r="AN128"/>
      <c r="AO128"/>
      <c r="AP128"/>
      <c r="AQ128"/>
      <c r="AR128"/>
      <c r="AS128"/>
      <c r="AT128"/>
      <c r="AU128"/>
      <c r="AV128"/>
      <c r="AW128"/>
      <c r="AX128"/>
    </row>
    <row r="129" spans="17:50" ht="12.75" customHeight="1">
      <c r="Q129" s="360"/>
      <c r="R129" s="363"/>
      <c r="S129" s="363"/>
      <c r="T129" s="363"/>
      <c r="U129" s="363"/>
      <c r="V129" s="363"/>
      <c r="W129" s="363"/>
      <c r="X129" s="363"/>
      <c r="Y129" s="363"/>
      <c r="Z129" s="364"/>
      <c r="AA129" s="367"/>
      <c r="AB129"/>
      <c r="AC129"/>
      <c r="AD129"/>
      <c r="AE129"/>
      <c r="AF129"/>
      <c r="AG129"/>
      <c r="AH129"/>
      <c r="AI129"/>
      <c r="AJ129"/>
      <c r="AK129"/>
      <c r="AL129"/>
      <c r="AM129"/>
      <c r="AN129"/>
      <c r="AO129"/>
      <c r="AP129"/>
      <c r="AQ129"/>
      <c r="AR129"/>
      <c r="AS129"/>
      <c r="AT129"/>
      <c r="AU129"/>
      <c r="AV129"/>
      <c r="AW129"/>
      <c r="AX129"/>
    </row>
    <row r="130" spans="17:50" ht="12.75" customHeight="1">
      <c r="Q130" s="546" t="s">
        <v>235</v>
      </c>
      <c r="R130" s="952" t="s">
        <v>34</v>
      </c>
      <c r="S130" s="952"/>
      <c r="T130" s="952"/>
      <c r="U130" s="952"/>
      <c r="V130" s="952"/>
      <c r="W130" s="952"/>
      <c r="X130" s="952"/>
      <c r="Y130" s="952"/>
      <c r="Z130" s="360"/>
      <c r="AA130" s="367"/>
      <c r="AB130"/>
      <c r="AC130"/>
      <c r="AD130"/>
      <c r="AE130"/>
      <c r="AF130"/>
      <c r="AG130"/>
      <c r="AH130"/>
      <c r="AI130"/>
      <c r="AJ130"/>
      <c r="AK130"/>
      <c r="AL130"/>
      <c r="AM130"/>
      <c r="AN130"/>
      <c r="AO130"/>
      <c r="AP130"/>
      <c r="AQ130"/>
      <c r="AR130"/>
      <c r="AS130"/>
      <c r="AT130"/>
      <c r="AU130"/>
      <c r="AV130"/>
      <c r="AW130"/>
      <c r="AX130"/>
    </row>
    <row r="131" spans="17:50" ht="12.75" customHeight="1">
      <c r="Q131" s="546"/>
      <c r="R131" s="363"/>
      <c r="S131" s="363"/>
      <c r="T131" s="363"/>
      <c r="U131" s="363"/>
      <c r="V131" s="363"/>
      <c r="W131" s="363"/>
      <c r="X131" s="363"/>
      <c r="Y131" s="363"/>
      <c r="Z131" s="364"/>
      <c r="AA131" s="367"/>
      <c r="AB131"/>
      <c r="AC131"/>
      <c r="AD131"/>
      <c r="AE131"/>
      <c r="AF131"/>
      <c r="AG131"/>
      <c r="AH131"/>
      <c r="AI131"/>
      <c r="AJ131"/>
      <c r="AK131"/>
      <c r="AL131"/>
      <c r="AM131"/>
      <c r="AN131"/>
      <c r="AO131"/>
      <c r="AP131"/>
      <c r="AQ131"/>
      <c r="AR131"/>
      <c r="AS131"/>
      <c r="AT131"/>
      <c r="AU131"/>
      <c r="AV131"/>
      <c r="AW131"/>
      <c r="AX131"/>
    </row>
    <row r="132" spans="17:50" ht="12.75" customHeight="1">
      <c r="Q132" s="360"/>
      <c r="R132" s="998" t="s">
        <v>678</v>
      </c>
      <c r="S132" s="999"/>
      <c r="T132" s="1000"/>
      <c r="U132" s="949" t="s">
        <v>500</v>
      </c>
      <c r="V132" s="938" t="s">
        <v>22</v>
      </c>
      <c r="W132" s="940" t="s">
        <v>579</v>
      </c>
      <c r="X132" s="942" t="s">
        <v>21</v>
      </c>
      <c r="Y132" s="361"/>
      <c r="Z132" s="364"/>
      <c r="AA132" s="367"/>
      <c r="AB132"/>
      <c r="AC132"/>
      <c r="AD132"/>
      <c r="AE132"/>
      <c r="AF132"/>
      <c r="AG132"/>
      <c r="AH132"/>
      <c r="AI132"/>
      <c r="AJ132"/>
      <c r="AK132"/>
      <c r="AL132"/>
      <c r="AM132"/>
      <c r="AN132"/>
      <c r="AO132"/>
      <c r="AP132"/>
      <c r="AQ132"/>
      <c r="AR132"/>
      <c r="AS132"/>
      <c r="AT132"/>
      <c r="AU132"/>
      <c r="AV132"/>
      <c r="AW132"/>
      <c r="AX132"/>
    </row>
    <row r="133" spans="17:50" ht="12.75" customHeight="1">
      <c r="Q133" s="360"/>
      <c r="R133" s="1001"/>
      <c r="S133" s="1002"/>
      <c r="T133" s="1003"/>
      <c r="U133" s="950"/>
      <c r="V133" s="939"/>
      <c r="W133" s="941"/>
      <c r="X133" s="943"/>
      <c r="Y133" s="361"/>
      <c r="Z133" s="364"/>
      <c r="AA133" s="367"/>
      <c r="AB133"/>
      <c r="AC133"/>
      <c r="AD133"/>
      <c r="AE133"/>
      <c r="AF133"/>
      <c r="AG133"/>
      <c r="AH133"/>
      <c r="AI133"/>
      <c r="AJ133"/>
      <c r="AK133"/>
      <c r="AL133"/>
      <c r="AM133"/>
      <c r="AN133"/>
      <c r="AO133"/>
      <c r="AP133"/>
      <c r="AQ133"/>
      <c r="AR133"/>
      <c r="AS133"/>
      <c r="AT133"/>
      <c r="AU133"/>
      <c r="AV133"/>
      <c r="AW133"/>
      <c r="AX133"/>
    </row>
    <row r="134" spans="17:50" ht="12.75" customHeight="1">
      <c r="Q134" s="360"/>
      <c r="R134" s="1004" t="s">
        <v>298</v>
      </c>
      <c r="S134" s="1004"/>
      <c r="T134" s="1004"/>
      <c r="U134" s="673" t="s">
        <v>819</v>
      </c>
      <c r="V134" s="673" t="s">
        <v>818</v>
      </c>
      <c r="W134" s="673" t="s">
        <v>819</v>
      </c>
      <c r="X134" s="673" t="s">
        <v>818</v>
      </c>
      <c r="Y134" s="361"/>
      <c r="Z134" s="364"/>
      <c r="AA134" s="367"/>
      <c r="AB134"/>
      <c r="AC134"/>
      <c r="AD134"/>
      <c r="AE134"/>
      <c r="AF134"/>
      <c r="AG134"/>
      <c r="AH134"/>
      <c r="AI134"/>
      <c r="AJ134"/>
      <c r="AK134"/>
      <c r="AL134"/>
      <c r="AM134"/>
      <c r="AN134"/>
      <c r="AO134"/>
      <c r="AP134"/>
      <c r="AQ134"/>
      <c r="AR134"/>
      <c r="AS134"/>
      <c r="AT134"/>
      <c r="AU134"/>
      <c r="AV134"/>
      <c r="AW134"/>
      <c r="AX134"/>
    </row>
    <row r="135" spans="17:50" ht="12.75" customHeight="1">
      <c r="Q135" s="360"/>
      <c r="R135" s="931" t="s">
        <v>299</v>
      </c>
      <c r="S135" s="931"/>
      <c r="T135" s="931"/>
      <c r="U135" s="673" t="s">
        <v>297</v>
      </c>
      <c r="V135" s="673" t="s">
        <v>296</v>
      </c>
      <c r="W135" s="673" t="s">
        <v>296</v>
      </c>
      <c r="X135" s="673" t="s">
        <v>296</v>
      </c>
      <c r="Y135" s="361"/>
      <c r="Z135" s="364"/>
      <c r="AA135" s="367"/>
      <c r="AB135"/>
      <c r="AC135"/>
      <c r="AD135"/>
      <c r="AE135"/>
      <c r="AF135"/>
      <c r="AG135"/>
      <c r="AH135"/>
      <c r="AI135"/>
      <c r="AJ135"/>
      <c r="AK135"/>
      <c r="AL135"/>
      <c r="AM135"/>
      <c r="AN135"/>
      <c r="AO135"/>
      <c r="AP135"/>
      <c r="AQ135"/>
      <c r="AR135"/>
      <c r="AS135"/>
      <c r="AT135"/>
      <c r="AU135"/>
      <c r="AV135"/>
      <c r="AW135"/>
      <c r="AX135"/>
    </row>
    <row r="136" spans="17:50" ht="12.75" customHeight="1">
      <c r="Q136" s="360"/>
      <c r="R136" s="363"/>
      <c r="S136" s="363"/>
      <c r="T136" s="363"/>
      <c r="U136" s="363"/>
      <c r="V136" s="363"/>
      <c r="W136" s="363"/>
      <c r="X136" s="363"/>
      <c r="Y136" s="363"/>
      <c r="Z136" s="363"/>
      <c r="AA136" s="367"/>
      <c r="AB136"/>
      <c r="AC136"/>
      <c r="AD136"/>
      <c r="AE136"/>
      <c r="AF136"/>
      <c r="AG136"/>
      <c r="AH136"/>
      <c r="AI136"/>
      <c r="AJ136"/>
      <c r="AK136"/>
      <c r="AL136"/>
      <c r="AM136"/>
      <c r="AN136"/>
      <c r="AO136"/>
      <c r="AP136"/>
      <c r="AQ136"/>
      <c r="AR136"/>
      <c r="AS136"/>
      <c r="AT136"/>
      <c r="AU136"/>
      <c r="AV136"/>
      <c r="AW136"/>
      <c r="AX136"/>
    </row>
    <row r="137" spans="17:50" ht="12.75" customHeight="1">
      <c r="Q137" s="546" t="s">
        <v>236</v>
      </c>
      <c r="R137" s="952" t="s">
        <v>237</v>
      </c>
      <c r="S137" s="952"/>
      <c r="T137" s="952"/>
      <c r="U137" s="952"/>
      <c r="V137" s="952"/>
      <c r="W137" s="952"/>
      <c r="X137" s="952"/>
      <c r="Y137" s="952"/>
      <c r="Z137" s="360"/>
      <c r="AA137" s="367"/>
      <c r="AB137"/>
      <c r="AC137"/>
      <c r="AD137"/>
      <c r="AE137"/>
      <c r="AF137"/>
      <c r="AG137"/>
      <c r="AH137"/>
      <c r="AI137"/>
      <c r="AJ137"/>
      <c r="AK137"/>
      <c r="AL137"/>
      <c r="AM137"/>
      <c r="AN137"/>
      <c r="AO137"/>
      <c r="AP137"/>
      <c r="AQ137"/>
      <c r="AR137"/>
      <c r="AS137"/>
      <c r="AT137"/>
      <c r="AU137"/>
      <c r="AV137"/>
      <c r="AW137"/>
      <c r="AX137"/>
    </row>
    <row r="138" spans="17:50" ht="12.75" customHeight="1">
      <c r="Q138" s="360"/>
      <c r="R138" s="363"/>
      <c r="S138" s="363"/>
      <c r="T138" s="363"/>
      <c r="U138" s="363"/>
      <c r="V138" s="363"/>
      <c r="W138" s="363"/>
      <c r="X138" s="363"/>
      <c r="Y138" s="363"/>
      <c r="Z138" s="363"/>
      <c r="AA138" s="367"/>
      <c r="AB138"/>
      <c r="AC138"/>
      <c r="AD138"/>
      <c r="AE138"/>
      <c r="AF138"/>
      <c r="AG138"/>
      <c r="AH138"/>
      <c r="AI138"/>
      <c r="AJ138"/>
      <c r="AK138"/>
      <c r="AL138"/>
      <c r="AM138"/>
      <c r="AN138"/>
      <c r="AO138"/>
      <c r="AP138"/>
      <c r="AQ138"/>
      <c r="AR138"/>
      <c r="AS138"/>
      <c r="AT138"/>
      <c r="AU138"/>
      <c r="AV138"/>
      <c r="AW138"/>
      <c r="AX138"/>
    </row>
    <row r="139" spans="17:50" ht="12.75" customHeight="1">
      <c r="Q139" s="668" t="s">
        <v>238</v>
      </c>
      <c r="R139" s="364" t="s">
        <v>239</v>
      </c>
      <c r="S139" s="364"/>
      <c r="T139" s="364"/>
      <c r="U139" s="364"/>
      <c r="V139" s="364"/>
      <c r="W139" s="364"/>
      <c r="X139" s="364"/>
      <c r="Y139" s="364"/>
      <c r="Z139" s="364"/>
      <c r="AA139" s="367"/>
      <c r="AB139"/>
      <c r="AC139"/>
      <c r="AD139"/>
      <c r="AE139"/>
      <c r="AF139"/>
      <c r="AG139"/>
      <c r="AH139"/>
      <c r="AI139"/>
      <c r="AJ139"/>
      <c r="AK139"/>
      <c r="AL139"/>
      <c r="AM139"/>
      <c r="AN139"/>
      <c r="AO139"/>
      <c r="AP139"/>
      <c r="AQ139"/>
      <c r="AR139"/>
      <c r="AS139"/>
      <c r="AT139"/>
      <c r="AU139"/>
      <c r="AV139"/>
      <c r="AW139"/>
      <c r="AX139"/>
    </row>
    <row r="140" spans="17:50" ht="12.75" customHeight="1">
      <c r="Q140" s="668"/>
      <c r="R140" s="364" t="s">
        <v>469</v>
      </c>
      <c r="S140" s="364"/>
      <c r="T140" s="364"/>
      <c r="U140" s="364"/>
      <c r="V140" s="364"/>
      <c r="W140" s="364"/>
      <c r="X140" s="364"/>
      <c r="Y140" s="364"/>
      <c r="Z140" s="364"/>
      <c r="AA140" s="367"/>
      <c r="AB140"/>
      <c r="AC140"/>
      <c r="AD140"/>
      <c r="AE140"/>
      <c r="AF140"/>
      <c r="AG140"/>
      <c r="AH140"/>
      <c r="AI140"/>
      <c r="AJ140"/>
      <c r="AK140"/>
      <c r="AL140"/>
      <c r="AM140"/>
      <c r="AN140"/>
      <c r="AO140"/>
      <c r="AP140"/>
      <c r="AQ140"/>
      <c r="AR140"/>
      <c r="AS140"/>
      <c r="AT140"/>
      <c r="AU140"/>
      <c r="AV140"/>
      <c r="AW140"/>
      <c r="AX140"/>
    </row>
    <row r="141" spans="17:50" ht="12.75" customHeight="1">
      <c r="Q141" s="668"/>
      <c r="R141" s="364"/>
      <c r="S141" s="364"/>
      <c r="T141" s="364"/>
      <c r="U141" s="364"/>
      <c r="V141" s="364"/>
      <c r="W141" s="364"/>
      <c r="X141" s="364"/>
      <c r="Y141" s="364"/>
      <c r="Z141" s="364"/>
      <c r="AA141" s="367"/>
      <c r="AB141"/>
      <c r="AC141"/>
      <c r="AD141"/>
      <c r="AE141"/>
      <c r="AF141"/>
      <c r="AG141"/>
      <c r="AH141"/>
      <c r="AI141"/>
      <c r="AJ141"/>
      <c r="AK141"/>
      <c r="AL141"/>
      <c r="AM141"/>
      <c r="AN141"/>
      <c r="AO141"/>
      <c r="AP141"/>
      <c r="AQ141"/>
      <c r="AR141"/>
      <c r="AS141"/>
      <c r="AT141"/>
      <c r="AU141"/>
      <c r="AV141"/>
      <c r="AW141"/>
      <c r="AX141"/>
    </row>
    <row r="142" spans="17:50" ht="12.75" customHeight="1">
      <c r="Q142" s="668"/>
      <c r="R142" s="1005" t="s">
        <v>734</v>
      </c>
      <c r="S142" s="1006"/>
      <c r="T142" s="1006"/>
      <c r="U142" s="1006"/>
      <c r="V142" s="1006"/>
      <c r="W142" s="1007"/>
      <c r="X142" s="351">
        <f>'Compressor Input Data'!G5</f>
        <v>22800</v>
      </c>
      <c r="Y142" s="364"/>
      <c r="Z142" s="364"/>
      <c r="AA142" s="367"/>
      <c r="AB142"/>
      <c r="AC142"/>
      <c r="AD142"/>
      <c r="AE142"/>
      <c r="AF142"/>
      <c r="AG142"/>
      <c r="AH142"/>
      <c r="AI142"/>
      <c r="AJ142"/>
      <c r="AK142"/>
      <c r="AL142"/>
      <c r="AM142"/>
      <c r="AN142"/>
      <c r="AO142"/>
      <c r="AP142"/>
      <c r="AQ142"/>
      <c r="AR142"/>
      <c r="AS142"/>
      <c r="AT142"/>
      <c r="AU142"/>
      <c r="AV142"/>
      <c r="AW142"/>
      <c r="AX142"/>
    </row>
    <row r="143" spans="17:50" ht="12.75" customHeight="1">
      <c r="Q143" s="668"/>
      <c r="R143" s="990" t="s">
        <v>430</v>
      </c>
      <c r="S143" s="991"/>
      <c r="T143" s="992"/>
      <c r="U143" s="949" t="s">
        <v>500</v>
      </c>
      <c r="V143" s="938" t="s">
        <v>22</v>
      </c>
      <c r="W143" s="940" t="s">
        <v>579</v>
      </c>
      <c r="X143" s="942" t="s">
        <v>21</v>
      </c>
      <c r="Y143" s="361"/>
      <c r="Z143" s="364"/>
      <c r="AA143" s="367"/>
      <c r="AB143"/>
      <c r="AC143"/>
      <c r="AD143"/>
      <c r="AE143"/>
      <c r="AF143"/>
      <c r="AG143"/>
      <c r="AH143"/>
      <c r="AI143"/>
      <c r="AJ143"/>
      <c r="AK143"/>
      <c r="AL143"/>
      <c r="AM143"/>
      <c r="AN143"/>
      <c r="AO143"/>
      <c r="AP143"/>
      <c r="AQ143"/>
      <c r="AR143"/>
      <c r="AS143"/>
      <c r="AT143"/>
      <c r="AU143"/>
      <c r="AV143"/>
      <c r="AW143"/>
      <c r="AX143"/>
    </row>
    <row r="144" spans="17:50" ht="12.75" customHeight="1">
      <c r="Q144" s="668"/>
      <c r="R144" s="993"/>
      <c r="S144" s="994"/>
      <c r="T144" s="995"/>
      <c r="U144" s="950"/>
      <c r="V144" s="939"/>
      <c r="W144" s="941"/>
      <c r="X144" s="943"/>
      <c r="Y144" s="361"/>
      <c r="Z144" s="364"/>
      <c r="AA144" s="367"/>
      <c r="AB144"/>
      <c r="AC144"/>
      <c r="AD144"/>
      <c r="AE144"/>
      <c r="AF144"/>
      <c r="AG144"/>
      <c r="AH144"/>
      <c r="AI144"/>
      <c r="AJ144"/>
      <c r="AK144"/>
      <c r="AL144"/>
      <c r="AM144"/>
      <c r="AN144"/>
      <c r="AO144"/>
      <c r="AP144"/>
      <c r="AQ144"/>
      <c r="AR144"/>
      <c r="AS144"/>
      <c r="AT144"/>
      <c r="AU144"/>
      <c r="AV144"/>
      <c r="AW144"/>
      <c r="AX144"/>
    </row>
    <row r="145" spans="17:50" ht="12.75" customHeight="1">
      <c r="Q145" s="668"/>
      <c r="R145" s="973" t="s">
        <v>555</v>
      </c>
      <c r="S145" s="973"/>
      <c r="T145" s="973"/>
      <c r="U145" s="996"/>
      <c r="V145" s="544">
        <f>X145</f>
        <v>22800</v>
      </c>
      <c r="W145" s="544">
        <f>X145</f>
        <v>22800</v>
      </c>
      <c r="X145" s="544">
        <f>X142</f>
        <v>22800</v>
      </c>
      <c r="Y145" s="361"/>
      <c r="Z145" s="364"/>
      <c r="AA145" s="367"/>
      <c r="AB145"/>
      <c r="AC145"/>
      <c r="AD145"/>
      <c r="AE145"/>
      <c r="AF145"/>
      <c r="AG145"/>
      <c r="AH145"/>
      <c r="AI145"/>
      <c r="AJ145"/>
      <c r="AK145"/>
      <c r="AL145"/>
      <c r="AM145"/>
      <c r="AN145"/>
      <c r="AO145"/>
      <c r="AP145"/>
      <c r="AQ145"/>
      <c r="AR145"/>
      <c r="AS145"/>
      <c r="AT145"/>
      <c r="AU145"/>
      <c r="AV145"/>
      <c r="AW145"/>
      <c r="AX145"/>
    </row>
    <row r="146" spans="17:50" ht="12.75" customHeight="1">
      <c r="Q146" s="668"/>
      <c r="R146" s="973" t="s">
        <v>549</v>
      </c>
      <c r="S146" s="973"/>
      <c r="T146" s="973"/>
      <c r="U146" s="997"/>
      <c r="V146" s="544">
        <f>X146</f>
        <v>24</v>
      </c>
      <c r="W146" s="544">
        <f>V146</f>
        <v>24</v>
      </c>
      <c r="X146" s="544">
        <f>'Compressor Input Data'!J15</f>
        <v>24</v>
      </c>
      <c r="Y146" s="361"/>
      <c r="Z146" s="364"/>
      <c r="AA146" s="367"/>
      <c r="AB146"/>
      <c r="AC146"/>
      <c r="AD146"/>
      <c r="AE146"/>
      <c r="AF146"/>
      <c r="AG146"/>
      <c r="AH146"/>
      <c r="AI146"/>
      <c r="AJ146"/>
      <c r="AK146"/>
      <c r="AL146"/>
      <c r="AM146"/>
      <c r="AN146"/>
      <c r="AO146"/>
      <c r="AP146"/>
      <c r="AQ146"/>
      <c r="AR146"/>
      <c r="AS146"/>
      <c r="AT146"/>
      <c r="AU146"/>
      <c r="AV146"/>
      <c r="AW146"/>
      <c r="AX146"/>
    </row>
    <row r="147" spans="17:50" ht="12.75" customHeight="1">
      <c r="Q147" s="668"/>
      <c r="R147" s="970" t="s">
        <v>556</v>
      </c>
      <c r="S147" s="971"/>
      <c r="T147" s="972"/>
      <c r="U147" s="566">
        <f>U62</f>
        <v>2.6666666666666665</v>
      </c>
      <c r="V147" s="566">
        <f>V62</f>
        <v>1.6949152542372867</v>
      </c>
      <c r="W147" s="566">
        <f>W62</f>
        <v>1.6528925619834685</v>
      </c>
      <c r="X147" s="566">
        <f>X62</f>
        <v>1.2965964343598047</v>
      </c>
      <c r="Y147" s="361"/>
      <c r="Z147" s="364"/>
      <c r="AA147" s="367"/>
      <c r="AB147"/>
      <c r="AC147"/>
      <c r="AD147"/>
      <c r="AE147"/>
      <c r="AF147"/>
      <c r="AG147"/>
      <c r="AH147"/>
      <c r="AI147"/>
      <c r="AJ147"/>
      <c r="AK147"/>
      <c r="AL147"/>
      <c r="AM147"/>
      <c r="AN147"/>
      <c r="AO147"/>
      <c r="AP147"/>
      <c r="AQ147"/>
      <c r="AR147"/>
      <c r="AS147"/>
      <c r="AT147"/>
      <c r="AU147"/>
      <c r="AV147"/>
      <c r="AW147"/>
      <c r="AX147"/>
    </row>
    <row r="148" spans="17:50" ht="12.75" customHeight="1">
      <c r="Q148" s="668"/>
      <c r="R148" s="973" t="s">
        <v>575</v>
      </c>
      <c r="S148" s="973"/>
      <c r="T148" s="973"/>
      <c r="U148" s="531">
        <f>W148</f>
        <v>0.22500000000000001</v>
      </c>
      <c r="V148" s="531">
        <f>X148</f>
        <v>0.22500000000000001</v>
      </c>
      <c r="W148" s="531">
        <f>V148</f>
        <v>0.22500000000000001</v>
      </c>
      <c r="X148" s="531">
        <f>'Compressor Input Data'!J17</f>
        <v>0.22500000000000001</v>
      </c>
      <c r="Y148" s="361"/>
      <c r="Z148" s="364"/>
      <c r="AA148" s="367"/>
      <c r="AB148"/>
      <c r="AC148"/>
      <c r="AD148"/>
      <c r="AE148"/>
      <c r="AF148"/>
      <c r="AG148"/>
      <c r="AH148"/>
      <c r="AI148"/>
      <c r="AJ148"/>
      <c r="AK148"/>
      <c r="AL148"/>
      <c r="AM148"/>
      <c r="AN148"/>
      <c r="AO148"/>
      <c r="AP148"/>
      <c r="AQ148"/>
      <c r="AR148"/>
      <c r="AS148"/>
      <c r="AT148"/>
      <c r="AU148"/>
      <c r="AV148"/>
      <c r="AW148"/>
      <c r="AX148"/>
    </row>
    <row r="149" spans="17:50" ht="12.75" customHeight="1">
      <c r="Q149" s="668"/>
      <c r="R149" s="987"/>
      <c r="S149" s="988"/>
      <c r="T149" s="988"/>
      <c r="U149" s="988"/>
      <c r="V149" s="988"/>
      <c r="W149" s="988"/>
      <c r="X149" s="989"/>
      <c r="Y149" s="364"/>
      <c r="Z149" s="364"/>
      <c r="AA149" s="367"/>
      <c r="AB149"/>
      <c r="AC149"/>
      <c r="AD149"/>
      <c r="AE149"/>
      <c r="AF149"/>
      <c r="AG149"/>
      <c r="AH149"/>
      <c r="AI149"/>
      <c r="AJ149"/>
      <c r="AK149"/>
      <c r="AL149"/>
      <c r="AM149"/>
      <c r="AN149"/>
      <c r="AO149"/>
      <c r="AP149"/>
      <c r="AQ149"/>
      <c r="AR149"/>
      <c r="AS149"/>
      <c r="AT149"/>
      <c r="AU149"/>
      <c r="AV149"/>
      <c r="AW149"/>
      <c r="AX149"/>
    </row>
    <row r="150" spans="17:50" ht="12.75" customHeight="1">
      <c r="Q150" s="668"/>
      <c r="R150" s="990" t="s">
        <v>467</v>
      </c>
      <c r="S150" s="991"/>
      <c r="T150" s="992"/>
      <c r="U150" s="949" t="s">
        <v>500</v>
      </c>
      <c r="V150" s="938" t="s">
        <v>22</v>
      </c>
      <c r="W150" s="940" t="s">
        <v>579</v>
      </c>
      <c r="X150" s="942" t="s">
        <v>21</v>
      </c>
      <c r="Y150" s="361"/>
      <c r="Z150" s="364"/>
      <c r="AA150" s="367"/>
      <c r="AB150"/>
      <c r="AC150"/>
      <c r="AD150"/>
      <c r="AE150"/>
      <c r="AF150"/>
      <c r="AG150"/>
      <c r="AH150"/>
      <c r="AI150"/>
      <c r="AJ150"/>
      <c r="AK150"/>
      <c r="AL150"/>
      <c r="AM150"/>
      <c r="AN150"/>
      <c r="AO150"/>
      <c r="AP150"/>
      <c r="AQ150"/>
      <c r="AR150"/>
      <c r="AS150"/>
      <c r="AT150"/>
      <c r="AU150"/>
      <c r="AV150"/>
      <c r="AW150"/>
      <c r="AX150"/>
    </row>
    <row r="151" spans="17:50" ht="12.75" customHeight="1">
      <c r="Q151" s="668"/>
      <c r="R151" s="993"/>
      <c r="S151" s="994"/>
      <c r="T151" s="995"/>
      <c r="U151" s="950"/>
      <c r="V151" s="939"/>
      <c r="W151" s="941"/>
      <c r="X151" s="943"/>
      <c r="Y151" s="361"/>
      <c r="Z151" s="364"/>
      <c r="AA151" s="367"/>
      <c r="AB151"/>
      <c r="AC151"/>
      <c r="AD151"/>
      <c r="AE151"/>
      <c r="AF151"/>
      <c r="AG151"/>
      <c r="AH151"/>
      <c r="AI151"/>
      <c r="AJ151"/>
      <c r="AK151"/>
      <c r="AL151"/>
      <c r="AM151"/>
      <c r="AN151"/>
      <c r="AO151"/>
      <c r="AP151"/>
      <c r="AQ151"/>
      <c r="AR151"/>
      <c r="AS151"/>
      <c r="AT151"/>
      <c r="AU151"/>
      <c r="AV151"/>
      <c r="AW151"/>
      <c r="AX151"/>
    </row>
    <row r="152" spans="17:50" ht="12.75" customHeight="1">
      <c r="Q152" s="668"/>
      <c r="R152" s="973" t="s">
        <v>554</v>
      </c>
      <c r="S152" s="973"/>
      <c r="T152" s="973"/>
      <c r="U152" s="986"/>
      <c r="V152" s="569">
        <f>X152</f>
        <v>1</v>
      </c>
      <c r="W152" s="570">
        <f>V152</f>
        <v>1</v>
      </c>
      <c r="X152" s="570">
        <f>'Compressor Input Data'!J20</f>
        <v>1</v>
      </c>
      <c r="Y152" s="361"/>
      <c r="Z152" s="364"/>
      <c r="AA152" s="367"/>
      <c r="AB152"/>
      <c r="AC152"/>
      <c r="AD152"/>
      <c r="AE152"/>
      <c r="AF152"/>
      <c r="AG152"/>
      <c r="AH152"/>
      <c r="AI152"/>
      <c r="AJ152"/>
      <c r="AK152"/>
      <c r="AL152"/>
      <c r="AM152"/>
      <c r="AN152"/>
      <c r="AO152"/>
      <c r="AP152"/>
      <c r="AQ152"/>
      <c r="AR152"/>
      <c r="AS152"/>
      <c r="AT152"/>
      <c r="AU152"/>
      <c r="AV152"/>
      <c r="AW152"/>
      <c r="AX152"/>
    </row>
    <row r="153" spans="17:50" ht="12.75" customHeight="1">
      <c r="Q153" s="668"/>
      <c r="R153" s="983" t="s">
        <v>551</v>
      </c>
      <c r="S153" s="984"/>
      <c r="T153" s="985"/>
      <c r="U153" s="986"/>
      <c r="V153" s="571">
        <f>V147/V146</f>
        <v>7.0621468926553618E-2</v>
      </c>
      <c r="W153" s="571">
        <f>W147/W146</f>
        <v>6.8870523415977852E-2</v>
      </c>
      <c r="X153" s="571">
        <f>X147/X146</f>
        <v>5.4024851431658527E-2</v>
      </c>
      <c r="Y153" s="361"/>
      <c r="Z153" s="364"/>
      <c r="AA153" s="367"/>
      <c r="AB153"/>
      <c r="AC153"/>
      <c r="AD153"/>
      <c r="AE153"/>
      <c r="AF153"/>
      <c r="AG153"/>
      <c r="AH153"/>
      <c r="AI153"/>
      <c r="AJ153"/>
      <c r="AK153"/>
      <c r="AL153"/>
      <c r="AM153"/>
      <c r="AN153"/>
      <c r="AO153"/>
      <c r="AP153"/>
      <c r="AQ153"/>
      <c r="AR153"/>
      <c r="AS153"/>
      <c r="AT153"/>
      <c r="AU153"/>
      <c r="AV153"/>
      <c r="AW153"/>
      <c r="AX153"/>
    </row>
    <row r="154" spans="17:50" ht="12.75" customHeight="1">
      <c r="Q154" s="668"/>
      <c r="R154" s="973" t="s">
        <v>552</v>
      </c>
      <c r="S154" s="973"/>
      <c r="T154" s="973"/>
      <c r="U154" s="986"/>
      <c r="V154" s="572">
        <f>X154</f>
        <v>0.6</v>
      </c>
      <c r="W154" s="572">
        <f>V154</f>
        <v>0.6</v>
      </c>
      <c r="X154" s="572">
        <f>'Compressor Input Data'!J22</f>
        <v>0.6</v>
      </c>
      <c r="Y154" s="361"/>
      <c r="Z154" s="364"/>
      <c r="AA154" s="367"/>
      <c r="AB154"/>
      <c r="AC154"/>
      <c r="AD154"/>
      <c r="AE154"/>
      <c r="AF154"/>
      <c r="AG154"/>
      <c r="AH154"/>
      <c r="AI154"/>
      <c r="AJ154"/>
      <c r="AK154"/>
      <c r="AL154"/>
      <c r="AM154"/>
      <c r="AN154"/>
      <c r="AO154"/>
      <c r="AP154"/>
      <c r="AQ154"/>
      <c r="AR154"/>
      <c r="AS154"/>
      <c r="AT154"/>
      <c r="AU154"/>
      <c r="AV154"/>
      <c r="AW154"/>
      <c r="AX154"/>
    </row>
    <row r="155" spans="17:50" ht="12.75" customHeight="1">
      <c r="Q155" s="668"/>
      <c r="R155" s="987"/>
      <c r="S155" s="988"/>
      <c r="T155" s="988"/>
      <c r="U155" s="988"/>
      <c r="V155" s="988"/>
      <c r="W155" s="988"/>
      <c r="X155" s="989"/>
      <c r="Y155" s="364"/>
      <c r="Z155" s="364"/>
      <c r="AA155" s="367"/>
      <c r="AB155"/>
      <c r="AC155"/>
      <c r="AD155"/>
      <c r="AE155"/>
      <c r="AF155"/>
      <c r="AG155"/>
      <c r="AH155"/>
      <c r="AI155"/>
      <c r="AJ155"/>
      <c r="AK155"/>
      <c r="AL155"/>
      <c r="AM155"/>
      <c r="AN155"/>
      <c r="AO155"/>
      <c r="AP155"/>
      <c r="AQ155"/>
      <c r="AR155"/>
      <c r="AS155"/>
      <c r="AT155"/>
      <c r="AU155"/>
      <c r="AV155"/>
      <c r="AW155"/>
      <c r="AX155"/>
    </row>
    <row r="156" spans="17:50" ht="12.75" customHeight="1">
      <c r="Q156" s="668"/>
      <c r="R156" s="990" t="s">
        <v>468</v>
      </c>
      <c r="S156" s="991"/>
      <c r="T156" s="992"/>
      <c r="U156" s="949" t="s">
        <v>500</v>
      </c>
      <c r="V156" s="938" t="s">
        <v>22</v>
      </c>
      <c r="W156" s="940" t="s">
        <v>579</v>
      </c>
      <c r="X156" s="942" t="s">
        <v>21</v>
      </c>
      <c r="Y156" s="361"/>
      <c r="Z156" s="364"/>
      <c r="AA156" s="367"/>
      <c r="AB156"/>
      <c r="AC156"/>
      <c r="AD156"/>
      <c r="AE156"/>
      <c r="AF156"/>
      <c r="AG156"/>
      <c r="AH156"/>
      <c r="AI156"/>
      <c r="AJ156"/>
      <c r="AK156"/>
      <c r="AL156"/>
      <c r="AM156"/>
      <c r="AN156"/>
      <c r="AO156"/>
      <c r="AP156"/>
      <c r="AQ156"/>
      <c r="AR156"/>
      <c r="AS156"/>
      <c r="AT156"/>
      <c r="AU156"/>
      <c r="AV156"/>
      <c r="AW156"/>
      <c r="AX156"/>
    </row>
    <row r="157" spans="17:50" ht="12.75" customHeight="1">
      <c r="Q157" s="668"/>
      <c r="R157" s="993"/>
      <c r="S157" s="994"/>
      <c r="T157" s="995"/>
      <c r="U157" s="950"/>
      <c r="V157" s="939"/>
      <c r="W157" s="941"/>
      <c r="X157" s="943"/>
      <c r="Y157" s="361"/>
      <c r="Z157" s="364"/>
      <c r="AA157" s="367"/>
      <c r="AB157"/>
      <c r="AC157"/>
      <c r="AD157"/>
      <c r="AE157"/>
      <c r="AF157"/>
      <c r="AG157"/>
      <c r="AH157"/>
      <c r="AI157"/>
      <c r="AJ157"/>
      <c r="AK157"/>
      <c r="AL157"/>
      <c r="AM157"/>
      <c r="AN157"/>
      <c r="AO157"/>
      <c r="AP157"/>
      <c r="AQ157"/>
      <c r="AR157"/>
      <c r="AS157"/>
      <c r="AT157"/>
      <c r="AU157"/>
      <c r="AV157"/>
      <c r="AW157"/>
      <c r="AX157"/>
    </row>
    <row r="158" spans="17:50" ht="12.75" customHeight="1">
      <c r="Q158" s="668"/>
      <c r="R158" s="973" t="s">
        <v>554</v>
      </c>
      <c r="S158" s="973"/>
      <c r="T158" s="973"/>
      <c r="U158" s="980"/>
      <c r="V158" s="572">
        <f>X158</f>
        <v>0.5</v>
      </c>
      <c r="W158" s="572">
        <f>V158</f>
        <v>0.5</v>
      </c>
      <c r="X158" s="572">
        <f>'Compressor Input Data'!J25</f>
        <v>0.5</v>
      </c>
      <c r="Y158" s="361"/>
      <c r="Z158" s="364"/>
      <c r="AA158" s="367"/>
      <c r="AB158"/>
      <c r="AC158"/>
      <c r="AD158"/>
      <c r="AE158"/>
      <c r="AF158"/>
      <c r="AG158"/>
      <c r="AH158"/>
      <c r="AI158"/>
      <c r="AJ158"/>
      <c r="AK158"/>
      <c r="AL158"/>
      <c r="AM158"/>
      <c r="AN158"/>
      <c r="AO158"/>
      <c r="AP158"/>
      <c r="AQ158"/>
      <c r="AR158"/>
      <c r="AS158"/>
      <c r="AT158"/>
      <c r="AU158"/>
      <c r="AV158"/>
      <c r="AW158"/>
      <c r="AX158"/>
    </row>
    <row r="159" spans="17:50" ht="12.75" customHeight="1">
      <c r="Q159" s="668"/>
      <c r="R159" s="983" t="s">
        <v>551</v>
      </c>
      <c r="S159" s="984"/>
      <c r="T159" s="985"/>
      <c r="U159" s="981"/>
      <c r="V159" s="572">
        <f>V152-V153</f>
        <v>0.92937853107344637</v>
      </c>
      <c r="W159" s="572">
        <f>W152-W153</f>
        <v>0.93112947658402212</v>
      </c>
      <c r="X159" s="572">
        <f>X152-X153</f>
        <v>0.94597514856834142</v>
      </c>
      <c r="Y159" s="361"/>
      <c r="Z159" s="364"/>
      <c r="AA159" s="367"/>
      <c r="AB159"/>
      <c r="AC159"/>
      <c r="AD159"/>
      <c r="AE159"/>
      <c r="AF159"/>
      <c r="AG159"/>
      <c r="AH159"/>
      <c r="AI159"/>
      <c r="AJ159"/>
      <c r="AK159"/>
      <c r="AL159"/>
      <c r="AM159"/>
      <c r="AN159"/>
      <c r="AO159"/>
      <c r="AP159"/>
      <c r="AQ159"/>
      <c r="AR159"/>
      <c r="AS159"/>
      <c r="AT159"/>
      <c r="AU159"/>
      <c r="AV159"/>
      <c r="AW159"/>
      <c r="AX159"/>
    </row>
    <row r="160" spans="17:50" ht="12.75" customHeight="1">
      <c r="Q160" s="668"/>
      <c r="R160" s="973" t="s">
        <v>552</v>
      </c>
      <c r="S160" s="973"/>
      <c r="T160" s="973"/>
      <c r="U160" s="982"/>
      <c r="V160" s="572">
        <f>X160</f>
        <v>0.6</v>
      </c>
      <c r="W160" s="572">
        <f>V160</f>
        <v>0.6</v>
      </c>
      <c r="X160" s="572">
        <f>'Compressor Input Data'!J27</f>
        <v>0.6</v>
      </c>
      <c r="Y160" s="361"/>
      <c r="Z160" s="364"/>
      <c r="AA160" s="367"/>
      <c r="AB160"/>
      <c r="AC160"/>
      <c r="AD160"/>
      <c r="AE160"/>
      <c r="AF160"/>
      <c r="AG160"/>
      <c r="AH160"/>
      <c r="AI160"/>
      <c r="AJ160"/>
      <c r="AK160"/>
      <c r="AL160"/>
      <c r="AM160"/>
      <c r="AN160"/>
      <c r="AO160"/>
      <c r="AP160"/>
      <c r="AQ160"/>
      <c r="AR160"/>
      <c r="AS160"/>
      <c r="AT160"/>
      <c r="AU160"/>
      <c r="AV160"/>
      <c r="AW160"/>
      <c r="AX160"/>
    </row>
    <row r="161" spans="17:50" ht="12.75" customHeight="1">
      <c r="Q161" s="668"/>
      <c r="R161" s="567"/>
      <c r="S161" s="568"/>
      <c r="T161" s="568"/>
      <c r="U161" s="573"/>
      <c r="V161" s="573"/>
      <c r="W161" s="573"/>
      <c r="X161" s="574"/>
      <c r="Y161" s="364"/>
      <c r="Z161" s="364"/>
      <c r="AA161" s="367"/>
      <c r="AB161"/>
      <c r="AC161"/>
      <c r="AD161"/>
      <c r="AE161"/>
      <c r="AF161"/>
      <c r="AG161"/>
      <c r="AH161"/>
      <c r="AI161"/>
      <c r="AJ161"/>
      <c r="AK161"/>
      <c r="AL161"/>
      <c r="AM161"/>
      <c r="AN161"/>
      <c r="AO161"/>
      <c r="AP161"/>
      <c r="AQ161"/>
      <c r="AR161"/>
      <c r="AS161"/>
      <c r="AT161"/>
      <c r="AU161"/>
      <c r="AV161"/>
      <c r="AW161"/>
      <c r="AX161"/>
    </row>
    <row r="162" spans="17:50" ht="12.75" customHeight="1">
      <c r="Q162" s="668"/>
      <c r="R162" s="901" t="s">
        <v>471</v>
      </c>
      <c r="S162" s="901"/>
      <c r="T162" s="901"/>
      <c r="U162" s="930" t="s">
        <v>500</v>
      </c>
      <c r="V162" s="928" t="s">
        <v>22</v>
      </c>
      <c r="W162" s="929" t="s">
        <v>579</v>
      </c>
      <c r="X162" s="927" t="s">
        <v>21</v>
      </c>
      <c r="Y162" s="361"/>
      <c r="Z162" s="364"/>
      <c r="AA162" s="367"/>
      <c r="AB162"/>
      <c r="AC162"/>
      <c r="AD162"/>
      <c r="AE162"/>
      <c r="AF162"/>
      <c r="AG162"/>
      <c r="AH162"/>
      <c r="AI162"/>
      <c r="AJ162"/>
      <c r="AK162"/>
      <c r="AL162"/>
      <c r="AM162"/>
      <c r="AN162"/>
      <c r="AO162"/>
      <c r="AP162"/>
      <c r="AQ162"/>
      <c r="AR162"/>
      <c r="AS162"/>
      <c r="AT162"/>
      <c r="AU162"/>
      <c r="AV162"/>
      <c r="AW162"/>
      <c r="AX162"/>
    </row>
    <row r="163" spans="17:50" ht="12.75" customHeight="1">
      <c r="Q163" s="668"/>
      <c r="R163" s="901"/>
      <c r="S163" s="901"/>
      <c r="T163" s="901"/>
      <c r="U163" s="930"/>
      <c r="V163" s="928"/>
      <c r="W163" s="929"/>
      <c r="X163" s="927"/>
      <c r="Y163" s="361"/>
      <c r="Z163" s="364"/>
      <c r="AA163" s="367"/>
      <c r="AB163"/>
      <c r="AC163"/>
      <c r="AD163"/>
      <c r="AE163"/>
      <c r="AF163"/>
      <c r="AG163"/>
      <c r="AH163"/>
      <c r="AI163"/>
      <c r="AJ163"/>
      <c r="AK163"/>
      <c r="AL163"/>
      <c r="AM163"/>
      <c r="AN163"/>
      <c r="AO163"/>
      <c r="AP163"/>
      <c r="AQ163"/>
      <c r="AR163"/>
      <c r="AS163"/>
      <c r="AT163"/>
      <c r="AU163"/>
      <c r="AV163"/>
      <c r="AW163"/>
      <c r="AX163"/>
    </row>
    <row r="164" spans="17:50" ht="12.75" customHeight="1">
      <c r="Q164" s="668"/>
      <c r="R164" s="973" t="s">
        <v>472</v>
      </c>
      <c r="S164" s="973"/>
      <c r="T164" s="973"/>
      <c r="U164" s="544">
        <f>$V$224</f>
        <v>938.66666666666674</v>
      </c>
      <c r="V164" s="544">
        <f>($V$145*$V$146*$V$153*$V$152)/$V$154</f>
        <v>64406.77966101691</v>
      </c>
      <c r="W164" s="544">
        <f>($W$145*$W$146*$W$153*$W$152)/$W$154</f>
        <v>62809.917355371799</v>
      </c>
      <c r="X164" s="544">
        <f>($X$145*$X$146*$X$153*$X$152)/$X$154</f>
        <v>49270.664505672576</v>
      </c>
      <c r="Y164" s="361"/>
      <c r="Z164" s="364"/>
      <c r="AA164" s="367"/>
      <c r="AB164"/>
      <c r="AC164"/>
      <c r="AD164"/>
      <c r="AE164"/>
      <c r="AF164"/>
      <c r="AG164"/>
      <c r="AH164"/>
      <c r="AI164"/>
      <c r="AJ164"/>
      <c r="AK164"/>
      <c r="AL164"/>
      <c r="AM164"/>
      <c r="AN164"/>
      <c r="AO164"/>
      <c r="AP164"/>
      <c r="AQ164"/>
      <c r="AR164"/>
      <c r="AS164"/>
      <c r="AT164"/>
      <c r="AU164"/>
      <c r="AV164"/>
      <c r="AW164"/>
      <c r="AX164"/>
    </row>
    <row r="165" spans="17:50" ht="12.75" customHeight="1">
      <c r="Q165" s="668"/>
      <c r="R165" s="973" t="s">
        <v>473</v>
      </c>
      <c r="S165" s="973"/>
      <c r="T165" s="973"/>
      <c r="U165" s="543"/>
      <c r="V165" s="544">
        <f>($V$145*$V$146*$V$159*$V$158)/$V$160</f>
        <v>423796.61016949156</v>
      </c>
      <c r="W165" s="544">
        <f>($W$145*$W$146*$W$159*$W$158)/$W$160</f>
        <v>424595.04132231406</v>
      </c>
      <c r="X165" s="544">
        <f>($X$145*$X$146*$X$159*$X$158)/$X$160</f>
        <v>431364.66774716368</v>
      </c>
      <c r="Y165" s="361"/>
      <c r="Z165" s="364"/>
      <c r="AA165" s="367"/>
      <c r="AB165"/>
      <c r="AC165"/>
      <c r="AD165"/>
      <c r="AE165"/>
      <c r="AF165"/>
      <c r="AG165"/>
      <c r="AH165"/>
      <c r="AI165"/>
      <c r="AJ165"/>
      <c r="AK165"/>
      <c r="AL165"/>
      <c r="AM165"/>
      <c r="AN165"/>
      <c r="AO165"/>
      <c r="AP165"/>
      <c r="AQ165"/>
      <c r="AR165"/>
      <c r="AS165"/>
      <c r="AT165"/>
      <c r="AU165"/>
      <c r="AV165"/>
      <c r="AW165"/>
      <c r="AX165"/>
    </row>
    <row r="166" spans="17:50" ht="12.75" customHeight="1">
      <c r="Q166" s="668"/>
      <c r="R166" s="567"/>
      <c r="S166" s="568"/>
      <c r="T166" s="568"/>
      <c r="U166" s="573"/>
      <c r="V166" s="573"/>
      <c r="W166" s="573"/>
      <c r="X166" s="574"/>
      <c r="Y166" s="364"/>
      <c r="Z166" s="364"/>
      <c r="AA166" s="367"/>
      <c r="AB166"/>
      <c r="AC166"/>
      <c r="AD166"/>
      <c r="AE166"/>
      <c r="AF166"/>
      <c r="AG166"/>
      <c r="AH166"/>
      <c r="AI166"/>
      <c r="AJ166"/>
      <c r="AK166"/>
      <c r="AL166"/>
      <c r="AM166"/>
      <c r="AN166"/>
      <c r="AO166"/>
      <c r="AP166"/>
      <c r="AQ166"/>
      <c r="AR166"/>
      <c r="AS166"/>
      <c r="AT166"/>
      <c r="AU166"/>
      <c r="AV166"/>
      <c r="AW166"/>
      <c r="AX166"/>
    </row>
    <row r="167" spans="17:50" ht="12.75" customHeight="1">
      <c r="Q167" s="668"/>
      <c r="R167" s="901" t="s">
        <v>474</v>
      </c>
      <c r="S167" s="901"/>
      <c r="T167" s="901"/>
      <c r="U167" s="930" t="s">
        <v>500</v>
      </c>
      <c r="V167" s="928" t="s">
        <v>22</v>
      </c>
      <c r="W167" s="929" t="s">
        <v>579</v>
      </c>
      <c r="X167" s="927" t="s">
        <v>21</v>
      </c>
      <c r="Y167" s="361"/>
      <c r="Z167" s="364"/>
      <c r="AA167" s="367"/>
      <c r="AB167"/>
      <c r="AC167"/>
      <c r="AD167"/>
      <c r="AE167"/>
      <c r="AF167"/>
      <c r="AG167"/>
      <c r="AH167"/>
      <c r="AI167"/>
      <c r="AJ167"/>
      <c r="AK167"/>
      <c r="AL167"/>
      <c r="AM167"/>
      <c r="AN167"/>
      <c r="AO167"/>
      <c r="AP167"/>
      <c r="AQ167"/>
      <c r="AR167"/>
      <c r="AS167"/>
      <c r="AT167"/>
      <c r="AU167"/>
      <c r="AV167"/>
      <c r="AW167"/>
      <c r="AX167"/>
    </row>
    <row r="168" spans="17:50" ht="12.75" customHeight="1">
      <c r="Q168" s="668"/>
      <c r="R168" s="901"/>
      <c r="S168" s="901"/>
      <c r="T168" s="901"/>
      <c r="U168" s="930"/>
      <c r="V168" s="928"/>
      <c r="W168" s="929"/>
      <c r="X168" s="927"/>
      <c r="Y168" s="361"/>
      <c r="Z168" s="364"/>
      <c r="AA168" s="367"/>
      <c r="AB168"/>
      <c r="AC168"/>
      <c r="AD168"/>
      <c r="AE168"/>
      <c r="AF168"/>
      <c r="AG168"/>
      <c r="AH168"/>
      <c r="AI168"/>
      <c r="AJ168"/>
      <c r="AK168"/>
      <c r="AL168"/>
      <c r="AM168"/>
      <c r="AN168"/>
      <c r="AO168"/>
      <c r="AP168"/>
      <c r="AQ168"/>
      <c r="AR168"/>
      <c r="AS168"/>
      <c r="AT168"/>
      <c r="AU168"/>
      <c r="AV168"/>
      <c r="AW168"/>
      <c r="AX168"/>
    </row>
    <row r="169" spans="17:50" ht="12.75" customHeight="1">
      <c r="Q169" s="668"/>
      <c r="R169" s="973" t="s">
        <v>472</v>
      </c>
      <c r="S169" s="973"/>
      <c r="T169" s="973"/>
      <c r="U169" s="544">
        <f>U164*$V$11</f>
        <v>21589.333333333336</v>
      </c>
      <c r="V169" s="544">
        <f>V164*$V$11</f>
        <v>1481355.932203389</v>
      </c>
      <c r="W169" s="544">
        <f>W164*$V$11</f>
        <v>1444628.0991735514</v>
      </c>
      <c r="X169" s="544">
        <f>X164*$V$11</f>
        <v>1133225.2836304693</v>
      </c>
      <c r="Y169" s="361"/>
      <c r="Z169" s="364"/>
      <c r="AA169" s="367"/>
      <c r="AB169"/>
      <c r="AC169"/>
      <c r="AD169"/>
      <c r="AE169"/>
      <c r="AF169"/>
      <c r="AG169"/>
      <c r="AH169"/>
      <c r="AI169"/>
      <c r="AJ169"/>
      <c r="AK169"/>
      <c r="AL169"/>
      <c r="AM169"/>
      <c r="AN169"/>
      <c r="AO169"/>
      <c r="AP169"/>
      <c r="AQ169"/>
      <c r="AR169"/>
      <c r="AS169"/>
      <c r="AT169"/>
      <c r="AU169"/>
      <c r="AV169"/>
      <c r="AW169"/>
      <c r="AX169"/>
    </row>
    <row r="170" spans="17:50" ht="12.75" customHeight="1">
      <c r="Q170" s="668"/>
      <c r="R170" s="973" t="s">
        <v>473</v>
      </c>
      <c r="S170" s="973"/>
      <c r="T170" s="973"/>
      <c r="U170" s="543"/>
      <c r="V170" s="544">
        <f>V165*$V$11</f>
        <v>9747322.0338983051</v>
      </c>
      <c r="W170" s="544">
        <f>W165*$V$11</f>
        <v>9765685.9504132234</v>
      </c>
      <c r="X170" s="544">
        <f>X165*$V$11</f>
        <v>9921387.3581847642</v>
      </c>
      <c r="Y170" s="361"/>
      <c r="Z170" s="364"/>
      <c r="AA170" s="367"/>
      <c r="AB170"/>
      <c r="AC170"/>
      <c r="AD170"/>
      <c r="AE170"/>
      <c r="AF170"/>
      <c r="AG170"/>
      <c r="AH170"/>
      <c r="AI170"/>
      <c r="AJ170"/>
      <c r="AK170"/>
      <c r="AL170"/>
      <c r="AM170"/>
      <c r="AN170"/>
      <c r="AO170"/>
      <c r="AP170"/>
      <c r="AQ170"/>
      <c r="AR170"/>
      <c r="AS170"/>
      <c r="AT170"/>
      <c r="AU170"/>
      <c r="AV170"/>
      <c r="AW170"/>
      <c r="AX170"/>
    </row>
    <row r="171" spans="17:50" ht="12.75" customHeight="1">
      <c r="Q171" s="668"/>
      <c r="R171" s="567"/>
      <c r="S171" s="568"/>
      <c r="T171" s="568"/>
      <c r="U171" s="573"/>
      <c r="V171" s="573"/>
      <c r="W171" s="573"/>
      <c r="X171" s="574"/>
      <c r="Y171" s="364"/>
      <c r="Z171" s="364"/>
      <c r="AA171" s="367"/>
      <c r="AB171"/>
      <c r="AC171"/>
      <c r="AD171"/>
      <c r="AE171"/>
      <c r="AF171"/>
      <c r="AG171"/>
      <c r="AH171"/>
      <c r="AI171"/>
      <c r="AJ171"/>
      <c r="AK171"/>
      <c r="AL171"/>
      <c r="AM171"/>
      <c r="AN171"/>
      <c r="AO171"/>
      <c r="AP171"/>
      <c r="AQ171"/>
      <c r="AR171"/>
      <c r="AS171"/>
      <c r="AT171"/>
      <c r="AU171"/>
      <c r="AV171"/>
      <c r="AW171"/>
      <c r="AX171"/>
    </row>
    <row r="172" spans="17:50" ht="12.75" customHeight="1">
      <c r="Q172" s="668"/>
      <c r="R172" s="901" t="s">
        <v>474</v>
      </c>
      <c r="S172" s="901"/>
      <c r="T172" s="901"/>
      <c r="U172" s="930" t="s">
        <v>500</v>
      </c>
      <c r="V172" s="928" t="s">
        <v>22</v>
      </c>
      <c r="W172" s="929" t="s">
        <v>579</v>
      </c>
      <c r="X172" s="927" t="s">
        <v>21</v>
      </c>
      <c r="Y172" s="361"/>
      <c r="Z172" s="364"/>
      <c r="AA172" s="367"/>
      <c r="AB172"/>
      <c r="AC172"/>
      <c r="AD172"/>
      <c r="AE172"/>
      <c r="AF172"/>
      <c r="AG172"/>
      <c r="AH172"/>
      <c r="AI172"/>
      <c r="AJ172"/>
      <c r="AK172"/>
      <c r="AL172"/>
      <c r="AM172"/>
      <c r="AN172"/>
      <c r="AO172"/>
      <c r="AP172"/>
      <c r="AQ172"/>
      <c r="AR172"/>
      <c r="AS172"/>
      <c r="AT172"/>
      <c r="AU172"/>
      <c r="AV172"/>
      <c r="AW172"/>
      <c r="AX172"/>
    </row>
    <row r="173" spans="17:50" ht="12.75" customHeight="1">
      <c r="Q173" s="668"/>
      <c r="R173" s="901"/>
      <c r="S173" s="901"/>
      <c r="T173" s="901"/>
      <c r="U173" s="930"/>
      <c r="V173" s="928"/>
      <c r="W173" s="929"/>
      <c r="X173" s="927"/>
      <c r="Y173" s="361"/>
      <c r="Z173" s="364"/>
      <c r="AA173" s="367"/>
      <c r="AB173"/>
      <c r="AC173"/>
      <c r="AD173"/>
      <c r="AE173"/>
      <c r="AF173"/>
      <c r="AG173"/>
      <c r="AH173"/>
      <c r="AI173"/>
      <c r="AJ173"/>
      <c r="AK173"/>
      <c r="AL173"/>
      <c r="AM173"/>
      <c r="AN173"/>
      <c r="AO173"/>
      <c r="AP173"/>
      <c r="AQ173"/>
      <c r="AR173"/>
      <c r="AS173"/>
      <c r="AT173"/>
      <c r="AU173"/>
      <c r="AV173"/>
      <c r="AW173"/>
      <c r="AX173"/>
    </row>
    <row r="174" spans="17:50" ht="12.75" customHeight="1">
      <c r="Q174" s="668"/>
      <c r="R174" s="973" t="s">
        <v>472</v>
      </c>
      <c r="S174" s="973"/>
      <c r="T174" s="973"/>
      <c r="U174" s="544">
        <f>U169*12</f>
        <v>259072.00000000003</v>
      </c>
      <c r="V174" s="544">
        <f>V169*12</f>
        <v>17776271.186440669</v>
      </c>
      <c r="W174" s="544">
        <f>W169*12</f>
        <v>17335537.190082617</v>
      </c>
      <c r="X174" s="544">
        <f>X169*12</f>
        <v>13598703.403565632</v>
      </c>
      <c r="Y174" s="361"/>
      <c r="Z174" s="364"/>
      <c r="AA174" s="367"/>
      <c r="AB174"/>
      <c r="AC174"/>
      <c r="AD174"/>
      <c r="AE174"/>
      <c r="AF174"/>
      <c r="AG174"/>
      <c r="AH174"/>
      <c r="AI174"/>
      <c r="AJ174"/>
      <c r="AK174"/>
      <c r="AL174"/>
      <c r="AM174"/>
      <c r="AN174"/>
      <c r="AO174"/>
      <c r="AP174"/>
      <c r="AQ174"/>
      <c r="AR174"/>
      <c r="AS174"/>
      <c r="AT174"/>
      <c r="AU174"/>
      <c r="AV174"/>
      <c r="AW174"/>
      <c r="AX174"/>
    </row>
    <row r="175" spans="17:50" ht="12.75" customHeight="1">
      <c r="Q175" s="668"/>
      <c r="R175" s="973" t="s">
        <v>473</v>
      </c>
      <c r="S175" s="973"/>
      <c r="T175" s="973"/>
      <c r="U175" s="543"/>
      <c r="V175" s="544">
        <f>V170*12</f>
        <v>116967864.40677966</v>
      </c>
      <c r="W175" s="544">
        <f>W170*12</f>
        <v>117188231.40495868</v>
      </c>
      <c r="X175" s="544">
        <f>X170*12</f>
        <v>119056648.29821718</v>
      </c>
      <c r="Y175" s="361"/>
      <c r="Z175" s="364"/>
      <c r="AA175" s="367"/>
      <c r="AB175"/>
      <c r="AC175"/>
      <c r="AD175"/>
      <c r="AE175"/>
      <c r="AF175"/>
      <c r="AG175"/>
      <c r="AH175"/>
      <c r="AI175"/>
      <c r="AJ175"/>
      <c r="AK175"/>
      <c r="AL175"/>
      <c r="AM175"/>
      <c r="AN175"/>
      <c r="AO175"/>
      <c r="AP175"/>
      <c r="AQ175"/>
      <c r="AR175"/>
      <c r="AS175"/>
      <c r="AT175"/>
      <c r="AU175"/>
      <c r="AV175"/>
      <c r="AW175"/>
      <c r="AX175"/>
    </row>
    <row r="176" spans="17:50" ht="12.75" customHeight="1">
      <c r="Q176" s="668"/>
      <c r="R176" s="381"/>
      <c r="S176" s="381"/>
      <c r="T176" s="381"/>
      <c r="U176" s="381"/>
      <c r="V176" s="381"/>
      <c r="W176" s="381"/>
      <c r="X176" s="381"/>
      <c r="Y176" s="364"/>
      <c r="Z176" s="364"/>
      <c r="AA176" s="367"/>
      <c r="AB176"/>
      <c r="AC176"/>
      <c r="AD176"/>
      <c r="AE176"/>
      <c r="AF176"/>
      <c r="AG176"/>
      <c r="AH176"/>
      <c r="AI176"/>
      <c r="AJ176"/>
      <c r="AK176"/>
      <c r="AL176"/>
      <c r="AM176"/>
      <c r="AN176"/>
      <c r="AO176"/>
      <c r="AP176"/>
      <c r="AQ176"/>
      <c r="AR176"/>
      <c r="AS176"/>
      <c r="AT176"/>
      <c r="AU176"/>
      <c r="AV176"/>
      <c r="AW176"/>
      <c r="AX176"/>
    </row>
    <row r="177" spans="17:50" ht="12.75" customHeight="1">
      <c r="Q177" s="668"/>
      <c r="R177" s="901" t="s">
        <v>433</v>
      </c>
      <c r="S177" s="901"/>
      <c r="T177" s="901"/>
      <c r="U177" s="949" t="s">
        <v>500</v>
      </c>
      <c r="V177" s="938" t="s">
        <v>22</v>
      </c>
      <c r="W177" s="940" t="s">
        <v>579</v>
      </c>
      <c r="X177" s="942" t="s">
        <v>21</v>
      </c>
      <c r="Y177" s="361"/>
      <c r="Z177" s="364"/>
      <c r="AA177" s="367"/>
      <c r="AB177"/>
      <c r="AC177"/>
      <c r="AD177"/>
      <c r="AE177"/>
      <c r="AF177"/>
      <c r="AG177"/>
      <c r="AH177"/>
      <c r="AI177"/>
      <c r="AJ177"/>
      <c r="AK177"/>
      <c r="AL177"/>
      <c r="AM177"/>
      <c r="AN177"/>
      <c r="AO177"/>
      <c r="AP177"/>
      <c r="AQ177"/>
      <c r="AR177"/>
      <c r="AS177"/>
      <c r="AT177"/>
      <c r="AU177"/>
      <c r="AV177"/>
      <c r="AW177"/>
      <c r="AX177"/>
    </row>
    <row r="178" spans="17:50" ht="12.75" customHeight="1">
      <c r="Q178" s="668"/>
      <c r="R178" s="901"/>
      <c r="S178" s="901"/>
      <c r="T178" s="901"/>
      <c r="U178" s="950"/>
      <c r="V178" s="939"/>
      <c r="W178" s="941"/>
      <c r="X178" s="943"/>
      <c r="Y178" s="361"/>
      <c r="Z178" s="364"/>
      <c r="AA178" s="367"/>
      <c r="AB178"/>
      <c r="AC178"/>
      <c r="AD178"/>
      <c r="AE178"/>
      <c r="AF178"/>
      <c r="AG178"/>
      <c r="AH178"/>
      <c r="AI178"/>
      <c r="AJ178"/>
      <c r="AK178"/>
      <c r="AL178"/>
      <c r="AM178"/>
      <c r="AN178"/>
      <c r="AO178"/>
      <c r="AP178"/>
      <c r="AQ178"/>
      <c r="AR178"/>
      <c r="AS178"/>
      <c r="AT178"/>
      <c r="AU178"/>
      <c r="AV178"/>
      <c r="AW178"/>
      <c r="AX178"/>
    </row>
    <row r="179" spans="17:50" ht="12.75" customHeight="1">
      <c r="Q179" s="668"/>
      <c r="R179" s="970" t="s">
        <v>459</v>
      </c>
      <c r="S179" s="971"/>
      <c r="T179" s="972"/>
      <c r="U179" s="544">
        <f>U164</f>
        <v>938.66666666666674</v>
      </c>
      <c r="V179" s="544">
        <f>V164+V165</f>
        <v>488203.38983050844</v>
      </c>
      <c r="W179" s="544">
        <f>W164+W165</f>
        <v>487404.95867768588</v>
      </c>
      <c r="X179" s="544">
        <f>X164+X165</f>
        <v>480635.33225283626</v>
      </c>
      <c r="Y179" s="361"/>
      <c r="Z179" s="364"/>
      <c r="AA179" s="367"/>
      <c r="AB179"/>
      <c r="AC179"/>
      <c r="AD179"/>
      <c r="AE179"/>
      <c r="AF179"/>
      <c r="AG179"/>
      <c r="AH179"/>
      <c r="AI179"/>
      <c r="AJ179"/>
      <c r="AK179"/>
      <c r="AL179"/>
      <c r="AM179"/>
      <c r="AN179"/>
      <c r="AO179"/>
      <c r="AP179"/>
      <c r="AQ179"/>
      <c r="AR179"/>
      <c r="AS179"/>
      <c r="AT179"/>
      <c r="AU179"/>
      <c r="AV179"/>
      <c r="AW179"/>
      <c r="AX179"/>
    </row>
    <row r="180" spans="17:50" ht="12.75" customHeight="1">
      <c r="Q180" s="668"/>
      <c r="R180" s="973" t="s">
        <v>307</v>
      </c>
      <c r="S180" s="973"/>
      <c r="T180" s="973"/>
      <c r="U180" s="544">
        <f>U169</f>
        <v>21589.333333333336</v>
      </c>
      <c r="V180" s="544">
        <f>V169+V170</f>
        <v>11228677.966101695</v>
      </c>
      <c r="W180" s="544">
        <f>W169+W170</f>
        <v>11210314.049586775</v>
      </c>
      <c r="X180" s="544">
        <f>X169+X170</f>
        <v>11054612.641815234</v>
      </c>
      <c r="Y180" s="361"/>
      <c r="Z180" s="364"/>
      <c r="AA180" s="367"/>
      <c r="AB180"/>
      <c r="AC180"/>
      <c r="AD180"/>
      <c r="AE180"/>
      <c r="AF180"/>
      <c r="AG180"/>
      <c r="AH180"/>
      <c r="AI180"/>
      <c r="AJ180"/>
      <c r="AK180"/>
      <c r="AL180"/>
      <c r="AM180"/>
      <c r="AN180"/>
      <c r="AO180"/>
      <c r="AP180"/>
      <c r="AQ180"/>
      <c r="AR180"/>
      <c r="AS180"/>
      <c r="AT180"/>
      <c r="AU180"/>
      <c r="AV180"/>
      <c r="AW180"/>
      <c r="AX180"/>
    </row>
    <row r="181" spans="17:50" ht="12.75" customHeight="1">
      <c r="Q181" s="668"/>
      <c r="R181" s="973" t="s">
        <v>308</v>
      </c>
      <c r="S181" s="973"/>
      <c r="T181" s="973"/>
      <c r="U181" s="544">
        <f>U174</f>
        <v>259072.00000000003</v>
      </c>
      <c r="V181" s="544">
        <f>V174+V175</f>
        <v>134744135.59322032</v>
      </c>
      <c r="W181" s="544">
        <f>W174+W175</f>
        <v>134523768.5950413</v>
      </c>
      <c r="X181" s="544">
        <f>X174+X175</f>
        <v>132655351.70178281</v>
      </c>
      <c r="Y181" s="361"/>
      <c r="Z181" s="364"/>
      <c r="AA181" s="367"/>
      <c r="AB181"/>
      <c r="AC181"/>
      <c r="AD181"/>
      <c r="AE181"/>
      <c r="AF181"/>
      <c r="AG181"/>
      <c r="AH181"/>
      <c r="AI181"/>
      <c r="AJ181"/>
      <c r="AK181"/>
      <c r="AL181"/>
      <c r="AM181"/>
      <c r="AN181"/>
      <c r="AO181"/>
      <c r="AP181"/>
      <c r="AQ181"/>
      <c r="AR181"/>
      <c r="AS181"/>
      <c r="AT181"/>
      <c r="AU181"/>
      <c r="AV181"/>
      <c r="AW181"/>
      <c r="AX181"/>
    </row>
    <row r="182" spans="17:50" ht="12.75" customHeight="1">
      <c r="Q182" s="668"/>
      <c r="R182" s="381"/>
      <c r="S182" s="381"/>
      <c r="T182" s="381"/>
      <c r="U182" s="381"/>
      <c r="V182" s="381"/>
      <c r="W182" s="381"/>
      <c r="X182" s="381"/>
      <c r="Y182" s="364"/>
      <c r="Z182" s="364"/>
      <c r="AA182" s="367"/>
      <c r="AB182"/>
      <c r="AC182"/>
      <c r="AD182"/>
      <c r="AE182"/>
      <c r="AF182"/>
      <c r="AG182"/>
      <c r="AH182"/>
      <c r="AI182"/>
      <c r="AJ182"/>
      <c r="AK182"/>
      <c r="AL182"/>
      <c r="AM182"/>
      <c r="AN182"/>
      <c r="AO182"/>
      <c r="AP182"/>
      <c r="AQ182"/>
      <c r="AR182"/>
      <c r="AS182"/>
      <c r="AT182"/>
      <c r="AU182"/>
      <c r="AV182"/>
      <c r="AW182"/>
      <c r="AX182"/>
    </row>
    <row r="183" spans="17:50" ht="12.75" customHeight="1">
      <c r="Q183" s="668"/>
      <c r="R183" s="901" t="s">
        <v>475</v>
      </c>
      <c r="S183" s="901"/>
      <c r="T183" s="901"/>
      <c r="U183" s="930" t="s">
        <v>500</v>
      </c>
      <c r="V183" s="928" t="s">
        <v>22</v>
      </c>
      <c r="W183" s="929" t="s">
        <v>579</v>
      </c>
      <c r="X183" s="927" t="s">
        <v>21</v>
      </c>
      <c r="Y183" s="361"/>
      <c r="Z183" s="364"/>
      <c r="AA183" s="367"/>
      <c r="AB183"/>
      <c r="AC183"/>
      <c r="AD183"/>
      <c r="AE183"/>
      <c r="AF183"/>
      <c r="AG183"/>
      <c r="AH183"/>
      <c r="AI183"/>
      <c r="AJ183"/>
      <c r="AK183"/>
      <c r="AL183"/>
      <c r="AM183"/>
      <c r="AN183"/>
      <c r="AO183"/>
      <c r="AP183"/>
      <c r="AQ183"/>
      <c r="AR183"/>
      <c r="AS183"/>
      <c r="AT183"/>
      <c r="AU183"/>
      <c r="AV183"/>
      <c r="AW183"/>
      <c r="AX183"/>
    </row>
    <row r="184" spans="17:50" ht="12.75" customHeight="1">
      <c r="Q184" s="668"/>
      <c r="R184" s="901"/>
      <c r="S184" s="901"/>
      <c r="T184" s="901"/>
      <c r="U184" s="930"/>
      <c r="V184" s="928"/>
      <c r="W184" s="929"/>
      <c r="X184" s="927"/>
      <c r="Y184" s="361"/>
      <c r="Z184" s="364"/>
      <c r="AA184" s="367"/>
      <c r="AB184"/>
      <c r="AC184"/>
      <c r="AD184"/>
      <c r="AE184"/>
      <c r="AF184"/>
      <c r="AG184"/>
      <c r="AH184"/>
      <c r="AI184"/>
      <c r="AJ184"/>
      <c r="AK184"/>
      <c r="AL184"/>
      <c r="AM184"/>
      <c r="AN184"/>
      <c r="AO184"/>
      <c r="AP184"/>
      <c r="AQ184"/>
      <c r="AR184"/>
      <c r="AS184"/>
      <c r="AT184"/>
      <c r="AU184"/>
      <c r="AV184"/>
      <c r="AW184"/>
      <c r="AX184"/>
    </row>
    <row r="185" spans="17:50" ht="12.75" customHeight="1">
      <c r="Q185" s="668"/>
      <c r="R185" s="973" t="s">
        <v>472</v>
      </c>
      <c r="S185" s="973"/>
      <c r="T185" s="973"/>
      <c r="U185" s="593">
        <f>$V$224*$U$148</f>
        <v>211.20000000000002</v>
      </c>
      <c r="V185" s="593">
        <f>($V$145*$V$146*$V$153*$V$152*$V$148)/$V$154</f>
        <v>14491.525423728806</v>
      </c>
      <c r="W185" s="593">
        <f>($W$145*$W$146*$W$153*$W$152*$W$148)/$W$154</f>
        <v>14132.231404958657</v>
      </c>
      <c r="X185" s="593">
        <f>($X$145*$X$146*$X$153*$X$152*$X$148)/$X$154</f>
        <v>11085.89951377633</v>
      </c>
      <c r="Y185" s="361"/>
      <c r="Z185" s="364"/>
      <c r="AA185" s="367"/>
      <c r="AB185"/>
      <c r="AC185"/>
      <c r="AD185"/>
      <c r="AE185"/>
      <c r="AF185"/>
      <c r="AG185"/>
      <c r="AH185"/>
      <c r="AI185"/>
      <c r="AJ185"/>
      <c r="AK185"/>
      <c r="AL185"/>
      <c r="AM185"/>
      <c r="AN185"/>
      <c r="AO185"/>
      <c r="AP185"/>
      <c r="AQ185"/>
      <c r="AR185"/>
      <c r="AS185"/>
      <c r="AT185"/>
      <c r="AU185"/>
      <c r="AV185"/>
      <c r="AW185"/>
      <c r="AX185"/>
    </row>
    <row r="186" spans="17:50" ht="12.75" customHeight="1">
      <c r="Q186" s="668"/>
      <c r="R186" s="973" t="s">
        <v>473</v>
      </c>
      <c r="S186" s="973"/>
      <c r="T186" s="973"/>
      <c r="U186" s="543"/>
      <c r="V186" s="593">
        <f>($V$145*$V$146*$V$159*$V$158*$V$148)/$V$160</f>
        <v>95354.237288135613</v>
      </c>
      <c r="W186" s="593">
        <f>($W$145*$W$146*$W$159*$W$158*$W$148)/$W$160</f>
        <v>95533.884297520679</v>
      </c>
      <c r="X186" s="593">
        <f>($X$145*$X$146*$X$159*$X$158*$X$148)/$X$160</f>
        <v>97057.050243111837</v>
      </c>
      <c r="Y186" s="361"/>
      <c r="Z186" s="364"/>
      <c r="AA186" s="367"/>
      <c r="AB186"/>
      <c r="AC186"/>
      <c r="AD186"/>
      <c r="AE186"/>
      <c r="AF186"/>
      <c r="AG186"/>
      <c r="AH186"/>
      <c r="AI186"/>
      <c r="AJ186"/>
      <c r="AK186"/>
      <c r="AL186"/>
      <c r="AM186"/>
      <c r="AN186"/>
      <c r="AO186"/>
      <c r="AP186"/>
      <c r="AQ186"/>
      <c r="AR186"/>
      <c r="AS186"/>
      <c r="AT186"/>
      <c r="AU186"/>
      <c r="AV186"/>
      <c r="AW186"/>
      <c r="AX186"/>
    </row>
    <row r="187" spans="17:50" ht="12.75" customHeight="1">
      <c r="Q187" s="668"/>
      <c r="R187" s="381"/>
      <c r="S187" s="381"/>
      <c r="T187" s="381"/>
      <c r="U187" s="381"/>
      <c r="V187" s="381"/>
      <c r="W187" s="381"/>
      <c r="X187" s="381"/>
      <c r="Y187" s="552"/>
      <c r="Z187" s="364"/>
      <c r="AA187" s="367"/>
      <c r="AB187"/>
      <c r="AC187"/>
      <c r="AD187"/>
      <c r="AE187"/>
      <c r="AF187"/>
      <c r="AG187"/>
      <c r="AH187"/>
      <c r="AI187"/>
      <c r="AJ187"/>
      <c r="AK187"/>
      <c r="AL187"/>
      <c r="AM187"/>
      <c r="AN187"/>
      <c r="AO187"/>
      <c r="AP187"/>
      <c r="AQ187"/>
      <c r="AR187"/>
      <c r="AS187"/>
      <c r="AT187"/>
      <c r="AU187"/>
      <c r="AV187"/>
      <c r="AW187"/>
      <c r="AX187"/>
    </row>
    <row r="188" spans="17:50" ht="12.75" customHeight="1">
      <c r="Q188" s="668"/>
      <c r="R188" s="901" t="s">
        <v>476</v>
      </c>
      <c r="S188" s="901"/>
      <c r="T188" s="901"/>
      <c r="U188" s="930" t="s">
        <v>500</v>
      </c>
      <c r="V188" s="928" t="s">
        <v>22</v>
      </c>
      <c r="W188" s="929" t="s">
        <v>579</v>
      </c>
      <c r="X188" s="927" t="s">
        <v>21</v>
      </c>
      <c r="Y188" s="361"/>
      <c r="Z188" s="364"/>
      <c r="AA188" s="367"/>
      <c r="AB188"/>
      <c r="AC188"/>
      <c r="AD188"/>
      <c r="AE188"/>
      <c r="AF188"/>
      <c r="AG188"/>
      <c r="AH188"/>
      <c r="AI188"/>
      <c r="AJ188"/>
      <c r="AK188"/>
      <c r="AL188"/>
      <c r="AM188"/>
      <c r="AN188"/>
      <c r="AO188"/>
      <c r="AP188"/>
      <c r="AQ188"/>
      <c r="AR188"/>
      <c r="AS188"/>
      <c r="AT188"/>
      <c r="AU188"/>
      <c r="AV188"/>
      <c r="AW188"/>
      <c r="AX188"/>
    </row>
    <row r="189" spans="17:50" ht="12.75" customHeight="1">
      <c r="Q189" s="668"/>
      <c r="R189" s="901"/>
      <c r="S189" s="901"/>
      <c r="T189" s="901"/>
      <c r="U189" s="930"/>
      <c r="V189" s="928"/>
      <c r="W189" s="929"/>
      <c r="X189" s="927"/>
      <c r="Y189" s="361"/>
      <c r="Z189" s="364"/>
      <c r="AA189" s="367"/>
      <c r="AB189"/>
      <c r="AC189"/>
      <c r="AD189"/>
      <c r="AE189"/>
      <c r="AF189"/>
      <c r="AG189"/>
      <c r="AH189"/>
      <c r="AI189"/>
      <c r="AJ189"/>
      <c r="AK189"/>
      <c r="AL189"/>
      <c r="AM189"/>
      <c r="AN189"/>
      <c r="AO189"/>
      <c r="AP189"/>
      <c r="AQ189"/>
      <c r="AR189"/>
      <c r="AS189"/>
      <c r="AT189"/>
      <c r="AU189"/>
      <c r="AV189"/>
      <c r="AW189"/>
      <c r="AX189"/>
    </row>
    <row r="190" spans="17:50" ht="12.75" customHeight="1">
      <c r="Q190" s="668"/>
      <c r="R190" s="973" t="s">
        <v>472</v>
      </c>
      <c r="S190" s="973"/>
      <c r="T190" s="973"/>
      <c r="U190" s="593">
        <f>U185*$V$11</f>
        <v>4857.6000000000004</v>
      </c>
      <c r="V190" s="593">
        <f>V185*$V$11</f>
        <v>333305.08474576252</v>
      </c>
      <c r="W190" s="593">
        <f>W185*$V$11</f>
        <v>325041.32231404912</v>
      </c>
      <c r="X190" s="593">
        <f>X185*$V$11</f>
        <v>254975.6888168556</v>
      </c>
      <c r="Y190" s="361"/>
      <c r="Z190" s="364"/>
      <c r="AA190" s="367"/>
      <c r="AB190"/>
      <c r="AC190"/>
      <c r="AD190"/>
      <c r="AE190"/>
      <c r="AF190"/>
      <c r="AG190"/>
      <c r="AH190"/>
      <c r="AI190"/>
      <c r="AJ190"/>
      <c r="AK190"/>
      <c r="AL190"/>
      <c r="AM190"/>
      <c r="AN190"/>
      <c r="AO190"/>
      <c r="AP190"/>
      <c r="AQ190"/>
      <c r="AR190"/>
      <c r="AS190"/>
      <c r="AT190"/>
      <c r="AU190"/>
      <c r="AV190"/>
      <c r="AW190"/>
      <c r="AX190"/>
    </row>
    <row r="191" spans="17:50" ht="12.75" customHeight="1">
      <c r="Q191" s="668"/>
      <c r="R191" s="973" t="s">
        <v>473</v>
      </c>
      <c r="S191" s="973"/>
      <c r="T191" s="973"/>
      <c r="U191" s="543"/>
      <c r="V191" s="593">
        <f>V186*$V$11</f>
        <v>2193147.457627119</v>
      </c>
      <c r="W191" s="593">
        <f>W186*$V$11</f>
        <v>2197279.3388429754</v>
      </c>
      <c r="X191" s="593">
        <f>X186*$V$11</f>
        <v>2232312.1555915722</v>
      </c>
      <c r="Y191" s="361"/>
      <c r="Z191" s="364"/>
      <c r="AA191" s="367"/>
      <c r="AB191"/>
      <c r="AC191"/>
      <c r="AD191"/>
      <c r="AE191"/>
      <c r="AF191"/>
      <c r="AG191"/>
      <c r="AH191"/>
      <c r="AI191"/>
      <c r="AJ191"/>
      <c r="AK191"/>
      <c r="AL191"/>
      <c r="AM191"/>
      <c r="AN191"/>
      <c r="AO191"/>
      <c r="AP191"/>
      <c r="AQ191"/>
      <c r="AR191"/>
      <c r="AS191"/>
      <c r="AT191"/>
      <c r="AU191"/>
      <c r="AV191"/>
      <c r="AW191"/>
      <c r="AX191"/>
    </row>
    <row r="192" spans="17:50" ht="12.75" customHeight="1">
      <c r="Q192" s="668"/>
      <c r="R192" s="367"/>
      <c r="S192" s="367"/>
      <c r="T192" s="367"/>
      <c r="U192" s="367"/>
      <c r="V192" s="367"/>
      <c r="W192" s="367"/>
      <c r="X192" s="367"/>
      <c r="Y192" s="364"/>
      <c r="Z192" s="364"/>
      <c r="AA192" s="367"/>
      <c r="AB192"/>
      <c r="AC192"/>
      <c r="AD192"/>
      <c r="AE192"/>
      <c r="AF192"/>
      <c r="AG192"/>
      <c r="AH192"/>
      <c r="AI192"/>
      <c r="AJ192"/>
      <c r="AK192"/>
      <c r="AL192"/>
      <c r="AM192"/>
      <c r="AN192"/>
      <c r="AO192"/>
      <c r="AP192"/>
      <c r="AQ192"/>
      <c r="AR192"/>
      <c r="AS192"/>
      <c r="AT192"/>
      <c r="AU192"/>
      <c r="AV192"/>
      <c r="AW192"/>
      <c r="AX192"/>
    </row>
    <row r="193" spans="17:50" ht="12.75" customHeight="1">
      <c r="Q193" s="668"/>
      <c r="R193" s="901" t="s">
        <v>477</v>
      </c>
      <c r="S193" s="901"/>
      <c r="T193" s="901"/>
      <c r="U193" s="930" t="s">
        <v>500</v>
      </c>
      <c r="V193" s="928" t="s">
        <v>22</v>
      </c>
      <c r="W193" s="929" t="s">
        <v>579</v>
      </c>
      <c r="X193" s="927" t="s">
        <v>21</v>
      </c>
      <c r="Y193" s="361"/>
      <c r="Z193" s="364"/>
      <c r="AA193" s="367"/>
      <c r="AB193"/>
      <c r="AC193"/>
      <c r="AD193"/>
      <c r="AE193"/>
      <c r="AF193"/>
      <c r="AG193"/>
      <c r="AH193"/>
      <c r="AI193"/>
      <c r="AJ193"/>
      <c r="AK193"/>
      <c r="AL193"/>
      <c r="AM193"/>
      <c r="AN193"/>
      <c r="AO193"/>
      <c r="AP193"/>
      <c r="AQ193"/>
      <c r="AR193"/>
      <c r="AS193"/>
      <c r="AT193"/>
      <c r="AU193"/>
      <c r="AV193"/>
      <c r="AW193"/>
      <c r="AX193"/>
    </row>
    <row r="194" spans="17:50" ht="12.75" customHeight="1">
      <c r="Q194" s="668"/>
      <c r="R194" s="901"/>
      <c r="S194" s="901"/>
      <c r="T194" s="901"/>
      <c r="U194" s="930"/>
      <c r="V194" s="928"/>
      <c r="W194" s="929"/>
      <c r="X194" s="927"/>
      <c r="Y194" s="361"/>
      <c r="Z194" s="364"/>
      <c r="AA194" s="367"/>
      <c r="AB194"/>
      <c r="AC194"/>
      <c r="AD194"/>
      <c r="AE194"/>
      <c r="AF194"/>
      <c r="AG194"/>
      <c r="AH194"/>
      <c r="AI194"/>
      <c r="AJ194"/>
      <c r="AK194"/>
      <c r="AL194"/>
      <c r="AM194"/>
      <c r="AN194"/>
      <c r="AO194"/>
      <c r="AP194"/>
      <c r="AQ194"/>
      <c r="AR194"/>
      <c r="AS194"/>
      <c r="AT194"/>
      <c r="AU194"/>
      <c r="AV194"/>
      <c r="AW194"/>
      <c r="AX194"/>
    </row>
    <row r="195" spans="17:50" ht="12.75" customHeight="1">
      <c r="Q195" s="668"/>
      <c r="R195" s="973" t="s">
        <v>472</v>
      </c>
      <c r="S195" s="973"/>
      <c r="T195" s="973"/>
      <c r="U195" s="593">
        <f>U190*12</f>
        <v>58291.200000000004</v>
      </c>
      <c r="V195" s="593">
        <f>V190*12</f>
        <v>3999661.0169491502</v>
      </c>
      <c r="W195" s="593">
        <f>W190*12</f>
        <v>3900495.8677685894</v>
      </c>
      <c r="X195" s="593">
        <f>X190*12</f>
        <v>3059708.265802267</v>
      </c>
      <c r="Y195" s="361"/>
      <c r="Z195" s="364"/>
      <c r="AA195" s="367"/>
      <c r="AB195"/>
      <c r="AC195"/>
      <c r="AD195"/>
      <c r="AE195"/>
      <c r="AF195"/>
      <c r="AG195"/>
      <c r="AH195"/>
      <c r="AI195"/>
      <c r="AJ195"/>
      <c r="AK195"/>
      <c r="AL195"/>
      <c r="AM195"/>
      <c r="AN195"/>
      <c r="AO195"/>
      <c r="AP195"/>
      <c r="AQ195"/>
      <c r="AR195"/>
      <c r="AS195"/>
      <c r="AT195"/>
      <c r="AU195"/>
      <c r="AV195"/>
      <c r="AW195"/>
      <c r="AX195"/>
    </row>
    <row r="196" spans="17:50" ht="12.75" customHeight="1">
      <c r="Q196" s="668"/>
      <c r="R196" s="973" t="s">
        <v>473</v>
      </c>
      <c r="S196" s="973"/>
      <c r="T196" s="973"/>
      <c r="U196" s="543"/>
      <c r="V196" s="593">
        <f>V191*12</f>
        <v>26317769.491525427</v>
      </c>
      <c r="W196" s="593">
        <f>W191*12</f>
        <v>26367352.066115707</v>
      </c>
      <c r="X196" s="593">
        <f>X191*12</f>
        <v>26787745.867098868</v>
      </c>
      <c r="Y196" s="361"/>
      <c r="Z196" s="364"/>
      <c r="AA196" s="367"/>
      <c r="AB196"/>
      <c r="AC196"/>
      <c r="AD196"/>
      <c r="AE196"/>
      <c r="AF196"/>
      <c r="AG196"/>
      <c r="AH196"/>
      <c r="AI196"/>
      <c r="AJ196"/>
      <c r="AK196"/>
      <c r="AL196"/>
      <c r="AM196"/>
      <c r="AN196"/>
      <c r="AO196"/>
      <c r="AP196"/>
      <c r="AQ196"/>
      <c r="AR196"/>
      <c r="AS196"/>
      <c r="AT196"/>
      <c r="AU196"/>
      <c r="AV196"/>
      <c r="AW196"/>
      <c r="AX196"/>
    </row>
    <row r="197" spans="17:50" ht="12.75" customHeight="1">
      <c r="Q197" s="668"/>
      <c r="R197" s="367"/>
      <c r="S197" s="367"/>
      <c r="T197" s="367"/>
      <c r="U197" s="367"/>
      <c r="V197" s="367"/>
      <c r="W197" s="367"/>
      <c r="X197" s="367"/>
      <c r="Y197" s="364"/>
      <c r="Z197" s="364"/>
      <c r="AA197" s="367"/>
      <c r="AB197"/>
      <c r="AC197"/>
      <c r="AD197"/>
      <c r="AE197"/>
      <c r="AF197"/>
      <c r="AG197"/>
      <c r="AH197"/>
      <c r="AI197"/>
      <c r="AJ197"/>
      <c r="AK197"/>
      <c r="AL197"/>
      <c r="AM197"/>
      <c r="AN197"/>
      <c r="AO197"/>
      <c r="AP197"/>
      <c r="AQ197"/>
      <c r="AR197"/>
      <c r="AS197"/>
      <c r="AT197"/>
      <c r="AU197"/>
      <c r="AV197"/>
      <c r="AW197"/>
      <c r="AX197"/>
    </row>
    <row r="198" spans="17:50" ht="12.75" customHeight="1">
      <c r="Q198" s="668"/>
      <c r="R198" s="901" t="s">
        <v>116</v>
      </c>
      <c r="S198" s="901"/>
      <c r="T198" s="901"/>
      <c r="U198" s="949" t="s">
        <v>500</v>
      </c>
      <c r="V198" s="938" t="s">
        <v>22</v>
      </c>
      <c r="W198" s="940" t="s">
        <v>579</v>
      </c>
      <c r="X198" s="942" t="s">
        <v>21</v>
      </c>
      <c r="Y198" s="361"/>
      <c r="Z198" s="364"/>
      <c r="AA198" s="367"/>
      <c r="AB198"/>
      <c r="AC198"/>
      <c r="AD198"/>
      <c r="AE198"/>
      <c r="AF198"/>
      <c r="AG198"/>
      <c r="AH198"/>
      <c r="AI198"/>
      <c r="AJ198"/>
      <c r="AK198"/>
      <c r="AL198"/>
      <c r="AM198"/>
      <c r="AN198"/>
      <c r="AO198"/>
      <c r="AP198"/>
      <c r="AQ198"/>
      <c r="AR198"/>
      <c r="AS198"/>
      <c r="AT198"/>
      <c r="AU198"/>
      <c r="AV198"/>
      <c r="AW198"/>
      <c r="AX198"/>
    </row>
    <row r="199" spans="17:50" ht="12.75" customHeight="1">
      <c r="Q199" s="668"/>
      <c r="R199" s="901"/>
      <c r="S199" s="901"/>
      <c r="T199" s="901"/>
      <c r="U199" s="950"/>
      <c r="V199" s="939"/>
      <c r="W199" s="941"/>
      <c r="X199" s="943"/>
      <c r="Y199" s="361"/>
      <c r="Z199" s="364"/>
      <c r="AA199" s="367"/>
      <c r="AB199"/>
      <c r="AC199"/>
      <c r="AD199"/>
      <c r="AE199"/>
      <c r="AF199"/>
      <c r="AG199"/>
      <c r="AH199"/>
      <c r="AI199"/>
      <c r="AJ199"/>
      <c r="AK199"/>
      <c r="AL199"/>
      <c r="AM199"/>
      <c r="AN199"/>
      <c r="AO199"/>
      <c r="AP199"/>
      <c r="AQ199"/>
      <c r="AR199"/>
      <c r="AS199"/>
      <c r="AT199"/>
      <c r="AU199"/>
      <c r="AV199"/>
      <c r="AW199"/>
      <c r="AX199"/>
    </row>
    <row r="200" spans="17:50" ht="12.75" customHeight="1">
      <c r="Q200" s="668"/>
      <c r="R200" s="970" t="s">
        <v>459</v>
      </c>
      <c r="S200" s="971"/>
      <c r="T200" s="972"/>
      <c r="U200" s="593">
        <f>U185</f>
        <v>211.20000000000002</v>
      </c>
      <c r="V200" s="593">
        <f>V185+V186</f>
        <v>109845.76271186442</v>
      </c>
      <c r="W200" s="593">
        <f>W185+W186</f>
        <v>109666.11570247934</v>
      </c>
      <c r="X200" s="593">
        <f>X185+X186</f>
        <v>108142.94975688816</v>
      </c>
      <c r="Y200" s="361"/>
      <c r="Z200" s="364"/>
      <c r="AA200" s="367"/>
      <c r="AB200"/>
      <c r="AC200"/>
      <c r="AD200"/>
      <c r="AE200"/>
      <c r="AF200"/>
      <c r="AG200"/>
      <c r="AH200"/>
      <c r="AI200"/>
      <c r="AJ200"/>
      <c r="AK200"/>
      <c r="AL200"/>
      <c r="AM200"/>
      <c r="AN200"/>
      <c r="AO200"/>
      <c r="AP200"/>
      <c r="AQ200"/>
      <c r="AR200"/>
      <c r="AS200"/>
      <c r="AT200"/>
      <c r="AU200"/>
      <c r="AV200"/>
      <c r="AW200"/>
      <c r="AX200"/>
    </row>
    <row r="201" spans="17:50" ht="12.75" customHeight="1">
      <c r="Q201" s="668"/>
      <c r="R201" s="973" t="s">
        <v>307</v>
      </c>
      <c r="S201" s="973"/>
      <c r="T201" s="973"/>
      <c r="U201" s="593">
        <f>U190</f>
        <v>4857.6000000000004</v>
      </c>
      <c r="V201" s="593">
        <f>V190+V191</f>
        <v>2526452.5423728814</v>
      </c>
      <c r="W201" s="593">
        <f>W190+W191</f>
        <v>2522320.6611570246</v>
      </c>
      <c r="X201" s="593">
        <f>X190+X191</f>
        <v>2487287.8444084278</v>
      </c>
      <c r="Y201" s="361"/>
      <c r="Z201" s="364"/>
      <c r="AA201" s="367"/>
      <c r="AB201"/>
      <c r="AC201"/>
      <c r="AD201"/>
      <c r="AE201"/>
      <c r="AF201"/>
      <c r="AG201"/>
      <c r="AH201"/>
      <c r="AI201"/>
      <c r="AJ201"/>
      <c r="AK201"/>
      <c r="AL201"/>
      <c r="AM201"/>
      <c r="AN201"/>
      <c r="AO201"/>
      <c r="AP201"/>
      <c r="AQ201"/>
      <c r="AR201"/>
      <c r="AS201"/>
      <c r="AT201"/>
      <c r="AU201"/>
      <c r="AV201"/>
      <c r="AW201"/>
      <c r="AX201"/>
    </row>
    <row r="202" spans="17:50" ht="12.75" customHeight="1">
      <c r="Q202" s="668"/>
      <c r="R202" s="973" t="s">
        <v>308</v>
      </c>
      <c r="S202" s="973"/>
      <c r="T202" s="973"/>
      <c r="U202" s="593">
        <f>U195</f>
        <v>58291.200000000004</v>
      </c>
      <c r="V202" s="593">
        <f>V195+V196</f>
        <v>30317430.508474577</v>
      </c>
      <c r="W202" s="593">
        <f>W195+W196</f>
        <v>30267847.933884297</v>
      </c>
      <c r="X202" s="593">
        <f>X195+X196</f>
        <v>29847454.132901136</v>
      </c>
      <c r="Y202" s="361"/>
      <c r="Z202" s="364"/>
      <c r="AA202" s="367"/>
      <c r="AB202"/>
      <c r="AC202"/>
      <c r="AD202"/>
      <c r="AE202"/>
      <c r="AF202"/>
      <c r="AG202"/>
      <c r="AH202"/>
      <c r="AI202"/>
      <c r="AJ202"/>
      <c r="AK202"/>
      <c r="AL202"/>
      <c r="AM202"/>
      <c r="AN202"/>
      <c r="AO202"/>
      <c r="AP202"/>
      <c r="AQ202"/>
      <c r="AR202"/>
      <c r="AS202"/>
      <c r="AT202"/>
      <c r="AU202"/>
      <c r="AV202"/>
      <c r="AW202"/>
      <c r="AX202"/>
    </row>
    <row r="203" spans="17:50" ht="12.75" customHeight="1">
      <c r="Q203" s="668"/>
      <c r="R203" s="575"/>
      <c r="S203" s="575"/>
      <c r="T203" s="575"/>
      <c r="U203" s="382"/>
      <c r="V203" s="382"/>
      <c r="W203" s="382"/>
      <c r="X203" s="382"/>
      <c r="Y203" s="364"/>
      <c r="Z203" s="364"/>
      <c r="AA203" s="367"/>
      <c r="AB203"/>
      <c r="AC203"/>
      <c r="AD203"/>
      <c r="AE203"/>
      <c r="AF203"/>
      <c r="AG203"/>
      <c r="AH203"/>
      <c r="AI203"/>
      <c r="AJ203"/>
      <c r="AK203"/>
      <c r="AL203"/>
      <c r="AM203"/>
      <c r="AN203"/>
      <c r="AO203"/>
      <c r="AP203"/>
      <c r="AQ203"/>
      <c r="AR203"/>
      <c r="AS203"/>
      <c r="AT203"/>
      <c r="AU203"/>
      <c r="AV203"/>
      <c r="AW203"/>
      <c r="AX203"/>
    </row>
    <row r="204" spans="17:50" ht="12.75" customHeight="1">
      <c r="Q204" s="668"/>
      <c r="R204" s="974" t="s">
        <v>775</v>
      </c>
      <c r="S204" s="974"/>
      <c r="T204" s="974"/>
      <c r="U204" s="974"/>
      <c r="V204" s="974"/>
      <c r="W204" s="974"/>
      <c r="X204" s="974"/>
      <c r="Y204" s="974"/>
      <c r="Z204" s="364"/>
      <c r="AA204" s="367"/>
      <c r="AB204"/>
      <c r="AC204"/>
      <c r="AD204"/>
      <c r="AE204"/>
      <c r="AF204"/>
      <c r="AG204"/>
      <c r="AH204"/>
      <c r="AI204"/>
      <c r="AJ204"/>
      <c r="AK204"/>
      <c r="AL204"/>
      <c r="AM204"/>
      <c r="AN204"/>
      <c r="AO204"/>
      <c r="AP204"/>
      <c r="AQ204"/>
      <c r="AR204"/>
      <c r="AS204"/>
      <c r="AT204"/>
      <c r="AU204"/>
      <c r="AV204"/>
      <c r="AW204"/>
      <c r="AX204"/>
    </row>
    <row r="205" spans="17:50" ht="12.75" customHeight="1">
      <c r="Q205" s="668"/>
      <c r="R205" s="974"/>
      <c r="S205" s="974"/>
      <c r="T205" s="974"/>
      <c r="U205" s="974"/>
      <c r="V205" s="974"/>
      <c r="W205" s="974"/>
      <c r="X205" s="974"/>
      <c r="Y205" s="974"/>
      <c r="Z205" s="576"/>
      <c r="AA205" s="367"/>
      <c r="AB205"/>
      <c r="AC205"/>
      <c r="AD205"/>
      <c r="AE205"/>
      <c r="AF205"/>
      <c r="AG205"/>
      <c r="AH205"/>
      <c r="AI205"/>
      <c r="AJ205"/>
      <c r="AK205"/>
      <c r="AL205"/>
      <c r="AM205"/>
      <c r="AN205"/>
      <c r="AO205"/>
      <c r="AP205"/>
      <c r="AQ205"/>
      <c r="AR205"/>
      <c r="AS205"/>
      <c r="AT205"/>
      <c r="AU205"/>
      <c r="AV205"/>
      <c r="AW205"/>
      <c r="AX205"/>
    </row>
    <row r="206" spans="17:50" ht="12.75" customHeight="1">
      <c r="Q206" s="668"/>
      <c r="R206" s="974"/>
      <c r="S206" s="974"/>
      <c r="T206" s="974"/>
      <c r="U206" s="974"/>
      <c r="V206" s="974"/>
      <c r="W206" s="974"/>
      <c r="X206" s="974"/>
      <c r="Y206" s="974"/>
      <c r="Z206" s="576"/>
      <c r="AA206" s="367"/>
      <c r="AB206"/>
      <c r="AC206"/>
      <c r="AD206"/>
      <c r="AE206"/>
      <c r="AF206"/>
      <c r="AG206"/>
      <c r="AH206"/>
      <c r="AI206"/>
      <c r="AJ206"/>
      <c r="AK206"/>
      <c r="AL206"/>
      <c r="AM206"/>
      <c r="AN206"/>
      <c r="AO206"/>
      <c r="AP206"/>
      <c r="AQ206"/>
      <c r="AR206"/>
      <c r="AS206"/>
      <c r="AT206"/>
      <c r="AU206"/>
      <c r="AV206"/>
      <c r="AW206"/>
      <c r="AX206"/>
    </row>
    <row r="207" spans="17:50" ht="12.75" customHeight="1">
      <c r="Q207" s="668"/>
      <c r="R207" s="974"/>
      <c r="S207" s="974"/>
      <c r="T207" s="974"/>
      <c r="U207" s="974"/>
      <c r="V207" s="974"/>
      <c r="W207" s="974"/>
      <c r="X207" s="974"/>
      <c r="Y207" s="974"/>
      <c r="Z207" s="576"/>
      <c r="AA207" s="367"/>
      <c r="AB207"/>
      <c r="AC207"/>
      <c r="AD207"/>
      <c r="AE207"/>
      <c r="AF207"/>
      <c r="AG207"/>
      <c r="AH207"/>
      <c r="AI207"/>
      <c r="AJ207"/>
      <c r="AK207"/>
      <c r="AL207"/>
      <c r="AM207"/>
      <c r="AN207"/>
      <c r="AO207"/>
      <c r="AP207"/>
      <c r="AQ207"/>
      <c r="AR207"/>
      <c r="AS207"/>
      <c r="AT207"/>
      <c r="AU207"/>
      <c r="AV207"/>
      <c r="AW207"/>
      <c r="AX207"/>
    </row>
    <row r="208" spans="17:50" ht="12.75" customHeight="1">
      <c r="Q208" s="668"/>
      <c r="R208" s="974"/>
      <c r="S208" s="974"/>
      <c r="T208" s="974"/>
      <c r="U208" s="974"/>
      <c r="V208" s="974"/>
      <c r="W208" s="974"/>
      <c r="X208" s="974"/>
      <c r="Y208" s="974"/>
      <c r="Z208" s="576"/>
      <c r="AA208" s="367"/>
      <c r="AB208"/>
      <c r="AC208"/>
      <c r="AD208"/>
      <c r="AE208"/>
      <c r="AF208"/>
      <c r="AG208"/>
      <c r="AH208"/>
      <c r="AI208"/>
      <c r="AJ208"/>
      <c r="AK208"/>
      <c r="AL208"/>
      <c r="AM208"/>
      <c r="AN208"/>
      <c r="AO208"/>
      <c r="AP208"/>
      <c r="AQ208"/>
      <c r="AR208"/>
      <c r="AS208"/>
      <c r="AT208"/>
      <c r="AU208"/>
      <c r="AV208"/>
      <c r="AW208"/>
      <c r="AX208"/>
    </row>
    <row r="209" spans="17:50" ht="12.75" customHeight="1">
      <c r="Q209" s="668"/>
      <c r="R209" s="364"/>
      <c r="S209" s="375"/>
      <c r="T209" s="375"/>
      <c r="U209" s="577"/>
      <c r="V209" s="577"/>
      <c r="W209" s="577"/>
      <c r="X209" s="577"/>
      <c r="Y209" s="551"/>
      <c r="Z209" s="363"/>
      <c r="AA209" s="367"/>
      <c r="AB209"/>
      <c r="AC209"/>
      <c r="AD209"/>
      <c r="AE209"/>
      <c r="AF209"/>
      <c r="AG209"/>
      <c r="AH209"/>
      <c r="AI209"/>
      <c r="AJ209"/>
      <c r="AK209"/>
      <c r="AL209"/>
      <c r="AM209"/>
      <c r="AN209"/>
      <c r="AO209"/>
      <c r="AP209"/>
      <c r="AQ209"/>
      <c r="AR209"/>
      <c r="AS209"/>
      <c r="AT209"/>
      <c r="AU209"/>
      <c r="AV209"/>
      <c r="AW209"/>
      <c r="AX209"/>
    </row>
    <row r="210" spans="17:50" ht="12.75" customHeight="1">
      <c r="Q210" s="668"/>
      <c r="R210" s="975" t="s">
        <v>667</v>
      </c>
      <c r="S210" s="976"/>
      <c r="T210" s="976"/>
      <c r="U210" s="976"/>
      <c r="V210" s="976"/>
      <c r="W210" s="976"/>
      <c r="X210" s="979">
        <f>10*V25</f>
        <v>76800</v>
      </c>
      <c r="Y210" s="935" t="s">
        <v>668</v>
      </c>
      <c r="Z210" s="364"/>
      <c r="AA210" s="367"/>
      <c r="AB210"/>
      <c r="AC210"/>
      <c r="AD210"/>
      <c r="AE210"/>
      <c r="AF210"/>
      <c r="AG210"/>
      <c r="AH210"/>
      <c r="AI210"/>
      <c r="AJ210"/>
      <c r="AK210"/>
      <c r="AL210"/>
      <c r="AM210"/>
      <c r="AN210"/>
      <c r="AO210"/>
      <c r="AP210"/>
      <c r="AQ210"/>
      <c r="AR210"/>
      <c r="AS210"/>
      <c r="AT210"/>
      <c r="AU210"/>
      <c r="AV210"/>
      <c r="AW210"/>
      <c r="AX210"/>
    </row>
    <row r="211" spans="17:50" ht="12.75" customHeight="1">
      <c r="Q211" s="668"/>
      <c r="R211" s="977"/>
      <c r="S211" s="978"/>
      <c r="T211" s="978"/>
      <c r="U211" s="978"/>
      <c r="V211" s="978"/>
      <c r="W211" s="978"/>
      <c r="X211" s="979"/>
      <c r="Y211" s="935"/>
      <c r="Z211" s="364"/>
      <c r="AA211" s="367"/>
      <c r="AB211"/>
      <c r="AC211"/>
      <c r="AD211"/>
      <c r="AE211"/>
      <c r="AF211"/>
      <c r="AG211"/>
      <c r="AH211"/>
      <c r="AI211"/>
      <c r="AJ211"/>
      <c r="AK211"/>
      <c r="AL211"/>
      <c r="AM211"/>
      <c r="AN211"/>
      <c r="AO211"/>
      <c r="AP211"/>
      <c r="AQ211"/>
      <c r="AR211"/>
      <c r="AS211"/>
      <c r="AT211"/>
      <c r="AU211"/>
      <c r="AV211"/>
      <c r="AW211"/>
      <c r="AX211"/>
    </row>
    <row r="212" spans="17:50" ht="12.75" customHeight="1">
      <c r="Q212" s="668"/>
      <c r="R212" s="578"/>
      <c r="S212" s="578"/>
      <c r="T212" s="578"/>
      <c r="U212" s="578"/>
      <c r="V212" s="578"/>
      <c r="W212" s="578"/>
      <c r="X212" s="578"/>
      <c r="Y212" s="579"/>
      <c r="Z212" s="551"/>
      <c r="AA212" s="367"/>
      <c r="AB212"/>
      <c r="AC212"/>
      <c r="AD212"/>
      <c r="AE212"/>
      <c r="AF212"/>
      <c r="AG212"/>
      <c r="AH212"/>
      <c r="AI212"/>
      <c r="AJ212"/>
      <c r="AK212"/>
      <c r="AL212"/>
      <c r="AM212"/>
      <c r="AN212"/>
      <c r="AO212"/>
      <c r="AP212"/>
      <c r="AQ212"/>
      <c r="AR212"/>
      <c r="AS212"/>
      <c r="AT212"/>
      <c r="AU212"/>
      <c r="AV212"/>
      <c r="AW212"/>
      <c r="AX212"/>
    </row>
    <row r="213" spans="17:50" ht="12.75" customHeight="1">
      <c r="Q213" s="668"/>
      <c r="R213" s="937" t="s">
        <v>678</v>
      </c>
      <c r="S213" s="937"/>
      <c r="T213" s="937"/>
      <c r="U213" s="937"/>
      <c r="V213" s="949" t="s">
        <v>500</v>
      </c>
      <c r="W213" s="938" t="s">
        <v>22</v>
      </c>
      <c r="X213" s="940" t="s">
        <v>579</v>
      </c>
      <c r="Y213" s="942" t="s">
        <v>21</v>
      </c>
      <c r="Z213" s="361"/>
      <c r="AA213" s="367"/>
      <c r="AB213"/>
      <c r="AC213"/>
      <c r="AD213"/>
      <c r="AE213"/>
      <c r="AF213"/>
      <c r="AG213"/>
      <c r="AH213"/>
      <c r="AI213"/>
      <c r="AJ213"/>
      <c r="AK213"/>
      <c r="AL213"/>
      <c r="AM213"/>
      <c r="AN213"/>
      <c r="AO213"/>
      <c r="AP213"/>
      <c r="AQ213"/>
      <c r="AR213"/>
      <c r="AS213"/>
      <c r="AT213"/>
      <c r="AU213"/>
      <c r="AV213"/>
      <c r="AW213"/>
      <c r="AX213"/>
    </row>
    <row r="214" spans="17:50" ht="12.75" customHeight="1">
      <c r="Q214" s="668"/>
      <c r="R214" s="937"/>
      <c r="S214" s="937"/>
      <c r="T214" s="937"/>
      <c r="U214" s="937"/>
      <c r="V214" s="950"/>
      <c r="W214" s="939"/>
      <c r="X214" s="941"/>
      <c r="Y214" s="943"/>
      <c r="Z214" s="361"/>
      <c r="AA214" s="367"/>
      <c r="AB214"/>
      <c r="AC214"/>
      <c r="AD214"/>
      <c r="AE214"/>
      <c r="AF214"/>
      <c r="AG214"/>
      <c r="AH214"/>
      <c r="AI214"/>
      <c r="AJ214"/>
      <c r="AK214"/>
      <c r="AL214"/>
      <c r="AM214"/>
      <c r="AN214"/>
      <c r="AO214"/>
      <c r="AP214"/>
      <c r="AQ214"/>
      <c r="AR214"/>
      <c r="AS214"/>
      <c r="AT214"/>
      <c r="AU214"/>
      <c r="AV214"/>
      <c r="AW214"/>
      <c r="AX214"/>
    </row>
    <row r="215" spans="17:50" ht="12.75" customHeight="1">
      <c r="Q215" s="668"/>
      <c r="R215" s="968" t="s">
        <v>533</v>
      </c>
      <c r="S215" s="968"/>
      <c r="T215" s="968"/>
      <c r="U215" s="968"/>
      <c r="V215" s="580">
        <v>0.107</v>
      </c>
      <c r="W215" s="581">
        <f>VLOOKUP($V$5,'Lookup Energy kWhm'!$B$8:$E$208,3)</f>
        <v>0.12340000000000007</v>
      </c>
      <c r="X215" s="581">
        <f>VLOOKUP($V$5,'Lookup Energy kWhm'!$B$8:$E$208,4)</f>
        <v>0.15129999999999996</v>
      </c>
      <c r="Y215" s="581">
        <f>VLOOKUP($V$5,'Lookup Energy kWhm'!$B$8:$E$208,2)</f>
        <v>9.8199999999999871E-2</v>
      </c>
      <c r="Z215" s="361"/>
      <c r="AA215" s="367"/>
      <c r="AB215"/>
      <c r="AC215"/>
      <c r="AD215"/>
      <c r="AE215"/>
      <c r="AF215"/>
      <c r="AG215"/>
      <c r="AH215"/>
      <c r="AI215"/>
      <c r="AJ215"/>
      <c r="AK215"/>
      <c r="AL215"/>
      <c r="AM215"/>
      <c r="AN215"/>
      <c r="AO215"/>
      <c r="AP215"/>
      <c r="AQ215"/>
      <c r="AR215"/>
      <c r="AS215"/>
      <c r="AT215"/>
      <c r="AU215"/>
      <c r="AV215"/>
      <c r="AW215"/>
      <c r="AX215"/>
    </row>
    <row r="216" spans="17:50" ht="12.75" customHeight="1">
      <c r="Q216" s="668"/>
      <c r="R216" s="969" t="s">
        <v>31</v>
      </c>
      <c r="S216" s="969"/>
      <c r="T216" s="969"/>
      <c r="U216" s="969"/>
      <c r="V216" s="556">
        <f t="shared" ref="V216:W219" si="2">X216</f>
        <v>1.2</v>
      </c>
      <c r="W216" s="556">
        <f t="shared" si="2"/>
        <v>1.2</v>
      </c>
      <c r="X216" s="556">
        <f>W216</f>
        <v>1.2</v>
      </c>
      <c r="Y216" s="556">
        <f>V20</f>
        <v>1.2</v>
      </c>
      <c r="Z216" s="361"/>
      <c r="AA216" s="367"/>
      <c r="AB216"/>
      <c r="AC216"/>
      <c r="AD216"/>
      <c r="AE216"/>
      <c r="AF216"/>
      <c r="AG216"/>
      <c r="AH216"/>
      <c r="AI216"/>
      <c r="AJ216"/>
      <c r="AK216"/>
      <c r="AL216"/>
      <c r="AM216"/>
      <c r="AN216"/>
      <c r="AO216"/>
      <c r="AP216"/>
      <c r="AQ216"/>
      <c r="AR216"/>
      <c r="AS216"/>
      <c r="AT216"/>
      <c r="AU216"/>
      <c r="AV216"/>
      <c r="AW216"/>
      <c r="AX216"/>
    </row>
    <row r="217" spans="17:50" ht="12.75" customHeight="1">
      <c r="Q217" s="668"/>
      <c r="R217" s="969" t="s">
        <v>314</v>
      </c>
      <c r="S217" s="969"/>
      <c r="T217" s="969"/>
      <c r="U217" s="969"/>
      <c r="V217" s="556">
        <f t="shared" si="2"/>
        <v>160</v>
      </c>
      <c r="W217" s="556">
        <f t="shared" si="2"/>
        <v>160</v>
      </c>
      <c r="X217" s="556">
        <f>W217</f>
        <v>160</v>
      </c>
      <c r="Y217" s="556">
        <f>V19</f>
        <v>160</v>
      </c>
      <c r="Z217" s="361"/>
      <c r="AA217" s="367"/>
      <c r="AB217"/>
      <c r="AC217"/>
      <c r="AD217"/>
      <c r="AE217"/>
      <c r="AF217"/>
      <c r="AG217"/>
      <c r="AH217"/>
      <c r="AI217"/>
      <c r="AJ217"/>
      <c r="AK217"/>
      <c r="AL217"/>
      <c r="AM217"/>
      <c r="AN217"/>
      <c r="AO217"/>
      <c r="AP217"/>
      <c r="AQ217"/>
      <c r="AR217"/>
      <c r="AS217"/>
      <c r="AT217"/>
      <c r="AU217"/>
      <c r="AV217"/>
      <c r="AW217"/>
      <c r="AX217"/>
    </row>
    <row r="218" spans="17:50" ht="12.75" customHeight="1">
      <c r="Q218" s="668"/>
      <c r="R218" s="969" t="s">
        <v>20</v>
      </c>
      <c r="S218" s="969"/>
      <c r="T218" s="969"/>
      <c r="U218" s="969"/>
      <c r="V218" s="556">
        <f t="shared" si="2"/>
        <v>40</v>
      </c>
      <c r="W218" s="556">
        <f t="shared" si="2"/>
        <v>40</v>
      </c>
      <c r="X218" s="556">
        <f>W218</f>
        <v>40</v>
      </c>
      <c r="Y218" s="556">
        <f>V22</f>
        <v>40</v>
      </c>
      <c r="Z218" s="361"/>
      <c r="AA218" s="367"/>
      <c r="AB218"/>
      <c r="AC218"/>
      <c r="AD218"/>
      <c r="AE218"/>
      <c r="AF218"/>
      <c r="AG218"/>
      <c r="AH218"/>
      <c r="AI218"/>
      <c r="AJ218"/>
      <c r="AK218"/>
      <c r="AL218"/>
      <c r="AM218"/>
      <c r="AN218"/>
      <c r="AO218"/>
      <c r="AP218"/>
      <c r="AQ218"/>
      <c r="AR218"/>
      <c r="AS218"/>
      <c r="AT218"/>
      <c r="AU218"/>
      <c r="AV218"/>
      <c r="AW218"/>
      <c r="AX218"/>
    </row>
    <row r="219" spans="17:50" ht="12.75" customHeight="1">
      <c r="Q219" s="668"/>
      <c r="R219" s="969" t="s">
        <v>310</v>
      </c>
      <c r="S219" s="969"/>
      <c r="T219" s="969"/>
      <c r="U219" s="969"/>
      <c r="V219" s="556">
        <f t="shared" si="2"/>
        <v>160</v>
      </c>
      <c r="W219" s="556">
        <f t="shared" si="2"/>
        <v>160</v>
      </c>
      <c r="X219" s="556">
        <f>W219</f>
        <v>160</v>
      </c>
      <c r="Y219" s="556">
        <f>V23</f>
        <v>160</v>
      </c>
      <c r="Z219" s="361"/>
      <c r="AA219" s="367"/>
      <c r="AB219"/>
      <c r="AC219"/>
      <c r="AD219"/>
      <c r="AE219"/>
      <c r="AF219"/>
      <c r="AG219"/>
      <c r="AH219"/>
      <c r="AI219"/>
      <c r="AJ219"/>
      <c r="AK219"/>
      <c r="AL219"/>
      <c r="AM219"/>
      <c r="AN219"/>
      <c r="AO219"/>
      <c r="AP219"/>
      <c r="AQ219"/>
      <c r="AR219"/>
      <c r="AS219"/>
      <c r="AT219"/>
      <c r="AU219"/>
      <c r="AV219"/>
      <c r="AW219"/>
      <c r="AX219"/>
    </row>
    <row r="220" spans="17:50" ht="12.75" customHeight="1">
      <c r="Q220" s="668"/>
      <c r="R220" s="968" t="s">
        <v>543</v>
      </c>
      <c r="S220" s="968"/>
      <c r="T220" s="968"/>
      <c r="U220" s="968"/>
      <c r="V220" s="582">
        <f>V215*V216*V217*V218</f>
        <v>821.75999999999988</v>
      </c>
      <c r="W220" s="582">
        <f>W215*W216*W217*W218</f>
        <v>947.71200000000044</v>
      </c>
      <c r="X220" s="582">
        <f>X215*X216*X217*X218</f>
        <v>1161.9839999999997</v>
      </c>
      <c r="Y220" s="582">
        <f>Y215*Y216*Y217*Y218</f>
        <v>754.17599999999891</v>
      </c>
      <c r="Z220" s="361"/>
      <c r="AA220" s="367"/>
      <c r="AB220"/>
      <c r="AC220"/>
      <c r="AD220"/>
      <c r="AE220"/>
      <c r="AF220"/>
      <c r="AG220"/>
      <c r="AH220"/>
      <c r="AI220"/>
      <c r="AJ220"/>
      <c r="AK220"/>
      <c r="AL220"/>
      <c r="AM220"/>
      <c r="AN220"/>
      <c r="AO220"/>
      <c r="AP220"/>
      <c r="AQ220"/>
      <c r="AR220"/>
      <c r="AS220"/>
      <c r="AT220"/>
      <c r="AU220"/>
      <c r="AV220"/>
      <c r="AW220"/>
      <c r="AX220"/>
    </row>
    <row r="221" spans="17:50" ht="12.75" customHeight="1">
      <c r="Q221" s="668"/>
      <c r="R221" s="968" t="s">
        <v>542</v>
      </c>
      <c r="S221" s="968"/>
      <c r="T221" s="968"/>
      <c r="U221" s="968"/>
      <c r="V221" s="583">
        <f>V220/V219</f>
        <v>5.1359999999999992</v>
      </c>
      <c r="W221" s="583">
        <f>W220/W219</f>
        <v>5.9232000000000031</v>
      </c>
      <c r="X221" s="583">
        <f>X220/X219</f>
        <v>7.2623999999999977</v>
      </c>
      <c r="Y221" s="583">
        <f>Y220/Y219</f>
        <v>4.7135999999999934</v>
      </c>
      <c r="Z221" s="361"/>
      <c r="AA221" s="367"/>
      <c r="AB221"/>
      <c r="AC221"/>
      <c r="AD221"/>
      <c r="AE221"/>
      <c r="AF221"/>
      <c r="AG221"/>
      <c r="AH221"/>
      <c r="AI221"/>
      <c r="AJ221"/>
      <c r="AK221"/>
      <c r="AL221"/>
      <c r="AM221"/>
      <c r="AN221"/>
      <c r="AO221"/>
      <c r="AP221"/>
      <c r="AQ221"/>
      <c r="AR221"/>
      <c r="AS221"/>
      <c r="AT221"/>
      <c r="AU221"/>
      <c r="AV221"/>
      <c r="AW221"/>
      <c r="AX221"/>
    </row>
    <row r="222" spans="17:50" ht="12.75" customHeight="1">
      <c r="Q222" s="668"/>
      <c r="R222" s="968" t="s">
        <v>538</v>
      </c>
      <c r="S222" s="968"/>
      <c r="T222" s="968"/>
      <c r="U222" s="968"/>
      <c r="V222" s="537">
        <f>U62</f>
        <v>2.6666666666666665</v>
      </c>
      <c r="W222" s="537">
        <f>V62</f>
        <v>1.6949152542372867</v>
      </c>
      <c r="X222" s="537">
        <f>W62</f>
        <v>1.6528925619834685</v>
      </c>
      <c r="Y222" s="537">
        <f>X62</f>
        <v>1.2965964343598047</v>
      </c>
      <c r="Z222" s="361"/>
      <c r="AA222" s="367"/>
      <c r="AB222"/>
      <c r="AC222"/>
      <c r="AD222"/>
      <c r="AE222"/>
      <c r="AF222"/>
      <c r="AG222"/>
      <c r="AH222"/>
      <c r="AI222"/>
      <c r="AJ222"/>
      <c r="AK222"/>
      <c r="AL222"/>
      <c r="AM222"/>
      <c r="AN222"/>
      <c r="AO222"/>
      <c r="AP222"/>
      <c r="AQ222"/>
      <c r="AR222"/>
      <c r="AS222"/>
      <c r="AT222"/>
      <c r="AU222"/>
      <c r="AV222"/>
      <c r="AW222"/>
      <c r="AX222"/>
    </row>
    <row r="223" spans="17:50" ht="12.75" customHeight="1">
      <c r="Q223" s="668"/>
      <c r="R223" s="968" t="s">
        <v>546</v>
      </c>
      <c r="S223" s="968"/>
      <c r="T223" s="968"/>
      <c r="U223" s="968"/>
      <c r="V223" s="584">
        <f>2.2*V222</f>
        <v>5.8666666666666671</v>
      </c>
      <c r="W223" s="584">
        <f>W222/W215</f>
        <v>13.735131719913175</v>
      </c>
      <c r="X223" s="584">
        <f>X222/X215</f>
        <v>10.924603846553</v>
      </c>
      <c r="Y223" s="584">
        <f>Y222/Y215</f>
        <v>13.203629677798435</v>
      </c>
      <c r="Z223" s="361"/>
      <c r="AA223" s="367"/>
      <c r="AB223"/>
      <c r="AC223"/>
      <c r="AD223"/>
      <c r="AE223"/>
      <c r="AF223"/>
      <c r="AG223"/>
      <c r="AH223"/>
      <c r="AI223"/>
      <c r="AJ223"/>
      <c r="AK223"/>
      <c r="AL223"/>
      <c r="AM223"/>
      <c r="AN223"/>
      <c r="AO223"/>
      <c r="AP223"/>
      <c r="AQ223"/>
      <c r="AR223"/>
      <c r="AS223"/>
      <c r="AT223"/>
      <c r="AU223"/>
      <c r="AV223"/>
      <c r="AW223"/>
      <c r="AX223"/>
    </row>
    <row r="224" spans="17:50" ht="12.75" customHeight="1">
      <c r="Q224" s="668"/>
      <c r="R224" s="968" t="s">
        <v>544</v>
      </c>
      <c r="S224" s="968"/>
      <c r="T224" s="968"/>
      <c r="U224" s="968"/>
      <c r="V224" s="582">
        <f>V219*V223</f>
        <v>938.66666666666674</v>
      </c>
      <c r="W224" s="582">
        <f>W219*W223</f>
        <v>2197.6210751861081</v>
      </c>
      <c r="X224" s="582">
        <f>X219*X223</f>
        <v>1747.9366154484799</v>
      </c>
      <c r="Y224" s="674">
        <f>Y219*Y223</f>
        <v>2112.5807484477496</v>
      </c>
      <c r="Z224" s="361"/>
      <c r="AA224" s="367"/>
      <c r="AB224"/>
      <c r="AC224"/>
      <c r="AD224"/>
      <c r="AE224"/>
      <c r="AF224"/>
      <c r="AG224"/>
      <c r="AH224"/>
      <c r="AI224"/>
      <c r="AJ224"/>
      <c r="AK224"/>
      <c r="AL224"/>
      <c r="AM224"/>
      <c r="AN224"/>
      <c r="AO224"/>
      <c r="AP224"/>
      <c r="AQ224"/>
      <c r="AR224"/>
      <c r="AS224"/>
      <c r="AT224"/>
      <c r="AU224"/>
      <c r="AV224"/>
      <c r="AW224"/>
      <c r="AX224"/>
    </row>
    <row r="225" spans="17:50" ht="12.75" customHeight="1">
      <c r="Q225" s="668"/>
      <c r="R225" s="969" t="s">
        <v>535</v>
      </c>
      <c r="S225" s="969"/>
      <c r="T225" s="969"/>
      <c r="U225" s="969"/>
      <c r="V225" s="556">
        <f>V217/V222</f>
        <v>60</v>
      </c>
      <c r="W225" s="556">
        <f>W217/W222</f>
        <v>94.400000000000077</v>
      </c>
      <c r="X225" s="556">
        <f>X217/X222</f>
        <v>96.800000000000153</v>
      </c>
      <c r="Y225" s="556">
        <f>Y217/Y222</f>
        <v>123.40000000000008</v>
      </c>
      <c r="Z225" s="361"/>
      <c r="AA225" s="367"/>
      <c r="AB225"/>
      <c r="AC225"/>
      <c r="AD225"/>
      <c r="AE225"/>
      <c r="AF225"/>
      <c r="AG225"/>
      <c r="AH225"/>
      <c r="AI225"/>
      <c r="AJ225"/>
      <c r="AK225"/>
      <c r="AL225"/>
      <c r="AM225"/>
      <c r="AN225"/>
      <c r="AO225"/>
      <c r="AP225"/>
      <c r="AQ225"/>
      <c r="AR225"/>
      <c r="AS225"/>
      <c r="AT225"/>
      <c r="AU225"/>
      <c r="AV225"/>
      <c r="AW225"/>
      <c r="AX225"/>
    </row>
    <row r="226" spans="17:50" ht="12.75" customHeight="1">
      <c r="Q226" s="668"/>
      <c r="R226" s="969" t="s">
        <v>536</v>
      </c>
      <c r="S226" s="969"/>
      <c r="T226" s="969"/>
      <c r="U226" s="969"/>
      <c r="V226" s="675">
        <f>V216*V225</f>
        <v>72</v>
      </c>
      <c r="W226" s="675">
        <f>W216*W225</f>
        <v>113.28000000000009</v>
      </c>
      <c r="X226" s="675">
        <f>X216*X225</f>
        <v>116.16000000000018</v>
      </c>
      <c r="Y226" s="675">
        <f>Y216*Y225</f>
        <v>148.0800000000001</v>
      </c>
      <c r="Z226" s="361"/>
      <c r="AA226" s="367"/>
      <c r="AB226"/>
      <c r="AC226"/>
      <c r="AD226"/>
      <c r="AE226"/>
      <c r="AF226"/>
      <c r="AG226"/>
      <c r="AH226"/>
      <c r="AI226"/>
      <c r="AJ226"/>
      <c r="AK226"/>
      <c r="AL226"/>
      <c r="AM226"/>
      <c r="AN226"/>
      <c r="AO226"/>
      <c r="AP226"/>
      <c r="AQ226"/>
      <c r="AR226"/>
      <c r="AS226"/>
      <c r="AT226"/>
      <c r="AU226"/>
      <c r="AV226"/>
      <c r="AW226"/>
      <c r="AX226"/>
    </row>
    <row r="227" spans="17:50" ht="12.75" customHeight="1">
      <c r="Q227" s="668"/>
      <c r="R227" s="968" t="s">
        <v>534</v>
      </c>
      <c r="S227" s="968"/>
      <c r="T227" s="968"/>
      <c r="U227" s="968"/>
      <c r="V227" s="583">
        <f>U56</f>
        <v>4</v>
      </c>
      <c r="W227" s="583">
        <f>V56</f>
        <v>2.5423728813559299</v>
      </c>
      <c r="X227" s="583">
        <f>W56</f>
        <v>2.4793388429752028</v>
      </c>
      <c r="Y227" s="583">
        <f>X56</f>
        <v>1.9448946515397068</v>
      </c>
      <c r="Z227" s="361"/>
      <c r="AA227" s="367"/>
      <c r="AB227"/>
      <c r="AC227"/>
      <c r="AD227"/>
      <c r="AE227"/>
      <c r="AF227"/>
      <c r="AG227"/>
      <c r="AH227"/>
      <c r="AI227"/>
      <c r="AJ227"/>
      <c r="AK227"/>
      <c r="AL227"/>
      <c r="AM227"/>
      <c r="AN227"/>
      <c r="AO227"/>
      <c r="AP227"/>
      <c r="AQ227"/>
      <c r="AR227"/>
      <c r="AS227"/>
      <c r="AT227"/>
      <c r="AU227"/>
      <c r="AV227"/>
      <c r="AW227"/>
      <c r="AX227"/>
    </row>
    <row r="228" spans="17:50" ht="12.75" customHeight="1">
      <c r="Q228" s="668"/>
      <c r="R228" s="968" t="s">
        <v>537</v>
      </c>
      <c r="S228" s="968"/>
      <c r="T228" s="968"/>
      <c r="U228" s="968"/>
      <c r="V228" s="584">
        <f>V225*V227</f>
        <v>240</v>
      </c>
      <c r="W228" s="584">
        <f>W225*W227</f>
        <v>239.99999999999997</v>
      </c>
      <c r="X228" s="584">
        <f>X225*X227</f>
        <v>240</v>
      </c>
      <c r="Y228" s="584">
        <f>Y225*Y227</f>
        <v>239.99999999999997</v>
      </c>
      <c r="Z228" s="361"/>
      <c r="AA228" s="367"/>
      <c r="AB228"/>
      <c r="AC228"/>
      <c r="AD228"/>
      <c r="AE228"/>
      <c r="AF228"/>
      <c r="AG228"/>
      <c r="AH228"/>
      <c r="AI228"/>
      <c r="AJ228"/>
      <c r="AK228"/>
      <c r="AL228"/>
      <c r="AM228"/>
      <c r="AN228"/>
      <c r="AO228"/>
      <c r="AP228"/>
      <c r="AQ228"/>
      <c r="AR228"/>
      <c r="AS228"/>
      <c r="AT228"/>
      <c r="AU228"/>
      <c r="AV228"/>
      <c r="AW228"/>
      <c r="AX228"/>
    </row>
    <row r="229" spans="17:50" ht="12.75" customHeight="1">
      <c r="Q229" s="668"/>
      <c r="R229" s="968" t="s">
        <v>545</v>
      </c>
      <c r="S229" s="968"/>
      <c r="T229" s="968"/>
      <c r="U229" s="968"/>
      <c r="V229" s="585">
        <f>V221/V223</f>
        <v>0.87545454545454526</v>
      </c>
      <c r="W229" s="585">
        <f>W221/W223</f>
        <v>0.4312444992000008</v>
      </c>
      <c r="X229" s="585">
        <f>X221/X223</f>
        <v>0.66477467760000064</v>
      </c>
      <c r="Y229" s="585">
        <f>Y221/Y223</f>
        <v>0.35699274479999926</v>
      </c>
      <c r="Z229" s="361"/>
      <c r="AA229" s="367"/>
      <c r="AB229"/>
      <c r="AC229"/>
      <c r="AD229"/>
      <c r="AE229"/>
      <c r="AF229"/>
      <c r="AG229"/>
      <c r="AH229"/>
      <c r="AI229"/>
      <c r="AJ229"/>
      <c r="AK229"/>
      <c r="AL229"/>
      <c r="AM229"/>
      <c r="AN229"/>
      <c r="AO229"/>
      <c r="AP229"/>
      <c r="AQ229"/>
      <c r="AR229"/>
      <c r="AS229"/>
      <c r="AT229"/>
      <c r="AU229"/>
      <c r="AV229"/>
      <c r="AW229"/>
      <c r="AX229"/>
    </row>
    <row r="230" spans="17:50" ht="12.75" customHeight="1">
      <c r="Q230" s="668"/>
      <c r="R230" s="540" t="s">
        <v>547</v>
      </c>
      <c r="S230" s="540"/>
      <c r="T230" s="540"/>
      <c r="U230" s="540"/>
      <c r="V230" s="585"/>
      <c r="W230" s="586">
        <f>10*W217*W216*W218</f>
        <v>76800</v>
      </c>
      <c r="X230" s="586">
        <f>10*X217*X216*X218</f>
        <v>76800</v>
      </c>
      <c r="Y230" s="586">
        <f>10*Y217*Y216*Y218</f>
        <v>76800</v>
      </c>
      <c r="Z230" s="361"/>
      <c r="AA230" s="367"/>
      <c r="AB230"/>
      <c r="AC230"/>
      <c r="AD230"/>
      <c r="AE230"/>
      <c r="AF230"/>
      <c r="AG230"/>
      <c r="AH230"/>
      <c r="AI230"/>
      <c r="AJ230"/>
      <c r="AK230"/>
      <c r="AL230"/>
      <c r="AM230"/>
      <c r="AN230"/>
      <c r="AO230"/>
      <c r="AP230"/>
      <c r="AQ230"/>
      <c r="AR230"/>
      <c r="AS230"/>
      <c r="AT230"/>
      <c r="AU230"/>
      <c r="AV230"/>
      <c r="AW230"/>
      <c r="AX230"/>
    </row>
    <row r="231" spans="17:50" ht="12.75" customHeight="1">
      <c r="Q231" s="668"/>
      <c r="R231" s="968" t="s">
        <v>548</v>
      </c>
      <c r="S231" s="968"/>
      <c r="T231" s="968"/>
      <c r="U231" s="968"/>
      <c r="V231" s="585">
        <f>V229</f>
        <v>0.87545454545454526</v>
      </c>
      <c r="W231" s="585">
        <f>W220/W230</f>
        <v>1.2340000000000005E-2</v>
      </c>
      <c r="X231" s="585">
        <f>X220/X230</f>
        <v>1.5129999999999996E-2</v>
      </c>
      <c r="Y231" s="585">
        <f>Y220/Y230</f>
        <v>9.819999999999985E-3</v>
      </c>
      <c r="Z231" s="361"/>
      <c r="AA231" s="367"/>
      <c r="AB231"/>
      <c r="AC231"/>
      <c r="AD231"/>
      <c r="AE231"/>
      <c r="AF231"/>
      <c r="AG231"/>
      <c r="AH231"/>
      <c r="AI231"/>
      <c r="AJ231"/>
      <c r="AK231"/>
      <c r="AL231"/>
      <c r="AM231"/>
      <c r="AN231"/>
      <c r="AO231"/>
      <c r="AP231"/>
      <c r="AQ231"/>
      <c r="AR231"/>
      <c r="AS231"/>
      <c r="AT231"/>
      <c r="AU231"/>
      <c r="AV231"/>
      <c r="AW231"/>
      <c r="AX231"/>
    </row>
    <row r="232" spans="17:50" ht="12.75" customHeight="1">
      <c r="Q232" s="668"/>
      <c r="R232" s="587"/>
      <c r="S232" s="587"/>
      <c r="T232" s="587"/>
      <c r="U232" s="587"/>
      <c r="V232" s="588"/>
      <c r="W232" s="588"/>
      <c r="X232" s="588"/>
      <c r="Y232" s="588"/>
      <c r="Z232" s="589"/>
      <c r="AA232" s="367"/>
      <c r="AB232"/>
      <c r="AC232"/>
      <c r="AD232"/>
      <c r="AE232"/>
      <c r="AF232"/>
      <c r="AG232"/>
      <c r="AH232"/>
      <c r="AI232"/>
      <c r="AJ232"/>
      <c r="AK232"/>
      <c r="AL232"/>
      <c r="AM232"/>
      <c r="AN232"/>
      <c r="AO232"/>
      <c r="AP232"/>
      <c r="AQ232"/>
      <c r="AR232"/>
      <c r="AS232"/>
      <c r="AT232"/>
      <c r="AU232"/>
      <c r="AV232"/>
      <c r="AW232"/>
      <c r="AX232"/>
    </row>
    <row r="233" spans="17:50" ht="12.75" customHeight="1">
      <c r="Q233" s="668"/>
      <c r="R233" s="587"/>
      <c r="S233" s="587"/>
      <c r="T233" s="587"/>
      <c r="U233" s="587"/>
      <c r="V233" s="676"/>
      <c r="W233" s="676"/>
      <c r="X233" s="676"/>
      <c r="Y233" s="588"/>
      <c r="Z233" s="364"/>
      <c r="AA233" s="367"/>
      <c r="AB233"/>
      <c r="AC233"/>
      <c r="AD233"/>
      <c r="AE233"/>
      <c r="AF233"/>
      <c r="AG233"/>
      <c r="AH233"/>
      <c r="AI233"/>
      <c r="AJ233"/>
      <c r="AK233"/>
      <c r="AL233"/>
      <c r="AM233"/>
      <c r="AN233"/>
      <c r="AO233"/>
      <c r="AP233"/>
      <c r="AQ233"/>
      <c r="AR233"/>
      <c r="AS233"/>
      <c r="AT233"/>
      <c r="AU233"/>
      <c r="AV233"/>
      <c r="AW233"/>
      <c r="AX233"/>
    </row>
    <row r="234" spans="17:50" ht="12.75" customHeight="1">
      <c r="Q234" s="668" t="s">
        <v>240</v>
      </c>
      <c r="R234" s="364" t="s">
        <v>241</v>
      </c>
      <c r="S234" s="364"/>
      <c r="T234" s="364"/>
      <c r="U234" s="364"/>
      <c r="V234" s="364"/>
      <c r="W234" s="364"/>
      <c r="X234" s="364"/>
      <c r="Y234" s="364"/>
      <c r="Z234" s="364"/>
      <c r="AA234" s="367"/>
      <c r="AB234"/>
      <c r="AC234"/>
      <c r="AD234"/>
      <c r="AE234"/>
      <c r="AF234"/>
      <c r="AG234"/>
      <c r="AH234"/>
      <c r="AI234"/>
      <c r="AJ234"/>
      <c r="AK234"/>
      <c r="AL234"/>
      <c r="AM234"/>
      <c r="AN234"/>
      <c r="AO234"/>
      <c r="AP234"/>
      <c r="AQ234"/>
      <c r="AR234"/>
      <c r="AS234"/>
      <c r="AT234"/>
      <c r="AU234"/>
      <c r="AV234"/>
      <c r="AW234"/>
      <c r="AX234"/>
    </row>
    <row r="235" spans="17:50" ht="12.75" customHeight="1">
      <c r="Q235" s="364"/>
      <c r="R235" s="962" t="s">
        <v>301</v>
      </c>
      <c r="S235" s="963"/>
      <c r="T235" s="964"/>
      <c r="U235" s="949" t="s">
        <v>500</v>
      </c>
      <c r="V235" s="938" t="s">
        <v>22</v>
      </c>
      <c r="W235" s="940" t="s">
        <v>579</v>
      </c>
      <c r="X235" s="942" t="s">
        <v>21</v>
      </c>
      <c r="Y235" s="361"/>
      <c r="Z235" s="364"/>
      <c r="AA235" s="367"/>
      <c r="AB235"/>
      <c r="AC235"/>
      <c r="AD235"/>
      <c r="AE235"/>
      <c r="AF235"/>
      <c r="AG235"/>
      <c r="AH235"/>
      <c r="AI235"/>
      <c r="AJ235"/>
      <c r="AK235"/>
      <c r="AL235"/>
      <c r="AM235"/>
      <c r="AN235"/>
      <c r="AO235"/>
      <c r="AP235"/>
      <c r="AQ235"/>
      <c r="AR235"/>
      <c r="AS235"/>
      <c r="AT235"/>
      <c r="AU235"/>
      <c r="AV235"/>
      <c r="AW235"/>
      <c r="AX235"/>
    </row>
    <row r="236" spans="17:50" ht="12.75" customHeight="1">
      <c r="Q236" s="364"/>
      <c r="R236" s="965"/>
      <c r="S236" s="966"/>
      <c r="T236" s="967"/>
      <c r="U236" s="950"/>
      <c r="V236" s="939"/>
      <c r="W236" s="941"/>
      <c r="X236" s="943"/>
      <c r="Y236" s="361"/>
      <c r="Z236" s="364"/>
      <c r="AA236" s="367"/>
      <c r="AB236"/>
      <c r="AC236"/>
      <c r="AD236"/>
      <c r="AE236"/>
      <c r="AF236"/>
      <c r="AG236"/>
      <c r="AH236"/>
      <c r="AI236"/>
      <c r="AJ236"/>
      <c r="AK236"/>
      <c r="AL236"/>
      <c r="AM236"/>
      <c r="AN236"/>
      <c r="AO236"/>
      <c r="AP236"/>
      <c r="AQ236"/>
      <c r="AR236"/>
      <c r="AS236"/>
      <c r="AT236"/>
      <c r="AU236"/>
      <c r="AV236"/>
      <c r="AW236"/>
      <c r="AX236"/>
    </row>
    <row r="237" spans="17:50" ht="12.75" customHeight="1">
      <c r="Q237" s="364"/>
      <c r="R237" s="931" t="s">
        <v>662</v>
      </c>
      <c r="S237" s="931"/>
      <c r="T237" s="931"/>
      <c r="U237" s="901" t="s">
        <v>427</v>
      </c>
      <c r="V237" s="562">
        <f>VLOOKUP($V$5,'Lookup Air Consumption'!$B$8:$E$208,3)</f>
        <v>41.299999999999983</v>
      </c>
      <c r="W237" s="562">
        <f>VLOOKUP($V$5,'Lookup Air Consumption'!$B$8:$E$208,4)</f>
        <v>53.299999999999983</v>
      </c>
      <c r="X237" s="562">
        <f>VLOOKUP($V$5,'Lookup Air Consumption'!$B$8:$E$208,2)</f>
        <v>43.700000000000102</v>
      </c>
      <c r="Y237" s="361"/>
      <c r="Z237" s="364"/>
      <c r="AA237" s="367"/>
      <c r="AB237"/>
      <c r="AC237"/>
      <c r="AD237"/>
      <c r="AE237"/>
      <c r="AF237"/>
      <c r="AG237"/>
      <c r="AH237"/>
      <c r="AI237"/>
      <c r="AJ237"/>
      <c r="AK237"/>
      <c r="AL237"/>
      <c r="AM237"/>
      <c r="AN237"/>
      <c r="AO237"/>
      <c r="AP237"/>
      <c r="AQ237"/>
      <c r="AR237"/>
      <c r="AS237"/>
      <c r="AT237"/>
      <c r="AU237"/>
      <c r="AV237"/>
      <c r="AW237"/>
      <c r="AX237"/>
    </row>
    <row r="238" spans="17:50" ht="12.75" customHeight="1">
      <c r="Q238" s="364"/>
      <c r="R238" s="931" t="s">
        <v>663</v>
      </c>
      <c r="S238" s="931"/>
      <c r="T238" s="931"/>
      <c r="U238" s="901"/>
      <c r="V238" s="590">
        <f>V237/1000</f>
        <v>4.1299999999999983E-2</v>
      </c>
      <c r="W238" s="590">
        <f>W237/1000</f>
        <v>5.3299999999999986E-2</v>
      </c>
      <c r="X238" s="590">
        <f>X237/1000</f>
        <v>4.37000000000001E-2</v>
      </c>
      <c r="Y238" s="361"/>
      <c r="Z238" s="364"/>
      <c r="AA238" s="367"/>
      <c r="AB238"/>
      <c r="AC238"/>
      <c r="AD238"/>
      <c r="AE238"/>
      <c r="AF238"/>
      <c r="AG238"/>
      <c r="AH238"/>
      <c r="AI238"/>
      <c r="AJ238"/>
      <c r="AK238"/>
      <c r="AL238"/>
      <c r="AM238"/>
      <c r="AN238"/>
      <c r="AO238"/>
      <c r="AP238"/>
      <c r="AQ238"/>
      <c r="AR238"/>
      <c r="AS238"/>
      <c r="AT238"/>
      <c r="AU238"/>
      <c r="AV238"/>
      <c r="AW238"/>
      <c r="AX238"/>
    </row>
    <row r="239" spans="17:50" ht="12.75" customHeight="1">
      <c r="Q239" s="364"/>
      <c r="R239" s="931" t="s">
        <v>664</v>
      </c>
      <c r="S239" s="931"/>
      <c r="T239" s="931"/>
      <c r="U239" s="901"/>
      <c r="V239" s="560">
        <f>V238*35.31467</f>
        <v>1.4584958709999993</v>
      </c>
      <c r="W239" s="560">
        <f>W238*35.31467</f>
        <v>1.8822719109999995</v>
      </c>
      <c r="X239" s="560">
        <f>X238*35.31467</f>
        <v>1.5432510790000036</v>
      </c>
      <c r="Y239" s="361"/>
      <c r="Z239" s="364"/>
      <c r="AA239" s="367"/>
      <c r="AB239"/>
      <c r="AC239"/>
      <c r="AD239"/>
      <c r="AE239"/>
      <c r="AF239"/>
      <c r="AG239"/>
      <c r="AH239"/>
      <c r="AI239"/>
      <c r="AJ239"/>
      <c r="AK239"/>
      <c r="AL239"/>
      <c r="AM239"/>
      <c r="AN239"/>
      <c r="AO239"/>
      <c r="AP239"/>
      <c r="AQ239"/>
      <c r="AR239"/>
      <c r="AS239"/>
      <c r="AT239"/>
      <c r="AU239"/>
      <c r="AV239"/>
      <c r="AW239"/>
      <c r="AX239"/>
    </row>
    <row r="240" spans="17:50" ht="12.75" customHeight="1">
      <c r="Q240" s="360"/>
      <c r="R240" s="551"/>
      <c r="S240" s="551"/>
      <c r="T240" s="551"/>
      <c r="U240" s="591"/>
      <c r="V240" s="551"/>
      <c r="W240" s="551"/>
      <c r="X240" s="551"/>
      <c r="Y240" s="361"/>
      <c r="Z240" s="364"/>
      <c r="AA240" s="367"/>
      <c r="AB240"/>
      <c r="AC240"/>
      <c r="AD240"/>
      <c r="AE240"/>
      <c r="AF240"/>
      <c r="AG240"/>
      <c r="AH240"/>
      <c r="AI240"/>
      <c r="AJ240"/>
      <c r="AK240"/>
      <c r="AL240"/>
      <c r="AM240"/>
      <c r="AN240"/>
      <c r="AO240"/>
      <c r="AP240"/>
      <c r="AQ240"/>
      <c r="AR240"/>
      <c r="AS240"/>
      <c r="AT240"/>
      <c r="AU240"/>
      <c r="AV240"/>
      <c r="AW240"/>
      <c r="AX240"/>
    </row>
    <row r="241" spans="17:50" ht="12.75" customHeight="1">
      <c r="Q241" s="360"/>
      <c r="R241" s="962" t="s">
        <v>302</v>
      </c>
      <c r="S241" s="963"/>
      <c r="T241" s="964"/>
      <c r="U241" s="949" t="s">
        <v>500</v>
      </c>
      <c r="V241" s="938" t="s">
        <v>22</v>
      </c>
      <c r="W241" s="940" t="s">
        <v>579</v>
      </c>
      <c r="X241" s="942" t="s">
        <v>21</v>
      </c>
      <c r="Y241" s="361"/>
      <c r="Z241" s="364"/>
      <c r="AA241" s="367"/>
      <c r="AB241"/>
      <c r="AC241"/>
      <c r="AD241"/>
      <c r="AE241"/>
      <c r="AF241"/>
      <c r="AG241"/>
      <c r="AH241"/>
      <c r="AI241"/>
      <c r="AJ241"/>
      <c r="AK241"/>
      <c r="AL241"/>
      <c r="AM241"/>
      <c r="AN241"/>
      <c r="AO241"/>
      <c r="AP241"/>
      <c r="AQ241"/>
      <c r="AR241"/>
      <c r="AS241"/>
      <c r="AT241"/>
      <c r="AU241"/>
      <c r="AV241"/>
      <c r="AW241"/>
      <c r="AX241"/>
    </row>
    <row r="242" spans="17:50" ht="12.75" customHeight="1">
      <c r="Q242" s="360"/>
      <c r="R242" s="965"/>
      <c r="S242" s="966"/>
      <c r="T242" s="967"/>
      <c r="U242" s="950"/>
      <c r="V242" s="939"/>
      <c r="W242" s="941"/>
      <c r="X242" s="943"/>
      <c r="Y242" s="361"/>
      <c r="Z242" s="364"/>
      <c r="AA242" s="367"/>
      <c r="AB242"/>
      <c r="AC242"/>
      <c r="AD242"/>
      <c r="AE242"/>
      <c r="AF242"/>
      <c r="AG242"/>
      <c r="AH242"/>
      <c r="AI242"/>
      <c r="AJ242"/>
      <c r="AK242"/>
      <c r="AL242"/>
      <c r="AM242"/>
      <c r="AN242"/>
      <c r="AO242"/>
      <c r="AP242"/>
      <c r="AQ242"/>
      <c r="AR242"/>
      <c r="AS242"/>
      <c r="AT242"/>
      <c r="AU242"/>
      <c r="AV242"/>
      <c r="AW242"/>
      <c r="AX242"/>
    </row>
    <row r="243" spans="17:50" ht="12.75" customHeight="1">
      <c r="Q243" s="360"/>
      <c r="R243" s="931" t="s">
        <v>662</v>
      </c>
      <c r="S243" s="931"/>
      <c r="T243" s="931"/>
      <c r="U243" s="901" t="s">
        <v>427</v>
      </c>
      <c r="V243" s="549">
        <f t="shared" ref="V243:W245" si="3">V237*$V$23</f>
        <v>6607.9999999999973</v>
      </c>
      <c r="W243" s="549">
        <f t="shared" si="3"/>
        <v>8527.9999999999964</v>
      </c>
      <c r="X243" s="549">
        <f>X237*$V$23</f>
        <v>6992.0000000000164</v>
      </c>
      <c r="Y243" s="361"/>
      <c r="Z243" s="364"/>
      <c r="AA243" s="367"/>
      <c r="AB243"/>
      <c r="AC243"/>
      <c r="AD243"/>
      <c r="AE243"/>
      <c r="AF243"/>
      <c r="AG243"/>
      <c r="AH243"/>
      <c r="AI243"/>
      <c r="AJ243"/>
      <c r="AK243"/>
      <c r="AL243"/>
      <c r="AM243"/>
      <c r="AN243"/>
      <c r="AO243"/>
      <c r="AP243"/>
      <c r="AQ243"/>
      <c r="AR243"/>
      <c r="AS243"/>
      <c r="AT243"/>
      <c r="AU243"/>
      <c r="AV243"/>
      <c r="AW243"/>
      <c r="AX243"/>
    </row>
    <row r="244" spans="17:50" ht="12.75" customHeight="1">
      <c r="Q244" s="360"/>
      <c r="R244" s="931" t="s">
        <v>663</v>
      </c>
      <c r="S244" s="931"/>
      <c r="T244" s="931"/>
      <c r="U244" s="901"/>
      <c r="V244" s="560">
        <f t="shared" si="3"/>
        <v>6.607999999999997</v>
      </c>
      <c r="W244" s="560">
        <f t="shared" si="3"/>
        <v>8.5279999999999987</v>
      </c>
      <c r="X244" s="560">
        <f>X238*$V$23</f>
        <v>6.992000000000016</v>
      </c>
      <c r="Y244" s="361"/>
      <c r="Z244" s="364"/>
      <c r="AA244" s="367"/>
      <c r="AB244"/>
      <c r="AC244"/>
      <c r="AD244"/>
      <c r="AE244"/>
      <c r="AF244"/>
      <c r="AG244"/>
      <c r="AH244"/>
      <c r="AI244"/>
      <c r="AJ244"/>
      <c r="AK244"/>
      <c r="AL244"/>
      <c r="AM244"/>
      <c r="AN244"/>
      <c r="AO244"/>
      <c r="AP244"/>
      <c r="AQ244"/>
      <c r="AR244"/>
      <c r="AS244"/>
      <c r="AT244"/>
      <c r="AU244"/>
      <c r="AV244"/>
      <c r="AW244"/>
      <c r="AX244"/>
    </row>
    <row r="245" spans="17:50" ht="12.75" customHeight="1">
      <c r="Q245" s="360"/>
      <c r="R245" s="931" t="s">
        <v>664</v>
      </c>
      <c r="S245" s="931"/>
      <c r="T245" s="931"/>
      <c r="U245" s="901"/>
      <c r="V245" s="560">
        <f t="shared" si="3"/>
        <v>233.35933935999989</v>
      </c>
      <c r="W245" s="560">
        <f t="shared" si="3"/>
        <v>301.16350575999991</v>
      </c>
      <c r="X245" s="560">
        <f>X239*$V$23</f>
        <v>246.92017264000057</v>
      </c>
      <c r="Y245" s="361"/>
      <c r="Z245" s="364"/>
      <c r="AA245" s="367"/>
      <c r="AB245"/>
      <c r="AC245"/>
      <c r="AD245"/>
      <c r="AE245"/>
      <c r="AF245"/>
      <c r="AG245"/>
      <c r="AH245"/>
      <c r="AI245"/>
      <c r="AJ245"/>
      <c r="AK245"/>
      <c r="AL245"/>
      <c r="AM245"/>
      <c r="AN245"/>
      <c r="AO245"/>
      <c r="AP245"/>
      <c r="AQ245"/>
      <c r="AR245"/>
      <c r="AS245"/>
      <c r="AT245"/>
      <c r="AU245"/>
      <c r="AV245"/>
      <c r="AW245"/>
      <c r="AX245"/>
    </row>
    <row r="246" spans="17:50" ht="12.75" customHeight="1">
      <c r="Q246" s="360"/>
      <c r="R246" s="364"/>
      <c r="S246" s="364"/>
      <c r="T246" s="364"/>
      <c r="U246" s="364"/>
      <c r="V246" s="555"/>
      <c r="W246" s="555"/>
      <c r="X246" s="555"/>
      <c r="Y246" s="361"/>
      <c r="Z246" s="364"/>
      <c r="AA246" s="367"/>
      <c r="AB246"/>
      <c r="AC246"/>
      <c r="AD246"/>
      <c r="AE246"/>
      <c r="AF246"/>
      <c r="AG246"/>
      <c r="AH246"/>
      <c r="AI246"/>
      <c r="AJ246"/>
      <c r="AK246"/>
      <c r="AL246"/>
      <c r="AM246"/>
      <c r="AN246"/>
      <c r="AO246"/>
      <c r="AP246"/>
      <c r="AQ246"/>
      <c r="AR246"/>
      <c r="AS246"/>
      <c r="AT246"/>
      <c r="AU246"/>
      <c r="AV246"/>
      <c r="AW246"/>
      <c r="AX246"/>
    </row>
    <row r="247" spans="17:50" ht="12.75" customHeight="1">
      <c r="Q247" s="360"/>
      <c r="R247" s="962" t="s">
        <v>303</v>
      </c>
      <c r="S247" s="963"/>
      <c r="T247" s="964"/>
      <c r="U247" s="949" t="s">
        <v>500</v>
      </c>
      <c r="V247" s="938" t="s">
        <v>22</v>
      </c>
      <c r="W247" s="940" t="s">
        <v>579</v>
      </c>
      <c r="X247" s="942" t="s">
        <v>21</v>
      </c>
      <c r="Y247" s="361"/>
      <c r="Z247" s="364"/>
      <c r="AA247" s="367"/>
      <c r="AB247"/>
      <c r="AC247"/>
      <c r="AD247"/>
      <c r="AE247"/>
      <c r="AF247"/>
      <c r="AG247"/>
      <c r="AH247"/>
      <c r="AI247"/>
      <c r="AJ247"/>
      <c r="AK247"/>
      <c r="AL247"/>
      <c r="AM247"/>
      <c r="AN247"/>
      <c r="AO247"/>
      <c r="AP247"/>
      <c r="AQ247"/>
      <c r="AR247"/>
      <c r="AS247"/>
      <c r="AT247"/>
      <c r="AU247"/>
      <c r="AV247"/>
      <c r="AW247"/>
      <c r="AX247"/>
    </row>
    <row r="248" spans="17:50" ht="12.75" customHeight="1">
      <c r="Q248" s="360"/>
      <c r="R248" s="965"/>
      <c r="S248" s="966"/>
      <c r="T248" s="967"/>
      <c r="U248" s="950"/>
      <c r="V248" s="939"/>
      <c r="W248" s="941"/>
      <c r="X248" s="943"/>
      <c r="Y248" s="361"/>
      <c r="Z248" s="364"/>
      <c r="AA248" s="367"/>
      <c r="AB248"/>
      <c r="AC248"/>
      <c r="AD248"/>
      <c r="AE248"/>
      <c r="AF248"/>
      <c r="AG248"/>
      <c r="AH248"/>
      <c r="AI248"/>
      <c r="AJ248"/>
      <c r="AK248"/>
      <c r="AL248"/>
      <c r="AM248"/>
      <c r="AN248"/>
      <c r="AO248"/>
      <c r="AP248"/>
      <c r="AQ248"/>
      <c r="AR248"/>
      <c r="AS248"/>
      <c r="AT248"/>
      <c r="AU248"/>
      <c r="AV248"/>
      <c r="AW248"/>
      <c r="AX248"/>
    </row>
    <row r="249" spans="17:50" ht="12.75" customHeight="1">
      <c r="Q249" s="563"/>
      <c r="R249" s="951" t="s">
        <v>517</v>
      </c>
      <c r="S249" s="951"/>
      <c r="T249" s="951"/>
      <c r="U249" s="901" t="s">
        <v>427</v>
      </c>
      <c r="V249" s="549">
        <f t="shared" ref="V249:X251" si="4">($V$25/$X$51)*60*V237</f>
        <v>30844473.257698506</v>
      </c>
      <c r="W249" s="549">
        <f t="shared" si="4"/>
        <v>39806547.811993472</v>
      </c>
      <c r="X249" s="549">
        <f t="shared" si="4"/>
        <v>32636888.168557588</v>
      </c>
      <c r="Y249" s="361"/>
      <c r="Z249" s="364"/>
      <c r="AA249" s="367"/>
      <c r="AB249"/>
      <c r="AC249"/>
      <c r="AD249"/>
      <c r="AE249"/>
      <c r="AF249"/>
      <c r="AG249"/>
      <c r="AH249"/>
      <c r="AI249"/>
      <c r="AJ249"/>
      <c r="AK249"/>
      <c r="AL249"/>
      <c r="AM249"/>
      <c r="AN249"/>
      <c r="AO249"/>
      <c r="AP249"/>
      <c r="AQ249"/>
      <c r="AR249"/>
      <c r="AS249"/>
      <c r="AT249"/>
      <c r="AU249"/>
      <c r="AV249"/>
      <c r="AW249"/>
      <c r="AX249"/>
    </row>
    <row r="250" spans="17:50" ht="12.75" customHeight="1">
      <c r="Q250" s="364"/>
      <c r="R250" s="951" t="s">
        <v>666</v>
      </c>
      <c r="S250" s="951"/>
      <c r="T250" s="951"/>
      <c r="U250" s="901"/>
      <c r="V250" s="549">
        <f t="shared" si="4"/>
        <v>30844.473257698504</v>
      </c>
      <c r="W250" s="549">
        <f t="shared" si="4"/>
        <v>39806.547811993478</v>
      </c>
      <c r="X250" s="549">
        <f t="shared" si="4"/>
        <v>32636.888168557587</v>
      </c>
      <c r="Y250" s="361"/>
      <c r="Z250" s="364"/>
      <c r="AA250" s="367"/>
      <c r="AB250"/>
      <c r="AC250"/>
      <c r="AD250"/>
      <c r="AE250"/>
      <c r="AF250"/>
      <c r="AG250"/>
      <c r="AH250"/>
      <c r="AI250"/>
      <c r="AJ250"/>
      <c r="AK250"/>
      <c r="AL250"/>
      <c r="AM250"/>
      <c r="AN250"/>
      <c r="AO250"/>
      <c r="AP250"/>
      <c r="AQ250"/>
      <c r="AR250"/>
      <c r="AS250"/>
      <c r="AT250"/>
      <c r="AU250"/>
      <c r="AV250"/>
      <c r="AW250"/>
      <c r="AX250"/>
    </row>
    <row r="251" spans="17:50" ht="12.75" customHeight="1">
      <c r="Q251" s="364"/>
      <c r="R251" s="951" t="s">
        <v>583</v>
      </c>
      <c r="S251" s="951"/>
      <c r="T251" s="951"/>
      <c r="U251" s="901"/>
      <c r="V251" s="549">
        <f t="shared" si="4"/>
        <v>1089262.3944194475</v>
      </c>
      <c r="W251" s="549">
        <f t="shared" si="4"/>
        <v>1405755.0998197717</v>
      </c>
      <c r="X251" s="549">
        <f t="shared" si="4"/>
        <v>1152560.9354995156</v>
      </c>
      <c r="Y251" s="361"/>
      <c r="Z251" s="364"/>
      <c r="AA251" s="367"/>
      <c r="AB251"/>
      <c r="AC251"/>
      <c r="AD251"/>
      <c r="AE251"/>
      <c r="AF251"/>
      <c r="AG251"/>
      <c r="AH251"/>
      <c r="AI251"/>
      <c r="AJ251"/>
      <c r="AK251"/>
      <c r="AL251"/>
      <c r="AM251"/>
      <c r="AN251"/>
      <c r="AO251"/>
      <c r="AP251"/>
      <c r="AQ251"/>
      <c r="AR251"/>
      <c r="AS251"/>
      <c r="AT251"/>
      <c r="AU251"/>
      <c r="AV251"/>
      <c r="AW251"/>
      <c r="AX251"/>
    </row>
    <row r="252" spans="17:50" ht="12.75" customHeight="1">
      <c r="Q252" s="364"/>
      <c r="R252" s="364"/>
      <c r="S252" s="364"/>
      <c r="T252" s="364"/>
      <c r="U252" s="364"/>
      <c r="V252" s="364"/>
      <c r="W252" s="364"/>
      <c r="X252" s="364"/>
      <c r="Y252" s="361"/>
      <c r="Z252" s="364"/>
      <c r="AA252" s="367"/>
      <c r="AB252"/>
      <c r="AC252"/>
      <c r="AD252"/>
      <c r="AE252"/>
      <c r="AF252"/>
      <c r="AG252"/>
      <c r="AH252"/>
      <c r="AI252"/>
      <c r="AJ252"/>
      <c r="AK252"/>
      <c r="AL252"/>
      <c r="AM252"/>
      <c r="AN252"/>
      <c r="AO252"/>
      <c r="AP252"/>
      <c r="AQ252"/>
      <c r="AR252"/>
      <c r="AS252"/>
      <c r="AT252"/>
      <c r="AU252"/>
      <c r="AV252"/>
      <c r="AW252"/>
      <c r="AX252"/>
    </row>
    <row r="253" spans="17:50" ht="12.75" customHeight="1">
      <c r="Q253" s="668" t="s">
        <v>753</v>
      </c>
      <c r="R253" s="364" t="s">
        <v>300</v>
      </c>
      <c r="S253" s="364"/>
      <c r="T253" s="364"/>
      <c r="U253" s="364"/>
      <c r="V253" s="364"/>
      <c r="W253" s="364"/>
      <c r="X253" s="364"/>
      <c r="Y253" s="361"/>
      <c r="Z253" s="364"/>
      <c r="AA253" s="367"/>
      <c r="AB253"/>
      <c r="AC253"/>
      <c r="AD253"/>
      <c r="AE253"/>
      <c r="AF253"/>
      <c r="AG253"/>
      <c r="AH253"/>
      <c r="AI253"/>
      <c r="AJ253"/>
      <c r="AK253"/>
      <c r="AL253"/>
      <c r="AM253"/>
      <c r="AN253"/>
      <c r="AO253"/>
      <c r="AP253"/>
      <c r="AQ253"/>
      <c r="AR253"/>
      <c r="AS253"/>
      <c r="AT253"/>
      <c r="AU253"/>
      <c r="AV253"/>
      <c r="AW253"/>
      <c r="AX253"/>
    </row>
    <row r="254" spans="17:50" ht="12.75" customHeight="1">
      <c r="Q254" s="364"/>
      <c r="R254" s="957" t="s">
        <v>669</v>
      </c>
      <c r="S254" s="958"/>
      <c r="T254" s="959"/>
      <c r="U254" s="949" t="s">
        <v>500</v>
      </c>
      <c r="V254" s="938" t="s">
        <v>22</v>
      </c>
      <c r="W254" s="940" t="s">
        <v>579</v>
      </c>
      <c r="X254" s="942" t="s">
        <v>21</v>
      </c>
      <c r="Y254" s="361"/>
      <c r="Z254" s="364"/>
      <c r="AA254" s="367"/>
      <c r="AB254"/>
      <c r="AC254"/>
      <c r="AD254"/>
      <c r="AE254"/>
      <c r="AF254"/>
      <c r="AG254"/>
      <c r="AH254"/>
      <c r="AI254"/>
      <c r="AJ254"/>
      <c r="AK254"/>
      <c r="AL254"/>
      <c r="AM254"/>
      <c r="AN254"/>
      <c r="AO254"/>
      <c r="AP254"/>
      <c r="AQ254"/>
      <c r="AR254"/>
      <c r="AS254"/>
      <c r="AT254"/>
      <c r="AU254"/>
      <c r="AV254"/>
      <c r="AW254"/>
      <c r="AX254"/>
    </row>
    <row r="255" spans="17:50" ht="12.75" customHeight="1">
      <c r="Q255" s="364"/>
      <c r="R255" s="960"/>
      <c r="S255" s="961"/>
      <c r="T255" s="899"/>
      <c r="U255" s="950"/>
      <c r="V255" s="939"/>
      <c r="W255" s="941"/>
      <c r="X255" s="943"/>
      <c r="Y255" s="361"/>
      <c r="Z255" s="364"/>
      <c r="AA255" s="367"/>
      <c r="AB255"/>
      <c r="AC255"/>
      <c r="AD255"/>
      <c r="AE255"/>
      <c r="AF255"/>
      <c r="AG255"/>
      <c r="AH255"/>
      <c r="AI255"/>
      <c r="AJ255"/>
      <c r="AK255"/>
      <c r="AL255"/>
      <c r="AM255"/>
      <c r="AN255"/>
      <c r="AO255"/>
      <c r="AP255"/>
      <c r="AQ255"/>
      <c r="AR255"/>
      <c r="AS255"/>
      <c r="AT255"/>
      <c r="AU255"/>
      <c r="AV255"/>
      <c r="AW255"/>
      <c r="AX255"/>
    </row>
    <row r="256" spans="17:50" ht="12.75" customHeight="1">
      <c r="Q256" s="364"/>
      <c r="R256" s="541" t="s">
        <v>80</v>
      </c>
      <c r="S256" s="559"/>
      <c r="T256" s="559"/>
      <c r="U256" s="543">
        <v>6.5</v>
      </c>
      <c r="V256" s="669">
        <f>VLOOKUP($V$5,'Lookup Water Flow'!$B$8:$E$208,3)</f>
        <v>7.1099999999999905</v>
      </c>
      <c r="W256" s="669">
        <f>VLOOKUP($V$5,'Lookup Water Flow'!$B$8:$E$208,4)</f>
        <v>12.1</v>
      </c>
      <c r="X256" s="669">
        <f>VLOOKUP($V$5,'Lookup Water Flow'!$B$8:$E$208,2)</f>
        <v>12.719999999999986</v>
      </c>
      <c r="Y256" s="361"/>
      <c r="Z256" s="364"/>
      <c r="AA256" s="367"/>
      <c r="AB256"/>
      <c r="AC256"/>
      <c r="AD256"/>
      <c r="AE256"/>
      <c r="AF256"/>
      <c r="AG256"/>
      <c r="AH256"/>
      <c r="AI256"/>
      <c r="AJ256"/>
      <c r="AK256"/>
      <c r="AL256"/>
      <c r="AM256"/>
      <c r="AN256"/>
      <c r="AO256"/>
      <c r="AP256"/>
      <c r="AQ256"/>
      <c r="AR256"/>
      <c r="AS256"/>
      <c r="AT256"/>
      <c r="AU256"/>
      <c r="AV256"/>
      <c r="AW256"/>
      <c r="AX256"/>
    </row>
    <row r="257" spans="17:50" ht="12.75" customHeight="1">
      <c r="Q257" s="364"/>
      <c r="R257" s="951" t="s">
        <v>81</v>
      </c>
      <c r="S257" s="951"/>
      <c r="T257" s="951"/>
      <c r="U257" s="677">
        <f>U256*V23</f>
        <v>1040</v>
      </c>
      <c r="V257" s="678">
        <f>V256*$V$23</f>
        <v>1137.5999999999985</v>
      </c>
      <c r="W257" s="678">
        <f>W256*$V$23</f>
        <v>1936</v>
      </c>
      <c r="X257" s="678">
        <f>X256*$V$23</f>
        <v>2035.1999999999978</v>
      </c>
      <c r="Y257" s="361"/>
      <c r="Z257" s="364"/>
      <c r="AA257" s="367"/>
      <c r="AB257"/>
      <c r="AC257"/>
      <c r="AD257"/>
      <c r="AE257"/>
      <c r="AF257"/>
      <c r="AG257"/>
      <c r="AH257"/>
      <c r="AI257"/>
      <c r="AJ257"/>
      <c r="AK257"/>
      <c r="AL257"/>
      <c r="AM257"/>
      <c r="AN257"/>
      <c r="AO257"/>
      <c r="AP257"/>
      <c r="AQ257"/>
      <c r="AR257"/>
      <c r="AS257"/>
      <c r="AT257"/>
      <c r="AU257"/>
      <c r="AV257"/>
      <c r="AW257"/>
      <c r="AX257"/>
    </row>
    <row r="258" spans="17:50" ht="12.75" customHeight="1">
      <c r="Q258" s="364"/>
      <c r="R258" s="592" t="s">
        <v>670</v>
      </c>
      <c r="S258" s="559"/>
      <c r="T258" s="559"/>
      <c r="U258" s="549">
        <f>(U256*U56*V24)+(24*2*V24)</f>
        <v>473600</v>
      </c>
      <c r="V258" s="679">
        <f>V256*$X$56*$V$24</f>
        <v>88500.486223662694</v>
      </c>
      <c r="W258" s="679">
        <f>W256*$X$56*$V$24</f>
        <v>150612.64181523488</v>
      </c>
      <c r="X258" s="679">
        <f>X256*$X$56*$V$24</f>
        <v>158329.98379254428</v>
      </c>
      <c r="Y258" s="361"/>
      <c r="Z258" s="364"/>
      <c r="AA258" s="367"/>
      <c r="AB258"/>
      <c r="AC258"/>
      <c r="AD258"/>
      <c r="AE258"/>
      <c r="AF258"/>
      <c r="AG258"/>
      <c r="AH258"/>
      <c r="AI258"/>
      <c r="AJ258"/>
      <c r="AK258"/>
      <c r="AL258"/>
      <c r="AM258"/>
      <c r="AN258"/>
      <c r="AO258"/>
      <c r="AP258"/>
      <c r="AQ258"/>
      <c r="AR258"/>
      <c r="AS258"/>
      <c r="AT258"/>
      <c r="AU258"/>
      <c r="AV258"/>
      <c r="AW258"/>
      <c r="AX258"/>
    </row>
    <row r="259" spans="17:50" ht="12.75" customHeight="1">
      <c r="Q259" s="364"/>
      <c r="R259" s="364"/>
      <c r="S259" s="364"/>
      <c r="T259" s="364"/>
      <c r="U259" s="364"/>
      <c r="V259" s="364"/>
      <c r="W259" s="364"/>
      <c r="X259" s="364"/>
      <c r="Y259" s="364"/>
      <c r="Z259" s="364"/>
      <c r="AA259" s="367"/>
      <c r="AB259"/>
      <c r="AC259"/>
      <c r="AD259"/>
      <c r="AE259"/>
      <c r="AF259"/>
      <c r="AG259"/>
      <c r="AH259"/>
      <c r="AI259"/>
      <c r="AJ259"/>
      <c r="AK259"/>
      <c r="AL259"/>
      <c r="AM259"/>
      <c r="AN259"/>
      <c r="AO259"/>
      <c r="AP259"/>
      <c r="AQ259"/>
      <c r="AR259"/>
      <c r="AS259"/>
      <c r="AT259"/>
      <c r="AU259"/>
      <c r="AV259"/>
      <c r="AW259"/>
      <c r="AX259"/>
    </row>
    <row r="260" spans="17:50" ht="12.75" customHeight="1">
      <c r="Q260" s="680" t="s">
        <v>754</v>
      </c>
      <c r="R260" s="952" t="s">
        <v>309</v>
      </c>
      <c r="S260" s="952"/>
      <c r="T260" s="952"/>
      <c r="U260" s="952"/>
      <c r="V260" s="952"/>
      <c r="W260" s="952"/>
      <c r="X260" s="952"/>
      <c r="Y260" s="952"/>
      <c r="Z260" s="360"/>
      <c r="AA260" s="367"/>
      <c r="AB260"/>
      <c r="AC260"/>
      <c r="AD260"/>
      <c r="AE260"/>
      <c r="AF260"/>
      <c r="AG260"/>
      <c r="AH260"/>
      <c r="AI260"/>
      <c r="AJ260"/>
      <c r="AK260"/>
      <c r="AL260"/>
      <c r="AM260"/>
      <c r="AN260"/>
      <c r="AO260"/>
      <c r="AP260"/>
      <c r="AQ260"/>
      <c r="AR260"/>
      <c r="AS260"/>
      <c r="AT260"/>
      <c r="AU260"/>
      <c r="AV260"/>
      <c r="AW260"/>
      <c r="AX260"/>
    </row>
    <row r="261" spans="17:50" ht="12.75" customHeight="1">
      <c r="Q261" s="364"/>
      <c r="R261" s="364"/>
      <c r="S261" s="364"/>
      <c r="T261" s="364"/>
      <c r="U261" s="364"/>
      <c r="V261" s="364"/>
      <c r="W261" s="364"/>
      <c r="X261" s="364"/>
      <c r="Y261" s="364"/>
      <c r="Z261" s="364"/>
      <c r="AA261" s="367"/>
      <c r="AB261"/>
      <c r="AC261"/>
      <c r="AD261"/>
      <c r="AE261"/>
      <c r="AF261"/>
      <c r="AG261"/>
      <c r="AH261"/>
      <c r="AI261"/>
      <c r="AJ261"/>
      <c r="AK261"/>
      <c r="AL261"/>
      <c r="AM261"/>
      <c r="AN261"/>
      <c r="AO261"/>
      <c r="AP261"/>
      <c r="AQ261"/>
      <c r="AR261"/>
      <c r="AS261"/>
      <c r="AT261"/>
      <c r="AU261"/>
      <c r="AV261"/>
      <c r="AW261"/>
      <c r="AX261"/>
    </row>
    <row r="262" spans="17:50" ht="12.75" customHeight="1">
      <c r="Q262" s="668" t="s">
        <v>755</v>
      </c>
      <c r="R262" s="364" t="s">
        <v>239</v>
      </c>
      <c r="S262" s="364"/>
      <c r="T262" s="364"/>
      <c r="U262" s="364"/>
      <c r="V262" s="364"/>
      <c r="W262" s="364"/>
      <c r="X262" s="364"/>
      <c r="Y262" s="364"/>
      <c r="Z262" s="364"/>
      <c r="AA262" s="367"/>
      <c r="AB262"/>
      <c r="AC262"/>
      <c r="AD262"/>
      <c r="AE262"/>
      <c r="AF262"/>
      <c r="AG262"/>
      <c r="AH262"/>
      <c r="AI262"/>
      <c r="AJ262"/>
      <c r="AK262"/>
      <c r="AL262"/>
      <c r="AM262"/>
      <c r="AN262"/>
      <c r="AO262"/>
      <c r="AP262"/>
      <c r="AQ262"/>
      <c r="AR262"/>
      <c r="AS262"/>
      <c r="AT262"/>
      <c r="AU262"/>
      <c r="AV262"/>
      <c r="AW262"/>
      <c r="AX262"/>
    </row>
    <row r="263" spans="17:50" ht="12.75" customHeight="1">
      <c r="Q263" s="364"/>
      <c r="R263" s="364"/>
      <c r="S263" s="364"/>
      <c r="T263" s="364"/>
      <c r="U263" s="364"/>
      <c r="V263" s="364"/>
      <c r="W263" s="364"/>
      <c r="X263" s="364"/>
      <c r="Y263" s="364"/>
      <c r="Z263" s="364"/>
      <c r="AA263" s="367"/>
      <c r="AB263"/>
      <c r="AC263"/>
      <c r="AD263"/>
      <c r="AE263"/>
      <c r="AF263"/>
      <c r="AG263"/>
      <c r="AH263"/>
      <c r="AI263"/>
      <c r="AJ263"/>
      <c r="AK263"/>
      <c r="AL263"/>
      <c r="AM263"/>
      <c r="AN263"/>
      <c r="AO263"/>
      <c r="AP263"/>
      <c r="AQ263"/>
      <c r="AR263"/>
      <c r="AS263"/>
      <c r="AT263"/>
      <c r="AU263"/>
      <c r="AV263"/>
      <c r="AW263"/>
      <c r="AX263"/>
    </row>
    <row r="264" spans="17:50" ht="12.75" customHeight="1">
      <c r="Q264" s="364"/>
      <c r="R264" s="953" t="s">
        <v>676</v>
      </c>
      <c r="S264" s="954"/>
      <c r="T264" s="561" t="s">
        <v>320</v>
      </c>
      <c r="U264" s="935" t="s">
        <v>318</v>
      </c>
      <c r="V264" s="935"/>
      <c r="W264" s="681">
        <f>'Compressor Input Data'!G7</f>
        <v>0.19</v>
      </c>
      <c r="X264" s="594"/>
      <c r="Y264" s="595"/>
      <c r="Z264" s="363"/>
      <c r="AA264" s="367"/>
      <c r="AB264"/>
      <c r="AC264"/>
      <c r="AD264"/>
      <c r="AE264"/>
      <c r="AF264"/>
      <c r="AG264"/>
      <c r="AH264"/>
      <c r="AI264"/>
      <c r="AJ264"/>
      <c r="AK264"/>
      <c r="AL264"/>
      <c r="AM264"/>
      <c r="AN264"/>
      <c r="AO264"/>
      <c r="AP264"/>
      <c r="AQ264"/>
      <c r="AR264"/>
      <c r="AS264"/>
      <c r="AT264"/>
      <c r="AU264"/>
      <c r="AV264"/>
      <c r="AW264"/>
      <c r="AX264"/>
    </row>
    <row r="265" spans="17:50" ht="12.75" customHeight="1">
      <c r="Q265" s="364"/>
      <c r="R265" s="955"/>
      <c r="S265" s="956"/>
      <c r="T265" s="561" t="s">
        <v>321</v>
      </c>
      <c r="U265" s="935" t="s">
        <v>319</v>
      </c>
      <c r="V265" s="935"/>
      <c r="W265" s="681">
        <f>'Compressor Input Data'!G8</f>
        <v>0.33</v>
      </c>
      <c r="X265" s="594"/>
      <c r="Y265" s="595"/>
      <c r="Z265" s="595"/>
      <c r="AA265" s="367"/>
      <c r="AB265"/>
      <c r="AC265"/>
      <c r="AD265"/>
      <c r="AE265"/>
      <c r="AF265"/>
      <c r="AG265"/>
      <c r="AH265"/>
      <c r="AI265"/>
      <c r="AJ265"/>
      <c r="AK265"/>
      <c r="AL265"/>
      <c r="AM265"/>
      <c r="AN265"/>
      <c r="AO265"/>
      <c r="AP265"/>
      <c r="AQ265"/>
      <c r="AR265"/>
      <c r="AS265"/>
      <c r="AT265"/>
      <c r="AU265"/>
      <c r="AV265"/>
      <c r="AW265"/>
      <c r="AX265"/>
    </row>
    <row r="266" spans="17:50" ht="12.75" customHeight="1">
      <c r="Q266" s="364"/>
      <c r="R266" s="363"/>
      <c r="S266" s="363"/>
      <c r="T266" s="577"/>
      <c r="U266" s="577"/>
      <c r="V266" s="596"/>
      <c r="W266" s="363"/>
      <c r="X266" s="363"/>
      <c r="Y266" s="363"/>
      <c r="Z266" s="363"/>
      <c r="AA266" s="367"/>
      <c r="AB266"/>
      <c r="AC266"/>
      <c r="AD266"/>
      <c r="AE266"/>
      <c r="AF266"/>
      <c r="AG266"/>
      <c r="AH266"/>
      <c r="AI266"/>
      <c r="AJ266"/>
      <c r="AK266"/>
      <c r="AL266"/>
      <c r="AM266"/>
      <c r="AN266"/>
      <c r="AO266"/>
      <c r="AP266"/>
      <c r="AQ266"/>
      <c r="AR266"/>
      <c r="AS266"/>
      <c r="AT266"/>
      <c r="AU266"/>
      <c r="AV266"/>
      <c r="AW266"/>
      <c r="AX266"/>
    </row>
    <row r="267" spans="17:50" ht="12.75" customHeight="1">
      <c r="Q267" s="364"/>
      <c r="R267" s="935" t="s">
        <v>675</v>
      </c>
      <c r="S267" s="935"/>
      <c r="T267" s="935"/>
      <c r="U267" s="949" t="s">
        <v>500</v>
      </c>
      <c r="V267" s="938" t="s">
        <v>22</v>
      </c>
      <c r="W267" s="940" t="s">
        <v>579</v>
      </c>
      <c r="X267" s="942" t="s">
        <v>21</v>
      </c>
      <c r="Y267" s="361"/>
      <c r="Z267" s="364"/>
      <c r="AA267" s="367"/>
      <c r="AB267"/>
      <c r="AC267"/>
      <c r="AD267"/>
      <c r="AE267"/>
      <c r="AF267"/>
      <c r="AG267"/>
      <c r="AH267"/>
      <c r="AI267"/>
      <c r="AJ267"/>
      <c r="AK267"/>
      <c r="AL267"/>
      <c r="AM267"/>
      <c r="AN267"/>
      <c r="AO267"/>
      <c r="AP267"/>
      <c r="AQ267"/>
      <c r="AR267"/>
      <c r="AS267"/>
      <c r="AT267"/>
      <c r="AU267"/>
      <c r="AV267"/>
      <c r="AW267"/>
      <c r="AX267"/>
    </row>
    <row r="268" spans="17:50" ht="12.75" customHeight="1">
      <c r="Q268" s="364"/>
      <c r="R268" s="944" t="s">
        <v>320</v>
      </c>
      <c r="S268" s="947"/>
      <c r="T268" s="948"/>
      <c r="U268" s="950"/>
      <c r="V268" s="939"/>
      <c r="W268" s="941"/>
      <c r="X268" s="943"/>
      <c r="Y268" s="361"/>
      <c r="Z268" s="364"/>
      <c r="AA268" s="367"/>
      <c r="AB268"/>
      <c r="AC268"/>
      <c r="AD268"/>
      <c r="AE268"/>
      <c r="AF268"/>
      <c r="AG268"/>
      <c r="AH268"/>
      <c r="AI268"/>
      <c r="AJ268"/>
      <c r="AK268"/>
      <c r="AL268"/>
      <c r="AM268"/>
      <c r="AN268"/>
      <c r="AO268"/>
      <c r="AP268"/>
      <c r="AQ268"/>
      <c r="AR268"/>
      <c r="AS268"/>
      <c r="AT268"/>
      <c r="AU268"/>
      <c r="AV268"/>
      <c r="AW268"/>
      <c r="AX268"/>
    </row>
    <row r="269" spans="17:50" ht="12.75" customHeight="1">
      <c r="Q269" s="364"/>
      <c r="R269" s="945"/>
      <c r="S269" s="935" t="s">
        <v>306</v>
      </c>
      <c r="T269" s="935"/>
      <c r="U269" s="599">
        <f>U164*$W$264</f>
        <v>178.34666666666669</v>
      </c>
      <c r="V269" s="599">
        <f>V164*$W$264</f>
        <v>12237.288135593213</v>
      </c>
      <c r="W269" s="599">
        <f>W164*$W$264</f>
        <v>11933.884297520643</v>
      </c>
      <c r="X269" s="599">
        <f>X164*$W$264</f>
        <v>9361.4262560777897</v>
      </c>
      <c r="Y269" s="361"/>
      <c r="Z269" s="364"/>
      <c r="AA269" s="367"/>
      <c r="AB269"/>
      <c r="AC269"/>
      <c r="AD269"/>
      <c r="AE269"/>
      <c r="AF269"/>
      <c r="AG269"/>
      <c r="AH269"/>
      <c r="AI269"/>
      <c r="AJ269"/>
      <c r="AK269"/>
      <c r="AL269"/>
      <c r="AM269"/>
      <c r="AN269"/>
      <c r="AO269"/>
      <c r="AP269"/>
      <c r="AQ269"/>
      <c r="AR269"/>
      <c r="AS269"/>
      <c r="AT269"/>
      <c r="AU269"/>
      <c r="AV269"/>
      <c r="AW269"/>
      <c r="AX269"/>
    </row>
    <row r="270" spans="17:50" ht="12.75" customHeight="1">
      <c r="Q270" s="364"/>
      <c r="R270" s="945"/>
      <c r="S270" s="935" t="s">
        <v>307</v>
      </c>
      <c r="T270" s="935"/>
      <c r="U270" s="599">
        <f>U269*$V$11</f>
        <v>4101.9733333333343</v>
      </c>
      <c r="V270" s="599">
        <f>V269*$V$11</f>
        <v>281457.6271186439</v>
      </c>
      <c r="W270" s="599">
        <f>W269*$V$11</f>
        <v>274479.3388429748</v>
      </c>
      <c r="X270" s="599">
        <f>X269*$V$11</f>
        <v>215312.80388978915</v>
      </c>
      <c r="Y270" s="361"/>
      <c r="Z270" s="364"/>
      <c r="AA270" s="367"/>
      <c r="AB270"/>
      <c r="AC270"/>
      <c r="AD270"/>
      <c r="AE270"/>
      <c r="AF270"/>
      <c r="AG270"/>
      <c r="AH270"/>
      <c r="AI270"/>
      <c r="AJ270"/>
      <c r="AK270"/>
      <c r="AL270"/>
      <c r="AM270"/>
      <c r="AN270"/>
      <c r="AO270"/>
      <c r="AP270"/>
      <c r="AQ270"/>
      <c r="AR270"/>
      <c r="AS270"/>
      <c r="AT270"/>
      <c r="AU270"/>
      <c r="AV270"/>
      <c r="AW270"/>
      <c r="AX270"/>
    </row>
    <row r="271" spans="17:50" ht="12.75" customHeight="1">
      <c r="Q271" s="364"/>
      <c r="R271" s="946"/>
      <c r="S271" s="935" t="s">
        <v>308</v>
      </c>
      <c r="T271" s="935"/>
      <c r="U271" s="599">
        <f>U270*9</f>
        <v>36917.760000000009</v>
      </c>
      <c r="V271" s="599">
        <f>V270*9</f>
        <v>2533118.644067795</v>
      </c>
      <c r="W271" s="599">
        <f>W270*9</f>
        <v>2470314.0495867734</v>
      </c>
      <c r="X271" s="599">
        <f>X270*9</f>
        <v>1937815.2350081024</v>
      </c>
      <c r="Y271" s="361"/>
      <c r="Z271" s="364"/>
      <c r="AA271" s="367"/>
      <c r="AB271"/>
      <c r="AC271"/>
      <c r="AD271"/>
      <c r="AE271"/>
      <c r="AF271"/>
      <c r="AG271"/>
      <c r="AH271"/>
      <c r="AI271"/>
      <c r="AJ271"/>
      <c r="AK271"/>
      <c r="AL271"/>
      <c r="AM271"/>
      <c r="AN271"/>
      <c r="AO271"/>
      <c r="AP271"/>
      <c r="AQ271"/>
      <c r="AR271"/>
      <c r="AS271"/>
      <c r="AT271"/>
      <c r="AU271"/>
      <c r="AV271"/>
      <c r="AW271"/>
      <c r="AX271"/>
    </row>
    <row r="272" spans="17:50" ht="12.75" customHeight="1">
      <c r="Q272" s="597"/>
      <c r="R272" s="937"/>
      <c r="S272" s="937"/>
      <c r="T272" s="937"/>
      <c r="U272" s="937"/>
      <c r="V272" s="937"/>
      <c r="W272" s="937"/>
      <c r="X272" s="937"/>
      <c r="Y272" s="364"/>
      <c r="Z272" s="364"/>
      <c r="AA272" s="367"/>
      <c r="AB272"/>
      <c r="AC272"/>
      <c r="AD272"/>
      <c r="AE272"/>
      <c r="AF272"/>
      <c r="AG272"/>
      <c r="AH272"/>
      <c r="AI272"/>
      <c r="AJ272"/>
      <c r="AK272"/>
      <c r="AL272"/>
      <c r="AM272"/>
      <c r="AN272"/>
      <c r="AO272"/>
      <c r="AP272"/>
      <c r="AQ272"/>
      <c r="AR272"/>
      <c r="AS272"/>
      <c r="AT272"/>
      <c r="AU272"/>
      <c r="AV272"/>
      <c r="AW272"/>
      <c r="AX272"/>
    </row>
    <row r="273" spans="17:50" ht="12.75" customHeight="1">
      <c r="Q273" s="597"/>
      <c r="R273" s="935" t="s">
        <v>675</v>
      </c>
      <c r="S273" s="935"/>
      <c r="T273" s="935"/>
      <c r="U273" s="930" t="s">
        <v>500</v>
      </c>
      <c r="V273" s="928" t="s">
        <v>22</v>
      </c>
      <c r="W273" s="929" t="s">
        <v>579</v>
      </c>
      <c r="X273" s="927" t="s">
        <v>21</v>
      </c>
      <c r="Y273" s="361"/>
      <c r="Z273" s="364"/>
      <c r="AA273" s="367"/>
      <c r="AB273"/>
      <c r="AC273"/>
      <c r="AD273"/>
      <c r="AE273"/>
      <c r="AF273"/>
      <c r="AG273"/>
      <c r="AH273"/>
      <c r="AI273"/>
      <c r="AJ273"/>
      <c r="AK273"/>
      <c r="AL273"/>
      <c r="AM273"/>
      <c r="AN273"/>
      <c r="AO273"/>
      <c r="AP273"/>
      <c r="AQ273"/>
      <c r="AR273"/>
      <c r="AS273"/>
      <c r="AT273"/>
      <c r="AU273"/>
      <c r="AV273"/>
      <c r="AW273"/>
      <c r="AX273"/>
    </row>
    <row r="274" spans="17:50" ht="12.75" customHeight="1">
      <c r="Q274" s="597"/>
      <c r="R274" s="937" t="s">
        <v>321</v>
      </c>
      <c r="S274" s="937"/>
      <c r="T274" s="937"/>
      <c r="U274" s="930"/>
      <c r="V274" s="928"/>
      <c r="W274" s="929"/>
      <c r="X274" s="927"/>
      <c r="Y274" s="361"/>
      <c r="Z274" s="364"/>
      <c r="AA274" s="367"/>
      <c r="AB274"/>
      <c r="AC274"/>
      <c r="AD274"/>
      <c r="AE274"/>
      <c r="AF274"/>
      <c r="AG274"/>
      <c r="AH274"/>
      <c r="AI274"/>
      <c r="AJ274"/>
      <c r="AK274"/>
      <c r="AL274"/>
      <c r="AM274"/>
      <c r="AN274"/>
      <c r="AO274"/>
      <c r="AP274"/>
      <c r="AQ274"/>
      <c r="AR274"/>
      <c r="AS274"/>
      <c r="AT274"/>
      <c r="AU274"/>
      <c r="AV274"/>
      <c r="AW274"/>
      <c r="AX274"/>
    </row>
    <row r="275" spans="17:50" ht="12.75" customHeight="1">
      <c r="Q275" s="364"/>
      <c r="R275" s="937"/>
      <c r="S275" s="935" t="s">
        <v>306</v>
      </c>
      <c r="T275" s="935"/>
      <c r="U275" s="599">
        <f>U164*$W$265</f>
        <v>309.76000000000005</v>
      </c>
      <c r="V275" s="599">
        <f>V164*$W$265</f>
        <v>21254.23728813558</v>
      </c>
      <c r="W275" s="599">
        <f>W164*$W$265</f>
        <v>20727.272727272695</v>
      </c>
      <c r="X275" s="599">
        <f>X164*$W$265</f>
        <v>16259.319286871951</v>
      </c>
      <c r="Y275" s="361"/>
      <c r="Z275" s="364"/>
      <c r="AA275" s="367"/>
      <c r="AB275"/>
      <c r="AC275"/>
      <c r="AD275"/>
      <c r="AE275"/>
      <c r="AF275"/>
      <c r="AG275"/>
      <c r="AH275"/>
      <c r="AI275"/>
      <c r="AJ275"/>
      <c r="AK275"/>
      <c r="AL275"/>
      <c r="AM275"/>
      <c r="AN275"/>
      <c r="AO275"/>
      <c r="AP275"/>
      <c r="AQ275"/>
      <c r="AR275"/>
      <c r="AS275"/>
      <c r="AT275"/>
      <c r="AU275"/>
      <c r="AV275"/>
      <c r="AW275"/>
      <c r="AX275"/>
    </row>
    <row r="276" spans="17:50" ht="12.75" customHeight="1">
      <c r="Q276" s="597"/>
      <c r="R276" s="937"/>
      <c r="S276" s="935" t="s">
        <v>307</v>
      </c>
      <c r="T276" s="935"/>
      <c r="U276" s="599">
        <f>U275*$V$11</f>
        <v>7124.4800000000014</v>
      </c>
      <c r="V276" s="599">
        <f>V275*$V$11</f>
        <v>488847.45762711833</v>
      </c>
      <c r="W276" s="599">
        <f>W275*$V$11</f>
        <v>476727.27272727201</v>
      </c>
      <c r="X276" s="599">
        <f>X275*$V$11</f>
        <v>373964.34359805484</v>
      </c>
      <c r="Y276" s="361"/>
      <c r="Z276" s="364"/>
      <c r="AA276" s="367"/>
      <c r="AB276"/>
      <c r="AC276"/>
      <c r="AD276"/>
      <c r="AE276"/>
      <c r="AF276"/>
      <c r="AG276"/>
      <c r="AH276"/>
      <c r="AI276"/>
      <c r="AJ276"/>
      <c r="AK276"/>
      <c r="AL276"/>
      <c r="AM276"/>
      <c r="AN276"/>
      <c r="AO276"/>
      <c r="AP276"/>
      <c r="AQ276"/>
      <c r="AR276"/>
      <c r="AS276"/>
      <c r="AT276"/>
      <c r="AU276"/>
      <c r="AV276"/>
      <c r="AW276"/>
      <c r="AX276"/>
    </row>
    <row r="277" spans="17:50" ht="12.75" customHeight="1">
      <c r="Q277" s="364"/>
      <c r="R277" s="937"/>
      <c r="S277" s="935" t="s">
        <v>308</v>
      </c>
      <c r="T277" s="935"/>
      <c r="U277" s="599">
        <f>U276*3</f>
        <v>21373.440000000002</v>
      </c>
      <c r="V277" s="599">
        <f>V276*3</f>
        <v>1466542.372881355</v>
      </c>
      <c r="W277" s="599">
        <f>W276*3</f>
        <v>1430181.818181816</v>
      </c>
      <c r="X277" s="599">
        <f>X276*3</f>
        <v>1121893.0307941646</v>
      </c>
      <c r="Y277" s="361"/>
      <c r="Z277" s="364"/>
      <c r="AA277" s="367"/>
      <c r="AB277"/>
      <c r="AC277"/>
      <c r="AD277"/>
      <c r="AE277"/>
      <c r="AF277"/>
      <c r="AG277"/>
      <c r="AH277"/>
      <c r="AI277"/>
      <c r="AJ277"/>
      <c r="AK277"/>
      <c r="AL277"/>
      <c r="AM277"/>
      <c r="AN277"/>
      <c r="AO277"/>
      <c r="AP277"/>
      <c r="AQ277"/>
      <c r="AR277"/>
      <c r="AS277"/>
      <c r="AT277"/>
      <c r="AU277"/>
      <c r="AV277"/>
      <c r="AW277"/>
      <c r="AX277"/>
    </row>
    <row r="278" spans="17:50" ht="12.75" customHeight="1">
      <c r="Q278" s="364"/>
      <c r="R278" s="937"/>
      <c r="S278" s="937"/>
      <c r="T278" s="937"/>
      <c r="U278" s="937"/>
      <c r="V278" s="937"/>
      <c r="W278" s="937"/>
      <c r="X278" s="937"/>
      <c r="Y278" s="364"/>
      <c r="Z278" s="364"/>
      <c r="AA278" s="367"/>
      <c r="AB278"/>
      <c r="AC278"/>
      <c r="AD278"/>
      <c r="AE278"/>
      <c r="AF278"/>
      <c r="AG278"/>
      <c r="AH278"/>
      <c r="AI278"/>
      <c r="AJ278"/>
      <c r="AK278"/>
      <c r="AL278"/>
      <c r="AM278"/>
      <c r="AN278"/>
      <c r="AO278"/>
      <c r="AP278"/>
      <c r="AQ278"/>
      <c r="AR278"/>
      <c r="AS278"/>
      <c r="AT278"/>
      <c r="AU278"/>
      <c r="AV278"/>
      <c r="AW278"/>
      <c r="AX278"/>
    </row>
    <row r="279" spans="17:50" ht="12.75" customHeight="1">
      <c r="Q279" s="364"/>
      <c r="R279" s="935" t="s">
        <v>675</v>
      </c>
      <c r="S279" s="935"/>
      <c r="T279" s="935"/>
      <c r="U279" s="930" t="s">
        <v>500</v>
      </c>
      <c r="V279" s="928" t="s">
        <v>22</v>
      </c>
      <c r="W279" s="929" t="s">
        <v>579</v>
      </c>
      <c r="X279" s="927" t="s">
        <v>21</v>
      </c>
      <c r="Y279" s="361"/>
      <c r="Z279" s="364"/>
      <c r="AA279" s="367"/>
      <c r="AB279"/>
      <c r="AC279"/>
      <c r="AD279"/>
      <c r="AE279"/>
      <c r="AF279"/>
      <c r="AG279"/>
      <c r="AH279"/>
      <c r="AI279"/>
      <c r="AJ279"/>
      <c r="AK279"/>
      <c r="AL279"/>
      <c r="AM279"/>
      <c r="AN279"/>
      <c r="AO279"/>
      <c r="AP279"/>
      <c r="AQ279"/>
      <c r="AR279"/>
      <c r="AS279"/>
      <c r="AT279"/>
      <c r="AU279"/>
      <c r="AV279"/>
      <c r="AW279"/>
      <c r="AX279"/>
    </row>
    <row r="280" spans="17:50" ht="12.75" customHeight="1">
      <c r="Q280" s="364"/>
      <c r="R280" s="937" t="s">
        <v>322</v>
      </c>
      <c r="S280" s="937"/>
      <c r="T280" s="937"/>
      <c r="U280" s="930"/>
      <c r="V280" s="928"/>
      <c r="W280" s="929"/>
      <c r="X280" s="927"/>
      <c r="Y280" s="361"/>
      <c r="Z280" s="364"/>
      <c r="AA280" s="367"/>
      <c r="AB280"/>
      <c r="AC280"/>
      <c r="AD280"/>
      <c r="AE280"/>
      <c r="AF280"/>
      <c r="AG280"/>
      <c r="AH280"/>
      <c r="AI280"/>
      <c r="AJ280"/>
      <c r="AK280"/>
      <c r="AL280"/>
      <c r="AM280"/>
      <c r="AN280"/>
      <c r="AO280"/>
      <c r="AP280"/>
      <c r="AQ280"/>
      <c r="AR280"/>
      <c r="AS280"/>
      <c r="AT280"/>
      <c r="AU280"/>
      <c r="AV280"/>
      <c r="AW280"/>
      <c r="AX280"/>
    </row>
    <row r="281" spans="17:50" ht="12.75" customHeight="1">
      <c r="Q281" s="364"/>
      <c r="R281" s="937"/>
      <c r="S281" s="935" t="s">
        <v>306</v>
      </c>
      <c r="T281" s="935"/>
      <c r="U281" s="599">
        <f>U282/$V$11</f>
        <v>211.20000000000005</v>
      </c>
      <c r="V281" s="599">
        <f>V282/$V$11</f>
        <v>14491.525423728803</v>
      </c>
      <c r="W281" s="599">
        <f>W282/$V$11</f>
        <v>14132.231404958657</v>
      </c>
      <c r="X281" s="599">
        <f>X282/$V$11</f>
        <v>11085.899513776329</v>
      </c>
      <c r="Y281" s="361"/>
      <c r="Z281" s="364"/>
      <c r="AA281" s="367"/>
      <c r="AB281"/>
      <c r="AC281"/>
      <c r="AD281"/>
      <c r="AE281"/>
      <c r="AF281"/>
      <c r="AG281"/>
      <c r="AH281"/>
      <c r="AI281"/>
      <c r="AJ281"/>
      <c r="AK281"/>
      <c r="AL281"/>
      <c r="AM281"/>
      <c r="AN281"/>
      <c r="AO281"/>
      <c r="AP281"/>
      <c r="AQ281"/>
      <c r="AR281"/>
      <c r="AS281"/>
      <c r="AT281"/>
      <c r="AU281"/>
      <c r="AV281"/>
      <c r="AW281"/>
      <c r="AX281"/>
    </row>
    <row r="282" spans="17:50" ht="12.75" customHeight="1">
      <c r="Q282" s="364"/>
      <c r="R282" s="937"/>
      <c r="S282" s="935" t="s">
        <v>307</v>
      </c>
      <c r="T282" s="935"/>
      <c r="U282" s="599">
        <f>U283/12</f>
        <v>4857.6000000000013</v>
      </c>
      <c r="V282" s="599">
        <f>V283/12</f>
        <v>333305.08474576246</v>
      </c>
      <c r="W282" s="599">
        <f>W283/12</f>
        <v>325041.32231404912</v>
      </c>
      <c r="X282" s="599">
        <f>X283/12</f>
        <v>254975.68881685557</v>
      </c>
      <c r="Y282" s="361"/>
      <c r="Z282" s="364"/>
      <c r="AA282" s="367"/>
      <c r="AB282"/>
      <c r="AC282"/>
      <c r="AD282"/>
      <c r="AE282"/>
      <c r="AF282"/>
      <c r="AG282"/>
      <c r="AH282"/>
      <c r="AI282"/>
      <c r="AJ282"/>
      <c r="AK282"/>
      <c r="AL282"/>
      <c r="AM282"/>
      <c r="AN282"/>
      <c r="AO282"/>
      <c r="AP282"/>
      <c r="AQ282"/>
      <c r="AR282"/>
      <c r="AS282"/>
      <c r="AT282"/>
      <c r="AU282"/>
      <c r="AV282"/>
      <c r="AW282"/>
      <c r="AX282"/>
    </row>
    <row r="283" spans="17:50" ht="12.75" customHeight="1">
      <c r="Q283" s="364"/>
      <c r="R283" s="937"/>
      <c r="S283" s="935" t="s">
        <v>308</v>
      </c>
      <c r="T283" s="935"/>
      <c r="U283" s="599">
        <f>U271+U277</f>
        <v>58291.200000000012</v>
      </c>
      <c r="V283" s="599">
        <f>V271+V277</f>
        <v>3999661.0169491498</v>
      </c>
      <c r="W283" s="599">
        <f>W271+W277</f>
        <v>3900495.8677685894</v>
      </c>
      <c r="X283" s="599">
        <f>X271+X277</f>
        <v>3059708.265802267</v>
      </c>
      <c r="Y283" s="361"/>
      <c r="Z283" s="364"/>
      <c r="AA283" s="367"/>
      <c r="AB283"/>
      <c r="AC283"/>
      <c r="AD283"/>
      <c r="AE283"/>
      <c r="AF283"/>
      <c r="AG283"/>
      <c r="AH283"/>
      <c r="AI283"/>
      <c r="AJ283"/>
      <c r="AK283"/>
      <c r="AL283"/>
      <c r="AM283"/>
      <c r="AN283"/>
      <c r="AO283"/>
      <c r="AP283"/>
      <c r="AQ283"/>
      <c r="AR283"/>
      <c r="AS283"/>
      <c r="AT283"/>
      <c r="AU283"/>
      <c r="AV283"/>
      <c r="AW283"/>
      <c r="AX283"/>
    </row>
    <row r="284" spans="17:50" ht="12.75" customHeight="1">
      <c r="Q284" s="364"/>
      <c r="R284" s="363"/>
      <c r="S284" s="363"/>
      <c r="T284" s="577"/>
      <c r="U284" s="577"/>
      <c r="V284" s="596"/>
      <c r="W284" s="363"/>
      <c r="X284" s="363"/>
      <c r="Y284" s="363"/>
      <c r="Z284" s="363"/>
      <c r="AA284" s="367"/>
      <c r="AB284"/>
      <c r="AC284"/>
      <c r="AD284"/>
      <c r="AE284"/>
      <c r="AF284"/>
      <c r="AG284"/>
      <c r="AH284"/>
      <c r="AI284"/>
      <c r="AJ284"/>
      <c r="AK284"/>
      <c r="AL284"/>
      <c r="AM284"/>
      <c r="AN284"/>
      <c r="AO284"/>
      <c r="AP284"/>
      <c r="AQ284"/>
      <c r="AR284"/>
      <c r="AS284"/>
      <c r="AT284"/>
      <c r="AU284"/>
      <c r="AV284"/>
      <c r="AW284"/>
      <c r="AX284"/>
    </row>
    <row r="285" spans="17:50" ht="12.75" customHeight="1">
      <c r="Q285" s="668" t="s">
        <v>756</v>
      </c>
      <c r="R285" s="363" t="s">
        <v>758</v>
      </c>
      <c r="S285" s="363"/>
      <c r="T285" s="577"/>
      <c r="U285" s="577"/>
      <c r="V285" s="596"/>
      <c r="W285" s="363"/>
      <c r="X285" s="363"/>
      <c r="Y285" s="363"/>
      <c r="Z285" s="363"/>
      <c r="AA285" s="367"/>
      <c r="AB285"/>
      <c r="AC285"/>
      <c r="AD285"/>
      <c r="AE285"/>
      <c r="AF285"/>
      <c r="AG285"/>
      <c r="AH285"/>
      <c r="AI285"/>
      <c r="AJ285"/>
      <c r="AK285"/>
      <c r="AL285"/>
      <c r="AM285"/>
      <c r="AN285"/>
      <c r="AO285"/>
      <c r="AP285"/>
      <c r="AQ285"/>
      <c r="AR285"/>
      <c r="AS285"/>
      <c r="AT285"/>
      <c r="AU285"/>
      <c r="AV285"/>
      <c r="AW285"/>
      <c r="AX285"/>
    </row>
    <row r="286" spans="17:50" ht="12.75" customHeight="1">
      <c r="Q286" s="364"/>
      <c r="R286" s="935" t="s">
        <v>678</v>
      </c>
      <c r="S286" s="935"/>
      <c r="T286" s="935"/>
      <c r="U286" s="935"/>
      <c r="V286" s="936" t="s">
        <v>500</v>
      </c>
      <c r="W286" s="936" t="s">
        <v>22</v>
      </c>
      <c r="X286" s="936" t="s">
        <v>579</v>
      </c>
      <c r="Y286" s="936" t="s">
        <v>21</v>
      </c>
      <c r="Z286" s="361"/>
      <c r="AA286" s="367"/>
      <c r="AB286"/>
      <c r="AC286"/>
      <c r="AD286"/>
      <c r="AE286"/>
      <c r="AF286"/>
      <c r="AG286"/>
      <c r="AH286"/>
      <c r="AI286"/>
      <c r="AJ286"/>
      <c r="AK286"/>
      <c r="AL286"/>
      <c r="AM286"/>
      <c r="AN286"/>
      <c r="AO286"/>
      <c r="AP286"/>
      <c r="AQ286"/>
      <c r="AR286"/>
      <c r="AS286"/>
      <c r="AT286"/>
      <c r="AU286"/>
      <c r="AV286"/>
      <c r="AW286"/>
      <c r="AX286"/>
    </row>
    <row r="287" spans="17:50" ht="12.75" customHeight="1">
      <c r="Q287" s="364"/>
      <c r="R287" s="935"/>
      <c r="S287" s="935"/>
      <c r="T287" s="935"/>
      <c r="U287" s="935"/>
      <c r="V287" s="936"/>
      <c r="W287" s="936"/>
      <c r="X287" s="936"/>
      <c r="Y287" s="936"/>
      <c r="Z287" s="361"/>
      <c r="AA287" s="367"/>
      <c r="AB287"/>
      <c r="AC287"/>
      <c r="AD287"/>
      <c r="AE287"/>
      <c r="AF287"/>
      <c r="AG287"/>
      <c r="AH287"/>
      <c r="AI287"/>
      <c r="AJ287"/>
      <c r="AK287"/>
      <c r="AL287"/>
      <c r="AM287"/>
      <c r="AN287"/>
      <c r="AO287"/>
      <c r="AP287"/>
      <c r="AQ287"/>
      <c r="AR287"/>
      <c r="AS287"/>
      <c r="AT287"/>
      <c r="AU287"/>
      <c r="AV287"/>
      <c r="AW287"/>
      <c r="AX287"/>
    </row>
    <row r="288" spans="17:50" ht="12.75" customHeight="1">
      <c r="Q288" s="364"/>
      <c r="R288" s="931" t="s">
        <v>35</v>
      </c>
      <c r="S288" s="931"/>
      <c r="T288" s="931"/>
      <c r="U288" s="931"/>
      <c r="V288" s="599">
        <f>AVERAGE(U196:W196)*5%</f>
        <v>1317128.0389410285</v>
      </c>
      <c r="W288" s="599">
        <f>V202*5%</f>
        <v>1515871.5254237289</v>
      </c>
      <c r="X288" s="599">
        <f>W202*5%</f>
        <v>1513392.396694215</v>
      </c>
      <c r="Y288" s="599">
        <f>X202*5%</f>
        <v>1492372.7066450568</v>
      </c>
      <c r="Z288" s="361"/>
      <c r="AA288" s="367"/>
      <c r="AB288"/>
      <c r="AC288"/>
      <c r="AD288"/>
      <c r="AE288"/>
      <c r="AF288"/>
      <c r="AG288"/>
      <c r="AH288"/>
      <c r="AI288"/>
      <c r="AJ288"/>
      <c r="AK288"/>
      <c r="AL288"/>
      <c r="AM288"/>
      <c r="AN288"/>
      <c r="AO288"/>
      <c r="AP288"/>
      <c r="AQ288"/>
      <c r="AR288"/>
      <c r="AS288"/>
      <c r="AT288"/>
      <c r="AU288"/>
      <c r="AV288"/>
      <c r="AW288"/>
      <c r="AX288"/>
    </row>
    <row r="289" spans="17:50" ht="12.75" customHeight="1">
      <c r="Q289" s="364"/>
      <c r="R289" s="931" t="s">
        <v>481</v>
      </c>
      <c r="S289" s="931"/>
      <c r="T289" s="931"/>
      <c r="U289" s="931"/>
      <c r="V289" s="600" t="s">
        <v>479</v>
      </c>
      <c r="W289" s="599">
        <f>Y289</f>
        <v>1059840</v>
      </c>
      <c r="X289" s="600" t="s">
        <v>479</v>
      </c>
      <c r="Y289" s="599">
        <f>Consumables!E23*12</f>
        <v>1059840</v>
      </c>
      <c r="Z289" s="361"/>
      <c r="AA289" s="367"/>
      <c r="AB289"/>
      <c r="AC289"/>
      <c r="AD289"/>
      <c r="AE289"/>
      <c r="AF289"/>
      <c r="AG289"/>
      <c r="AH289"/>
      <c r="AI289"/>
      <c r="AJ289"/>
      <c r="AK289"/>
      <c r="AL289"/>
      <c r="AM289"/>
      <c r="AN289"/>
      <c r="AO289"/>
      <c r="AP289"/>
      <c r="AQ289"/>
      <c r="AR289"/>
      <c r="AS289"/>
      <c r="AT289"/>
      <c r="AU289"/>
      <c r="AV289"/>
      <c r="AW289"/>
      <c r="AX289"/>
    </row>
    <row r="290" spans="17:50" ht="12.75" customHeight="1">
      <c r="Q290" s="364"/>
      <c r="R290" s="931" t="s">
        <v>311</v>
      </c>
      <c r="S290" s="931"/>
      <c r="T290" s="931"/>
      <c r="U290" s="931"/>
      <c r="V290" s="600" t="s">
        <v>557</v>
      </c>
      <c r="W290" s="599">
        <f>Y290</f>
        <v>416000</v>
      </c>
      <c r="X290" s="599">
        <f>W290</f>
        <v>416000</v>
      </c>
      <c r="Y290" s="599">
        <f>Consumables!E21*12</f>
        <v>416000</v>
      </c>
      <c r="Z290" s="361"/>
      <c r="AA290" s="367"/>
      <c r="AB290"/>
      <c r="AC290"/>
      <c r="AD290"/>
      <c r="AE290"/>
      <c r="AF290"/>
      <c r="AG290"/>
      <c r="AH290"/>
      <c r="AI290"/>
      <c r="AJ290"/>
      <c r="AK290"/>
      <c r="AL290"/>
      <c r="AM290"/>
      <c r="AN290"/>
      <c r="AO290"/>
      <c r="AP290"/>
      <c r="AQ290"/>
      <c r="AR290"/>
      <c r="AS290"/>
      <c r="AT290"/>
      <c r="AU290"/>
      <c r="AV290"/>
      <c r="AW290"/>
      <c r="AX290"/>
    </row>
    <row r="291" spans="17:50" ht="12.75" customHeight="1">
      <c r="Q291" s="364"/>
      <c r="R291" s="931" t="s">
        <v>480</v>
      </c>
      <c r="S291" s="931"/>
      <c r="T291" s="931"/>
      <c r="U291" s="931"/>
      <c r="V291" s="599">
        <f>Consumables!H21*12</f>
        <v>3865001.2800000003</v>
      </c>
      <c r="W291" s="599">
        <v>0</v>
      </c>
      <c r="X291" s="599">
        <v>0</v>
      </c>
      <c r="Y291" s="599">
        <v>0</v>
      </c>
      <c r="Z291" s="361"/>
      <c r="AA291" s="367"/>
      <c r="AB291"/>
      <c r="AC291"/>
      <c r="AD291"/>
      <c r="AE291"/>
      <c r="AF291"/>
      <c r="AG291"/>
      <c r="AH291"/>
      <c r="AI291"/>
      <c r="AJ291"/>
      <c r="AK291"/>
      <c r="AL291"/>
      <c r="AM291"/>
      <c r="AN291"/>
      <c r="AO291"/>
      <c r="AP291"/>
      <c r="AQ291"/>
      <c r="AR291"/>
      <c r="AS291"/>
      <c r="AT291"/>
      <c r="AU291"/>
      <c r="AV291"/>
      <c r="AW291"/>
      <c r="AX291"/>
    </row>
    <row r="292" spans="17:50" ht="12.75" customHeight="1">
      <c r="Q292" s="364"/>
      <c r="R292" s="931" t="s">
        <v>312</v>
      </c>
      <c r="S292" s="931"/>
      <c r="T292" s="931"/>
      <c r="U292" s="931"/>
      <c r="V292" s="599">
        <f>Consumables!H20*12</f>
        <v>2691993.6000000001</v>
      </c>
      <c r="W292" s="599">
        <f>Y292</f>
        <v>2331648.0000000005</v>
      </c>
      <c r="X292" s="599">
        <f>W292</f>
        <v>2331648.0000000005</v>
      </c>
      <c r="Y292" s="599">
        <f>Consumables!E20*12</f>
        <v>2331648.0000000005</v>
      </c>
      <c r="Z292" s="361"/>
      <c r="AA292" s="367"/>
      <c r="AB292"/>
      <c r="AC292"/>
      <c r="AD292"/>
      <c r="AE292"/>
      <c r="AF292"/>
      <c r="AG292"/>
      <c r="AH292"/>
      <c r="AI292"/>
      <c r="AJ292"/>
      <c r="AK292"/>
      <c r="AL292"/>
      <c r="AM292"/>
      <c r="AN292"/>
      <c r="AO292"/>
      <c r="AP292"/>
      <c r="AQ292"/>
      <c r="AR292"/>
      <c r="AS292"/>
      <c r="AT292"/>
      <c r="AU292"/>
      <c r="AV292"/>
      <c r="AW292"/>
      <c r="AX292"/>
    </row>
    <row r="293" spans="17:50" ht="12.75" customHeight="1">
      <c r="Q293" s="364"/>
      <c r="R293" s="931" t="s">
        <v>313</v>
      </c>
      <c r="S293" s="931"/>
      <c r="T293" s="931"/>
      <c r="U293" s="931"/>
      <c r="V293" s="599">
        <f>Consumables!H19*12</f>
        <v>1674547.2000000002</v>
      </c>
      <c r="W293" s="599">
        <f>Y293</f>
        <v>1398988.8</v>
      </c>
      <c r="X293" s="599">
        <f>W293</f>
        <v>1398988.8</v>
      </c>
      <c r="Y293" s="599">
        <f>Consumables!E19*12</f>
        <v>1398988.8</v>
      </c>
      <c r="Z293" s="361"/>
      <c r="AA293" s="367"/>
      <c r="AB293"/>
      <c r="AC293"/>
      <c r="AD293"/>
      <c r="AE293"/>
      <c r="AF293"/>
      <c r="AG293"/>
      <c r="AH293"/>
      <c r="AI293"/>
      <c r="AJ293"/>
      <c r="AK293"/>
      <c r="AL293"/>
      <c r="AM293"/>
      <c r="AN293"/>
      <c r="AO293"/>
      <c r="AP293"/>
      <c r="AQ293"/>
      <c r="AR293"/>
      <c r="AS293"/>
      <c r="AT293"/>
      <c r="AU293"/>
      <c r="AV293"/>
      <c r="AW293"/>
      <c r="AX293"/>
    </row>
    <row r="294" spans="17:50" ht="12.75" customHeight="1">
      <c r="Q294" s="364"/>
      <c r="R294" s="931" t="s">
        <v>190</v>
      </c>
      <c r="S294" s="931"/>
      <c r="T294" s="931"/>
      <c r="U294" s="931"/>
      <c r="V294" s="599">
        <f>Consumables!H22*12</f>
        <v>8294400</v>
      </c>
      <c r="W294" s="599">
        <v>0</v>
      </c>
      <c r="X294" s="599">
        <v>0</v>
      </c>
      <c r="Y294" s="599">
        <v>0</v>
      </c>
      <c r="Z294" s="361"/>
      <c r="AA294" s="367"/>
      <c r="AB294"/>
      <c r="AC294"/>
      <c r="AD294"/>
      <c r="AE294"/>
      <c r="AF294"/>
      <c r="AG294"/>
      <c r="AH294"/>
      <c r="AI294"/>
      <c r="AJ294"/>
      <c r="AK294"/>
      <c r="AL294"/>
      <c r="AM294"/>
      <c r="AN294"/>
      <c r="AO294"/>
      <c r="AP294"/>
      <c r="AQ294"/>
      <c r="AR294"/>
      <c r="AS294"/>
      <c r="AT294"/>
      <c r="AU294"/>
      <c r="AV294"/>
      <c r="AW294"/>
      <c r="AX294"/>
    </row>
    <row r="295" spans="17:50" ht="12.75" customHeight="1">
      <c r="Q295" s="364"/>
      <c r="R295" s="931" t="s">
        <v>482</v>
      </c>
      <c r="S295" s="931"/>
      <c r="T295" s="931"/>
      <c r="U295" s="931"/>
      <c r="V295" s="599">
        <v>0</v>
      </c>
      <c r="W295" s="599">
        <f>Y295</f>
        <v>199600.00000000003</v>
      </c>
      <c r="X295" s="599">
        <f>W295</f>
        <v>199600.00000000003</v>
      </c>
      <c r="Y295" s="599">
        <f>Consumables!E25*12</f>
        <v>199600.00000000003</v>
      </c>
      <c r="Z295" s="361"/>
      <c r="AA295" s="367"/>
      <c r="AB295"/>
      <c r="AC295"/>
      <c r="AD295"/>
      <c r="AE295"/>
      <c r="AF295"/>
      <c r="AG295"/>
      <c r="AH295"/>
      <c r="AI295"/>
      <c r="AJ295"/>
      <c r="AK295"/>
      <c r="AL295"/>
      <c r="AM295"/>
      <c r="AN295"/>
      <c r="AO295"/>
      <c r="AP295"/>
      <c r="AQ295"/>
      <c r="AR295"/>
      <c r="AS295"/>
      <c r="AT295"/>
      <c r="AU295"/>
      <c r="AV295"/>
      <c r="AW295"/>
      <c r="AX295"/>
    </row>
    <row r="296" spans="17:50" ht="12.75" customHeight="1">
      <c r="Q296" s="364"/>
      <c r="R296" s="931" t="s">
        <v>483</v>
      </c>
      <c r="S296" s="931"/>
      <c r="T296" s="931"/>
      <c r="U296" s="931"/>
      <c r="V296" s="599">
        <v>0</v>
      </c>
      <c r="W296" s="599">
        <f>Y296</f>
        <v>40600</v>
      </c>
      <c r="X296" s="599">
        <f>W296</f>
        <v>40600</v>
      </c>
      <c r="Y296" s="599">
        <f>Consumables!E24*12</f>
        <v>40600</v>
      </c>
      <c r="Z296" s="361"/>
      <c r="AA296" s="367"/>
      <c r="AB296"/>
      <c r="AC296"/>
      <c r="AD296"/>
      <c r="AE296"/>
      <c r="AF296"/>
      <c r="AG296"/>
      <c r="AH296"/>
      <c r="AI296"/>
      <c r="AJ296"/>
      <c r="AK296"/>
      <c r="AL296"/>
      <c r="AM296"/>
      <c r="AN296"/>
      <c r="AO296"/>
      <c r="AP296"/>
      <c r="AQ296"/>
      <c r="AR296"/>
      <c r="AS296"/>
      <c r="AT296"/>
      <c r="AU296"/>
      <c r="AV296"/>
      <c r="AW296"/>
      <c r="AX296"/>
    </row>
    <row r="297" spans="17:50" ht="12.75" customHeight="1">
      <c r="Q297" s="364"/>
      <c r="R297" s="931" t="s">
        <v>478</v>
      </c>
      <c r="S297" s="931"/>
      <c r="T297" s="931"/>
      <c r="U297" s="931"/>
      <c r="V297" s="599">
        <f>U283</f>
        <v>58291.200000000012</v>
      </c>
      <c r="W297" s="599">
        <f>V283</f>
        <v>3999661.0169491498</v>
      </c>
      <c r="X297" s="599">
        <f>W283</f>
        <v>3900495.8677685894</v>
      </c>
      <c r="Y297" s="599">
        <f>X283</f>
        <v>3059708.265802267</v>
      </c>
      <c r="Z297" s="361"/>
      <c r="AA297" s="367"/>
      <c r="AB297"/>
      <c r="AC297"/>
      <c r="AD297"/>
      <c r="AE297"/>
      <c r="AF297"/>
      <c r="AG297"/>
      <c r="AH297"/>
      <c r="AI297"/>
      <c r="AJ297"/>
      <c r="AK297"/>
      <c r="AL297"/>
      <c r="AM297"/>
      <c r="AN297"/>
      <c r="AO297"/>
      <c r="AP297"/>
      <c r="AQ297"/>
      <c r="AR297"/>
      <c r="AS297"/>
      <c r="AT297"/>
      <c r="AU297"/>
      <c r="AV297"/>
      <c r="AW297"/>
      <c r="AX297"/>
    </row>
    <row r="298" spans="17:50" ht="12.75" customHeight="1">
      <c r="Q298" s="364"/>
      <c r="R298" s="931" t="s">
        <v>484</v>
      </c>
      <c r="S298" s="931"/>
      <c r="T298" s="931"/>
      <c r="U298" s="931"/>
      <c r="V298" s="599">
        <f>'NIHL Compenation Cost'!AD21</f>
        <v>1715167.5</v>
      </c>
      <c r="W298" s="599">
        <f>'NIHL Compenation Cost'!Z21</f>
        <v>989115.00000000012</v>
      </c>
      <c r="X298" s="599">
        <f>'NIHL Compenation Cost'!AB21</f>
        <v>1087325</v>
      </c>
      <c r="Y298" s="599">
        <f>'NIHL Compenation Cost'!X21</f>
        <v>596275</v>
      </c>
      <c r="Z298" s="361"/>
      <c r="AA298" s="367"/>
      <c r="AB298"/>
      <c r="AC298"/>
      <c r="AD298"/>
      <c r="AE298"/>
      <c r="AF298"/>
      <c r="AG298"/>
      <c r="AH298"/>
      <c r="AI298"/>
      <c r="AJ298"/>
      <c r="AK298"/>
      <c r="AL298"/>
      <c r="AM298"/>
      <c r="AN298"/>
      <c r="AO298"/>
      <c r="AP298"/>
      <c r="AQ298"/>
      <c r="AR298"/>
      <c r="AS298"/>
      <c r="AT298"/>
      <c r="AU298"/>
      <c r="AV298"/>
      <c r="AW298"/>
      <c r="AX298"/>
    </row>
    <row r="299" spans="17:50" ht="12.75" customHeight="1">
      <c r="Q299" s="364"/>
      <c r="R299" s="932" t="s">
        <v>677</v>
      </c>
      <c r="S299" s="932"/>
      <c r="T299" s="932"/>
      <c r="U299" s="932"/>
      <c r="V299" s="599">
        <f>SUM(V288:V298)</f>
        <v>19616528.818941027</v>
      </c>
      <c r="W299" s="599">
        <f>SUM(W288:W298)</f>
        <v>11951324.342372879</v>
      </c>
      <c r="X299" s="599">
        <f>SUM(X288:X298)</f>
        <v>10888050.064462803</v>
      </c>
      <c r="Y299" s="599">
        <f>SUM(Y288:Y298)</f>
        <v>10595032.772447323</v>
      </c>
      <c r="Z299" s="361"/>
      <c r="AA299" s="367"/>
      <c r="AB299"/>
      <c r="AC299"/>
      <c r="AD299"/>
      <c r="AE299"/>
      <c r="AF299"/>
      <c r="AG299"/>
      <c r="AH299"/>
      <c r="AI299"/>
      <c r="AJ299"/>
      <c r="AK299"/>
      <c r="AL299"/>
      <c r="AM299"/>
      <c r="AN299"/>
      <c r="AO299"/>
      <c r="AP299"/>
      <c r="AQ299"/>
      <c r="AR299"/>
      <c r="AS299"/>
      <c r="AT299"/>
      <c r="AU299"/>
      <c r="AV299"/>
      <c r="AW299"/>
      <c r="AX299"/>
    </row>
    <row r="300" spans="17:50" ht="12.75" customHeight="1">
      <c r="Q300" s="364"/>
      <c r="R300" s="591"/>
      <c r="S300" s="591"/>
      <c r="T300" s="591"/>
      <c r="U300" s="591"/>
      <c r="V300" s="718"/>
      <c r="W300" s="718"/>
      <c r="X300" s="718"/>
      <c r="Y300" s="718"/>
      <c r="Z300" s="361"/>
      <c r="AA300" s="367"/>
      <c r="AB300"/>
      <c r="AC300"/>
      <c r="AD300"/>
      <c r="AE300"/>
      <c r="AF300"/>
      <c r="AG300"/>
      <c r="AH300"/>
      <c r="AI300"/>
      <c r="AJ300"/>
      <c r="AK300"/>
      <c r="AL300"/>
      <c r="AM300"/>
      <c r="AN300"/>
      <c r="AO300"/>
      <c r="AP300"/>
      <c r="AQ300"/>
      <c r="AR300"/>
      <c r="AS300"/>
      <c r="AT300"/>
      <c r="AU300"/>
      <c r="AV300"/>
      <c r="AW300"/>
      <c r="AX300"/>
    </row>
    <row r="301" spans="17:50" ht="12.75" customHeight="1">
      <c r="Q301" s="364"/>
      <c r="R301" s="591"/>
      <c r="S301" s="591"/>
      <c r="T301" s="933" t="s">
        <v>812</v>
      </c>
      <c r="U301" s="933"/>
      <c r="V301" s="718">
        <f>V299-V294</f>
        <v>11322128.818941027</v>
      </c>
      <c r="W301" s="718">
        <f>W299-W294</f>
        <v>11951324.342372879</v>
      </c>
      <c r="X301" s="718">
        <f>X299-X294</f>
        <v>10888050.064462803</v>
      </c>
      <c r="Y301" s="718">
        <f>Y299-Y294</f>
        <v>10595032.772447323</v>
      </c>
      <c r="Z301" s="361"/>
      <c r="AA301" s="367"/>
      <c r="AB301"/>
      <c r="AC301"/>
      <c r="AD301"/>
      <c r="AE301"/>
      <c r="AF301"/>
      <c r="AG301"/>
      <c r="AH301"/>
      <c r="AI301"/>
      <c r="AJ301"/>
      <c r="AK301"/>
      <c r="AL301"/>
      <c r="AM301"/>
      <c r="AN301"/>
      <c r="AO301"/>
      <c r="AP301"/>
      <c r="AQ301"/>
      <c r="AR301"/>
      <c r="AS301"/>
      <c r="AT301"/>
      <c r="AU301"/>
      <c r="AV301"/>
      <c r="AW301"/>
      <c r="AX301"/>
    </row>
    <row r="302" spans="17:50" ht="12.75" customHeight="1">
      <c r="Q302" s="364"/>
      <c r="R302" s="364"/>
      <c r="S302" s="364"/>
      <c r="T302" s="934" t="s">
        <v>350</v>
      </c>
      <c r="U302" s="934"/>
      <c r="V302" s="682">
        <f>V294</f>
        <v>8294400</v>
      </c>
      <c r="W302" s="682"/>
      <c r="X302" s="682"/>
      <c r="Y302" s="682"/>
      <c r="Z302" s="364"/>
      <c r="AA302" s="367"/>
      <c r="AB302"/>
      <c r="AC302"/>
      <c r="AD302"/>
      <c r="AE302"/>
      <c r="AF302"/>
      <c r="AG302"/>
      <c r="AH302"/>
      <c r="AI302"/>
      <c r="AJ302"/>
      <c r="AK302"/>
      <c r="AL302"/>
      <c r="AM302"/>
      <c r="AN302"/>
      <c r="AO302"/>
      <c r="AP302"/>
      <c r="AQ302"/>
      <c r="AR302"/>
      <c r="AS302"/>
      <c r="AT302"/>
      <c r="AU302"/>
      <c r="AV302"/>
      <c r="AW302"/>
      <c r="AX302"/>
    </row>
    <row r="303" spans="17:50" ht="12.75" customHeight="1">
      <c r="Q303" s="364">
        <v>10.3</v>
      </c>
      <c r="R303" s="363"/>
      <c r="S303" s="364"/>
      <c r="T303" s="364"/>
      <c r="U303" s="364"/>
      <c r="V303" s="682"/>
      <c r="W303" s="364"/>
      <c r="X303" s="362"/>
      <c r="Y303" s="682"/>
      <c r="Z303" s="364"/>
      <c r="AA303" s="367"/>
      <c r="AB303"/>
      <c r="AC303"/>
      <c r="AD303"/>
      <c r="AE303"/>
      <c r="AF303"/>
      <c r="AG303"/>
      <c r="AH303"/>
      <c r="AI303"/>
      <c r="AJ303"/>
      <c r="AK303"/>
      <c r="AL303"/>
      <c r="AM303"/>
      <c r="AN303"/>
      <c r="AO303"/>
      <c r="AP303"/>
      <c r="AQ303"/>
      <c r="AR303"/>
      <c r="AS303"/>
      <c r="AT303"/>
      <c r="AU303"/>
      <c r="AV303"/>
      <c r="AW303"/>
      <c r="AX303"/>
    </row>
    <row r="304" spans="17:50" ht="12.75" customHeight="1">
      <c r="Q304" s="364"/>
      <c r="R304" s="364"/>
      <c r="S304" s="364"/>
      <c r="T304" s="364"/>
      <c r="U304" s="364"/>
      <c r="V304" s="364"/>
      <c r="W304" s="364"/>
      <c r="X304" s="364"/>
      <c r="Y304" s="364"/>
      <c r="Z304" s="364"/>
      <c r="AA304" s="367"/>
      <c r="AB304"/>
      <c r="AC304"/>
      <c r="AD304"/>
      <c r="AE304"/>
      <c r="AF304"/>
      <c r="AG304"/>
      <c r="AH304"/>
      <c r="AI304"/>
      <c r="AJ304"/>
      <c r="AK304"/>
      <c r="AL304"/>
      <c r="AM304"/>
      <c r="AN304"/>
      <c r="AO304"/>
      <c r="AP304"/>
      <c r="AQ304"/>
      <c r="AR304"/>
      <c r="AS304"/>
      <c r="AT304"/>
      <c r="AU304"/>
      <c r="AV304"/>
      <c r="AW304"/>
      <c r="AX304"/>
    </row>
    <row r="305" spans="17:50" ht="12.75" customHeight="1">
      <c r="Q305" s="364"/>
      <c r="R305" s="935" t="s">
        <v>195</v>
      </c>
      <c r="S305" s="935"/>
      <c r="T305" s="935"/>
      <c r="U305" s="935"/>
      <c r="V305" s="935"/>
      <c r="W305" s="375"/>
      <c r="X305" s="683"/>
      <c r="Y305" s="375"/>
      <c r="Z305" s="375"/>
      <c r="AA305" s="367"/>
      <c r="AB305"/>
      <c r="AC305"/>
      <c r="AD305"/>
      <c r="AE305"/>
      <c r="AF305"/>
      <c r="AG305"/>
      <c r="AH305"/>
      <c r="AI305"/>
      <c r="AJ305"/>
      <c r="AK305"/>
      <c r="AL305"/>
      <c r="AM305"/>
      <c r="AN305"/>
      <c r="AO305"/>
      <c r="AP305"/>
      <c r="AQ305"/>
      <c r="AR305"/>
      <c r="AS305"/>
      <c r="AT305"/>
      <c r="AU305"/>
      <c r="AV305"/>
      <c r="AW305"/>
      <c r="AX305"/>
    </row>
    <row r="306" spans="17:50" ht="12.75" customHeight="1">
      <c r="Q306" s="364"/>
      <c r="R306" s="926" t="s">
        <v>509</v>
      </c>
      <c r="S306" s="927" t="s">
        <v>21</v>
      </c>
      <c r="T306" s="928" t="s">
        <v>22</v>
      </c>
      <c r="U306" s="929" t="s">
        <v>579</v>
      </c>
      <c r="V306" s="930" t="s">
        <v>500</v>
      </c>
      <c r="W306" s="363"/>
      <c r="X306" s="684"/>
      <c r="Y306" s="363"/>
      <c r="Z306" s="364"/>
      <c r="AA306" s="367"/>
      <c r="AB306"/>
      <c r="AC306"/>
      <c r="AD306"/>
      <c r="AE306"/>
      <c r="AF306"/>
      <c r="AG306"/>
      <c r="AH306"/>
      <c r="AI306"/>
      <c r="AJ306"/>
      <c r="AK306"/>
      <c r="AL306"/>
      <c r="AM306"/>
      <c r="AN306"/>
      <c r="AO306"/>
      <c r="AP306"/>
      <c r="AQ306"/>
      <c r="AR306"/>
      <c r="AS306"/>
      <c r="AT306"/>
      <c r="AU306"/>
      <c r="AV306"/>
      <c r="AW306"/>
      <c r="AX306"/>
    </row>
    <row r="307" spans="17:50" ht="12.75" customHeight="1">
      <c r="Q307" s="364"/>
      <c r="R307" s="926"/>
      <c r="S307" s="927"/>
      <c r="T307" s="928"/>
      <c r="U307" s="929"/>
      <c r="V307" s="930"/>
      <c r="W307" s="363"/>
      <c r="X307" s="684"/>
      <c r="Y307" s="363"/>
      <c r="Z307" s="364"/>
      <c r="AA307" s="367"/>
      <c r="AB307"/>
      <c r="AC307"/>
      <c r="AD307"/>
      <c r="AE307"/>
      <c r="AF307"/>
      <c r="AG307"/>
      <c r="AH307"/>
      <c r="AI307"/>
      <c r="AJ307"/>
      <c r="AK307"/>
      <c r="AL307"/>
      <c r="AM307"/>
      <c r="AN307"/>
      <c r="AO307"/>
      <c r="AP307"/>
      <c r="AQ307"/>
      <c r="AR307"/>
      <c r="AS307"/>
      <c r="AT307"/>
      <c r="AU307"/>
      <c r="AV307"/>
      <c r="AW307"/>
      <c r="AX307"/>
    </row>
    <row r="308" spans="17:50" ht="12.75" customHeight="1">
      <c r="Q308" s="364"/>
      <c r="R308" s="667" t="s">
        <v>204</v>
      </c>
      <c r="S308" s="667" t="s">
        <v>846</v>
      </c>
      <c r="T308" s="667" t="s">
        <v>846</v>
      </c>
      <c r="U308" s="667" t="s">
        <v>846</v>
      </c>
      <c r="V308" s="667" t="s">
        <v>846</v>
      </c>
      <c r="W308" s="363"/>
      <c r="X308" s="363"/>
      <c r="Y308" s="363"/>
      <c r="Z308" s="364"/>
      <c r="AA308" s="367"/>
      <c r="AB308"/>
      <c r="AC308"/>
      <c r="AD308"/>
      <c r="AE308"/>
      <c r="AF308"/>
      <c r="AG308"/>
      <c r="AH308"/>
      <c r="AI308"/>
      <c r="AJ308"/>
      <c r="AK308"/>
      <c r="AL308"/>
      <c r="AM308"/>
      <c r="AN308"/>
      <c r="AO308"/>
      <c r="AP308"/>
      <c r="AQ308"/>
      <c r="AR308"/>
      <c r="AS308"/>
      <c r="AT308"/>
      <c r="AU308"/>
      <c r="AV308"/>
      <c r="AW308"/>
      <c r="AX308"/>
    </row>
    <row r="309" spans="17:50" ht="12.75" customHeight="1">
      <c r="Q309" s="364"/>
      <c r="R309" s="600">
        <v>1</v>
      </c>
      <c r="S309" s="369">
        <f>$X$69</f>
        <v>116.90000000000003</v>
      </c>
      <c r="T309" s="584">
        <f>$V$69</f>
        <v>108.59999999999988</v>
      </c>
      <c r="U309" s="685">
        <f>$W$69</f>
        <v>109.59999999999988</v>
      </c>
      <c r="V309" s="369">
        <f>$U$69</f>
        <v>102</v>
      </c>
      <c r="W309" s="363"/>
      <c r="X309" s="363"/>
      <c r="Y309" s="363"/>
      <c r="Z309" s="364"/>
      <c r="AA309" s="367"/>
      <c r="AB309"/>
      <c r="AC309"/>
      <c r="AD309"/>
      <c r="AE309"/>
      <c r="AF309"/>
      <c r="AG309"/>
      <c r="AH309"/>
      <c r="AI309"/>
      <c r="AJ309"/>
      <c r="AK309"/>
      <c r="AL309"/>
      <c r="AM309"/>
      <c r="AN309"/>
      <c r="AO309"/>
      <c r="AP309"/>
      <c r="AQ309"/>
      <c r="AR309"/>
      <c r="AS309"/>
      <c r="AT309"/>
      <c r="AU309"/>
      <c r="AV309"/>
      <c r="AW309"/>
      <c r="AX309"/>
    </row>
    <row r="310" spans="17:50" ht="12.75" customHeight="1">
      <c r="Q310" s="364"/>
      <c r="R310" s="600">
        <v>2</v>
      </c>
      <c r="S310" s="584">
        <f>(LOG((10^(S309/10))+(10^(S309/10))))*10</f>
        <v>119.91029995663985</v>
      </c>
      <c r="T310" s="584">
        <f>(LOG((10^(T309/10))+(10^(T309/10))))*10</f>
        <v>111.61029995663972</v>
      </c>
      <c r="U310" s="584">
        <f>(LOG((10^(U309/10))+(10^(U309/10))))*10</f>
        <v>112.61029995663972</v>
      </c>
      <c r="V310" s="584">
        <f>(LOG((10^(V309/10))+(10^(V309/10))))*10</f>
        <v>105.01029995663983</v>
      </c>
      <c r="W310" s="363"/>
      <c r="X310" s="363"/>
      <c r="Y310" s="363"/>
      <c r="Z310" s="364"/>
      <c r="AA310" s="367"/>
      <c r="AB310"/>
      <c r="AC310"/>
      <c r="AD310"/>
      <c r="AE310"/>
      <c r="AF310"/>
      <c r="AG310"/>
      <c r="AH310"/>
      <c r="AI310"/>
      <c r="AJ310"/>
      <c r="AK310"/>
      <c r="AL310"/>
      <c r="AM310"/>
      <c r="AN310"/>
      <c r="AO310"/>
      <c r="AP310"/>
      <c r="AQ310"/>
      <c r="AR310"/>
      <c r="AS310"/>
      <c r="AT310"/>
      <c r="AU310"/>
      <c r="AV310"/>
      <c r="AW310"/>
      <c r="AX310"/>
    </row>
    <row r="311" spans="17:50" ht="12.75" customHeight="1">
      <c r="Q311" s="597"/>
      <c r="R311" s="600">
        <v>3</v>
      </c>
      <c r="S311" s="584">
        <f>(LOG((10^(S309/10))+(10^(S309/10))+(10^(S309/10)))*10)</f>
        <v>121.67121254719666</v>
      </c>
      <c r="T311" s="584">
        <f>(LOG((10^(T309/10))+(10^(T309/10))+(10^(T309/10)))*10)</f>
        <v>113.37121254719654</v>
      </c>
      <c r="U311" s="584">
        <f>(LOG((10^(U309/10))+(10^(U309/10))+(10^(U309/10)))*10)</f>
        <v>114.37121254719654</v>
      </c>
      <c r="V311" s="584">
        <f>(LOG((10^(V309/10))+(10^(V309/10))+(10^(V309/10)))*10)</f>
        <v>106.77121254719664</v>
      </c>
      <c r="W311" s="363"/>
      <c r="X311" s="363"/>
      <c r="Y311" s="363"/>
      <c r="Z311" s="364"/>
      <c r="AA311" s="367"/>
      <c r="AB311"/>
      <c r="AC311"/>
      <c r="AD311"/>
      <c r="AE311"/>
      <c r="AF311"/>
      <c r="AG311"/>
      <c r="AH311"/>
      <c r="AI311"/>
      <c r="AJ311"/>
      <c r="AK311"/>
      <c r="AL311"/>
      <c r="AM311"/>
      <c r="AN311"/>
      <c r="AO311"/>
      <c r="AP311"/>
      <c r="AQ311"/>
      <c r="AR311"/>
      <c r="AS311"/>
      <c r="AT311"/>
      <c r="AU311"/>
      <c r="AV311"/>
      <c r="AW311"/>
      <c r="AX311"/>
    </row>
    <row r="312" spans="17:50" ht="12.75" customHeight="1">
      <c r="Q312" s="364"/>
      <c r="R312" s="600">
        <v>4</v>
      </c>
      <c r="S312" s="584">
        <f>(LOG((10^(S309/10))+(10^(S309/10))+(10^(S309/10))+(10^(S309/10))))*10</f>
        <v>122.92059991327966</v>
      </c>
      <c r="T312" s="584">
        <f>(LOG((10^(T309/10))+(10^(T309/10))+(10^(T309/10))+(10^(T309/10))))*10</f>
        <v>114.62059991327953</v>
      </c>
      <c r="U312" s="584">
        <f>(LOG((10^(U309/10))+(10^(U309/10))+(10^(U309/10))+(10^(U309/10))))*10</f>
        <v>115.62059991327953</v>
      </c>
      <c r="V312" s="584">
        <f>(LOG((10^(V309/10))+(10^(V309/10))+(10^(V309/10))+(10^(V309/10))))*10</f>
        <v>108.02059991327964</v>
      </c>
      <c r="W312" s="363"/>
      <c r="X312" s="363"/>
      <c r="Y312" s="363"/>
      <c r="Z312" s="364"/>
      <c r="AA312" s="367"/>
      <c r="AB312"/>
      <c r="AC312"/>
      <c r="AD312"/>
      <c r="AE312"/>
      <c r="AF312"/>
      <c r="AG312"/>
      <c r="AH312"/>
      <c r="AI312"/>
      <c r="AJ312"/>
      <c r="AK312"/>
      <c r="AL312"/>
      <c r="AM312"/>
      <c r="AN312"/>
      <c r="AO312"/>
      <c r="AP312"/>
      <c r="AQ312"/>
      <c r="AR312"/>
      <c r="AS312"/>
      <c r="AT312"/>
      <c r="AU312"/>
      <c r="AV312"/>
      <c r="AW312"/>
      <c r="AX312"/>
    </row>
    <row r="313" spans="17:50" ht="12.75" customHeight="1">
      <c r="Q313" s="364"/>
      <c r="R313" s="600">
        <v>5</v>
      </c>
      <c r="S313" s="584">
        <f>(LOG((10^(S309/10))+(10^(S309/10))+(10^(S309/10))+(10^(S309/10))+(10^(S309/10))))*10</f>
        <v>123.88970004336024</v>
      </c>
      <c r="T313" s="584">
        <f>(LOG((10^(T309/10))+(10^(T309/10))+(10^(T309/10))+(10^(T309/10))+(10^(T309/10))))*10</f>
        <v>115.5897000433601</v>
      </c>
      <c r="U313" s="584">
        <f>(LOG((10^(U309/10))+(10^(U309/10))+(10^(U309/10))+(10^(U309/10))+(10^(U309/10))))*10</f>
        <v>116.5897000433601</v>
      </c>
      <c r="V313" s="584">
        <f>(LOG((10^(V309/10))+(10^(V309/10))+(10^(V309/10))+(10^(V309/10))+(10^(V309/10))))*10</f>
        <v>108.9897000433602</v>
      </c>
      <c r="W313" s="363"/>
      <c r="X313" s="363"/>
      <c r="Y313" s="363"/>
      <c r="Z313" s="364"/>
      <c r="AA313" s="367"/>
      <c r="AB313"/>
      <c r="AC313"/>
      <c r="AD313"/>
      <c r="AE313"/>
      <c r="AF313"/>
      <c r="AG313"/>
      <c r="AH313"/>
      <c r="AI313"/>
      <c r="AJ313"/>
      <c r="AK313"/>
      <c r="AL313"/>
      <c r="AM313"/>
      <c r="AN313"/>
      <c r="AO313"/>
      <c r="AP313"/>
      <c r="AQ313"/>
      <c r="AR313"/>
      <c r="AS313"/>
      <c r="AT313"/>
      <c r="AU313"/>
      <c r="AV313"/>
      <c r="AW313"/>
      <c r="AX313"/>
    </row>
    <row r="314" spans="17:50" ht="12.75" customHeight="1">
      <c r="Q314" s="364"/>
      <c r="R314" s="600">
        <v>6</v>
      </c>
      <c r="S314" s="584">
        <f>(LOG((10^(S309/10))+(10^(S309/10))+(10^(S309/10))+(10^(S309/10))+(10^(S309/10))+(10^(S309/10)))*10)</f>
        <v>124.68151250383647</v>
      </c>
      <c r="T314" s="584">
        <f>(LOG((10^(T309/10))+(10^(T309/10))+(10^(T309/10))+(10^(T309/10))+(10^(T309/10))+(10^(T309/10)))*10)</f>
        <v>116.38151250383635</v>
      </c>
      <c r="U314" s="584">
        <f>(LOG((10^(U309/10))+(10^(U309/10))+(10^(U309/10))+(10^(U309/10))+(10^(U309/10))+(10^(U309/10)))*10)</f>
        <v>117.38151250383635</v>
      </c>
      <c r="V314" s="584">
        <f>(LOG((10^(V309/10))+(10^(V309/10))+(10^(V309/10))+(10^(V309/10))+(10^(V309/10))+(10^(V309/10)))*10)</f>
        <v>109.78151250383645</v>
      </c>
      <c r="W314" s="363"/>
      <c r="X314" s="363"/>
      <c r="Y314" s="363"/>
      <c r="Z314" s="364"/>
      <c r="AA314" s="367"/>
      <c r="AB314"/>
      <c r="AC314"/>
      <c r="AD314"/>
      <c r="AE314"/>
      <c r="AF314"/>
      <c r="AG314"/>
      <c r="AH314"/>
      <c r="AI314"/>
      <c r="AJ314"/>
      <c r="AK314"/>
      <c r="AL314"/>
      <c r="AM314"/>
      <c r="AN314"/>
      <c r="AO314"/>
      <c r="AP314"/>
      <c r="AQ314"/>
      <c r="AR314"/>
      <c r="AS314"/>
      <c r="AT314"/>
      <c r="AU314"/>
      <c r="AV314"/>
      <c r="AW314"/>
      <c r="AX314"/>
    </row>
    <row r="315" spans="17:50" ht="12.75" customHeight="1" thickBot="1">
      <c r="Q315" s="364"/>
      <c r="R315" s="364"/>
      <c r="S315" s="364"/>
      <c r="T315" s="364"/>
      <c r="U315" s="364"/>
      <c r="V315" s="364"/>
      <c r="W315" s="364"/>
      <c r="X315" s="364"/>
      <c r="Y315" s="364"/>
      <c r="Z315" s="364"/>
      <c r="AA315" s="367"/>
      <c r="AB315"/>
      <c r="AC315"/>
      <c r="AD315"/>
      <c r="AE315"/>
      <c r="AF315"/>
      <c r="AG315"/>
      <c r="AH315"/>
      <c r="AI315"/>
      <c r="AJ315"/>
      <c r="AK315"/>
      <c r="AL315"/>
      <c r="AM315"/>
      <c r="AN315"/>
      <c r="AO315"/>
      <c r="AP315"/>
      <c r="AQ315"/>
      <c r="AR315"/>
      <c r="AS315"/>
      <c r="AT315"/>
      <c r="AU315"/>
      <c r="AV315"/>
      <c r="AW315"/>
      <c r="AX315"/>
    </row>
    <row r="316" spans="17:50" ht="12.75" customHeight="1" thickTop="1">
      <c r="Q316" s="364"/>
      <c r="R316" s="916" t="s">
        <v>428</v>
      </c>
      <c r="S316" s="917"/>
      <c r="T316" s="917"/>
      <c r="U316" s="917"/>
      <c r="V316" s="917"/>
      <c r="W316" s="918"/>
      <c r="X316" s="364"/>
      <c r="Y316" s="364"/>
      <c r="Z316" s="364"/>
      <c r="AA316" s="367"/>
      <c r="AB316"/>
      <c r="AC316"/>
      <c r="AD316"/>
      <c r="AE316"/>
      <c r="AF316"/>
      <c r="AG316"/>
      <c r="AH316"/>
      <c r="AI316"/>
      <c r="AJ316"/>
      <c r="AK316"/>
      <c r="AL316"/>
      <c r="AM316"/>
      <c r="AN316"/>
      <c r="AO316"/>
      <c r="AP316"/>
      <c r="AQ316"/>
      <c r="AR316"/>
      <c r="AS316"/>
      <c r="AT316"/>
      <c r="AU316"/>
      <c r="AV316"/>
      <c r="AW316"/>
      <c r="AX316"/>
    </row>
    <row r="317" spans="17:50" ht="12.75" customHeight="1">
      <c r="Q317" s="364"/>
      <c r="R317" s="919"/>
      <c r="S317" s="920"/>
      <c r="T317" s="920"/>
      <c r="U317" s="920"/>
      <c r="V317" s="920"/>
      <c r="W317" s="921"/>
      <c r="X317" s="364"/>
      <c r="Y317" s="364"/>
      <c r="Z317" s="364"/>
      <c r="AA317" s="367"/>
      <c r="AB317"/>
      <c r="AC317"/>
      <c r="AD317"/>
      <c r="AE317"/>
      <c r="AF317"/>
      <c r="AG317"/>
      <c r="AH317"/>
      <c r="AI317"/>
      <c r="AJ317"/>
      <c r="AK317"/>
      <c r="AL317"/>
      <c r="AM317"/>
      <c r="AN317"/>
      <c r="AO317"/>
      <c r="AP317"/>
      <c r="AQ317"/>
      <c r="AR317"/>
      <c r="AS317"/>
      <c r="AT317"/>
      <c r="AU317"/>
      <c r="AV317"/>
      <c r="AW317"/>
      <c r="AX317"/>
    </row>
    <row r="318" spans="17:50" ht="12.75" customHeight="1" thickBot="1">
      <c r="Q318" s="364"/>
      <c r="R318" s="922"/>
      <c r="S318" s="923"/>
      <c r="T318" s="923"/>
      <c r="U318" s="923"/>
      <c r="V318" s="923"/>
      <c r="W318" s="924"/>
      <c r="X318" s="364"/>
      <c r="Y318" s="364"/>
      <c r="Z318" s="364"/>
      <c r="AA318" s="367"/>
      <c r="AB318"/>
      <c r="AC318"/>
      <c r="AD318"/>
      <c r="AE318"/>
      <c r="AF318"/>
      <c r="AG318"/>
      <c r="AH318"/>
      <c r="AI318"/>
      <c r="AJ318"/>
      <c r="AK318"/>
      <c r="AL318"/>
      <c r="AM318"/>
      <c r="AN318"/>
      <c r="AO318"/>
      <c r="AP318"/>
      <c r="AQ318"/>
      <c r="AR318"/>
      <c r="AS318"/>
      <c r="AT318"/>
      <c r="AU318"/>
      <c r="AV318"/>
      <c r="AW318"/>
      <c r="AX318"/>
    </row>
    <row r="319" spans="17:50" ht="12.75" customHeight="1" thickTop="1">
      <c r="Q319" s="364"/>
      <c r="R319" s="925" t="str">
        <f>S306</f>
        <v>Seco S215</v>
      </c>
      <c r="S319" s="925"/>
      <c r="T319" s="925"/>
      <c r="U319" s="925"/>
      <c r="V319" s="925"/>
      <c r="W319" s="925"/>
      <c r="X319" s="364"/>
      <c r="Y319" s="364"/>
      <c r="Z319" s="364"/>
      <c r="AA319" s="367"/>
      <c r="AB319"/>
      <c r="AC319"/>
      <c r="AD319"/>
      <c r="AE319"/>
      <c r="AF319"/>
      <c r="AG319"/>
      <c r="AH319"/>
      <c r="AI319"/>
      <c r="AJ319"/>
      <c r="AK319"/>
      <c r="AL319"/>
      <c r="AM319"/>
      <c r="AN319"/>
      <c r="AO319"/>
      <c r="AP319"/>
      <c r="AQ319"/>
      <c r="AR319"/>
      <c r="AS319"/>
      <c r="AT319"/>
      <c r="AU319"/>
      <c r="AV319"/>
      <c r="AW319"/>
      <c r="AX319"/>
    </row>
    <row r="320" spans="17:50" ht="12.75" customHeight="1" thickBot="1">
      <c r="Q320" s="364"/>
      <c r="R320" s="910" t="s">
        <v>205</v>
      </c>
      <c r="S320" s="911"/>
      <c r="T320" s="911"/>
      <c r="U320" s="911"/>
      <c r="V320" s="911"/>
      <c r="W320" s="912"/>
      <c r="X320" s="364"/>
      <c r="Y320" s="364"/>
      <c r="Z320" s="364"/>
      <c r="AA320" s="367"/>
      <c r="AB320"/>
      <c r="AC320"/>
      <c r="AD320"/>
      <c r="AE320"/>
      <c r="AF320"/>
      <c r="AG320"/>
      <c r="AH320"/>
      <c r="AI320"/>
      <c r="AJ320"/>
      <c r="AK320"/>
      <c r="AL320"/>
      <c r="AM320"/>
      <c r="AN320"/>
      <c r="AO320"/>
      <c r="AP320"/>
      <c r="AQ320"/>
      <c r="AR320"/>
      <c r="AS320"/>
      <c r="AT320"/>
      <c r="AU320"/>
      <c r="AV320"/>
      <c r="AW320"/>
      <c r="AX320"/>
    </row>
    <row r="321" spans="17:50" ht="12.75" customHeight="1" thickBot="1">
      <c r="Q321" s="364"/>
      <c r="R321" s="686" t="s">
        <v>59</v>
      </c>
      <c r="S321" s="577"/>
      <c r="T321" s="687"/>
      <c r="U321" s="687"/>
      <c r="V321" s="687"/>
      <c r="W321" s="688"/>
      <c r="X321" s="364"/>
      <c r="Y321" s="364"/>
      <c r="Z321" s="364"/>
      <c r="AA321" s="367"/>
      <c r="AB321"/>
      <c r="AC321"/>
      <c r="AD321"/>
      <c r="AE321"/>
      <c r="AF321"/>
      <c r="AG321"/>
      <c r="AH321"/>
      <c r="AI321"/>
      <c r="AJ321"/>
      <c r="AK321"/>
      <c r="AL321"/>
      <c r="AM321"/>
      <c r="AN321"/>
      <c r="AO321"/>
      <c r="AP321"/>
      <c r="AQ321"/>
      <c r="AR321"/>
      <c r="AS321"/>
      <c r="AT321"/>
      <c r="AU321"/>
      <c r="AV321"/>
      <c r="AW321"/>
      <c r="AX321"/>
    </row>
    <row r="322" spans="17:50" ht="12.75" customHeight="1">
      <c r="Q322" s="364"/>
      <c r="R322" s="895" t="s">
        <v>845</v>
      </c>
      <c r="S322" s="896"/>
      <c r="T322" s="900" t="s">
        <v>835</v>
      </c>
      <c r="U322" s="900" t="s">
        <v>836</v>
      </c>
      <c r="V322" s="900" t="s">
        <v>837</v>
      </c>
      <c r="W322" s="902" t="s">
        <v>838</v>
      </c>
      <c r="X322" s="364"/>
      <c r="Y322" s="364"/>
      <c r="Z322" s="364"/>
      <c r="AA322" s="367"/>
      <c r="AB322"/>
      <c r="AC322"/>
      <c r="AD322"/>
      <c r="AE322"/>
      <c r="AF322"/>
      <c r="AG322"/>
      <c r="AH322"/>
      <c r="AI322"/>
      <c r="AJ322"/>
      <c r="AK322"/>
      <c r="AL322"/>
      <c r="AM322"/>
      <c r="AN322"/>
      <c r="AO322"/>
      <c r="AP322"/>
      <c r="AQ322"/>
      <c r="AR322"/>
      <c r="AS322"/>
      <c r="AT322"/>
      <c r="AU322"/>
      <c r="AV322"/>
      <c r="AW322"/>
      <c r="AX322"/>
    </row>
    <row r="323" spans="17:50" ht="12.75" customHeight="1">
      <c r="Q323" s="364"/>
      <c r="R323" s="892"/>
      <c r="S323" s="897"/>
      <c r="T323" s="904"/>
      <c r="U323" s="904"/>
      <c r="V323" s="904"/>
      <c r="W323" s="905"/>
      <c r="X323" s="364"/>
      <c r="Y323" s="364"/>
      <c r="Z323" s="364"/>
      <c r="AA323" s="367"/>
      <c r="AB323"/>
      <c r="AC323"/>
      <c r="AD323"/>
      <c r="AE323"/>
      <c r="AF323"/>
      <c r="AG323"/>
      <c r="AH323"/>
      <c r="AI323"/>
      <c r="AJ323"/>
      <c r="AK323"/>
      <c r="AL323"/>
      <c r="AM323"/>
      <c r="AN323"/>
      <c r="AO323"/>
      <c r="AP323"/>
      <c r="AQ323"/>
      <c r="AR323"/>
      <c r="AS323"/>
      <c r="AT323"/>
      <c r="AU323"/>
      <c r="AV323"/>
      <c r="AW323"/>
      <c r="AX323"/>
    </row>
    <row r="324" spans="17:50" ht="12.75" customHeight="1">
      <c r="Q324" s="364"/>
      <c r="R324" s="892"/>
      <c r="S324" s="897"/>
      <c r="T324" s="901"/>
      <c r="U324" s="901"/>
      <c r="V324" s="901"/>
      <c r="W324" s="903"/>
      <c r="X324" s="364"/>
      <c r="Y324" s="364"/>
      <c r="Z324" s="364"/>
      <c r="AA324" s="367"/>
      <c r="AB324"/>
      <c r="AC324"/>
      <c r="AD324"/>
      <c r="AE324"/>
      <c r="AF324"/>
      <c r="AG324"/>
      <c r="AH324"/>
      <c r="AI324"/>
      <c r="AJ324"/>
      <c r="AK324"/>
      <c r="AL324"/>
      <c r="AM324"/>
      <c r="AN324"/>
      <c r="AO324"/>
      <c r="AP324"/>
      <c r="AQ324"/>
      <c r="AR324"/>
      <c r="AS324"/>
      <c r="AT324"/>
      <c r="AU324"/>
      <c r="AV324"/>
      <c r="AW324"/>
      <c r="AX324"/>
    </row>
    <row r="325" spans="17:50" ht="12.75" customHeight="1">
      <c r="Q325" s="364"/>
      <c r="R325" s="892"/>
      <c r="S325" s="897"/>
      <c r="T325" s="689">
        <f>X69</f>
        <v>116.90000000000003</v>
      </c>
      <c r="U325" s="560">
        <f>X62</f>
        <v>1.2965964343598047</v>
      </c>
      <c r="V325" s="690">
        <f>IF(T325&gt;0,W325*U325," ")</f>
        <v>25413.290113452171</v>
      </c>
      <c r="W325" s="691">
        <f>IF(T325&gt;0,(VLOOKUP(T325,'Lookup Ready-reckoner'!$B$5:$E$1207,4))," ")</f>
        <v>19600</v>
      </c>
      <c r="X325" s="364"/>
      <c r="Y325" s="364"/>
      <c r="Z325" s="364"/>
      <c r="AA325" s="367"/>
      <c r="AB325"/>
      <c r="AC325"/>
      <c r="AD325"/>
      <c r="AE325"/>
      <c r="AF325"/>
      <c r="AG325"/>
      <c r="AH325"/>
      <c r="AI325"/>
      <c r="AJ325"/>
      <c r="AK325"/>
      <c r="AL325"/>
      <c r="AM325"/>
      <c r="AN325"/>
      <c r="AO325"/>
      <c r="AP325"/>
      <c r="AQ325"/>
      <c r="AR325"/>
      <c r="AS325"/>
      <c r="AT325"/>
      <c r="AU325"/>
      <c r="AV325"/>
      <c r="AW325"/>
      <c r="AX325"/>
    </row>
    <row r="326" spans="17:50" ht="12.75" customHeight="1">
      <c r="Q326" s="364"/>
      <c r="R326" s="898"/>
      <c r="S326" s="899"/>
      <c r="T326" s="447"/>
      <c r="U326" s="560"/>
      <c r="V326" s="690" t="str">
        <f>IF(T326&gt;0,W326*U326," ")</f>
        <v xml:space="preserve"> </v>
      </c>
      <c r="W326" s="691" t="str">
        <f>IF(T326&gt;0,(VLOOKUP(T326,'Lookup Ready-reckoner'!$B$5:$E$1007,4))," ")</f>
        <v xml:space="preserve"> </v>
      </c>
      <c r="X326" s="364"/>
      <c r="Y326" s="364"/>
      <c r="Z326" s="364"/>
      <c r="AA326" s="367"/>
      <c r="AB326"/>
      <c r="AC326"/>
      <c r="AD326"/>
      <c r="AE326"/>
      <c r="AF326"/>
      <c r="AG326"/>
      <c r="AH326"/>
      <c r="AI326"/>
      <c r="AJ326"/>
      <c r="AK326"/>
      <c r="AL326"/>
      <c r="AM326"/>
      <c r="AN326"/>
      <c r="AO326"/>
      <c r="AP326"/>
      <c r="AQ326"/>
      <c r="AR326"/>
      <c r="AS326"/>
      <c r="AT326"/>
      <c r="AU326"/>
      <c r="AV326"/>
      <c r="AW326"/>
      <c r="AX326"/>
    </row>
    <row r="327" spans="17:50" ht="12.75" customHeight="1" thickBot="1">
      <c r="Q327" s="364"/>
      <c r="R327" s="692" t="s">
        <v>839</v>
      </c>
      <c r="S327" s="693"/>
      <c r="T327" s="693"/>
      <c r="U327" s="694">
        <f>IF(T325&gt;0,(VLOOKUP(V327,'Lookup Ready-reckoner'!$L$5:$M$1207,2))," ")</f>
        <v>108.95</v>
      </c>
      <c r="V327" s="695">
        <f>IF(U325&gt;0,(SUM(V325:V326))," ")</f>
        <v>25413.290113452171</v>
      </c>
      <c r="W327" s="696"/>
      <c r="X327" s="364"/>
      <c r="Y327" s="364"/>
      <c r="Z327" s="364"/>
      <c r="AA327" s="367"/>
      <c r="AB327"/>
      <c r="AC327"/>
      <c r="AD327"/>
      <c r="AE327"/>
      <c r="AF327"/>
      <c r="AG327"/>
      <c r="AH327"/>
      <c r="AI327"/>
      <c r="AJ327"/>
      <c r="AK327"/>
      <c r="AL327"/>
      <c r="AM327"/>
      <c r="AN327"/>
      <c r="AO327"/>
      <c r="AP327"/>
      <c r="AQ327"/>
      <c r="AR327"/>
      <c r="AS327"/>
      <c r="AT327"/>
      <c r="AU327"/>
      <c r="AV327"/>
      <c r="AW327"/>
      <c r="AX327"/>
    </row>
    <row r="328" spans="17:50" ht="12.75" customHeight="1" thickBot="1">
      <c r="Q328" s="364"/>
      <c r="R328" s="892"/>
      <c r="S328" s="893"/>
      <c r="T328" s="893"/>
      <c r="U328" s="893"/>
      <c r="V328" s="893"/>
      <c r="W328" s="894"/>
      <c r="X328" s="364"/>
      <c r="Y328" s="364"/>
      <c r="Z328" s="364"/>
      <c r="AA328" s="367"/>
      <c r="AB328"/>
      <c r="AC328"/>
      <c r="AD328"/>
      <c r="AE328"/>
      <c r="AF328"/>
      <c r="AG328"/>
      <c r="AH328"/>
      <c r="AI328"/>
      <c r="AJ328"/>
      <c r="AK328"/>
      <c r="AL328"/>
      <c r="AM328"/>
      <c r="AN328"/>
      <c r="AO328"/>
      <c r="AP328"/>
      <c r="AQ328"/>
      <c r="AR328"/>
      <c r="AS328"/>
      <c r="AT328"/>
      <c r="AU328"/>
      <c r="AV328"/>
      <c r="AW328"/>
      <c r="AX328"/>
    </row>
    <row r="329" spans="17:50" ht="12.75" customHeight="1">
      <c r="Q329" s="364"/>
      <c r="R329" s="895" t="s">
        <v>886</v>
      </c>
      <c r="S329" s="896"/>
      <c r="T329" s="900" t="s">
        <v>835</v>
      </c>
      <c r="U329" s="900" t="s">
        <v>836</v>
      </c>
      <c r="V329" s="900" t="s">
        <v>837</v>
      </c>
      <c r="W329" s="902" t="s">
        <v>838</v>
      </c>
      <c r="X329" s="364"/>
      <c r="Y329" s="364"/>
      <c r="Z329" s="364"/>
      <c r="AA329" s="367"/>
      <c r="AB329"/>
      <c r="AC329"/>
      <c r="AD329"/>
      <c r="AE329"/>
      <c r="AF329"/>
      <c r="AG329"/>
      <c r="AH329"/>
      <c r="AI329"/>
      <c r="AJ329"/>
      <c r="AK329"/>
      <c r="AL329"/>
      <c r="AM329"/>
      <c r="AN329"/>
      <c r="AO329"/>
      <c r="AP329"/>
      <c r="AQ329"/>
      <c r="AR329"/>
      <c r="AS329"/>
      <c r="AT329"/>
      <c r="AU329"/>
      <c r="AV329"/>
      <c r="AW329"/>
      <c r="AX329"/>
    </row>
    <row r="330" spans="17:50" ht="12.75" customHeight="1">
      <c r="Q330" s="364"/>
      <c r="R330" s="892"/>
      <c r="S330" s="897"/>
      <c r="T330" s="901"/>
      <c r="U330" s="901"/>
      <c r="V330" s="901"/>
      <c r="W330" s="903"/>
      <c r="X330" s="364"/>
      <c r="Y330" s="364"/>
      <c r="Z330" s="364"/>
      <c r="AA330" s="367"/>
      <c r="AB330"/>
      <c r="AC330"/>
      <c r="AD330"/>
      <c r="AE330"/>
      <c r="AF330"/>
      <c r="AG330"/>
      <c r="AH330"/>
      <c r="AI330"/>
      <c r="AJ330"/>
      <c r="AK330"/>
      <c r="AL330"/>
      <c r="AM330"/>
      <c r="AN330"/>
      <c r="AO330"/>
      <c r="AP330"/>
      <c r="AQ330"/>
      <c r="AR330"/>
      <c r="AS330"/>
      <c r="AT330"/>
      <c r="AU330"/>
      <c r="AV330"/>
      <c r="AW330"/>
      <c r="AX330"/>
    </row>
    <row r="331" spans="17:50" ht="12.75" customHeight="1">
      <c r="Q331" s="364"/>
      <c r="R331" s="892"/>
      <c r="S331" s="897"/>
      <c r="T331" s="689">
        <f>T325*(1-0.0178*2)</f>
        <v>112.73836000000004</v>
      </c>
      <c r="U331" s="560">
        <f>U325</f>
        <v>1.2965964343598047</v>
      </c>
      <c r="V331" s="690">
        <f>IF(T331&gt;0,W331*U331," ")</f>
        <v>9750.4051863857312</v>
      </c>
      <c r="W331" s="691">
        <f>IF(T331&gt;0,(VLOOKUP(T331,'Lookup Ready-reckoner'!$B$5:$E$1207,4))," ")</f>
        <v>7520</v>
      </c>
      <c r="X331" s="364"/>
      <c r="Y331" s="364"/>
      <c r="Z331" s="364"/>
      <c r="AA331" s="367"/>
      <c r="AB331"/>
      <c r="AC331"/>
      <c r="AD331"/>
      <c r="AE331"/>
      <c r="AF331"/>
      <c r="AG331"/>
      <c r="AH331"/>
      <c r="AI331"/>
      <c r="AJ331"/>
      <c r="AK331"/>
      <c r="AL331"/>
      <c r="AM331"/>
      <c r="AN331"/>
      <c r="AO331"/>
      <c r="AP331"/>
      <c r="AQ331"/>
      <c r="AR331"/>
      <c r="AS331"/>
      <c r="AT331"/>
      <c r="AU331"/>
      <c r="AV331"/>
      <c r="AW331"/>
      <c r="AX331"/>
    </row>
    <row r="332" spans="17:50" ht="12.75" customHeight="1">
      <c r="Q332" s="364"/>
      <c r="R332" s="898"/>
      <c r="S332" s="899"/>
      <c r="T332" s="447"/>
      <c r="U332" s="560"/>
      <c r="V332" s="690" t="str">
        <f>IF(T332&gt;0,W332*U332," ")</f>
        <v xml:space="preserve"> </v>
      </c>
      <c r="W332" s="691" t="str">
        <f>IF(T332&gt;0,(VLOOKUP(T332,'Lookup Ready-reckoner'!$B$5:$E$1007,4))," ")</f>
        <v xml:space="preserve"> </v>
      </c>
      <c r="X332" s="364"/>
      <c r="Y332" s="364"/>
      <c r="Z332" s="364"/>
      <c r="AA332" s="367"/>
      <c r="AB332"/>
      <c r="AC332"/>
      <c r="AD332"/>
      <c r="AE332"/>
      <c r="AF332"/>
      <c r="AG332"/>
      <c r="AH332"/>
      <c r="AI332"/>
      <c r="AJ332"/>
      <c r="AK332"/>
      <c r="AL332"/>
      <c r="AM332"/>
      <c r="AN332"/>
      <c r="AO332"/>
      <c r="AP332"/>
      <c r="AQ332"/>
      <c r="AR332"/>
      <c r="AS332"/>
      <c r="AT332"/>
      <c r="AU332"/>
      <c r="AV332"/>
      <c r="AW332"/>
      <c r="AX332"/>
    </row>
    <row r="333" spans="17:50" ht="12.75" customHeight="1" thickBot="1">
      <c r="Q333" s="364"/>
      <c r="R333" s="692" t="s">
        <v>839</v>
      </c>
      <c r="S333" s="693"/>
      <c r="T333" s="693"/>
      <c r="U333" s="694">
        <f>IF(T331&gt;0,(VLOOKUP(V333,'Lookup Ready-reckoner'!$L$5:$M$1207,2))," ")</f>
        <v>104.85</v>
      </c>
      <c r="V333" s="695">
        <f>IF(U331&gt;0,(SUM(V331:V332))," ")</f>
        <v>9750.4051863857312</v>
      </c>
      <c r="W333" s="696"/>
      <c r="X333" s="364"/>
      <c r="Y333" s="364"/>
      <c r="Z333" s="364"/>
      <c r="AA333" s="367"/>
      <c r="AB333"/>
      <c r="AC333"/>
      <c r="AD333"/>
      <c r="AE333"/>
      <c r="AF333"/>
      <c r="AG333"/>
      <c r="AH333"/>
      <c r="AI333"/>
      <c r="AJ333"/>
      <c r="AK333"/>
      <c r="AL333"/>
      <c r="AM333"/>
      <c r="AN333"/>
      <c r="AO333"/>
      <c r="AP333"/>
      <c r="AQ333"/>
      <c r="AR333"/>
      <c r="AS333"/>
      <c r="AT333"/>
      <c r="AU333"/>
      <c r="AV333"/>
      <c r="AW333"/>
      <c r="AX333"/>
    </row>
    <row r="334" spans="17:50" ht="12.75" customHeight="1">
      <c r="Q334" s="364"/>
      <c r="R334" s="697"/>
      <c r="S334" s="687"/>
      <c r="T334" s="687"/>
      <c r="U334" s="372"/>
      <c r="V334" s="374"/>
      <c r="W334" s="688"/>
      <c r="X334" s="364"/>
      <c r="Y334" s="364"/>
      <c r="Z334" s="364"/>
      <c r="AA334" s="367"/>
      <c r="AB334"/>
      <c r="AC334"/>
      <c r="AD334"/>
      <c r="AE334"/>
      <c r="AF334"/>
      <c r="AG334"/>
      <c r="AH334"/>
      <c r="AI334"/>
      <c r="AJ334"/>
      <c r="AK334"/>
      <c r="AL334"/>
      <c r="AM334"/>
      <c r="AN334"/>
      <c r="AO334"/>
      <c r="AP334"/>
      <c r="AQ334"/>
      <c r="AR334"/>
      <c r="AS334"/>
      <c r="AT334"/>
      <c r="AU334"/>
      <c r="AV334"/>
      <c r="AW334"/>
      <c r="AX334"/>
    </row>
    <row r="335" spans="17:50" ht="12.75" customHeight="1" thickBot="1">
      <c r="Q335" s="364"/>
      <c r="R335" s="686" t="s">
        <v>60</v>
      </c>
      <c r="S335" s="577"/>
      <c r="T335" s="577"/>
      <c r="U335" s="577"/>
      <c r="V335" s="577"/>
      <c r="W335" s="698"/>
      <c r="X335" s="364"/>
      <c r="Y335" s="364"/>
      <c r="Z335" s="364"/>
      <c r="AA335" s="367"/>
      <c r="AB335"/>
      <c r="AC335"/>
      <c r="AD335"/>
      <c r="AE335"/>
      <c r="AF335"/>
      <c r="AG335"/>
      <c r="AH335"/>
      <c r="AI335"/>
      <c r="AJ335"/>
      <c r="AK335"/>
      <c r="AL335"/>
      <c r="AM335"/>
      <c r="AN335"/>
      <c r="AO335"/>
      <c r="AP335"/>
      <c r="AQ335"/>
      <c r="AR335"/>
      <c r="AS335"/>
      <c r="AT335"/>
      <c r="AU335"/>
      <c r="AV335"/>
      <c r="AW335"/>
      <c r="AX335"/>
    </row>
    <row r="336" spans="17:50" ht="12.75" customHeight="1">
      <c r="Q336" s="364"/>
      <c r="R336" s="895" t="s">
        <v>845</v>
      </c>
      <c r="S336" s="896"/>
      <c r="T336" s="900" t="s">
        <v>835</v>
      </c>
      <c r="U336" s="900" t="s">
        <v>836</v>
      </c>
      <c r="V336" s="900" t="s">
        <v>837</v>
      </c>
      <c r="W336" s="902" t="s">
        <v>838</v>
      </c>
      <c r="X336" s="364"/>
      <c r="Y336" s="364"/>
      <c r="Z336" s="364"/>
      <c r="AA336" s="367"/>
      <c r="AB336"/>
      <c r="AC336"/>
      <c r="AD336"/>
      <c r="AE336"/>
      <c r="AF336"/>
      <c r="AG336"/>
      <c r="AH336"/>
      <c r="AI336"/>
      <c r="AJ336"/>
      <c r="AK336"/>
      <c r="AL336"/>
      <c r="AM336"/>
      <c r="AN336"/>
      <c r="AO336"/>
      <c r="AP336"/>
      <c r="AQ336"/>
      <c r="AR336"/>
      <c r="AS336"/>
      <c r="AT336"/>
      <c r="AU336"/>
      <c r="AV336"/>
      <c r="AW336"/>
      <c r="AX336"/>
    </row>
    <row r="337" spans="17:50" ht="12.75" customHeight="1">
      <c r="Q337" s="364"/>
      <c r="R337" s="892"/>
      <c r="S337" s="897"/>
      <c r="T337" s="901"/>
      <c r="U337" s="901"/>
      <c r="V337" s="901"/>
      <c r="W337" s="903"/>
      <c r="X337" s="364"/>
      <c r="Y337" s="364"/>
      <c r="Z337" s="364"/>
      <c r="AA337" s="367"/>
      <c r="AB337"/>
      <c r="AC337"/>
      <c r="AD337"/>
      <c r="AE337"/>
      <c r="AF337"/>
      <c r="AG337"/>
      <c r="AH337"/>
      <c r="AI337"/>
      <c r="AJ337"/>
      <c r="AK337"/>
      <c r="AL337"/>
      <c r="AM337"/>
      <c r="AN337"/>
      <c r="AO337"/>
      <c r="AP337"/>
      <c r="AQ337"/>
      <c r="AR337"/>
      <c r="AS337"/>
      <c r="AT337"/>
      <c r="AU337"/>
      <c r="AV337"/>
      <c r="AW337"/>
      <c r="AX337"/>
    </row>
    <row r="338" spans="17:50" ht="12.75" customHeight="1">
      <c r="Q338" s="364"/>
      <c r="R338" s="892"/>
      <c r="S338" s="897"/>
      <c r="T338" s="689">
        <f>T325-PPE!$I$15</f>
        <v>103.90000000000003</v>
      </c>
      <c r="U338" s="560">
        <f>U331</f>
        <v>1.2965964343598047</v>
      </c>
      <c r="V338" s="690">
        <f>IF(T338&gt;0,W338*U338," ")</f>
        <v>1270.6645056726086</v>
      </c>
      <c r="W338" s="691">
        <f>IF(T338&gt;0,(VLOOKUP(T338,'Lookup Ready-reckoner'!$B$5:$E$1207,4))," ")</f>
        <v>980</v>
      </c>
      <c r="X338" s="364"/>
      <c r="Y338" s="364"/>
      <c r="Z338" s="364"/>
      <c r="AA338" s="367"/>
      <c r="AB338"/>
      <c r="AC338"/>
      <c r="AD338"/>
      <c r="AE338"/>
      <c r="AF338"/>
      <c r="AG338"/>
      <c r="AH338"/>
      <c r="AI338"/>
      <c r="AJ338"/>
      <c r="AK338"/>
      <c r="AL338"/>
      <c r="AM338"/>
      <c r="AN338"/>
      <c r="AO338"/>
      <c r="AP338"/>
      <c r="AQ338"/>
      <c r="AR338"/>
      <c r="AS338"/>
      <c r="AT338"/>
      <c r="AU338"/>
      <c r="AV338"/>
      <c r="AW338"/>
      <c r="AX338"/>
    </row>
    <row r="339" spans="17:50" ht="12.75" customHeight="1">
      <c r="Q339" s="364"/>
      <c r="R339" s="898"/>
      <c r="S339" s="899"/>
      <c r="T339" s="447"/>
      <c r="U339" s="560"/>
      <c r="V339" s="690" t="str">
        <f>IF(T339&gt;0,W339*U339," ")</f>
        <v xml:space="preserve"> </v>
      </c>
      <c r="W339" s="691" t="str">
        <f>IF(T339&gt;0,(VLOOKUP(T339,'Lookup Ready-reckoner'!$B$5:$E$1007,4))," ")</f>
        <v xml:space="preserve"> </v>
      </c>
      <c r="X339" s="364"/>
      <c r="Y339" s="364"/>
      <c r="Z339" s="364"/>
      <c r="AA339" s="367"/>
      <c r="AB339"/>
      <c r="AC339"/>
      <c r="AD339"/>
      <c r="AE339"/>
      <c r="AF339"/>
      <c r="AG339"/>
      <c r="AH339"/>
      <c r="AI339"/>
      <c r="AJ339"/>
      <c r="AK339"/>
      <c r="AL339"/>
      <c r="AM339"/>
      <c r="AN339"/>
      <c r="AO339"/>
      <c r="AP339"/>
      <c r="AQ339"/>
      <c r="AR339"/>
      <c r="AS339"/>
      <c r="AT339"/>
      <c r="AU339"/>
      <c r="AV339"/>
      <c r="AW339"/>
      <c r="AX339"/>
    </row>
    <row r="340" spans="17:50" ht="12.75" customHeight="1" thickBot="1">
      <c r="Q340" s="364"/>
      <c r="R340" s="699" t="s">
        <v>839</v>
      </c>
      <c r="S340" s="693"/>
      <c r="T340" s="693"/>
      <c r="U340" s="694">
        <f>IF(T338&gt;0,(VLOOKUP(V340,'Lookup Ready-reckoner'!$L$5:$M$1207,2))," ")</f>
        <v>96.05</v>
      </c>
      <c r="V340" s="695">
        <f>IF(U338&gt;0,(SUM(V338:V339))," ")</f>
        <v>1270.6645056726086</v>
      </c>
      <c r="W340" s="696"/>
      <c r="X340" s="364"/>
      <c r="Y340" s="364"/>
      <c r="Z340" s="364"/>
      <c r="AA340" s="367"/>
      <c r="AB340"/>
      <c r="AC340"/>
      <c r="AD340"/>
      <c r="AE340"/>
      <c r="AF340"/>
      <c r="AG340"/>
      <c r="AH340"/>
      <c r="AI340"/>
      <c r="AJ340"/>
      <c r="AK340"/>
      <c r="AL340"/>
      <c r="AM340"/>
      <c r="AN340"/>
      <c r="AO340"/>
      <c r="AP340"/>
      <c r="AQ340"/>
      <c r="AR340"/>
      <c r="AS340"/>
      <c r="AT340"/>
      <c r="AU340"/>
      <c r="AV340"/>
      <c r="AW340"/>
      <c r="AX340"/>
    </row>
    <row r="341" spans="17:50" ht="12.75" customHeight="1" thickBot="1">
      <c r="Q341" s="364"/>
      <c r="R341" s="892"/>
      <c r="S341" s="893"/>
      <c r="T341" s="893"/>
      <c r="U341" s="893"/>
      <c r="V341" s="893"/>
      <c r="W341" s="894"/>
      <c r="X341" s="364"/>
      <c r="Y341" s="364"/>
      <c r="Z341" s="364"/>
      <c r="AA341" s="367"/>
      <c r="AB341"/>
      <c r="AC341"/>
      <c r="AD341"/>
      <c r="AE341"/>
      <c r="AF341"/>
      <c r="AG341"/>
      <c r="AH341"/>
      <c r="AI341"/>
      <c r="AJ341"/>
      <c r="AK341"/>
      <c r="AL341"/>
      <c r="AM341"/>
      <c r="AN341"/>
      <c r="AO341"/>
      <c r="AP341"/>
      <c r="AQ341"/>
      <c r="AR341"/>
      <c r="AS341"/>
      <c r="AT341"/>
      <c r="AU341"/>
      <c r="AV341"/>
      <c r="AW341"/>
      <c r="AX341"/>
    </row>
    <row r="342" spans="17:50" ht="12.75" customHeight="1">
      <c r="Q342" s="364"/>
      <c r="R342" s="895" t="s">
        <v>886</v>
      </c>
      <c r="S342" s="896"/>
      <c r="T342" s="900" t="s">
        <v>835</v>
      </c>
      <c r="U342" s="900" t="s">
        <v>836</v>
      </c>
      <c r="V342" s="900" t="s">
        <v>837</v>
      </c>
      <c r="W342" s="902" t="s">
        <v>838</v>
      </c>
      <c r="X342" s="364"/>
      <c r="Y342" s="364"/>
      <c r="Z342" s="364"/>
      <c r="AA342" s="367"/>
      <c r="AB342"/>
      <c r="AC342"/>
      <c r="AD342"/>
      <c r="AE342"/>
      <c r="AF342"/>
      <c r="AG342"/>
      <c r="AH342"/>
      <c r="AI342"/>
      <c r="AJ342"/>
      <c r="AK342"/>
      <c r="AL342"/>
      <c r="AM342"/>
      <c r="AN342"/>
      <c r="AO342"/>
      <c r="AP342"/>
      <c r="AQ342"/>
      <c r="AR342"/>
      <c r="AS342"/>
      <c r="AT342"/>
      <c r="AU342"/>
      <c r="AV342"/>
      <c r="AW342"/>
      <c r="AX342"/>
    </row>
    <row r="343" spans="17:50" ht="12.75" customHeight="1">
      <c r="Q343" s="364"/>
      <c r="R343" s="892"/>
      <c r="S343" s="897"/>
      <c r="T343" s="901"/>
      <c r="U343" s="901"/>
      <c r="V343" s="901"/>
      <c r="W343" s="903"/>
      <c r="X343" s="364"/>
      <c r="Y343" s="364"/>
      <c r="Z343" s="364"/>
      <c r="AA343" s="367"/>
      <c r="AB343"/>
      <c r="AC343"/>
      <c r="AD343"/>
      <c r="AE343"/>
      <c r="AF343"/>
      <c r="AG343"/>
      <c r="AH343"/>
      <c r="AI343"/>
      <c r="AJ343"/>
      <c r="AK343"/>
      <c r="AL343"/>
      <c r="AM343"/>
      <c r="AN343"/>
      <c r="AO343"/>
      <c r="AP343"/>
      <c r="AQ343"/>
      <c r="AR343"/>
      <c r="AS343"/>
      <c r="AT343"/>
      <c r="AU343"/>
      <c r="AV343"/>
      <c r="AW343"/>
      <c r="AX343"/>
    </row>
    <row r="344" spans="17:50" ht="12.75" customHeight="1">
      <c r="Q344" s="364"/>
      <c r="R344" s="892"/>
      <c r="S344" s="897"/>
      <c r="T344" s="689">
        <f>T331-PPE!$I$15</f>
        <v>99.738360000000043</v>
      </c>
      <c r="U344" s="560">
        <f>U338</f>
        <v>1.2965964343598047</v>
      </c>
      <c r="V344" s="690">
        <f>IF(T344&gt;0,W344*U344," ")</f>
        <v>484.60291734197699</v>
      </c>
      <c r="W344" s="691">
        <f>IF(T344&gt;0,(VLOOKUP(T344,'Lookup Ready-reckoner'!$B$5:$E$1207,4))," ")</f>
        <v>373.75</v>
      </c>
      <c r="X344" s="364"/>
      <c r="Y344" s="364"/>
      <c r="Z344" s="364"/>
      <c r="AA344" s="367"/>
      <c r="AB344"/>
      <c r="AC344"/>
      <c r="AD344"/>
      <c r="AE344"/>
      <c r="AF344"/>
      <c r="AG344"/>
      <c r="AH344"/>
      <c r="AI344"/>
      <c r="AJ344"/>
      <c r="AK344"/>
      <c r="AL344"/>
      <c r="AM344"/>
      <c r="AN344"/>
      <c r="AO344"/>
      <c r="AP344"/>
      <c r="AQ344"/>
      <c r="AR344"/>
      <c r="AS344"/>
      <c r="AT344"/>
      <c r="AU344"/>
      <c r="AV344"/>
      <c r="AW344"/>
      <c r="AX344"/>
    </row>
    <row r="345" spans="17:50" ht="12.75" customHeight="1">
      <c r="Q345" s="364"/>
      <c r="R345" s="898"/>
      <c r="S345" s="899"/>
      <c r="T345" s="447"/>
      <c r="U345" s="560"/>
      <c r="V345" s="690" t="str">
        <f>IF(T345&gt;0,W345*U345," ")</f>
        <v xml:space="preserve"> </v>
      </c>
      <c r="W345" s="691" t="str">
        <f>IF(T345&gt;0,(VLOOKUP(T345,'Lookup Ready-reckoner'!$B$5:$E$1007,4))," ")</f>
        <v xml:space="preserve"> </v>
      </c>
      <c r="X345" s="364"/>
      <c r="Y345" s="364"/>
      <c r="Z345" s="364"/>
      <c r="AA345" s="367"/>
      <c r="AB345"/>
      <c r="AC345"/>
      <c r="AD345"/>
      <c r="AE345"/>
      <c r="AF345"/>
      <c r="AG345"/>
      <c r="AH345"/>
      <c r="AI345"/>
      <c r="AJ345"/>
      <c r="AK345"/>
      <c r="AL345"/>
      <c r="AM345"/>
      <c r="AN345"/>
      <c r="AO345"/>
      <c r="AP345"/>
      <c r="AQ345"/>
      <c r="AR345"/>
      <c r="AS345"/>
      <c r="AT345"/>
      <c r="AU345"/>
      <c r="AV345"/>
      <c r="AW345"/>
      <c r="AX345"/>
    </row>
    <row r="346" spans="17:50" ht="12.75" customHeight="1" thickBot="1">
      <c r="Q346" s="364"/>
      <c r="R346" s="692" t="s">
        <v>839</v>
      </c>
      <c r="S346" s="693"/>
      <c r="T346" s="693"/>
      <c r="U346" s="694">
        <f>IF(T344&gt;0,(VLOOKUP(V346,'Lookup Ready-reckoner'!$L$5:$M$1207,2))," ")</f>
        <v>91.8</v>
      </c>
      <c r="V346" s="695">
        <f>IF(U344&gt;0,(SUM(V344:V345))," ")</f>
        <v>484.60291734197699</v>
      </c>
      <c r="W346" s="696"/>
      <c r="X346" s="364"/>
      <c r="Y346" s="364"/>
      <c r="Z346" s="364"/>
      <c r="AA346" s="367"/>
      <c r="AB346"/>
      <c r="AC346"/>
      <c r="AD346"/>
      <c r="AE346"/>
      <c r="AF346"/>
      <c r="AG346"/>
      <c r="AH346"/>
      <c r="AI346"/>
      <c r="AJ346"/>
      <c r="AK346"/>
      <c r="AL346"/>
      <c r="AM346"/>
      <c r="AN346"/>
      <c r="AO346"/>
      <c r="AP346"/>
      <c r="AQ346"/>
      <c r="AR346"/>
      <c r="AS346"/>
      <c r="AT346"/>
      <c r="AU346"/>
      <c r="AV346"/>
      <c r="AW346"/>
      <c r="AX346"/>
    </row>
    <row r="347" spans="17:50" ht="12.75" customHeight="1">
      <c r="Q347" s="364"/>
      <c r="R347" s="363"/>
      <c r="S347" s="363"/>
      <c r="T347" s="363"/>
      <c r="U347" s="363"/>
      <c r="V347" s="363"/>
      <c r="W347" s="363"/>
      <c r="X347" s="364"/>
      <c r="Y347" s="364"/>
      <c r="Z347" s="364"/>
      <c r="AA347" s="367"/>
      <c r="AB347"/>
      <c r="AC347"/>
      <c r="AD347"/>
      <c r="AE347"/>
      <c r="AF347"/>
      <c r="AG347"/>
      <c r="AH347"/>
      <c r="AI347"/>
      <c r="AJ347"/>
      <c r="AK347"/>
      <c r="AL347"/>
      <c r="AM347"/>
      <c r="AN347"/>
      <c r="AO347"/>
      <c r="AP347"/>
      <c r="AQ347"/>
      <c r="AR347"/>
      <c r="AS347"/>
      <c r="AT347"/>
      <c r="AU347"/>
      <c r="AV347"/>
      <c r="AW347"/>
      <c r="AX347"/>
    </row>
    <row r="348" spans="17:50" ht="12.75" customHeight="1" thickBot="1">
      <c r="Q348" s="364"/>
      <c r="R348" s="915" t="str">
        <f>T306</f>
        <v>Seco S215 Muffled</v>
      </c>
      <c r="S348" s="915"/>
      <c r="T348" s="915"/>
      <c r="U348" s="915"/>
      <c r="V348" s="915"/>
      <c r="W348" s="915"/>
      <c r="X348" s="364"/>
      <c r="Y348" s="363"/>
      <c r="Z348" s="363"/>
      <c r="AA348" s="367"/>
      <c r="AB348"/>
      <c r="AC348"/>
      <c r="AD348"/>
      <c r="AE348"/>
      <c r="AF348"/>
      <c r="AG348"/>
      <c r="AH348"/>
      <c r="AI348"/>
      <c r="AJ348"/>
      <c r="AK348"/>
      <c r="AL348"/>
      <c r="AM348"/>
      <c r="AN348"/>
      <c r="AO348"/>
      <c r="AP348"/>
      <c r="AQ348"/>
      <c r="AR348"/>
      <c r="AS348"/>
      <c r="AT348"/>
      <c r="AU348"/>
      <c r="AV348"/>
      <c r="AW348"/>
      <c r="AX348"/>
    </row>
    <row r="349" spans="17:50" ht="12.75" customHeight="1" thickBot="1">
      <c r="Q349" s="364"/>
      <c r="R349" s="906" t="s">
        <v>205</v>
      </c>
      <c r="S349" s="907"/>
      <c r="T349" s="907"/>
      <c r="U349" s="907"/>
      <c r="V349" s="907"/>
      <c r="W349" s="908"/>
      <c r="X349" s="364"/>
      <c r="Y349" s="363"/>
      <c r="Z349" s="363"/>
      <c r="AA349" s="367"/>
      <c r="AB349"/>
      <c r="AC349"/>
      <c r="AD349"/>
      <c r="AE349"/>
      <c r="AF349"/>
      <c r="AG349"/>
      <c r="AH349"/>
      <c r="AI349"/>
      <c r="AJ349"/>
      <c r="AK349"/>
      <c r="AL349"/>
      <c r="AM349"/>
      <c r="AN349"/>
      <c r="AO349"/>
      <c r="AP349"/>
      <c r="AQ349"/>
      <c r="AR349"/>
      <c r="AS349"/>
      <c r="AT349"/>
      <c r="AU349"/>
      <c r="AV349"/>
      <c r="AW349"/>
      <c r="AX349"/>
    </row>
    <row r="350" spans="17:50" ht="12.75" customHeight="1" thickBot="1">
      <c r="Q350" s="364"/>
      <c r="R350" s="686" t="s">
        <v>59</v>
      </c>
      <c r="S350" s="577"/>
      <c r="T350" s="687"/>
      <c r="U350" s="687"/>
      <c r="V350" s="687"/>
      <c r="W350" s="688"/>
      <c r="X350" s="364"/>
      <c r="Y350" s="363"/>
      <c r="Z350" s="363"/>
      <c r="AA350" s="367"/>
      <c r="AB350"/>
      <c r="AC350"/>
      <c r="AD350"/>
      <c r="AE350"/>
      <c r="AF350"/>
      <c r="AG350"/>
      <c r="AH350"/>
      <c r="AI350"/>
      <c r="AJ350"/>
      <c r="AK350"/>
      <c r="AL350"/>
      <c r="AM350"/>
      <c r="AN350"/>
      <c r="AO350"/>
      <c r="AP350"/>
      <c r="AQ350"/>
      <c r="AR350"/>
      <c r="AS350"/>
      <c r="AT350"/>
      <c r="AU350"/>
      <c r="AV350"/>
      <c r="AW350"/>
      <c r="AX350"/>
    </row>
    <row r="351" spans="17:50" ht="12.75" customHeight="1">
      <c r="Q351" s="364"/>
      <c r="R351" s="895" t="s">
        <v>845</v>
      </c>
      <c r="S351" s="896"/>
      <c r="T351" s="900" t="s">
        <v>835</v>
      </c>
      <c r="U351" s="900" t="s">
        <v>836</v>
      </c>
      <c r="V351" s="900" t="s">
        <v>837</v>
      </c>
      <c r="W351" s="902" t="s">
        <v>838</v>
      </c>
      <c r="X351" s="364"/>
      <c r="Y351" s="363"/>
      <c r="Z351" s="363"/>
      <c r="AA351" s="367"/>
      <c r="AB351"/>
      <c r="AC351"/>
      <c r="AD351"/>
      <c r="AE351"/>
      <c r="AF351"/>
      <c r="AG351"/>
      <c r="AH351"/>
      <c r="AI351"/>
      <c r="AJ351"/>
      <c r="AK351"/>
      <c r="AL351"/>
      <c r="AM351"/>
      <c r="AN351"/>
      <c r="AO351"/>
      <c r="AP351"/>
      <c r="AQ351"/>
      <c r="AR351"/>
      <c r="AS351"/>
      <c r="AT351"/>
      <c r="AU351"/>
      <c r="AV351"/>
      <c r="AW351"/>
      <c r="AX351"/>
    </row>
    <row r="352" spans="17:50" ht="12.75" customHeight="1">
      <c r="Q352" s="364"/>
      <c r="R352" s="892"/>
      <c r="S352" s="897"/>
      <c r="T352" s="904"/>
      <c r="U352" s="904"/>
      <c r="V352" s="904"/>
      <c r="W352" s="905"/>
      <c r="X352" s="364"/>
      <c r="Y352" s="363"/>
      <c r="Z352" s="363"/>
      <c r="AA352" s="367"/>
      <c r="AB352"/>
      <c r="AC352"/>
      <c r="AD352"/>
      <c r="AE352"/>
      <c r="AF352"/>
      <c r="AG352"/>
      <c r="AH352"/>
      <c r="AI352"/>
      <c r="AJ352"/>
      <c r="AK352"/>
      <c r="AL352"/>
      <c r="AM352"/>
      <c r="AN352"/>
      <c r="AO352"/>
      <c r="AP352"/>
      <c r="AQ352"/>
      <c r="AR352"/>
      <c r="AS352"/>
      <c r="AT352"/>
      <c r="AU352"/>
      <c r="AV352"/>
      <c r="AW352"/>
      <c r="AX352"/>
    </row>
    <row r="353" spans="17:50" ht="12.75" customHeight="1">
      <c r="Q353" s="364"/>
      <c r="R353" s="892"/>
      <c r="S353" s="897"/>
      <c r="T353" s="901"/>
      <c r="U353" s="901"/>
      <c r="V353" s="901"/>
      <c r="W353" s="903"/>
      <c r="X353" s="364"/>
      <c r="Y353" s="363"/>
      <c r="Z353" s="363"/>
      <c r="AA353" s="367"/>
      <c r="AB353"/>
      <c r="AC353"/>
      <c r="AD353"/>
      <c r="AE353"/>
      <c r="AF353"/>
      <c r="AG353"/>
      <c r="AH353"/>
      <c r="AI353"/>
      <c r="AJ353"/>
      <c r="AK353"/>
      <c r="AL353"/>
      <c r="AM353"/>
      <c r="AN353"/>
      <c r="AO353"/>
      <c r="AP353"/>
      <c r="AQ353"/>
      <c r="AR353"/>
      <c r="AS353"/>
      <c r="AT353"/>
      <c r="AU353"/>
      <c r="AV353"/>
      <c r="AW353"/>
      <c r="AX353"/>
    </row>
    <row r="354" spans="17:50" ht="12.75" customHeight="1">
      <c r="Q354" s="364"/>
      <c r="R354" s="892"/>
      <c r="S354" s="897"/>
      <c r="T354" s="700">
        <f>V69</f>
        <v>108.59999999999988</v>
      </c>
      <c r="U354" s="560">
        <f>V62</f>
        <v>1.6949152542372867</v>
      </c>
      <c r="V354" s="690">
        <f>IF(T354&gt;0,W354*U354," ")</f>
        <v>4889.8305084745725</v>
      </c>
      <c r="W354" s="691">
        <f>IF(T354&gt;0,(VLOOKUP(T354,'Lookup Ready-reckoner'!$B$5:$E$1207,4))," ")</f>
        <v>2885</v>
      </c>
      <c r="X354" s="364"/>
      <c r="Y354" s="363"/>
      <c r="Z354" s="363"/>
      <c r="AA354" s="367"/>
      <c r="AB354"/>
      <c r="AC354"/>
      <c r="AD354"/>
      <c r="AE354"/>
      <c r="AF354"/>
      <c r="AG354"/>
      <c r="AH354"/>
      <c r="AI354"/>
      <c r="AJ354"/>
      <c r="AK354"/>
      <c r="AL354"/>
      <c r="AM354"/>
      <c r="AN354"/>
      <c r="AO354"/>
      <c r="AP354"/>
      <c r="AQ354"/>
      <c r="AR354"/>
      <c r="AS354"/>
      <c r="AT354"/>
      <c r="AU354"/>
      <c r="AV354"/>
      <c r="AW354"/>
      <c r="AX354"/>
    </row>
    <row r="355" spans="17:50" ht="12.75" customHeight="1">
      <c r="Q355" s="364"/>
      <c r="R355" s="898"/>
      <c r="S355" s="899"/>
      <c r="T355" s="447"/>
      <c r="U355" s="560"/>
      <c r="V355" s="690" t="str">
        <f>IF(T355&gt;0,W355*U355," ")</f>
        <v xml:space="preserve"> </v>
      </c>
      <c r="W355" s="691" t="str">
        <f>IF(T355&gt;0,(VLOOKUP(T355,'Lookup Ready-reckoner'!$B$5:$E$1007,4))," ")</f>
        <v xml:space="preserve"> </v>
      </c>
      <c r="X355" s="364"/>
      <c r="Y355" s="363"/>
      <c r="Z355" s="363"/>
      <c r="AA355" s="367"/>
      <c r="AB355"/>
      <c r="AC355"/>
      <c r="AD355"/>
      <c r="AE355"/>
      <c r="AF355"/>
      <c r="AG355"/>
      <c r="AH355"/>
      <c r="AI355"/>
      <c r="AJ355"/>
      <c r="AK355"/>
      <c r="AL355"/>
      <c r="AM355"/>
      <c r="AN355"/>
      <c r="AO355"/>
      <c r="AP355"/>
      <c r="AQ355"/>
      <c r="AR355"/>
      <c r="AS355"/>
      <c r="AT355"/>
      <c r="AU355"/>
      <c r="AV355"/>
      <c r="AW355"/>
      <c r="AX355"/>
    </row>
    <row r="356" spans="17:50" ht="12.75" customHeight="1" thickBot="1">
      <c r="Q356" s="364"/>
      <c r="R356" s="699" t="s">
        <v>839</v>
      </c>
      <c r="S356" s="693"/>
      <c r="T356" s="693"/>
      <c r="U356" s="701">
        <f>IF(T354&gt;0,(VLOOKUP(V356,'Lookup Ready-reckoner'!$L$5:$M$1207,2))," ")</f>
        <v>101.85</v>
      </c>
      <c r="V356" s="695">
        <f>IF(U354&gt;0,(SUM(V354:V355))," ")</f>
        <v>4889.8305084745725</v>
      </c>
      <c r="W356" s="696"/>
      <c r="X356" s="364"/>
      <c r="Y356" s="363"/>
      <c r="Z356" s="363"/>
      <c r="AA356" s="367"/>
      <c r="AB356"/>
      <c r="AC356"/>
      <c r="AD356"/>
      <c r="AE356"/>
      <c r="AF356"/>
      <c r="AG356"/>
      <c r="AH356"/>
      <c r="AI356"/>
      <c r="AJ356"/>
      <c r="AK356"/>
      <c r="AL356"/>
      <c r="AM356"/>
      <c r="AN356"/>
      <c r="AO356"/>
      <c r="AP356"/>
      <c r="AQ356"/>
      <c r="AR356"/>
      <c r="AS356"/>
      <c r="AT356"/>
      <c r="AU356"/>
      <c r="AV356"/>
      <c r="AW356"/>
      <c r="AX356"/>
    </row>
    <row r="357" spans="17:50" ht="12.75" customHeight="1" thickBot="1">
      <c r="Q357" s="364"/>
      <c r="R357" s="892"/>
      <c r="S357" s="893"/>
      <c r="T357" s="893"/>
      <c r="U357" s="893"/>
      <c r="V357" s="893"/>
      <c r="W357" s="894"/>
      <c r="X357" s="364"/>
      <c r="Y357" s="363"/>
      <c r="Z357" s="363"/>
      <c r="AA357" s="367"/>
      <c r="AB357"/>
      <c r="AC357"/>
      <c r="AD357"/>
      <c r="AE357"/>
      <c r="AF357"/>
      <c r="AG357"/>
      <c r="AH357"/>
      <c r="AI357"/>
      <c r="AJ357"/>
      <c r="AK357"/>
      <c r="AL357"/>
      <c r="AM357"/>
      <c r="AN357"/>
      <c r="AO357"/>
      <c r="AP357"/>
      <c r="AQ357"/>
      <c r="AR357"/>
      <c r="AS357"/>
      <c r="AT357"/>
      <c r="AU357"/>
      <c r="AV357"/>
      <c r="AW357"/>
      <c r="AX357"/>
    </row>
    <row r="358" spans="17:50" ht="12.75" customHeight="1">
      <c r="Q358" s="364"/>
      <c r="R358" s="895" t="s">
        <v>886</v>
      </c>
      <c r="S358" s="896"/>
      <c r="T358" s="900" t="s">
        <v>835</v>
      </c>
      <c r="U358" s="900" t="s">
        <v>836</v>
      </c>
      <c r="V358" s="900" t="s">
        <v>837</v>
      </c>
      <c r="W358" s="902" t="s">
        <v>838</v>
      </c>
      <c r="X358" s="364"/>
      <c r="Y358" s="363"/>
      <c r="Z358" s="363"/>
      <c r="AA358" s="367"/>
      <c r="AB358"/>
      <c r="AC358"/>
      <c r="AD358"/>
      <c r="AE358"/>
      <c r="AF358"/>
      <c r="AG358"/>
      <c r="AH358"/>
      <c r="AI358"/>
      <c r="AJ358"/>
      <c r="AK358"/>
      <c r="AL358"/>
      <c r="AM358"/>
      <c r="AN358"/>
      <c r="AO358"/>
      <c r="AP358"/>
      <c r="AQ358"/>
      <c r="AR358"/>
      <c r="AS358"/>
      <c r="AT358"/>
      <c r="AU358"/>
      <c r="AV358"/>
      <c r="AW358"/>
      <c r="AX358"/>
    </row>
    <row r="359" spans="17:50" ht="12.75" customHeight="1">
      <c r="Q359" s="364"/>
      <c r="R359" s="892"/>
      <c r="S359" s="897"/>
      <c r="T359" s="901"/>
      <c r="U359" s="901"/>
      <c r="V359" s="901"/>
      <c r="W359" s="903"/>
      <c r="X359" s="364"/>
      <c r="Y359" s="363"/>
      <c r="Z359" s="363"/>
      <c r="AA359" s="367"/>
      <c r="AB359"/>
      <c r="AC359"/>
      <c r="AD359"/>
      <c r="AE359"/>
      <c r="AF359"/>
      <c r="AG359"/>
      <c r="AH359"/>
      <c r="AI359"/>
      <c r="AJ359"/>
      <c r="AK359"/>
      <c r="AL359"/>
      <c r="AM359"/>
      <c r="AN359"/>
      <c r="AO359"/>
      <c r="AP359"/>
      <c r="AQ359"/>
      <c r="AR359"/>
      <c r="AS359"/>
      <c r="AT359"/>
      <c r="AU359"/>
      <c r="AV359"/>
      <c r="AW359"/>
      <c r="AX359"/>
    </row>
    <row r="360" spans="17:50" ht="12.75" customHeight="1">
      <c r="Q360" s="364"/>
      <c r="R360" s="892"/>
      <c r="S360" s="897"/>
      <c r="T360" s="700">
        <f>T354*(1-0.0178*2)</f>
        <v>104.73383999999989</v>
      </c>
      <c r="U360" s="560">
        <f>U354</f>
        <v>1.6949152542372867</v>
      </c>
      <c r="V360" s="690">
        <f>IF(T360&gt;0,W360*U360," ")</f>
        <v>1991.5254237288118</v>
      </c>
      <c r="W360" s="691">
        <f>IF(T360&gt;0,(VLOOKUP(T360,'Lookup Ready-reckoner'!$B$5:$E$1207,4))," ")</f>
        <v>1175</v>
      </c>
      <c r="X360" s="364"/>
      <c r="Y360" s="363"/>
      <c r="Z360" s="363"/>
      <c r="AA360" s="367"/>
      <c r="AB360"/>
      <c r="AC360"/>
      <c r="AD360"/>
      <c r="AE360"/>
      <c r="AF360"/>
      <c r="AG360"/>
      <c r="AH360"/>
      <c r="AI360"/>
      <c r="AJ360"/>
      <c r="AK360"/>
      <c r="AL360"/>
      <c r="AM360"/>
      <c r="AN360"/>
      <c r="AO360"/>
      <c r="AP360"/>
      <c r="AQ360"/>
      <c r="AR360"/>
      <c r="AS360"/>
      <c r="AT360"/>
      <c r="AU360"/>
      <c r="AV360"/>
      <c r="AW360"/>
      <c r="AX360"/>
    </row>
    <row r="361" spans="17:50" ht="12.75" customHeight="1">
      <c r="Q361" s="364"/>
      <c r="R361" s="898"/>
      <c r="S361" s="899"/>
      <c r="T361" s="447"/>
      <c r="U361" s="560"/>
      <c r="V361" s="690" t="str">
        <f>IF(T361&gt;0,W361*U361," ")</f>
        <v xml:space="preserve"> </v>
      </c>
      <c r="W361" s="691" t="str">
        <f>IF(T361&gt;0,(VLOOKUP(T361,'Lookup Ready-reckoner'!$B$5:$E$1007,4))," ")</f>
        <v xml:space="preserve"> </v>
      </c>
      <c r="X361" s="364"/>
      <c r="Y361" s="363"/>
      <c r="Z361" s="363"/>
      <c r="AA361" s="367"/>
      <c r="AB361"/>
      <c r="AC361"/>
      <c r="AD361"/>
      <c r="AE361"/>
      <c r="AF361"/>
      <c r="AG361"/>
      <c r="AH361"/>
      <c r="AI361"/>
      <c r="AJ361"/>
      <c r="AK361"/>
      <c r="AL361"/>
      <c r="AM361"/>
      <c r="AN361"/>
      <c r="AO361"/>
      <c r="AP361"/>
      <c r="AQ361"/>
      <c r="AR361"/>
      <c r="AS361"/>
      <c r="AT361"/>
      <c r="AU361"/>
      <c r="AV361"/>
      <c r="AW361"/>
      <c r="AX361"/>
    </row>
    <row r="362" spans="17:50" ht="12.75" customHeight="1" thickBot="1">
      <c r="Q362" s="364"/>
      <c r="R362" s="692" t="s">
        <v>839</v>
      </c>
      <c r="S362" s="693"/>
      <c r="T362" s="693"/>
      <c r="U362" s="701">
        <f>IF(T360&gt;0,(VLOOKUP(V362,'Lookup Ready-reckoner'!$L$5:$M$1207,2))," ")</f>
        <v>97.95</v>
      </c>
      <c r="V362" s="695">
        <f>IF(U360&gt;0,(SUM(V360:V361))," ")</f>
        <v>1991.5254237288118</v>
      </c>
      <c r="W362" s="696"/>
      <c r="X362" s="364"/>
      <c r="Y362" s="363"/>
      <c r="Z362" s="363"/>
      <c r="AA362" s="367"/>
      <c r="AB362"/>
      <c r="AC362"/>
      <c r="AD362"/>
      <c r="AE362"/>
      <c r="AF362"/>
      <c r="AG362"/>
      <c r="AH362"/>
      <c r="AI362"/>
      <c r="AJ362"/>
      <c r="AK362"/>
      <c r="AL362"/>
      <c r="AM362"/>
      <c r="AN362"/>
      <c r="AO362"/>
      <c r="AP362"/>
      <c r="AQ362"/>
      <c r="AR362"/>
      <c r="AS362"/>
      <c r="AT362"/>
      <c r="AU362"/>
      <c r="AV362"/>
      <c r="AW362"/>
      <c r="AX362"/>
    </row>
    <row r="363" spans="17:50" ht="12.75" customHeight="1">
      <c r="Q363" s="364"/>
      <c r="R363" s="697"/>
      <c r="S363" s="687"/>
      <c r="T363" s="687"/>
      <c r="U363" s="372"/>
      <c r="V363" s="374"/>
      <c r="W363" s="688"/>
      <c r="X363" s="364"/>
      <c r="Y363" s="363"/>
      <c r="Z363" s="363"/>
      <c r="AA363" s="367"/>
      <c r="AB363"/>
      <c r="AC363"/>
      <c r="AD363"/>
      <c r="AE363"/>
      <c r="AF363"/>
      <c r="AG363"/>
      <c r="AH363"/>
      <c r="AI363"/>
      <c r="AJ363"/>
      <c r="AK363"/>
      <c r="AL363"/>
      <c r="AM363"/>
      <c r="AN363"/>
      <c r="AO363"/>
      <c r="AP363"/>
      <c r="AQ363"/>
      <c r="AR363"/>
      <c r="AS363"/>
      <c r="AT363"/>
      <c r="AU363"/>
      <c r="AV363"/>
      <c r="AW363"/>
      <c r="AX363"/>
    </row>
    <row r="364" spans="17:50" ht="12.75" customHeight="1" thickBot="1">
      <c r="Q364" s="364"/>
      <c r="R364" s="686" t="s">
        <v>60</v>
      </c>
      <c r="S364" s="577"/>
      <c r="T364" s="577"/>
      <c r="U364" s="577"/>
      <c r="V364" s="577"/>
      <c r="W364" s="698"/>
      <c r="X364" s="364"/>
      <c r="Y364" s="363"/>
      <c r="Z364" s="363"/>
      <c r="AA364" s="367"/>
      <c r="AB364"/>
      <c r="AC364"/>
      <c r="AD364"/>
      <c r="AE364"/>
      <c r="AF364"/>
      <c r="AG364"/>
      <c r="AH364"/>
      <c r="AI364"/>
      <c r="AJ364"/>
      <c r="AK364"/>
      <c r="AL364"/>
      <c r="AM364"/>
      <c r="AN364"/>
      <c r="AO364"/>
      <c r="AP364"/>
      <c r="AQ364"/>
      <c r="AR364"/>
      <c r="AS364"/>
      <c r="AT364"/>
      <c r="AU364"/>
      <c r="AV364"/>
      <c r="AW364"/>
      <c r="AX364"/>
    </row>
    <row r="365" spans="17:50" ht="12.75" customHeight="1">
      <c r="Q365" s="364"/>
      <c r="R365" s="895" t="s">
        <v>845</v>
      </c>
      <c r="S365" s="896"/>
      <c r="T365" s="900" t="s">
        <v>835</v>
      </c>
      <c r="U365" s="900" t="s">
        <v>836</v>
      </c>
      <c r="V365" s="900" t="s">
        <v>837</v>
      </c>
      <c r="W365" s="902" t="s">
        <v>838</v>
      </c>
      <c r="X365" s="364"/>
      <c r="Y365" s="363"/>
      <c r="Z365" s="363"/>
      <c r="AA365" s="367"/>
      <c r="AB365"/>
      <c r="AC365"/>
      <c r="AD365"/>
      <c r="AE365"/>
      <c r="AF365"/>
      <c r="AG365"/>
      <c r="AH365"/>
      <c r="AI365"/>
      <c r="AJ365"/>
      <c r="AK365"/>
      <c r="AL365"/>
      <c r="AM365"/>
      <c r="AN365"/>
      <c r="AO365"/>
      <c r="AP365"/>
      <c r="AQ365"/>
      <c r="AR365"/>
      <c r="AS365"/>
      <c r="AT365"/>
      <c r="AU365"/>
      <c r="AV365"/>
      <c r="AW365"/>
      <c r="AX365"/>
    </row>
    <row r="366" spans="17:50" ht="12.75" customHeight="1">
      <c r="Q366" s="364"/>
      <c r="R366" s="892"/>
      <c r="S366" s="897"/>
      <c r="T366" s="901"/>
      <c r="U366" s="901"/>
      <c r="V366" s="901"/>
      <c r="W366" s="903"/>
      <c r="X366" s="364"/>
      <c r="Y366" s="363"/>
      <c r="Z366" s="363"/>
      <c r="AA366" s="367"/>
      <c r="AB366"/>
      <c r="AC366"/>
      <c r="AD366"/>
      <c r="AE366"/>
      <c r="AF366"/>
      <c r="AG366"/>
      <c r="AH366"/>
      <c r="AI366"/>
      <c r="AJ366"/>
      <c r="AK366"/>
      <c r="AL366"/>
      <c r="AM366"/>
      <c r="AN366"/>
      <c r="AO366"/>
      <c r="AP366"/>
      <c r="AQ366"/>
      <c r="AR366"/>
      <c r="AS366"/>
      <c r="AT366"/>
      <c r="AU366"/>
      <c r="AV366"/>
      <c r="AW366"/>
      <c r="AX366"/>
    </row>
    <row r="367" spans="17:50" ht="12.75" customHeight="1">
      <c r="Q367" s="364"/>
      <c r="R367" s="892"/>
      <c r="S367" s="897"/>
      <c r="T367" s="700">
        <f>T354-PPE!$I$15</f>
        <v>95.599999999999881</v>
      </c>
      <c r="U367" s="560">
        <f>U360</f>
        <v>1.6949152542372867</v>
      </c>
      <c r="V367" s="690">
        <f>IF(T367&gt;0,W367*U367," ")</f>
        <v>240.99576271186422</v>
      </c>
      <c r="W367" s="691">
        <f>IF(T367&gt;0,(VLOOKUP(T367,'Lookup Ready-reckoner'!$B$5:$E$1207,4))," ")</f>
        <v>142.1875</v>
      </c>
      <c r="X367" s="364"/>
      <c r="Y367" s="363"/>
      <c r="Z367" s="363"/>
      <c r="AA367" s="367"/>
      <c r="AB367"/>
      <c r="AC367"/>
      <c r="AD367"/>
      <c r="AE367"/>
      <c r="AF367"/>
      <c r="AG367"/>
      <c r="AH367"/>
      <c r="AI367"/>
      <c r="AJ367"/>
      <c r="AK367"/>
      <c r="AL367"/>
      <c r="AM367"/>
      <c r="AN367"/>
      <c r="AO367"/>
      <c r="AP367"/>
      <c r="AQ367"/>
      <c r="AR367"/>
      <c r="AS367"/>
      <c r="AT367"/>
      <c r="AU367"/>
      <c r="AV367"/>
      <c r="AW367"/>
      <c r="AX367"/>
    </row>
    <row r="368" spans="17:50" ht="12.75" customHeight="1">
      <c r="Q368" s="364"/>
      <c r="R368" s="898"/>
      <c r="S368" s="899"/>
      <c r="T368" s="447"/>
      <c r="U368" s="560"/>
      <c r="V368" s="690" t="str">
        <f>IF(T368&gt;0,W368*U368," ")</f>
        <v xml:space="preserve"> </v>
      </c>
      <c r="W368" s="691" t="str">
        <f>IF(T368&gt;0,(VLOOKUP(T368,'Lookup Ready-reckoner'!$B$5:$E$1007,4))," ")</f>
        <v xml:space="preserve"> </v>
      </c>
      <c r="X368" s="364"/>
      <c r="Y368" s="363"/>
      <c r="Z368" s="363"/>
      <c r="AA368" s="367"/>
      <c r="AB368"/>
      <c r="AC368"/>
      <c r="AD368"/>
      <c r="AE368"/>
      <c r="AF368"/>
      <c r="AG368"/>
      <c r="AH368"/>
      <c r="AI368"/>
      <c r="AJ368"/>
      <c r="AK368"/>
      <c r="AL368"/>
      <c r="AM368"/>
      <c r="AN368"/>
      <c r="AO368"/>
      <c r="AP368"/>
      <c r="AQ368"/>
      <c r="AR368"/>
      <c r="AS368"/>
      <c r="AT368"/>
      <c r="AU368"/>
      <c r="AV368"/>
      <c r="AW368"/>
      <c r="AX368"/>
    </row>
    <row r="369" spans="17:50" ht="12.75" customHeight="1" thickBot="1">
      <c r="Q369" s="364"/>
      <c r="R369" s="692" t="s">
        <v>839</v>
      </c>
      <c r="S369" s="693"/>
      <c r="T369" s="693"/>
      <c r="U369" s="701">
        <f>IF(T367&gt;0,(VLOOKUP(V369,'Lookup Ready-reckoner'!$L$5:$M$1207,2))," ")</f>
        <v>88.8</v>
      </c>
      <c r="V369" s="695">
        <f>IF(U367&gt;0,(SUM(V367:V368))," ")</f>
        <v>240.99576271186422</v>
      </c>
      <c r="W369" s="696"/>
      <c r="X369" s="364"/>
      <c r="Y369" s="363"/>
      <c r="Z369" s="363"/>
      <c r="AA369" s="367"/>
      <c r="AB369"/>
      <c r="AC369"/>
      <c r="AD369"/>
      <c r="AE369"/>
      <c r="AF369"/>
      <c r="AG369"/>
      <c r="AH369"/>
      <c r="AI369"/>
      <c r="AJ369"/>
      <c r="AK369"/>
      <c r="AL369"/>
      <c r="AM369"/>
      <c r="AN369"/>
      <c r="AO369"/>
      <c r="AP369"/>
      <c r="AQ369"/>
      <c r="AR369"/>
      <c r="AS369"/>
      <c r="AT369"/>
      <c r="AU369"/>
      <c r="AV369"/>
      <c r="AW369"/>
      <c r="AX369"/>
    </row>
    <row r="370" spans="17:50" ht="12.75" customHeight="1" thickBot="1">
      <c r="Q370" s="364"/>
      <c r="R370" s="892"/>
      <c r="S370" s="893"/>
      <c r="T370" s="893"/>
      <c r="U370" s="893"/>
      <c r="V370" s="893"/>
      <c r="W370" s="894"/>
      <c r="X370" s="364"/>
      <c r="Y370" s="363"/>
      <c r="Z370" s="363"/>
      <c r="AA370" s="367"/>
      <c r="AB370"/>
      <c r="AC370"/>
      <c r="AD370"/>
      <c r="AE370"/>
      <c r="AF370"/>
      <c r="AG370"/>
      <c r="AH370"/>
      <c r="AI370"/>
      <c r="AJ370"/>
      <c r="AK370"/>
      <c r="AL370"/>
      <c r="AM370"/>
      <c r="AN370"/>
      <c r="AO370"/>
      <c r="AP370"/>
      <c r="AQ370"/>
      <c r="AR370"/>
      <c r="AS370"/>
      <c r="AT370"/>
      <c r="AU370"/>
      <c r="AV370"/>
      <c r="AW370"/>
      <c r="AX370"/>
    </row>
    <row r="371" spans="17:50" ht="12.75" customHeight="1">
      <c r="Q371" s="364"/>
      <c r="R371" s="895" t="s">
        <v>886</v>
      </c>
      <c r="S371" s="896"/>
      <c r="T371" s="900" t="s">
        <v>835</v>
      </c>
      <c r="U371" s="900" t="s">
        <v>836</v>
      </c>
      <c r="V371" s="900" t="s">
        <v>837</v>
      </c>
      <c r="W371" s="902" t="s">
        <v>838</v>
      </c>
      <c r="X371" s="364"/>
      <c r="Y371" s="363"/>
      <c r="Z371" s="363"/>
      <c r="AA371" s="367"/>
      <c r="AB371"/>
      <c r="AC371"/>
      <c r="AD371"/>
      <c r="AE371"/>
      <c r="AF371"/>
      <c r="AG371"/>
      <c r="AH371"/>
      <c r="AI371"/>
      <c r="AJ371"/>
      <c r="AK371"/>
      <c r="AL371"/>
      <c r="AM371"/>
      <c r="AN371"/>
      <c r="AO371"/>
      <c r="AP371"/>
      <c r="AQ371"/>
      <c r="AR371"/>
      <c r="AS371"/>
      <c r="AT371"/>
      <c r="AU371"/>
      <c r="AV371"/>
      <c r="AW371"/>
      <c r="AX371"/>
    </row>
    <row r="372" spans="17:50" ht="12.75" customHeight="1">
      <c r="Q372" s="364"/>
      <c r="R372" s="892"/>
      <c r="S372" s="897"/>
      <c r="T372" s="901"/>
      <c r="U372" s="901"/>
      <c r="V372" s="901"/>
      <c r="W372" s="903"/>
      <c r="X372" s="364"/>
      <c r="Y372" s="363"/>
      <c r="Z372" s="363"/>
      <c r="AA372" s="367"/>
      <c r="AB372"/>
      <c r="AC372"/>
      <c r="AD372"/>
      <c r="AE372"/>
      <c r="AF372"/>
      <c r="AG372"/>
      <c r="AH372"/>
      <c r="AI372"/>
      <c r="AJ372"/>
      <c r="AK372"/>
      <c r="AL372"/>
      <c r="AM372"/>
      <c r="AN372"/>
      <c r="AO372"/>
      <c r="AP372"/>
      <c r="AQ372"/>
      <c r="AR372"/>
      <c r="AS372"/>
      <c r="AT372"/>
      <c r="AU372"/>
      <c r="AV372"/>
      <c r="AW372"/>
      <c r="AX372"/>
    </row>
    <row r="373" spans="17:50" ht="12.75" customHeight="1">
      <c r="Q373" s="364"/>
      <c r="R373" s="892"/>
      <c r="S373" s="897"/>
      <c r="T373" s="700">
        <f>T360-PPE!$I$15</f>
        <v>91.733839999999887</v>
      </c>
      <c r="U373" s="560">
        <f>U367</f>
        <v>1.6949152542372867</v>
      </c>
      <c r="V373" s="690">
        <f>IF(T373&gt;0,W373*U373," ")</f>
        <v>99.576271186440593</v>
      </c>
      <c r="W373" s="691">
        <f>IF(T373&gt;0,(VLOOKUP(T373,'Lookup Ready-reckoner'!$B$5:$E$1207,4))," ")</f>
        <v>58.75</v>
      </c>
      <c r="X373" s="364"/>
      <c r="Y373" s="363"/>
      <c r="Z373" s="363"/>
      <c r="AA373" s="367"/>
      <c r="AB373"/>
      <c r="AC373"/>
      <c r="AD373"/>
      <c r="AE373"/>
      <c r="AF373"/>
      <c r="AG373"/>
      <c r="AH373"/>
      <c r="AI373"/>
      <c r="AJ373"/>
      <c r="AK373"/>
      <c r="AL373"/>
      <c r="AM373"/>
      <c r="AN373"/>
      <c r="AO373"/>
      <c r="AP373"/>
      <c r="AQ373"/>
      <c r="AR373"/>
      <c r="AS373"/>
      <c r="AT373"/>
      <c r="AU373"/>
      <c r="AV373"/>
      <c r="AW373"/>
      <c r="AX373"/>
    </row>
    <row r="374" spans="17:50" ht="12.75" customHeight="1">
      <c r="Q374" s="364"/>
      <c r="R374" s="898"/>
      <c r="S374" s="899"/>
      <c r="T374" s="447"/>
      <c r="U374" s="560"/>
      <c r="V374" s="690" t="str">
        <f>IF(T374&gt;0,W374*U374," ")</f>
        <v xml:space="preserve"> </v>
      </c>
      <c r="W374" s="691" t="str">
        <f>IF(T374&gt;0,(VLOOKUP(T374,'Lookup Ready-reckoner'!$B$5:$E$1007,4))," ")</f>
        <v xml:space="preserve"> </v>
      </c>
      <c r="X374" s="364"/>
      <c r="Y374" s="363"/>
      <c r="Z374" s="363"/>
      <c r="AA374" s="367"/>
      <c r="AB374"/>
      <c r="AC374"/>
      <c r="AD374"/>
      <c r="AE374"/>
      <c r="AF374"/>
      <c r="AG374"/>
      <c r="AH374"/>
      <c r="AI374"/>
      <c r="AJ374"/>
      <c r="AK374"/>
      <c r="AL374"/>
      <c r="AM374"/>
      <c r="AN374"/>
      <c r="AO374"/>
      <c r="AP374"/>
      <c r="AQ374"/>
      <c r="AR374"/>
      <c r="AS374"/>
      <c r="AT374"/>
      <c r="AU374"/>
      <c r="AV374"/>
      <c r="AW374"/>
      <c r="AX374"/>
    </row>
    <row r="375" spans="17:50" ht="12.75" customHeight="1" thickBot="1">
      <c r="Q375" s="364"/>
      <c r="R375" s="692" t="s">
        <v>839</v>
      </c>
      <c r="S375" s="693"/>
      <c r="T375" s="693"/>
      <c r="U375" s="701">
        <f>IF(T373&gt;0,(VLOOKUP(V375,'Lookup Ready-reckoner'!$L$5:$M$1207,2))," ")</f>
        <v>84.95</v>
      </c>
      <c r="V375" s="695">
        <f>IF(U373&gt;0,(SUM(V373:V374))," ")</f>
        <v>99.576271186440593</v>
      </c>
      <c r="W375" s="696"/>
      <c r="X375" s="364"/>
      <c r="Y375" s="363"/>
      <c r="Z375" s="363"/>
      <c r="AA375" s="367"/>
      <c r="AB375"/>
      <c r="AC375"/>
      <c r="AD375"/>
      <c r="AE375"/>
      <c r="AF375"/>
      <c r="AG375"/>
      <c r="AH375"/>
      <c r="AI375"/>
      <c r="AJ375"/>
      <c r="AK375"/>
      <c r="AL375"/>
      <c r="AM375"/>
      <c r="AN375"/>
      <c r="AO375"/>
      <c r="AP375"/>
      <c r="AQ375"/>
      <c r="AR375"/>
      <c r="AS375"/>
      <c r="AT375"/>
      <c r="AU375"/>
      <c r="AV375"/>
      <c r="AW375"/>
      <c r="AX375"/>
    </row>
    <row r="376" spans="17:50" ht="12.75" customHeight="1">
      <c r="Q376" s="364"/>
      <c r="R376" s="363"/>
      <c r="S376" s="363"/>
      <c r="T376" s="363"/>
      <c r="U376" s="363"/>
      <c r="V376" s="363"/>
      <c r="W376" s="363"/>
      <c r="X376" s="364"/>
      <c r="Y376" s="364"/>
      <c r="Z376" s="364"/>
      <c r="AA376" s="367"/>
      <c r="AB376"/>
      <c r="AC376"/>
      <c r="AD376"/>
      <c r="AE376"/>
      <c r="AF376"/>
      <c r="AG376"/>
      <c r="AH376"/>
      <c r="AI376"/>
      <c r="AJ376"/>
      <c r="AK376"/>
      <c r="AL376"/>
      <c r="AM376"/>
      <c r="AN376"/>
      <c r="AO376"/>
      <c r="AP376"/>
      <c r="AQ376"/>
      <c r="AR376"/>
      <c r="AS376"/>
      <c r="AT376"/>
      <c r="AU376"/>
      <c r="AV376"/>
      <c r="AW376"/>
      <c r="AX376"/>
    </row>
    <row r="377" spans="17:50" ht="12.75" customHeight="1">
      <c r="Q377" s="364"/>
      <c r="R377" s="913" t="str">
        <f>U306</f>
        <v>Sulzer ADDS</v>
      </c>
      <c r="S377" s="914"/>
      <c r="T377" s="914"/>
      <c r="U377" s="914"/>
      <c r="V377" s="914"/>
      <c r="W377" s="914"/>
      <c r="X377" s="364"/>
      <c r="Y377" s="363"/>
      <c r="Z377" s="363"/>
      <c r="AA377" s="367"/>
      <c r="AB377"/>
      <c r="AC377"/>
      <c r="AD377"/>
      <c r="AE377"/>
      <c r="AF377"/>
      <c r="AG377"/>
      <c r="AH377"/>
      <c r="AI377"/>
      <c r="AJ377"/>
      <c r="AK377"/>
      <c r="AL377"/>
      <c r="AM377"/>
      <c r="AN377"/>
      <c r="AO377"/>
      <c r="AP377"/>
      <c r="AQ377"/>
      <c r="AR377"/>
      <c r="AS377"/>
      <c r="AT377"/>
      <c r="AU377"/>
      <c r="AV377"/>
      <c r="AW377"/>
      <c r="AX377"/>
    </row>
    <row r="378" spans="17:50" ht="12.75" customHeight="1" thickBot="1">
      <c r="Q378" s="364"/>
      <c r="R378" s="910" t="s">
        <v>205</v>
      </c>
      <c r="S378" s="911"/>
      <c r="T378" s="911"/>
      <c r="U378" s="911"/>
      <c r="V378" s="911"/>
      <c r="W378" s="912"/>
      <c r="X378" s="364"/>
      <c r="Y378" s="363"/>
      <c r="Z378" s="363"/>
      <c r="AA378" s="367"/>
      <c r="AB378"/>
      <c r="AC378"/>
      <c r="AD378"/>
      <c r="AE378"/>
      <c r="AF378"/>
      <c r="AG378"/>
      <c r="AH378"/>
      <c r="AI378"/>
      <c r="AJ378"/>
      <c r="AK378"/>
      <c r="AL378"/>
      <c r="AM378"/>
      <c r="AN378"/>
      <c r="AO378"/>
      <c r="AP378"/>
      <c r="AQ378"/>
      <c r="AR378"/>
      <c r="AS378"/>
      <c r="AT378"/>
      <c r="AU378"/>
      <c r="AV378"/>
      <c r="AW378"/>
      <c r="AX378"/>
    </row>
    <row r="379" spans="17:50" ht="12.75" customHeight="1" thickBot="1">
      <c r="Q379" s="364"/>
      <c r="R379" s="686" t="s">
        <v>59</v>
      </c>
      <c r="S379" s="577"/>
      <c r="T379" s="687"/>
      <c r="U379" s="687"/>
      <c r="V379" s="687"/>
      <c r="W379" s="688"/>
      <c r="X379" s="364"/>
      <c r="Y379" s="363"/>
      <c r="Z379" s="363"/>
      <c r="AA379" s="367"/>
      <c r="AB379"/>
      <c r="AC379"/>
      <c r="AD379"/>
      <c r="AE379"/>
      <c r="AF379"/>
      <c r="AG379"/>
      <c r="AH379"/>
      <c r="AI379"/>
      <c r="AJ379"/>
      <c r="AK379"/>
      <c r="AL379"/>
      <c r="AM379"/>
      <c r="AN379"/>
      <c r="AO379"/>
      <c r="AP379"/>
      <c r="AQ379"/>
      <c r="AR379"/>
      <c r="AS379"/>
      <c r="AT379"/>
      <c r="AU379"/>
      <c r="AV379"/>
      <c r="AW379"/>
      <c r="AX379"/>
    </row>
    <row r="380" spans="17:50" ht="12.75" customHeight="1">
      <c r="Q380" s="364"/>
      <c r="R380" s="895" t="s">
        <v>845</v>
      </c>
      <c r="S380" s="896"/>
      <c r="T380" s="900" t="s">
        <v>835</v>
      </c>
      <c r="U380" s="900" t="s">
        <v>836</v>
      </c>
      <c r="V380" s="900" t="s">
        <v>837</v>
      </c>
      <c r="W380" s="902" t="s">
        <v>838</v>
      </c>
      <c r="X380" s="364"/>
      <c r="Y380" s="363"/>
      <c r="Z380" s="363"/>
      <c r="AA380" s="367"/>
      <c r="AB380"/>
      <c r="AC380"/>
      <c r="AD380"/>
      <c r="AE380"/>
      <c r="AF380"/>
      <c r="AG380"/>
      <c r="AH380"/>
      <c r="AI380"/>
      <c r="AJ380"/>
      <c r="AK380"/>
      <c r="AL380"/>
      <c r="AM380"/>
      <c r="AN380"/>
      <c r="AO380"/>
      <c r="AP380"/>
      <c r="AQ380"/>
      <c r="AR380"/>
      <c r="AS380"/>
      <c r="AT380"/>
      <c r="AU380"/>
      <c r="AV380"/>
      <c r="AW380"/>
      <c r="AX380"/>
    </row>
    <row r="381" spans="17:50" ht="12.75" customHeight="1">
      <c r="Q381" s="364"/>
      <c r="R381" s="892"/>
      <c r="S381" s="897"/>
      <c r="T381" s="904"/>
      <c r="U381" s="904"/>
      <c r="V381" s="904"/>
      <c r="W381" s="905"/>
      <c r="X381" s="364"/>
      <c r="Y381" s="363"/>
      <c r="Z381" s="363"/>
      <c r="AA381" s="367"/>
      <c r="AB381"/>
      <c r="AC381"/>
      <c r="AD381"/>
      <c r="AE381"/>
      <c r="AF381"/>
      <c r="AG381"/>
      <c r="AH381"/>
      <c r="AI381"/>
      <c r="AJ381"/>
      <c r="AK381"/>
      <c r="AL381"/>
      <c r="AM381"/>
      <c r="AN381"/>
      <c r="AO381"/>
      <c r="AP381"/>
      <c r="AQ381"/>
      <c r="AR381"/>
      <c r="AS381"/>
      <c r="AT381"/>
      <c r="AU381"/>
      <c r="AV381"/>
      <c r="AW381"/>
      <c r="AX381"/>
    </row>
    <row r="382" spans="17:50" ht="12.75" customHeight="1">
      <c r="Q382" s="364"/>
      <c r="R382" s="892"/>
      <c r="S382" s="897"/>
      <c r="T382" s="901"/>
      <c r="U382" s="901"/>
      <c r="V382" s="901"/>
      <c r="W382" s="903"/>
      <c r="X382" s="364"/>
      <c r="Y382" s="363"/>
      <c r="Z382" s="363"/>
      <c r="AA382" s="367"/>
      <c r="AB382"/>
      <c r="AC382"/>
      <c r="AD382"/>
      <c r="AE382"/>
      <c r="AF382"/>
      <c r="AG382"/>
      <c r="AH382"/>
      <c r="AI382"/>
      <c r="AJ382"/>
      <c r="AK382"/>
      <c r="AL382"/>
      <c r="AM382"/>
      <c r="AN382"/>
      <c r="AO382"/>
      <c r="AP382"/>
      <c r="AQ382"/>
      <c r="AR382"/>
      <c r="AS382"/>
      <c r="AT382"/>
      <c r="AU382"/>
      <c r="AV382"/>
      <c r="AW382"/>
      <c r="AX382"/>
    </row>
    <row r="383" spans="17:50" ht="12.75" customHeight="1">
      <c r="Q383" s="364"/>
      <c r="R383" s="892"/>
      <c r="S383" s="897"/>
      <c r="T383" s="702">
        <f>W69</f>
        <v>109.59999999999988</v>
      </c>
      <c r="U383" s="560">
        <f>W62</f>
        <v>1.6528925619834685</v>
      </c>
      <c r="V383" s="690">
        <f>IF(T383&gt;0,W383*U383," ")</f>
        <v>6016.5289256198248</v>
      </c>
      <c r="W383" s="691">
        <f>IF(T383&gt;0,(VLOOKUP(T383,'Lookup Ready-reckoner'!$B$5:$E$1207,4))," ")</f>
        <v>3640</v>
      </c>
      <c r="X383" s="364"/>
      <c r="Y383" s="363"/>
      <c r="Z383" s="363"/>
      <c r="AA383" s="367"/>
      <c r="AB383"/>
      <c r="AC383"/>
      <c r="AD383"/>
      <c r="AE383"/>
      <c r="AF383"/>
      <c r="AG383"/>
      <c r="AH383"/>
      <c r="AI383"/>
      <c r="AJ383"/>
      <c r="AK383"/>
      <c r="AL383"/>
      <c r="AM383"/>
      <c r="AN383"/>
      <c r="AO383"/>
      <c r="AP383"/>
      <c r="AQ383"/>
      <c r="AR383"/>
      <c r="AS383"/>
      <c r="AT383"/>
      <c r="AU383"/>
      <c r="AV383"/>
      <c r="AW383"/>
      <c r="AX383"/>
    </row>
    <row r="384" spans="17:50" ht="12.75" customHeight="1">
      <c r="Q384" s="364"/>
      <c r="R384" s="898"/>
      <c r="S384" s="899"/>
      <c r="T384" s="447"/>
      <c r="U384" s="560"/>
      <c r="V384" s="690" t="str">
        <f>IF(T384&gt;0,W384*U384," ")</f>
        <v xml:space="preserve"> </v>
      </c>
      <c r="W384" s="691" t="str">
        <f>IF(T384&gt;0,(VLOOKUP(T384,'Lookup Ready-reckoner'!$B$5:$E$1007,4))," ")</f>
        <v xml:space="preserve"> </v>
      </c>
      <c r="X384" s="364"/>
      <c r="Y384" s="363"/>
      <c r="Z384" s="363"/>
      <c r="AA384" s="367"/>
      <c r="AB384"/>
      <c r="AC384"/>
      <c r="AD384"/>
      <c r="AE384"/>
      <c r="AF384"/>
      <c r="AG384"/>
      <c r="AH384"/>
      <c r="AI384"/>
      <c r="AJ384"/>
      <c r="AK384"/>
      <c r="AL384"/>
      <c r="AM384"/>
      <c r="AN384"/>
      <c r="AO384"/>
      <c r="AP384"/>
      <c r="AQ384"/>
      <c r="AR384"/>
      <c r="AS384"/>
      <c r="AT384"/>
      <c r="AU384"/>
      <c r="AV384"/>
      <c r="AW384"/>
      <c r="AX384"/>
    </row>
    <row r="385" spans="17:50" ht="12.75" customHeight="1" thickBot="1">
      <c r="Q385" s="364"/>
      <c r="R385" s="692" t="s">
        <v>839</v>
      </c>
      <c r="S385" s="693"/>
      <c r="T385" s="693"/>
      <c r="U385" s="703">
        <f>IF(T383&gt;0,(VLOOKUP(V385,'Lookup Ready-reckoner'!$L$5:$M$1207,2))," ")</f>
        <v>102.7</v>
      </c>
      <c r="V385" s="695">
        <f>IF(U383&gt;0,(SUM(V383:V384))," ")</f>
        <v>6016.5289256198248</v>
      </c>
      <c r="W385" s="696"/>
      <c r="X385" s="364"/>
      <c r="Y385" s="363"/>
      <c r="Z385" s="363"/>
      <c r="AA385" s="367"/>
      <c r="AB385"/>
      <c r="AC385"/>
      <c r="AD385"/>
      <c r="AE385"/>
      <c r="AF385"/>
      <c r="AG385"/>
      <c r="AH385"/>
      <c r="AI385"/>
      <c r="AJ385"/>
      <c r="AK385"/>
      <c r="AL385"/>
      <c r="AM385"/>
      <c r="AN385"/>
      <c r="AO385"/>
      <c r="AP385"/>
      <c r="AQ385"/>
      <c r="AR385"/>
      <c r="AS385"/>
      <c r="AT385"/>
      <c r="AU385"/>
      <c r="AV385"/>
      <c r="AW385"/>
      <c r="AX385"/>
    </row>
    <row r="386" spans="17:50" ht="12.75" customHeight="1" thickBot="1">
      <c r="Q386" s="364"/>
      <c r="R386" s="892"/>
      <c r="S386" s="893"/>
      <c r="T386" s="893"/>
      <c r="U386" s="893"/>
      <c r="V386" s="893"/>
      <c r="W386" s="894"/>
      <c r="X386" s="364"/>
      <c r="Y386" s="363"/>
      <c r="Z386" s="363"/>
      <c r="AA386" s="367"/>
      <c r="AB386"/>
      <c r="AC386"/>
      <c r="AD386"/>
      <c r="AE386"/>
      <c r="AF386"/>
      <c r="AG386"/>
      <c r="AH386"/>
      <c r="AI386"/>
      <c r="AJ386"/>
      <c r="AK386"/>
      <c r="AL386"/>
      <c r="AM386"/>
      <c r="AN386"/>
      <c r="AO386"/>
      <c r="AP386"/>
      <c r="AQ386"/>
      <c r="AR386"/>
      <c r="AS386"/>
      <c r="AT386"/>
      <c r="AU386"/>
      <c r="AV386"/>
      <c r="AW386"/>
      <c r="AX386"/>
    </row>
    <row r="387" spans="17:50" ht="12.75" customHeight="1">
      <c r="Q387" s="364"/>
      <c r="R387" s="895" t="s">
        <v>886</v>
      </c>
      <c r="S387" s="896"/>
      <c r="T387" s="900" t="s">
        <v>835</v>
      </c>
      <c r="U387" s="900" t="s">
        <v>836</v>
      </c>
      <c r="V387" s="900" t="s">
        <v>837</v>
      </c>
      <c r="W387" s="902" t="s">
        <v>838</v>
      </c>
      <c r="X387" s="364"/>
      <c r="Y387" s="363"/>
      <c r="Z387" s="363"/>
      <c r="AA387" s="367"/>
      <c r="AB387"/>
      <c r="AC387"/>
      <c r="AD387"/>
      <c r="AE387"/>
      <c r="AF387"/>
      <c r="AG387"/>
      <c r="AH387"/>
      <c r="AI387"/>
      <c r="AJ387"/>
      <c r="AK387"/>
      <c r="AL387"/>
      <c r="AM387"/>
      <c r="AN387"/>
      <c r="AO387"/>
      <c r="AP387"/>
      <c r="AQ387"/>
      <c r="AR387"/>
      <c r="AS387"/>
      <c r="AT387"/>
      <c r="AU387"/>
      <c r="AV387"/>
      <c r="AW387"/>
      <c r="AX387"/>
    </row>
    <row r="388" spans="17:50" ht="12.75" customHeight="1">
      <c r="Q388" s="364"/>
      <c r="R388" s="892"/>
      <c r="S388" s="897"/>
      <c r="T388" s="901"/>
      <c r="U388" s="901"/>
      <c r="V388" s="901"/>
      <c r="W388" s="903"/>
      <c r="X388" s="364"/>
      <c r="Y388" s="363"/>
      <c r="Z388" s="363"/>
      <c r="AA388" s="367"/>
      <c r="AB388"/>
      <c r="AC388"/>
      <c r="AD388"/>
      <c r="AE388"/>
      <c r="AF388"/>
      <c r="AG388"/>
      <c r="AH388"/>
      <c r="AI388"/>
      <c r="AJ388"/>
      <c r="AK388"/>
      <c r="AL388"/>
      <c r="AM388"/>
      <c r="AN388"/>
      <c r="AO388"/>
      <c r="AP388"/>
      <c r="AQ388"/>
      <c r="AR388"/>
      <c r="AS388"/>
      <c r="AT388"/>
      <c r="AU388"/>
      <c r="AV388"/>
      <c r="AW388"/>
      <c r="AX388"/>
    </row>
    <row r="389" spans="17:50" ht="12.75" customHeight="1">
      <c r="Q389" s="364"/>
      <c r="R389" s="892"/>
      <c r="S389" s="897"/>
      <c r="T389" s="702">
        <f>T383*(1-0.0178*2)</f>
        <v>105.69823999999988</v>
      </c>
      <c r="U389" s="560">
        <f>U383</f>
        <v>1.6528925619834685</v>
      </c>
      <c r="V389" s="690">
        <f>IF(T389&gt;0,W389*U389," ")</f>
        <v>2442.1487603305745</v>
      </c>
      <c r="W389" s="691">
        <f>IF(T389&gt;0,(VLOOKUP(T389,'Lookup Ready-reckoner'!$B$5:$E$1207,4))," ")</f>
        <v>1477.5</v>
      </c>
      <c r="X389" s="364"/>
      <c r="Y389" s="363"/>
      <c r="Z389" s="363"/>
      <c r="AA389" s="367"/>
      <c r="AB389"/>
      <c r="AC389"/>
      <c r="AD389"/>
      <c r="AE389"/>
      <c r="AF389"/>
      <c r="AG389"/>
      <c r="AH389"/>
      <c r="AI389"/>
      <c r="AJ389"/>
      <c r="AK389"/>
      <c r="AL389"/>
      <c r="AM389"/>
      <c r="AN389"/>
      <c r="AO389"/>
      <c r="AP389"/>
      <c r="AQ389"/>
      <c r="AR389"/>
      <c r="AS389"/>
      <c r="AT389"/>
      <c r="AU389"/>
      <c r="AV389"/>
      <c r="AW389"/>
      <c r="AX389"/>
    </row>
    <row r="390" spans="17:50" ht="12.75" customHeight="1">
      <c r="Q390" s="364"/>
      <c r="R390" s="898"/>
      <c r="S390" s="899"/>
      <c r="T390" s="447"/>
      <c r="U390" s="560"/>
      <c r="V390" s="690" t="str">
        <f>IF(T390&gt;0,W390*U390," ")</f>
        <v xml:space="preserve"> </v>
      </c>
      <c r="W390" s="691" t="str">
        <f>IF(T390&gt;0,(VLOOKUP(T390,'Lookup Ready-reckoner'!$B$5:$E$1007,4))," ")</f>
        <v xml:space="preserve"> </v>
      </c>
      <c r="X390" s="364"/>
      <c r="Y390" s="363"/>
      <c r="Z390" s="363"/>
      <c r="AA390" s="367"/>
      <c r="AB390"/>
      <c r="AC390"/>
      <c r="AD390"/>
      <c r="AE390"/>
      <c r="AF390"/>
      <c r="AG390"/>
      <c r="AH390"/>
      <c r="AI390"/>
      <c r="AJ390"/>
      <c r="AK390"/>
      <c r="AL390"/>
      <c r="AM390"/>
      <c r="AN390"/>
      <c r="AO390"/>
      <c r="AP390"/>
      <c r="AQ390"/>
      <c r="AR390"/>
      <c r="AS390"/>
      <c r="AT390"/>
      <c r="AU390"/>
      <c r="AV390"/>
      <c r="AW390"/>
      <c r="AX390"/>
    </row>
    <row r="391" spans="17:50" ht="12.75" customHeight="1" thickBot="1">
      <c r="Q391" s="364"/>
      <c r="R391" s="692" t="s">
        <v>839</v>
      </c>
      <c r="S391" s="693"/>
      <c r="T391" s="693"/>
      <c r="U391" s="703">
        <f>IF(T389&gt;0,(VLOOKUP(V391,'Lookup Ready-reckoner'!$L$5:$M$1207,2))," ")</f>
        <v>98.85</v>
      </c>
      <c r="V391" s="695">
        <f>IF(U389&gt;0,(SUM(V389:V390))," ")</f>
        <v>2442.1487603305745</v>
      </c>
      <c r="W391" s="696"/>
      <c r="X391" s="364"/>
      <c r="Y391" s="363"/>
      <c r="Z391" s="363"/>
      <c r="AA391" s="367"/>
      <c r="AB391"/>
      <c r="AC391"/>
      <c r="AD391"/>
      <c r="AE391"/>
      <c r="AF391"/>
      <c r="AG391"/>
      <c r="AH391"/>
      <c r="AI391"/>
      <c r="AJ391"/>
      <c r="AK391"/>
      <c r="AL391"/>
      <c r="AM391"/>
      <c r="AN391"/>
      <c r="AO391"/>
      <c r="AP391"/>
      <c r="AQ391"/>
      <c r="AR391"/>
      <c r="AS391"/>
      <c r="AT391"/>
      <c r="AU391"/>
      <c r="AV391"/>
      <c r="AW391"/>
      <c r="AX391"/>
    </row>
    <row r="392" spans="17:50" ht="12.75" customHeight="1">
      <c r="Q392" s="364"/>
      <c r="R392" s="697"/>
      <c r="S392" s="687"/>
      <c r="T392" s="687"/>
      <c r="U392" s="372"/>
      <c r="V392" s="374"/>
      <c r="W392" s="688"/>
      <c r="X392" s="364"/>
      <c r="Y392" s="363"/>
      <c r="Z392" s="363"/>
      <c r="AA392" s="367"/>
      <c r="AB392"/>
      <c r="AC392"/>
      <c r="AD392"/>
      <c r="AE392"/>
      <c r="AF392"/>
      <c r="AG392"/>
      <c r="AH392"/>
      <c r="AI392"/>
      <c r="AJ392"/>
      <c r="AK392"/>
      <c r="AL392"/>
      <c r="AM392"/>
      <c r="AN392"/>
      <c r="AO392"/>
      <c r="AP392"/>
      <c r="AQ392"/>
      <c r="AR392"/>
      <c r="AS392"/>
      <c r="AT392"/>
      <c r="AU392"/>
      <c r="AV392"/>
      <c r="AW392"/>
      <c r="AX392"/>
    </row>
    <row r="393" spans="17:50" ht="12.75" customHeight="1" thickBot="1">
      <c r="Q393" s="364"/>
      <c r="R393" s="686" t="s">
        <v>60</v>
      </c>
      <c r="S393" s="577"/>
      <c r="T393" s="577"/>
      <c r="U393" s="577"/>
      <c r="V393" s="577"/>
      <c r="W393" s="698"/>
      <c r="X393" s="364"/>
      <c r="Y393" s="363"/>
      <c r="Z393" s="363"/>
      <c r="AA393" s="367"/>
      <c r="AB393"/>
      <c r="AC393"/>
      <c r="AD393"/>
      <c r="AE393"/>
      <c r="AF393"/>
      <c r="AG393"/>
      <c r="AH393"/>
      <c r="AI393"/>
      <c r="AJ393"/>
      <c r="AK393"/>
      <c r="AL393"/>
      <c r="AM393"/>
      <c r="AN393"/>
      <c r="AO393"/>
      <c r="AP393"/>
      <c r="AQ393"/>
      <c r="AR393"/>
      <c r="AS393"/>
      <c r="AT393"/>
      <c r="AU393"/>
      <c r="AV393"/>
      <c r="AW393"/>
      <c r="AX393"/>
    </row>
    <row r="394" spans="17:50" ht="12.75" customHeight="1">
      <c r="Q394" s="364"/>
      <c r="R394" s="895" t="s">
        <v>845</v>
      </c>
      <c r="S394" s="896"/>
      <c r="T394" s="900" t="s">
        <v>835</v>
      </c>
      <c r="U394" s="900" t="s">
        <v>836</v>
      </c>
      <c r="V394" s="900" t="s">
        <v>837</v>
      </c>
      <c r="W394" s="902" t="s">
        <v>838</v>
      </c>
      <c r="X394" s="364"/>
      <c r="Y394" s="363"/>
      <c r="Z394" s="363"/>
      <c r="AA394" s="367"/>
      <c r="AB394"/>
      <c r="AC394"/>
      <c r="AD394"/>
      <c r="AE394"/>
      <c r="AF394"/>
      <c r="AG394"/>
      <c r="AH394"/>
      <c r="AI394"/>
      <c r="AJ394"/>
      <c r="AK394"/>
      <c r="AL394"/>
      <c r="AM394"/>
      <c r="AN394"/>
      <c r="AO394"/>
      <c r="AP394"/>
      <c r="AQ394"/>
      <c r="AR394"/>
      <c r="AS394"/>
      <c r="AT394"/>
      <c r="AU394"/>
      <c r="AV394"/>
      <c r="AW394"/>
      <c r="AX394"/>
    </row>
    <row r="395" spans="17:50" ht="12.75" customHeight="1">
      <c r="Q395" s="364"/>
      <c r="R395" s="892"/>
      <c r="S395" s="897"/>
      <c r="T395" s="901"/>
      <c r="U395" s="901"/>
      <c r="V395" s="901"/>
      <c r="W395" s="903"/>
      <c r="X395" s="364"/>
      <c r="Y395" s="363"/>
      <c r="Z395" s="363"/>
      <c r="AA395" s="367"/>
      <c r="AB395"/>
      <c r="AC395"/>
      <c r="AD395"/>
      <c r="AE395"/>
      <c r="AF395"/>
      <c r="AG395"/>
      <c r="AH395"/>
      <c r="AI395"/>
      <c r="AJ395"/>
      <c r="AK395"/>
      <c r="AL395"/>
      <c r="AM395"/>
      <c r="AN395"/>
      <c r="AO395"/>
      <c r="AP395"/>
      <c r="AQ395"/>
      <c r="AR395"/>
      <c r="AS395"/>
      <c r="AT395"/>
      <c r="AU395"/>
      <c r="AV395"/>
      <c r="AW395"/>
      <c r="AX395"/>
    </row>
    <row r="396" spans="17:50" ht="12.75" customHeight="1">
      <c r="Q396" s="364"/>
      <c r="R396" s="892"/>
      <c r="S396" s="897"/>
      <c r="T396" s="702">
        <f>T383-PPE!$I$15</f>
        <v>96.599999999999881</v>
      </c>
      <c r="U396" s="560">
        <f>U389</f>
        <v>1.6528925619834685</v>
      </c>
      <c r="V396" s="690">
        <f>IF(T396&gt;0,W396*U396," ")</f>
        <v>298.03719008264414</v>
      </c>
      <c r="W396" s="691">
        <f>IF(T396&gt;0,(VLOOKUP(T396,'Lookup Ready-reckoner'!$B$5:$E$1207,4))," ")</f>
        <v>180.3125</v>
      </c>
      <c r="X396" s="364"/>
      <c r="Y396" s="363"/>
      <c r="Z396" s="363"/>
      <c r="AA396" s="367"/>
      <c r="AB396"/>
      <c r="AC396"/>
      <c r="AD396"/>
      <c r="AE396"/>
      <c r="AF396"/>
      <c r="AG396"/>
      <c r="AH396"/>
      <c r="AI396"/>
      <c r="AJ396"/>
      <c r="AK396"/>
      <c r="AL396"/>
      <c r="AM396"/>
      <c r="AN396"/>
      <c r="AO396"/>
      <c r="AP396"/>
      <c r="AQ396"/>
      <c r="AR396"/>
      <c r="AS396"/>
      <c r="AT396"/>
      <c r="AU396"/>
      <c r="AV396"/>
      <c r="AW396"/>
      <c r="AX396"/>
    </row>
    <row r="397" spans="17:50" ht="12.75" customHeight="1">
      <c r="Q397" s="364"/>
      <c r="R397" s="898"/>
      <c r="S397" s="899"/>
      <c r="T397" s="447"/>
      <c r="U397" s="560"/>
      <c r="V397" s="690" t="str">
        <f>IF(T397&gt;0,W397*U397," ")</f>
        <v xml:space="preserve"> </v>
      </c>
      <c r="W397" s="691" t="str">
        <f>IF(T397&gt;0,(VLOOKUP(T397,'Lookup Ready-reckoner'!$B$5:$E$1007,4))," ")</f>
        <v xml:space="preserve"> </v>
      </c>
      <c r="X397" s="364"/>
      <c r="Y397" s="363"/>
      <c r="Z397" s="363"/>
      <c r="AA397" s="367"/>
      <c r="AB397"/>
      <c r="AC397"/>
      <c r="AD397"/>
      <c r="AE397"/>
      <c r="AF397"/>
      <c r="AG397"/>
      <c r="AH397"/>
      <c r="AI397"/>
      <c r="AJ397"/>
      <c r="AK397"/>
      <c r="AL397"/>
      <c r="AM397"/>
      <c r="AN397"/>
      <c r="AO397"/>
      <c r="AP397"/>
      <c r="AQ397"/>
      <c r="AR397"/>
      <c r="AS397"/>
      <c r="AT397"/>
      <c r="AU397"/>
      <c r="AV397"/>
      <c r="AW397"/>
      <c r="AX397"/>
    </row>
    <row r="398" spans="17:50" ht="12.75" customHeight="1" thickBot="1">
      <c r="Q398" s="364"/>
      <c r="R398" s="692" t="s">
        <v>839</v>
      </c>
      <c r="S398" s="693"/>
      <c r="T398" s="693"/>
      <c r="U398" s="703">
        <f>IF(T396&gt;0,(VLOOKUP(V398,'Lookup Ready-reckoner'!$L$5:$M$1207,2))," ")</f>
        <v>89.65</v>
      </c>
      <c r="V398" s="695">
        <f>IF(U396&gt;0,(SUM(V396:V397))," ")</f>
        <v>298.03719008264414</v>
      </c>
      <c r="W398" s="696"/>
      <c r="X398" s="364"/>
      <c r="Y398" s="363"/>
      <c r="Z398" s="363"/>
      <c r="AA398" s="367"/>
      <c r="AB398"/>
      <c r="AC398"/>
      <c r="AD398"/>
      <c r="AE398"/>
      <c r="AF398"/>
      <c r="AG398"/>
      <c r="AH398"/>
      <c r="AI398"/>
      <c r="AJ398"/>
      <c r="AK398"/>
      <c r="AL398"/>
      <c r="AM398"/>
      <c r="AN398"/>
      <c r="AO398"/>
      <c r="AP398"/>
      <c r="AQ398"/>
      <c r="AR398"/>
      <c r="AS398"/>
      <c r="AT398"/>
      <c r="AU398"/>
      <c r="AV398"/>
      <c r="AW398"/>
      <c r="AX398"/>
    </row>
    <row r="399" spans="17:50" ht="12.75" customHeight="1" thickBot="1">
      <c r="Q399" s="364"/>
      <c r="R399" s="892"/>
      <c r="S399" s="893"/>
      <c r="T399" s="893"/>
      <c r="U399" s="893"/>
      <c r="V399" s="893"/>
      <c r="W399" s="894"/>
      <c r="X399" s="364"/>
      <c r="Y399" s="363"/>
      <c r="Z399" s="363"/>
      <c r="AA399" s="367"/>
      <c r="AB399"/>
      <c r="AC399"/>
      <c r="AD399"/>
      <c r="AE399"/>
      <c r="AF399"/>
      <c r="AG399"/>
      <c r="AH399"/>
      <c r="AI399"/>
      <c r="AJ399"/>
      <c r="AK399"/>
      <c r="AL399"/>
      <c r="AM399"/>
      <c r="AN399"/>
      <c r="AO399"/>
      <c r="AP399"/>
      <c r="AQ399"/>
      <c r="AR399"/>
      <c r="AS399"/>
      <c r="AT399"/>
      <c r="AU399"/>
      <c r="AV399"/>
      <c r="AW399"/>
      <c r="AX399"/>
    </row>
    <row r="400" spans="17:50" ht="12.75" customHeight="1">
      <c r="Q400" s="364"/>
      <c r="R400" s="895" t="s">
        <v>886</v>
      </c>
      <c r="S400" s="896"/>
      <c r="T400" s="900" t="s">
        <v>835</v>
      </c>
      <c r="U400" s="900" t="s">
        <v>836</v>
      </c>
      <c r="V400" s="900" t="s">
        <v>837</v>
      </c>
      <c r="W400" s="902" t="s">
        <v>838</v>
      </c>
      <c r="X400" s="364"/>
      <c r="Y400" s="363"/>
      <c r="Z400" s="363"/>
      <c r="AA400" s="367"/>
      <c r="AB400"/>
      <c r="AC400"/>
      <c r="AD400"/>
      <c r="AE400"/>
      <c r="AF400"/>
      <c r="AG400"/>
      <c r="AH400"/>
      <c r="AI400"/>
      <c r="AJ400"/>
      <c r="AK400"/>
      <c r="AL400"/>
      <c r="AM400"/>
      <c r="AN400"/>
      <c r="AO400"/>
      <c r="AP400"/>
      <c r="AQ400"/>
      <c r="AR400"/>
      <c r="AS400"/>
      <c r="AT400"/>
      <c r="AU400"/>
      <c r="AV400"/>
      <c r="AW400"/>
      <c r="AX400"/>
    </row>
    <row r="401" spans="17:50" ht="12.75" customHeight="1">
      <c r="Q401" s="364"/>
      <c r="R401" s="892"/>
      <c r="S401" s="897"/>
      <c r="T401" s="901"/>
      <c r="U401" s="901"/>
      <c r="V401" s="901"/>
      <c r="W401" s="903"/>
      <c r="X401" s="364"/>
      <c r="Y401" s="363"/>
      <c r="Z401" s="363"/>
      <c r="AA401" s="367"/>
      <c r="AB401"/>
      <c r="AC401"/>
      <c r="AD401"/>
      <c r="AE401"/>
      <c r="AF401"/>
      <c r="AG401"/>
      <c r="AH401"/>
      <c r="AI401"/>
      <c r="AJ401"/>
      <c r="AK401"/>
      <c r="AL401"/>
      <c r="AM401"/>
      <c r="AN401"/>
      <c r="AO401"/>
      <c r="AP401"/>
      <c r="AQ401"/>
      <c r="AR401"/>
      <c r="AS401"/>
      <c r="AT401"/>
      <c r="AU401"/>
      <c r="AV401"/>
      <c r="AW401"/>
      <c r="AX401"/>
    </row>
    <row r="402" spans="17:50" ht="12.75" customHeight="1">
      <c r="Q402" s="364"/>
      <c r="R402" s="892"/>
      <c r="S402" s="897"/>
      <c r="T402" s="702">
        <f>T389-PPE!$I$15</f>
        <v>92.698239999999885</v>
      </c>
      <c r="U402" s="560">
        <f>U396</f>
        <v>1.6528925619834685</v>
      </c>
      <c r="V402" s="690">
        <f>IF(T402&gt;0,W402*U402," ")</f>
        <v>120.76446280991716</v>
      </c>
      <c r="W402" s="691">
        <f>IF(T402&gt;0,(VLOOKUP(T402,'Lookup Ready-reckoner'!$B$5:$E$1207,4))," ")</f>
        <v>73.0625</v>
      </c>
      <c r="X402" s="364"/>
      <c r="Y402" s="363"/>
      <c r="Z402" s="363"/>
      <c r="AA402" s="367"/>
      <c r="AB402"/>
      <c r="AC402"/>
      <c r="AD402"/>
      <c r="AE402"/>
      <c r="AF402"/>
      <c r="AG402"/>
      <c r="AH402"/>
      <c r="AI402"/>
      <c r="AJ402"/>
      <c r="AK402"/>
      <c r="AL402"/>
      <c r="AM402"/>
      <c r="AN402"/>
      <c r="AO402"/>
      <c r="AP402"/>
      <c r="AQ402"/>
      <c r="AR402"/>
      <c r="AS402"/>
      <c r="AT402"/>
      <c r="AU402"/>
      <c r="AV402"/>
      <c r="AW402"/>
      <c r="AX402"/>
    </row>
    <row r="403" spans="17:50" ht="12.75" customHeight="1">
      <c r="Q403" s="364"/>
      <c r="R403" s="898"/>
      <c r="S403" s="899"/>
      <c r="T403" s="447"/>
      <c r="U403" s="560"/>
      <c r="V403" s="690" t="str">
        <f>IF(T403&gt;0,W403*U403," ")</f>
        <v xml:space="preserve"> </v>
      </c>
      <c r="W403" s="691" t="str">
        <f>IF(T403&gt;0,(VLOOKUP(T403,'Lookup Ready-reckoner'!$B$5:$E$1007,4))," ")</f>
        <v xml:space="preserve"> </v>
      </c>
      <c r="X403" s="364"/>
      <c r="Y403" s="363"/>
      <c r="Z403" s="363"/>
      <c r="AA403" s="367"/>
      <c r="AB403"/>
      <c r="AC403"/>
      <c r="AD403"/>
      <c r="AE403"/>
      <c r="AF403"/>
      <c r="AG403"/>
      <c r="AH403"/>
      <c r="AI403"/>
      <c r="AJ403"/>
      <c r="AK403"/>
      <c r="AL403"/>
      <c r="AM403"/>
      <c r="AN403"/>
      <c r="AO403"/>
      <c r="AP403"/>
      <c r="AQ403"/>
      <c r="AR403"/>
      <c r="AS403"/>
      <c r="AT403"/>
      <c r="AU403"/>
      <c r="AV403"/>
      <c r="AW403"/>
      <c r="AX403"/>
    </row>
    <row r="404" spans="17:50" ht="12.75" customHeight="1" thickBot="1">
      <c r="Q404" s="364"/>
      <c r="R404" s="692" t="s">
        <v>839</v>
      </c>
      <c r="S404" s="693"/>
      <c r="T404" s="693"/>
      <c r="U404" s="703">
        <f>IF(T402&gt;0,(VLOOKUP(V404,'Lookup Ready-reckoner'!$L$5:$M$1207,2))," ")</f>
        <v>85.8</v>
      </c>
      <c r="V404" s="695">
        <f>IF(U402&gt;0,(SUM(V402:V403))," ")</f>
        <v>120.76446280991716</v>
      </c>
      <c r="W404" s="696"/>
      <c r="X404" s="364"/>
      <c r="Y404" s="363"/>
      <c r="Z404" s="363"/>
      <c r="AA404" s="367"/>
      <c r="AB404"/>
      <c r="AC404"/>
      <c r="AD404"/>
      <c r="AE404"/>
      <c r="AF404"/>
      <c r="AG404"/>
      <c r="AH404"/>
      <c r="AI404"/>
      <c r="AJ404"/>
      <c r="AK404"/>
      <c r="AL404"/>
      <c r="AM404"/>
      <c r="AN404"/>
      <c r="AO404"/>
      <c r="AP404"/>
      <c r="AQ404"/>
      <c r="AR404"/>
      <c r="AS404"/>
      <c r="AT404"/>
      <c r="AU404"/>
      <c r="AV404"/>
      <c r="AW404"/>
      <c r="AX404"/>
    </row>
    <row r="405" spans="17:50" ht="12.75" customHeight="1">
      <c r="Q405" s="364"/>
      <c r="R405" s="363"/>
      <c r="S405" s="363"/>
      <c r="T405" s="363"/>
      <c r="U405" s="363"/>
      <c r="V405" s="363"/>
      <c r="W405" s="363"/>
      <c r="X405" s="364"/>
      <c r="Y405" s="364"/>
      <c r="Z405" s="364"/>
      <c r="AA405" s="367"/>
      <c r="AB405"/>
      <c r="AC405"/>
      <c r="AD405"/>
      <c r="AE405"/>
      <c r="AF405"/>
      <c r="AG405"/>
      <c r="AH405"/>
      <c r="AI405"/>
      <c r="AJ405"/>
      <c r="AK405"/>
      <c r="AL405"/>
      <c r="AM405"/>
      <c r="AN405"/>
      <c r="AO405"/>
      <c r="AP405"/>
      <c r="AQ405"/>
      <c r="AR405"/>
      <c r="AS405"/>
      <c r="AT405"/>
      <c r="AU405"/>
      <c r="AV405"/>
      <c r="AW405"/>
      <c r="AX405"/>
    </row>
    <row r="406" spans="17:50" ht="12.75" customHeight="1">
      <c r="Q406" s="364"/>
      <c r="R406" s="909" t="str">
        <f>V306</f>
        <v xml:space="preserve">Hilti TE MD20 </v>
      </c>
      <c r="S406" s="909"/>
      <c r="T406" s="909"/>
      <c r="U406" s="909"/>
      <c r="V406" s="909"/>
      <c r="W406" s="909"/>
      <c r="X406" s="364"/>
      <c r="Y406" s="364"/>
      <c r="Z406" s="364"/>
      <c r="AA406" s="367"/>
      <c r="AB406"/>
      <c r="AC406"/>
      <c r="AD406"/>
      <c r="AE406"/>
      <c r="AF406"/>
      <c r="AG406"/>
      <c r="AH406"/>
      <c r="AI406"/>
      <c r="AJ406"/>
      <c r="AK406"/>
      <c r="AL406"/>
      <c r="AM406"/>
      <c r="AN406"/>
      <c r="AO406"/>
      <c r="AP406"/>
      <c r="AQ406"/>
      <c r="AR406"/>
      <c r="AS406"/>
      <c r="AT406"/>
      <c r="AU406"/>
      <c r="AV406"/>
      <c r="AW406"/>
      <c r="AX406"/>
    </row>
    <row r="407" spans="17:50" ht="12.75" customHeight="1" thickBot="1">
      <c r="Q407" s="364"/>
      <c r="R407" s="910" t="s">
        <v>205</v>
      </c>
      <c r="S407" s="911"/>
      <c r="T407" s="911"/>
      <c r="U407" s="911"/>
      <c r="V407" s="911"/>
      <c r="W407" s="912"/>
      <c r="X407" s="364"/>
      <c r="Y407" s="364"/>
      <c r="Z407" s="364"/>
      <c r="AA407" s="367"/>
      <c r="AB407"/>
      <c r="AC407"/>
      <c r="AD407"/>
      <c r="AE407"/>
      <c r="AF407"/>
      <c r="AG407"/>
      <c r="AH407"/>
      <c r="AI407"/>
      <c r="AJ407"/>
      <c r="AK407"/>
      <c r="AL407"/>
      <c r="AM407"/>
      <c r="AN407"/>
      <c r="AO407"/>
      <c r="AP407"/>
      <c r="AQ407"/>
      <c r="AR407"/>
      <c r="AS407"/>
      <c r="AT407"/>
      <c r="AU407"/>
      <c r="AV407"/>
      <c r="AW407"/>
      <c r="AX407"/>
    </row>
    <row r="408" spans="17:50" ht="12.75" customHeight="1" thickBot="1">
      <c r="Q408" s="364"/>
      <c r="R408" s="686" t="s">
        <v>59</v>
      </c>
      <c r="S408" s="577"/>
      <c r="T408" s="687"/>
      <c r="U408" s="687"/>
      <c r="V408" s="687"/>
      <c r="W408" s="688"/>
      <c r="X408" s="364"/>
      <c r="Y408" s="364"/>
      <c r="Z408" s="364"/>
      <c r="AA408" s="367"/>
      <c r="AB408"/>
      <c r="AC408"/>
      <c r="AD408"/>
      <c r="AE408"/>
      <c r="AF408"/>
      <c r="AG408"/>
      <c r="AH408"/>
      <c r="AI408"/>
      <c r="AJ408"/>
      <c r="AK408"/>
      <c r="AL408"/>
      <c r="AM408"/>
      <c r="AN408"/>
      <c r="AO408"/>
      <c r="AP408"/>
      <c r="AQ408"/>
      <c r="AR408"/>
      <c r="AS408"/>
      <c r="AT408"/>
      <c r="AU408"/>
      <c r="AV408"/>
      <c r="AW408"/>
      <c r="AX408"/>
    </row>
    <row r="409" spans="17:50" ht="12.75" customHeight="1">
      <c r="Q409" s="364"/>
      <c r="R409" s="895" t="s">
        <v>845</v>
      </c>
      <c r="S409" s="896"/>
      <c r="T409" s="900" t="s">
        <v>835</v>
      </c>
      <c r="U409" s="900" t="s">
        <v>836</v>
      </c>
      <c r="V409" s="900" t="s">
        <v>837</v>
      </c>
      <c r="W409" s="902" t="s">
        <v>838</v>
      </c>
      <c r="X409" s="364"/>
      <c r="Y409" s="364"/>
      <c r="Z409" s="364"/>
      <c r="AA409" s="367"/>
      <c r="AB409"/>
      <c r="AC409"/>
      <c r="AD409"/>
      <c r="AE409"/>
      <c r="AF409"/>
      <c r="AG409"/>
      <c r="AH409"/>
      <c r="AI409"/>
      <c r="AJ409"/>
      <c r="AK409"/>
      <c r="AL409"/>
      <c r="AM409"/>
      <c r="AN409"/>
      <c r="AO409"/>
      <c r="AP409"/>
      <c r="AQ409"/>
      <c r="AR409"/>
      <c r="AS409"/>
      <c r="AT409"/>
      <c r="AU409"/>
      <c r="AV409"/>
      <c r="AW409"/>
      <c r="AX409"/>
    </row>
    <row r="410" spans="17:50" ht="12.75" customHeight="1">
      <c r="Q410" s="364"/>
      <c r="R410" s="892"/>
      <c r="S410" s="897"/>
      <c r="T410" s="904"/>
      <c r="U410" s="904"/>
      <c r="V410" s="904"/>
      <c r="W410" s="905"/>
      <c r="X410" s="364"/>
      <c r="Y410" s="364"/>
      <c r="Z410" s="364"/>
      <c r="AA410" s="367"/>
      <c r="AB410"/>
      <c r="AC410"/>
      <c r="AD410"/>
      <c r="AE410"/>
      <c r="AF410"/>
      <c r="AG410"/>
      <c r="AH410"/>
      <c r="AI410"/>
      <c r="AJ410"/>
      <c r="AK410"/>
      <c r="AL410"/>
      <c r="AM410"/>
      <c r="AN410"/>
      <c r="AO410"/>
      <c r="AP410"/>
      <c r="AQ410"/>
      <c r="AR410"/>
      <c r="AS410"/>
      <c r="AT410"/>
      <c r="AU410"/>
      <c r="AV410"/>
      <c r="AW410"/>
      <c r="AX410"/>
    </row>
    <row r="411" spans="17:50" ht="12.75" customHeight="1">
      <c r="Q411" s="364"/>
      <c r="R411" s="892"/>
      <c r="S411" s="897"/>
      <c r="T411" s="901"/>
      <c r="U411" s="901"/>
      <c r="V411" s="901"/>
      <c r="W411" s="903"/>
      <c r="X411" s="364"/>
      <c r="Y411" s="364"/>
      <c r="Z411" s="364"/>
      <c r="AA411" s="367"/>
      <c r="AB411"/>
      <c r="AC411"/>
      <c r="AD411"/>
      <c r="AE411"/>
      <c r="AF411"/>
      <c r="AG411"/>
      <c r="AH411"/>
      <c r="AI411"/>
      <c r="AJ411"/>
      <c r="AK411"/>
      <c r="AL411"/>
      <c r="AM411"/>
      <c r="AN411"/>
      <c r="AO411"/>
      <c r="AP411"/>
      <c r="AQ411"/>
      <c r="AR411"/>
      <c r="AS411"/>
      <c r="AT411"/>
      <c r="AU411"/>
      <c r="AV411"/>
      <c r="AW411"/>
      <c r="AX411"/>
    </row>
    <row r="412" spans="17:50" ht="12.75" customHeight="1">
      <c r="Q412" s="364"/>
      <c r="R412" s="892"/>
      <c r="S412" s="897"/>
      <c r="T412" s="704">
        <f>U69</f>
        <v>102</v>
      </c>
      <c r="U412" s="560">
        <f>U62</f>
        <v>2.6666666666666665</v>
      </c>
      <c r="V412" s="690">
        <f>IF(T412&gt;0,W412*U412," ")</f>
        <v>1666.6666666666665</v>
      </c>
      <c r="W412" s="691">
        <f>IF(T412&gt;0,(VLOOKUP(T412,'Lookup Ready-reckoner'!$B$5:$E$1207,4))," ")</f>
        <v>625</v>
      </c>
      <c r="X412" s="364"/>
      <c r="Y412" s="364"/>
      <c r="Z412" s="364"/>
      <c r="AA412" s="367"/>
      <c r="AB412"/>
      <c r="AC412"/>
      <c r="AD412"/>
      <c r="AE412"/>
      <c r="AF412"/>
      <c r="AG412"/>
      <c r="AH412"/>
      <c r="AI412"/>
      <c r="AJ412"/>
      <c r="AK412"/>
      <c r="AL412"/>
      <c r="AM412"/>
      <c r="AN412"/>
      <c r="AO412"/>
      <c r="AP412"/>
      <c r="AQ412"/>
      <c r="AR412"/>
      <c r="AS412"/>
      <c r="AT412"/>
      <c r="AU412"/>
      <c r="AV412"/>
      <c r="AW412"/>
      <c r="AX412"/>
    </row>
    <row r="413" spans="17:50" ht="12.75" customHeight="1">
      <c r="Q413" s="364"/>
      <c r="R413" s="898"/>
      <c r="S413" s="899"/>
      <c r="T413" s="447"/>
      <c r="U413" s="560"/>
      <c r="V413" s="690" t="str">
        <f>IF(T413&gt;0,W413*U413," ")</f>
        <v xml:space="preserve"> </v>
      </c>
      <c r="W413" s="691" t="str">
        <f>IF(T413&gt;0,(VLOOKUP(T413,'Lookup Ready-reckoner'!$B$5:$E$1007,4))," ")</f>
        <v xml:space="preserve"> </v>
      </c>
      <c r="X413" s="364"/>
      <c r="Y413" s="364"/>
      <c r="Z413" s="364"/>
      <c r="AA413" s="367"/>
      <c r="AB413"/>
      <c r="AC413"/>
      <c r="AD413"/>
      <c r="AE413"/>
      <c r="AF413"/>
      <c r="AG413"/>
      <c r="AH413"/>
      <c r="AI413"/>
      <c r="AJ413"/>
      <c r="AK413"/>
      <c r="AL413"/>
      <c r="AM413"/>
      <c r="AN413"/>
      <c r="AO413"/>
      <c r="AP413"/>
      <c r="AQ413"/>
      <c r="AR413"/>
      <c r="AS413"/>
      <c r="AT413"/>
      <c r="AU413"/>
      <c r="AV413"/>
      <c r="AW413"/>
      <c r="AX413"/>
    </row>
    <row r="414" spans="17:50" ht="12.75" customHeight="1" thickBot="1">
      <c r="Q414" s="364"/>
      <c r="R414" s="692" t="s">
        <v>839</v>
      </c>
      <c r="S414" s="693"/>
      <c r="T414" s="693"/>
      <c r="U414" s="705">
        <f>IF(T412&gt;0,(VLOOKUP(V414,'Lookup Ready-reckoner'!$L$5:$M$1207,2))," ")</f>
        <v>97.15</v>
      </c>
      <c r="V414" s="695">
        <f>IF(U412&gt;0,(SUM(V412:V413))," ")</f>
        <v>1666.6666666666665</v>
      </c>
      <c r="W414" s="696"/>
      <c r="X414" s="364"/>
      <c r="Y414" s="364"/>
      <c r="Z414" s="364"/>
      <c r="AA414" s="367"/>
      <c r="AB414"/>
      <c r="AC414"/>
      <c r="AD414"/>
      <c r="AE414"/>
      <c r="AF414"/>
      <c r="AG414"/>
      <c r="AH414"/>
      <c r="AI414"/>
      <c r="AJ414"/>
      <c r="AK414"/>
      <c r="AL414"/>
      <c r="AM414"/>
      <c r="AN414"/>
      <c r="AO414"/>
      <c r="AP414"/>
      <c r="AQ414"/>
      <c r="AR414"/>
      <c r="AS414"/>
      <c r="AT414"/>
      <c r="AU414"/>
      <c r="AV414"/>
      <c r="AW414"/>
      <c r="AX414"/>
    </row>
    <row r="415" spans="17:50" ht="12.75" customHeight="1" thickBot="1">
      <c r="Q415" s="364"/>
      <c r="R415" s="906"/>
      <c r="S415" s="907"/>
      <c r="T415" s="907"/>
      <c r="U415" s="907"/>
      <c r="V415" s="907"/>
      <c r="W415" s="908"/>
      <c r="X415" s="364"/>
      <c r="Y415" s="364"/>
      <c r="Z415" s="364"/>
      <c r="AA415" s="367"/>
      <c r="AB415"/>
      <c r="AC415"/>
      <c r="AD415"/>
      <c r="AE415"/>
      <c r="AF415"/>
      <c r="AG415"/>
      <c r="AH415"/>
      <c r="AI415"/>
      <c r="AJ415"/>
      <c r="AK415"/>
      <c r="AL415"/>
      <c r="AM415"/>
      <c r="AN415"/>
      <c r="AO415"/>
      <c r="AP415"/>
      <c r="AQ415"/>
      <c r="AR415"/>
      <c r="AS415"/>
      <c r="AT415"/>
      <c r="AU415"/>
      <c r="AV415"/>
      <c r="AW415"/>
      <c r="AX415"/>
    </row>
    <row r="416" spans="17:50" ht="12.75" customHeight="1">
      <c r="Q416" s="364"/>
      <c r="R416" s="895" t="s">
        <v>886</v>
      </c>
      <c r="S416" s="896"/>
      <c r="T416" s="900" t="s">
        <v>835</v>
      </c>
      <c r="U416" s="900" t="s">
        <v>836</v>
      </c>
      <c r="V416" s="900" t="s">
        <v>837</v>
      </c>
      <c r="W416" s="902" t="s">
        <v>838</v>
      </c>
      <c r="X416" s="364"/>
      <c r="Y416" s="364"/>
      <c r="Z416" s="364"/>
      <c r="AA416" s="367"/>
      <c r="AB416"/>
      <c r="AC416"/>
      <c r="AD416"/>
      <c r="AE416"/>
      <c r="AF416"/>
      <c r="AG416"/>
      <c r="AH416"/>
      <c r="AI416"/>
      <c r="AJ416"/>
      <c r="AK416"/>
      <c r="AL416"/>
      <c r="AM416"/>
      <c r="AN416"/>
      <c r="AO416"/>
      <c r="AP416"/>
      <c r="AQ416"/>
      <c r="AR416"/>
      <c r="AS416"/>
      <c r="AT416"/>
      <c r="AU416"/>
      <c r="AV416"/>
      <c r="AW416"/>
      <c r="AX416"/>
    </row>
    <row r="417" spans="17:50" ht="12.75" customHeight="1">
      <c r="Q417" s="364"/>
      <c r="R417" s="892"/>
      <c r="S417" s="897"/>
      <c r="T417" s="901"/>
      <c r="U417" s="901"/>
      <c r="V417" s="901"/>
      <c r="W417" s="903"/>
      <c r="X417" s="364"/>
      <c r="Y417" s="364"/>
      <c r="Z417" s="364"/>
      <c r="AA417" s="367"/>
      <c r="AB417"/>
      <c r="AC417"/>
      <c r="AD417"/>
      <c r="AE417"/>
      <c r="AF417"/>
      <c r="AG417"/>
      <c r="AH417"/>
      <c r="AI417"/>
      <c r="AJ417"/>
      <c r="AK417"/>
      <c r="AL417"/>
      <c r="AM417"/>
      <c r="AN417"/>
      <c r="AO417"/>
      <c r="AP417"/>
      <c r="AQ417"/>
      <c r="AR417"/>
      <c r="AS417"/>
      <c r="AT417"/>
      <c r="AU417"/>
      <c r="AV417"/>
      <c r="AW417"/>
      <c r="AX417"/>
    </row>
    <row r="418" spans="17:50" ht="12.75" customHeight="1">
      <c r="Q418" s="364"/>
      <c r="R418" s="892"/>
      <c r="S418" s="897"/>
      <c r="T418" s="704">
        <f>T412*(1-0.0178*2)</f>
        <v>98.368800000000007</v>
      </c>
      <c r="U418" s="560">
        <f>U412</f>
        <v>2.6666666666666665</v>
      </c>
      <c r="V418" s="690">
        <f>IF(T418&gt;0,W418*U418," ")</f>
        <v>725</v>
      </c>
      <c r="W418" s="691">
        <f>IF(T418&gt;0,(VLOOKUP(T418,'Lookup Ready-reckoner'!$B$5:$E$1207,4))," ")</f>
        <v>271.875</v>
      </c>
      <c r="X418" s="364"/>
      <c r="Y418" s="364"/>
      <c r="Z418" s="364"/>
      <c r="AA418" s="367"/>
      <c r="AB418"/>
      <c r="AC418"/>
      <c r="AD418"/>
      <c r="AE418"/>
      <c r="AF418"/>
      <c r="AG418"/>
      <c r="AH418"/>
      <c r="AI418"/>
      <c r="AJ418"/>
      <c r="AK418"/>
      <c r="AL418"/>
      <c r="AM418"/>
      <c r="AN418"/>
      <c r="AO418"/>
      <c r="AP418"/>
      <c r="AQ418"/>
      <c r="AR418"/>
      <c r="AS418"/>
      <c r="AT418"/>
      <c r="AU418"/>
      <c r="AV418"/>
      <c r="AW418"/>
      <c r="AX418"/>
    </row>
    <row r="419" spans="17:50" ht="12.75" customHeight="1">
      <c r="Q419" s="364"/>
      <c r="R419" s="898"/>
      <c r="S419" s="899"/>
      <c r="T419" s="447"/>
      <c r="U419" s="560"/>
      <c r="V419" s="690" t="str">
        <f>IF(T419&gt;0,W419*U419," ")</f>
        <v xml:space="preserve"> </v>
      </c>
      <c r="W419" s="691" t="str">
        <f>IF(T419&gt;0,(VLOOKUP(T419,'Lookup Ready-reckoner'!$B$5:$E$1007,4))," ")</f>
        <v xml:space="preserve"> </v>
      </c>
      <c r="X419" s="364"/>
      <c r="Y419" s="364"/>
      <c r="Z419" s="364"/>
      <c r="AA419" s="367"/>
      <c r="AB419"/>
      <c r="AC419"/>
      <c r="AD419"/>
      <c r="AE419"/>
      <c r="AF419"/>
      <c r="AG419"/>
      <c r="AH419"/>
      <c r="AI419"/>
      <c r="AJ419"/>
      <c r="AK419"/>
      <c r="AL419"/>
      <c r="AM419"/>
      <c r="AN419"/>
      <c r="AO419"/>
      <c r="AP419"/>
      <c r="AQ419"/>
      <c r="AR419"/>
      <c r="AS419"/>
      <c r="AT419"/>
      <c r="AU419"/>
      <c r="AV419"/>
      <c r="AW419"/>
      <c r="AX419"/>
    </row>
    <row r="420" spans="17:50" ht="12.75" customHeight="1" thickBot="1">
      <c r="Q420" s="364"/>
      <c r="R420" s="692" t="s">
        <v>839</v>
      </c>
      <c r="S420" s="693"/>
      <c r="T420" s="693"/>
      <c r="U420" s="705">
        <f>IF(T418&gt;0,(VLOOKUP(V420,'Lookup Ready-reckoner'!$L$5:$M$1207,2))," ")</f>
        <v>93.55</v>
      </c>
      <c r="V420" s="695">
        <f>IF(U418&gt;0,(SUM(V418:V419))," ")</f>
        <v>725</v>
      </c>
      <c r="W420" s="696"/>
      <c r="X420" s="364"/>
      <c r="Y420" s="364"/>
      <c r="Z420" s="364"/>
      <c r="AA420" s="367"/>
      <c r="AB420"/>
      <c r="AC420"/>
      <c r="AD420"/>
      <c r="AE420"/>
      <c r="AF420"/>
      <c r="AG420"/>
      <c r="AH420"/>
      <c r="AI420"/>
      <c r="AJ420"/>
      <c r="AK420"/>
      <c r="AL420"/>
      <c r="AM420"/>
      <c r="AN420"/>
      <c r="AO420"/>
      <c r="AP420"/>
      <c r="AQ420"/>
      <c r="AR420"/>
      <c r="AS420"/>
      <c r="AT420"/>
      <c r="AU420"/>
      <c r="AV420"/>
      <c r="AW420"/>
      <c r="AX420"/>
    </row>
    <row r="421" spans="17:50" ht="12.75" customHeight="1">
      <c r="Q421" s="364"/>
      <c r="R421" s="697"/>
      <c r="S421" s="687"/>
      <c r="T421" s="687"/>
      <c r="U421" s="372"/>
      <c r="V421" s="374"/>
      <c r="W421" s="688"/>
      <c r="X421" s="364"/>
      <c r="Y421" s="364"/>
      <c r="Z421" s="364"/>
      <c r="AA421" s="367"/>
      <c r="AB421"/>
      <c r="AC421"/>
      <c r="AD421"/>
      <c r="AE421"/>
      <c r="AF421"/>
      <c r="AG421"/>
      <c r="AH421"/>
      <c r="AI421"/>
      <c r="AJ421"/>
      <c r="AK421"/>
      <c r="AL421"/>
      <c r="AM421"/>
      <c r="AN421"/>
      <c r="AO421"/>
      <c r="AP421"/>
      <c r="AQ421"/>
      <c r="AR421"/>
      <c r="AS421"/>
      <c r="AT421"/>
      <c r="AU421"/>
      <c r="AV421"/>
      <c r="AW421"/>
      <c r="AX421"/>
    </row>
    <row r="422" spans="17:50" ht="12.75" customHeight="1" thickBot="1">
      <c r="Q422" s="364"/>
      <c r="R422" s="686" t="s">
        <v>60</v>
      </c>
      <c r="S422" s="577"/>
      <c r="T422" s="577"/>
      <c r="U422" s="577"/>
      <c r="V422" s="577"/>
      <c r="W422" s="698"/>
      <c r="X422" s="364"/>
      <c r="Y422" s="364"/>
      <c r="Z422" s="364"/>
      <c r="AA422" s="367"/>
      <c r="AB422"/>
      <c r="AC422"/>
      <c r="AD422"/>
      <c r="AE422"/>
      <c r="AF422"/>
      <c r="AG422"/>
      <c r="AH422"/>
      <c r="AI422"/>
      <c r="AJ422"/>
      <c r="AK422"/>
      <c r="AL422"/>
      <c r="AM422"/>
      <c r="AN422"/>
      <c r="AO422"/>
      <c r="AP422"/>
      <c r="AQ422"/>
      <c r="AR422"/>
      <c r="AS422"/>
      <c r="AT422"/>
      <c r="AU422"/>
      <c r="AV422"/>
      <c r="AW422"/>
      <c r="AX422"/>
    </row>
    <row r="423" spans="17:50" ht="12.75" customHeight="1">
      <c r="Q423" s="364"/>
      <c r="R423" s="895" t="s">
        <v>845</v>
      </c>
      <c r="S423" s="896"/>
      <c r="T423" s="900" t="s">
        <v>835</v>
      </c>
      <c r="U423" s="900" t="s">
        <v>836</v>
      </c>
      <c r="V423" s="900" t="s">
        <v>837</v>
      </c>
      <c r="W423" s="902" t="s">
        <v>838</v>
      </c>
      <c r="X423" s="364"/>
      <c r="Y423" s="364"/>
      <c r="Z423" s="364"/>
      <c r="AA423" s="367"/>
      <c r="AB423"/>
      <c r="AC423"/>
      <c r="AD423"/>
      <c r="AE423"/>
      <c r="AF423"/>
      <c r="AG423"/>
      <c r="AH423"/>
      <c r="AI423"/>
      <c r="AJ423"/>
      <c r="AK423"/>
      <c r="AL423"/>
      <c r="AM423"/>
      <c r="AN423"/>
      <c r="AO423"/>
      <c r="AP423"/>
      <c r="AQ423"/>
      <c r="AR423"/>
      <c r="AS423"/>
      <c r="AT423"/>
      <c r="AU423"/>
      <c r="AV423"/>
      <c r="AW423"/>
      <c r="AX423"/>
    </row>
    <row r="424" spans="17:50" ht="12.75" customHeight="1">
      <c r="Q424" s="364"/>
      <c r="R424" s="892"/>
      <c r="S424" s="897"/>
      <c r="T424" s="901"/>
      <c r="U424" s="901"/>
      <c r="V424" s="901"/>
      <c r="W424" s="903"/>
      <c r="X424" s="364"/>
      <c r="Y424" s="364"/>
      <c r="Z424" s="364"/>
      <c r="AA424" s="367"/>
      <c r="AB424"/>
      <c r="AC424"/>
      <c r="AD424"/>
      <c r="AE424"/>
      <c r="AF424"/>
      <c r="AG424"/>
      <c r="AH424"/>
      <c r="AI424"/>
      <c r="AJ424"/>
      <c r="AK424"/>
      <c r="AL424"/>
      <c r="AM424"/>
      <c r="AN424"/>
      <c r="AO424"/>
      <c r="AP424"/>
      <c r="AQ424"/>
      <c r="AR424"/>
      <c r="AS424"/>
      <c r="AT424"/>
      <c r="AU424"/>
      <c r="AV424"/>
      <c r="AW424"/>
      <c r="AX424"/>
    </row>
    <row r="425" spans="17:50" ht="12.75" customHeight="1">
      <c r="Q425" s="364"/>
      <c r="R425" s="892"/>
      <c r="S425" s="897"/>
      <c r="T425" s="704">
        <f>T412-PPE!$I$15</f>
        <v>89</v>
      </c>
      <c r="U425" s="560">
        <f>U418</f>
        <v>2.6666666666666665</v>
      </c>
      <c r="V425" s="690">
        <f>IF(T425&gt;0,W425*U425," ")</f>
        <v>83.333333333333329</v>
      </c>
      <c r="W425" s="691">
        <f>IF(T425&gt;0,(VLOOKUP(T425,'Lookup Ready-reckoner'!$B$5:$E$1207,4))," ")</f>
        <v>31.25</v>
      </c>
      <c r="X425" s="364"/>
      <c r="Y425" s="364"/>
      <c r="Z425" s="364"/>
      <c r="AA425" s="367"/>
      <c r="AB425"/>
      <c r="AC425"/>
      <c r="AD425"/>
      <c r="AE425"/>
      <c r="AF425"/>
      <c r="AG425"/>
      <c r="AH425"/>
      <c r="AI425"/>
      <c r="AJ425"/>
      <c r="AK425"/>
      <c r="AL425"/>
      <c r="AM425"/>
      <c r="AN425"/>
      <c r="AO425"/>
      <c r="AP425"/>
      <c r="AQ425"/>
      <c r="AR425"/>
      <c r="AS425"/>
      <c r="AT425"/>
      <c r="AU425"/>
      <c r="AV425"/>
      <c r="AW425"/>
      <c r="AX425"/>
    </row>
    <row r="426" spans="17:50" ht="12.75" customHeight="1">
      <c r="Q426" s="364"/>
      <c r="R426" s="898"/>
      <c r="S426" s="899"/>
      <c r="T426" s="447"/>
      <c r="U426" s="560"/>
      <c r="V426" s="690" t="str">
        <f>IF(T426&gt;0,W426*U426," ")</f>
        <v xml:space="preserve"> </v>
      </c>
      <c r="W426" s="691" t="str">
        <f>IF(T426&gt;0,(VLOOKUP(T426,'Lookup Ready-reckoner'!$B$5:$E$1007,4))," ")</f>
        <v xml:space="preserve"> </v>
      </c>
      <c r="X426" s="364"/>
      <c r="Y426" s="364"/>
      <c r="Z426" s="364"/>
      <c r="AA426" s="367"/>
      <c r="AB426"/>
      <c r="AC426"/>
      <c r="AD426"/>
      <c r="AE426"/>
      <c r="AF426"/>
      <c r="AG426"/>
      <c r="AH426"/>
      <c r="AI426"/>
      <c r="AJ426"/>
      <c r="AK426"/>
      <c r="AL426"/>
      <c r="AM426"/>
      <c r="AN426"/>
      <c r="AO426"/>
      <c r="AP426"/>
      <c r="AQ426"/>
      <c r="AR426"/>
      <c r="AS426"/>
      <c r="AT426"/>
      <c r="AU426"/>
      <c r="AV426"/>
      <c r="AW426"/>
      <c r="AX426"/>
    </row>
    <row r="427" spans="17:50" ht="12.75" customHeight="1" thickBot="1">
      <c r="Q427" s="364"/>
      <c r="R427" s="692" t="s">
        <v>839</v>
      </c>
      <c r="S427" s="693"/>
      <c r="T427" s="693"/>
      <c r="U427" s="705">
        <f>IF(T425&gt;0,(VLOOKUP(V427,'Lookup Ready-reckoner'!$L$5:$M$1207,2))," ")</f>
        <v>84.15</v>
      </c>
      <c r="V427" s="695">
        <f>IF(U425&gt;0,(SUM(V425:V426))," ")</f>
        <v>83.333333333333329</v>
      </c>
      <c r="W427" s="696"/>
      <c r="X427" s="364"/>
      <c r="Y427" s="364"/>
      <c r="Z427" s="364"/>
      <c r="AA427" s="367"/>
      <c r="AB427"/>
      <c r="AC427"/>
      <c r="AD427"/>
      <c r="AE427"/>
      <c r="AF427"/>
      <c r="AG427"/>
      <c r="AH427"/>
      <c r="AI427"/>
      <c r="AJ427"/>
      <c r="AK427"/>
      <c r="AL427"/>
      <c r="AM427"/>
      <c r="AN427"/>
      <c r="AO427"/>
      <c r="AP427"/>
      <c r="AQ427"/>
      <c r="AR427"/>
      <c r="AS427"/>
      <c r="AT427"/>
      <c r="AU427"/>
      <c r="AV427"/>
      <c r="AW427"/>
      <c r="AX427"/>
    </row>
    <row r="428" spans="17:50" ht="12.75" customHeight="1" thickBot="1">
      <c r="Q428" s="364"/>
      <c r="R428" s="892"/>
      <c r="S428" s="893"/>
      <c r="T428" s="893"/>
      <c r="U428" s="893"/>
      <c r="V428" s="893"/>
      <c r="W428" s="894"/>
      <c r="X428" s="364"/>
      <c r="Y428" s="364"/>
      <c r="Z428" s="364"/>
      <c r="AA428" s="367"/>
      <c r="AB428"/>
      <c r="AC428"/>
      <c r="AD428"/>
      <c r="AE428"/>
      <c r="AF428"/>
      <c r="AG428"/>
      <c r="AH428"/>
      <c r="AI428"/>
      <c r="AJ428"/>
      <c r="AK428"/>
      <c r="AL428"/>
      <c r="AM428"/>
      <c r="AN428"/>
      <c r="AO428"/>
      <c r="AP428"/>
      <c r="AQ428"/>
      <c r="AR428"/>
      <c r="AS428"/>
      <c r="AT428"/>
      <c r="AU428"/>
      <c r="AV428"/>
      <c r="AW428"/>
      <c r="AX428"/>
    </row>
    <row r="429" spans="17:50" ht="12.75" customHeight="1">
      <c r="Q429" s="364"/>
      <c r="R429" s="895" t="s">
        <v>886</v>
      </c>
      <c r="S429" s="896"/>
      <c r="T429" s="900" t="s">
        <v>835</v>
      </c>
      <c r="U429" s="900" t="s">
        <v>836</v>
      </c>
      <c r="V429" s="900" t="s">
        <v>837</v>
      </c>
      <c r="W429" s="902" t="s">
        <v>838</v>
      </c>
      <c r="X429" s="364"/>
      <c r="Y429" s="364"/>
      <c r="Z429" s="364"/>
      <c r="AA429" s="367"/>
      <c r="AB429"/>
      <c r="AC429"/>
      <c r="AD429"/>
      <c r="AE429"/>
      <c r="AF429"/>
      <c r="AG429"/>
      <c r="AH429"/>
      <c r="AI429"/>
      <c r="AJ429"/>
      <c r="AK429"/>
      <c r="AL429"/>
      <c r="AM429"/>
      <c r="AN429"/>
      <c r="AO429"/>
      <c r="AP429"/>
      <c r="AQ429"/>
      <c r="AR429"/>
      <c r="AS429"/>
      <c r="AT429"/>
      <c r="AU429"/>
      <c r="AV429"/>
      <c r="AW429"/>
      <c r="AX429"/>
    </row>
    <row r="430" spans="17:50" ht="12.75" customHeight="1">
      <c r="Q430" s="364"/>
      <c r="R430" s="892"/>
      <c r="S430" s="897"/>
      <c r="T430" s="901"/>
      <c r="U430" s="901"/>
      <c r="V430" s="901"/>
      <c r="W430" s="903"/>
      <c r="X430" s="364"/>
      <c r="Y430" s="364"/>
      <c r="Z430" s="364"/>
      <c r="AA430" s="367"/>
      <c r="AB430"/>
      <c r="AC430"/>
      <c r="AD430"/>
      <c r="AE430"/>
      <c r="AF430"/>
      <c r="AG430"/>
      <c r="AH430"/>
      <c r="AI430"/>
      <c r="AJ430"/>
      <c r="AK430"/>
      <c r="AL430"/>
      <c r="AM430"/>
      <c r="AN430"/>
      <c r="AO430"/>
      <c r="AP430"/>
      <c r="AQ430"/>
      <c r="AR430"/>
      <c r="AS430"/>
      <c r="AT430"/>
      <c r="AU430"/>
      <c r="AV430"/>
      <c r="AW430"/>
      <c r="AX430"/>
    </row>
    <row r="431" spans="17:50" ht="12.75" customHeight="1">
      <c r="Q431" s="364"/>
      <c r="R431" s="892"/>
      <c r="S431" s="897"/>
      <c r="T431" s="704">
        <f>T418-PPE!$I$15</f>
        <v>85.368800000000007</v>
      </c>
      <c r="U431" s="560">
        <f>U425</f>
        <v>2.6666666666666665</v>
      </c>
      <c r="V431" s="690">
        <f>IF(T431&gt;0,W431*U431," ")</f>
        <v>36.25</v>
      </c>
      <c r="W431" s="691">
        <f>IF(T431&gt;0,(VLOOKUP(T431,'Lookup Ready-reckoner'!$B$5:$E$1207,4))," ")</f>
        <v>13.59375</v>
      </c>
      <c r="X431" s="364"/>
      <c r="Y431" s="364"/>
      <c r="Z431" s="364"/>
      <c r="AA431" s="367"/>
      <c r="AB431"/>
      <c r="AC431"/>
      <c r="AD431"/>
      <c r="AE431"/>
      <c r="AF431"/>
      <c r="AG431"/>
      <c r="AH431"/>
      <c r="AI431"/>
      <c r="AJ431"/>
      <c r="AK431"/>
      <c r="AL431"/>
      <c r="AM431"/>
      <c r="AN431"/>
      <c r="AO431"/>
      <c r="AP431"/>
      <c r="AQ431"/>
      <c r="AR431"/>
      <c r="AS431"/>
      <c r="AT431"/>
      <c r="AU431"/>
      <c r="AV431"/>
      <c r="AW431"/>
      <c r="AX431"/>
    </row>
    <row r="432" spans="17:50" ht="12.75" customHeight="1">
      <c r="Q432" s="364"/>
      <c r="R432" s="898"/>
      <c r="S432" s="899"/>
      <c r="T432" s="447"/>
      <c r="U432" s="560"/>
      <c r="V432" s="690" t="str">
        <f>IF(T432&gt;0,W432*U432," ")</f>
        <v xml:space="preserve"> </v>
      </c>
      <c r="W432" s="691" t="str">
        <f>IF(T432&gt;0,(VLOOKUP(T432,'Lookup Ready-reckoner'!$B$5:$E$1007,4))," ")</f>
        <v xml:space="preserve"> </v>
      </c>
      <c r="X432" s="364"/>
      <c r="Y432" s="364"/>
      <c r="Z432" s="364"/>
      <c r="AA432" s="367"/>
      <c r="AB432"/>
      <c r="AC432"/>
      <c r="AD432"/>
      <c r="AE432"/>
      <c r="AF432"/>
      <c r="AG432"/>
      <c r="AH432"/>
      <c r="AI432"/>
      <c r="AJ432"/>
      <c r="AK432"/>
      <c r="AL432"/>
      <c r="AM432"/>
      <c r="AN432"/>
      <c r="AO432"/>
      <c r="AP432"/>
      <c r="AQ432"/>
      <c r="AR432"/>
      <c r="AS432"/>
      <c r="AT432"/>
      <c r="AU432"/>
      <c r="AV432"/>
      <c r="AW432"/>
      <c r="AX432"/>
    </row>
    <row r="433" spans="17:50" ht="12.75" customHeight="1" thickBot="1">
      <c r="Q433" s="364"/>
      <c r="R433" s="692" t="s">
        <v>839</v>
      </c>
      <c r="S433" s="693"/>
      <c r="T433" s="693"/>
      <c r="U433" s="705">
        <f>IF(T431&gt;0,(VLOOKUP(V433,'Lookup Ready-reckoner'!$L$5:$M$1207,2))," ")</f>
        <v>80.5</v>
      </c>
      <c r="V433" s="695">
        <f>IF(U431&gt;0,(SUM(V431:V432))," ")</f>
        <v>36.25</v>
      </c>
      <c r="W433" s="696"/>
      <c r="X433" s="364"/>
      <c r="Y433" s="364"/>
      <c r="Z433" s="364"/>
      <c r="AA433" s="367"/>
      <c r="AB433"/>
      <c r="AC433"/>
      <c r="AD433"/>
      <c r="AE433"/>
      <c r="AF433"/>
      <c r="AG433"/>
      <c r="AH433"/>
      <c r="AI433"/>
      <c r="AJ433"/>
      <c r="AK433"/>
      <c r="AL433"/>
      <c r="AM433"/>
      <c r="AN433"/>
      <c r="AO433"/>
      <c r="AP433"/>
      <c r="AQ433"/>
      <c r="AR433"/>
      <c r="AS433"/>
      <c r="AT433"/>
      <c r="AU433"/>
      <c r="AV433"/>
      <c r="AW433"/>
      <c r="AX433"/>
    </row>
    <row r="434" spans="17:50" ht="12.75" customHeight="1" thickBot="1">
      <c r="Q434" s="364"/>
      <c r="R434" s="364"/>
      <c r="S434" s="364"/>
      <c r="T434" s="364"/>
      <c r="U434" s="364"/>
      <c r="V434" s="364"/>
      <c r="W434" s="364"/>
      <c r="X434" s="364"/>
      <c r="Y434" s="364"/>
      <c r="Z434" s="364"/>
      <c r="AA434" s="367"/>
      <c r="AB434"/>
      <c r="AC434"/>
      <c r="AD434"/>
      <c r="AE434"/>
      <c r="AF434"/>
      <c r="AG434"/>
      <c r="AH434"/>
      <c r="AI434"/>
      <c r="AJ434"/>
      <c r="AK434"/>
      <c r="AL434"/>
      <c r="AM434"/>
      <c r="AN434"/>
      <c r="AO434"/>
      <c r="AP434"/>
      <c r="AQ434"/>
      <c r="AR434"/>
      <c r="AS434"/>
      <c r="AT434"/>
      <c r="AU434"/>
      <c r="AV434"/>
      <c r="AW434"/>
      <c r="AX434"/>
    </row>
    <row r="435" spans="17:50" ht="12.75" customHeight="1" thickTop="1">
      <c r="Q435" s="364"/>
      <c r="R435" s="916" t="s">
        <v>429</v>
      </c>
      <c r="S435" s="917"/>
      <c r="T435" s="917"/>
      <c r="U435" s="917"/>
      <c r="V435" s="917"/>
      <c r="W435" s="918"/>
      <c r="X435" s="364"/>
      <c r="Y435" s="364"/>
      <c r="Z435" s="364"/>
      <c r="AA435" s="367"/>
      <c r="AB435"/>
      <c r="AC435"/>
      <c r="AD435"/>
      <c r="AE435"/>
      <c r="AF435"/>
      <c r="AG435"/>
      <c r="AH435"/>
      <c r="AI435"/>
      <c r="AJ435"/>
      <c r="AK435"/>
      <c r="AL435"/>
      <c r="AM435"/>
      <c r="AN435"/>
      <c r="AO435"/>
      <c r="AP435"/>
      <c r="AQ435"/>
      <c r="AR435"/>
      <c r="AS435"/>
      <c r="AT435"/>
      <c r="AU435"/>
      <c r="AV435"/>
      <c r="AW435"/>
      <c r="AX435"/>
    </row>
    <row r="436" spans="17:50" ht="12.75" customHeight="1">
      <c r="Q436" s="364"/>
      <c r="R436" s="919"/>
      <c r="S436" s="920"/>
      <c r="T436" s="920"/>
      <c r="U436" s="920"/>
      <c r="V436" s="920"/>
      <c r="W436" s="921"/>
      <c r="X436" s="364"/>
      <c r="Y436" s="364"/>
      <c r="Z436" s="364"/>
      <c r="AA436" s="367"/>
      <c r="AB436"/>
      <c r="AC436"/>
      <c r="AD436"/>
      <c r="AE436"/>
      <c r="AF436"/>
      <c r="AG436"/>
      <c r="AH436"/>
      <c r="AI436"/>
      <c r="AJ436"/>
      <c r="AK436"/>
      <c r="AL436"/>
      <c r="AM436"/>
      <c r="AN436"/>
      <c r="AO436"/>
      <c r="AP436"/>
      <c r="AQ436"/>
      <c r="AR436"/>
      <c r="AS436"/>
      <c r="AT436"/>
      <c r="AU436"/>
      <c r="AV436"/>
      <c r="AW436"/>
      <c r="AX436"/>
    </row>
    <row r="437" spans="17:50" ht="12.75" customHeight="1" thickBot="1">
      <c r="Q437" s="364"/>
      <c r="R437" s="922"/>
      <c r="S437" s="923"/>
      <c r="T437" s="923"/>
      <c r="U437" s="923"/>
      <c r="V437" s="923"/>
      <c r="W437" s="924"/>
      <c r="X437" s="364"/>
      <c r="Y437" s="364"/>
      <c r="Z437" s="364"/>
      <c r="AA437" s="367"/>
      <c r="AB437"/>
      <c r="AC437"/>
      <c r="AD437"/>
      <c r="AE437"/>
      <c r="AF437"/>
      <c r="AG437"/>
      <c r="AH437"/>
      <c r="AI437"/>
      <c r="AJ437"/>
      <c r="AK437"/>
      <c r="AL437"/>
      <c r="AM437"/>
      <c r="AN437"/>
      <c r="AO437"/>
      <c r="AP437"/>
      <c r="AQ437"/>
      <c r="AR437"/>
      <c r="AS437"/>
      <c r="AT437"/>
      <c r="AU437"/>
      <c r="AV437"/>
      <c r="AW437"/>
      <c r="AX437"/>
    </row>
    <row r="438" spans="17:50" ht="12.75" customHeight="1" thickTop="1">
      <c r="Q438" s="364"/>
      <c r="R438" s="925" t="str">
        <f>R319</f>
        <v>Seco S215</v>
      </c>
      <c r="S438" s="925"/>
      <c r="T438" s="925"/>
      <c r="U438" s="925"/>
      <c r="V438" s="925"/>
      <c r="W438" s="925"/>
      <c r="X438" s="364"/>
      <c r="Y438" s="364"/>
      <c r="Z438" s="364"/>
      <c r="AA438" s="367"/>
      <c r="AB438"/>
      <c r="AC438"/>
      <c r="AD438"/>
      <c r="AE438"/>
      <c r="AF438"/>
      <c r="AG438"/>
      <c r="AH438"/>
      <c r="AI438"/>
      <c r="AJ438"/>
      <c r="AK438"/>
      <c r="AL438"/>
      <c r="AM438"/>
      <c r="AN438"/>
      <c r="AO438"/>
      <c r="AP438"/>
      <c r="AQ438"/>
      <c r="AR438"/>
      <c r="AS438"/>
      <c r="AT438"/>
      <c r="AU438"/>
      <c r="AV438"/>
      <c r="AW438"/>
      <c r="AX438"/>
    </row>
    <row r="439" spans="17:50" ht="12.75" customHeight="1" thickBot="1">
      <c r="Q439" s="364"/>
      <c r="R439" s="910" t="s">
        <v>205</v>
      </c>
      <c r="S439" s="911"/>
      <c r="T439" s="911"/>
      <c r="U439" s="911"/>
      <c r="V439" s="911"/>
      <c r="W439" s="912"/>
      <c r="X439" s="364"/>
      <c r="Y439" s="364"/>
      <c r="Z439" s="364"/>
      <c r="AA439" s="367"/>
      <c r="AB439"/>
      <c r="AC439"/>
      <c r="AD439"/>
      <c r="AE439"/>
      <c r="AF439"/>
      <c r="AG439"/>
      <c r="AH439"/>
      <c r="AI439"/>
      <c r="AJ439"/>
      <c r="AK439"/>
      <c r="AL439"/>
      <c r="AM439"/>
      <c r="AN439"/>
      <c r="AO439"/>
      <c r="AP439"/>
      <c r="AQ439"/>
      <c r="AR439"/>
      <c r="AS439"/>
      <c r="AT439"/>
      <c r="AU439"/>
      <c r="AV439"/>
      <c r="AW439"/>
      <c r="AX439"/>
    </row>
    <row r="440" spans="17:50" ht="12.75" customHeight="1" thickBot="1">
      <c r="Q440" s="364"/>
      <c r="R440" s="686" t="s">
        <v>59</v>
      </c>
      <c r="S440" s="577"/>
      <c r="T440" s="687"/>
      <c r="U440" s="687"/>
      <c r="V440" s="687"/>
      <c r="W440" s="688"/>
      <c r="X440" s="364"/>
      <c r="Y440" s="364"/>
      <c r="Z440" s="364"/>
      <c r="AA440" s="367"/>
      <c r="AB440"/>
      <c r="AC440"/>
      <c r="AD440"/>
      <c r="AE440"/>
      <c r="AF440"/>
      <c r="AG440"/>
      <c r="AH440"/>
      <c r="AI440"/>
      <c r="AJ440"/>
      <c r="AK440"/>
      <c r="AL440"/>
      <c r="AM440"/>
      <c r="AN440"/>
      <c r="AO440"/>
      <c r="AP440"/>
      <c r="AQ440"/>
      <c r="AR440"/>
      <c r="AS440"/>
      <c r="AT440"/>
      <c r="AU440"/>
      <c r="AV440"/>
      <c r="AW440"/>
      <c r="AX440"/>
    </row>
    <row r="441" spans="17:50" ht="12.75" customHeight="1">
      <c r="Q441" s="364"/>
      <c r="R441" s="895" t="s">
        <v>845</v>
      </c>
      <c r="S441" s="896"/>
      <c r="T441" s="900" t="s">
        <v>835</v>
      </c>
      <c r="U441" s="900" t="s">
        <v>836</v>
      </c>
      <c r="V441" s="900" t="s">
        <v>837</v>
      </c>
      <c r="W441" s="902" t="s">
        <v>838</v>
      </c>
      <c r="X441" s="364"/>
      <c r="Y441" s="364"/>
      <c r="Z441" s="364"/>
      <c r="AA441" s="367"/>
      <c r="AB441"/>
      <c r="AC441"/>
      <c r="AD441"/>
      <c r="AE441"/>
      <c r="AF441"/>
      <c r="AG441"/>
      <c r="AH441"/>
      <c r="AI441"/>
      <c r="AJ441"/>
      <c r="AK441"/>
      <c r="AL441"/>
      <c r="AM441"/>
      <c r="AN441"/>
      <c r="AO441"/>
      <c r="AP441"/>
      <c r="AQ441"/>
      <c r="AR441"/>
      <c r="AS441"/>
      <c r="AT441"/>
      <c r="AU441"/>
      <c r="AV441"/>
      <c r="AW441"/>
      <c r="AX441"/>
    </row>
    <row r="442" spans="17:50" ht="12.75" customHeight="1">
      <c r="Q442" s="364"/>
      <c r="R442" s="892"/>
      <c r="S442" s="897"/>
      <c r="T442" s="904"/>
      <c r="U442" s="904"/>
      <c r="V442" s="904"/>
      <c r="W442" s="905"/>
      <c r="X442" s="364"/>
      <c r="Y442" s="364"/>
      <c r="Z442" s="364"/>
      <c r="AA442" s="367"/>
      <c r="AB442"/>
      <c r="AC442"/>
      <c r="AD442"/>
      <c r="AE442"/>
      <c r="AF442"/>
      <c r="AG442"/>
      <c r="AH442"/>
      <c r="AI442"/>
      <c r="AJ442"/>
      <c r="AK442"/>
      <c r="AL442"/>
      <c r="AM442"/>
      <c r="AN442"/>
      <c r="AO442"/>
      <c r="AP442"/>
      <c r="AQ442"/>
      <c r="AR442"/>
      <c r="AS442"/>
      <c r="AT442"/>
      <c r="AU442"/>
      <c r="AV442"/>
      <c r="AW442"/>
      <c r="AX442"/>
    </row>
    <row r="443" spans="17:50" ht="12.75" customHeight="1">
      <c r="Q443" s="364"/>
      <c r="R443" s="892"/>
      <c r="S443" s="897"/>
      <c r="T443" s="901"/>
      <c r="U443" s="901"/>
      <c r="V443" s="901"/>
      <c r="W443" s="903"/>
      <c r="X443" s="364"/>
      <c r="Y443" s="364"/>
      <c r="Z443" s="364"/>
      <c r="AA443" s="367"/>
      <c r="AB443"/>
      <c r="AC443"/>
      <c r="AD443"/>
      <c r="AE443"/>
      <c r="AF443"/>
      <c r="AG443"/>
      <c r="AH443"/>
      <c r="AI443"/>
      <c r="AJ443"/>
      <c r="AK443"/>
      <c r="AL443"/>
      <c r="AM443"/>
      <c r="AN443"/>
      <c r="AO443"/>
      <c r="AP443"/>
      <c r="AQ443"/>
      <c r="AR443"/>
      <c r="AS443"/>
      <c r="AT443"/>
      <c r="AU443"/>
      <c r="AV443"/>
      <c r="AW443"/>
      <c r="AX443"/>
    </row>
    <row r="444" spans="17:50" ht="12.75" customHeight="1">
      <c r="Q444" s="364"/>
      <c r="R444" s="892"/>
      <c r="S444" s="897"/>
      <c r="T444" s="689">
        <f>X76</f>
        <v>122.92059991327966</v>
      </c>
      <c r="U444" s="560">
        <f>X62</f>
        <v>1.2965964343598047</v>
      </c>
      <c r="V444" s="690">
        <f>IF(T444&gt;0,W444*U444," ")</f>
        <v>81944.894651539653</v>
      </c>
      <c r="W444" s="691">
        <f>IF(T444&gt;0,(VLOOKUP(T444,'Lookup Ready-reckoner'!$B$5:$E$1207,4))," ")</f>
        <v>63200</v>
      </c>
      <c r="X444" s="364"/>
      <c r="Y444" s="364"/>
      <c r="Z444" s="364"/>
      <c r="AA444" s="367"/>
      <c r="AB444"/>
      <c r="AC444"/>
      <c r="AD444"/>
      <c r="AE444"/>
      <c r="AF444"/>
      <c r="AG444"/>
      <c r="AH444"/>
      <c r="AI444"/>
      <c r="AJ444"/>
      <c r="AK444"/>
      <c r="AL444"/>
      <c r="AM444"/>
      <c r="AN444"/>
      <c r="AO444"/>
      <c r="AP444"/>
      <c r="AQ444"/>
      <c r="AR444"/>
      <c r="AS444"/>
      <c r="AT444"/>
      <c r="AU444"/>
      <c r="AV444"/>
      <c r="AW444"/>
      <c r="AX444"/>
    </row>
    <row r="445" spans="17:50" ht="12.75" customHeight="1">
      <c r="Q445" s="364"/>
      <c r="R445" s="898"/>
      <c r="S445" s="899"/>
      <c r="T445" s="447"/>
      <c r="U445" s="560"/>
      <c r="V445" s="690" t="str">
        <f>IF(T445&gt;0,W445*U445," ")</f>
        <v xml:space="preserve"> </v>
      </c>
      <c r="W445" s="691" t="str">
        <f>IF(T445&gt;0,(VLOOKUP(T445,'Lookup Ready-reckoner'!$B$5:$E$1007,4))," ")</f>
        <v xml:space="preserve"> </v>
      </c>
      <c r="X445" s="364"/>
      <c r="Y445" s="364"/>
      <c r="Z445" s="364"/>
      <c r="AA445" s="367"/>
      <c r="AB445"/>
      <c r="AC445"/>
      <c r="AD445"/>
      <c r="AE445"/>
      <c r="AF445"/>
      <c r="AG445"/>
      <c r="AH445"/>
      <c r="AI445"/>
      <c r="AJ445"/>
      <c r="AK445"/>
      <c r="AL445"/>
      <c r="AM445"/>
      <c r="AN445"/>
      <c r="AO445"/>
      <c r="AP445"/>
      <c r="AQ445"/>
      <c r="AR445"/>
      <c r="AS445"/>
      <c r="AT445"/>
      <c r="AU445"/>
      <c r="AV445"/>
      <c r="AW445"/>
      <c r="AX445"/>
    </row>
    <row r="446" spans="17:50" ht="12.75" customHeight="1" thickBot="1">
      <c r="Q446" s="364"/>
      <c r="R446" s="692" t="s">
        <v>839</v>
      </c>
      <c r="S446" s="693"/>
      <c r="T446" s="693"/>
      <c r="U446" s="694">
        <f>IF(T444&gt;0,(VLOOKUP(V446,'Lookup Ready-reckoner'!$L$5:$M$1207,2))," ")</f>
        <v>114.05</v>
      </c>
      <c r="V446" s="695">
        <f>IF(U444&gt;0,(SUM(V444:V445))," ")</f>
        <v>81944.894651539653</v>
      </c>
      <c r="W446" s="696"/>
      <c r="X446" s="364"/>
      <c r="Y446" s="364"/>
      <c r="Z446" s="364"/>
      <c r="AA446" s="367"/>
      <c r="AB446"/>
      <c r="AC446"/>
      <c r="AD446"/>
      <c r="AE446"/>
      <c r="AF446"/>
      <c r="AG446"/>
      <c r="AH446"/>
      <c r="AI446"/>
      <c r="AJ446"/>
      <c r="AK446"/>
      <c r="AL446"/>
      <c r="AM446"/>
      <c r="AN446"/>
      <c r="AO446"/>
      <c r="AP446"/>
      <c r="AQ446"/>
      <c r="AR446"/>
      <c r="AS446"/>
      <c r="AT446"/>
      <c r="AU446"/>
      <c r="AV446"/>
      <c r="AW446"/>
      <c r="AX446"/>
    </row>
    <row r="447" spans="17:50" ht="12.75" customHeight="1" thickBot="1">
      <c r="Q447" s="364"/>
      <c r="R447" s="892"/>
      <c r="S447" s="893"/>
      <c r="T447" s="893"/>
      <c r="U447" s="893"/>
      <c r="V447" s="893"/>
      <c r="W447" s="894"/>
      <c r="X447" s="364"/>
      <c r="Y447" s="364"/>
      <c r="Z447" s="364"/>
      <c r="AA447" s="367"/>
      <c r="AB447"/>
      <c r="AC447"/>
      <c r="AD447"/>
      <c r="AE447"/>
      <c r="AF447"/>
      <c r="AG447"/>
      <c r="AH447"/>
      <c r="AI447"/>
      <c r="AJ447"/>
      <c r="AK447"/>
      <c r="AL447"/>
      <c r="AM447"/>
      <c r="AN447"/>
      <c r="AO447"/>
      <c r="AP447"/>
      <c r="AQ447"/>
      <c r="AR447"/>
      <c r="AS447"/>
      <c r="AT447"/>
      <c r="AU447"/>
      <c r="AV447"/>
      <c r="AW447"/>
      <c r="AX447"/>
    </row>
    <row r="448" spans="17:50" ht="12.75" customHeight="1">
      <c r="Q448" s="364"/>
      <c r="R448" s="895" t="s">
        <v>886</v>
      </c>
      <c r="S448" s="896"/>
      <c r="T448" s="900" t="s">
        <v>835</v>
      </c>
      <c r="U448" s="900" t="s">
        <v>836</v>
      </c>
      <c r="V448" s="900" t="s">
        <v>837</v>
      </c>
      <c r="W448" s="902" t="s">
        <v>838</v>
      </c>
      <c r="X448" s="364"/>
      <c r="Y448" s="364"/>
      <c r="Z448" s="364"/>
      <c r="AA448" s="367"/>
      <c r="AB448"/>
      <c r="AC448"/>
      <c r="AD448"/>
      <c r="AE448"/>
      <c r="AF448"/>
      <c r="AG448"/>
      <c r="AH448"/>
      <c r="AI448"/>
      <c r="AJ448"/>
      <c r="AK448"/>
      <c r="AL448"/>
      <c r="AM448"/>
      <c r="AN448"/>
      <c r="AO448"/>
      <c r="AP448"/>
      <c r="AQ448"/>
      <c r="AR448"/>
      <c r="AS448"/>
      <c r="AT448"/>
      <c r="AU448"/>
      <c r="AV448"/>
      <c r="AW448"/>
      <c r="AX448"/>
    </row>
    <row r="449" spans="17:50" ht="12.75" customHeight="1">
      <c r="Q449" s="364"/>
      <c r="R449" s="892"/>
      <c r="S449" s="897"/>
      <c r="T449" s="901"/>
      <c r="U449" s="901"/>
      <c r="V449" s="901"/>
      <c r="W449" s="903"/>
      <c r="X449" s="364"/>
      <c r="Y449" s="364"/>
      <c r="Z449" s="364"/>
      <c r="AA449" s="367"/>
      <c r="AB449"/>
      <c r="AC449"/>
      <c r="AD449"/>
      <c r="AE449"/>
      <c r="AF449"/>
      <c r="AG449"/>
      <c r="AH449"/>
      <c r="AI449"/>
      <c r="AJ449"/>
      <c r="AK449"/>
      <c r="AL449"/>
      <c r="AM449"/>
      <c r="AN449"/>
      <c r="AO449"/>
      <c r="AP449"/>
      <c r="AQ449"/>
      <c r="AR449"/>
      <c r="AS449"/>
      <c r="AT449"/>
      <c r="AU449"/>
      <c r="AV449"/>
      <c r="AW449"/>
      <c r="AX449"/>
    </row>
    <row r="450" spans="17:50" ht="12.75" customHeight="1">
      <c r="Q450" s="364"/>
      <c r="R450" s="892"/>
      <c r="S450" s="897"/>
      <c r="T450" s="689">
        <f>T444*(1-0.0178*2)</f>
        <v>118.54462655636691</v>
      </c>
      <c r="U450" s="560">
        <f>U444</f>
        <v>1.2965964343598047</v>
      </c>
      <c r="V450" s="690">
        <f>IF(T450&gt;0,W450*U450," ")</f>
        <v>37341.977309562375</v>
      </c>
      <c r="W450" s="691">
        <f>IF(T450&gt;0,(VLOOKUP(T450,'Lookup Ready-reckoner'!$B$5:$E$1207,4))," ")</f>
        <v>28800</v>
      </c>
      <c r="X450" s="364"/>
      <c r="Y450" s="364"/>
      <c r="Z450" s="364"/>
      <c r="AA450" s="367"/>
      <c r="AB450"/>
      <c r="AC450"/>
      <c r="AD450"/>
      <c r="AE450"/>
      <c r="AF450"/>
      <c r="AG450"/>
      <c r="AH450"/>
      <c r="AI450"/>
      <c r="AJ450"/>
      <c r="AK450"/>
      <c r="AL450"/>
      <c r="AM450"/>
      <c r="AN450"/>
      <c r="AO450"/>
      <c r="AP450"/>
      <c r="AQ450"/>
      <c r="AR450"/>
      <c r="AS450"/>
      <c r="AT450"/>
      <c r="AU450"/>
      <c r="AV450"/>
      <c r="AW450"/>
      <c r="AX450"/>
    </row>
    <row r="451" spans="17:50" ht="12.75" customHeight="1">
      <c r="Q451" s="364"/>
      <c r="R451" s="898"/>
      <c r="S451" s="899"/>
      <c r="T451" s="447"/>
      <c r="U451" s="560"/>
      <c r="V451" s="690" t="str">
        <f>IF(T451&gt;0,W451*U451," ")</f>
        <v xml:space="preserve"> </v>
      </c>
      <c r="W451" s="691" t="str">
        <f>IF(T451&gt;0,(VLOOKUP(T451,'Lookup Ready-reckoner'!$B$5:$E$1007,4))," ")</f>
        <v xml:space="preserve"> </v>
      </c>
      <c r="X451" s="364"/>
      <c r="Y451" s="364"/>
      <c r="Z451" s="364"/>
      <c r="AA451" s="367"/>
      <c r="AB451"/>
      <c r="AC451"/>
      <c r="AD451"/>
      <c r="AE451"/>
      <c r="AF451"/>
      <c r="AG451"/>
      <c r="AH451"/>
      <c r="AI451"/>
      <c r="AJ451"/>
      <c r="AK451"/>
      <c r="AL451"/>
      <c r="AM451"/>
      <c r="AN451"/>
      <c r="AO451"/>
      <c r="AP451"/>
      <c r="AQ451"/>
      <c r="AR451"/>
      <c r="AS451"/>
      <c r="AT451"/>
      <c r="AU451"/>
      <c r="AV451"/>
      <c r="AW451"/>
      <c r="AX451"/>
    </row>
    <row r="452" spans="17:50" ht="12.75" customHeight="1" thickBot="1">
      <c r="Q452" s="364"/>
      <c r="R452" s="692" t="s">
        <v>839</v>
      </c>
      <c r="S452" s="693"/>
      <c r="T452" s="693"/>
      <c r="U452" s="694">
        <f>IF(T450&gt;0,(VLOOKUP(V452,'Lookup Ready-reckoner'!$L$5:$M$1207,2))," ")</f>
        <v>110.65</v>
      </c>
      <c r="V452" s="695">
        <f>IF(U450&gt;0,(SUM(V450:V451))," ")</f>
        <v>37341.977309562375</v>
      </c>
      <c r="W452" s="696"/>
      <c r="X452" s="364"/>
      <c r="Y452" s="364"/>
      <c r="Z452" s="364"/>
      <c r="AA452" s="367"/>
      <c r="AB452"/>
      <c r="AC452"/>
      <c r="AD452"/>
      <c r="AE452"/>
      <c r="AF452"/>
      <c r="AG452"/>
      <c r="AH452"/>
      <c r="AI452"/>
      <c r="AJ452"/>
      <c r="AK452"/>
      <c r="AL452"/>
      <c r="AM452"/>
      <c r="AN452"/>
      <c r="AO452"/>
      <c r="AP452"/>
      <c r="AQ452"/>
      <c r="AR452"/>
      <c r="AS452"/>
      <c r="AT452"/>
      <c r="AU452"/>
      <c r="AV452"/>
      <c r="AW452"/>
      <c r="AX452"/>
    </row>
    <row r="453" spans="17:50" ht="12.75" customHeight="1">
      <c r="Q453" s="364"/>
      <c r="R453" s="697"/>
      <c r="S453" s="687"/>
      <c r="T453" s="687"/>
      <c r="U453" s="372"/>
      <c r="V453" s="374"/>
      <c r="W453" s="688"/>
      <c r="X453" s="364"/>
      <c r="Y453" s="364"/>
      <c r="Z453" s="364"/>
      <c r="AA453" s="367"/>
      <c r="AB453"/>
      <c r="AC453"/>
      <c r="AD453"/>
      <c r="AE453"/>
      <c r="AF453"/>
      <c r="AG453"/>
      <c r="AH453"/>
      <c r="AI453"/>
      <c r="AJ453"/>
      <c r="AK453"/>
      <c r="AL453"/>
      <c r="AM453"/>
      <c r="AN453"/>
      <c r="AO453"/>
      <c r="AP453"/>
      <c r="AQ453"/>
      <c r="AR453"/>
      <c r="AS453"/>
      <c r="AT453"/>
      <c r="AU453"/>
      <c r="AV453"/>
      <c r="AW453"/>
      <c r="AX453"/>
    </row>
    <row r="454" spans="17:50" ht="12.75" customHeight="1" thickBot="1">
      <c r="Q454" s="364"/>
      <c r="R454" s="686" t="s">
        <v>60</v>
      </c>
      <c r="S454" s="577"/>
      <c r="T454" s="577"/>
      <c r="U454" s="577"/>
      <c r="V454" s="577"/>
      <c r="W454" s="698"/>
      <c r="X454" s="364"/>
      <c r="Y454" s="364"/>
      <c r="Z454" s="364"/>
      <c r="AA454" s="367"/>
      <c r="AB454"/>
      <c r="AC454"/>
      <c r="AD454"/>
      <c r="AE454"/>
      <c r="AF454"/>
      <c r="AG454"/>
      <c r="AH454"/>
      <c r="AI454"/>
      <c r="AJ454"/>
      <c r="AK454"/>
      <c r="AL454"/>
      <c r="AM454"/>
      <c r="AN454"/>
      <c r="AO454"/>
      <c r="AP454"/>
      <c r="AQ454"/>
      <c r="AR454"/>
      <c r="AS454"/>
      <c r="AT454"/>
      <c r="AU454"/>
      <c r="AV454"/>
      <c r="AW454"/>
      <c r="AX454"/>
    </row>
    <row r="455" spans="17:50" ht="12.75" customHeight="1">
      <c r="Q455" s="364"/>
      <c r="R455" s="895" t="s">
        <v>845</v>
      </c>
      <c r="S455" s="896"/>
      <c r="T455" s="900" t="s">
        <v>835</v>
      </c>
      <c r="U455" s="900" t="s">
        <v>836</v>
      </c>
      <c r="V455" s="900" t="s">
        <v>837</v>
      </c>
      <c r="W455" s="902" t="s">
        <v>838</v>
      </c>
      <c r="X455" s="364"/>
      <c r="Y455" s="364"/>
      <c r="Z455" s="364"/>
      <c r="AA455" s="367"/>
      <c r="AB455"/>
      <c r="AC455"/>
      <c r="AD455"/>
      <c r="AE455"/>
      <c r="AF455"/>
      <c r="AG455"/>
      <c r="AH455"/>
      <c r="AI455"/>
      <c r="AJ455"/>
      <c r="AK455"/>
      <c r="AL455"/>
      <c r="AM455"/>
      <c r="AN455"/>
      <c r="AO455"/>
      <c r="AP455"/>
      <c r="AQ455"/>
      <c r="AR455"/>
      <c r="AS455"/>
      <c r="AT455"/>
      <c r="AU455"/>
      <c r="AV455"/>
      <c r="AW455"/>
      <c r="AX455"/>
    </row>
    <row r="456" spans="17:50" ht="12.75" customHeight="1">
      <c r="Q456" s="364"/>
      <c r="R456" s="892"/>
      <c r="S456" s="897"/>
      <c r="T456" s="901"/>
      <c r="U456" s="901"/>
      <c r="V456" s="901"/>
      <c r="W456" s="903"/>
      <c r="X456" s="364"/>
      <c r="Y456" s="364"/>
      <c r="Z456" s="364"/>
      <c r="AA456" s="367"/>
      <c r="AB456"/>
      <c r="AC456"/>
      <c r="AD456"/>
      <c r="AE456"/>
      <c r="AF456"/>
      <c r="AG456"/>
      <c r="AH456"/>
      <c r="AI456"/>
      <c r="AJ456"/>
      <c r="AK456"/>
      <c r="AL456"/>
      <c r="AM456"/>
      <c r="AN456"/>
      <c r="AO456"/>
      <c r="AP456"/>
      <c r="AQ456"/>
      <c r="AR456"/>
      <c r="AS456"/>
      <c r="AT456"/>
      <c r="AU456"/>
      <c r="AV456"/>
      <c r="AW456"/>
      <c r="AX456"/>
    </row>
    <row r="457" spans="17:50" ht="12.75" customHeight="1">
      <c r="Q457" s="364"/>
      <c r="R457" s="892"/>
      <c r="S457" s="897"/>
      <c r="T457" s="689">
        <f>T444-PPE!$I$15</f>
        <v>109.92059991327966</v>
      </c>
      <c r="U457" s="560">
        <f>U450</f>
        <v>1.2965964343598047</v>
      </c>
      <c r="V457" s="690">
        <f>IF(T457&gt;0,W457*U457," ")</f>
        <v>5082.6580226904343</v>
      </c>
      <c r="W457" s="691">
        <f>IF(T457&gt;0,(VLOOKUP(T457,'Lookup Ready-reckoner'!$B$5:$E$1207,4))," ")</f>
        <v>3920</v>
      </c>
      <c r="X457" s="364"/>
      <c r="Y457" s="364"/>
      <c r="Z457" s="364"/>
      <c r="AA457" s="367"/>
      <c r="AB457"/>
      <c r="AC457"/>
      <c r="AD457"/>
      <c r="AE457"/>
      <c r="AF457"/>
      <c r="AG457"/>
      <c r="AH457"/>
      <c r="AI457"/>
      <c r="AJ457"/>
      <c r="AK457"/>
      <c r="AL457"/>
      <c r="AM457"/>
      <c r="AN457"/>
      <c r="AO457"/>
      <c r="AP457"/>
      <c r="AQ457"/>
      <c r="AR457"/>
      <c r="AS457"/>
      <c r="AT457"/>
      <c r="AU457"/>
      <c r="AV457"/>
      <c r="AW457"/>
      <c r="AX457"/>
    </row>
    <row r="458" spans="17:50" ht="12.75" customHeight="1">
      <c r="Q458" s="364"/>
      <c r="R458" s="898"/>
      <c r="S458" s="899"/>
      <c r="T458" s="447"/>
      <c r="U458" s="560"/>
      <c r="V458" s="690" t="str">
        <f>IF(T458&gt;0,W458*U458," ")</f>
        <v xml:space="preserve"> </v>
      </c>
      <c r="W458" s="691" t="str">
        <f>IF(T458&gt;0,(VLOOKUP(T458,'Lookup Ready-reckoner'!$B$5:$E$1007,4))," ")</f>
        <v xml:space="preserve"> </v>
      </c>
      <c r="X458" s="364"/>
      <c r="Y458" s="364"/>
      <c r="Z458" s="364"/>
      <c r="AA458" s="367"/>
      <c r="AB458"/>
      <c r="AC458"/>
      <c r="AD458"/>
      <c r="AE458"/>
      <c r="AF458"/>
      <c r="AG458"/>
      <c r="AH458"/>
      <c r="AI458"/>
      <c r="AJ458"/>
      <c r="AK458"/>
      <c r="AL458"/>
      <c r="AM458"/>
      <c r="AN458"/>
      <c r="AO458"/>
      <c r="AP458"/>
      <c r="AQ458"/>
      <c r="AR458"/>
      <c r="AS458"/>
      <c r="AT458"/>
      <c r="AU458"/>
      <c r="AV458"/>
      <c r="AW458"/>
      <c r="AX458"/>
    </row>
    <row r="459" spans="17:50" ht="12.75" customHeight="1" thickBot="1">
      <c r="Q459" s="364"/>
      <c r="R459" s="699" t="s">
        <v>839</v>
      </c>
      <c r="S459" s="693"/>
      <c r="T459" s="693"/>
      <c r="U459" s="694">
        <f>IF(T457&gt;0,(VLOOKUP(V459,'Lookup Ready-reckoner'!$L$5:$M$1207,2))," ")</f>
        <v>102.05</v>
      </c>
      <c r="V459" s="695">
        <f>IF(U457&gt;0,(SUM(V457:V458))," ")</f>
        <v>5082.6580226904343</v>
      </c>
      <c r="W459" s="696"/>
      <c r="X459" s="364"/>
      <c r="Y459" s="364"/>
      <c r="Z459" s="364"/>
      <c r="AA459" s="367"/>
      <c r="AB459"/>
      <c r="AC459"/>
      <c r="AD459"/>
      <c r="AE459"/>
      <c r="AF459"/>
      <c r="AG459"/>
      <c r="AH459"/>
      <c r="AI459"/>
      <c r="AJ459"/>
      <c r="AK459"/>
      <c r="AL459"/>
      <c r="AM459"/>
      <c r="AN459"/>
      <c r="AO459"/>
      <c r="AP459"/>
      <c r="AQ459"/>
      <c r="AR459"/>
      <c r="AS459"/>
      <c r="AT459"/>
      <c r="AU459"/>
      <c r="AV459"/>
      <c r="AW459"/>
      <c r="AX459"/>
    </row>
    <row r="460" spans="17:50" ht="12.75" customHeight="1" thickBot="1">
      <c r="Q460" s="364"/>
      <c r="R460" s="892"/>
      <c r="S460" s="893"/>
      <c r="T460" s="893"/>
      <c r="U460" s="893"/>
      <c r="V460" s="893"/>
      <c r="W460" s="894"/>
      <c r="X460" s="364"/>
      <c r="Y460" s="364"/>
      <c r="Z460" s="364"/>
      <c r="AA460" s="367"/>
      <c r="AB460"/>
      <c r="AC460"/>
      <c r="AD460"/>
      <c r="AE460"/>
      <c r="AF460"/>
      <c r="AG460"/>
      <c r="AH460"/>
      <c r="AI460"/>
      <c r="AJ460"/>
      <c r="AK460"/>
      <c r="AL460"/>
      <c r="AM460"/>
      <c r="AN460"/>
      <c r="AO460"/>
      <c r="AP460"/>
      <c r="AQ460"/>
      <c r="AR460"/>
      <c r="AS460"/>
      <c r="AT460"/>
      <c r="AU460"/>
      <c r="AV460"/>
      <c r="AW460"/>
      <c r="AX460"/>
    </row>
    <row r="461" spans="17:50" ht="12.75" customHeight="1">
      <c r="Q461" s="364"/>
      <c r="R461" s="895" t="s">
        <v>886</v>
      </c>
      <c r="S461" s="896"/>
      <c r="T461" s="900" t="s">
        <v>835</v>
      </c>
      <c r="U461" s="900" t="s">
        <v>836</v>
      </c>
      <c r="V461" s="900" t="s">
        <v>837</v>
      </c>
      <c r="W461" s="902" t="s">
        <v>838</v>
      </c>
      <c r="X461" s="364"/>
      <c r="Y461" s="364"/>
      <c r="Z461" s="364"/>
      <c r="AA461" s="367"/>
      <c r="AB461"/>
      <c r="AC461"/>
      <c r="AD461"/>
      <c r="AE461"/>
      <c r="AF461"/>
      <c r="AG461"/>
      <c r="AH461"/>
      <c r="AI461"/>
      <c r="AJ461"/>
      <c r="AK461"/>
      <c r="AL461"/>
      <c r="AM461"/>
      <c r="AN461"/>
      <c r="AO461"/>
      <c r="AP461"/>
      <c r="AQ461"/>
      <c r="AR461"/>
      <c r="AS461"/>
      <c r="AT461"/>
      <c r="AU461"/>
      <c r="AV461"/>
      <c r="AW461"/>
      <c r="AX461"/>
    </row>
    <row r="462" spans="17:50" ht="12.75" customHeight="1">
      <c r="Q462" s="364"/>
      <c r="R462" s="892"/>
      <c r="S462" s="897"/>
      <c r="T462" s="901"/>
      <c r="U462" s="901"/>
      <c r="V462" s="901"/>
      <c r="W462" s="903"/>
      <c r="X462" s="364"/>
      <c r="Y462" s="364"/>
      <c r="Z462" s="364"/>
      <c r="AA462" s="367"/>
      <c r="AB462"/>
      <c r="AC462"/>
      <c r="AD462"/>
      <c r="AE462"/>
      <c r="AF462"/>
      <c r="AG462"/>
      <c r="AH462"/>
      <c r="AI462"/>
      <c r="AJ462"/>
      <c r="AK462"/>
      <c r="AL462"/>
      <c r="AM462"/>
      <c r="AN462"/>
      <c r="AO462"/>
      <c r="AP462"/>
      <c r="AQ462"/>
      <c r="AR462"/>
      <c r="AS462"/>
      <c r="AT462"/>
      <c r="AU462"/>
      <c r="AV462"/>
      <c r="AW462"/>
      <c r="AX462"/>
    </row>
    <row r="463" spans="17:50" ht="12.75" customHeight="1">
      <c r="Q463" s="364"/>
      <c r="R463" s="892"/>
      <c r="S463" s="897"/>
      <c r="T463" s="689">
        <f>T450-PPE!$I$15</f>
        <v>105.54462655636691</v>
      </c>
      <c r="U463" s="560">
        <f>U457</f>
        <v>1.2965964343598047</v>
      </c>
      <c r="V463" s="690">
        <f>IF(T463&gt;0,W463*U463," ")</f>
        <v>1847.6499189627216</v>
      </c>
      <c r="W463" s="691">
        <f>IF(T463&gt;0,(VLOOKUP(T463,'Lookup Ready-reckoner'!$B$5:$E$1207,4))," ")</f>
        <v>1425</v>
      </c>
      <c r="X463" s="364"/>
      <c r="Y463" s="364"/>
      <c r="Z463" s="364"/>
      <c r="AA463" s="367"/>
      <c r="AB463"/>
      <c r="AC463"/>
      <c r="AD463"/>
      <c r="AE463"/>
      <c r="AF463"/>
      <c r="AG463"/>
      <c r="AH463"/>
      <c r="AI463"/>
      <c r="AJ463"/>
      <c r="AK463"/>
      <c r="AL463"/>
      <c r="AM463"/>
      <c r="AN463"/>
      <c r="AO463"/>
      <c r="AP463"/>
      <c r="AQ463"/>
      <c r="AR463"/>
      <c r="AS463"/>
      <c r="AT463"/>
      <c r="AU463"/>
      <c r="AV463"/>
      <c r="AW463"/>
      <c r="AX463"/>
    </row>
    <row r="464" spans="17:50" ht="12.75" customHeight="1">
      <c r="Q464" s="364"/>
      <c r="R464" s="898"/>
      <c r="S464" s="899"/>
      <c r="T464" s="447"/>
      <c r="U464" s="560"/>
      <c r="V464" s="690" t="str">
        <f>IF(T464&gt;0,W464*U464," ")</f>
        <v xml:space="preserve"> </v>
      </c>
      <c r="W464" s="691" t="str">
        <f>IF(T464&gt;0,(VLOOKUP(T464,'Lookup Ready-reckoner'!$B$5:$E$1007,4))," ")</f>
        <v xml:space="preserve"> </v>
      </c>
      <c r="X464" s="364"/>
      <c r="Y464" s="364"/>
      <c r="Z464" s="364"/>
      <c r="AA464" s="367"/>
      <c r="AB464"/>
      <c r="AC464"/>
      <c r="AD464"/>
      <c r="AE464"/>
      <c r="AF464"/>
      <c r="AG464"/>
      <c r="AH464"/>
      <c r="AI464"/>
      <c r="AJ464"/>
      <c r="AK464"/>
      <c r="AL464"/>
      <c r="AM464"/>
      <c r="AN464"/>
      <c r="AO464"/>
      <c r="AP464"/>
      <c r="AQ464"/>
      <c r="AR464"/>
      <c r="AS464"/>
      <c r="AT464"/>
      <c r="AU464"/>
      <c r="AV464"/>
      <c r="AW464"/>
      <c r="AX464"/>
    </row>
    <row r="465" spans="17:50" ht="12.75" customHeight="1" thickBot="1">
      <c r="Q465" s="364"/>
      <c r="R465" s="692" t="s">
        <v>839</v>
      </c>
      <c r="S465" s="693"/>
      <c r="T465" s="693"/>
      <c r="U465" s="694">
        <f>IF(T463&gt;0,(VLOOKUP(V465,'Lookup Ready-reckoner'!$L$5:$M$1207,2))," ")</f>
        <v>97.6</v>
      </c>
      <c r="V465" s="695">
        <f>IF(U463&gt;0,(SUM(V463:V464))," ")</f>
        <v>1847.6499189627216</v>
      </c>
      <c r="W465" s="696"/>
      <c r="X465" s="364"/>
      <c r="Y465" s="364"/>
      <c r="Z465" s="364"/>
      <c r="AA465" s="367"/>
      <c r="AB465"/>
      <c r="AC465"/>
      <c r="AD465"/>
      <c r="AE465"/>
      <c r="AF465"/>
      <c r="AG465"/>
      <c r="AH465"/>
      <c r="AI465"/>
      <c r="AJ465"/>
      <c r="AK465"/>
      <c r="AL465"/>
      <c r="AM465"/>
      <c r="AN465"/>
      <c r="AO465"/>
      <c r="AP465"/>
      <c r="AQ465"/>
      <c r="AR465"/>
      <c r="AS465"/>
      <c r="AT465"/>
      <c r="AU465"/>
      <c r="AV465"/>
      <c r="AW465"/>
      <c r="AX465"/>
    </row>
    <row r="466" spans="17:50" ht="12.75" customHeight="1">
      <c r="Q466" s="364"/>
      <c r="R466" s="363"/>
      <c r="S466" s="363"/>
      <c r="T466" s="363"/>
      <c r="U466" s="363"/>
      <c r="V466" s="363"/>
      <c r="W466" s="363"/>
      <c r="X466" s="364"/>
      <c r="Y466" s="364"/>
      <c r="Z466" s="364"/>
      <c r="AA466" s="367"/>
      <c r="AB466"/>
      <c r="AC466"/>
      <c r="AD466"/>
      <c r="AE466"/>
      <c r="AF466"/>
      <c r="AG466"/>
      <c r="AH466"/>
      <c r="AI466"/>
      <c r="AJ466"/>
      <c r="AK466"/>
      <c r="AL466"/>
      <c r="AM466"/>
      <c r="AN466"/>
      <c r="AO466"/>
      <c r="AP466"/>
      <c r="AQ466"/>
      <c r="AR466"/>
      <c r="AS466"/>
      <c r="AT466"/>
      <c r="AU466"/>
      <c r="AV466"/>
      <c r="AW466"/>
      <c r="AX466"/>
    </row>
    <row r="467" spans="17:50" ht="12.75" customHeight="1" thickBot="1">
      <c r="Q467" s="364"/>
      <c r="R467" s="915" t="str">
        <f>R348</f>
        <v>Seco S215 Muffled</v>
      </c>
      <c r="S467" s="915"/>
      <c r="T467" s="915"/>
      <c r="U467" s="915"/>
      <c r="V467" s="915"/>
      <c r="W467" s="915"/>
      <c r="X467" s="364"/>
      <c r="Y467" s="364"/>
      <c r="Z467" s="364"/>
      <c r="AA467" s="367"/>
      <c r="AB467"/>
      <c r="AC467"/>
      <c r="AD467"/>
      <c r="AE467"/>
      <c r="AF467"/>
      <c r="AG467"/>
      <c r="AH467"/>
      <c r="AI467"/>
      <c r="AJ467"/>
      <c r="AK467"/>
      <c r="AL467"/>
      <c r="AM467"/>
      <c r="AN467"/>
      <c r="AO467"/>
      <c r="AP467"/>
      <c r="AQ467"/>
      <c r="AR467"/>
      <c r="AS467"/>
      <c r="AT467"/>
      <c r="AU467"/>
      <c r="AV467"/>
      <c r="AW467"/>
      <c r="AX467"/>
    </row>
    <row r="468" spans="17:50" ht="12.75" customHeight="1" thickBot="1">
      <c r="Q468" s="364"/>
      <c r="R468" s="906" t="s">
        <v>205</v>
      </c>
      <c r="S468" s="907"/>
      <c r="T468" s="907"/>
      <c r="U468" s="907"/>
      <c r="V468" s="907"/>
      <c r="W468" s="908"/>
      <c r="X468" s="364"/>
      <c r="Y468" s="364"/>
      <c r="Z468" s="364"/>
      <c r="AA468" s="367"/>
      <c r="AB468"/>
      <c r="AC468"/>
      <c r="AD468"/>
      <c r="AE468"/>
      <c r="AF468"/>
      <c r="AG468"/>
      <c r="AH468"/>
      <c r="AI468"/>
      <c r="AJ468"/>
      <c r="AK468"/>
      <c r="AL468"/>
      <c r="AM468"/>
      <c r="AN468"/>
      <c r="AO468"/>
      <c r="AP468"/>
      <c r="AQ468"/>
      <c r="AR468"/>
      <c r="AS468"/>
      <c r="AT468"/>
      <c r="AU468"/>
      <c r="AV468"/>
      <c r="AW468"/>
      <c r="AX468"/>
    </row>
    <row r="469" spans="17:50" ht="12.75" customHeight="1" thickBot="1">
      <c r="Q469" s="364"/>
      <c r="R469" s="686" t="s">
        <v>59</v>
      </c>
      <c r="S469" s="577"/>
      <c r="T469" s="687"/>
      <c r="U469" s="687"/>
      <c r="V469" s="687"/>
      <c r="W469" s="688"/>
      <c r="X469" s="364"/>
      <c r="Y469" s="364"/>
      <c r="Z469" s="364"/>
      <c r="AA469" s="367"/>
      <c r="AB469"/>
      <c r="AC469"/>
      <c r="AD469"/>
      <c r="AE469"/>
      <c r="AF469"/>
      <c r="AG469"/>
      <c r="AH469"/>
      <c r="AI469"/>
      <c r="AJ469"/>
      <c r="AK469"/>
      <c r="AL469"/>
      <c r="AM469"/>
      <c r="AN469"/>
      <c r="AO469"/>
      <c r="AP469"/>
      <c r="AQ469"/>
      <c r="AR469"/>
      <c r="AS469"/>
      <c r="AT469"/>
      <c r="AU469"/>
      <c r="AV469"/>
      <c r="AW469"/>
      <c r="AX469"/>
    </row>
    <row r="470" spans="17:50" ht="12.75" customHeight="1">
      <c r="Q470" s="364"/>
      <c r="R470" s="895" t="s">
        <v>845</v>
      </c>
      <c r="S470" s="896"/>
      <c r="T470" s="900" t="s">
        <v>835</v>
      </c>
      <c r="U470" s="900" t="s">
        <v>836</v>
      </c>
      <c r="V470" s="900" t="s">
        <v>837</v>
      </c>
      <c r="W470" s="902" t="s">
        <v>838</v>
      </c>
      <c r="X470" s="364"/>
      <c r="Y470" s="364"/>
      <c r="Z470" s="364"/>
      <c r="AA470" s="367"/>
      <c r="AB470"/>
      <c r="AC470"/>
      <c r="AD470"/>
      <c r="AE470"/>
      <c r="AF470"/>
      <c r="AG470"/>
      <c r="AH470"/>
      <c r="AI470"/>
      <c r="AJ470"/>
      <c r="AK470"/>
      <c r="AL470"/>
      <c r="AM470"/>
      <c r="AN470"/>
      <c r="AO470"/>
      <c r="AP470"/>
      <c r="AQ470"/>
      <c r="AR470"/>
      <c r="AS470"/>
      <c r="AT470"/>
      <c r="AU470"/>
      <c r="AV470"/>
      <c r="AW470"/>
      <c r="AX470"/>
    </row>
    <row r="471" spans="17:50" ht="12.75" customHeight="1">
      <c r="Q471" s="364"/>
      <c r="R471" s="892"/>
      <c r="S471" s="897"/>
      <c r="T471" s="904"/>
      <c r="U471" s="904"/>
      <c r="V471" s="904"/>
      <c r="W471" s="905"/>
      <c r="X471" s="364"/>
      <c r="Y471" s="364"/>
      <c r="Z471" s="364"/>
      <c r="AA471" s="367"/>
      <c r="AB471"/>
      <c r="AC471"/>
      <c r="AD471"/>
      <c r="AE471"/>
      <c r="AF471"/>
      <c r="AG471"/>
      <c r="AH471"/>
      <c r="AI471"/>
      <c r="AJ471"/>
      <c r="AK471"/>
      <c r="AL471"/>
      <c r="AM471"/>
      <c r="AN471"/>
      <c r="AO471"/>
      <c r="AP471"/>
      <c r="AQ471"/>
      <c r="AR471"/>
      <c r="AS471"/>
      <c r="AT471"/>
      <c r="AU471"/>
      <c r="AV471"/>
      <c r="AW471"/>
      <c r="AX471"/>
    </row>
    <row r="472" spans="17:50" ht="12.75" customHeight="1">
      <c r="Q472" s="364"/>
      <c r="R472" s="892"/>
      <c r="S472" s="897"/>
      <c r="T472" s="901"/>
      <c r="U472" s="901"/>
      <c r="V472" s="901"/>
      <c r="W472" s="903"/>
      <c r="X472" s="364"/>
      <c r="Y472" s="364"/>
      <c r="Z472" s="364"/>
      <c r="AA472" s="367"/>
      <c r="AB472"/>
      <c r="AC472"/>
      <c r="AD472"/>
      <c r="AE472"/>
      <c r="AF472"/>
      <c r="AG472"/>
      <c r="AH472"/>
      <c r="AI472"/>
      <c r="AJ472"/>
      <c r="AK472"/>
      <c r="AL472"/>
      <c r="AM472"/>
      <c r="AN472"/>
      <c r="AO472"/>
      <c r="AP472"/>
      <c r="AQ472"/>
      <c r="AR472"/>
      <c r="AS472"/>
      <c r="AT472"/>
      <c r="AU472"/>
      <c r="AV472"/>
      <c r="AW472"/>
      <c r="AX472"/>
    </row>
    <row r="473" spans="17:50" ht="12.75" customHeight="1">
      <c r="Q473" s="364"/>
      <c r="R473" s="892"/>
      <c r="S473" s="897"/>
      <c r="T473" s="700">
        <f>V76</f>
        <v>114.62059991327953</v>
      </c>
      <c r="U473" s="560">
        <f>V62</f>
        <v>1.6949152542372867</v>
      </c>
      <c r="V473" s="690">
        <f>IF(T473&gt;0,W473*U473," ")</f>
        <v>19796.610169491509</v>
      </c>
      <c r="W473" s="691">
        <f>IF(T473&gt;0,(VLOOKUP(T473,'Lookup Ready-reckoner'!$B$5:$E$1207,4))," ")</f>
        <v>11680</v>
      </c>
      <c r="X473" s="364"/>
      <c r="Y473" s="364"/>
      <c r="Z473" s="364"/>
      <c r="AA473" s="367"/>
      <c r="AB473"/>
      <c r="AC473"/>
      <c r="AD473"/>
      <c r="AE473"/>
      <c r="AF473"/>
      <c r="AG473"/>
      <c r="AH473"/>
      <c r="AI473"/>
      <c r="AJ473"/>
      <c r="AK473"/>
      <c r="AL473"/>
      <c r="AM473"/>
      <c r="AN473"/>
      <c r="AO473"/>
      <c r="AP473"/>
      <c r="AQ473"/>
      <c r="AR473"/>
      <c r="AS473"/>
      <c r="AT473"/>
      <c r="AU473"/>
      <c r="AV473"/>
      <c r="AW473"/>
      <c r="AX473"/>
    </row>
    <row r="474" spans="17:50" ht="12.75" customHeight="1">
      <c r="Q474" s="364"/>
      <c r="R474" s="898"/>
      <c r="S474" s="899"/>
      <c r="T474" s="447"/>
      <c r="U474" s="560"/>
      <c r="V474" s="690" t="str">
        <f>IF(T474&gt;0,W474*U474," ")</f>
        <v xml:space="preserve"> </v>
      </c>
      <c r="W474" s="691" t="str">
        <f>IF(T474&gt;0,(VLOOKUP(T474,'Lookup Ready-reckoner'!$B$5:$E$1007,4))," ")</f>
        <v xml:space="preserve"> </v>
      </c>
      <c r="X474" s="364"/>
      <c r="Y474" s="364"/>
      <c r="Z474" s="364"/>
      <c r="AA474" s="367"/>
      <c r="AB474"/>
      <c r="AC474"/>
      <c r="AD474"/>
      <c r="AE474"/>
      <c r="AF474"/>
      <c r="AG474"/>
      <c r="AH474"/>
      <c r="AI474"/>
      <c r="AJ474"/>
      <c r="AK474"/>
      <c r="AL474"/>
      <c r="AM474"/>
      <c r="AN474"/>
      <c r="AO474"/>
      <c r="AP474"/>
      <c r="AQ474"/>
      <c r="AR474"/>
      <c r="AS474"/>
      <c r="AT474"/>
      <c r="AU474"/>
      <c r="AV474"/>
      <c r="AW474"/>
      <c r="AX474"/>
    </row>
    <row r="475" spans="17:50" ht="12.75" customHeight="1" thickBot="1">
      <c r="Q475" s="364"/>
      <c r="R475" s="699" t="s">
        <v>839</v>
      </c>
      <c r="S475" s="693"/>
      <c r="T475" s="693"/>
      <c r="U475" s="701">
        <f>IF(T473&gt;0,(VLOOKUP(V475,'Lookup Ready-reckoner'!$L$5:$M$1207,2))," ")</f>
        <v>107.9</v>
      </c>
      <c r="V475" s="695">
        <f>IF(U473&gt;0,(SUM(V473:V474))," ")</f>
        <v>19796.610169491509</v>
      </c>
      <c r="W475" s="696"/>
      <c r="X475" s="364"/>
      <c r="Y475" s="364"/>
      <c r="Z475" s="364"/>
      <c r="AA475" s="367"/>
      <c r="AB475"/>
      <c r="AC475"/>
      <c r="AD475"/>
      <c r="AE475"/>
      <c r="AF475"/>
      <c r="AG475"/>
      <c r="AH475"/>
      <c r="AI475"/>
      <c r="AJ475"/>
      <c r="AK475"/>
      <c r="AL475"/>
      <c r="AM475"/>
      <c r="AN475"/>
      <c r="AO475"/>
      <c r="AP475"/>
      <c r="AQ475"/>
      <c r="AR475"/>
      <c r="AS475"/>
      <c r="AT475"/>
      <c r="AU475"/>
      <c r="AV475"/>
      <c r="AW475"/>
      <c r="AX475"/>
    </row>
    <row r="476" spans="17:50" ht="12.75" customHeight="1" thickBot="1">
      <c r="Q476" s="364"/>
      <c r="R476" s="892"/>
      <c r="S476" s="893"/>
      <c r="T476" s="893"/>
      <c r="U476" s="893"/>
      <c r="V476" s="893"/>
      <c r="W476" s="894"/>
      <c r="X476" s="364"/>
      <c r="Y476" s="364"/>
      <c r="Z476" s="364"/>
      <c r="AA476" s="367"/>
      <c r="AB476"/>
      <c r="AC476"/>
      <c r="AD476"/>
      <c r="AE476"/>
      <c r="AF476"/>
      <c r="AG476"/>
      <c r="AH476"/>
      <c r="AI476"/>
      <c r="AJ476"/>
      <c r="AK476"/>
      <c r="AL476"/>
      <c r="AM476"/>
      <c r="AN476"/>
      <c r="AO476"/>
      <c r="AP476"/>
      <c r="AQ476"/>
      <c r="AR476"/>
      <c r="AS476"/>
      <c r="AT476"/>
      <c r="AU476"/>
      <c r="AV476"/>
      <c r="AW476"/>
      <c r="AX476"/>
    </row>
    <row r="477" spans="17:50" ht="12.75" customHeight="1">
      <c r="Q477" s="364"/>
      <c r="R477" s="895" t="s">
        <v>886</v>
      </c>
      <c r="S477" s="896"/>
      <c r="T477" s="900" t="s">
        <v>835</v>
      </c>
      <c r="U477" s="900" t="s">
        <v>836</v>
      </c>
      <c r="V477" s="900" t="s">
        <v>837</v>
      </c>
      <c r="W477" s="902" t="s">
        <v>838</v>
      </c>
      <c r="X477" s="364"/>
      <c r="Y477" s="364"/>
      <c r="Z477" s="364"/>
      <c r="AA477" s="367"/>
      <c r="AB477"/>
      <c r="AC477"/>
      <c r="AD477"/>
      <c r="AE477"/>
      <c r="AF477"/>
      <c r="AG477"/>
      <c r="AH477"/>
      <c r="AI477"/>
      <c r="AJ477"/>
      <c r="AK477"/>
      <c r="AL477"/>
      <c r="AM477"/>
      <c r="AN477"/>
      <c r="AO477"/>
      <c r="AP477"/>
      <c r="AQ477"/>
      <c r="AR477"/>
      <c r="AS477"/>
      <c r="AT477"/>
      <c r="AU477"/>
      <c r="AV477"/>
      <c r="AW477"/>
      <c r="AX477"/>
    </row>
    <row r="478" spans="17:50" ht="12.75" customHeight="1">
      <c r="Q478" s="364"/>
      <c r="R478" s="892"/>
      <c r="S478" s="897"/>
      <c r="T478" s="901"/>
      <c r="U478" s="901"/>
      <c r="V478" s="901"/>
      <c r="W478" s="903"/>
      <c r="X478" s="364"/>
      <c r="Y478" s="364"/>
      <c r="Z478" s="364"/>
      <c r="AA478" s="367"/>
      <c r="AB478"/>
      <c r="AC478"/>
      <c r="AD478"/>
      <c r="AE478"/>
      <c r="AF478"/>
      <c r="AG478"/>
      <c r="AH478"/>
      <c r="AI478"/>
      <c r="AJ478"/>
      <c r="AK478"/>
      <c r="AL478"/>
      <c r="AM478"/>
      <c r="AN478"/>
      <c r="AO478"/>
      <c r="AP478"/>
      <c r="AQ478"/>
      <c r="AR478"/>
      <c r="AS478"/>
      <c r="AT478"/>
      <c r="AU478"/>
      <c r="AV478"/>
      <c r="AW478"/>
      <c r="AX478"/>
    </row>
    <row r="479" spans="17:50" ht="12.75" customHeight="1">
      <c r="Q479" s="364"/>
      <c r="R479" s="892"/>
      <c r="S479" s="897"/>
      <c r="T479" s="700">
        <f>T473*(1-0.0178*2)</f>
        <v>110.54010655636678</v>
      </c>
      <c r="U479" s="560">
        <f>U473</f>
        <v>1.6949152542372867</v>
      </c>
      <c r="V479" s="690">
        <f>IF(T479&gt;0,W479*U479," ")</f>
        <v>7627.1186440677902</v>
      </c>
      <c r="W479" s="691">
        <f>IF(T479&gt;0,(VLOOKUP(T479,'Lookup Ready-reckoner'!$B$5:$E$1207,4))," ")</f>
        <v>4500</v>
      </c>
      <c r="X479" s="364"/>
      <c r="Y479" s="364"/>
      <c r="Z479" s="364"/>
      <c r="AA479" s="367"/>
      <c r="AB479"/>
      <c r="AC479"/>
      <c r="AD479"/>
      <c r="AE479"/>
      <c r="AF479"/>
      <c r="AG479"/>
      <c r="AH479"/>
      <c r="AI479"/>
      <c r="AJ479"/>
      <c r="AK479"/>
      <c r="AL479"/>
      <c r="AM479"/>
      <c r="AN479"/>
      <c r="AO479"/>
      <c r="AP479"/>
      <c r="AQ479"/>
      <c r="AR479"/>
      <c r="AS479"/>
      <c r="AT479"/>
      <c r="AU479"/>
      <c r="AV479"/>
      <c r="AW479"/>
      <c r="AX479"/>
    </row>
    <row r="480" spans="17:50" ht="12.75" customHeight="1">
      <c r="Q480" s="364"/>
      <c r="R480" s="898"/>
      <c r="S480" s="899"/>
      <c r="T480" s="447"/>
      <c r="U480" s="560"/>
      <c r="V480" s="690" t="str">
        <f>IF(T480&gt;0,W480*U480," ")</f>
        <v xml:space="preserve"> </v>
      </c>
      <c r="W480" s="691" t="str">
        <f>IF(T480&gt;0,(VLOOKUP(T480,'Lookup Ready-reckoner'!$B$5:$E$1007,4))," ")</f>
        <v xml:space="preserve"> </v>
      </c>
      <c r="X480" s="364"/>
      <c r="Y480" s="364"/>
      <c r="Z480" s="364"/>
      <c r="AA480" s="367"/>
      <c r="AB480"/>
      <c r="AC480"/>
      <c r="AD480"/>
      <c r="AE480"/>
      <c r="AF480"/>
      <c r="AG480"/>
      <c r="AH480"/>
      <c r="AI480"/>
      <c r="AJ480"/>
      <c r="AK480"/>
      <c r="AL480"/>
      <c r="AM480"/>
      <c r="AN480"/>
      <c r="AO480"/>
      <c r="AP480"/>
      <c r="AQ480"/>
      <c r="AR480"/>
      <c r="AS480"/>
      <c r="AT480"/>
      <c r="AU480"/>
      <c r="AV480"/>
      <c r="AW480"/>
      <c r="AX480"/>
    </row>
    <row r="481" spans="17:50" ht="12.75" customHeight="1" thickBot="1">
      <c r="Q481" s="364"/>
      <c r="R481" s="692" t="s">
        <v>839</v>
      </c>
      <c r="S481" s="693"/>
      <c r="T481" s="693"/>
      <c r="U481" s="701">
        <f>IF(T479&gt;0,(VLOOKUP(V481,'Lookup Ready-reckoner'!$L$5:$M$1207,2))," ")</f>
        <v>103.75</v>
      </c>
      <c r="V481" s="695">
        <f>IF(U479&gt;0,(SUM(V479:V480))," ")</f>
        <v>7627.1186440677902</v>
      </c>
      <c r="W481" s="696"/>
      <c r="X481" s="364"/>
      <c r="Y481" s="364"/>
      <c r="Z481" s="364"/>
      <c r="AA481" s="367"/>
      <c r="AB481"/>
      <c r="AC481"/>
      <c r="AD481"/>
      <c r="AE481"/>
      <c r="AF481"/>
      <c r="AG481"/>
      <c r="AH481"/>
      <c r="AI481"/>
      <c r="AJ481"/>
      <c r="AK481"/>
      <c r="AL481"/>
      <c r="AM481"/>
      <c r="AN481"/>
      <c r="AO481"/>
      <c r="AP481"/>
      <c r="AQ481"/>
      <c r="AR481"/>
      <c r="AS481"/>
      <c r="AT481"/>
      <c r="AU481"/>
      <c r="AV481"/>
      <c r="AW481"/>
      <c r="AX481"/>
    </row>
    <row r="482" spans="17:50" ht="12.75" customHeight="1">
      <c r="Q482" s="364"/>
      <c r="R482" s="697"/>
      <c r="S482" s="687"/>
      <c r="T482" s="687"/>
      <c r="U482" s="372"/>
      <c r="V482" s="374"/>
      <c r="W482" s="688"/>
      <c r="X482" s="364"/>
      <c r="Y482" s="364"/>
      <c r="Z482" s="364"/>
      <c r="AA482" s="367"/>
      <c r="AB482"/>
      <c r="AC482"/>
      <c r="AD482"/>
      <c r="AE482"/>
      <c r="AF482"/>
      <c r="AG482"/>
      <c r="AH482"/>
      <c r="AI482"/>
      <c r="AJ482"/>
      <c r="AK482"/>
      <c r="AL482"/>
      <c r="AM482"/>
      <c r="AN482"/>
      <c r="AO482"/>
      <c r="AP482"/>
      <c r="AQ482"/>
      <c r="AR482"/>
      <c r="AS482"/>
      <c r="AT482"/>
      <c r="AU482"/>
      <c r="AV482"/>
      <c r="AW482"/>
      <c r="AX482"/>
    </row>
    <row r="483" spans="17:50" ht="12.75" customHeight="1" thickBot="1">
      <c r="Q483" s="364"/>
      <c r="R483" s="686" t="s">
        <v>60</v>
      </c>
      <c r="S483" s="577"/>
      <c r="T483" s="577"/>
      <c r="U483" s="577"/>
      <c r="V483" s="577"/>
      <c r="W483" s="698"/>
      <c r="X483" s="364"/>
      <c r="Y483" s="364"/>
      <c r="Z483" s="364"/>
      <c r="AA483" s="367"/>
      <c r="AB483"/>
      <c r="AC483"/>
      <c r="AD483"/>
      <c r="AE483"/>
      <c r="AF483"/>
      <c r="AG483"/>
      <c r="AH483"/>
      <c r="AI483"/>
      <c r="AJ483"/>
      <c r="AK483"/>
      <c r="AL483"/>
      <c r="AM483"/>
      <c r="AN483"/>
      <c r="AO483"/>
      <c r="AP483"/>
      <c r="AQ483"/>
      <c r="AR483"/>
      <c r="AS483"/>
      <c r="AT483"/>
      <c r="AU483"/>
      <c r="AV483"/>
      <c r="AW483"/>
      <c r="AX483"/>
    </row>
    <row r="484" spans="17:50" ht="12.75" customHeight="1">
      <c r="Q484" s="364"/>
      <c r="R484" s="895" t="s">
        <v>845</v>
      </c>
      <c r="S484" s="896"/>
      <c r="T484" s="900" t="s">
        <v>835</v>
      </c>
      <c r="U484" s="900" t="s">
        <v>836</v>
      </c>
      <c r="V484" s="900" t="s">
        <v>837</v>
      </c>
      <c r="W484" s="902" t="s">
        <v>838</v>
      </c>
      <c r="X484" s="364"/>
      <c r="Y484" s="364"/>
      <c r="Z484" s="364"/>
      <c r="AA484" s="367"/>
      <c r="AB484"/>
      <c r="AC484"/>
      <c r="AD484"/>
      <c r="AE484"/>
      <c r="AF484"/>
      <c r="AG484"/>
      <c r="AH484"/>
      <c r="AI484"/>
      <c r="AJ484"/>
      <c r="AK484"/>
      <c r="AL484"/>
      <c r="AM484"/>
      <c r="AN484"/>
      <c r="AO484"/>
      <c r="AP484"/>
      <c r="AQ484"/>
      <c r="AR484"/>
      <c r="AS484"/>
      <c r="AT484"/>
      <c r="AU484"/>
      <c r="AV484"/>
      <c r="AW484"/>
      <c r="AX484"/>
    </row>
    <row r="485" spans="17:50" ht="12.75" customHeight="1">
      <c r="Q485" s="364"/>
      <c r="R485" s="892"/>
      <c r="S485" s="897"/>
      <c r="T485" s="901"/>
      <c r="U485" s="901"/>
      <c r="V485" s="901"/>
      <c r="W485" s="903"/>
      <c r="X485" s="364"/>
      <c r="Y485" s="364"/>
      <c r="Z485" s="364"/>
      <c r="AA485" s="367"/>
      <c r="AB485"/>
      <c r="AC485"/>
      <c r="AD485"/>
      <c r="AE485"/>
      <c r="AF485"/>
      <c r="AG485"/>
      <c r="AH485"/>
      <c r="AI485"/>
      <c r="AJ485"/>
      <c r="AK485"/>
      <c r="AL485"/>
      <c r="AM485"/>
      <c r="AN485"/>
      <c r="AO485"/>
      <c r="AP485"/>
      <c r="AQ485"/>
      <c r="AR485"/>
      <c r="AS485"/>
      <c r="AT485"/>
      <c r="AU485"/>
      <c r="AV485"/>
      <c r="AW485"/>
      <c r="AX485"/>
    </row>
    <row r="486" spans="17:50" ht="12.75" customHeight="1">
      <c r="Q486" s="364"/>
      <c r="R486" s="892"/>
      <c r="S486" s="897"/>
      <c r="T486" s="700">
        <f>T473-PPE!$I$15</f>
        <v>101.62059991327953</v>
      </c>
      <c r="U486" s="560">
        <f>U479</f>
        <v>1.6949152542372867</v>
      </c>
      <c r="V486" s="690">
        <f>IF(T486&gt;0,W486*U486," ")</f>
        <v>974.57627118643984</v>
      </c>
      <c r="W486" s="691">
        <f>IF(T486&gt;0,(VLOOKUP(T486,'Lookup Ready-reckoner'!$B$5:$E$1207,4))," ")</f>
        <v>575</v>
      </c>
      <c r="X486" s="364"/>
      <c r="Y486" s="364"/>
      <c r="Z486" s="364"/>
      <c r="AA486" s="367"/>
      <c r="AB486"/>
      <c r="AC486"/>
      <c r="AD486"/>
      <c r="AE486"/>
      <c r="AF486"/>
      <c r="AG486"/>
      <c r="AH486"/>
      <c r="AI486"/>
      <c r="AJ486"/>
      <c r="AK486"/>
      <c r="AL486"/>
      <c r="AM486"/>
      <c r="AN486"/>
      <c r="AO486"/>
      <c r="AP486"/>
      <c r="AQ486"/>
      <c r="AR486"/>
      <c r="AS486"/>
      <c r="AT486"/>
      <c r="AU486"/>
      <c r="AV486"/>
      <c r="AW486"/>
      <c r="AX486"/>
    </row>
    <row r="487" spans="17:50" ht="12.75" customHeight="1">
      <c r="Q487" s="364"/>
      <c r="R487" s="898"/>
      <c r="S487" s="899"/>
      <c r="T487" s="447"/>
      <c r="U487" s="560"/>
      <c r="V487" s="690" t="str">
        <f>IF(T487&gt;0,W487*U487," ")</f>
        <v xml:space="preserve"> </v>
      </c>
      <c r="W487" s="691" t="str">
        <f>IF(T487&gt;0,(VLOOKUP(T487,'Lookup Ready-reckoner'!$B$5:$E$1007,4))," ")</f>
        <v xml:space="preserve"> </v>
      </c>
      <c r="X487" s="364"/>
      <c r="Y487" s="364"/>
      <c r="Z487" s="364"/>
      <c r="AA487" s="367"/>
      <c r="AB487"/>
      <c r="AC487"/>
      <c r="AD487"/>
      <c r="AE487"/>
      <c r="AF487"/>
      <c r="AG487"/>
      <c r="AH487"/>
      <c r="AI487"/>
      <c r="AJ487"/>
      <c r="AK487"/>
      <c r="AL487"/>
      <c r="AM487"/>
      <c r="AN487"/>
      <c r="AO487"/>
      <c r="AP487"/>
      <c r="AQ487"/>
      <c r="AR487"/>
      <c r="AS487"/>
      <c r="AT487"/>
      <c r="AU487"/>
      <c r="AV487"/>
      <c r="AW487"/>
      <c r="AX487"/>
    </row>
    <row r="488" spans="17:50" ht="12.75" customHeight="1" thickBot="1">
      <c r="Q488" s="364"/>
      <c r="R488" s="692" t="s">
        <v>839</v>
      </c>
      <c r="S488" s="693"/>
      <c r="T488" s="693"/>
      <c r="U488" s="701">
        <f>IF(T486&gt;0,(VLOOKUP(V488,'Lookup Ready-reckoner'!$L$5:$M$1207,2))," ")</f>
        <v>94.85</v>
      </c>
      <c r="V488" s="695">
        <f>IF(U486&gt;0,(SUM(V486:V487))," ")</f>
        <v>974.57627118643984</v>
      </c>
      <c r="W488" s="696"/>
      <c r="X488" s="364"/>
      <c r="Y488" s="364"/>
      <c r="Z488" s="364"/>
      <c r="AA488" s="367"/>
      <c r="AB488"/>
      <c r="AC488"/>
      <c r="AD488"/>
      <c r="AE488"/>
      <c r="AF488"/>
      <c r="AG488"/>
      <c r="AH488"/>
      <c r="AI488"/>
      <c r="AJ488"/>
      <c r="AK488"/>
      <c r="AL488"/>
      <c r="AM488"/>
      <c r="AN488"/>
      <c r="AO488"/>
      <c r="AP488"/>
      <c r="AQ488"/>
      <c r="AR488"/>
      <c r="AS488"/>
      <c r="AT488"/>
      <c r="AU488"/>
      <c r="AV488"/>
      <c r="AW488"/>
      <c r="AX488"/>
    </row>
    <row r="489" spans="17:50" ht="12.75" customHeight="1" thickBot="1">
      <c r="Q489" s="364"/>
      <c r="R489" s="892"/>
      <c r="S489" s="893"/>
      <c r="T489" s="893"/>
      <c r="U489" s="893"/>
      <c r="V489" s="893"/>
      <c r="W489" s="894"/>
      <c r="X489" s="364"/>
      <c r="Y489" s="364"/>
      <c r="Z489" s="364"/>
      <c r="AA489" s="367"/>
      <c r="AB489"/>
      <c r="AC489"/>
      <c r="AD489"/>
      <c r="AE489"/>
      <c r="AF489"/>
      <c r="AG489"/>
      <c r="AH489"/>
      <c r="AI489"/>
      <c r="AJ489"/>
      <c r="AK489"/>
      <c r="AL489"/>
      <c r="AM489"/>
      <c r="AN489"/>
      <c r="AO489"/>
      <c r="AP489"/>
      <c r="AQ489"/>
      <c r="AR489"/>
      <c r="AS489"/>
      <c r="AT489"/>
      <c r="AU489"/>
      <c r="AV489"/>
      <c r="AW489"/>
      <c r="AX489"/>
    </row>
    <row r="490" spans="17:50" ht="12.75" customHeight="1">
      <c r="Q490" s="364"/>
      <c r="R490" s="895" t="s">
        <v>886</v>
      </c>
      <c r="S490" s="896"/>
      <c r="T490" s="900" t="s">
        <v>835</v>
      </c>
      <c r="U490" s="900" t="s">
        <v>836</v>
      </c>
      <c r="V490" s="900" t="s">
        <v>837</v>
      </c>
      <c r="W490" s="902" t="s">
        <v>838</v>
      </c>
      <c r="X490" s="364"/>
      <c r="Y490" s="364"/>
      <c r="Z490" s="364"/>
      <c r="AA490" s="367"/>
      <c r="AB490"/>
      <c r="AC490"/>
      <c r="AD490"/>
      <c r="AE490"/>
      <c r="AF490"/>
      <c r="AG490"/>
      <c r="AH490"/>
      <c r="AI490"/>
      <c r="AJ490"/>
      <c r="AK490"/>
      <c r="AL490"/>
      <c r="AM490"/>
      <c r="AN490"/>
      <c r="AO490"/>
      <c r="AP490"/>
      <c r="AQ490"/>
      <c r="AR490"/>
      <c r="AS490"/>
      <c r="AT490"/>
      <c r="AU490"/>
      <c r="AV490"/>
      <c r="AW490"/>
      <c r="AX490"/>
    </row>
    <row r="491" spans="17:50" ht="12.75" customHeight="1">
      <c r="Q491" s="364"/>
      <c r="R491" s="892"/>
      <c r="S491" s="897"/>
      <c r="T491" s="901"/>
      <c r="U491" s="901"/>
      <c r="V491" s="901"/>
      <c r="W491" s="903"/>
      <c r="X491" s="364"/>
      <c r="Y491" s="364"/>
      <c r="Z491" s="364"/>
      <c r="AA491" s="367"/>
      <c r="AB491"/>
      <c r="AC491"/>
      <c r="AD491"/>
      <c r="AE491"/>
      <c r="AF491"/>
      <c r="AG491"/>
      <c r="AH491"/>
      <c r="AI491"/>
      <c r="AJ491"/>
      <c r="AK491"/>
      <c r="AL491"/>
      <c r="AM491"/>
      <c r="AN491"/>
      <c r="AO491"/>
      <c r="AP491"/>
      <c r="AQ491"/>
      <c r="AR491"/>
      <c r="AS491"/>
      <c r="AT491"/>
      <c r="AU491"/>
      <c r="AV491"/>
      <c r="AW491"/>
      <c r="AX491"/>
    </row>
    <row r="492" spans="17:50" ht="12.75" customHeight="1">
      <c r="Q492" s="364"/>
      <c r="R492" s="892"/>
      <c r="S492" s="897"/>
      <c r="T492" s="700">
        <f>T479-PPE!$I$15</f>
        <v>97.54010655636678</v>
      </c>
      <c r="U492" s="560">
        <f>U486</f>
        <v>1.6949152542372867</v>
      </c>
      <c r="V492" s="690">
        <f>IF(T492&gt;0,W492*U492," ")</f>
        <v>381.3559322033895</v>
      </c>
      <c r="W492" s="691">
        <f>IF(T492&gt;0,(VLOOKUP(T492,'Lookup Ready-reckoner'!$B$5:$E$1207,4))," ")</f>
        <v>225</v>
      </c>
      <c r="X492" s="364"/>
      <c r="Y492" s="364"/>
      <c r="Z492" s="364"/>
      <c r="AA492" s="367"/>
      <c r="AB492"/>
      <c r="AC492"/>
      <c r="AD492"/>
      <c r="AE492"/>
      <c r="AF492"/>
      <c r="AG492"/>
      <c r="AH492"/>
      <c r="AI492"/>
      <c r="AJ492"/>
      <c r="AK492"/>
      <c r="AL492"/>
      <c r="AM492"/>
      <c r="AN492"/>
      <c r="AO492"/>
      <c r="AP492"/>
      <c r="AQ492"/>
      <c r="AR492"/>
      <c r="AS492"/>
      <c r="AT492"/>
      <c r="AU492"/>
      <c r="AV492"/>
      <c r="AW492"/>
      <c r="AX492"/>
    </row>
    <row r="493" spans="17:50" ht="12.75" customHeight="1">
      <c r="Q493" s="364"/>
      <c r="R493" s="898"/>
      <c r="S493" s="899"/>
      <c r="T493" s="447"/>
      <c r="U493" s="560"/>
      <c r="V493" s="690" t="str">
        <f>IF(T493&gt;0,W493*U493," ")</f>
        <v xml:space="preserve"> </v>
      </c>
      <c r="W493" s="691" t="str">
        <f>IF(T493&gt;0,(VLOOKUP(T493,'Lookup Ready-reckoner'!$B$5:$E$1007,4))," ")</f>
        <v xml:space="preserve"> </v>
      </c>
      <c r="X493" s="364"/>
      <c r="Y493" s="364"/>
      <c r="Z493" s="364"/>
      <c r="AA493" s="367"/>
      <c r="AB493"/>
      <c r="AC493"/>
      <c r="AD493"/>
      <c r="AE493"/>
      <c r="AF493"/>
      <c r="AG493"/>
      <c r="AH493"/>
      <c r="AI493"/>
      <c r="AJ493"/>
      <c r="AK493"/>
      <c r="AL493"/>
      <c r="AM493"/>
      <c r="AN493"/>
      <c r="AO493"/>
      <c r="AP493"/>
      <c r="AQ493"/>
      <c r="AR493"/>
      <c r="AS493"/>
      <c r="AT493"/>
      <c r="AU493"/>
      <c r="AV493"/>
      <c r="AW493"/>
      <c r="AX493"/>
    </row>
    <row r="494" spans="17:50" ht="12.75" customHeight="1" thickBot="1">
      <c r="Q494" s="364"/>
      <c r="R494" s="692" t="s">
        <v>839</v>
      </c>
      <c r="S494" s="693"/>
      <c r="T494" s="693"/>
      <c r="U494" s="701">
        <f>IF(T492&gt;0,(VLOOKUP(V494,'Lookup Ready-reckoner'!$L$5:$M$1207,2))," ")</f>
        <v>90.75</v>
      </c>
      <c r="V494" s="695">
        <f>IF(U492&gt;0,(SUM(V492:V493))," ")</f>
        <v>381.3559322033895</v>
      </c>
      <c r="W494" s="696"/>
      <c r="X494" s="364"/>
      <c r="Y494" s="364"/>
      <c r="Z494" s="364"/>
      <c r="AA494" s="367"/>
      <c r="AB494"/>
      <c r="AC494"/>
      <c r="AD494"/>
      <c r="AE494"/>
      <c r="AF494"/>
      <c r="AG494"/>
      <c r="AH494"/>
      <c r="AI494"/>
      <c r="AJ494"/>
      <c r="AK494"/>
      <c r="AL494"/>
      <c r="AM494"/>
      <c r="AN494"/>
      <c r="AO494"/>
      <c r="AP494"/>
      <c r="AQ494"/>
      <c r="AR494"/>
      <c r="AS494"/>
      <c r="AT494"/>
      <c r="AU494"/>
      <c r="AV494"/>
      <c r="AW494"/>
      <c r="AX494"/>
    </row>
    <row r="495" spans="17:50" ht="12.75" customHeight="1">
      <c r="Q495" s="364"/>
      <c r="R495" s="363"/>
      <c r="S495" s="363"/>
      <c r="T495" s="363"/>
      <c r="U495" s="363"/>
      <c r="V495" s="363"/>
      <c r="W495" s="363"/>
      <c r="X495" s="364"/>
      <c r="Y495" s="364"/>
      <c r="Z495" s="364"/>
      <c r="AA495" s="367"/>
      <c r="AB495"/>
      <c r="AC495"/>
      <c r="AD495"/>
      <c r="AE495"/>
      <c r="AF495"/>
      <c r="AG495"/>
      <c r="AH495"/>
      <c r="AI495"/>
      <c r="AJ495"/>
      <c r="AK495"/>
      <c r="AL495"/>
      <c r="AM495"/>
      <c r="AN495"/>
      <c r="AO495"/>
      <c r="AP495"/>
      <c r="AQ495"/>
      <c r="AR495"/>
      <c r="AS495"/>
      <c r="AT495"/>
      <c r="AU495"/>
      <c r="AV495"/>
      <c r="AW495"/>
      <c r="AX495"/>
    </row>
    <row r="496" spans="17:50" ht="12.75" customHeight="1">
      <c r="Q496" s="364"/>
      <c r="R496" s="913" t="str">
        <f>R377</f>
        <v>Sulzer ADDS</v>
      </c>
      <c r="S496" s="914"/>
      <c r="T496" s="914"/>
      <c r="U496" s="914"/>
      <c r="V496" s="914"/>
      <c r="W496" s="914"/>
      <c r="X496" s="364"/>
      <c r="Y496" s="364"/>
      <c r="Z496" s="364"/>
      <c r="AA496" s="367"/>
      <c r="AB496"/>
      <c r="AC496"/>
      <c r="AD496"/>
      <c r="AE496"/>
      <c r="AF496"/>
      <c r="AG496"/>
      <c r="AH496"/>
      <c r="AI496"/>
      <c r="AJ496"/>
      <c r="AK496"/>
      <c r="AL496"/>
      <c r="AM496"/>
      <c r="AN496"/>
      <c r="AO496"/>
      <c r="AP496"/>
      <c r="AQ496"/>
      <c r="AR496"/>
      <c r="AS496"/>
      <c r="AT496"/>
      <c r="AU496"/>
      <c r="AV496"/>
      <c r="AW496"/>
      <c r="AX496"/>
    </row>
    <row r="497" spans="17:50" ht="12.75" customHeight="1" thickBot="1">
      <c r="Q497" s="364"/>
      <c r="R497" s="910" t="s">
        <v>205</v>
      </c>
      <c r="S497" s="911"/>
      <c r="T497" s="911"/>
      <c r="U497" s="911"/>
      <c r="V497" s="911"/>
      <c r="W497" s="912"/>
      <c r="X497" s="364"/>
      <c r="Y497" s="364"/>
      <c r="Z497" s="364"/>
      <c r="AA497" s="367"/>
      <c r="AB497"/>
      <c r="AC497"/>
      <c r="AD497"/>
      <c r="AE497"/>
      <c r="AF497"/>
      <c r="AG497"/>
      <c r="AH497"/>
      <c r="AI497"/>
      <c r="AJ497"/>
      <c r="AK497"/>
      <c r="AL497"/>
      <c r="AM497"/>
      <c r="AN497"/>
      <c r="AO497"/>
      <c r="AP497"/>
      <c r="AQ497"/>
      <c r="AR497"/>
      <c r="AS497"/>
      <c r="AT497"/>
      <c r="AU497"/>
      <c r="AV497"/>
      <c r="AW497"/>
      <c r="AX497"/>
    </row>
    <row r="498" spans="17:50" ht="12.75" customHeight="1" thickBot="1">
      <c r="Q498" s="364"/>
      <c r="R498" s="686" t="s">
        <v>59</v>
      </c>
      <c r="S498" s="577"/>
      <c r="T498" s="687"/>
      <c r="U498" s="687"/>
      <c r="V498" s="687"/>
      <c r="W498" s="688"/>
      <c r="X498" s="364"/>
      <c r="Y498" s="364"/>
      <c r="Z498" s="364"/>
      <c r="AA498" s="367"/>
      <c r="AB498"/>
      <c r="AC498"/>
      <c r="AD498"/>
      <c r="AE498"/>
      <c r="AF498"/>
      <c r="AG498"/>
      <c r="AH498"/>
      <c r="AI498"/>
      <c r="AJ498"/>
      <c r="AK498"/>
      <c r="AL498"/>
      <c r="AM498"/>
      <c r="AN498"/>
      <c r="AO498"/>
      <c r="AP498"/>
      <c r="AQ498"/>
      <c r="AR498"/>
      <c r="AS498"/>
      <c r="AT498"/>
      <c r="AU498"/>
      <c r="AV498"/>
      <c r="AW498"/>
      <c r="AX498"/>
    </row>
    <row r="499" spans="17:50" ht="12.75" customHeight="1">
      <c r="Q499" s="364"/>
      <c r="R499" s="895" t="s">
        <v>845</v>
      </c>
      <c r="S499" s="896"/>
      <c r="T499" s="900" t="s">
        <v>835</v>
      </c>
      <c r="U499" s="900" t="s">
        <v>836</v>
      </c>
      <c r="V499" s="900" t="s">
        <v>837</v>
      </c>
      <c r="W499" s="902" t="s">
        <v>838</v>
      </c>
      <c r="X499" s="364"/>
      <c r="Y499" s="364"/>
      <c r="Z499" s="364"/>
      <c r="AA499" s="367"/>
      <c r="AB499"/>
      <c r="AC499"/>
      <c r="AD499"/>
      <c r="AE499"/>
      <c r="AF499"/>
      <c r="AG499"/>
      <c r="AH499"/>
      <c r="AI499"/>
      <c r="AJ499"/>
      <c r="AK499"/>
      <c r="AL499"/>
      <c r="AM499"/>
      <c r="AN499"/>
      <c r="AO499"/>
      <c r="AP499"/>
      <c r="AQ499"/>
      <c r="AR499"/>
      <c r="AS499"/>
      <c r="AT499"/>
      <c r="AU499"/>
      <c r="AV499"/>
      <c r="AW499"/>
      <c r="AX499"/>
    </row>
    <row r="500" spans="17:50" ht="12.75" customHeight="1">
      <c r="Q500" s="364"/>
      <c r="R500" s="892"/>
      <c r="S500" s="897"/>
      <c r="T500" s="904"/>
      <c r="U500" s="904"/>
      <c r="V500" s="904"/>
      <c r="W500" s="905"/>
      <c r="X500" s="364"/>
      <c r="Y500" s="364"/>
      <c r="Z500" s="364"/>
      <c r="AA500" s="367"/>
      <c r="AB500"/>
      <c r="AC500"/>
      <c r="AD500"/>
      <c r="AE500"/>
      <c r="AF500"/>
      <c r="AG500"/>
      <c r="AH500"/>
      <c r="AI500"/>
      <c r="AJ500"/>
      <c r="AK500"/>
      <c r="AL500"/>
      <c r="AM500"/>
      <c r="AN500"/>
      <c r="AO500"/>
      <c r="AP500"/>
      <c r="AQ500"/>
      <c r="AR500"/>
      <c r="AS500"/>
      <c r="AT500"/>
      <c r="AU500"/>
      <c r="AV500"/>
      <c r="AW500"/>
      <c r="AX500"/>
    </row>
    <row r="501" spans="17:50" ht="12.75" customHeight="1">
      <c r="Q501" s="364"/>
      <c r="R501" s="892"/>
      <c r="S501" s="897"/>
      <c r="T501" s="901"/>
      <c r="U501" s="901"/>
      <c r="V501" s="901"/>
      <c r="W501" s="903"/>
      <c r="X501" s="364"/>
      <c r="Y501" s="364"/>
      <c r="Z501" s="364"/>
      <c r="AA501" s="367"/>
      <c r="AB501"/>
      <c r="AC501"/>
      <c r="AD501"/>
      <c r="AE501"/>
      <c r="AF501"/>
      <c r="AG501"/>
      <c r="AH501"/>
      <c r="AI501"/>
      <c r="AJ501"/>
      <c r="AK501"/>
      <c r="AL501"/>
      <c r="AM501"/>
      <c r="AN501"/>
      <c r="AO501"/>
      <c r="AP501"/>
      <c r="AQ501"/>
      <c r="AR501"/>
      <c r="AS501"/>
      <c r="AT501"/>
      <c r="AU501"/>
      <c r="AV501"/>
      <c r="AW501"/>
      <c r="AX501"/>
    </row>
    <row r="502" spans="17:50" ht="12.75" customHeight="1">
      <c r="Q502" s="364"/>
      <c r="R502" s="892"/>
      <c r="S502" s="897"/>
      <c r="T502" s="702">
        <f>W76</f>
        <v>115.62059991327953</v>
      </c>
      <c r="U502" s="560">
        <f>W62</f>
        <v>1.6528925619834685</v>
      </c>
      <c r="V502" s="690">
        <f>IF(T502&gt;0,W502*U502," ")</f>
        <v>24330.578512396656</v>
      </c>
      <c r="W502" s="691">
        <f>IF(T502&gt;0,(VLOOKUP(T502,'Lookup Ready-reckoner'!$B$5:$E$1207,4))," ")</f>
        <v>14720</v>
      </c>
      <c r="X502" s="364"/>
      <c r="Y502" s="364"/>
      <c r="Z502" s="364"/>
      <c r="AA502" s="367"/>
      <c r="AB502"/>
      <c r="AC502"/>
      <c r="AD502"/>
      <c r="AE502"/>
      <c r="AF502"/>
      <c r="AG502"/>
      <c r="AH502"/>
      <c r="AI502"/>
      <c r="AJ502"/>
      <c r="AK502"/>
      <c r="AL502"/>
      <c r="AM502"/>
      <c r="AN502"/>
      <c r="AO502"/>
      <c r="AP502"/>
      <c r="AQ502"/>
      <c r="AR502"/>
      <c r="AS502"/>
      <c r="AT502"/>
      <c r="AU502"/>
      <c r="AV502"/>
      <c r="AW502"/>
      <c r="AX502"/>
    </row>
    <row r="503" spans="17:50" ht="12.75" customHeight="1">
      <c r="Q503" s="364"/>
      <c r="R503" s="898"/>
      <c r="S503" s="899"/>
      <c r="T503" s="447"/>
      <c r="U503" s="560"/>
      <c r="V503" s="690" t="str">
        <f>IF(T503&gt;0,W503*U503," ")</f>
        <v xml:space="preserve"> </v>
      </c>
      <c r="W503" s="691" t="str">
        <f>IF(T503&gt;0,(VLOOKUP(T503,'Lookup Ready-reckoner'!$B$5:$E$1007,4))," ")</f>
        <v xml:space="preserve"> </v>
      </c>
      <c r="X503" s="364"/>
      <c r="Y503" s="364"/>
      <c r="Z503" s="364"/>
      <c r="AA503" s="367"/>
      <c r="AB503"/>
      <c r="AC503"/>
      <c r="AD503"/>
      <c r="AE503"/>
      <c r="AF503"/>
      <c r="AG503"/>
      <c r="AH503"/>
      <c r="AI503"/>
      <c r="AJ503"/>
      <c r="AK503"/>
      <c r="AL503"/>
      <c r="AM503"/>
      <c r="AN503"/>
      <c r="AO503"/>
      <c r="AP503"/>
      <c r="AQ503"/>
      <c r="AR503"/>
      <c r="AS503"/>
      <c r="AT503"/>
      <c r="AU503"/>
      <c r="AV503"/>
      <c r="AW503"/>
      <c r="AX503"/>
    </row>
    <row r="504" spans="17:50" ht="12.75" customHeight="1" thickBot="1">
      <c r="Q504" s="364"/>
      <c r="R504" s="692" t="s">
        <v>839</v>
      </c>
      <c r="S504" s="693"/>
      <c r="T504" s="693"/>
      <c r="U504" s="703">
        <f>IF(T502&gt;0,(VLOOKUP(V504,'Lookup Ready-reckoner'!$L$5:$M$1207,2))," ")</f>
        <v>108.75</v>
      </c>
      <c r="V504" s="695">
        <f>IF(U502&gt;0,(SUM(V502:V503))," ")</f>
        <v>24330.578512396656</v>
      </c>
      <c r="W504" s="696"/>
      <c r="X504" s="364"/>
      <c r="Y504" s="364"/>
      <c r="Z504" s="364"/>
      <c r="AA504" s="367"/>
      <c r="AB504"/>
      <c r="AC504"/>
      <c r="AD504"/>
      <c r="AE504"/>
      <c r="AF504"/>
      <c r="AG504"/>
      <c r="AH504"/>
      <c r="AI504"/>
      <c r="AJ504"/>
      <c r="AK504"/>
      <c r="AL504"/>
      <c r="AM504"/>
      <c r="AN504"/>
      <c r="AO504"/>
      <c r="AP504"/>
      <c r="AQ504"/>
      <c r="AR504"/>
      <c r="AS504"/>
      <c r="AT504"/>
      <c r="AU504"/>
      <c r="AV504"/>
      <c r="AW504"/>
      <c r="AX504"/>
    </row>
    <row r="505" spans="17:50" ht="12.75" customHeight="1" thickBot="1">
      <c r="Q505" s="364"/>
      <c r="R505" s="892"/>
      <c r="S505" s="893"/>
      <c r="T505" s="893"/>
      <c r="U505" s="893"/>
      <c r="V505" s="893"/>
      <c r="W505" s="894"/>
      <c r="X505" s="364"/>
      <c r="Y505" s="364"/>
      <c r="Z505" s="364"/>
      <c r="AA505" s="367"/>
      <c r="AB505"/>
      <c r="AC505"/>
      <c r="AD505"/>
      <c r="AE505"/>
      <c r="AF505"/>
      <c r="AG505"/>
      <c r="AH505"/>
      <c r="AI505"/>
      <c r="AJ505"/>
      <c r="AK505"/>
      <c r="AL505"/>
      <c r="AM505"/>
      <c r="AN505"/>
      <c r="AO505"/>
      <c r="AP505"/>
      <c r="AQ505"/>
      <c r="AR505"/>
      <c r="AS505"/>
      <c r="AT505"/>
      <c r="AU505"/>
      <c r="AV505"/>
      <c r="AW505"/>
      <c r="AX505"/>
    </row>
    <row r="506" spans="17:50" ht="12.75" customHeight="1">
      <c r="Q506" s="364"/>
      <c r="R506" s="895" t="s">
        <v>886</v>
      </c>
      <c r="S506" s="896"/>
      <c r="T506" s="900" t="s">
        <v>835</v>
      </c>
      <c r="U506" s="900" t="s">
        <v>836</v>
      </c>
      <c r="V506" s="900" t="s">
        <v>837</v>
      </c>
      <c r="W506" s="902" t="s">
        <v>838</v>
      </c>
      <c r="X506" s="364"/>
      <c r="Y506" s="364"/>
      <c r="Z506" s="364"/>
      <c r="AA506" s="367"/>
      <c r="AB506"/>
      <c r="AC506"/>
      <c r="AD506"/>
      <c r="AE506"/>
      <c r="AF506"/>
      <c r="AG506"/>
      <c r="AH506"/>
      <c r="AI506"/>
      <c r="AJ506"/>
      <c r="AK506"/>
      <c r="AL506"/>
      <c r="AM506"/>
      <c r="AN506"/>
      <c r="AO506"/>
      <c r="AP506"/>
      <c r="AQ506"/>
      <c r="AR506"/>
      <c r="AS506"/>
      <c r="AT506"/>
      <c r="AU506"/>
      <c r="AV506"/>
      <c r="AW506"/>
      <c r="AX506"/>
    </row>
    <row r="507" spans="17:50" ht="12.75" customHeight="1">
      <c r="Q507" s="364"/>
      <c r="R507" s="892"/>
      <c r="S507" s="897"/>
      <c r="T507" s="901"/>
      <c r="U507" s="901"/>
      <c r="V507" s="901"/>
      <c r="W507" s="903"/>
      <c r="X507" s="364"/>
      <c r="Y507" s="364"/>
      <c r="Z507" s="364"/>
      <c r="AA507" s="367"/>
      <c r="AB507"/>
      <c r="AC507"/>
      <c r="AD507"/>
      <c r="AE507"/>
      <c r="AF507"/>
      <c r="AG507"/>
      <c r="AH507"/>
      <c r="AI507"/>
      <c r="AJ507"/>
      <c r="AK507"/>
      <c r="AL507"/>
      <c r="AM507"/>
      <c r="AN507"/>
      <c r="AO507"/>
      <c r="AP507"/>
      <c r="AQ507"/>
      <c r="AR507"/>
      <c r="AS507"/>
      <c r="AT507"/>
      <c r="AU507"/>
      <c r="AV507"/>
      <c r="AW507"/>
      <c r="AX507"/>
    </row>
    <row r="508" spans="17:50" ht="12.75" customHeight="1">
      <c r="Q508" s="364"/>
      <c r="R508" s="892"/>
      <c r="S508" s="897"/>
      <c r="T508" s="702">
        <f>T502*(1-0.0178*2)</f>
        <v>111.50450655636679</v>
      </c>
      <c r="U508" s="560">
        <f>U502</f>
        <v>1.6528925619834685</v>
      </c>
      <c r="V508" s="690">
        <f>IF(T508&gt;0,W508*U508," ")</f>
        <v>9421.4876033057699</v>
      </c>
      <c r="W508" s="691">
        <f>IF(T508&gt;0,(VLOOKUP(T508,'Lookup Ready-reckoner'!$B$5:$E$1207,4))," ")</f>
        <v>5700</v>
      </c>
      <c r="X508" s="364"/>
      <c r="Y508" s="364"/>
      <c r="Z508" s="364"/>
      <c r="AA508" s="367"/>
      <c r="AB508"/>
      <c r="AC508"/>
      <c r="AD508"/>
      <c r="AE508"/>
      <c r="AF508"/>
      <c r="AG508"/>
      <c r="AH508"/>
      <c r="AI508"/>
      <c r="AJ508"/>
      <c r="AK508"/>
      <c r="AL508"/>
      <c r="AM508"/>
      <c r="AN508"/>
      <c r="AO508"/>
      <c r="AP508"/>
      <c r="AQ508"/>
      <c r="AR508"/>
      <c r="AS508"/>
      <c r="AT508"/>
      <c r="AU508"/>
      <c r="AV508"/>
      <c r="AW508"/>
      <c r="AX508"/>
    </row>
    <row r="509" spans="17:50" ht="12.75" customHeight="1">
      <c r="Q509" s="364"/>
      <c r="R509" s="898"/>
      <c r="S509" s="899"/>
      <c r="T509" s="447"/>
      <c r="U509" s="560"/>
      <c r="V509" s="690" t="str">
        <f>IF(T509&gt;0,W509*U509," ")</f>
        <v xml:space="preserve"> </v>
      </c>
      <c r="W509" s="691" t="str">
        <f>IF(T509&gt;0,(VLOOKUP(T509,'Lookup Ready-reckoner'!$B$5:$E$1007,4))," ")</f>
        <v xml:space="preserve"> </v>
      </c>
      <c r="X509" s="364"/>
      <c r="Y509" s="364"/>
      <c r="Z509" s="364"/>
      <c r="AA509" s="367"/>
      <c r="AB509"/>
      <c r="AC509"/>
      <c r="AD509"/>
      <c r="AE509"/>
      <c r="AF509"/>
      <c r="AG509"/>
      <c r="AH509"/>
      <c r="AI509"/>
      <c r="AJ509"/>
      <c r="AK509"/>
      <c r="AL509"/>
      <c r="AM509"/>
      <c r="AN509"/>
      <c r="AO509"/>
      <c r="AP509"/>
      <c r="AQ509"/>
      <c r="AR509"/>
      <c r="AS509"/>
      <c r="AT509"/>
      <c r="AU509"/>
      <c r="AV509"/>
      <c r="AW509"/>
      <c r="AX509"/>
    </row>
    <row r="510" spans="17:50" ht="12.75" customHeight="1" thickBot="1">
      <c r="Q510" s="364"/>
      <c r="R510" s="692" t="s">
        <v>839</v>
      </c>
      <c r="S510" s="693"/>
      <c r="T510" s="693"/>
      <c r="U510" s="703">
        <f>IF(T508&gt;0,(VLOOKUP(V510,'Lookup Ready-reckoner'!$L$5:$M$1207,2))," ")</f>
        <v>104.7</v>
      </c>
      <c r="V510" s="695">
        <f>IF(U508&gt;0,(SUM(V508:V509))," ")</f>
        <v>9421.4876033057699</v>
      </c>
      <c r="W510" s="696"/>
      <c r="X510" s="364"/>
      <c r="Y510" s="364"/>
      <c r="Z510" s="364"/>
      <c r="AA510" s="367"/>
      <c r="AB510"/>
      <c r="AC510"/>
      <c r="AD510"/>
      <c r="AE510"/>
      <c r="AF510"/>
      <c r="AG510"/>
      <c r="AH510"/>
      <c r="AI510"/>
      <c r="AJ510"/>
      <c r="AK510"/>
      <c r="AL510"/>
      <c r="AM510"/>
      <c r="AN510"/>
      <c r="AO510"/>
      <c r="AP510"/>
      <c r="AQ510"/>
      <c r="AR510"/>
      <c r="AS510"/>
      <c r="AT510"/>
      <c r="AU510"/>
      <c r="AV510"/>
      <c r="AW510"/>
      <c r="AX510"/>
    </row>
    <row r="511" spans="17:50" ht="12.75" customHeight="1">
      <c r="Q511" s="364"/>
      <c r="R511" s="697"/>
      <c r="S511" s="687"/>
      <c r="T511" s="687"/>
      <c r="U511" s="372"/>
      <c r="V511" s="374"/>
      <c r="W511" s="688"/>
      <c r="X511" s="364"/>
      <c r="Y511" s="364"/>
      <c r="Z511" s="364"/>
      <c r="AA511" s="367"/>
      <c r="AB511"/>
      <c r="AC511"/>
      <c r="AD511"/>
      <c r="AE511"/>
      <c r="AF511"/>
      <c r="AG511"/>
      <c r="AH511"/>
      <c r="AI511"/>
      <c r="AJ511"/>
      <c r="AK511"/>
      <c r="AL511"/>
      <c r="AM511"/>
      <c r="AN511"/>
      <c r="AO511"/>
      <c r="AP511"/>
      <c r="AQ511"/>
      <c r="AR511"/>
      <c r="AS511"/>
      <c r="AT511"/>
      <c r="AU511"/>
      <c r="AV511"/>
      <c r="AW511"/>
      <c r="AX511"/>
    </row>
    <row r="512" spans="17:50" ht="12.75" customHeight="1" thickBot="1">
      <c r="Q512" s="364"/>
      <c r="R512" s="686" t="s">
        <v>60</v>
      </c>
      <c r="S512" s="577"/>
      <c r="T512" s="577"/>
      <c r="U512" s="577"/>
      <c r="V512" s="577"/>
      <c r="W512" s="698"/>
      <c r="X512" s="364"/>
      <c r="Y512" s="364"/>
      <c r="Z512" s="364"/>
      <c r="AA512" s="367"/>
      <c r="AB512"/>
      <c r="AC512"/>
      <c r="AD512"/>
      <c r="AE512"/>
      <c r="AF512"/>
      <c r="AG512"/>
      <c r="AH512"/>
      <c r="AI512"/>
      <c r="AJ512"/>
      <c r="AK512"/>
      <c r="AL512"/>
      <c r="AM512"/>
      <c r="AN512"/>
      <c r="AO512"/>
      <c r="AP512"/>
      <c r="AQ512"/>
      <c r="AR512"/>
      <c r="AS512"/>
      <c r="AT512"/>
      <c r="AU512"/>
      <c r="AV512"/>
      <c r="AW512"/>
      <c r="AX512"/>
    </row>
    <row r="513" spans="17:50" ht="12.75" customHeight="1">
      <c r="Q513" s="364"/>
      <c r="R513" s="895" t="s">
        <v>845</v>
      </c>
      <c r="S513" s="896"/>
      <c r="T513" s="900" t="s">
        <v>835</v>
      </c>
      <c r="U513" s="900" t="s">
        <v>836</v>
      </c>
      <c r="V513" s="900" t="s">
        <v>837</v>
      </c>
      <c r="W513" s="902" t="s">
        <v>838</v>
      </c>
      <c r="X513" s="364"/>
      <c r="Y513" s="364"/>
      <c r="Z513" s="364"/>
      <c r="AA513" s="367"/>
      <c r="AB513"/>
      <c r="AC513"/>
      <c r="AD513"/>
      <c r="AE513"/>
      <c r="AF513"/>
      <c r="AG513"/>
      <c r="AH513"/>
      <c r="AI513"/>
      <c r="AJ513"/>
      <c r="AK513"/>
      <c r="AL513"/>
      <c r="AM513"/>
      <c r="AN513"/>
      <c r="AO513"/>
      <c r="AP513"/>
      <c r="AQ513"/>
      <c r="AR513"/>
      <c r="AS513"/>
      <c r="AT513"/>
      <c r="AU513"/>
      <c r="AV513"/>
      <c r="AW513"/>
      <c r="AX513"/>
    </row>
    <row r="514" spans="17:50" ht="12.75" customHeight="1">
      <c r="Q514" s="364"/>
      <c r="R514" s="892"/>
      <c r="S514" s="897"/>
      <c r="T514" s="901"/>
      <c r="U514" s="901"/>
      <c r="V514" s="901"/>
      <c r="W514" s="903"/>
      <c r="X514" s="364"/>
      <c r="Y514" s="364"/>
      <c r="Z514" s="364"/>
      <c r="AA514" s="367"/>
      <c r="AB514"/>
      <c r="AC514"/>
      <c r="AD514"/>
      <c r="AE514"/>
      <c r="AF514"/>
      <c r="AG514"/>
      <c r="AH514"/>
      <c r="AI514"/>
      <c r="AJ514"/>
      <c r="AK514"/>
      <c r="AL514"/>
      <c r="AM514"/>
      <c r="AN514"/>
      <c r="AO514"/>
      <c r="AP514"/>
      <c r="AQ514"/>
      <c r="AR514"/>
      <c r="AS514"/>
      <c r="AT514"/>
      <c r="AU514"/>
      <c r="AV514"/>
      <c r="AW514"/>
      <c r="AX514"/>
    </row>
    <row r="515" spans="17:50" ht="12.75" customHeight="1">
      <c r="Q515" s="364"/>
      <c r="R515" s="892"/>
      <c r="S515" s="897"/>
      <c r="T515" s="702">
        <f>T502-PPE!$I$15</f>
        <v>102.62059991327953</v>
      </c>
      <c r="U515" s="560">
        <f>U508</f>
        <v>1.6528925619834685</v>
      </c>
      <c r="V515" s="690">
        <f>IF(T515&gt;0,W515*U515," ")</f>
        <v>1206.6115702479319</v>
      </c>
      <c r="W515" s="691">
        <f>IF(T515&gt;0,(VLOOKUP(T515,'Lookup Ready-reckoner'!$B$5:$E$1207,4))," ")</f>
        <v>730</v>
      </c>
      <c r="X515" s="364"/>
      <c r="Y515" s="364"/>
      <c r="Z515" s="364"/>
      <c r="AA515" s="367"/>
      <c r="AB515"/>
      <c r="AC515"/>
      <c r="AD515"/>
      <c r="AE515"/>
      <c r="AF515"/>
      <c r="AG515"/>
      <c r="AH515"/>
      <c r="AI515"/>
      <c r="AJ515"/>
      <c r="AK515"/>
      <c r="AL515"/>
      <c r="AM515"/>
      <c r="AN515"/>
      <c r="AO515"/>
      <c r="AP515"/>
      <c r="AQ515"/>
      <c r="AR515"/>
      <c r="AS515"/>
      <c r="AT515"/>
      <c r="AU515"/>
      <c r="AV515"/>
      <c r="AW515"/>
      <c r="AX515"/>
    </row>
    <row r="516" spans="17:50" ht="12.75" customHeight="1">
      <c r="Q516" s="364"/>
      <c r="R516" s="898"/>
      <c r="S516" s="899"/>
      <c r="T516" s="447"/>
      <c r="U516" s="560"/>
      <c r="V516" s="690" t="str">
        <f>IF(T516&gt;0,W516*U516," ")</f>
        <v xml:space="preserve"> </v>
      </c>
      <c r="W516" s="691" t="str">
        <f>IF(T516&gt;0,(VLOOKUP(T516,'Lookup Ready-reckoner'!$B$5:$E$1007,4))," ")</f>
        <v xml:space="preserve"> </v>
      </c>
      <c r="X516" s="364"/>
      <c r="Y516" s="364"/>
      <c r="Z516" s="364"/>
      <c r="AA516" s="367"/>
      <c r="AB516"/>
      <c r="AC516"/>
      <c r="AD516"/>
      <c r="AE516"/>
      <c r="AF516"/>
      <c r="AG516"/>
      <c r="AH516"/>
      <c r="AI516"/>
      <c r="AJ516"/>
      <c r="AK516"/>
      <c r="AL516"/>
      <c r="AM516"/>
      <c r="AN516"/>
      <c r="AO516"/>
      <c r="AP516"/>
      <c r="AQ516"/>
      <c r="AR516"/>
      <c r="AS516"/>
      <c r="AT516"/>
      <c r="AU516"/>
      <c r="AV516"/>
      <c r="AW516"/>
      <c r="AX516"/>
    </row>
    <row r="517" spans="17:50" ht="12.75" customHeight="1" thickBot="1">
      <c r="Q517" s="364"/>
      <c r="R517" s="692" t="s">
        <v>839</v>
      </c>
      <c r="S517" s="693"/>
      <c r="T517" s="693"/>
      <c r="U517" s="703">
        <f>IF(T515&gt;0,(VLOOKUP(V517,'Lookup Ready-reckoner'!$L$5:$M$1207,2))," ")</f>
        <v>95.8</v>
      </c>
      <c r="V517" s="695">
        <f>IF(U515&gt;0,(SUM(V515:V516))," ")</f>
        <v>1206.6115702479319</v>
      </c>
      <c r="W517" s="696"/>
      <c r="X517" s="364"/>
      <c r="Y517" s="364"/>
      <c r="Z517" s="364"/>
      <c r="AA517" s="367"/>
      <c r="AB517"/>
      <c r="AC517"/>
      <c r="AD517"/>
      <c r="AE517"/>
      <c r="AF517"/>
      <c r="AG517"/>
      <c r="AH517"/>
      <c r="AI517"/>
      <c r="AJ517"/>
      <c r="AK517"/>
      <c r="AL517"/>
      <c r="AM517"/>
      <c r="AN517"/>
      <c r="AO517"/>
      <c r="AP517"/>
      <c r="AQ517"/>
      <c r="AR517"/>
      <c r="AS517"/>
      <c r="AT517"/>
      <c r="AU517"/>
      <c r="AV517"/>
      <c r="AW517"/>
      <c r="AX517"/>
    </row>
    <row r="518" spans="17:50" ht="12.75" customHeight="1" thickBot="1">
      <c r="Q518" s="364"/>
      <c r="R518" s="892"/>
      <c r="S518" s="893"/>
      <c r="T518" s="893"/>
      <c r="U518" s="893"/>
      <c r="V518" s="893"/>
      <c r="W518" s="894"/>
      <c r="X518" s="364"/>
      <c r="Y518" s="364"/>
      <c r="Z518" s="364"/>
      <c r="AA518" s="367"/>
      <c r="AB518"/>
      <c r="AC518"/>
      <c r="AD518"/>
      <c r="AE518"/>
      <c r="AF518"/>
      <c r="AG518"/>
      <c r="AH518"/>
      <c r="AI518"/>
      <c r="AJ518"/>
      <c r="AK518"/>
      <c r="AL518"/>
      <c r="AM518"/>
      <c r="AN518"/>
      <c r="AO518"/>
      <c r="AP518"/>
      <c r="AQ518"/>
      <c r="AR518"/>
      <c r="AS518"/>
      <c r="AT518"/>
      <c r="AU518"/>
      <c r="AV518"/>
      <c r="AW518"/>
      <c r="AX518"/>
    </row>
    <row r="519" spans="17:50" ht="12.75" customHeight="1">
      <c r="Q519" s="364"/>
      <c r="R519" s="895" t="s">
        <v>886</v>
      </c>
      <c r="S519" s="896"/>
      <c r="T519" s="900" t="s">
        <v>835</v>
      </c>
      <c r="U519" s="900" t="s">
        <v>836</v>
      </c>
      <c r="V519" s="900" t="s">
        <v>837</v>
      </c>
      <c r="W519" s="902" t="s">
        <v>838</v>
      </c>
      <c r="X519" s="364"/>
      <c r="Y519" s="364"/>
      <c r="Z519" s="364"/>
      <c r="AA519" s="367"/>
      <c r="AB519"/>
      <c r="AC519"/>
      <c r="AD519"/>
      <c r="AE519"/>
      <c r="AF519"/>
      <c r="AG519"/>
      <c r="AH519"/>
      <c r="AI519"/>
      <c r="AJ519"/>
      <c r="AK519"/>
      <c r="AL519"/>
      <c r="AM519"/>
      <c r="AN519"/>
      <c r="AO519"/>
      <c r="AP519"/>
      <c r="AQ519"/>
      <c r="AR519"/>
      <c r="AS519"/>
      <c r="AT519"/>
      <c r="AU519"/>
      <c r="AV519"/>
      <c r="AW519"/>
      <c r="AX519"/>
    </row>
    <row r="520" spans="17:50" ht="12.75" customHeight="1">
      <c r="Q520" s="364"/>
      <c r="R520" s="892"/>
      <c r="S520" s="897"/>
      <c r="T520" s="901"/>
      <c r="U520" s="901"/>
      <c r="V520" s="901"/>
      <c r="W520" s="903"/>
      <c r="X520" s="364"/>
      <c r="Y520" s="364"/>
      <c r="Z520" s="364"/>
      <c r="AA520" s="367"/>
      <c r="AB520"/>
      <c r="AC520"/>
      <c r="AD520"/>
      <c r="AE520"/>
      <c r="AF520"/>
      <c r="AG520"/>
      <c r="AH520"/>
      <c r="AI520"/>
      <c r="AJ520"/>
      <c r="AK520"/>
      <c r="AL520"/>
      <c r="AM520"/>
      <c r="AN520"/>
      <c r="AO520"/>
      <c r="AP520"/>
      <c r="AQ520"/>
      <c r="AR520"/>
      <c r="AS520"/>
      <c r="AT520"/>
      <c r="AU520"/>
      <c r="AV520"/>
      <c r="AW520"/>
      <c r="AX520"/>
    </row>
    <row r="521" spans="17:50" ht="12.75" customHeight="1">
      <c r="Q521" s="364"/>
      <c r="R521" s="892"/>
      <c r="S521" s="897"/>
      <c r="T521" s="702">
        <f>T508-PPE!$I$15</f>
        <v>98.504506556366792</v>
      </c>
      <c r="U521" s="560">
        <f>U515</f>
        <v>1.6528925619834685</v>
      </c>
      <c r="V521" s="690">
        <f>IF(T521&gt;0,W521*U521," ")</f>
        <v>464.87603305785052</v>
      </c>
      <c r="W521" s="691">
        <f>IF(T521&gt;0,(VLOOKUP(T521,'Lookup Ready-reckoner'!$B$5:$E$1207,4))," ")</f>
        <v>281.25</v>
      </c>
      <c r="X521" s="364"/>
      <c r="Y521" s="364"/>
      <c r="Z521" s="364"/>
      <c r="AA521" s="367"/>
      <c r="AB521"/>
      <c r="AC521"/>
      <c r="AD521"/>
      <c r="AE521"/>
      <c r="AF521"/>
      <c r="AG521"/>
      <c r="AH521"/>
      <c r="AI521"/>
      <c r="AJ521"/>
      <c r="AK521"/>
      <c r="AL521"/>
      <c r="AM521"/>
      <c r="AN521"/>
      <c r="AO521"/>
      <c r="AP521"/>
      <c r="AQ521"/>
      <c r="AR521"/>
      <c r="AS521"/>
      <c r="AT521"/>
      <c r="AU521"/>
      <c r="AV521"/>
      <c r="AW521"/>
      <c r="AX521"/>
    </row>
    <row r="522" spans="17:50" ht="12.75" customHeight="1">
      <c r="Q522" s="364"/>
      <c r="R522" s="898"/>
      <c r="S522" s="899"/>
      <c r="T522" s="447"/>
      <c r="U522" s="560"/>
      <c r="V522" s="690" t="str">
        <f>IF(T522&gt;0,W522*U522," ")</f>
        <v xml:space="preserve"> </v>
      </c>
      <c r="W522" s="691" t="str">
        <f>IF(T522&gt;0,(VLOOKUP(T522,'Lookup Ready-reckoner'!$B$5:$E$1007,4))," ")</f>
        <v xml:space="preserve"> </v>
      </c>
      <c r="X522" s="364"/>
      <c r="Y522" s="364"/>
      <c r="Z522" s="364"/>
      <c r="AA522" s="367"/>
      <c r="AB522"/>
      <c r="AC522"/>
      <c r="AD522"/>
      <c r="AE522"/>
      <c r="AF522"/>
      <c r="AG522"/>
      <c r="AH522"/>
      <c r="AI522"/>
      <c r="AJ522"/>
      <c r="AK522"/>
      <c r="AL522"/>
      <c r="AM522"/>
      <c r="AN522"/>
      <c r="AO522"/>
      <c r="AP522"/>
      <c r="AQ522"/>
      <c r="AR522"/>
      <c r="AS522"/>
      <c r="AT522"/>
      <c r="AU522"/>
      <c r="AV522"/>
      <c r="AW522"/>
      <c r="AX522"/>
    </row>
    <row r="523" spans="17:50" ht="12.75" customHeight="1" thickBot="1">
      <c r="Q523" s="364"/>
      <c r="R523" s="692" t="s">
        <v>839</v>
      </c>
      <c r="S523" s="693"/>
      <c r="T523" s="693"/>
      <c r="U523" s="703">
        <f>IF(T521&gt;0,(VLOOKUP(V523,'Lookup Ready-reckoner'!$L$5:$M$1207,2))," ")</f>
        <v>91.6</v>
      </c>
      <c r="V523" s="695">
        <f>IF(U521&gt;0,(SUM(V521:V522))," ")</f>
        <v>464.87603305785052</v>
      </c>
      <c r="W523" s="696"/>
      <c r="X523" s="364"/>
      <c r="Y523" s="364"/>
      <c r="Z523" s="364"/>
      <c r="AA523" s="367"/>
      <c r="AB523"/>
      <c r="AC523"/>
      <c r="AD523"/>
      <c r="AE523"/>
      <c r="AF523"/>
      <c r="AG523"/>
      <c r="AH523"/>
      <c r="AI523"/>
      <c r="AJ523"/>
      <c r="AK523"/>
      <c r="AL523"/>
      <c r="AM523"/>
      <c r="AN523"/>
      <c r="AO523"/>
      <c r="AP523"/>
      <c r="AQ523"/>
      <c r="AR523"/>
      <c r="AS523"/>
      <c r="AT523"/>
      <c r="AU523"/>
      <c r="AV523"/>
      <c r="AW523"/>
      <c r="AX523"/>
    </row>
    <row r="524" spans="17:50" ht="12.75" customHeight="1">
      <c r="Q524" s="364"/>
      <c r="R524" s="363"/>
      <c r="S524" s="363"/>
      <c r="T524" s="363"/>
      <c r="U524" s="363"/>
      <c r="V524" s="363"/>
      <c r="W524" s="363"/>
      <c r="X524" s="364"/>
      <c r="Y524" s="364"/>
      <c r="Z524" s="364"/>
      <c r="AA524" s="367"/>
      <c r="AB524"/>
      <c r="AC524"/>
      <c r="AD524"/>
      <c r="AE524"/>
      <c r="AF524"/>
      <c r="AG524"/>
      <c r="AH524"/>
      <c r="AI524"/>
      <c r="AJ524"/>
      <c r="AK524"/>
      <c r="AL524"/>
      <c r="AM524"/>
      <c r="AN524"/>
      <c r="AO524"/>
      <c r="AP524"/>
      <c r="AQ524"/>
      <c r="AR524"/>
      <c r="AS524"/>
      <c r="AT524"/>
      <c r="AU524"/>
      <c r="AV524"/>
      <c r="AW524"/>
      <c r="AX524"/>
    </row>
    <row r="525" spans="17:50" ht="12.75" customHeight="1">
      <c r="Q525" s="364"/>
      <c r="R525" s="909" t="str">
        <f>R406</f>
        <v xml:space="preserve">Hilti TE MD20 </v>
      </c>
      <c r="S525" s="909"/>
      <c r="T525" s="909"/>
      <c r="U525" s="909"/>
      <c r="V525" s="909"/>
      <c r="W525" s="909"/>
      <c r="X525" s="364"/>
      <c r="Y525" s="364"/>
      <c r="Z525" s="364"/>
      <c r="AA525" s="367"/>
      <c r="AB525"/>
      <c r="AC525"/>
      <c r="AD525"/>
      <c r="AE525"/>
      <c r="AF525"/>
      <c r="AG525"/>
      <c r="AH525"/>
      <c r="AI525"/>
      <c r="AJ525"/>
      <c r="AK525"/>
      <c r="AL525"/>
      <c r="AM525"/>
      <c r="AN525"/>
      <c r="AO525"/>
      <c r="AP525"/>
      <c r="AQ525"/>
      <c r="AR525"/>
      <c r="AS525"/>
      <c r="AT525"/>
      <c r="AU525"/>
      <c r="AV525"/>
      <c r="AW525"/>
      <c r="AX525"/>
    </row>
    <row r="526" spans="17:50" ht="12.75" customHeight="1" thickBot="1">
      <c r="Q526" s="364"/>
      <c r="R526" s="910" t="s">
        <v>205</v>
      </c>
      <c r="S526" s="911"/>
      <c r="T526" s="911"/>
      <c r="U526" s="911"/>
      <c r="V526" s="911"/>
      <c r="W526" s="912"/>
      <c r="X526" s="364"/>
      <c r="Y526" s="364"/>
      <c r="Z526" s="364"/>
      <c r="AA526" s="367"/>
      <c r="AB526"/>
      <c r="AC526"/>
      <c r="AD526"/>
      <c r="AE526"/>
      <c r="AF526"/>
      <c r="AG526"/>
      <c r="AH526"/>
      <c r="AI526"/>
      <c r="AJ526"/>
      <c r="AK526"/>
      <c r="AL526"/>
      <c r="AM526"/>
      <c r="AN526"/>
      <c r="AO526"/>
      <c r="AP526"/>
      <c r="AQ526"/>
      <c r="AR526"/>
      <c r="AS526"/>
      <c r="AT526"/>
      <c r="AU526"/>
      <c r="AV526"/>
      <c r="AW526"/>
      <c r="AX526"/>
    </row>
    <row r="527" spans="17:50" ht="12.75" customHeight="1" thickBot="1">
      <c r="Q527" s="364"/>
      <c r="R527" s="686" t="s">
        <v>59</v>
      </c>
      <c r="S527" s="577"/>
      <c r="T527" s="687"/>
      <c r="U527" s="687"/>
      <c r="V527" s="687"/>
      <c r="W527" s="688"/>
      <c r="X527" s="364"/>
      <c r="Y527" s="364"/>
      <c r="Z527" s="364"/>
      <c r="AA527" s="367"/>
      <c r="AB527"/>
      <c r="AC527"/>
      <c r="AD527"/>
      <c r="AE527"/>
      <c r="AF527"/>
      <c r="AG527"/>
      <c r="AH527"/>
      <c r="AI527"/>
      <c r="AJ527"/>
      <c r="AK527"/>
      <c r="AL527"/>
      <c r="AM527"/>
      <c r="AN527"/>
      <c r="AO527"/>
      <c r="AP527"/>
      <c r="AQ527"/>
      <c r="AR527"/>
      <c r="AS527"/>
      <c r="AT527"/>
      <c r="AU527"/>
      <c r="AV527"/>
      <c r="AW527"/>
      <c r="AX527"/>
    </row>
    <row r="528" spans="17:50" ht="12.75" customHeight="1">
      <c r="Q528" s="364"/>
      <c r="R528" s="895" t="s">
        <v>845</v>
      </c>
      <c r="S528" s="896"/>
      <c r="T528" s="900" t="s">
        <v>835</v>
      </c>
      <c r="U528" s="900" t="s">
        <v>836</v>
      </c>
      <c r="V528" s="900" t="s">
        <v>837</v>
      </c>
      <c r="W528" s="902" t="s">
        <v>838</v>
      </c>
      <c r="X528" s="364"/>
      <c r="Y528" s="364"/>
      <c r="Z528" s="364"/>
      <c r="AA528" s="367"/>
      <c r="AB528"/>
      <c r="AC528"/>
      <c r="AD528"/>
      <c r="AE528"/>
      <c r="AF528"/>
      <c r="AG528"/>
      <c r="AH528"/>
      <c r="AI528"/>
      <c r="AJ528"/>
      <c r="AK528"/>
      <c r="AL528"/>
      <c r="AM528"/>
      <c r="AN528"/>
      <c r="AO528"/>
      <c r="AP528"/>
      <c r="AQ528"/>
      <c r="AR528"/>
      <c r="AS528"/>
      <c r="AT528"/>
      <c r="AU528"/>
      <c r="AV528"/>
      <c r="AW528"/>
      <c r="AX528"/>
    </row>
    <row r="529" spans="17:50" ht="12.75" customHeight="1">
      <c r="Q529" s="364"/>
      <c r="R529" s="892"/>
      <c r="S529" s="897"/>
      <c r="T529" s="904"/>
      <c r="U529" s="904"/>
      <c r="V529" s="904"/>
      <c r="W529" s="905"/>
      <c r="X529" s="364"/>
      <c r="Y529" s="364"/>
      <c r="Z529" s="364"/>
      <c r="AA529" s="367"/>
      <c r="AB529"/>
      <c r="AC529"/>
      <c r="AD529"/>
      <c r="AE529"/>
      <c r="AF529"/>
      <c r="AG529"/>
      <c r="AH529"/>
      <c r="AI529"/>
      <c r="AJ529"/>
      <c r="AK529"/>
      <c r="AL529"/>
      <c r="AM529"/>
      <c r="AN529"/>
      <c r="AO529"/>
      <c r="AP529"/>
      <c r="AQ529"/>
      <c r="AR529"/>
      <c r="AS529"/>
      <c r="AT529"/>
      <c r="AU529"/>
      <c r="AV529"/>
      <c r="AW529"/>
      <c r="AX529"/>
    </row>
    <row r="530" spans="17:50" ht="12.75" customHeight="1">
      <c r="Q530" s="364"/>
      <c r="R530" s="892"/>
      <c r="S530" s="897"/>
      <c r="T530" s="901"/>
      <c r="U530" s="901"/>
      <c r="V530" s="901"/>
      <c r="W530" s="903"/>
      <c r="X530" s="364"/>
      <c r="Y530" s="364"/>
      <c r="Z530" s="364"/>
      <c r="AA530" s="367"/>
      <c r="AB530"/>
      <c r="AC530"/>
      <c r="AD530"/>
      <c r="AE530"/>
      <c r="AF530"/>
      <c r="AG530"/>
      <c r="AH530"/>
      <c r="AI530"/>
      <c r="AJ530"/>
      <c r="AK530"/>
      <c r="AL530"/>
      <c r="AM530"/>
      <c r="AN530"/>
      <c r="AO530"/>
      <c r="AP530"/>
      <c r="AQ530"/>
      <c r="AR530"/>
      <c r="AS530"/>
      <c r="AT530"/>
      <c r="AU530"/>
      <c r="AV530"/>
      <c r="AW530"/>
      <c r="AX530"/>
    </row>
    <row r="531" spans="17:50" ht="12.75" customHeight="1">
      <c r="Q531" s="364"/>
      <c r="R531" s="892"/>
      <c r="S531" s="897"/>
      <c r="T531" s="704">
        <f>U76</f>
        <v>108.02059991327964</v>
      </c>
      <c r="U531" s="560">
        <f>U62</f>
        <v>2.6666666666666665</v>
      </c>
      <c r="V531" s="690">
        <f>IF(T531&gt;0,W531*U531," ")</f>
        <v>6666.6666666666661</v>
      </c>
      <c r="W531" s="691">
        <f>IF(T531&gt;0,(VLOOKUP(T531,'Lookup Ready-reckoner'!$B$5:$E$1207,4))," ")</f>
        <v>2500</v>
      </c>
      <c r="X531" s="364"/>
      <c r="Y531" s="364"/>
      <c r="Z531" s="364"/>
      <c r="AA531" s="367"/>
      <c r="AB531"/>
      <c r="AC531"/>
      <c r="AD531"/>
      <c r="AE531"/>
      <c r="AF531"/>
      <c r="AG531"/>
      <c r="AH531"/>
      <c r="AI531"/>
      <c r="AJ531"/>
      <c r="AK531"/>
      <c r="AL531"/>
      <c r="AM531"/>
      <c r="AN531"/>
      <c r="AO531"/>
      <c r="AP531"/>
      <c r="AQ531"/>
      <c r="AR531"/>
      <c r="AS531"/>
      <c r="AT531"/>
      <c r="AU531"/>
      <c r="AV531"/>
      <c r="AW531"/>
      <c r="AX531"/>
    </row>
    <row r="532" spans="17:50" ht="12.75" customHeight="1">
      <c r="Q532" s="364"/>
      <c r="R532" s="898"/>
      <c r="S532" s="899"/>
      <c r="T532" s="447"/>
      <c r="U532" s="560"/>
      <c r="V532" s="690" t="str">
        <f>IF(T532&gt;0,W532*U532," ")</f>
        <v xml:space="preserve"> </v>
      </c>
      <c r="W532" s="691" t="str">
        <f>IF(T532&gt;0,(VLOOKUP(T532,'Lookup Ready-reckoner'!$B$5:$E$1007,4))," ")</f>
        <v xml:space="preserve"> </v>
      </c>
      <c r="X532" s="364"/>
      <c r="Y532" s="364"/>
      <c r="Z532" s="364"/>
      <c r="AA532" s="367"/>
      <c r="AB532"/>
      <c r="AC532"/>
      <c r="AD532"/>
      <c r="AE532"/>
      <c r="AF532"/>
      <c r="AG532"/>
      <c r="AH532"/>
      <c r="AI532"/>
      <c r="AJ532"/>
      <c r="AK532"/>
      <c r="AL532"/>
      <c r="AM532"/>
      <c r="AN532"/>
      <c r="AO532"/>
      <c r="AP532"/>
      <c r="AQ532"/>
      <c r="AR532"/>
      <c r="AS532"/>
      <c r="AT532"/>
      <c r="AU532"/>
      <c r="AV532"/>
      <c r="AW532"/>
      <c r="AX532"/>
    </row>
    <row r="533" spans="17:50" ht="12.75" customHeight="1" thickBot="1">
      <c r="Q533" s="364"/>
      <c r="R533" s="692" t="s">
        <v>839</v>
      </c>
      <c r="S533" s="693"/>
      <c r="T533" s="693"/>
      <c r="U533" s="705">
        <f>IF(T531&gt;0,(VLOOKUP(V533,'Lookup Ready-reckoner'!$L$5:$M$1207,2))," ")</f>
        <v>103.15</v>
      </c>
      <c r="V533" s="695">
        <f>IF(U531&gt;0,(SUM(V531:V532))," ")</f>
        <v>6666.6666666666661</v>
      </c>
      <c r="W533" s="696"/>
      <c r="X533" s="364"/>
      <c r="Y533" s="364"/>
      <c r="Z533" s="364"/>
      <c r="AA533" s="367"/>
      <c r="AB533"/>
      <c r="AC533"/>
      <c r="AD533"/>
      <c r="AE533"/>
      <c r="AF533"/>
      <c r="AG533"/>
      <c r="AH533"/>
      <c r="AI533"/>
      <c r="AJ533"/>
      <c r="AK533"/>
      <c r="AL533"/>
      <c r="AM533"/>
      <c r="AN533"/>
      <c r="AO533"/>
      <c r="AP533"/>
      <c r="AQ533"/>
      <c r="AR533"/>
      <c r="AS533"/>
      <c r="AT533"/>
      <c r="AU533"/>
      <c r="AV533"/>
      <c r="AW533"/>
      <c r="AX533"/>
    </row>
    <row r="534" spans="17:50" ht="12.75" customHeight="1" thickBot="1">
      <c r="Q534" s="364"/>
      <c r="R534" s="906"/>
      <c r="S534" s="907"/>
      <c r="T534" s="907"/>
      <c r="U534" s="907"/>
      <c r="V534" s="907"/>
      <c r="W534" s="908"/>
      <c r="X534" s="364"/>
      <c r="Y534" s="364"/>
      <c r="Z534" s="364"/>
      <c r="AA534" s="367"/>
      <c r="AB534"/>
      <c r="AC534"/>
      <c r="AD534"/>
      <c r="AE534"/>
      <c r="AF534"/>
      <c r="AG534"/>
      <c r="AH534"/>
      <c r="AI534"/>
      <c r="AJ534"/>
      <c r="AK534"/>
      <c r="AL534"/>
      <c r="AM534"/>
      <c r="AN534"/>
      <c r="AO534"/>
      <c r="AP534"/>
      <c r="AQ534"/>
      <c r="AR534"/>
      <c r="AS534"/>
      <c r="AT534"/>
      <c r="AU534"/>
      <c r="AV534"/>
      <c r="AW534"/>
      <c r="AX534"/>
    </row>
    <row r="535" spans="17:50" ht="12.75" customHeight="1">
      <c r="Q535" s="364"/>
      <c r="R535" s="895" t="s">
        <v>886</v>
      </c>
      <c r="S535" s="896"/>
      <c r="T535" s="900" t="s">
        <v>835</v>
      </c>
      <c r="U535" s="900" t="s">
        <v>836</v>
      </c>
      <c r="V535" s="900" t="s">
        <v>837</v>
      </c>
      <c r="W535" s="902" t="s">
        <v>838</v>
      </c>
      <c r="X535" s="364"/>
      <c r="Y535" s="364"/>
      <c r="Z535" s="364"/>
      <c r="AA535" s="367"/>
      <c r="AB535"/>
      <c r="AC535"/>
      <c r="AD535"/>
      <c r="AE535"/>
      <c r="AF535"/>
      <c r="AG535"/>
      <c r="AH535"/>
      <c r="AI535"/>
      <c r="AJ535"/>
      <c r="AK535"/>
      <c r="AL535"/>
      <c r="AM535"/>
      <c r="AN535"/>
      <c r="AO535"/>
      <c r="AP535"/>
      <c r="AQ535"/>
      <c r="AR535"/>
      <c r="AS535"/>
      <c r="AT535"/>
      <c r="AU535"/>
      <c r="AV535"/>
      <c r="AW535"/>
      <c r="AX535"/>
    </row>
    <row r="536" spans="17:50" ht="12.75" customHeight="1">
      <c r="Q536" s="364"/>
      <c r="R536" s="892"/>
      <c r="S536" s="897"/>
      <c r="T536" s="901"/>
      <c r="U536" s="901"/>
      <c r="V536" s="901"/>
      <c r="W536" s="903"/>
      <c r="X536" s="364"/>
      <c r="Y536" s="364"/>
      <c r="Z536" s="364"/>
      <c r="AA536" s="367"/>
      <c r="AB536"/>
      <c r="AC536"/>
      <c r="AD536"/>
      <c r="AE536"/>
      <c r="AF536"/>
      <c r="AG536"/>
      <c r="AH536"/>
      <c r="AI536"/>
      <c r="AJ536"/>
      <c r="AK536"/>
      <c r="AL536"/>
      <c r="AM536"/>
      <c r="AN536"/>
      <c r="AO536"/>
      <c r="AP536"/>
      <c r="AQ536"/>
      <c r="AR536"/>
      <c r="AS536"/>
      <c r="AT536"/>
      <c r="AU536"/>
      <c r="AV536"/>
      <c r="AW536"/>
      <c r="AX536"/>
    </row>
    <row r="537" spans="17:50" ht="12.75" customHeight="1">
      <c r="Q537" s="364"/>
      <c r="R537" s="892"/>
      <c r="S537" s="897"/>
      <c r="T537" s="704">
        <f>T531*(1-0.0178*2)</f>
        <v>104.17506655636689</v>
      </c>
      <c r="U537" s="560">
        <f>U531</f>
        <v>2.6666666666666665</v>
      </c>
      <c r="V537" s="690">
        <f>IF(T537&gt;0,W537*U537," ")</f>
        <v>2766.6666666666665</v>
      </c>
      <c r="W537" s="691">
        <f>IF(T537&gt;0,(VLOOKUP(T537,'Lookup Ready-reckoner'!$B$5:$E$1207,4))," ")</f>
        <v>1037.5</v>
      </c>
      <c r="X537" s="364"/>
      <c r="Y537" s="364"/>
      <c r="Z537" s="364"/>
      <c r="AA537" s="367"/>
      <c r="AB537"/>
      <c r="AC537"/>
      <c r="AD537"/>
      <c r="AE537"/>
      <c r="AF537"/>
      <c r="AG537"/>
      <c r="AH537"/>
      <c r="AI537"/>
      <c r="AJ537"/>
      <c r="AK537"/>
      <c r="AL537"/>
      <c r="AM537"/>
      <c r="AN537"/>
      <c r="AO537"/>
      <c r="AP537"/>
      <c r="AQ537"/>
      <c r="AR537"/>
      <c r="AS537"/>
      <c r="AT537"/>
      <c r="AU537"/>
      <c r="AV537"/>
      <c r="AW537"/>
      <c r="AX537"/>
    </row>
    <row r="538" spans="17:50" ht="12.75" customHeight="1">
      <c r="Q538" s="364"/>
      <c r="R538" s="898"/>
      <c r="S538" s="899"/>
      <c r="T538" s="447"/>
      <c r="U538" s="560"/>
      <c r="V538" s="690" t="str">
        <f>IF(T538&gt;0,W538*U538," ")</f>
        <v xml:space="preserve"> </v>
      </c>
      <c r="W538" s="691" t="str">
        <f>IF(T538&gt;0,(VLOOKUP(T538,'Lookup Ready-reckoner'!$B$5:$E$1007,4))," ")</f>
        <v xml:space="preserve"> </v>
      </c>
      <c r="X538" s="364"/>
      <c r="Y538" s="364"/>
      <c r="Z538" s="364"/>
      <c r="AA538" s="367"/>
      <c r="AB538"/>
      <c r="AC538"/>
      <c r="AD538"/>
      <c r="AE538"/>
      <c r="AF538"/>
      <c r="AG538"/>
      <c r="AH538"/>
      <c r="AI538"/>
      <c r="AJ538"/>
      <c r="AK538"/>
      <c r="AL538"/>
      <c r="AM538"/>
      <c r="AN538"/>
      <c r="AO538"/>
      <c r="AP538"/>
      <c r="AQ538"/>
      <c r="AR538"/>
      <c r="AS538"/>
      <c r="AT538"/>
      <c r="AU538"/>
      <c r="AV538"/>
      <c r="AW538"/>
      <c r="AX538"/>
    </row>
    <row r="539" spans="17:50" ht="12.75" customHeight="1" thickBot="1">
      <c r="Q539" s="364"/>
      <c r="R539" s="692" t="s">
        <v>839</v>
      </c>
      <c r="S539" s="693"/>
      <c r="T539" s="693"/>
      <c r="U539" s="705">
        <f>IF(T537&gt;0,(VLOOKUP(V539,'Lookup Ready-reckoner'!$L$5:$M$1207,2))," ")</f>
        <v>99.35</v>
      </c>
      <c r="V539" s="695">
        <f>IF(U537&gt;0,(SUM(V537:V538))," ")</f>
        <v>2766.6666666666665</v>
      </c>
      <c r="W539" s="696"/>
      <c r="X539" s="364"/>
      <c r="Y539" s="364"/>
      <c r="Z539" s="364"/>
      <c r="AA539" s="367"/>
      <c r="AB539"/>
      <c r="AC539"/>
      <c r="AD539"/>
      <c r="AE539"/>
      <c r="AF539"/>
      <c r="AG539"/>
      <c r="AH539"/>
      <c r="AI539"/>
      <c r="AJ539"/>
      <c r="AK539"/>
      <c r="AL539"/>
      <c r="AM539"/>
      <c r="AN539"/>
      <c r="AO539"/>
      <c r="AP539"/>
      <c r="AQ539"/>
      <c r="AR539"/>
      <c r="AS539"/>
      <c r="AT539"/>
      <c r="AU539"/>
      <c r="AV539"/>
      <c r="AW539"/>
      <c r="AX539"/>
    </row>
    <row r="540" spans="17:50" ht="12.75" customHeight="1">
      <c r="Q540" s="364"/>
      <c r="R540" s="697"/>
      <c r="S540" s="687"/>
      <c r="T540" s="687"/>
      <c r="U540" s="372"/>
      <c r="V540" s="374"/>
      <c r="W540" s="688"/>
      <c r="X540" s="364"/>
      <c r="Y540" s="364"/>
      <c r="Z540" s="364"/>
      <c r="AA540" s="367"/>
      <c r="AB540"/>
      <c r="AC540"/>
      <c r="AD540"/>
      <c r="AE540"/>
      <c r="AF540"/>
      <c r="AG540"/>
      <c r="AH540"/>
      <c r="AI540"/>
      <c r="AJ540"/>
      <c r="AK540"/>
      <c r="AL540"/>
      <c r="AM540"/>
      <c r="AN540"/>
      <c r="AO540"/>
      <c r="AP540"/>
      <c r="AQ540"/>
      <c r="AR540"/>
      <c r="AS540"/>
      <c r="AT540"/>
      <c r="AU540"/>
      <c r="AV540"/>
      <c r="AW540"/>
      <c r="AX540"/>
    </row>
    <row r="541" spans="17:50" ht="12.75" customHeight="1" thickBot="1">
      <c r="Q541" s="364"/>
      <c r="R541" s="686" t="s">
        <v>60</v>
      </c>
      <c r="S541" s="577"/>
      <c r="T541" s="577"/>
      <c r="U541" s="577"/>
      <c r="V541" s="577"/>
      <c r="W541" s="698"/>
      <c r="X541" s="364"/>
      <c r="Y541" s="364"/>
      <c r="Z541" s="364"/>
      <c r="AA541" s="367"/>
      <c r="AB541"/>
      <c r="AC541"/>
      <c r="AD541"/>
      <c r="AE541"/>
      <c r="AF541"/>
      <c r="AG541"/>
      <c r="AH541"/>
      <c r="AI541"/>
      <c r="AJ541"/>
      <c r="AK541"/>
      <c r="AL541"/>
      <c r="AM541"/>
      <c r="AN541"/>
      <c r="AO541"/>
      <c r="AP541"/>
      <c r="AQ541"/>
      <c r="AR541"/>
      <c r="AS541"/>
      <c r="AT541"/>
      <c r="AU541"/>
      <c r="AV541"/>
      <c r="AW541"/>
      <c r="AX541"/>
    </row>
    <row r="542" spans="17:50" ht="12.75" customHeight="1">
      <c r="Q542" s="364"/>
      <c r="R542" s="895" t="s">
        <v>845</v>
      </c>
      <c r="S542" s="896"/>
      <c r="T542" s="900" t="s">
        <v>835</v>
      </c>
      <c r="U542" s="900" t="s">
        <v>836</v>
      </c>
      <c r="V542" s="900" t="s">
        <v>837</v>
      </c>
      <c r="W542" s="902" t="s">
        <v>838</v>
      </c>
      <c r="X542" s="364"/>
      <c r="Y542" s="364"/>
      <c r="Z542" s="364"/>
      <c r="AA542" s="367"/>
      <c r="AB542"/>
      <c r="AC542"/>
      <c r="AD542"/>
      <c r="AE542"/>
      <c r="AF542"/>
      <c r="AG542"/>
      <c r="AH542"/>
      <c r="AI542"/>
      <c r="AJ542"/>
      <c r="AK542"/>
      <c r="AL542"/>
      <c r="AM542"/>
      <c r="AN542"/>
      <c r="AO542"/>
      <c r="AP542"/>
      <c r="AQ542"/>
      <c r="AR542"/>
      <c r="AS542"/>
      <c r="AT542"/>
      <c r="AU542"/>
      <c r="AV542"/>
      <c r="AW542"/>
      <c r="AX542"/>
    </row>
    <row r="543" spans="17:50" ht="12.75" customHeight="1">
      <c r="Q543" s="364"/>
      <c r="R543" s="892"/>
      <c r="S543" s="897"/>
      <c r="T543" s="901"/>
      <c r="U543" s="901"/>
      <c r="V543" s="901"/>
      <c r="W543" s="903"/>
      <c r="X543" s="364"/>
      <c r="Y543" s="364"/>
      <c r="Z543" s="364"/>
      <c r="AA543" s="367"/>
      <c r="AB543"/>
      <c r="AC543"/>
      <c r="AD543"/>
      <c r="AE543"/>
      <c r="AF543"/>
      <c r="AG543"/>
      <c r="AH543"/>
      <c r="AI543"/>
      <c r="AJ543"/>
      <c r="AK543"/>
      <c r="AL543"/>
      <c r="AM543"/>
      <c r="AN543"/>
      <c r="AO543"/>
      <c r="AP543"/>
      <c r="AQ543"/>
      <c r="AR543"/>
      <c r="AS543"/>
      <c r="AT543"/>
      <c r="AU543"/>
      <c r="AV543"/>
      <c r="AW543"/>
      <c r="AX543"/>
    </row>
    <row r="544" spans="17:50" ht="12.75" customHeight="1">
      <c r="Q544" s="364"/>
      <c r="R544" s="892"/>
      <c r="S544" s="897"/>
      <c r="T544" s="704">
        <f>T531-PPE!$I$15</f>
        <v>95.020599913279639</v>
      </c>
      <c r="U544" s="560">
        <f>U537</f>
        <v>2.6666666666666665</v>
      </c>
      <c r="V544" s="690">
        <f>IF(T544&gt;0,W544*U544," ")</f>
        <v>333.33333333333331</v>
      </c>
      <c r="W544" s="691">
        <f>IF(T544&gt;0,(VLOOKUP(T544,'Lookup Ready-reckoner'!$B$5:$E$1207,4))," ")</f>
        <v>125</v>
      </c>
      <c r="X544" s="364"/>
      <c r="Y544" s="364"/>
      <c r="Z544" s="364"/>
      <c r="AA544" s="367"/>
      <c r="AB544"/>
      <c r="AC544"/>
      <c r="AD544"/>
      <c r="AE544"/>
      <c r="AF544"/>
      <c r="AG544"/>
      <c r="AH544"/>
      <c r="AI544"/>
      <c r="AJ544"/>
      <c r="AK544"/>
      <c r="AL544"/>
      <c r="AM544"/>
      <c r="AN544"/>
      <c r="AO544"/>
      <c r="AP544"/>
      <c r="AQ544"/>
      <c r="AR544"/>
      <c r="AS544"/>
      <c r="AT544"/>
      <c r="AU544"/>
      <c r="AV544"/>
      <c r="AW544"/>
      <c r="AX544"/>
    </row>
    <row r="545" spans="17:50" ht="12.75" customHeight="1">
      <c r="Q545" s="364"/>
      <c r="R545" s="898"/>
      <c r="S545" s="899"/>
      <c r="T545" s="447"/>
      <c r="U545" s="560"/>
      <c r="V545" s="690" t="str">
        <f>IF(T545&gt;0,W545*U545," ")</f>
        <v xml:space="preserve"> </v>
      </c>
      <c r="W545" s="691" t="str">
        <f>IF(T545&gt;0,(VLOOKUP(T545,'Lookup Ready-reckoner'!$B$5:$E$1007,4))," ")</f>
        <v xml:space="preserve"> </v>
      </c>
      <c r="X545" s="364"/>
      <c r="Y545" s="364"/>
      <c r="Z545" s="364"/>
      <c r="AA545" s="367"/>
      <c r="AB545"/>
      <c r="AC545"/>
      <c r="AD545"/>
      <c r="AE545"/>
      <c r="AF545"/>
      <c r="AG545"/>
      <c r="AH545"/>
      <c r="AI545"/>
      <c r="AJ545"/>
      <c r="AK545"/>
      <c r="AL545"/>
      <c r="AM545"/>
      <c r="AN545"/>
      <c r="AO545"/>
      <c r="AP545"/>
      <c r="AQ545"/>
      <c r="AR545"/>
      <c r="AS545"/>
      <c r="AT545"/>
      <c r="AU545"/>
      <c r="AV545"/>
      <c r="AW545"/>
      <c r="AX545"/>
    </row>
    <row r="546" spans="17:50" ht="12.75" customHeight="1" thickBot="1">
      <c r="Q546" s="364"/>
      <c r="R546" s="692" t="s">
        <v>839</v>
      </c>
      <c r="S546" s="693"/>
      <c r="T546" s="693"/>
      <c r="U546" s="705">
        <f>IF(T544&gt;0,(VLOOKUP(V546,'Lookup Ready-reckoner'!$L$5:$M$1207,2))," ")</f>
        <v>90.15</v>
      </c>
      <c r="V546" s="695">
        <f>IF(U544&gt;0,(SUM(V544:V545))," ")</f>
        <v>333.33333333333331</v>
      </c>
      <c r="W546" s="696"/>
      <c r="X546" s="364"/>
      <c r="Y546" s="364"/>
      <c r="Z546" s="364"/>
      <c r="AA546" s="367"/>
      <c r="AB546"/>
      <c r="AC546"/>
      <c r="AD546"/>
      <c r="AE546"/>
      <c r="AF546"/>
      <c r="AG546"/>
      <c r="AH546"/>
      <c r="AI546"/>
      <c r="AJ546"/>
      <c r="AK546"/>
      <c r="AL546"/>
      <c r="AM546"/>
      <c r="AN546"/>
      <c r="AO546"/>
      <c r="AP546"/>
      <c r="AQ546"/>
      <c r="AR546"/>
      <c r="AS546"/>
      <c r="AT546"/>
      <c r="AU546"/>
      <c r="AV546"/>
      <c r="AW546"/>
      <c r="AX546"/>
    </row>
    <row r="547" spans="17:50" ht="12.75" customHeight="1" thickBot="1">
      <c r="Q547" s="364"/>
      <c r="R547" s="892"/>
      <c r="S547" s="893"/>
      <c r="T547" s="893"/>
      <c r="U547" s="893"/>
      <c r="V547" s="893"/>
      <c r="W547" s="894"/>
      <c r="X547" s="364"/>
      <c r="Y547" s="364"/>
      <c r="Z547" s="364"/>
      <c r="AA547" s="367"/>
      <c r="AB547"/>
      <c r="AC547"/>
      <c r="AD547"/>
      <c r="AE547"/>
      <c r="AF547"/>
      <c r="AG547"/>
      <c r="AH547"/>
      <c r="AI547"/>
      <c r="AJ547"/>
      <c r="AK547"/>
      <c r="AL547"/>
      <c r="AM547"/>
      <c r="AN547"/>
      <c r="AO547"/>
      <c r="AP547"/>
      <c r="AQ547"/>
      <c r="AR547"/>
      <c r="AS547"/>
      <c r="AT547"/>
      <c r="AU547"/>
      <c r="AV547"/>
      <c r="AW547"/>
      <c r="AX547"/>
    </row>
    <row r="548" spans="17:50" ht="12.75" customHeight="1">
      <c r="Q548" s="364"/>
      <c r="R548" s="895" t="s">
        <v>886</v>
      </c>
      <c r="S548" s="896"/>
      <c r="T548" s="900" t="s">
        <v>835</v>
      </c>
      <c r="U548" s="900" t="s">
        <v>836</v>
      </c>
      <c r="V548" s="900" t="s">
        <v>837</v>
      </c>
      <c r="W548" s="902" t="s">
        <v>838</v>
      </c>
      <c r="X548" s="364"/>
      <c r="Y548" s="364"/>
      <c r="Z548" s="364"/>
      <c r="AA548" s="367"/>
      <c r="AB548"/>
      <c r="AC548"/>
      <c r="AD548"/>
      <c r="AE548"/>
      <c r="AF548"/>
      <c r="AG548"/>
      <c r="AH548"/>
      <c r="AI548"/>
      <c r="AJ548"/>
      <c r="AK548"/>
      <c r="AL548"/>
      <c r="AM548"/>
      <c r="AN548"/>
      <c r="AO548"/>
      <c r="AP548"/>
      <c r="AQ548"/>
      <c r="AR548"/>
      <c r="AS548"/>
      <c r="AT548"/>
      <c r="AU548"/>
      <c r="AV548"/>
      <c r="AW548"/>
      <c r="AX548"/>
    </row>
    <row r="549" spans="17:50" ht="12.75" customHeight="1">
      <c r="Q549" s="364"/>
      <c r="R549" s="892"/>
      <c r="S549" s="897"/>
      <c r="T549" s="901"/>
      <c r="U549" s="901"/>
      <c r="V549" s="901"/>
      <c r="W549" s="903"/>
      <c r="X549" s="364"/>
      <c r="Y549" s="364"/>
      <c r="Z549" s="364"/>
      <c r="AA549" s="367"/>
      <c r="AB549"/>
      <c r="AC549"/>
      <c r="AD549"/>
      <c r="AE549"/>
      <c r="AF549"/>
      <c r="AG549"/>
      <c r="AH549"/>
      <c r="AI549"/>
      <c r="AJ549"/>
      <c r="AK549"/>
      <c r="AL549"/>
      <c r="AM549"/>
      <c r="AN549"/>
      <c r="AO549"/>
      <c r="AP549"/>
      <c r="AQ549"/>
      <c r="AR549"/>
      <c r="AS549"/>
      <c r="AT549"/>
      <c r="AU549"/>
      <c r="AV549"/>
      <c r="AW549"/>
      <c r="AX549"/>
    </row>
    <row r="550" spans="17:50" ht="12.75" customHeight="1">
      <c r="Q550" s="364"/>
      <c r="R550" s="892"/>
      <c r="S550" s="897"/>
      <c r="T550" s="704">
        <f>T537-PPE!$I$15</f>
        <v>91.175066556366886</v>
      </c>
      <c r="U550" s="560">
        <f>U544</f>
        <v>2.6666666666666665</v>
      </c>
      <c r="V550" s="690">
        <f>IF(T550&gt;0,W550*U550," ")</f>
        <v>138.33333333333331</v>
      </c>
      <c r="W550" s="691">
        <f>IF(T550&gt;0,(VLOOKUP(T550,'Lookup Ready-reckoner'!$B$5:$E$1207,4))," ")</f>
        <v>51.875</v>
      </c>
      <c r="X550" s="364"/>
      <c r="Y550" s="364"/>
      <c r="Z550" s="364"/>
      <c r="AA550" s="367"/>
      <c r="AB550"/>
      <c r="AC550"/>
      <c r="AD550"/>
      <c r="AE550"/>
      <c r="AF550"/>
      <c r="AG550"/>
      <c r="AH550"/>
      <c r="AI550"/>
      <c r="AJ550"/>
      <c r="AK550"/>
      <c r="AL550"/>
      <c r="AM550"/>
      <c r="AN550"/>
      <c r="AO550"/>
      <c r="AP550"/>
      <c r="AQ550"/>
      <c r="AR550"/>
      <c r="AS550"/>
      <c r="AT550"/>
      <c r="AU550"/>
      <c r="AV550"/>
      <c r="AW550"/>
      <c r="AX550"/>
    </row>
    <row r="551" spans="17:50" ht="12.75" customHeight="1">
      <c r="Q551" s="364"/>
      <c r="R551" s="898"/>
      <c r="S551" s="899"/>
      <c r="T551" s="447"/>
      <c r="U551" s="560"/>
      <c r="V551" s="690" t="str">
        <f>IF(T551&gt;0,W551*U551," ")</f>
        <v xml:space="preserve"> </v>
      </c>
      <c r="W551" s="691" t="str">
        <f>IF(T551&gt;0,(VLOOKUP(T551,'Lookup Ready-reckoner'!$B$5:$E$1007,4))," ")</f>
        <v xml:space="preserve"> </v>
      </c>
      <c r="X551" s="364"/>
      <c r="Y551" s="364"/>
      <c r="Z551" s="364"/>
      <c r="AA551" s="367"/>
      <c r="AB551"/>
      <c r="AC551"/>
      <c r="AD551"/>
      <c r="AE551"/>
      <c r="AF551"/>
      <c r="AG551"/>
      <c r="AH551"/>
      <c r="AI551"/>
      <c r="AJ551"/>
      <c r="AK551"/>
      <c r="AL551"/>
      <c r="AM551"/>
      <c r="AN551"/>
      <c r="AO551"/>
      <c r="AP551"/>
      <c r="AQ551"/>
      <c r="AR551"/>
      <c r="AS551"/>
      <c r="AT551"/>
      <c r="AU551"/>
      <c r="AV551"/>
      <c r="AW551"/>
      <c r="AX551"/>
    </row>
    <row r="552" spans="17:50" ht="12.75" customHeight="1" thickBot="1">
      <c r="Q552" s="364"/>
      <c r="R552" s="692" t="s">
        <v>839</v>
      </c>
      <c r="S552" s="693"/>
      <c r="T552" s="693"/>
      <c r="U552" s="705">
        <f>IF(T550&gt;0,(VLOOKUP(V552,'Lookup Ready-reckoner'!$L$5:$M$1207,2))," ")</f>
        <v>86.35</v>
      </c>
      <c r="V552" s="695">
        <f>IF(U550&gt;0,(SUM(V550:V551))," ")</f>
        <v>138.33333333333331</v>
      </c>
      <c r="W552" s="696"/>
      <c r="X552" s="364"/>
      <c r="Y552" s="364"/>
      <c r="Z552" s="364"/>
      <c r="AA552" s="367"/>
      <c r="AB552"/>
      <c r="AC552"/>
      <c r="AD552"/>
      <c r="AE552"/>
      <c r="AF552"/>
      <c r="AG552"/>
      <c r="AH552"/>
      <c r="AI552"/>
      <c r="AJ552"/>
      <c r="AK552"/>
      <c r="AL552"/>
      <c r="AM552"/>
      <c r="AN552"/>
      <c r="AO552"/>
      <c r="AP552"/>
      <c r="AQ552"/>
      <c r="AR552"/>
      <c r="AS552"/>
      <c r="AT552"/>
      <c r="AU552"/>
      <c r="AV552"/>
      <c r="AW552"/>
      <c r="AX552"/>
    </row>
    <row r="553" spans="17:50" ht="12.75" customHeight="1">
      <c r="Q553" s="364"/>
      <c r="R553" s="364"/>
      <c r="S553" s="364"/>
      <c r="T553" s="364"/>
      <c r="U553" s="364"/>
      <c r="V553" s="364"/>
      <c r="W553" s="364"/>
      <c r="X553" s="364"/>
      <c r="Y553" s="364"/>
      <c r="Z553" s="364"/>
      <c r="AA553" s="367"/>
      <c r="AB553"/>
      <c r="AC553"/>
      <c r="AD553"/>
      <c r="AE553"/>
      <c r="AF553"/>
      <c r="AG553"/>
      <c r="AH553"/>
      <c r="AI553"/>
      <c r="AJ553"/>
      <c r="AK553"/>
      <c r="AL553"/>
      <c r="AM553"/>
      <c r="AN553"/>
      <c r="AO553"/>
      <c r="AP553"/>
      <c r="AQ553"/>
      <c r="AR553"/>
      <c r="AS553"/>
      <c r="AT553"/>
      <c r="AU553"/>
      <c r="AV553"/>
      <c r="AW553"/>
      <c r="AX553"/>
    </row>
    <row r="554" spans="17:50" ht="12.75" customHeight="1">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row>
    <row r="555" spans="17:50" ht="12.75" customHeight="1">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row>
    <row r="556" spans="17:50" ht="12.75" customHeight="1">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row>
    <row r="557" spans="17:50" ht="12.75" customHeight="1">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row>
    <row r="558" spans="17:50" ht="12.75" customHeight="1">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row>
    <row r="559" spans="17:50" ht="12.75" customHeight="1">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row>
    <row r="560" spans="17:50" ht="12.75" customHeight="1">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row>
    <row r="561" spans="17:50" ht="12.75" customHeight="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row>
    <row r="562" spans="17:50" ht="12.75" customHeight="1">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row>
    <row r="563" spans="17:50" ht="12.75" customHeight="1">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row>
    <row r="564" spans="17:50" ht="12.75" customHeight="1">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row>
    <row r="565" spans="17:50" ht="12.75" customHeight="1">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row>
    <row r="566" spans="17:50" ht="12.75" customHeight="1">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row>
    <row r="567" spans="17:50" ht="12.75" customHeight="1">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row>
    <row r="568" spans="17:50" ht="12.75" customHeight="1">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row>
    <row r="569" spans="17:50" ht="12.75" customHeight="1">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row>
    <row r="570" spans="17:50" ht="12.75" customHeight="1">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row>
    <row r="571" spans="17:50" ht="12.75" customHeight="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row>
    <row r="572" spans="17:50" ht="12.75" customHeight="1">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row>
    <row r="573" spans="17:50" ht="12.75" customHeight="1">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row>
    <row r="574" spans="17:50" ht="12.75" customHeight="1">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row>
    <row r="575" spans="17:50" ht="12.75" customHeight="1">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row>
    <row r="576" spans="17:50" ht="12.75" customHeight="1">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row>
    <row r="577" spans="17:50" ht="12.75" customHeight="1">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row>
    <row r="578" spans="17:50" ht="12.75" customHeight="1">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row>
    <row r="579" spans="17:50" ht="12.75" customHeight="1">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row>
    <row r="580" spans="17:50" ht="12.75" customHeight="1">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row>
    <row r="581" spans="17:50" ht="12.75" customHeight="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row>
    <row r="582" spans="17:50" ht="12.75" customHeight="1">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row>
    <row r="583" spans="17:50" ht="12.75" customHeight="1">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row>
    <row r="584" spans="17:50" ht="12.75" customHeight="1">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row>
    <row r="585" spans="17:50" ht="12.75" customHeight="1">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row>
    <row r="586" spans="17:50" ht="12.75" customHeight="1">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row>
    <row r="587" spans="17:50" ht="12.75" customHeight="1">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row>
    <row r="588" spans="17:50" ht="12.75" customHeight="1">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row>
    <row r="589" spans="17:50" ht="12.75" customHeight="1">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row>
    <row r="590" spans="17:50" ht="12.75" customHeight="1">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row>
    <row r="591" spans="17:50" ht="12.75" customHeight="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row>
    <row r="592" spans="17:50" ht="12.75" customHeight="1">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row>
    <row r="593" spans="17:50" ht="12.75" customHeight="1">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row>
    <row r="594" spans="17:50" ht="12.75" customHeight="1">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row>
    <row r="595" spans="17:50" ht="12.75" customHeight="1">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row>
    <row r="596" spans="17:50" ht="12.75" customHeight="1">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row>
    <row r="597" spans="17:50" ht="12.75" customHeight="1">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row>
    <row r="598" spans="17:50" ht="12.75" customHeight="1">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row>
    <row r="599" spans="17:50" ht="12.75" customHeight="1">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row>
    <row r="600" spans="17:50" ht="12.75" customHeight="1">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row>
    <row r="601" spans="17:50" ht="12.75" customHeight="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row>
    <row r="602" spans="17:50" ht="12.75" customHeight="1">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row>
    <row r="603" spans="17:50" ht="12.75" customHeight="1">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row>
    <row r="604" spans="17:50" ht="12.75" customHeight="1">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row>
    <row r="605" spans="17:50" ht="12.75" customHeight="1">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row>
    <row r="606" spans="17:50" ht="12.75" customHeight="1">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row>
    <row r="607" spans="17:50" ht="12.75" customHeight="1">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row>
    <row r="608" spans="17:50" ht="12.75" customHeight="1">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row>
    <row r="609" spans="17:50" ht="12.75" customHeight="1">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row>
    <row r="610" spans="17:50" ht="12.75" customHeight="1">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row>
    <row r="611" spans="17:50" ht="12.75" customHeight="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row>
    <row r="612" spans="17:50" ht="12.75" customHeight="1">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row>
    <row r="613" spans="17:50" ht="12.75" customHeight="1">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row>
    <row r="614" spans="17:50" ht="12.75" customHeight="1">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row>
    <row r="615" spans="17:50" ht="12.75" customHeight="1">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row>
    <row r="616" spans="17:50" ht="12.75" customHeight="1">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row>
    <row r="617" spans="17:50" ht="12.75" customHeight="1">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row>
    <row r="618" spans="17:50" ht="12.75" customHeight="1">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row>
    <row r="619" spans="17:50" ht="12.75" customHeight="1">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row>
    <row r="620" spans="17:50" ht="12.75" customHeight="1">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row>
    <row r="621" spans="17:50" ht="12.75" customHeight="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row>
    <row r="622" spans="17:50" ht="12.75" customHeight="1">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row>
    <row r="623" spans="17:50" ht="12.75" customHeight="1">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row>
    <row r="624" spans="17:50" ht="12.75" customHeight="1">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row>
    <row r="625" spans="17:50" ht="12.75" customHeight="1">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row>
    <row r="626" spans="17:50" ht="12.75" customHeight="1">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row>
    <row r="627" spans="17:50" ht="12.75" customHeight="1">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row>
    <row r="628" spans="17:50" ht="12.75" customHeight="1">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row>
    <row r="629" spans="17:50" ht="12.75" customHeight="1">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row>
    <row r="630" spans="17:50" ht="12.75" customHeight="1">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row>
    <row r="631" spans="17:50" ht="12.75" customHeight="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row>
    <row r="632" spans="17:50" ht="12.75" customHeight="1">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row>
    <row r="633" spans="17:50" ht="12.75" customHeight="1">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row>
    <row r="634" spans="17:50" ht="12.75" customHeight="1">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row>
    <row r="635" spans="17:50" ht="12.75" customHeight="1">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row>
    <row r="636" spans="17:50" ht="12.75" customHeight="1">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row>
    <row r="637" spans="17:50" ht="12.75" customHeight="1">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row>
    <row r="638" spans="17:50" ht="12.75" customHeight="1">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row>
    <row r="639" spans="17:50" ht="12.75" customHeight="1">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row>
    <row r="640" spans="17:50" ht="12.75" customHeight="1">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row>
    <row r="641" spans="17:50" ht="12.75" customHeight="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row>
    <row r="642" spans="17:50" ht="12.75" customHeight="1">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row>
    <row r="643" spans="17:50" ht="12.75" customHeight="1">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row>
    <row r="644" spans="17:50" ht="12.75" customHeight="1">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row>
    <row r="645" spans="17:50" ht="12.75" customHeight="1">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row>
    <row r="646" spans="17:50" ht="12.75" customHeight="1">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row>
    <row r="647" spans="17:50" ht="12.75" customHeight="1">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row>
    <row r="648" spans="17:50" ht="12.75" customHeight="1">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row>
    <row r="649" spans="17:50" ht="12.75" customHeight="1">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row>
    <row r="650" spans="17:50" ht="12.75" customHeight="1">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row>
    <row r="651" spans="17:50" ht="12.75" customHeight="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row>
    <row r="652" spans="17:50" ht="12.75" customHeight="1">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row>
    <row r="653" spans="17:50" ht="12.75" customHeight="1">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row>
    <row r="654" spans="17:50" ht="12.75" customHeight="1">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row>
    <row r="655" spans="17:50" ht="12.75" customHeight="1">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row>
    <row r="656" spans="17:50" ht="12.75" customHeight="1">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row>
    <row r="657" spans="17:50" ht="12.75" customHeight="1">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row>
    <row r="658" spans="17:50" ht="12.75" customHeight="1">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row>
    <row r="659" spans="17:50" ht="12.75" customHeight="1">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row>
    <row r="660" spans="17:50" ht="12.75" customHeight="1">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row>
    <row r="661" spans="17:50" ht="12.75" customHeight="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row>
    <row r="662" spans="17:50" ht="12.75" customHeight="1">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row>
    <row r="663" spans="17:50" ht="12.75" customHeight="1">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row>
    <row r="664" spans="17:50" ht="12.75" customHeight="1">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row>
    <row r="665" spans="17:50" ht="12.75" customHeight="1">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row>
    <row r="666" spans="17:50" ht="12.75" customHeight="1">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row>
    <row r="667" spans="17:50" ht="12.75" customHeight="1">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row>
    <row r="668" spans="17:50" ht="12.75" customHeight="1">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row>
    <row r="669" spans="17:50" ht="12.75" customHeight="1">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row>
    <row r="670" spans="17:50" ht="12.75" customHeight="1">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row>
    <row r="671" spans="17:50" ht="12.75" customHeight="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row>
    <row r="672" spans="17:50" ht="12.75" customHeight="1">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row>
    <row r="673" spans="17:50" ht="12.75" customHeight="1">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row>
    <row r="674" spans="17:50" ht="12.75" customHeight="1">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row>
    <row r="675" spans="17:50" ht="12.75" customHeight="1">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row>
    <row r="676" spans="17:50" ht="12.75" customHeight="1">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row>
    <row r="677" spans="17:50" ht="12.75" customHeight="1">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row>
    <row r="678" spans="17:50" ht="12.75" customHeight="1">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row>
    <row r="679" spans="17:50" ht="12.75" customHeight="1">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row>
    <row r="680" spans="17:50" ht="12.75" customHeight="1">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row>
    <row r="681" spans="17:50" ht="12.75" customHeight="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row>
    <row r="682" spans="17:50" ht="12.75" customHeight="1">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row>
    <row r="683" spans="17:50" ht="12.75" customHeight="1">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row>
    <row r="684" spans="17:50" ht="12.75" customHeight="1">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row>
    <row r="685" spans="17:50" ht="12.75" customHeight="1">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row>
    <row r="686" spans="17:50" ht="12.75" customHeight="1">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row>
    <row r="687" spans="17:50" ht="12.75" customHeight="1">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row>
    <row r="688" spans="17:50" ht="12.75" customHeight="1">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row>
    <row r="689" spans="17:50" ht="12.75" customHeight="1">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row>
    <row r="690" spans="17:5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row>
    <row r="691" spans="17:50">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row>
    <row r="692" spans="17:50">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row>
    <row r="693" spans="17:50">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row>
    <row r="694" spans="17:50">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row>
    <row r="695" spans="17:50">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row>
    <row r="696" spans="17:50">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row>
    <row r="697" spans="17:50">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row>
    <row r="698" spans="17:50">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row>
    <row r="699" spans="17:50">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row>
    <row r="700" spans="17:5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row>
    <row r="701" spans="17:50">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row>
    <row r="702" spans="17:50">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row>
    <row r="703" spans="17:50">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row>
    <row r="704" spans="17:50">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row>
    <row r="705" spans="17:50">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row>
    <row r="706" spans="17:50">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row>
    <row r="707" spans="17:50">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row>
    <row r="708" spans="17:50">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row>
    <row r="709" spans="17:50">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row>
    <row r="710" spans="17:5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row>
    <row r="711" spans="17:50">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row>
    <row r="712" spans="17:50">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row>
    <row r="713" spans="17:50">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row>
    <row r="714" spans="17:50">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row>
    <row r="715" spans="17:50">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row>
    <row r="716" spans="17:50">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row>
    <row r="717" spans="17:50">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row>
    <row r="718" spans="17:50">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row>
    <row r="719" spans="17:50">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row>
    <row r="720" spans="17:5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row>
    <row r="721" spans="17:50">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row>
    <row r="722" spans="17:50">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row>
    <row r="723" spans="17:50">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row>
    <row r="724" spans="17:50">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row>
    <row r="725" spans="17:50">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row>
    <row r="726" spans="17:50">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row>
    <row r="727" spans="17:50">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row>
    <row r="728" spans="17:50">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row>
    <row r="729" spans="17:50">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row>
    <row r="730" spans="17:5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row>
    <row r="731" spans="17:50">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row>
    <row r="732" spans="17:50">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row>
    <row r="733" spans="17:50">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row>
    <row r="734" spans="17:50">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row>
    <row r="735" spans="17:50">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row>
    <row r="736" spans="17:50">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row>
    <row r="737" spans="17:50">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row>
    <row r="738" spans="17:50">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row>
    <row r="739" spans="17:50">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row>
    <row r="740" spans="17:5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row>
    <row r="741" spans="17:50">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row>
    <row r="742" spans="17:50">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row>
    <row r="743" spans="17:50">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row>
    <row r="744" spans="17:50">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row>
    <row r="745" spans="17:50">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row>
    <row r="746" spans="17:50">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row>
    <row r="747" spans="17:50">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row>
    <row r="748" spans="17:50">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row>
    <row r="749" spans="17:50">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row>
    <row r="750" spans="1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row>
    <row r="751" spans="17:50">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row>
    <row r="752" spans="17:50">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row>
    <row r="753" spans="17:50">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row>
    <row r="754" spans="17:50">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row>
    <row r="755" spans="17:50">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row>
    <row r="756" spans="17:50">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row>
    <row r="757" spans="17:50">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row>
    <row r="758" spans="17:50">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row>
    <row r="759" spans="17:50">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row>
    <row r="760" spans="17:5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row>
    <row r="761" spans="17:50">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row>
    <row r="762" spans="17:50">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row>
    <row r="763" spans="17:50">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row>
    <row r="764" spans="17:50">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row>
    <row r="765" spans="17:50">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row>
    <row r="766" spans="17:50">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row>
    <row r="767" spans="17:50">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row>
    <row r="768" spans="17:50">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row>
    <row r="769" spans="17:50">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row>
    <row r="770" spans="17:5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row>
    <row r="771" spans="17:50">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row>
    <row r="772" spans="17:50">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row>
    <row r="773" spans="17:50">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row>
    <row r="774" spans="17:50">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row>
    <row r="775" spans="17:50">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row>
    <row r="776" spans="17:50">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row>
    <row r="777" spans="17:50">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row>
    <row r="778" spans="17:50">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row>
    <row r="779" spans="17:50">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row>
    <row r="780" spans="17:5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row>
    <row r="781" spans="17:50">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row>
    <row r="782" spans="17:50">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row>
    <row r="783" spans="17:50">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row>
    <row r="784" spans="17:50">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row>
    <row r="785" spans="17:50">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row>
    <row r="786" spans="17:50">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row>
    <row r="787" spans="17:50">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row>
    <row r="788" spans="17:50">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row>
    <row r="789" spans="17:50">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row>
    <row r="790" spans="17:5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row>
    <row r="791" spans="17:50">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row>
    <row r="792" spans="17:50">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row>
    <row r="793" spans="17:50">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row>
    <row r="794" spans="17:50">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row>
    <row r="795" spans="17:50">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row>
    <row r="796" spans="17:50">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row>
    <row r="797" spans="17:50">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row>
    <row r="798" spans="17:50">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row>
    <row r="799" spans="17:50">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row>
    <row r="800" spans="17:5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row>
    <row r="801" spans="17:50">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row>
    <row r="802" spans="17:50">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row>
    <row r="803" spans="17:50">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row>
    <row r="804" spans="17:50">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row>
    <row r="805" spans="17:50">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row>
    <row r="806" spans="17:50">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row>
    <row r="807" spans="17:50">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row>
    <row r="808" spans="17:50">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row>
    <row r="809" spans="17:50">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row>
    <row r="810" spans="17:5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row>
    <row r="811" spans="17:50">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row>
    <row r="812" spans="17:50">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row>
    <row r="813" spans="17:50">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row>
    <row r="814" spans="17:50">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row>
    <row r="815" spans="17:50">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row>
    <row r="816" spans="17:50">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row>
    <row r="817" spans="17:50">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row>
    <row r="818" spans="17:50">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row>
    <row r="819" spans="17:50">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row>
    <row r="820" spans="17:5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row>
    <row r="821" spans="17:50">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row>
    <row r="822" spans="17:50">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row>
    <row r="823" spans="17:50">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row>
    <row r="824" spans="17:50">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row>
    <row r="825" spans="17:50">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row>
    <row r="826" spans="17:50">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row>
    <row r="827" spans="17:50">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row>
    <row r="828" spans="17:50">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row>
    <row r="829" spans="17:50">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row>
    <row r="830" spans="17:5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row>
    <row r="831" spans="17:50">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row>
    <row r="832" spans="17:50">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row>
    <row r="833" spans="17:50">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row>
    <row r="834" spans="17:50">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row>
    <row r="835" spans="17:50">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row>
    <row r="836" spans="17:50">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row>
    <row r="837" spans="17:50">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row>
    <row r="838" spans="17:50">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row>
    <row r="839" spans="17:50">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row>
    <row r="840" spans="17:5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row>
    <row r="841" spans="17:50">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row>
    <row r="842" spans="17:50">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row>
    <row r="843" spans="17:50">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row>
    <row r="844" spans="17:50">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row>
    <row r="845" spans="17:50">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row>
    <row r="846" spans="17:50">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row>
    <row r="847" spans="17:50">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row>
    <row r="848" spans="17:50">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row>
    <row r="849" spans="17:50">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row>
    <row r="850" spans="17: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row>
    <row r="851" spans="17:50">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row>
    <row r="852" spans="17:50">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row>
    <row r="853" spans="17:50">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row>
    <row r="854" spans="17:50">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row>
    <row r="855" spans="17:50">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row>
    <row r="856" spans="17:50">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row>
    <row r="857" spans="17:50">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row>
    <row r="858" spans="17:50">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row>
    <row r="859" spans="17:50">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row>
    <row r="860" spans="17:5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row>
    <row r="861" spans="17:50">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row>
    <row r="862" spans="17:50">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row>
    <row r="863" spans="17:50">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row>
    <row r="864" spans="17:50">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row>
    <row r="865" spans="17:50">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row>
    <row r="866" spans="17:50">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row>
    <row r="867" spans="17:50">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row>
    <row r="868" spans="17:50">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row>
    <row r="869" spans="17:50">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row>
    <row r="870" spans="17:5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row>
    <row r="871" spans="17:50">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row>
    <row r="872" spans="17:50">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row>
    <row r="873" spans="17:50">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row>
    <row r="874" spans="17:50">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row>
    <row r="875" spans="17:50">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row>
    <row r="876" spans="17:50">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row>
    <row r="877" spans="17:50">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row>
    <row r="878" spans="17:50">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row>
    <row r="879" spans="17:50">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row>
    <row r="880" spans="17:5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row>
    <row r="881" spans="17:50">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row>
    <row r="882" spans="17:50">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row>
    <row r="883" spans="17:50">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row>
    <row r="884" spans="17:50">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row>
    <row r="885" spans="17:50">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row>
    <row r="886" spans="17:50">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row>
    <row r="887" spans="17:50">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row>
    <row r="888" spans="17:50">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row>
    <row r="889" spans="17:50">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row>
    <row r="890" spans="17:5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row>
    <row r="891" spans="17:50">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row>
    <row r="892" spans="17:50">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row>
    <row r="893" spans="17:50">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row>
    <row r="894" spans="17:50">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row>
    <row r="895" spans="17:50">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row>
    <row r="896" spans="17:50">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row>
    <row r="897" spans="17:50">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row>
    <row r="898" spans="17:50">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row>
    <row r="899" spans="17:50">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row>
    <row r="900" spans="17:5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row>
    <row r="901" spans="17:50">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row>
    <row r="902" spans="17:50">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row>
    <row r="903" spans="17:50">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row>
    <row r="904" spans="17:50">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row>
    <row r="905" spans="17:50">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row>
    <row r="906" spans="17:50">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row>
    <row r="907" spans="17:50">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row>
    <row r="908" spans="17:50">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row>
    <row r="909" spans="17:50">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row>
    <row r="910" spans="17:5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row>
    <row r="911" spans="17:50">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row>
    <row r="912" spans="17:50">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row>
    <row r="913" spans="17:50">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row>
    <row r="914" spans="17:50">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row>
    <row r="915" spans="17:50">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row>
    <row r="916" spans="17:50">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row>
    <row r="917" spans="17:50">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row>
    <row r="918" spans="17:50">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row>
    <row r="919" spans="17:50">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row>
    <row r="920" spans="17:5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row>
    <row r="921" spans="17:50">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row>
    <row r="922" spans="17:50">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row>
    <row r="923" spans="17:50">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row>
    <row r="924" spans="17:50">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row>
    <row r="925" spans="17:50">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row>
    <row r="926" spans="17:50">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row>
    <row r="927" spans="17:50">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row>
    <row r="928" spans="17:50">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row>
    <row r="929" spans="17:50">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row>
    <row r="930" spans="17:5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row>
    <row r="931" spans="17:50">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row>
    <row r="932" spans="17:50">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row>
    <row r="933" spans="17:50">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row>
    <row r="934" spans="17:50">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row>
    <row r="935" spans="17:50">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row>
    <row r="936" spans="17:50">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row>
    <row r="937" spans="17:50">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row>
    <row r="938" spans="17:50">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row>
    <row r="939" spans="17:50">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row>
    <row r="940" spans="17:5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row>
    <row r="941" spans="17:50">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row>
    <row r="942" spans="17:50">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row>
    <row r="943" spans="17:50">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row>
    <row r="944" spans="17:50">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row>
    <row r="945" spans="17:50">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row>
    <row r="946" spans="17:50">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row>
    <row r="947" spans="17:50">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row>
    <row r="948" spans="17:50">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row>
    <row r="949" spans="17:50">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row>
    <row r="950" spans="17: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row>
    <row r="951" spans="17:50">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row>
    <row r="952" spans="17:50">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row>
    <row r="953" spans="17:50">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row>
    <row r="954" spans="17:50">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row>
    <row r="955" spans="17:50">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row>
    <row r="956" spans="17:50">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row>
    <row r="957" spans="17:50">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row>
    <row r="958" spans="17:50">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row>
    <row r="959" spans="17:50">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row>
    <row r="960" spans="17:5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row>
    <row r="961" spans="17:50">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row>
    <row r="962" spans="17:50">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row>
    <row r="963" spans="17:50">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row>
    <row r="964" spans="17:50">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row>
    <row r="965" spans="17:50">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row>
    <row r="966" spans="17:50">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row>
    <row r="967" spans="17:50">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row>
    <row r="968" spans="17:50">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row>
    <row r="969" spans="17:50">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row>
    <row r="970" spans="17:5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row>
    <row r="971" spans="17:50">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row>
    <row r="972" spans="17:50">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row>
    <row r="973" spans="17:50">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row>
    <row r="974" spans="17:50">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row>
    <row r="975" spans="17:50">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row>
    <row r="976" spans="17:50">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row>
    <row r="977" spans="17:50">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row>
    <row r="978" spans="17:50">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row>
    <row r="979" spans="17:50">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row>
    <row r="980" spans="17:5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row>
    <row r="981" spans="17:50">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row>
    <row r="982" spans="17:50">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row>
    <row r="983" spans="17:50">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row>
    <row r="984" spans="17:50">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row>
    <row r="985" spans="17:50">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row>
    <row r="986" spans="17:50">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row>
    <row r="987" spans="17:50">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row>
    <row r="988" spans="17:50">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row>
    <row r="989" spans="17:50">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row>
    <row r="990" spans="17:5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row>
    <row r="991" spans="17:50">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row>
    <row r="992" spans="17:50">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row>
    <row r="993" spans="17:50">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row>
    <row r="994" spans="17:50">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row>
    <row r="995" spans="17:50">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row>
    <row r="996" spans="17:50">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row>
    <row r="997" spans="17:50">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row>
    <row r="998" spans="17:50">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row>
    <row r="999" spans="17:50">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row>
    <row r="1000" spans="17:5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row>
    <row r="1001" spans="17:50">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row>
    <row r="1002" spans="17:50">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row>
    <row r="1003" spans="17:50">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row>
    <row r="1004" spans="17:50">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row>
    <row r="1005" spans="17:50">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row>
    <row r="1006" spans="17:50">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row>
    <row r="1007" spans="17:50">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row>
    <row r="1008" spans="17:50">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row>
    <row r="1009" spans="17:50">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row>
    <row r="1010" spans="17:5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row>
    <row r="1011" spans="17:50">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row>
    <row r="1012" spans="17:50">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row>
    <row r="1013" spans="17:50">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row>
    <row r="1014" spans="17:50">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row>
    <row r="1015" spans="17:50">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row>
    <row r="1016" spans="17:50">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row>
    <row r="1017" spans="17:50">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row>
    <row r="1018" spans="17:50">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row>
    <row r="1019" spans="17:50">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row>
    <row r="1020" spans="17:5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row>
    <row r="1021" spans="17:50">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row>
    <row r="1022" spans="17:50">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row>
    <row r="1023" spans="17:50">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row>
    <row r="1024" spans="17:50">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row>
    <row r="1025" spans="17:50">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row>
    <row r="1026" spans="17:50">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row>
    <row r="1027" spans="17:50">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row>
    <row r="1028" spans="17:50">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row>
    <row r="1029" spans="17:50">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row>
    <row r="1030" spans="17:5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row>
    <row r="1031" spans="17:50">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row>
    <row r="1032" spans="17:50">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row>
    <row r="1033" spans="17:50">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row>
    <row r="1034" spans="17:50">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row>
    <row r="1035" spans="17:50">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row>
    <row r="1036" spans="17:50">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row>
    <row r="1037" spans="17:50">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row>
    <row r="1038" spans="17:50">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row>
    <row r="1039" spans="17:50">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row>
    <row r="1040" spans="17:5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row>
    <row r="1041" spans="17:50">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row>
    <row r="1042" spans="17:50">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row>
    <row r="1043" spans="17:50">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row>
    <row r="1044" spans="17:50">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row>
    <row r="1045" spans="17:50">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row>
    <row r="1046" spans="17:50">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row>
    <row r="1047" spans="17:50">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row>
    <row r="1048" spans="17:50">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row>
    <row r="1049" spans="17:50">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row>
    <row r="1050" spans="17: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row>
    <row r="1051" spans="17:50">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row>
    <row r="1052" spans="17:50">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row>
    <row r="1053" spans="17:50">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row>
    <row r="1054" spans="17:50">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row>
    <row r="1055" spans="17:50">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row>
    <row r="1056" spans="17:50">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row>
    <row r="1057" spans="17:50">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row>
    <row r="1058" spans="17:50">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row>
    <row r="1059" spans="17:50">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row>
    <row r="1060" spans="17:5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row>
    <row r="1061" spans="17:50">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row>
    <row r="1062" spans="17:50">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row>
    <row r="1063" spans="17:50">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row>
    <row r="1064" spans="17:50">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row>
    <row r="1065" spans="17:50">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row>
    <row r="1066" spans="17:50">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row>
    <row r="1067" spans="17:50">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row>
    <row r="1068" spans="17:50">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row>
    <row r="1069" spans="17:50">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row>
    <row r="1070" spans="17:5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row>
    <row r="1071" spans="17:50">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row>
    <row r="1072" spans="17:50">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row>
    <row r="1073" spans="17:50">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row>
    <row r="1074" spans="17:50">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row>
    <row r="1075" spans="17:50">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row>
    <row r="1076" spans="17:50">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row>
    <row r="1077" spans="17:50">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row>
    <row r="1078" spans="17:50">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row>
    <row r="1079" spans="17:50">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row>
    <row r="1080" spans="17:5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row>
    <row r="1081" spans="17:50">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row>
    <row r="1082" spans="17:50">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row>
    <row r="1083" spans="17:50">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row>
    <row r="1084" spans="17:50">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row>
    <row r="1085" spans="17:50">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row>
    <row r="1086" spans="17:50">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row>
    <row r="1087" spans="17:50">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row>
    <row r="1088" spans="17:50">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row>
    <row r="1089" spans="17:50">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row>
    <row r="1090" spans="17:5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row>
    <row r="1091" spans="17:50">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row>
    <row r="1092" spans="17:50">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row>
    <row r="1093" spans="17:50">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row>
    <row r="1094" spans="17:50">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row>
    <row r="1095" spans="17:50">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row>
    <row r="1096" spans="17:50">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row>
    <row r="1097" spans="17:50">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row>
    <row r="1098" spans="17:50">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row>
    <row r="1099" spans="17:50">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row>
    <row r="1100" spans="17:5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row>
    <row r="1101" spans="17:50">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row>
    <row r="1102" spans="17:50">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row>
    <row r="1103" spans="17:50">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row>
    <row r="1104" spans="17:50">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row>
    <row r="1105" spans="17:50">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row>
    <row r="1106" spans="17:50">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row>
    <row r="1107" spans="17:50">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row>
    <row r="1108" spans="17:50">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row>
    <row r="1109" spans="17:50">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row>
    <row r="1110" spans="17:5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row>
    <row r="1111" spans="17:50">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row>
    <row r="1112" spans="17:50">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row>
    <row r="1113" spans="17:50">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row>
    <row r="1114" spans="17:50">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row>
    <row r="1115" spans="17:50">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row>
    <row r="1116" spans="17:50">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row>
    <row r="1117" spans="17:50">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row>
    <row r="1118" spans="17:50">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row>
    <row r="1119" spans="17:50">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row>
    <row r="1120" spans="17:5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row>
    <row r="1121" spans="17:50">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row>
    <row r="1122" spans="17:50">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row>
    <row r="1123" spans="17:50">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row>
    <row r="1124" spans="17:50">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row>
    <row r="1125" spans="17:50">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row>
    <row r="1126" spans="17:50">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row>
    <row r="1127" spans="17:50">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row>
    <row r="1128" spans="17:50">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row>
    <row r="1129" spans="17:50">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row>
    <row r="1130" spans="17:5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row>
    <row r="1131" spans="17:50">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row>
    <row r="1132" spans="17:50">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row>
    <row r="1133" spans="17:50">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row>
    <row r="1134" spans="17:50">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row>
    <row r="1135" spans="17:50">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row>
    <row r="1136" spans="17:50">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row>
    <row r="1137" spans="17:50">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row>
    <row r="1138" spans="17:50">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row>
    <row r="1139" spans="17:50">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row>
    <row r="1140" spans="17:5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row>
    <row r="1141" spans="17:50">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row>
    <row r="1142" spans="17:50">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row>
    <row r="1143" spans="17:50">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row>
    <row r="1144" spans="17:50">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row>
    <row r="1145" spans="17:50">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row>
    <row r="1146" spans="17:50">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row>
    <row r="1147" spans="17:50">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row>
    <row r="1148" spans="17:50">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row>
    <row r="1149" spans="17:50">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row>
    <row r="1150" spans="17: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row>
    <row r="1151" spans="17:50">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row>
    <row r="1152" spans="17:50">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row>
    <row r="1153" spans="17:50">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row>
    <row r="1154" spans="17:50">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row>
    <row r="1155" spans="17:50">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row>
    <row r="1156" spans="17:50">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row>
    <row r="1157" spans="17:50">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row>
    <row r="1158" spans="17:50">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row>
    <row r="1159" spans="17:50">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row>
    <row r="1160" spans="17:5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row>
    <row r="1161" spans="17:50">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row>
    <row r="1162" spans="17:50">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row>
    <row r="1163" spans="17:50">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row>
    <row r="1164" spans="17:50">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row>
    <row r="1165" spans="17:50">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row>
    <row r="1166" spans="17:50">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row>
    <row r="1167" spans="17:50">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row>
    <row r="1168" spans="17:50">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row>
    <row r="1169" spans="17:50">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row>
    <row r="1170" spans="17:5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row>
    <row r="1171" spans="17:50">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row>
    <row r="1172" spans="17:50">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row>
    <row r="1173" spans="17:50">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row>
    <row r="1174" spans="17:50">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row>
    <row r="1175" spans="17:50">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row>
    <row r="1176" spans="17:50">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row>
    <row r="1177" spans="17:50">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row>
    <row r="1178" spans="17:50">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row>
    <row r="1179" spans="17:50">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row>
    <row r="1180" spans="17:5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row>
    <row r="1181" spans="17:50">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row>
    <row r="1182" spans="17:50">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row>
    <row r="1183" spans="17:50">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row>
    <row r="1184" spans="17:50">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row>
    <row r="1185" spans="17:50">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row>
    <row r="1186" spans="17:50">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row>
    <row r="1187" spans="17:50">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row>
    <row r="1188" spans="17:50">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row>
    <row r="1189" spans="17:50">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row>
    <row r="1190" spans="17:5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row>
    <row r="1191" spans="17:50">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row>
    <row r="1192" spans="17:50">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row>
    <row r="1193" spans="17:50">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row>
    <row r="1194" spans="17:50">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row>
    <row r="1195" spans="17:50">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row>
    <row r="1196" spans="17:50">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row>
    <row r="1197" spans="17:50">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row>
    <row r="1198" spans="17:50">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row>
    <row r="1199" spans="17:50">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row>
    <row r="1200" spans="17:5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c r="AW1200"/>
      <c r="AX1200"/>
    </row>
    <row r="1201" spans="17:50">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c r="AW1201"/>
      <c r="AX1201"/>
    </row>
    <row r="1202" spans="17:50">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c r="AW1202"/>
      <c r="AX1202"/>
    </row>
    <row r="1203" spans="17:50">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row>
    <row r="1204" spans="17:50">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row>
    <row r="1205" spans="17:50">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row>
    <row r="1206" spans="17:50">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row>
    <row r="1207" spans="17:50">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row>
    <row r="1208" spans="17:50">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row>
    <row r="1209" spans="17:50">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row>
    <row r="1210" spans="17:5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row>
    <row r="1211" spans="17:50">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row>
    <row r="1212" spans="17:50">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row>
    <row r="1213" spans="17:50">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row>
    <row r="1214" spans="17:50">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row>
    <row r="1215" spans="17:50">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row>
    <row r="1216" spans="17:50">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row>
    <row r="1217" spans="17:50">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row>
    <row r="1218" spans="17:50">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row>
    <row r="1219" spans="17:50">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row>
    <row r="1220" spans="17:5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row>
    <row r="1221" spans="17:50">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row>
    <row r="1222" spans="17:50">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row>
    <row r="1223" spans="17:50">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row>
    <row r="1224" spans="17:50">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row>
    <row r="1225" spans="17:50">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row>
    <row r="1226" spans="17:50">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row>
    <row r="1227" spans="17:50">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row>
    <row r="1228" spans="17:50">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row>
    <row r="1229" spans="17:50">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row>
    <row r="1230" spans="17:5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row>
    <row r="1231" spans="17:50">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row>
    <row r="1232" spans="17:50">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row>
    <row r="1233" spans="17:50">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row>
    <row r="1234" spans="17:50">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row>
    <row r="1235" spans="17:50">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row>
    <row r="1236" spans="17:50">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row>
    <row r="1237" spans="17:50">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row>
    <row r="1238" spans="17:50">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row>
    <row r="1239" spans="17:50">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row>
    <row r="1240" spans="17:5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row>
    <row r="1241" spans="17:50">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row>
    <row r="1242" spans="17:50">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row>
    <row r="1243" spans="17:50">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row>
    <row r="1244" spans="17:50">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row>
    <row r="1245" spans="17:50">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row>
    <row r="1246" spans="17:50">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row>
    <row r="1247" spans="17:50">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row>
    <row r="1248" spans="17:50">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c r="AW1248"/>
      <c r="AX1248"/>
    </row>
    <row r="1249" spans="17:50">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c r="AW1249"/>
      <c r="AX1249"/>
    </row>
    <row r="1250" spans="17: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c r="AW1250"/>
      <c r="AX1250"/>
    </row>
    <row r="1251" spans="17:50">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c r="AW1251"/>
      <c r="AX1251"/>
    </row>
    <row r="1252" spans="17:50">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c r="AW1252"/>
      <c r="AX1252"/>
    </row>
    <row r="1253" spans="17:50">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c r="AV1253"/>
      <c r="AW1253"/>
      <c r="AX1253"/>
    </row>
    <row r="1254" spans="17:50">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c r="AW1254"/>
      <c r="AX1254"/>
    </row>
    <row r="1255" spans="17:50">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c r="AV1255"/>
      <c r="AW1255"/>
      <c r="AX1255"/>
    </row>
    <row r="1256" spans="17:50">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c r="AW1256"/>
      <c r="AX1256"/>
    </row>
    <row r="1257" spans="17:50">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row>
    <row r="1258" spans="17:50">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c r="AW1258"/>
      <c r="AX1258"/>
    </row>
    <row r="1259" spans="17:50">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c r="AW1259"/>
      <c r="AX1259"/>
    </row>
    <row r="1260" spans="17:5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row>
    <row r="1261" spans="17:50">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row>
    <row r="1262" spans="17:50">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c r="AW1262"/>
      <c r="AX1262"/>
    </row>
    <row r="1263" spans="17:50">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c r="AW1263"/>
      <c r="AX1263"/>
    </row>
    <row r="1264" spans="17:50">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c r="AW1264"/>
      <c r="AX1264"/>
    </row>
    <row r="1265" spans="17:50">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c r="AW1265"/>
      <c r="AX1265"/>
    </row>
    <row r="1266" spans="17:50">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c r="AW1266"/>
      <c r="AX1266"/>
    </row>
    <row r="1267" spans="17:50">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row>
    <row r="1268" spans="17:50">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row>
    <row r="1269" spans="17:50">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row>
    <row r="1270" spans="17:5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row>
    <row r="1271" spans="17:50">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row>
    <row r="1272" spans="17:50">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row>
    <row r="1273" spans="17:50">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row>
  </sheetData>
  <mergeCells count="540">
    <mergeCell ref="B2:K3"/>
    <mergeCell ref="B5:D5"/>
    <mergeCell ref="R2:Y3"/>
    <mergeCell ref="R5:U5"/>
    <mergeCell ref="R7:Y7"/>
    <mergeCell ref="R10:U10"/>
    <mergeCell ref="R11:U11"/>
    <mergeCell ref="R12:U12"/>
    <mergeCell ref="R13:U13"/>
    <mergeCell ref="R14:U14"/>
    <mergeCell ref="R15:U15"/>
    <mergeCell ref="R16:U16"/>
    <mergeCell ref="R19:U19"/>
    <mergeCell ref="R20:U20"/>
    <mergeCell ref="R21:U21"/>
    <mergeCell ref="R22:U22"/>
    <mergeCell ref="R23:U23"/>
    <mergeCell ref="R24:U24"/>
    <mergeCell ref="R25:U25"/>
    <mergeCell ref="R26:U26"/>
    <mergeCell ref="R28:Y28"/>
    <mergeCell ref="R31:T32"/>
    <mergeCell ref="U31:U32"/>
    <mergeCell ref="V31:V32"/>
    <mergeCell ref="W31:W32"/>
    <mergeCell ref="X31:X32"/>
    <mergeCell ref="R33:T33"/>
    <mergeCell ref="R34:T34"/>
    <mergeCell ref="R35:T35"/>
    <mergeCell ref="R36:T36"/>
    <mergeCell ref="X39:X40"/>
    <mergeCell ref="R41:T41"/>
    <mergeCell ref="R42:T42"/>
    <mergeCell ref="R43:T43"/>
    <mergeCell ref="R39:T40"/>
    <mergeCell ref="U39:U40"/>
    <mergeCell ref="V39:V40"/>
    <mergeCell ref="W39:W40"/>
    <mergeCell ref="R44:T44"/>
    <mergeCell ref="R46:Y46"/>
    <mergeCell ref="R49:T50"/>
    <mergeCell ref="U49:U50"/>
    <mergeCell ref="V49:V50"/>
    <mergeCell ref="W49:W50"/>
    <mergeCell ref="X49:X50"/>
    <mergeCell ref="R51:T51"/>
    <mergeCell ref="R54:T55"/>
    <mergeCell ref="U54:U55"/>
    <mergeCell ref="V54:V55"/>
    <mergeCell ref="W54:W55"/>
    <mergeCell ref="X54:X55"/>
    <mergeCell ref="R56:T56"/>
    <mergeCell ref="R59:T60"/>
    <mergeCell ref="U59:U60"/>
    <mergeCell ref="V59:V60"/>
    <mergeCell ref="W59:W60"/>
    <mergeCell ref="X59:X60"/>
    <mergeCell ref="R61:T61"/>
    <mergeCell ref="R62:T62"/>
    <mergeCell ref="R64:Y64"/>
    <mergeCell ref="R67:T68"/>
    <mergeCell ref="U67:U68"/>
    <mergeCell ref="V67:V68"/>
    <mergeCell ref="W67:W68"/>
    <mergeCell ref="X67:X68"/>
    <mergeCell ref="R69:T69"/>
    <mergeCell ref="R70:T70"/>
    <mergeCell ref="R71:T71"/>
    <mergeCell ref="R74:T75"/>
    <mergeCell ref="U74:U75"/>
    <mergeCell ref="V74:V75"/>
    <mergeCell ref="W74:W75"/>
    <mergeCell ref="X74:X75"/>
    <mergeCell ref="R76:T76"/>
    <mergeCell ref="R77:T77"/>
    <mergeCell ref="R78:T78"/>
    <mergeCell ref="R80:Y80"/>
    <mergeCell ref="X83:X84"/>
    <mergeCell ref="R85:T85"/>
    <mergeCell ref="R86:T86"/>
    <mergeCell ref="R87:T87"/>
    <mergeCell ref="R83:T84"/>
    <mergeCell ref="U83:U84"/>
    <mergeCell ref="V83:V84"/>
    <mergeCell ref="W83:W84"/>
    <mergeCell ref="X90:X91"/>
    <mergeCell ref="R92:T92"/>
    <mergeCell ref="R93:T93"/>
    <mergeCell ref="R94:T94"/>
    <mergeCell ref="R90:T91"/>
    <mergeCell ref="U90:U91"/>
    <mergeCell ref="V90:V91"/>
    <mergeCell ref="W90:W91"/>
    <mergeCell ref="R96:Y96"/>
    <mergeCell ref="R100:T101"/>
    <mergeCell ref="U100:U101"/>
    <mergeCell ref="V100:V101"/>
    <mergeCell ref="W100:W101"/>
    <mergeCell ref="X100:X101"/>
    <mergeCell ref="R102:T102"/>
    <mergeCell ref="R103:T103"/>
    <mergeCell ref="R106:T107"/>
    <mergeCell ref="U106:U107"/>
    <mergeCell ref="V106:V107"/>
    <mergeCell ref="W106:W107"/>
    <mergeCell ref="X106:X107"/>
    <mergeCell ref="R108:T108"/>
    <mergeCell ref="R109:T109"/>
    <mergeCell ref="R112:T113"/>
    <mergeCell ref="U112:U113"/>
    <mergeCell ref="V112:V113"/>
    <mergeCell ref="W112:W113"/>
    <mergeCell ref="X112:X113"/>
    <mergeCell ref="R114:T114"/>
    <mergeCell ref="R115:T115"/>
    <mergeCell ref="V126:V127"/>
    <mergeCell ref="W126:W127"/>
    <mergeCell ref="X118:X119"/>
    <mergeCell ref="R120:T120"/>
    <mergeCell ref="R121:T121"/>
    <mergeCell ref="R123:Y123"/>
    <mergeCell ref="R118:T119"/>
    <mergeCell ref="U118:U119"/>
    <mergeCell ref="V118:V119"/>
    <mergeCell ref="W118:W119"/>
    <mergeCell ref="X126:X127"/>
    <mergeCell ref="R128:T128"/>
    <mergeCell ref="R130:Y130"/>
    <mergeCell ref="R132:T133"/>
    <mergeCell ref="U132:U133"/>
    <mergeCell ref="V132:V133"/>
    <mergeCell ref="W132:W133"/>
    <mergeCell ref="X132:X133"/>
    <mergeCell ref="R126:T127"/>
    <mergeCell ref="U126:U127"/>
    <mergeCell ref="R134:T134"/>
    <mergeCell ref="R135:T135"/>
    <mergeCell ref="R137:Y137"/>
    <mergeCell ref="R142:W142"/>
    <mergeCell ref="X143:X144"/>
    <mergeCell ref="R145:T145"/>
    <mergeCell ref="U145:U146"/>
    <mergeCell ref="R146:T146"/>
    <mergeCell ref="R143:T144"/>
    <mergeCell ref="U143:U144"/>
    <mergeCell ref="V143:V144"/>
    <mergeCell ref="W143:W144"/>
    <mergeCell ref="R147:T147"/>
    <mergeCell ref="R148:T148"/>
    <mergeCell ref="R149:X149"/>
    <mergeCell ref="R150:T151"/>
    <mergeCell ref="U150:U151"/>
    <mergeCell ref="V150:V151"/>
    <mergeCell ref="W150:W151"/>
    <mergeCell ref="X150:X151"/>
    <mergeCell ref="R152:T152"/>
    <mergeCell ref="U152:U154"/>
    <mergeCell ref="R153:T153"/>
    <mergeCell ref="R154:T154"/>
    <mergeCell ref="R155:X155"/>
    <mergeCell ref="R156:T157"/>
    <mergeCell ref="U156:U157"/>
    <mergeCell ref="V156:V157"/>
    <mergeCell ref="W156:W157"/>
    <mergeCell ref="X156:X157"/>
    <mergeCell ref="V162:V163"/>
    <mergeCell ref="W162:W163"/>
    <mergeCell ref="R158:T158"/>
    <mergeCell ref="U158:U160"/>
    <mergeCell ref="R159:T159"/>
    <mergeCell ref="R160:T160"/>
    <mergeCell ref="X162:X163"/>
    <mergeCell ref="R164:T164"/>
    <mergeCell ref="R165:T165"/>
    <mergeCell ref="R167:T168"/>
    <mergeCell ref="U167:U168"/>
    <mergeCell ref="V167:V168"/>
    <mergeCell ref="W167:W168"/>
    <mergeCell ref="X167:X168"/>
    <mergeCell ref="R162:T163"/>
    <mergeCell ref="U162:U163"/>
    <mergeCell ref="R174:T174"/>
    <mergeCell ref="R179:T179"/>
    <mergeCell ref="R180:T180"/>
    <mergeCell ref="R175:T175"/>
    <mergeCell ref="R177:T178"/>
    <mergeCell ref="R169:T169"/>
    <mergeCell ref="R170:T170"/>
    <mergeCell ref="R172:T173"/>
    <mergeCell ref="W177:W178"/>
    <mergeCell ref="X177:X178"/>
    <mergeCell ref="U177:U178"/>
    <mergeCell ref="V177:V178"/>
    <mergeCell ref="X183:X184"/>
    <mergeCell ref="X172:X173"/>
    <mergeCell ref="U172:U173"/>
    <mergeCell ref="V172:V173"/>
    <mergeCell ref="W172:W173"/>
    <mergeCell ref="R185:T185"/>
    <mergeCell ref="R186:T186"/>
    <mergeCell ref="R181:T181"/>
    <mergeCell ref="R183:T184"/>
    <mergeCell ref="W188:W189"/>
    <mergeCell ref="W183:W184"/>
    <mergeCell ref="V188:V189"/>
    <mergeCell ref="U183:U184"/>
    <mergeCell ref="V183:V184"/>
    <mergeCell ref="X188:X189"/>
    <mergeCell ref="V193:V194"/>
    <mergeCell ref="W193:W194"/>
    <mergeCell ref="X193:X194"/>
    <mergeCell ref="R188:T189"/>
    <mergeCell ref="U188:U189"/>
    <mergeCell ref="R190:T190"/>
    <mergeCell ref="R191:T191"/>
    <mergeCell ref="R193:T194"/>
    <mergeCell ref="U193:U194"/>
    <mergeCell ref="R195:T195"/>
    <mergeCell ref="R196:T196"/>
    <mergeCell ref="R198:T199"/>
    <mergeCell ref="U198:U199"/>
    <mergeCell ref="V198:V199"/>
    <mergeCell ref="W198:W199"/>
    <mergeCell ref="X198:X199"/>
    <mergeCell ref="R200:T200"/>
    <mergeCell ref="R201:T201"/>
    <mergeCell ref="R202:T202"/>
    <mergeCell ref="R204:Y208"/>
    <mergeCell ref="R210:W211"/>
    <mergeCell ref="X210:X211"/>
    <mergeCell ref="Y210:Y211"/>
    <mergeCell ref="Y213:Y214"/>
    <mergeCell ref="R215:U215"/>
    <mergeCell ref="R216:U216"/>
    <mergeCell ref="R217:U217"/>
    <mergeCell ref="R213:U214"/>
    <mergeCell ref="V213:V214"/>
    <mergeCell ref="W213:W214"/>
    <mergeCell ref="X213:X214"/>
    <mergeCell ref="R218:U218"/>
    <mergeCell ref="R219:U219"/>
    <mergeCell ref="R220:U220"/>
    <mergeCell ref="R221:U221"/>
    <mergeCell ref="R222:U222"/>
    <mergeCell ref="R223:U223"/>
    <mergeCell ref="R224:U224"/>
    <mergeCell ref="R225:U225"/>
    <mergeCell ref="R226:U226"/>
    <mergeCell ref="R227:U227"/>
    <mergeCell ref="R228:U228"/>
    <mergeCell ref="R229:U229"/>
    <mergeCell ref="R231:U231"/>
    <mergeCell ref="R235:T236"/>
    <mergeCell ref="U235:U236"/>
    <mergeCell ref="V235:V236"/>
    <mergeCell ref="W235:W236"/>
    <mergeCell ref="X235:X236"/>
    <mergeCell ref="R237:T237"/>
    <mergeCell ref="U237:U239"/>
    <mergeCell ref="R238:T238"/>
    <mergeCell ref="R239:T239"/>
    <mergeCell ref="X241:X242"/>
    <mergeCell ref="R243:T243"/>
    <mergeCell ref="U243:U245"/>
    <mergeCell ref="R244:T244"/>
    <mergeCell ref="R245:T245"/>
    <mergeCell ref="R241:T242"/>
    <mergeCell ref="U241:U242"/>
    <mergeCell ref="V241:V242"/>
    <mergeCell ref="W241:W242"/>
    <mergeCell ref="X247:X248"/>
    <mergeCell ref="R249:T249"/>
    <mergeCell ref="U249:U251"/>
    <mergeCell ref="R250:T250"/>
    <mergeCell ref="R251:T251"/>
    <mergeCell ref="R247:T248"/>
    <mergeCell ref="U247:U248"/>
    <mergeCell ref="V247:V248"/>
    <mergeCell ref="W247:W248"/>
    <mergeCell ref="X254:X255"/>
    <mergeCell ref="R257:T257"/>
    <mergeCell ref="R260:Y260"/>
    <mergeCell ref="R264:S265"/>
    <mergeCell ref="U264:V264"/>
    <mergeCell ref="U265:V265"/>
    <mergeCell ref="R254:T255"/>
    <mergeCell ref="U254:U255"/>
    <mergeCell ref="V254:V255"/>
    <mergeCell ref="W254:W255"/>
    <mergeCell ref="X267:X268"/>
    <mergeCell ref="R268:R271"/>
    <mergeCell ref="S268:T268"/>
    <mergeCell ref="S269:T269"/>
    <mergeCell ref="S270:T270"/>
    <mergeCell ref="S271:T271"/>
    <mergeCell ref="R267:T267"/>
    <mergeCell ref="U267:U268"/>
    <mergeCell ref="V267:V268"/>
    <mergeCell ref="W267:W268"/>
    <mergeCell ref="R272:X272"/>
    <mergeCell ref="R273:T273"/>
    <mergeCell ref="U273:U274"/>
    <mergeCell ref="V273:V274"/>
    <mergeCell ref="W273:W274"/>
    <mergeCell ref="X273:X274"/>
    <mergeCell ref="R274:R277"/>
    <mergeCell ref="S274:T274"/>
    <mergeCell ref="S275:T275"/>
    <mergeCell ref="S276:T276"/>
    <mergeCell ref="S277:T277"/>
    <mergeCell ref="R278:X278"/>
    <mergeCell ref="R279:T279"/>
    <mergeCell ref="U279:U280"/>
    <mergeCell ref="V279:V280"/>
    <mergeCell ref="W279:W280"/>
    <mergeCell ref="X279:X280"/>
    <mergeCell ref="R280:R283"/>
    <mergeCell ref="S280:T280"/>
    <mergeCell ref="S281:T281"/>
    <mergeCell ref="S282:T282"/>
    <mergeCell ref="S283:T283"/>
    <mergeCell ref="R286:U287"/>
    <mergeCell ref="V286:V287"/>
    <mergeCell ref="W286:W287"/>
    <mergeCell ref="X286:X287"/>
    <mergeCell ref="Y286:Y287"/>
    <mergeCell ref="R288:U288"/>
    <mergeCell ref="R289:U289"/>
    <mergeCell ref="R290:U290"/>
    <mergeCell ref="R291:U291"/>
    <mergeCell ref="R292:U292"/>
    <mergeCell ref="R293:U293"/>
    <mergeCell ref="R294:U294"/>
    <mergeCell ref="R295:U295"/>
    <mergeCell ref="R296:U296"/>
    <mergeCell ref="R297:U297"/>
    <mergeCell ref="R298:U298"/>
    <mergeCell ref="R299:U299"/>
    <mergeCell ref="T301:U301"/>
    <mergeCell ref="T302:U302"/>
    <mergeCell ref="R305:V305"/>
    <mergeCell ref="R306:R307"/>
    <mergeCell ref="S306:S307"/>
    <mergeCell ref="T306:T307"/>
    <mergeCell ref="U306:U307"/>
    <mergeCell ref="V306:V307"/>
    <mergeCell ref="R316:W318"/>
    <mergeCell ref="R336:S339"/>
    <mergeCell ref="T336:T337"/>
    <mergeCell ref="R319:W319"/>
    <mergeCell ref="R320:W320"/>
    <mergeCell ref="R322:S326"/>
    <mergeCell ref="T322:T324"/>
    <mergeCell ref="U322:U324"/>
    <mergeCell ref="V322:V324"/>
    <mergeCell ref="W322:W324"/>
    <mergeCell ref="R328:W328"/>
    <mergeCell ref="R329:S332"/>
    <mergeCell ref="T329:T330"/>
    <mergeCell ref="U329:U330"/>
    <mergeCell ref="V329:V330"/>
    <mergeCell ref="W329:W330"/>
    <mergeCell ref="T342:T343"/>
    <mergeCell ref="U342:U343"/>
    <mergeCell ref="V342:V343"/>
    <mergeCell ref="W342:W343"/>
    <mergeCell ref="U336:U337"/>
    <mergeCell ref="R348:W348"/>
    <mergeCell ref="R341:W341"/>
    <mergeCell ref="R342:S345"/>
    <mergeCell ref="V336:V337"/>
    <mergeCell ref="W336:W337"/>
    <mergeCell ref="R365:S368"/>
    <mergeCell ref="T365:T366"/>
    <mergeCell ref="R349:W349"/>
    <mergeCell ref="R351:S355"/>
    <mergeCell ref="T351:T353"/>
    <mergeCell ref="U351:U353"/>
    <mergeCell ref="V351:V353"/>
    <mergeCell ref="W351:W353"/>
    <mergeCell ref="R357:W357"/>
    <mergeCell ref="R358:S361"/>
    <mergeCell ref="T358:T359"/>
    <mergeCell ref="U358:U359"/>
    <mergeCell ref="V358:V359"/>
    <mergeCell ref="W358:W359"/>
    <mergeCell ref="T371:T372"/>
    <mergeCell ref="U371:U372"/>
    <mergeCell ref="V371:V372"/>
    <mergeCell ref="W371:W372"/>
    <mergeCell ref="U365:U366"/>
    <mergeCell ref="R377:W377"/>
    <mergeCell ref="R370:W370"/>
    <mergeCell ref="R371:S374"/>
    <mergeCell ref="V365:V366"/>
    <mergeCell ref="W365:W366"/>
    <mergeCell ref="R394:S397"/>
    <mergeCell ref="T394:T395"/>
    <mergeCell ref="R378:W378"/>
    <mergeCell ref="R380:S384"/>
    <mergeCell ref="T380:T382"/>
    <mergeCell ref="U380:U382"/>
    <mergeCell ref="V380:V382"/>
    <mergeCell ref="W380:W382"/>
    <mergeCell ref="R386:W386"/>
    <mergeCell ref="R387:S390"/>
    <mergeCell ref="T387:T388"/>
    <mergeCell ref="U387:U388"/>
    <mergeCell ref="V387:V388"/>
    <mergeCell ref="W387:W388"/>
    <mergeCell ref="T400:T401"/>
    <mergeCell ref="U400:U401"/>
    <mergeCell ref="V400:V401"/>
    <mergeCell ref="W400:W401"/>
    <mergeCell ref="U394:U395"/>
    <mergeCell ref="R406:W406"/>
    <mergeCell ref="R399:W399"/>
    <mergeCell ref="R400:S403"/>
    <mergeCell ref="V394:V395"/>
    <mergeCell ref="W394:W395"/>
    <mergeCell ref="R407:W407"/>
    <mergeCell ref="R409:S413"/>
    <mergeCell ref="T409:T411"/>
    <mergeCell ref="U409:U411"/>
    <mergeCell ref="V409:V411"/>
    <mergeCell ref="W409:W411"/>
    <mergeCell ref="V423:V424"/>
    <mergeCell ref="R415:W415"/>
    <mergeCell ref="R416:S419"/>
    <mergeCell ref="T416:T417"/>
    <mergeCell ref="U416:U417"/>
    <mergeCell ref="V416:V417"/>
    <mergeCell ref="W416:W417"/>
    <mergeCell ref="W423:W424"/>
    <mergeCell ref="R423:S426"/>
    <mergeCell ref="T423:T424"/>
    <mergeCell ref="U423:U424"/>
    <mergeCell ref="R435:W437"/>
    <mergeCell ref="R438:W438"/>
    <mergeCell ref="R439:W439"/>
    <mergeCell ref="R428:W428"/>
    <mergeCell ref="R429:S432"/>
    <mergeCell ref="T429:T430"/>
    <mergeCell ref="U429:U430"/>
    <mergeCell ref="V429:V430"/>
    <mergeCell ref="W429:W430"/>
    <mergeCell ref="R441:S445"/>
    <mergeCell ref="T441:T443"/>
    <mergeCell ref="U441:U443"/>
    <mergeCell ref="V441:V443"/>
    <mergeCell ref="W441:W443"/>
    <mergeCell ref="V455:V456"/>
    <mergeCell ref="R447:W447"/>
    <mergeCell ref="R448:S451"/>
    <mergeCell ref="T448:T449"/>
    <mergeCell ref="U448:U449"/>
    <mergeCell ref="V448:V449"/>
    <mergeCell ref="W448:W449"/>
    <mergeCell ref="W455:W456"/>
    <mergeCell ref="R455:S458"/>
    <mergeCell ref="T455:T456"/>
    <mergeCell ref="U455:U456"/>
    <mergeCell ref="R467:W467"/>
    <mergeCell ref="R468:W468"/>
    <mergeCell ref="R460:W460"/>
    <mergeCell ref="R461:S464"/>
    <mergeCell ref="T461:T462"/>
    <mergeCell ref="U461:U462"/>
    <mergeCell ref="V461:V462"/>
    <mergeCell ref="W461:W462"/>
    <mergeCell ref="R470:S474"/>
    <mergeCell ref="T470:T472"/>
    <mergeCell ref="U470:U472"/>
    <mergeCell ref="V470:V472"/>
    <mergeCell ref="W470:W472"/>
    <mergeCell ref="V484:V485"/>
    <mergeCell ref="R476:W476"/>
    <mergeCell ref="R477:S480"/>
    <mergeCell ref="T477:T478"/>
    <mergeCell ref="U477:U478"/>
    <mergeCell ref="V477:V478"/>
    <mergeCell ref="W477:W478"/>
    <mergeCell ref="W484:W485"/>
    <mergeCell ref="R484:S487"/>
    <mergeCell ref="T484:T485"/>
    <mergeCell ref="U484:U485"/>
    <mergeCell ref="R496:W496"/>
    <mergeCell ref="R497:W497"/>
    <mergeCell ref="R489:W489"/>
    <mergeCell ref="R490:S493"/>
    <mergeCell ref="T490:T491"/>
    <mergeCell ref="U490:U491"/>
    <mergeCell ref="V490:V491"/>
    <mergeCell ref="W490:W491"/>
    <mergeCell ref="R499:S503"/>
    <mergeCell ref="T499:T501"/>
    <mergeCell ref="U499:U501"/>
    <mergeCell ref="V499:V501"/>
    <mergeCell ref="W499:W501"/>
    <mergeCell ref="V513:V514"/>
    <mergeCell ref="R505:W505"/>
    <mergeCell ref="R506:S509"/>
    <mergeCell ref="T506:T507"/>
    <mergeCell ref="U506:U507"/>
    <mergeCell ref="V506:V507"/>
    <mergeCell ref="W506:W507"/>
    <mergeCell ref="W513:W514"/>
    <mergeCell ref="R513:S516"/>
    <mergeCell ref="T513:T514"/>
    <mergeCell ref="U513:U514"/>
    <mergeCell ref="R525:W525"/>
    <mergeCell ref="R526:W526"/>
    <mergeCell ref="R518:W518"/>
    <mergeCell ref="R519:S522"/>
    <mergeCell ref="T519:T520"/>
    <mergeCell ref="U519:U520"/>
    <mergeCell ref="V519:V520"/>
    <mergeCell ref="W519:W520"/>
    <mergeCell ref="R528:S532"/>
    <mergeCell ref="T528:T530"/>
    <mergeCell ref="U528:U530"/>
    <mergeCell ref="V528:V530"/>
    <mergeCell ref="W528:W530"/>
    <mergeCell ref="V542:V543"/>
    <mergeCell ref="R534:W534"/>
    <mergeCell ref="R535:S538"/>
    <mergeCell ref="T535:T536"/>
    <mergeCell ref="U535:U536"/>
    <mergeCell ref="V535:V536"/>
    <mergeCell ref="W535:W536"/>
    <mergeCell ref="W542:W543"/>
    <mergeCell ref="R542:S545"/>
    <mergeCell ref="T542:T543"/>
    <mergeCell ref="U542:U543"/>
    <mergeCell ref="R547:W547"/>
    <mergeCell ref="R548:S551"/>
    <mergeCell ref="T548:T549"/>
    <mergeCell ref="U548:U549"/>
    <mergeCell ref="V548:V549"/>
    <mergeCell ref="W548:W549"/>
  </mergeCells>
  <phoneticPr fontId="0" type="noConversion"/>
  <conditionalFormatting sqref="U108:X109">
    <cfRule type="cellIs" dxfId="621" priority="1" stopIfTrue="1" operator="equal">
      <formula>"yes"</formula>
    </cfRule>
    <cfRule type="cellIs" dxfId="620" priority="2" stopIfTrue="1" operator="equal">
      <formula>"no"</formula>
    </cfRule>
  </conditionalFormatting>
  <conditionalFormatting sqref="X254:X255 X106:X107 X247:X248 X49:X50 X235:X236 X54:X55 X67:X68 X74:X75 X100:X101 X112:X113 X118:X119 X132:X133 X279:X280 X126:X127 X241:X242 X59:X60 Y286:Y287 S306:S307 X143:X144 X183:X184 X177:X178 X267:X268 X273:X274 Y213:Y214 X83 X90 X156:X157 X150:X151 X198:X199 X162:X163 X167:X168 X172:X173 X188:X189 X193:X194">
    <cfRule type="cellIs" dxfId="619" priority="3" stopIfTrue="1" operator="equal">
      <formula>$U$31</formula>
    </cfRule>
    <cfRule type="cellIs" dxfId="618" priority="4" stopIfTrue="1" operator="equal">
      <formula>$W$31</formula>
    </cfRule>
    <cfRule type="cellIs" dxfId="617" priority="5" stopIfTrue="1" operator="equal">
      <formula>$Y$31</formula>
    </cfRule>
  </conditionalFormatting>
  <conditionalFormatting sqref="V106:V107 V247:V248 V49:V50 V241:V242 V54:V55 V59:V60 V67:V68 V74:V75 W286:W287 V100:V101 V112:V113 V118:V119 V126:V127 V132:V133 V279:V280 V235:V236 V254:V255 T306:T307 V143:V144 V183:V184 V177:V178 V267:V268 V273:V274 W213:W214 V83 V90 V156:V157 V150:V151 V198:V199 V162:V163 V167:V168 V172:V173 V188:V189 V193:V194">
    <cfRule type="cellIs" dxfId="616" priority="6" stopIfTrue="1" operator="equal">
      <formula>$R$6</formula>
    </cfRule>
    <cfRule type="cellIs" dxfId="615" priority="7" stopIfTrue="1" operator="equal">
      <formula>$V$33</formula>
    </cfRule>
    <cfRule type="cellIs" dxfId="614" priority="8" stopIfTrue="1" operator="equal">
      <formula>$R$8</formula>
    </cfRule>
  </conditionalFormatting>
  <conditionalFormatting sqref="W106:W107 W126:W127 W247:W248 W49:W50 W241:W242 W54:W55 W59:W60 W67:W68 W74:W75 X286:X287 W100:W101 W112:W113 W118:W119 W132:W133 W279:W280 W235:W236 W254:W255 U306:U307 W143:W144 W183:W184 W177:W178 W267:W268 W273:W274 X213:X214 W83 W90 W156:W157 W150:W151 W198:W199 W162:W163 W167:W168 W172:W173 W188:W189 W193:W194">
    <cfRule type="cellIs" dxfId="613" priority="9" stopIfTrue="1" operator="equal">
      <formula>$R$6</formula>
    </cfRule>
    <cfRule type="cellIs" dxfId="612" priority="10" stopIfTrue="1" operator="equal">
      <formula>$R$7</formula>
    </cfRule>
    <cfRule type="cellIs" dxfId="611" priority="11" stopIfTrue="1" operator="equal">
      <formula>$W$33</formula>
    </cfRule>
  </conditionalFormatting>
  <conditionalFormatting sqref="R36 R44">
    <cfRule type="cellIs" dxfId="610" priority="12" stopIfTrue="1" operator="equal">
      <formula>$AI$31</formula>
    </cfRule>
    <cfRule type="cellIs" dxfId="609" priority="13" stopIfTrue="1" operator="equal">
      <formula>$AK$31</formula>
    </cfRule>
    <cfRule type="cellIs" dxfId="608" priority="14" stopIfTrue="1" operator="equal">
      <formula>$AM$31</formula>
    </cfRule>
  </conditionalFormatting>
  <conditionalFormatting sqref="R34 R42">
    <cfRule type="cellIs" dxfId="607" priority="15" stopIfTrue="1" operator="equal">
      <formula>$AF$6</formula>
    </cfRule>
    <cfRule type="cellIs" dxfId="606" priority="16" stopIfTrue="1" operator="equal">
      <formula>$AJ$33</formula>
    </cfRule>
    <cfRule type="cellIs" dxfId="605" priority="17" stopIfTrue="1" operator="equal">
      <formula>$AF$8</formula>
    </cfRule>
  </conditionalFormatting>
  <conditionalFormatting sqref="R35 R43">
    <cfRule type="cellIs" dxfId="604" priority="18" stopIfTrue="1" operator="equal">
      <formula>$AF$6</formula>
    </cfRule>
    <cfRule type="cellIs" dxfId="603" priority="19" stopIfTrue="1" operator="equal">
      <formula>$AF$7</formula>
    </cfRule>
    <cfRule type="cellIs" dxfId="602" priority="20" stopIfTrue="1" operator="equal">
      <formula>$AK$33</formula>
    </cfRule>
  </conditionalFormatting>
  <pageMargins left="0" right="0" top="0.59055118110236227" bottom="0.39370078740157483" header="0.51181102362204722" footer="0.51181102362204722"/>
  <pageSetup paperSize="9" scale="96" fitToHeight="6"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sheetPr codeName="Sheet57">
    <pageSetUpPr fitToPage="1"/>
  </sheetPr>
  <dimension ref="A1:AJ907"/>
  <sheetViews>
    <sheetView showRowColHeaders="0" tabSelected="1" workbookViewId="0">
      <selection activeCell="B2" sqref="B2:K3"/>
    </sheetView>
  </sheetViews>
  <sheetFormatPr defaultRowHeight="12.75"/>
  <cols>
    <col min="1" max="1" width="10.7109375" style="1" customWidth="1"/>
    <col min="2" max="11" width="11.7109375" style="1" customWidth="1"/>
    <col min="12" max="16" width="10.7109375" style="1" customWidth="1"/>
    <col min="17" max="17" width="4.7109375" style="20" customWidth="1"/>
    <col min="18" max="20" width="10.7109375" style="18" customWidth="1"/>
    <col min="21" max="23" width="11.7109375" style="18" customWidth="1"/>
    <col min="24" max="26" width="10.7109375" style="18" customWidth="1"/>
    <col min="27" max="27" width="10.7109375" style="1" customWidth="1"/>
    <col min="28" max="30" width="8.7109375" style="1" customWidth="1"/>
    <col min="31" max="35" width="13.7109375" style="1" customWidth="1"/>
    <col min="36" max="37" width="10.7109375" style="1" customWidth="1"/>
    <col min="38" max="54" width="10.28515625" style="1" customWidth="1"/>
    <col min="55" max="110" width="10.7109375" style="1" customWidth="1"/>
    <col min="111" max="16384" width="9.140625" style="1"/>
  </cols>
  <sheetData>
    <row r="1" spans="1:32" ht="6" customHeight="1" thickBot="1">
      <c r="A1" s="121"/>
      <c r="B1" s="121"/>
      <c r="C1" s="121"/>
      <c r="D1" s="121"/>
      <c r="E1" s="121"/>
      <c r="F1" s="121"/>
      <c r="G1" s="121"/>
      <c r="H1" s="121"/>
      <c r="I1" s="121"/>
      <c r="J1" s="121"/>
      <c r="K1" s="121"/>
      <c r="L1" s="121"/>
      <c r="M1" s="121"/>
      <c r="N1" s="121"/>
      <c r="O1" s="121"/>
      <c r="P1" s="121"/>
      <c r="Q1" s="360"/>
      <c r="R1" s="361"/>
      <c r="S1" s="361"/>
      <c r="T1" s="361"/>
      <c r="U1" s="361"/>
      <c r="V1" s="361"/>
      <c r="W1" s="361"/>
      <c r="X1" s="361"/>
      <c r="Y1" s="361"/>
      <c r="Z1" s="361"/>
      <c r="AA1"/>
      <c r="AB1"/>
      <c r="AC1"/>
      <c r="AD1"/>
      <c r="AE1"/>
      <c r="AF1"/>
    </row>
    <row r="2" spans="1:32" ht="12.75" customHeight="1" thickTop="1">
      <c r="A2" s="121"/>
      <c r="B2" s="753" t="s">
        <v>444</v>
      </c>
      <c r="C2" s="754"/>
      <c r="D2" s="754"/>
      <c r="E2" s="754"/>
      <c r="F2" s="754"/>
      <c r="G2" s="754"/>
      <c r="H2" s="754"/>
      <c r="I2" s="754"/>
      <c r="J2" s="754"/>
      <c r="K2" s="755"/>
      <c r="L2" s="121"/>
      <c r="M2" s="121"/>
      <c r="N2" s="121"/>
      <c r="O2" s="121"/>
      <c r="P2" s="121"/>
      <c r="Q2" s="363"/>
      <c r="R2" s="1024" t="s">
        <v>396</v>
      </c>
      <c r="S2" s="1025"/>
      <c r="T2" s="1025"/>
      <c r="U2" s="1025"/>
      <c r="V2" s="1025"/>
      <c r="W2" s="1025"/>
      <c r="X2" s="1025"/>
      <c r="Y2" s="1026"/>
      <c r="Z2" s="362"/>
      <c r="AA2"/>
      <c r="AB2"/>
      <c r="AC2"/>
      <c r="AD2"/>
      <c r="AE2"/>
      <c r="AF2"/>
    </row>
    <row r="3" spans="1:32" ht="12.75" customHeight="1" thickBot="1">
      <c r="A3" s="121"/>
      <c r="B3" s="756"/>
      <c r="C3" s="757"/>
      <c r="D3" s="757"/>
      <c r="E3" s="757"/>
      <c r="F3" s="757"/>
      <c r="G3" s="757"/>
      <c r="H3" s="757"/>
      <c r="I3" s="757"/>
      <c r="J3" s="757"/>
      <c r="K3" s="758"/>
      <c r="L3" s="121"/>
      <c r="M3" s="121"/>
      <c r="N3" s="121"/>
      <c r="O3" s="121"/>
      <c r="P3" s="121"/>
      <c r="Q3" s="363"/>
      <c r="R3" s="1027"/>
      <c r="S3" s="1028"/>
      <c r="T3" s="1028"/>
      <c r="U3" s="1028"/>
      <c r="V3" s="1028"/>
      <c r="W3" s="1028"/>
      <c r="X3" s="1028"/>
      <c r="Y3" s="1029"/>
      <c r="Z3" s="362"/>
      <c r="AA3"/>
      <c r="AB3"/>
      <c r="AC3"/>
      <c r="AD3"/>
      <c r="AE3"/>
      <c r="AF3"/>
    </row>
    <row r="4" spans="1:32" ht="12.75" customHeight="1" thickTop="1">
      <c r="A4" s="121"/>
      <c r="B4" s="121"/>
      <c r="C4" s="121"/>
      <c r="D4" s="121"/>
      <c r="E4" s="121"/>
      <c r="F4" s="121"/>
      <c r="G4" s="121"/>
      <c r="H4" s="121"/>
      <c r="I4" s="121"/>
      <c r="J4" s="121"/>
      <c r="K4" s="121"/>
      <c r="L4" s="121"/>
      <c r="M4" s="121"/>
      <c r="N4" s="121"/>
      <c r="O4" s="121"/>
      <c r="P4" s="121"/>
      <c r="Q4" s="363"/>
      <c r="R4" s="361"/>
      <c r="S4" s="361"/>
      <c r="T4" s="361"/>
      <c r="U4" s="361"/>
      <c r="V4" s="361"/>
      <c r="W4" s="361"/>
      <c r="X4" s="361"/>
      <c r="Y4" s="361"/>
      <c r="Z4" s="361"/>
      <c r="AA4"/>
      <c r="AB4"/>
      <c r="AC4"/>
      <c r="AD4"/>
      <c r="AE4"/>
      <c r="AF4"/>
    </row>
    <row r="5" spans="1:32" ht="12.75" customHeight="1">
      <c r="A5" s="121"/>
      <c r="B5" s="828" t="s">
        <v>581</v>
      </c>
      <c r="C5" s="829"/>
      <c r="D5" s="830"/>
      <c r="E5" s="460">
        <v>450</v>
      </c>
      <c r="F5" s="461">
        <f>+E5</f>
        <v>450</v>
      </c>
      <c r="G5" s="121"/>
      <c r="H5" s="121"/>
      <c r="I5" s="121"/>
      <c r="J5" s="121"/>
      <c r="K5" s="121"/>
      <c r="L5" s="121"/>
      <c r="M5" s="121"/>
      <c r="N5" s="121"/>
      <c r="O5" s="121"/>
      <c r="P5" s="121"/>
      <c r="Q5" s="360"/>
      <c r="R5" s="951" t="s">
        <v>868</v>
      </c>
      <c r="S5" s="951"/>
      <c r="T5" s="951"/>
      <c r="U5" s="951"/>
      <c r="V5" s="447">
        <f>F5</f>
        <v>450</v>
      </c>
      <c r="W5" s="362"/>
      <c r="X5" s="362"/>
      <c r="Y5" s="362"/>
      <c r="Z5" s="362"/>
      <c r="AA5"/>
      <c r="AB5"/>
      <c r="AC5"/>
      <c r="AD5"/>
      <c r="AE5"/>
      <c r="AF5"/>
    </row>
    <row r="6" spans="1:32" ht="12.75" customHeight="1">
      <c r="A6" s="121"/>
      <c r="B6" s="121"/>
      <c r="C6" s="121"/>
      <c r="D6" s="121"/>
      <c r="E6" s="121"/>
      <c r="F6" s="121"/>
      <c r="G6" s="121"/>
      <c r="H6" s="121"/>
      <c r="I6" s="121"/>
      <c r="J6" s="121"/>
      <c r="K6" s="121"/>
      <c r="L6" s="121"/>
      <c r="M6" s="121"/>
      <c r="N6" s="121"/>
      <c r="O6" s="121"/>
      <c r="P6" s="121"/>
      <c r="Q6" s="360"/>
      <c r="R6" s="362"/>
      <c r="S6" s="362"/>
      <c r="T6" s="362"/>
      <c r="U6" s="362"/>
      <c r="V6" s="361"/>
      <c r="W6" s="361"/>
      <c r="X6" s="361"/>
      <c r="Y6" s="361"/>
      <c r="Z6" s="361"/>
      <c r="AA6"/>
      <c r="AB6"/>
      <c r="AC6"/>
      <c r="AD6"/>
      <c r="AE6"/>
      <c r="AF6"/>
    </row>
    <row r="7" spans="1:32" ht="12.75" customHeight="1">
      <c r="A7" s="121"/>
      <c r="B7" s="121"/>
      <c r="C7" s="121"/>
      <c r="D7" s="121"/>
      <c r="E7" s="121"/>
      <c r="F7" s="121"/>
      <c r="G7" s="121"/>
      <c r="H7" s="121"/>
      <c r="I7" s="121"/>
      <c r="J7" s="121"/>
      <c r="K7" s="121"/>
      <c r="L7" s="121"/>
      <c r="M7" s="121"/>
      <c r="N7" s="121"/>
      <c r="O7" s="121"/>
      <c r="P7" s="121"/>
      <c r="Q7" s="385">
        <v>1</v>
      </c>
      <c r="R7" s="1008" t="s">
        <v>24</v>
      </c>
      <c r="S7" s="1008"/>
      <c r="T7" s="1008"/>
      <c r="U7" s="1008"/>
      <c r="V7" s="1008"/>
      <c r="W7" s="1008"/>
      <c r="X7" s="1008"/>
      <c r="Y7" s="1008"/>
      <c r="Z7" s="536"/>
      <c r="AA7"/>
      <c r="AB7"/>
      <c r="AC7"/>
      <c r="AD7"/>
      <c r="AE7"/>
      <c r="AF7"/>
    </row>
    <row r="8" spans="1:32" ht="12.75" customHeight="1">
      <c r="A8" s="121"/>
      <c r="B8" s="121"/>
      <c r="C8" s="121"/>
      <c r="D8" s="121"/>
      <c r="E8" s="121"/>
      <c r="F8" s="121"/>
      <c r="G8" s="121"/>
      <c r="H8" s="121"/>
      <c r="I8" s="121"/>
      <c r="J8" s="121"/>
      <c r="K8" s="121"/>
      <c r="L8" s="121"/>
      <c r="M8" s="121"/>
      <c r="N8" s="121"/>
      <c r="O8" s="121"/>
      <c r="P8" s="121"/>
      <c r="Q8" s="386"/>
      <c r="R8" s="361"/>
      <c r="S8" s="361"/>
      <c r="T8" s="361"/>
      <c r="U8" s="361"/>
      <c r="V8" s="361"/>
      <c r="W8" s="361"/>
      <c r="X8" s="361"/>
      <c r="Y8" s="361"/>
      <c r="Z8" s="361"/>
      <c r="AA8"/>
      <c r="AB8"/>
      <c r="AC8"/>
      <c r="AD8"/>
      <c r="AE8"/>
      <c r="AF8"/>
    </row>
    <row r="9" spans="1:32" ht="12.75" customHeight="1">
      <c r="A9" s="121"/>
      <c r="B9" s="121"/>
      <c r="C9" s="121"/>
      <c r="D9" s="121"/>
      <c r="E9" s="121"/>
      <c r="F9" s="121"/>
      <c r="G9" s="121"/>
      <c r="H9" s="121"/>
      <c r="I9" s="121"/>
      <c r="J9" s="121"/>
      <c r="K9" s="121"/>
      <c r="L9" s="121"/>
      <c r="M9" s="121"/>
      <c r="N9" s="121"/>
      <c r="O9" s="121"/>
      <c r="P9" s="121"/>
      <c r="Q9" s="360">
        <v>1.1000000000000001</v>
      </c>
      <c r="R9" s="364" t="s">
        <v>586</v>
      </c>
      <c r="S9" s="363"/>
      <c r="T9" s="363"/>
      <c r="U9" s="363"/>
      <c r="V9" s="363"/>
      <c r="W9" s="363"/>
      <c r="X9" s="363"/>
      <c r="Y9" s="363"/>
      <c r="Z9" s="363"/>
      <c r="AA9"/>
      <c r="AB9"/>
      <c r="AC9"/>
      <c r="AD9"/>
      <c r="AE9"/>
      <c r="AF9"/>
    </row>
    <row r="10" spans="1:32" ht="12.75" customHeight="1">
      <c r="A10" s="121"/>
      <c r="B10" s="121"/>
      <c r="C10" s="121"/>
      <c r="D10" s="121"/>
      <c r="E10" s="121"/>
      <c r="F10" s="121"/>
      <c r="G10" s="121"/>
      <c r="H10" s="121"/>
      <c r="I10" s="121"/>
      <c r="J10" s="121"/>
      <c r="K10" s="121"/>
      <c r="L10" s="121"/>
      <c r="M10" s="121"/>
      <c r="N10" s="121"/>
      <c r="O10" s="121"/>
      <c r="P10" s="121"/>
      <c r="Q10" s="360"/>
      <c r="R10" s="969" t="s">
        <v>25</v>
      </c>
      <c r="S10" s="969"/>
      <c r="T10" s="969"/>
      <c r="U10" s="969"/>
      <c r="V10" s="447">
        <f>'Prod Parameters'!F8</f>
        <v>23</v>
      </c>
      <c r="W10" s="363"/>
      <c r="X10" s="363"/>
      <c r="Y10" s="363"/>
      <c r="Z10" s="363"/>
      <c r="AA10"/>
      <c r="AB10"/>
      <c r="AC10"/>
      <c r="AD10"/>
      <c r="AE10"/>
      <c r="AF10"/>
    </row>
    <row r="11" spans="1:32" ht="12.75" customHeight="1">
      <c r="A11" s="121"/>
      <c r="B11" s="121"/>
      <c r="C11" s="121"/>
      <c r="D11" s="121"/>
      <c r="E11" s="121"/>
      <c r="F11" s="121"/>
      <c r="G11" s="121"/>
      <c r="H11" s="121"/>
      <c r="I11" s="121"/>
      <c r="J11" s="121"/>
      <c r="K11" s="121"/>
      <c r="L11" s="121"/>
      <c r="M11" s="121"/>
      <c r="N11" s="121"/>
      <c r="O11" s="121"/>
      <c r="P11" s="121"/>
      <c r="Q11" s="360"/>
      <c r="R11" s="969" t="s">
        <v>325</v>
      </c>
      <c r="S11" s="969"/>
      <c r="T11" s="969"/>
      <c r="U11" s="969"/>
      <c r="V11" s="447">
        <f>'Prod Parameters'!F9</f>
        <v>23</v>
      </c>
      <c r="W11" s="363"/>
      <c r="X11" s="363"/>
      <c r="Y11" s="363"/>
      <c r="Z11" s="363"/>
      <c r="AA11"/>
      <c r="AB11"/>
      <c r="AC11"/>
      <c r="AD11"/>
      <c r="AE11"/>
      <c r="AF11"/>
    </row>
    <row r="12" spans="1:32" ht="12.75" customHeight="1">
      <c r="A12" s="121"/>
      <c r="B12" s="121"/>
      <c r="C12" s="121"/>
      <c r="D12" s="121"/>
      <c r="E12" s="121"/>
      <c r="F12" s="121"/>
      <c r="G12" s="121"/>
      <c r="H12" s="121"/>
      <c r="I12" s="121"/>
      <c r="J12" s="121"/>
      <c r="K12" s="121"/>
      <c r="L12" s="121"/>
      <c r="M12" s="121"/>
      <c r="N12" s="121"/>
      <c r="O12" s="121"/>
      <c r="P12" s="121"/>
      <c r="Q12" s="360"/>
      <c r="R12" s="1021" t="s">
        <v>26</v>
      </c>
      <c r="S12" s="1022"/>
      <c r="T12" s="1022"/>
      <c r="U12" s="1023"/>
      <c r="V12" s="447">
        <f>'Prod Parameters'!F10</f>
        <v>6</v>
      </c>
      <c r="W12" s="363"/>
      <c r="X12" s="363"/>
      <c r="Y12" s="363"/>
      <c r="Z12" s="363"/>
      <c r="AA12"/>
      <c r="AB12"/>
      <c r="AC12"/>
      <c r="AD12"/>
      <c r="AE12"/>
      <c r="AF12"/>
    </row>
    <row r="13" spans="1:32" ht="12.75" customHeight="1">
      <c r="A13" s="121"/>
      <c r="B13" s="121"/>
      <c r="C13" s="121"/>
      <c r="D13" s="121"/>
      <c r="E13" s="121"/>
      <c r="F13" s="121"/>
      <c r="G13" s="121"/>
      <c r="H13" s="121"/>
      <c r="I13" s="121"/>
      <c r="J13" s="121"/>
      <c r="K13" s="121"/>
      <c r="L13" s="121"/>
      <c r="M13" s="121"/>
      <c r="N13" s="121"/>
      <c r="O13" s="121"/>
      <c r="P13" s="121"/>
      <c r="Q13" s="360"/>
      <c r="R13" s="969" t="s">
        <v>27</v>
      </c>
      <c r="S13" s="969"/>
      <c r="T13" s="969"/>
      <c r="U13" s="969"/>
      <c r="V13" s="447">
        <f>'Prod Parameters'!F11</f>
        <v>52</v>
      </c>
      <c r="W13" s="363"/>
      <c r="X13" s="363"/>
      <c r="Y13" s="363"/>
      <c r="Z13" s="363"/>
      <c r="AA13"/>
      <c r="AB13"/>
      <c r="AC13"/>
      <c r="AD13"/>
      <c r="AE13"/>
      <c r="AF13"/>
    </row>
    <row r="14" spans="1:32" ht="12.75" customHeight="1">
      <c r="A14" s="121"/>
      <c r="B14" s="121"/>
      <c r="C14" s="121"/>
      <c r="D14" s="121"/>
      <c r="E14" s="121"/>
      <c r="F14" s="121"/>
      <c r="G14" s="121"/>
      <c r="H14" s="121"/>
      <c r="I14" s="121"/>
      <c r="J14" s="121"/>
      <c r="K14" s="121"/>
      <c r="L14" s="121"/>
      <c r="M14" s="121"/>
      <c r="N14" s="121"/>
      <c r="O14" s="121"/>
      <c r="P14" s="121"/>
      <c r="Q14" s="360"/>
      <c r="R14" s="969" t="s">
        <v>28</v>
      </c>
      <c r="S14" s="969"/>
      <c r="T14" s="969"/>
      <c r="U14" s="969"/>
      <c r="V14" s="447">
        <f>'Prod Parameters'!F12</f>
        <v>260</v>
      </c>
      <c r="W14" s="363"/>
      <c r="X14" s="363"/>
      <c r="Y14" s="363"/>
      <c r="Z14" s="363"/>
      <c r="AA14"/>
      <c r="AB14"/>
      <c r="AC14"/>
      <c r="AD14"/>
      <c r="AE14"/>
      <c r="AF14"/>
    </row>
    <row r="15" spans="1:32" ht="12.75" customHeight="1">
      <c r="A15" s="121"/>
      <c r="B15" s="121"/>
      <c r="C15" s="121"/>
      <c r="D15" s="121"/>
      <c r="E15" s="121"/>
      <c r="F15" s="121"/>
      <c r="G15" s="121"/>
      <c r="H15" s="121"/>
      <c r="I15" s="121"/>
      <c r="J15" s="121"/>
      <c r="K15" s="121"/>
      <c r="L15" s="121"/>
      <c r="M15" s="121"/>
      <c r="N15" s="121"/>
      <c r="O15" s="121"/>
      <c r="P15" s="121"/>
      <c r="Q15" s="360"/>
      <c r="R15" s="969" t="s">
        <v>29</v>
      </c>
      <c r="S15" s="969"/>
      <c r="T15" s="969"/>
      <c r="U15" s="969"/>
      <c r="V15" s="447">
        <f>'Prod Parameters'!F13</f>
        <v>30</v>
      </c>
      <c r="W15" s="363"/>
      <c r="X15" s="363"/>
      <c r="Y15" s="363"/>
      <c r="Z15" s="363"/>
      <c r="AA15"/>
      <c r="AB15"/>
      <c r="AC15"/>
      <c r="AD15"/>
      <c r="AE15"/>
      <c r="AF15"/>
    </row>
    <row r="16" spans="1:32" ht="12.75" customHeight="1">
      <c r="A16" s="121"/>
      <c r="B16" s="121"/>
      <c r="C16" s="121"/>
      <c r="D16" s="121"/>
      <c r="E16" s="121"/>
      <c r="F16" s="121"/>
      <c r="G16" s="121"/>
      <c r="H16" s="121"/>
      <c r="I16" s="121"/>
      <c r="J16" s="121"/>
      <c r="K16" s="121"/>
      <c r="L16" s="121"/>
      <c r="M16" s="121"/>
      <c r="N16" s="121"/>
      <c r="O16" s="121"/>
      <c r="P16" s="121"/>
      <c r="Q16" s="360"/>
      <c r="R16" s="968" t="s">
        <v>30</v>
      </c>
      <c r="S16" s="968"/>
      <c r="T16" s="968"/>
      <c r="U16" s="968"/>
      <c r="V16" s="447">
        <f>'Prod Parameters'!F14</f>
        <v>230</v>
      </c>
      <c r="W16" s="363"/>
      <c r="X16" s="363"/>
      <c r="Y16" s="363"/>
      <c r="Z16" s="363"/>
      <c r="AA16"/>
      <c r="AB16"/>
      <c r="AC16"/>
      <c r="AD16"/>
      <c r="AE16"/>
      <c r="AF16"/>
    </row>
    <row r="17" spans="1:32" ht="12.75" customHeight="1">
      <c r="A17" s="121"/>
      <c r="B17" s="121"/>
      <c r="C17" s="121"/>
      <c r="D17" s="121"/>
      <c r="E17" s="121"/>
      <c r="F17" s="121"/>
      <c r="G17" s="121"/>
      <c r="H17" s="121"/>
      <c r="I17" s="121"/>
      <c r="J17" s="121"/>
      <c r="K17" s="121"/>
      <c r="L17" s="121"/>
      <c r="M17" s="121"/>
      <c r="N17" s="121"/>
      <c r="O17" s="121"/>
      <c r="P17" s="121"/>
      <c r="Q17" s="360"/>
      <c r="R17" s="363"/>
      <c r="S17" s="363"/>
      <c r="T17" s="363"/>
      <c r="U17" s="363"/>
      <c r="V17" s="363"/>
      <c r="W17" s="363"/>
      <c r="X17" s="363"/>
      <c r="Y17" s="363"/>
      <c r="Z17" s="363"/>
      <c r="AA17"/>
      <c r="AB17"/>
      <c r="AC17"/>
      <c r="AD17"/>
      <c r="AE17"/>
      <c r="AF17"/>
    </row>
    <row r="18" spans="1:32" ht="12.75" customHeight="1">
      <c r="A18" s="121"/>
      <c r="B18" s="121"/>
      <c r="C18" s="121"/>
      <c r="D18" s="121"/>
      <c r="E18" s="121"/>
      <c r="F18" s="121"/>
      <c r="G18" s="121"/>
      <c r="H18" s="121"/>
      <c r="I18" s="121"/>
      <c r="J18" s="121"/>
      <c r="K18" s="121"/>
      <c r="L18" s="121"/>
      <c r="M18" s="121"/>
      <c r="N18" s="121"/>
      <c r="O18" s="121"/>
      <c r="P18" s="121"/>
      <c r="Q18" s="360">
        <v>1.2</v>
      </c>
      <c r="R18" s="364" t="s">
        <v>19</v>
      </c>
      <c r="S18" s="363"/>
      <c r="T18" s="363"/>
      <c r="U18" s="363"/>
      <c r="V18" s="363"/>
      <c r="W18" s="363"/>
      <c r="X18" s="363"/>
      <c r="Y18" s="363"/>
      <c r="Z18" s="363"/>
      <c r="AA18"/>
      <c r="AB18"/>
      <c r="AC18"/>
      <c r="AD18"/>
      <c r="AE18"/>
      <c r="AF18"/>
    </row>
    <row r="19" spans="1:32" ht="12.75" customHeight="1">
      <c r="A19" s="121"/>
      <c r="B19" s="121"/>
      <c r="C19" s="121"/>
      <c r="D19" s="121"/>
      <c r="E19" s="121"/>
      <c r="F19" s="121"/>
      <c r="G19" s="121"/>
      <c r="H19" s="121"/>
      <c r="I19" s="121"/>
      <c r="J19" s="121"/>
      <c r="K19" s="121"/>
      <c r="L19" s="121"/>
      <c r="M19" s="121"/>
      <c r="N19" s="121"/>
      <c r="O19" s="121"/>
      <c r="P19" s="121"/>
      <c r="Q19" s="360"/>
      <c r="R19" s="969" t="s">
        <v>314</v>
      </c>
      <c r="S19" s="969"/>
      <c r="T19" s="969"/>
      <c r="U19" s="969"/>
      <c r="V19" s="447">
        <f>'Prod Parameters'!F17</f>
        <v>160</v>
      </c>
      <c r="W19" s="363"/>
      <c r="X19" s="363"/>
      <c r="Y19" s="363"/>
      <c r="Z19" s="363"/>
      <c r="AA19"/>
      <c r="AB19"/>
      <c r="AC19"/>
      <c r="AD19"/>
      <c r="AE19"/>
      <c r="AF19"/>
    </row>
    <row r="20" spans="1:32" ht="12.75" customHeight="1">
      <c r="A20" s="121"/>
      <c r="B20" s="121"/>
      <c r="C20" s="121"/>
      <c r="D20" s="121"/>
      <c r="E20" s="121"/>
      <c r="F20" s="121"/>
      <c r="G20" s="121"/>
      <c r="H20" s="121"/>
      <c r="I20" s="121"/>
      <c r="J20" s="121"/>
      <c r="K20" s="121"/>
      <c r="L20" s="121"/>
      <c r="M20" s="121"/>
      <c r="N20" s="121"/>
      <c r="O20" s="121"/>
      <c r="P20" s="121"/>
      <c r="Q20" s="360"/>
      <c r="R20" s="969" t="s">
        <v>31</v>
      </c>
      <c r="S20" s="969"/>
      <c r="T20" s="969"/>
      <c r="U20" s="969"/>
      <c r="V20" s="447">
        <f>'Prod Parameters'!F18</f>
        <v>1.2</v>
      </c>
      <c r="W20" s="363"/>
      <c r="X20" s="363"/>
      <c r="Y20" s="363"/>
      <c r="Z20" s="363"/>
      <c r="AA20"/>
      <c r="AB20"/>
      <c r="AC20"/>
      <c r="AD20"/>
      <c r="AE20"/>
      <c r="AF20"/>
    </row>
    <row r="21" spans="1:32" ht="12.75" customHeight="1">
      <c r="A21" s="121"/>
      <c r="B21" s="121"/>
      <c r="C21" s="121"/>
      <c r="D21" s="121"/>
      <c r="E21" s="121"/>
      <c r="F21" s="121"/>
      <c r="G21" s="121"/>
      <c r="H21" s="121"/>
      <c r="I21" s="121"/>
      <c r="J21" s="121"/>
      <c r="K21" s="121"/>
      <c r="L21" s="121"/>
      <c r="M21" s="121"/>
      <c r="N21" s="121"/>
      <c r="O21" s="121"/>
      <c r="P21" s="121"/>
      <c r="Q21" s="360"/>
      <c r="R21" s="969" t="s">
        <v>199</v>
      </c>
      <c r="S21" s="969"/>
      <c r="T21" s="969"/>
      <c r="U21" s="969"/>
      <c r="V21" s="447">
        <f>'Prod Parameters'!F19</f>
        <v>4</v>
      </c>
      <c r="W21" s="363"/>
      <c r="X21" s="363"/>
      <c r="Y21" s="363"/>
      <c r="Z21" s="363"/>
      <c r="AA21"/>
      <c r="AB21"/>
      <c r="AC21"/>
      <c r="AD21"/>
      <c r="AE21"/>
      <c r="AF21"/>
    </row>
    <row r="22" spans="1:32" ht="12.75" customHeight="1">
      <c r="A22" s="121"/>
      <c r="B22" s="121"/>
      <c r="C22" s="121"/>
      <c r="D22" s="121"/>
      <c r="E22" s="121"/>
      <c r="F22" s="121"/>
      <c r="G22" s="121"/>
      <c r="H22" s="121"/>
      <c r="I22" s="121"/>
      <c r="J22" s="121"/>
      <c r="K22" s="121"/>
      <c r="L22" s="121"/>
      <c r="M22" s="121"/>
      <c r="N22" s="121"/>
      <c r="O22" s="121"/>
      <c r="P22" s="121"/>
      <c r="Q22" s="360"/>
      <c r="R22" s="969" t="s">
        <v>20</v>
      </c>
      <c r="S22" s="969"/>
      <c r="T22" s="969"/>
      <c r="U22" s="969"/>
      <c r="V22" s="447">
        <f>'Prod Parameters'!F20</f>
        <v>40</v>
      </c>
      <c r="W22" s="363"/>
      <c r="X22" s="363"/>
      <c r="Y22" s="363"/>
      <c r="Z22" s="363"/>
      <c r="AA22"/>
      <c r="AB22"/>
      <c r="AC22"/>
      <c r="AD22"/>
      <c r="AE22"/>
      <c r="AF22"/>
    </row>
    <row r="23" spans="1:32" ht="12.75" customHeight="1">
      <c r="A23" s="121"/>
      <c r="B23" s="121"/>
      <c r="C23" s="121"/>
      <c r="D23" s="121"/>
      <c r="E23" s="121"/>
      <c r="F23" s="121"/>
      <c r="G23" s="121"/>
      <c r="H23" s="121"/>
      <c r="I23" s="121"/>
      <c r="J23" s="121"/>
      <c r="K23" s="121"/>
      <c r="L23" s="121"/>
      <c r="M23" s="121"/>
      <c r="N23" s="121"/>
      <c r="O23" s="121"/>
      <c r="P23" s="121"/>
      <c r="Q23" s="360"/>
      <c r="R23" s="969" t="s">
        <v>310</v>
      </c>
      <c r="S23" s="969"/>
      <c r="T23" s="969"/>
      <c r="U23" s="969"/>
      <c r="V23" s="447">
        <f>'Prod Parameters'!F21</f>
        <v>160</v>
      </c>
      <c r="W23" s="363"/>
      <c r="X23" s="363"/>
      <c r="Y23" s="363"/>
      <c r="Z23" s="363"/>
      <c r="AA23"/>
      <c r="AB23"/>
      <c r="AC23"/>
      <c r="AD23"/>
      <c r="AE23"/>
      <c r="AF23"/>
    </row>
    <row r="24" spans="1:32" ht="12.75" customHeight="1">
      <c r="A24" s="121"/>
      <c r="B24" s="121"/>
      <c r="C24" s="121"/>
      <c r="D24" s="121"/>
      <c r="E24" s="121"/>
      <c r="F24" s="121"/>
      <c r="G24" s="121"/>
      <c r="H24" s="121"/>
      <c r="I24" s="121"/>
      <c r="J24" s="121"/>
      <c r="K24" s="121"/>
      <c r="L24" s="121"/>
      <c r="M24" s="121"/>
      <c r="N24" s="121"/>
      <c r="O24" s="121"/>
      <c r="P24" s="121"/>
      <c r="Q24" s="360"/>
      <c r="R24" s="969" t="s">
        <v>315</v>
      </c>
      <c r="S24" s="969"/>
      <c r="T24" s="969"/>
      <c r="U24" s="969"/>
      <c r="V24" s="447">
        <f>'Prod Parameters'!F22</f>
        <v>6400</v>
      </c>
      <c r="W24" s="363"/>
      <c r="X24" s="363"/>
      <c r="Y24" s="363"/>
      <c r="Z24" s="363"/>
      <c r="AA24"/>
      <c r="AB24"/>
      <c r="AC24"/>
      <c r="AD24"/>
      <c r="AE24"/>
      <c r="AF24"/>
    </row>
    <row r="25" spans="1:32" ht="12.75" customHeight="1">
      <c r="A25" s="121"/>
      <c r="B25" s="121"/>
      <c r="C25" s="121"/>
      <c r="D25" s="121"/>
      <c r="E25" s="121"/>
      <c r="F25" s="121"/>
      <c r="G25" s="121"/>
      <c r="H25" s="121"/>
      <c r="I25" s="121"/>
      <c r="J25" s="121"/>
      <c r="K25" s="121"/>
      <c r="L25" s="121"/>
      <c r="M25" s="121"/>
      <c r="N25" s="121"/>
      <c r="O25" s="121"/>
      <c r="P25" s="121"/>
      <c r="Q25" s="360"/>
      <c r="R25" s="969" t="s">
        <v>187</v>
      </c>
      <c r="S25" s="969"/>
      <c r="T25" s="969"/>
      <c r="U25" s="969"/>
      <c r="V25" s="447">
        <f>'Prod Parameters'!F23</f>
        <v>7680</v>
      </c>
      <c r="W25" s="363"/>
      <c r="X25" s="363"/>
      <c r="Y25" s="363"/>
      <c r="Z25" s="363"/>
      <c r="AA25"/>
      <c r="AB25"/>
      <c r="AC25"/>
      <c r="AD25"/>
      <c r="AE25"/>
      <c r="AF25"/>
    </row>
    <row r="26" spans="1:32" ht="12.75" customHeight="1">
      <c r="A26" s="121"/>
      <c r="B26" s="121"/>
      <c r="C26" s="121"/>
      <c r="D26" s="121"/>
      <c r="E26" s="121"/>
      <c r="F26" s="121"/>
      <c r="G26" s="121"/>
      <c r="H26" s="121"/>
      <c r="I26" s="121"/>
      <c r="J26" s="121"/>
      <c r="K26" s="121"/>
      <c r="L26" s="121"/>
      <c r="M26" s="121"/>
      <c r="N26" s="121"/>
      <c r="O26" s="121"/>
      <c r="P26" s="121"/>
      <c r="Q26" s="360"/>
      <c r="R26" s="969" t="s">
        <v>200</v>
      </c>
      <c r="S26" s="969"/>
      <c r="T26" s="969"/>
      <c r="U26" s="969"/>
      <c r="V26" s="447">
        <f>'Prod Parameters'!F24</f>
        <v>176640</v>
      </c>
      <c r="W26" s="363"/>
      <c r="X26" s="363"/>
      <c r="Y26" s="363"/>
      <c r="Z26" s="363"/>
      <c r="AA26"/>
      <c r="AB26"/>
      <c r="AC26"/>
      <c r="AD26"/>
      <c r="AE26"/>
      <c r="AF26"/>
    </row>
    <row r="27" spans="1:32" ht="12.75" customHeight="1">
      <c r="A27" s="121"/>
      <c r="B27" s="121"/>
      <c r="C27" s="121"/>
      <c r="D27" s="121"/>
      <c r="E27" s="121"/>
      <c r="F27" s="121"/>
      <c r="G27" s="121"/>
      <c r="H27" s="121"/>
      <c r="I27" s="121"/>
      <c r="J27" s="121"/>
      <c r="K27" s="121"/>
      <c r="L27" s="121"/>
      <c r="M27" s="121"/>
      <c r="N27" s="121"/>
      <c r="O27" s="121"/>
      <c r="P27" s="121"/>
      <c r="Q27" s="360"/>
      <c r="R27" s="363"/>
      <c r="S27" s="363"/>
      <c r="T27" s="363"/>
      <c r="U27" s="363"/>
      <c r="V27" s="363"/>
      <c r="W27" s="363"/>
      <c r="X27" s="363"/>
      <c r="Y27" s="363"/>
      <c r="Z27" s="363"/>
      <c r="AA27"/>
      <c r="AB27"/>
      <c r="AC27"/>
      <c r="AD27"/>
      <c r="AE27"/>
      <c r="AF27"/>
    </row>
    <row r="28" spans="1:32" ht="12.75" customHeight="1">
      <c r="A28" s="121"/>
      <c r="B28" s="121"/>
      <c r="C28" s="121"/>
      <c r="D28" s="121"/>
      <c r="E28" s="121"/>
      <c r="F28" s="121"/>
      <c r="G28" s="121"/>
      <c r="H28" s="121"/>
      <c r="I28" s="121"/>
      <c r="J28" s="121"/>
      <c r="K28" s="121"/>
      <c r="L28" s="121"/>
      <c r="M28" s="121"/>
      <c r="N28" s="121"/>
      <c r="O28" s="121"/>
      <c r="P28" s="121"/>
      <c r="Q28" s="385" t="s">
        <v>33</v>
      </c>
      <c r="R28" s="1008" t="s">
        <v>821</v>
      </c>
      <c r="S28" s="1008"/>
      <c r="T28" s="1008"/>
      <c r="U28" s="1008"/>
      <c r="V28" s="1008"/>
      <c r="W28" s="1008"/>
      <c r="X28" s="1008"/>
      <c r="Y28" s="1008"/>
      <c r="Z28" s="536"/>
      <c r="AA28"/>
      <c r="AB28"/>
      <c r="AC28"/>
      <c r="AD28"/>
      <c r="AE28"/>
      <c r="AF28"/>
    </row>
    <row r="29" spans="1:32" ht="12.75" customHeight="1">
      <c r="A29" s="121"/>
      <c r="B29" s="121"/>
      <c r="C29" s="121"/>
      <c r="D29" s="121"/>
      <c r="E29" s="121"/>
      <c r="F29" s="121"/>
      <c r="G29" s="121"/>
      <c r="H29" s="121"/>
      <c r="I29" s="121"/>
      <c r="J29" s="121"/>
      <c r="K29" s="121"/>
      <c r="L29" s="121"/>
      <c r="M29" s="121"/>
      <c r="N29" s="121"/>
      <c r="O29" s="121"/>
      <c r="P29" s="121"/>
      <c r="Q29" s="546"/>
      <c r="R29" s="363"/>
      <c r="S29" s="363"/>
      <c r="T29" s="363"/>
      <c r="U29" s="363"/>
      <c r="V29" s="363"/>
      <c r="W29" s="363"/>
      <c r="X29" s="363"/>
      <c r="Y29" s="363"/>
      <c r="Z29" s="363"/>
      <c r="AA29"/>
      <c r="AB29"/>
      <c r="AC29"/>
      <c r="AD29"/>
      <c r="AE29"/>
      <c r="AF29"/>
    </row>
    <row r="30" spans="1:32" ht="12.75" customHeight="1">
      <c r="A30" s="121"/>
      <c r="B30" s="121"/>
      <c r="C30" s="121"/>
      <c r="D30" s="121"/>
      <c r="E30" s="121"/>
      <c r="F30" s="121"/>
      <c r="G30" s="121"/>
      <c r="H30" s="121"/>
      <c r="I30" s="121"/>
      <c r="J30" s="121"/>
      <c r="K30" s="121"/>
      <c r="L30" s="121"/>
      <c r="M30" s="121"/>
      <c r="N30" s="121"/>
      <c r="O30" s="121"/>
      <c r="P30" s="121"/>
      <c r="Q30" s="546">
        <v>2.1</v>
      </c>
      <c r="R30" s="363" t="s">
        <v>831</v>
      </c>
      <c r="S30" s="363"/>
      <c r="T30" s="363"/>
      <c r="U30" s="550"/>
      <c r="V30" s="550"/>
      <c r="W30" s="550"/>
      <c r="X30" s="550"/>
      <c r="Y30" s="551"/>
      <c r="Z30" s="551"/>
      <c r="AA30"/>
      <c r="AB30"/>
      <c r="AC30"/>
      <c r="AD30"/>
      <c r="AE30"/>
      <c r="AF30"/>
    </row>
    <row r="31" spans="1:32" ht="12.75" customHeight="1">
      <c r="A31" s="121"/>
      <c r="B31" s="121"/>
      <c r="C31" s="121"/>
      <c r="D31" s="121"/>
      <c r="E31" s="121"/>
      <c r="F31" s="121"/>
      <c r="G31" s="121"/>
      <c r="H31" s="121"/>
      <c r="I31" s="121"/>
      <c r="J31" s="121"/>
      <c r="K31" s="121"/>
      <c r="L31" s="121"/>
      <c r="M31" s="121"/>
      <c r="N31" s="121"/>
      <c r="O31" s="121"/>
      <c r="P31" s="121"/>
      <c r="Q31" s="546"/>
      <c r="R31" s="998" t="s">
        <v>77</v>
      </c>
      <c r="S31" s="999"/>
      <c r="T31" s="1000"/>
      <c r="U31" s="1019" t="s">
        <v>824</v>
      </c>
      <c r="V31" s="1019" t="s">
        <v>828</v>
      </c>
      <c r="W31" s="1019" t="s">
        <v>826</v>
      </c>
      <c r="X31" s="1019" t="s">
        <v>23</v>
      </c>
      <c r="Y31" s="552"/>
      <c r="Z31" s="552"/>
      <c r="AA31"/>
      <c r="AB31"/>
      <c r="AC31"/>
      <c r="AD31"/>
      <c r="AE31"/>
      <c r="AF31"/>
    </row>
    <row r="32" spans="1:32" ht="12.75" customHeight="1">
      <c r="A32" s="121"/>
      <c r="B32" s="121"/>
      <c r="C32" s="121"/>
      <c r="D32" s="121"/>
      <c r="E32" s="121"/>
      <c r="F32" s="121"/>
      <c r="G32" s="121"/>
      <c r="H32" s="121"/>
      <c r="I32" s="121"/>
      <c r="J32" s="121"/>
      <c r="K32" s="121"/>
      <c r="L32" s="121"/>
      <c r="M32" s="121"/>
      <c r="N32" s="121"/>
      <c r="O32" s="121"/>
      <c r="P32" s="121"/>
      <c r="Q32" s="546"/>
      <c r="R32" s="1001"/>
      <c r="S32" s="1002"/>
      <c r="T32" s="1003"/>
      <c r="U32" s="1019"/>
      <c r="V32" s="1019"/>
      <c r="W32" s="1019"/>
      <c r="X32" s="1019"/>
      <c r="Y32" s="364"/>
      <c r="Z32" s="364"/>
      <c r="AA32"/>
      <c r="AB32"/>
      <c r="AC32"/>
      <c r="AD32"/>
      <c r="AE32"/>
      <c r="AF32"/>
    </row>
    <row r="33" spans="1:32" ht="12.75" customHeight="1">
      <c r="A33" s="121"/>
      <c r="B33" s="121"/>
      <c r="C33" s="121"/>
      <c r="D33" s="121"/>
      <c r="E33" s="121"/>
      <c r="F33" s="121"/>
      <c r="G33" s="121"/>
      <c r="H33" s="121"/>
      <c r="I33" s="121"/>
      <c r="J33" s="121"/>
      <c r="K33" s="121"/>
      <c r="L33" s="121"/>
      <c r="M33" s="121"/>
      <c r="N33" s="121"/>
      <c r="O33" s="121"/>
      <c r="P33" s="121"/>
      <c r="Q33" s="546"/>
      <c r="R33" s="1020" t="s">
        <v>500</v>
      </c>
      <c r="S33" s="1020"/>
      <c r="T33" s="1020"/>
      <c r="U33" s="369">
        <v>23.9</v>
      </c>
      <c r="V33" s="369">
        <f>'Lookup Properties'!$C$7</f>
        <v>15.4</v>
      </c>
      <c r="W33" s="369">
        <f>'Lookup Properties'!$D$7</f>
        <v>4.8</v>
      </c>
      <c r="X33" s="553">
        <f>SUM(U33:W33)</f>
        <v>44.099999999999994</v>
      </c>
      <c r="Y33" s="364"/>
      <c r="Z33" s="364"/>
      <c r="AA33"/>
      <c r="AB33"/>
      <c r="AC33"/>
      <c r="AD33"/>
      <c r="AE33"/>
      <c r="AF33"/>
    </row>
    <row r="34" spans="1:32" ht="12.75" customHeight="1">
      <c r="A34" s="121"/>
      <c r="B34" s="121"/>
      <c r="C34" s="121"/>
      <c r="D34" s="121"/>
      <c r="E34" s="121"/>
      <c r="F34" s="121"/>
      <c r="G34" s="121"/>
      <c r="H34" s="121"/>
      <c r="I34" s="121"/>
      <c r="J34" s="121"/>
      <c r="K34" s="121"/>
      <c r="L34" s="121"/>
      <c r="M34" s="121"/>
      <c r="N34" s="121"/>
      <c r="O34" s="121"/>
      <c r="P34" s="121"/>
      <c r="Q34" s="546"/>
      <c r="R34" s="1017" t="s">
        <v>22</v>
      </c>
      <c r="S34" s="1017"/>
      <c r="T34" s="1017"/>
      <c r="U34" s="369">
        <f>'Lookup Properties'!$B$5</f>
        <v>22.35</v>
      </c>
      <c r="V34" s="369">
        <f>'Lookup Properties'!$C$5</f>
        <v>17.399999999999999</v>
      </c>
      <c r="W34" s="369">
        <f>'Lookup Properties'!$D$5</f>
        <v>5</v>
      </c>
      <c r="X34" s="553">
        <f>SUM(U34:W34)</f>
        <v>44.75</v>
      </c>
      <c r="Y34" s="364"/>
      <c r="Z34" s="364"/>
      <c r="AA34"/>
      <c r="AB34"/>
      <c r="AC34"/>
      <c r="AD34"/>
      <c r="AE34"/>
      <c r="AF34"/>
    </row>
    <row r="35" spans="1:32" ht="12.75" customHeight="1">
      <c r="A35" s="121"/>
      <c r="B35" s="121"/>
      <c r="C35" s="121"/>
      <c r="D35" s="121"/>
      <c r="E35" s="121"/>
      <c r="F35" s="121"/>
      <c r="G35" s="121"/>
      <c r="H35" s="121"/>
      <c r="I35" s="121"/>
      <c r="J35" s="121"/>
      <c r="K35" s="121"/>
      <c r="L35" s="121"/>
      <c r="M35" s="121"/>
      <c r="N35" s="121"/>
      <c r="O35" s="121"/>
      <c r="P35" s="121"/>
      <c r="Q35" s="546"/>
      <c r="R35" s="1018" t="s">
        <v>579</v>
      </c>
      <c r="S35" s="1018"/>
      <c r="T35" s="1018"/>
      <c r="U35" s="369">
        <f>'Lookup Properties'!$B$6</f>
        <v>22.15</v>
      </c>
      <c r="V35" s="369">
        <f>'Lookup Properties'!$C$6</f>
        <v>18.149999999999999</v>
      </c>
      <c r="W35" s="369">
        <f>'Lookup Properties'!$D$6</f>
        <v>5</v>
      </c>
      <c r="X35" s="553">
        <f>SUM(U35:W35)</f>
        <v>45.3</v>
      </c>
      <c r="Y35" s="364"/>
      <c r="Z35" s="364"/>
      <c r="AA35"/>
      <c r="AB35"/>
      <c r="AC35"/>
      <c r="AD35"/>
      <c r="AE35"/>
      <c r="AF35"/>
    </row>
    <row r="36" spans="1:32" ht="12.75" customHeight="1">
      <c r="A36" s="121"/>
      <c r="B36" s="121"/>
      <c r="C36" s="121"/>
      <c r="D36" s="121"/>
      <c r="E36" s="121"/>
      <c r="F36" s="121"/>
      <c r="G36" s="121"/>
      <c r="H36" s="121"/>
      <c r="I36" s="121"/>
      <c r="J36" s="121"/>
      <c r="K36" s="121"/>
      <c r="L36" s="121"/>
      <c r="M36" s="121"/>
      <c r="N36" s="121"/>
      <c r="O36" s="121"/>
      <c r="P36" s="121"/>
      <c r="Q36" s="546"/>
      <c r="R36" s="1016" t="s">
        <v>21</v>
      </c>
      <c r="S36" s="1016"/>
      <c r="T36" s="1016"/>
      <c r="U36" s="369">
        <f>'Lookup Properties'!$B$4</f>
        <v>21.25</v>
      </c>
      <c r="V36" s="369">
        <f>'Lookup Properties'!$C$4</f>
        <v>17.399999999999999</v>
      </c>
      <c r="W36" s="369">
        <f>'Lookup Properties'!$D$4</f>
        <v>5</v>
      </c>
      <c r="X36" s="553">
        <f>SUM(U36:W36)</f>
        <v>43.65</v>
      </c>
      <c r="Y36" s="364"/>
      <c r="Z36" s="364"/>
      <c r="AA36"/>
      <c r="AB36"/>
      <c r="AC36"/>
      <c r="AD36"/>
      <c r="AE36"/>
      <c r="AF36"/>
    </row>
    <row r="37" spans="1:32" ht="12.75" customHeight="1">
      <c r="A37" s="121"/>
      <c r="B37" s="121"/>
      <c r="C37" s="121"/>
      <c r="D37" s="121"/>
      <c r="E37" s="121"/>
      <c r="F37" s="121"/>
      <c r="G37" s="121"/>
      <c r="H37" s="121"/>
      <c r="I37" s="121"/>
      <c r="J37" s="121"/>
      <c r="K37" s="121"/>
      <c r="L37" s="121"/>
      <c r="M37" s="121"/>
      <c r="N37" s="121"/>
      <c r="O37" s="121"/>
      <c r="P37" s="121"/>
      <c r="Q37" s="364"/>
      <c r="R37" s="364"/>
      <c r="S37" s="364"/>
      <c r="T37" s="364"/>
      <c r="U37" s="555"/>
      <c r="V37" s="555"/>
      <c r="W37" s="555"/>
      <c r="X37" s="555"/>
      <c r="Y37" s="555"/>
      <c r="Z37" s="364"/>
      <c r="AA37"/>
      <c r="AB37"/>
      <c r="AC37"/>
      <c r="AD37"/>
      <c r="AE37"/>
      <c r="AF37"/>
    </row>
    <row r="38" spans="1:32" ht="12.75" customHeight="1">
      <c r="A38" s="121"/>
      <c r="B38" s="121"/>
      <c r="C38" s="121"/>
      <c r="D38" s="121"/>
      <c r="E38" s="121"/>
      <c r="F38" s="121"/>
      <c r="G38" s="121"/>
      <c r="H38" s="121"/>
      <c r="I38" s="121"/>
      <c r="J38" s="121"/>
      <c r="K38" s="121"/>
      <c r="L38" s="121"/>
      <c r="M38" s="121"/>
      <c r="N38" s="121"/>
      <c r="O38" s="121"/>
      <c r="P38" s="121"/>
      <c r="Q38" s="360">
        <v>2.2000000000000002</v>
      </c>
      <c r="R38" s="363" t="s">
        <v>832</v>
      </c>
      <c r="S38" s="363"/>
      <c r="T38" s="363"/>
      <c r="U38" s="363"/>
      <c r="V38" s="363"/>
      <c r="W38" s="363"/>
      <c r="X38" s="363"/>
      <c r="Y38" s="363"/>
      <c r="Z38" s="364"/>
      <c r="AA38"/>
      <c r="AB38"/>
      <c r="AC38"/>
      <c r="AD38"/>
      <c r="AE38"/>
      <c r="AF38"/>
    </row>
    <row r="39" spans="1:32" ht="12.75" customHeight="1">
      <c r="A39" s="121"/>
      <c r="B39" s="121"/>
      <c r="C39" s="121"/>
      <c r="D39" s="121"/>
      <c r="E39" s="121"/>
      <c r="F39" s="121"/>
      <c r="G39" s="121"/>
      <c r="H39" s="121"/>
      <c r="I39" s="121"/>
      <c r="J39" s="121"/>
      <c r="K39" s="121"/>
      <c r="L39" s="121"/>
      <c r="M39" s="121"/>
      <c r="N39" s="121"/>
      <c r="O39" s="121"/>
      <c r="P39" s="121"/>
      <c r="Q39" s="360"/>
      <c r="R39" s="998" t="s">
        <v>77</v>
      </c>
      <c r="S39" s="999"/>
      <c r="T39" s="1000"/>
      <c r="U39" s="1019" t="s">
        <v>824</v>
      </c>
      <c r="V39" s="1019" t="s">
        <v>828</v>
      </c>
      <c r="W39" s="1019" t="s">
        <v>826</v>
      </c>
      <c r="X39" s="1019" t="s">
        <v>23</v>
      </c>
      <c r="Y39" s="364"/>
      <c r="Z39" s="364"/>
      <c r="AA39"/>
      <c r="AB39"/>
      <c r="AC39"/>
      <c r="AD39"/>
      <c r="AE39"/>
      <c r="AF39"/>
    </row>
    <row r="40" spans="1:32" ht="12.75" customHeight="1">
      <c r="A40" s="121"/>
      <c r="B40" s="121"/>
      <c r="C40" s="121"/>
      <c r="D40" s="121"/>
      <c r="E40" s="121"/>
      <c r="F40" s="121"/>
      <c r="G40" s="121"/>
      <c r="H40" s="121"/>
      <c r="I40" s="121"/>
      <c r="J40" s="121"/>
      <c r="K40" s="121"/>
      <c r="L40" s="121"/>
      <c r="M40" s="121"/>
      <c r="N40" s="121"/>
      <c r="O40" s="121"/>
      <c r="P40" s="121"/>
      <c r="Q40" s="360"/>
      <c r="R40" s="1001"/>
      <c r="S40" s="1002"/>
      <c r="T40" s="1003"/>
      <c r="U40" s="1019"/>
      <c r="V40" s="1019"/>
      <c r="W40" s="1019"/>
      <c r="X40" s="1019"/>
      <c r="Y40" s="364"/>
      <c r="Z40" s="364"/>
      <c r="AA40"/>
      <c r="AB40"/>
      <c r="AC40"/>
      <c r="AD40"/>
      <c r="AE40"/>
      <c r="AF40"/>
    </row>
    <row r="41" spans="1:32" ht="12.75" customHeight="1">
      <c r="A41" s="121"/>
      <c r="B41" s="121"/>
      <c r="C41" s="121"/>
      <c r="D41" s="121"/>
      <c r="E41" s="121"/>
      <c r="F41" s="121"/>
      <c r="G41" s="121"/>
      <c r="H41" s="121"/>
      <c r="I41" s="121"/>
      <c r="J41" s="121"/>
      <c r="K41" s="121"/>
      <c r="L41" s="121"/>
      <c r="M41" s="121"/>
      <c r="N41" s="121"/>
      <c r="O41" s="121"/>
      <c r="P41" s="121"/>
      <c r="Q41" s="360"/>
      <c r="R41" s="1020" t="s">
        <v>500</v>
      </c>
      <c r="S41" s="1020"/>
      <c r="T41" s="1020"/>
      <c r="U41" s="556">
        <f>'Lookup Properties'!$B$13</f>
        <v>0.74</v>
      </c>
      <c r="V41" s="556">
        <f>'Lookup Properties'!$C$13</f>
        <v>0.78</v>
      </c>
      <c r="W41" s="556">
        <f>'Lookup Properties'!$D$13</f>
        <v>1.26</v>
      </c>
      <c r="X41" s="553">
        <f>SUM(U41:W41)</f>
        <v>2.7800000000000002</v>
      </c>
      <c r="Y41" s="364"/>
      <c r="Z41" s="364"/>
      <c r="AA41"/>
      <c r="AB41"/>
      <c r="AC41"/>
      <c r="AD41"/>
      <c r="AE41"/>
      <c r="AF41"/>
    </row>
    <row r="42" spans="1:32" ht="12.75" customHeight="1">
      <c r="A42" s="121"/>
      <c r="B42" s="121"/>
      <c r="C42" s="121"/>
      <c r="D42" s="121"/>
      <c r="E42" s="121"/>
      <c r="F42" s="121"/>
      <c r="G42" s="121"/>
      <c r="H42" s="121"/>
      <c r="I42" s="121"/>
      <c r="J42" s="121"/>
      <c r="K42" s="121"/>
      <c r="L42" s="121"/>
      <c r="M42" s="121"/>
      <c r="N42" s="121"/>
      <c r="O42" s="121"/>
      <c r="P42" s="121"/>
      <c r="Q42" s="360"/>
      <c r="R42" s="1017" t="s">
        <v>22</v>
      </c>
      <c r="S42" s="1017"/>
      <c r="T42" s="1017"/>
      <c r="U42" s="557">
        <f>'Lookup Properties'!$B$11</f>
        <v>0.71499999999999997</v>
      </c>
      <c r="V42" s="557">
        <f>'Lookup Properties'!$C$11</f>
        <v>1.03</v>
      </c>
      <c r="W42" s="557">
        <f>'Lookup Properties'!$D$11</f>
        <v>1.29</v>
      </c>
      <c r="X42" s="553">
        <f>SUM(U42:W42)</f>
        <v>3.0350000000000001</v>
      </c>
      <c r="Y42" s="364"/>
      <c r="Z42" s="364"/>
      <c r="AA42"/>
      <c r="AB42"/>
      <c r="AC42"/>
      <c r="AD42"/>
      <c r="AE42"/>
      <c r="AF42"/>
    </row>
    <row r="43" spans="1:32" ht="12.75" customHeight="1">
      <c r="A43" s="121"/>
      <c r="B43" s="121"/>
      <c r="C43" s="121"/>
      <c r="D43" s="121"/>
      <c r="E43" s="121"/>
      <c r="F43" s="121"/>
      <c r="G43" s="121"/>
      <c r="H43" s="121"/>
      <c r="I43" s="121"/>
      <c r="J43" s="121"/>
      <c r="K43" s="121"/>
      <c r="L43" s="121"/>
      <c r="M43" s="121"/>
      <c r="N43" s="121"/>
      <c r="O43" s="121"/>
      <c r="P43" s="121"/>
      <c r="Q43" s="360"/>
      <c r="R43" s="1018" t="s">
        <v>579</v>
      </c>
      <c r="S43" s="1018"/>
      <c r="T43" s="1018"/>
      <c r="U43" s="557">
        <f>'Lookup Properties'!$B$12</f>
        <v>0.755</v>
      </c>
      <c r="V43" s="557">
        <f>'Lookup Properties'!$C$12</f>
        <v>1.07</v>
      </c>
      <c r="W43" s="557">
        <f>'Lookup Properties'!$D$12</f>
        <v>1.2949999999999999</v>
      </c>
      <c r="X43" s="553">
        <f>SUM(U43:W43)</f>
        <v>3.12</v>
      </c>
      <c r="Y43" s="364"/>
      <c r="Z43" s="364"/>
      <c r="AA43"/>
      <c r="AB43"/>
      <c r="AC43"/>
      <c r="AD43"/>
      <c r="AE43"/>
      <c r="AF43"/>
    </row>
    <row r="44" spans="1:32" ht="12.75" customHeight="1">
      <c r="A44" s="121"/>
      <c r="B44" s="121"/>
      <c r="C44" s="121"/>
      <c r="D44" s="121"/>
      <c r="E44" s="121"/>
      <c r="F44" s="121"/>
      <c r="G44" s="121"/>
      <c r="H44" s="121"/>
      <c r="I44" s="121"/>
      <c r="J44" s="121"/>
      <c r="K44" s="121"/>
      <c r="L44" s="121"/>
      <c r="M44" s="121"/>
      <c r="N44" s="121"/>
      <c r="O44" s="121"/>
      <c r="P44" s="121"/>
      <c r="Q44" s="360"/>
      <c r="R44" s="1016" t="s">
        <v>21</v>
      </c>
      <c r="S44" s="1016"/>
      <c r="T44" s="1016"/>
      <c r="U44" s="557">
        <f>'Lookup Properties'!$B$10</f>
        <v>0.71</v>
      </c>
      <c r="V44" s="557">
        <f>'Lookup Properties'!$C$10</f>
        <v>1.03</v>
      </c>
      <c r="W44" s="557">
        <f>'Lookup Properties'!$D$10</f>
        <v>1.29</v>
      </c>
      <c r="X44" s="553">
        <f>SUM(U44:W44)</f>
        <v>3.0300000000000002</v>
      </c>
      <c r="Y44" s="364"/>
      <c r="Z44" s="364"/>
      <c r="AA44"/>
      <c r="AB44"/>
      <c r="AC44"/>
      <c r="AD44"/>
      <c r="AE44"/>
      <c r="AF44"/>
    </row>
    <row r="45" spans="1:32" ht="12.75" customHeight="1">
      <c r="A45" s="121"/>
      <c r="B45" s="121"/>
      <c r="C45" s="121"/>
      <c r="D45" s="121"/>
      <c r="E45" s="121"/>
      <c r="F45" s="121"/>
      <c r="G45" s="121"/>
      <c r="H45" s="121"/>
      <c r="I45" s="121"/>
      <c r="J45" s="121"/>
      <c r="K45" s="121"/>
      <c r="L45" s="121"/>
      <c r="M45" s="121"/>
      <c r="N45" s="121"/>
      <c r="O45" s="121"/>
      <c r="P45" s="121"/>
      <c r="Q45" s="364"/>
      <c r="R45" s="364"/>
      <c r="S45" s="364"/>
      <c r="T45" s="364"/>
      <c r="U45" s="555"/>
      <c r="V45" s="555"/>
      <c r="W45" s="555"/>
      <c r="X45" s="555"/>
      <c r="Y45" s="555"/>
      <c r="Z45" s="364"/>
      <c r="AA45"/>
      <c r="AB45"/>
      <c r="AC45"/>
      <c r="AD45"/>
      <c r="AE45"/>
      <c r="AF45"/>
    </row>
    <row r="46" spans="1:32" ht="12.75" customHeight="1">
      <c r="A46" s="121"/>
      <c r="B46" s="121"/>
      <c r="C46" s="121"/>
      <c r="D46" s="121"/>
      <c r="E46" s="121"/>
      <c r="F46" s="121"/>
      <c r="G46" s="121"/>
      <c r="H46" s="121"/>
      <c r="I46" s="121"/>
      <c r="J46" s="121"/>
      <c r="K46" s="121"/>
      <c r="L46" s="121"/>
      <c r="M46" s="121"/>
      <c r="N46" s="121"/>
      <c r="O46" s="121"/>
      <c r="P46" s="121"/>
      <c r="Q46" s="387" t="s">
        <v>817</v>
      </c>
      <c r="R46" s="1015" t="s">
        <v>206</v>
      </c>
      <c r="S46" s="1015"/>
      <c r="T46" s="1015"/>
      <c r="U46" s="1015"/>
      <c r="V46" s="1015"/>
      <c r="W46" s="1015"/>
      <c r="X46" s="1015"/>
      <c r="Y46" s="1015"/>
      <c r="Z46" s="536"/>
      <c r="AA46"/>
      <c r="AB46"/>
      <c r="AC46"/>
      <c r="AD46"/>
      <c r="AE46"/>
      <c r="AF46"/>
    </row>
    <row r="47" spans="1:32" ht="12.75" customHeight="1">
      <c r="A47" s="121"/>
      <c r="B47" s="121"/>
      <c r="C47" s="121"/>
      <c r="D47" s="121"/>
      <c r="E47" s="121"/>
      <c r="F47" s="121"/>
      <c r="G47" s="121"/>
      <c r="H47" s="121"/>
      <c r="I47" s="121"/>
      <c r="J47" s="121"/>
      <c r="K47" s="121"/>
      <c r="L47" s="121"/>
      <c r="M47" s="121"/>
      <c r="N47" s="121"/>
      <c r="O47" s="121"/>
      <c r="P47" s="121"/>
      <c r="Q47" s="668"/>
      <c r="R47" s="364"/>
      <c r="S47" s="364"/>
      <c r="T47" s="364"/>
      <c r="U47" s="555"/>
      <c r="V47" s="555"/>
      <c r="W47" s="555"/>
      <c r="X47" s="555"/>
      <c r="Y47" s="555"/>
      <c r="Z47" s="364"/>
      <c r="AA47"/>
      <c r="AB47"/>
      <c r="AC47"/>
      <c r="AD47"/>
      <c r="AE47"/>
      <c r="AF47"/>
    </row>
    <row r="48" spans="1:32" ht="12.75" customHeight="1">
      <c r="A48" s="121"/>
      <c r="B48" s="121"/>
      <c r="C48" s="121"/>
      <c r="D48" s="121"/>
      <c r="E48" s="121"/>
      <c r="F48" s="121"/>
      <c r="G48" s="121"/>
      <c r="H48" s="121"/>
      <c r="I48" s="121"/>
      <c r="J48" s="121"/>
      <c r="K48" s="121"/>
      <c r="L48" s="121"/>
      <c r="M48" s="121"/>
      <c r="N48" s="121"/>
      <c r="O48" s="121"/>
      <c r="P48" s="121"/>
      <c r="Q48" s="668" t="s">
        <v>196</v>
      </c>
      <c r="R48" s="364" t="s">
        <v>207</v>
      </c>
      <c r="S48" s="364"/>
      <c r="T48" s="364"/>
      <c r="U48" s="555"/>
      <c r="V48" s="555"/>
      <c r="W48" s="555"/>
      <c r="X48" s="555"/>
      <c r="Y48" s="555"/>
      <c r="Z48" s="364"/>
      <c r="AA48"/>
      <c r="AB48"/>
      <c r="AC48"/>
      <c r="AD48"/>
      <c r="AE48"/>
      <c r="AF48"/>
    </row>
    <row r="49" spans="1:32" ht="12.75" customHeight="1">
      <c r="A49" s="121"/>
      <c r="B49" s="121"/>
      <c r="C49" s="121"/>
      <c r="D49" s="121"/>
      <c r="E49" s="121"/>
      <c r="F49" s="121"/>
      <c r="G49" s="121"/>
      <c r="H49" s="121"/>
      <c r="I49" s="121"/>
      <c r="J49" s="121"/>
      <c r="K49" s="121"/>
      <c r="L49" s="121"/>
      <c r="M49" s="121"/>
      <c r="N49" s="121"/>
      <c r="O49" s="121"/>
      <c r="P49" s="121"/>
      <c r="Q49" s="364"/>
      <c r="R49" s="962" t="s">
        <v>678</v>
      </c>
      <c r="S49" s="963"/>
      <c r="T49" s="964"/>
      <c r="U49" s="949" t="s">
        <v>500</v>
      </c>
      <c r="V49" s="938" t="s">
        <v>22</v>
      </c>
      <c r="W49" s="940" t="s">
        <v>579</v>
      </c>
      <c r="X49" s="942" t="s">
        <v>21</v>
      </c>
      <c r="Y49" s="361"/>
      <c r="Z49" s="364"/>
      <c r="AA49"/>
      <c r="AB49"/>
      <c r="AC49"/>
      <c r="AD49"/>
      <c r="AE49"/>
      <c r="AF49"/>
    </row>
    <row r="50" spans="1:32" ht="12.75" customHeight="1">
      <c r="A50" s="121"/>
      <c r="B50" s="121"/>
      <c r="C50" s="121"/>
      <c r="D50" s="121"/>
      <c r="E50" s="121"/>
      <c r="F50" s="121"/>
      <c r="G50" s="121"/>
      <c r="H50" s="121"/>
      <c r="I50" s="121"/>
      <c r="J50" s="121"/>
      <c r="K50" s="121"/>
      <c r="L50" s="121"/>
      <c r="M50" s="121"/>
      <c r="N50" s="121"/>
      <c r="O50" s="121"/>
      <c r="P50" s="121"/>
      <c r="Q50" s="364"/>
      <c r="R50" s="965"/>
      <c r="S50" s="966"/>
      <c r="T50" s="967"/>
      <c r="U50" s="950"/>
      <c r="V50" s="939"/>
      <c r="W50" s="941"/>
      <c r="X50" s="943"/>
      <c r="Y50" s="361"/>
      <c r="Z50" s="364"/>
      <c r="AA50"/>
      <c r="AB50"/>
      <c r="AC50"/>
      <c r="AD50"/>
      <c r="AE50"/>
      <c r="AF50"/>
    </row>
    <row r="51" spans="1:32" ht="12.75" customHeight="1">
      <c r="A51" s="121"/>
      <c r="B51" s="121"/>
      <c r="C51" s="121"/>
      <c r="D51" s="121"/>
      <c r="E51" s="121"/>
      <c r="F51" s="121"/>
      <c r="G51" s="121"/>
      <c r="H51" s="121"/>
      <c r="I51" s="121"/>
      <c r="J51" s="121"/>
      <c r="K51" s="121"/>
      <c r="L51" s="121"/>
      <c r="M51" s="121"/>
      <c r="N51" s="121"/>
      <c r="O51" s="121"/>
      <c r="P51" s="121"/>
      <c r="Q51" s="364"/>
      <c r="R51" s="969" t="s">
        <v>210</v>
      </c>
      <c r="S51" s="969"/>
      <c r="T51" s="969"/>
      <c r="U51" s="560">
        <v>0.3</v>
      </c>
      <c r="V51" s="537">
        <f>VLOOKUP($V$5,'Lookup Penetration Rate'!$B$8:$E$208,3)</f>
        <v>0.4</v>
      </c>
      <c r="W51" s="537">
        <f>VLOOKUP($V$5,'Lookup Penetration Rate'!$B$8:$E$208,4)</f>
        <v>0.46</v>
      </c>
      <c r="X51" s="537">
        <f>VLOOKUP($V$5,'Lookup Penetration Rate'!$B$8:$E$208,2)</f>
        <v>0.56000000000000005</v>
      </c>
      <c r="Y51" s="361"/>
      <c r="Z51" s="364"/>
      <c r="AA51"/>
      <c r="AB51"/>
      <c r="AC51"/>
      <c r="AD51"/>
      <c r="AE51"/>
      <c r="AF51"/>
    </row>
    <row r="52" spans="1:32" ht="12.75" customHeight="1">
      <c r="A52" s="121"/>
      <c r="B52" s="121"/>
      <c r="C52" s="121"/>
      <c r="D52" s="121"/>
      <c r="E52" s="121"/>
      <c r="F52" s="121"/>
      <c r="G52" s="121"/>
      <c r="H52" s="121"/>
      <c r="I52" s="121"/>
      <c r="J52" s="121"/>
      <c r="K52" s="121"/>
      <c r="L52" s="121"/>
      <c r="M52" s="121"/>
      <c r="N52" s="121"/>
      <c r="O52" s="121"/>
      <c r="P52" s="121"/>
      <c r="Q52" s="364"/>
      <c r="R52" s="364"/>
      <c r="S52" s="364"/>
      <c r="T52" s="364"/>
      <c r="U52" s="555"/>
      <c r="V52" s="555"/>
      <c r="W52" s="555"/>
      <c r="X52" s="555"/>
      <c r="Y52" s="555"/>
      <c r="Z52" s="364"/>
      <c r="AA52"/>
      <c r="AB52"/>
      <c r="AC52"/>
      <c r="AD52"/>
      <c r="AE52"/>
      <c r="AF52"/>
    </row>
    <row r="53" spans="1:32" ht="12.75" customHeight="1">
      <c r="A53" s="121"/>
      <c r="B53" s="121"/>
      <c r="C53" s="121"/>
      <c r="D53" s="121"/>
      <c r="E53" s="121"/>
      <c r="F53" s="121"/>
      <c r="G53" s="121"/>
      <c r="H53" s="121"/>
      <c r="I53" s="121"/>
      <c r="J53" s="121"/>
      <c r="K53" s="121"/>
      <c r="L53" s="121"/>
      <c r="M53" s="121"/>
      <c r="N53" s="121"/>
      <c r="O53" s="121"/>
      <c r="P53" s="121"/>
      <c r="Q53" s="668" t="s">
        <v>197</v>
      </c>
      <c r="R53" s="364" t="s">
        <v>208</v>
      </c>
      <c r="S53" s="364"/>
      <c r="T53" s="364"/>
      <c r="U53" s="555"/>
      <c r="V53" s="555"/>
      <c r="W53" s="555"/>
      <c r="X53" s="555"/>
      <c r="Y53" s="555"/>
      <c r="Z53" s="364"/>
      <c r="AA53"/>
      <c r="AB53"/>
      <c r="AC53"/>
      <c r="AD53"/>
      <c r="AE53"/>
      <c r="AF53"/>
    </row>
    <row r="54" spans="1:32" ht="12.75" customHeight="1">
      <c r="A54" s="121"/>
      <c r="B54" s="121"/>
      <c r="C54" s="121"/>
      <c r="D54" s="121"/>
      <c r="E54" s="121"/>
      <c r="F54" s="121"/>
      <c r="G54" s="121"/>
      <c r="H54" s="121"/>
      <c r="I54" s="121"/>
      <c r="J54" s="121"/>
      <c r="K54" s="121"/>
      <c r="L54" s="121"/>
      <c r="M54" s="121"/>
      <c r="N54" s="121"/>
      <c r="O54" s="121"/>
      <c r="P54" s="121"/>
      <c r="Q54" s="668"/>
      <c r="R54" s="962" t="s">
        <v>678</v>
      </c>
      <c r="S54" s="963"/>
      <c r="T54" s="964"/>
      <c r="U54" s="949" t="s">
        <v>500</v>
      </c>
      <c r="V54" s="938" t="s">
        <v>22</v>
      </c>
      <c r="W54" s="940" t="s">
        <v>579</v>
      </c>
      <c r="X54" s="942" t="s">
        <v>21</v>
      </c>
      <c r="Y54" s="361"/>
      <c r="Z54" s="364"/>
      <c r="AA54"/>
      <c r="AB54"/>
      <c r="AC54"/>
      <c r="AD54"/>
      <c r="AE54"/>
      <c r="AF54"/>
    </row>
    <row r="55" spans="1:32" ht="12.75" customHeight="1">
      <c r="A55" s="121"/>
      <c r="B55" s="121"/>
      <c r="C55" s="121"/>
      <c r="D55" s="121"/>
      <c r="E55" s="121"/>
      <c r="F55" s="121"/>
      <c r="G55" s="121"/>
      <c r="H55" s="121"/>
      <c r="I55" s="121"/>
      <c r="J55" s="121"/>
      <c r="K55" s="121"/>
      <c r="L55" s="121"/>
      <c r="M55" s="121"/>
      <c r="N55" s="121"/>
      <c r="O55" s="121"/>
      <c r="P55" s="121"/>
      <c r="Q55" s="668"/>
      <c r="R55" s="965"/>
      <c r="S55" s="966"/>
      <c r="T55" s="967"/>
      <c r="U55" s="950"/>
      <c r="V55" s="939"/>
      <c r="W55" s="941"/>
      <c r="X55" s="943"/>
      <c r="Y55" s="361"/>
      <c r="Z55" s="364"/>
      <c r="AA55"/>
      <c r="AB55"/>
      <c r="AC55"/>
      <c r="AD55"/>
      <c r="AE55"/>
      <c r="AF55"/>
    </row>
    <row r="56" spans="1:32" ht="12.75" customHeight="1">
      <c r="A56" s="121"/>
      <c r="B56" s="121"/>
      <c r="C56" s="121"/>
      <c r="D56" s="121"/>
      <c r="E56" s="121"/>
      <c r="F56" s="121"/>
      <c r="G56" s="121"/>
      <c r="H56" s="121"/>
      <c r="I56" s="121"/>
      <c r="J56" s="121"/>
      <c r="K56" s="121"/>
      <c r="L56" s="121"/>
      <c r="M56" s="121"/>
      <c r="N56" s="121"/>
      <c r="O56" s="121"/>
      <c r="P56" s="121"/>
      <c r="Q56" s="668"/>
      <c r="R56" s="969" t="s">
        <v>209</v>
      </c>
      <c r="S56" s="969"/>
      <c r="T56" s="969"/>
      <c r="U56" s="560">
        <f>$V$20/U51</f>
        <v>4</v>
      </c>
      <c r="V56" s="669">
        <f>$V$20/V51</f>
        <v>2.9999999999999996</v>
      </c>
      <c r="W56" s="669">
        <f>$V$20/W51</f>
        <v>2.6086956521739126</v>
      </c>
      <c r="X56" s="669">
        <f>$V$20/X51</f>
        <v>2.1428571428571428</v>
      </c>
      <c r="Y56" s="361"/>
      <c r="Z56" s="364"/>
      <c r="AA56"/>
      <c r="AB56"/>
      <c r="AC56"/>
      <c r="AD56"/>
      <c r="AE56"/>
      <c r="AF56"/>
    </row>
    <row r="57" spans="1:32" ht="12.75" customHeight="1">
      <c r="A57" s="121"/>
      <c r="B57" s="121"/>
      <c r="C57" s="121"/>
      <c r="D57" s="121"/>
      <c r="E57" s="121"/>
      <c r="F57" s="121"/>
      <c r="G57" s="121"/>
      <c r="H57" s="121"/>
      <c r="I57" s="121"/>
      <c r="J57" s="121"/>
      <c r="K57" s="121"/>
      <c r="L57" s="121"/>
      <c r="M57" s="121"/>
      <c r="N57" s="121"/>
      <c r="O57" s="121"/>
      <c r="P57" s="121"/>
      <c r="Q57" s="364"/>
      <c r="R57" s="364"/>
      <c r="S57" s="364"/>
      <c r="T57" s="364"/>
      <c r="U57" s="555"/>
      <c r="V57" s="555"/>
      <c r="W57" s="555"/>
      <c r="X57" s="555"/>
      <c r="Y57" s="555"/>
      <c r="Z57" s="364"/>
      <c r="AA57"/>
      <c r="AB57"/>
      <c r="AC57"/>
      <c r="AD57"/>
      <c r="AE57"/>
      <c r="AF57"/>
    </row>
    <row r="58" spans="1:32" ht="12.75" customHeight="1">
      <c r="A58" s="121"/>
      <c r="B58" s="121"/>
      <c r="C58" s="121"/>
      <c r="D58" s="121"/>
      <c r="E58" s="121"/>
      <c r="F58" s="121"/>
      <c r="G58" s="121"/>
      <c r="H58" s="121"/>
      <c r="I58" s="121"/>
      <c r="J58" s="121"/>
      <c r="K58" s="121"/>
      <c r="L58" s="121"/>
      <c r="M58" s="121"/>
      <c r="N58" s="121"/>
      <c r="O58" s="121"/>
      <c r="P58" s="121"/>
      <c r="Q58" s="563">
        <v>3.3</v>
      </c>
      <c r="R58" s="363" t="s">
        <v>211</v>
      </c>
      <c r="S58" s="363"/>
      <c r="T58" s="363"/>
      <c r="U58" s="363"/>
      <c r="V58" s="363"/>
      <c r="W58" s="363"/>
      <c r="X58" s="363"/>
      <c r="Y58" s="363"/>
      <c r="Z58" s="364"/>
      <c r="AA58"/>
      <c r="AB58"/>
      <c r="AC58"/>
      <c r="AD58"/>
      <c r="AE58"/>
      <c r="AF58"/>
    </row>
    <row r="59" spans="1:32" ht="12.75" customHeight="1">
      <c r="A59" s="121"/>
      <c r="B59" s="121"/>
      <c r="C59" s="121"/>
      <c r="D59" s="121"/>
      <c r="E59" s="121"/>
      <c r="F59" s="121"/>
      <c r="G59" s="121"/>
      <c r="H59" s="121"/>
      <c r="I59" s="121"/>
      <c r="J59" s="121"/>
      <c r="K59" s="121"/>
      <c r="L59" s="121"/>
      <c r="M59" s="121"/>
      <c r="N59" s="121"/>
      <c r="O59" s="121"/>
      <c r="P59" s="121"/>
      <c r="Q59" s="563"/>
      <c r="R59" s="962" t="s">
        <v>678</v>
      </c>
      <c r="S59" s="963"/>
      <c r="T59" s="964"/>
      <c r="U59" s="949" t="s">
        <v>500</v>
      </c>
      <c r="V59" s="938" t="s">
        <v>22</v>
      </c>
      <c r="W59" s="940" t="s">
        <v>579</v>
      </c>
      <c r="X59" s="942" t="s">
        <v>21</v>
      </c>
      <c r="Y59" s="361"/>
      <c r="Z59" s="364"/>
      <c r="AA59"/>
      <c r="AB59"/>
      <c r="AC59"/>
      <c r="AD59"/>
      <c r="AE59"/>
      <c r="AF59"/>
    </row>
    <row r="60" spans="1:32" ht="12.75" customHeight="1">
      <c r="A60" s="121"/>
      <c r="B60" s="121"/>
      <c r="C60" s="121"/>
      <c r="D60" s="121"/>
      <c r="E60" s="121"/>
      <c r="F60" s="121"/>
      <c r="G60" s="121"/>
      <c r="H60" s="121"/>
      <c r="I60" s="121"/>
      <c r="J60" s="121"/>
      <c r="K60" s="121"/>
      <c r="L60" s="121"/>
      <c r="M60" s="121"/>
      <c r="N60" s="121"/>
      <c r="O60" s="121"/>
      <c r="P60" s="121"/>
      <c r="Q60" s="563"/>
      <c r="R60" s="965"/>
      <c r="S60" s="966"/>
      <c r="T60" s="967"/>
      <c r="U60" s="950"/>
      <c r="V60" s="939"/>
      <c r="W60" s="941"/>
      <c r="X60" s="943"/>
      <c r="Y60" s="361"/>
      <c r="Z60" s="364"/>
      <c r="AA60"/>
      <c r="AB60"/>
      <c r="AC60"/>
      <c r="AD60"/>
      <c r="AE60"/>
      <c r="AF60"/>
    </row>
    <row r="61" spans="1:32" ht="12.75" customHeight="1">
      <c r="A61" s="121"/>
      <c r="B61" s="121"/>
      <c r="C61" s="121"/>
      <c r="D61" s="121"/>
      <c r="E61" s="121"/>
      <c r="F61" s="121"/>
      <c r="G61" s="121"/>
      <c r="H61" s="121"/>
      <c r="I61" s="121"/>
      <c r="J61" s="121"/>
      <c r="K61" s="121"/>
      <c r="L61" s="121"/>
      <c r="M61" s="121"/>
      <c r="N61" s="121"/>
      <c r="O61" s="121"/>
      <c r="P61" s="121"/>
      <c r="Q61" s="563"/>
      <c r="R61" s="969" t="s">
        <v>209</v>
      </c>
      <c r="S61" s="969"/>
      <c r="T61" s="969"/>
      <c r="U61" s="562">
        <f>(U56*$V$24)/$V$23</f>
        <v>160</v>
      </c>
      <c r="V61" s="670">
        <f>(V56*$V$24)/$V$23</f>
        <v>119.99999999999997</v>
      </c>
      <c r="W61" s="670">
        <f>(W56*$V$24)/$V$23</f>
        <v>104.3478260869565</v>
      </c>
      <c r="X61" s="670">
        <f>(X56*$V$24)/$V$23</f>
        <v>85.714285714285708</v>
      </c>
      <c r="Y61" s="361"/>
      <c r="Z61" s="364"/>
      <c r="AA61"/>
      <c r="AB61"/>
      <c r="AC61"/>
      <c r="AD61"/>
      <c r="AE61"/>
      <c r="AF61"/>
    </row>
    <row r="62" spans="1:32" ht="12.75" customHeight="1">
      <c r="A62" s="121"/>
      <c r="B62" s="121"/>
      <c r="C62" s="121"/>
      <c r="D62" s="121"/>
      <c r="E62" s="121"/>
      <c r="F62" s="121"/>
      <c r="G62" s="121"/>
      <c r="H62" s="121"/>
      <c r="I62" s="121"/>
      <c r="J62" s="121"/>
      <c r="K62" s="121"/>
      <c r="L62" s="121"/>
      <c r="M62" s="121"/>
      <c r="N62" s="121"/>
      <c r="O62" s="121"/>
      <c r="P62" s="121"/>
      <c r="Q62" s="563"/>
      <c r="R62" s="931" t="s">
        <v>212</v>
      </c>
      <c r="S62" s="931"/>
      <c r="T62" s="931"/>
      <c r="U62" s="537">
        <f>U61/60</f>
        <v>2.6666666666666665</v>
      </c>
      <c r="V62" s="557">
        <f>V61/60</f>
        <v>1.9999999999999996</v>
      </c>
      <c r="W62" s="557">
        <f>W61/60</f>
        <v>1.7391304347826084</v>
      </c>
      <c r="X62" s="557">
        <f>X61/60</f>
        <v>1.4285714285714284</v>
      </c>
      <c r="Y62" s="361"/>
      <c r="Z62" s="364"/>
      <c r="AA62"/>
      <c r="AB62"/>
      <c r="AC62"/>
      <c r="AD62"/>
      <c r="AE62"/>
      <c r="AF62"/>
    </row>
    <row r="63" spans="1:32" ht="12.75" customHeight="1">
      <c r="A63" s="121"/>
      <c r="B63" s="121"/>
      <c r="C63" s="121"/>
      <c r="D63" s="121"/>
      <c r="E63" s="121"/>
      <c r="F63" s="121"/>
      <c r="G63" s="121"/>
      <c r="H63" s="121"/>
      <c r="I63" s="121"/>
      <c r="J63" s="121"/>
      <c r="K63" s="121"/>
      <c r="L63" s="121"/>
      <c r="M63" s="121"/>
      <c r="N63" s="121"/>
      <c r="O63" s="121"/>
      <c r="P63" s="121"/>
      <c r="Q63" s="563"/>
      <c r="R63" s="363"/>
      <c r="S63" s="363"/>
      <c r="T63" s="363"/>
      <c r="U63" s="363"/>
      <c r="V63" s="363"/>
      <c r="W63" s="363"/>
      <c r="X63" s="363"/>
      <c r="Y63" s="363"/>
      <c r="Z63" s="364"/>
      <c r="AA63"/>
      <c r="AB63"/>
      <c r="AC63"/>
      <c r="AD63"/>
      <c r="AE63"/>
      <c r="AF63"/>
    </row>
    <row r="64" spans="1:32" ht="12.75" customHeight="1">
      <c r="A64" s="121"/>
      <c r="B64" s="121"/>
      <c r="C64" s="121"/>
      <c r="D64" s="121"/>
      <c r="E64" s="121"/>
      <c r="F64" s="121"/>
      <c r="G64" s="121"/>
      <c r="H64" s="121"/>
      <c r="I64" s="121"/>
      <c r="J64" s="121"/>
      <c r="K64" s="121"/>
      <c r="L64" s="121"/>
      <c r="M64" s="121"/>
      <c r="N64" s="121"/>
      <c r="O64" s="121"/>
      <c r="P64" s="121"/>
      <c r="Q64" s="388" t="s">
        <v>295</v>
      </c>
      <c r="R64" s="1015" t="s">
        <v>216</v>
      </c>
      <c r="S64" s="1015"/>
      <c r="T64" s="1015"/>
      <c r="U64" s="1015"/>
      <c r="V64" s="1015"/>
      <c r="W64" s="1015"/>
      <c r="X64" s="1015"/>
      <c r="Y64" s="1015"/>
      <c r="Z64" s="536"/>
      <c r="AA64"/>
      <c r="AB64"/>
      <c r="AC64"/>
      <c r="AD64"/>
      <c r="AE64"/>
      <c r="AF64"/>
    </row>
    <row r="65" spans="1:36" ht="12.75" customHeight="1">
      <c r="A65" s="121"/>
      <c r="B65" s="121"/>
      <c r="C65" s="121"/>
      <c r="D65" s="121"/>
      <c r="E65" s="121"/>
      <c r="F65" s="121"/>
      <c r="G65" s="121"/>
      <c r="H65" s="121"/>
      <c r="I65" s="121"/>
      <c r="J65" s="121"/>
      <c r="K65" s="121"/>
      <c r="L65" s="121"/>
      <c r="M65" s="121"/>
      <c r="N65" s="121"/>
      <c r="O65" s="121"/>
      <c r="P65" s="121"/>
      <c r="Q65" s="563"/>
      <c r="R65" s="363"/>
      <c r="S65" s="363"/>
      <c r="T65" s="363"/>
      <c r="U65" s="363"/>
      <c r="V65" s="363"/>
      <c r="W65" s="363"/>
      <c r="X65" s="363"/>
      <c r="Y65" s="363"/>
      <c r="Z65" s="364"/>
      <c r="AA65"/>
      <c r="AB65"/>
      <c r="AC65"/>
      <c r="AD65"/>
      <c r="AE65"/>
      <c r="AF65"/>
    </row>
    <row r="66" spans="1:36" ht="12.75" customHeight="1">
      <c r="A66" s="121"/>
      <c r="B66" s="121"/>
      <c r="C66" s="121"/>
      <c r="D66" s="121"/>
      <c r="E66" s="121"/>
      <c r="F66" s="121"/>
      <c r="G66" s="121"/>
      <c r="H66" s="121"/>
      <c r="I66" s="121"/>
      <c r="J66" s="121"/>
      <c r="K66" s="121"/>
      <c r="L66" s="121"/>
      <c r="M66" s="121"/>
      <c r="N66" s="121"/>
      <c r="O66" s="121"/>
      <c r="P66" s="121"/>
      <c r="Q66" s="360" t="s">
        <v>502</v>
      </c>
      <c r="R66" s="364" t="s">
        <v>527</v>
      </c>
      <c r="S66" s="364"/>
      <c r="T66" s="364"/>
      <c r="U66" s="555"/>
      <c r="V66" s="555"/>
      <c r="W66" s="555"/>
      <c r="X66" s="555"/>
      <c r="Y66" s="555"/>
      <c r="Z66" s="364"/>
      <c r="AA66"/>
      <c r="AB66"/>
      <c r="AC66"/>
      <c r="AD66"/>
      <c r="AE66"/>
      <c r="AF66"/>
      <c r="AG66" s="23"/>
      <c r="AH66" s="23"/>
      <c r="AI66" s="23"/>
    </row>
    <row r="67" spans="1:36" ht="12.75" customHeight="1">
      <c r="A67" s="121"/>
      <c r="B67" s="121"/>
      <c r="C67" s="121"/>
      <c r="D67" s="121"/>
      <c r="E67" s="121"/>
      <c r="F67" s="121"/>
      <c r="G67" s="121"/>
      <c r="H67" s="121"/>
      <c r="I67" s="121"/>
      <c r="J67" s="121"/>
      <c r="K67" s="121"/>
      <c r="L67" s="121"/>
      <c r="M67" s="121"/>
      <c r="N67" s="121"/>
      <c r="O67" s="121"/>
      <c r="P67" s="121"/>
      <c r="Q67" s="360"/>
      <c r="R67" s="962" t="s">
        <v>678</v>
      </c>
      <c r="S67" s="963"/>
      <c r="T67" s="964"/>
      <c r="U67" s="949" t="s">
        <v>500</v>
      </c>
      <c r="V67" s="938" t="s">
        <v>22</v>
      </c>
      <c r="W67" s="940" t="s">
        <v>579</v>
      </c>
      <c r="X67" s="942" t="s">
        <v>21</v>
      </c>
      <c r="Y67" s="361"/>
      <c r="Z67" s="364"/>
      <c r="AA67"/>
      <c r="AB67"/>
      <c r="AC67"/>
      <c r="AD67"/>
      <c r="AE67"/>
      <c r="AF67"/>
      <c r="AJ67" s="17"/>
    </row>
    <row r="68" spans="1:36" ht="12.75" customHeight="1">
      <c r="A68" s="121"/>
      <c r="B68" s="121"/>
      <c r="C68" s="121"/>
      <c r="D68" s="121"/>
      <c r="E68" s="121"/>
      <c r="F68" s="121"/>
      <c r="G68" s="121"/>
      <c r="H68" s="121"/>
      <c r="I68" s="121"/>
      <c r="J68" s="121"/>
      <c r="K68" s="121"/>
      <c r="L68" s="121"/>
      <c r="M68" s="121"/>
      <c r="N68" s="121"/>
      <c r="O68" s="121"/>
      <c r="P68" s="121"/>
      <c r="Q68" s="360"/>
      <c r="R68" s="965"/>
      <c r="S68" s="966"/>
      <c r="T68" s="967"/>
      <c r="U68" s="950"/>
      <c r="V68" s="939"/>
      <c r="W68" s="941"/>
      <c r="X68" s="943"/>
      <c r="Y68" s="361"/>
      <c r="Z68" s="364"/>
      <c r="AA68"/>
      <c r="AB68"/>
      <c r="AC68"/>
      <c r="AD68"/>
      <c r="AE68"/>
      <c r="AF68"/>
      <c r="AJ68" s="17"/>
    </row>
    <row r="69" spans="1:36" ht="12.75" customHeight="1">
      <c r="A69" s="121"/>
      <c r="B69" s="121"/>
      <c r="C69" s="121"/>
      <c r="D69" s="121"/>
      <c r="E69" s="121"/>
      <c r="F69" s="121"/>
      <c r="G69" s="121"/>
      <c r="H69" s="121"/>
      <c r="I69" s="121"/>
      <c r="J69" s="121"/>
      <c r="K69" s="121"/>
      <c r="L69" s="121"/>
      <c r="M69" s="121"/>
      <c r="N69" s="121"/>
      <c r="O69" s="121"/>
      <c r="P69" s="121"/>
      <c r="Q69" s="360"/>
      <c r="R69" s="969" t="s">
        <v>63</v>
      </c>
      <c r="S69" s="969"/>
      <c r="T69" s="969"/>
      <c r="U69" s="369">
        <v>102</v>
      </c>
      <c r="V69" s="369">
        <f>VLOOKUP($V$5,'Lookup dBA'!$B$8:$E$208,3)</f>
        <v>108</v>
      </c>
      <c r="W69" s="369">
        <f>VLOOKUP($V$5,'Lookup dBA'!$B$8:$E$208,4)</f>
        <v>109</v>
      </c>
      <c r="X69" s="369">
        <f>VLOOKUP($V$5,'Lookup dBA'!$B$8:$E$208,2)</f>
        <v>116</v>
      </c>
      <c r="Y69" s="361"/>
      <c r="Z69" s="364"/>
      <c r="AA69"/>
      <c r="AB69"/>
      <c r="AC69"/>
      <c r="AD69"/>
      <c r="AE69"/>
      <c r="AF69"/>
      <c r="AJ69" s="17"/>
    </row>
    <row r="70" spans="1:36" ht="12.75" customHeight="1">
      <c r="A70" s="121"/>
      <c r="B70" s="121"/>
      <c r="C70" s="121"/>
      <c r="D70" s="121"/>
      <c r="E70" s="121"/>
      <c r="F70" s="121"/>
      <c r="G70" s="121"/>
      <c r="H70" s="121"/>
      <c r="I70" s="121"/>
      <c r="J70" s="121"/>
      <c r="K70" s="121"/>
      <c r="L70" s="121"/>
      <c r="M70" s="121"/>
      <c r="N70" s="121"/>
      <c r="O70" s="121"/>
      <c r="P70" s="121"/>
      <c r="Q70" s="360"/>
      <c r="R70" s="969" t="s">
        <v>64</v>
      </c>
      <c r="S70" s="969"/>
      <c r="T70" s="969"/>
      <c r="U70" s="369">
        <f>U69-PPE!$I$15</f>
        <v>89</v>
      </c>
      <c r="V70" s="369">
        <f>V69-PPE!$I$15</f>
        <v>95</v>
      </c>
      <c r="W70" s="369">
        <f>W69-PPE!$I$15</f>
        <v>96</v>
      </c>
      <c r="X70" s="369">
        <f>X69-PPE!$I$15</f>
        <v>103</v>
      </c>
      <c r="Y70" s="361"/>
      <c r="Z70" s="364"/>
      <c r="AA70"/>
      <c r="AB70"/>
      <c r="AC70"/>
      <c r="AD70"/>
      <c r="AE70"/>
      <c r="AF70"/>
      <c r="AJ70" s="32"/>
    </row>
    <row r="71" spans="1:36" ht="12.75" customHeight="1">
      <c r="A71" s="121"/>
      <c r="B71" s="121"/>
      <c r="C71" s="121"/>
      <c r="D71" s="121"/>
      <c r="E71" s="121"/>
      <c r="F71" s="121"/>
      <c r="G71" s="121"/>
      <c r="H71" s="121"/>
      <c r="I71" s="121"/>
      <c r="J71" s="121"/>
      <c r="K71" s="121"/>
      <c r="L71" s="121"/>
      <c r="M71" s="121"/>
      <c r="N71" s="121"/>
      <c r="O71" s="121"/>
      <c r="P71" s="121"/>
      <c r="Q71" s="360"/>
      <c r="R71" s="969" t="s">
        <v>529</v>
      </c>
      <c r="S71" s="969"/>
      <c r="T71" s="969"/>
      <c r="U71" s="369">
        <v>110</v>
      </c>
      <c r="V71" s="369">
        <v>110</v>
      </c>
      <c r="W71" s="369">
        <v>110</v>
      </c>
      <c r="X71" s="369">
        <v>110</v>
      </c>
      <c r="Y71" s="361"/>
      <c r="Z71" s="364"/>
      <c r="AA71"/>
      <c r="AB71"/>
      <c r="AC71"/>
      <c r="AD71"/>
      <c r="AE71"/>
      <c r="AF71"/>
      <c r="AJ71" s="32"/>
    </row>
    <row r="72" spans="1:36" ht="12.75" customHeight="1">
      <c r="A72" s="121"/>
      <c r="B72" s="121"/>
      <c r="C72" s="121"/>
      <c r="D72" s="121"/>
      <c r="E72" s="121"/>
      <c r="F72" s="121"/>
      <c r="G72" s="121"/>
      <c r="H72" s="121"/>
      <c r="I72" s="121"/>
      <c r="J72" s="121"/>
      <c r="K72" s="121"/>
      <c r="L72" s="121"/>
      <c r="M72" s="121"/>
      <c r="N72" s="121"/>
      <c r="O72" s="121"/>
      <c r="P72" s="121"/>
      <c r="Q72" s="360"/>
      <c r="R72" s="363"/>
      <c r="S72" s="363"/>
      <c r="T72" s="363"/>
      <c r="U72" s="363"/>
      <c r="V72" s="363"/>
      <c r="W72" s="363"/>
      <c r="X72" s="363"/>
      <c r="Y72" s="555"/>
      <c r="Z72" s="364"/>
      <c r="AA72"/>
      <c r="AB72"/>
      <c r="AC72"/>
      <c r="AD72"/>
      <c r="AE72"/>
      <c r="AF72"/>
      <c r="AJ72" s="32"/>
    </row>
    <row r="73" spans="1:36" ht="12.75" customHeight="1">
      <c r="A73" s="121"/>
      <c r="B73" s="121"/>
      <c r="C73" s="121"/>
      <c r="D73" s="121"/>
      <c r="E73" s="121"/>
      <c r="F73" s="121"/>
      <c r="G73" s="121"/>
      <c r="H73" s="121"/>
      <c r="I73" s="121"/>
      <c r="J73" s="121"/>
      <c r="K73" s="121"/>
      <c r="L73" s="121"/>
      <c r="M73" s="121"/>
      <c r="N73" s="121"/>
      <c r="O73" s="121"/>
      <c r="P73" s="121"/>
      <c r="Q73" s="360" t="s">
        <v>503</v>
      </c>
      <c r="R73" s="364" t="s">
        <v>528</v>
      </c>
      <c r="S73" s="364"/>
      <c r="T73" s="364"/>
      <c r="U73" s="555"/>
      <c r="V73" s="555"/>
      <c r="W73" s="555"/>
      <c r="X73" s="555"/>
      <c r="Y73" s="555"/>
      <c r="Z73" s="364"/>
      <c r="AA73"/>
      <c r="AB73"/>
      <c r="AC73"/>
      <c r="AD73"/>
      <c r="AE73"/>
      <c r="AF73"/>
      <c r="AJ73" s="17"/>
    </row>
    <row r="74" spans="1:36" ht="12.75" customHeight="1">
      <c r="A74" s="121"/>
      <c r="B74" s="121"/>
      <c r="C74" s="121"/>
      <c r="D74" s="121"/>
      <c r="E74" s="121"/>
      <c r="F74" s="121"/>
      <c r="G74" s="121"/>
      <c r="H74" s="121"/>
      <c r="I74" s="121"/>
      <c r="J74" s="121"/>
      <c r="K74" s="121"/>
      <c r="L74" s="121"/>
      <c r="M74" s="121"/>
      <c r="N74" s="121"/>
      <c r="O74" s="121"/>
      <c r="P74" s="121"/>
      <c r="Q74" s="360"/>
      <c r="R74" s="935" t="s">
        <v>678</v>
      </c>
      <c r="S74" s="935"/>
      <c r="T74" s="935"/>
      <c r="U74" s="930" t="s">
        <v>500</v>
      </c>
      <c r="V74" s="928" t="s">
        <v>22</v>
      </c>
      <c r="W74" s="929" t="s">
        <v>579</v>
      </c>
      <c r="X74" s="927" t="s">
        <v>21</v>
      </c>
      <c r="Y74" s="361"/>
      <c r="Z74" s="364"/>
      <c r="AA74"/>
      <c r="AB74"/>
      <c r="AC74"/>
      <c r="AD74"/>
      <c r="AE74"/>
      <c r="AF74"/>
      <c r="AJ74" s="17"/>
    </row>
    <row r="75" spans="1:36" ht="12.75" customHeight="1">
      <c r="A75" s="121"/>
      <c r="B75" s="121"/>
      <c r="C75" s="121"/>
      <c r="D75" s="121"/>
      <c r="E75" s="121"/>
      <c r="F75" s="121"/>
      <c r="G75" s="121"/>
      <c r="H75" s="121"/>
      <c r="I75" s="121"/>
      <c r="J75" s="121"/>
      <c r="K75" s="121"/>
      <c r="L75" s="121"/>
      <c r="M75" s="121"/>
      <c r="N75" s="121"/>
      <c r="O75" s="121"/>
      <c r="P75" s="121"/>
      <c r="Q75" s="360"/>
      <c r="R75" s="935"/>
      <c r="S75" s="935"/>
      <c r="T75" s="935"/>
      <c r="U75" s="930"/>
      <c r="V75" s="928"/>
      <c r="W75" s="929"/>
      <c r="X75" s="927"/>
      <c r="Y75" s="361"/>
      <c r="Z75" s="364"/>
      <c r="AA75"/>
      <c r="AB75"/>
      <c r="AC75"/>
      <c r="AD75"/>
      <c r="AE75"/>
      <c r="AF75"/>
      <c r="AJ75" s="17"/>
    </row>
    <row r="76" spans="1:36" ht="12.75" customHeight="1">
      <c r="A76" s="121"/>
      <c r="B76" s="121"/>
      <c r="C76" s="121"/>
      <c r="D76" s="121"/>
      <c r="E76" s="121"/>
      <c r="F76" s="121"/>
      <c r="G76" s="121"/>
      <c r="H76" s="121"/>
      <c r="I76" s="121"/>
      <c r="J76" s="121"/>
      <c r="K76" s="121"/>
      <c r="L76" s="121"/>
      <c r="M76" s="121"/>
      <c r="N76" s="121"/>
      <c r="O76" s="121"/>
      <c r="P76" s="121"/>
      <c r="Q76" s="360"/>
      <c r="R76" s="969" t="s">
        <v>63</v>
      </c>
      <c r="S76" s="969"/>
      <c r="T76" s="969"/>
      <c r="U76" s="369">
        <f>VLOOKUP($V$21,$R$309:$Z$314,5)</f>
        <v>108.02059991327964</v>
      </c>
      <c r="V76" s="369">
        <f>VLOOKUP($V$21,$R$309:$Z$314,3)</f>
        <v>114.02059991327963</v>
      </c>
      <c r="W76" s="369">
        <f>VLOOKUP($V$21,$R$309:$Z$314,4)</f>
        <v>115.02059991327963</v>
      </c>
      <c r="X76" s="369">
        <f>VLOOKUP($V$21,$R$309:$Z$314,2)</f>
        <v>122.02059991327964</v>
      </c>
      <c r="Y76" s="361"/>
      <c r="Z76" s="364"/>
      <c r="AA76"/>
      <c r="AB76"/>
      <c r="AC76"/>
      <c r="AD76"/>
      <c r="AE76"/>
      <c r="AF76"/>
      <c r="AJ76" s="17"/>
    </row>
    <row r="77" spans="1:36" ht="12.75" customHeight="1">
      <c r="Q77" s="360"/>
      <c r="R77" s="969" t="s">
        <v>64</v>
      </c>
      <c r="S77" s="969"/>
      <c r="T77" s="969"/>
      <c r="U77" s="369">
        <f>U76-PPE!$I$15</f>
        <v>95.020599913279639</v>
      </c>
      <c r="V77" s="369">
        <f>V76-PPE!$I$15</f>
        <v>101.02059991327963</v>
      </c>
      <c r="W77" s="369">
        <f>W76-PPE!$I$15</f>
        <v>102.02059991327963</v>
      </c>
      <c r="X77" s="369">
        <f>X76-PPE!$I$15</f>
        <v>109.02059991327964</v>
      </c>
      <c r="Y77" s="361"/>
      <c r="Z77" s="364"/>
      <c r="AA77"/>
      <c r="AB77"/>
      <c r="AC77"/>
      <c r="AD77"/>
      <c r="AE77"/>
      <c r="AF77"/>
      <c r="AJ77" s="17"/>
    </row>
    <row r="78" spans="1:36" ht="12.75" customHeight="1">
      <c r="Q78" s="360"/>
      <c r="R78" s="969" t="s">
        <v>529</v>
      </c>
      <c r="S78" s="969"/>
      <c r="T78" s="969"/>
      <c r="U78" s="369">
        <v>110</v>
      </c>
      <c r="V78" s="369">
        <v>110</v>
      </c>
      <c r="W78" s="369">
        <v>110</v>
      </c>
      <c r="X78" s="369">
        <v>110</v>
      </c>
      <c r="Y78" s="361"/>
      <c r="Z78" s="364"/>
      <c r="AA78"/>
      <c r="AB78"/>
      <c r="AC78"/>
      <c r="AD78"/>
      <c r="AE78"/>
      <c r="AF78"/>
      <c r="AJ78" s="17"/>
    </row>
    <row r="79" spans="1:36" ht="12.75" customHeight="1">
      <c r="Q79" s="360"/>
      <c r="R79" s="364"/>
      <c r="S79" s="364"/>
      <c r="T79" s="364"/>
      <c r="U79" s="555"/>
      <c r="V79" s="555"/>
      <c r="W79" s="555"/>
      <c r="X79" s="555"/>
      <c r="Y79" s="555"/>
      <c r="Z79" s="364"/>
      <c r="AA79"/>
      <c r="AB79"/>
      <c r="AC79"/>
      <c r="AD79"/>
      <c r="AE79"/>
      <c r="AF79"/>
      <c r="AJ79" s="17"/>
    </row>
    <row r="80" spans="1:36" ht="12.75" customHeight="1">
      <c r="Q80" s="385" t="s">
        <v>305</v>
      </c>
      <c r="R80" s="1008" t="s">
        <v>218</v>
      </c>
      <c r="S80" s="1008"/>
      <c r="T80" s="1008"/>
      <c r="U80" s="1008"/>
      <c r="V80" s="1008"/>
      <c r="W80" s="1008"/>
      <c r="X80" s="1008"/>
      <c r="Y80" s="1008"/>
      <c r="Z80" s="536"/>
      <c r="AA80"/>
      <c r="AB80"/>
      <c r="AC80"/>
      <c r="AD80"/>
      <c r="AE80"/>
      <c r="AF80"/>
      <c r="AJ80" s="17"/>
    </row>
    <row r="81" spans="17:36" ht="12.75" customHeight="1">
      <c r="Q81" s="546"/>
      <c r="R81" s="363"/>
      <c r="S81" s="363"/>
      <c r="T81" s="363"/>
      <c r="U81" s="363"/>
      <c r="V81" s="363"/>
      <c r="W81" s="363"/>
      <c r="X81" s="363"/>
      <c r="Y81" s="363"/>
      <c r="Z81" s="364"/>
      <c r="AA81"/>
      <c r="AB81"/>
      <c r="AC81"/>
      <c r="AD81"/>
      <c r="AE81"/>
      <c r="AF81"/>
      <c r="AJ81" s="43"/>
    </row>
    <row r="82" spans="17:36" ht="12.75" customHeight="1">
      <c r="Q82" s="546"/>
      <c r="R82" s="363" t="s">
        <v>436</v>
      </c>
      <c r="S82" s="363"/>
      <c r="T82" s="363"/>
      <c r="U82" s="363"/>
      <c r="V82" s="363"/>
      <c r="W82" s="363"/>
      <c r="X82" s="363"/>
      <c r="Y82" s="363"/>
      <c r="Z82" s="364"/>
      <c r="AA82"/>
      <c r="AB82"/>
      <c r="AC82"/>
      <c r="AD82"/>
      <c r="AE82"/>
      <c r="AF82"/>
      <c r="AJ82" s="43"/>
    </row>
    <row r="83" spans="17:36" ht="12.75" customHeight="1">
      <c r="Q83" s="360"/>
      <c r="R83" s="935" t="s">
        <v>678</v>
      </c>
      <c r="S83" s="935"/>
      <c r="T83" s="935"/>
      <c r="U83" s="949" t="s">
        <v>500</v>
      </c>
      <c r="V83" s="1011" t="s">
        <v>22</v>
      </c>
      <c r="W83" s="1013" t="s">
        <v>579</v>
      </c>
      <c r="X83" s="1009" t="s">
        <v>21</v>
      </c>
      <c r="Y83" s="361"/>
      <c r="Z83" s="364"/>
      <c r="AA83"/>
      <c r="AB83"/>
      <c r="AC83"/>
      <c r="AD83"/>
      <c r="AE83"/>
      <c r="AF83"/>
      <c r="AJ83" s="43"/>
    </row>
    <row r="84" spans="17:36" ht="12.75" customHeight="1">
      <c r="Q84" s="360"/>
      <c r="R84" s="935"/>
      <c r="S84" s="935"/>
      <c r="T84" s="935"/>
      <c r="U84" s="950"/>
      <c r="V84" s="1012"/>
      <c r="W84" s="1014"/>
      <c r="X84" s="1010"/>
      <c r="Y84" s="361"/>
      <c r="Z84" s="364"/>
      <c r="AA84"/>
      <c r="AB84"/>
      <c r="AC84"/>
      <c r="AD84"/>
      <c r="AE84"/>
      <c r="AF84"/>
    </row>
    <row r="85" spans="17:36" ht="12.75" customHeight="1">
      <c r="Q85" s="360"/>
      <c r="R85" s="969" t="s">
        <v>63</v>
      </c>
      <c r="S85" s="969"/>
      <c r="T85" s="969"/>
      <c r="U85" s="369">
        <f>U414</f>
        <v>97.15</v>
      </c>
      <c r="V85" s="369">
        <f>U356</f>
        <v>101.95</v>
      </c>
      <c r="W85" s="369">
        <f>U385</f>
        <v>102.4</v>
      </c>
      <c r="X85" s="369">
        <f>U327</f>
        <v>108.5</v>
      </c>
      <c r="Y85" s="361"/>
      <c r="Z85" s="364"/>
      <c r="AA85"/>
      <c r="AB85"/>
      <c r="AC85"/>
      <c r="AD85"/>
      <c r="AE85"/>
      <c r="AF85"/>
    </row>
    <row r="86" spans="17:36" ht="12.75" customHeight="1">
      <c r="Q86" s="360"/>
      <c r="R86" s="969" t="s">
        <v>64</v>
      </c>
      <c r="S86" s="969"/>
      <c r="T86" s="969"/>
      <c r="U86" s="369">
        <f>U427</f>
        <v>84.15</v>
      </c>
      <c r="V86" s="369">
        <f>U369</f>
        <v>88.95</v>
      </c>
      <c r="W86" s="369">
        <f>U398</f>
        <v>89.3</v>
      </c>
      <c r="X86" s="369">
        <f>U340</f>
        <v>95.55</v>
      </c>
      <c r="Y86" s="361"/>
      <c r="Z86" s="364"/>
      <c r="AA86"/>
      <c r="AB86"/>
      <c r="AC86"/>
      <c r="AD86"/>
      <c r="AE86"/>
      <c r="AF86"/>
    </row>
    <row r="87" spans="17:36" ht="12.75" customHeight="1">
      <c r="Q87" s="360"/>
      <c r="R87" s="969" t="s">
        <v>530</v>
      </c>
      <c r="S87" s="969"/>
      <c r="T87" s="969"/>
      <c r="U87" s="369">
        <v>85</v>
      </c>
      <c r="V87" s="369">
        <v>85</v>
      </c>
      <c r="W87" s="369">
        <v>85</v>
      </c>
      <c r="X87" s="369">
        <v>85</v>
      </c>
      <c r="Y87" s="361"/>
      <c r="Z87" s="364"/>
      <c r="AA87"/>
      <c r="AB87"/>
      <c r="AC87"/>
      <c r="AD87"/>
      <c r="AE87"/>
      <c r="AF87"/>
    </row>
    <row r="88" spans="17:36" ht="12.75" customHeight="1">
      <c r="Q88" s="360"/>
      <c r="R88" s="363"/>
      <c r="S88" s="363"/>
      <c r="T88" s="363"/>
      <c r="U88" s="363"/>
      <c r="V88" s="363"/>
      <c r="W88" s="363"/>
      <c r="X88" s="363"/>
      <c r="Y88" s="363"/>
      <c r="Z88" s="364"/>
      <c r="AA88"/>
      <c r="AB88"/>
      <c r="AC88"/>
      <c r="AD88"/>
      <c r="AE88"/>
      <c r="AF88"/>
    </row>
    <row r="89" spans="17:36" ht="12.75" customHeight="1">
      <c r="Q89" s="360"/>
      <c r="R89" s="363" t="s">
        <v>437</v>
      </c>
      <c r="S89" s="363"/>
      <c r="T89" s="363"/>
      <c r="U89" s="363"/>
      <c r="V89" s="363"/>
      <c r="W89" s="363"/>
      <c r="X89" s="363"/>
      <c r="Y89" s="363"/>
      <c r="Z89" s="364"/>
      <c r="AA89"/>
      <c r="AB89"/>
      <c r="AC89"/>
      <c r="AD89"/>
      <c r="AE89"/>
      <c r="AF89"/>
    </row>
    <row r="90" spans="17:36" ht="12.75" customHeight="1">
      <c r="Q90" s="360"/>
      <c r="R90" s="935" t="s">
        <v>678</v>
      </c>
      <c r="S90" s="935"/>
      <c r="T90" s="935"/>
      <c r="U90" s="949" t="s">
        <v>500</v>
      </c>
      <c r="V90" s="1011" t="s">
        <v>22</v>
      </c>
      <c r="W90" s="1013" t="s">
        <v>579</v>
      </c>
      <c r="X90" s="1009" t="s">
        <v>21</v>
      </c>
      <c r="Y90" s="361"/>
      <c r="Z90" s="364"/>
      <c r="AA90"/>
      <c r="AB90"/>
      <c r="AC90"/>
      <c r="AD90"/>
      <c r="AE90"/>
      <c r="AF90"/>
    </row>
    <row r="91" spans="17:36" ht="12.75" customHeight="1">
      <c r="Q91" s="360"/>
      <c r="R91" s="935"/>
      <c r="S91" s="935"/>
      <c r="T91" s="935"/>
      <c r="U91" s="950"/>
      <c r="V91" s="1012"/>
      <c r="W91" s="1014"/>
      <c r="X91" s="1010"/>
      <c r="Y91" s="361"/>
      <c r="Z91" s="364"/>
      <c r="AA91"/>
      <c r="AB91"/>
      <c r="AC91"/>
      <c r="AD91"/>
      <c r="AE91"/>
      <c r="AF91"/>
    </row>
    <row r="92" spans="17:36" ht="12.75" customHeight="1">
      <c r="Q92" s="360"/>
      <c r="R92" s="969" t="s">
        <v>63</v>
      </c>
      <c r="S92" s="969"/>
      <c r="T92" s="969"/>
      <c r="U92" s="369">
        <f>U533</f>
        <v>103.15</v>
      </c>
      <c r="V92" s="369">
        <f>U475</f>
        <v>107.95</v>
      </c>
      <c r="W92" s="369">
        <f>U504</f>
        <v>108.4</v>
      </c>
      <c r="X92" s="369">
        <f>U446</f>
        <v>113.95</v>
      </c>
      <c r="Y92" s="361"/>
      <c r="Z92" s="364"/>
      <c r="AA92"/>
      <c r="AB92"/>
      <c r="AC92"/>
      <c r="AD92"/>
      <c r="AE92"/>
      <c r="AF92"/>
    </row>
    <row r="93" spans="17:36" ht="12.75" customHeight="1">
      <c r="Q93" s="360"/>
      <c r="R93" s="969" t="s">
        <v>64</v>
      </c>
      <c r="S93" s="969"/>
      <c r="T93" s="969"/>
      <c r="U93" s="369">
        <f>U546</f>
        <v>90.15</v>
      </c>
      <c r="V93" s="369">
        <f>U488</f>
        <v>94.95</v>
      </c>
      <c r="W93" s="369">
        <f>U517</f>
        <v>95.3</v>
      </c>
      <c r="X93" s="369">
        <f>U459</f>
        <v>101.55</v>
      </c>
      <c r="Y93" s="361"/>
      <c r="Z93" s="364"/>
      <c r="AA93"/>
      <c r="AB93"/>
      <c r="AC93"/>
      <c r="AD93"/>
      <c r="AE93"/>
      <c r="AF93"/>
    </row>
    <row r="94" spans="17:36" ht="12.75" customHeight="1">
      <c r="Q94" s="360"/>
      <c r="R94" s="969" t="s">
        <v>530</v>
      </c>
      <c r="S94" s="969"/>
      <c r="T94" s="969"/>
      <c r="U94" s="369">
        <v>85</v>
      </c>
      <c r="V94" s="369">
        <v>85</v>
      </c>
      <c r="W94" s="369">
        <v>85</v>
      </c>
      <c r="X94" s="369">
        <v>85</v>
      </c>
      <c r="Y94" s="361"/>
      <c r="Z94" s="364"/>
      <c r="AA94"/>
      <c r="AB94"/>
      <c r="AC94"/>
      <c r="AD94"/>
      <c r="AE94"/>
      <c r="AF94"/>
    </row>
    <row r="95" spans="17:36" ht="12.75" customHeight="1">
      <c r="Q95" s="360"/>
      <c r="R95" s="363"/>
      <c r="S95" s="363"/>
      <c r="T95" s="363"/>
      <c r="U95" s="363"/>
      <c r="V95" s="363"/>
      <c r="W95" s="363"/>
      <c r="X95" s="363"/>
      <c r="Y95" s="363"/>
      <c r="Z95" s="364"/>
      <c r="AA95"/>
      <c r="AB95"/>
      <c r="AC95"/>
      <c r="AD95"/>
      <c r="AE95"/>
      <c r="AF95"/>
    </row>
    <row r="96" spans="17:36" ht="12.75" customHeight="1">
      <c r="Q96" s="385" t="s">
        <v>222</v>
      </c>
      <c r="R96" s="1008" t="s">
        <v>504</v>
      </c>
      <c r="S96" s="1008"/>
      <c r="T96" s="1008"/>
      <c r="U96" s="1008"/>
      <c r="V96" s="1008"/>
      <c r="W96" s="1008"/>
      <c r="X96" s="1008"/>
      <c r="Y96" s="1008"/>
      <c r="Z96" s="547"/>
      <c r="AA96"/>
      <c r="AB96"/>
      <c r="AC96"/>
      <c r="AD96"/>
      <c r="AE96"/>
      <c r="AF96"/>
    </row>
    <row r="97" spans="17:32" s="133" customFormat="1" ht="12.75" customHeight="1">
      <c r="Q97" s="360"/>
      <c r="R97" s="363"/>
      <c r="S97" s="363"/>
      <c r="T97" s="363"/>
      <c r="U97" s="363"/>
      <c r="V97" s="363"/>
      <c r="W97" s="363"/>
      <c r="X97" s="363"/>
      <c r="Y97" s="363"/>
      <c r="Z97" s="364"/>
      <c r="AA97"/>
      <c r="AB97"/>
      <c r="AC97"/>
      <c r="AD97"/>
      <c r="AE97"/>
      <c r="AF97"/>
    </row>
    <row r="98" spans="17:32" ht="12.75" customHeight="1">
      <c r="Q98" s="360" t="s">
        <v>505</v>
      </c>
      <c r="R98" s="363" t="s">
        <v>514</v>
      </c>
      <c r="S98" s="363"/>
      <c r="T98" s="363"/>
      <c r="U98" s="363"/>
      <c r="V98" s="363"/>
      <c r="W98" s="363"/>
      <c r="X98" s="363"/>
      <c r="Y98" s="363"/>
      <c r="Z98" s="364"/>
      <c r="AA98"/>
      <c r="AB98"/>
      <c r="AC98"/>
      <c r="AD98"/>
      <c r="AE98"/>
      <c r="AF98"/>
    </row>
    <row r="99" spans="17:32" ht="12.75" customHeight="1">
      <c r="Q99" s="360"/>
      <c r="R99" s="363" t="s">
        <v>512</v>
      </c>
      <c r="S99" s="363"/>
      <c r="T99" s="363"/>
      <c r="U99" s="363"/>
      <c r="V99" s="363"/>
      <c r="W99" s="363"/>
      <c r="X99" s="363"/>
      <c r="Y99" s="363"/>
      <c r="Z99" s="364"/>
      <c r="AA99"/>
      <c r="AB99"/>
      <c r="AC99"/>
      <c r="AD99"/>
      <c r="AE99"/>
      <c r="AF99"/>
    </row>
    <row r="100" spans="17:32" ht="12.75" customHeight="1">
      <c r="Q100" s="360"/>
      <c r="R100" s="998" t="s">
        <v>191</v>
      </c>
      <c r="S100" s="999"/>
      <c r="T100" s="1000"/>
      <c r="U100" s="949" t="s">
        <v>500</v>
      </c>
      <c r="V100" s="938" t="s">
        <v>22</v>
      </c>
      <c r="W100" s="940" t="s">
        <v>579</v>
      </c>
      <c r="X100" s="942" t="s">
        <v>21</v>
      </c>
      <c r="Y100" s="361"/>
      <c r="Z100" s="364"/>
      <c r="AA100"/>
      <c r="AB100"/>
      <c r="AC100"/>
      <c r="AD100"/>
      <c r="AE100"/>
      <c r="AF100"/>
    </row>
    <row r="101" spans="17:32" ht="12.75" customHeight="1">
      <c r="Q101" s="360"/>
      <c r="R101" s="1001"/>
      <c r="S101" s="1002"/>
      <c r="T101" s="1003"/>
      <c r="U101" s="950"/>
      <c r="V101" s="939"/>
      <c r="W101" s="941"/>
      <c r="X101" s="943"/>
      <c r="Y101" s="361"/>
      <c r="Z101" s="364"/>
      <c r="AA101"/>
      <c r="AB101"/>
      <c r="AC101"/>
      <c r="AD101"/>
      <c r="AE101"/>
      <c r="AF101"/>
    </row>
    <row r="102" spans="17:32" ht="12.75" customHeight="1">
      <c r="Q102" s="360"/>
      <c r="R102" s="969" t="s">
        <v>63</v>
      </c>
      <c r="S102" s="969"/>
      <c r="T102" s="969"/>
      <c r="U102" s="537">
        <f>VLOOKUP(U69,'Lookup Exposure Time'!$B$12:$C$732,2)</f>
        <v>10</v>
      </c>
      <c r="V102" s="537">
        <f>VLOOKUP(V69,'Lookup Exposure Time'!$B$12:$C$732,2)</f>
        <v>2.5</v>
      </c>
      <c r="W102" s="537">
        <f>VLOOKUP(W69,'Lookup Exposure Time'!$B$12:$C$732,2)</f>
        <v>1.875</v>
      </c>
      <c r="X102" s="537">
        <f>VLOOKUP(X69,'Lookup Exposure Time'!$B$12:$C$732,2)</f>
        <v>0.39061999999999986</v>
      </c>
      <c r="Y102" s="361"/>
      <c r="Z102" s="364"/>
      <c r="AA102"/>
      <c r="AB102"/>
      <c r="AC102"/>
      <c r="AD102"/>
      <c r="AE102"/>
      <c r="AF102"/>
    </row>
    <row r="103" spans="17:32" ht="12.75" customHeight="1">
      <c r="Q103" s="360"/>
      <c r="R103" s="969" t="s">
        <v>64</v>
      </c>
      <c r="S103" s="969"/>
      <c r="T103" s="969"/>
      <c r="U103" s="537">
        <f>VLOOKUP(U70,'Lookup Exposure Time'!$B$12:$C$732,2)</f>
        <v>200</v>
      </c>
      <c r="V103" s="537">
        <f>VLOOKUP(V70,'Lookup Exposure Time'!$B$12:$C$732,2)</f>
        <v>50</v>
      </c>
      <c r="W103" s="537">
        <f>VLOOKUP(W70,'Lookup Exposure Time'!$B$12:$C$732,2)</f>
        <v>40</v>
      </c>
      <c r="X103" s="537">
        <f>VLOOKUP(X70,'Lookup Exposure Time'!$B$12:$C$732,2)</f>
        <v>7.5</v>
      </c>
      <c r="Y103" s="361"/>
      <c r="Z103" s="364"/>
      <c r="AA103"/>
      <c r="AB103"/>
      <c r="AC103"/>
      <c r="AD103"/>
      <c r="AE103"/>
      <c r="AF103"/>
    </row>
    <row r="104" spans="17:32" ht="12.75" customHeight="1">
      <c r="Q104" s="360"/>
      <c r="R104" s="364"/>
      <c r="S104" s="364"/>
      <c r="T104" s="364"/>
      <c r="U104" s="364"/>
      <c r="V104" s="364"/>
      <c r="W104" s="364"/>
      <c r="X104" s="364"/>
      <c r="Y104" s="363"/>
      <c r="Z104" s="364"/>
      <c r="AA104"/>
      <c r="AB104"/>
      <c r="AC104"/>
      <c r="AD104"/>
      <c r="AE104"/>
      <c r="AF104"/>
    </row>
    <row r="105" spans="17:32" ht="12.75" customHeight="1">
      <c r="Q105" s="360" t="s">
        <v>507</v>
      </c>
      <c r="R105" s="363" t="s">
        <v>513</v>
      </c>
      <c r="S105" s="363"/>
      <c r="T105" s="363"/>
      <c r="U105" s="363"/>
      <c r="V105" s="363"/>
      <c r="W105" s="363"/>
      <c r="X105" s="363"/>
      <c r="Y105" s="363"/>
      <c r="Z105" s="364"/>
      <c r="AA105"/>
      <c r="AB105"/>
      <c r="AC105"/>
      <c r="AD105"/>
      <c r="AE105"/>
      <c r="AF105"/>
    </row>
    <row r="106" spans="17:32" ht="12.75" customHeight="1">
      <c r="Q106" s="360"/>
      <c r="R106" s="998" t="s">
        <v>191</v>
      </c>
      <c r="S106" s="999"/>
      <c r="T106" s="1000"/>
      <c r="U106" s="949" t="s">
        <v>500</v>
      </c>
      <c r="V106" s="938" t="s">
        <v>22</v>
      </c>
      <c r="W106" s="940" t="s">
        <v>579</v>
      </c>
      <c r="X106" s="942" t="s">
        <v>21</v>
      </c>
      <c r="Y106" s="361"/>
      <c r="Z106" s="364"/>
      <c r="AA106"/>
      <c r="AB106"/>
      <c r="AC106"/>
      <c r="AD106"/>
      <c r="AE106"/>
      <c r="AF106"/>
    </row>
    <row r="107" spans="17:32" ht="12.75" customHeight="1">
      <c r="Q107" s="360"/>
      <c r="R107" s="1001"/>
      <c r="S107" s="1002"/>
      <c r="T107" s="1003"/>
      <c r="U107" s="950"/>
      <c r="V107" s="939"/>
      <c r="W107" s="941"/>
      <c r="X107" s="943"/>
      <c r="Y107" s="361"/>
      <c r="Z107" s="364"/>
      <c r="AA107"/>
      <c r="AB107"/>
      <c r="AC107"/>
      <c r="AD107"/>
      <c r="AE107"/>
      <c r="AF107"/>
    </row>
    <row r="108" spans="17:32" ht="12.75" customHeight="1">
      <c r="Q108" s="360"/>
      <c r="R108" s="969" t="s">
        <v>63</v>
      </c>
      <c r="S108" s="969"/>
      <c r="T108" s="969"/>
      <c r="U108" s="671">
        <f>VLOOKUP(U76,'Lookup Exposure Time'!$B$12:$C$732,2)</f>
        <v>2.5</v>
      </c>
      <c r="V108" s="671">
        <f>VLOOKUP(V76,'Lookup Exposure Time'!$B$12:$C$732,2)</f>
        <v>0.625</v>
      </c>
      <c r="W108" s="671">
        <f>VLOOKUP(W76,'Lookup Exposure Time'!$B$12:$C$732,2)</f>
        <v>0.46875</v>
      </c>
      <c r="X108" s="671">
        <f>VLOOKUP(X76,'Lookup Exposure Time'!$B$12:$C$732,2)</f>
        <v>9.765625E-2</v>
      </c>
      <c r="Y108" s="361"/>
      <c r="Z108" s="364"/>
      <c r="AA108"/>
      <c r="AB108"/>
      <c r="AC108"/>
      <c r="AD108"/>
      <c r="AE108"/>
      <c r="AF108"/>
    </row>
    <row r="109" spans="17:32" ht="12.75" customHeight="1">
      <c r="Q109" s="360"/>
      <c r="R109" s="969" t="s">
        <v>64</v>
      </c>
      <c r="S109" s="969"/>
      <c r="T109" s="969"/>
      <c r="U109" s="557">
        <f>VLOOKUP(U77,'Lookup Exposure Time'!$B$12:$C$732,2)</f>
        <v>50</v>
      </c>
      <c r="V109" s="557">
        <f>VLOOKUP(V77,'Lookup Exposure Time'!$B$12:$C$732,2)</f>
        <v>12.5</v>
      </c>
      <c r="W109" s="557">
        <f>VLOOKUP(W77,'Lookup Exposure Time'!$B$12:$C$732,2)</f>
        <v>10</v>
      </c>
      <c r="X109" s="557">
        <f>VLOOKUP(X77,'Lookup Exposure Time'!$B$12:$C$732,2)</f>
        <v>1.875</v>
      </c>
      <c r="Y109" s="361"/>
      <c r="Z109" s="364"/>
      <c r="AA109"/>
      <c r="AB109"/>
      <c r="AC109"/>
      <c r="AD109"/>
      <c r="AE109"/>
      <c r="AF109"/>
    </row>
    <row r="110" spans="17:32" ht="12.75" customHeight="1">
      <c r="Q110" s="360"/>
      <c r="R110" s="363"/>
      <c r="S110" s="363"/>
      <c r="T110" s="363"/>
      <c r="U110" s="363"/>
      <c r="V110" s="363"/>
      <c r="W110" s="363"/>
      <c r="X110" s="363"/>
      <c r="Y110" s="363"/>
      <c r="Z110" s="364"/>
      <c r="AA110"/>
      <c r="AB110"/>
      <c r="AC110"/>
      <c r="AD110"/>
      <c r="AE110"/>
      <c r="AF110"/>
    </row>
    <row r="111" spans="17:32" ht="12.75" customHeight="1">
      <c r="Q111" s="360" t="s">
        <v>508</v>
      </c>
      <c r="R111" s="363" t="s">
        <v>531</v>
      </c>
      <c r="S111" s="363"/>
      <c r="T111" s="363"/>
      <c r="U111" s="363"/>
      <c r="V111" s="363"/>
      <c r="W111" s="363"/>
      <c r="X111" s="363"/>
      <c r="Y111" s="363"/>
      <c r="Z111" s="364"/>
      <c r="AA111"/>
      <c r="AB111"/>
      <c r="AC111"/>
      <c r="AD111"/>
      <c r="AE111"/>
      <c r="AF111"/>
    </row>
    <row r="112" spans="17:32" ht="12.75" customHeight="1">
      <c r="Q112" s="360"/>
      <c r="R112" s="998" t="s">
        <v>191</v>
      </c>
      <c r="S112" s="999"/>
      <c r="T112" s="1000"/>
      <c r="U112" s="949" t="s">
        <v>500</v>
      </c>
      <c r="V112" s="938" t="s">
        <v>22</v>
      </c>
      <c r="W112" s="940" t="s">
        <v>579</v>
      </c>
      <c r="X112" s="942" t="s">
        <v>21</v>
      </c>
      <c r="Y112" s="361"/>
      <c r="Z112" s="364"/>
      <c r="AA112"/>
      <c r="AB112"/>
      <c r="AC112"/>
      <c r="AD112"/>
      <c r="AE112"/>
      <c r="AF112"/>
    </row>
    <row r="113" spans="17:32" ht="12.75" customHeight="1">
      <c r="Q113" s="360"/>
      <c r="R113" s="1001"/>
      <c r="S113" s="1002"/>
      <c r="T113" s="1003"/>
      <c r="U113" s="950"/>
      <c r="V113" s="939"/>
      <c r="W113" s="941"/>
      <c r="X113" s="943"/>
      <c r="Y113" s="361"/>
      <c r="Z113" s="364"/>
      <c r="AA113"/>
      <c r="AB113"/>
      <c r="AC113"/>
      <c r="AD113"/>
      <c r="AE113"/>
      <c r="AF113"/>
    </row>
    <row r="114" spans="17:32" ht="12.75" customHeight="1">
      <c r="Q114" s="360"/>
      <c r="R114" s="969" t="s">
        <v>63</v>
      </c>
      <c r="S114" s="969"/>
      <c r="T114" s="969"/>
      <c r="U114" s="537">
        <f t="shared" ref="U114:X115" si="0">U102/60</f>
        <v>0.16666666666666666</v>
      </c>
      <c r="V114" s="537">
        <f t="shared" si="0"/>
        <v>4.1666666666666664E-2</v>
      </c>
      <c r="W114" s="537">
        <f t="shared" si="0"/>
        <v>3.125E-2</v>
      </c>
      <c r="X114" s="537">
        <f t="shared" si="0"/>
        <v>6.5103333333333306E-3</v>
      </c>
      <c r="Y114" s="361"/>
      <c r="Z114" s="364"/>
      <c r="AA114"/>
      <c r="AB114"/>
      <c r="AC114"/>
      <c r="AD114"/>
      <c r="AE114"/>
      <c r="AF114"/>
    </row>
    <row r="115" spans="17:32" ht="12.75" customHeight="1">
      <c r="Q115" s="360"/>
      <c r="R115" s="969" t="s">
        <v>64</v>
      </c>
      <c r="S115" s="969"/>
      <c r="T115" s="969"/>
      <c r="U115" s="537">
        <f t="shared" si="0"/>
        <v>3.3333333333333335</v>
      </c>
      <c r="V115" s="537">
        <f t="shared" si="0"/>
        <v>0.83333333333333337</v>
      </c>
      <c r="W115" s="537">
        <f t="shared" si="0"/>
        <v>0.66666666666666663</v>
      </c>
      <c r="X115" s="537">
        <f t="shared" si="0"/>
        <v>0.125</v>
      </c>
      <c r="Y115" s="361"/>
      <c r="Z115" s="364"/>
      <c r="AA115"/>
      <c r="AB115"/>
      <c r="AC115"/>
      <c r="AD115"/>
      <c r="AE115"/>
      <c r="AF115"/>
    </row>
    <row r="116" spans="17:32" ht="12.75" customHeight="1">
      <c r="Q116" s="360"/>
      <c r="R116" s="364"/>
      <c r="S116" s="364"/>
      <c r="T116" s="364"/>
      <c r="U116" s="364"/>
      <c r="V116" s="364"/>
      <c r="W116" s="364"/>
      <c r="X116" s="364"/>
      <c r="Y116" s="363"/>
      <c r="Z116" s="364"/>
      <c r="AA116"/>
      <c r="AB116"/>
      <c r="AC116"/>
      <c r="AD116"/>
      <c r="AE116"/>
      <c r="AF116"/>
    </row>
    <row r="117" spans="17:32" ht="12.75" customHeight="1">
      <c r="Q117" s="360" t="s">
        <v>506</v>
      </c>
      <c r="R117" s="363" t="s">
        <v>532</v>
      </c>
      <c r="S117" s="363"/>
      <c r="T117" s="363"/>
      <c r="U117" s="363"/>
      <c r="V117" s="363"/>
      <c r="W117" s="363"/>
      <c r="X117" s="363"/>
      <c r="Y117" s="363"/>
      <c r="Z117" s="364"/>
      <c r="AA117"/>
      <c r="AB117"/>
      <c r="AC117"/>
      <c r="AD117"/>
      <c r="AE117"/>
      <c r="AF117"/>
    </row>
    <row r="118" spans="17:32" ht="12.75" customHeight="1">
      <c r="Q118" s="360"/>
      <c r="R118" s="998" t="s">
        <v>191</v>
      </c>
      <c r="S118" s="999"/>
      <c r="T118" s="1000"/>
      <c r="U118" s="949" t="s">
        <v>500</v>
      </c>
      <c r="V118" s="938" t="s">
        <v>22</v>
      </c>
      <c r="W118" s="940" t="s">
        <v>579</v>
      </c>
      <c r="X118" s="942" t="s">
        <v>21</v>
      </c>
      <c r="Y118" s="361"/>
      <c r="Z118" s="364"/>
      <c r="AA118"/>
      <c r="AB118"/>
      <c r="AC118"/>
      <c r="AD118"/>
      <c r="AE118"/>
      <c r="AF118"/>
    </row>
    <row r="119" spans="17:32" ht="12.75" customHeight="1">
      <c r="Q119" s="360"/>
      <c r="R119" s="1001"/>
      <c r="S119" s="1002"/>
      <c r="T119" s="1003"/>
      <c r="U119" s="950"/>
      <c r="V119" s="939"/>
      <c r="W119" s="941"/>
      <c r="X119" s="943"/>
      <c r="Y119" s="361"/>
      <c r="Z119" s="364"/>
      <c r="AA119"/>
      <c r="AB119"/>
      <c r="AC119"/>
      <c r="AD119"/>
      <c r="AE119"/>
      <c r="AF119"/>
    </row>
    <row r="120" spans="17:32" ht="12.75" customHeight="1">
      <c r="Q120" s="360"/>
      <c r="R120" s="969" t="s">
        <v>63</v>
      </c>
      <c r="S120" s="969"/>
      <c r="T120" s="969"/>
      <c r="U120" s="537">
        <f t="shared" ref="U120:X121" si="1">U108/60</f>
        <v>4.1666666666666664E-2</v>
      </c>
      <c r="V120" s="537">
        <f t="shared" si="1"/>
        <v>1.0416666666666666E-2</v>
      </c>
      <c r="W120" s="537">
        <f t="shared" si="1"/>
        <v>7.8125E-3</v>
      </c>
      <c r="X120" s="537">
        <f t="shared" si="1"/>
        <v>1.6276041666666667E-3</v>
      </c>
      <c r="Y120" s="361"/>
      <c r="Z120" s="364"/>
      <c r="AA120"/>
      <c r="AB120"/>
      <c r="AC120"/>
      <c r="AD120"/>
      <c r="AE120"/>
      <c r="AF120"/>
    </row>
    <row r="121" spans="17:32" ht="12.75" customHeight="1">
      <c r="Q121" s="360"/>
      <c r="R121" s="969" t="s">
        <v>64</v>
      </c>
      <c r="S121" s="969"/>
      <c r="T121" s="969"/>
      <c r="U121" s="537">
        <f t="shared" si="1"/>
        <v>0.83333333333333337</v>
      </c>
      <c r="V121" s="537">
        <f t="shared" si="1"/>
        <v>0.20833333333333334</v>
      </c>
      <c r="W121" s="537">
        <f t="shared" si="1"/>
        <v>0.16666666666666666</v>
      </c>
      <c r="X121" s="537">
        <f t="shared" si="1"/>
        <v>3.125E-2</v>
      </c>
      <c r="Y121" s="361"/>
      <c r="Z121" s="364"/>
      <c r="AA121"/>
      <c r="AB121"/>
      <c r="AC121"/>
      <c r="AD121"/>
      <c r="AE121"/>
      <c r="AF121"/>
    </row>
    <row r="122" spans="17:32" ht="12.75" customHeight="1">
      <c r="Q122" s="360"/>
      <c r="R122" s="363"/>
      <c r="S122" s="363"/>
      <c r="T122" s="363"/>
      <c r="U122" s="363"/>
      <c r="V122" s="363"/>
      <c r="W122" s="363"/>
      <c r="X122" s="363"/>
      <c r="Y122" s="363"/>
      <c r="Z122" s="364"/>
      <c r="AA122"/>
      <c r="AB122"/>
      <c r="AC122"/>
      <c r="AD122"/>
      <c r="AE122"/>
      <c r="AF122"/>
    </row>
    <row r="123" spans="17:32" ht="12.75" customHeight="1">
      <c r="Q123" s="546" t="s">
        <v>231</v>
      </c>
      <c r="R123" s="952" t="s">
        <v>232</v>
      </c>
      <c r="S123" s="952"/>
      <c r="T123" s="952"/>
      <c r="U123" s="952"/>
      <c r="V123" s="952"/>
      <c r="W123" s="952"/>
      <c r="X123" s="952"/>
      <c r="Y123" s="952"/>
      <c r="Z123" s="360"/>
      <c r="AA123"/>
      <c r="AB123"/>
      <c r="AC123"/>
      <c r="AD123"/>
      <c r="AE123"/>
      <c r="AF123"/>
    </row>
    <row r="124" spans="17:32" ht="12.75" customHeight="1">
      <c r="Q124" s="546"/>
      <c r="R124" s="360"/>
      <c r="S124" s="360"/>
      <c r="T124" s="360"/>
      <c r="U124" s="360"/>
      <c r="V124" s="360"/>
      <c r="W124" s="360"/>
      <c r="X124" s="360"/>
      <c r="Y124" s="360"/>
      <c r="Z124" s="360"/>
      <c r="AA124"/>
      <c r="AB124"/>
      <c r="AC124"/>
      <c r="AD124"/>
      <c r="AE124"/>
      <c r="AF124"/>
    </row>
    <row r="125" spans="17:32" ht="12.75" customHeight="1">
      <c r="Q125" s="546"/>
      <c r="R125" s="363" t="s">
        <v>233</v>
      </c>
      <c r="S125" s="363"/>
      <c r="T125" s="363"/>
      <c r="U125" s="363"/>
      <c r="V125" s="363"/>
      <c r="W125" s="363"/>
      <c r="X125" s="363"/>
      <c r="Y125" s="363"/>
      <c r="Z125" s="364"/>
      <c r="AA125"/>
      <c r="AB125"/>
      <c r="AC125"/>
      <c r="AD125"/>
      <c r="AE125"/>
      <c r="AF125"/>
    </row>
    <row r="126" spans="17:32" ht="12.75" customHeight="1">
      <c r="Q126" s="360"/>
      <c r="R126" s="998" t="s">
        <v>678</v>
      </c>
      <c r="S126" s="999"/>
      <c r="T126" s="1000"/>
      <c r="U126" s="949" t="s">
        <v>470</v>
      </c>
      <c r="V126" s="938" t="s">
        <v>22</v>
      </c>
      <c r="W126" s="940" t="s">
        <v>579</v>
      </c>
      <c r="X126" s="942" t="s">
        <v>21</v>
      </c>
      <c r="Y126" s="361"/>
      <c r="Z126" s="364"/>
      <c r="AA126"/>
      <c r="AB126"/>
      <c r="AC126"/>
      <c r="AD126"/>
      <c r="AE126"/>
      <c r="AF126"/>
    </row>
    <row r="127" spans="17:32" ht="12.75" customHeight="1">
      <c r="Q127" s="360"/>
      <c r="R127" s="1001"/>
      <c r="S127" s="1002"/>
      <c r="T127" s="1003"/>
      <c r="U127" s="950"/>
      <c r="V127" s="939"/>
      <c r="W127" s="941"/>
      <c r="X127" s="943"/>
      <c r="Y127" s="361"/>
      <c r="Z127" s="364"/>
      <c r="AA127"/>
      <c r="AB127"/>
      <c r="AC127"/>
      <c r="AD127"/>
      <c r="AE127"/>
      <c r="AF127"/>
    </row>
    <row r="128" spans="17:32" ht="12.75" customHeight="1">
      <c r="Q128" s="360"/>
      <c r="R128" s="969" t="s">
        <v>234</v>
      </c>
      <c r="S128" s="969"/>
      <c r="T128" s="969"/>
      <c r="U128" s="672">
        <v>8.3000000000000007</v>
      </c>
      <c r="V128" s="672">
        <f>VLOOKUP($V$5,'Lookup Vibration'!$B$8:$F$208,3)</f>
        <v>18.049999999999951</v>
      </c>
      <c r="W128" s="672">
        <f>VLOOKUP($V$5,'Lookup Vibration'!$B$8:$F$208,4)</f>
        <v>19.950000000000074</v>
      </c>
      <c r="X128" s="672">
        <f>VLOOKUP($V$5,'Lookup Vibration'!$B$8:$F$208,2)</f>
        <v>18.049999999999951</v>
      </c>
      <c r="Y128" s="361"/>
      <c r="Z128" s="364"/>
      <c r="AA128"/>
      <c r="AB128"/>
      <c r="AC128"/>
      <c r="AD128"/>
      <c r="AE128"/>
      <c r="AF128"/>
    </row>
    <row r="129" spans="17:32" ht="12.75" customHeight="1">
      <c r="Q129" s="360"/>
      <c r="R129" s="363"/>
      <c r="S129" s="363"/>
      <c r="T129" s="363"/>
      <c r="U129" s="363"/>
      <c r="V129" s="363"/>
      <c r="W129" s="363"/>
      <c r="X129" s="363"/>
      <c r="Y129" s="363"/>
      <c r="Z129" s="364"/>
      <c r="AA129"/>
      <c r="AB129"/>
      <c r="AC129"/>
      <c r="AD129"/>
      <c r="AE129"/>
      <c r="AF129"/>
    </row>
    <row r="130" spans="17:32" ht="12.75" customHeight="1">
      <c r="Q130" s="546" t="s">
        <v>235</v>
      </c>
      <c r="R130" s="952" t="s">
        <v>34</v>
      </c>
      <c r="S130" s="952"/>
      <c r="T130" s="952"/>
      <c r="U130" s="952"/>
      <c r="V130" s="952"/>
      <c r="W130" s="952"/>
      <c r="X130" s="952"/>
      <c r="Y130" s="952"/>
      <c r="Z130" s="360"/>
      <c r="AA130"/>
      <c r="AB130"/>
      <c r="AC130"/>
      <c r="AD130"/>
      <c r="AE130"/>
      <c r="AF130"/>
    </row>
    <row r="131" spans="17:32" ht="12.75" customHeight="1">
      <c r="Q131" s="546"/>
      <c r="R131" s="363"/>
      <c r="S131" s="363"/>
      <c r="T131" s="363"/>
      <c r="U131" s="363"/>
      <c r="V131" s="363"/>
      <c r="W131" s="363"/>
      <c r="X131" s="363"/>
      <c r="Y131" s="363"/>
      <c r="Z131" s="364"/>
      <c r="AA131"/>
      <c r="AB131"/>
      <c r="AC131"/>
      <c r="AD131"/>
      <c r="AE131"/>
      <c r="AF131"/>
    </row>
    <row r="132" spans="17:32" ht="12.75" customHeight="1">
      <c r="Q132" s="360"/>
      <c r="R132" s="998" t="s">
        <v>678</v>
      </c>
      <c r="S132" s="999"/>
      <c r="T132" s="1000"/>
      <c r="U132" s="949" t="s">
        <v>500</v>
      </c>
      <c r="V132" s="938" t="s">
        <v>22</v>
      </c>
      <c r="W132" s="940" t="s">
        <v>579</v>
      </c>
      <c r="X132" s="942" t="s">
        <v>21</v>
      </c>
      <c r="Y132" s="361"/>
      <c r="Z132" s="364"/>
      <c r="AA132"/>
      <c r="AB132"/>
      <c r="AC132"/>
      <c r="AD132"/>
      <c r="AE132"/>
      <c r="AF132"/>
    </row>
    <row r="133" spans="17:32" ht="12.75" customHeight="1">
      <c r="Q133" s="360"/>
      <c r="R133" s="1001"/>
      <c r="S133" s="1002"/>
      <c r="T133" s="1003"/>
      <c r="U133" s="950"/>
      <c r="V133" s="939"/>
      <c r="W133" s="941"/>
      <c r="X133" s="943"/>
      <c r="Y133" s="361"/>
      <c r="Z133" s="364"/>
      <c r="AA133"/>
      <c r="AB133"/>
      <c r="AC133"/>
      <c r="AD133"/>
      <c r="AE133"/>
      <c r="AF133"/>
    </row>
    <row r="134" spans="17:32" ht="12.75" customHeight="1">
      <c r="Q134" s="360"/>
      <c r="R134" s="1004" t="s">
        <v>298</v>
      </c>
      <c r="S134" s="1004"/>
      <c r="T134" s="1004"/>
      <c r="U134" s="673" t="s">
        <v>819</v>
      </c>
      <c r="V134" s="673" t="s">
        <v>818</v>
      </c>
      <c r="W134" s="673" t="s">
        <v>819</v>
      </c>
      <c r="X134" s="673" t="s">
        <v>818</v>
      </c>
      <c r="Y134" s="361"/>
      <c r="Z134" s="364"/>
      <c r="AA134"/>
      <c r="AB134"/>
      <c r="AC134"/>
      <c r="AD134"/>
      <c r="AE134"/>
      <c r="AF134"/>
    </row>
    <row r="135" spans="17:32" ht="12.75" customHeight="1">
      <c r="Q135" s="360"/>
      <c r="R135" s="931" t="s">
        <v>299</v>
      </c>
      <c r="S135" s="931"/>
      <c r="T135" s="931"/>
      <c r="U135" s="673" t="s">
        <v>297</v>
      </c>
      <c r="V135" s="673" t="s">
        <v>296</v>
      </c>
      <c r="W135" s="673" t="s">
        <v>296</v>
      </c>
      <c r="X135" s="673" t="s">
        <v>296</v>
      </c>
      <c r="Y135" s="361"/>
      <c r="Z135" s="364"/>
      <c r="AA135"/>
      <c r="AB135"/>
      <c r="AC135"/>
      <c r="AD135"/>
      <c r="AE135"/>
      <c r="AF135"/>
    </row>
    <row r="136" spans="17:32" ht="12.75" customHeight="1">
      <c r="Q136" s="360"/>
      <c r="R136" s="363"/>
      <c r="S136" s="363"/>
      <c r="T136" s="363"/>
      <c r="U136" s="363"/>
      <c r="V136" s="363"/>
      <c r="W136" s="363"/>
      <c r="X136" s="363"/>
      <c r="Y136" s="363"/>
      <c r="Z136" s="363"/>
      <c r="AA136"/>
      <c r="AB136"/>
      <c r="AC136"/>
      <c r="AD136"/>
      <c r="AE136"/>
      <c r="AF136"/>
    </row>
    <row r="137" spans="17:32" ht="12.75" customHeight="1">
      <c r="Q137" s="546" t="s">
        <v>236</v>
      </c>
      <c r="R137" s="952" t="s">
        <v>237</v>
      </c>
      <c r="S137" s="952"/>
      <c r="T137" s="952"/>
      <c r="U137" s="952"/>
      <c r="V137" s="952"/>
      <c r="W137" s="952"/>
      <c r="X137" s="952"/>
      <c r="Y137" s="952"/>
      <c r="Z137" s="360"/>
      <c r="AA137"/>
      <c r="AB137"/>
      <c r="AC137"/>
      <c r="AD137"/>
      <c r="AE137"/>
      <c r="AF137"/>
    </row>
    <row r="138" spans="17:32" ht="12.75" customHeight="1">
      <c r="Q138" s="360"/>
      <c r="R138" s="363"/>
      <c r="S138" s="363"/>
      <c r="T138" s="363"/>
      <c r="U138" s="363"/>
      <c r="V138" s="363"/>
      <c r="W138" s="363"/>
      <c r="X138" s="363"/>
      <c r="Y138" s="363"/>
      <c r="Z138" s="363"/>
      <c r="AA138"/>
      <c r="AB138"/>
      <c r="AC138"/>
      <c r="AD138"/>
      <c r="AE138"/>
      <c r="AF138"/>
    </row>
    <row r="139" spans="17:32" ht="12.75" customHeight="1">
      <c r="Q139" s="668" t="s">
        <v>238</v>
      </c>
      <c r="R139" s="364" t="s">
        <v>239</v>
      </c>
      <c r="S139" s="364"/>
      <c r="T139" s="364"/>
      <c r="U139" s="364"/>
      <c r="V139" s="364"/>
      <c r="W139" s="364"/>
      <c r="X139" s="364"/>
      <c r="Y139" s="364"/>
      <c r="Z139" s="364"/>
      <c r="AA139"/>
      <c r="AB139"/>
      <c r="AC139"/>
      <c r="AD139"/>
      <c r="AE139"/>
      <c r="AF139"/>
    </row>
    <row r="140" spans="17:32" ht="12.75" customHeight="1">
      <c r="Q140" s="668"/>
      <c r="R140" s="364" t="s">
        <v>469</v>
      </c>
      <c r="S140" s="364"/>
      <c r="T140" s="364"/>
      <c r="U140" s="364"/>
      <c r="V140" s="364"/>
      <c r="W140" s="364"/>
      <c r="X140" s="364"/>
      <c r="Y140" s="364"/>
      <c r="Z140" s="364"/>
      <c r="AA140"/>
      <c r="AB140"/>
      <c r="AC140"/>
      <c r="AD140"/>
      <c r="AE140"/>
      <c r="AF140"/>
    </row>
    <row r="141" spans="17:32" ht="12.75" customHeight="1">
      <c r="Q141" s="668"/>
      <c r="R141" s="364"/>
      <c r="S141" s="364"/>
      <c r="T141" s="364"/>
      <c r="U141" s="364"/>
      <c r="V141" s="364"/>
      <c r="W141" s="364"/>
      <c r="X141" s="364"/>
      <c r="Y141" s="364"/>
      <c r="Z141" s="364"/>
      <c r="AA141"/>
      <c r="AB141"/>
      <c r="AC141"/>
      <c r="AD141"/>
      <c r="AE141"/>
      <c r="AF141"/>
    </row>
    <row r="142" spans="17:32" ht="12.75" customHeight="1">
      <c r="Q142" s="668"/>
      <c r="R142" s="1005" t="s">
        <v>734</v>
      </c>
      <c r="S142" s="1006"/>
      <c r="T142" s="1006"/>
      <c r="U142" s="1006"/>
      <c r="V142" s="1006"/>
      <c r="W142" s="1007"/>
      <c r="X142" s="351">
        <f>'Compressor Input Data'!G5</f>
        <v>22800</v>
      </c>
      <c r="Y142" s="364"/>
      <c r="Z142" s="364"/>
      <c r="AA142"/>
      <c r="AB142"/>
      <c r="AC142"/>
      <c r="AD142"/>
      <c r="AE142"/>
      <c r="AF142"/>
    </row>
    <row r="143" spans="17:32" ht="12.75" customHeight="1">
      <c r="Q143" s="668"/>
      <c r="R143" s="990" t="s">
        <v>430</v>
      </c>
      <c r="S143" s="991"/>
      <c r="T143" s="992"/>
      <c r="U143" s="949" t="s">
        <v>500</v>
      </c>
      <c r="V143" s="938" t="s">
        <v>22</v>
      </c>
      <c r="W143" s="940" t="s">
        <v>579</v>
      </c>
      <c r="X143" s="942" t="s">
        <v>21</v>
      </c>
      <c r="Y143" s="361"/>
      <c r="Z143" s="364"/>
      <c r="AA143"/>
      <c r="AB143"/>
      <c r="AC143"/>
      <c r="AD143"/>
      <c r="AE143"/>
      <c r="AF143"/>
    </row>
    <row r="144" spans="17:32" ht="12.75" customHeight="1">
      <c r="Q144" s="668"/>
      <c r="R144" s="993"/>
      <c r="S144" s="994"/>
      <c r="T144" s="995"/>
      <c r="U144" s="950"/>
      <c r="V144" s="939"/>
      <c r="W144" s="941"/>
      <c r="X144" s="943"/>
      <c r="Y144" s="361"/>
      <c r="Z144" s="364"/>
      <c r="AA144"/>
      <c r="AB144"/>
      <c r="AC144"/>
      <c r="AD144"/>
      <c r="AE144"/>
      <c r="AF144"/>
    </row>
    <row r="145" spans="17:32" ht="12.75" customHeight="1">
      <c r="Q145" s="668"/>
      <c r="R145" s="973" t="s">
        <v>555</v>
      </c>
      <c r="S145" s="973"/>
      <c r="T145" s="973"/>
      <c r="U145" s="996"/>
      <c r="V145" s="544">
        <f>X145</f>
        <v>22800</v>
      </c>
      <c r="W145" s="544">
        <f>X145</f>
        <v>22800</v>
      </c>
      <c r="X145" s="544">
        <f>X142</f>
        <v>22800</v>
      </c>
      <c r="Y145" s="361"/>
      <c r="Z145" s="364"/>
      <c r="AA145"/>
      <c r="AB145"/>
      <c r="AC145"/>
      <c r="AD145"/>
      <c r="AE145"/>
      <c r="AF145"/>
    </row>
    <row r="146" spans="17:32" ht="12.75" customHeight="1">
      <c r="Q146" s="668"/>
      <c r="R146" s="973" t="s">
        <v>549</v>
      </c>
      <c r="S146" s="973"/>
      <c r="T146" s="973"/>
      <c r="U146" s="997"/>
      <c r="V146" s="544">
        <f>X146</f>
        <v>24</v>
      </c>
      <c r="W146" s="544">
        <f>V146</f>
        <v>24</v>
      </c>
      <c r="X146" s="544">
        <f>'Compressor Input Data'!J15</f>
        <v>24</v>
      </c>
      <c r="Y146" s="361"/>
      <c r="Z146" s="364"/>
      <c r="AA146"/>
      <c r="AB146"/>
      <c r="AC146"/>
      <c r="AD146"/>
      <c r="AE146"/>
      <c r="AF146"/>
    </row>
    <row r="147" spans="17:32" ht="12.75" customHeight="1">
      <c r="Q147" s="668"/>
      <c r="R147" s="970" t="s">
        <v>556</v>
      </c>
      <c r="S147" s="971"/>
      <c r="T147" s="972"/>
      <c r="U147" s="566">
        <f>U62</f>
        <v>2.6666666666666665</v>
      </c>
      <c r="V147" s="566">
        <f>V62</f>
        <v>1.9999999999999996</v>
      </c>
      <c r="W147" s="566">
        <f>W62</f>
        <v>1.7391304347826084</v>
      </c>
      <c r="X147" s="566">
        <f>X62</f>
        <v>1.4285714285714284</v>
      </c>
      <c r="Y147" s="361"/>
      <c r="Z147" s="364"/>
      <c r="AA147"/>
      <c r="AB147"/>
      <c r="AC147"/>
      <c r="AD147"/>
      <c r="AE147"/>
      <c r="AF147"/>
    </row>
    <row r="148" spans="17:32" ht="12.75" customHeight="1">
      <c r="Q148" s="668"/>
      <c r="R148" s="973" t="s">
        <v>575</v>
      </c>
      <c r="S148" s="973"/>
      <c r="T148" s="973"/>
      <c r="U148" s="531">
        <f>W148</f>
        <v>0.22500000000000001</v>
      </c>
      <c r="V148" s="531">
        <f>X148</f>
        <v>0.22500000000000001</v>
      </c>
      <c r="W148" s="531">
        <f>V148</f>
        <v>0.22500000000000001</v>
      </c>
      <c r="X148" s="531">
        <f>'Compressor Input Data'!J17</f>
        <v>0.22500000000000001</v>
      </c>
      <c r="Y148" s="361"/>
      <c r="Z148" s="364"/>
      <c r="AA148"/>
      <c r="AB148"/>
      <c r="AC148"/>
      <c r="AD148"/>
      <c r="AE148"/>
      <c r="AF148"/>
    </row>
    <row r="149" spans="17:32" ht="12.75" customHeight="1">
      <c r="Q149" s="668"/>
      <c r="R149" s="987"/>
      <c r="S149" s="988"/>
      <c r="T149" s="988"/>
      <c r="U149" s="988"/>
      <c r="V149" s="988"/>
      <c r="W149" s="988"/>
      <c r="X149" s="989"/>
      <c r="Y149" s="364"/>
      <c r="Z149" s="364"/>
      <c r="AA149"/>
      <c r="AB149"/>
      <c r="AC149"/>
      <c r="AD149"/>
      <c r="AE149"/>
      <c r="AF149"/>
    </row>
    <row r="150" spans="17:32" ht="12.75" customHeight="1">
      <c r="Q150" s="668"/>
      <c r="R150" s="990" t="s">
        <v>467</v>
      </c>
      <c r="S150" s="991"/>
      <c r="T150" s="992"/>
      <c r="U150" s="949" t="s">
        <v>500</v>
      </c>
      <c r="V150" s="938" t="s">
        <v>22</v>
      </c>
      <c r="W150" s="940" t="s">
        <v>579</v>
      </c>
      <c r="X150" s="942" t="s">
        <v>21</v>
      </c>
      <c r="Y150" s="361"/>
      <c r="Z150" s="364"/>
      <c r="AA150"/>
      <c r="AB150"/>
      <c r="AC150"/>
      <c r="AD150"/>
      <c r="AE150"/>
      <c r="AF150"/>
    </row>
    <row r="151" spans="17:32" ht="12.75" customHeight="1">
      <c r="Q151" s="668"/>
      <c r="R151" s="993"/>
      <c r="S151" s="994"/>
      <c r="T151" s="995"/>
      <c r="U151" s="950"/>
      <c r="V151" s="939"/>
      <c r="W151" s="941"/>
      <c r="X151" s="943"/>
      <c r="Y151" s="361"/>
      <c r="Z151" s="364"/>
      <c r="AA151"/>
      <c r="AB151"/>
      <c r="AC151"/>
      <c r="AD151"/>
      <c r="AE151"/>
      <c r="AF151"/>
    </row>
    <row r="152" spans="17:32" ht="12.75" customHeight="1">
      <c r="Q152" s="668"/>
      <c r="R152" s="973" t="s">
        <v>554</v>
      </c>
      <c r="S152" s="973"/>
      <c r="T152" s="973"/>
      <c r="U152" s="986"/>
      <c r="V152" s="569">
        <f>X152</f>
        <v>1</v>
      </c>
      <c r="W152" s="570">
        <f>V152</f>
        <v>1</v>
      </c>
      <c r="X152" s="570">
        <f>'Compressor Input Data'!J20</f>
        <v>1</v>
      </c>
      <c r="Y152" s="361"/>
      <c r="Z152" s="364"/>
      <c r="AA152"/>
      <c r="AB152"/>
      <c r="AC152"/>
      <c r="AD152"/>
      <c r="AE152"/>
      <c r="AF152"/>
    </row>
    <row r="153" spans="17:32" ht="12.75" customHeight="1">
      <c r="Q153" s="668"/>
      <c r="R153" s="983" t="s">
        <v>551</v>
      </c>
      <c r="S153" s="984"/>
      <c r="T153" s="985"/>
      <c r="U153" s="986"/>
      <c r="V153" s="571">
        <f>V147/V146</f>
        <v>8.3333333333333315E-2</v>
      </c>
      <c r="W153" s="571">
        <f>W147/W146</f>
        <v>7.2463768115942018E-2</v>
      </c>
      <c r="X153" s="571">
        <f>X147/X146</f>
        <v>5.9523809523809514E-2</v>
      </c>
      <c r="Y153" s="361"/>
      <c r="Z153" s="364"/>
      <c r="AA153"/>
      <c r="AB153"/>
      <c r="AC153"/>
      <c r="AD153"/>
      <c r="AE153"/>
      <c r="AF153"/>
    </row>
    <row r="154" spans="17:32" ht="12.75" customHeight="1">
      <c r="Q154" s="668"/>
      <c r="R154" s="973" t="s">
        <v>552</v>
      </c>
      <c r="S154" s="973"/>
      <c r="T154" s="973"/>
      <c r="U154" s="986"/>
      <c r="V154" s="572">
        <f>X154</f>
        <v>0.6</v>
      </c>
      <c r="W154" s="572">
        <f>V154</f>
        <v>0.6</v>
      </c>
      <c r="X154" s="572">
        <f>'Compressor Input Data'!J22</f>
        <v>0.6</v>
      </c>
      <c r="Y154" s="361"/>
      <c r="Z154" s="364"/>
      <c r="AA154"/>
      <c r="AB154"/>
      <c r="AC154"/>
      <c r="AD154"/>
      <c r="AE154"/>
      <c r="AF154"/>
    </row>
    <row r="155" spans="17:32" ht="12.75" customHeight="1">
      <c r="Q155" s="668"/>
      <c r="R155" s="987"/>
      <c r="S155" s="988"/>
      <c r="T155" s="988"/>
      <c r="U155" s="988"/>
      <c r="V155" s="988"/>
      <c r="W155" s="988"/>
      <c r="X155" s="989"/>
      <c r="Y155" s="364"/>
      <c r="Z155" s="364"/>
      <c r="AA155"/>
      <c r="AB155"/>
      <c r="AC155"/>
      <c r="AD155"/>
      <c r="AE155"/>
      <c r="AF155"/>
    </row>
    <row r="156" spans="17:32" ht="12.75" customHeight="1">
      <c r="Q156" s="668"/>
      <c r="R156" s="990" t="s">
        <v>468</v>
      </c>
      <c r="S156" s="991"/>
      <c r="T156" s="992"/>
      <c r="U156" s="949" t="s">
        <v>500</v>
      </c>
      <c r="V156" s="938" t="s">
        <v>22</v>
      </c>
      <c r="W156" s="940" t="s">
        <v>579</v>
      </c>
      <c r="X156" s="942" t="s">
        <v>21</v>
      </c>
      <c r="Y156" s="361"/>
      <c r="Z156" s="364"/>
      <c r="AA156"/>
      <c r="AB156"/>
      <c r="AC156"/>
      <c r="AD156"/>
      <c r="AE156"/>
      <c r="AF156"/>
    </row>
    <row r="157" spans="17:32" ht="12.75" customHeight="1">
      <c r="Q157" s="668"/>
      <c r="R157" s="993"/>
      <c r="S157" s="994"/>
      <c r="T157" s="995"/>
      <c r="U157" s="950"/>
      <c r="V157" s="939"/>
      <c r="W157" s="941"/>
      <c r="X157" s="943"/>
      <c r="Y157" s="361"/>
      <c r="Z157" s="364"/>
      <c r="AA157"/>
      <c r="AB157"/>
      <c r="AC157"/>
      <c r="AD157"/>
      <c r="AE157"/>
      <c r="AF157"/>
    </row>
    <row r="158" spans="17:32" ht="12.75" customHeight="1">
      <c r="Q158" s="668"/>
      <c r="R158" s="973" t="s">
        <v>554</v>
      </c>
      <c r="S158" s="973"/>
      <c r="T158" s="973"/>
      <c r="U158" s="980"/>
      <c r="V158" s="572">
        <f>X158</f>
        <v>0.5</v>
      </c>
      <c r="W158" s="572">
        <f>V158</f>
        <v>0.5</v>
      </c>
      <c r="X158" s="572">
        <f>'Compressor Input Data'!J25</f>
        <v>0.5</v>
      </c>
      <c r="Y158" s="361"/>
      <c r="Z158" s="364"/>
      <c r="AA158"/>
      <c r="AB158"/>
      <c r="AC158"/>
      <c r="AD158"/>
      <c r="AE158"/>
      <c r="AF158"/>
    </row>
    <row r="159" spans="17:32" ht="12.75" customHeight="1">
      <c r="Q159" s="668"/>
      <c r="R159" s="983" t="s">
        <v>551</v>
      </c>
      <c r="S159" s="984"/>
      <c r="T159" s="985"/>
      <c r="U159" s="981"/>
      <c r="V159" s="572">
        <f>V152-V153</f>
        <v>0.91666666666666674</v>
      </c>
      <c r="W159" s="572">
        <f>W152-W153</f>
        <v>0.92753623188405798</v>
      </c>
      <c r="X159" s="572">
        <f>X152-X153</f>
        <v>0.94047619047619047</v>
      </c>
      <c r="Y159" s="361"/>
      <c r="Z159" s="364"/>
      <c r="AA159"/>
      <c r="AB159"/>
      <c r="AC159"/>
      <c r="AD159"/>
      <c r="AE159"/>
      <c r="AF159"/>
    </row>
    <row r="160" spans="17:32" ht="12.75" customHeight="1">
      <c r="Q160" s="668"/>
      <c r="R160" s="973" t="s">
        <v>552</v>
      </c>
      <c r="S160" s="973"/>
      <c r="T160" s="973"/>
      <c r="U160" s="982"/>
      <c r="V160" s="572">
        <f>X160</f>
        <v>0.6</v>
      </c>
      <c r="W160" s="572">
        <f>V160</f>
        <v>0.6</v>
      </c>
      <c r="X160" s="572">
        <f>'Compressor Input Data'!J27</f>
        <v>0.6</v>
      </c>
      <c r="Y160" s="361"/>
      <c r="Z160" s="364"/>
      <c r="AA160"/>
      <c r="AB160"/>
      <c r="AC160"/>
      <c r="AD160"/>
      <c r="AE160"/>
      <c r="AF160"/>
    </row>
    <row r="161" spans="17:32" ht="12.75" customHeight="1">
      <c r="Q161" s="668"/>
      <c r="R161" s="567"/>
      <c r="S161" s="568"/>
      <c r="T161" s="568"/>
      <c r="U161" s="573"/>
      <c r="V161" s="573"/>
      <c r="W161" s="573"/>
      <c r="X161" s="574"/>
      <c r="Y161" s="364"/>
      <c r="Z161" s="364"/>
      <c r="AA161"/>
      <c r="AB161"/>
      <c r="AC161"/>
      <c r="AD161"/>
      <c r="AE161"/>
      <c r="AF161"/>
    </row>
    <row r="162" spans="17:32" ht="12.75" customHeight="1">
      <c r="Q162" s="668"/>
      <c r="R162" s="901" t="s">
        <v>471</v>
      </c>
      <c r="S162" s="901"/>
      <c r="T162" s="901"/>
      <c r="U162" s="930" t="s">
        <v>500</v>
      </c>
      <c r="V162" s="928" t="s">
        <v>22</v>
      </c>
      <c r="W162" s="929" t="s">
        <v>579</v>
      </c>
      <c r="X162" s="927" t="s">
        <v>21</v>
      </c>
      <c r="Y162" s="361"/>
      <c r="Z162" s="364"/>
      <c r="AA162"/>
      <c r="AB162"/>
      <c r="AC162"/>
      <c r="AD162"/>
      <c r="AE162"/>
      <c r="AF162"/>
    </row>
    <row r="163" spans="17:32" ht="12.75" customHeight="1">
      <c r="Q163" s="668"/>
      <c r="R163" s="901"/>
      <c r="S163" s="901"/>
      <c r="T163" s="901"/>
      <c r="U163" s="930"/>
      <c r="V163" s="928"/>
      <c r="W163" s="929"/>
      <c r="X163" s="927"/>
      <c r="Y163" s="361"/>
      <c r="Z163" s="364"/>
      <c r="AA163"/>
      <c r="AB163"/>
      <c r="AC163"/>
      <c r="AD163"/>
      <c r="AE163"/>
      <c r="AF163"/>
    </row>
    <row r="164" spans="17:32" ht="12.75" customHeight="1">
      <c r="Q164" s="668"/>
      <c r="R164" s="973" t="s">
        <v>472</v>
      </c>
      <c r="S164" s="973"/>
      <c r="T164" s="973"/>
      <c r="U164" s="544">
        <f>$V$224</f>
        <v>938.66666666666674</v>
      </c>
      <c r="V164" s="544">
        <f>($V$145*$V$146*$V$153*$V$152)/$V$154</f>
        <v>75999.999999999985</v>
      </c>
      <c r="W164" s="544">
        <f>($W$145*$W$146*$W$153*$W$152)/$W$154</f>
        <v>66086.956521739121</v>
      </c>
      <c r="X164" s="544">
        <f>($X$145*$X$146*$X$153*$X$152)/$X$154</f>
        <v>54285.714285714275</v>
      </c>
      <c r="Y164" s="361"/>
      <c r="Z164" s="364"/>
      <c r="AA164"/>
      <c r="AB164"/>
      <c r="AC164"/>
      <c r="AD164"/>
      <c r="AE164"/>
      <c r="AF164"/>
    </row>
    <row r="165" spans="17:32" ht="12.75" customHeight="1">
      <c r="Q165" s="668"/>
      <c r="R165" s="973" t="s">
        <v>473</v>
      </c>
      <c r="S165" s="973"/>
      <c r="T165" s="973"/>
      <c r="U165" s="543"/>
      <c r="V165" s="544">
        <f>($V$145*$V$146*$V$159*$V$158)/$V$160</f>
        <v>418000.00000000006</v>
      </c>
      <c r="W165" s="544">
        <f>($W$145*$W$146*$W$159*$W$158)/$W$160</f>
        <v>422956.52173913049</v>
      </c>
      <c r="X165" s="544">
        <f>($X$145*$X$146*$X$159*$X$158)/$X$160</f>
        <v>428857.14285714284</v>
      </c>
      <c r="Y165" s="361"/>
      <c r="Z165" s="364"/>
      <c r="AA165"/>
      <c r="AB165"/>
      <c r="AC165"/>
      <c r="AD165"/>
      <c r="AE165"/>
      <c r="AF165"/>
    </row>
    <row r="166" spans="17:32" ht="12.75" customHeight="1">
      <c r="Q166" s="668"/>
      <c r="R166" s="567"/>
      <c r="S166" s="568"/>
      <c r="T166" s="568"/>
      <c r="U166" s="573"/>
      <c r="V166" s="573"/>
      <c r="W166" s="573"/>
      <c r="X166" s="574"/>
      <c r="Y166" s="364"/>
      <c r="Z166" s="364"/>
      <c r="AA166"/>
      <c r="AB166"/>
      <c r="AC166"/>
      <c r="AD166"/>
      <c r="AE166"/>
      <c r="AF166"/>
    </row>
    <row r="167" spans="17:32" ht="12.75" customHeight="1">
      <c r="Q167" s="668"/>
      <c r="R167" s="901" t="s">
        <v>474</v>
      </c>
      <c r="S167" s="901"/>
      <c r="T167" s="901"/>
      <c r="U167" s="930" t="s">
        <v>500</v>
      </c>
      <c r="V167" s="928" t="s">
        <v>22</v>
      </c>
      <c r="W167" s="929" t="s">
        <v>579</v>
      </c>
      <c r="X167" s="927" t="s">
        <v>21</v>
      </c>
      <c r="Y167" s="361"/>
      <c r="Z167" s="364"/>
      <c r="AA167"/>
      <c r="AB167"/>
      <c r="AC167"/>
      <c r="AD167"/>
      <c r="AE167"/>
      <c r="AF167"/>
    </row>
    <row r="168" spans="17:32" ht="12.75" customHeight="1">
      <c r="Q168" s="668"/>
      <c r="R168" s="901"/>
      <c r="S168" s="901"/>
      <c r="T168" s="901"/>
      <c r="U168" s="930"/>
      <c r="V168" s="928"/>
      <c r="W168" s="929"/>
      <c r="X168" s="927"/>
      <c r="Y168" s="361"/>
      <c r="Z168" s="364"/>
      <c r="AA168"/>
      <c r="AB168"/>
      <c r="AC168"/>
      <c r="AD168"/>
      <c r="AE168"/>
      <c r="AF168"/>
    </row>
    <row r="169" spans="17:32" ht="12.75" customHeight="1">
      <c r="Q169" s="668"/>
      <c r="R169" s="973" t="s">
        <v>472</v>
      </c>
      <c r="S169" s="973"/>
      <c r="T169" s="973"/>
      <c r="U169" s="544">
        <f>U164*$V$11</f>
        <v>21589.333333333336</v>
      </c>
      <c r="V169" s="544">
        <f>V164*$V$11</f>
        <v>1747999.9999999998</v>
      </c>
      <c r="W169" s="544">
        <f>W164*$V$11</f>
        <v>1519999.9999999998</v>
      </c>
      <c r="X169" s="544">
        <f>X164*$V$11</f>
        <v>1248571.4285714284</v>
      </c>
      <c r="Y169" s="361"/>
      <c r="Z169" s="364"/>
      <c r="AA169"/>
      <c r="AB169"/>
      <c r="AC169"/>
      <c r="AD169"/>
      <c r="AE169"/>
      <c r="AF169"/>
    </row>
    <row r="170" spans="17:32" ht="12.75" customHeight="1">
      <c r="Q170" s="668"/>
      <c r="R170" s="973" t="s">
        <v>473</v>
      </c>
      <c r="S170" s="973"/>
      <c r="T170" s="973"/>
      <c r="U170" s="543"/>
      <c r="V170" s="544">
        <f>V165*$V$11</f>
        <v>9614000.0000000019</v>
      </c>
      <c r="W170" s="544">
        <f>W165*$V$11</f>
        <v>9728000.0000000019</v>
      </c>
      <c r="X170" s="544">
        <f>X165*$V$11</f>
        <v>9863714.2857142854</v>
      </c>
      <c r="Y170" s="361"/>
      <c r="Z170" s="364"/>
      <c r="AA170"/>
      <c r="AB170"/>
      <c r="AC170"/>
      <c r="AD170"/>
      <c r="AE170"/>
      <c r="AF170"/>
    </row>
    <row r="171" spans="17:32" ht="12.75" customHeight="1">
      <c r="Q171" s="668"/>
      <c r="R171" s="567"/>
      <c r="S171" s="568"/>
      <c r="T171" s="568"/>
      <c r="U171" s="573"/>
      <c r="V171" s="573"/>
      <c r="W171" s="573"/>
      <c r="X171" s="574"/>
      <c r="Y171" s="364"/>
      <c r="Z171" s="364"/>
      <c r="AA171"/>
      <c r="AB171"/>
      <c r="AC171"/>
      <c r="AD171"/>
      <c r="AE171"/>
      <c r="AF171"/>
    </row>
    <row r="172" spans="17:32" ht="12.75" customHeight="1">
      <c r="Q172" s="668"/>
      <c r="R172" s="901" t="s">
        <v>474</v>
      </c>
      <c r="S172" s="901"/>
      <c r="T172" s="901"/>
      <c r="U172" s="930" t="s">
        <v>500</v>
      </c>
      <c r="V172" s="928" t="s">
        <v>22</v>
      </c>
      <c r="W172" s="929" t="s">
        <v>579</v>
      </c>
      <c r="X172" s="927" t="s">
        <v>21</v>
      </c>
      <c r="Y172" s="361"/>
      <c r="Z172" s="364"/>
      <c r="AA172"/>
      <c r="AB172"/>
      <c r="AC172"/>
      <c r="AD172"/>
      <c r="AE172"/>
      <c r="AF172"/>
    </row>
    <row r="173" spans="17:32" ht="12.75" customHeight="1">
      <c r="Q173" s="668"/>
      <c r="R173" s="901"/>
      <c r="S173" s="901"/>
      <c r="T173" s="901"/>
      <c r="U173" s="930"/>
      <c r="V173" s="928"/>
      <c r="W173" s="929"/>
      <c r="X173" s="927"/>
      <c r="Y173" s="361"/>
      <c r="Z173" s="364"/>
      <c r="AA173"/>
      <c r="AB173"/>
      <c r="AC173"/>
      <c r="AD173"/>
      <c r="AE173"/>
      <c r="AF173"/>
    </row>
    <row r="174" spans="17:32" ht="12.75" customHeight="1">
      <c r="Q174" s="668"/>
      <c r="R174" s="973" t="s">
        <v>472</v>
      </c>
      <c r="S174" s="973"/>
      <c r="T174" s="973"/>
      <c r="U174" s="544">
        <f>U169*12</f>
        <v>259072.00000000003</v>
      </c>
      <c r="V174" s="544">
        <f>V169*12</f>
        <v>20975999.999999996</v>
      </c>
      <c r="W174" s="544">
        <f>W169*12</f>
        <v>18239999.999999996</v>
      </c>
      <c r="X174" s="544">
        <f>X169*12</f>
        <v>14982857.142857142</v>
      </c>
      <c r="Y174" s="361"/>
      <c r="Z174" s="364"/>
      <c r="AA174"/>
      <c r="AB174"/>
      <c r="AC174"/>
      <c r="AD174"/>
      <c r="AE174"/>
      <c r="AF174"/>
    </row>
    <row r="175" spans="17:32" ht="12.75" customHeight="1">
      <c r="Q175" s="668"/>
      <c r="R175" s="973" t="s">
        <v>473</v>
      </c>
      <c r="S175" s="973"/>
      <c r="T175" s="973"/>
      <c r="U175" s="543"/>
      <c r="V175" s="544">
        <f>V170*12</f>
        <v>115368000.00000003</v>
      </c>
      <c r="W175" s="544">
        <f>W170*12</f>
        <v>116736000.00000003</v>
      </c>
      <c r="X175" s="544">
        <f>X170*12</f>
        <v>118364571.42857143</v>
      </c>
      <c r="Y175" s="361"/>
      <c r="Z175" s="364"/>
      <c r="AA175"/>
      <c r="AB175"/>
      <c r="AC175"/>
      <c r="AD175"/>
      <c r="AE175"/>
      <c r="AF175"/>
    </row>
    <row r="176" spans="17:32" ht="12.75" customHeight="1">
      <c r="Q176" s="668"/>
      <c r="R176" s="381"/>
      <c r="S176" s="381"/>
      <c r="T176" s="381"/>
      <c r="U176" s="381"/>
      <c r="V176" s="381"/>
      <c r="W176" s="381"/>
      <c r="X176" s="381"/>
      <c r="Y176" s="364"/>
      <c r="Z176" s="364"/>
      <c r="AA176"/>
      <c r="AB176"/>
      <c r="AC176"/>
      <c r="AD176"/>
      <c r="AE176"/>
      <c r="AF176"/>
    </row>
    <row r="177" spans="17:32" ht="12.75" customHeight="1">
      <c r="Q177" s="668"/>
      <c r="R177" s="901" t="s">
        <v>433</v>
      </c>
      <c r="S177" s="901"/>
      <c r="T177" s="901"/>
      <c r="U177" s="949" t="s">
        <v>500</v>
      </c>
      <c r="V177" s="938" t="s">
        <v>22</v>
      </c>
      <c r="W177" s="940" t="s">
        <v>579</v>
      </c>
      <c r="X177" s="942" t="s">
        <v>21</v>
      </c>
      <c r="Y177" s="361"/>
      <c r="Z177" s="364"/>
      <c r="AA177"/>
      <c r="AB177"/>
      <c r="AC177"/>
      <c r="AD177"/>
      <c r="AE177"/>
      <c r="AF177"/>
    </row>
    <row r="178" spans="17:32" ht="12.75" customHeight="1">
      <c r="Q178" s="668"/>
      <c r="R178" s="901"/>
      <c r="S178" s="901"/>
      <c r="T178" s="901"/>
      <c r="U178" s="950"/>
      <c r="V178" s="939"/>
      <c r="W178" s="941"/>
      <c r="X178" s="943"/>
      <c r="Y178" s="361"/>
      <c r="Z178" s="364"/>
      <c r="AA178"/>
      <c r="AB178"/>
      <c r="AC178"/>
      <c r="AD178"/>
      <c r="AE178"/>
      <c r="AF178"/>
    </row>
    <row r="179" spans="17:32" ht="12.75" customHeight="1">
      <c r="Q179" s="668"/>
      <c r="R179" s="970" t="s">
        <v>459</v>
      </c>
      <c r="S179" s="971"/>
      <c r="T179" s="972"/>
      <c r="U179" s="544">
        <f>U164</f>
        <v>938.66666666666674</v>
      </c>
      <c r="V179" s="544">
        <f>V164+V165</f>
        <v>494000.00000000006</v>
      </c>
      <c r="W179" s="544">
        <f>W164+W165</f>
        <v>489043.47826086963</v>
      </c>
      <c r="X179" s="544">
        <f>X164+X165</f>
        <v>483142.8571428571</v>
      </c>
      <c r="Y179" s="361"/>
      <c r="Z179" s="364"/>
      <c r="AA179"/>
      <c r="AB179"/>
      <c r="AC179"/>
      <c r="AD179"/>
      <c r="AE179"/>
      <c r="AF179"/>
    </row>
    <row r="180" spans="17:32" ht="12.75" customHeight="1">
      <c r="Q180" s="668"/>
      <c r="R180" s="973" t="s">
        <v>307</v>
      </c>
      <c r="S180" s="973"/>
      <c r="T180" s="973"/>
      <c r="U180" s="544">
        <f>U169</f>
        <v>21589.333333333336</v>
      </c>
      <c r="V180" s="544">
        <f>V169+V170</f>
        <v>11362000.000000002</v>
      </c>
      <c r="W180" s="544">
        <f>W169+W170</f>
        <v>11248000.000000002</v>
      </c>
      <c r="X180" s="544">
        <f>X169+X170</f>
        <v>11112285.714285715</v>
      </c>
      <c r="Y180" s="361"/>
      <c r="Z180" s="364"/>
      <c r="AA180"/>
      <c r="AB180"/>
      <c r="AC180"/>
      <c r="AD180"/>
      <c r="AE180"/>
      <c r="AF180"/>
    </row>
    <row r="181" spans="17:32" ht="12.75" customHeight="1">
      <c r="Q181" s="668"/>
      <c r="R181" s="973" t="s">
        <v>308</v>
      </c>
      <c r="S181" s="973"/>
      <c r="T181" s="973"/>
      <c r="U181" s="544">
        <f>U174</f>
        <v>259072.00000000003</v>
      </c>
      <c r="V181" s="544">
        <f>V174+V175</f>
        <v>136344000.00000003</v>
      </c>
      <c r="W181" s="544">
        <f>W174+W175</f>
        <v>134976000.00000003</v>
      </c>
      <c r="X181" s="544">
        <f>X174+X175</f>
        <v>133347428.57142857</v>
      </c>
      <c r="Y181" s="361"/>
      <c r="Z181" s="364"/>
      <c r="AA181"/>
      <c r="AB181"/>
      <c r="AC181"/>
      <c r="AD181"/>
      <c r="AE181"/>
      <c r="AF181"/>
    </row>
    <row r="182" spans="17:32" ht="12.75" customHeight="1">
      <c r="Q182" s="668"/>
      <c r="R182" s="381"/>
      <c r="S182" s="381"/>
      <c r="T182" s="381"/>
      <c r="U182" s="381"/>
      <c r="V182" s="381"/>
      <c r="W182" s="381"/>
      <c r="X182" s="381"/>
      <c r="Y182" s="364"/>
      <c r="Z182" s="364"/>
      <c r="AA182"/>
      <c r="AB182"/>
      <c r="AC182"/>
      <c r="AD182"/>
      <c r="AE182"/>
      <c r="AF182"/>
    </row>
    <row r="183" spans="17:32" ht="12.75" customHeight="1">
      <c r="Q183" s="668"/>
      <c r="R183" s="901" t="s">
        <v>475</v>
      </c>
      <c r="S183" s="901"/>
      <c r="T183" s="901"/>
      <c r="U183" s="930" t="s">
        <v>500</v>
      </c>
      <c r="V183" s="928" t="s">
        <v>22</v>
      </c>
      <c r="W183" s="929" t="s">
        <v>579</v>
      </c>
      <c r="X183" s="927" t="s">
        <v>21</v>
      </c>
      <c r="Y183" s="361"/>
      <c r="Z183" s="364"/>
      <c r="AA183"/>
      <c r="AB183"/>
      <c r="AC183"/>
      <c r="AD183"/>
      <c r="AE183"/>
      <c r="AF183"/>
    </row>
    <row r="184" spans="17:32" ht="12.75" customHeight="1">
      <c r="Q184" s="668"/>
      <c r="R184" s="901"/>
      <c r="S184" s="901"/>
      <c r="T184" s="901"/>
      <c r="U184" s="930"/>
      <c r="V184" s="928"/>
      <c r="W184" s="929"/>
      <c r="X184" s="927"/>
      <c r="Y184" s="361"/>
      <c r="Z184" s="364"/>
      <c r="AA184"/>
      <c r="AB184"/>
      <c r="AC184"/>
      <c r="AD184"/>
      <c r="AE184"/>
      <c r="AF184"/>
    </row>
    <row r="185" spans="17:32" ht="12.75" customHeight="1">
      <c r="Q185" s="668"/>
      <c r="R185" s="973" t="s">
        <v>472</v>
      </c>
      <c r="S185" s="973"/>
      <c r="T185" s="973"/>
      <c r="U185" s="593">
        <f>$V$224*$U$148</f>
        <v>211.20000000000002</v>
      </c>
      <c r="V185" s="593">
        <f>($V$145*$V$146*$V$153*$V$152*$V$148)/$V$154</f>
        <v>17099.999999999996</v>
      </c>
      <c r="W185" s="593">
        <f>($W$145*$W$146*$W$153*$W$152*$W$148)/$W$154</f>
        <v>14869.565217391304</v>
      </c>
      <c r="X185" s="593">
        <f>($X$145*$X$146*$X$153*$X$152*$X$148)/$X$154</f>
        <v>12214.285714285714</v>
      </c>
      <c r="Y185" s="361"/>
      <c r="Z185" s="364"/>
      <c r="AA185"/>
      <c r="AB185"/>
      <c r="AC185"/>
      <c r="AD185"/>
      <c r="AE185"/>
      <c r="AF185"/>
    </row>
    <row r="186" spans="17:32" ht="12.75" customHeight="1">
      <c r="Q186" s="668"/>
      <c r="R186" s="973" t="s">
        <v>473</v>
      </c>
      <c r="S186" s="973"/>
      <c r="T186" s="973"/>
      <c r="U186" s="543"/>
      <c r="V186" s="593">
        <f>($V$145*$V$146*$V$159*$V$158*$V$148)/$V$160</f>
        <v>94050.000000000015</v>
      </c>
      <c r="W186" s="593">
        <f>($W$145*$W$146*$W$159*$W$158*$W$148)/$W$160</f>
        <v>95165.217391304366</v>
      </c>
      <c r="X186" s="593">
        <f>($X$145*$X$146*$X$159*$X$158*$X$148)/$X$160</f>
        <v>96492.857142857145</v>
      </c>
      <c r="Y186" s="361"/>
      <c r="Z186" s="364"/>
      <c r="AA186"/>
      <c r="AB186"/>
      <c r="AC186"/>
      <c r="AD186"/>
      <c r="AE186"/>
      <c r="AF186"/>
    </row>
    <row r="187" spans="17:32" ht="12.75" customHeight="1">
      <c r="Q187" s="668"/>
      <c r="R187" s="381"/>
      <c r="S187" s="381"/>
      <c r="T187" s="381"/>
      <c r="U187" s="381"/>
      <c r="V187" s="381"/>
      <c r="W187" s="381"/>
      <c r="X187" s="381"/>
      <c r="Y187" s="552"/>
      <c r="Z187" s="364"/>
      <c r="AA187"/>
      <c r="AB187"/>
      <c r="AC187"/>
      <c r="AD187"/>
      <c r="AE187"/>
      <c r="AF187"/>
    </row>
    <row r="188" spans="17:32" ht="12.75" customHeight="1">
      <c r="Q188" s="668"/>
      <c r="R188" s="901" t="s">
        <v>476</v>
      </c>
      <c r="S188" s="901"/>
      <c r="T188" s="901"/>
      <c r="U188" s="930" t="s">
        <v>500</v>
      </c>
      <c r="V188" s="928" t="s">
        <v>22</v>
      </c>
      <c r="W188" s="929" t="s">
        <v>579</v>
      </c>
      <c r="X188" s="927" t="s">
        <v>21</v>
      </c>
      <c r="Y188" s="361"/>
      <c r="Z188" s="364"/>
      <c r="AA188"/>
      <c r="AB188"/>
      <c r="AC188"/>
      <c r="AD188"/>
      <c r="AE188"/>
      <c r="AF188"/>
    </row>
    <row r="189" spans="17:32" ht="12.75" customHeight="1">
      <c r="Q189" s="668"/>
      <c r="R189" s="901"/>
      <c r="S189" s="901"/>
      <c r="T189" s="901"/>
      <c r="U189" s="930"/>
      <c r="V189" s="928"/>
      <c r="W189" s="929"/>
      <c r="X189" s="927"/>
      <c r="Y189" s="361"/>
      <c r="Z189" s="364"/>
      <c r="AA189"/>
      <c r="AB189"/>
      <c r="AC189"/>
      <c r="AD189"/>
      <c r="AE189"/>
      <c r="AF189"/>
    </row>
    <row r="190" spans="17:32" ht="12.75" customHeight="1">
      <c r="Q190" s="668"/>
      <c r="R190" s="973" t="s">
        <v>472</v>
      </c>
      <c r="S190" s="973"/>
      <c r="T190" s="973"/>
      <c r="U190" s="593">
        <f>U185*$V$11</f>
        <v>4857.6000000000004</v>
      </c>
      <c r="V190" s="593">
        <f>V185*$V$11</f>
        <v>393299.99999999994</v>
      </c>
      <c r="W190" s="593">
        <f>W185*$V$11</f>
        <v>342000</v>
      </c>
      <c r="X190" s="593">
        <f>X185*$V$11</f>
        <v>280928.57142857142</v>
      </c>
      <c r="Y190" s="361"/>
      <c r="Z190" s="364"/>
      <c r="AA190"/>
      <c r="AB190"/>
      <c r="AC190"/>
      <c r="AD190"/>
      <c r="AE190"/>
      <c r="AF190"/>
    </row>
    <row r="191" spans="17:32" ht="12.75" customHeight="1">
      <c r="Q191" s="668"/>
      <c r="R191" s="973" t="s">
        <v>473</v>
      </c>
      <c r="S191" s="973"/>
      <c r="T191" s="973"/>
      <c r="U191" s="543"/>
      <c r="V191" s="593">
        <f>V186*$V$11</f>
        <v>2163150.0000000005</v>
      </c>
      <c r="W191" s="593">
        <f>W186*$V$11</f>
        <v>2188800.0000000005</v>
      </c>
      <c r="X191" s="593">
        <f>X186*$V$11</f>
        <v>2219335.7142857146</v>
      </c>
      <c r="Y191" s="361"/>
      <c r="Z191" s="364"/>
      <c r="AA191"/>
      <c r="AB191"/>
      <c r="AC191"/>
      <c r="AD191"/>
      <c r="AE191"/>
      <c r="AF191"/>
    </row>
    <row r="192" spans="17:32" ht="12.75" customHeight="1">
      <c r="Q192" s="668"/>
      <c r="R192" s="367"/>
      <c r="S192" s="367"/>
      <c r="T192" s="367"/>
      <c r="U192" s="367"/>
      <c r="V192" s="367"/>
      <c r="W192" s="367"/>
      <c r="X192" s="367"/>
      <c r="Y192" s="364"/>
      <c r="Z192" s="364"/>
      <c r="AA192"/>
      <c r="AB192"/>
      <c r="AC192"/>
      <c r="AD192"/>
      <c r="AE192"/>
      <c r="AF192"/>
    </row>
    <row r="193" spans="17:32" ht="12.75" customHeight="1">
      <c r="Q193" s="668"/>
      <c r="R193" s="901" t="s">
        <v>477</v>
      </c>
      <c r="S193" s="901"/>
      <c r="T193" s="901"/>
      <c r="U193" s="930" t="s">
        <v>500</v>
      </c>
      <c r="V193" s="928" t="s">
        <v>22</v>
      </c>
      <c r="W193" s="929" t="s">
        <v>579</v>
      </c>
      <c r="X193" s="927" t="s">
        <v>21</v>
      </c>
      <c r="Y193" s="361"/>
      <c r="Z193" s="364"/>
      <c r="AA193"/>
      <c r="AB193"/>
      <c r="AC193"/>
      <c r="AD193"/>
      <c r="AE193"/>
      <c r="AF193"/>
    </row>
    <row r="194" spans="17:32" ht="12.75" customHeight="1">
      <c r="Q194" s="668"/>
      <c r="R194" s="901"/>
      <c r="S194" s="901"/>
      <c r="T194" s="901"/>
      <c r="U194" s="930"/>
      <c r="V194" s="928"/>
      <c r="W194" s="929"/>
      <c r="X194" s="927"/>
      <c r="Y194" s="361"/>
      <c r="Z194" s="364"/>
      <c r="AA194"/>
      <c r="AB194"/>
      <c r="AC194"/>
      <c r="AD194"/>
      <c r="AE194"/>
      <c r="AF194"/>
    </row>
    <row r="195" spans="17:32" ht="12.75" customHeight="1">
      <c r="Q195" s="668"/>
      <c r="R195" s="973" t="s">
        <v>472</v>
      </c>
      <c r="S195" s="973"/>
      <c r="T195" s="973"/>
      <c r="U195" s="593">
        <f>U190*12</f>
        <v>58291.200000000004</v>
      </c>
      <c r="V195" s="593">
        <f>V190*12</f>
        <v>4719599.9999999991</v>
      </c>
      <c r="W195" s="593">
        <f>W190*12</f>
        <v>4104000</v>
      </c>
      <c r="X195" s="593">
        <f>X190*12</f>
        <v>3371142.8571428573</v>
      </c>
      <c r="Y195" s="361"/>
      <c r="Z195" s="364"/>
      <c r="AA195"/>
      <c r="AB195"/>
      <c r="AC195"/>
      <c r="AD195"/>
      <c r="AE195"/>
      <c r="AF195"/>
    </row>
    <row r="196" spans="17:32" ht="12.75" customHeight="1">
      <c r="Q196" s="668"/>
      <c r="R196" s="973" t="s">
        <v>473</v>
      </c>
      <c r="S196" s="973"/>
      <c r="T196" s="973"/>
      <c r="U196" s="543"/>
      <c r="V196" s="593">
        <f>V191*12</f>
        <v>25957800.000000007</v>
      </c>
      <c r="W196" s="593">
        <f>W191*12</f>
        <v>26265600.000000007</v>
      </c>
      <c r="X196" s="593">
        <f>X191*12</f>
        <v>26632028.571428575</v>
      </c>
      <c r="Y196" s="361"/>
      <c r="Z196" s="364"/>
      <c r="AA196"/>
      <c r="AB196"/>
      <c r="AC196"/>
      <c r="AD196"/>
      <c r="AE196"/>
      <c r="AF196"/>
    </row>
    <row r="197" spans="17:32" ht="12.75" customHeight="1">
      <c r="Q197" s="668"/>
      <c r="R197" s="367"/>
      <c r="S197" s="367"/>
      <c r="T197" s="367"/>
      <c r="U197" s="367"/>
      <c r="V197" s="367"/>
      <c r="W197" s="367"/>
      <c r="X197" s="367"/>
      <c r="Y197" s="364"/>
      <c r="Z197" s="364"/>
      <c r="AA197"/>
      <c r="AB197"/>
      <c r="AC197"/>
      <c r="AD197"/>
      <c r="AE197"/>
      <c r="AF197"/>
    </row>
    <row r="198" spans="17:32" ht="12.75" customHeight="1">
      <c r="Q198" s="668"/>
      <c r="R198" s="901" t="s">
        <v>116</v>
      </c>
      <c r="S198" s="901"/>
      <c r="T198" s="901"/>
      <c r="U198" s="949" t="s">
        <v>500</v>
      </c>
      <c r="V198" s="938" t="s">
        <v>22</v>
      </c>
      <c r="W198" s="940" t="s">
        <v>579</v>
      </c>
      <c r="X198" s="942" t="s">
        <v>21</v>
      </c>
      <c r="Y198" s="361"/>
      <c r="Z198" s="364"/>
      <c r="AA198"/>
      <c r="AB198"/>
      <c r="AC198"/>
      <c r="AD198"/>
      <c r="AE198"/>
      <c r="AF198"/>
    </row>
    <row r="199" spans="17:32" ht="12.75" customHeight="1">
      <c r="Q199" s="668"/>
      <c r="R199" s="901"/>
      <c r="S199" s="901"/>
      <c r="T199" s="901"/>
      <c r="U199" s="950"/>
      <c r="V199" s="939"/>
      <c r="W199" s="941"/>
      <c r="X199" s="943"/>
      <c r="Y199" s="361"/>
      <c r="Z199" s="364"/>
      <c r="AA199"/>
      <c r="AB199"/>
      <c r="AC199"/>
      <c r="AD199"/>
      <c r="AE199"/>
      <c r="AF199"/>
    </row>
    <row r="200" spans="17:32" ht="12.75" customHeight="1">
      <c r="Q200" s="668"/>
      <c r="R200" s="970" t="s">
        <v>459</v>
      </c>
      <c r="S200" s="971"/>
      <c r="T200" s="972"/>
      <c r="U200" s="593">
        <f>U185</f>
        <v>211.20000000000002</v>
      </c>
      <c r="V200" s="593">
        <f>V185+V186</f>
        <v>111150.00000000001</v>
      </c>
      <c r="W200" s="593">
        <f>W185+W186</f>
        <v>110034.78260869568</v>
      </c>
      <c r="X200" s="593">
        <f>X185+X186</f>
        <v>108707.14285714286</v>
      </c>
      <c r="Y200" s="361"/>
      <c r="Z200" s="364"/>
      <c r="AA200"/>
      <c r="AB200"/>
      <c r="AC200"/>
      <c r="AD200"/>
      <c r="AE200"/>
      <c r="AF200"/>
    </row>
    <row r="201" spans="17:32" ht="12.75" customHeight="1">
      <c r="Q201" s="668"/>
      <c r="R201" s="973" t="s">
        <v>307</v>
      </c>
      <c r="S201" s="973"/>
      <c r="T201" s="973"/>
      <c r="U201" s="593">
        <f>U190</f>
        <v>4857.6000000000004</v>
      </c>
      <c r="V201" s="593">
        <f>V190+V191</f>
        <v>2556450.0000000005</v>
      </c>
      <c r="W201" s="593">
        <f>W190+W191</f>
        <v>2530800.0000000005</v>
      </c>
      <c r="X201" s="593">
        <f>X190+X191</f>
        <v>2500264.2857142859</v>
      </c>
      <c r="Y201" s="361"/>
      <c r="Z201" s="364"/>
      <c r="AA201"/>
      <c r="AB201"/>
      <c r="AC201"/>
      <c r="AD201"/>
      <c r="AE201"/>
      <c r="AF201"/>
    </row>
    <row r="202" spans="17:32" ht="12.75" customHeight="1">
      <c r="Q202" s="668"/>
      <c r="R202" s="973" t="s">
        <v>308</v>
      </c>
      <c r="S202" s="973"/>
      <c r="T202" s="973"/>
      <c r="U202" s="593">
        <f>U195</f>
        <v>58291.200000000004</v>
      </c>
      <c r="V202" s="593">
        <f>V195+V196</f>
        <v>30677400.000000007</v>
      </c>
      <c r="W202" s="593">
        <f>W195+W196</f>
        <v>30369600.000000007</v>
      </c>
      <c r="X202" s="593">
        <f>X195+X196</f>
        <v>30003171.428571433</v>
      </c>
      <c r="Y202" s="361"/>
      <c r="Z202" s="364"/>
      <c r="AA202"/>
      <c r="AB202"/>
      <c r="AC202"/>
      <c r="AD202"/>
      <c r="AE202"/>
      <c r="AF202"/>
    </row>
    <row r="203" spans="17:32" ht="12.75" customHeight="1">
      <c r="Q203" s="668"/>
      <c r="R203" s="575"/>
      <c r="S203" s="575"/>
      <c r="T203" s="575"/>
      <c r="U203" s="382"/>
      <c r="V203" s="382"/>
      <c r="W203" s="382"/>
      <c r="X203" s="382"/>
      <c r="Y203" s="364"/>
      <c r="Z203" s="364"/>
      <c r="AA203"/>
      <c r="AB203"/>
      <c r="AC203"/>
      <c r="AD203"/>
      <c r="AE203"/>
      <c r="AF203"/>
    </row>
    <row r="204" spans="17:32" ht="12.75" customHeight="1">
      <c r="Q204" s="668"/>
      <c r="R204" s="974" t="s">
        <v>775</v>
      </c>
      <c r="S204" s="974"/>
      <c r="T204" s="974"/>
      <c r="U204" s="974"/>
      <c r="V204" s="974"/>
      <c r="W204" s="974"/>
      <c r="X204" s="974"/>
      <c r="Y204" s="974"/>
      <c r="Z204" s="364"/>
      <c r="AA204"/>
      <c r="AB204"/>
      <c r="AC204"/>
      <c r="AD204"/>
      <c r="AE204"/>
      <c r="AF204"/>
    </row>
    <row r="205" spans="17:32" ht="12.75" customHeight="1">
      <c r="Q205" s="668"/>
      <c r="R205" s="974"/>
      <c r="S205" s="974"/>
      <c r="T205" s="974"/>
      <c r="U205" s="974"/>
      <c r="V205" s="974"/>
      <c r="W205" s="974"/>
      <c r="X205" s="974"/>
      <c r="Y205" s="974"/>
      <c r="Z205" s="576"/>
      <c r="AA205"/>
      <c r="AB205"/>
      <c r="AC205"/>
      <c r="AD205"/>
      <c r="AE205"/>
      <c r="AF205"/>
    </row>
    <row r="206" spans="17:32" ht="12.75" customHeight="1">
      <c r="Q206" s="668"/>
      <c r="R206" s="974"/>
      <c r="S206" s="974"/>
      <c r="T206" s="974"/>
      <c r="U206" s="974"/>
      <c r="V206" s="974"/>
      <c r="W206" s="974"/>
      <c r="X206" s="974"/>
      <c r="Y206" s="974"/>
      <c r="Z206" s="576"/>
      <c r="AA206"/>
      <c r="AB206"/>
      <c r="AC206"/>
      <c r="AD206"/>
      <c r="AE206"/>
      <c r="AF206"/>
    </row>
    <row r="207" spans="17:32" ht="12.75" customHeight="1">
      <c r="Q207" s="668"/>
      <c r="R207" s="974"/>
      <c r="S207" s="974"/>
      <c r="T207" s="974"/>
      <c r="U207" s="974"/>
      <c r="V207" s="974"/>
      <c r="W207" s="974"/>
      <c r="X207" s="974"/>
      <c r="Y207" s="974"/>
      <c r="Z207" s="576"/>
      <c r="AA207"/>
      <c r="AB207"/>
      <c r="AC207"/>
      <c r="AD207"/>
      <c r="AE207"/>
      <c r="AF207"/>
    </row>
    <row r="208" spans="17:32" ht="12.75" customHeight="1">
      <c r="Q208" s="668"/>
      <c r="R208" s="974"/>
      <c r="S208" s="974"/>
      <c r="T208" s="974"/>
      <c r="U208" s="974"/>
      <c r="V208" s="974"/>
      <c r="W208" s="974"/>
      <c r="X208" s="974"/>
      <c r="Y208" s="974"/>
      <c r="Z208" s="576"/>
      <c r="AA208"/>
      <c r="AB208"/>
      <c r="AC208"/>
      <c r="AD208"/>
      <c r="AE208"/>
      <c r="AF208"/>
    </row>
    <row r="209" spans="17:32" ht="12.75" customHeight="1">
      <c r="Q209" s="668"/>
      <c r="R209" s="364"/>
      <c r="S209" s="375"/>
      <c r="T209" s="375"/>
      <c r="U209" s="577"/>
      <c r="V209" s="577"/>
      <c r="W209" s="577"/>
      <c r="X209" s="577"/>
      <c r="Y209" s="551"/>
      <c r="Z209" s="363"/>
      <c r="AA209"/>
      <c r="AB209"/>
      <c r="AC209"/>
      <c r="AD209"/>
      <c r="AE209"/>
      <c r="AF209"/>
    </row>
    <row r="210" spans="17:32" ht="12.75" customHeight="1">
      <c r="Q210" s="668"/>
      <c r="R210" s="975" t="s">
        <v>667</v>
      </c>
      <c r="S210" s="976"/>
      <c r="T210" s="976"/>
      <c r="U210" s="976"/>
      <c r="V210" s="976"/>
      <c r="W210" s="976"/>
      <c r="X210" s="979">
        <f>10*V25</f>
        <v>76800</v>
      </c>
      <c r="Y210" s="935" t="s">
        <v>668</v>
      </c>
      <c r="Z210" s="364"/>
      <c r="AA210"/>
      <c r="AB210"/>
      <c r="AC210"/>
      <c r="AD210"/>
      <c r="AE210"/>
      <c r="AF210"/>
    </row>
    <row r="211" spans="17:32" ht="12.75" customHeight="1">
      <c r="Q211" s="668"/>
      <c r="R211" s="977"/>
      <c r="S211" s="978"/>
      <c r="T211" s="978"/>
      <c r="U211" s="978"/>
      <c r="V211" s="978"/>
      <c r="W211" s="978"/>
      <c r="X211" s="979"/>
      <c r="Y211" s="935"/>
      <c r="Z211" s="364"/>
      <c r="AA211"/>
      <c r="AB211"/>
      <c r="AC211"/>
      <c r="AD211"/>
      <c r="AE211"/>
      <c r="AF211"/>
    </row>
    <row r="212" spans="17:32" ht="12.75" customHeight="1">
      <c r="Q212" s="668"/>
      <c r="R212" s="578"/>
      <c r="S212" s="578"/>
      <c r="T212" s="578"/>
      <c r="U212" s="578"/>
      <c r="V212" s="578"/>
      <c r="W212" s="578"/>
      <c r="X212" s="578"/>
      <c r="Y212" s="579"/>
      <c r="Z212" s="551"/>
      <c r="AA212"/>
      <c r="AB212"/>
      <c r="AC212"/>
      <c r="AD212"/>
      <c r="AE212"/>
      <c r="AF212"/>
    </row>
    <row r="213" spans="17:32" ht="12.75" customHeight="1">
      <c r="Q213" s="668"/>
      <c r="R213" s="937" t="s">
        <v>678</v>
      </c>
      <c r="S213" s="937"/>
      <c r="T213" s="937"/>
      <c r="U213" s="937"/>
      <c r="V213" s="949" t="s">
        <v>500</v>
      </c>
      <c r="W213" s="938" t="s">
        <v>22</v>
      </c>
      <c r="X213" s="940" t="s">
        <v>579</v>
      </c>
      <c r="Y213" s="942" t="s">
        <v>21</v>
      </c>
      <c r="Z213" s="361"/>
      <c r="AA213"/>
      <c r="AB213"/>
      <c r="AC213"/>
      <c r="AD213"/>
      <c r="AE213"/>
      <c r="AF213"/>
    </row>
    <row r="214" spans="17:32" ht="12.75" customHeight="1">
      <c r="Q214" s="668"/>
      <c r="R214" s="937"/>
      <c r="S214" s="937"/>
      <c r="T214" s="937"/>
      <c r="U214" s="937"/>
      <c r="V214" s="950"/>
      <c r="W214" s="939"/>
      <c r="X214" s="941"/>
      <c r="Y214" s="943"/>
      <c r="Z214" s="361"/>
      <c r="AA214"/>
      <c r="AB214"/>
      <c r="AC214"/>
      <c r="AD214"/>
      <c r="AE214"/>
      <c r="AF214"/>
    </row>
    <row r="215" spans="17:32" ht="12.75" customHeight="1">
      <c r="Q215" s="668"/>
      <c r="R215" s="968" t="s">
        <v>533</v>
      </c>
      <c r="S215" s="968"/>
      <c r="T215" s="968"/>
      <c r="U215" s="968"/>
      <c r="V215" s="580">
        <v>0.107</v>
      </c>
      <c r="W215" s="581">
        <f>VLOOKUP($V$5,'Lookup Energy kWhm'!$B$8:$E$208,3)</f>
        <v>0.13</v>
      </c>
      <c r="X215" s="581">
        <f>VLOOKUP($V$5,'Lookup Energy kWhm'!$B$8:$E$208,4)</f>
        <v>0.14799999999999999</v>
      </c>
      <c r="Y215" s="581">
        <f>VLOOKUP($V$5,'Lookup Energy kWhm'!$B$8:$E$208,2)</f>
        <v>0.1</v>
      </c>
      <c r="Z215" s="361"/>
      <c r="AA215"/>
      <c r="AB215"/>
      <c r="AC215"/>
      <c r="AD215"/>
      <c r="AE215"/>
      <c r="AF215"/>
    </row>
    <row r="216" spans="17:32" ht="12.75" customHeight="1">
      <c r="Q216" s="668"/>
      <c r="R216" s="969" t="s">
        <v>31</v>
      </c>
      <c r="S216" s="969"/>
      <c r="T216" s="969"/>
      <c r="U216" s="969"/>
      <c r="V216" s="556">
        <f t="shared" ref="V216:W219" si="2">X216</f>
        <v>1.2</v>
      </c>
      <c r="W216" s="556">
        <f t="shared" si="2"/>
        <v>1.2</v>
      </c>
      <c r="X216" s="556">
        <f>W216</f>
        <v>1.2</v>
      </c>
      <c r="Y216" s="556">
        <f>V20</f>
        <v>1.2</v>
      </c>
      <c r="Z216" s="361"/>
      <c r="AA216"/>
      <c r="AB216"/>
      <c r="AC216"/>
      <c r="AD216"/>
      <c r="AE216"/>
      <c r="AF216"/>
    </row>
    <row r="217" spans="17:32" ht="12.75" customHeight="1">
      <c r="Q217" s="668"/>
      <c r="R217" s="969" t="s">
        <v>314</v>
      </c>
      <c r="S217" s="969"/>
      <c r="T217" s="969"/>
      <c r="U217" s="969"/>
      <c r="V217" s="556">
        <f t="shared" si="2"/>
        <v>160</v>
      </c>
      <c r="W217" s="556">
        <f t="shared" si="2"/>
        <v>160</v>
      </c>
      <c r="X217" s="556">
        <f>W217</f>
        <v>160</v>
      </c>
      <c r="Y217" s="556">
        <f>V19</f>
        <v>160</v>
      </c>
      <c r="Z217" s="361"/>
      <c r="AA217"/>
      <c r="AB217"/>
      <c r="AC217"/>
      <c r="AD217"/>
      <c r="AE217"/>
      <c r="AF217"/>
    </row>
    <row r="218" spans="17:32" ht="12.75" customHeight="1">
      <c r="Q218" s="668"/>
      <c r="R218" s="969" t="s">
        <v>20</v>
      </c>
      <c r="S218" s="969"/>
      <c r="T218" s="969"/>
      <c r="U218" s="969"/>
      <c r="V218" s="556">
        <f t="shared" si="2"/>
        <v>40</v>
      </c>
      <c r="W218" s="556">
        <f t="shared" si="2"/>
        <v>40</v>
      </c>
      <c r="X218" s="556">
        <f>W218</f>
        <v>40</v>
      </c>
      <c r="Y218" s="556">
        <f>V22</f>
        <v>40</v>
      </c>
      <c r="Z218" s="361"/>
      <c r="AA218"/>
      <c r="AB218"/>
      <c r="AC218"/>
      <c r="AD218"/>
      <c r="AE218"/>
      <c r="AF218"/>
    </row>
    <row r="219" spans="17:32" ht="12.75" customHeight="1">
      <c r="Q219" s="668"/>
      <c r="R219" s="969" t="s">
        <v>310</v>
      </c>
      <c r="S219" s="969"/>
      <c r="T219" s="969"/>
      <c r="U219" s="969"/>
      <c r="V219" s="556">
        <f t="shared" si="2"/>
        <v>160</v>
      </c>
      <c r="W219" s="556">
        <f t="shared" si="2"/>
        <v>160</v>
      </c>
      <c r="X219" s="556">
        <f>W219</f>
        <v>160</v>
      </c>
      <c r="Y219" s="556">
        <f>V23</f>
        <v>160</v>
      </c>
      <c r="Z219" s="361"/>
      <c r="AA219"/>
      <c r="AB219"/>
      <c r="AC219"/>
      <c r="AD219"/>
      <c r="AE219"/>
      <c r="AF219"/>
    </row>
    <row r="220" spans="17:32" ht="12.75" customHeight="1">
      <c r="Q220" s="668"/>
      <c r="R220" s="968" t="s">
        <v>543</v>
      </c>
      <c r="S220" s="968"/>
      <c r="T220" s="968"/>
      <c r="U220" s="968"/>
      <c r="V220" s="582">
        <f>V215*V216*V217*V218</f>
        <v>821.75999999999988</v>
      </c>
      <c r="W220" s="582">
        <f>W215*W216*W217*W218</f>
        <v>998.40000000000009</v>
      </c>
      <c r="X220" s="582">
        <f>X215*X216*X217*X218</f>
        <v>1136.6399999999999</v>
      </c>
      <c r="Y220" s="582">
        <f>Y215*Y216*Y217*Y218</f>
        <v>768</v>
      </c>
      <c r="Z220" s="361"/>
      <c r="AA220"/>
      <c r="AB220"/>
      <c r="AC220"/>
      <c r="AD220"/>
      <c r="AE220"/>
      <c r="AF220"/>
    </row>
    <row r="221" spans="17:32" ht="12.75" customHeight="1">
      <c r="Q221" s="668"/>
      <c r="R221" s="968" t="s">
        <v>542</v>
      </c>
      <c r="S221" s="968"/>
      <c r="T221" s="968"/>
      <c r="U221" s="968"/>
      <c r="V221" s="583">
        <f>V220/V219</f>
        <v>5.1359999999999992</v>
      </c>
      <c r="W221" s="583">
        <f>W220/W219</f>
        <v>6.24</v>
      </c>
      <c r="X221" s="583">
        <f>X220/X219</f>
        <v>7.1039999999999992</v>
      </c>
      <c r="Y221" s="583">
        <f>Y220/Y219</f>
        <v>4.8</v>
      </c>
      <c r="Z221" s="361"/>
      <c r="AA221"/>
      <c r="AB221"/>
      <c r="AC221"/>
      <c r="AD221"/>
      <c r="AE221"/>
      <c r="AF221"/>
    </row>
    <row r="222" spans="17:32" ht="12.75" customHeight="1">
      <c r="Q222" s="668"/>
      <c r="R222" s="968" t="s">
        <v>538</v>
      </c>
      <c r="S222" s="968"/>
      <c r="T222" s="968"/>
      <c r="U222" s="968"/>
      <c r="V222" s="537">
        <f>U62</f>
        <v>2.6666666666666665</v>
      </c>
      <c r="W222" s="537">
        <f>V62</f>
        <v>1.9999999999999996</v>
      </c>
      <c r="X222" s="537">
        <f>W62</f>
        <v>1.7391304347826084</v>
      </c>
      <c r="Y222" s="537">
        <f>X62</f>
        <v>1.4285714285714284</v>
      </c>
      <c r="Z222" s="361"/>
      <c r="AA222"/>
      <c r="AB222"/>
      <c r="AC222"/>
      <c r="AD222"/>
      <c r="AE222"/>
      <c r="AF222"/>
    </row>
    <row r="223" spans="17:32" ht="12.75" customHeight="1">
      <c r="Q223" s="668"/>
      <c r="R223" s="968" t="s">
        <v>546</v>
      </c>
      <c r="S223" s="968"/>
      <c r="T223" s="968"/>
      <c r="U223" s="968"/>
      <c r="V223" s="584">
        <f>2.2*V222</f>
        <v>5.8666666666666671</v>
      </c>
      <c r="W223" s="584">
        <f>W222/W215</f>
        <v>15.384615384615381</v>
      </c>
      <c r="X223" s="584">
        <f>X222/X215</f>
        <v>11.750881316098706</v>
      </c>
      <c r="Y223" s="584">
        <f>Y222/Y215</f>
        <v>14.285714285714283</v>
      </c>
      <c r="Z223" s="361"/>
      <c r="AA223"/>
      <c r="AB223"/>
      <c r="AC223"/>
      <c r="AD223"/>
      <c r="AE223"/>
      <c r="AF223"/>
    </row>
    <row r="224" spans="17:32" ht="12.75" customHeight="1">
      <c r="Q224" s="668"/>
      <c r="R224" s="968" t="s">
        <v>544</v>
      </c>
      <c r="S224" s="968"/>
      <c r="T224" s="968"/>
      <c r="U224" s="968"/>
      <c r="V224" s="582">
        <f>V219*V223</f>
        <v>938.66666666666674</v>
      </c>
      <c r="W224" s="582">
        <f>W219*W223</f>
        <v>2461.538461538461</v>
      </c>
      <c r="X224" s="582">
        <f>X219*X223</f>
        <v>1880.141010575793</v>
      </c>
      <c r="Y224" s="674">
        <f>Y219*Y223</f>
        <v>2285.7142857142853</v>
      </c>
      <c r="Z224" s="361"/>
      <c r="AA224"/>
      <c r="AB224"/>
      <c r="AC224"/>
      <c r="AD224"/>
      <c r="AE224"/>
      <c r="AF224"/>
    </row>
    <row r="225" spans="17:32" ht="12.75" customHeight="1">
      <c r="Q225" s="668"/>
      <c r="R225" s="969" t="s">
        <v>535</v>
      </c>
      <c r="S225" s="969"/>
      <c r="T225" s="969"/>
      <c r="U225" s="969"/>
      <c r="V225" s="556">
        <f>V217/V222</f>
        <v>60</v>
      </c>
      <c r="W225" s="556">
        <f>W217/W222</f>
        <v>80.000000000000014</v>
      </c>
      <c r="X225" s="556">
        <f>X217/X222</f>
        <v>92.000000000000014</v>
      </c>
      <c r="Y225" s="556">
        <f>Y217/Y222</f>
        <v>112.00000000000001</v>
      </c>
      <c r="Z225" s="361"/>
      <c r="AA225"/>
      <c r="AB225"/>
      <c r="AC225"/>
      <c r="AD225"/>
      <c r="AE225"/>
      <c r="AF225"/>
    </row>
    <row r="226" spans="17:32" ht="12.75" customHeight="1">
      <c r="Q226" s="668"/>
      <c r="R226" s="969" t="s">
        <v>536</v>
      </c>
      <c r="S226" s="969"/>
      <c r="T226" s="969"/>
      <c r="U226" s="969"/>
      <c r="V226" s="675">
        <f>V216*V225</f>
        <v>72</v>
      </c>
      <c r="W226" s="675">
        <f>W216*W225</f>
        <v>96.000000000000014</v>
      </c>
      <c r="X226" s="675">
        <f>X216*X225</f>
        <v>110.40000000000002</v>
      </c>
      <c r="Y226" s="675">
        <f>Y216*Y225</f>
        <v>134.4</v>
      </c>
      <c r="Z226" s="361"/>
      <c r="AA226"/>
      <c r="AB226"/>
      <c r="AC226"/>
      <c r="AD226"/>
      <c r="AE226"/>
      <c r="AF226"/>
    </row>
    <row r="227" spans="17:32" ht="12.75" customHeight="1">
      <c r="Q227" s="668"/>
      <c r="R227" s="968" t="s">
        <v>534</v>
      </c>
      <c r="S227" s="968"/>
      <c r="T227" s="968"/>
      <c r="U227" s="968"/>
      <c r="V227" s="583">
        <f>U56</f>
        <v>4</v>
      </c>
      <c r="W227" s="583">
        <f>V56</f>
        <v>2.9999999999999996</v>
      </c>
      <c r="X227" s="583">
        <f>W56</f>
        <v>2.6086956521739126</v>
      </c>
      <c r="Y227" s="583">
        <f>X56</f>
        <v>2.1428571428571428</v>
      </c>
      <c r="Z227" s="361"/>
      <c r="AA227"/>
      <c r="AB227"/>
      <c r="AC227"/>
      <c r="AD227"/>
      <c r="AE227"/>
      <c r="AF227"/>
    </row>
    <row r="228" spans="17:32" ht="12.75" customHeight="1">
      <c r="Q228" s="668"/>
      <c r="R228" s="968" t="s">
        <v>537</v>
      </c>
      <c r="S228" s="968"/>
      <c r="T228" s="968"/>
      <c r="U228" s="968"/>
      <c r="V228" s="584">
        <f>V225*V227</f>
        <v>240</v>
      </c>
      <c r="W228" s="584">
        <f>W225*W227</f>
        <v>240</v>
      </c>
      <c r="X228" s="584">
        <f>X225*X227</f>
        <v>240</v>
      </c>
      <c r="Y228" s="584">
        <f>Y225*Y227</f>
        <v>240.00000000000003</v>
      </c>
      <c r="Z228" s="361"/>
      <c r="AA228"/>
      <c r="AB228"/>
      <c r="AC228"/>
      <c r="AD228"/>
      <c r="AE228"/>
      <c r="AF228"/>
    </row>
    <row r="229" spans="17:32" ht="12.75" customHeight="1">
      <c r="Q229" s="668"/>
      <c r="R229" s="968" t="s">
        <v>545</v>
      </c>
      <c r="S229" s="968"/>
      <c r="T229" s="968"/>
      <c r="U229" s="968"/>
      <c r="V229" s="585">
        <f>V221/V223</f>
        <v>0.87545454545454526</v>
      </c>
      <c r="W229" s="585">
        <f>W221/W223</f>
        <v>0.40560000000000007</v>
      </c>
      <c r="X229" s="585">
        <f>X221/X223</f>
        <v>0.60455040000000004</v>
      </c>
      <c r="Y229" s="585">
        <f>Y221/Y223</f>
        <v>0.33600000000000008</v>
      </c>
      <c r="Z229" s="361"/>
      <c r="AA229"/>
      <c r="AB229"/>
      <c r="AC229"/>
      <c r="AD229"/>
      <c r="AE229"/>
      <c r="AF229"/>
    </row>
    <row r="230" spans="17:32" ht="12.75" customHeight="1">
      <c r="Q230" s="668"/>
      <c r="R230" s="540" t="s">
        <v>547</v>
      </c>
      <c r="S230" s="540"/>
      <c r="T230" s="540"/>
      <c r="U230" s="540"/>
      <c r="V230" s="585"/>
      <c r="W230" s="586">
        <f>10*W217*W216*W218</f>
        <v>76800</v>
      </c>
      <c r="X230" s="586">
        <f>10*X217*X216*X218</f>
        <v>76800</v>
      </c>
      <c r="Y230" s="586">
        <f>10*Y217*Y216*Y218</f>
        <v>76800</v>
      </c>
      <c r="Z230" s="361"/>
      <c r="AA230"/>
      <c r="AB230"/>
      <c r="AC230"/>
      <c r="AD230"/>
      <c r="AE230"/>
      <c r="AF230"/>
    </row>
    <row r="231" spans="17:32" ht="12.75" customHeight="1">
      <c r="Q231" s="668"/>
      <c r="R231" s="968" t="s">
        <v>548</v>
      </c>
      <c r="S231" s="968"/>
      <c r="T231" s="968"/>
      <c r="U231" s="968"/>
      <c r="V231" s="585">
        <f>V229</f>
        <v>0.87545454545454526</v>
      </c>
      <c r="W231" s="585">
        <f>W220/W230</f>
        <v>1.3000000000000001E-2</v>
      </c>
      <c r="X231" s="585">
        <f>X220/X230</f>
        <v>1.4799999999999999E-2</v>
      </c>
      <c r="Y231" s="585">
        <f>Y220/Y230</f>
        <v>0.01</v>
      </c>
      <c r="Z231" s="361"/>
      <c r="AA231"/>
      <c r="AB231"/>
      <c r="AC231"/>
      <c r="AD231"/>
      <c r="AE231"/>
      <c r="AF231"/>
    </row>
    <row r="232" spans="17:32" ht="12.75" customHeight="1">
      <c r="Q232" s="668"/>
      <c r="R232" s="587"/>
      <c r="S232" s="587"/>
      <c r="T232" s="587"/>
      <c r="U232" s="587"/>
      <c r="V232" s="588"/>
      <c r="W232" s="588"/>
      <c r="X232" s="588"/>
      <c r="Y232" s="588"/>
      <c r="Z232" s="589"/>
      <c r="AA232"/>
      <c r="AB232"/>
      <c r="AC232"/>
      <c r="AD232"/>
      <c r="AE232"/>
      <c r="AF232"/>
    </row>
    <row r="233" spans="17:32" ht="12.75" customHeight="1">
      <c r="Q233" s="668"/>
      <c r="R233" s="587"/>
      <c r="S233" s="587"/>
      <c r="T233" s="587"/>
      <c r="U233" s="587"/>
      <c r="V233" s="676"/>
      <c r="W233" s="676"/>
      <c r="X233" s="676"/>
      <c r="Y233" s="588"/>
      <c r="Z233" s="364"/>
      <c r="AA233"/>
      <c r="AB233"/>
      <c r="AC233"/>
      <c r="AD233"/>
      <c r="AE233"/>
      <c r="AF233"/>
    </row>
    <row r="234" spans="17:32" ht="12.75" customHeight="1">
      <c r="Q234" s="668" t="s">
        <v>240</v>
      </c>
      <c r="R234" s="364" t="s">
        <v>241</v>
      </c>
      <c r="S234" s="364"/>
      <c r="T234" s="364"/>
      <c r="U234" s="364"/>
      <c r="V234" s="364"/>
      <c r="W234" s="364"/>
      <c r="X234" s="364"/>
      <c r="Y234" s="364"/>
      <c r="Z234" s="364"/>
      <c r="AA234"/>
      <c r="AB234"/>
      <c r="AC234"/>
      <c r="AD234"/>
      <c r="AE234"/>
      <c r="AF234"/>
    </row>
    <row r="235" spans="17:32" ht="12.75" customHeight="1">
      <c r="Q235" s="364"/>
      <c r="R235" s="962" t="s">
        <v>301</v>
      </c>
      <c r="S235" s="963"/>
      <c r="T235" s="964"/>
      <c r="U235" s="949" t="s">
        <v>500</v>
      </c>
      <c r="V235" s="938" t="s">
        <v>22</v>
      </c>
      <c r="W235" s="940" t="s">
        <v>579</v>
      </c>
      <c r="X235" s="942" t="s">
        <v>21</v>
      </c>
      <c r="Y235" s="361"/>
      <c r="Z235" s="364"/>
      <c r="AA235"/>
      <c r="AB235"/>
      <c r="AC235"/>
      <c r="AD235"/>
      <c r="AE235"/>
      <c r="AF235"/>
    </row>
    <row r="236" spans="17:32" ht="12.75" customHeight="1">
      <c r="Q236" s="364"/>
      <c r="R236" s="965"/>
      <c r="S236" s="966"/>
      <c r="T236" s="967"/>
      <c r="U236" s="950"/>
      <c r="V236" s="939"/>
      <c r="W236" s="941"/>
      <c r="X236" s="943"/>
      <c r="Y236" s="361"/>
      <c r="Z236" s="364"/>
      <c r="AA236"/>
      <c r="AB236"/>
      <c r="AC236"/>
      <c r="AD236"/>
      <c r="AE236"/>
      <c r="AF236"/>
    </row>
    <row r="237" spans="17:32" ht="12.75" customHeight="1">
      <c r="Q237" s="364"/>
      <c r="R237" s="931" t="s">
        <v>662</v>
      </c>
      <c r="S237" s="931"/>
      <c r="T237" s="931"/>
      <c r="U237" s="901" t="s">
        <v>427</v>
      </c>
      <c r="V237" s="562">
        <f>VLOOKUP($V$5,'Lookup Air Consumption'!$B$8:$E$208,3)</f>
        <v>38</v>
      </c>
      <c r="W237" s="562">
        <f>VLOOKUP($V$5,'Lookup Air Consumption'!$B$8:$E$208,4)</f>
        <v>50</v>
      </c>
      <c r="X237" s="562">
        <f>VLOOKUP($V$5,'Lookup Air Consumption'!$B$8:$E$208,2)</f>
        <v>41</v>
      </c>
      <c r="Y237" s="361"/>
      <c r="Z237" s="364"/>
      <c r="AA237"/>
      <c r="AB237"/>
      <c r="AC237"/>
      <c r="AD237"/>
      <c r="AE237"/>
      <c r="AF237"/>
    </row>
    <row r="238" spans="17:32" ht="12.75" customHeight="1">
      <c r="Q238" s="364"/>
      <c r="R238" s="931" t="s">
        <v>663</v>
      </c>
      <c r="S238" s="931"/>
      <c r="T238" s="931"/>
      <c r="U238" s="901"/>
      <c r="V238" s="590">
        <f>V237/1000</f>
        <v>3.7999999999999999E-2</v>
      </c>
      <c r="W238" s="590">
        <f>W237/1000</f>
        <v>0.05</v>
      </c>
      <c r="X238" s="590">
        <f>X237/1000</f>
        <v>4.1000000000000002E-2</v>
      </c>
      <c r="Y238" s="361"/>
      <c r="Z238" s="364"/>
      <c r="AA238"/>
      <c r="AB238"/>
      <c r="AC238"/>
      <c r="AD238"/>
      <c r="AE238"/>
      <c r="AF238"/>
    </row>
    <row r="239" spans="17:32" ht="12.75" customHeight="1">
      <c r="Q239" s="364"/>
      <c r="R239" s="931" t="s">
        <v>664</v>
      </c>
      <c r="S239" s="931"/>
      <c r="T239" s="931"/>
      <c r="U239" s="901"/>
      <c r="V239" s="560">
        <f>V238*35.31467</f>
        <v>1.3419574599999999</v>
      </c>
      <c r="W239" s="560">
        <f>W238*35.31467</f>
        <v>1.7657335000000001</v>
      </c>
      <c r="X239" s="560">
        <f>X238*35.31467</f>
        <v>1.4479014700000001</v>
      </c>
      <c r="Y239" s="361"/>
      <c r="Z239" s="364"/>
      <c r="AA239"/>
      <c r="AB239"/>
      <c r="AC239"/>
      <c r="AD239"/>
      <c r="AE239"/>
      <c r="AF239"/>
    </row>
    <row r="240" spans="17:32" ht="12.75" customHeight="1">
      <c r="Q240" s="360"/>
      <c r="R240" s="551"/>
      <c r="S240" s="551"/>
      <c r="T240" s="551"/>
      <c r="U240" s="591"/>
      <c r="V240" s="551"/>
      <c r="W240" s="551"/>
      <c r="X240" s="551"/>
      <c r="Y240" s="361"/>
      <c r="Z240" s="364"/>
      <c r="AA240"/>
      <c r="AB240"/>
      <c r="AC240"/>
      <c r="AD240"/>
      <c r="AE240"/>
      <c r="AF240"/>
    </row>
    <row r="241" spans="17:32" ht="12.75" customHeight="1">
      <c r="Q241" s="360"/>
      <c r="R241" s="962" t="s">
        <v>302</v>
      </c>
      <c r="S241" s="963"/>
      <c r="T241" s="964"/>
      <c r="U241" s="949" t="s">
        <v>500</v>
      </c>
      <c r="V241" s="938" t="s">
        <v>22</v>
      </c>
      <c r="W241" s="940" t="s">
        <v>579</v>
      </c>
      <c r="X241" s="942" t="s">
        <v>21</v>
      </c>
      <c r="Y241" s="361"/>
      <c r="Z241" s="364"/>
      <c r="AA241"/>
      <c r="AB241"/>
      <c r="AC241"/>
      <c r="AD241"/>
      <c r="AE241"/>
      <c r="AF241"/>
    </row>
    <row r="242" spans="17:32" ht="12.75" customHeight="1">
      <c r="Q242" s="360"/>
      <c r="R242" s="965"/>
      <c r="S242" s="966"/>
      <c r="T242" s="967"/>
      <c r="U242" s="950"/>
      <c r="V242" s="939"/>
      <c r="W242" s="941"/>
      <c r="X242" s="943"/>
      <c r="Y242" s="361"/>
      <c r="Z242" s="364"/>
      <c r="AA242"/>
      <c r="AB242"/>
      <c r="AC242"/>
      <c r="AD242"/>
      <c r="AE242"/>
      <c r="AF242"/>
    </row>
    <row r="243" spans="17:32" ht="12.75" customHeight="1">
      <c r="Q243" s="360"/>
      <c r="R243" s="931" t="s">
        <v>662</v>
      </c>
      <c r="S243" s="931"/>
      <c r="T243" s="931"/>
      <c r="U243" s="901" t="s">
        <v>427</v>
      </c>
      <c r="V243" s="549">
        <f t="shared" ref="V243:W245" si="3">V237*$V$23</f>
        <v>6080</v>
      </c>
      <c r="W243" s="549">
        <f t="shared" si="3"/>
        <v>8000</v>
      </c>
      <c r="X243" s="549">
        <f>X237*$V$23</f>
        <v>6560</v>
      </c>
      <c r="Y243" s="361"/>
      <c r="Z243" s="364"/>
      <c r="AA243"/>
      <c r="AB243"/>
      <c r="AC243"/>
      <c r="AD243"/>
      <c r="AE243"/>
      <c r="AF243"/>
    </row>
    <row r="244" spans="17:32" ht="12.75" customHeight="1">
      <c r="Q244" s="360"/>
      <c r="R244" s="931" t="s">
        <v>663</v>
      </c>
      <c r="S244" s="931"/>
      <c r="T244" s="931"/>
      <c r="U244" s="901"/>
      <c r="V244" s="560">
        <f t="shared" si="3"/>
        <v>6.08</v>
      </c>
      <c r="W244" s="560">
        <f t="shared" si="3"/>
        <v>8</v>
      </c>
      <c r="X244" s="560">
        <f>X238*$V$23</f>
        <v>6.5600000000000005</v>
      </c>
      <c r="Y244" s="361"/>
      <c r="Z244" s="364"/>
      <c r="AA244"/>
      <c r="AB244"/>
      <c r="AC244"/>
      <c r="AD244"/>
      <c r="AE244"/>
      <c r="AF244"/>
    </row>
    <row r="245" spans="17:32" ht="12.75" customHeight="1">
      <c r="Q245" s="360"/>
      <c r="R245" s="931" t="s">
        <v>664</v>
      </c>
      <c r="S245" s="931"/>
      <c r="T245" s="931"/>
      <c r="U245" s="901"/>
      <c r="V245" s="560">
        <f t="shared" si="3"/>
        <v>214.71319359999998</v>
      </c>
      <c r="W245" s="560">
        <f t="shared" si="3"/>
        <v>282.51736</v>
      </c>
      <c r="X245" s="560">
        <f>X239*$V$23</f>
        <v>231.66423520000001</v>
      </c>
      <c r="Y245" s="361"/>
      <c r="Z245" s="364"/>
      <c r="AA245"/>
      <c r="AB245"/>
      <c r="AC245"/>
      <c r="AD245"/>
      <c r="AE245"/>
      <c r="AF245"/>
    </row>
    <row r="246" spans="17:32" ht="12.75" customHeight="1">
      <c r="Q246" s="360"/>
      <c r="R246" s="364"/>
      <c r="S246" s="364"/>
      <c r="T246" s="364"/>
      <c r="U246" s="364"/>
      <c r="V246" s="555"/>
      <c r="W246" s="555"/>
      <c r="X246" s="555"/>
      <c r="Y246" s="361"/>
      <c r="Z246" s="364"/>
      <c r="AA246"/>
      <c r="AB246"/>
      <c r="AC246"/>
      <c r="AD246"/>
      <c r="AE246"/>
      <c r="AF246"/>
    </row>
    <row r="247" spans="17:32" ht="12.75" customHeight="1">
      <c r="Q247" s="360"/>
      <c r="R247" s="962" t="s">
        <v>303</v>
      </c>
      <c r="S247" s="963"/>
      <c r="T247" s="964"/>
      <c r="U247" s="949" t="s">
        <v>500</v>
      </c>
      <c r="V247" s="938" t="s">
        <v>22</v>
      </c>
      <c r="W247" s="940" t="s">
        <v>579</v>
      </c>
      <c r="X247" s="942" t="s">
        <v>21</v>
      </c>
      <c r="Y247" s="361"/>
      <c r="Z247" s="364"/>
      <c r="AA247"/>
      <c r="AB247"/>
      <c r="AC247"/>
      <c r="AD247"/>
      <c r="AE247"/>
      <c r="AF247"/>
    </row>
    <row r="248" spans="17:32" ht="12.75" customHeight="1">
      <c r="Q248" s="360"/>
      <c r="R248" s="965"/>
      <c r="S248" s="966"/>
      <c r="T248" s="967"/>
      <c r="U248" s="950"/>
      <c r="V248" s="939"/>
      <c r="W248" s="941"/>
      <c r="X248" s="943"/>
      <c r="Y248" s="361"/>
      <c r="Z248" s="364"/>
      <c r="AA248"/>
      <c r="AB248"/>
      <c r="AC248"/>
      <c r="AD248"/>
      <c r="AE248"/>
      <c r="AF248"/>
    </row>
    <row r="249" spans="17:32" ht="12.75" customHeight="1">
      <c r="Q249" s="563"/>
      <c r="R249" s="951" t="s">
        <v>517</v>
      </c>
      <c r="S249" s="951"/>
      <c r="T249" s="951"/>
      <c r="U249" s="901" t="s">
        <v>427</v>
      </c>
      <c r="V249" s="549">
        <f t="shared" ref="V249:X251" si="4">($V$25/$X$51)*60*V237</f>
        <v>31268571.428571429</v>
      </c>
      <c r="W249" s="549">
        <f t="shared" si="4"/>
        <v>41142857.142857142</v>
      </c>
      <c r="X249" s="549">
        <f t="shared" si="4"/>
        <v>33737142.857142858</v>
      </c>
      <c r="Y249" s="361"/>
      <c r="Z249" s="364"/>
      <c r="AA249"/>
      <c r="AB249"/>
      <c r="AC249"/>
      <c r="AD249"/>
      <c r="AE249"/>
      <c r="AF249"/>
    </row>
    <row r="250" spans="17:32" ht="12.75" customHeight="1">
      <c r="Q250" s="364"/>
      <c r="R250" s="951" t="s">
        <v>666</v>
      </c>
      <c r="S250" s="951"/>
      <c r="T250" s="951"/>
      <c r="U250" s="901"/>
      <c r="V250" s="549">
        <f t="shared" si="4"/>
        <v>31268.571428571428</v>
      </c>
      <c r="W250" s="549">
        <f t="shared" si="4"/>
        <v>41142.857142857145</v>
      </c>
      <c r="X250" s="549">
        <f t="shared" si="4"/>
        <v>33737.142857142855</v>
      </c>
      <c r="Y250" s="361"/>
      <c r="Z250" s="364"/>
      <c r="AA250"/>
      <c r="AB250"/>
      <c r="AC250"/>
      <c r="AD250"/>
      <c r="AE250"/>
      <c r="AF250"/>
    </row>
    <row r="251" spans="17:32" ht="12.75" customHeight="1">
      <c r="Q251" s="364"/>
      <c r="R251" s="951" t="s">
        <v>583</v>
      </c>
      <c r="S251" s="951"/>
      <c r="T251" s="951"/>
      <c r="U251" s="901"/>
      <c r="V251" s="549">
        <f t="shared" si="4"/>
        <v>1104239.2813714284</v>
      </c>
      <c r="W251" s="549">
        <f t="shared" si="4"/>
        <v>1452946.422857143</v>
      </c>
      <c r="X251" s="549">
        <f t="shared" si="4"/>
        <v>1191416.0667428572</v>
      </c>
      <c r="Y251" s="361"/>
      <c r="Z251" s="364"/>
      <c r="AA251"/>
      <c r="AB251"/>
      <c r="AC251"/>
      <c r="AD251"/>
      <c r="AE251"/>
      <c r="AF251"/>
    </row>
    <row r="252" spans="17:32" ht="12.75" customHeight="1">
      <c r="Q252" s="364"/>
      <c r="R252" s="364"/>
      <c r="S252" s="364"/>
      <c r="T252" s="364"/>
      <c r="U252" s="364"/>
      <c r="V252" s="364"/>
      <c r="W252" s="364"/>
      <c r="X252" s="364"/>
      <c r="Y252" s="361"/>
      <c r="Z252" s="364"/>
      <c r="AA252"/>
      <c r="AB252"/>
      <c r="AC252"/>
      <c r="AD252"/>
      <c r="AE252"/>
      <c r="AF252"/>
    </row>
    <row r="253" spans="17:32" ht="12.75" customHeight="1">
      <c r="Q253" s="668" t="s">
        <v>753</v>
      </c>
      <c r="R253" s="364" t="s">
        <v>300</v>
      </c>
      <c r="S253" s="364"/>
      <c r="T253" s="364"/>
      <c r="U253" s="364"/>
      <c r="V253" s="364"/>
      <c r="W253" s="364"/>
      <c r="X253" s="364"/>
      <c r="Y253" s="361"/>
      <c r="Z253" s="364"/>
      <c r="AA253"/>
      <c r="AB253"/>
      <c r="AC253"/>
      <c r="AD253"/>
      <c r="AE253"/>
      <c r="AF253"/>
    </row>
    <row r="254" spans="17:32" ht="12.75" customHeight="1">
      <c r="Q254" s="364"/>
      <c r="R254" s="957" t="s">
        <v>669</v>
      </c>
      <c r="S254" s="958"/>
      <c r="T254" s="959"/>
      <c r="U254" s="949" t="s">
        <v>500</v>
      </c>
      <c r="V254" s="938" t="s">
        <v>22</v>
      </c>
      <c r="W254" s="940" t="s">
        <v>579</v>
      </c>
      <c r="X254" s="942" t="s">
        <v>21</v>
      </c>
      <c r="Y254" s="361"/>
      <c r="Z254" s="364"/>
      <c r="AA254"/>
      <c r="AB254"/>
      <c r="AC254"/>
      <c r="AD254"/>
      <c r="AE254"/>
      <c r="AF254"/>
    </row>
    <row r="255" spans="17:32" ht="12.75" customHeight="1">
      <c r="Q255" s="364"/>
      <c r="R255" s="960"/>
      <c r="S255" s="961"/>
      <c r="T255" s="899"/>
      <c r="U255" s="950"/>
      <c r="V255" s="939"/>
      <c r="W255" s="941"/>
      <c r="X255" s="943"/>
      <c r="Y255" s="361"/>
      <c r="Z255" s="364"/>
      <c r="AA255"/>
      <c r="AB255"/>
      <c r="AC255"/>
      <c r="AD255"/>
      <c r="AE255"/>
      <c r="AF255"/>
    </row>
    <row r="256" spans="17:32" ht="12.75" customHeight="1">
      <c r="Q256" s="364"/>
      <c r="R256" s="541" t="s">
        <v>80</v>
      </c>
      <c r="S256" s="559"/>
      <c r="T256" s="559"/>
      <c r="U256" s="543">
        <v>6.5</v>
      </c>
      <c r="V256" s="669">
        <f>VLOOKUP($V$5,'Lookup Water Flow'!$B$8:$E$208,3)</f>
        <v>6.9</v>
      </c>
      <c r="W256" s="669">
        <f>VLOOKUP($V$5,'Lookup Water Flow'!$B$8:$E$208,4)</f>
        <v>12.1</v>
      </c>
      <c r="X256" s="669">
        <f>VLOOKUP($V$5,'Lookup Water Flow'!$B$8:$E$208,2)</f>
        <v>12.6</v>
      </c>
      <c r="Y256" s="361"/>
      <c r="Z256" s="364"/>
      <c r="AA256"/>
      <c r="AB256"/>
      <c r="AC256"/>
      <c r="AD256"/>
      <c r="AE256"/>
      <c r="AF256"/>
    </row>
    <row r="257" spans="17:32" ht="12.75" customHeight="1">
      <c r="Q257" s="364"/>
      <c r="R257" s="951" t="s">
        <v>81</v>
      </c>
      <c r="S257" s="951"/>
      <c r="T257" s="951"/>
      <c r="U257" s="677">
        <f>U256*V23</f>
        <v>1040</v>
      </c>
      <c r="V257" s="678">
        <f>V256*$V$23</f>
        <v>1104</v>
      </c>
      <c r="W257" s="678">
        <f>W256*$V$23</f>
        <v>1936</v>
      </c>
      <c r="X257" s="678">
        <f>X256*$V$23</f>
        <v>2016</v>
      </c>
      <c r="Y257" s="361"/>
      <c r="Z257" s="364"/>
      <c r="AA257"/>
      <c r="AB257"/>
      <c r="AC257"/>
      <c r="AD257"/>
      <c r="AE257"/>
      <c r="AF257"/>
    </row>
    <row r="258" spans="17:32" ht="12.75" customHeight="1">
      <c r="Q258" s="364"/>
      <c r="R258" s="592" t="s">
        <v>670</v>
      </c>
      <c r="S258" s="559"/>
      <c r="T258" s="559"/>
      <c r="U258" s="549">
        <f>(U256*U56*V24)+(24*2*V24)</f>
        <v>473600</v>
      </c>
      <c r="V258" s="679">
        <f>V256*$X$56*$V$24</f>
        <v>94628.571428571435</v>
      </c>
      <c r="W258" s="679">
        <f>W256*$X$56*$V$24</f>
        <v>165942.85714285713</v>
      </c>
      <c r="X258" s="679">
        <f>X256*$X$56*$V$24</f>
        <v>172800</v>
      </c>
      <c r="Y258" s="361"/>
      <c r="Z258" s="364"/>
      <c r="AA258"/>
      <c r="AB258"/>
      <c r="AC258"/>
      <c r="AD258"/>
      <c r="AE258"/>
      <c r="AF258"/>
    </row>
    <row r="259" spans="17:32" ht="12.75" customHeight="1">
      <c r="Q259" s="364"/>
      <c r="R259" s="364"/>
      <c r="S259" s="364"/>
      <c r="T259" s="364"/>
      <c r="U259" s="364"/>
      <c r="V259" s="364"/>
      <c r="W259" s="364"/>
      <c r="X259" s="364"/>
      <c r="Y259" s="364"/>
      <c r="Z259" s="364"/>
      <c r="AA259"/>
      <c r="AB259"/>
      <c r="AC259"/>
      <c r="AD259"/>
      <c r="AE259"/>
      <c r="AF259"/>
    </row>
    <row r="260" spans="17:32" ht="12.75" customHeight="1">
      <c r="Q260" s="680" t="s">
        <v>754</v>
      </c>
      <c r="R260" s="952" t="s">
        <v>309</v>
      </c>
      <c r="S260" s="952"/>
      <c r="T260" s="952"/>
      <c r="U260" s="952"/>
      <c r="V260" s="952"/>
      <c r="W260" s="952"/>
      <c r="X260" s="952"/>
      <c r="Y260" s="952"/>
      <c r="Z260" s="360"/>
      <c r="AA260"/>
      <c r="AB260"/>
      <c r="AC260"/>
      <c r="AD260"/>
      <c r="AE260"/>
      <c r="AF260"/>
    </row>
    <row r="261" spans="17:32" ht="12.75" customHeight="1">
      <c r="Q261" s="364"/>
      <c r="R261" s="364"/>
      <c r="S261" s="364"/>
      <c r="T261" s="364"/>
      <c r="U261" s="364"/>
      <c r="V261" s="364"/>
      <c r="W261" s="364"/>
      <c r="X261" s="364"/>
      <c r="Y261" s="364"/>
      <c r="Z261" s="364"/>
      <c r="AA261"/>
      <c r="AB261"/>
      <c r="AC261"/>
      <c r="AD261"/>
      <c r="AE261"/>
      <c r="AF261"/>
    </row>
    <row r="262" spans="17:32" ht="12.75" customHeight="1">
      <c r="Q262" s="668" t="s">
        <v>755</v>
      </c>
      <c r="R262" s="364" t="s">
        <v>239</v>
      </c>
      <c r="S262" s="364"/>
      <c r="T262" s="364"/>
      <c r="U262" s="364"/>
      <c r="V262" s="364"/>
      <c r="W262" s="364"/>
      <c r="X262" s="364"/>
      <c r="Y262" s="364"/>
      <c r="Z262" s="364"/>
      <c r="AA262"/>
      <c r="AB262"/>
      <c r="AC262"/>
      <c r="AD262"/>
      <c r="AE262"/>
      <c r="AF262"/>
    </row>
    <row r="263" spans="17:32" ht="12.75" customHeight="1">
      <c r="Q263" s="364"/>
      <c r="R263" s="364"/>
      <c r="S263" s="364"/>
      <c r="T263" s="364"/>
      <c r="U263" s="364"/>
      <c r="V263" s="364"/>
      <c r="W263" s="364"/>
      <c r="X263" s="364"/>
      <c r="Y263" s="364"/>
      <c r="Z263" s="364"/>
      <c r="AA263"/>
      <c r="AB263"/>
      <c r="AC263"/>
      <c r="AD263"/>
      <c r="AE263"/>
      <c r="AF263"/>
    </row>
    <row r="264" spans="17:32" ht="12.75" customHeight="1">
      <c r="Q264" s="364"/>
      <c r="R264" s="953" t="s">
        <v>676</v>
      </c>
      <c r="S264" s="954"/>
      <c r="T264" s="561" t="s">
        <v>320</v>
      </c>
      <c r="U264" s="935" t="s">
        <v>318</v>
      </c>
      <c r="V264" s="935"/>
      <c r="W264" s="681">
        <f>'Compressor Input Data'!G7</f>
        <v>0.19</v>
      </c>
      <c r="X264" s="594"/>
      <c r="Y264" s="595"/>
      <c r="Z264" s="363"/>
      <c r="AA264"/>
      <c r="AB264"/>
      <c r="AC264"/>
      <c r="AD264"/>
      <c r="AE264"/>
      <c r="AF264"/>
    </row>
    <row r="265" spans="17:32" ht="12.75" customHeight="1">
      <c r="Q265" s="364"/>
      <c r="R265" s="955"/>
      <c r="S265" s="956"/>
      <c r="T265" s="561" t="s">
        <v>321</v>
      </c>
      <c r="U265" s="935" t="s">
        <v>319</v>
      </c>
      <c r="V265" s="935"/>
      <c r="W265" s="681">
        <f>'Compressor Input Data'!G8</f>
        <v>0.33</v>
      </c>
      <c r="X265" s="594"/>
      <c r="Y265" s="595"/>
      <c r="Z265" s="595"/>
      <c r="AA265"/>
      <c r="AB265"/>
      <c r="AC265"/>
      <c r="AD265"/>
      <c r="AE265"/>
      <c r="AF265"/>
    </row>
    <row r="266" spans="17:32" ht="12.75" customHeight="1">
      <c r="Q266" s="364"/>
      <c r="R266" s="363"/>
      <c r="S266" s="363"/>
      <c r="T266" s="577"/>
      <c r="U266" s="577"/>
      <c r="V266" s="596"/>
      <c r="W266" s="363"/>
      <c r="X266" s="363"/>
      <c r="Y266" s="363"/>
      <c r="Z266" s="363"/>
      <c r="AA266"/>
      <c r="AB266"/>
      <c r="AC266"/>
      <c r="AD266"/>
      <c r="AE266"/>
      <c r="AF266"/>
    </row>
    <row r="267" spans="17:32" ht="12.75" customHeight="1">
      <c r="Q267" s="364"/>
      <c r="R267" s="935" t="s">
        <v>675</v>
      </c>
      <c r="S267" s="935"/>
      <c r="T267" s="935"/>
      <c r="U267" s="949" t="s">
        <v>500</v>
      </c>
      <c r="V267" s="938" t="s">
        <v>22</v>
      </c>
      <c r="W267" s="940" t="s">
        <v>579</v>
      </c>
      <c r="X267" s="942" t="s">
        <v>21</v>
      </c>
      <c r="Y267" s="361"/>
      <c r="Z267" s="364"/>
      <c r="AA267"/>
      <c r="AB267"/>
      <c r="AC267"/>
      <c r="AD267"/>
      <c r="AE267"/>
      <c r="AF267"/>
    </row>
    <row r="268" spans="17:32" ht="12.75" customHeight="1">
      <c r="Q268" s="364"/>
      <c r="R268" s="944" t="s">
        <v>320</v>
      </c>
      <c r="S268" s="947"/>
      <c r="T268" s="948"/>
      <c r="U268" s="950"/>
      <c r="V268" s="939"/>
      <c r="W268" s="941"/>
      <c r="X268" s="943"/>
      <c r="Y268" s="361"/>
      <c r="Z268" s="364"/>
      <c r="AA268"/>
      <c r="AB268"/>
      <c r="AC268"/>
      <c r="AD268"/>
      <c r="AE268"/>
      <c r="AF268"/>
    </row>
    <row r="269" spans="17:32" ht="12.75" customHeight="1">
      <c r="Q269" s="364"/>
      <c r="R269" s="945"/>
      <c r="S269" s="935" t="s">
        <v>306</v>
      </c>
      <c r="T269" s="935"/>
      <c r="U269" s="599">
        <f>U164*$W$264</f>
        <v>178.34666666666669</v>
      </c>
      <c r="V269" s="599">
        <f>V164*$W$264</f>
        <v>14439.999999999998</v>
      </c>
      <c r="W269" s="599">
        <f>W164*$W$264</f>
        <v>12556.521739130432</v>
      </c>
      <c r="X269" s="599">
        <f>X164*$W$264</f>
        <v>10314.285714285712</v>
      </c>
      <c r="Y269" s="361"/>
      <c r="Z269" s="364"/>
      <c r="AA269"/>
      <c r="AB269"/>
      <c r="AC269"/>
      <c r="AD269"/>
      <c r="AE269"/>
      <c r="AF269"/>
    </row>
    <row r="270" spans="17:32" ht="12.75" customHeight="1">
      <c r="Q270" s="364"/>
      <c r="R270" s="945"/>
      <c r="S270" s="935" t="s">
        <v>307</v>
      </c>
      <c r="T270" s="935"/>
      <c r="U270" s="599">
        <f>U269*$V$11</f>
        <v>4101.9733333333343</v>
      </c>
      <c r="V270" s="599">
        <f>V269*$V$11</f>
        <v>332119.99999999994</v>
      </c>
      <c r="W270" s="599">
        <f>W269*$V$11</f>
        <v>288799.99999999994</v>
      </c>
      <c r="X270" s="599">
        <f>X269*$V$11</f>
        <v>237228.57142857136</v>
      </c>
      <c r="Y270" s="361"/>
      <c r="Z270" s="364"/>
      <c r="AA270"/>
      <c r="AB270"/>
      <c r="AC270"/>
      <c r="AD270"/>
      <c r="AE270"/>
      <c r="AF270"/>
    </row>
    <row r="271" spans="17:32" ht="12.75" customHeight="1">
      <c r="Q271" s="364"/>
      <c r="R271" s="946"/>
      <c r="S271" s="935" t="s">
        <v>308</v>
      </c>
      <c r="T271" s="935"/>
      <c r="U271" s="599">
        <f>U270*9</f>
        <v>36917.760000000009</v>
      </c>
      <c r="V271" s="599">
        <f>V270*9</f>
        <v>2989079.9999999995</v>
      </c>
      <c r="W271" s="599">
        <f>W270*9</f>
        <v>2599199.9999999995</v>
      </c>
      <c r="X271" s="599">
        <f>X270*9</f>
        <v>2135057.1428571423</v>
      </c>
      <c r="Y271" s="361"/>
      <c r="Z271" s="364"/>
      <c r="AA271"/>
      <c r="AB271"/>
      <c r="AC271"/>
      <c r="AD271"/>
      <c r="AE271"/>
      <c r="AF271"/>
    </row>
    <row r="272" spans="17:32" ht="12.75" customHeight="1">
      <c r="Q272" s="597"/>
      <c r="R272" s="937"/>
      <c r="S272" s="937"/>
      <c r="T272" s="937"/>
      <c r="U272" s="937"/>
      <c r="V272" s="937"/>
      <c r="W272" s="937"/>
      <c r="X272" s="937"/>
      <c r="Y272" s="364"/>
      <c r="Z272" s="364"/>
      <c r="AA272"/>
      <c r="AB272"/>
      <c r="AC272"/>
      <c r="AD272"/>
      <c r="AE272"/>
      <c r="AF272"/>
    </row>
    <row r="273" spans="17:32" ht="12.75" customHeight="1">
      <c r="Q273" s="597"/>
      <c r="R273" s="935" t="s">
        <v>675</v>
      </c>
      <c r="S273" s="935"/>
      <c r="T273" s="935"/>
      <c r="U273" s="930" t="s">
        <v>500</v>
      </c>
      <c r="V273" s="928" t="s">
        <v>22</v>
      </c>
      <c r="W273" s="929" t="s">
        <v>579</v>
      </c>
      <c r="X273" s="927" t="s">
        <v>21</v>
      </c>
      <c r="Y273" s="361"/>
      <c r="Z273" s="364"/>
      <c r="AA273"/>
      <c r="AB273"/>
      <c r="AC273"/>
      <c r="AD273"/>
      <c r="AE273"/>
      <c r="AF273"/>
    </row>
    <row r="274" spans="17:32" ht="12.75" customHeight="1">
      <c r="Q274" s="597"/>
      <c r="R274" s="937" t="s">
        <v>321</v>
      </c>
      <c r="S274" s="937"/>
      <c r="T274" s="937"/>
      <c r="U274" s="930"/>
      <c r="V274" s="928"/>
      <c r="W274" s="929"/>
      <c r="X274" s="927"/>
      <c r="Y274" s="361"/>
      <c r="Z274" s="364"/>
      <c r="AA274"/>
      <c r="AB274"/>
      <c r="AC274"/>
      <c r="AD274"/>
      <c r="AE274"/>
      <c r="AF274"/>
    </row>
    <row r="275" spans="17:32" ht="12.75" customHeight="1">
      <c r="Q275" s="364"/>
      <c r="R275" s="937"/>
      <c r="S275" s="935" t="s">
        <v>306</v>
      </c>
      <c r="T275" s="935"/>
      <c r="U275" s="599">
        <f>U164*$W$265</f>
        <v>309.76000000000005</v>
      </c>
      <c r="V275" s="599">
        <f>V164*$W$265</f>
        <v>25079.999999999996</v>
      </c>
      <c r="W275" s="599">
        <f>W164*$W$265</f>
        <v>21808.695652173912</v>
      </c>
      <c r="X275" s="599">
        <f>X164*$W$265</f>
        <v>17914.28571428571</v>
      </c>
      <c r="Y275" s="361"/>
      <c r="Z275" s="364"/>
      <c r="AA275"/>
      <c r="AB275"/>
      <c r="AC275"/>
      <c r="AD275"/>
      <c r="AE275"/>
      <c r="AF275"/>
    </row>
    <row r="276" spans="17:32" ht="12.75" customHeight="1">
      <c r="Q276" s="597"/>
      <c r="R276" s="937"/>
      <c r="S276" s="935" t="s">
        <v>307</v>
      </c>
      <c r="T276" s="935"/>
      <c r="U276" s="599">
        <f>U275*$V$11</f>
        <v>7124.4800000000014</v>
      </c>
      <c r="V276" s="599">
        <f>V275*$V$11</f>
        <v>576839.99999999988</v>
      </c>
      <c r="W276" s="599">
        <f>W275*$V$11</f>
        <v>501600</v>
      </c>
      <c r="X276" s="599">
        <f>X275*$V$11</f>
        <v>412028.57142857136</v>
      </c>
      <c r="Y276" s="361"/>
      <c r="Z276" s="364"/>
      <c r="AA276"/>
      <c r="AB276"/>
      <c r="AC276"/>
      <c r="AD276"/>
      <c r="AE276"/>
      <c r="AF276"/>
    </row>
    <row r="277" spans="17:32" ht="12.75" customHeight="1">
      <c r="Q277" s="364"/>
      <c r="R277" s="937"/>
      <c r="S277" s="935" t="s">
        <v>308</v>
      </c>
      <c r="T277" s="935"/>
      <c r="U277" s="599">
        <f>U276*3</f>
        <v>21373.440000000002</v>
      </c>
      <c r="V277" s="599">
        <f>V276*3</f>
        <v>1730519.9999999995</v>
      </c>
      <c r="W277" s="599">
        <f>W276*3</f>
        <v>1504800</v>
      </c>
      <c r="X277" s="599">
        <f>X276*3</f>
        <v>1236085.7142857141</v>
      </c>
      <c r="Y277" s="361"/>
      <c r="Z277" s="364"/>
      <c r="AA277"/>
      <c r="AB277"/>
      <c r="AC277"/>
      <c r="AD277"/>
      <c r="AE277"/>
      <c r="AF277"/>
    </row>
    <row r="278" spans="17:32" ht="12.75" customHeight="1">
      <c r="Q278" s="364"/>
      <c r="R278" s="937"/>
      <c r="S278" s="937"/>
      <c r="T278" s="937"/>
      <c r="U278" s="937"/>
      <c r="V278" s="937"/>
      <c r="W278" s="937"/>
      <c r="X278" s="937"/>
      <c r="Y278" s="364"/>
      <c r="Z278" s="364"/>
      <c r="AA278"/>
      <c r="AB278"/>
      <c r="AC278"/>
      <c r="AD278"/>
      <c r="AE278"/>
      <c r="AF278"/>
    </row>
    <row r="279" spans="17:32" ht="12.75" customHeight="1">
      <c r="Q279" s="364"/>
      <c r="R279" s="935" t="s">
        <v>675</v>
      </c>
      <c r="S279" s="935"/>
      <c r="T279" s="935"/>
      <c r="U279" s="930" t="s">
        <v>500</v>
      </c>
      <c r="V279" s="928" t="s">
        <v>22</v>
      </c>
      <c r="W279" s="929" t="s">
        <v>579</v>
      </c>
      <c r="X279" s="927" t="s">
        <v>21</v>
      </c>
      <c r="Y279" s="361"/>
      <c r="Z279" s="364"/>
      <c r="AA279"/>
      <c r="AB279"/>
      <c r="AC279"/>
      <c r="AD279"/>
      <c r="AE279"/>
      <c r="AF279"/>
    </row>
    <row r="280" spans="17:32" ht="12.75" customHeight="1">
      <c r="Q280" s="364"/>
      <c r="R280" s="937" t="s">
        <v>322</v>
      </c>
      <c r="S280" s="937"/>
      <c r="T280" s="937"/>
      <c r="U280" s="930"/>
      <c r="V280" s="928"/>
      <c r="W280" s="929"/>
      <c r="X280" s="927"/>
      <c r="Y280" s="361"/>
      <c r="Z280" s="364"/>
      <c r="AA280"/>
      <c r="AB280"/>
      <c r="AC280"/>
      <c r="AD280"/>
      <c r="AE280"/>
      <c r="AF280"/>
    </row>
    <row r="281" spans="17:32" ht="12.75" customHeight="1">
      <c r="Q281" s="364"/>
      <c r="R281" s="937"/>
      <c r="S281" s="935" t="s">
        <v>306</v>
      </c>
      <c r="T281" s="935"/>
      <c r="U281" s="599">
        <f>U282/$V$11</f>
        <v>211.20000000000005</v>
      </c>
      <c r="V281" s="599">
        <f>V282/$V$11</f>
        <v>17099.999999999996</v>
      </c>
      <c r="W281" s="599">
        <f>W282/$V$11</f>
        <v>14869.565217391302</v>
      </c>
      <c r="X281" s="599">
        <f>X282/$V$11</f>
        <v>12214.285714285712</v>
      </c>
      <c r="Y281" s="361"/>
      <c r="Z281" s="364"/>
      <c r="AA281"/>
      <c r="AB281"/>
      <c r="AC281"/>
      <c r="AD281"/>
      <c r="AE281"/>
      <c r="AF281"/>
    </row>
    <row r="282" spans="17:32" ht="12.75" customHeight="1">
      <c r="Q282" s="364"/>
      <c r="R282" s="937"/>
      <c r="S282" s="935" t="s">
        <v>307</v>
      </c>
      <c r="T282" s="935"/>
      <c r="U282" s="599">
        <f>U283/12</f>
        <v>4857.6000000000013</v>
      </c>
      <c r="V282" s="599">
        <f>V283/12</f>
        <v>393299.99999999994</v>
      </c>
      <c r="W282" s="599">
        <f>W283/12</f>
        <v>341999.99999999994</v>
      </c>
      <c r="X282" s="599">
        <f>X283/12</f>
        <v>280928.57142857136</v>
      </c>
      <c r="Y282" s="361"/>
      <c r="Z282" s="364"/>
      <c r="AA282"/>
      <c r="AB282"/>
      <c r="AC282"/>
      <c r="AD282"/>
      <c r="AE282"/>
      <c r="AF282"/>
    </row>
    <row r="283" spans="17:32" ht="12.75" customHeight="1">
      <c r="Q283" s="364"/>
      <c r="R283" s="937"/>
      <c r="S283" s="935" t="s">
        <v>308</v>
      </c>
      <c r="T283" s="935"/>
      <c r="U283" s="599">
        <f>U271+U277</f>
        <v>58291.200000000012</v>
      </c>
      <c r="V283" s="599">
        <f>V271+V277</f>
        <v>4719599.9999999991</v>
      </c>
      <c r="W283" s="599">
        <f>W271+W277</f>
        <v>4103999.9999999995</v>
      </c>
      <c r="X283" s="599">
        <f>X271+X277</f>
        <v>3371142.8571428563</v>
      </c>
      <c r="Y283" s="361"/>
      <c r="Z283" s="364"/>
      <c r="AA283"/>
      <c r="AB283"/>
      <c r="AC283"/>
      <c r="AD283"/>
      <c r="AE283"/>
      <c r="AF283"/>
    </row>
    <row r="284" spans="17:32" ht="12.75" customHeight="1">
      <c r="Q284" s="364"/>
      <c r="R284" s="363"/>
      <c r="S284" s="363"/>
      <c r="T284" s="577"/>
      <c r="U284" s="577"/>
      <c r="V284" s="596"/>
      <c r="W284" s="363"/>
      <c r="X284" s="363"/>
      <c r="Y284" s="363"/>
      <c r="Z284" s="363"/>
      <c r="AA284"/>
      <c r="AB284"/>
      <c r="AC284"/>
      <c r="AD284"/>
      <c r="AE284"/>
      <c r="AF284"/>
    </row>
    <row r="285" spans="17:32" ht="12.75" customHeight="1">
      <c r="Q285" s="668" t="s">
        <v>756</v>
      </c>
      <c r="R285" s="363" t="s">
        <v>758</v>
      </c>
      <c r="S285" s="363"/>
      <c r="T285" s="577"/>
      <c r="U285" s="577"/>
      <c r="V285" s="596"/>
      <c r="W285" s="363"/>
      <c r="X285" s="363"/>
      <c r="Y285" s="363"/>
      <c r="Z285" s="363"/>
      <c r="AA285"/>
      <c r="AB285"/>
      <c r="AC285"/>
      <c r="AD285"/>
      <c r="AE285"/>
      <c r="AF285"/>
    </row>
    <row r="286" spans="17:32" ht="12.75" customHeight="1">
      <c r="Q286" s="364"/>
      <c r="R286" s="935" t="s">
        <v>678</v>
      </c>
      <c r="S286" s="935"/>
      <c r="T286" s="935"/>
      <c r="U286" s="935"/>
      <c r="V286" s="936" t="s">
        <v>500</v>
      </c>
      <c r="W286" s="936" t="s">
        <v>22</v>
      </c>
      <c r="X286" s="936" t="s">
        <v>579</v>
      </c>
      <c r="Y286" s="936" t="s">
        <v>21</v>
      </c>
      <c r="Z286" s="361"/>
      <c r="AA286"/>
      <c r="AB286"/>
      <c r="AC286"/>
      <c r="AD286"/>
      <c r="AE286"/>
      <c r="AF286"/>
    </row>
    <row r="287" spans="17:32" ht="12.75" customHeight="1">
      <c r="Q287" s="364"/>
      <c r="R287" s="935"/>
      <c r="S287" s="935"/>
      <c r="T287" s="935"/>
      <c r="U287" s="935"/>
      <c r="V287" s="936"/>
      <c r="W287" s="936"/>
      <c r="X287" s="936"/>
      <c r="Y287" s="936"/>
      <c r="Z287" s="361"/>
      <c r="AA287"/>
      <c r="AB287"/>
      <c r="AC287"/>
      <c r="AD287"/>
      <c r="AE287"/>
      <c r="AF287"/>
    </row>
    <row r="288" spans="17:32" ht="12.75" customHeight="1">
      <c r="Q288" s="364"/>
      <c r="R288" s="931" t="s">
        <v>35</v>
      </c>
      <c r="S288" s="931"/>
      <c r="T288" s="931"/>
      <c r="U288" s="931"/>
      <c r="V288" s="599">
        <f>AVERAGE(U196:W196)*5%</f>
        <v>1305585.0000000005</v>
      </c>
      <c r="W288" s="599">
        <f>V202*5%</f>
        <v>1533870.0000000005</v>
      </c>
      <c r="X288" s="599">
        <f>W202*5%</f>
        <v>1518480.0000000005</v>
      </c>
      <c r="Y288" s="599">
        <f>X202*5%</f>
        <v>1500158.5714285718</v>
      </c>
      <c r="Z288" s="361"/>
      <c r="AA288"/>
      <c r="AB288"/>
      <c r="AC288"/>
      <c r="AD288"/>
      <c r="AE288"/>
      <c r="AF288"/>
    </row>
    <row r="289" spans="17:32" ht="12.75" customHeight="1">
      <c r="Q289" s="364"/>
      <c r="R289" s="931" t="s">
        <v>481</v>
      </c>
      <c r="S289" s="931"/>
      <c r="T289" s="931"/>
      <c r="U289" s="931"/>
      <c r="V289" s="600" t="s">
        <v>479</v>
      </c>
      <c r="W289" s="599">
        <f>Y289</f>
        <v>1059840</v>
      </c>
      <c r="X289" s="600" t="s">
        <v>479</v>
      </c>
      <c r="Y289" s="599">
        <f>Consumables!E23*12</f>
        <v>1059840</v>
      </c>
      <c r="Z289" s="361"/>
      <c r="AA289"/>
      <c r="AB289"/>
      <c r="AC289"/>
      <c r="AD289"/>
      <c r="AE289"/>
      <c r="AF289"/>
    </row>
    <row r="290" spans="17:32" ht="12.75" customHeight="1">
      <c r="Q290" s="364"/>
      <c r="R290" s="931" t="s">
        <v>311</v>
      </c>
      <c r="S290" s="931"/>
      <c r="T290" s="931"/>
      <c r="U290" s="931"/>
      <c r="V290" s="600" t="s">
        <v>557</v>
      </c>
      <c r="W290" s="599">
        <f>Y290</f>
        <v>416000</v>
      </c>
      <c r="X290" s="599">
        <f>W290</f>
        <v>416000</v>
      </c>
      <c r="Y290" s="599">
        <f>Consumables!E21*12</f>
        <v>416000</v>
      </c>
      <c r="Z290" s="361"/>
      <c r="AA290"/>
      <c r="AB290"/>
      <c r="AC290"/>
      <c r="AD290"/>
      <c r="AE290"/>
      <c r="AF290"/>
    </row>
    <row r="291" spans="17:32" ht="12.75" customHeight="1">
      <c r="Q291" s="364"/>
      <c r="R291" s="931" t="s">
        <v>480</v>
      </c>
      <c r="S291" s="931"/>
      <c r="T291" s="931"/>
      <c r="U291" s="931"/>
      <c r="V291" s="599">
        <f>Consumables!H21*12</f>
        <v>3865001.2800000003</v>
      </c>
      <c r="W291" s="599">
        <v>0</v>
      </c>
      <c r="X291" s="599">
        <v>0</v>
      </c>
      <c r="Y291" s="599">
        <v>0</v>
      </c>
      <c r="Z291" s="361"/>
      <c r="AA291"/>
      <c r="AB291"/>
      <c r="AC291"/>
      <c r="AD291"/>
      <c r="AE291"/>
      <c r="AF291"/>
    </row>
    <row r="292" spans="17:32" ht="12.75" customHeight="1">
      <c r="Q292" s="364"/>
      <c r="R292" s="931" t="s">
        <v>312</v>
      </c>
      <c r="S292" s="931"/>
      <c r="T292" s="931"/>
      <c r="U292" s="931"/>
      <c r="V292" s="599">
        <f>Consumables!H20*12</f>
        <v>2691993.6000000001</v>
      </c>
      <c r="W292" s="599">
        <f>Y292</f>
        <v>2331648.0000000005</v>
      </c>
      <c r="X292" s="599">
        <f>W292</f>
        <v>2331648.0000000005</v>
      </c>
      <c r="Y292" s="599">
        <f>Consumables!E20*12</f>
        <v>2331648.0000000005</v>
      </c>
      <c r="Z292" s="361"/>
      <c r="AA292"/>
      <c r="AB292"/>
      <c r="AC292"/>
      <c r="AD292"/>
      <c r="AE292"/>
      <c r="AF292"/>
    </row>
    <row r="293" spans="17:32" ht="12.75" customHeight="1">
      <c r="Q293" s="364"/>
      <c r="R293" s="931" t="s">
        <v>313</v>
      </c>
      <c r="S293" s="931"/>
      <c r="T293" s="931"/>
      <c r="U293" s="931"/>
      <c r="V293" s="599">
        <f>Consumables!H19*12</f>
        <v>1674547.2000000002</v>
      </c>
      <c r="W293" s="599">
        <f>Y293</f>
        <v>1398988.8</v>
      </c>
      <c r="X293" s="599">
        <f>W293</f>
        <v>1398988.8</v>
      </c>
      <c r="Y293" s="599">
        <f>Consumables!E19*12</f>
        <v>1398988.8</v>
      </c>
      <c r="Z293" s="361"/>
      <c r="AA293"/>
      <c r="AB293"/>
      <c r="AC293"/>
      <c r="AD293"/>
      <c r="AE293"/>
      <c r="AF293"/>
    </row>
    <row r="294" spans="17:32" ht="12.75" customHeight="1">
      <c r="Q294" s="364"/>
      <c r="R294" s="931" t="s">
        <v>190</v>
      </c>
      <c r="S294" s="931"/>
      <c r="T294" s="931"/>
      <c r="U294" s="931"/>
      <c r="V294" s="599">
        <f>Consumables!H22*12</f>
        <v>8294400</v>
      </c>
      <c r="W294" s="599">
        <v>0</v>
      </c>
      <c r="X294" s="599">
        <v>0</v>
      </c>
      <c r="Y294" s="599">
        <v>0</v>
      </c>
      <c r="Z294" s="361"/>
      <c r="AA294"/>
      <c r="AB294"/>
      <c r="AC294"/>
      <c r="AD294"/>
      <c r="AE294"/>
      <c r="AF294"/>
    </row>
    <row r="295" spans="17:32" ht="12.75" customHeight="1">
      <c r="Q295" s="364"/>
      <c r="R295" s="931" t="s">
        <v>482</v>
      </c>
      <c r="S295" s="931"/>
      <c r="T295" s="931"/>
      <c r="U295" s="931"/>
      <c r="V295" s="599">
        <v>0</v>
      </c>
      <c r="W295" s="599">
        <f>Y295</f>
        <v>199600.00000000003</v>
      </c>
      <c r="X295" s="599">
        <f>W295</f>
        <v>199600.00000000003</v>
      </c>
      <c r="Y295" s="599">
        <f>Consumables!E25*12</f>
        <v>199600.00000000003</v>
      </c>
      <c r="Z295" s="361"/>
      <c r="AA295"/>
      <c r="AB295"/>
      <c r="AC295"/>
      <c r="AD295"/>
      <c r="AE295"/>
      <c r="AF295"/>
    </row>
    <row r="296" spans="17:32" ht="12.75" customHeight="1">
      <c r="Q296" s="364"/>
      <c r="R296" s="931" t="s">
        <v>483</v>
      </c>
      <c r="S296" s="931"/>
      <c r="T296" s="931"/>
      <c r="U296" s="931"/>
      <c r="V296" s="599">
        <v>0</v>
      </c>
      <c r="W296" s="599">
        <f>Y296</f>
        <v>40600</v>
      </c>
      <c r="X296" s="599">
        <f>W296</f>
        <v>40600</v>
      </c>
      <c r="Y296" s="599">
        <f>Consumables!E24*12</f>
        <v>40600</v>
      </c>
      <c r="Z296" s="361"/>
      <c r="AA296"/>
      <c r="AB296"/>
      <c r="AC296"/>
      <c r="AD296"/>
      <c r="AE296"/>
      <c r="AF296"/>
    </row>
    <row r="297" spans="17:32" ht="12.75" customHeight="1">
      <c r="Q297" s="364"/>
      <c r="R297" s="931" t="s">
        <v>478</v>
      </c>
      <c r="S297" s="931"/>
      <c r="T297" s="931"/>
      <c r="U297" s="931"/>
      <c r="V297" s="599">
        <f>U283</f>
        <v>58291.200000000012</v>
      </c>
      <c r="W297" s="599">
        <f>V283</f>
        <v>4719599.9999999991</v>
      </c>
      <c r="X297" s="599">
        <f>W283</f>
        <v>4103999.9999999995</v>
      </c>
      <c r="Y297" s="599">
        <f>X283</f>
        <v>3371142.8571428563</v>
      </c>
      <c r="Z297" s="361"/>
      <c r="AA297"/>
      <c r="AB297"/>
      <c r="AC297"/>
      <c r="AD297"/>
      <c r="AE297"/>
      <c r="AF297"/>
    </row>
    <row r="298" spans="17:32" ht="12.75" customHeight="1">
      <c r="Q298" s="364"/>
      <c r="R298" s="931" t="s">
        <v>484</v>
      </c>
      <c r="S298" s="931"/>
      <c r="T298" s="931"/>
      <c r="U298" s="931"/>
      <c r="V298" s="599">
        <f>'NIHL Compenation Cost'!AD21</f>
        <v>1715167.5</v>
      </c>
      <c r="W298" s="599">
        <f>'NIHL Compenation Cost'!Z21</f>
        <v>989115.00000000012</v>
      </c>
      <c r="X298" s="599">
        <f>'NIHL Compenation Cost'!AB21</f>
        <v>1087325</v>
      </c>
      <c r="Y298" s="599">
        <f>'NIHL Compenation Cost'!X21</f>
        <v>596275</v>
      </c>
      <c r="Z298" s="361"/>
      <c r="AA298"/>
      <c r="AB298"/>
      <c r="AC298"/>
      <c r="AD298"/>
      <c r="AE298"/>
      <c r="AF298"/>
    </row>
    <row r="299" spans="17:32" ht="12.75" customHeight="1">
      <c r="Q299" s="364"/>
      <c r="R299" s="932" t="s">
        <v>677</v>
      </c>
      <c r="S299" s="932"/>
      <c r="T299" s="932"/>
      <c r="U299" s="932"/>
      <c r="V299" s="599">
        <f>SUM(V288:V298)</f>
        <v>19604985.780000001</v>
      </c>
      <c r="W299" s="599">
        <f>SUM(W288:W298)</f>
        <v>12689261.800000001</v>
      </c>
      <c r="X299" s="599">
        <f>SUM(X288:X298)</f>
        <v>11096641.800000001</v>
      </c>
      <c r="Y299" s="599">
        <f>SUM(Y288:Y298)</f>
        <v>10914253.22857143</v>
      </c>
      <c r="Z299" s="361"/>
      <c r="AA299"/>
      <c r="AB299"/>
      <c r="AC299"/>
      <c r="AD299"/>
      <c r="AE299"/>
      <c r="AF299"/>
    </row>
    <row r="300" spans="17:32" ht="12.75" customHeight="1">
      <c r="Q300" s="364"/>
      <c r="R300" s="591"/>
      <c r="S300" s="591"/>
      <c r="T300" s="591"/>
      <c r="U300" s="591"/>
      <c r="V300" s="718"/>
      <c r="W300" s="718"/>
      <c r="X300" s="718"/>
      <c r="Y300" s="718"/>
      <c r="Z300" s="361"/>
      <c r="AA300"/>
      <c r="AB300"/>
      <c r="AC300"/>
      <c r="AD300"/>
      <c r="AE300"/>
      <c r="AF300"/>
    </row>
    <row r="301" spans="17:32" ht="12.75" customHeight="1">
      <c r="Q301" s="364"/>
      <c r="R301" s="591"/>
      <c r="S301" s="591"/>
      <c r="T301" s="933" t="s">
        <v>812</v>
      </c>
      <c r="U301" s="933"/>
      <c r="V301" s="718">
        <f>V299-V294</f>
        <v>11310585.780000001</v>
      </c>
      <c r="W301" s="718">
        <f>W299-W294</f>
        <v>12689261.800000001</v>
      </c>
      <c r="X301" s="718">
        <f>X299-X294</f>
        <v>11096641.800000001</v>
      </c>
      <c r="Y301" s="718">
        <f>Y299-Y294</f>
        <v>10914253.22857143</v>
      </c>
      <c r="Z301" s="361"/>
      <c r="AA301"/>
      <c r="AB301"/>
      <c r="AC301"/>
      <c r="AD301"/>
      <c r="AE301"/>
      <c r="AF301"/>
    </row>
    <row r="302" spans="17:32" ht="12.75" customHeight="1">
      <c r="Q302" s="364"/>
      <c r="R302" s="364"/>
      <c r="S302" s="364"/>
      <c r="T302" s="934" t="s">
        <v>350</v>
      </c>
      <c r="U302" s="934"/>
      <c r="V302" s="682">
        <f>V294</f>
        <v>8294400</v>
      </c>
      <c r="W302" s="682"/>
      <c r="X302" s="682"/>
      <c r="Y302" s="682"/>
      <c r="Z302" s="364"/>
      <c r="AA302"/>
      <c r="AB302"/>
      <c r="AC302"/>
      <c r="AD302"/>
      <c r="AE302"/>
      <c r="AF302"/>
    </row>
    <row r="303" spans="17:32" ht="12.75" customHeight="1">
      <c r="Q303" s="364">
        <v>10.3</v>
      </c>
      <c r="R303" s="363"/>
      <c r="S303" s="364"/>
      <c r="T303" s="364"/>
      <c r="U303" s="364"/>
      <c r="V303" s="682"/>
      <c r="W303" s="364"/>
      <c r="X303" s="362"/>
      <c r="Y303" s="682"/>
      <c r="Z303" s="364"/>
      <c r="AA303"/>
      <c r="AB303"/>
      <c r="AC303"/>
      <c r="AD303"/>
      <c r="AE303"/>
      <c r="AF303"/>
    </row>
    <row r="304" spans="17:32" ht="12.75" customHeight="1">
      <c r="Q304" s="364"/>
      <c r="R304" s="364"/>
      <c r="S304" s="364"/>
      <c r="T304" s="364"/>
      <c r="U304" s="364"/>
      <c r="V304" s="364"/>
      <c r="W304" s="364"/>
      <c r="X304" s="364"/>
      <c r="Y304" s="364"/>
      <c r="Z304" s="364"/>
      <c r="AA304"/>
      <c r="AB304"/>
      <c r="AC304"/>
      <c r="AD304"/>
      <c r="AE304"/>
      <c r="AF304"/>
    </row>
    <row r="305" spans="17:32" ht="12.75" customHeight="1">
      <c r="Q305" s="364"/>
      <c r="R305" s="935" t="s">
        <v>195</v>
      </c>
      <c r="S305" s="935"/>
      <c r="T305" s="935"/>
      <c r="U305" s="935"/>
      <c r="V305" s="935"/>
      <c r="W305" s="375"/>
      <c r="X305" s="683"/>
      <c r="Y305" s="375"/>
      <c r="Z305" s="375"/>
      <c r="AA305"/>
      <c r="AB305"/>
      <c r="AC305"/>
      <c r="AD305"/>
      <c r="AE305"/>
      <c r="AF305"/>
    </row>
    <row r="306" spans="17:32" ht="12.75" customHeight="1">
      <c r="Q306" s="364"/>
      <c r="R306" s="926" t="s">
        <v>509</v>
      </c>
      <c r="S306" s="927" t="s">
        <v>21</v>
      </c>
      <c r="T306" s="928" t="s">
        <v>22</v>
      </c>
      <c r="U306" s="929" t="s">
        <v>579</v>
      </c>
      <c r="V306" s="930" t="s">
        <v>500</v>
      </c>
      <c r="W306" s="363"/>
      <c r="X306" s="684"/>
      <c r="Y306" s="363"/>
      <c r="Z306" s="364"/>
      <c r="AA306"/>
      <c r="AB306"/>
      <c r="AC306"/>
      <c r="AD306"/>
      <c r="AE306"/>
      <c r="AF306"/>
    </row>
    <row r="307" spans="17:32" ht="12.75" customHeight="1">
      <c r="Q307" s="364"/>
      <c r="R307" s="926"/>
      <c r="S307" s="927"/>
      <c r="T307" s="928"/>
      <c r="U307" s="929"/>
      <c r="V307" s="930"/>
      <c r="W307" s="363"/>
      <c r="X307" s="684"/>
      <c r="Y307" s="363"/>
      <c r="Z307" s="364"/>
      <c r="AA307"/>
      <c r="AB307"/>
      <c r="AC307"/>
      <c r="AD307"/>
      <c r="AE307"/>
      <c r="AF307"/>
    </row>
    <row r="308" spans="17:32" ht="12.75" customHeight="1">
      <c r="Q308" s="364"/>
      <c r="R308" s="667" t="s">
        <v>204</v>
      </c>
      <c r="S308" s="667" t="s">
        <v>846</v>
      </c>
      <c r="T308" s="667" t="s">
        <v>846</v>
      </c>
      <c r="U308" s="667" t="s">
        <v>846</v>
      </c>
      <c r="V308" s="667" t="s">
        <v>846</v>
      </c>
      <c r="W308" s="363"/>
      <c r="X308" s="363"/>
      <c r="Y308" s="363"/>
      <c r="Z308" s="364"/>
      <c r="AA308"/>
      <c r="AB308"/>
      <c r="AC308"/>
      <c r="AD308"/>
      <c r="AE308"/>
      <c r="AF308"/>
    </row>
    <row r="309" spans="17:32" ht="12.75" customHeight="1">
      <c r="Q309" s="364"/>
      <c r="R309" s="600">
        <v>1</v>
      </c>
      <c r="S309" s="369">
        <f>$X$69</f>
        <v>116</v>
      </c>
      <c r="T309" s="584">
        <f>$V$69</f>
        <v>108</v>
      </c>
      <c r="U309" s="685">
        <f>$W$69</f>
        <v>109</v>
      </c>
      <c r="V309" s="369">
        <f>$U$69</f>
        <v>102</v>
      </c>
      <c r="W309" s="363"/>
      <c r="X309" s="363"/>
      <c r="Y309" s="363"/>
      <c r="Z309" s="364"/>
      <c r="AA309"/>
      <c r="AB309"/>
      <c r="AC309"/>
      <c r="AD309"/>
      <c r="AE309"/>
      <c r="AF309"/>
    </row>
    <row r="310" spans="17:32" ht="12.75" customHeight="1">
      <c r="Q310" s="364"/>
      <c r="R310" s="600">
        <v>2</v>
      </c>
      <c r="S310" s="584">
        <f>(LOG((10^(S309/10))+(10^(S309/10))))*10</f>
        <v>119.01029995663983</v>
      </c>
      <c r="T310" s="584">
        <f>(LOG((10^(T309/10))+(10^(T309/10))))*10</f>
        <v>111.01029995663981</v>
      </c>
      <c r="U310" s="584">
        <f>(LOG((10^(U309/10))+(10^(U309/10))))*10</f>
        <v>112.01029995663981</v>
      </c>
      <c r="V310" s="584">
        <f>(LOG((10^(V309/10))+(10^(V309/10))))*10</f>
        <v>105.01029995663983</v>
      </c>
      <c r="W310" s="363"/>
      <c r="X310" s="363"/>
      <c r="Y310" s="363"/>
      <c r="Z310" s="364"/>
      <c r="AA310"/>
      <c r="AB310"/>
      <c r="AC310"/>
      <c r="AD310"/>
      <c r="AE310"/>
      <c r="AF310"/>
    </row>
    <row r="311" spans="17:32" ht="12.75" customHeight="1">
      <c r="Q311" s="597"/>
      <c r="R311" s="600">
        <v>3</v>
      </c>
      <c r="S311" s="584">
        <f>(LOG((10^(S309/10))+(10^(S309/10))+(10^(S309/10)))*10)</f>
        <v>120.77121254719664</v>
      </c>
      <c r="T311" s="584">
        <f>(LOG((10^(T309/10))+(10^(T309/10))+(10^(T309/10)))*10)</f>
        <v>112.77121254719663</v>
      </c>
      <c r="U311" s="584">
        <f>(LOG((10^(U309/10))+(10^(U309/10))+(10^(U309/10)))*10)</f>
        <v>113.77121254719663</v>
      </c>
      <c r="V311" s="584">
        <f>(LOG((10^(V309/10))+(10^(V309/10))+(10^(V309/10)))*10)</f>
        <v>106.77121254719664</v>
      </c>
      <c r="W311" s="363"/>
      <c r="X311" s="363"/>
      <c r="Y311" s="363"/>
      <c r="Z311" s="364"/>
      <c r="AA311"/>
      <c r="AB311"/>
      <c r="AC311"/>
      <c r="AD311"/>
      <c r="AE311"/>
      <c r="AF311"/>
    </row>
    <row r="312" spans="17:32" ht="12.75" customHeight="1">
      <c r="Q312" s="364"/>
      <c r="R312" s="600">
        <v>4</v>
      </c>
      <c r="S312" s="584">
        <f>(LOG((10^(S309/10))+(10^(S309/10))+(10^(S309/10))+(10^(S309/10))))*10</f>
        <v>122.02059991327964</v>
      </c>
      <c r="T312" s="584">
        <f>(LOG((10^(T309/10))+(10^(T309/10))+(10^(T309/10))+(10^(T309/10))))*10</f>
        <v>114.02059991327963</v>
      </c>
      <c r="U312" s="584">
        <f>(LOG((10^(U309/10))+(10^(U309/10))+(10^(U309/10))+(10^(U309/10))))*10</f>
        <v>115.02059991327963</v>
      </c>
      <c r="V312" s="584">
        <f>(LOG((10^(V309/10))+(10^(V309/10))+(10^(V309/10))+(10^(V309/10))))*10</f>
        <v>108.02059991327964</v>
      </c>
      <c r="W312" s="363"/>
      <c r="X312" s="363"/>
      <c r="Y312" s="363"/>
      <c r="Z312" s="364"/>
      <c r="AA312"/>
      <c r="AB312"/>
      <c r="AC312"/>
      <c r="AD312"/>
      <c r="AE312"/>
      <c r="AF312"/>
    </row>
    <row r="313" spans="17:32" ht="12.75" customHeight="1">
      <c r="Q313" s="364"/>
      <c r="R313" s="600">
        <v>5</v>
      </c>
      <c r="S313" s="584">
        <f>(LOG((10^(S309/10))+(10^(S309/10))+(10^(S309/10))+(10^(S309/10))+(10^(S309/10))))*10</f>
        <v>122.9897000433602</v>
      </c>
      <c r="T313" s="584">
        <f>(LOG((10^(T309/10))+(10^(T309/10))+(10^(T309/10))+(10^(T309/10))+(10^(T309/10))))*10</f>
        <v>114.98970004336019</v>
      </c>
      <c r="U313" s="584">
        <f>(LOG((10^(U309/10))+(10^(U309/10))+(10^(U309/10))+(10^(U309/10))+(10^(U309/10))))*10</f>
        <v>115.98970004336019</v>
      </c>
      <c r="V313" s="584">
        <f>(LOG((10^(V309/10))+(10^(V309/10))+(10^(V309/10))+(10^(V309/10))+(10^(V309/10))))*10</f>
        <v>108.9897000433602</v>
      </c>
      <c r="W313" s="363"/>
      <c r="X313" s="363"/>
      <c r="Y313" s="363"/>
      <c r="Z313" s="364"/>
      <c r="AA313"/>
      <c r="AB313"/>
      <c r="AC313"/>
      <c r="AD313"/>
      <c r="AE313"/>
      <c r="AF313"/>
    </row>
    <row r="314" spans="17:32" ht="12.75" customHeight="1">
      <c r="Q314" s="364"/>
      <c r="R314" s="600">
        <v>6</v>
      </c>
      <c r="S314" s="584">
        <f>(LOG((10^(S309/10))+(10^(S309/10))+(10^(S309/10))+(10^(S309/10))+(10^(S309/10))+(10^(S309/10)))*10)</f>
        <v>123.78151250383645</v>
      </c>
      <c r="T314" s="584">
        <f>(LOG((10^(T309/10))+(10^(T309/10))+(10^(T309/10))+(10^(T309/10))+(10^(T309/10))+(10^(T309/10)))*10)</f>
        <v>115.78151250383644</v>
      </c>
      <c r="U314" s="584">
        <f>(LOG((10^(U309/10))+(10^(U309/10))+(10^(U309/10))+(10^(U309/10))+(10^(U309/10))+(10^(U309/10)))*10)</f>
        <v>116.78151250383644</v>
      </c>
      <c r="V314" s="584">
        <f>(LOG((10^(V309/10))+(10^(V309/10))+(10^(V309/10))+(10^(V309/10))+(10^(V309/10))+(10^(V309/10)))*10)</f>
        <v>109.78151250383645</v>
      </c>
      <c r="W314" s="363"/>
      <c r="X314" s="363"/>
      <c r="Y314" s="363"/>
      <c r="Z314" s="364"/>
      <c r="AA314"/>
      <c r="AB314"/>
      <c r="AC314"/>
      <c r="AD314"/>
      <c r="AE314"/>
      <c r="AF314"/>
    </row>
    <row r="315" spans="17:32" ht="12.75" customHeight="1" thickBot="1">
      <c r="Q315" s="364"/>
      <c r="R315" s="364"/>
      <c r="S315" s="364"/>
      <c r="T315" s="364"/>
      <c r="U315" s="364"/>
      <c r="V315" s="364"/>
      <c r="W315" s="364"/>
      <c r="X315" s="364"/>
      <c r="Y315" s="364"/>
      <c r="Z315" s="364"/>
      <c r="AA315"/>
      <c r="AB315"/>
      <c r="AC315"/>
      <c r="AD315"/>
      <c r="AE315"/>
      <c r="AF315"/>
    </row>
    <row r="316" spans="17:32" ht="12.75" customHeight="1" thickTop="1">
      <c r="Q316" s="364"/>
      <c r="R316" s="916" t="s">
        <v>428</v>
      </c>
      <c r="S316" s="917"/>
      <c r="T316" s="917"/>
      <c r="U316" s="917"/>
      <c r="V316" s="917"/>
      <c r="W316" s="918"/>
      <c r="X316" s="364"/>
      <c r="Y316" s="364"/>
      <c r="Z316" s="364"/>
      <c r="AA316"/>
      <c r="AB316"/>
      <c r="AC316"/>
      <c r="AD316"/>
      <c r="AE316"/>
      <c r="AF316"/>
    </row>
    <row r="317" spans="17:32" ht="12.75" customHeight="1">
      <c r="Q317" s="364"/>
      <c r="R317" s="919"/>
      <c r="S317" s="920"/>
      <c r="T317" s="920"/>
      <c r="U317" s="920"/>
      <c r="V317" s="920"/>
      <c r="W317" s="921"/>
      <c r="X317" s="364"/>
      <c r="Y317" s="364"/>
      <c r="Z317" s="364"/>
      <c r="AA317"/>
      <c r="AB317"/>
      <c r="AC317"/>
      <c r="AD317"/>
      <c r="AE317"/>
      <c r="AF317"/>
    </row>
    <row r="318" spans="17:32" ht="12.75" customHeight="1" thickBot="1">
      <c r="Q318" s="364"/>
      <c r="R318" s="922"/>
      <c r="S318" s="923"/>
      <c r="T318" s="923"/>
      <c r="U318" s="923"/>
      <c r="V318" s="923"/>
      <c r="W318" s="924"/>
      <c r="X318" s="364"/>
      <c r="Y318" s="364"/>
      <c r="Z318" s="364"/>
      <c r="AA318"/>
      <c r="AB318"/>
      <c r="AC318"/>
      <c r="AD318"/>
      <c r="AE318"/>
      <c r="AF318"/>
    </row>
    <row r="319" spans="17:32" ht="12.75" customHeight="1" thickTop="1">
      <c r="Q319" s="364"/>
      <c r="R319" s="925" t="str">
        <f>S306</f>
        <v>Seco S215</v>
      </c>
      <c r="S319" s="925"/>
      <c r="T319" s="925"/>
      <c r="U319" s="925"/>
      <c r="V319" s="925"/>
      <c r="W319" s="925"/>
      <c r="X319" s="364"/>
      <c r="Y319" s="364"/>
      <c r="Z319" s="364"/>
      <c r="AA319"/>
      <c r="AB319"/>
      <c r="AC319"/>
      <c r="AD319"/>
      <c r="AE319"/>
      <c r="AF319"/>
    </row>
    <row r="320" spans="17:32" ht="12.75" customHeight="1" thickBot="1">
      <c r="Q320" s="364"/>
      <c r="R320" s="910" t="s">
        <v>205</v>
      </c>
      <c r="S320" s="911"/>
      <c r="T320" s="911"/>
      <c r="U320" s="911"/>
      <c r="V320" s="911"/>
      <c r="W320" s="912"/>
      <c r="X320" s="364"/>
      <c r="Y320" s="364"/>
      <c r="Z320" s="364"/>
      <c r="AA320"/>
      <c r="AB320"/>
      <c r="AC320"/>
      <c r="AD320"/>
      <c r="AE320"/>
      <c r="AF320"/>
    </row>
    <row r="321" spans="17:32" ht="12.75" customHeight="1" thickBot="1">
      <c r="Q321" s="364"/>
      <c r="R321" s="686" t="s">
        <v>59</v>
      </c>
      <c r="S321" s="577"/>
      <c r="T321" s="687"/>
      <c r="U321" s="687"/>
      <c r="V321" s="687"/>
      <c r="W321" s="688"/>
      <c r="X321" s="364"/>
      <c r="Y321" s="364"/>
      <c r="Z321" s="364"/>
      <c r="AA321"/>
      <c r="AB321"/>
      <c r="AC321"/>
      <c r="AD321"/>
      <c r="AE321"/>
      <c r="AF321"/>
    </row>
    <row r="322" spans="17:32" ht="12.75" customHeight="1">
      <c r="Q322" s="364"/>
      <c r="R322" s="895" t="s">
        <v>845</v>
      </c>
      <c r="S322" s="896"/>
      <c r="T322" s="900" t="s">
        <v>835</v>
      </c>
      <c r="U322" s="900" t="s">
        <v>836</v>
      </c>
      <c r="V322" s="900" t="s">
        <v>837</v>
      </c>
      <c r="W322" s="902" t="s">
        <v>838</v>
      </c>
      <c r="X322" s="364"/>
      <c r="Y322" s="364"/>
      <c r="Z322" s="364"/>
      <c r="AA322"/>
      <c r="AB322"/>
      <c r="AC322"/>
      <c r="AD322"/>
      <c r="AE322"/>
      <c r="AF322"/>
    </row>
    <row r="323" spans="17:32" ht="12.75" customHeight="1">
      <c r="Q323" s="364"/>
      <c r="R323" s="892"/>
      <c r="S323" s="897"/>
      <c r="T323" s="904"/>
      <c r="U323" s="904"/>
      <c r="V323" s="904"/>
      <c r="W323" s="905"/>
      <c r="X323" s="364"/>
      <c r="Y323" s="364"/>
      <c r="Z323" s="364"/>
      <c r="AA323"/>
      <c r="AB323"/>
      <c r="AC323"/>
      <c r="AD323"/>
      <c r="AE323"/>
      <c r="AF323"/>
    </row>
    <row r="324" spans="17:32" ht="12.75" customHeight="1">
      <c r="Q324" s="364"/>
      <c r="R324" s="892"/>
      <c r="S324" s="897"/>
      <c r="T324" s="901"/>
      <c r="U324" s="901"/>
      <c r="V324" s="901"/>
      <c r="W324" s="903"/>
      <c r="X324" s="364"/>
      <c r="Y324" s="364"/>
      <c r="Z324" s="364"/>
      <c r="AA324"/>
      <c r="AB324"/>
      <c r="AC324"/>
      <c r="AD324"/>
      <c r="AE324"/>
      <c r="AF324"/>
    </row>
    <row r="325" spans="17:32" ht="12.75" customHeight="1">
      <c r="Q325" s="364"/>
      <c r="R325" s="892"/>
      <c r="S325" s="897"/>
      <c r="T325" s="689">
        <f>X69</f>
        <v>116</v>
      </c>
      <c r="U325" s="560">
        <f>X62</f>
        <v>1.4285714285714284</v>
      </c>
      <c r="V325" s="690">
        <f>IF(T325&gt;0,W325*U325," ")</f>
        <v>22857.142857142855</v>
      </c>
      <c r="W325" s="691">
        <f>IF(T325&gt;0,(VLOOKUP(T325,'Lookup Ready-reckoner'!$B$5:$E$1207,4))," ")</f>
        <v>16000</v>
      </c>
      <c r="X325" s="364"/>
      <c r="Y325" s="364"/>
      <c r="Z325" s="364"/>
      <c r="AA325"/>
      <c r="AB325"/>
      <c r="AC325"/>
      <c r="AD325"/>
      <c r="AE325"/>
      <c r="AF325"/>
    </row>
    <row r="326" spans="17:32" ht="12.75" customHeight="1">
      <c r="Q326" s="364"/>
      <c r="R326" s="898"/>
      <c r="S326" s="899"/>
      <c r="T326" s="447"/>
      <c r="U326" s="560"/>
      <c r="V326" s="690" t="str">
        <f>IF(T326&gt;0,W326*U326," ")</f>
        <v xml:space="preserve"> </v>
      </c>
      <c r="W326" s="691" t="str">
        <f>IF(T326&gt;0,(VLOOKUP(T326,'Lookup Ready-reckoner'!$B$5:$E$1007,4))," ")</f>
        <v xml:space="preserve"> </v>
      </c>
      <c r="X326" s="364"/>
      <c r="Y326" s="364"/>
      <c r="Z326" s="364"/>
      <c r="AA326"/>
      <c r="AB326"/>
      <c r="AC326"/>
      <c r="AD326"/>
      <c r="AE326"/>
      <c r="AF326"/>
    </row>
    <row r="327" spans="17:32" ht="12.75" customHeight="1" thickBot="1">
      <c r="Q327" s="364"/>
      <c r="R327" s="692" t="s">
        <v>839</v>
      </c>
      <c r="S327" s="693"/>
      <c r="T327" s="693"/>
      <c r="U327" s="694">
        <f>IF(T325&gt;0,(VLOOKUP(V327,'Lookup Ready-reckoner'!$L$5:$M$1207,2))," ")</f>
        <v>108.5</v>
      </c>
      <c r="V327" s="695">
        <f>IF(U325&gt;0,(SUM(V325:V326))," ")</f>
        <v>22857.142857142855</v>
      </c>
      <c r="W327" s="696"/>
      <c r="X327" s="364"/>
      <c r="Y327" s="364"/>
      <c r="Z327" s="364"/>
      <c r="AA327"/>
      <c r="AB327"/>
      <c r="AC327"/>
      <c r="AD327"/>
      <c r="AE327"/>
      <c r="AF327"/>
    </row>
    <row r="328" spans="17:32" ht="12.75" customHeight="1" thickBot="1">
      <c r="Q328" s="364"/>
      <c r="R328" s="892"/>
      <c r="S328" s="893"/>
      <c r="T328" s="893"/>
      <c r="U328" s="893"/>
      <c r="V328" s="893"/>
      <c r="W328" s="894"/>
      <c r="X328" s="364"/>
      <c r="Y328" s="364"/>
      <c r="Z328" s="364"/>
      <c r="AA328"/>
      <c r="AB328"/>
      <c r="AC328"/>
      <c r="AD328"/>
      <c r="AE328"/>
      <c r="AF328"/>
    </row>
    <row r="329" spans="17:32" ht="12.75" customHeight="1">
      <c r="Q329" s="364"/>
      <c r="R329" s="895" t="s">
        <v>886</v>
      </c>
      <c r="S329" s="896"/>
      <c r="T329" s="900" t="s">
        <v>835</v>
      </c>
      <c r="U329" s="900" t="s">
        <v>836</v>
      </c>
      <c r="V329" s="900" t="s">
        <v>837</v>
      </c>
      <c r="W329" s="902" t="s">
        <v>838</v>
      </c>
      <c r="X329" s="364"/>
      <c r="Y329" s="364"/>
      <c r="Z329" s="364"/>
      <c r="AA329"/>
      <c r="AB329"/>
      <c r="AC329"/>
      <c r="AD329"/>
      <c r="AE329"/>
      <c r="AF329"/>
    </row>
    <row r="330" spans="17:32" ht="12.75" customHeight="1">
      <c r="Q330" s="364"/>
      <c r="R330" s="892"/>
      <c r="S330" s="897"/>
      <c r="T330" s="901"/>
      <c r="U330" s="901"/>
      <c r="V330" s="901"/>
      <c r="W330" s="903"/>
      <c r="X330" s="364"/>
      <c r="Y330" s="364"/>
      <c r="Z330" s="364"/>
      <c r="AA330"/>
      <c r="AB330"/>
      <c r="AC330"/>
      <c r="AD330"/>
      <c r="AE330"/>
      <c r="AF330"/>
    </row>
    <row r="331" spans="17:32" ht="12.75" customHeight="1">
      <c r="Q331" s="364"/>
      <c r="R331" s="892"/>
      <c r="S331" s="897"/>
      <c r="T331" s="689">
        <f>T325*(1-0.0178*2)</f>
        <v>111.8704</v>
      </c>
      <c r="U331" s="560">
        <f>U325</f>
        <v>1.4285714285714284</v>
      </c>
      <c r="V331" s="690">
        <f>IF(T331&gt;0,W331*U331," ")</f>
        <v>8842.8571428571413</v>
      </c>
      <c r="W331" s="691">
        <f>IF(T331&gt;0,(VLOOKUP(T331,'Lookup Ready-reckoner'!$B$5:$E$1207,4))," ")</f>
        <v>6190</v>
      </c>
      <c r="X331" s="364"/>
      <c r="Y331" s="364"/>
      <c r="Z331" s="364"/>
      <c r="AA331"/>
      <c r="AB331"/>
      <c r="AC331"/>
      <c r="AD331"/>
      <c r="AE331"/>
      <c r="AF331"/>
    </row>
    <row r="332" spans="17:32" ht="12.75" customHeight="1">
      <c r="Q332" s="364"/>
      <c r="R332" s="898"/>
      <c r="S332" s="899"/>
      <c r="T332" s="447"/>
      <c r="U332" s="560"/>
      <c r="V332" s="690" t="str">
        <f>IF(T332&gt;0,W332*U332," ")</f>
        <v xml:space="preserve"> </v>
      </c>
      <c r="W332" s="691" t="str">
        <f>IF(T332&gt;0,(VLOOKUP(T332,'Lookup Ready-reckoner'!$B$5:$E$1007,4))," ")</f>
        <v xml:space="preserve"> </v>
      </c>
      <c r="X332" s="364"/>
      <c r="Y332" s="364"/>
      <c r="Z332" s="364"/>
      <c r="AA332"/>
      <c r="AB332"/>
      <c r="AC332"/>
      <c r="AD332"/>
      <c r="AE332"/>
      <c r="AF332"/>
    </row>
    <row r="333" spans="17:32" ht="12.75" customHeight="1" thickBot="1">
      <c r="Q333" s="364"/>
      <c r="R333" s="692" t="s">
        <v>839</v>
      </c>
      <c r="S333" s="693"/>
      <c r="T333" s="693"/>
      <c r="U333" s="694">
        <f>IF(T331&gt;0,(VLOOKUP(V333,'Lookup Ready-reckoner'!$L$5:$M$1207,2))," ")</f>
        <v>104.4</v>
      </c>
      <c r="V333" s="695">
        <f>IF(U331&gt;0,(SUM(V331:V332))," ")</f>
        <v>8842.8571428571413</v>
      </c>
      <c r="W333" s="696"/>
      <c r="X333" s="364"/>
      <c r="Y333" s="364"/>
      <c r="Z333" s="364"/>
      <c r="AA333"/>
      <c r="AB333"/>
      <c r="AC333"/>
      <c r="AD333"/>
      <c r="AE333"/>
      <c r="AF333"/>
    </row>
    <row r="334" spans="17:32" ht="12.75" customHeight="1">
      <c r="Q334" s="364"/>
      <c r="R334" s="697"/>
      <c r="S334" s="687"/>
      <c r="T334" s="687"/>
      <c r="U334" s="372"/>
      <c r="V334" s="374"/>
      <c r="W334" s="688"/>
      <c r="X334" s="364"/>
      <c r="Y334" s="364"/>
      <c r="Z334" s="364"/>
      <c r="AA334"/>
      <c r="AB334"/>
      <c r="AC334"/>
      <c r="AD334"/>
      <c r="AE334"/>
      <c r="AF334"/>
    </row>
    <row r="335" spans="17:32" ht="12.75" customHeight="1" thickBot="1">
      <c r="Q335" s="364"/>
      <c r="R335" s="686" t="s">
        <v>60</v>
      </c>
      <c r="S335" s="577"/>
      <c r="T335" s="577"/>
      <c r="U335" s="577"/>
      <c r="V335" s="577"/>
      <c r="W335" s="698"/>
      <c r="X335" s="364"/>
      <c r="Y335" s="364"/>
      <c r="Z335" s="364"/>
      <c r="AA335"/>
      <c r="AB335"/>
      <c r="AC335"/>
      <c r="AD335"/>
      <c r="AE335"/>
      <c r="AF335"/>
    </row>
    <row r="336" spans="17:32" ht="12.75" customHeight="1">
      <c r="Q336" s="364"/>
      <c r="R336" s="895" t="s">
        <v>845</v>
      </c>
      <c r="S336" s="896"/>
      <c r="T336" s="900" t="s">
        <v>835</v>
      </c>
      <c r="U336" s="900" t="s">
        <v>836</v>
      </c>
      <c r="V336" s="900" t="s">
        <v>837</v>
      </c>
      <c r="W336" s="902" t="s">
        <v>838</v>
      </c>
      <c r="X336" s="364"/>
      <c r="Y336" s="364"/>
      <c r="Z336" s="364"/>
      <c r="AA336"/>
      <c r="AB336"/>
      <c r="AC336"/>
      <c r="AD336"/>
      <c r="AE336"/>
      <c r="AF336"/>
    </row>
    <row r="337" spans="17:32" ht="12.75" customHeight="1">
      <c r="Q337" s="364"/>
      <c r="R337" s="892"/>
      <c r="S337" s="897"/>
      <c r="T337" s="901"/>
      <c r="U337" s="901"/>
      <c r="V337" s="901"/>
      <c r="W337" s="903"/>
      <c r="X337" s="364"/>
      <c r="Y337" s="364"/>
      <c r="Z337" s="364"/>
      <c r="AA337"/>
      <c r="AB337"/>
      <c r="AC337"/>
      <c r="AD337"/>
      <c r="AE337"/>
      <c r="AF337"/>
    </row>
    <row r="338" spans="17:32" ht="12.75" customHeight="1">
      <c r="Q338" s="364"/>
      <c r="R338" s="892"/>
      <c r="S338" s="897"/>
      <c r="T338" s="689">
        <f>T325-PPE!$I$15</f>
        <v>103</v>
      </c>
      <c r="U338" s="560">
        <f>U331</f>
        <v>1.4285714285714284</v>
      </c>
      <c r="V338" s="690">
        <f>IF(T338&gt;0,W338*U338," ")</f>
        <v>1142.8571428571427</v>
      </c>
      <c r="W338" s="691">
        <f>IF(T338&gt;0,(VLOOKUP(T338,'Lookup Ready-reckoner'!$B$5:$E$1207,4))," ")</f>
        <v>800</v>
      </c>
      <c r="X338" s="364"/>
      <c r="Y338" s="364"/>
      <c r="Z338" s="364"/>
      <c r="AA338"/>
      <c r="AB338"/>
      <c r="AC338"/>
      <c r="AD338"/>
      <c r="AE338"/>
      <c r="AF338"/>
    </row>
    <row r="339" spans="17:32" ht="12.75" customHeight="1">
      <c r="Q339" s="364"/>
      <c r="R339" s="898"/>
      <c r="S339" s="899"/>
      <c r="T339" s="447"/>
      <c r="U339" s="560"/>
      <c r="V339" s="690" t="str">
        <f>IF(T339&gt;0,W339*U339," ")</f>
        <v xml:space="preserve"> </v>
      </c>
      <c r="W339" s="691" t="str">
        <f>IF(T339&gt;0,(VLOOKUP(T339,'Lookup Ready-reckoner'!$B$5:$E$1007,4))," ")</f>
        <v xml:space="preserve"> </v>
      </c>
      <c r="X339" s="364"/>
      <c r="Y339" s="364"/>
      <c r="Z339" s="364"/>
      <c r="AA339"/>
      <c r="AB339"/>
      <c r="AC339"/>
      <c r="AD339"/>
      <c r="AE339"/>
      <c r="AF339"/>
    </row>
    <row r="340" spans="17:32" ht="12.75" customHeight="1" thickBot="1">
      <c r="Q340" s="364"/>
      <c r="R340" s="699" t="s">
        <v>839</v>
      </c>
      <c r="S340" s="693"/>
      <c r="T340" s="693"/>
      <c r="U340" s="694">
        <f>IF(T338&gt;0,(VLOOKUP(V340,'Lookup Ready-reckoner'!$L$5:$M$1207,2))," ")</f>
        <v>95.55</v>
      </c>
      <c r="V340" s="695">
        <f>IF(U338&gt;0,(SUM(V338:V339))," ")</f>
        <v>1142.8571428571427</v>
      </c>
      <c r="W340" s="696"/>
      <c r="X340" s="364"/>
      <c r="Y340" s="364"/>
      <c r="Z340" s="364"/>
      <c r="AA340"/>
      <c r="AB340"/>
      <c r="AC340"/>
      <c r="AD340"/>
      <c r="AE340"/>
      <c r="AF340"/>
    </row>
    <row r="341" spans="17:32" ht="12.75" customHeight="1" thickBot="1">
      <c r="Q341" s="364"/>
      <c r="R341" s="892"/>
      <c r="S341" s="893"/>
      <c r="T341" s="893"/>
      <c r="U341" s="893"/>
      <c r="V341" s="893"/>
      <c r="W341" s="894"/>
      <c r="X341" s="364"/>
      <c r="Y341" s="364"/>
      <c r="Z341" s="364"/>
      <c r="AA341"/>
      <c r="AB341"/>
      <c r="AC341"/>
      <c r="AD341"/>
      <c r="AE341"/>
      <c r="AF341"/>
    </row>
    <row r="342" spans="17:32" ht="12.75" customHeight="1">
      <c r="Q342" s="364"/>
      <c r="R342" s="895" t="s">
        <v>886</v>
      </c>
      <c r="S342" s="896"/>
      <c r="T342" s="900" t="s">
        <v>835</v>
      </c>
      <c r="U342" s="900" t="s">
        <v>836</v>
      </c>
      <c r="V342" s="900" t="s">
        <v>837</v>
      </c>
      <c r="W342" s="902" t="s">
        <v>838</v>
      </c>
      <c r="X342" s="364"/>
      <c r="Y342" s="364"/>
      <c r="Z342" s="364"/>
      <c r="AA342"/>
      <c r="AB342"/>
      <c r="AC342"/>
      <c r="AD342"/>
      <c r="AE342"/>
      <c r="AF342"/>
    </row>
    <row r="343" spans="17:32" ht="12.75" customHeight="1">
      <c r="Q343" s="364"/>
      <c r="R343" s="892"/>
      <c r="S343" s="897"/>
      <c r="T343" s="901"/>
      <c r="U343" s="901"/>
      <c r="V343" s="901"/>
      <c r="W343" s="903"/>
      <c r="X343" s="364"/>
      <c r="Y343" s="364"/>
      <c r="Z343" s="364"/>
      <c r="AA343"/>
      <c r="AB343"/>
      <c r="AC343"/>
      <c r="AD343"/>
      <c r="AE343"/>
      <c r="AF343"/>
    </row>
    <row r="344" spans="17:32" ht="12.75" customHeight="1">
      <c r="Q344" s="364"/>
      <c r="R344" s="892"/>
      <c r="S344" s="897"/>
      <c r="T344" s="689">
        <f>T331-PPE!$I$15</f>
        <v>98.870400000000004</v>
      </c>
      <c r="U344" s="560">
        <f>U338</f>
        <v>1.4285714285714284</v>
      </c>
      <c r="V344" s="690">
        <f>IF(T344&gt;0,W344*U344," ")</f>
        <v>433.03571428571422</v>
      </c>
      <c r="W344" s="691">
        <f>IF(T344&gt;0,(VLOOKUP(T344,'Lookup Ready-reckoner'!$B$5:$E$1207,4))," ")</f>
        <v>303.125</v>
      </c>
      <c r="X344" s="364"/>
      <c r="Y344" s="364"/>
      <c r="Z344" s="364"/>
      <c r="AA344"/>
      <c r="AB344"/>
      <c r="AC344"/>
      <c r="AD344"/>
      <c r="AE344"/>
      <c r="AF344"/>
    </row>
    <row r="345" spans="17:32" ht="12.75" customHeight="1">
      <c r="Q345" s="364"/>
      <c r="R345" s="898"/>
      <c r="S345" s="899"/>
      <c r="T345" s="447"/>
      <c r="U345" s="560"/>
      <c r="V345" s="690" t="str">
        <f>IF(T345&gt;0,W345*U345," ")</f>
        <v xml:space="preserve"> </v>
      </c>
      <c r="W345" s="691" t="str">
        <f>IF(T345&gt;0,(VLOOKUP(T345,'Lookup Ready-reckoner'!$B$5:$E$1007,4))," ")</f>
        <v xml:space="preserve"> </v>
      </c>
      <c r="X345" s="364"/>
      <c r="Y345" s="364"/>
      <c r="Z345" s="364"/>
      <c r="AA345"/>
      <c r="AB345"/>
      <c r="AC345"/>
      <c r="AD345"/>
      <c r="AE345"/>
      <c r="AF345"/>
    </row>
    <row r="346" spans="17:32" ht="12.75" customHeight="1" thickBot="1">
      <c r="Q346" s="364"/>
      <c r="R346" s="692" t="s">
        <v>839</v>
      </c>
      <c r="S346" s="693"/>
      <c r="T346" s="693"/>
      <c r="U346" s="694">
        <f>IF(T344&gt;0,(VLOOKUP(V346,'Lookup Ready-reckoner'!$L$5:$M$1207,2))," ")</f>
        <v>91.3</v>
      </c>
      <c r="V346" s="695">
        <f>IF(U344&gt;0,(SUM(V344:V345))," ")</f>
        <v>433.03571428571422</v>
      </c>
      <c r="W346" s="696"/>
      <c r="X346" s="364"/>
      <c r="Y346" s="364"/>
      <c r="Z346" s="364"/>
      <c r="AA346"/>
      <c r="AB346"/>
      <c r="AC346"/>
      <c r="AD346"/>
      <c r="AE346"/>
      <c r="AF346"/>
    </row>
    <row r="347" spans="17:32" ht="12.75" customHeight="1">
      <c r="Q347" s="364"/>
      <c r="R347" s="363"/>
      <c r="S347" s="363"/>
      <c r="T347" s="363"/>
      <c r="U347" s="363"/>
      <c r="V347" s="363"/>
      <c r="W347" s="363"/>
      <c r="X347" s="364"/>
      <c r="Y347" s="364"/>
      <c r="Z347" s="364"/>
      <c r="AA347"/>
      <c r="AB347"/>
      <c r="AC347"/>
      <c r="AD347"/>
      <c r="AE347"/>
      <c r="AF347"/>
    </row>
    <row r="348" spans="17:32" ht="12.75" customHeight="1" thickBot="1">
      <c r="Q348" s="364"/>
      <c r="R348" s="915" t="str">
        <f>T306</f>
        <v>Seco S215 Muffled</v>
      </c>
      <c r="S348" s="915"/>
      <c r="T348" s="915"/>
      <c r="U348" s="915"/>
      <c r="V348" s="915"/>
      <c r="W348" s="915"/>
      <c r="X348" s="364"/>
      <c r="Y348" s="363"/>
      <c r="Z348" s="363"/>
      <c r="AA348"/>
      <c r="AB348"/>
      <c r="AC348"/>
      <c r="AD348"/>
      <c r="AE348"/>
      <c r="AF348"/>
    </row>
    <row r="349" spans="17:32" ht="12.75" customHeight="1" thickBot="1">
      <c r="Q349" s="364"/>
      <c r="R349" s="906" t="s">
        <v>205</v>
      </c>
      <c r="S349" s="907"/>
      <c r="T349" s="907"/>
      <c r="U349" s="907"/>
      <c r="V349" s="907"/>
      <c r="W349" s="908"/>
      <c r="X349" s="364"/>
      <c r="Y349" s="363"/>
      <c r="Z349" s="363"/>
      <c r="AA349"/>
      <c r="AB349"/>
      <c r="AC349"/>
      <c r="AD349"/>
      <c r="AE349"/>
      <c r="AF349"/>
    </row>
    <row r="350" spans="17:32" ht="12.75" customHeight="1" thickBot="1">
      <c r="Q350" s="364"/>
      <c r="R350" s="686" t="s">
        <v>59</v>
      </c>
      <c r="S350" s="577"/>
      <c r="T350" s="687"/>
      <c r="U350" s="687"/>
      <c r="V350" s="687"/>
      <c r="W350" s="688"/>
      <c r="X350" s="364"/>
      <c r="Y350" s="363"/>
      <c r="Z350" s="363"/>
      <c r="AA350"/>
      <c r="AB350"/>
      <c r="AC350"/>
      <c r="AD350"/>
      <c r="AE350"/>
      <c r="AF350"/>
    </row>
    <row r="351" spans="17:32" ht="12.75" customHeight="1">
      <c r="Q351" s="364"/>
      <c r="R351" s="895" t="s">
        <v>845</v>
      </c>
      <c r="S351" s="896"/>
      <c r="T351" s="900" t="s">
        <v>835</v>
      </c>
      <c r="U351" s="900" t="s">
        <v>836</v>
      </c>
      <c r="V351" s="900" t="s">
        <v>837</v>
      </c>
      <c r="W351" s="902" t="s">
        <v>838</v>
      </c>
      <c r="X351" s="364"/>
      <c r="Y351" s="363"/>
      <c r="Z351" s="363"/>
      <c r="AA351"/>
      <c r="AB351"/>
      <c r="AC351"/>
      <c r="AD351"/>
      <c r="AE351"/>
      <c r="AF351"/>
    </row>
    <row r="352" spans="17:32" ht="12.75" customHeight="1">
      <c r="Q352" s="364"/>
      <c r="R352" s="892"/>
      <c r="S352" s="897"/>
      <c r="T352" s="904"/>
      <c r="U352" s="904"/>
      <c r="V352" s="904"/>
      <c r="W352" s="905"/>
      <c r="X352" s="364"/>
      <c r="Y352" s="363"/>
      <c r="Z352" s="363"/>
      <c r="AA352"/>
      <c r="AB352"/>
      <c r="AC352"/>
      <c r="AD352"/>
      <c r="AE352"/>
      <c r="AF352"/>
    </row>
    <row r="353" spans="17:32" ht="12.75" customHeight="1">
      <c r="Q353" s="364"/>
      <c r="R353" s="892"/>
      <c r="S353" s="897"/>
      <c r="T353" s="901"/>
      <c r="U353" s="901"/>
      <c r="V353" s="901"/>
      <c r="W353" s="903"/>
      <c r="X353" s="364"/>
      <c r="Y353" s="363"/>
      <c r="Z353" s="363"/>
      <c r="AA353"/>
      <c r="AB353"/>
      <c r="AC353"/>
      <c r="AD353"/>
      <c r="AE353"/>
      <c r="AF353"/>
    </row>
    <row r="354" spans="17:32" ht="12.75" customHeight="1">
      <c r="Q354" s="364"/>
      <c r="R354" s="892"/>
      <c r="S354" s="897"/>
      <c r="T354" s="700">
        <f>V69</f>
        <v>108</v>
      </c>
      <c r="U354" s="560">
        <f>V62</f>
        <v>1.9999999999999996</v>
      </c>
      <c r="V354" s="690">
        <f>IF(T354&gt;0,W354*U354," ")</f>
        <v>4999.9999999999991</v>
      </c>
      <c r="W354" s="691">
        <f>IF(T354&gt;0,(VLOOKUP(T354,'Lookup Ready-reckoner'!$B$5:$E$1207,4))," ")</f>
        <v>2500</v>
      </c>
      <c r="X354" s="364"/>
      <c r="Y354" s="363"/>
      <c r="Z354" s="363"/>
      <c r="AA354"/>
      <c r="AB354"/>
      <c r="AC354"/>
      <c r="AD354"/>
      <c r="AE354"/>
      <c r="AF354"/>
    </row>
    <row r="355" spans="17:32" ht="12.75" customHeight="1">
      <c r="Q355" s="364"/>
      <c r="R355" s="898"/>
      <c r="S355" s="899"/>
      <c r="T355" s="447"/>
      <c r="U355" s="560"/>
      <c r="V355" s="690" t="str">
        <f>IF(T355&gt;0,W355*U355," ")</f>
        <v xml:space="preserve"> </v>
      </c>
      <c r="W355" s="691" t="str">
        <f>IF(T355&gt;0,(VLOOKUP(T355,'Lookup Ready-reckoner'!$B$5:$E$1007,4))," ")</f>
        <v xml:space="preserve"> </v>
      </c>
      <c r="X355" s="364"/>
      <c r="Y355" s="363"/>
      <c r="Z355" s="363"/>
      <c r="AA355"/>
      <c r="AB355"/>
      <c r="AC355"/>
      <c r="AD355"/>
      <c r="AE355"/>
      <c r="AF355"/>
    </row>
    <row r="356" spans="17:32" ht="12.75" customHeight="1" thickBot="1">
      <c r="Q356" s="364"/>
      <c r="R356" s="699" t="s">
        <v>839</v>
      </c>
      <c r="S356" s="693"/>
      <c r="T356" s="693"/>
      <c r="U356" s="701">
        <f>IF(T354&gt;0,(VLOOKUP(V356,'Lookup Ready-reckoner'!$L$5:$M$1207,2))," ")</f>
        <v>101.95</v>
      </c>
      <c r="V356" s="695">
        <f>IF(U354&gt;0,(SUM(V354:V355))," ")</f>
        <v>4999.9999999999991</v>
      </c>
      <c r="W356" s="696"/>
      <c r="X356" s="364"/>
      <c r="Y356" s="363"/>
      <c r="Z356" s="363"/>
      <c r="AA356"/>
      <c r="AB356"/>
      <c r="AC356"/>
      <c r="AD356"/>
      <c r="AE356"/>
      <c r="AF356"/>
    </row>
    <row r="357" spans="17:32" ht="12.75" customHeight="1" thickBot="1">
      <c r="Q357" s="364"/>
      <c r="R357" s="892"/>
      <c r="S357" s="893"/>
      <c r="T357" s="893"/>
      <c r="U357" s="893"/>
      <c r="V357" s="893"/>
      <c r="W357" s="894"/>
      <c r="X357" s="364"/>
      <c r="Y357" s="363"/>
      <c r="Z357" s="363"/>
      <c r="AA357"/>
      <c r="AB357"/>
      <c r="AC357"/>
      <c r="AD357"/>
      <c r="AE357"/>
      <c r="AF357"/>
    </row>
    <row r="358" spans="17:32" ht="12.75" customHeight="1">
      <c r="Q358" s="364"/>
      <c r="R358" s="895" t="s">
        <v>886</v>
      </c>
      <c r="S358" s="896"/>
      <c r="T358" s="900" t="s">
        <v>835</v>
      </c>
      <c r="U358" s="900" t="s">
        <v>836</v>
      </c>
      <c r="V358" s="900" t="s">
        <v>837</v>
      </c>
      <c r="W358" s="902" t="s">
        <v>838</v>
      </c>
      <c r="X358" s="364"/>
      <c r="Y358" s="363"/>
      <c r="Z358" s="363"/>
      <c r="AA358"/>
      <c r="AB358"/>
      <c r="AC358"/>
      <c r="AD358"/>
      <c r="AE358"/>
      <c r="AF358"/>
    </row>
    <row r="359" spans="17:32" ht="12.75" customHeight="1">
      <c r="Q359" s="364"/>
      <c r="R359" s="892"/>
      <c r="S359" s="897"/>
      <c r="T359" s="901"/>
      <c r="U359" s="901"/>
      <c r="V359" s="901"/>
      <c r="W359" s="903"/>
      <c r="X359" s="364"/>
      <c r="Y359" s="363"/>
      <c r="Z359" s="363"/>
      <c r="AA359"/>
      <c r="AB359"/>
      <c r="AC359"/>
      <c r="AD359"/>
      <c r="AE359"/>
      <c r="AF359"/>
    </row>
    <row r="360" spans="17:32" ht="12.75" customHeight="1">
      <c r="Q360" s="364"/>
      <c r="R360" s="892"/>
      <c r="S360" s="897"/>
      <c r="T360" s="700">
        <f>T354*(1-0.0178*2)</f>
        <v>104.15520000000001</v>
      </c>
      <c r="U360" s="560">
        <f>U354</f>
        <v>1.9999999999999996</v>
      </c>
      <c r="V360" s="690">
        <f>IF(T360&gt;0,W360*U360," ")</f>
        <v>2074.9999999999995</v>
      </c>
      <c r="W360" s="691">
        <f>IF(T360&gt;0,(VLOOKUP(T360,'Lookup Ready-reckoner'!$B$5:$E$1207,4))," ")</f>
        <v>1037.5</v>
      </c>
      <c r="X360" s="364"/>
      <c r="Y360" s="363"/>
      <c r="Z360" s="363"/>
      <c r="AA360"/>
      <c r="AB360"/>
      <c r="AC360"/>
      <c r="AD360"/>
      <c r="AE360"/>
      <c r="AF360"/>
    </row>
    <row r="361" spans="17:32" ht="12.75" customHeight="1">
      <c r="Q361" s="364"/>
      <c r="R361" s="898"/>
      <c r="S361" s="899"/>
      <c r="T361" s="447"/>
      <c r="U361" s="560"/>
      <c r="V361" s="690" t="str">
        <f>IF(T361&gt;0,W361*U361," ")</f>
        <v xml:space="preserve"> </v>
      </c>
      <c r="W361" s="691" t="str">
        <f>IF(T361&gt;0,(VLOOKUP(T361,'Lookup Ready-reckoner'!$B$5:$E$1007,4))," ")</f>
        <v xml:space="preserve"> </v>
      </c>
      <c r="X361" s="364"/>
      <c r="Y361" s="363"/>
      <c r="Z361" s="363"/>
      <c r="AA361"/>
      <c r="AB361"/>
      <c r="AC361"/>
      <c r="AD361"/>
      <c r="AE361"/>
      <c r="AF361"/>
    </row>
    <row r="362" spans="17:32" ht="12.75" customHeight="1" thickBot="1">
      <c r="Q362" s="364"/>
      <c r="R362" s="692" t="s">
        <v>839</v>
      </c>
      <c r="S362" s="693"/>
      <c r="T362" s="693"/>
      <c r="U362" s="701">
        <f>IF(T360&gt;0,(VLOOKUP(V362,'Lookup Ready-reckoner'!$L$5:$M$1207,2))," ")</f>
        <v>98.1</v>
      </c>
      <c r="V362" s="695">
        <f>IF(U360&gt;0,(SUM(V360:V361))," ")</f>
        <v>2074.9999999999995</v>
      </c>
      <c r="W362" s="696"/>
      <c r="X362" s="364"/>
      <c r="Y362" s="363"/>
      <c r="Z362" s="363"/>
      <c r="AA362"/>
      <c r="AB362"/>
      <c r="AC362"/>
      <c r="AD362"/>
      <c r="AE362"/>
      <c r="AF362"/>
    </row>
    <row r="363" spans="17:32" ht="12.75" customHeight="1">
      <c r="Q363" s="364"/>
      <c r="R363" s="697"/>
      <c r="S363" s="687"/>
      <c r="T363" s="687"/>
      <c r="U363" s="372"/>
      <c r="V363" s="374"/>
      <c r="W363" s="688"/>
      <c r="X363" s="364"/>
      <c r="Y363" s="363"/>
      <c r="Z363" s="363"/>
      <c r="AA363"/>
      <c r="AB363"/>
      <c r="AC363"/>
      <c r="AD363"/>
      <c r="AE363"/>
      <c r="AF363"/>
    </row>
    <row r="364" spans="17:32" ht="12.75" customHeight="1" thickBot="1">
      <c r="Q364" s="364"/>
      <c r="R364" s="686" t="s">
        <v>60</v>
      </c>
      <c r="S364" s="577"/>
      <c r="T364" s="577"/>
      <c r="U364" s="577"/>
      <c r="V364" s="577"/>
      <c r="W364" s="698"/>
      <c r="X364" s="364"/>
      <c r="Y364" s="363"/>
      <c r="Z364" s="363"/>
      <c r="AA364"/>
      <c r="AB364"/>
      <c r="AC364"/>
      <c r="AD364"/>
      <c r="AE364"/>
      <c r="AF364"/>
    </row>
    <row r="365" spans="17:32" ht="12.75" customHeight="1">
      <c r="Q365" s="364"/>
      <c r="R365" s="895" t="s">
        <v>845</v>
      </c>
      <c r="S365" s="896"/>
      <c r="T365" s="900" t="s">
        <v>835</v>
      </c>
      <c r="U365" s="900" t="s">
        <v>836</v>
      </c>
      <c r="V365" s="900" t="s">
        <v>837</v>
      </c>
      <c r="W365" s="902" t="s">
        <v>838</v>
      </c>
      <c r="X365" s="364"/>
      <c r="Y365" s="363"/>
      <c r="Z365" s="363"/>
      <c r="AA365"/>
      <c r="AB365"/>
      <c r="AC365"/>
      <c r="AD365"/>
      <c r="AE365"/>
      <c r="AF365"/>
    </row>
    <row r="366" spans="17:32" ht="12.75" customHeight="1">
      <c r="Q366" s="364"/>
      <c r="R366" s="892"/>
      <c r="S366" s="897"/>
      <c r="T366" s="901"/>
      <c r="U366" s="901"/>
      <c r="V366" s="901"/>
      <c r="W366" s="903"/>
      <c r="X366" s="364"/>
      <c r="Y366" s="363"/>
      <c r="Z366" s="363"/>
      <c r="AA366"/>
      <c r="AB366"/>
      <c r="AC366"/>
      <c r="AD366"/>
      <c r="AE366"/>
      <c r="AF366"/>
    </row>
    <row r="367" spans="17:32" ht="12.75" customHeight="1">
      <c r="Q367" s="364"/>
      <c r="R367" s="892"/>
      <c r="S367" s="897"/>
      <c r="T367" s="700">
        <f>T354-PPE!$I$15</f>
        <v>95</v>
      </c>
      <c r="U367" s="560">
        <f>U360</f>
        <v>1.9999999999999996</v>
      </c>
      <c r="V367" s="690">
        <f>IF(T367&gt;0,W367*U367," ")</f>
        <v>249.99999999999994</v>
      </c>
      <c r="W367" s="691">
        <f>IF(T367&gt;0,(VLOOKUP(T367,'Lookup Ready-reckoner'!$B$5:$E$1207,4))," ")</f>
        <v>125</v>
      </c>
      <c r="X367" s="364"/>
      <c r="Y367" s="363"/>
      <c r="Z367" s="363"/>
      <c r="AA367"/>
      <c r="AB367"/>
      <c r="AC367"/>
      <c r="AD367"/>
      <c r="AE367"/>
      <c r="AF367"/>
    </row>
    <row r="368" spans="17:32" ht="12.75" customHeight="1">
      <c r="Q368" s="364"/>
      <c r="R368" s="898"/>
      <c r="S368" s="899"/>
      <c r="T368" s="447"/>
      <c r="U368" s="560"/>
      <c r="V368" s="690" t="str">
        <f>IF(T368&gt;0,W368*U368," ")</f>
        <v xml:space="preserve"> </v>
      </c>
      <c r="W368" s="691" t="str">
        <f>IF(T368&gt;0,(VLOOKUP(T368,'Lookup Ready-reckoner'!$B$5:$E$1007,4))," ")</f>
        <v xml:space="preserve"> </v>
      </c>
      <c r="X368" s="364"/>
      <c r="Y368" s="363"/>
      <c r="Z368" s="363"/>
      <c r="AA368"/>
      <c r="AB368"/>
      <c r="AC368"/>
      <c r="AD368"/>
      <c r="AE368"/>
      <c r="AF368"/>
    </row>
    <row r="369" spans="17:32" ht="12.75" customHeight="1" thickBot="1">
      <c r="Q369" s="364"/>
      <c r="R369" s="692" t="s">
        <v>839</v>
      </c>
      <c r="S369" s="693"/>
      <c r="T369" s="693"/>
      <c r="U369" s="701">
        <f>IF(T367&gt;0,(VLOOKUP(V369,'Lookup Ready-reckoner'!$L$5:$M$1207,2))," ")</f>
        <v>88.95</v>
      </c>
      <c r="V369" s="695">
        <f>IF(U367&gt;0,(SUM(V367:V368))," ")</f>
        <v>249.99999999999994</v>
      </c>
      <c r="W369" s="696"/>
      <c r="X369" s="364"/>
      <c r="Y369" s="363"/>
      <c r="Z369" s="363"/>
      <c r="AA369"/>
      <c r="AB369"/>
      <c r="AC369"/>
      <c r="AD369"/>
      <c r="AE369"/>
      <c r="AF369"/>
    </row>
    <row r="370" spans="17:32" ht="12.75" customHeight="1" thickBot="1">
      <c r="Q370" s="364"/>
      <c r="R370" s="892"/>
      <c r="S370" s="893"/>
      <c r="T370" s="893"/>
      <c r="U370" s="893"/>
      <c r="V370" s="893"/>
      <c r="W370" s="894"/>
      <c r="X370" s="364"/>
      <c r="Y370" s="363"/>
      <c r="Z370" s="363"/>
      <c r="AA370"/>
      <c r="AB370"/>
      <c r="AC370"/>
      <c r="AD370"/>
      <c r="AE370"/>
      <c r="AF370"/>
    </row>
    <row r="371" spans="17:32" ht="12.75" customHeight="1">
      <c r="Q371" s="364"/>
      <c r="R371" s="895" t="s">
        <v>886</v>
      </c>
      <c r="S371" s="896"/>
      <c r="T371" s="900" t="s">
        <v>835</v>
      </c>
      <c r="U371" s="900" t="s">
        <v>836</v>
      </c>
      <c r="V371" s="900" t="s">
        <v>837</v>
      </c>
      <c r="W371" s="902" t="s">
        <v>838</v>
      </c>
      <c r="X371" s="364"/>
      <c r="Y371" s="363"/>
      <c r="Z371" s="363"/>
      <c r="AA371"/>
      <c r="AB371"/>
      <c r="AC371"/>
      <c r="AD371"/>
      <c r="AE371"/>
      <c r="AF371"/>
    </row>
    <row r="372" spans="17:32" ht="12.75" customHeight="1">
      <c r="Q372" s="364"/>
      <c r="R372" s="892"/>
      <c r="S372" s="897"/>
      <c r="T372" s="901"/>
      <c r="U372" s="901"/>
      <c r="V372" s="901"/>
      <c r="W372" s="903"/>
      <c r="X372" s="364"/>
      <c r="Y372" s="363"/>
      <c r="Z372" s="363"/>
      <c r="AA372"/>
      <c r="AB372"/>
      <c r="AC372"/>
      <c r="AD372"/>
      <c r="AE372"/>
      <c r="AF372"/>
    </row>
    <row r="373" spans="17:32" ht="12.75" customHeight="1">
      <c r="Q373" s="364"/>
      <c r="R373" s="892"/>
      <c r="S373" s="897"/>
      <c r="T373" s="700">
        <f>T360-PPE!$I$15</f>
        <v>91.155200000000008</v>
      </c>
      <c r="U373" s="560">
        <f>U367</f>
        <v>1.9999999999999996</v>
      </c>
      <c r="V373" s="690">
        <f>IF(T373&gt;0,W373*U373," ")</f>
        <v>103.74999999999997</v>
      </c>
      <c r="W373" s="691">
        <f>IF(T373&gt;0,(VLOOKUP(T373,'Lookup Ready-reckoner'!$B$5:$E$1207,4))," ")</f>
        <v>51.875</v>
      </c>
      <c r="X373" s="364"/>
      <c r="Y373" s="363"/>
      <c r="Z373" s="363"/>
      <c r="AA373"/>
      <c r="AB373"/>
      <c r="AC373"/>
      <c r="AD373"/>
      <c r="AE373"/>
      <c r="AF373"/>
    </row>
    <row r="374" spans="17:32" ht="12.75" customHeight="1">
      <c r="Q374" s="364"/>
      <c r="R374" s="898"/>
      <c r="S374" s="899"/>
      <c r="T374" s="447"/>
      <c r="U374" s="560"/>
      <c r="V374" s="690" t="str">
        <f>IF(T374&gt;0,W374*U374," ")</f>
        <v xml:space="preserve"> </v>
      </c>
      <c r="W374" s="691" t="str">
        <f>IF(T374&gt;0,(VLOOKUP(T374,'Lookup Ready-reckoner'!$B$5:$E$1007,4))," ")</f>
        <v xml:space="preserve"> </v>
      </c>
      <c r="X374" s="364"/>
      <c r="Y374" s="363"/>
      <c r="Z374" s="363"/>
      <c r="AA374"/>
      <c r="AB374"/>
      <c r="AC374"/>
      <c r="AD374"/>
      <c r="AE374"/>
      <c r="AF374"/>
    </row>
    <row r="375" spans="17:32" ht="12.75" customHeight="1" thickBot="1">
      <c r="Q375" s="364"/>
      <c r="R375" s="692" t="s">
        <v>839</v>
      </c>
      <c r="S375" s="693"/>
      <c r="T375" s="693"/>
      <c r="U375" s="701">
        <f>IF(T373&gt;0,(VLOOKUP(V375,'Lookup Ready-reckoner'!$L$5:$M$1207,2))," ")</f>
        <v>85.1</v>
      </c>
      <c r="V375" s="695">
        <f>IF(U373&gt;0,(SUM(V373:V374))," ")</f>
        <v>103.74999999999997</v>
      </c>
      <c r="W375" s="696"/>
      <c r="X375" s="364"/>
      <c r="Y375" s="363"/>
      <c r="Z375" s="363"/>
      <c r="AA375"/>
      <c r="AB375"/>
      <c r="AC375"/>
      <c r="AD375"/>
      <c r="AE375"/>
      <c r="AF375"/>
    </row>
    <row r="376" spans="17:32" ht="12.75" customHeight="1">
      <c r="Q376" s="364"/>
      <c r="R376" s="363"/>
      <c r="S376" s="363"/>
      <c r="T376" s="363"/>
      <c r="U376" s="363"/>
      <c r="V376" s="363"/>
      <c r="W376" s="363"/>
      <c r="X376" s="364"/>
      <c r="Y376" s="364"/>
      <c r="Z376" s="364"/>
      <c r="AA376"/>
      <c r="AB376"/>
      <c r="AC376"/>
      <c r="AD376"/>
      <c r="AE376"/>
      <c r="AF376"/>
    </row>
    <row r="377" spans="17:32" ht="12.75" customHeight="1">
      <c r="Q377" s="364"/>
      <c r="R377" s="913" t="str">
        <f>U306</f>
        <v>Sulzer ADDS</v>
      </c>
      <c r="S377" s="914"/>
      <c r="T377" s="914"/>
      <c r="U377" s="914"/>
      <c r="V377" s="914"/>
      <c r="W377" s="914"/>
      <c r="X377" s="364"/>
      <c r="Y377" s="363"/>
      <c r="Z377" s="363"/>
      <c r="AA377"/>
      <c r="AB377"/>
      <c r="AC377"/>
      <c r="AD377"/>
      <c r="AE377"/>
      <c r="AF377"/>
    </row>
    <row r="378" spans="17:32" ht="12.75" customHeight="1" thickBot="1">
      <c r="Q378" s="364"/>
      <c r="R378" s="910" t="s">
        <v>205</v>
      </c>
      <c r="S378" s="911"/>
      <c r="T378" s="911"/>
      <c r="U378" s="911"/>
      <c r="V378" s="911"/>
      <c r="W378" s="912"/>
      <c r="X378" s="364"/>
      <c r="Y378" s="363"/>
      <c r="Z378" s="363"/>
      <c r="AA378"/>
      <c r="AB378"/>
      <c r="AC378"/>
      <c r="AD378"/>
      <c r="AE378"/>
      <c r="AF378"/>
    </row>
    <row r="379" spans="17:32" ht="12.75" customHeight="1" thickBot="1">
      <c r="Q379" s="364"/>
      <c r="R379" s="686" t="s">
        <v>59</v>
      </c>
      <c r="S379" s="577"/>
      <c r="T379" s="687"/>
      <c r="U379" s="687"/>
      <c r="V379" s="687"/>
      <c r="W379" s="688"/>
      <c r="X379" s="364"/>
      <c r="Y379" s="363"/>
      <c r="Z379" s="363"/>
      <c r="AA379"/>
      <c r="AB379"/>
      <c r="AC379"/>
      <c r="AD379"/>
      <c r="AE379"/>
      <c r="AF379"/>
    </row>
    <row r="380" spans="17:32" ht="12.75" customHeight="1">
      <c r="Q380" s="364"/>
      <c r="R380" s="895" t="s">
        <v>845</v>
      </c>
      <c r="S380" s="896"/>
      <c r="T380" s="900" t="s">
        <v>835</v>
      </c>
      <c r="U380" s="900" t="s">
        <v>836</v>
      </c>
      <c r="V380" s="900" t="s">
        <v>837</v>
      </c>
      <c r="W380" s="902" t="s">
        <v>838</v>
      </c>
      <c r="X380" s="364"/>
      <c r="Y380" s="363"/>
      <c r="Z380" s="363"/>
      <c r="AA380"/>
      <c r="AB380"/>
      <c r="AC380"/>
      <c r="AD380"/>
      <c r="AE380"/>
      <c r="AF380"/>
    </row>
    <row r="381" spans="17:32" ht="12.75" customHeight="1">
      <c r="Q381" s="364"/>
      <c r="R381" s="892"/>
      <c r="S381" s="897"/>
      <c r="T381" s="904"/>
      <c r="U381" s="904"/>
      <c r="V381" s="904"/>
      <c r="W381" s="905"/>
      <c r="X381" s="364"/>
      <c r="Y381" s="363"/>
      <c r="Z381" s="363"/>
      <c r="AA381"/>
      <c r="AB381"/>
      <c r="AC381"/>
      <c r="AD381"/>
      <c r="AE381"/>
      <c r="AF381"/>
    </row>
    <row r="382" spans="17:32" ht="12.75" customHeight="1">
      <c r="Q382" s="364"/>
      <c r="R382" s="892"/>
      <c r="S382" s="897"/>
      <c r="T382" s="901"/>
      <c r="U382" s="901"/>
      <c r="V382" s="901"/>
      <c r="W382" s="903"/>
      <c r="X382" s="364"/>
      <c r="Y382" s="363"/>
      <c r="Z382" s="363"/>
      <c r="AA382"/>
      <c r="AB382"/>
      <c r="AC382"/>
      <c r="AD382"/>
      <c r="AE382"/>
      <c r="AF382"/>
    </row>
    <row r="383" spans="17:32" ht="12.75" customHeight="1">
      <c r="Q383" s="364"/>
      <c r="R383" s="892"/>
      <c r="S383" s="897"/>
      <c r="T383" s="702">
        <f>W69</f>
        <v>109</v>
      </c>
      <c r="U383" s="560">
        <f>W62</f>
        <v>1.7391304347826084</v>
      </c>
      <c r="V383" s="690">
        <f>IF(T383&gt;0,W383*U383," ")</f>
        <v>5565.2173913043471</v>
      </c>
      <c r="W383" s="691">
        <f>IF(T383&gt;0,(VLOOKUP(T383,'Lookup Ready-reckoner'!$B$5:$E$1207,4))," ")</f>
        <v>3200</v>
      </c>
      <c r="X383" s="364"/>
      <c r="Y383" s="363"/>
      <c r="Z383" s="363"/>
      <c r="AA383"/>
      <c r="AB383"/>
      <c r="AC383"/>
      <c r="AD383"/>
      <c r="AE383"/>
      <c r="AF383"/>
    </row>
    <row r="384" spans="17:32" ht="12.75" customHeight="1">
      <c r="Q384" s="364"/>
      <c r="R384" s="898"/>
      <c r="S384" s="899"/>
      <c r="T384" s="447"/>
      <c r="U384" s="560"/>
      <c r="V384" s="690" t="str">
        <f>IF(T384&gt;0,W384*U384," ")</f>
        <v xml:space="preserve"> </v>
      </c>
      <c r="W384" s="691" t="str">
        <f>IF(T384&gt;0,(VLOOKUP(T384,'Lookup Ready-reckoner'!$B$5:$E$1007,4))," ")</f>
        <v xml:space="preserve"> </v>
      </c>
      <c r="X384" s="364"/>
      <c r="Y384" s="363"/>
      <c r="Z384" s="363"/>
      <c r="AA384"/>
      <c r="AB384"/>
      <c r="AC384"/>
      <c r="AD384"/>
      <c r="AE384"/>
      <c r="AF384"/>
    </row>
    <row r="385" spans="17:32" ht="12.75" customHeight="1" thickBot="1">
      <c r="Q385" s="364"/>
      <c r="R385" s="692" t="s">
        <v>839</v>
      </c>
      <c r="S385" s="693"/>
      <c r="T385" s="693"/>
      <c r="U385" s="703">
        <f>IF(T383&gt;0,(VLOOKUP(V385,'Lookup Ready-reckoner'!$L$5:$M$1207,2))," ")</f>
        <v>102.4</v>
      </c>
      <c r="V385" s="695">
        <f>IF(U383&gt;0,(SUM(V383:V384))," ")</f>
        <v>5565.2173913043471</v>
      </c>
      <c r="W385" s="696"/>
      <c r="X385" s="364"/>
      <c r="Y385" s="363"/>
      <c r="Z385" s="363"/>
      <c r="AA385"/>
      <c r="AB385"/>
      <c r="AC385"/>
      <c r="AD385"/>
      <c r="AE385"/>
      <c r="AF385"/>
    </row>
    <row r="386" spans="17:32" ht="12.75" customHeight="1" thickBot="1">
      <c r="Q386" s="364"/>
      <c r="R386" s="892"/>
      <c r="S386" s="893"/>
      <c r="T386" s="893"/>
      <c r="U386" s="893"/>
      <c r="V386" s="893"/>
      <c r="W386" s="894"/>
      <c r="X386" s="364"/>
      <c r="Y386" s="363"/>
      <c r="Z386" s="363"/>
      <c r="AA386"/>
      <c r="AB386"/>
      <c r="AC386"/>
      <c r="AD386"/>
      <c r="AE386"/>
      <c r="AF386"/>
    </row>
    <row r="387" spans="17:32" ht="12.75" customHeight="1">
      <c r="Q387" s="364"/>
      <c r="R387" s="895" t="s">
        <v>886</v>
      </c>
      <c r="S387" s="896"/>
      <c r="T387" s="900" t="s">
        <v>835</v>
      </c>
      <c r="U387" s="900" t="s">
        <v>836</v>
      </c>
      <c r="V387" s="900" t="s">
        <v>837</v>
      </c>
      <c r="W387" s="902" t="s">
        <v>838</v>
      </c>
      <c r="X387" s="364"/>
      <c r="Y387" s="363"/>
      <c r="Z387" s="363"/>
      <c r="AA387"/>
      <c r="AB387"/>
      <c r="AC387"/>
      <c r="AD387"/>
      <c r="AE387"/>
      <c r="AF387"/>
    </row>
    <row r="388" spans="17:32" ht="12.75" customHeight="1">
      <c r="Q388" s="364"/>
      <c r="R388" s="892"/>
      <c r="S388" s="897"/>
      <c r="T388" s="901"/>
      <c r="U388" s="901"/>
      <c r="V388" s="901"/>
      <c r="W388" s="903"/>
      <c r="X388" s="364"/>
      <c r="Y388" s="363"/>
      <c r="Z388" s="363"/>
      <c r="AA388"/>
      <c r="AB388"/>
      <c r="AC388"/>
      <c r="AD388"/>
      <c r="AE388"/>
      <c r="AF388"/>
    </row>
    <row r="389" spans="17:32" ht="12.75" customHeight="1">
      <c r="Q389" s="364"/>
      <c r="R389" s="892"/>
      <c r="S389" s="897"/>
      <c r="T389" s="702">
        <f>T383*(1-0.0178*2)</f>
        <v>105.11960000000001</v>
      </c>
      <c r="U389" s="560">
        <f>U383</f>
        <v>1.7391304347826084</v>
      </c>
      <c r="V389" s="690">
        <f>IF(T389&gt;0,W389*U389," ")</f>
        <v>2234.782608695652</v>
      </c>
      <c r="W389" s="691">
        <f>IF(T389&gt;0,(VLOOKUP(T389,'Lookup Ready-reckoner'!$B$5:$E$1207,4))," ")</f>
        <v>1285</v>
      </c>
      <c r="X389" s="364"/>
      <c r="Y389" s="363"/>
      <c r="Z389" s="363"/>
      <c r="AA389"/>
      <c r="AB389"/>
      <c r="AC389"/>
      <c r="AD389"/>
      <c r="AE389"/>
      <c r="AF389"/>
    </row>
    <row r="390" spans="17:32" ht="12.75" customHeight="1">
      <c r="Q390" s="364"/>
      <c r="R390" s="898"/>
      <c r="S390" s="899"/>
      <c r="T390" s="447"/>
      <c r="U390" s="560"/>
      <c r="V390" s="690" t="str">
        <f>IF(T390&gt;0,W390*U390," ")</f>
        <v xml:space="preserve"> </v>
      </c>
      <c r="W390" s="691" t="str">
        <f>IF(T390&gt;0,(VLOOKUP(T390,'Lookup Ready-reckoner'!$B$5:$E$1007,4))," ")</f>
        <v xml:space="preserve"> </v>
      </c>
      <c r="X390" s="364"/>
      <c r="Y390" s="363"/>
      <c r="Z390" s="363"/>
      <c r="AA390"/>
      <c r="AB390"/>
      <c r="AC390"/>
      <c r="AD390"/>
      <c r="AE390"/>
      <c r="AF390"/>
    </row>
    <row r="391" spans="17:32" ht="12.75" customHeight="1" thickBot="1">
      <c r="Q391" s="364"/>
      <c r="R391" s="692" t="s">
        <v>839</v>
      </c>
      <c r="S391" s="693"/>
      <c r="T391" s="693"/>
      <c r="U391" s="703">
        <f>IF(T389&gt;0,(VLOOKUP(V391,'Lookup Ready-reckoner'!$L$5:$M$1207,2))," ")</f>
        <v>98.45</v>
      </c>
      <c r="V391" s="695">
        <f>IF(U389&gt;0,(SUM(V389:V390))," ")</f>
        <v>2234.782608695652</v>
      </c>
      <c r="W391" s="696"/>
      <c r="X391" s="364"/>
      <c r="Y391" s="363"/>
      <c r="Z391" s="363"/>
      <c r="AA391"/>
      <c r="AB391"/>
      <c r="AC391"/>
      <c r="AD391"/>
      <c r="AE391"/>
      <c r="AF391"/>
    </row>
    <row r="392" spans="17:32" ht="12.75" customHeight="1">
      <c r="Q392" s="364"/>
      <c r="R392" s="697"/>
      <c r="S392" s="687"/>
      <c r="T392" s="687"/>
      <c r="U392" s="372"/>
      <c r="V392" s="374"/>
      <c r="W392" s="688"/>
      <c r="X392" s="364"/>
      <c r="Y392" s="363"/>
      <c r="Z392" s="363"/>
      <c r="AA392"/>
      <c r="AB392"/>
      <c r="AC392"/>
      <c r="AD392"/>
      <c r="AE392"/>
      <c r="AF392"/>
    </row>
    <row r="393" spans="17:32" ht="12.75" customHeight="1" thickBot="1">
      <c r="Q393" s="364"/>
      <c r="R393" s="686" t="s">
        <v>60</v>
      </c>
      <c r="S393" s="577"/>
      <c r="T393" s="577"/>
      <c r="U393" s="577"/>
      <c r="V393" s="577"/>
      <c r="W393" s="698"/>
      <c r="X393" s="364"/>
      <c r="Y393" s="363"/>
      <c r="Z393" s="363"/>
      <c r="AA393"/>
      <c r="AB393"/>
      <c r="AC393"/>
      <c r="AD393"/>
      <c r="AE393"/>
      <c r="AF393"/>
    </row>
    <row r="394" spans="17:32" ht="12.75" customHeight="1">
      <c r="Q394" s="364"/>
      <c r="R394" s="895" t="s">
        <v>845</v>
      </c>
      <c r="S394" s="896"/>
      <c r="T394" s="900" t="s">
        <v>835</v>
      </c>
      <c r="U394" s="900" t="s">
        <v>836</v>
      </c>
      <c r="V394" s="900" t="s">
        <v>837</v>
      </c>
      <c r="W394" s="902" t="s">
        <v>838</v>
      </c>
      <c r="X394" s="364"/>
      <c r="Y394" s="363"/>
      <c r="Z394" s="363"/>
      <c r="AA394"/>
      <c r="AB394"/>
      <c r="AC394"/>
      <c r="AD394"/>
      <c r="AE394"/>
      <c r="AF394"/>
    </row>
    <row r="395" spans="17:32" ht="12.75" customHeight="1">
      <c r="Q395" s="364"/>
      <c r="R395" s="892"/>
      <c r="S395" s="897"/>
      <c r="T395" s="901"/>
      <c r="U395" s="901"/>
      <c r="V395" s="901"/>
      <c r="W395" s="903"/>
      <c r="X395" s="364"/>
      <c r="Y395" s="363"/>
      <c r="Z395" s="363"/>
      <c r="AA395"/>
      <c r="AB395"/>
      <c r="AC395"/>
      <c r="AD395"/>
      <c r="AE395"/>
      <c r="AF395"/>
    </row>
    <row r="396" spans="17:32" ht="12.75" customHeight="1">
      <c r="Q396" s="364"/>
      <c r="R396" s="892"/>
      <c r="S396" s="897"/>
      <c r="T396" s="702">
        <f>T383-PPE!$I$15</f>
        <v>96</v>
      </c>
      <c r="U396" s="560">
        <f>U389</f>
        <v>1.7391304347826084</v>
      </c>
      <c r="V396" s="690">
        <f>IF(T396&gt;0,W396*U396," ")</f>
        <v>271.73913043478257</v>
      </c>
      <c r="W396" s="691">
        <f>IF(T396&gt;0,(VLOOKUP(T396,'Lookup Ready-reckoner'!$B$5:$E$1207,4))," ")</f>
        <v>156.25</v>
      </c>
      <c r="X396" s="364"/>
      <c r="Y396" s="363"/>
      <c r="Z396" s="363"/>
      <c r="AA396"/>
      <c r="AB396"/>
      <c r="AC396"/>
      <c r="AD396"/>
      <c r="AE396"/>
      <c r="AF396"/>
    </row>
    <row r="397" spans="17:32" ht="12.75" customHeight="1">
      <c r="Q397" s="364"/>
      <c r="R397" s="898"/>
      <c r="S397" s="899"/>
      <c r="T397" s="447"/>
      <c r="U397" s="560"/>
      <c r="V397" s="690" t="str">
        <f>IF(T397&gt;0,W397*U397," ")</f>
        <v xml:space="preserve"> </v>
      </c>
      <c r="W397" s="691" t="str">
        <f>IF(T397&gt;0,(VLOOKUP(T397,'Lookup Ready-reckoner'!$B$5:$E$1007,4))," ")</f>
        <v xml:space="preserve"> </v>
      </c>
      <c r="X397" s="364"/>
      <c r="Y397" s="363"/>
      <c r="Z397" s="363"/>
      <c r="AA397"/>
      <c r="AB397"/>
      <c r="AC397"/>
      <c r="AD397"/>
      <c r="AE397"/>
      <c r="AF397"/>
    </row>
    <row r="398" spans="17:32" ht="12.75" customHeight="1" thickBot="1">
      <c r="Q398" s="364"/>
      <c r="R398" s="692" t="s">
        <v>839</v>
      </c>
      <c r="S398" s="693"/>
      <c r="T398" s="693"/>
      <c r="U398" s="703">
        <f>IF(T396&gt;0,(VLOOKUP(V398,'Lookup Ready-reckoner'!$L$5:$M$1207,2))," ")</f>
        <v>89.3</v>
      </c>
      <c r="V398" s="695">
        <f>IF(U396&gt;0,(SUM(V396:V397))," ")</f>
        <v>271.73913043478257</v>
      </c>
      <c r="W398" s="696"/>
      <c r="X398" s="364"/>
      <c r="Y398" s="363"/>
      <c r="Z398" s="363"/>
      <c r="AA398"/>
      <c r="AB398"/>
      <c r="AC398"/>
      <c r="AD398"/>
      <c r="AE398"/>
      <c r="AF398"/>
    </row>
    <row r="399" spans="17:32" ht="12.75" customHeight="1" thickBot="1">
      <c r="Q399" s="364"/>
      <c r="R399" s="892"/>
      <c r="S399" s="893"/>
      <c r="T399" s="893"/>
      <c r="U399" s="893"/>
      <c r="V399" s="893"/>
      <c r="W399" s="894"/>
      <c r="X399" s="364"/>
      <c r="Y399" s="363"/>
      <c r="Z399" s="363"/>
      <c r="AA399"/>
      <c r="AB399"/>
      <c r="AC399"/>
      <c r="AD399"/>
      <c r="AE399"/>
      <c r="AF399"/>
    </row>
    <row r="400" spans="17:32" ht="12.75" customHeight="1">
      <c r="Q400" s="364"/>
      <c r="R400" s="895" t="s">
        <v>886</v>
      </c>
      <c r="S400" s="896"/>
      <c r="T400" s="900" t="s">
        <v>835</v>
      </c>
      <c r="U400" s="900" t="s">
        <v>836</v>
      </c>
      <c r="V400" s="900" t="s">
        <v>837</v>
      </c>
      <c r="W400" s="902" t="s">
        <v>838</v>
      </c>
      <c r="X400" s="364"/>
      <c r="Y400" s="363"/>
      <c r="Z400" s="363"/>
      <c r="AA400"/>
      <c r="AB400"/>
      <c r="AC400"/>
      <c r="AD400"/>
      <c r="AE400"/>
      <c r="AF400"/>
    </row>
    <row r="401" spans="17:32" ht="12.75" customHeight="1">
      <c r="Q401" s="364"/>
      <c r="R401" s="892"/>
      <c r="S401" s="897"/>
      <c r="T401" s="901"/>
      <c r="U401" s="901"/>
      <c r="V401" s="901"/>
      <c r="W401" s="903"/>
      <c r="X401" s="364"/>
      <c r="Y401" s="363"/>
      <c r="Z401" s="363"/>
      <c r="AA401"/>
      <c r="AB401"/>
      <c r="AC401"/>
      <c r="AD401"/>
      <c r="AE401"/>
      <c r="AF401"/>
    </row>
    <row r="402" spans="17:32" ht="12.75" customHeight="1">
      <c r="Q402" s="364"/>
      <c r="R402" s="892"/>
      <c r="S402" s="897"/>
      <c r="T402" s="702">
        <f>T389-PPE!$I$15</f>
        <v>92.119600000000005</v>
      </c>
      <c r="U402" s="560">
        <f>U396</f>
        <v>1.7391304347826084</v>
      </c>
      <c r="V402" s="690">
        <f>IF(T402&gt;0,W402*U402," ")</f>
        <v>111.52173913043477</v>
      </c>
      <c r="W402" s="691">
        <f>IF(T402&gt;0,(VLOOKUP(T402,'Lookup Ready-reckoner'!$B$5:$E$1207,4))," ")</f>
        <v>64.125</v>
      </c>
      <c r="X402" s="364"/>
      <c r="Y402" s="363"/>
      <c r="Z402" s="363"/>
      <c r="AA402"/>
      <c r="AB402"/>
      <c r="AC402"/>
      <c r="AD402"/>
      <c r="AE402"/>
      <c r="AF402"/>
    </row>
    <row r="403" spans="17:32" ht="12.75" customHeight="1">
      <c r="Q403" s="364"/>
      <c r="R403" s="898"/>
      <c r="S403" s="899"/>
      <c r="T403" s="447"/>
      <c r="U403" s="560"/>
      <c r="V403" s="690" t="str">
        <f>IF(T403&gt;0,W403*U403," ")</f>
        <v xml:space="preserve"> </v>
      </c>
      <c r="W403" s="691" t="str">
        <f>IF(T403&gt;0,(VLOOKUP(T403,'Lookup Ready-reckoner'!$B$5:$E$1007,4))," ")</f>
        <v xml:space="preserve"> </v>
      </c>
      <c r="X403" s="364"/>
      <c r="Y403" s="363"/>
      <c r="Z403" s="363"/>
      <c r="AA403"/>
      <c r="AB403"/>
      <c r="AC403"/>
      <c r="AD403"/>
      <c r="AE403"/>
      <c r="AF403"/>
    </row>
    <row r="404" spans="17:32" ht="12.75" customHeight="1" thickBot="1">
      <c r="Q404" s="364"/>
      <c r="R404" s="692" t="s">
        <v>839</v>
      </c>
      <c r="S404" s="693"/>
      <c r="T404" s="693"/>
      <c r="U404" s="703">
        <f>IF(T402&gt;0,(VLOOKUP(V404,'Lookup Ready-reckoner'!$L$5:$M$1207,2))," ")</f>
        <v>85.45</v>
      </c>
      <c r="V404" s="695">
        <f>IF(U402&gt;0,(SUM(V402:V403))," ")</f>
        <v>111.52173913043477</v>
      </c>
      <c r="W404" s="696"/>
      <c r="X404" s="364"/>
      <c r="Y404" s="363"/>
      <c r="Z404" s="363"/>
      <c r="AA404"/>
      <c r="AB404"/>
      <c r="AC404"/>
      <c r="AD404"/>
      <c r="AE404"/>
      <c r="AF404"/>
    </row>
    <row r="405" spans="17:32" ht="12.75" customHeight="1">
      <c r="Q405" s="364"/>
      <c r="R405" s="363"/>
      <c r="S405" s="363"/>
      <c r="T405" s="363"/>
      <c r="U405" s="363"/>
      <c r="V405" s="363"/>
      <c r="W405" s="363"/>
      <c r="X405" s="364"/>
      <c r="Y405" s="364"/>
      <c r="Z405" s="364"/>
      <c r="AA405"/>
      <c r="AB405"/>
      <c r="AC405"/>
      <c r="AD405"/>
      <c r="AE405"/>
      <c r="AF405"/>
    </row>
    <row r="406" spans="17:32" ht="12.75" customHeight="1">
      <c r="Q406" s="364"/>
      <c r="R406" s="909" t="str">
        <f>V306</f>
        <v xml:space="preserve">Hilti TE MD20 </v>
      </c>
      <c r="S406" s="909"/>
      <c r="T406" s="909"/>
      <c r="U406" s="909"/>
      <c r="V406" s="909"/>
      <c r="W406" s="909"/>
      <c r="X406" s="364"/>
      <c r="Y406" s="364"/>
      <c r="Z406" s="364"/>
      <c r="AA406"/>
      <c r="AB406"/>
      <c r="AC406"/>
      <c r="AD406"/>
      <c r="AE406"/>
      <c r="AF406"/>
    </row>
    <row r="407" spans="17:32" ht="12.75" customHeight="1" thickBot="1">
      <c r="Q407" s="364"/>
      <c r="R407" s="910" t="s">
        <v>205</v>
      </c>
      <c r="S407" s="911"/>
      <c r="T407" s="911"/>
      <c r="U407" s="911"/>
      <c r="V407" s="911"/>
      <c r="W407" s="912"/>
      <c r="X407" s="364"/>
      <c r="Y407" s="364"/>
      <c r="Z407" s="364"/>
      <c r="AA407"/>
      <c r="AB407"/>
      <c r="AC407"/>
      <c r="AD407"/>
      <c r="AE407"/>
      <c r="AF407"/>
    </row>
    <row r="408" spans="17:32" ht="12.75" customHeight="1" thickBot="1">
      <c r="Q408" s="364"/>
      <c r="R408" s="686" t="s">
        <v>59</v>
      </c>
      <c r="S408" s="577"/>
      <c r="T408" s="687"/>
      <c r="U408" s="687"/>
      <c r="V408" s="687"/>
      <c r="W408" s="688"/>
      <c r="X408" s="364"/>
      <c r="Y408" s="364"/>
      <c r="Z408" s="364"/>
      <c r="AA408"/>
      <c r="AB408"/>
      <c r="AC408"/>
      <c r="AD408"/>
      <c r="AE408"/>
      <c r="AF408"/>
    </row>
    <row r="409" spans="17:32" ht="12.75" customHeight="1">
      <c r="Q409" s="364"/>
      <c r="R409" s="895" t="s">
        <v>845</v>
      </c>
      <c r="S409" s="896"/>
      <c r="T409" s="900" t="s">
        <v>835</v>
      </c>
      <c r="U409" s="900" t="s">
        <v>836</v>
      </c>
      <c r="V409" s="900" t="s">
        <v>837</v>
      </c>
      <c r="W409" s="902" t="s">
        <v>838</v>
      </c>
      <c r="X409" s="364"/>
      <c r="Y409" s="364"/>
      <c r="Z409" s="364"/>
      <c r="AA409"/>
      <c r="AB409"/>
      <c r="AC409"/>
      <c r="AD409"/>
      <c r="AE409"/>
      <c r="AF409"/>
    </row>
    <row r="410" spans="17:32" ht="12.75" customHeight="1">
      <c r="Q410" s="364"/>
      <c r="R410" s="892"/>
      <c r="S410" s="897"/>
      <c r="T410" s="904"/>
      <c r="U410" s="904"/>
      <c r="V410" s="904"/>
      <c r="W410" s="905"/>
      <c r="X410" s="364"/>
      <c r="Y410" s="364"/>
      <c r="Z410" s="364"/>
      <c r="AA410"/>
      <c r="AB410"/>
      <c r="AC410"/>
      <c r="AD410"/>
      <c r="AE410"/>
      <c r="AF410"/>
    </row>
    <row r="411" spans="17:32" ht="12.75" customHeight="1">
      <c r="Q411" s="364"/>
      <c r="R411" s="892"/>
      <c r="S411" s="897"/>
      <c r="T411" s="901"/>
      <c r="U411" s="901"/>
      <c r="V411" s="901"/>
      <c r="W411" s="903"/>
      <c r="X411" s="364"/>
      <c r="Y411" s="364"/>
      <c r="Z411" s="364"/>
      <c r="AA411"/>
      <c r="AB411"/>
      <c r="AC411"/>
      <c r="AD411"/>
      <c r="AE411"/>
      <c r="AF411"/>
    </row>
    <row r="412" spans="17:32" ht="12.75" customHeight="1">
      <c r="Q412" s="364"/>
      <c r="R412" s="892"/>
      <c r="S412" s="897"/>
      <c r="T412" s="704">
        <f>U69</f>
        <v>102</v>
      </c>
      <c r="U412" s="560">
        <f>U62</f>
        <v>2.6666666666666665</v>
      </c>
      <c r="V412" s="690">
        <f>IF(T412&gt;0,W412*U412," ")</f>
        <v>1666.6666666666665</v>
      </c>
      <c r="W412" s="691">
        <f>IF(T412&gt;0,(VLOOKUP(T412,'Lookup Ready-reckoner'!$B$5:$E$1207,4))," ")</f>
        <v>625</v>
      </c>
      <c r="X412" s="364"/>
      <c r="Y412" s="364"/>
      <c r="Z412" s="364"/>
      <c r="AA412"/>
      <c r="AB412"/>
      <c r="AC412"/>
      <c r="AD412"/>
      <c r="AE412"/>
      <c r="AF412"/>
    </row>
    <row r="413" spans="17:32" ht="12.75" customHeight="1">
      <c r="Q413" s="364"/>
      <c r="R413" s="898"/>
      <c r="S413" s="899"/>
      <c r="T413" s="447"/>
      <c r="U413" s="560"/>
      <c r="V413" s="690" t="str">
        <f>IF(T413&gt;0,W413*U413," ")</f>
        <v xml:space="preserve"> </v>
      </c>
      <c r="W413" s="691" t="str">
        <f>IF(T413&gt;0,(VLOOKUP(T413,'Lookup Ready-reckoner'!$B$5:$E$1007,4))," ")</f>
        <v xml:space="preserve"> </v>
      </c>
      <c r="X413" s="364"/>
      <c r="Y413" s="364"/>
      <c r="Z413" s="364"/>
      <c r="AA413"/>
      <c r="AB413"/>
      <c r="AC413"/>
      <c r="AD413"/>
      <c r="AE413"/>
      <c r="AF413"/>
    </row>
    <row r="414" spans="17:32" ht="12.75" customHeight="1" thickBot="1">
      <c r="Q414" s="364"/>
      <c r="R414" s="692" t="s">
        <v>839</v>
      </c>
      <c r="S414" s="693"/>
      <c r="T414" s="693"/>
      <c r="U414" s="705">
        <f>IF(T412&gt;0,(VLOOKUP(V414,'Lookup Ready-reckoner'!$L$5:$M$1207,2))," ")</f>
        <v>97.15</v>
      </c>
      <c r="V414" s="695">
        <f>IF(U412&gt;0,(SUM(V412:V413))," ")</f>
        <v>1666.6666666666665</v>
      </c>
      <c r="W414" s="696"/>
      <c r="X414" s="364"/>
      <c r="Y414" s="364"/>
      <c r="Z414" s="364"/>
      <c r="AA414"/>
      <c r="AB414"/>
      <c r="AC414"/>
      <c r="AD414"/>
      <c r="AE414"/>
      <c r="AF414"/>
    </row>
    <row r="415" spans="17:32" ht="12.75" customHeight="1" thickBot="1">
      <c r="Q415" s="364"/>
      <c r="R415" s="906"/>
      <c r="S415" s="907"/>
      <c r="T415" s="907"/>
      <c r="U415" s="907"/>
      <c r="V415" s="907"/>
      <c r="W415" s="908"/>
      <c r="X415" s="364"/>
      <c r="Y415" s="364"/>
      <c r="Z415" s="364"/>
      <c r="AA415"/>
      <c r="AB415"/>
      <c r="AC415"/>
      <c r="AD415"/>
      <c r="AE415"/>
      <c r="AF415"/>
    </row>
    <row r="416" spans="17:32" ht="12.75" customHeight="1">
      <c r="Q416" s="364"/>
      <c r="R416" s="895" t="s">
        <v>886</v>
      </c>
      <c r="S416" s="896"/>
      <c r="T416" s="900" t="s">
        <v>835</v>
      </c>
      <c r="U416" s="900" t="s">
        <v>836</v>
      </c>
      <c r="V416" s="900" t="s">
        <v>837</v>
      </c>
      <c r="W416" s="902" t="s">
        <v>838</v>
      </c>
      <c r="X416" s="364"/>
      <c r="Y416" s="364"/>
      <c r="Z416" s="364"/>
      <c r="AA416"/>
      <c r="AB416"/>
      <c r="AC416"/>
      <c r="AD416"/>
      <c r="AE416"/>
      <c r="AF416"/>
    </row>
    <row r="417" spans="17:32" ht="12.75" customHeight="1">
      <c r="Q417" s="364"/>
      <c r="R417" s="892"/>
      <c r="S417" s="897"/>
      <c r="T417" s="901"/>
      <c r="U417" s="901"/>
      <c r="V417" s="901"/>
      <c r="W417" s="903"/>
      <c r="X417" s="364"/>
      <c r="Y417" s="364"/>
      <c r="Z417" s="364"/>
      <c r="AA417"/>
      <c r="AB417"/>
      <c r="AC417"/>
      <c r="AD417"/>
      <c r="AE417"/>
      <c r="AF417"/>
    </row>
    <row r="418" spans="17:32" ht="12.75" customHeight="1">
      <c r="Q418" s="364"/>
      <c r="R418" s="892"/>
      <c r="S418" s="897"/>
      <c r="T418" s="704">
        <f>T412*(1-0.0178*2)</f>
        <v>98.368800000000007</v>
      </c>
      <c r="U418" s="560">
        <f>U412</f>
        <v>2.6666666666666665</v>
      </c>
      <c r="V418" s="690">
        <f>IF(T418&gt;0,W418*U418," ")</f>
        <v>725</v>
      </c>
      <c r="W418" s="691">
        <f>IF(T418&gt;0,(VLOOKUP(T418,'Lookup Ready-reckoner'!$B$5:$E$1207,4))," ")</f>
        <v>271.875</v>
      </c>
      <c r="X418" s="364"/>
      <c r="Y418" s="364"/>
      <c r="Z418" s="364"/>
      <c r="AA418"/>
      <c r="AB418"/>
      <c r="AC418"/>
      <c r="AD418"/>
      <c r="AE418"/>
      <c r="AF418"/>
    </row>
    <row r="419" spans="17:32" ht="12.75" customHeight="1">
      <c r="Q419" s="364"/>
      <c r="R419" s="898"/>
      <c r="S419" s="899"/>
      <c r="T419" s="447"/>
      <c r="U419" s="560"/>
      <c r="V419" s="690" t="str">
        <f>IF(T419&gt;0,W419*U419," ")</f>
        <v xml:space="preserve"> </v>
      </c>
      <c r="W419" s="691" t="str">
        <f>IF(T419&gt;0,(VLOOKUP(T419,'Lookup Ready-reckoner'!$B$5:$E$1007,4))," ")</f>
        <v xml:space="preserve"> </v>
      </c>
      <c r="X419" s="364"/>
      <c r="Y419" s="364"/>
      <c r="Z419" s="364"/>
      <c r="AA419"/>
      <c r="AB419"/>
      <c r="AC419"/>
      <c r="AD419"/>
      <c r="AE419"/>
      <c r="AF419"/>
    </row>
    <row r="420" spans="17:32" ht="12.75" customHeight="1" thickBot="1">
      <c r="Q420" s="364"/>
      <c r="R420" s="692" t="s">
        <v>839</v>
      </c>
      <c r="S420" s="693"/>
      <c r="T420" s="693"/>
      <c r="U420" s="705">
        <f>IF(T418&gt;0,(VLOOKUP(V420,'Lookup Ready-reckoner'!$L$5:$M$1207,2))," ")</f>
        <v>93.55</v>
      </c>
      <c r="V420" s="695">
        <f>IF(U418&gt;0,(SUM(V418:V419))," ")</f>
        <v>725</v>
      </c>
      <c r="W420" s="696"/>
      <c r="X420" s="364"/>
      <c r="Y420" s="364"/>
      <c r="Z420" s="364"/>
      <c r="AA420"/>
      <c r="AB420"/>
      <c r="AC420"/>
      <c r="AD420"/>
      <c r="AE420"/>
      <c r="AF420"/>
    </row>
    <row r="421" spans="17:32" ht="12.75" customHeight="1">
      <c r="Q421" s="364"/>
      <c r="R421" s="697"/>
      <c r="S421" s="687"/>
      <c r="T421" s="687"/>
      <c r="U421" s="372"/>
      <c r="V421" s="374"/>
      <c r="W421" s="688"/>
      <c r="X421" s="364"/>
      <c r="Y421" s="364"/>
      <c r="Z421" s="364"/>
      <c r="AA421"/>
      <c r="AB421"/>
      <c r="AC421"/>
      <c r="AD421"/>
      <c r="AE421"/>
      <c r="AF421"/>
    </row>
    <row r="422" spans="17:32" ht="12.75" customHeight="1" thickBot="1">
      <c r="Q422" s="364"/>
      <c r="R422" s="686" t="s">
        <v>60</v>
      </c>
      <c r="S422" s="577"/>
      <c r="T422" s="577"/>
      <c r="U422" s="577"/>
      <c r="V422" s="577"/>
      <c r="W422" s="698"/>
      <c r="X422" s="364"/>
      <c r="Y422" s="364"/>
      <c r="Z422" s="364"/>
      <c r="AA422"/>
      <c r="AB422"/>
      <c r="AC422"/>
      <c r="AD422"/>
      <c r="AE422"/>
      <c r="AF422"/>
    </row>
    <row r="423" spans="17:32" ht="12.75" customHeight="1">
      <c r="Q423" s="364"/>
      <c r="R423" s="895" t="s">
        <v>845</v>
      </c>
      <c r="S423" s="896"/>
      <c r="T423" s="900" t="s">
        <v>835</v>
      </c>
      <c r="U423" s="900" t="s">
        <v>836</v>
      </c>
      <c r="V423" s="900" t="s">
        <v>837</v>
      </c>
      <c r="W423" s="902" t="s">
        <v>838</v>
      </c>
      <c r="X423" s="364"/>
      <c r="Y423" s="364"/>
      <c r="Z423" s="364"/>
      <c r="AA423"/>
      <c r="AB423"/>
      <c r="AC423"/>
      <c r="AD423"/>
      <c r="AE423"/>
      <c r="AF423"/>
    </row>
    <row r="424" spans="17:32" ht="12.75" customHeight="1">
      <c r="Q424" s="364"/>
      <c r="R424" s="892"/>
      <c r="S424" s="897"/>
      <c r="T424" s="901"/>
      <c r="U424" s="901"/>
      <c r="V424" s="901"/>
      <c r="W424" s="903"/>
      <c r="X424" s="364"/>
      <c r="Y424" s="364"/>
      <c r="Z424" s="364"/>
      <c r="AA424"/>
      <c r="AB424"/>
      <c r="AC424"/>
      <c r="AD424"/>
      <c r="AE424"/>
      <c r="AF424"/>
    </row>
    <row r="425" spans="17:32" ht="12.75" customHeight="1">
      <c r="Q425" s="364"/>
      <c r="R425" s="892"/>
      <c r="S425" s="897"/>
      <c r="T425" s="704">
        <f>T412-PPE!$I$15</f>
        <v>89</v>
      </c>
      <c r="U425" s="560">
        <f>U418</f>
        <v>2.6666666666666665</v>
      </c>
      <c r="V425" s="690">
        <f>IF(T425&gt;0,W425*U425," ")</f>
        <v>83.333333333333329</v>
      </c>
      <c r="W425" s="691">
        <f>IF(T425&gt;0,(VLOOKUP(T425,'Lookup Ready-reckoner'!$B$5:$E$1207,4))," ")</f>
        <v>31.25</v>
      </c>
      <c r="X425" s="364"/>
      <c r="Y425" s="364"/>
      <c r="Z425" s="364"/>
      <c r="AA425"/>
      <c r="AB425"/>
      <c r="AC425"/>
      <c r="AD425"/>
      <c r="AE425"/>
      <c r="AF425"/>
    </row>
    <row r="426" spans="17:32" ht="12.75" customHeight="1">
      <c r="Q426" s="364"/>
      <c r="R426" s="898"/>
      <c r="S426" s="899"/>
      <c r="T426" s="447"/>
      <c r="U426" s="560"/>
      <c r="V426" s="690" t="str">
        <f>IF(T426&gt;0,W426*U426," ")</f>
        <v xml:space="preserve"> </v>
      </c>
      <c r="W426" s="691" t="str">
        <f>IF(T426&gt;0,(VLOOKUP(T426,'Lookup Ready-reckoner'!$B$5:$E$1007,4))," ")</f>
        <v xml:space="preserve"> </v>
      </c>
      <c r="X426" s="364"/>
      <c r="Y426" s="364"/>
      <c r="Z426" s="364"/>
      <c r="AA426"/>
      <c r="AB426"/>
      <c r="AC426"/>
      <c r="AD426"/>
      <c r="AE426"/>
      <c r="AF426"/>
    </row>
    <row r="427" spans="17:32" ht="12.75" customHeight="1" thickBot="1">
      <c r="Q427" s="364"/>
      <c r="R427" s="692" t="s">
        <v>839</v>
      </c>
      <c r="S427" s="693"/>
      <c r="T427" s="693"/>
      <c r="U427" s="705">
        <f>IF(T425&gt;0,(VLOOKUP(V427,'Lookup Ready-reckoner'!$L$5:$M$1207,2))," ")</f>
        <v>84.15</v>
      </c>
      <c r="V427" s="695">
        <f>IF(U425&gt;0,(SUM(V425:V426))," ")</f>
        <v>83.333333333333329</v>
      </c>
      <c r="W427" s="696"/>
      <c r="X427" s="364"/>
      <c r="Y427" s="364"/>
      <c r="Z427" s="364"/>
      <c r="AA427"/>
      <c r="AB427"/>
      <c r="AC427"/>
      <c r="AD427"/>
      <c r="AE427"/>
      <c r="AF427"/>
    </row>
    <row r="428" spans="17:32" ht="12.75" customHeight="1" thickBot="1">
      <c r="Q428" s="364"/>
      <c r="R428" s="892"/>
      <c r="S428" s="893"/>
      <c r="T428" s="893"/>
      <c r="U428" s="893"/>
      <c r="V428" s="893"/>
      <c r="W428" s="894"/>
      <c r="X428" s="364"/>
      <c r="Y428" s="364"/>
      <c r="Z428" s="364"/>
      <c r="AA428"/>
      <c r="AB428"/>
      <c r="AC428"/>
      <c r="AD428"/>
      <c r="AE428"/>
      <c r="AF428"/>
    </row>
    <row r="429" spans="17:32" ht="12.75" customHeight="1">
      <c r="Q429" s="364"/>
      <c r="R429" s="895" t="s">
        <v>886</v>
      </c>
      <c r="S429" s="896"/>
      <c r="T429" s="900" t="s">
        <v>835</v>
      </c>
      <c r="U429" s="900" t="s">
        <v>836</v>
      </c>
      <c r="V429" s="900" t="s">
        <v>837</v>
      </c>
      <c r="W429" s="902" t="s">
        <v>838</v>
      </c>
      <c r="X429" s="364"/>
      <c r="Y429" s="364"/>
      <c r="Z429" s="364"/>
      <c r="AA429"/>
      <c r="AB429"/>
      <c r="AC429"/>
      <c r="AD429"/>
      <c r="AE429"/>
      <c r="AF429"/>
    </row>
    <row r="430" spans="17:32" ht="12.75" customHeight="1">
      <c r="Q430" s="364"/>
      <c r="R430" s="892"/>
      <c r="S430" s="897"/>
      <c r="T430" s="901"/>
      <c r="U430" s="901"/>
      <c r="V430" s="901"/>
      <c r="W430" s="903"/>
      <c r="X430" s="364"/>
      <c r="Y430" s="364"/>
      <c r="Z430" s="364"/>
      <c r="AA430"/>
      <c r="AB430"/>
      <c r="AC430"/>
      <c r="AD430"/>
      <c r="AE430"/>
      <c r="AF430"/>
    </row>
    <row r="431" spans="17:32" ht="12.75" customHeight="1">
      <c r="Q431" s="364"/>
      <c r="R431" s="892"/>
      <c r="S431" s="897"/>
      <c r="T431" s="704">
        <f>T418-PPE!$I$15</f>
        <v>85.368800000000007</v>
      </c>
      <c r="U431" s="560">
        <f>U425</f>
        <v>2.6666666666666665</v>
      </c>
      <c r="V431" s="690">
        <f>IF(T431&gt;0,W431*U431," ")</f>
        <v>36.25</v>
      </c>
      <c r="W431" s="691">
        <f>IF(T431&gt;0,(VLOOKUP(T431,'Lookup Ready-reckoner'!$B$5:$E$1207,4))," ")</f>
        <v>13.59375</v>
      </c>
      <c r="X431" s="364"/>
      <c r="Y431" s="364"/>
      <c r="Z431" s="364"/>
      <c r="AA431"/>
      <c r="AB431"/>
      <c r="AC431"/>
      <c r="AD431"/>
      <c r="AE431"/>
      <c r="AF431"/>
    </row>
    <row r="432" spans="17:32" ht="12.75" customHeight="1">
      <c r="Q432" s="364"/>
      <c r="R432" s="898"/>
      <c r="S432" s="899"/>
      <c r="T432" s="447"/>
      <c r="U432" s="560"/>
      <c r="V432" s="690" t="str">
        <f>IF(T432&gt;0,W432*U432," ")</f>
        <v xml:space="preserve"> </v>
      </c>
      <c r="W432" s="691" t="str">
        <f>IF(T432&gt;0,(VLOOKUP(T432,'Lookup Ready-reckoner'!$B$5:$E$1007,4))," ")</f>
        <v xml:space="preserve"> </v>
      </c>
      <c r="X432" s="364"/>
      <c r="Y432" s="364"/>
      <c r="Z432" s="364"/>
      <c r="AA432"/>
      <c r="AB432"/>
      <c r="AC432"/>
      <c r="AD432"/>
      <c r="AE432"/>
      <c r="AF432"/>
    </row>
    <row r="433" spans="17:32" ht="12.75" customHeight="1" thickBot="1">
      <c r="Q433" s="364"/>
      <c r="R433" s="692" t="s">
        <v>839</v>
      </c>
      <c r="S433" s="693"/>
      <c r="T433" s="693"/>
      <c r="U433" s="705">
        <f>IF(T431&gt;0,(VLOOKUP(V433,'Lookup Ready-reckoner'!$L$5:$M$1207,2))," ")</f>
        <v>80.5</v>
      </c>
      <c r="V433" s="695">
        <f>IF(U431&gt;0,(SUM(V431:V432))," ")</f>
        <v>36.25</v>
      </c>
      <c r="W433" s="696"/>
      <c r="X433" s="364"/>
      <c r="Y433" s="364"/>
      <c r="Z433" s="364"/>
      <c r="AA433"/>
      <c r="AB433"/>
      <c r="AC433"/>
      <c r="AD433"/>
      <c r="AE433"/>
      <c r="AF433"/>
    </row>
    <row r="434" spans="17:32" ht="12.75" customHeight="1" thickBot="1">
      <c r="Q434" s="364"/>
      <c r="R434" s="364"/>
      <c r="S434" s="364"/>
      <c r="T434" s="364"/>
      <c r="U434" s="364"/>
      <c r="V434" s="364"/>
      <c r="W434" s="364"/>
      <c r="X434" s="364"/>
      <c r="Y434" s="364"/>
      <c r="Z434" s="364"/>
      <c r="AA434"/>
      <c r="AB434"/>
      <c r="AC434"/>
      <c r="AD434"/>
      <c r="AE434"/>
      <c r="AF434"/>
    </row>
    <row r="435" spans="17:32" ht="12.75" customHeight="1" thickTop="1">
      <c r="Q435" s="364"/>
      <c r="R435" s="916" t="s">
        <v>429</v>
      </c>
      <c r="S435" s="917"/>
      <c r="T435" s="917"/>
      <c r="U435" s="917"/>
      <c r="V435" s="917"/>
      <c r="W435" s="918"/>
      <c r="X435" s="364"/>
      <c r="Y435" s="364"/>
      <c r="Z435" s="364"/>
      <c r="AA435"/>
      <c r="AB435"/>
      <c r="AC435"/>
      <c r="AD435"/>
      <c r="AE435"/>
      <c r="AF435"/>
    </row>
    <row r="436" spans="17:32" ht="12.75" customHeight="1">
      <c r="Q436" s="364"/>
      <c r="R436" s="919"/>
      <c r="S436" s="920"/>
      <c r="T436" s="920"/>
      <c r="U436" s="920"/>
      <c r="V436" s="920"/>
      <c r="W436" s="921"/>
      <c r="X436" s="364"/>
      <c r="Y436" s="364"/>
      <c r="Z436" s="364"/>
      <c r="AA436"/>
      <c r="AB436"/>
      <c r="AC436"/>
      <c r="AD436"/>
      <c r="AE436"/>
      <c r="AF436"/>
    </row>
    <row r="437" spans="17:32" ht="12.75" customHeight="1" thickBot="1">
      <c r="Q437" s="364"/>
      <c r="R437" s="922"/>
      <c r="S437" s="923"/>
      <c r="T437" s="923"/>
      <c r="U437" s="923"/>
      <c r="V437" s="923"/>
      <c r="W437" s="924"/>
      <c r="X437" s="364"/>
      <c r="Y437" s="364"/>
      <c r="Z437" s="364"/>
      <c r="AA437"/>
      <c r="AB437"/>
      <c r="AC437"/>
      <c r="AD437"/>
      <c r="AE437"/>
      <c r="AF437"/>
    </row>
    <row r="438" spans="17:32" ht="12.75" customHeight="1" thickTop="1">
      <c r="Q438" s="364"/>
      <c r="R438" s="925" t="str">
        <f>R319</f>
        <v>Seco S215</v>
      </c>
      <c r="S438" s="925"/>
      <c r="T438" s="925"/>
      <c r="U438" s="925"/>
      <c r="V438" s="925"/>
      <c r="W438" s="925"/>
      <c r="X438" s="364"/>
      <c r="Y438" s="364"/>
      <c r="Z438" s="364"/>
      <c r="AA438"/>
      <c r="AB438"/>
      <c r="AC438"/>
      <c r="AD438"/>
      <c r="AE438"/>
      <c r="AF438"/>
    </row>
    <row r="439" spans="17:32" ht="12.75" customHeight="1" thickBot="1">
      <c r="Q439" s="364"/>
      <c r="R439" s="910" t="s">
        <v>205</v>
      </c>
      <c r="S439" s="911"/>
      <c r="T439" s="911"/>
      <c r="U439" s="911"/>
      <c r="V439" s="911"/>
      <c r="W439" s="912"/>
      <c r="X439" s="364"/>
      <c r="Y439" s="364"/>
      <c r="Z439" s="364"/>
      <c r="AA439"/>
      <c r="AB439"/>
      <c r="AC439"/>
      <c r="AD439"/>
      <c r="AE439"/>
      <c r="AF439"/>
    </row>
    <row r="440" spans="17:32" ht="12.75" customHeight="1" thickBot="1">
      <c r="Q440" s="364"/>
      <c r="R440" s="686" t="s">
        <v>59</v>
      </c>
      <c r="S440" s="577"/>
      <c r="T440" s="687"/>
      <c r="U440" s="687"/>
      <c r="V440" s="687"/>
      <c r="W440" s="688"/>
      <c r="X440" s="364"/>
      <c r="Y440" s="364"/>
      <c r="Z440" s="364"/>
      <c r="AA440"/>
      <c r="AB440"/>
      <c r="AC440"/>
      <c r="AD440"/>
      <c r="AE440"/>
      <c r="AF440"/>
    </row>
    <row r="441" spans="17:32" ht="12.75" customHeight="1">
      <c r="Q441" s="364"/>
      <c r="R441" s="895" t="s">
        <v>845</v>
      </c>
      <c r="S441" s="896"/>
      <c r="T441" s="900" t="s">
        <v>835</v>
      </c>
      <c r="U441" s="900" t="s">
        <v>836</v>
      </c>
      <c r="V441" s="900" t="s">
        <v>837</v>
      </c>
      <c r="W441" s="902" t="s">
        <v>838</v>
      </c>
      <c r="X441" s="364"/>
      <c r="Y441" s="364"/>
      <c r="Z441" s="364"/>
      <c r="AA441"/>
      <c r="AB441"/>
      <c r="AC441"/>
      <c r="AD441"/>
      <c r="AE441"/>
      <c r="AF441"/>
    </row>
    <row r="442" spans="17:32" ht="12.75" customHeight="1">
      <c r="Q442" s="364"/>
      <c r="R442" s="892"/>
      <c r="S442" s="897"/>
      <c r="T442" s="904"/>
      <c r="U442" s="904"/>
      <c r="V442" s="904"/>
      <c r="W442" s="905"/>
      <c r="X442" s="364"/>
      <c r="Y442" s="364"/>
      <c r="Z442" s="364"/>
      <c r="AA442"/>
      <c r="AB442"/>
      <c r="AC442"/>
      <c r="AD442"/>
      <c r="AE442"/>
      <c r="AF442"/>
    </row>
    <row r="443" spans="17:32" ht="12.75" customHeight="1">
      <c r="Q443" s="364"/>
      <c r="R443" s="892"/>
      <c r="S443" s="897"/>
      <c r="T443" s="901"/>
      <c r="U443" s="901"/>
      <c r="V443" s="901"/>
      <c r="W443" s="903"/>
      <c r="X443" s="364"/>
      <c r="Y443" s="364"/>
      <c r="Z443" s="364"/>
      <c r="AA443"/>
      <c r="AB443"/>
      <c r="AC443"/>
      <c r="AD443"/>
      <c r="AE443"/>
      <c r="AF443"/>
    </row>
    <row r="444" spans="17:32" ht="12.75" customHeight="1">
      <c r="Q444" s="364"/>
      <c r="R444" s="892"/>
      <c r="S444" s="897"/>
      <c r="T444" s="689">
        <f>X76</f>
        <v>122.02059991327964</v>
      </c>
      <c r="U444" s="560">
        <f>X62</f>
        <v>1.4285714285714284</v>
      </c>
      <c r="V444" s="690">
        <f>IF(T444&gt;0,W444*U444," ")</f>
        <v>79999.999999999985</v>
      </c>
      <c r="W444" s="691">
        <f>IF(T444&gt;0,(VLOOKUP(T444,'Lookup Ready-reckoner'!$B$5:$E$1207,4))," ")</f>
        <v>56000</v>
      </c>
      <c r="X444" s="364"/>
      <c r="Y444" s="364"/>
      <c r="Z444" s="364"/>
      <c r="AA444"/>
      <c r="AB444"/>
      <c r="AC444"/>
      <c r="AD444"/>
      <c r="AE444"/>
      <c r="AF444"/>
    </row>
    <row r="445" spans="17:32" ht="12.75" customHeight="1">
      <c r="Q445" s="364"/>
      <c r="R445" s="898"/>
      <c r="S445" s="899"/>
      <c r="T445" s="447"/>
      <c r="U445" s="560"/>
      <c r="V445" s="690" t="str">
        <f>IF(T445&gt;0,W445*U445," ")</f>
        <v xml:space="preserve"> </v>
      </c>
      <c r="W445" s="691" t="str">
        <f>IF(T445&gt;0,(VLOOKUP(T445,'Lookup Ready-reckoner'!$B$5:$E$1007,4))," ")</f>
        <v xml:space="preserve"> </v>
      </c>
      <c r="X445" s="364"/>
      <c r="Y445" s="364"/>
      <c r="Z445" s="364"/>
      <c r="AA445"/>
      <c r="AB445"/>
      <c r="AC445"/>
      <c r="AD445"/>
      <c r="AE445"/>
      <c r="AF445"/>
    </row>
    <row r="446" spans="17:32" ht="12.75" customHeight="1" thickBot="1">
      <c r="Q446" s="364"/>
      <c r="R446" s="692" t="s">
        <v>839</v>
      </c>
      <c r="S446" s="693"/>
      <c r="T446" s="693"/>
      <c r="U446" s="694">
        <f>IF(T444&gt;0,(VLOOKUP(V446,'Lookup Ready-reckoner'!$L$5:$M$1207,2))," ")</f>
        <v>113.95</v>
      </c>
      <c r="V446" s="695">
        <f>IF(U444&gt;0,(SUM(V444:V445))," ")</f>
        <v>79999.999999999985</v>
      </c>
      <c r="W446" s="696"/>
      <c r="X446" s="364"/>
      <c r="Y446" s="364"/>
      <c r="Z446" s="364"/>
      <c r="AA446"/>
      <c r="AB446"/>
      <c r="AC446"/>
      <c r="AD446"/>
      <c r="AE446"/>
      <c r="AF446"/>
    </row>
    <row r="447" spans="17:32" ht="12.75" customHeight="1" thickBot="1">
      <c r="Q447" s="364"/>
      <c r="R447" s="892"/>
      <c r="S447" s="893"/>
      <c r="T447" s="893"/>
      <c r="U447" s="893"/>
      <c r="V447" s="893"/>
      <c r="W447" s="894"/>
      <c r="X447" s="364"/>
      <c r="Y447" s="364"/>
      <c r="Z447" s="364"/>
      <c r="AA447"/>
      <c r="AB447"/>
      <c r="AC447"/>
      <c r="AD447"/>
      <c r="AE447"/>
      <c r="AF447"/>
    </row>
    <row r="448" spans="17:32" ht="12.75" customHeight="1">
      <c r="Q448" s="364"/>
      <c r="R448" s="895" t="s">
        <v>886</v>
      </c>
      <c r="S448" s="896"/>
      <c r="T448" s="900" t="s">
        <v>835</v>
      </c>
      <c r="U448" s="900" t="s">
        <v>836</v>
      </c>
      <c r="V448" s="900" t="s">
        <v>837</v>
      </c>
      <c r="W448" s="902" t="s">
        <v>838</v>
      </c>
      <c r="X448" s="364"/>
      <c r="Y448" s="364"/>
      <c r="Z448" s="364"/>
      <c r="AA448"/>
      <c r="AB448"/>
      <c r="AC448"/>
      <c r="AD448"/>
      <c r="AE448"/>
      <c r="AF448"/>
    </row>
    <row r="449" spans="17:32" ht="12.75" customHeight="1">
      <c r="Q449" s="364"/>
      <c r="R449" s="892"/>
      <c r="S449" s="897"/>
      <c r="T449" s="901"/>
      <c r="U449" s="901"/>
      <c r="V449" s="901"/>
      <c r="W449" s="903"/>
      <c r="X449" s="364"/>
      <c r="Y449" s="364"/>
      <c r="Z449" s="364"/>
      <c r="AA449"/>
      <c r="AB449"/>
      <c r="AC449"/>
      <c r="AD449"/>
      <c r="AE449"/>
      <c r="AF449"/>
    </row>
    <row r="450" spans="17:32" ht="12.75" customHeight="1">
      <c r="Q450" s="364"/>
      <c r="R450" s="892"/>
      <c r="S450" s="897"/>
      <c r="T450" s="689">
        <f>T444*(1-0.0178*2)</f>
        <v>117.67666655636688</v>
      </c>
      <c r="U450" s="560">
        <f>U444</f>
        <v>1.4285714285714284</v>
      </c>
      <c r="V450" s="690">
        <f>IF(T450&gt;0,W450*U450," ")</f>
        <v>33771.428571428565</v>
      </c>
      <c r="W450" s="691">
        <f>IF(T450&gt;0,(VLOOKUP(T450,'Lookup Ready-reckoner'!$B$5:$E$1207,4))," ")</f>
        <v>23640</v>
      </c>
      <c r="X450" s="364"/>
      <c r="Y450" s="364"/>
      <c r="Z450" s="364"/>
      <c r="AA450"/>
      <c r="AB450"/>
      <c r="AC450"/>
      <c r="AD450"/>
      <c r="AE450"/>
      <c r="AF450"/>
    </row>
    <row r="451" spans="17:32" ht="12.75" customHeight="1">
      <c r="Q451" s="364"/>
      <c r="R451" s="898"/>
      <c r="S451" s="899"/>
      <c r="T451" s="447"/>
      <c r="U451" s="560"/>
      <c r="V451" s="690" t="str">
        <f>IF(T451&gt;0,W451*U451," ")</f>
        <v xml:space="preserve"> </v>
      </c>
      <c r="W451" s="691" t="str">
        <f>IF(T451&gt;0,(VLOOKUP(T451,'Lookup Ready-reckoner'!$B$5:$E$1007,4))," ")</f>
        <v xml:space="preserve"> </v>
      </c>
      <c r="X451" s="364"/>
      <c r="Y451" s="364"/>
      <c r="Z451" s="364"/>
      <c r="AA451"/>
      <c r="AB451"/>
      <c r="AC451"/>
      <c r="AD451"/>
      <c r="AE451"/>
      <c r="AF451"/>
    </row>
    <row r="452" spans="17:32" ht="12.75" customHeight="1" thickBot="1">
      <c r="Q452" s="364"/>
      <c r="R452" s="692" t="s">
        <v>839</v>
      </c>
      <c r="S452" s="693"/>
      <c r="T452" s="693"/>
      <c r="U452" s="694">
        <f>IF(T450&gt;0,(VLOOKUP(V452,'Lookup Ready-reckoner'!$L$5:$M$1207,2))," ")</f>
        <v>110.2</v>
      </c>
      <c r="V452" s="695">
        <f>IF(U450&gt;0,(SUM(V450:V451))," ")</f>
        <v>33771.428571428565</v>
      </c>
      <c r="W452" s="696"/>
      <c r="X452" s="364"/>
      <c r="Y452" s="364"/>
      <c r="Z452" s="364"/>
      <c r="AA452"/>
      <c r="AB452"/>
      <c r="AC452"/>
      <c r="AD452"/>
      <c r="AE452"/>
      <c r="AF452"/>
    </row>
    <row r="453" spans="17:32" ht="12.75" customHeight="1">
      <c r="Q453" s="364"/>
      <c r="R453" s="697"/>
      <c r="S453" s="687"/>
      <c r="T453" s="687"/>
      <c r="U453" s="372"/>
      <c r="V453" s="374"/>
      <c r="W453" s="688"/>
      <c r="X453" s="364"/>
      <c r="Y453" s="364"/>
      <c r="Z453" s="364"/>
      <c r="AA453"/>
      <c r="AB453"/>
      <c r="AC453"/>
      <c r="AD453"/>
      <c r="AE453"/>
      <c r="AF453"/>
    </row>
    <row r="454" spans="17:32" ht="12.75" customHeight="1" thickBot="1">
      <c r="Q454" s="364"/>
      <c r="R454" s="686" t="s">
        <v>60</v>
      </c>
      <c r="S454" s="577"/>
      <c r="T454" s="577"/>
      <c r="U454" s="577"/>
      <c r="V454" s="577"/>
      <c r="W454" s="698"/>
      <c r="X454" s="364"/>
      <c r="Y454" s="364"/>
      <c r="Z454" s="364"/>
      <c r="AA454"/>
      <c r="AB454"/>
      <c r="AC454"/>
      <c r="AD454"/>
      <c r="AE454"/>
      <c r="AF454"/>
    </row>
    <row r="455" spans="17:32" ht="12.75" customHeight="1">
      <c r="Q455" s="364"/>
      <c r="R455" s="895" t="s">
        <v>845</v>
      </c>
      <c r="S455" s="896"/>
      <c r="T455" s="900" t="s">
        <v>835</v>
      </c>
      <c r="U455" s="900" t="s">
        <v>836</v>
      </c>
      <c r="V455" s="900" t="s">
        <v>837</v>
      </c>
      <c r="W455" s="902" t="s">
        <v>838</v>
      </c>
      <c r="X455" s="364"/>
      <c r="Y455" s="364"/>
      <c r="Z455" s="364"/>
      <c r="AA455"/>
      <c r="AB455"/>
      <c r="AC455"/>
      <c r="AD455"/>
      <c r="AE455"/>
      <c r="AF455"/>
    </row>
    <row r="456" spans="17:32" ht="12.75" customHeight="1">
      <c r="Q456" s="364"/>
      <c r="R456" s="892"/>
      <c r="S456" s="897"/>
      <c r="T456" s="901"/>
      <c r="U456" s="901"/>
      <c r="V456" s="901"/>
      <c r="W456" s="903"/>
      <c r="X456" s="364"/>
      <c r="Y456" s="364"/>
      <c r="Z456" s="364"/>
      <c r="AA456"/>
      <c r="AB456"/>
      <c r="AC456"/>
      <c r="AD456"/>
      <c r="AE456"/>
      <c r="AF456"/>
    </row>
    <row r="457" spans="17:32" ht="12.75" customHeight="1">
      <c r="Q457" s="364"/>
      <c r="R457" s="892"/>
      <c r="S457" s="897"/>
      <c r="T457" s="689">
        <f>T444-PPE!$I$15</f>
        <v>109.02059991327964</v>
      </c>
      <c r="U457" s="560">
        <f>U450</f>
        <v>1.4285714285714284</v>
      </c>
      <c r="V457" s="690">
        <f>IF(T457&gt;0,W457*U457," ")</f>
        <v>4571.4285714285706</v>
      </c>
      <c r="W457" s="691">
        <f>IF(T457&gt;0,(VLOOKUP(T457,'Lookup Ready-reckoner'!$B$5:$E$1207,4))," ")</f>
        <v>3200</v>
      </c>
      <c r="X457" s="364"/>
      <c r="Y457" s="364"/>
      <c r="Z457" s="364"/>
      <c r="AA457"/>
      <c r="AB457"/>
      <c r="AC457"/>
      <c r="AD457"/>
      <c r="AE457"/>
      <c r="AF457"/>
    </row>
    <row r="458" spans="17:32" ht="12.75" customHeight="1">
      <c r="Q458" s="364"/>
      <c r="R458" s="898"/>
      <c r="S458" s="899"/>
      <c r="T458" s="447"/>
      <c r="U458" s="560"/>
      <c r="V458" s="690" t="str">
        <f>IF(T458&gt;0,W458*U458," ")</f>
        <v xml:space="preserve"> </v>
      </c>
      <c r="W458" s="691" t="str">
        <f>IF(T458&gt;0,(VLOOKUP(T458,'Lookup Ready-reckoner'!$B$5:$E$1007,4))," ")</f>
        <v xml:space="preserve"> </v>
      </c>
      <c r="X458" s="364"/>
      <c r="Y458" s="364"/>
      <c r="Z458" s="364"/>
      <c r="AA458"/>
      <c r="AB458"/>
      <c r="AC458"/>
      <c r="AD458"/>
      <c r="AE458"/>
      <c r="AF458"/>
    </row>
    <row r="459" spans="17:32" ht="12.75" customHeight="1" thickBot="1">
      <c r="Q459" s="364"/>
      <c r="R459" s="699" t="s">
        <v>839</v>
      </c>
      <c r="S459" s="693"/>
      <c r="T459" s="693"/>
      <c r="U459" s="694">
        <f>IF(T457&gt;0,(VLOOKUP(V459,'Lookup Ready-reckoner'!$L$5:$M$1207,2))," ")</f>
        <v>101.55</v>
      </c>
      <c r="V459" s="695">
        <f>IF(U457&gt;0,(SUM(V457:V458))," ")</f>
        <v>4571.4285714285706</v>
      </c>
      <c r="W459" s="696"/>
      <c r="X459" s="364"/>
      <c r="Y459" s="364"/>
      <c r="Z459" s="364"/>
      <c r="AA459"/>
      <c r="AB459"/>
      <c r="AC459"/>
      <c r="AD459"/>
      <c r="AE459"/>
      <c r="AF459"/>
    </row>
    <row r="460" spans="17:32" ht="12.75" customHeight="1" thickBot="1">
      <c r="Q460" s="364"/>
      <c r="R460" s="892"/>
      <c r="S460" s="893"/>
      <c r="T460" s="893"/>
      <c r="U460" s="893"/>
      <c r="V460" s="893"/>
      <c r="W460" s="894"/>
      <c r="X460" s="364"/>
      <c r="Y460" s="364"/>
      <c r="Z460" s="364"/>
      <c r="AA460"/>
      <c r="AB460"/>
      <c r="AC460"/>
      <c r="AD460"/>
      <c r="AE460"/>
      <c r="AF460"/>
    </row>
    <row r="461" spans="17:32" ht="12.75" customHeight="1">
      <c r="Q461" s="364"/>
      <c r="R461" s="895" t="s">
        <v>886</v>
      </c>
      <c r="S461" s="896"/>
      <c r="T461" s="900" t="s">
        <v>835</v>
      </c>
      <c r="U461" s="900" t="s">
        <v>836</v>
      </c>
      <c r="V461" s="900" t="s">
        <v>837</v>
      </c>
      <c r="W461" s="902" t="s">
        <v>838</v>
      </c>
      <c r="X461" s="364"/>
      <c r="Y461" s="364"/>
      <c r="Z461" s="364"/>
      <c r="AA461"/>
      <c r="AB461"/>
      <c r="AC461"/>
      <c r="AD461"/>
      <c r="AE461"/>
      <c r="AF461"/>
    </row>
    <row r="462" spans="17:32" ht="12.75" customHeight="1">
      <c r="Q462" s="364"/>
      <c r="R462" s="892"/>
      <c r="S462" s="897"/>
      <c r="T462" s="901"/>
      <c r="U462" s="901"/>
      <c r="V462" s="901"/>
      <c r="W462" s="903"/>
      <c r="X462" s="364"/>
      <c r="Y462" s="364"/>
      <c r="Z462" s="364"/>
      <c r="AA462"/>
      <c r="AB462"/>
      <c r="AC462"/>
      <c r="AD462"/>
      <c r="AE462"/>
      <c r="AF462"/>
    </row>
    <row r="463" spans="17:32" ht="12.75" customHeight="1">
      <c r="Q463" s="364"/>
      <c r="R463" s="892"/>
      <c r="S463" s="897"/>
      <c r="T463" s="689">
        <f>T450-PPE!$I$15</f>
        <v>104.67666655636688</v>
      </c>
      <c r="U463" s="560">
        <f>U457</f>
        <v>1.4285714285714284</v>
      </c>
      <c r="V463" s="690">
        <f>IF(T463&gt;0,W463*U463," ")</f>
        <v>1660.7142857142856</v>
      </c>
      <c r="W463" s="691">
        <f>IF(T463&gt;0,(VLOOKUP(T463,'Lookup Ready-reckoner'!$B$5:$E$1207,4))," ")</f>
        <v>1162.5</v>
      </c>
      <c r="X463" s="364"/>
      <c r="Y463" s="364"/>
      <c r="Z463" s="364"/>
      <c r="AA463"/>
      <c r="AB463"/>
      <c r="AC463"/>
      <c r="AD463"/>
      <c r="AE463"/>
      <c r="AF463"/>
    </row>
    <row r="464" spans="17:32" ht="12.75" customHeight="1">
      <c r="Q464" s="364"/>
      <c r="R464" s="898"/>
      <c r="S464" s="899"/>
      <c r="T464" s="447"/>
      <c r="U464" s="560"/>
      <c r="V464" s="690" t="str">
        <f>IF(T464&gt;0,W464*U464," ")</f>
        <v xml:space="preserve"> </v>
      </c>
      <c r="W464" s="691" t="str">
        <f>IF(T464&gt;0,(VLOOKUP(T464,'Lookup Ready-reckoner'!$B$5:$E$1007,4))," ")</f>
        <v xml:space="preserve"> </v>
      </c>
      <c r="X464" s="364"/>
      <c r="Y464" s="364"/>
      <c r="Z464" s="364"/>
      <c r="AA464"/>
      <c r="AB464"/>
      <c r="AC464"/>
      <c r="AD464"/>
      <c r="AE464"/>
      <c r="AF464"/>
    </row>
    <row r="465" spans="17:32" ht="12.75" customHeight="1" thickBot="1">
      <c r="Q465" s="364"/>
      <c r="R465" s="692" t="s">
        <v>839</v>
      </c>
      <c r="S465" s="693"/>
      <c r="T465" s="693"/>
      <c r="U465" s="694">
        <f>IF(T463&gt;0,(VLOOKUP(V465,'Lookup Ready-reckoner'!$L$5:$M$1207,2))," ")</f>
        <v>97.15</v>
      </c>
      <c r="V465" s="695">
        <f>IF(U463&gt;0,(SUM(V463:V464))," ")</f>
        <v>1660.7142857142856</v>
      </c>
      <c r="W465" s="696"/>
      <c r="X465" s="364"/>
      <c r="Y465" s="364"/>
      <c r="Z465" s="364"/>
      <c r="AA465"/>
      <c r="AB465"/>
      <c r="AC465"/>
      <c r="AD465"/>
      <c r="AE465"/>
      <c r="AF465"/>
    </row>
    <row r="466" spans="17:32" ht="12.75" customHeight="1">
      <c r="Q466" s="364"/>
      <c r="R466" s="363"/>
      <c r="S466" s="363"/>
      <c r="T466" s="363"/>
      <c r="U466" s="363"/>
      <c r="V466" s="363"/>
      <c r="W466" s="363"/>
      <c r="X466" s="364"/>
      <c r="Y466" s="364"/>
      <c r="Z466" s="364"/>
      <c r="AA466"/>
      <c r="AB466"/>
      <c r="AC466"/>
      <c r="AD466"/>
      <c r="AE466"/>
      <c r="AF466"/>
    </row>
    <row r="467" spans="17:32" ht="12.75" customHeight="1" thickBot="1">
      <c r="Q467" s="364"/>
      <c r="R467" s="915" t="str">
        <f>R348</f>
        <v>Seco S215 Muffled</v>
      </c>
      <c r="S467" s="915"/>
      <c r="T467" s="915"/>
      <c r="U467" s="915"/>
      <c r="V467" s="915"/>
      <c r="W467" s="915"/>
      <c r="X467" s="364"/>
      <c r="Y467" s="364"/>
      <c r="Z467" s="364"/>
      <c r="AA467"/>
      <c r="AB467"/>
      <c r="AC467"/>
      <c r="AD467"/>
      <c r="AE467"/>
      <c r="AF467"/>
    </row>
    <row r="468" spans="17:32" ht="12.75" customHeight="1" thickBot="1">
      <c r="Q468" s="364"/>
      <c r="R468" s="906" t="s">
        <v>205</v>
      </c>
      <c r="S468" s="907"/>
      <c r="T468" s="907"/>
      <c r="U468" s="907"/>
      <c r="V468" s="907"/>
      <c r="W468" s="908"/>
      <c r="X468" s="364"/>
      <c r="Y468" s="364"/>
      <c r="Z468" s="364"/>
      <c r="AA468"/>
      <c r="AB468"/>
      <c r="AC468"/>
      <c r="AD468"/>
      <c r="AE468"/>
      <c r="AF468"/>
    </row>
    <row r="469" spans="17:32" ht="12.75" customHeight="1" thickBot="1">
      <c r="Q469" s="364"/>
      <c r="R469" s="686" t="s">
        <v>59</v>
      </c>
      <c r="S469" s="577"/>
      <c r="T469" s="687"/>
      <c r="U469" s="687"/>
      <c r="V469" s="687"/>
      <c r="W469" s="688"/>
      <c r="X469" s="364"/>
      <c r="Y469" s="364"/>
      <c r="Z469" s="364"/>
      <c r="AA469"/>
      <c r="AB469"/>
      <c r="AC469"/>
      <c r="AD469"/>
      <c r="AE469"/>
      <c r="AF469"/>
    </row>
    <row r="470" spans="17:32" ht="12.75" customHeight="1">
      <c r="Q470" s="364"/>
      <c r="R470" s="895" t="s">
        <v>845</v>
      </c>
      <c r="S470" s="896"/>
      <c r="T470" s="900" t="s">
        <v>835</v>
      </c>
      <c r="U470" s="900" t="s">
        <v>836</v>
      </c>
      <c r="V470" s="900" t="s">
        <v>837</v>
      </c>
      <c r="W470" s="902" t="s">
        <v>838</v>
      </c>
      <c r="X470" s="364"/>
      <c r="Y470" s="364"/>
      <c r="Z470" s="364"/>
      <c r="AA470"/>
      <c r="AB470"/>
      <c r="AC470"/>
      <c r="AD470"/>
      <c r="AE470"/>
      <c r="AF470"/>
    </row>
    <row r="471" spans="17:32" ht="12.75" customHeight="1">
      <c r="Q471" s="364"/>
      <c r="R471" s="892"/>
      <c r="S471" s="897"/>
      <c r="T471" s="904"/>
      <c r="U471" s="904"/>
      <c r="V471" s="904"/>
      <c r="W471" s="905"/>
      <c r="X471" s="364"/>
      <c r="Y471" s="364"/>
      <c r="Z471" s="364"/>
      <c r="AA471"/>
      <c r="AB471"/>
      <c r="AC471"/>
      <c r="AD471"/>
      <c r="AE471"/>
      <c r="AF471"/>
    </row>
    <row r="472" spans="17:32" ht="12.75" customHeight="1">
      <c r="Q472" s="364"/>
      <c r="R472" s="892"/>
      <c r="S472" s="897"/>
      <c r="T472" s="901"/>
      <c r="U472" s="901"/>
      <c r="V472" s="901"/>
      <c r="W472" s="903"/>
      <c r="X472" s="364"/>
      <c r="Y472" s="364"/>
      <c r="Z472" s="364"/>
      <c r="AA472"/>
      <c r="AB472"/>
      <c r="AC472"/>
      <c r="AD472"/>
      <c r="AE472"/>
      <c r="AF472"/>
    </row>
    <row r="473" spans="17:32" ht="12.75" customHeight="1">
      <c r="Q473" s="364"/>
      <c r="R473" s="892"/>
      <c r="S473" s="897"/>
      <c r="T473" s="700">
        <f>V76</f>
        <v>114.02059991327963</v>
      </c>
      <c r="U473" s="560">
        <f>V62</f>
        <v>1.9999999999999996</v>
      </c>
      <c r="V473" s="690">
        <f>IF(T473&gt;0,W473*U473," ")</f>
        <v>19999.999999999996</v>
      </c>
      <c r="W473" s="691">
        <f>IF(T473&gt;0,(VLOOKUP(T473,'Lookup Ready-reckoner'!$B$5:$E$1207,4))," ")</f>
        <v>10000</v>
      </c>
      <c r="X473" s="364"/>
      <c r="Y473" s="364"/>
      <c r="Z473" s="364"/>
      <c r="AA473"/>
      <c r="AB473"/>
      <c r="AC473"/>
      <c r="AD473"/>
      <c r="AE473"/>
      <c r="AF473"/>
    </row>
    <row r="474" spans="17:32" ht="12.75" customHeight="1">
      <c r="Q474" s="364"/>
      <c r="R474" s="898"/>
      <c r="S474" s="899"/>
      <c r="T474" s="447"/>
      <c r="U474" s="560"/>
      <c r="V474" s="690" t="str">
        <f>IF(T474&gt;0,W474*U474," ")</f>
        <v xml:space="preserve"> </v>
      </c>
      <c r="W474" s="691" t="str">
        <f>IF(T474&gt;0,(VLOOKUP(T474,'Lookup Ready-reckoner'!$B$5:$E$1007,4))," ")</f>
        <v xml:space="preserve"> </v>
      </c>
      <c r="X474" s="364"/>
      <c r="Y474" s="364"/>
      <c r="Z474" s="364"/>
      <c r="AA474"/>
      <c r="AB474"/>
      <c r="AC474"/>
      <c r="AD474"/>
      <c r="AE474"/>
      <c r="AF474"/>
    </row>
    <row r="475" spans="17:32" ht="12.75" customHeight="1" thickBot="1">
      <c r="Q475" s="364"/>
      <c r="R475" s="699" t="s">
        <v>839</v>
      </c>
      <c r="S475" s="693"/>
      <c r="T475" s="693"/>
      <c r="U475" s="701">
        <f>IF(T473&gt;0,(VLOOKUP(V475,'Lookup Ready-reckoner'!$L$5:$M$1207,2))," ")</f>
        <v>107.95</v>
      </c>
      <c r="V475" s="695">
        <f>IF(U473&gt;0,(SUM(V473:V474))," ")</f>
        <v>19999.999999999996</v>
      </c>
      <c r="W475" s="696"/>
      <c r="X475" s="364"/>
      <c r="Y475" s="364"/>
      <c r="Z475" s="364"/>
      <c r="AA475"/>
      <c r="AB475"/>
      <c r="AC475"/>
      <c r="AD475"/>
      <c r="AE475"/>
      <c r="AF475"/>
    </row>
    <row r="476" spans="17:32" ht="12.75" customHeight="1" thickBot="1">
      <c r="Q476" s="364"/>
      <c r="R476" s="892"/>
      <c r="S476" s="893"/>
      <c r="T476" s="893"/>
      <c r="U476" s="893"/>
      <c r="V476" s="893"/>
      <c r="W476" s="894"/>
      <c r="X476" s="364"/>
      <c r="Y476" s="364"/>
      <c r="Z476" s="364"/>
      <c r="AA476"/>
      <c r="AB476"/>
      <c r="AC476"/>
      <c r="AD476"/>
      <c r="AE476"/>
      <c r="AF476"/>
    </row>
    <row r="477" spans="17:32" ht="12.75" customHeight="1">
      <c r="Q477" s="364"/>
      <c r="R477" s="895" t="s">
        <v>886</v>
      </c>
      <c r="S477" s="896"/>
      <c r="T477" s="900" t="s">
        <v>835</v>
      </c>
      <c r="U477" s="900" t="s">
        <v>836</v>
      </c>
      <c r="V477" s="900" t="s">
        <v>837</v>
      </c>
      <c r="W477" s="902" t="s">
        <v>838</v>
      </c>
      <c r="X477" s="364"/>
      <c r="Y477" s="364"/>
      <c r="Z477" s="364"/>
      <c r="AA477"/>
      <c r="AB477"/>
      <c r="AC477"/>
      <c r="AD477"/>
      <c r="AE477"/>
      <c r="AF477"/>
    </row>
    <row r="478" spans="17:32" ht="12.75" customHeight="1">
      <c r="Q478" s="364"/>
      <c r="R478" s="892"/>
      <c r="S478" s="897"/>
      <c r="T478" s="901"/>
      <c r="U478" s="901"/>
      <c r="V478" s="901"/>
      <c r="W478" s="903"/>
      <c r="X478" s="364"/>
      <c r="Y478" s="364"/>
      <c r="Z478" s="364"/>
      <c r="AA478"/>
      <c r="AB478"/>
      <c r="AC478"/>
      <c r="AD478"/>
      <c r="AE478"/>
      <c r="AF478"/>
    </row>
    <row r="479" spans="17:32" ht="12.75" customHeight="1">
      <c r="Q479" s="364"/>
      <c r="R479" s="892"/>
      <c r="S479" s="897"/>
      <c r="T479" s="700">
        <f>T473*(1-0.0178*2)</f>
        <v>109.96146655636687</v>
      </c>
      <c r="U479" s="560">
        <f>U473</f>
        <v>1.9999999999999996</v>
      </c>
      <c r="V479" s="690">
        <f>IF(T479&gt;0,W479*U479," ")</f>
        <v>7919.9999999999982</v>
      </c>
      <c r="W479" s="691">
        <f>IF(T479&gt;0,(VLOOKUP(T479,'Lookup Ready-reckoner'!$B$5:$E$1207,4))," ")</f>
        <v>3960</v>
      </c>
      <c r="X479" s="364"/>
      <c r="Y479" s="364"/>
      <c r="Z479" s="364"/>
      <c r="AA479"/>
      <c r="AB479"/>
      <c r="AC479"/>
      <c r="AD479"/>
      <c r="AE479"/>
      <c r="AF479"/>
    </row>
    <row r="480" spans="17:32" ht="12.75" customHeight="1">
      <c r="Q480" s="364"/>
      <c r="R480" s="898"/>
      <c r="S480" s="899"/>
      <c r="T480" s="447"/>
      <c r="U480" s="560"/>
      <c r="V480" s="690" t="str">
        <f>IF(T480&gt;0,W480*U480," ")</f>
        <v xml:space="preserve"> </v>
      </c>
      <c r="W480" s="691" t="str">
        <f>IF(T480&gt;0,(VLOOKUP(T480,'Lookup Ready-reckoner'!$B$5:$E$1007,4))," ")</f>
        <v xml:space="preserve"> </v>
      </c>
      <c r="X480" s="364"/>
      <c r="Y480" s="364"/>
      <c r="Z480" s="364"/>
      <c r="AA480"/>
      <c r="AB480"/>
      <c r="AC480"/>
      <c r="AD480"/>
      <c r="AE480"/>
      <c r="AF480"/>
    </row>
    <row r="481" spans="17:32" ht="12.75" customHeight="1" thickBot="1">
      <c r="Q481" s="364"/>
      <c r="R481" s="692" t="s">
        <v>839</v>
      </c>
      <c r="S481" s="693"/>
      <c r="T481" s="693"/>
      <c r="U481" s="701">
        <f>IF(T479&gt;0,(VLOOKUP(V481,'Lookup Ready-reckoner'!$L$5:$M$1207,2))," ")</f>
        <v>103.9</v>
      </c>
      <c r="V481" s="695">
        <f>IF(U479&gt;0,(SUM(V479:V480))," ")</f>
        <v>7919.9999999999982</v>
      </c>
      <c r="W481" s="696"/>
      <c r="X481" s="364"/>
      <c r="Y481" s="364"/>
      <c r="Z481" s="364"/>
      <c r="AA481"/>
      <c r="AB481"/>
      <c r="AC481"/>
      <c r="AD481"/>
      <c r="AE481"/>
      <c r="AF481"/>
    </row>
    <row r="482" spans="17:32" ht="12.75" customHeight="1">
      <c r="Q482" s="364"/>
      <c r="R482" s="697"/>
      <c r="S482" s="687"/>
      <c r="T482" s="687"/>
      <c r="U482" s="372"/>
      <c r="V482" s="374"/>
      <c r="W482" s="688"/>
      <c r="X482" s="364"/>
      <c r="Y482" s="364"/>
      <c r="Z482" s="364"/>
      <c r="AA482"/>
      <c r="AB482"/>
      <c r="AC482"/>
      <c r="AD482"/>
      <c r="AE482"/>
      <c r="AF482"/>
    </row>
    <row r="483" spans="17:32" ht="12.75" customHeight="1" thickBot="1">
      <c r="Q483" s="364"/>
      <c r="R483" s="686" t="s">
        <v>60</v>
      </c>
      <c r="S483" s="577"/>
      <c r="T483" s="577"/>
      <c r="U483" s="577"/>
      <c r="V483" s="577"/>
      <c r="W483" s="698"/>
      <c r="X483" s="364"/>
      <c r="Y483" s="364"/>
      <c r="Z483" s="364"/>
      <c r="AA483"/>
      <c r="AB483"/>
      <c r="AC483"/>
      <c r="AD483"/>
      <c r="AE483"/>
      <c r="AF483"/>
    </row>
    <row r="484" spans="17:32" ht="12.75" customHeight="1">
      <c r="Q484" s="364"/>
      <c r="R484" s="895" t="s">
        <v>845</v>
      </c>
      <c r="S484" s="896"/>
      <c r="T484" s="900" t="s">
        <v>835</v>
      </c>
      <c r="U484" s="900" t="s">
        <v>836</v>
      </c>
      <c r="V484" s="900" t="s">
        <v>837</v>
      </c>
      <c r="W484" s="902" t="s">
        <v>838</v>
      </c>
      <c r="X484" s="364"/>
      <c r="Y484" s="364"/>
      <c r="Z484" s="364"/>
      <c r="AA484"/>
      <c r="AB484"/>
      <c r="AC484"/>
      <c r="AD484"/>
      <c r="AE484"/>
      <c r="AF484"/>
    </row>
    <row r="485" spans="17:32" ht="12.75" customHeight="1">
      <c r="Q485" s="364"/>
      <c r="R485" s="892"/>
      <c r="S485" s="897"/>
      <c r="T485" s="901"/>
      <c r="U485" s="901"/>
      <c r="V485" s="901"/>
      <c r="W485" s="903"/>
      <c r="X485" s="364"/>
      <c r="Y485" s="364"/>
      <c r="Z485" s="364"/>
      <c r="AA485"/>
      <c r="AB485"/>
      <c r="AC485"/>
      <c r="AD485"/>
      <c r="AE485"/>
      <c r="AF485"/>
    </row>
    <row r="486" spans="17:32" ht="12.75" customHeight="1">
      <c r="Q486" s="364"/>
      <c r="R486" s="892"/>
      <c r="S486" s="897"/>
      <c r="T486" s="700">
        <f>T473-PPE!$I$15</f>
        <v>101.02059991327963</v>
      </c>
      <c r="U486" s="560">
        <f>U479</f>
        <v>1.9999999999999996</v>
      </c>
      <c r="V486" s="690">
        <f>IF(T486&gt;0,W486*U486," ")</f>
        <v>999.99999999999977</v>
      </c>
      <c r="W486" s="691">
        <f>IF(T486&gt;0,(VLOOKUP(T486,'Lookup Ready-reckoner'!$B$5:$E$1207,4))," ")</f>
        <v>500</v>
      </c>
      <c r="X486" s="364"/>
      <c r="Y486" s="364"/>
      <c r="Z486" s="364"/>
      <c r="AA486"/>
      <c r="AB486"/>
      <c r="AC486"/>
      <c r="AD486"/>
      <c r="AE486"/>
      <c r="AF486"/>
    </row>
    <row r="487" spans="17:32" ht="12.75" customHeight="1">
      <c r="Q487" s="364"/>
      <c r="R487" s="898"/>
      <c r="S487" s="899"/>
      <c r="T487" s="447"/>
      <c r="U487" s="560"/>
      <c r="V487" s="690" t="str">
        <f>IF(T487&gt;0,W487*U487," ")</f>
        <v xml:space="preserve"> </v>
      </c>
      <c r="W487" s="691" t="str">
        <f>IF(T487&gt;0,(VLOOKUP(T487,'Lookup Ready-reckoner'!$B$5:$E$1007,4))," ")</f>
        <v xml:space="preserve"> </v>
      </c>
      <c r="X487" s="364"/>
      <c r="Y487" s="364"/>
      <c r="Z487" s="364"/>
      <c r="AA487"/>
      <c r="AB487"/>
      <c r="AC487"/>
      <c r="AD487"/>
      <c r="AE487"/>
      <c r="AF487"/>
    </row>
    <row r="488" spans="17:32" ht="12.75" customHeight="1" thickBot="1">
      <c r="Q488" s="364"/>
      <c r="R488" s="692" t="s">
        <v>839</v>
      </c>
      <c r="S488" s="693"/>
      <c r="T488" s="693"/>
      <c r="U488" s="701">
        <f>IF(T486&gt;0,(VLOOKUP(V488,'Lookup Ready-reckoner'!$L$5:$M$1207,2))," ")</f>
        <v>94.95</v>
      </c>
      <c r="V488" s="695">
        <f>IF(U486&gt;0,(SUM(V486:V487))," ")</f>
        <v>999.99999999999977</v>
      </c>
      <c r="W488" s="696"/>
      <c r="X488" s="364"/>
      <c r="Y488" s="364"/>
      <c r="Z488" s="364"/>
      <c r="AA488"/>
      <c r="AB488"/>
      <c r="AC488"/>
      <c r="AD488"/>
      <c r="AE488"/>
      <c r="AF488"/>
    </row>
    <row r="489" spans="17:32" ht="12.75" customHeight="1" thickBot="1">
      <c r="Q489" s="364"/>
      <c r="R489" s="892"/>
      <c r="S489" s="893"/>
      <c r="T489" s="893"/>
      <c r="U489" s="893"/>
      <c r="V489" s="893"/>
      <c r="W489" s="894"/>
      <c r="X489" s="364"/>
      <c r="Y489" s="364"/>
      <c r="Z489" s="364"/>
      <c r="AA489"/>
      <c r="AB489"/>
      <c r="AC489"/>
      <c r="AD489"/>
      <c r="AE489"/>
      <c r="AF489"/>
    </row>
    <row r="490" spans="17:32" ht="12.75" customHeight="1">
      <c r="Q490" s="364"/>
      <c r="R490" s="895" t="s">
        <v>886</v>
      </c>
      <c r="S490" s="896"/>
      <c r="T490" s="900" t="s">
        <v>835</v>
      </c>
      <c r="U490" s="900" t="s">
        <v>836</v>
      </c>
      <c r="V490" s="900" t="s">
        <v>837</v>
      </c>
      <c r="W490" s="902" t="s">
        <v>838</v>
      </c>
      <c r="X490" s="364"/>
      <c r="Y490" s="364"/>
      <c r="Z490" s="364"/>
      <c r="AA490"/>
      <c r="AB490"/>
      <c r="AC490"/>
      <c r="AD490"/>
      <c r="AE490"/>
      <c r="AF490"/>
    </row>
    <row r="491" spans="17:32" ht="12.75" customHeight="1">
      <c r="Q491" s="364"/>
      <c r="R491" s="892"/>
      <c r="S491" s="897"/>
      <c r="T491" s="901"/>
      <c r="U491" s="901"/>
      <c r="V491" s="901"/>
      <c r="W491" s="903"/>
      <c r="X491" s="364"/>
      <c r="Y491" s="364"/>
      <c r="Z491" s="364"/>
      <c r="AA491"/>
      <c r="AB491"/>
      <c r="AC491"/>
      <c r="AD491"/>
      <c r="AE491"/>
      <c r="AF491"/>
    </row>
    <row r="492" spans="17:32" ht="12.75" customHeight="1">
      <c r="Q492" s="364"/>
      <c r="R492" s="892"/>
      <c r="S492" s="897"/>
      <c r="T492" s="700">
        <f>T479-PPE!$I$15</f>
        <v>96.961466556366872</v>
      </c>
      <c r="U492" s="560">
        <f>U486</f>
        <v>1.9999999999999996</v>
      </c>
      <c r="V492" s="690">
        <f>IF(T492&gt;0,W492*U492," ")</f>
        <v>395.62499999999989</v>
      </c>
      <c r="W492" s="691">
        <f>IF(T492&gt;0,(VLOOKUP(T492,'Lookup Ready-reckoner'!$B$5:$E$1207,4))," ")</f>
        <v>197.8125</v>
      </c>
      <c r="X492" s="364"/>
      <c r="Y492" s="364"/>
      <c r="Z492" s="364"/>
      <c r="AA492"/>
      <c r="AB492"/>
      <c r="AC492"/>
      <c r="AD492"/>
      <c r="AE492"/>
      <c r="AF492"/>
    </row>
    <row r="493" spans="17:32" ht="12.75" customHeight="1">
      <c r="Q493" s="364"/>
      <c r="R493" s="898"/>
      <c r="S493" s="899"/>
      <c r="T493" s="447"/>
      <c r="U493" s="560"/>
      <c r="V493" s="690" t="str">
        <f>IF(T493&gt;0,W493*U493," ")</f>
        <v xml:space="preserve"> </v>
      </c>
      <c r="W493" s="691" t="str">
        <f>IF(T493&gt;0,(VLOOKUP(T493,'Lookup Ready-reckoner'!$B$5:$E$1007,4))," ")</f>
        <v xml:space="preserve"> </v>
      </c>
      <c r="X493" s="364"/>
      <c r="Y493" s="364"/>
      <c r="Z493" s="364"/>
      <c r="AA493"/>
      <c r="AB493"/>
      <c r="AC493"/>
      <c r="AD493"/>
      <c r="AE493"/>
      <c r="AF493"/>
    </row>
    <row r="494" spans="17:32" ht="12.75" customHeight="1" thickBot="1">
      <c r="Q494" s="364"/>
      <c r="R494" s="692" t="s">
        <v>839</v>
      </c>
      <c r="S494" s="693"/>
      <c r="T494" s="693"/>
      <c r="U494" s="701">
        <f>IF(T492&gt;0,(VLOOKUP(V494,'Lookup Ready-reckoner'!$L$5:$M$1207,2))," ")</f>
        <v>90.9</v>
      </c>
      <c r="V494" s="695">
        <f>IF(U492&gt;0,(SUM(V492:V493))," ")</f>
        <v>395.62499999999989</v>
      </c>
      <c r="W494" s="696"/>
      <c r="X494" s="364"/>
      <c r="Y494" s="364"/>
      <c r="Z494" s="364"/>
      <c r="AA494"/>
      <c r="AB494"/>
      <c r="AC494"/>
      <c r="AD494"/>
      <c r="AE494"/>
      <c r="AF494"/>
    </row>
    <row r="495" spans="17:32" ht="12.75" customHeight="1">
      <c r="Q495" s="364"/>
      <c r="R495" s="363"/>
      <c r="S495" s="363"/>
      <c r="T495" s="363"/>
      <c r="U495" s="363"/>
      <c r="V495" s="363"/>
      <c r="W495" s="363"/>
      <c r="X495" s="364"/>
      <c r="Y495" s="364"/>
      <c r="Z495" s="364"/>
      <c r="AA495"/>
      <c r="AB495"/>
      <c r="AC495"/>
      <c r="AD495"/>
      <c r="AE495"/>
      <c r="AF495"/>
    </row>
    <row r="496" spans="17:32" ht="12.75" customHeight="1">
      <c r="Q496" s="364"/>
      <c r="R496" s="913" t="str">
        <f>R377</f>
        <v>Sulzer ADDS</v>
      </c>
      <c r="S496" s="914"/>
      <c r="T496" s="914"/>
      <c r="U496" s="914"/>
      <c r="V496" s="914"/>
      <c r="W496" s="914"/>
      <c r="X496" s="364"/>
      <c r="Y496" s="364"/>
      <c r="Z496" s="364"/>
      <c r="AA496"/>
      <c r="AB496"/>
      <c r="AC496"/>
      <c r="AD496"/>
      <c r="AE496"/>
      <c r="AF496"/>
    </row>
    <row r="497" spans="17:32" ht="12.75" customHeight="1" thickBot="1">
      <c r="Q497" s="364"/>
      <c r="R497" s="910" t="s">
        <v>205</v>
      </c>
      <c r="S497" s="911"/>
      <c r="T497" s="911"/>
      <c r="U497" s="911"/>
      <c r="V497" s="911"/>
      <c r="W497" s="912"/>
      <c r="X497" s="364"/>
      <c r="Y497" s="364"/>
      <c r="Z497" s="364"/>
      <c r="AA497"/>
      <c r="AB497"/>
      <c r="AC497"/>
      <c r="AD497"/>
      <c r="AE497"/>
      <c r="AF497"/>
    </row>
    <row r="498" spans="17:32" ht="12.75" customHeight="1" thickBot="1">
      <c r="Q498" s="364"/>
      <c r="R498" s="686" t="s">
        <v>59</v>
      </c>
      <c r="S498" s="577"/>
      <c r="T498" s="687"/>
      <c r="U498" s="687"/>
      <c r="V498" s="687"/>
      <c r="W498" s="688"/>
      <c r="X498" s="364"/>
      <c r="Y498" s="364"/>
      <c r="Z498" s="364"/>
      <c r="AA498"/>
      <c r="AB498"/>
      <c r="AC498"/>
      <c r="AD498"/>
      <c r="AE498"/>
      <c r="AF498"/>
    </row>
    <row r="499" spans="17:32" ht="12.75" customHeight="1">
      <c r="Q499" s="364"/>
      <c r="R499" s="895" t="s">
        <v>845</v>
      </c>
      <c r="S499" s="896"/>
      <c r="T499" s="900" t="s">
        <v>835</v>
      </c>
      <c r="U499" s="900" t="s">
        <v>836</v>
      </c>
      <c r="V499" s="900" t="s">
        <v>837</v>
      </c>
      <c r="W499" s="902" t="s">
        <v>838</v>
      </c>
      <c r="X499" s="364"/>
      <c r="Y499" s="364"/>
      <c r="Z499" s="364"/>
      <c r="AA499"/>
      <c r="AB499"/>
      <c r="AC499"/>
      <c r="AD499"/>
      <c r="AE499"/>
      <c r="AF499"/>
    </row>
    <row r="500" spans="17:32" ht="12.75" customHeight="1">
      <c r="Q500" s="364"/>
      <c r="R500" s="892"/>
      <c r="S500" s="897"/>
      <c r="T500" s="904"/>
      <c r="U500" s="904"/>
      <c r="V500" s="904"/>
      <c r="W500" s="905"/>
      <c r="X500" s="364"/>
      <c r="Y500" s="364"/>
      <c r="Z500" s="364"/>
      <c r="AA500"/>
      <c r="AB500"/>
      <c r="AC500"/>
      <c r="AD500"/>
      <c r="AE500"/>
      <c r="AF500"/>
    </row>
    <row r="501" spans="17:32" ht="12.75" customHeight="1">
      <c r="Q501" s="364"/>
      <c r="R501" s="892"/>
      <c r="S501" s="897"/>
      <c r="T501" s="901"/>
      <c r="U501" s="901"/>
      <c r="V501" s="901"/>
      <c r="W501" s="903"/>
      <c r="X501" s="364"/>
      <c r="Y501" s="364"/>
      <c r="Z501" s="364"/>
      <c r="AA501"/>
      <c r="AB501"/>
      <c r="AC501"/>
      <c r="AD501"/>
      <c r="AE501"/>
      <c r="AF501"/>
    </row>
    <row r="502" spans="17:32" ht="12.75" customHeight="1">
      <c r="Q502" s="364"/>
      <c r="R502" s="892"/>
      <c r="S502" s="897"/>
      <c r="T502" s="702">
        <f>W76</f>
        <v>115.02059991327963</v>
      </c>
      <c r="U502" s="560">
        <f>W62</f>
        <v>1.7391304347826084</v>
      </c>
      <c r="V502" s="690">
        <f>IF(T502&gt;0,W502*U502," ")</f>
        <v>22260.869565217388</v>
      </c>
      <c r="W502" s="691">
        <f>IF(T502&gt;0,(VLOOKUP(T502,'Lookup Ready-reckoner'!$B$5:$E$1207,4))," ")</f>
        <v>12800</v>
      </c>
      <c r="X502" s="364"/>
      <c r="Y502" s="364"/>
      <c r="Z502" s="364"/>
      <c r="AA502"/>
      <c r="AB502"/>
      <c r="AC502"/>
      <c r="AD502"/>
      <c r="AE502"/>
      <c r="AF502"/>
    </row>
    <row r="503" spans="17:32" ht="12.75" customHeight="1">
      <c r="Q503" s="364"/>
      <c r="R503" s="898"/>
      <c r="S503" s="899"/>
      <c r="T503" s="447"/>
      <c r="U503" s="560"/>
      <c r="V503" s="690" t="str">
        <f>IF(T503&gt;0,W503*U503," ")</f>
        <v xml:space="preserve"> </v>
      </c>
      <c r="W503" s="691" t="str">
        <f>IF(T503&gt;0,(VLOOKUP(T503,'Lookup Ready-reckoner'!$B$5:$E$1007,4))," ")</f>
        <v xml:space="preserve"> </v>
      </c>
      <c r="X503" s="364"/>
      <c r="Y503" s="364"/>
      <c r="Z503" s="364"/>
      <c r="AA503"/>
      <c r="AB503"/>
      <c r="AC503"/>
      <c r="AD503"/>
      <c r="AE503"/>
      <c r="AF503"/>
    </row>
    <row r="504" spans="17:32" ht="12.75" customHeight="1" thickBot="1">
      <c r="Q504" s="364"/>
      <c r="R504" s="692" t="s">
        <v>839</v>
      </c>
      <c r="S504" s="693"/>
      <c r="T504" s="693"/>
      <c r="U504" s="703">
        <f>IF(T502&gt;0,(VLOOKUP(V504,'Lookup Ready-reckoner'!$L$5:$M$1207,2))," ")</f>
        <v>108.4</v>
      </c>
      <c r="V504" s="695">
        <f>IF(U502&gt;0,(SUM(V502:V503))," ")</f>
        <v>22260.869565217388</v>
      </c>
      <c r="W504" s="696"/>
      <c r="X504" s="364"/>
      <c r="Y504" s="364"/>
      <c r="Z504" s="364"/>
      <c r="AA504"/>
      <c r="AB504"/>
      <c r="AC504"/>
      <c r="AD504"/>
      <c r="AE504"/>
      <c r="AF504"/>
    </row>
    <row r="505" spans="17:32" ht="12.75" customHeight="1" thickBot="1">
      <c r="Q505" s="364"/>
      <c r="R505" s="892"/>
      <c r="S505" s="893"/>
      <c r="T505" s="893"/>
      <c r="U505" s="893"/>
      <c r="V505" s="893"/>
      <c r="W505" s="894"/>
      <c r="X505" s="364"/>
      <c r="Y505" s="364"/>
      <c r="Z505" s="364"/>
      <c r="AA505"/>
      <c r="AB505"/>
      <c r="AC505"/>
      <c r="AD505"/>
      <c r="AE505"/>
      <c r="AF505"/>
    </row>
    <row r="506" spans="17:32" ht="12.75" customHeight="1">
      <c r="Q506" s="364"/>
      <c r="R506" s="895" t="s">
        <v>886</v>
      </c>
      <c r="S506" s="896"/>
      <c r="T506" s="900" t="s">
        <v>835</v>
      </c>
      <c r="U506" s="900" t="s">
        <v>836</v>
      </c>
      <c r="V506" s="900" t="s">
        <v>837</v>
      </c>
      <c r="W506" s="902" t="s">
        <v>838</v>
      </c>
      <c r="X506" s="364"/>
      <c r="Y506" s="364"/>
      <c r="Z506" s="364"/>
      <c r="AA506"/>
      <c r="AB506"/>
      <c r="AC506"/>
      <c r="AD506"/>
      <c r="AE506"/>
      <c r="AF506"/>
    </row>
    <row r="507" spans="17:32" ht="12.75" customHeight="1">
      <c r="Q507" s="364"/>
      <c r="R507" s="892"/>
      <c r="S507" s="897"/>
      <c r="T507" s="901"/>
      <c r="U507" s="901"/>
      <c r="V507" s="901"/>
      <c r="W507" s="903"/>
      <c r="X507" s="364"/>
      <c r="Y507" s="364"/>
      <c r="Z507" s="364"/>
      <c r="AA507"/>
      <c r="AB507"/>
      <c r="AC507"/>
      <c r="AD507"/>
      <c r="AE507"/>
      <c r="AF507"/>
    </row>
    <row r="508" spans="17:32" ht="12.75" customHeight="1">
      <c r="Q508" s="364"/>
      <c r="R508" s="892"/>
      <c r="S508" s="897"/>
      <c r="T508" s="702">
        <f>T502*(1-0.0178*2)</f>
        <v>110.92586655636687</v>
      </c>
      <c r="U508" s="560">
        <f>U502</f>
        <v>1.7391304347826084</v>
      </c>
      <c r="V508" s="690">
        <f>IF(T508&gt;0,W508*U508," ")</f>
        <v>8521.7391304347821</v>
      </c>
      <c r="W508" s="691">
        <f>IF(T508&gt;0,(VLOOKUP(T508,'Lookup Ready-reckoner'!$B$5:$E$1207,4))," ")</f>
        <v>4900</v>
      </c>
      <c r="X508" s="364"/>
      <c r="Y508" s="364"/>
      <c r="Z508" s="364"/>
      <c r="AA508"/>
      <c r="AB508"/>
      <c r="AC508"/>
      <c r="AD508"/>
      <c r="AE508"/>
      <c r="AF508"/>
    </row>
    <row r="509" spans="17:32" ht="12.75" customHeight="1">
      <c r="Q509" s="364"/>
      <c r="R509" s="898"/>
      <c r="S509" s="899"/>
      <c r="T509" s="447"/>
      <c r="U509" s="560"/>
      <c r="V509" s="690" t="str">
        <f>IF(T509&gt;0,W509*U509," ")</f>
        <v xml:space="preserve"> </v>
      </c>
      <c r="W509" s="691" t="str">
        <f>IF(T509&gt;0,(VLOOKUP(T509,'Lookup Ready-reckoner'!$B$5:$E$1007,4))," ")</f>
        <v xml:space="preserve"> </v>
      </c>
      <c r="X509" s="364"/>
      <c r="Y509" s="364"/>
      <c r="Z509" s="364"/>
      <c r="AA509"/>
      <c r="AB509"/>
      <c r="AC509"/>
      <c r="AD509"/>
      <c r="AE509"/>
      <c r="AF509"/>
    </row>
    <row r="510" spans="17:32" ht="12.75" customHeight="1" thickBot="1">
      <c r="Q510" s="364"/>
      <c r="R510" s="692" t="s">
        <v>839</v>
      </c>
      <c r="S510" s="693"/>
      <c r="T510" s="693"/>
      <c r="U510" s="703">
        <f>IF(T508&gt;0,(VLOOKUP(V510,'Lookup Ready-reckoner'!$L$5:$M$1207,2))," ")</f>
        <v>104.25</v>
      </c>
      <c r="V510" s="695">
        <f>IF(U508&gt;0,(SUM(V508:V509))," ")</f>
        <v>8521.7391304347821</v>
      </c>
      <c r="W510" s="696"/>
      <c r="X510" s="364"/>
      <c r="Y510" s="364"/>
      <c r="Z510" s="364"/>
      <c r="AA510"/>
      <c r="AB510"/>
      <c r="AC510"/>
      <c r="AD510"/>
      <c r="AE510"/>
      <c r="AF510"/>
    </row>
    <row r="511" spans="17:32" ht="12.75" customHeight="1">
      <c r="Q511" s="364"/>
      <c r="R511" s="697"/>
      <c r="S511" s="687"/>
      <c r="T511" s="687"/>
      <c r="U511" s="372"/>
      <c r="V511" s="374"/>
      <c r="W511" s="688"/>
      <c r="X511" s="364"/>
      <c r="Y511" s="364"/>
      <c r="Z511" s="364"/>
      <c r="AA511"/>
      <c r="AB511"/>
      <c r="AC511"/>
      <c r="AD511"/>
      <c r="AE511"/>
      <c r="AF511"/>
    </row>
    <row r="512" spans="17:32" ht="12.75" customHeight="1" thickBot="1">
      <c r="Q512" s="364"/>
      <c r="R512" s="686" t="s">
        <v>60</v>
      </c>
      <c r="S512" s="577"/>
      <c r="T512" s="577"/>
      <c r="U512" s="577"/>
      <c r="V512" s="577"/>
      <c r="W512" s="698"/>
      <c r="X512" s="364"/>
      <c r="Y512" s="364"/>
      <c r="Z512" s="364"/>
      <c r="AA512"/>
      <c r="AB512"/>
      <c r="AC512"/>
      <c r="AD512"/>
      <c r="AE512"/>
      <c r="AF512"/>
    </row>
    <row r="513" spans="17:32" ht="12.75" customHeight="1">
      <c r="Q513" s="364"/>
      <c r="R513" s="895" t="s">
        <v>845</v>
      </c>
      <c r="S513" s="896"/>
      <c r="T513" s="900" t="s">
        <v>835</v>
      </c>
      <c r="U513" s="900" t="s">
        <v>836</v>
      </c>
      <c r="V513" s="900" t="s">
        <v>837</v>
      </c>
      <c r="W513" s="902" t="s">
        <v>838</v>
      </c>
      <c r="X513" s="364"/>
      <c r="Y513" s="364"/>
      <c r="Z513" s="364"/>
      <c r="AA513"/>
      <c r="AB513"/>
      <c r="AC513"/>
      <c r="AD513"/>
      <c r="AE513"/>
      <c r="AF513"/>
    </row>
    <row r="514" spans="17:32" ht="12.75" customHeight="1">
      <c r="Q514" s="364"/>
      <c r="R514" s="892"/>
      <c r="S514" s="897"/>
      <c r="T514" s="901"/>
      <c r="U514" s="901"/>
      <c r="V514" s="901"/>
      <c r="W514" s="903"/>
      <c r="X514" s="364"/>
      <c r="Y514" s="364"/>
      <c r="Z514" s="364"/>
      <c r="AA514"/>
      <c r="AB514"/>
      <c r="AC514"/>
      <c r="AD514"/>
      <c r="AE514"/>
      <c r="AF514"/>
    </row>
    <row r="515" spans="17:32" ht="12.75" customHeight="1">
      <c r="Q515" s="364"/>
      <c r="R515" s="892"/>
      <c r="S515" s="897"/>
      <c r="T515" s="702">
        <f>T502-PPE!$I$15</f>
        <v>102.02059991327963</v>
      </c>
      <c r="U515" s="560">
        <f>U508</f>
        <v>1.7391304347826084</v>
      </c>
      <c r="V515" s="690">
        <f>IF(T515&gt;0,W515*U515," ")</f>
        <v>1086.9565217391303</v>
      </c>
      <c r="W515" s="691">
        <f>IF(T515&gt;0,(VLOOKUP(T515,'Lookup Ready-reckoner'!$B$5:$E$1207,4))," ")</f>
        <v>625</v>
      </c>
      <c r="X515" s="364"/>
      <c r="Y515" s="364"/>
      <c r="Z515" s="364"/>
      <c r="AA515"/>
      <c r="AB515"/>
      <c r="AC515"/>
      <c r="AD515"/>
      <c r="AE515"/>
      <c r="AF515"/>
    </row>
    <row r="516" spans="17:32" ht="12.75" customHeight="1">
      <c r="Q516" s="364"/>
      <c r="R516" s="898"/>
      <c r="S516" s="899"/>
      <c r="T516" s="447"/>
      <c r="U516" s="560"/>
      <c r="V516" s="690" t="str">
        <f>IF(T516&gt;0,W516*U516," ")</f>
        <v xml:space="preserve"> </v>
      </c>
      <c r="W516" s="691" t="str">
        <f>IF(T516&gt;0,(VLOOKUP(T516,'Lookup Ready-reckoner'!$B$5:$E$1007,4))," ")</f>
        <v xml:space="preserve"> </v>
      </c>
      <c r="X516" s="364"/>
      <c r="Y516" s="364"/>
      <c r="Z516" s="364"/>
      <c r="AA516"/>
      <c r="AB516"/>
      <c r="AC516"/>
      <c r="AD516"/>
      <c r="AE516"/>
      <c r="AF516"/>
    </row>
    <row r="517" spans="17:32" ht="12.75" customHeight="1" thickBot="1">
      <c r="Q517" s="364"/>
      <c r="R517" s="692" t="s">
        <v>839</v>
      </c>
      <c r="S517" s="693"/>
      <c r="T517" s="693"/>
      <c r="U517" s="703">
        <f>IF(T515&gt;0,(VLOOKUP(V517,'Lookup Ready-reckoner'!$L$5:$M$1207,2))," ")</f>
        <v>95.3</v>
      </c>
      <c r="V517" s="695">
        <f>IF(U515&gt;0,(SUM(V515:V516))," ")</f>
        <v>1086.9565217391303</v>
      </c>
      <c r="W517" s="696"/>
      <c r="X517" s="364"/>
      <c r="Y517" s="364"/>
      <c r="Z517" s="364"/>
      <c r="AA517"/>
      <c r="AB517"/>
      <c r="AC517"/>
      <c r="AD517"/>
      <c r="AE517"/>
      <c r="AF517"/>
    </row>
    <row r="518" spans="17:32" ht="12.75" customHeight="1" thickBot="1">
      <c r="Q518" s="364"/>
      <c r="R518" s="892"/>
      <c r="S518" s="893"/>
      <c r="T518" s="893"/>
      <c r="U518" s="893"/>
      <c r="V518" s="893"/>
      <c r="W518" s="894"/>
      <c r="X518" s="364"/>
      <c r="Y518" s="364"/>
      <c r="Z518" s="364"/>
      <c r="AA518"/>
      <c r="AB518"/>
      <c r="AC518"/>
      <c r="AD518"/>
      <c r="AE518"/>
      <c r="AF518"/>
    </row>
    <row r="519" spans="17:32" ht="12.75" customHeight="1">
      <c r="Q519" s="364"/>
      <c r="R519" s="895" t="s">
        <v>886</v>
      </c>
      <c r="S519" s="896"/>
      <c r="T519" s="900" t="s">
        <v>835</v>
      </c>
      <c r="U519" s="900" t="s">
        <v>836</v>
      </c>
      <c r="V519" s="900" t="s">
        <v>837</v>
      </c>
      <c r="W519" s="902" t="s">
        <v>838</v>
      </c>
      <c r="X519" s="364"/>
      <c r="Y519" s="364"/>
      <c r="Z519" s="364"/>
      <c r="AA519"/>
      <c r="AB519"/>
      <c r="AC519"/>
      <c r="AD519"/>
      <c r="AE519"/>
      <c r="AF519"/>
    </row>
    <row r="520" spans="17:32" ht="12.75" customHeight="1">
      <c r="Q520" s="364"/>
      <c r="R520" s="892"/>
      <c r="S520" s="897"/>
      <c r="T520" s="901"/>
      <c r="U520" s="901"/>
      <c r="V520" s="901"/>
      <c r="W520" s="903"/>
      <c r="X520" s="364"/>
      <c r="Y520" s="364"/>
      <c r="Z520" s="364"/>
      <c r="AA520"/>
      <c r="AB520"/>
      <c r="AC520"/>
      <c r="AD520"/>
      <c r="AE520"/>
      <c r="AF520"/>
    </row>
    <row r="521" spans="17:32" ht="12.75" customHeight="1">
      <c r="Q521" s="364"/>
      <c r="R521" s="892"/>
      <c r="S521" s="897"/>
      <c r="T521" s="702">
        <f>T508-PPE!$I$15</f>
        <v>97.92586655636687</v>
      </c>
      <c r="U521" s="560">
        <f>U515</f>
        <v>1.7391304347826084</v>
      </c>
      <c r="V521" s="690">
        <f>IF(T521&gt;0,W521*U521," ")</f>
        <v>426.08695652173907</v>
      </c>
      <c r="W521" s="691">
        <f>IF(T521&gt;0,(VLOOKUP(T521,'Lookup Ready-reckoner'!$B$5:$E$1207,4))," ")</f>
        <v>245</v>
      </c>
      <c r="X521" s="364"/>
      <c r="Y521" s="364"/>
      <c r="Z521" s="364"/>
      <c r="AA521"/>
      <c r="AB521"/>
      <c r="AC521"/>
      <c r="AD521"/>
      <c r="AE521"/>
      <c r="AF521"/>
    </row>
    <row r="522" spans="17:32" ht="12.75" customHeight="1">
      <c r="Q522" s="364"/>
      <c r="R522" s="898"/>
      <c r="S522" s="899"/>
      <c r="T522" s="447"/>
      <c r="U522" s="560"/>
      <c r="V522" s="690" t="str">
        <f>IF(T522&gt;0,W522*U522," ")</f>
        <v xml:space="preserve"> </v>
      </c>
      <c r="W522" s="691" t="str">
        <f>IF(T522&gt;0,(VLOOKUP(T522,'Lookup Ready-reckoner'!$B$5:$E$1007,4))," ")</f>
        <v xml:space="preserve"> </v>
      </c>
      <c r="X522" s="364"/>
      <c r="Y522" s="364"/>
      <c r="Z522" s="364"/>
      <c r="AA522"/>
      <c r="AB522"/>
      <c r="AC522"/>
      <c r="AD522"/>
      <c r="AE522"/>
      <c r="AF522"/>
    </row>
    <row r="523" spans="17:32" ht="12.75" customHeight="1" thickBot="1">
      <c r="Q523" s="364"/>
      <c r="R523" s="692" t="s">
        <v>839</v>
      </c>
      <c r="S523" s="693"/>
      <c r="T523" s="693"/>
      <c r="U523" s="703">
        <f>IF(T521&gt;0,(VLOOKUP(V523,'Lookup Ready-reckoner'!$L$5:$M$1207,2))," ")</f>
        <v>91.25</v>
      </c>
      <c r="V523" s="695">
        <f>IF(U521&gt;0,(SUM(V521:V522))," ")</f>
        <v>426.08695652173907</v>
      </c>
      <c r="W523" s="696"/>
      <c r="X523" s="364"/>
      <c r="Y523" s="364"/>
      <c r="Z523" s="364"/>
      <c r="AA523"/>
      <c r="AB523"/>
      <c r="AC523"/>
      <c r="AD523"/>
      <c r="AE523"/>
      <c r="AF523"/>
    </row>
    <row r="524" spans="17:32" ht="12.75" customHeight="1">
      <c r="Q524" s="364"/>
      <c r="R524" s="363"/>
      <c r="S524" s="363"/>
      <c r="T524" s="363"/>
      <c r="U524" s="363"/>
      <c r="V524" s="363"/>
      <c r="W524" s="363"/>
      <c r="X524" s="364"/>
      <c r="Y524" s="364"/>
      <c r="Z524" s="364"/>
      <c r="AA524"/>
      <c r="AB524"/>
      <c r="AC524"/>
      <c r="AD524"/>
      <c r="AE524"/>
      <c r="AF524"/>
    </row>
    <row r="525" spans="17:32" ht="12.75" customHeight="1">
      <c r="Q525" s="364"/>
      <c r="R525" s="909" t="str">
        <f>R406</f>
        <v xml:space="preserve">Hilti TE MD20 </v>
      </c>
      <c r="S525" s="909"/>
      <c r="T525" s="909"/>
      <c r="U525" s="909"/>
      <c r="V525" s="909"/>
      <c r="W525" s="909"/>
      <c r="X525" s="364"/>
      <c r="Y525" s="364"/>
      <c r="Z525" s="364"/>
      <c r="AA525"/>
      <c r="AB525"/>
      <c r="AC525"/>
      <c r="AD525"/>
      <c r="AE525"/>
      <c r="AF525"/>
    </row>
    <row r="526" spans="17:32" ht="12.75" customHeight="1" thickBot="1">
      <c r="Q526" s="364"/>
      <c r="R526" s="910" t="s">
        <v>205</v>
      </c>
      <c r="S526" s="911"/>
      <c r="T526" s="911"/>
      <c r="U526" s="911"/>
      <c r="V526" s="911"/>
      <c r="W526" s="912"/>
      <c r="X526" s="364"/>
      <c r="Y526" s="364"/>
      <c r="Z526" s="364"/>
      <c r="AA526"/>
      <c r="AB526"/>
      <c r="AC526"/>
      <c r="AD526"/>
      <c r="AE526"/>
      <c r="AF526"/>
    </row>
    <row r="527" spans="17:32" ht="12.75" customHeight="1" thickBot="1">
      <c r="Q527" s="364"/>
      <c r="R527" s="686" t="s">
        <v>59</v>
      </c>
      <c r="S527" s="577"/>
      <c r="T527" s="687"/>
      <c r="U527" s="687"/>
      <c r="V527" s="687"/>
      <c r="W527" s="688"/>
      <c r="X527" s="364"/>
      <c r="Y527" s="364"/>
      <c r="Z527" s="364"/>
      <c r="AA527"/>
      <c r="AB527"/>
      <c r="AC527"/>
      <c r="AD527"/>
      <c r="AE527"/>
      <c r="AF527"/>
    </row>
    <row r="528" spans="17:32" ht="12.75" customHeight="1">
      <c r="Q528" s="364"/>
      <c r="R528" s="895" t="s">
        <v>845</v>
      </c>
      <c r="S528" s="896"/>
      <c r="T528" s="900" t="s">
        <v>835</v>
      </c>
      <c r="U528" s="900" t="s">
        <v>836</v>
      </c>
      <c r="V528" s="900" t="s">
        <v>837</v>
      </c>
      <c r="W528" s="902" t="s">
        <v>838</v>
      </c>
      <c r="X528" s="364"/>
      <c r="Y528" s="364"/>
      <c r="Z528" s="364"/>
      <c r="AA528"/>
      <c r="AB528"/>
      <c r="AC528"/>
      <c r="AD528"/>
      <c r="AE528"/>
      <c r="AF528"/>
    </row>
    <row r="529" spans="17:32" ht="12.75" customHeight="1">
      <c r="Q529" s="364"/>
      <c r="R529" s="892"/>
      <c r="S529" s="897"/>
      <c r="T529" s="904"/>
      <c r="U529" s="904"/>
      <c r="V529" s="904"/>
      <c r="W529" s="905"/>
      <c r="X529" s="364"/>
      <c r="Y529" s="364"/>
      <c r="Z529" s="364"/>
      <c r="AA529"/>
      <c r="AB529"/>
      <c r="AC529"/>
      <c r="AD529"/>
      <c r="AE529"/>
      <c r="AF529"/>
    </row>
    <row r="530" spans="17:32" ht="12.75" customHeight="1">
      <c r="Q530" s="364"/>
      <c r="R530" s="892"/>
      <c r="S530" s="897"/>
      <c r="T530" s="901"/>
      <c r="U530" s="901"/>
      <c r="V530" s="901"/>
      <c r="W530" s="903"/>
      <c r="X530" s="364"/>
      <c r="Y530" s="364"/>
      <c r="Z530" s="364"/>
      <c r="AA530"/>
      <c r="AB530"/>
      <c r="AC530"/>
      <c r="AD530"/>
      <c r="AE530"/>
      <c r="AF530"/>
    </row>
    <row r="531" spans="17:32" ht="12.75" customHeight="1">
      <c r="Q531" s="364"/>
      <c r="R531" s="892"/>
      <c r="S531" s="897"/>
      <c r="T531" s="704">
        <f>U76</f>
        <v>108.02059991327964</v>
      </c>
      <c r="U531" s="560">
        <f>U62</f>
        <v>2.6666666666666665</v>
      </c>
      <c r="V531" s="690">
        <f>IF(T531&gt;0,W531*U531," ")</f>
        <v>6666.6666666666661</v>
      </c>
      <c r="W531" s="691">
        <f>IF(T531&gt;0,(VLOOKUP(T531,'Lookup Ready-reckoner'!$B$5:$E$1207,4))," ")</f>
        <v>2500</v>
      </c>
      <c r="X531" s="364"/>
      <c r="Y531" s="364"/>
      <c r="Z531" s="364"/>
      <c r="AA531"/>
      <c r="AB531"/>
      <c r="AC531"/>
      <c r="AD531"/>
      <c r="AE531"/>
      <c r="AF531"/>
    </row>
    <row r="532" spans="17:32" ht="12.75" customHeight="1">
      <c r="Q532" s="364"/>
      <c r="R532" s="898"/>
      <c r="S532" s="899"/>
      <c r="T532" s="447"/>
      <c r="U532" s="560"/>
      <c r="V532" s="690" t="str">
        <f>IF(T532&gt;0,W532*U532," ")</f>
        <v xml:space="preserve"> </v>
      </c>
      <c r="W532" s="691" t="str">
        <f>IF(T532&gt;0,(VLOOKUP(T532,'Lookup Ready-reckoner'!$B$5:$E$1007,4))," ")</f>
        <v xml:space="preserve"> </v>
      </c>
      <c r="X532" s="364"/>
      <c r="Y532" s="364"/>
      <c r="Z532" s="364"/>
      <c r="AA532"/>
      <c r="AB532"/>
      <c r="AC532"/>
      <c r="AD532"/>
      <c r="AE532"/>
      <c r="AF532"/>
    </row>
    <row r="533" spans="17:32" ht="12.75" customHeight="1" thickBot="1">
      <c r="Q533" s="364"/>
      <c r="R533" s="692" t="s">
        <v>839</v>
      </c>
      <c r="S533" s="693"/>
      <c r="T533" s="693"/>
      <c r="U533" s="705">
        <f>IF(T531&gt;0,(VLOOKUP(V533,'Lookup Ready-reckoner'!$L$5:$M$1207,2))," ")</f>
        <v>103.15</v>
      </c>
      <c r="V533" s="695">
        <f>IF(U531&gt;0,(SUM(V531:V532))," ")</f>
        <v>6666.6666666666661</v>
      </c>
      <c r="W533" s="696"/>
      <c r="X533" s="364"/>
      <c r="Y533" s="364"/>
      <c r="Z533" s="364"/>
      <c r="AA533"/>
      <c r="AB533"/>
      <c r="AC533"/>
      <c r="AD533"/>
      <c r="AE533"/>
      <c r="AF533"/>
    </row>
    <row r="534" spans="17:32" ht="12.75" customHeight="1" thickBot="1">
      <c r="Q534" s="364"/>
      <c r="R534" s="906"/>
      <c r="S534" s="907"/>
      <c r="T534" s="907"/>
      <c r="U534" s="907"/>
      <c r="V534" s="907"/>
      <c r="W534" s="908"/>
      <c r="X534" s="364"/>
      <c r="Y534" s="364"/>
      <c r="Z534" s="364"/>
      <c r="AA534"/>
      <c r="AB534"/>
      <c r="AC534"/>
      <c r="AD534"/>
      <c r="AE534"/>
      <c r="AF534"/>
    </row>
    <row r="535" spans="17:32" ht="12.75" customHeight="1">
      <c r="Q535" s="364"/>
      <c r="R535" s="895" t="s">
        <v>886</v>
      </c>
      <c r="S535" s="896"/>
      <c r="T535" s="900" t="s">
        <v>835</v>
      </c>
      <c r="U535" s="900" t="s">
        <v>836</v>
      </c>
      <c r="V535" s="900" t="s">
        <v>837</v>
      </c>
      <c r="W535" s="902" t="s">
        <v>838</v>
      </c>
      <c r="X535" s="364"/>
      <c r="Y535" s="364"/>
      <c r="Z535" s="364"/>
      <c r="AA535"/>
      <c r="AB535"/>
      <c r="AC535"/>
      <c r="AD535"/>
      <c r="AE535"/>
      <c r="AF535"/>
    </row>
    <row r="536" spans="17:32" ht="12.75" customHeight="1">
      <c r="Q536" s="364"/>
      <c r="R536" s="892"/>
      <c r="S536" s="897"/>
      <c r="T536" s="901"/>
      <c r="U536" s="901"/>
      <c r="V536" s="901"/>
      <c r="W536" s="903"/>
      <c r="X536" s="364"/>
      <c r="Y536" s="364"/>
      <c r="Z536" s="364"/>
      <c r="AA536"/>
      <c r="AB536"/>
      <c r="AC536"/>
      <c r="AD536"/>
      <c r="AE536"/>
      <c r="AF536"/>
    </row>
    <row r="537" spans="17:32" ht="12.75" customHeight="1">
      <c r="Q537" s="364"/>
      <c r="R537" s="892"/>
      <c r="S537" s="897"/>
      <c r="T537" s="704">
        <f>T531*(1-0.0178*2)</f>
        <v>104.17506655636689</v>
      </c>
      <c r="U537" s="560">
        <f>U531</f>
        <v>2.6666666666666665</v>
      </c>
      <c r="V537" s="690">
        <f>IF(T537&gt;0,W537*U537," ")</f>
        <v>2766.6666666666665</v>
      </c>
      <c r="W537" s="691">
        <f>IF(T537&gt;0,(VLOOKUP(T537,'Lookup Ready-reckoner'!$B$5:$E$1207,4))," ")</f>
        <v>1037.5</v>
      </c>
      <c r="X537" s="364"/>
      <c r="Y537" s="364"/>
      <c r="Z537" s="364"/>
      <c r="AA537"/>
      <c r="AB537"/>
      <c r="AC537"/>
      <c r="AD537"/>
      <c r="AE537"/>
      <c r="AF537"/>
    </row>
    <row r="538" spans="17:32" ht="12.75" customHeight="1">
      <c r="Q538" s="364"/>
      <c r="R538" s="898"/>
      <c r="S538" s="899"/>
      <c r="T538" s="447"/>
      <c r="U538" s="560"/>
      <c r="V538" s="690" t="str">
        <f>IF(T538&gt;0,W538*U538," ")</f>
        <v xml:space="preserve"> </v>
      </c>
      <c r="W538" s="691" t="str">
        <f>IF(T538&gt;0,(VLOOKUP(T538,'Lookup Ready-reckoner'!$B$5:$E$1007,4))," ")</f>
        <v xml:space="preserve"> </v>
      </c>
      <c r="X538" s="364"/>
      <c r="Y538" s="364"/>
      <c r="Z538" s="364"/>
      <c r="AA538"/>
      <c r="AB538"/>
      <c r="AC538"/>
      <c r="AD538"/>
      <c r="AE538"/>
      <c r="AF538"/>
    </row>
    <row r="539" spans="17:32" ht="12.75" customHeight="1" thickBot="1">
      <c r="Q539" s="364"/>
      <c r="R539" s="692" t="s">
        <v>839</v>
      </c>
      <c r="S539" s="693"/>
      <c r="T539" s="693"/>
      <c r="U539" s="705">
        <f>IF(T537&gt;0,(VLOOKUP(V539,'Lookup Ready-reckoner'!$L$5:$M$1207,2))," ")</f>
        <v>99.35</v>
      </c>
      <c r="V539" s="695">
        <f>IF(U537&gt;0,(SUM(V537:V538))," ")</f>
        <v>2766.6666666666665</v>
      </c>
      <c r="W539" s="696"/>
      <c r="X539" s="364"/>
      <c r="Y539" s="364"/>
      <c r="Z539" s="364"/>
      <c r="AA539"/>
      <c r="AB539"/>
      <c r="AC539"/>
      <c r="AD539"/>
      <c r="AE539"/>
      <c r="AF539"/>
    </row>
    <row r="540" spans="17:32" ht="12.75" customHeight="1">
      <c r="Q540" s="364"/>
      <c r="R540" s="697"/>
      <c r="S540" s="687"/>
      <c r="T540" s="687"/>
      <c r="U540" s="372"/>
      <c r="V540" s="374"/>
      <c r="W540" s="688"/>
      <c r="X540" s="364"/>
      <c r="Y540" s="364"/>
      <c r="Z540" s="364"/>
      <c r="AA540"/>
      <c r="AB540"/>
      <c r="AC540"/>
      <c r="AD540"/>
      <c r="AE540"/>
      <c r="AF540"/>
    </row>
    <row r="541" spans="17:32" ht="12.75" customHeight="1" thickBot="1">
      <c r="Q541" s="364"/>
      <c r="R541" s="686" t="s">
        <v>60</v>
      </c>
      <c r="S541" s="577"/>
      <c r="T541" s="577"/>
      <c r="U541" s="577"/>
      <c r="V541" s="577"/>
      <c r="W541" s="698"/>
      <c r="X541" s="364"/>
      <c r="Y541" s="364"/>
      <c r="Z541" s="364"/>
      <c r="AA541"/>
      <c r="AB541"/>
      <c r="AC541"/>
      <c r="AD541"/>
      <c r="AE541"/>
      <c r="AF541"/>
    </row>
    <row r="542" spans="17:32" ht="12.75" customHeight="1">
      <c r="Q542" s="364"/>
      <c r="R542" s="895" t="s">
        <v>845</v>
      </c>
      <c r="S542" s="896"/>
      <c r="T542" s="900" t="s">
        <v>835</v>
      </c>
      <c r="U542" s="900" t="s">
        <v>836</v>
      </c>
      <c r="V542" s="900" t="s">
        <v>837</v>
      </c>
      <c r="W542" s="902" t="s">
        <v>838</v>
      </c>
      <c r="X542" s="364"/>
      <c r="Y542" s="364"/>
      <c r="Z542" s="364"/>
      <c r="AA542"/>
      <c r="AB542"/>
      <c r="AC542"/>
      <c r="AD542"/>
      <c r="AE542"/>
      <c r="AF542"/>
    </row>
    <row r="543" spans="17:32" ht="12.75" customHeight="1">
      <c r="Q543" s="364"/>
      <c r="R543" s="892"/>
      <c r="S543" s="897"/>
      <c r="T543" s="901"/>
      <c r="U543" s="901"/>
      <c r="V543" s="901"/>
      <c r="W543" s="903"/>
      <c r="X543" s="364"/>
      <c r="Y543" s="364"/>
      <c r="Z543" s="364"/>
      <c r="AA543"/>
      <c r="AB543"/>
      <c r="AC543"/>
      <c r="AD543"/>
      <c r="AE543"/>
      <c r="AF543"/>
    </row>
    <row r="544" spans="17:32" ht="12.75" customHeight="1">
      <c r="Q544" s="364"/>
      <c r="R544" s="892"/>
      <c r="S544" s="897"/>
      <c r="T544" s="704">
        <f>T531-PPE!$I$15</f>
        <v>95.020599913279639</v>
      </c>
      <c r="U544" s="560">
        <f>U537</f>
        <v>2.6666666666666665</v>
      </c>
      <c r="V544" s="690">
        <f>IF(T544&gt;0,W544*U544," ")</f>
        <v>333.33333333333331</v>
      </c>
      <c r="W544" s="691">
        <f>IF(T544&gt;0,(VLOOKUP(T544,'Lookup Ready-reckoner'!$B$5:$E$1207,4))," ")</f>
        <v>125</v>
      </c>
      <c r="X544" s="364"/>
      <c r="Y544" s="364"/>
      <c r="Z544" s="364"/>
      <c r="AA544"/>
      <c r="AB544"/>
      <c r="AC544"/>
      <c r="AD544"/>
      <c r="AE544"/>
      <c r="AF544"/>
    </row>
    <row r="545" spans="17:32" ht="12.75" customHeight="1">
      <c r="Q545" s="364"/>
      <c r="R545" s="898"/>
      <c r="S545" s="899"/>
      <c r="T545" s="447"/>
      <c r="U545" s="560"/>
      <c r="V545" s="690" t="str">
        <f>IF(T545&gt;0,W545*U545," ")</f>
        <v xml:space="preserve"> </v>
      </c>
      <c r="W545" s="691" t="str">
        <f>IF(T545&gt;0,(VLOOKUP(T545,'Lookup Ready-reckoner'!$B$5:$E$1007,4))," ")</f>
        <v xml:space="preserve"> </v>
      </c>
      <c r="X545" s="364"/>
      <c r="Y545" s="364"/>
      <c r="Z545" s="364"/>
      <c r="AA545"/>
      <c r="AB545"/>
      <c r="AC545"/>
      <c r="AD545"/>
      <c r="AE545"/>
      <c r="AF545"/>
    </row>
    <row r="546" spans="17:32" ht="12.75" customHeight="1" thickBot="1">
      <c r="Q546" s="364"/>
      <c r="R546" s="692" t="s">
        <v>839</v>
      </c>
      <c r="S546" s="693"/>
      <c r="T546" s="693"/>
      <c r="U546" s="705">
        <f>IF(T544&gt;0,(VLOOKUP(V546,'Lookup Ready-reckoner'!$L$5:$M$1207,2))," ")</f>
        <v>90.15</v>
      </c>
      <c r="V546" s="695">
        <f>IF(U544&gt;0,(SUM(V544:V545))," ")</f>
        <v>333.33333333333331</v>
      </c>
      <c r="W546" s="696"/>
      <c r="X546" s="364"/>
      <c r="Y546" s="364"/>
      <c r="Z546" s="364"/>
      <c r="AA546"/>
      <c r="AB546"/>
      <c r="AC546"/>
      <c r="AD546"/>
      <c r="AE546"/>
      <c r="AF546"/>
    </row>
    <row r="547" spans="17:32" ht="12.75" customHeight="1" thickBot="1">
      <c r="Q547" s="364"/>
      <c r="R547" s="892"/>
      <c r="S547" s="893"/>
      <c r="T547" s="893"/>
      <c r="U547" s="893"/>
      <c r="V547" s="893"/>
      <c r="W547" s="894"/>
      <c r="X547" s="364"/>
      <c r="Y547" s="364"/>
      <c r="Z547" s="364"/>
      <c r="AA547"/>
      <c r="AB547"/>
      <c r="AC547"/>
      <c r="AD547"/>
      <c r="AE547"/>
      <c r="AF547"/>
    </row>
    <row r="548" spans="17:32" ht="12.75" customHeight="1">
      <c r="Q548" s="364"/>
      <c r="R548" s="895" t="s">
        <v>886</v>
      </c>
      <c r="S548" s="896"/>
      <c r="T548" s="900" t="s">
        <v>835</v>
      </c>
      <c r="U548" s="900" t="s">
        <v>836</v>
      </c>
      <c r="V548" s="900" t="s">
        <v>837</v>
      </c>
      <c r="W548" s="902" t="s">
        <v>838</v>
      </c>
      <c r="X548" s="364"/>
      <c r="Y548" s="364"/>
      <c r="Z548" s="364"/>
      <c r="AA548"/>
      <c r="AB548"/>
      <c r="AC548"/>
      <c r="AD548"/>
      <c r="AE548"/>
      <c r="AF548"/>
    </row>
    <row r="549" spans="17:32" ht="12.75" customHeight="1">
      <c r="Q549" s="364"/>
      <c r="R549" s="892"/>
      <c r="S549" s="897"/>
      <c r="T549" s="901"/>
      <c r="U549" s="901"/>
      <c r="V549" s="901"/>
      <c r="W549" s="903"/>
      <c r="X549" s="364"/>
      <c r="Y549" s="364"/>
      <c r="Z549" s="364"/>
      <c r="AA549"/>
      <c r="AB549"/>
      <c r="AC549"/>
      <c r="AD549"/>
      <c r="AE549"/>
      <c r="AF549"/>
    </row>
    <row r="550" spans="17:32" ht="12.75" customHeight="1">
      <c r="Q550" s="364"/>
      <c r="R550" s="892"/>
      <c r="S550" s="897"/>
      <c r="T550" s="704">
        <f>T537-PPE!$I$15</f>
        <v>91.175066556366886</v>
      </c>
      <c r="U550" s="560">
        <f>U544</f>
        <v>2.6666666666666665</v>
      </c>
      <c r="V550" s="690">
        <f>IF(T550&gt;0,W550*U550," ")</f>
        <v>138.33333333333331</v>
      </c>
      <c r="W550" s="691">
        <f>IF(T550&gt;0,(VLOOKUP(T550,'Lookup Ready-reckoner'!$B$5:$E$1207,4))," ")</f>
        <v>51.875</v>
      </c>
      <c r="X550" s="364"/>
      <c r="Y550" s="364"/>
      <c r="Z550" s="364"/>
      <c r="AA550"/>
      <c r="AB550"/>
      <c r="AC550"/>
      <c r="AD550"/>
      <c r="AE550"/>
      <c r="AF550"/>
    </row>
    <row r="551" spans="17:32" ht="12.75" customHeight="1">
      <c r="Q551" s="364"/>
      <c r="R551" s="898"/>
      <c r="S551" s="899"/>
      <c r="T551" s="447"/>
      <c r="U551" s="560"/>
      <c r="V551" s="690" t="str">
        <f>IF(T551&gt;0,W551*U551," ")</f>
        <v xml:space="preserve"> </v>
      </c>
      <c r="W551" s="691" t="str">
        <f>IF(T551&gt;0,(VLOOKUP(T551,'Lookup Ready-reckoner'!$B$5:$E$1007,4))," ")</f>
        <v xml:space="preserve"> </v>
      </c>
      <c r="X551" s="364"/>
      <c r="Y551" s="364"/>
      <c r="Z551" s="364"/>
      <c r="AA551"/>
      <c r="AB551"/>
      <c r="AC551"/>
      <c r="AD551"/>
      <c r="AE551"/>
      <c r="AF551"/>
    </row>
    <row r="552" spans="17:32" ht="12.75" customHeight="1" thickBot="1">
      <c r="Q552" s="364"/>
      <c r="R552" s="692" t="s">
        <v>839</v>
      </c>
      <c r="S552" s="693"/>
      <c r="T552" s="693"/>
      <c r="U552" s="705">
        <f>IF(T550&gt;0,(VLOOKUP(V552,'Lookup Ready-reckoner'!$L$5:$M$1207,2))," ")</f>
        <v>86.35</v>
      </c>
      <c r="V552" s="695">
        <f>IF(U550&gt;0,(SUM(V550:V551))," ")</f>
        <v>138.33333333333331</v>
      </c>
      <c r="W552" s="696"/>
      <c r="X552" s="364"/>
      <c r="Y552" s="364"/>
      <c r="Z552" s="364"/>
      <c r="AA552"/>
      <c r="AB552"/>
      <c r="AC552"/>
      <c r="AD552"/>
      <c r="AE552"/>
      <c r="AF552"/>
    </row>
    <row r="553" spans="17:32" ht="12.75" customHeight="1">
      <c r="Q553" s="364"/>
      <c r="R553" s="364"/>
      <c r="S553" s="364"/>
      <c r="T553" s="364"/>
      <c r="U553" s="364"/>
      <c r="V553" s="364"/>
      <c r="W553" s="364"/>
      <c r="X553" s="364"/>
      <c r="Y553" s="364"/>
      <c r="Z553" s="364"/>
      <c r="AA553"/>
      <c r="AB553"/>
      <c r="AC553"/>
      <c r="AD553"/>
      <c r="AE553"/>
      <c r="AF553"/>
    </row>
    <row r="554" spans="17:32" ht="12.75" customHeight="1">
      <c r="Q554"/>
      <c r="R554"/>
      <c r="S554"/>
      <c r="T554"/>
      <c r="U554"/>
      <c r="V554"/>
      <c r="W554"/>
      <c r="X554"/>
      <c r="Y554"/>
      <c r="Z554"/>
      <c r="AA554"/>
      <c r="AB554"/>
      <c r="AC554"/>
      <c r="AD554"/>
      <c r="AE554"/>
      <c r="AF554"/>
    </row>
    <row r="555" spans="17:32" ht="12.75" customHeight="1">
      <c r="Q555"/>
      <c r="R555"/>
      <c r="S555"/>
      <c r="T555"/>
      <c r="U555"/>
      <c r="V555"/>
      <c r="W555"/>
      <c r="X555"/>
      <c r="Y555"/>
      <c r="Z555"/>
      <c r="AA555"/>
      <c r="AB555"/>
      <c r="AC555"/>
      <c r="AD555"/>
      <c r="AE555"/>
      <c r="AF555"/>
    </row>
    <row r="556" spans="17:32" ht="12.75" customHeight="1">
      <c r="Q556"/>
      <c r="R556"/>
      <c r="S556"/>
      <c r="T556"/>
      <c r="U556"/>
      <c r="V556"/>
      <c r="W556"/>
      <c r="X556"/>
      <c r="Y556"/>
      <c r="Z556"/>
      <c r="AA556"/>
      <c r="AB556"/>
      <c r="AC556"/>
      <c r="AD556"/>
      <c r="AE556"/>
      <c r="AF556"/>
    </row>
    <row r="557" spans="17:32" ht="12.75" customHeight="1">
      <c r="Q557"/>
      <c r="R557"/>
      <c r="S557"/>
      <c r="T557"/>
      <c r="U557"/>
      <c r="V557"/>
      <c r="W557"/>
      <c r="X557"/>
      <c r="Y557"/>
      <c r="Z557"/>
      <c r="AA557"/>
      <c r="AB557"/>
      <c r="AC557"/>
      <c r="AD557"/>
      <c r="AE557"/>
      <c r="AF557"/>
    </row>
    <row r="558" spans="17:32" ht="12.75" customHeight="1">
      <c r="Q558"/>
      <c r="R558"/>
      <c r="S558"/>
      <c r="T558"/>
      <c r="U558"/>
      <c r="V558"/>
      <c r="W558"/>
      <c r="X558"/>
      <c r="Y558"/>
      <c r="Z558"/>
      <c r="AA558"/>
      <c r="AB558"/>
      <c r="AC558"/>
      <c r="AD558"/>
      <c r="AE558"/>
      <c r="AF558"/>
    </row>
    <row r="559" spans="17:32" ht="12.75" customHeight="1">
      <c r="Q559"/>
      <c r="R559"/>
      <c r="S559"/>
      <c r="T559"/>
      <c r="U559"/>
      <c r="V559"/>
      <c r="W559"/>
      <c r="X559"/>
      <c r="Y559"/>
      <c r="Z559"/>
      <c r="AA559"/>
      <c r="AB559"/>
      <c r="AC559"/>
      <c r="AD559"/>
      <c r="AE559"/>
      <c r="AF559"/>
    </row>
    <row r="560" spans="17:32" ht="12.75" customHeight="1">
      <c r="Q560"/>
      <c r="R560"/>
      <c r="S560"/>
      <c r="T560"/>
      <c r="U560"/>
      <c r="V560"/>
      <c r="W560"/>
      <c r="X560"/>
      <c r="Y560"/>
      <c r="Z560"/>
      <c r="AA560"/>
      <c r="AB560"/>
      <c r="AC560"/>
      <c r="AD560"/>
      <c r="AE560"/>
      <c r="AF560"/>
    </row>
    <row r="561" spans="17:32" ht="12.75" customHeight="1">
      <c r="Q561"/>
      <c r="R561"/>
      <c r="S561"/>
      <c r="T561"/>
      <c r="U561"/>
      <c r="V561"/>
      <c r="W561"/>
      <c r="X561"/>
      <c r="Y561"/>
      <c r="Z561"/>
      <c r="AA561"/>
      <c r="AB561"/>
      <c r="AC561"/>
      <c r="AD561"/>
      <c r="AE561"/>
      <c r="AF561"/>
    </row>
    <row r="562" spans="17:32" ht="12.75" customHeight="1">
      <c r="Q562"/>
      <c r="R562"/>
      <c r="S562"/>
      <c r="T562"/>
      <c r="U562"/>
      <c r="V562"/>
      <c r="W562"/>
      <c r="X562"/>
      <c r="Y562"/>
      <c r="Z562"/>
      <c r="AA562"/>
      <c r="AB562"/>
      <c r="AC562"/>
      <c r="AD562"/>
      <c r="AE562"/>
      <c r="AF562"/>
    </row>
    <row r="563" spans="17:32" ht="12.75" customHeight="1">
      <c r="Q563"/>
      <c r="R563"/>
      <c r="S563"/>
      <c r="T563"/>
      <c r="U563"/>
      <c r="V563"/>
      <c r="W563"/>
      <c r="X563"/>
      <c r="Y563"/>
      <c r="Z563"/>
      <c r="AA563"/>
      <c r="AB563"/>
      <c r="AC563"/>
      <c r="AD563"/>
      <c r="AE563"/>
      <c r="AF563"/>
    </row>
    <row r="564" spans="17:32" ht="12.75" customHeight="1">
      <c r="Q564"/>
      <c r="R564"/>
      <c r="S564"/>
      <c r="T564"/>
      <c r="U564"/>
      <c r="V564"/>
      <c r="W564"/>
      <c r="X564"/>
      <c r="Y564"/>
      <c r="Z564"/>
      <c r="AA564"/>
      <c r="AB564"/>
      <c r="AC564"/>
      <c r="AD564"/>
      <c r="AE564"/>
      <c r="AF564"/>
    </row>
    <row r="565" spans="17:32" ht="12.75" customHeight="1">
      <c r="Q565"/>
      <c r="R565"/>
      <c r="S565"/>
      <c r="T565"/>
      <c r="U565"/>
      <c r="V565"/>
      <c r="W565"/>
      <c r="X565"/>
      <c r="Y565"/>
      <c r="Z565"/>
      <c r="AA565"/>
      <c r="AB565"/>
      <c r="AC565"/>
      <c r="AD565"/>
      <c r="AE565"/>
      <c r="AF565"/>
    </row>
    <row r="566" spans="17:32" ht="12.75" customHeight="1">
      <c r="Q566"/>
      <c r="R566"/>
      <c r="S566"/>
      <c r="T566"/>
      <c r="U566"/>
      <c r="V566"/>
      <c r="W566"/>
      <c r="X566"/>
      <c r="Y566"/>
      <c r="Z566"/>
      <c r="AA566"/>
      <c r="AB566"/>
      <c r="AC566"/>
      <c r="AD566"/>
      <c r="AE566"/>
      <c r="AF566"/>
    </row>
    <row r="567" spans="17:32" ht="12.75" customHeight="1">
      <c r="Q567"/>
      <c r="R567"/>
      <c r="S567"/>
      <c r="T567"/>
      <c r="U567"/>
      <c r="V567"/>
      <c r="W567"/>
      <c r="X567"/>
      <c r="Y567"/>
      <c r="Z567"/>
      <c r="AA567"/>
      <c r="AB567"/>
      <c r="AC567"/>
      <c r="AD567"/>
      <c r="AE567"/>
      <c r="AF567"/>
    </row>
    <row r="568" spans="17:32" ht="12.75" customHeight="1">
      <c r="Q568"/>
      <c r="R568"/>
      <c r="S568"/>
      <c r="T568"/>
      <c r="U568"/>
      <c r="V568"/>
      <c r="W568"/>
      <c r="X568"/>
      <c r="Y568"/>
      <c r="Z568"/>
      <c r="AA568"/>
      <c r="AB568"/>
      <c r="AC568"/>
      <c r="AD568"/>
      <c r="AE568"/>
      <c r="AF568"/>
    </row>
    <row r="569" spans="17:32" ht="12.75" customHeight="1">
      <c r="Q569"/>
      <c r="R569"/>
      <c r="S569"/>
      <c r="T569"/>
      <c r="U569"/>
      <c r="V569"/>
      <c r="W569"/>
      <c r="X569"/>
      <c r="Y569"/>
      <c r="Z569"/>
      <c r="AA569"/>
      <c r="AB569"/>
      <c r="AC569"/>
      <c r="AD569"/>
      <c r="AE569"/>
      <c r="AF569"/>
    </row>
    <row r="570" spans="17:32" ht="12.75" customHeight="1">
      <c r="Q570"/>
      <c r="R570"/>
      <c r="S570"/>
      <c r="T570"/>
      <c r="U570"/>
      <c r="V570"/>
      <c r="W570"/>
      <c r="X570"/>
      <c r="Y570"/>
      <c r="Z570"/>
      <c r="AA570"/>
      <c r="AB570"/>
      <c r="AC570"/>
      <c r="AD570"/>
      <c r="AE570"/>
      <c r="AF570"/>
    </row>
    <row r="571" spans="17:32" ht="12.75" customHeight="1">
      <c r="Q571"/>
      <c r="R571"/>
      <c r="S571"/>
      <c r="T571"/>
      <c r="U571"/>
      <c r="V571"/>
      <c r="W571"/>
      <c r="X571"/>
      <c r="Y571"/>
      <c r="Z571"/>
      <c r="AA571"/>
      <c r="AB571"/>
      <c r="AC571"/>
      <c r="AD571"/>
      <c r="AE571"/>
      <c r="AF571"/>
    </row>
    <row r="572" spans="17:32" ht="12.75" customHeight="1">
      <c r="Q572" s="23"/>
      <c r="R572" s="1"/>
      <c r="S572" s="1"/>
      <c r="T572" s="1"/>
      <c r="U572" s="1"/>
      <c r="V572" s="1"/>
      <c r="W572" s="1"/>
      <c r="X572" s="1"/>
      <c r="Y572" s="1"/>
      <c r="Z572" s="1"/>
    </row>
    <row r="573" spans="17:32" ht="12.75" customHeight="1">
      <c r="Q573" s="23"/>
      <c r="R573" s="1"/>
      <c r="S573" s="1"/>
      <c r="T573" s="1"/>
      <c r="U573" s="1"/>
      <c r="V573" s="1"/>
      <c r="W573" s="1"/>
      <c r="X573" s="1"/>
      <c r="Y573" s="1"/>
      <c r="Z573" s="1"/>
    </row>
    <row r="574" spans="17:32" ht="12.75" customHeight="1">
      <c r="Q574" s="23"/>
      <c r="R574" s="1"/>
      <c r="S574" s="1"/>
      <c r="T574" s="1"/>
      <c r="U574" s="1"/>
      <c r="V574" s="1"/>
      <c r="W574" s="1"/>
      <c r="X574" s="1"/>
      <c r="Y574" s="1"/>
      <c r="Z574" s="1"/>
    </row>
    <row r="575" spans="17:32" ht="12.75" customHeight="1">
      <c r="Q575" s="23"/>
      <c r="R575" s="1"/>
      <c r="S575" s="1"/>
      <c r="T575" s="1"/>
      <c r="U575" s="1"/>
      <c r="V575" s="1"/>
      <c r="W575" s="1"/>
      <c r="X575" s="1"/>
      <c r="Y575" s="1"/>
      <c r="Z575" s="1"/>
    </row>
    <row r="576" spans="17:32" ht="12.75" customHeight="1">
      <c r="Q576" s="23"/>
      <c r="R576" s="1"/>
      <c r="S576" s="1"/>
      <c r="T576" s="1"/>
      <c r="U576" s="1"/>
      <c r="V576" s="1"/>
      <c r="W576" s="1"/>
      <c r="X576" s="1"/>
      <c r="Y576" s="1"/>
      <c r="Z576" s="1"/>
    </row>
    <row r="577" spans="17:26" ht="12.75" customHeight="1">
      <c r="Q577" s="23"/>
      <c r="R577" s="1"/>
      <c r="S577" s="1"/>
      <c r="T577" s="1"/>
      <c r="U577" s="1"/>
      <c r="V577" s="1"/>
      <c r="W577" s="1"/>
      <c r="X577" s="1"/>
      <c r="Y577" s="1"/>
      <c r="Z577" s="1"/>
    </row>
    <row r="578" spans="17:26" ht="12.75" customHeight="1">
      <c r="Q578" s="23"/>
      <c r="R578" s="1"/>
      <c r="S578" s="1"/>
      <c r="T578" s="1"/>
      <c r="U578" s="1"/>
      <c r="V578" s="1"/>
      <c r="W578" s="1"/>
      <c r="X578" s="1"/>
      <c r="Y578" s="1"/>
      <c r="Z578" s="1"/>
    </row>
    <row r="579" spans="17:26" ht="12.75" customHeight="1">
      <c r="Q579" s="23"/>
      <c r="R579" s="1"/>
      <c r="S579" s="1"/>
      <c r="T579" s="1"/>
      <c r="U579" s="1"/>
      <c r="V579" s="1"/>
      <c r="W579" s="1"/>
      <c r="X579" s="1"/>
      <c r="Y579" s="1"/>
      <c r="Z579" s="1"/>
    </row>
    <row r="580" spans="17:26" ht="12.75" customHeight="1">
      <c r="Q580" s="23"/>
      <c r="R580" s="1"/>
      <c r="S580" s="1"/>
      <c r="T580" s="1"/>
      <c r="U580" s="1"/>
      <c r="V580" s="1"/>
      <c r="W580" s="1"/>
      <c r="X580" s="1"/>
      <c r="Y580" s="1"/>
      <c r="Z580" s="1"/>
    </row>
    <row r="581" spans="17:26" ht="12.75" customHeight="1">
      <c r="Q581" s="23"/>
      <c r="R581" s="1"/>
      <c r="S581" s="1"/>
      <c r="T581" s="1"/>
      <c r="U581" s="1"/>
      <c r="V581" s="1"/>
      <c r="W581" s="1"/>
      <c r="X581" s="1"/>
      <c r="Y581" s="1"/>
      <c r="Z581" s="1"/>
    </row>
    <row r="582" spans="17:26" ht="12.75" customHeight="1">
      <c r="Q582" s="23"/>
      <c r="R582" s="1"/>
      <c r="S582" s="1"/>
      <c r="T582" s="1"/>
      <c r="U582" s="1"/>
      <c r="V582" s="1"/>
      <c r="W582" s="1"/>
      <c r="X582" s="1"/>
      <c r="Y582" s="1"/>
      <c r="Z582" s="1"/>
    </row>
    <row r="583" spans="17:26" ht="12.75" customHeight="1">
      <c r="Q583" s="23"/>
      <c r="R583" s="1"/>
      <c r="S583" s="1"/>
      <c r="T583" s="1"/>
      <c r="U583" s="1"/>
      <c r="V583" s="1"/>
      <c r="W583" s="1"/>
      <c r="X583" s="1"/>
      <c r="Y583" s="1"/>
      <c r="Z583" s="1"/>
    </row>
    <row r="584" spans="17:26" ht="12.75" customHeight="1">
      <c r="Q584" s="23"/>
      <c r="R584" s="1"/>
      <c r="S584" s="1"/>
      <c r="T584" s="1"/>
      <c r="U584" s="1"/>
      <c r="V584" s="1"/>
      <c r="W584" s="1"/>
      <c r="X584" s="1"/>
      <c r="Y584" s="1"/>
      <c r="Z584" s="1"/>
    </row>
    <row r="585" spans="17:26" ht="12.75" customHeight="1">
      <c r="Q585" s="23"/>
      <c r="R585" s="1"/>
      <c r="S585" s="1"/>
      <c r="T585" s="1"/>
      <c r="U585" s="1"/>
      <c r="V585" s="1"/>
      <c r="W585" s="1"/>
      <c r="X585" s="1"/>
      <c r="Y585" s="1"/>
      <c r="Z585" s="1"/>
    </row>
    <row r="586" spans="17:26" ht="12.75" customHeight="1">
      <c r="Q586" s="23"/>
      <c r="R586" s="1"/>
      <c r="S586" s="1"/>
      <c r="T586" s="1"/>
      <c r="U586" s="1"/>
      <c r="V586" s="1"/>
      <c r="W586" s="1"/>
      <c r="X586" s="1"/>
      <c r="Y586" s="1"/>
      <c r="Z586" s="1"/>
    </row>
    <row r="587" spans="17:26" ht="12.75" customHeight="1">
      <c r="Q587" s="23"/>
      <c r="R587" s="1"/>
      <c r="S587" s="1"/>
      <c r="T587" s="1"/>
      <c r="U587" s="1"/>
      <c r="V587" s="1"/>
      <c r="W587" s="1"/>
      <c r="X587" s="1"/>
      <c r="Y587" s="1"/>
      <c r="Z587" s="1"/>
    </row>
    <row r="588" spans="17:26" ht="12.75" customHeight="1">
      <c r="Q588" s="23"/>
      <c r="R588" s="1"/>
      <c r="S588" s="1"/>
      <c r="T588" s="1"/>
      <c r="U588" s="1"/>
      <c r="V588" s="1"/>
      <c r="W588" s="1"/>
      <c r="X588" s="1"/>
      <c r="Y588" s="1"/>
      <c r="Z588" s="1"/>
    </row>
    <row r="589" spans="17:26" ht="12.75" customHeight="1">
      <c r="Q589" s="23"/>
      <c r="R589" s="1"/>
      <c r="S589" s="1"/>
      <c r="T589" s="1"/>
      <c r="U589" s="1"/>
      <c r="V589" s="1"/>
      <c r="W589" s="1"/>
      <c r="X589" s="1"/>
      <c r="Y589" s="1"/>
      <c r="Z589" s="1"/>
    </row>
    <row r="590" spans="17:26" ht="12.75" customHeight="1">
      <c r="Q590" s="23"/>
      <c r="R590" s="1"/>
      <c r="S590" s="1"/>
      <c r="T590" s="1"/>
      <c r="U590" s="1"/>
      <c r="V590" s="1"/>
      <c r="W590" s="1"/>
      <c r="X590" s="1"/>
      <c r="Y590" s="1"/>
      <c r="Z590" s="1"/>
    </row>
    <row r="591" spans="17:26" ht="12.75" customHeight="1">
      <c r="Q591" s="23"/>
      <c r="R591" s="1"/>
      <c r="S591" s="1"/>
      <c r="T591" s="1"/>
      <c r="U591" s="1"/>
      <c r="V591" s="1"/>
      <c r="W591" s="1"/>
      <c r="X591" s="1"/>
      <c r="Y591" s="1"/>
      <c r="Z591" s="1"/>
    </row>
    <row r="592" spans="17:26" ht="12.75" customHeight="1">
      <c r="Q592" s="23"/>
      <c r="R592" s="1"/>
      <c r="S592" s="1"/>
      <c r="T592" s="1"/>
      <c r="U592" s="1"/>
      <c r="V592" s="1"/>
      <c r="W592" s="1"/>
      <c r="X592" s="1"/>
      <c r="Y592" s="1"/>
      <c r="Z592" s="1"/>
    </row>
    <row r="593" spans="17:26" ht="12.75" customHeight="1">
      <c r="Q593" s="23"/>
      <c r="R593" s="1"/>
      <c r="S593" s="1"/>
      <c r="T593" s="1"/>
      <c r="U593" s="1"/>
      <c r="V593" s="1"/>
      <c r="W593" s="1"/>
      <c r="X593" s="1"/>
      <c r="Y593" s="1"/>
      <c r="Z593" s="1"/>
    </row>
    <row r="594" spans="17:26" ht="12.75" customHeight="1">
      <c r="Q594" s="23"/>
      <c r="R594" s="1"/>
      <c r="S594" s="1"/>
      <c r="T594" s="1"/>
      <c r="U594" s="1"/>
      <c r="V594" s="1"/>
      <c r="W594" s="1"/>
      <c r="X594" s="1"/>
      <c r="Y594" s="1"/>
      <c r="Z594" s="1"/>
    </row>
    <row r="595" spans="17:26" ht="12.75" customHeight="1">
      <c r="Q595" s="23"/>
      <c r="R595" s="1"/>
      <c r="S595" s="1"/>
      <c r="T595" s="1"/>
      <c r="U595" s="1"/>
      <c r="V595" s="1"/>
      <c r="W595" s="1"/>
      <c r="X595" s="1"/>
      <c r="Y595" s="1"/>
      <c r="Z595" s="1"/>
    </row>
    <row r="596" spans="17:26" ht="12.75" customHeight="1">
      <c r="Q596" s="23"/>
      <c r="R596" s="1"/>
      <c r="S596" s="1"/>
      <c r="T596" s="1"/>
      <c r="U596" s="1"/>
      <c r="V596" s="1"/>
      <c r="W596" s="1"/>
      <c r="X596" s="1"/>
      <c r="Y596" s="1"/>
      <c r="Z596" s="1"/>
    </row>
    <row r="597" spans="17:26" ht="12.75" customHeight="1">
      <c r="Q597" s="23"/>
      <c r="R597" s="1"/>
      <c r="S597" s="1"/>
      <c r="T597" s="1"/>
      <c r="U597" s="1"/>
      <c r="V597" s="1"/>
      <c r="W597" s="1"/>
      <c r="X597" s="1"/>
      <c r="Y597" s="1"/>
      <c r="Z597" s="1"/>
    </row>
    <row r="598" spans="17:26" ht="12.75" customHeight="1">
      <c r="Q598" s="23"/>
      <c r="R598" s="1"/>
      <c r="S598" s="1"/>
      <c r="T598" s="1"/>
      <c r="U598" s="1"/>
      <c r="V598" s="1"/>
      <c r="W598" s="1"/>
      <c r="X598" s="1"/>
      <c r="Y598" s="1"/>
      <c r="Z598" s="1"/>
    </row>
    <row r="599" spans="17:26" ht="12.75" customHeight="1">
      <c r="Q599" s="23"/>
      <c r="R599" s="1"/>
      <c r="S599" s="1"/>
      <c r="T599" s="1"/>
      <c r="U599" s="1"/>
      <c r="V599" s="1"/>
      <c r="W599" s="1"/>
      <c r="X599" s="1"/>
      <c r="Y599" s="1"/>
      <c r="Z599" s="1"/>
    </row>
    <row r="600" spans="17:26" ht="12.75" customHeight="1">
      <c r="Q600" s="23"/>
      <c r="R600" s="1"/>
      <c r="S600" s="1"/>
      <c r="T600" s="1"/>
      <c r="U600" s="1"/>
      <c r="V600" s="1"/>
      <c r="W600" s="1"/>
      <c r="X600" s="1"/>
      <c r="Y600" s="1"/>
      <c r="Z600" s="1"/>
    </row>
    <row r="601" spans="17:26" ht="12.75" customHeight="1">
      <c r="Q601" s="23"/>
      <c r="R601" s="1"/>
      <c r="S601" s="1"/>
      <c r="T601" s="1"/>
      <c r="U601" s="1"/>
      <c r="V601" s="1"/>
      <c r="W601" s="1"/>
      <c r="X601" s="1"/>
      <c r="Y601" s="1"/>
      <c r="Z601" s="1"/>
    </row>
    <row r="602" spans="17:26" ht="12.75" customHeight="1">
      <c r="Q602" s="23"/>
      <c r="R602" s="1"/>
      <c r="S602" s="1"/>
      <c r="T602" s="1"/>
      <c r="U602" s="1"/>
      <c r="V602" s="1"/>
      <c r="W602" s="1"/>
      <c r="X602" s="1"/>
      <c r="Y602" s="1"/>
      <c r="Z602" s="1"/>
    </row>
    <row r="603" spans="17:26" ht="12.75" customHeight="1">
      <c r="Q603" s="23"/>
      <c r="R603" s="1"/>
      <c r="S603" s="1"/>
      <c r="T603" s="1"/>
      <c r="U603" s="1"/>
      <c r="V603" s="1"/>
      <c r="W603" s="1"/>
      <c r="X603" s="1"/>
      <c r="Y603" s="1"/>
      <c r="Z603" s="1"/>
    </row>
    <row r="604" spans="17:26" ht="12.75" customHeight="1">
      <c r="Q604" s="23"/>
      <c r="R604" s="1"/>
      <c r="S604" s="1"/>
      <c r="T604" s="1"/>
      <c r="U604" s="1"/>
      <c r="V604" s="1"/>
      <c r="W604" s="1"/>
      <c r="X604" s="1"/>
      <c r="Y604" s="1"/>
      <c r="Z604" s="1"/>
    </row>
    <row r="605" spans="17:26" ht="12.75" customHeight="1">
      <c r="Q605" s="23"/>
      <c r="R605" s="1"/>
      <c r="S605" s="1"/>
      <c r="T605" s="1"/>
      <c r="U605" s="1"/>
      <c r="V605" s="1"/>
      <c r="W605" s="1"/>
      <c r="X605" s="1"/>
      <c r="Y605" s="1"/>
      <c r="Z605" s="1"/>
    </row>
    <row r="606" spans="17:26" ht="12.75" customHeight="1">
      <c r="Q606" s="23"/>
      <c r="R606" s="1"/>
      <c r="S606" s="1"/>
      <c r="T606" s="1"/>
      <c r="U606" s="1"/>
      <c r="V606" s="1"/>
      <c r="W606" s="1"/>
      <c r="X606" s="1"/>
      <c r="Y606" s="1"/>
      <c r="Z606" s="1"/>
    </row>
    <row r="607" spans="17:26" ht="12.75" customHeight="1">
      <c r="Q607" s="23"/>
      <c r="R607" s="1"/>
      <c r="S607" s="1"/>
      <c r="T607" s="1"/>
      <c r="U607" s="1"/>
      <c r="V607" s="1"/>
      <c r="W607" s="1"/>
      <c r="X607" s="1"/>
      <c r="Y607" s="1"/>
      <c r="Z607" s="1"/>
    </row>
    <row r="608" spans="17:26" ht="12.75" customHeight="1">
      <c r="Q608" s="23"/>
      <c r="R608" s="1"/>
      <c r="S608" s="1"/>
      <c r="T608" s="1"/>
      <c r="U608" s="1"/>
      <c r="V608" s="1"/>
      <c r="W608" s="1"/>
      <c r="X608" s="1"/>
      <c r="Y608" s="1"/>
      <c r="Z608" s="1"/>
    </row>
    <row r="609" spans="17:26" ht="12.75" customHeight="1">
      <c r="Q609" s="23"/>
      <c r="R609" s="1"/>
      <c r="S609" s="1"/>
      <c r="T609" s="1"/>
      <c r="U609" s="1"/>
      <c r="V609" s="1"/>
      <c r="W609" s="1"/>
      <c r="X609" s="1"/>
      <c r="Y609" s="1"/>
      <c r="Z609" s="1"/>
    </row>
    <row r="610" spans="17:26" ht="12.75" customHeight="1">
      <c r="Q610" s="23"/>
      <c r="R610" s="1"/>
      <c r="S610" s="1"/>
      <c r="T610" s="1"/>
      <c r="U610" s="1"/>
      <c r="V610" s="1"/>
      <c r="W610" s="1"/>
      <c r="X610" s="1"/>
      <c r="Y610" s="1"/>
      <c r="Z610" s="1"/>
    </row>
    <row r="611" spans="17:26" ht="12.75" customHeight="1">
      <c r="Q611" s="23"/>
      <c r="R611" s="1"/>
      <c r="S611" s="1"/>
      <c r="T611" s="1"/>
      <c r="U611" s="1"/>
      <c r="V611" s="1"/>
      <c r="W611" s="1"/>
      <c r="X611" s="1"/>
      <c r="Y611" s="1"/>
      <c r="Z611" s="1"/>
    </row>
    <row r="612" spans="17:26" ht="12.75" customHeight="1">
      <c r="Q612" s="23"/>
      <c r="R612" s="1"/>
      <c r="S612" s="1"/>
      <c r="T612" s="1"/>
      <c r="U612" s="1"/>
      <c r="V612" s="1"/>
      <c r="W612" s="1"/>
      <c r="X612" s="1"/>
      <c r="Y612" s="1"/>
      <c r="Z612" s="1"/>
    </row>
    <row r="613" spans="17:26" ht="12.75" customHeight="1">
      <c r="Q613" s="23"/>
      <c r="R613" s="1"/>
      <c r="S613" s="1"/>
      <c r="T613" s="1"/>
      <c r="U613" s="1"/>
      <c r="V613" s="1"/>
      <c r="W613" s="1"/>
      <c r="X613" s="1"/>
      <c r="Y613" s="1"/>
      <c r="Z613" s="1"/>
    </row>
    <row r="614" spans="17:26" ht="12.75" customHeight="1">
      <c r="Q614" s="23"/>
      <c r="R614" s="1"/>
      <c r="S614" s="1"/>
      <c r="T614" s="1"/>
      <c r="U614" s="1"/>
      <c r="V614" s="1"/>
      <c r="W614" s="1"/>
      <c r="X614" s="1"/>
      <c r="Y614" s="1"/>
      <c r="Z614" s="1"/>
    </row>
    <row r="615" spans="17:26" ht="12.75" customHeight="1">
      <c r="Q615" s="23"/>
      <c r="R615" s="1"/>
      <c r="S615" s="1"/>
      <c r="T615" s="1"/>
      <c r="U615" s="1"/>
      <c r="V615" s="1"/>
      <c r="W615" s="1"/>
      <c r="X615" s="1"/>
      <c r="Y615" s="1"/>
      <c r="Z615" s="1"/>
    </row>
    <row r="616" spans="17:26" ht="12.75" customHeight="1">
      <c r="Q616" s="23"/>
      <c r="R616" s="1"/>
      <c r="S616" s="1"/>
      <c r="T616" s="1"/>
      <c r="U616" s="1"/>
      <c r="V616" s="1"/>
      <c r="W616" s="1"/>
      <c r="X616" s="1"/>
      <c r="Y616" s="1"/>
      <c r="Z616" s="1"/>
    </row>
    <row r="617" spans="17:26" ht="12.75" customHeight="1">
      <c r="Q617" s="23"/>
      <c r="R617" s="1"/>
      <c r="S617" s="1"/>
      <c r="T617" s="1"/>
      <c r="U617" s="1"/>
      <c r="V617" s="1"/>
      <c r="W617" s="1"/>
      <c r="X617" s="1"/>
      <c r="Y617" s="1"/>
      <c r="Z617" s="1"/>
    </row>
    <row r="618" spans="17:26" ht="12.75" customHeight="1">
      <c r="Q618" s="23"/>
      <c r="R618" s="1"/>
      <c r="S618" s="1"/>
      <c r="T618" s="1"/>
      <c r="U618" s="1"/>
      <c r="V618" s="1"/>
      <c r="W618" s="1"/>
      <c r="X618" s="1"/>
      <c r="Y618" s="1"/>
      <c r="Z618" s="1"/>
    </row>
    <row r="619" spans="17:26" ht="12.75" customHeight="1">
      <c r="Q619" s="23"/>
      <c r="R619" s="1"/>
      <c r="S619" s="1"/>
      <c r="T619" s="1"/>
      <c r="U619" s="1"/>
      <c r="V619" s="1"/>
      <c r="W619" s="1"/>
      <c r="X619" s="1"/>
      <c r="Y619" s="1"/>
      <c r="Z619" s="1"/>
    </row>
    <row r="620" spans="17:26" ht="12.75" customHeight="1">
      <c r="Q620" s="23"/>
      <c r="R620" s="1"/>
      <c r="S620" s="1"/>
      <c r="T620" s="1"/>
      <c r="U620" s="1"/>
      <c r="V620" s="1"/>
      <c r="W620" s="1"/>
      <c r="X620" s="1"/>
      <c r="Y620" s="1"/>
      <c r="Z620" s="1"/>
    </row>
    <row r="621" spans="17:26" ht="12.75" customHeight="1">
      <c r="Q621" s="23"/>
      <c r="R621" s="1"/>
      <c r="S621" s="1"/>
      <c r="T621" s="1"/>
      <c r="U621" s="1"/>
      <c r="V621" s="1"/>
      <c r="W621" s="1"/>
      <c r="X621" s="1"/>
      <c r="Y621" s="1"/>
      <c r="Z621" s="1"/>
    </row>
    <row r="622" spans="17:26" ht="12.75" customHeight="1">
      <c r="Q622" s="23"/>
      <c r="R622" s="1"/>
      <c r="S622" s="1"/>
      <c r="T622" s="1"/>
      <c r="U622" s="1"/>
      <c r="V622" s="1"/>
      <c r="W622" s="1"/>
      <c r="X622" s="1"/>
      <c r="Y622" s="1"/>
      <c r="Z622" s="1"/>
    </row>
    <row r="623" spans="17:26" ht="12.75" customHeight="1">
      <c r="Q623" s="23"/>
      <c r="R623" s="1"/>
      <c r="S623" s="1"/>
      <c r="T623" s="1"/>
      <c r="U623" s="1"/>
      <c r="V623" s="1"/>
      <c r="W623" s="1"/>
      <c r="X623" s="1"/>
      <c r="Y623" s="1"/>
      <c r="Z623" s="1"/>
    </row>
    <row r="624" spans="17:26" ht="12.75" customHeight="1">
      <c r="Q624" s="23"/>
      <c r="R624" s="1"/>
      <c r="S624" s="1"/>
      <c r="T624" s="1"/>
      <c r="U624" s="1"/>
      <c r="V624" s="1"/>
      <c r="W624" s="1"/>
      <c r="X624" s="1"/>
      <c r="Y624" s="1"/>
      <c r="Z624" s="1"/>
    </row>
    <row r="625" spans="17:26" ht="12.75" customHeight="1">
      <c r="Q625" s="23"/>
      <c r="R625" s="1"/>
      <c r="S625" s="1"/>
      <c r="T625" s="1"/>
      <c r="U625" s="1"/>
      <c r="V625" s="1"/>
      <c r="W625" s="1"/>
      <c r="X625" s="1"/>
      <c r="Y625" s="1"/>
      <c r="Z625" s="1"/>
    </row>
    <row r="626" spans="17:26" ht="12.75" customHeight="1">
      <c r="Q626" s="23"/>
      <c r="R626" s="1"/>
      <c r="S626" s="1"/>
      <c r="T626" s="1"/>
      <c r="U626" s="1"/>
      <c r="V626" s="1"/>
      <c r="W626" s="1"/>
      <c r="X626" s="1"/>
      <c r="Y626" s="1"/>
      <c r="Z626" s="1"/>
    </row>
    <row r="627" spans="17:26" ht="12.75" customHeight="1">
      <c r="Q627" s="23"/>
      <c r="R627" s="1"/>
      <c r="S627" s="1"/>
      <c r="T627" s="1"/>
      <c r="U627" s="1"/>
      <c r="V627" s="1"/>
      <c r="W627" s="1"/>
      <c r="X627" s="1"/>
      <c r="Y627" s="1"/>
      <c r="Z627" s="1"/>
    </row>
    <row r="628" spans="17:26" ht="12.75" customHeight="1">
      <c r="Q628" s="23"/>
      <c r="R628" s="1"/>
      <c r="S628" s="1"/>
      <c r="T628" s="1"/>
      <c r="U628" s="1"/>
      <c r="V628" s="1"/>
      <c r="W628" s="1"/>
      <c r="X628" s="1"/>
      <c r="Y628" s="1"/>
      <c r="Z628" s="1"/>
    </row>
    <row r="629" spans="17:26" ht="12.75" customHeight="1">
      <c r="Q629" s="23"/>
      <c r="R629" s="1"/>
      <c r="S629" s="1"/>
      <c r="T629" s="1"/>
      <c r="U629" s="1"/>
      <c r="V629" s="1"/>
      <c r="W629" s="1"/>
      <c r="X629" s="1"/>
      <c r="Y629" s="1"/>
      <c r="Z629" s="1"/>
    </row>
    <row r="630" spans="17:26" ht="12.75" customHeight="1">
      <c r="Q630" s="23"/>
      <c r="R630" s="1"/>
      <c r="S630" s="1"/>
      <c r="T630" s="1"/>
      <c r="U630" s="1"/>
      <c r="V630" s="1"/>
      <c r="W630" s="1"/>
      <c r="X630" s="1"/>
      <c r="Y630" s="1"/>
      <c r="Z630" s="1"/>
    </row>
    <row r="631" spans="17:26" ht="12.75" customHeight="1">
      <c r="Q631" s="23"/>
      <c r="R631" s="1"/>
      <c r="S631" s="1"/>
      <c r="T631" s="1"/>
      <c r="U631" s="1"/>
      <c r="V631" s="1"/>
      <c r="W631" s="1"/>
      <c r="X631" s="1"/>
      <c r="Y631" s="1"/>
      <c r="Z631" s="1"/>
    </row>
    <row r="632" spans="17:26" ht="12.75" customHeight="1">
      <c r="Q632" s="23"/>
      <c r="R632" s="1"/>
      <c r="S632" s="1"/>
      <c r="T632" s="1"/>
      <c r="U632" s="1"/>
      <c r="V632" s="1"/>
      <c r="W632" s="1"/>
      <c r="X632" s="1"/>
      <c r="Y632" s="1"/>
      <c r="Z632" s="1"/>
    </row>
    <row r="633" spans="17:26" ht="12.75" customHeight="1">
      <c r="Q633" s="23"/>
      <c r="R633" s="1"/>
      <c r="S633" s="1"/>
      <c r="T633" s="1"/>
      <c r="U633" s="1"/>
      <c r="V633" s="1"/>
      <c r="W633" s="1"/>
      <c r="X633" s="1"/>
      <c r="Y633" s="1"/>
      <c r="Z633" s="1"/>
    </row>
    <row r="634" spans="17:26" ht="12.75" customHeight="1">
      <c r="Q634" s="23"/>
      <c r="R634" s="1"/>
      <c r="S634" s="1"/>
      <c r="T634" s="1"/>
      <c r="U634" s="1"/>
      <c r="V634" s="1"/>
      <c r="W634" s="1"/>
      <c r="X634" s="1"/>
      <c r="Y634" s="1"/>
      <c r="Z634" s="1"/>
    </row>
    <row r="635" spans="17:26" ht="12.75" customHeight="1">
      <c r="Q635" s="23"/>
      <c r="R635" s="1"/>
      <c r="S635" s="1"/>
      <c r="T635" s="1"/>
      <c r="U635" s="1"/>
      <c r="V635" s="1"/>
      <c r="W635" s="1"/>
      <c r="X635" s="1"/>
      <c r="Y635" s="1"/>
      <c r="Z635" s="1"/>
    </row>
    <row r="636" spans="17:26" ht="12.75" customHeight="1">
      <c r="Q636" s="23"/>
      <c r="R636" s="1"/>
      <c r="S636" s="1"/>
      <c r="T636" s="1"/>
      <c r="U636" s="1"/>
      <c r="V636" s="1"/>
      <c r="W636" s="1"/>
      <c r="X636" s="1"/>
      <c r="Y636" s="1"/>
      <c r="Z636" s="1"/>
    </row>
    <row r="637" spans="17:26" ht="12.75" customHeight="1">
      <c r="Q637" s="23"/>
      <c r="R637" s="1"/>
      <c r="S637" s="1"/>
      <c r="T637" s="1"/>
      <c r="U637" s="1"/>
      <c r="V637" s="1"/>
      <c r="W637" s="1"/>
      <c r="X637" s="1"/>
      <c r="Y637" s="1"/>
      <c r="Z637" s="1"/>
    </row>
    <row r="638" spans="17:26" ht="12.75" customHeight="1">
      <c r="Q638" s="23"/>
      <c r="R638" s="1"/>
      <c r="S638" s="1"/>
      <c r="T638" s="1"/>
      <c r="U638" s="1"/>
      <c r="V638" s="1"/>
      <c r="W638" s="1"/>
      <c r="X638" s="1"/>
      <c r="Y638" s="1"/>
      <c r="Z638" s="1"/>
    </row>
    <row r="639" spans="17:26" ht="12.75" customHeight="1">
      <c r="Q639" s="23"/>
      <c r="R639" s="1"/>
      <c r="S639" s="1"/>
      <c r="T639" s="1"/>
      <c r="U639" s="1"/>
      <c r="V639" s="1"/>
      <c r="W639" s="1"/>
      <c r="X639" s="1"/>
      <c r="Y639" s="1"/>
      <c r="Z639" s="1"/>
    </row>
    <row r="640" spans="17:26" ht="12.75" customHeight="1">
      <c r="Q640" s="23"/>
      <c r="R640" s="1"/>
      <c r="S640" s="1"/>
      <c r="T640" s="1"/>
      <c r="U640" s="1"/>
      <c r="V640" s="1"/>
      <c r="W640" s="1"/>
      <c r="X640" s="1"/>
      <c r="Y640" s="1"/>
      <c r="Z640" s="1"/>
    </row>
    <row r="641" spans="17:26" ht="12.75" customHeight="1">
      <c r="Q641" s="23"/>
      <c r="R641" s="1"/>
      <c r="S641" s="1"/>
      <c r="T641" s="1"/>
      <c r="U641" s="1"/>
      <c r="V641" s="1"/>
      <c r="W641" s="1"/>
      <c r="X641" s="1"/>
      <c r="Y641" s="1"/>
      <c r="Z641" s="1"/>
    </row>
    <row r="642" spans="17:26" ht="12.75" customHeight="1">
      <c r="Q642" s="23"/>
      <c r="R642" s="1"/>
      <c r="S642" s="1"/>
      <c r="T642" s="1"/>
      <c r="U642" s="1"/>
      <c r="V642" s="1"/>
      <c r="W642" s="1"/>
      <c r="X642" s="1"/>
      <c r="Y642" s="1"/>
      <c r="Z642" s="1"/>
    </row>
    <row r="643" spans="17:26" ht="12.75" customHeight="1">
      <c r="Q643" s="23"/>
      <c r="R643" s="1"/>
      <c r="S643" s="1"/>
      <c r="T643" s="1"/>
      <c r="U643" s="1"/>
      <c r="V643" s="1"/>
      <c r="W643" s="1"/>
      <c r="X643" s="1"/>
      <c r="Y643" s="1"/>
      <c r="Z643" s="1"/>
    </row>
    <row r="644" spans="17:26" ht="12.75" customHeight="1">
      <c r="Q644" s="23"/>
      <c r="R644" s="1"/>
      <c r="S644" s="1"/>
      <c r="T644" s="1"/>
      <c r="U644" s="1"/>
      <c r="V644" s="1"/>
      <c r="W644" s="1"/>
      <c r="X644" s="1"/>
      <c r="Y644" s="1"/>
      <c r="Z644" s="1"/>
    </row>
    <row r="645" spans="17:26" ht="12.75" customHeight="1">
      <c r="Q645" s="23"/>
      <c r="R645" s="1"/>
      <c r="S645" s="1"/>
      <c r="T645" s="1"/>
      <c r="U645" s="1"/>
      <c r="V645" s="1"/>
      <c r="W645" s="1"/>
      <c r="X645" s="1"/>
      <c r="Y645" s="1"/>
      <c r="Z645" s="1"/>
    </row>
    <row r="646" spans="17:26" ht="12.75" customHeight="1">
      <c r="Q646" s="23"/>
      <c r="R646" s="1"/>
      <c r="S646" s="1"/>
      <c r="T646" s="1"/>
      <c r="U646" s="1"/>
      <c r="V646" s="1"/>
      <c r="W646" s="1"/>
      <c r="X646" s="1"/>
      <c r="Y646" s="1"/>
      <c r="Z646" s="1"/>
    </row>
    <row r="647" spans="17:26" ht="12.75" customHeight="1">
      <c r="Q647" s="23"/>
      <c r="R647" s="1"/>
      <c r="S647" s="1"/>
      <c r="T647" s="1"/>
      <c r="U647" s="1"/>
      <c r="V647" s="1"/>
      <c r="W647" s="1"/>
      <c r="X647" s="1"/>
      <c r="Y647" s="1"/>
      <c r="Z647" s="1"/>
    </row>
    <row r="648" spans="17:26" ht="12.75" customHeight="1">
      <c r="Q648" s="23"/>
      <c r="R648" s="1"/>
      <c r="S648" s="1"/>
      <c r="T648" s="1"/>
      <c r="U648" s="1"/>
      <c r="V648" s="1"/>
      <c r="W648" s="1"/>
      <c r="X648" s="1"/>
      <c r="Y648" s="1"/>
      <c r="Z648" s="1"/>
    </row>
    <row r="649" spans="17:26" ht="12.75" customHeight="1">
      <c r="Q649" s="23"/>
      <c r="R649" s="1"/>
      <c r="S649" s="1"/>
      <c r="T649" s="1"/>
      <c r="U649" s="1"/>
      <c r="V649" s="1"/>
      <c r="W649" s="1"/>
      <c r="X649" s="1"/>
      <c r="Y649" s="1"/>
      <c r="Z649" s="1"/>
    </row>
    <row r="650" spans="17:26" ht="12.75" customHeight="1">
      <c r="Q650" s="23"/>
      <c r="R650" s="1"/>
      <c r="S650" s="1"/>
      <c r="T650" s="1"/>
      <c r="U650" s="1"/>
      <c r="V650" s="1"/>
      <c r="W650" s="1"/>
      <c r="X650" s="1"/>
      <c r="Y650" s="1"/>
      <c r="Z650" s="1"/>
    </row>
    <row r="651" spans="17:26" ht="12.75" customHeight="1">
      <c r="Q651" s="23"/>
      <c r="R651" s="1"/>
      <c r="S651" s="1"/>
      <c r="T651" s="1"/>
      <c r="U651" s="1"/>
      <c r="V651" s="1"/>
      <c r="W651" s="1"/>
      <c r="X651" s="1"/>
      <c r="Y651" s="1"/>
      <c r="Z651" s="1"/>
    </row>
    <row r="652" spans="17:26" ht="12.75" customHeight="1">
      <c r="Q652" s="23"/>
      <c r="R652" s="1"/>
      <c r="S652" s="1"/>
      <c r="T652" s="1"/>
      <c r="U652" s="1"/>
      <c r="V652" s="1"/>
      <c r="W652" s="1"/>
      <c r="X652" s="1"/>
      <c r="Y652" s="1"/>
      <c r="Z652" s="1"/>
    </row>
    <row r="653" spans="17:26" ht="12.75" customHeight="1">
      <c r="Q653" s="23"/>
      <c r="R653" s="1"/>
      <c r="S653" s="1"/>
      <c r="T653" s="1"/>
      <c r="U653" s="1"/>
      <c r="V653" s="1"/>
      <c r="W653" s="1"/>
      <c r="X653" s="1"/>
      <c r="Y653" s="1"/>
      <c r="Z653" s="1"/>
    </row>
    <row r="654" spans="17:26" ht="12.75" customHeight="1">
      <c r="Q654" s="23"/>
      <c r="R654" s="1"/>
      <c r="S654" s="1"/>
      <c r="T654" s="1"/>
      <c r="U654" s="1"/>
      <c r="V654" s="1"/>
      <c r="W654" s="1"/>
      <c r="X654" s="1"/>
      <c r="Y654" s="1"/>
      <c r="Z654" s="1"/>
    </row>
    <row r="655" spans="17:26" ht="12.75" customHeight="1">
      <c r="Q655" s="23"/>
      <c r="R655" s="1"/>
      <c r="S655" s="1"/>
      <c r="T655" s="1"/>
      <c r="U655" s="1"/>
      <c r="V655" s="1"/>
      <c r="W655" s="1"/>
      <c r="X655" s="1"/>
      <c r="Y655" s="1"/>
      <c r="Z655" s="1"/>
    </row>
    <row r="656" spans="17:26" ht="12.75" customHeight="1">
      <c r="Q656" s="23"/>
      <c r="R656" s="1"/>
      <c r="S656" s="1"/>
      <c r="T656" s="1"/>
      <c r="U656" s="1"/>
      <c r="V656" s="1"/>
      <c r="W656" s="1"/>
      <c r="X656" s="1"/>
      <c r="Y656" s="1"/>
      <c r="Z656" s="1"/>
    </row>
    <row r="657" spans="17:26" ht="12.75" customHeight="1">
      <c r="Q657" s="23"/>
      <c r="R657" s="1"/>
      <c r="S657" s="1"/>
      <c r="T657" s="1"/>
      <c r="U657" s="1"/>
      <c r="V657" s="1"/>
      <c r="W657" s="1"/>
      <c r="X657" s="1"/>
      <c r="Y657" s="1"/>
      <c r="Z657" s="1"/>
    </row>
    <row r="658" spans="17:26" ht="12.75" customHeight="1">
      <c r="Q658" s="23"/>
      <c r="R658" s="1"/>
      <c r="S658" s="1"/>
      <c r="T658" s="1"/>
      <c r="U658" s="1"/>
      <c r="V658" s="1"/>
      <c r="W658" s="1"/>
      <c r="X658" s="1"/>
      <c r="Y658" s="1"/>
      <c r="Z658" s="1"/>
    </row>
    <row r="659" spans="17:26" ht="12.75" customHeight="1">
      <c r="Q659" s="23"/>
      <c r="R659" s="1"/>
      <c r="S659" s="1"/>
      <c r="T659" s="1"/>
      <c r="U659" s="1"/>
      <c r="V659" s="1"/>
      <c r="W659" s="1"/>
      <c r="X659" s="1"/>
      <c r="Y659" s="1"/>
      <c r="Z659" s="1"/>
    </row>
    <row r="660" spans="17:26" ht="12.75" customHeight="1">
      <c r="Q660" s="23"/>
      <c r="R660" s="1"/>
      <c r="S660" s="1"/>
      <c r="T660" s="1"/>
      <c r="U660" s="1"/>
      <c r="V660" s="1"/>
      <c r="W660" s="1"/>
      <c r="X660" s="1"/>
      <c r="Y660" s="1"/>
      <c r="Z660" s="1"/>
    </row>
    <row r="661" spans="17:26" ht="12.75" customHeight="1">
      <c r="Q661" s="23"/>
      <c r="R661" s="1"/>
      <c r="S661" s="1"/>
      <c r="T661" s="1"/>
      <c r="U661" s="1"/>
      <c r="V661" s="1"/>
      <c r="W661" s="1"/>
      <c r="X661" s="1"/>
      <c r="Y661" s="1"/>
      <c r="Z661" s="1"/>
    </row>
    <row r="662" spans="17:26" ht="12.75" customHeight="1">
      <c r="Q662" s="23"/>
      <c r="R662" s="1"/>
      <c r="S662" s="1"/>
      <c r="T662" s="1"/>
      <c r="U662" s="1"/>
      <c r="V662" s="1"/>
      <c r="W662" s="1"/>
      <c r="X662" s="1"/>
      <c r="Y662" s="1"/>
      <c r="Z662" s="1"/>
    </row>
    <row r="663" spans="17:26" ht="12.75" customHeight="1">
      <c r="Q663" s="23"/>
      <c r="R663" s="1"/>
      <c r="S663" s="1"/>
      <c r="T663" s="1"/>
      <c r="U663" s="1"/>
      <c r="V663" s="1"/>
      <c r="W663" s="1"/>
      <c r="X663" s="1"/>
      <c r="Y663" s="1"/>
      <c r="Z663" s="1"/>
    </row>
    <row r="664" spans="17:26" ht="12.75" customHeight="1">
      <c r="Q664" s="23"/>
      <c r="R664" s="1"/>
      <c r="S664" s="1"/>
      <c r="T664" s="1"/>
      <c r="U664" s="1"/>
      <c r="V664" s="1"/>
      <c r="W664" s="1"/>
      <c r="X664" s="1"/>
      <c r="Y664" s="1"/>
      <c r="Z664" s="1"/>
    </row>
    <row r="665" spans="17:26" ht="12.75" customHeight="1">
      <c r="Q665" s="23"/>
      <c r="R665" s="1"/>
      <c r="S665" s="1"/>
      <c r="T665" s="1"/>
      <c r="U665" s="1"/>
      <c r="V665" s="1"/>
      <c r="W665" s="1"/>
      <c r="X665" s="1"/>
      <c r="Y665" s="1"/>
      <c r="Z665" s="1"/>
    </row>
    <row r="666" spans="17:26" ht="12.75" customHeight="1">
      <c r="Q666" s="23"/>
      <c r="R666" s="1"/>
      <c r="S666" s="1"/>
      <c r="T666" s="1"/>
      <c r="U666" s="1"/>
      <c r="V666" s="1"/>
      <c r="W666" s="1"/>
      <c r="X666" s="1"/>
      <c r="Y666" s="1"/>
      <c r="Z666" s="1"/>
    </row>
    <row r="667" spans="17:26" ht="12.75" customHeight="1">
      <c r="Q667" s="23"/>
      <c r="R667" s="1"/>
      <c r="S667" s="1"/>
      <c r="T667" s="1"/>
      <c r="U667" s="1"/>
      <c r="V667" s="1"/>
      <c r="W667" s="1"/>
      <c r="X667" s="1"/>
      <c r="Y667" s="1"/>
      <c r="Z667" s="1"/>
    </row>
    <row r="668" spans="17:26" ht="12.75" customHeight="1">
      <c r="Q668" s="23"/>
      <c r="R668" s="1"/>
      <c r="S668" s="1"/>
      <c r="T668" s="1"/>
      <c r="U668" s="1"/>
      <c r="V668" s="1"/>
      <c r="W668" s="1"/>
      <c r="X668" s="1"/>
      <c r="Y668" s="1"/>
      <c r="Z668" s="1"/>
    </row>
    <row r="669" spans="17:26" ht="12.75" customHeight="1">
      <c r="Q669" s="23"/>
      <c r="R669" s="1"/>
      <c r="S669" s="1"/>
      <c r="T669" s="1"/>
      <c r="U669" s="1"/>
      <c r="V669" s="1"/>
      <c r="W669" s="1"/>
      <c r="X669" s="1"/>
      <c r="Y669" s="1"/>
      <c r="Z669" s="1"/>
    </row>
    <row r="670" spans="17:26" ht="12.75" customHeight="1">
      <c r="Q670" s="23"/>
      <c r="R670" s="1"/>
      <c r="S670" s="1"/>
      <c r="T670" s="1"/>
      <c r="U670" s="1"/>
      <c r="V670" s="1"/>
      <c r="W670" s="1"/>
      <c r="X670" s="1"/>
      <c r="Y670" s="1"/>
      <c r="Z670" s="1"/>
    </row>
    <row r="671" spans="17:26" ht="12.75" customHeight="1">
      <c r="Q671" s="23"/>
      <c r="R671" s="1"/>
      <c r="S671" s="1"/>
      <c r="T671" s="1"/>
      <c r="U671" s="1"/>
      <c r="V671" s="1"/>
      <c r="W671" s="1"/>
      <c r="X671" s="1"/>
      <c r="Y671" s="1"/>
      <c r="Z671" s="1"/>
    </row>
    <row r="672" spans="17:26" ht="12.75" customHeight="1">
      <c r="Q672" s="23"/>
      <c r="R672" s="1"/>
      <c r="S672" s="1"/>
      <c r="T672" s="1"/>
      <c r="U672" s="1"/>
      <c r="V672" s="1"/>
      <c r="W672" s="1"/>
      <c r="X672" s="1"/>
      <c r="Y672" s="1"/>
      <c r="Z672" s="1"/>
    </row>
    <row r="673" spans="17:26" ht="12.75" customHeight="1">
      <c r="Q673" s="23"/>
      <c r="R673" s="1"/>
      <c r="S673" s="1"/>
      <c r="T673" s="1"/>
      <c r="U673" s="1"/>
      <c r="V673" s="1"/>
      <c r="W673" s="1"/>
      <c r="X673" s="1"/>
      <c r="Y673" s="1"/>
      <c r="Z673" s="1"/>
    </row>
    <row r="674" spans="17:26" ht="12.75" customHeight="1">
      <c r="Q674" s="23"/>
      <c r="R674" s="1"/>
      <c r="S674" s="1"/>
      <c r="T674" s="1"/>
      <c r="U674" s="1"/>
      <c r="V674" s="1"/>
      <c r="W674" s="1"/>
      <c r="X674" s="1"/>
      <c r="Y674" s="1"/>
      <c r="Z674" s="1"/>
    </row>
    <row r="675" spans="17:26" ht="12.75" customHeight="1">
      <c r="Q675" s="23"/>
      <c r="R675" s="1"/>
      <c r="S675" s="1"/>
      <c r="T675" s="1"/>
      <c r="U675" s="1"/>
      <c r="V675" s="1"/>
      <c r="W675" s="1"/>
      <c r="X675" s="1"/>
      <c r="Y675" s="1"/>
      <c r="Z675" s="1"/>
    </row>
    <row r="676" spans="17:26" ht="12.75" customHeight="1">
      <c r="Q676" s="23"/>
      <c r="R676" s="1"/>
      <c r="S676" s="1"/>
      <c r="T676" s="1"/>
      <c r="U676" s="1"/>
      <c r="V676" s="1"/>
      <c r="W676" s="1"/>
      <c r="X676" s="1"/>
      <c r="Y676" s="1"/>
      <c r="Z676" s="1"/>
    </row>
    <row r="677" spans="17:26" ht="12.75" customHeight="1">
      <c r="Q677" s="23"/>
      <c r="R677" s="1"/>
      <c r="S677" s="1"/>
      <c r="T677" s="1"/>
      <c r="U677" s="1"/>
      <c r="V677" s="1"/>
      <c r="W677" s="1"/>
      <c r="X677" s="1"/>
      <c r="Y677" s="1"/>
      <c r="Z677" s="1"/>
    </row>
    <row r="678" spans="17:26" ht="12.75" customHeight="1">
      <c r="Q678" s="23"/>
      <c r="R678" s="1"/>
      <c r="S678" s="1"/>
      <c r="T678" s="1"/>
      <c r="U678" s="1"/>
      <c r="V678" s="1"/>
      <c r="W678" s="1"/>
      <c r="X678" s="1"/>
      <c r="Y678" s="1"/>
      <c r="Z678" s="1"/>
    </row>
    <row r="679" spans="17:26" ht="12.75" customHeight="1">
      <c r="Q679" s="23"/>
      <c r="R679" s="1"/>
      <c r="S679" s="1"/>
      <c r="T679" s="1"/>
      <c r="U679" s="1"/>
      <c r="V679" s="1"/>
      <c r="W679" s="1"/>
      <c r="X679" s="1"/>
      <c r="Y679" s="1"/>
      <c r="Z679" s="1"/>
    </row>
    <row r="680" spans="17:26" ht="12.75" customHeight="1">
      <c r="Q680" s="23"/>
      <c r="R680" s="1"/>
      <c r="S680" s="1"/>
      <c r="T680" s="1"/>
      <c r="U680" s="1"/>
      <c r="V680" s="1"/>
      <c r="W680" s="1"/>
      <c r="X680" s="1"/>
      <c r="Y680" s="1"/>
      <c r="Z680" s="1"/>
    </row>
    <row r="681" spans="17:26" ht="12.75" customHeight="1">
      <c r="Q681" s="23"/>
      <c r="R681" s="1"/>
      <c r="S681" s="1"/>
      <c r="T681" s="1"/>
      <c r="U681" s="1"/>
      <c r="V681" s="1"/>
      <c r="W681" s="1"/>
      <c r="X681" s="1"/>
      <c r="Y681" s="1"/>
      <c r="Z681" s="1"/>
    </row>
    <row r="682" spans="17:26" ht="12.75" customHeight="1">
      <c r="Q682" s="23"/>
      <c r="R682" s="1"/>
      <c r="S682" s="1"/>
      <c r="T682" s="1"/>
      <c r="U682" s="1"/>
      <c r="V682" s="1"/>
      <c r="W682" s="1"/>
      <c r="X682" s="1"/>
      <c r="Y682" s="1"/>
      <c r="Z682" s="1"/>
    </row>
    <row r="683" spans="17:26" ht="12.75" customHeight="1">
      <c r="Q683" s="23"/>
      <c r="R683" s="1"/>
      <c r="S683" s="1"/>
      <c r="T683" s="1"/>
      <c r="U683" s="1"/>
      <c r="V683" s="1"/>
      <c r="W683" s="1"/>
      <c r="X683" s="1"/>
      <c r="Y683" s="1"/>
      <c r="Z683" s="1"/>
    </row>
    <row r="684" spans="17:26" ht="12.75" customHeight="1">
      <c r="Q684" s="23"/>
      <c r="R684" s="1"/>
      <c r="S684" s="1"/>
      <c r="T684" s="1"/>
      <c r="U684" s="1"/>
      <c r="V684" s="1"/>
      <c r="W684" s="1"/>
      <c r="X684" s="1"/>
      <c r="Y684" s="1"/>
      <c r="Z684" s="1"/>
    </row>
    <row r="685" spans="17:26" ht="12.75" customHeight="1">
      <c r="Q685" s="23"/>
      <c r="R685" s="1"/>
      <c r="S685" s="1"/>
      <c r="T685" s="1"/>
      <c r="U685" s="1"/>
      <c r="V685" s="1"/>
      <c r="W685" s="1"/>
      <c r="X685" s="1"/>
      <c r="Y685" s="1"/>
      <c r="Z685" s="1"/>
    </row>
    <row r="686" spans="17:26" ht="12.75" customHeight="1">
      <c r="Q686" s="23"/>
      <c r="R686" s="1"/>
      <c r="S686" s="1"/>
      <c r="T686" s="1"/>
      <c r="U686" s="1"/>
      <c r="V686" s="1"/>
      <c r="W686" s="1"/>
      <c r="X686" s="1"/>
      <c r="Y686" s="1"/>
      <c r="Z686" s="1"/>
    </row>
    <row r="687" spans="17:26" ht="12.75" customHeight="1">
      <c r="Q687" s="23"/>
      <c r="R687" s="1"/>
      <c r="S687" s="1"/>
      <c r="T687" s="1"/>
      <c r="U687" s="1"/>
      <c r="V687" s="1"/>
      <c r="W687" s="1"/>
      <c r="X687" s="1"/>
      <c r="Y687" s="1"/>
      <c r="Z687" s="1"/>
    </row>
    <row r="688" spans="17:26" ht="12.75" customHeight="1">
      <c r="Q688" s="23"/>
      <c r="R688" s="1"/>
      <c r="S688" s="1"/>
      <c r="T688" s="1"/>
      <c r="U688" s="1"/>
      <c r="V688" s="1"/>
      <c r="W688" s="1"/>
      <c r="X688" s="1"/>
      <c r="Y688" s="1"/>
      <c r="Z688" s="1"/>
    </row>
    <row r="689" spans="17:26" ht="12.75" customHeight="1">
      <c r="Q689" s="23"/>
      <c r="R689" s="1"/>
      <c r="S689" s="1"/>
      <c r="T689" s="1"/>
      <c r="U689" s="1"/>
      <c r="V689" s="1"/>
      <c r="W689" s="1"/>
      <c r="X689" s="1"/>
      <c r="Y689" s="1"/>
      <c r="Z689" s="1"/>
    </row>
    <row r="690" spans="17:26">
      <c r="Q690" s="23"/>
      <c r="R690" s="1"/>
      <c r="S690" s="1"/>
      <c r="T690" s="1"/>
      <c r="U690" s="1"/>
      <c r="V690" s="1"/>
      <c r="W690" s="1"/>
      <c r="X690" s="1"/>
      <c r="Y690" s="1"/>
      <c r="Z690" s="1"/>
    </row>
    <row r="691" spans="17:26">
      <c r="Q691" s="23"/>
      <c r="R691" s="1"/>
      <c r="S691" s="1"/>
      <c r="T691" s="1"/>
      <c r="U691" s="1"/>
      <c r="V691" s="1"/>
      <c r="W691" s="1"/>
      <c r="X691" s="1"/>
      <c r="Y691" s="1"/>
      <c r="Z691" s="1"/>
    </row>
    <row r="692" spans="17:26">
      <c r="Q692" s="23"/>
      <c r="R692" s="1"/>
      <c r="S692" s="1"/>
      <c r="T692" s="1"/>
      <c r="U692" s="1"/>
      <c r="V692" s="1"/>
      <c r="W692" s="1"/>
      <c r="X692" s="1"/>
      <c r="Y692" s="1"/>
      <c r="Z692" s="1"/>
    </row>
    <row r="693" spans="17:26">
      <c r="Q693" s="23"/>
      <c r="R693" s="1"/>
      <c r="S693" s="1"/>
      <c r="T693" s="1"/>
      <c r="U693" s="1"/>
      <c r="V693" s="1"/>
      <c r="W693" s="1"/>
      <c r="X693" s="1"/>
      <c r="Y693" s="1"/>
      <c r="Z693" s="1"/>
    </row>
    <row r="694" spans="17:26">
      <c r="Q694" s="23"/>
      <c r="R694" s="1"/>
      <c r="S694" s="1"/>
      <c r="T694" s="1"/>
      <c r="U694" s="1"/>
      <c r="V694" s="1"/>
      <c r="W694" s="1"/>
      <c r="X694" s="1"/>
      <c r="Y694" s="1"/>
      <c r="Z694" s="1"/>
    </row>
    <row r="695" spans="17:26">
      <c r="Q695" s="23"/>
      <c r="R695" s="1"/>
      <c r="S695" s="1"/>
      <c r="T695" s="1"/>
      <c r="U695" s="1"/>
      <c r="V695" s="1"/>
      <c r="W695" s="1"/>
      <c r="X695" s="1"/>
      <c r="Y695" s="1"/>
      <c r="Z695" s="1"/>
    </row>
    <row r="696" spans="17:26">
      <c r="Q696" s="23"/>
      <c r="R696" s="1"/>
      <c r="S696" s="1"/>
      <c r="T696" s="1"/>
      <c r="U696" s="1"/>
      <c r="V696" s="1"/>
      <c r="W696" s="1"/>
      <c r="X696" s="1"/>
      <c r="Y696" s="1"/>
      <c r="Z696" s="1"/>
    </row>
    <row r="697" spans="17:26">
      <c r="Q697" s="23"/>
      <c r="R697" s="1"/>
      <c r="S697" s="1"/>
      <c r="T697" s="1"/>
      <c r="U697" s="1"/>
      <c r="V697" s="1"/>
      <c r="W697" s="1"/>
      <c r="X697" s="1"/>
      <c r="Y697" s="1"/>
      <c r="Z697" s="1"/>
    </row>
    <row r="698" spans="17:26">
      <c r="Q698" s="23"/>
      <c r="R698" s="1"/>
      <c r="S698" s="1"/>
      <c r="T698" s="1"/>
      <c r="U698" s="1"/>
      <c r="V698" s="1"/>
      <c r="W698" s="1"/>
      <c r="X698" s="1"/>
      <c r="Y698" s="1"/>
      <c r="Z698" s="1"/>
    </row>
    <row r="699" spans="17:26">
      <c r="Q699" s="23"/>
      <c r="R699" s="1"/>
      <c r="S699" s="1"/>
      <c r="T699" s="1"/>
      <c r="U699" s="1"/>
      <c r="V699" s="1"/>
      <c r="W699" s="1"/>
      <c r="X699" s="1"/>
      <c r="Y699" s="1"/>
      <c r="Z699" s="1"/>
    </row>
    <row r="700" spans="17:26">
      <c r="Q700" s="23"/>
      <c r="R700" s="1"/>
      <c r="S700" s="1"/>
      <c r="T700" s="1"/>
      <c r="U700" s="1"/>
      <c r="V700" s="1"/>
      <c r="W700" s="1"/>
      <c r="X700" s="1"/>
      <c r="Y700" s="1"/>
      <c r="Z700" s="1"/>
    </row>
    <row r="701" spans="17:26">
      <c r="Q701" s="23"/>
      <c r="R701" s="1"/>
      <c r="S701" s="1"/>
      <c r="T701" s="1"/>
      <c r="U701" s="1"/>
      <c r="V701" s="1"/>
      <c r="W701" s="1"/>
      <c r="X701" s="1"/>
      <c r="Y701" s="1"/>
      <c r="Z701" s="1"/>
    </row>
    <row r="702" spans="17:26">
      <c r="Q702" s="23"/>
      <c r="R702" s="1"/>
      <c r="S702" s="1"/>
      <c r="T702" s="1"/>
      <c r="U702" s="1"/>
      <c r="V702" s="1"/>
      <c r="W702" s="1"/>
      <c r="X702" s="1"/>
      <c r="Y702" s="1"/>
      <c r="Z702" s="1"/>
    </row>
    <row r="703" spans="17:26">
      <c r="Q703" s="23"/>
      <c r="R703" s="1"/>
      <c r="S703" s="1"/>
      <c r="T703" s="1"/>
      <c r="U703" s="1"/>
      <c r="V703" s="1"/>
      <c r="W703" s="1"/>
      <c r="X703" s="1"/>
      <c r="Y703" s="1"/>
      <c r="Z703" s="1"/>
    </row>
    <row r="704" spans="17:26">
      <c r="Q704" s="23"/>
      <c r="R704" s="1"/>
      <c r="S704" s="1"/>
      <c r="T704" s="1"/>
      <c r="U704" s="1"/>
      <c r="V704" s="1"/>
      <c r="W704" s="1"/>
      <c r="X704" s="1"/>
      <c r="Y704" s="1"/>
      <c r="Z704" s="1"/>
    </row>
    <row r="705" spans="17:26">
      <c r="Q705" s="23"/>
      <c r="R705" s="1"/>
      <c r="S705" s="1"/>
      <c r="T705" s="1"/>
      <c r="U705" s="1"/>
      <c r="V705" s="1"/>
      <c r="W705" s="1"/>
      <c r="X705" s="1"/>
      <c r="Y705" s="1"/>
      <c r="Z705" s="1"/>
    </row>
    <row r="706" spans="17:26">
      <c r="Q706" s="23"/>
      <c r="R706" s="1"/>
      <c r="S706" s="1"/>
      <c r="T706" s="1"/>
      <c r="U706" s="1"/>
      <c r="V706" s="1"/>
      <c r="W706" s="1"/>
      <c r="X706" s="1"/>
      <c r="Y706" s="1"/>
      <c r="Z706" s="1"/>
    </row>
    <row r="707" spans="17:26">
      <c r="Q707" s="23"/>
      <c r="R707" s="1"/>
      <c r="S707" s="1"/>
      <c r="T707" s="1"/>
      <c r="U707" s="1"/>
      <c r="V707" s="1"/>
      <c r="W707" s="1"/>
      <c r="X707" s="1"/>
      <c r="Y707" s="1"/>
      <c r="Z707" s="1"/>
    </row>
    <row r="708" spans="17:26">
      <c r="Q708" s="23"/>
      <c r="R708" s="1"/>
      <c r="S708" s="1"/>
      <c r="T708" s="1"/>
      <c r="U708" s="1"/>
      <c r="V708" s="1"/>
      <c r="W708" s="1"/>
      <c r="X708" s="1"/>
      <c r="Y708" s="1"/>
      <c r="Z708" s="1"/>
    </row>
    <row r="709" spans="17:26">
      <c r="Q709" s="23"/>
      <c r="R709" s="1"/>
      <c r="S709" s="1"/>
      <c r="T709" s="1"/>
      <c r="U709" s="1"/>
      <c r="V709" s="1"/>
      <c r="W709" s="1"/>
      <c r="X709" s="1"/>
      <c r="Y709" s="1"/>
      <c r="Z709" s="1"/>
    </row>
    <row r="710" spans="17:26">
      <c r="Q710" s="23"/>
      <c r="R710" s="1"/>
      <c r="S710" s="1"/>
      <c r="T710" s="1"/>
      <c r="U710" s="1"/>
      <c r="V710" s="1"/>
      <c r="W710" s="1"/>
      <c r="X710" s="1"/>
      <c r="Y710" s="1"/>
      <c r="Z710" s="1"/>
    </row>
    <row r="711" spans="17:26">
      <c r="Q711" s="23"/>
      <c r="R711" s="1"/>
      <c r="S711" s="1"/>
      <c r="T711" s="1"/>
      <c r="U711" s="1"/>
      <c r="V711" s="1"/>
      <c r="W711" s="1"/>
      <c r="X711" s="1"/>
      <c r="Y711" s="1"/>
      <c r="Z711" s="1"/>
    </row>
    <row r="712" spans="17:26">
      <c r="Q712" s="23"/>
      <c r="R712" s="1"/>
      <c r="S712" s="1"/>
      <c r="T712" s="1"/>
      <c r="U712" s="1"/>
      <c r="V712" s="1"/>
      <c r="W712" s="1"/>
      <c r="X712" s="1"/>
      <c r="Y712" s="1"/>
      <c r="Z712" s="1"/>
    </row>
    <row r="713" spans="17:26">
      <c r="Q713" s="23"/>
      <c r="R713" s="1"/>
      <c r="S713" s="1"/>
      <c r="T713" s="1"/>
      <c r="U713" s="1"/>
      <c r="V713" s="1"/>
      <c r="W713" s="1"/>
      <c r="X713" s="1"/>
      <c r="Y713" s="1"/>
      <c r="Z713" s="1"/>
    </row>
    <row r="714" spans="17:26">
      <c r="Q714" s="23"/>
      <c r="R714" s="1"/>
      <c r="S714" s="1"/>
      <c r="T714" s="1"/>
      <c r="U714" s="1"/>
      <c r="V714" s="1"/>
      <c r="W714" s="1"/>
      <c r="X714" s="1"/>
      <c r="Y714" s="1"/>
      <c r="Z714" s="1"/>
    </row>
    <row r="715" spans="17:26">
      <c r="Q715" s="23"/>
      <c r="R715" s="1"/>
      <c r="S715" s="1"/>
      <c r="T715" s="1"/>
      <c r="U715" s="1"/>
      <c r="V715" s="1"/>
      <c r="W715" s="1"/>
      <c r="X715" s="1"/>
      <c r="Y715" s="1"/>
      <c r="Z715" s="1"/>
    </row>
    <row r="716" spans="17:26">
      <c r="Q716" s="23"/>
      <c r="R716" s="1"/>
      <c r="S716" s="1"/>
      <c r="T716" s="1"/>
      <c r="U716" s="1"/>
      <c r="V716" s="1"/>
      <c r="W716" s="1"/>
      <c r="X716" s="1"/>
      <c r="Y716" s="1"/>
      <c r="Z716" s="1"/>
    </row>
    <row r="717" spans="17:26">
      <c r="Q717" s="23"/>
      <c r="R717" s="1"/>
      <c r="S717" s="1"/>
      <c r="T717" s="1"/>
      <c r="U717" s="1"/>
      <c r="V717" s="1"/>
      <c r="W717" s="1"/>
      <c r="X717" s="1"/>
      <c r="Y717" s="1"/>
      <c r="Z717" s="1"/>
    </row>
    <row r="718" spans="17:26">
      <c r="Q718" s="23"/>
      <c r="R718" s="1"/>
      <c r="S718" s="1"/>
      <c r="T718" s="1"/>
      <c r="U718" s="1"/>
      <c r="V718" s="1"/>
      <c r="W718" s="1"/>
      <c r="X718" s="1"/>
      <c r="Y718" s="1"/>
      <c r="Z718" s="1"/>
    </row>
    <row r="719" spans="17:26">
      <c r="Q719" s="23"/>
      <c r="R719" s="1"/>
      <c r="S719" s="1"/>
      <c r="T719" s="1"/>
      <c r="U719" s="1"/>
      <c r="V719" s="1"/>
      <c r="W719" s="1"/>
      <c r="X719" s="1"/>
      <c r="Y719" s="1"/>
      <c r="Z719" s="1"/>
    </row>
    <row r="720" spans="17:26">
      <c r="Q720" s="23"/>
      <c r="R720" s="1"/>
      <c r="S720" s="1"/>
      <c r="T720" s="1"/>
      <c r="U720" s="1"/>
      <c r="V720" s="1"/>
      <c r="W720" s="1"/>
      <c r="X720" s="1"/>
      <c r="Y720" s="1"/>
      <c r="Z720" s="1"/>
    </row>
    <row r="721" spans="17:26">
      <c r="Q721" s="23"/>
      <c r="R721" s="1"/>
      <c r="S721" s="1"/>
      <c r="T721" s="1"/>
      <c r="U721" s="1"/>
      <c r="V721" s="1"/>
      <c r="W721" s="1"/>
      <c r="X721" s="1"/>
      <c r="Y721" s="1"/>
      <c r="Z721" s="1"/>
    </row>
    <row r="722" spans="17:26">
      <c r="Q722" s="23"/>
      <c r="R722" s="1"/>
      <c r="S722" s="1"/>
      <c r="T722" s="1"/>
      <c r="U722" s="1"/>
      <c r="V722" s="1"/>
      <c r="W722" s="1"/>
      <c r="X722" s="1"/>
      <c r="Y722" s="1"/>
      <c r="Z722" s="1"/>
    </row>
    <row r="723" spans="17:26">
      <c r="Q723" s="23"/>
      <c r="R723" s="1"/>
      <c r="S723" s="1"/>
      <c r="T723" s="1"/>
      <c r="U723" s="1"/>
      <c r="V723" s="1"/>
      <c r="W723" s="1"/>
      <c r="X723" s="1"/>
      <c r="Y723" s="1"/>
      <c r="Z723" s="1"/>
    </row>
    <row r="724" spans="17:26">
      <c r="Q724" s="23"/>
      <c r="R724" s="1"/>
      <c r="S724" s="1"/>
      <c r="T724" s="1"/>
      <c r="U724" s="1"/>
      <c r="V724" s="1"/>
      <c r="W724" s="1"/>
      <c r="X724" s="1"/>
      <c r="Y724" s="1"/>
      <c r="Z724" s="1"/>
    </row>
    <row r="725" spans="17:26">
      <c r="Q725" s="23"/>
      <c r="R725" s="1"/>
      <c r="S725" s="1"/>
      <c r="T725" s="1"/>
      <c r="U725" s="1"/>
      <c r="V725" s="1"/>
      <c r="W725" s="1"/>
      <c r="X725" s="1"/>
      <c r="Y725" s="1"/>
      <c r="Z725" s="1"/>
    </row>
    <row r="726" spans="17:26">
      <c r="Q726" s="23"/>
      <c r="R726" s="1"/>
      <c r="S726" s="1"/>
      <c r="T726" s="1"/>
      <c r="U726" s="1"/>
      <c r="V726" s="1"/>
      <c r="W726" s="1"/>
      <c r="X726" s="1"/>
      <c r="Y726" s="1"/>
      <c r="Z726" s="1"/>
    </row>
    <row r="727" spans="17:26">
      <c r="Q727" s="23"/>
      <c r="R727" s="1"/>
      <c r="S727" s="1"/>
      <c r="T727" s="1"/>
      <c r="U727" s="1"/>
      <c r="V727" s="1"/>
      <c r="W727" s="1"/>
      <c r="X727" s="1"/>
      <c r="Y727" s="1"/>
      <c r="Z727" s="1"/>
    </row>
    <row r="728" spans="17:26">
      <c r="Q728" s="23"/>
      <c r="R728" s="1"/>
      <c r="S728" s="1"/>
      <c r="T728" s="1"/>
      <c r="U728" s="1"/>
      <c r="V728" s="1"/>
      <c r="W728" s="1"/>
      <c r="X728" s="1"/>
      <c r="Y728" s="1"/>
      <c r="Z728" s="1"/>
    </row>
    <row r="729" spans="17:26">
      <c r="Q729" s="23"/>
      <c r="R729" s="1"/>
      <c r="S729" s="1"/>
      <c r="T729" s="1"/>
      <c r="U729" s="1"/>
      <c r="V729" s="1"/>
      <c r="W729" s="1"/>
      <c r="X729" s="1"/>
      <c r="Y729" s="1"/>
      <c r="Z729" s="1"/>
    </row>
    <row r="730" spans="17:26">
      <c r="Q730" s="23"/>
      <c r="R730" s="1"/>
      <c r="S730" s="1"/>
      <c r="T730" s="1"/>
      <c r="U730" s="1"/>
      <c r="V730" s="1"/>
      <c r="W730" s="1"/>
      <c r="X730" s="1"/>
      <c r="Y730" s="1"/>
      <c r="Z730" s="1"/>
    </row>
    <row r="731" spans="17:26">
      <c r="Q731" s="23"/>
      <c r="R731" s="1"/>
      <c r="S731" s="1"/>
      <c r="T731" s="1"/>
      <c r="U731" s="1"/>
      <c r="V731" s="1"/>
      <c r="W731" s="1"/>
      <c r="X731" s="1"/>
      <c r="Y731" s="1"/>
      <c r="Z731" s="1"/>
    </row>
    <row r="732" spans="17:26">
      <c r="Q732" s="23"/>
      <c r="R732" s="1"/>
      <c r="S732" s="1"/>
      <c r="T732" s="1"/>
      <c r="U732" s="1"/>
      <c r="V732" s="1"/>
      <c r="W732" s="1"/>
      <c r="X732" s="1"/>
      <c r="Y732" s="1"/>
      <c r="Z732" s="1"/>
    </row>
    <row r="733" spans="17:26">
      <c r="Q733" s="23"/>
      <c r="R733" s="1"/>
      <c r="S733" s="1"/>
      <c r="T733" s="1"/>
      <c r="U733" s="1"/>
      <c r="V733" s="1"/>
      <c r="W733" s="1"/>
      <c r="X733" s="1"/>
      <c r="Y733" s="1"/>
      <c r="Z733" s="1"/>
    </row>
    <row r="734" spans="17:26">
      <c r="Q734" s="23"/>
      <c r="R734" s="1"/>
      <c r="S734" s="1"/>
      <c r="T734" s="1"/>
      <c r="U734" s="1"/>
      <c r="V734" s="1"/>
      <c r="W734" s="1"/>
      <c r="X734" s="1"/>
      <c r="Y734" s="1"/>
      <c r="Z734" s="1"/>
    </row>
    <row r="735" spans="17:26">
      <c r="Q735" s="23"/>
      <c r="R735" s="1"/>
      <c r="S735" s="1"/>
      <c r="T735" s="1"/>
      <c r="U735" s="1"/>
      <c r="V735" s="1"/>
      <c r="W735" s="1"/>
      <c r="X735" s="1"/>
      <c r="Y735" s="1"/>
      <c r="Z735" s="1"/>
    </row>
    <row r="736" spans="17:26">
      <c r="Q736" s="23"/>
      <c r="R736" s="1"/>
      <c r="S736" s="1"/>
      <c r="T736" s="1"/>
      <c r="U736" s="1"/>
      <c r="V736" s="1"/>
      <c r="W736" s="1"/>
      <c r="X736" s="1"/>
      <c r="Y736" s="1"/>
      <c r="Z736" s="1"/>
    </row>
    <row r="737" spans="17:26">
      <c r="Q737" s="23"/>
      <c r="R737" s="1"/>
      <c r="S737" s="1"/>
      <c r="T737" s="1"/>
      <c r="U737" s="1"/>
      <c r="V737" s="1"/>
      <c r="W737" s="1"/>
      <c r="X737" s="1"/>
      <c r="Y737" s="1"/>
      <c r="Z737" s="1"/>
    </row>
    <row r="738" spans="17:26">
      <c r="Q738" s="23"/>
      <c r="R738" s="1"/>
      <c r="S738" s="1"/>
      <c r="T738" s="1"/>
      <c r="U738" s="1"/>
      <c r="V738" s="1"/>
      <c r="W738" s="1"/>
      <c r="X738" s="1"/>
      <c r="Y738" s="1"/>
      <c r="Z738" s="1"/>
    </row>
    <row r="739" spans="17:26">
      <c r="Q739" s="23"/>
      <c r="R739" s="1"/>
      <c r="S739" s="1"/>
      <c r="T739" s="1"/>
      <c r="U739" s="1"/>
      <c r="V739" s="1"/>
      <c r="W739" s="1"/>
      <c r="X739" s="1"/>
      <c r="Y739" s="1"/>
      <c r="Z739" s="1"/>
    </row>
    <row r="740" spans="17:26">
      <c r="Q740" s="23"/>
      <c r="R740" s="1"/>
      <c r="S740" s="1"/>
      <c r="T740" s="1"/>
      <c r="U740" s="1"/>
      <c r="V740" s="1"/>
      <c r="W740" s="1"/>
      <c r="X740" s="1"/>
      <c r="Y740" s="1"/>
      <c r="Z740" s="1"/>
    </row>
    <row r="741" spans="17:26">
      <c r="Q741" s="23"/>
      <c r="R741" s="1"/>
      <c r="S741" s="1"/>
      <c r="T741" s="1"/>
      <c r="U741" s="1"/>
      <c r="V741" s="1"/>
      <c r="W741" s="1"/>
      <c r="X741" s="1"/>
      <c r="Y741" s="1"/>
      <c r="Z741" s="1"/>
    </row>
    <row r="742" spans="17:26">
      <c r="Q742" s="23"/>
      <c r="R742" s="1"/>
      <c r="S742" s="1"/>
      <c r="T742" s="1"/>
      <c r="U742" s="1"/>
      <c r="V742" s="1"/>
      <c r="W742" s="1"/>
      <c r="X742" s="1"/>
      <c r="Y742" s="1"/>
      <c r="Z742" s="1"/>
    </row>
    <row r="743" spans="17:26">
      <c r="Q743" s="23"/>
      <c r="R743" s="1"/>
      <c r="S743" s="1"/>
      <c r="T743" s="1"/>
      <c r="U743" s="1"/>
      <c r="V743" s="1"/>
      <c r="W743" s="1"/>
      <c r="X743" s="1"/>
      <c r="Y743" s="1"/>
      <c r="Z743" s="1"/>
    </row>
    <row r="744" spans="17:26">
      <c r="Q744" s="23"/>
      <c r="R744" s="1"/>
      <c r="S744" s="1"/>
      <c r="T744" s="1"/>
      <c r="U744" s="1"/>
      <c r="V744" s="1"/>
      <c r="W744" s="1"/>
      <c r="X744" s="1"/>
      <c r="Y744" s="1"/>
      <c r="Z744" s="1"/>
    </row>
    <row r="745" spans="17:26">
      <c r="Q745" s="23"/>
      <c r="R745" s="1"/>
      <c r="S745" s="1"/>
      <c r="T745" s="1"/>
      <c r="U745" s="1"/>
      <c r="V745" s="1"/>
      <c r="W745" s="1"/>
      <c r="X745" s="1"/>
      <c r="Y745" s="1"/>
      <c r="Z745" s="1"/>
    </row>
    <row r="746" spans="17:26">
      <c r="Q746" s="23"/>
      <c r="R746" s="1"/>
      <c r="S746" s="1"/>
      <c r="T746" s="1"/>
      <c r="U746" s="1"/>
      <c r="V746" s="1"/>
      <c r="W746" s="1"/>
      <c r="X746" s="1"/>
      <c r="Y746" s="1"/>
      <c r="Z746" s="1"/>
    </row>
    <row r="747" spans="17:26">
      <c r="Q747" s="23"/>
      <c r="R747" s="1"/>
      <c r="S747" s="1"/>
      <c r="T747" s="1"/>
      <c r="U747" s="1"/>
      <c r="V747" s="1"/>
      <c r="W747" s="1"/>
      <c r="X747" s="1"/>
      <c r="Y747" s="1"/>
      <c r="Z747" s="1"/>
    </row>
    <row r="748" spans="17:26">
      <c r="Q748" s="23"/>
      <c r="R748" s="1"/>
      <c r="S748" s="1"/>
      <c r="T748" s="1"/>
      <c r="U748" s="1"/>
      <c r="V748" s="1"/>
      <c r="W748" s="1"/>
      <c r="X748" s="1"/>
      <c r="Y748" s="1"/>
      <c r="Z748" s="1"/>
    </row>
    <row r="749" spans="17:26">
      <c r="Q749" s="23"/>
      <c r="R749" s="1"/>
      <c r="S749" s="1"/>
      <c r="T749" s="1"/>
      <c r="U749" s="1"/>
      <c r="V749" s="1"/>
      <c r="W749" s="1"/>
      <c r="X749" s="1"/>
      <c r="Y749" s="1"/>
      <c r="Z749" s="1"/>
    </row>
    <row r="750" spans="17:26">
      <c r="Q750" s="23"/>
      <c r="R750" s="1"/>
      <c r="S750" s="1"/>
      <c r="T750" s="1"/>
      <c r="U750" s="1"/>
      <c r="V750" s="1"/>
      <c r="W750" s="1"/>
      <c r="X750" s="1"/>
      <c r="Y750" s="1"/>
      <c r="Z750" s="1"/>
    </row>
    <row r="751" spans="17:26">
      <c r="Q751" s="23"/>
      <c r="R751" s="1"/>
      <c r="S751" s="1"/>
      <c r="T751" s="1"/>
      <c r="U751" s="1"/>
      <c r="V751" s="1"/>
      <c r="W751" s="1"/>
      <c r="X751" s="1"/>
      <c r="Y751" s="1"/>
      <c r="Z751" s="1"/>
    </row>
    <row r="752" spans="17:26">
      <c r="Q752" s="23"/>
      <c r="R752" s="1"/>
      <c r="S752" s="1"/>
      <c r="T752" s="1"/>
      <c r="U752" s="1"/>
      <c r="V752" s="1"/>
      <c r="W752" s="1"/>
      <c r="X752" s="1"/>
      <c r="Y752" s="1"/>
      <c r="Z752" s="1"/>
    </row>
    <row r="753" spans="17:26">
      <c r="Q753" s="23"/>
      <c r="R753" s="1"/>
      <c r="S753" s="1"/>
      <c r="T753" s="1"/>
      <c r="U753" s="1"/>
      <c r="V753" s="1"/>
      <c r="W753" s="1"/>
      <c r="X753" s="1"/>
      <c r="Y753" s="1"/>
      <c r="Z753" s="1"/>
    </row>
    <row r="754" spans="17:26">
      <c r="Q754" s="23"/>
      <c r="R754" s="1"/>
      <c r="S754" s="1"/>
      <c r="T754" s="1"/>
      <c r="U754" s="1"/>
      <c r="V754" s="1"/>
      <c r="W754" s="1"/>
      <c r="X754" s="1"/>
      <c r="Y754" s="1"/>
      <c r="Z754" s="1"/>
    </row>
    <row r="755" spans="17:26">
      <c r="Q755" s="23"/>
      <c r="R755" s="1"/>
      <c r="S755" s="1"/>
      <c r="T755" s="1"/>
      <c r="U755" s="1"/>
      <c r="V755" s="1"/>
      <c r="W755" s="1"/>
      <c r="X755" s="1"/>
      <c r="Y755" s="1"/>
      <c r="Z755" s="1"/>
    </row>
    <row r="756" spans="17:26">
      <c r="Q756" s="23"/>
      <c r="R756" s="1"/>
      <c r="S756" s="1"/>
      <c r="T756" s="1"/>
      <c r="U756" s="1"/>
      <c r="V756" s="1"/>
      <c r="W756" s="1"/>
      <c r="X756" s="1"/>
      <c r="Y756" s="1"/>
      <c r="Z756" s="1"/>
    </row>
    <row r="757" spans="17:26">
      <c r="Q757" s="23"/>
      <c r="R757" s="1"/>
      <c r="S757" s="1"/>
      <c r="T757" s="1"/>
      <c r="U757" s="1"/>
      <c r="V757" s="1"/>
      <c r="W757" s="1"/>
      <c r="X757" s="1"/>
      <c r="Y757" s="1"/>
      <c r="Z757" s="1"/>
    </row>
    <row r="758" spans="17:26">
      <c r="Q758" s="23"/>
      <c r="R758" s="1"/>
      <c r="S758" s="1"/>
      <c r="T758" s="1"/>
      <c r="U758" s="1"/>
      <c r="V758" s="1"/>
      <c r="W758" s="1"/>
      <c r="X758" s="1"/>
      <c r="Y758" s="1"/>
      <c r="Z758" s="1"/>
    </row>
    <row r="759" spans="17:26">
      <c r="Q759" s="23"/>
      <c r="R759" s="1"/>
      <c r="S759" s="1"/>
      <c r="T759" s="1"/>
      <c r="U759" s="1"/>
      <c r="V759" s="1"/>
      <c r="W759" s="1"/>
      <c r="X759" s="1"/>
      <c r="Y759" s="1"/>
      <c r="Z759" s="1"/>
    </row>
    <row r="760" spans="17:26">
      <c r="Q760" s="23"/>
      <c r="R760" s="1"/>
      <c r="S760" s="1"/>
      <c r="T760" s="1"/>
      <c r="U760" s="1"/>
      <c r="V760" s="1"/>
      <c r="W760" s="1"/>
      <c r="X760" s="1"/>
      <c r="Y760" s="1"/>
      <c r="Z760" s="1"/>
    </row>
    <row r="761" spans="17:26">
      <c r="Q761" s="23"/>
      <c r="R761" s="1"/>
      <c r="S761" s="1"/>
      <c r="T761" s="1"/>
      <c r="U761" s="1"/>
      <c r="V761" s="1"/>
      <c r="W761" s="1"/>
      <c r="X761" s="1"/>
      <c r="Y761" s="1"/>
      <c r="Z761" s="1"/>
    </row>
    <row r="762" spans="17:26">
      <c r="Q762" s="23"/>
      <c r="R762" s="1"/>
      <c r="S762" s="1"/>
      <c r="T762" s="1"/>
      <c r="U762" s="1"/>
      <c r="V762" s="1"/>
      <c r="W762" s="1"/>
      <c r="X762" s="1"/>
      <c r="Y762" s="1"/>
      <c r="Z762" s="1"/>
    </row>
    <row r="763" spans="17:26">
      <c r="Q763" s="23"/>
      <c r="R763" s="1"/>
      <c r="S763" s="1"/>
      <c r="T763" s="1"/>
      <c r="U763" s="1"/>
      <c r="V763" s="1"/>
      <c r="W763" s="1"/>
      <c r="X763" s="1"/>
      <c r="Y763" s="1"/>
      <c r="Z763" s="1"/>
    </row>
    <row r="764" spans="17:26">
      <c r="Q764" s="23"/>
      <c r="R764" s="1"/>
      <c r="S764" s="1"/>
      <c r="T764" s="1"/>
      <c r="U764" s="1"/>
      <c r="V764" s="1"/>
      <c r="W764" s="1"/>
      <c r="X764" s="1"/>
      <c r="Y764" s="1"/>
      <c r="Z764" s="1"/>
    </row>
    <row r="765" spans="17:26">
      <c r="Q765" s="23"/>
      <c r="R765" s="1"/>
      <c r="S765" s="1"/>
      <c r="T765" s="1"/>
      <c r="U765" s="1"/>
      <c r="V765" s="1"/>
      <c r="W765" s="1"/>
      <c r="X765" s="1"/>
      <c r="Y765" s="1"/>
      <c r="Z765" s="1"/>
    </row>
    <row r="766" spans="17:26">
      <c r="Q766" s="23"/>
      <c r="R766" s="1"/>
      <c r="S766" s="1"/>
      <c r="T766" s="1"/>
      <c r="U766" s="1"/>
      <c r="V766" s="1"/>
      <c r="W766" s="1"/>
      <c r="X766" s="1"/>
      <c r="Y766" s="1"/>
      <c r="Z766" s="1"/>
    </row>
    <row r="767" spans="17:26">
      <c r="Q767" s="23"/>
      <c r="R767" s="1"/>
      <c r="S767" s="1"/>
      <c r="T767" s="1"/>
      <c r="U767" s="1"/>
      <c r="V767" s="1"/>
      <c r="W767" s="1"/>
      <c r="X767" s="1"/>
      <c r="Y767" s="1"/>
      <c r="Z767" s="1"/>
    </row>
    <row r="768" spans="17:26">
      <c r="Q768" s="23"/>
      <c r="R768" s="1"/>
      <c r="S768" s="1"/>
      <c r="T768" s="1"/>
      <c r="U768" s="1"/>
      <c r="V768" s="1"/>
      <c r="W768" s="1"/>
      <c r="X768" s="1"/>
      <c r="Y768" s="1"/>
      <c r="Z768" s="1"/>
    </row>
    <row r="769" spans="17:26">
      <c r="Q769" s="23"/>
      <c r="R769" s="1"/>
      <c r="S769" s="1"/>
      <c r="T769" s="1"/>
      <c r="U769" s="1"/>
      <c r="V769" s="1"/>
      <c r="W769" s="1"/>
      <c r="X769" s="1"/>
      <c r="Y769" s="1"/>
      <c r="Z769" s="1"/>
    </row>
    <row r="770" spans="17:26">
      <c r="Q770" s="23"/>
      <c r="R770" s="1"/>
      <c r="S770" s="1"/>
      <c r="T770" s="1"/>
      <c r="U770" s="1"/>
      <c r="V770" s="1"/>
      <c r="W770" s="1"/>
      <c r="X770" s="1"/>
      <c r="Y770" s="1"/>
      <c r="Z770" s="1"/>
    </row>
    <row r="771" spans="17:26">
      <c r="Q771" s="23"/>
      <c r="R771" s="1"/>
      <c r="S771" s="1"/>
      <c r="T771" s="1"/>
      <c r="U771" s="1"/>
      <c r="V771" s="1"/>
      <c r="W771" s="1"/>
      <c r="X771" s="1"/>
      <c r="Y771" s="1"/>
      <c r="Z771" s="1"/>
    </row>
    <row r="772" spans="17:26">
      <c r="Q772" s="23"/>
      <c r="R772" s="1"/>
      <c r="S772" s="1"/>
      <c r="T772" s="1"/>
      <c r="U772" s="1"/>
      <c r="V772" s="1"/>
      <c r="W772" s="1"/>
      <c r="X772" s="1"/>
      <c r="Y772" s="1"/>
      <c r="Z772" s="1"/>
    </row>
    <row r="773" spans="17:26">
      <c r="Q773" s="23"/>
      <c r="R773" s="1"/>
      <c r="S773" s="1"/>
      <c r="T773" s="1"/>
      <c r="U773" s="1"/>
      <c r="V773" s="1"/>
      <c r="W773" s="1"/>
      <c r="X773" s="1"/>
      <c r="Y773" s="1"/>
      <c r="Z773" s="1"/>
    </row>
    <row r="774" spans="17:26">
      <c r="Q774" s="23"/>
      <c r="R774" s="1"/>
      <c r="S774" s="1"/>
      <c r="T774" s="1"/>
      <c r="U774" s="1"/>
      <c r="V774" s="1"/>
      <c r="W774" s="1"/>
      <c r="X774" s="1"/>
      <c r="Y774" s="1"/>
      <c r="Z774" s="1"/>
    </row>
    <row r="775" spans="17:26">
      <c r="Q775" s="23"/>
      <c r="R775" s="1"/>
      <c r="S775" s="1"/>
      <c r="T775" s="1"/>
      <c r="U775" s="1"/>
      <c r="V775" s="1"/>
      <c r="W775" s="1"/>
      <c r="X775" s="1"/>
      <c r="Y775" s="1"/>
      <c r="Z775" s="1"/>
    </row>
    <row r="776" spans="17:26">
      <c r="Q776" s="23"/>
      <c r="R776" s="1"/>
      <c r="S776" s="1"/>
      <c r="T776" s="1"/>
      <c r="U776" s="1"/>
      <c r="V776" s="1"/>
      <c r="W776" s="1"/>
      <c r="X776" s="1"/>
      <c r="Y776" s="1"/>
      <c r="Z776" s="1"/>
    </row>
    <row r="777" spans="17:26">
      <c r="Q777" s="23"/>
      <c r="R777" s="1"/>
      <c r="S777" s="1"/>
      <c r="T777" s="1"/>
      <c r="U777" s="1"/>
      <c r="V777" s="1"/>
      <c r="W777" s="1"/>
      <c r="X777" s="1"/>
      <c r="Y777" s="1"/>
      <c r="Z777" s="1"/>
    </row>
    <row r="778" spans="17:26">
      <c r="Q778" s="23"/>
      <c r="R778" s="1"/>
      <c r="S778" s="1"/>
      <c r="T778" s="1"/>
      <c r="U778" s="1"/>
      <c r="V778" s="1"/>
      <c r="W778" s="1"/>
      <c r="X778" s="1"/>
      <c r="Y778" s="1"/>
      <c r="Z778" s="1"/>
    </row>
    <row r="779" spans="17:26">
      <c r="Q779" s="23"/>
      <c r="R779" s="1"/>
      <c r="S779" s="1"/>
      <c r="T779" s="1"/>
      <c r="U779" s="1"/>
      <c r="V779" s="1"/>
      <c r="W779" s="1"/>
      <c r="X779" s="1"/>
      <c r="Y779" s="1"/>
      <c r="Z779" s="1"/>
    </row>
    <row r="780" spans="17:26">
      <c r="Q780" s="23"/>
      <c r="R780" s="1"/>
      <c r="S780" s="1"/>
      <c r="T780" s="1"/>
      <c r="U780" s="1"/>
      <c r="V780" s="1"/>
      <c r="W780" s="1"/>
      <c r="X780" s="1"/>
      <c r="Y780" s="1"/>
      <c r="Z780" s="1"/>
    </row>
    <row r="781" spans="17:26">
      <c r="Q781" s="23"/>
      <c r="R781" s="1"/>
      <c r="S781" s="1"/>
      <c r="T781" s="1"/>
      <c r="U781" s="1"/>
      <c r="V781" s="1"/>
      <c r="W781" s="1"/>
      <c r="X781" s="1"/>
      <c r="Y781" s="1"/>
      <c r="Z781" s="1"/>
    </row>
    <row r="782" spans="17:26">
      <c r="Q782" s="23"/>
      <c r="R782" s="1"/>
      <c r="S782" s="1"/>
      <c r="T782" s="1"/>
      <c r="U782" s="1"/>
      <c r="V782" s="1"/>
      <c r="W782" s="1"/>
      <c r="X782" s="1"/>
      <c r="Y782" s="1"/>
      <c r="Z782" s="1"/>
    </row>
    <row r="783" spans="17:26">
      <c r="Q783" s="23"/>
      <c r="R783" s="1"/>
      <c r="S783" s="1"/>
      <c r="T783" s="1"/>
      <c r="U783" s="1"/>
      <c r="V783" s="1"/>
      <c r="W783" s="1"/>
      <c r="X783" s="1"/>
      <c r="Y783" s="1"/>
      <c r="Z783" s="1"/>
    </row>
    <row r="784" spans="17:26">
      <c r="Q784" s="23"/>
      <c r="R784" s="1"/>
      <c r="S784" s="1"/>
      <c r="T784" s="1"/>
      <c r="U784" s="1"/>
      <c r="V784" s="1"/>
      <c r="W784" s="1"/>
      <c r="X784" s="1"/>
      <c r="Y784" s="1"/>
      <c r="Z784" s="1"/>
    </row>
    <row r="785" spans="17:26">
      <c r="Q785" s="23"/>
      <c r="R785" s="1"/>
      <c r="S785" s="1"/>
      <c r="T785" s="1"/>
      <c r="U785" s="1"/>
      <c r="V785" s="1"/>
      <c r="W785" s="1"/>
      <c r="X785" s="1"/>
      <c r="Y785" s="1"/>
      <c r="Z785" s="1"/>
    </row>
    <row r="786" spans="17:26">
      <c r="Q786" s="23"/>
      <c r="R786" s="1"/>
      <c r="S786" s="1"/>
      <c r="T786" s="1"/>
      <c r="U786" s="1"/>
      <c r="V786" s="1"/>
      <c r="W786" s="1"/>
      <c r="X786" s="1"/>
      <c r="Y786" s="1"/>
      <c r="Z786" s="1"/>
    </row>
    <row r="787" spans="17:26">
      <c r="Q787" s="23"/>
      <c r="R787" s="1"/>
      <c r="S787" s="1"/>
      <c r="T787" s="1"/>
      <c r="U787" s="1"/>
      <c r="V787" s="1"/>
      <c r="W787" s="1"/>
      <c r="X787" s="1"/>
      <c r="Y787" s="1"/>
      <c r="Z787" s="1"/>
    </row>
    <row r="788" spans="17:26">
      <c r="Q788" s="23"/>
      <c r="R788" s="1"/>
      <c r="S788" s="1"/>
      <c r="T788" s="1"/>
      <c r="U788" s="1"/>
      <c r="V788" s="1"/>
      <c r="W788" s="1"/>
      <c r="X788" s="1"/>
      <c r="Y788" s="1"/>
      <c r="Z788" s="1"/>
    </row>
    <row r="789" spans="17:26">
      <c r="Q789" s="23"/>
      <c r="R789" s="1"/>
      <c r="S789" s="1"/>
      <c r="T789" s="1"/>
      <c r="U789" s="1"/>
      <c r="V789" s="1"/>
      <c r="W789" s="1"/>
      <c r="X789" s="1"/>
      <c r="Y789" s="1"/>
      <c r="Z789" s="1"/>
    </row>
    <row r="790" spans="17:26">
      <c r="Q790" s="23"/>
      <c r="R790" s="1"/>
      <c r="S790" s="1"/>
      <c r="T790" s="1"/>
      <c r="U790" s="1"/>
      <c r="V790" s="1"/>
      <c r="W790" s="1"/>
      <c r="X790" s="1"/>
      <c r="Y790" s="1"/>
      <c r="Z790" s="1"/>
    </row>
    <row r="791" spans="17:26">
      <c r="Q791" s="23"/>
      <c r="R791" s="1"/>
      <c r="S791" s="1"/>
      <c r="T791" s="1"/>
      <c r="U791" s="1"/>
      <c r="V791" s="1"/>
      <c r="W791" s="1"/>
      <c r="X791" s="1"/>
      <c r="Y791" s="1"/>
      <c r="Z791" s="1"/>
    </row>
    <row r="792" spans="17:26">
      <c r="Q792" s="23"/>
      <c r="R792" s="1"/>
      <c r="S792" s="1"/>
      <c r="T792" s="1"/>
      <c r="U792" s="1"/>
      <c r="V792" s="1"/>
      <c r="W792" s="1"/>
      <c r="X792" s="1"/>
      <c r="Y792" s="1"/>
      <c r="Z792" s="1"/>
    </row>
    <row r="793" spans="17:26">
      <c r="Q793" s="23"/>
      <c r="R793" s="1"/>
      <c r="S793" s="1"/>
      <c r="T793" s="1"/>
      <c r="U793" s="1"/>
      <c r="V793" s="1"/>
      <c r="W793" s="1"/>
      <c r="X793" s="1"/>
      <c r="Y793" s="1"/>
      <c r="Z793" s="1"/>
    </row>
    <row r="794" spans="17:26">
      <c r="Q794" s="23"/>
      <c r="R794" s="1"/>
      <c r="S794" s="1"/>
      <c r="T794" s="1"/>
      <c r="U794" s="1"/>
      <c r="V794" s="1"/>
      <c r="W794" s="1"/>
      <c r="X794" s="1"/>
      <c r="Y794" s="1"/>
      <c r="Z794" s="1"/>
    </row>
    <row r="795" spans="17:26">
      <c r="Q795" s="23"/>
      <c r="R795" s="1"/>
      <c r="S795" s="1"/>
      <c r="T795" s="1"/>
      <c r="U795" s="1"/>
      <c r="V795" s="1"/>
      <c r="W795" s="1"/>
      <c r="X795" s="1"/>
      <c r="Y795" s="1"/>
      <c r="Z795" s="1"/>
    </row>
    <row r="796" spans="17:26">
      <c r="Q796" s="23"/>
      <c r="R796" s="1"/>
      <c r="S796" s="1"/>
      <c r="T796" s="1"/>
      <c r="U796" s="1"/>
      <c r="V796" s="1"/>
      <c r="W796" s="1"/>
      <c r="X796" s="1"/>
      <c r="Y796" s="1"/>
      <c r="Z796" s="1"/>
    </row>
    <row r="797" spans="17:26">
      <c r="Q797" s="23"/>
      <c r="R797" s="1"/>
      <c r="S797" s="1"/>
      <c r="T797" s="1"/>
      <c r="U797" s="1"/>
      <c r="V797" s="1"/>
      <c r="W797" s="1"/>
      <c r="X797" s="1"/>
      <c r="Y797" s="1"/>
      <c r="Z797" s="1"/>
    </row>
    <row r="798" spans="17:26">
      <c r="Q798" s="23"/>
      <c r="R798" s="1"/>
      <c r="S798" s="1"/>
      <c r="T798" s="1"/>
      <c r="U798" s="1"/>
      <c r="V798" s="1"/>
      <c r="W798" s="1"/>
      <c r="X798" s="1"/>
      <c r="Y798" s="1"/>
      <c r="Z798" s="1"/>
    </row>
    <row r="799" spans="17:26">
      <c r="Q799" s="23"/>
      <c r="R799" s="1"/>
      <c r="S799" s="1"/>
      <c r="T799" s="1"/>
      <c r="U799" s="1"/>
      <c r="V799" s="1"/>
      <c r="W799" s="1"/>
      <c r="X799" s="1"/>
      <c r="Y799" s="1"/>
      <c r="Z799" s="1"/>
    </row>
    <row r="800" spans="17:26">
      <c r="Q800" s="23"/>
      <c r="R800" s="1"/>
      <c r="S800" s="1"/>
      <c r="T800" s="1"/>
      <c r="U800" s="1"/>
      <c r="V800" s="1"/>
      <c r="W800" s="1"/>
      <c r="X800" s="1"/>
      <c r="Y800" s="1"/>
      <c r="Z800" s="1"/>
    </row>
    <row r="801" spans="17:26">
      <c r="Q801" s="23"/>
      <c r="R801" s="1"/>
      <c r="S801" s="1"/>
      <c r="T801" s="1"/>
      <c r="U801" s="1"/>
      <c r="V801" s="1"/>
      <c r="W801" s="1"/>
      <c r="X801" s="1"/>
      <c r="Y801" s="1"/>
      <c r="Z801" s="1"/>
    </row>
    <row r="802" spans="17:26">
      <c r="Q802" s="23"/>
      <c r="R802" s="1"/>
      <c r="S802" s="1"/>
      <c r="T802" s="1"/>
      <c r="U802" s="1"/>
      <c r="V802" s="1"/>
      <c r="W802" s="1"/>
      <c r="X802" s="1"/>
      <c r="Y802" s="1"/>
      <c r="Z802" s="1"/>
    </row>
    <row r="803" spans="17:26">
      <c r="Q803" s="23"/>
      <c r="R803" s="1"/>
      <c r="S803" s="1"/>
      <c r="T803" s="1"/>
      <c r="U803" s="1"/>
      <c r="V803" s="1"/>
      <c r="W803" s="1"/>
      <c r="X803" s="1"/>
      <c r="Y803" s="1"/>
      <c r="Z803" s="1"/>
    </row>
    <row r="804" spans="17:26">
      <c r="Q804" s="23"/>
      <c r="R804" s="1"/>
      <c r="S804" s="1"/>
      <c r="T804" s="1"/>
      <c r="U804" s="1"/>
      <c r="V804" s="1"/>
      <c r="W804" s="1"/>
      <c r="X804" s="1"/>
      <c r="Y804" s="1"/>
      <c r="Z804" s="1"/>
    </row>
    <row r="805" spans="17:26">
      <c r="Q805" s="23"/>
      <c r="R805" s="1"/>
      <c r="S805" s="1"/>
      <c r="T805" s="1"/>
      <c r="U805" s="1"/>
      <c r="V805" s="1"/>
      <c r="W805" s="1"/>
      <c r="X805" s="1"/>
      <c r="Y805" s="1"/>
      <c r="Z805" s="1"/>
    </row>
    <row r="806" spans="17:26">
      <c r="Q806" s="23"/>
      <c r="R806" s="1"/>
      <c r="S806" s="1"/>
      <c r="T806" s="1"/>
      <c r="U806" s="1"/>
      <c r="V806" s="1"/>
      <c r="W806" s="1"/>
      <c r="X806" s="1"/>
      <c r="Y806" s="1"/>
      <c r="Z806" s="1"/>
    </row>
    <row r="807" spans="17:26">
      <c r="Q807" s="23"/>
      <c r="R807" s="1"/>
      <c r="S807" s="1"/>
      <c r="T807" s="1"/>
      <c r="U807" s="1"/>
      <c r="V807" s="1"/>
      <c r="W807" s="1"/>
      <c r="X807" s="1"/>
      <c r="Y807" s="1"/>
      <c r="Z807" s="1"/>
    </row>
    <row r="808" spans="17:26">
      <c r="Q808" s="23"/>
      <c r="R808" s="1"/>
      <c r="S808" s="1"/>
      <c r="T808" s="1"/>
      <c r="U808" s="1"/>
      <c r="V808" s="1"/>
      <c r="W808" s="1"/>
      <c r="X808" s="1"/>
      <c r="Y808" s="1"/>
      <c r="Z808" s="1"/>
    </row>
    <row r="809" spans="17:26">
      <c r="Q809" s="23"/>
      <c r="R809" s="1"/>
      <c r="S809" s="1"/>
      <c r="T809" s="1"/>
      <c r="U809" s="1"/>
      <c r="V809" s="1"/>
      <c r="W809" s="1"/>
      <c r="X809" s="1"/>
      <c r="Y809" s="1"/>
      <c r="Z809" s="1"/>
    </row>
    <row r="810" spans="17:26">
      <c r="Q810" s="23"/>
      <c r="R810" s="1"/>
      <c r="S810" s="1"/>
      <c r="T810" s="1"/>
      <c r="U810" s="1"/>
      <c r="V810" s="1"/>
      <c r="W810" s="1"/>
      <c r="X810" s="1"/>
      <c r="Y810" s="1"/>
      <c r="Z810" s="1"/>
    </row>
    <row r="811" spans="17:26">
      <c r="Q811" s="23"/>
      <c r="R811" s="1"/>
      <c r="S811" s="1"/>
      <c r="T811" s="1"/>
      <c r="U811" s="1"/>
      <c r="V811" s="1"/>
      <c r="W811" s="1"/>
      <c r="X811" s="1"/>
      <c r="Y811" s="1"/>
      <c r="Z811" s="1"/>
    </row>
    <row r="812" spans="17:26">
      <c r="Q812" s="23"/>
      <c r="R812" s="1"/>
      <c r="S812" s="1"/>
      <c r="T812" s="1"/>
      <c r="U812" s="1"/>
      <c r="V812" s="1"/>
      <c r="W812" s="1"/>
      <c r="X812" s="1"/>
      <c r="Y812" s="1"/>
      <c r="Z812" s="1"/>
    </row>
    <row r="813" spans="17:26">
      <c r="Q813" s="23"/>
      <c r="R813" s="1"/>
      <c r="S813" s="1"/>
      <c r="T813" s="1"/>
      <c r="U813" s="1"/>
      <c r="V813" s="1"/>
      <c r="W813" s="1"/>
      <c r="X813" s="1"/>
      <c r="Y813" s="1"/>
      <c r="Z813" s="1"/>
    </row>
    <row r="814" spans="17:26">
      <c r="Q814" s="23"/>
      <c r="R814" s="1"/>
      <c r="S814" s="1"/>
      <c r="T814" s="1"/>
      <c r="U814" s="1"/>
      <c r="V814" s="1"/>
      <c r="W814" s="1"/>
      <c r="X814" s="1"/>
      <c r="Y814" s="1"/>
      <c r="Z814" s="1"/>
    </row>
    <row r="815" spans="17:26">
      <c r="Q815" s="23"/>
      <c r="R815" s="1"/>
      <c r="S815" s="1"/>
      <c r="T815" s="1"/>
      <c r="U815" s="1"/>
      <c r="V815" s="1"/>
      <c r="W815" s="1"/>
      <c r="X815" s="1"/>
      <c r="Y815" s="1"/>
      <c r="Z815" s="1"/>
    </row>
    <row r="816" spans="17:26">
      <c r="Q816" s="23"/>
      <c r="R816" s="1"/>
      <c r="S816" s="1"/>
      <c r="T816" s="1"/>
      <c r="U816" s="1"/>
      <c r="V816" s="1"/>
      <c r="W816" s="1"/>
      <c r="X816" s="1"/>
      <c r="Y816" s="1"/>
      <c r="Z816" s="1"/>
    </row>
    <row r="817" spans="17:26">
      <c r="Q817" s="23"/>
      <c r="R817" s="1"/>
      <c r="S817" s="1"/>
      <c r="T817" s="1"/>
      <c r="U817" s="1"/>
      <c r="V817" s="1"/>
      <c r="W817" s="1"/>
      <c r="X817" s="1"/>
      <c r="Y817" s="1"/>
      <c r="Z817" s="1"/>
    </row>
    <row r="818" spans="17:26">
      <c r="Q818" s="23"/>
      <c r="R818" s="1"/>
      <c r="S818" s="1"/>
      <c r="T818" s="1"/>
      <c r="U818" s="1"/>
      <c r="V818" s="1"/>
      <c r="W818" s="1"/>
      <c r="X818" s="1"/>
      <c r="Y818" s="1"/>
      <c r="Z818" s="1"/>
    </row>
    <row r="819" spans="17:26">
      <c r="Q819" s="23"/>
      <c r="R819" s="1"/>
      <c r="S819" s="1"/>
      <c r="T819" s="1"/>
      <c r="U819" s="1"/>
      <c r="V819" s="1"/>
      <c r="W819" s="1"/>
      <c r="X819" s="1"/>
      <c r="Y819" s="1"/>
      <c r="Z819" s="1"/>
    </row>
    <row r="820" spans="17:26">
      <c r="Q820" s="23"/>
      <c r="R820" s="1"/>
      <c r="S820" s="1"/>
      <c r="T820" s="1"/>
      <c r="U820" s="1"/>
      <c r="V820" s="1"/>
      <c r="W820" s="1"/>
      <c r="X820" s="1"/>
      <c r="Y820" s="1"/>
      <c r="Z820" s="1"/>
    </row>
    <row r="821" spans="17:26">
      <c r="Q821" s="23"/>
      <c r="R821" s="1"/>
      <c r="S821" s="1"/>
      <c r="T821" s="1"/>
      <c r="U821" s="1"/>
      <c r="V821" s="1"/>
      <c r="W821" s="1"/>
      <c r="X821" s="1"/>
      <c r="Y821" s="1"/>
      <c r="Z821" s="1"/>
    </row>
    <row r="822" spans="17:26">
      <c r="Q822" s="23"/>
      <c r="R822" s="1"/>
      <c r="S822" s="1"/>
      <c r="T822" s="1"/>
      <c r="U822" s="1"/>
      <c r="V822" s="1"/>
      <c r="W822" s="1"/>
      <c r="X822" s="1"/>
      <c r="Y822" s="1"/>
      <c r="Z822" s="1"/>
    </row>
    <row r="823" spans="17:26">
      <c r="Q823" s="23"/>
      <c r="R823" s="1"/>
      <c r="S823" s="1"/>
      <c r="T823" s="1"/>
      <c r="U823" s="1"/>
      <c r="V823" s="1"/>
      <c r="W823" s="1"/>
      <c r="X823" s="1"/>
      <c r="Y823" s="1"/>
      <c r="Z823" s="1"/>
    </row>
    <row r="824" spans="17:26">
      <c r="Q824" s="23"/>
      <c r="R824" s="1"/>
      <c r="S824" s="1"/>
      <c r="T824" s="1"/>
      <c r="U824" s="1"/>
      <c r="V824" s="1"/>
      <c r="W824" s="1"/>
      <c r="X824" s="1"/>
      <c r="Y824" s="1"/>
      <c r="Z824" s="1"/>
    </row>
    <row r="825" spans="17:26">
      <c r="Q825" s="23"/>
      <c r="R825" s="1"/>
      <c r="S825" s="1"/>
      <c r="T825" s="1"/>
      <c r="U825" s="1"/>
      <c r="V825" s="1"/>
      <c r="W825" s="1"/>
      <c r="X825" s="1"/>
      <c r="Y825" s="1"/>
      <c r="Z825" s="1"/>
    </row>
    <row r="826" spans="17:26">
      <c r="Q826" s="23"/>
      <c r="R826" s="1"/>
      <c r="S826" s="1"/>
      <c r="T826" s="1"/>
      <c r="U826" s="1"/>
      <c r="V826" s="1"/>
      <c r="W826" s="1"/>
      <c r="X826" s="1"/>
      <c r="Y826" s="1"/>
      <c r="Z826" s="1"/>
    </row>
    <row r="827" spans="17:26">
      <c r="Q827" s="23"/>
      <c r="R827" s="1"/>
      <c r="S827" s="1"/>
      <c r="T827" s="1"/>
      <c r="U827" s="1"/>
      <c r="V827" s="1"/>
      <c r="W827" s="1"/>
      <c r="X827" s="1"/>
      <c r="Y827" s="1"/>
      <c r="Z827" s="1"/>
    </row>
    <row r="828" spans="17:26">
      <c r="Q828" s="23"/>
      <c r="R828" s="1"/>
      <c r="S828" s="1"/>
      <c r="T828" s="1"/>
      <c r="U828" s="1"/>
      <c r="V828" s="1"/>
      <c r="W828" s="1"/>
      <c r="X828" s="1"/>
      <c r="Y828" s="1"/>
      <c r="Z828" s="1"/>
    </row>
    <row r="829" spans="17:26">
      <c r="Q829" s="23"/>
      <c r="R829" s="1"/>
      <c r="S829" s="1"/>
      <c r="T829" s="1"/>
      <c r="U829" s="1"/>
      <c r="V829" s="1"/>
      <c r="W829" s="1"/>
      <c r="X829" s="1"/>
      <c r="Y829" s="1"/>
      <c r="Z829" s="1"/>
    </row>
    <row r="830" spans="17:26">
      <c r="Q830" s="23"/>
      <c r="R830" s="1"/>
      <c r="S830" s="1"/>
      <c r="T830" s="1"/>
      <c r="U830" s="1"/>
      <c r="V830" s="1"/>
      <c r="W830" s="1"/>
      <c r="X830" s="1"/>
      <c r="Y830" s="1"/>
      <c r="Z830" s="1"/>
    </row>
    <row r="831" spans="17:26">
      <c r="Q831" s="23"/>
      <c r="R831" s="1"/>
      <c r="S831" s="1"/>
      <c r="T831" s="1"/>
      <c r="U831" s="1"/>
      <c r="V831" s="1"/>
      <c r="W831" s="1"/>
      <c r="X831" s="1"/>
      <c r="Y831" s="1"/>
      <c r="Z831" s="1"/>
    </row>
    <row r="832" spans="17:26">
      <c r="Q832" s="23"/>
      <c r="R832" s="1"/>
      <c r="S832" s="1"/>
      <c r="T832" s="1"/>
      <c r="U832" s="1"/>
      <c r="V832" s="1"/>
      <c r="W832" s="1"/>
      <c r="X832" s="1"/>
      <c r="Y832" s="1"/>
      <c r="Z832" s="1"/>
    </row>
    <row r="833" spans="17:26">
      <c r="Q833" s="23"/>
      <c r="R833" s="1"/>
      <c r="S833" s="1"/>
      <c r="T833" s="1"/>
      <c r="U833" s="1"/>
      <c r="V833" s="1"/>
      <c r="W833" s="1"/>
      <c r="X833" s="1"/>
      <c r="Y833" s="1"/>
      <c r="Z833" s="1"/>
    </row>
    <row r="834" spans="17:26">
      <c r="Q834" s="23"/>
      <c r="R834" s="1"/>
      <c r="S834" s="1"/>
      <c r="T834" s="1"/>
      <c r="U834" s="1"/>
      <c r="V834" s="1"/>
      <c r="W834" s="1"/>
      <c r="X834" s="1"/>
      <c r="Y834" s="1"/>
      <c r="Z834" s="1"/>
    </row>
    <row r="835" spans="17:26">
      <c r="Q835" s="23"/>
      <c r="R835" s="1"/>
      <c r="S835" s="1"/>
      <c r="T835" s="1"/>
      <c r="U835" s="1"/>
      <c r="V835" s="1"/>
      <c r="W835" s="1"/>
      <c r="X835" s="1"/>
      <c r="Y835" s="1"/>
      <c r="Z835" s="1"/>
    </row>
    <row r="836" spans="17:26">
      <c r="Q836" s="23"/>
      <c r="R836" s="1"/>
      <c r="S836" s="1"/>
      <c r="T836" s="1"/>
      <c r="U836" s="1"/>
      <c r="V836" s="1"/>
      <c r="W836" s="1"/>
      <c r="X836" s="1"/>
      <c r="Y836" s="1"/>
      <c r="Z836" s="1"/>
    </row>
    <row r="837" spans="17:26">
      <c r="Q837" s="23"/>
      <c r="R837" s="1"/>
      <c r="S837" s="1"/>
      <c r="T837" s="1"/>
      <c r="U837" s="1"/>
      <c r="V837" s="1"/>
      <c r="W837" s="1"/>
      <c r="X837" s="1"/>
      <c r="Y837" s="1"/>
      <c r="Z837" s="1"/>
    </row>
    <row r="838" spans="17:26">
      <c r="Q838" s="23"/>
      <c r="R838" s="1"/>
      <c r="S838" s="1"/>
      <c r="T838" s="1"/>
      <c r="U838" s="1"/>
      <c r="V838" s="1"/>
      <c r="W838" s="1"/>
      <c r="X838" s="1"/>
      <c r="Y838" s="1"/>
      <c r="Z838" s="1"/>
    </row>
    <row r="839" spans="17:26">
      <c r="Q839" s="23"/>
      <c r="R839" s="1"/>
      <c r="S839" s="1"/>
      <c r="T839" s="1"/>
      <c r="U839" s="1"/>
      <c r="V839" s="1"/>
      <c r="W839" s="1"/>
      <c r="X839" s="1"/>
      <c r="Y839" s="1"/>
      <c r="Z839" s="1"/>
    </row>
    <row r="840" spans="17:26">
      <c r="Q840" s="23"/>
      <c r="R840" s="1"/>
      <c r="S840" s="1"/>
      <c r="T840" s="1"/>
      <c r="U840" s="1"/>
      <c r="V840" s="1"/>
      <c r="W840" s="1"/>
      <c r="X840" s="1"/>
      <c r="Y840" s="1"/>
      <c r="Z840" s="1"/>
    </row>
    <row r="841" spans="17:26">
      <c r="Q841" s="23"/>
      <c r="R841" s="1"/>
      <c r="S841" s="1"/>
      <c r="T841" s="1"/>
      <c r="U841" s="1"/>
      <c r="V841" s="1"/>
      <c r="W841" s="1"/>
      <c r="X841" s="1"/>
      <c r="Y841" s="1"/>
      <c r="Z841" s="1"/>
    </row>
    <row r="842" spans="17:26">
      <c r="Q842" s="23"/>
      <c r="R842" s="1"/>
      <c r="S842" s="1"/>
      <c r="T842" s="1"/>
      <c r="U842" s="1"/>
      <c r="V842" s="1"/>
      <c r="W842" s="1"/>
      <c r="X842" s="1"/>
      <c r="Y842" s="1"/>
      <c r="Z842" s="1"/>
    </row>
    <row r="843" spans="17:26">
      <c r="Q843" s="23"/>
      <c r="R843" s="1"/>
      <c r="S843" s="1"/>
      <c r="T843" s="1"/>
      <c r="U843" s="1"/>
      <c r="V843" s="1"/>
      <c r="W843" s="1"/>
      <c r="X843" s="1"/>
      <c r="Y843" s="1"/>
      <c r="Z843" s="1"/>
    </row>
    <row r="844" spans="17:26">
      <c r="Q844" s="23"/>
      <c r="R844" s="1"/>
      <c r="S844" s="1"/>
      <c r="T844" s="1"/>
      <c r="U844" s="1"/>
      <c r="V844" s="1"/>
      <c r="W844" s="1"/>
      <c r="X844" s="1"/>
      <c r="Y844" s="1"/>
      <c r="Z844" s="1"/>
    </row>
    <row r="845" spans="17:26">
      <c r="Q845" s="23"/>
      <c r="R845" s="1"/>
      <c r="S845" s="1"/>
      <c r="T845" s="1"/>
      <c r="U845" s="1"/>
      <c r="V845" s="1"/>
      <c r="W845" s="1"/>
      <c r="X845" s="1"/>
      <c r="Y845" s="1"/>
      <c r="Z845" s="1"/>
    </row>
    <row r="846" spans="17:26">
      <c r="Q846" s="23"/>
      <c r="R846" s="1"/>
      <c r="S846" s="1"/>
      <c r="T846" s="1"/>
      <c r="U846" s="1"/>
      <c r="V846" s="1"/>
      <c r="W846" s="1"/>
      <c r="X846" s="1"/>
      <c r="Y846" s="1"/>
      <c r="Z846" s="1"/>
    </row>
    <row r="847" spans="17:26">
      <c r="Q847" s="23"/>
      <c r="R847" s="1"/>
      <c r="S847" s="1"/>
      <c r="T847" s="1"/>
      <c r="U847" s="1"/>
      <c r="V847" s="1"/>
      <c r="W847" s="1"/>
      <c r="X847" s="1"/>
      <c r="Y847" s="1"/>
      <c r="Z847" s="1"/>
    </row>
    <row r="848" spans="17:26">
      <c r="Q848" s="23"/>
      <c r="R848" s="1"/>
      <c r="S848" s="1"/>
      <c r="T848" s="1"/>
      <c r="U848" s="1"/>
      <c r="V848" s="1"/>
      <c r="W848" s="1"/>
      <c r="X848" s="1"/>
      <c r="Y848" s="1"/>
      <c r="Z848" s="1"/>
    </row>
    <row r="849" spans="17:26">
      <c r="Q849" s="23"/>
      <c r="R849" s="1"/>
      <c r="S849" s="1"/>
      <c r="T849" s="1"/>
      <c r="U849" s="1"/>
      <c r="V849" s="1"/>
      <c r="W849" s="1"/>
      <c r="X849" s="1"/>
      <c r="Y849" s="1"/>
      <c r="Z849" s="1"/>
    </row>
    <row r="850" spans="17:26">
      <c r="Q850" s="23"/>
      <c r="R850" s="1"/>
      <c r="S850" s="1"/>
      <c r="T850" s="1"/>
      <c r="U850" s="1"/>
      <c r="V850" s="1"/>
      <c r="W850" s="1"/>
      <c r="X850" s="1"/>
      <c r="Y850" s="1"/>
      <c r="Z850" s="1"/>
    </row>
    <row r="851" spans="17:26">
      <c r="Q851" s="23"/>
      <c r="R851" s="1"/>
      <c r="S851" s="1"/>
      <c r="T851" s="1"/>
      <c r="U851" s="1"/>
      <c r="V851" s="1"/>
      <c r="W851" s="1"/>
      <c r="X851" s="1"/>
      <c r="Y851" s="1"/>
      <c r="Z851" s="1"/>
    </row>
    <row r="852" spans="17:26">
      <c r="Q852" s="23"/>
      <c r="R852" s="1"/>
      <c r="S852" s="1"/>
      <c r="T852" s="1"/>
      <c r="U852" s="1"/>
      <c r="V852" s="1"/>
      <c r="W852" s="1"/>
      <c r="X852" s="1"/>
      <c r="Y852" s="1"/>
      <c r="Z852" s="1"/>
    </row>
    <row r="853" spans="17:26">
      <c r="Q853" s="23"/>
      <c r="R853" s="1"/>
      <c r="S853" s="1"/>
      <c r="T853" s="1"/>
      <c r="U853" s="1"/>
      <c r="V853" s="1"/>
      <c r="W853" s="1"/>
      <c r="X853" s="1"/>
      <c r="Y853" s="1"/>
      <c r="Z853" s="1"/>
    </row>
    <row r="854" spans="17:26">
      <c r="Q854" s="23"/>
      <c r="R854" s="1"/>
      <c r="S854" s="1"/>
      <c r="T854" s="1"/>
      <c r="U854" s="1"/>
      <c r="V854" s="1"/>
      <c r="W854" s="1"/>
      <c r="X854" s="1"/>
      <c r="Y854" s="1"/>
      <c r="Z854" s="1"/>
    </row>
    <row r="855" spans="17:26">
      <c r="Q855" s="23"/>
      <c r="R855" s="1"/>
      <c r="S855" s="1"/>
      <c r="T855" s="1"/>
      <c r="U855" s="1"/>
      <c r="V855" s="1"/>
      <c r="W855" s="1"/>
      <c r="X855" s="1"/>
      <c r="Y855" s="1"/>
      <c r="Z855" s="1"/>
    </row>
    <row r="856" spans="17:26">
      <c r="Q856" s="23"/>
      <c r="R856" s="1"/>
      <c r="S856" s="1"/>
      <c r="T856" s="1"/>
      <c r="U856" s="1"/>
      <c r="V856" s="1"/>
      <c r="W856" s="1"/>
      <c r="X856" s="1"/>
      <c r="Y856" s="1"/>
      <c r="Z856" s="1"/>
    </row>
    <row r="857" spans="17:26">
      <c r="Q857" s="23"/>
      <c r="R857" s="1"/>
      <c r="S857" s="1"/>
      <c r="T857" s="1"/>
      <c r="U857" s="1"/>
      <c r="V857" s="1"/>
      <c r="W857" s="1"/>
      <c r="X857" s="1"/>
      <c r="Y857" s="1"/>
      <c r="Z857" s="1"/>
    </row>
    <row r="858" spans="17:26">
      <c r="Q858" s="23"/>
      <c r="R858" s="1"/>
      <c r="S858" s="1"/>
      <c r="T858" s="1"/>
      <c r="U858" s="1"/>
      <c r="V858" s="1"/>
      <c r="W858" s="1"/>
      <c r="X858" s="1"/>
      <c r="Y858" s="1"/>
      <c r="Z858" s="1"/>
    </row>
    <row r="859" spans="17:26">
      <c r="Q859" s="23"/>
      <c r="R859" s="1"/>
      <c r="S859" s="1"/>
      <c r="T859" s="1"/>
      <c r="U859" s="1"/>
      <c r="V859" s="1"/>
      <c r="W859" s="1"/>
      <c r="X859" s="1"/>
      <c r="Y859" s="1"/>
      <c r="Z859" s="1"/>
    </row>
    <row r="860" spans="17:26">
      <c r="Q860" s="23"/>
      <c r="R860" s="1"/>
      <c r="S860" s="1"/>
      <c r="T860" s="1"/>
      <c r="U860" s="1"/>
      <c r="V860" s="1"/>
      <c r="W860" s="1"/>
      <c r="X860" s="1"/>
      <c r="Y860" s="1"/>
      <c r="Z860" s="1"/>
    </row>
    <row r="861" spans="17:26">
      <c r="Q861" s="23"/>
      <c r="R861" s="1"/>
      <c r="S861" s="1"/>
      <c r="T861" s="1"/>
      <c r="U861" s="1"/>
      <c r="V861" s="1"/>
      <c r="W861" s="1"/>
      <c r="X861" s="1"/>
      <c r="Y861" s="1"/>
      <c r="Z861" s="1"/>
    </row>
    <row r="862" spans="17:26">
      <c r="Q862" s="23"/>
      <c r="R862" s="1"/>
      <c r="S862" s="1"/>
      <c r="T862" s="1"/>
      <c r="U862" s="1"/>
      <c r="V862" s="1"/>
      <c r="W862" s="1"/>
      <c r="X862" s="1"/>
      <c r="Y862" s="1"/>
      <c r="Z862" s="1"/>
    </row>
    <row r="863" spans="17:26">
      <c r="Q863" s="23"/>
      <c r="R863" s="1"/>
      <c r="S863" s="1"/>
      <c r="T863" s="1"/>
      <c r="U863" s="1"/>
      <c r="V863" s="1"/>
      <c r="W863" s="1"/>
      <c r="X863" s="1"/>
      <c r="Y863" s="1"/>
      <c r="Z863" s="1"/>
    </row>
    <row r="864" spans="17:26">
      <c r="Q864" s="23"/>
      <c r="R864" s="1"/>
      <c r="S864" s="1"/>
      <c r="T864" s="1"/>
      <c r="U864" s="1"/>
      <c r="V864" s="1"/>
      <c r="W864" s="1"/>
      <c r="X864" s="1"/>
      <c r="Y864" s="1"/>
      <c r="Z864" s="1"/>
    </row>
    <row r="865" spans="17:26">
      <c r="Q865" s="23"/>
      <c r="R865" s="1"/>
      <c r="S865" s="1"/>
      <c r="T865" s="1"/>
      <c r="U865" s="1"/>
      <c r="V865" s="1"/>
      <c r="W865" s="1"/>
      <c r="X865" s="1"/>
      <c r="Y865" s="1"/>
      <c r="Z865" s="1"/>
    </row>
    <row r="866" spans="17:26">
      <c r="Q866" s="23"/>
      <c r="R866" s="1"/>
      <c r="S866" s="1"/>
      <c r="T866" s="1"/>
      <c r="U866" s="1"/>
      <c r="V866" s="1"/>
      <c r="W866" s="1"/>
      <c r="X866" s="1"/>
      <c r="Y866" s="1"/>
      <c r="Z866" s="1"/>
    </row>
    <row r="867" spans="17:26">
      <c r="Q867" s="23"/>
      <c r="R867" s="1"/>
      <c r="S867" s="1"/>
      <c r="T867" s="1"/>
      <c r="U867" s="1"/>
      <c r="V867" s="1"/>
      <c r="W867" s="1"/>
      <c r="X867" s="1"/>
      <c r="Y867" s="1"/>
      <c r="Z867" s="1"/>
    </row>
    <row r="868" spans="17:26">
      <c r="Q868" s="23"/>
      <c r="R868" s="1"/>
      <c r="S868" s="1"/>
      <c r="T868" s="1"/>
      <c r="U868" s="1"/>
      <c r="V868" s="1"/>
      <c r="W868" s="1"/>
      <c r="X868" s="1"/>
      <c r="Y868" s="1"/>
      <c r="Z868" s="1"/>
    </row>
    <row r="869" spans="17:26">
      <c r="Q869" s="23"/>
      <c r="R869" s="1"/>
      <c r="S869" s="1"/>
      <c r="T869" s="1"/>
      <c r="U869" s="1"/>
      <c r="V869" s="1"/>
      <c r="W869" s="1"/>
      <c r="X869" s="1"/>
      <c r="Y869" s="1"/>
      <c r="Z869" s="1"/>
    </row>
    <row r="870" spans="17:26">
      <c r="Q870" s="23"/>
      <c r="R870" s="1"/>
      <c r="S870" s="1"/>
      <c r="T870" s="1"/>
      <c r="U870" s="1"/>
      <c r="V870" s="1"/>
      <c r="W870" s="1"/>
      <c r="X870" s="1"/>
      <c r="Y870" s="1"/>
      <c r="Z870" s="1"/>
    </row>
    <row r="871" spans="17:26">
      <c r="Q871" s="23"/>
      <c r="R871" s="1"/>
      <c r="S871" s="1"/>
      <c r="T871" s="1"/>
      <c r="U871" s="1"/>
      <c r="V871" s="1"/>
      <c r="W871" s="1"/>
      <c r="X871" s="1"/>
      <c r="Y871" s="1"/>
      <c r="Z871" s="1"/>
    </row>
    <row r="872" spans="17:26">
      <c r="Q872" s="23"/>
      <c r="R872" s="1"/>
      <c r="S872" s="1"/>
      <c r="T872" s="1"/>
      <c r="U872" s="1"/>
      <c r="V872" s="1"/>
      <c r="W872" s="1"/>
      <c r="X872" s="1"/>
      <c r="Y872" s="1"/>
      <c r="Z872" s="1"/>
    </row>
    <row r="873" spans="17:26">
      <c r="Q873" s="23"/>
      <c r="R873" s="1"/>
      <c r="S873" s="1"/>
      <c r="T873" s="1"/>
      <c r="U873" s="1"/>
      <c r="V873" s="1"/>
      <c r="W873" s="1"/>
      <c r="X873" s="1"/>
      <c r="Y873" s="1"/>
      <c r="Z873" s="1"/>
    </row>
    <row r="874" spans="17:26">
      <c r="Q874" s="23"/>
      <c r="R874" s="1"/>
      <c r="S874" s="1"/>
      <c r="T874" s="1"/>
      <c r="U874" s="1"/>
      <c r="V874" s="1"/>
      <c r="W874" s="1"/>
      <c r="X874" s="1"/>
      <c r="Y874" s="1"/>
      <c r="Z874" s="1"/>
    </row>
    <row r="875" spans="17:26">
      <c r="Q875" s="23"/>
      <c r="R875" s="1"/>
      <c r="S875" s="1"/>
      <c r="T875" s="1"/>
      <c r="U875" s="1"/>
      <c r="V875" s="1"/>
      <c r="W875" s="1"/>
      <c r="X875" s="1"/>
      <c r="Y875" s="1"/>
      <c r="Z875" s="1"/>
    </row>
    <row r="876" spans="17:26">
      <c r="Q876" s="23"/>
      <c r="R876" s="1"/>
      <c r="S876" s="1"/>
      <c r="T876" s="1"/>
      <c r="U876" s="1"/>
      <c r="V876" s="1"/>
      <c r="W876" s="1"/>
      <c r="X876" s="1"/>
      <c r="Y876" s="1"/>
      <c r="Z876" s="1"/>
    </row>
    <row r="877" spans="17:26">
      <c r="Q877" s="23"/>
      <c r="R877" s="1"/>
      <c r="S877" s="1"/>
      <c r="T877" s="1"/>
      <c r="U877" s="1"/>
      <c r="V877" s="1"/>
      <c r="W877" s="1"/>
      <c r="X877" s="1"/>
      <c r="Y877" s="1"/>
      <c r="Z877" s="1"/>
    </row>
    <row r="878" spans="17:26">
      <c r="Q878" s="23"/>
      <c r="R878" s="1"/>
      <c r="S878" s="1"/>
      <c r="T878" s="1"/>
      <c r="U878" s="1"/>
      <c r="V878" s="1"/>
      <c r="W878" s="1"/>
      <c r="X878" s="1"/>
      <c r="Y878" s="1"/>
      <c r="Z878" s="1"/>
    </row>
    <row r="879" spans="17:26">
      <c r="Q879" s="23"/>
      <c r="R879" s="1"/>
      <c r="S879" s="1"/>
      <c r="T879" s="1"/>
      <c r="U879" s="1"/>
      <c r="V879" s="1"/>
      <c r="W879" s="1"/>
      <c r="X879" s="1"/>
      <c r="Y879" s="1"/>
      <c r="Z879" s="1"/>
    </row>
    <row r="880" spans="17:26">
      <c r="Q880" s="23"/>
      <c r="R880" s="1"/>
      <c r="S880" s="1"/>
      <c r="T880" s="1"/>
      <c r="U880" s="1"/>
      <c r="V880" s="1"/>
      <c r="W880" s="1"/>
      <c r="X880" s="1"/>
      <c r="Y880" s="1"/>
      <c r="Z880" s="1"/>
    </row>
    <row r="881" spans="17:26">
      <c r="Q881" s="23"/>
      <c r="R881" s="1"/>
      <c r="S881" s="1"/>
      <c r="T881" s="1"/>
      <c r="U881" s="1"/>
      <c r="V881" s="1"/>
      <c r="W881" s="1"/>
      <c r="X881" s="1"/>
      <c r="Y881" s="1"/>
      <c r="Z881" s="1"/>
    </row>
    <row r="882" spans="17:26">
      <c r="Q882" s="23"/>
      <c r="R882" s="1"/>
      <c r="S882" s="1"/>
      <c r="T882" s="1"/>
      <c r="U882" s="1"/>
      <c r="V882" s="1"/>
      <c r="W882" s="1"/>
      <c r="X882" s="1"/>
      <c r="Y882" s="1"/>
      <c r="Z882" s="1"/>
    </row>
    <row r="883" spans="17:26">
      <c r="Q883" s="23"/>
      <c r="R883" s="1"/>
      <c r="S883" s="1"/>
      <c r="T883" s="1"/>
      <c r="U883" s="1"/>
      <c r="V883" s="1"/>
      <c r="W883" s="1"/>
      <c r="X883" s="1"/>
      <c r="Y883" s="1"/>
      <c r="Z883" s="1"/>
    </row>
    <row r="884" spans="17:26">
      <c r="Q884" s="23"/>
      <c r="R884" s="1"/>
      <c r="S884" s="1"/>
      <c r="T884" s="1"/>
      <c r="U884" s="1"/>
      <c r="V884" s="1"/>
      <c r="W884" s="1"/>
      <c r="X884" s="1"/>
      <c r="Y884" s="1"/>
      <c r="Z884" s="1"/>
    </row>
    <row r="885" spans="17:26">
      <c r="Q885" s="23"/>
      <c r="R885" s="1"/>
      <c r="S885" s="1"/>
      <c r="T885" s="1"/>
      <c r="U885" s="1"/>
      <c r="V885" s="1"/>
      <c r="W885" s="1"/>
      <c r="X885" s="1"/>
      <c r="Y885" s="1"/>
      <c r="Z885" s="1"/>
    </row>
    <row r="886" spans="17:26">
      <c r="Q886" s="23"/>
      <c r="R886" s="1"/>
      <c r="S886" s="1"/>
      <c r="T886" s="1"/>
      <c r="U886" s="1"/>
      <c r="V886" s="1"/>
      <c r="W886" s="1"/>
      <c r="X886" s="1"/>
      <c r="Y886" s="1"/>
      <c r="Z886" s="1"/>
    </row>
    <row r="887" spans="17:26">
      <c r="Q887" s="23"/>
      <c r="R887" s="1"/>
      <c r="S887" s="1"/>
      <c r="T887" s="1"/>
      <c r="U887" s="1"/>
      <c r="V887" s="1"/>
      <c r="W887" s="1"/>
      <c r="X887" s="1"/>
      <c r="Y887" s="1"/>
      <c r="Z887" s="1"/>
    </row>
    <row r="888" spans="17:26">
      <c r="Q888" s="23"/>
      <c r="R888" s="1"/>
      <c r="S888" s="1"/>
      <c r="T888" s="1"/>
      <c r="U888" s="1"/>
      <c r="V888" s="1"/>
      <c r="W888" s="1"/>
      <c r="X888" s="1"/>
      <c r="Y888" s="1"/>
      <c r="Z888" s="1"/>
    </row>
    <row r="889" spans="17:26">
      <c r="Q889" s="23"/>
      <c r="R889" s="1"/>
      <c r="S889" s="1"/>
      <c r="T889" s="1"/>
      <c r="U889" s="1"/>
      <c r="V889" s="1"/>
      <c r="W889" s="1"/>
      <c r="X889" s="1"/>
      <c r="Y889" s="1"/>
      <c r="Z889" s="1"/>
    </row>
    <row r="890" spans="17:26">
      <c r="Q890" s="23"/>
      <c r="R890" s="1"/>
      <c r="S890" s="1"/>
      <c r="T890" s="1"/>
      <c r="U890" s="1"/>
      <c r="V890" s="1"/>
      <c r="W890" s="1"/>
      <c r="X890" s="1"/>
      <c r="Y890" s="1"/>
      <c r="Z890" s="1"/>
    </row>
    <row r="891" spans="17:26">
      <c r="Q891" s="23"/>
      <c r="R891" s="1"/>
      <c r="S891" s="1"/>
      <c r="T891" s="1"/>
      <c r="U891" s="1"/>
      <c r="V891" s="1"/>
      <c r="W891" s="1"/>
      <c r="X891" s="1"/>
      <c r="Y891" s="1"/>
      <c r="Z891" s="1"/>
    </row>
    <row r="892" spans="17:26">
      <c r="Q892" s="23"/>
      <c r="R892" s="1"/>
      <c r="S892" s="1"/>
      <c r="T892" s="1"/>
      <c r="U892" s="1"/>
      <c r="V892" s="1"/>
      <c r="W892" s="1"/>
      <c r="X892" s="1"/>
      <c r="Y892" s="1"/>
      <c r="Z892" s="1"/>
    </row>
    <row r="893" spans="17:26">
      <c r="Q893" s="23"/>
      <c r="R893" s="1"/>
      <c r="S893" s="1"/>
      <c r="T893" s="1"/>
      <c r="U893" s="1"/>
      <c r="V893" s="1"/>
      <c r="W893" s="1"/>
      <c r="X893" s="1"/>
      <c r="Y893" s="1"/>
      <c r="Z893" s="1"/>
    </row>
    <row r="894" spans="17:26">
      <c r="Q894" s="23"/>
      <c r="R894" s="1"/>
      <c r="S894" s="1"/>
      <c r="T894" s="1"/>
      <c r="U894" s="1"/>
      <c r="V894" s="1"/>
      <c r="W894" s="1"/>
      <c r="X894" s="1"/>
      <c r="Y894" s="1"/>
      <c r="Z894" s="1"/>
    </row>
    <row r="895" spans="17:26">
      <c r="Q895" s="23"/>
      <c r="R895" s="1"/>
      <c r="S895" s="1"/>
      <c r="T895" s="1"/>
      <c r="U895" s="1"/>
      <c r="V895" s="1"/>
      <c r="W895" s="1"/>
      <c r="X895" s="1"/>
      <c r="Y895" s="1"/>
      <c r="Z895" s="1"/>
    </row>
    <row r="896" spans="17:26">
      <c r="Q896" s="23"/>
      <c r="R896" s="1"/>
      <c r="S896" s="1"/>
      <c r="T896" s="1"/>
      <c r="U896" s="1"/>
      <c r="V896" s="1"/>
      <c r="W896" s="1"/>
      <c r="X896" s="1"/>
      <c r="Y896" s="1"/>
      <c r="Z896" s="1"/>
    </row>
    <row r="897" spans="17:26">
      <c r="Q897" s="23"/>
      <c r="R897" s="1"/>
      <c r="S897" s="1"/>
      <c r="T897" s="1"/>
      <c r="U897" s="1"/>
      <c r="V897" s="1"/>
      <c r="W897" s="1"/>
      <c r="X897" s="1"/>
      <c r="Y897" s="1"/>
      <c r="Z897" s="1"/>
    </row>
    <row r="898" spans="17:26">
      <c r="Q898" s="23"/>
      <c r="R898" s="1"/>
      <c r="S898" s="1"/>
      <c r="T898" s="1"/>
      <c r="U898" s="1"/>
      <c r="V898" s="1"/>
      <c r="W898" s="1"/>
      <c r="X898" s="1"/>
      <c r="Y898" s="1"/>
      <c r="Z898" s="1"/>
    </row>
    <row r="899" spans="17:26">
      <c r="Q899" s="1"/>
      <c r="R899" s="1"/>
      <c r="S899" s="1"/>
      <c r="T899" s="1"/>
      <c r="U899" s="1"/>
      <c r="V899" s="1"/>
      <c r="W899" s="1"/>
      <c r="X899" s="1"/>
      <c r="Y899" s="1"/>
      <c r="Z899" s="1"/>
    </row>
    <row r="900" spans="17:26">
      <c r="Q900" s="1"/>
      <c r="R900" s="1"/>
      <c r="S900" s="1"/>
      <c r="T900" s="1"/>
      <c r="U900" s="1"/>
      <c r="V900" s="1"/>
      <c r="W900" s="1"/>
      <c r="X900" s="1"/>
      <c r="Y900" s="1"/>
      <c r="Z900" s="1"/>
    </row>
    <row r="901" spans="17:26">
      <c r="Q901" s="1"/>
      <c r="R901" s="1"/>
      <c r="S901" s="1"/>
      <c r="T901" s="1"/>
      <c r="U901" s="1"/>
      <c r="V901" s="1"/>
      <c r="W901" s="1"/>
      <c r="X901" s="1"/>
      <c r="Y901" s="1"/>
      <c r="Z901" s="1"/>
    </row>
    <row r="902" spans="17:26">
      <c r="Q902" s="1"/>
      <c r="R902" s="1"/>
      <c r="S902" s="1"/>
      <c r="T902" s="1"/>
      <c r="U902" s="1"/>
      <c r="V902" s="1"/>
      <c r="W902" s="1"/>
      <c r="X902" s="1"/>
      <c r="Y902" s="1"/>
      <c r="Z902" s="1"/>
    </row>
    <row r="903" spans="17:26">
      <c r="Q903" s="1"/>
      <c r="R903" s="1"/>
      <c r="S903" s="1"/>
      <c r="T903" s="1"/>
      <c r="U903" s="1"/>
      <c r="V903" s="1"/>
      <c r="W903" s="1"/>
      <c r="X903" s="1"/>
      <c r="Y903" s="1"/>
      <c r="Z903" s="1"/>
    </row>
    <row r="904" spans="17:26">
      <c r="Q904" s="1"/>
      <c r="R904" s="1"/>
      <c r="S904" s="1"/>
      <c r="T904" s="1"/>
      <c r="U904" s="1"/>
      <c r="V904" s="1"/>
      <c r="W904" s="1"/>
      <c r="X904" s="1"/>
      <c r="Y904" s="1"/>
      <c r="Z904" s="1"/>
    </row>
    <row r="905" spans="17:26">
      <c r="Q905" s="1"/>
      <c r="R905" s="1"/>
      <c r="S905" s="1"/>
      <c r="T905" s="1"/>
      <c r="U905" s="1"/>
      <c r="V905" s="1"/>
      <c r="W905" s="1"/>
      <c r="X905" s="1"/>
      <c r="Y905" s="1"/>
      <c r="Z905" s="1"/>
    </row>
    <row r="906" spans="17:26">
      <c r="Q906" s="1"/>
      <c r="R906" s="1"/>
      <c r="S906" s="1"/>
      <c r="T906" s="1"/>
      <c r="U906" s="1"/>
      <c r="V906" s="1"/>
      <c r="W906" s="1"/>
      <c r="X906" s="1"/>
      <c r="Y906" s="1"/>
      <c r="Z906" s="1"/>
    </row>
    <row r="907" spans="17:26">
      <c r="Q907" s="1"/>
      <c r="R907" s="1"/>
      <c r="S907" s="1"/>
      <c r="T907" s="1"/>
      <c r="U907" s="1"/>
      <c r="V907" s="1"/>
      <c r="W907" s="1"/>
      <c r="X907" s="1"/>
      <c r="Y907" s="1"/>
      <c r="Z907" s="1"/>
    </row>
  </sheetData>
  <mergeCells count="540">
    <mergeCell ref="B2:K3"/>
    <mergeCell ref="B5:D5"/>
    <mergeCell ref="R2:Y3"/>
    <mergeCell ref="R5:U5"/>
    <mergeCell ref="R7:Y7"/>
    <mergeCell ref="R10:U10"/>
    <mergeCell ref="R11:U11"/>
    <mergeCell ref="R12:U12"/>
    <mergeCell ref="R13:U13"/>
    <mergeCell ref="R14:U14"/>
    <mergeCell ref="R15:U15"/>
    <mergeCell ref="R16:U16"/>
    <mergeCell ref="R19:U19"/>
    <mergeCell ref="R20:U20"/>
    <mergeCell ref="R21:U21"/>
    <mergeCell ref="R22:U22"/>
    <mergeCell ref="R23:U23"/>
    <mergeCell ref="R24:U24"/>
    <mergeCell ref="R25:U25"/>
    <mergeCell ref="R26:U26"/>
    <mergeCell ref="R28:Y28"/>
    <mergeCell ref="R31:T32"/>
    <mergeCell ref="U31:U32"/>
    <mergeCell ref="V31:V32"/>
    <mergeCell ref="W31:W32"/>
    <mergeCell ref="X31:X32"/>
    <mergeCell ref="R33:T33"/>
    <mergeCell ref="R34:T34"/>
    <mergeCell ref="R35:T35"/>
    <mergeCell ref="R36:T36"/>
    <mergeCell ref="X39:X40"/>
    <mergeCell ref="R41:T41"/>
    <mergeCell ref="R42:T42"/>
    <mergeCell ref="R43:T43"/>
    <mergeCell ref="R39:T40"/>
    <mergeCell ref="U39:U40"/>
    <mergeCell ref="V39:V40"/>
    <mergeCell ref="W39:W40"/>
    <mergeCell ref="R44:T44"/>
    <mergeCell ref="R46:Y46"/>
    <mergeCell ref="R49:T50"/>
    <mergeCell ref="U49:U50"/>
    <mergeCell ref="V49:V50"/>
    <mergeCell ref="W49:W50"/>
    <mergeCell ref="X49:X50"/>
    <mergeCell ref="R51:T51"/>
    <mergeCell ref="R54:T55"/>
    <mergeCell ref="U54:U55"/>
    <mergeCell ref="V54:V55"/>
    <mergeCell ref="W54:W55"/>
    <mergeCell ref="X54:X55"/>
    <mergeCell ref="R56:T56"/>
    <mergeCell ref="R59:T60"/>
    <mergeCell ref="U59:U60"/>
    <mergeCell ref="V59:V60"/>
    <mergeCell ref="W59:W60"/>
    <mergeCell ref="X59:X60"/>
    <mergeCell ref="R61:T61"/>
    <mergeCell ref="R62:T62"/>
    <mergeCell ref="R64:Y64"/>
    <mergeCell ref="R67:T68"/>
    <mergeCell ref="U67:U68"/>
    <mergeCell ref="V67:V68"/>
    <mergeCell ref="W67:W68"/>
    <mergeCell ref="X67:X68"/>
    <mergeCell ref="R69:T69"/>
    <mergeCell ref="R70:T70"/>
    <mergeCell ref="R71:T71"/>
    <mergeCell ref="R74:T75"/>
    <mergeCell ref="U74:U75"/>
    <mergeCell ref="V74:V75"/>
    <mergeCell ref="W74:W75"/>
    <mergeCell ref="X74:X75"/>
    <mergeCell ref="R76:T76"/>
    <mergeCell ref="R77:T77"/>
    <mergeCell ref="R78:T78"/>
    <mergeCell ref="R80:Y80"/>
    <mergeCell ref="X83:X84"/>
    <mergeCell ref="R85:T85"/>
    <mergeCell ref="R86:T86"/>
    <mergeCell ref="R87:T87"/>
    <mergeCell ref="R83:T84"/>
    <mergeCell ref="U83:U84"/>
    <mergeCell ref="V83:V84"/>
    <mergeCell ref="W83:W84"/>
    <mergeCell ref="X90:X91"/>
    <mergeCell ref="R92:T92"/>
    <mergeCell ref="R93:T93"/>
    <mergeCell ref="R94:T94"/>
    <mergeCell ref="R90:T91"/>
    <mergeCell ref="U90:U91"/>
    <mergeCell ref="V90:V91"/>
    <mergeCell ref="W90:W91"/>
    <mergeCell ref="R96:Y96"/>
    <mergeCell ref="R100:T101"/>
    <mergeCell ref="U100:U101"/>
    <mergeCell ref="V100:V101"/>
    <mergeCell ref="W100:W101"/>
    <mergeCell ref="X100:X101"/>
    <mergeCell ref="R102:T102"/>
    <mergeCell ref="R103:T103"/>
    <mergeCell ref="R106:T107"/>
    <mergeCell ref="U106:U107"/>
    <mergeCell ref="V106:V107"/>
    <mergeCell ref="W106:W107"/>
    <mergeCell ref="X106:X107"/>
    <mergeCell ref="R108:T108"/>
    <mergeCell ref="R109:T109"/>
    <mergeCell ref="R112:T113"/>
    <mergeCell ref="U112:U113"/>
    <mergeCell ref="V112:V113"/>
    <mergeCell ref="W112:W113"/>
    <mergeCell ref="X112:X113"/>
    <mergeCell ref="R114:T114"/>
    <mergeCell ref="R115:T115"/>
    <mergeCell ref="V126:V127"/>
    <mergeCell ref="W126:W127"/>
    <mergeCell ref="X118:X119"/>
    <mergeCell ref="R120:T120"/>
    <mergeCell ref="R121:T121"/>
    <mergeCell ref="R123:Y123"/>
    <mergeCell ref="R118:T119"/>
    <mergeCell ref="U118:U119"/>
    <mergeCell ref="V118:V119"/>
    <mergeCell ref="W118:W119"/>
    <mergeCell ref="X126:X127"/>
    <mergeCell ref="R128:T128"/>
    <mergeCell ref="R130:Y130"/>
    <mergeCell ref="R132:T133"/>
    <mergeCell ref="U132:U133"/>
    <mergeCell ref="V132:V133"/>
    <mergeCell ref="W132:W133"/>
    <mergeCell ref="X132:X133"/>
    <mergeCell ref="R126:T127"/>
    <mergeCell ref="U126:U127"/>
    <mergeCell ref="R134:T134"/>
    <mergeCell ref="R135:T135"/>
    <mergeCell ref="R137:Y137"/>
    <mergeCell ref="R142:W142"/>
    <mergeCell ref="X143:X144"/>
    <mergeCell ref="R145:T145"/>
    <mergeCell ref="U145:U146"/>
    <mergeCell ref="R146:T146"/>
    <mergeCell ref="R143:T144"/>
    <mergeCell ref="U143:U144"/>
    <mergeCell ref="V143:V144"/>
    <mergeCell ref="W143:W144"/>
    <mergeCell ref="R147:T147"/>
    <mergeCell ref="R148:T148"/>
    <mergeCell ref="R149:X149"/>
    <mergeCell ref="R150:T151"/>
    <mergeCell ref="U150:U151"/>
    <mergeCell ref="V150:V151"/>
    <mergeCell ref="W150:W151"/>
    <mergeCell ref="X150:X151"/>
    <mergeCell ref="R152:T152"/>
    <mergeCell ref="U152:U154"/>
    <mergeCell ref="R153:T153"/>
    <mergeCell ref="R154:T154"/>
    <mergeCell ref="R155:X155"/>
    <mergeCell ref="R156:T157"/>
    <mergeCell ref="U156:U157"/>
    <mergeCell ref="V156:V157"/>
    <mergeCell ref="W156:W157"/>
    <mergeCell ref="X156:X157"/>
    <mergeCell ref="V162:V163"/>
    <mergeCell ref="W162:W163"/>
    <mergeCell ref="R158:T158"/>
    <mergeCell ref="U158:U160"/>
    <mergeCell ref="R159:T159"/>
    <mergeCell ref="R160:T160"/>
    <mergeCell ref="X162:X163"/>
    <mergeCell ref="R164:T164"/>
    <mergeCell ref="R165:T165"/>
    <mergeCell ref="R167:T168"/>
    <mergeCell ref="U167:U168"/>
    <mergeCell ref="V167:V168"/>
    <mergeCell ref="W167:W168"/>
    <mergeCell ref="X167:X168"/>
    <mergeCell ref="R162:T163"/>
    <mergeCell ref="U162:U163"/>
    <mergeCell ref="R174:T174"/>
    <mergeCell ref="R179:T179"/>
    <mergeCell ref="R180:T180"/>
    <mergeCell ref="R175:T175"/>
    <mergeCell ref="R177:T178"/>
    <mergeCell ref="R169:T169"/>
    <mergeCell ref="R170:T170"/>
    <mergeCell ref="R172:T173"/>
    <mergeCell ref="W177:W178"/>
    <mergeCell ref="X177:X178"/>
    <mergeCell ref="U177:U178"/>
    <mergeCell ref="V177:V178"/>
    <mergeCell ref="X183:X184"/>
    <mergeCell ref="X172:X173"/>
    <mergeCell ref="U172:U173"/>
    <mergeCell ref="V172:V173"/>
    <mergeCell ref="W172:W173"/>
    <mergeCell ref="R185:T185"/>
    <mergeCell ref="R186:T186"/>
    <mergeCell ref="R181:T181"/>
    <mergeCell ref="R183:T184"/>
    <mergeCell ref="W188:W189"/>
    <mergeCell ref="W183:W184"/>
    <mergeCell ref="V188:V189"/>
    <mergeCell ref="U183:U184"/>
    <mergeCell ref="V183:V184"/>
    <mergeCell ref="X188:X189"/>
    <mergeCell ref="V193:V194"/>
    <mergeCell ref="W193:W194"/>
    <mergeCell ref="X193:X194"/>
    <mergeCell ref="R188:T189"/>
    <mergeCell ref="U188:U189"/>
    <mergeCell ref="R190:T190"/>
    <mergeCell ref="R191:T191"/>
    <mergeCell ref="R193:T194"/>
    <mergeCell ref="U193:U194"/>
    <mergeCell ref="R195:T195"/>
    <mergeCell ref="R196:T196"/>
    <mergeCell ref="R198:T199"/>
    <mergeCell ref="U198:U199"/>
    <mergeCell ref="V198:V199"/>
    <mergeCell ref="W198:W199"/>
    <mergeCell ref="X198:X199"/>
    <mergeCell ref="R200:T200"/>
    <mergeCell ref="R201:T201"/>
    <mergeCell ref="R202:T202"/>
    <mergeCell ref="R204:Y208"/>
    <mergeCell ref="R210:W211"/>
    <mergeCell ref="X210:X211"/>
    <mergeCell ref="Y210:Y211"/>
    <mergeCell ref="Y213:Y214"/>
    <mergeCell ref="R215:U215"/>
    <mergeCell ref="R216:U216"/>
    <mergeCell ref="R217:U217"/>
    <mergeCell ref="R213:U214"/>
    <mergeCell ref="V213:V214"/>
    <mergeCell ref="W213:W214"/>
    <mergeCell ref="X213:X214"/>
    <mergeCell ref="R218:U218"/>
    <mergeCell ref="R219:U219"/>
    <mergeCell ref="R220:U220"/>
    <mergeCell ref="R221:U221"/>
    <mergeCell ref="R222:U222"/>
    <mergeCell ref="R223:U223"/>
    <mergeCell ref="R224:U224"/>
    <mergeCell ref="R225:U225"/>
    <mergeCell ref="R226:U226"/>
    <mergeCell ref="R227:U227"/>
    <mergeCell ref="R228:U228"/>
    <mergeCell ref="R229:U229"/>
    <mergeCell ref="R231:U231"/>
    <mergeCell ref="R235:T236"/>
    <mergeCell ref="U235:U236"/>
    <mergeCell ref="V235:V236"/>
    <mergeCell ref="W235:W236"/>
    <mergeCell ref="X235:X236"/>
    <mergeCell ref="R237:T237"/>
    <mergeCell ref="U237:U239"/>
    <mergeCell ref="R238:T238"/>
    <mergeCell ref="R239:T239"/>
    <mergeCell ref="X241:X242"/>
    <mergeCell ref="R243:T243"/>
    <mergeCell ref="U243:U245"/>
    <mergeCell ref="R244:T244"/>
    <mergeCell ref="R245:T245"/>
    <mergeCell ref="R241:T242"/>
    <mergeCell ref="U241:U242"/>
    <mergeCell ref="V241:V242"/>
    <mergeCell ref="W241:W242"/>
    <mergeCell ref="X247:X248"/>
    <mergeCell ref="R249:T249"/>
    <mergeCell ref="U249:U251"/>
    <mergeCell ref="R250:T250"/>
    <mergeCell ref="R251:T251"/>
    <mergeCell ref="R247:T248"/>
    <mergeCell ref="U247:U248"/>
    <mergeCell ref="V247:V248"/>
    <mergeCell ref="W247:W248"/>
    <mergeCell ref="X254:X255"/>
    <mergeCell ref="R257:T257"/>
    <mergeCell ref="R260:Y260"/>
    <mergeCell ref="R264:S265"/>
    <mergeCell ref="U264:V264"/>
    <mergeCell ref="U265:V265"/>
    <mergeCell ref="R254:T255"/>
    <mergeCell ref="U254:U255"/>
    <mergeCell ref="V254:V255"/>
    <mergeCell ref="W254:W255"/>
    <mergeCell ref="X267:X268"/>
    <mergeCell ref="R268:R271"/>
    <mergeCell ref="S268:T268"/>
    <mergeCell ref="S269:T269"/>
    <mergeCell ref="S270:T270"/>
    <mergeCell ref="S271:T271"/>
    <mergeCell ref="R267:T267"/>
    <mergeCell ref="U267:U268"/>
    <mergeCell ref="V267:V268"/>
    <mergeCell ref="W267:W268"/>
    <mergeCell ref="R272:X272"/>
    <mergeCell ref="R273:T273"/>
    <mergeCell ref="U273:U274"/>
    <mergeCell ref="V273:V274"/>
    <mergeCell ref="W273:W274"/>
    <mergeCell ref="X273:X274"/>
    <mergeCell ref="R274:R277"/>
    <mergeCell ref="S274:T274"/>
    <mergeCell ref="S275:T275"/>
    <mergeCell ref="S276:T276"/>
    <mergeCell ref="S277:T277"/>
    <mergeCell ref="R278:X278"/>
    <mergeCell ref="R279:T279"/>
    <mergeCell ref="U279:U280"/>
    <mergeCell ref="V279:V280"/>
    <mergeCell ref="W279:W280"/>
    <mergeCell ref="X279:X280"/>
    <mergeCell ref="R280:R283"/>
    <mergeCell ref="S280:T280"/>
    <mergeCell ref="S281:T281"/>
    <mergeCell ref="S282:T282"/>
    <mergeCell ref="S283:T283"/>
    <mergeCell ref="R286:U287"/>
    <mergeCell ref="V286:V287"/>
    <mergeCell ref="W286:W287"/>
    <mergeCell ref="X286:X287"/>
    <mergeCell ref="Y286:Y287"/>
    <mergeCell ref="R288:U288"/>
    <mergeCell ref="R289:U289"/>
    <mergeCell ref="R290:U290"/>
    <mergeCell ref="R291:U291"/>
    <mergeCell ref="R292:U292"/>
    <mergeCell ref="R293:U293"/>
    <mergeCell ref="R294:U294"/>
    <mergeCell ref="R295:U295"/>
    <mergeCell ref="R296:U296"/>
    <mergeCell ref="R297:U297"/>
    <mergeCell ref="R298:U298"/>
    <mergeCell ref="R299:U299"/>
    <mergeCell ref="T301:U301"/>
    <mergeCell ref="T302:U302"/>
    <mergeCell ref="R305:V305"/>
    <mergeCell ref="R306:R307"/>
    <mergeCell ref="S306:S307"/>
    <mergeCell ref="T306:T307"/>
    <mergeCell ref="U306:U307"/>
    <mergeCell ref="V306:V307"/>
    <mergeCell ref="R316:W318"/>
    <mergeCell ref="R336:S339"/>
    <mergeCell ref="T336:T337"/>
    <mergeCell ref="R319:W319"/>
    <mergeCell ref="R320:W320"/>
    <mergeCell ref="R322:S326"/>
    <mergeCell ref="T322:T324"/>
    <mergeCell ref="U322:U324"/>
    <mergeCell ref="V322:V324"/>
    <mergeCell ref="W322:W324"/>
    <mergeCell ref="R328:W328"/>
    <mergeCell ref="R329:S332"/>
    <mergeCell ref="T329:T330"/>
    <mergeCell ref="U329:U330"/>
    <mergeCell ref="V329:V330"/>
    <mergeCell ref="W329:W330"/>
    <mergeCell ref="T342:T343"/>
    <mergeCell ref="U342:U343"/>
    <mergeCell ref="V342:V343"/>
    <mergeCell ref="W342:W343"/>
    <mergeCell ref="U336:U337"/>
    <mergeCell ref="R348:W348"/>
    <mergeCell ref="R341:W341"/>
    <mergeCell ref="R342:S345"/>
    <mergeCell ref="V336:V337"/>
    <mergeCell ref="W336:W337"/>
    <mergeCell ref="R365:S368"/>
    <mergeCell ref="T365:T366"/>
    <mergeCell ref="R349:W349"/>
    <mergeCell ref="R351:S355"/>
    <mergeCell ref="T351:T353"/>
    <mergeCell ref="U351:U353"/>
    <mergeCell ref="V351:V353"/>
    <mergeCell ref="W351:W353"/>
    <mergeCell ref="R357:W357"/>
    <mergeCell ref="R358:S361"/>
    <mergeCell ref="T358:T359"/>
    <mergeCell ref="U358:U359"/>
    <mergeCell ref="V358:V359"/>
    <mergeCell ref="W358:W359"/>
    <mergeCell ref="T371:T372"/>
    <mergeCell ref="U371:U372"/>
    <mergeCell ref="V371:V372"/>
    <mergeCell ref="W371:W372"/>
    <mergeCell ref="U365:U366"/>
    <mergeCell ref="R377:W377"/>
    <mergeCell ref="R370:W370"/>
    <mergeCell ref="R371:S374"/>
    <mergeCell ref="V365:V366"/>
    <mergeCell ref="W365:W366"/>
    <mergeCell ref="R394:S397"/>
    <mergeCell ref="T394:T395"/>
    <mergeCell ref="R378:W378"/>
    <mergeCell ref="R380:S384"/>
    <mergeCell ref="T380:T382"/>
    <mergeCell ref="U380:U382"/>
    <mergeCell ref="V380:V382"/>
    <mergeCell ref="W380:W382"/>
    <mergeCell ref="R386:W386"/>
    <mergeCell ref="R387:S390"/>
    <mergeCell ref="T387:T388"/>
    <mergeCell ref="U387:U388"/>
    <mergeCell ref="V387:V388"/>
    <mergeCell ref="W387:W388"/>
    <mergeCell ref="T400:T401"/>
    <mergeCell ref="U400:U401"/>
    <mergeCell ref="V400:V401"/>
    <mergeCell ref="W400:W401"/>
    <mergeCell ref="U394:U395"/>
    <mergeCell ref="R406:W406"/>
    <mergeCell ref="R399:W399"/>
    <mergeCell ref="R400:S403"/>
    <mergeCell ref="V394:V395"/>
    <mergeCell ref="W394:W395"/>
    <mergeCell ref="R407:W407"/>
    <mergeCell ref="R409:S413"/>
    <mergeCell ref="T409:T411"/>
    <mergeCell ref="U409:U411"/>
    <mergeCell ref="V409:V411"/>
    <mergeCell ref="W409:W411"/>
    <mergeCell ref="V423:V424"/>
    <mergeCell ref="R415:W415"/>
    <mergeCell ref="R416:S419"/>
    <mergeCell ref="T416:T417"/>
    <mergeCell ref="U416:U417"/>
    <mergeCell ref="V416:V417"/>
    <mergeCell ref="W416:W417"/>
    <mergeCell ref="W423:W424"/>
    <mergeCell ref="R423:S426"/>
    <mergeCell ref="T423:T424"/>
    <mergeCell ref="U423:U424"/>
    <mergeCell ref="R435:W437"/>
    <mergeCell ref="R438:W438"/>
    <mergeCell ref="R439:W439"/>
    <mergeCell ref="R428:W428"/>
    <mergeCell ref="R429:S432"/>
    <mergeCell ref="T429:T430"/>
    <mergeCell ref="U429:U430"/>
    <mergeCell ref="V429:V430"/>
    <mergeCell ref="W429:W430"/>
    <mergeCell ref="R441:S445"/>
    <mergeCell ref="T441:T443"/>
    <mergeCell ref="U441:U443"/>
    <mergeCell ref="V441:V443"/>
    <mergeCell ref="W441:W443"/>
    <mergeCell ref="V455:V456"/>
    <mergeCell ref="R447:W447"/>
    <mergeCell ref="R448:S451"/>
    <mergeCell ref="T448:T449"/>
    <mergeCell ref="U448:U449"/>
    <mergeCell ref="V448:V449"/>
    <mergeCell ref="W448:W449"/>
    <mergeCell ref="W455:W456"/>
    <mergeCell ref="R455:S458"/>
    <mergeCell ref="T455:T456"/>
    <mergeCell ref="U455:U456"/>
    <mergeCell ref="R467:W467"/>
    <mergeCell ref="R468:W468"/>
    <mergeCell ref="R460:W460"/>
    <mergeCell ref="R461:S464"/>
    <mergeCell ref="T461:T462"/>
    <mergeCell ref="U461:U462"/>
    <mergeCell ref="V461:V462"/>
    <mergeCell ref="W461:W462"/>
    <mergeCell ref="R470:S474"/>
    <mergeCell ref="T470:T472"/>
    <mergeCell ref="U470:U472"/>
    <mergeCell ref="V470:V472"/>
    <mergeCell ref="W470:W472"/>
    <mergeCell ref="V484:V485"/>
    <mergeCell ref="R476:W476"/>
    <mergeCell ref="R477:S480"/>
    <mergeCell ref="T477:T478"/>
    <mergeCell ref="U477:U478"/>
    <mergeCell ref="V477:V478"/>
    <mergeCell ref="W477:W478"/>
    <mergeCell ref="W484:W485"/>
    <mergeCell ref="R484:S487"/>
    <mergeCell ref="T484:T485"/>
    <mergeCell ref="U484:U485"/>
    <mergeCell ref="R496:W496"/>
    <mergeCell ref="R497:W497"/>
    <mergeCell ref="R489:W489"/>
    <mergeCell ref="R490:S493"/>
    <mergeCell ref="T490:T491"/>
    <mergeCell ref="U490:U491"/>
    <mergeCell ref="V490:V491"/>
    <mergeCell ref="W490:W491"/>
    <mergeCell ref="R499:S503"/>
    <mergeCell ref="T499:T501"/>
    <mergeCell ref="U499:U501"/>
    <mergeCell ref="V499:V501"/>
    <mergeCell ref="W499:W501"/>
    <mergeCell ref="V513:V514"/>
    <mergeCell ref="R505:W505"/>
    <mergeCell ref="R506:S509"/>
    <mergeCell ref="T506:T507"/>
    <mergeCell ref="U506:U507"/>
    <mergeCell ref="V506:V507"/>
    <mergeCell ref="W506:W507"/>
    <mergeCell ref="W513:W514"/>
    <mergeCell ref="R513:S516"/>
    <mergeCell ref="T513:T514"/>
    <mergeCell ref="U513:U514"/>
    <mergeCell ref="R525:W525"/>
    <mergeCell ref="R526:W526"/>
    <mergeCell ref="R518:W518"/>
    <mergeCell ref="R519:S522"/>
    <mergeCell ref="T519:T520"/>
    <mergeCell ref="U519:U520"/>
    <mergeCell ref="V519:V520"/>
    <mergeCell ref="W519:W520"/>
    <mergeCell ref="R528:S532"/>
    <mergeCell ref="T528:T530"/>
    <mergeCell ref="U528:U530"/>
    <mergeCell ref="V528:V530"/>
    <mergeCell ref="W528:W530"/>
    <mergeCell ref="V542:V543"/>
    <mergeCell ref="R534:W534"/>
    <mergeCell ref="R535:S538"/>
    <mergeCell ref="T535:T536"/>
    <mergeCell ref="U535:U536"/>
    <mergeCell ref="V535:V536"/>
    <mergeCell ref="W535:W536"/>
    <mergeCell ref="W542:W543"/>
    <mergeCell ref="R542:S545"/>
    <mergeCell ref="T542:T543"/>
    <mergeCell ref="U542:U543"/>
    <mergeCell ref="R547:W547"/>
    <mergeCell ref="R548:S551"/>
    <mergeCell ref="T548:T549"/>
    <mergeCell ref="U548:U549"/>
    <mergeCell ref="V548:V549"/>
    <mergeCell ref="W548:W549"/>
  </mergeCells>
  <phoneticPr fontId="0" type="noConversion"/>
  <conditionalFormatting sqref="U108:X109">
    <cfRule type="cellIs" dxfId="601" priority="1" stopIfTrue="1" operator="equal">
      <formula>"yes"</formula>
    </cfRule>
    <cfRule type="cellIs" dxfId="600" priority="2" stopIfTrue="1" operator="equal">
      <formula>"no"</formula>
    </cfRule>
  </conditionalFormatting>
  <conditionalFormatting sqref="X254:X255 X106:X107 X247:X248 X49:X50 X235:X236 X54:X55 X67:X68 X74:X75 X100:X101 X112:X113 X118:X119 X132:X133 X279:X280 X126:X127 X241:X242 X59:X60 Y286:Y287 S306:S307 X143:X144 X183:X184 X177:X178 X267:X268 X273:X274 Y213:Y214 X83 X90 X156:X157 X150:X151 X198:X199 X162:X163 X167:X168 X172:X173 X188:X189 X193:X194">
    <cfRule type="cellIs" dxfId="599" priority="3" stopIfTrue="1" operator="equal">
      <formula>$U$31</formula>
    </cfRule>
    <cfRule type="cellIs" dxfId="598" priority="4" stopIfTrue="1" operator="equal">
      <formula>$W$31</formula>
    </cfRule>
    <cfRule type="cellIs" dxfId="597" priority="5" stopIfTrue="1" operator="equal">
      <formula>$Y$31</formula>
    </cfRule>
  </conditionalFormatting>
  <conditionalFormatting sqref="V106:V107 V247:V248 V49:V50 V241:V242 V54:V55 V59:V60 V67:V68 V74:V75 W286:W287 V100:V101 V112:V113 V118:V119 V126:V127 V132:V133 V279:V280 V235:V236 V254:V255 T306:T307 V143:V144 V183:V184 V177:V178 V267:V268 V273:V274 W213:W214 V83 V90 V156:V157 V150:V151 V198:V199 V162:V163 V167:V168 V172:V173 V188:V189 V193:V194">
    <cfRule type="cellIs" dxfId="596" priority="6" stopIfTrue="1" operator="equal">
      <formula>$R$6</formula>
    </cfRule>
    <cfRule type="cellIs" dxfId="595" priority="7" stopIfTrue="1" operator="equal">
      <formula>$V$33</formula>
    </cfRule>
    <cfRule type="cellIs" dxfId="594" priority="8" stopIfTrue="1" operator="equal">
      <formula>$R$8</formula>
    </cfRule>
  </conditionalFormatting>
  <conditionalFormatting sqref="W106:W107 W126:W127 W247:W248 W49:W50 W241:W242 W54:W55 W59:W60 W67:W68 W74:W75 X286:X287 W100:W101 W112:W113 W118:W119 W132:W133 W279:W280 W235:W236 W254:W255 U306:U307 W143:W144 W183:W184 W177:W178 W267:W268 W273:W274 X213:X214 W83 W90 W156:W157 W150:W151 W198:W199 W162:W163 W167:W168 W172:W173 W188:W189 W193:W194">
    <cfRule type="cellIs" dxfId="593" priority="9" stopIfTrue="1" operator="equal">
      <formula>$R$6</formula>
    </cfRule>
    <cfRule type="cellIs" dxfId="592" priority="10" stopIfTrue="1" operator="equal">
      <formula>$R$7</formula>
    </cfRule>
    <cfRule type="cellIs" dxfId="591" priority="11" stopIfTrue="1" operator="equal">
      <formula>$W$33</formula>
    </cfRule>
  </conditionalFormatting>
  <conditionalFormatting sqref="R36 R44">
    <cfRule type="cellIs" dxfId="590" priority="12" stopIfTrue="1" operator="equal">
      <formula>$AI$31</formula>
    </cfRule>
    <cfRule type="cellIs" dxfId="589" priority="13" stopIfTrue="1" operator="equal">
      <formula>$AK$31</formula>
    </cfRule>
    <cfRule type="cellIs" dxfId="588" priority="14" stopIfTrue="1" operator="equal">
      <formula>$AM$31</formula>
    </cfRule>
  </conditionalFormatting>
  <conditionalFormatting sqref="R34 R42">
    <cfRule type="cellIs" dxfId="587" priority="15" stopIfTrue="1" operator="equal">
      <formula>$AF$6</formula>
    </cfRule>
    <cfRule type="cellIs" dxfId="586" priority="16" stopIfTrue="1" operator="equal">
      <formula>$AJ$33</formula>
    </cfRule>
    <cfRule type="cellIs" dxfId="585" priority="17" stopIfTrue="1" operator="equal">
      <formula>$AF$8</formula>
    </cfRule>
  </conditionalFormatting>
  <conditionalFormatting sqref="R35 R43">
    <cfRule type="cellIs" dxfId="584" priority="18" stopIfTrue="1" operator="equal">
      <formula>$AF$6</formula>
    </cfRule>
    <cfRule type="cellIs" dxfId="583" priority="19" stopIfTrue="1" operator="equal">
      <formula>$AF$7</formula>
    </cfRule>
    <cfRule type="cellIs" dxfId="582" priority="20" stopIfTrue="1" operator="equal">
      <formula>$AK$33</formula>
    </cfRule>
  </conditionalFormatting>
  <pageMargins left="0" right="0" top="0.59055118110236227" bottom="0.39370078740157483" header="0.51181102362204722" footer="0.51181102362204722"/>
  <pageSetup paperSize="9" scale="96" fitToHeight="6"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sheetPr codeName="Sheet62">
    <pageSetUpPr fitToPage="1"/>
  </sheetPr>
  <dimension ref="A1:AJ907"/>
  <sheetViews>
    <sheetView showRowColHeaders="0" workbookViewId="0">
      <selection activeCell="B2" sqref="B2:K3"/>
    </sheetView>
  </sheetViews>
  <sheetFormatPr defaultRowHeight="12.75"/>
  <cols>
    <col min="1" max="1" width="10.7109375" style="1" customWidth="1"/>
    <col min="2" max="11" width="11.7109375" style="1" customWidth="1"/>
    <col min="12" max="16" width="10.7109375" style="1" customWidth="1"/>
    <col min="17" max="17" width="4.7109375" style="20" customWidth="1"/>
    <col min="18" max="20" width="10.7109375" style="18" customWidth="1"/>
    <col min="21" max="23" width="11.7109375" style="18" customWidth="1"/>
    <col min="24" max="26" width="10.7109375" style="18" customWidth="1"/>
    <col min="27" max="27" width="10.7109375" style="1" customWidth="1"/>
    <col min="28" max="30" width="8.7109375" style="1" customWidth="1"/>
    <col min="31" max="35" width="13.7109375" style="1" customWidth="1"/>
    <col min="36" max="37" width="10.7109375" style="1" customWidth="1"/>
    <col min="38" max="54" width="10.28515625" style="1" customWidth="1"/>
    <col min="55" max="110" width="10.7109375" style="1" customWidth="1"/>
    <col min="111" max="16384" width="9.140625" style="1"/>
  </cols>
  <sheetData>
    <row r="1" spans="1:30" ht="6" customHeight="1" thickBot="1">
      <c r="A1" s="121"/>
      <c r="B1" s="121"/>
      <c r="C1" s="121"/>
      <c r="D1" s="121"/>
      <c r="E1" s="121"/>
      <c r="F1" s="121"/>
      <c r="G1" s="121"/>
      <c r="H1" s="121"/>
      <c r="I1" s="121"/>
      <c r="J1" s="121"/>
      <c r="K1" s="121"/>
      <c r="L1" s="121"/>
      <c r="M1" s="121"/>
      <c r="N1" s="121"/>
      <c r="O1" s="121"/>
      <c r="P1" s="121"/>
      <c r="Q1" s="360"/>
      <c r="R1" s="361"/>
      <c r="S1" s="361"/>
      <c r="T1" s="361"/>
      <c r="U1" s="361"/>
      <c r="V1" s="361"/>
      <c r="W1" s="361"/>
      <c r="X1" s="361"/>
      <c r="Y1" s="361"/>
      <c r="Z1" s="361"/>
      <c r="AA1"/>
      <c r="AB1"/>
      <c r="AC1"/>
      <c r="AD1"/>
    </row>
    <row r="2" spans="1:30" ht="12.75" customHeight="1" thickTop="1">
      <c r="A2" s="121"/>
      <c r="B2" s="753" t="s">
        <v>165</v>
      </c>
      <c r="C2" s="754"/>
      <c r="D2" s="754"/>
      <c r="E2" s="754"/>
      <c r="F2" s="754"/>
      <c r="G2" s="754"/>
      <c r="H2" s="754"/>
      <c r="I2" s="754"/>
      <c r="J2" s="754"/>
      <c r="K2" s="755"/>
      <c r="L2" s="121"/>
      <c r="M2" s="121"/>
      <c r="N2" s="121"/>
      <c r="O2" s="121"/>
      <c r="P2" s="121"/>
      <c r="Q2" s="363"/>
      <c r="R2" s="1024" t="s">
        <v>396</v>
      </c>
      <c r="S2" s="1025"/>
      <c r="T2" s="1025"/>
      <c r="U2" s="1025"/>
      <c r="V2" s="1025"/>
      <c r="W2" s="1025"/>
      <c r="X2" s="1025"/>
      <c r="Y2" s="1026"/>
      <c r="Z2" s="362"/>
      <c r="AA2"/>
      <c r="AB2"/>
      <c r="AC2"/>
      <c r="AD2"/>
    </row>
    <row r="3" spans="1:30" ht="12.75" customHeight="1" thickBot="1">
      <c r="A3" s="121"/>
      <c r="B3" s="756"/>
      <c r="C3" s="757"/>
      <c r="D3" s="757"/>
      <c r="E3" s="757"/>
      <c r="F3" s="757"/>
      <c r="G3" s="757"/>
      <c r="H3" s="757"/>
      <c r="I3" s="757"/>
      <c r="J3" s="757"/>
      <c r="K3" s="758"/>
      <c r="L3" s="121"/>
      <c r="M3" s="121"/>
      <c r="N3" s="121"/>
      <c r="O3" s="121"/>
      <c r="P3" s="121"/>
      <c r="Q3" s="363"/>
      <c r="R3" s="1027"/>
      <c r="S3" s="1028"/>
      <c r="T3" s="1028"/>
      <c r="U3" s="1028"/>
      <c r="V3" s="1028"/>
      <c r="W3" s="1028"/>
      <c r="X3" s="1028"/>
      <c r="Y3" s="1029"/>
      <c r="Z3" s="362"/>
      <c r="AA3"/>
      <c r="AB3"/>
      <c r="AC3"/>
      <c r="AD3"/>
    </row>
    <row r="4" spans="1:30" ht="12.75" customHeight="1" thickTop="1">
      <c r="A4" s="121"/>
      <c r="B4" s="121"/>
      <c r="C4" s="121"/>
      <c r="D4" s="121"/>
      <c r="E4" s="121"/>
      <c r="F4" s="121"/>
      <c r="G4" s="121"/>
      <c r="H4" s="121"/>
      <c r="I4" s="121"/>
      <c r="J4" s="121"/>
      <c r="K4" s="121"/>
      <c r="L4" s="121"/>
      <c r="M4" s="121"/>
      <c r="N4" s="121"/>
      <c r="O4" s="121"/>
      <c r="P4" s="121"/>
      <c r="Q4" s="363"/>
      <c r="R4" s="361"/>
      <c r="S4" s="361"/>
      <c r="T4" s="361"/>
      <c r="U4" s="361"/>
      <c r="V4" s="361"/>
      <c r="W4" s="361"/>
      <c r="X4" s="361"/>
      <c r="Y4" s="361"/>
      <c r="Z4" s="361"/>
      <c r="AA4"/>
      <c r="AB4"/>
      <c r="AC4"/>
      <c r="AD4"/>
    </row>
    <row r="5" spans="1:30" ht="12.75" customHeight="1">
      <c r="A5" s="121"/>
      <c r="B5" s="828" t="s">
        <v>581</v>
      </c>
      <c r="C5" s="829"/>
      <c r="D5" s="830"/>
      <c r="E5" s="460">
        <v>350</v>
      </c>
      <c r="F5" s="461">
        <f>+E5</f>
        <v>350</v>
      </c>
      <c r="G5" s="121"/>
      <c r="H5" s="121"/>
      <c r="I5" s="121"/>
      <c r="J5" s="121"/>
      <c r="K5" s="121"/>
      <c r="L5" s="121"/>
      <c r="M5" s="121"/>
      <c r="N5" s="121"/>
      <c r="O5" s="121"/>
      <c r="P5" s="121"/>
      <c r="Q5" s="360"/>
      <c r="R5" s="951" t="s">
        <v>868</v>
      </c>
      <c r="S5" s="951"/>
      <c r="T5" s="951"/>
      <c r="U5" s="951"/>
      <c r="V5" s="447">
        <f>F5</f>
        <v>350</v>
      </c>
      <c r="W5" s="362"/>
      <c r="X5" s="362"/>
      <c r="Y5" s="362"/>
      <c r="Z5" s="362"/>
      <c r="AA5"/>
      <c r="AB5"/>
      <c r="AC5"/>
      <c r="AD5"/>
    </row>
    <row r="6" spans="1:30" ht="12.75" customHeight="1">
      <c r="A6" s="121"/>
      <c r="B6" s="121"/>
      <c r="C6" s="121"/>
      <c r="D6" s="121"/>
      <c r="E6" s="121"/>
      <c r="F6" s="121"/>
      <c r="G6" s="121"/>
      <c r="H6" s="121"/>
      <c r="I6" s="121"/>
      <c r="J6" s="121"/>
      <c r="K6" s="121"/>
      <c r="L6" s="121"/>
      <c r="M6" s="121"/>
      <c r="N6" s="121"/>
      <c r="O6" s="121"/>
      <c r="P6" s="121"/>
      <c r="Q6" s="360"/>
      <c r="R6" s="362"/>
      <c r="S6" s="362"/>
      <c r="T6" s="362"/>
      <c r="U6" s="362"/>
      <c r="V6" s="361"/>
      <c r="W6" s="361"/>
      <c r="X6" s="361"/>
      <c r="Y6" s="361"/>
      <c r="Z6" s="361"/>
      <c r="AA6"/>
      <c r="AB6"/>
      <c r="AC6"/>
      <c r="AD6"/>
    </row>
    <row r="7" spans="1:30" ht="12.75" customHeight="1">
      <c r="A7" s="121"/>
      <c r="B7" s="121"/>
      <c r="C7" s="121"/>
      <c r="D7" s="121"/>
      <c r="E7" s="121"/>
      <c r="F7" s="121"/>
      <c r="G7" s="121"/>
      <c r="H7" s="121"/>
      <c r="I7" s="121"/>
      <c r="J7" s="121"/>
      <c r="K7" s="121"/>
      <c r="L7" s="121"/>
      <c r="M7" s="121"/>
      <c r="N7" s="121"/>
      <c r="O7" s="121"/>
      <c r="P7" s="121"/>
      <c r="Q7" s="385">
        <v>1</v>
      </c>
      <c r="R7" s="1008" t="s">
        <v>24</v>
      </c>
      <c r="S7" s="1008"/>
      <c r="T7" s="1008"/>
      <c r="U7" s="1008"/>
      <c r="V7" s="1008"/>
      <c r="W7" s="1008"/>
      <c r="X7" s="1008"/>
      <c r="Y7" s="1008"/>
      <c r="Z7" s="536"/>
      <c r="AA7"/>
      <c r="AB7"/>
      <c r="AC7"/>
      <c r="AD7"/>
    </row>
    <row r="8" spans="1:30" ht="12.75" customHeight="1">
      <c r="A8" s="121"/>
      <c r="B8" s="121"/>
      <c r="C8" s="121"/>
      <c r="D8" s="121"/>
      <c r="E8" s="121"/>
      <c r="F8" s="121"/>
      <c r="G8" s="121"/>
      <c r="H8" s="121"/>
      <c r="I8" s="121"/>
      <c r="J8" s="121"/>
      <c r="K8" s="121"/>
      <c r="L8" s="121"/>
      <c r="M8" s="121"/>
      <c r="N8" s="121"/>
      <c r="O8" s="121"/>
      <c r="P8" s="121"/>
      <c r="Q8" s="386"/>
      <c r="R8" s="361"/>
      <c r="S8" s="361"/>
      <c r="T8" s="361"/>
      <c r="U8" s="361"/>
      <c r="V8" s="361"/>
      <c r="W8" s="361"/>
      <c r="X8" s="361"/>
      <c r="Y8" s="361"/>
      <c r="Z8" s="361"/>
      <c r="AA8"/>
      <c r="AB8"/>
      <c r="AC8"/>
      <c r="AD8"/>
    </row>
    <row r="9" spans="1:30" ht="12.75" customHeight="1">
      <c r="A9" s="121"/>
      <c r="B9" s="121"/>
      <c r="C9" s="121"/>
      <c r="D9" s="121"/>
      <c r="E9" s="121"/>
      <c r="F9" s="121"/>
      <c r="G9" s="121"/>
      <c r="H9" s="121"/>
      <c r="I9" s="121"/>
      <c r="J9" s="121"/>
      <c r="K9" s="121"/>
      <c r="L9" s="121"/>
      <c r="M9" s="121"/>
      <c r="N9" s="121"/>
      <c r="O9" s="121"/>
      <c r="P9" s="121"/>
      <c r="Q9" s="360">
        <v>1.1000000000000001</v>
      </c>
      <c r="R9" s="364" t="s">
        <v>586</v>
      </c>
      <c r="S9" s="363"/>
      <c r="T9" s="363"/>
      <c r="U9" s="363"/>
      <c r="V9" s="363"/>
      <c r="W9" s="363"/>
      <c r="X9" s="363"/>
      <c r="Y9" s="363"/>
      <c r="Z9" s="363"/>
      <c r="AA9"/>
      <c r="AB9"/>
      <c r="AC9"/>
      <c r="AD9"/>
    </row>
    <row r="10" spans="1:30" ht="12.75" customHeight="1">
      <c r="A10" s="121"/>
      <c r="B10" s="121"/>
      <c r="C10" s="121"/>
      <c r="D10" s="121"/>
      <c r="E10" s="121"/>
      <c r="F10" s="121"/>
      <c r="G10" s="121"/>
      <c r="H10" s="121"/>
      <c r="I10" s="121"/>
      <c r="J10" s="121"/>
      <c r="K10" s="121"/>
      <c r="L10" s="121"/>
      <c r="M10" s="121"/>
      <c r="N10" s="121"/>
      <c r="O10" s="121"/>
      <c r="P10" s="121"/>
      <c r="Q10" s="360"/>
      <c r="R10" s="969" t="s">
        <v>25</v>
      </c>
      <c r="S10" s="969"/>
      <c r="T10" s="969"/>
      <c r="U10" s="969"/>
      <c r="V10" s="447">
        <f>'Prod Parameters'!$F$8</f>
        <v>23</v>
      </c>
      <c r="W10" s="363"/>
      <c r="X10" s="363"/>
      <c r="Y10" s="363"/>
      <c r="Z10" s="363"/>
      <c r="AA10"/>
      <c r="AB10"/>
      <c r="AC10"/>
      <c r="AD10"/>
    </row>
    <row r="11" spans="1:30" ht="12.75" customHeight="1">
      <c r="A11" s="121"/>
      <c r="B11" s="121"/>
      <c r="C11" s="121"/>
      <c r="D11" s="121"/>
      <c r="E11" s="121"/>
      <c r="F11" s="121"/>
      <c r="G11" s="121"/>
      <c r="H11" s="121"/>
      <c r="I11" s="121"/>
      <c r="J11" s="121"/>
      <c r="K11" s="121"/>
      <c r="L11" s="121"/>
      <c r="M11" s="121"/>
      <c r="N11" s="121"/>
      <c r="O11" s="121"/>
      <c r="P11" s="121"/>
      <c r="Q11" s="360"/>
      <c r="R11" s="969" t="s">
        <v>325</v>
      </c>
      <c r="S11" s="969"/>
      <c r="T11" s="969"/>
      <c r="U11" s="969"/>
      <c r="V11" s="447">
        <f>'Prod Parameters'!$F$9</f>
        <v>23</v>
      </c>
      <c r="W11" s="363"/>
      <c r="X11" s="363"/>
      <c r="Y11" s="363"/>
      <c r="Z11" s="363"/>
      <c r="AA11"/>
      <c r="AB11"/>
      <c r="AC11"/>
      <c r="AD11"/>
    </row>
    <row r="12" spans="1:30" ht="12.75" customHeight="1">
      <c r="A12" s="121"/>
      <c r="B12" s="121"/>
      <c r="C12" s="121"/>
      <c r="D12" s="121"/>
      <c r="E12" s="121"/>
      <c r="F12" s="121"/>
      <c r="G12" s="121"/>
      <c r="H12" s="121"/>
      <c r="I12" s="121"/>
      <c r="J12" s="121"/>
      <c r="K12" s="121"/>
      <c r="L12" s="121"/>
      <c r="M12" s="121"/>
      <c r="N12" s="121"/>
      <c r="O12" s="121"/>
      <c r="P12" s="121"/>
      <c r="Q12" s="360"/>
      <c r="R12" s="1021" t="s">
        <v>26</v>
      </c>
      <c r="S12" s="1022"/>
      <c r="T12" s="1022"/>
      <c r="U12" s="1023"/>
      <c r="V12" s="447">
        <f>'Prod Parameters'!$F$10</f>
        <v>6</v>
      </c>
      <c r="W12" s="363"/>
      <c r="X12" s="363"/>
      <c r="Y12" s="363"/>
      <c r="Z12" s="363"/>
      <c r="AA12"/>
      <c r="AB12"/>
      <c r="AC12"/>
      <c r="AD12"/>
    </row>
    <row r="13" spans="1:30" ht="12.75" customHeight="1">
      <c r="A13" s="121"/>
      <c r="B13" s="121"/>
      <c r="C13" s="121"/>
      <c r="D13" s="121"/>
      <c r="E13" s="121"/>
      <c r="F13" s="121"/>
      <c r="G13" s="121"/>
      <c r="H13" s="121"/>
      <c r="I13" s="121"/>
      <c r="J13" s="121"/>
      <c r="K13" s="121"/>
      <c r="L13" s="121"/>
      <c r="M13" s="121"/>
      <c r="N13" s="121"/>
      <c r="O13" s="121"/>
      <c r="P13" s="121"/>
      <c r="Q13" s="360"/>
      <c r="R13" s="969" t="s">
        <v>27</v>
      </c>
      <c r="S13" s="969"/>
      <c r="T13" s="969"/>
      <c r="U13" s="969"/>
      <c r="V13" s="447">
        <f>'Prod Parameters'!$F$11</f>
        <v>52</v>
      </c>
      <c r="W13" s="363"/>
      <c r="X13" s="363"/>
      <c r="Y13" s="363"/>
      <c r="Z13" s="363"/>
      <c r="AA13"/>
      <c r="AB13"/>
      <c r="AC13"/>
      <c r="AD13"/>
    </row>
    <row r="14" spans="1:30" ht="12.75" customHeight="1">
      <c r="A14" s="121"/>
      <c r="B14" s="121"/>
      <c r="C14" s="121"/>
      <c r="D14" s="121"/>
      <c r="E14" s="121"/>
      <c r="F14" s="121"/>
      <c r="G14" s="121"/>
      <c r="H14" s="121"/>
      <c r="I14" s="121"/>
      <c r="J14" s="121"/>
      <c r="K14" s="121"/>
      <c r="L14" s="121"/>
      <c r="M14" s="121"/>
      <c r="N14" s="121"/>
      <c r="O14" s="121"/>
      <c r="P14" s="121"/>
      <c r="Q14" s="360"/>
      <c r="R14" s="969" t="s">
        <v>28</v>
      </c>
      <c r="S14" s="969"/>
      <c r="T14" s="969"/>
      <c r="U14" s="969"/>
      <c r="V14" s="447">
        <f>'Prod Parameters'!$F$12</f>
        <v>260</v>
      </c>
      <c r="W14" s="363"/>
      <c r="X14" s="363"/>
      <c r="Y14" s="363"/>
      <c r="Z14" s="363"/>
      <c r="AA14"/>
      <c r="AB14"/>
      <c r="AC14"/>
      <c r="AD14"/>
    </row>
    <row r="15" spans="1:30" ht="12.75" customHeight="1">
      <c r="A15" s="121"/>
      <c r="B15" s="121"/>
      <c r="C15" s="121"/>
      <c r="D15" s="121"/>
      <c r="E15" s="121"/>
      <c r="F15" s="121"/>
      <c r="G15" s="121"/>
      <c r="H15" s="121"/>
      <c r="I15" s="121"/>
      <c r="J15" s="121"/>
      <c r="K15" s="121"/>
      <c r="L15" s="121"/>
      <c r="M15" s="121"/>
      <c r="N15" s="121"/>
      <c r="O15" s="121"/>
      <c r="P15" s="121"/>
      <c r="Q15" s="360"/>
      <c r="R15" s="969" t="s">
        <v>29</v>
      </c>
      <c r="S15" s="969"/>
      <c r="T15" s="969"/>
      <c r="U15" s="969"/>
      <c r="V15" s="447">
        <f>'Prod Parameters'!$F$13</f>
        <v>30</v>
      </c>
      <c r="W15" s="363"/>
      <c r="X15" s="363"/>
      <c r="Y15" s="363"/>
      <c r="Z15" s="363"/>
      <c r="AA15"/>
      <c r="AB15"/>
      <c r="AC15"/>
      <c r="AD15"/>
    </row>
    <row r="16" spans="1:30" ht="12.75" customHeight="1">
      <c r="A16" s="121"/>
      <c r="B16" s="121"/>
      <c r="C16" s="121"/>
      <c r="D16" s="121"/>
      <c r="E16" s="121"/>
      <c r="F16" s="121"/>
      <c r="G16" s="121"/>
      <c r="H16" s="121"/>
      <c r="I16" s="121"/>
      <c r="J16" s="121"/>
      <c r="K16" s="121"/>
      <c r="L16" s="121"/>
      <c r="M16" s="121"/>
      <c r="N16" s="121"/>
      <c r="O16" s="121"/>
      <c r="P16" s="121"/>
      <c r="Q16" s="360"/>
      <c r="R16" s="968" t="s">
        <v>30</v>
      </c>
      <c r="S16" s="968"/>
      <c r="T16" s="968"/>
      <c r="U16" s="968"/>
      <c r="V16" s="447">
        <f>'Prod Parameters'!$F$14</f>
        <v>230</v>
      </c>
      <c r="W16" s="363"/>
      <c r="X16" s="363"/>
      <c r="Y16" s="363"/>
      <c r="Z16" s="363"/>
      <c r="AA16"/>
      <c r="AB16"/>
      <c r="AC16"/>
      <c r="AD16"/>
    </row>
    <row r="17" spans="1:30" ht="12.75" customHeight="1">
      <c r="A17" s="121"/>
      <c r="B17" s="121"/>
      <c r="C17" s="121"/>
      <c r="D17" s="121"/>
      <c r="E17" s="121"/>
      <c r="F17" s="121"/>
      <c r="G17" s="121"/>
      <c r="H17" s="121"/>
      <c r="I17" s="121"/>
      <c r="J17" s="121"/>
      <c r="K17" s="121"/>
      <c r="L17" s="121"/>
      <c r="M17" s="121"/>
      <c r="N17" s="121"/>
      <c r="O17" s="121"/>
      <c r="P17" s="121"/>
      <c r="Q17" s="360"/>
      <c r="R17" s="363"/>
      <c r="S17" s="363"/>
      <c r="T17" s="363"/>
      <c r="U17" s="363"/>
      <c r="V17" s="363"/>
      <c r="W17" s="363"/>
      <c r="X17" s="363"/>
      <c r="Y17" s="363"/>
      <c r="Z17" s="363"/>
      <c r="AA17"/>
      <c r="AB17"/>
      <c r="AC17"/>
      <c r="AD17"/>
    </row>
    <row r="18" spans="1:30" ht="12.75" customHeight="1">
      <c r="A18" s="121"/>
      <c r="B18" s="121"/>
      <c r="C18" s="121"/>
      <c r="D18" s="121"/>
      <c r="E18" s="121"/>
      <c r="F18" s="121"/>
      <c r="G18" s="121"/>
      <c r="H18" s="121"/>
      <c r="I18" s="121"/>
      <c r="J18" s="121"/>
      <c r="K18" s="121"/>
      <c r="L18" s="121"/>
      <c r="M18" s="121"/>
      <c r="N18" s="121"/>
      <c r="O18" s="121"/>
      <c r="P18" s="121"/>
      <c r="Q18" s="360">
        <v>1.2</v>
      </c>
      <c r="R18" s="364" t="s">
        <v>19</v>
      </c>
      <c r="S18" s="363"/>
      <c r="T18" s="363"/>
      <c r="U18" s="363"/>
      <c r="V18" s="363"/>
      <c r="W18" s="363"/>
      <c r="X18" s="363"/>
      <c r="Y18" s="363"/>
      <c r="Z18" s="363"/>
      <c r="AA18"/>
      <c r="AB18"/>
      <c r="AC18"/>
      <c r="AD18"/>
    </row>
    <row r="19" spans="1:30" ht="12.75" customHeight="1">
      <c r="A19" s="121"/>
      <c r="B19" s="121"/>
      <c r="C19" s="121"/>
      <c r="D19" s="121"/>
      <c r="E19" s="121"/>
      <c r="F19" s="121"/>
      <c r="G19" s="121"/>
      <c r="H19" s="121"/>
      <c r="I19" s="121"/>
      <c r="J19" s="121"/>
      <c r="K19" s="121"/>
      <c r="L19" s="121"/>
      <c r="M19" s="121"/>
      <c r="N19" s="121"/>
      <c r="O19" s="121"/>
      <c r="P19" s="121"/>
      <c r="Q19" s="360"/>
      <c r="R19" s="969" t="s">
        <v>314</v>
      </c>
      <c r="S19" s="969"/>
      <c r="T19" s="969"/>
      <c r="U19" s="969"/>
      <c r="V19" s="447">
        <f>'Prod Parameters'!$F$17</f>
        <v>160</v>
      </c>
      <c r="W19" s="363"/>
      <c r="X19" s="363"/>
      <c r="Y19" s="363"/>
      <c r="Z19" s="363"/>
      <c r="AA19"/>
      <c r="AB19"/>
      <c r="AC19"/>
      <c r="AD19"/>
    </row>
    <row r="20" spans="1:30" ht="12.75" customHeight="1">
      <c r="A20" s="121"/>
      <c r="B20" s="121"/>
      <c r="C20" s="121"/>
      <c r="D20" s="121"/>
      <c r="E20" s="121"/>
      <c r="F20" s="121"/>
      <c r="G20" s="121"/>
      <c r="H20" s="121"/>
      <c r="I20" s="121"/>
      <c r="J20" s="121"/>
      <c r="K20" s="121"/>
      <c r="L20" s="121"/>
      <c r="M20" s="121"/>
      <c r="N20" s="121"/>
      <c r="O20" s="121"/>
      <c r="P20" s="121"/>
      <c r="Q20" s="360"/>
      <c r="R20" s="969" t="s">
        <v>31</v>
      </c>
      <c r="S20" s="969"/>
      <c r="T20" s="969"/>
      <c r="U20" s="969"/>
      <c r="V20" s="447">
        <f>'Prod Parameters'!$F$18</f>
        <v>1.2</v>
      </c>
      <c r="W20" s="363"/>
      <c r="X20" s="363"/>
      <c r="Y20" s="363"/>
      <c r="Z20" s="363"/>
      <c r="AA20"/>
      <c r="AB20"/>
      <c r="AC20"/>
      <c r="AD20"/>
    </row>
    <row r="21" spans="1:30" ht="12.75" customHeight="1">
      <c r="A21" s="121"/>
      <c r="B21" s="121"/>
      <c r="C21" s="121"/>
      <c r="D21" s="121"/>
      <c r="E21" s="121"/>
      <c r="F21" s="121"/>
      <c r="G21" s="121"/>
      <c r="H21" s="121"/>
      <c r="I21" s="121"/>
      <c r="J21" s="121"/>
      <c r="K21" s="121"/>
      <c r="L21" s="121"/>
      <c r="M21" s="121"/>
      <c r="N21" s="121"/>
      <c r="O21" s="121"/>
      <c r="P21" s="121"/>
      <c r="Q21" s="360"/>
      <c r="R21" s="969" t="s">
        <v>199</v>
      </c>
      <c r="S21" s="969"/>
      <c r="T21" s="969"/>
      <c r="U21" s="969"/>
      <c r="V21" s="447">
        <f>'Prod Parameters'!$F$19</f>
        <v>4</v>
      </c>
      <c r="W21" s="363"/>
      <c r="X21" s="363"/>
      <c r="Y21" s="363"/>
      <c r="Z21" s="363"/>
      <c r="AA21"/>
      <c r="AB21"/>
      <c r="AC21"/>
      <c r="AD21"/>
    </row>
    <row r="22" spans="1:30" ht="12.75" customHeight="1">
      <c r="A22" s="121"/>
      <c r="B22" s="121"/>
      <c r="C22" s="121"/>
      <c r="D22" s="121"/>
      <c r="E22" s="121"/>
      <c r="F22" s="121"/>
      <c r="G22" s="121"/>
      <c r="H22" s="121"/>
      <c r="I22" s="121"/>
      <c r="J22" s="121"/>
      <c r="K22" s="121"/>
      <c r="L22" s="121"/>
      <c r="M22" s="121"/>
      <c r="N22" s="121"/>
      <c r="O22" s="121"/>
      <c r="P22" s="121"/>
      <c r="Q22" s="360"/>
      <c r="R22" s="969" t="s">
        <v>20</v>
      </c>
      <c r="S22" s="969"/>
      <c r="T22" s="969"/>
      <c r="U22" s="969"/>
      <c r="V22" s="447">
        <f>'Prod Parameters'!$F$20</f>
        <v>40</v>
      </c>
      <c r="W22" s="363"/>
      <c r="X22" s="363"/>
      <c r="Y22" s="363"/>
      <c r="Z22" s="363"/>
      <c r="AA22"/>
      <c r="AB22"/>
      <c r="AC22"/>
      <c r="AD22"/>
    </row>
    <row r="23" spans="1:30" ht="12.75" customHeight="1">
      <c r="A23" s="121"/>
      <c r="B23" s="121"/>
      <c r="C23" s="121"/>
      <c r="D23" s="121"/>
      <c r="E23" s="121"/>
      <c r="F23" s="121"/>
      <c r="G23" s="121"/>
      <c r="H23" s="121"/>
      <c r="I23" s="121"/>
      <c r="J23" s="121"/>
      <c r="K23" s="121"/>
      <c r="L23" s="121"/>
      <c r="M23" s="121"/>
      <c r="N23" s="121"/>
      <c r="O23" s="121"/>
      <c r="P23" s="121"/>
      <c r="Q23" s="360"/>
      <c r="R23" s="969" t="s">
        <v>310</v>
      </c>
      <c r="S23" s="969"/>
      <c r="T23" s="969"/>
      <c r="U23" s="969"/>
      <c r="V23" s="447">
        <f>'Prod Parameters'!$F$21</f>
        <v>160</v>
      </c>
      <c r="W23" s="363"/>
      <c r="X23" s="363"/>
      <c r="Y23" s="363"/>
      <c r="Z23" s="363"/>
      <c r="AA23"/>
      <c r="AB23"/>
      <c r="AC23"/>
      <c r="AD23"/>
    </row>
    <row r="24" spans="1:30" ht="12.75" customHeight="1">
      <c r="A24" s="121"/>
      <c r="B24" s="121"/>
      <c r="C24" s="121"/>
      <c r="D24" s="121"/>
      <c r="E24" s="121"/>
      <c r="F24" s="121"/>
      <c r="G24" s="121"/>
      <c r="H24" s="121"/>
      <c r="I24" s="121"/>
      <c r="J24" s="121"/>
      <c r="K24" s="121"/>
      <c r="L24" s="121"/>
      <c r="M24" s="121"/>
      <c r="N24" s="121"/>
      <c r="O24" s="121"/>
      <c r="P24" s="121"/>
      <c r="Q24" s="360"/>
      <c r="R24" s="969" t="s">
        <v>315</v>
      </c>
      <c r="S24" s="969"/>
      <c r="T24" s="969"/>
      <c r="U24" s="969"/>
      <c r="V24" s="549">
        <f>'Prod Parameters'!$F$22</f>
        <v>6400</v>
      </c>
      <c r="W24" s="363"/>
      <c r="X24" s="363"/>
      <c r="Y24" s="363"/>
      <c r="Z24" s="363"/>
      <c r="AA24"/>
      <c r="AB24"/>
      <c r="AC24"/>
      <c r="AD24"/>
    </row>
    <row r="25" spans="1:30" ht="12.75" customHeight="1">
      <c r="A25" s="121"/>
      <c r="B25" s="121"/>
      <c r="C25" s="121"/>
      <c r="D25" s="121"/>
      <c r="E25" s="121"/>
      <c r="F25" s="121"/>
      <c r="G25" s="121"/>
      <c r="H25" s="121"/>
      <c r="I25" s="121"/>
      <c r="J25" s="121"/>
      <c r="K25" s="121"/>
      <c r="L25" s="121"/>
      <c r="M25" s="121"/>
      <c r="N25" s="121"/>
      <c r="O25" s="121"/>
      <c r="P25" s="121"/>
      <c r="Q25" s="360"/>
      <c r="R25" s="969" t="s">
        <v>187</v>
      </c>
      <c r="S25" s="969"/>
      <c r="T25" s="969"/>
      <c r="U25" s="969"/>
      <c r="V25" s="549">
        <f>'Prod Parameters'!$F$23</f>
        <v>7680</v>
      </c>
      <c r="W25" s="363"/>
      <c r="X25" s="363"/>
      <c r="Y25" s="363"/>
      <c r="Z25" s="363"/>
      <c r="AA25"/>
      <c r="AB25"/>
      <c r="AC25"/>
      <c r="AD25"/>
    </row>
    <row r="26" spans="1:30" ht="12.75" customHeight="1">
      <c r="A26" s="121"/>
      <c r="B26" s="121"/>
      <c r="C26" s="121"/>
      <c r="D26" s="121"/>
      <c r="E26" s="121"/>
      <c r="F26" s="121"/>
      <c r="G26" s="121"/>
      <c r="H26" s="121"/>
      <c r="I26" s="121"/>
      <c r="J26" s="121"/>
      <c r="K26" s="121"/>
      <c r="L26" s="121"/>
      <c r="M26" s="121"/>
      <c r="N26" s="121"/>
      <c r="O26" s="121"/>
      <c r="P26" s="121"/>
      <c r="Q26" s="360"/>
      <c r="R26" s="969" t="s">
        <v>200</v>
      </c>
      <c r="S26" s="969"/>
      <c r="T26" s="969"/>
      <c r="U26" s="969"/>
      <c r="V26" s="549">
        <f>'Prod Parameters'!$F$24</f>
        <v>176640</v>
      </c>
      <c r="W26" s="363"/>
      <c r="X26" s="363"/>
      <c r="Y26" s="363"/>
      <c r="Z26" s="363"/>
      <c r="AA26"/>
      <c r="AB26"/>
      <c r="AC26"/>
      <c r="AD26"/>
    </row>
    <row r="27" spans="1:30" ht="12.75" customHeight="1">
      <c r="A27" s="121"/>
      <c r="B27" s="121"/>
      <c r="C27" s="121"/>
      <c r="D27" s="121"/>
      <c r="E27" s="121"/>
      <c r="F27" s="121"/>
      <c r="G27" s="121"/>
      <c r="H27" s="121"/>
      <c r="I27" s="121"/>
      <c r="J27" s="121"/>
      <c r="K27" s="121"/>
      <c r="L27" s="121"/>
      <c r="M27" s="121"/>
      <c r="N27" s="121"/>
      <c r="O27" s="121"/>
      <c r="P27" s="121"/>
      <c r="Q27" s="360"/>
      <c r="R27" s="363"/>
      <c r="S27" s="363"/>
      <c r="T27" s="363"/>
      <c r="U27" s="363"/>
      <c r="V27" s="363"/>
      <c r="W27" s="363"/>
      <c r="X27" s="363"/>
      <c r="Y27" s="363"/>
      <c r="Z27" s="363"/>
      <c r="AA27"/>
      <c r="AB27"/>
      <c r="AC27"/>
      <c r="AD27"/>
    </row>
    <row r="28" spans="1:30" ht="12.75" customHeight="1">
      <c r="A28" s="121"/>
      <c r="B28" s="121"/>
      <c r="C28" s="121"/>
      <c r="D28" s="121"/>
      <c r="E28" s="121"/>
      <c r="F28" s="121"/>
      <c r="G28" s="121"/>
      <c r="H28" s="121"/>
      <c r="I28" s="121"/>
      <c r="J28" s="121"/>
      <c r="K28" s="121"/>
      <c r="L28" s="121"/>
      <c r="M28" s="121"/>
      <c r="N28" s="121"/>
      <c r="O28" s="121"/>
      <c r="P28" s="121"/>
      <c r="Q28" s="385" t="s">
        <v>33</v>
      </c>
      <c r="R28" s="1008" t="s">
        <v>821</v>
      </c>
      <c r="S28" s="1008"/>
      <c r="T28" s="1008"/>
      <c r="U28" s="1008"/>
      <c r="V28" s="1008"/>
      <c r="W28" s="1008"/>
      <c r="X28" s="1008"/>
      <c r="Y28" s="1008"/>
      <c r="Z28" s="536"/>
      <c r="AA28"/>
      <c r="AB28"/>
      <c r="AC28"/>
      <c r="AD28"/>
    </row>
    <row r="29" spans="1:30" ht="12.75" customHeight="1">
      <c r="A29" s="121"/>
      <c r="B29" s="121"/>
      <c r="C29" s="121"/>
      <c r="D29" s="121"/>
      <c r="E29" s="121"/>
      <c r="F29" s="121"/>
      <c r="G29" s="121"/>
      <c r="H29" s="121"/>
      <c r="I29" s="121"/>
      <c r="J29" s="121"/>
      <c r="K29" s="121"/>
      <c r="L29" s="121"/>
      <c r="M29" s="121"/>
      <c r="N29" s="121"/>
      <c r="O29" s="121"/>
      <c r="P29" s="121"/>
      <c r="Q29" s="546"/>
      <c r="R29" s="363"/>
      <c r="S29" s="363"/>
      <c r="T29" s="363"/>
      <c r="U29" s="363"/>
      <c r="V29" s="363"/>
      <c r="W29" s="363"/>
      <c r="X29" s="363"/>
      <c r="Y29" s="363"/>
      <c r="Z29" s="363"/>
      <c r="AA29"/>
      <c r="AB29"/>
      <c r="AC29"/>
      <c r="AD29"/>
    </row>
    <row r="30" spans="1:30" ht="12.75" customHeight="1">
      <c r="A30" s="121"/>
      <c r="B30" s="121"/>
      <c r="C30" s="121"/>
      <c r="D30" s="121"/>
      <c r="E30" s="121"/>
      <c r="F30" s="121"/>
      <c r="G30" s="121"/>
      <c r="H30" s="121"/>
      <c r="I30" s="121"/>
      <c r="J30" s="121"/>
      <c r="K30" s="121"/>
      <c r="L30" s="121"/>
      <c r="M30" s="121"/>
      <c r="N30" s="121"/>
      <c r="O30" s="121"/>
      <c r="P30" s="121"/>
      <c r="Q30" s="546">
        <v>2.1</v>
      </c>
      <c r="R30" s="363" t="s">
        <v>831</v>
      </c>
      <c r="S30" s="363"/>
      <c r="T30" s="363"/>
      <c r="U30" s="550"/>
      <c r="V30" s="550"/>
      <c r="W30" s="550"/>
      <c r="X30" s="550"/>
      <c r="Y30" s="551"/>
      <c r="Z30" s="551"/>
      <c r="AA30"/>
      <c r="AB30"/>
      <c r="AC30"/>
      <c r="AD30"/>
    </row>
    <row r="31" spans="1:30" ht="12.75" customHeight="1">
      <c r="A31" s="121"/>
      <c r="B31" s="121"/>
      <c r="C31" s="121"/>
      <c r="D31" s="121"/>
      <c r="E31" s="121"/>
      <c r="F31" s="121"/>
      <c r="G31" s="121"/>
      <c r="H31" s="121"/>
      <c r="I31" s="121"/>
      <c r="J31" s="121"/>
      <c r="K31" s="121"/>
      <c r="L31" s="121"/>
      <c r="M31" s="121"/>
      <c r="N31" s="121"/>
      <c r="O31" s="121"/>
      <c r="P31" s="121"/>
      <c r="Q31" s="546"/>
      <c r="R31" s="998" t="s">
        <v>77</v>
      </c>
      <c r="S31" s="999"/>
      <c r="T31" s="1000"/>
      <c r="U31" s="1019" t="s">
        <v>824</v>
      </c>
      <c r="V31" s="1019" t="s">
        <v>828</v>
      </c>
      <c r="W31" s="1019" t="s">
        <v>826</v>
      </c>
      <c r="X31" s="1019" t="s">
        <v>23</v>
      </c>
      <c r="Y31" s="552"/>
      <c r="Z31" s="552"/>
      <c r="AA31"/>
      <c r="AB31"/>
      <c r="AC31"/>
      <c r="AD31"/>
    </row>
    <row r="32" spans="1:30" ht="12.75" customHeight="1">
      <c r="A32" s="121"/>
      <c r="B32" s="121"/>
      <c r="C32" s="121"/>
      <c r="D32" s="121"/>
      <c r="E32" s="121"/>
      <c r="F32" s="121"/>
      <c r="G32" s="121"/>
      <c r="H32" s="121"/>
      <c r="I32" s="121"/>
      <c r="J32" s="121"/>
      <c r="K32" s="121"/>
      <c r="L32" s="121"/>
      <c r="M32" s="121"/>
      <c r="N32" s="121"/>
      <c r="O32" s="121"/>
      <c r="P32" s="121"/>
      <c r="Q32" s="546"/>
      <c r="R32" s="1001"/>
      <c r="S32" s="1002"/>
      <c r="T32" s="1003"/>
      <c r="U32" s="1019"/>
      <c r="V32" s="1019"/>
      <c r="W32" s="1019"/>
      <c r="X32" s="1019"/>
      <c r="Y32" s="364"/>
      <c r="Z32" s="364"/>
      <c r="AA32"/>
      <c r="AB32"/>
      <c r="AC32"/>
      <c r="AD32"/>
    </row>
    <row r="33" spans="1:30" ht="12.75" customHeight="1">
      <c r="A33" s="121"/>
      <c r="B33" s="121"/>
      <c r="C33" s="121"/>
      <c r="D33" s="121"/>
      <c r="E33" s="121"/>
      <c r="F33" s="121"/>
      <c r="G33" s="121"/>
      <c r="H33" s="121"/>
      <c r="I33" s="121"/>
      <c r="J33" s="121"/>
      <c r="K33" s="121"/>
      <c r="L33" s="121"/>
      <c r="M33" s="121"/>
      <c r="N33" s="121"/>
      <c r="O33" s="121"/>
      <c r="P33" s="121"/>
      <c r="Q33" s="546"/>
      <c r="R33" s="1020" t="s">
        <v>500</v>
      </c>
      <c r="S33" s="1020"/>
      <c r="T33" s="1020"/>
      <c r="U33" s="369">
        <v>23.9</v>
      </c>
      <c r="V33" s="369">
        <f>'Lookup Properties'!$C$7</f>
        <v>15.4</v>
      </c>
      <c r="W33" s="369">
        <f>'Lookup Properties'!$D$7</f>
        <v>4.8</v>
      </c>
      <c r="X33" s="553">
        <f>SUM(U33:W33)</f>
        <v>44.099999999999994</v>
      </c>
      <c r="Y33" s="364"/>
      <c r="Z33" s="364"/>
      <c r="AA33"/>
      <c r="AB33"/>
      <c r="AC33"/>
      <c r="AD33"/>
    </row>
    <row r="34" spans="1:30" ht="12.75" customHeight="1">
      <c r="A34" s="121"/>
      <c r="B34" s="121"/>
      <c r="C34" s="121"/>
      <c r="D34" s="121"/>
      <c r="E34" s="121"/>
      <c r="F34" s="121"/>
      <c r="G34" s="121"/>
      <c r="H34" s="121"/>
      <c r="I34" s="121"/>
      <c r="J34" s="121"/>
      <c r="K34" s="121"/>
      <c r="L34" s="121"/>
      <c r="M34" s="121"/>
      <c r="N34" s="121"/>
      <c r="O34" s="121"/>
      <c r="P34" s="121"/>
      <c r="Q34" s="546"/>
      <c r="R34" s="1017" t="s">
        <v>22</v>
      </c>
      <c r="S34" s="1017"/>
      <c r="T34" s="1017"/>
      <c r="U34" s="369">
        <f>'Lookup Properties'!$B$5</f>
        <v>22.35</v>
      </c>
      <c r="V34" s="369">
        <f>'Lookup Properties'!$C$5</f>
        <v>17.399999999999999</v>
      </c>
      <c r="W34" s="369">
        <f>'Lookup Properties'!$D$5</f>
        <v>5</v>
      </c>
      <c r="X34" s="553">
        <f>SUM(U34:W34)</f>
        <v>44.75</v>
      </c>
      <c r="Y34" s="364"/>
      <c r="Z34" s="364"/>
      <c r="AA34"/>
      <c r="AB34"/>
      <c r="AC34"/>
      <c r="AD34"/>
    </row>
    <row r="35" spans="1:30" ht="12.75" customHeight="1">
      <c r="A35" s="121"/>
      <c r="B35" s="121"/>
      <c r="C35" s="121"/>
      <c r="D35" s="121"/>
      <c r="E35" s="121"/>
      <c r="F35" s="121"/>
      <c r="G35" s="121"/>
      <c r="H35" s="121"/>
      <c r="I35" s="121"/>
      <c r="J35" s="121"/>
      <c r="K35" s="121"/>
      <c r="L35" s="121"/>
      <c r="M35" s="121"/>
      <c r="N35" s="121"/>
      <c r="O35" s="121"/>
      <c r="P35" s="121"/>
      <c r="Q35" s="546"/>
      <c r="R35" s="1018" t="s">
        <v>579</v>
      </c>
      <c r="S35" s="1018"/>
      <c r="T35" s="1018"/>
      <c r="U35" s="369">
        <f>'Lookup Properties'!$B$6</f>
        <v>22.15</v>
      </c>
      <c r="V35" s="369">
        <f>'Lookup Properties'!$C$6</f>
        <v>18.149999999999999</v>
      </c>
      <c r="W35" s="369">
        <f>'Lookup Properties'!$D$6</f>
        <v>5</v>
      </c>
      <c r="X35" s="553">
        <f>SUM(U35:W35)</f>
        <v>45.3</v>
      </c>
      <c r="Y35" s="364"/>
      <c r="Z35" s="364"/>
      <c r="AA35"/>
      <c r="AB35"/>
      <c r="AC35"/>
      <c r="AD35"/>
    </row>
    <row r="36" spans="1:30" ht="12.75" customHeight="1">
      <c r="A36" s="121"/>
      <c r="B36" s="121"/>
      <c r="C36" s="121"/>
      <c r="D36" s="121"/>
      <c r="E36" s="121"/>
      <c r="F36" s="121"/>
      <c r="G36" s="121"/>
      <c r="H36" s="121"/>
      <c r="I36" s="121"/>
      <c r="J36" s="121"/>
      <c r="K36" s="121"/>
      <c r="L36" s="121"/>
      <c r="M36" s="121"/>
      <c r="N36" s="121"/>
      <c r="O36" s="121"/>
      <c r="P36" s="121"/>
      <c r="Q36" s="546"/>
      <c r="R36" s="1016" t="s">
        <v>21</v>
      </c>
      <c r="S36" s="1016"/>
      <c r="T36" s="1016"/>
      <c r="U36" s="369">
        <f>'Lookup Properties'!$B$4</f>
        <v>21.25</v>
      </c>
      <c r="V36" s="369">
        <f>'Lookup Properties'!$C$4</f>
        <v>17.399999999999999</v>
      </c>
      <c r="W36" s="369">
        <f>'Lookup Properties'!$D$4</f>
        <v>5</v>
      </c>
      <c r="X36" s="553">
        <f>SUM(U36:W36)</f>
        <v>43.65</v>
      </c>
      <c r="Y36" s="364"/>
      <c r="Z36" s="364"/>
      <c r="AA36"/>
      <c r="AB36"/>
      <c r="AC36"/>
      <c r="AD36"/>
    </row>
    <row r="37" spans="1:30" ht="12.75" customHeight="1">
      <c r="A37" s="121"/>
      <c r="B37" s="121"/>
      <c r="C37" s="121"/>
      <c r="D37" s="121"/>
      <c r="E37" s="121"/>
      <c r="F37" s="121"/>
      <c r="G37" s="121"/>
      <c r="H37" s="121"/>
      <c r="I37" s="121"/>
      <c r="J37" s="121"/>
      <c r="K37" s="121"/>
      <c r="L37" s="121"/>
      <c r="M37" s="121"/>
      <c r="N37" s="121"/>
      <c r="O37" s="121"/>
      <c r="P37" s="121"/>
      <c r="Q37" s="364"/>
      <c r="R37" s="364"/>
      <c r="S37" s="364"/>
      <c r="T37" s="364"/>
      <c r="U37" s="555"/>
      <c r="V37" s="555"/>
      <c r="W37" s="555"/>
      <c r="X37" s="555"/>
      <c r="Y37" s="555"/>
      <c r="Z37" s="364"/>
      <c r="AA37"/>
      <c r="AB37"/>
      <c r="AC37"/>
      <c r="AD37"/>
    </row>
    <row r="38" spans="1:30" ht="12.75" customHeight="1">
      <c r="A38" s="121"/>
      <c r="B38" s="121"/>
      <c r="C38" s="121"/>
      <c r="D38" s="121"/>
      <c r="E38" s="121"/>
      <c r="F38" s="121"/>
      <c r="G38" s="121"/>
      <c r="H38" s="121"/>
      <c r="I38" s="121"/>
      <c r="J38" s="121"/>
      <c r="K38" s="121"/>
      <c r="L38" s="121"/>
      <c r="M38" s="121"/>
      <c r="N38" s="121"/>
      <c r="O38" s="121"/>
      <c r="P38" s="121"/>
      <c r="Q38" s="360">
        <v>2.2000000000000002</v>
      </c>
      <c r="R38" s="363" t="s">
        <v>832</v>
      </c>
      <c r="S38" s="363"/>
      <c r="T38" s="363"/>
      <c r="U38" s="363"/>
      <c r="V38" s="363"/>
      <c r="W38" s="363"/>
      <c r="X38" s="363"/>
      <c r="Y38" s="363"/>
      <c r="Z38" s="364"/>
      <c r="AA38"/>
      <c r="AB38"/>
      <c r="AC38"/>
      <c r="AD38"/>
    </row>
    <row r="39" spans="1:30" ht="12.75" customHeight="1">
      <c r="A39" s="121"/>
      <c r="B39" s="121"/>
      <c r="C39" s="121"/>
      <c r="D39" s="121"/>
      <c r="E39" s="121"/>
      <c r="F39" s="121"/>
      <c r="G39" s="121"/>
      <c r="H39" s="121"/>
      <c r="I39" s="121"/>
      <c r="J39" s="121"/>
      <c r="K39" s="121"/>
      <c r="L39" s="121"/>
      <c r="M39" s="121"/>
      <c r="N39" s="121"/>
      <c r="O39" s="121"/>
      <c r="P39" s="121"/>
      <c r="Q39" s="360"/>
      <c r="R39" s="998" t="s">
        <v>77</v>
      </c>
      <c r="S39" s="999"/>
      <c r="T39" s="1000"/>
      <c r="U39" s="1019" t="s">
        <v>824</v>
      </c>
      <c r="V39" s="1019" t="s">
        <v>828</v>
      </c>
      <c r="W39" s="1019" t="s">
        <v>826</v>
      </c>
      <c r="X39" s="1019" t="s">
        <v>23</v>
      </c>
      <c r="Y39" s="364"/>
      <c r="Z39" s="364"/>
      <c r="AA39"/>
      <c r="AB39"/>
      <c r="AC39"/>
      <c r="AD39"/>
    </row>
    <row r="40" spans="1:30" ht="12.75" customHeight="1">
      <c r="A40" s="121"/>
      <c r="B40" s="121"/>
      <c r="C40" s="121"/>
      <c r="D40" s="121"/>
      <c r="E40" s="121"/>
      <c r="F40" s="121"/>
      <c r="G40" s="121"/>
      <c r="H40" s="121"/>
      <c r="I40" s="121"/>
      <c r="J40" s="121"/>
      <c r="K40" s="121"/>
      <c r="L40" s="121"/>
      <c r="M40" s="121"/>
      <c r="N40" s="121"/>
      <c r="O40" s="121"/>
      <c r="P40" s="121"/>
      <c r="Q40" s="360"/>
      <c r="R40" s="1001"/>
      <c r="S40" s="1002"/>
      <c r="T40" s="1003"/>
      <c r="U40" s="1019"/>
      <c r="V40" s="1019"/>
      <c r="W40" s="1019"/>
      <c r="X40" s="1019"/>
      <c r="Y40" s="364"/>
      <c r="Z40" s="364"/>
      <c r="AA40"/>
      <c r="AB40"/>
      <c r="AC40"/>
      <c r="AD40"/>
    </row>
    <row r="41" spans="1:30" ht="12.75" customHeight="1">
      <c r="A41" s="121"/>
      <c r="B41" s="121"/>
      <c r="C41" s="121"/>
      <c r="D41" s="121"/>
      <c r="E41" s="121"/>
      <c r="F41" s="121"/>
      <c r="G41" s="121"/>
      <c r="H41" s="121"/>
      <c r="I41" s="121"/>
      <c r="J41" s="121"/>
      <c r="K41" s="121"/>
      <c r="L41" s="121"/>
      <c r="M41" s="121"/>
      <c r="N41" s="121"/>
      <c r="O41" s="121"/>
      <c r="P41" s="121"/>
      <c r="Q41" s="360"/>
      <c r="R41" s="1020" t="s">
        <v>500</v>
      </c>
      <c r="S41" s="1020"/>
      <c r="T41" s="1020"/>
      <c r="U41" s="556">
        <f>'Lookup Properties'!$B$13</f>
        <v>0.74</v>
      </c>
      <c r="V41" s="556">
        <f>'Lookup Properties'!$C$13</f>
        <v>0.78</v>
      </c>
      <c r="W41" s="556">
        <f>'Lookup Properties'!$D$13</f>
        <v>1.26</v>
      </c>
      <c r="X41" s="553">
        <f>SUM(U41:W41)</f>
        <v>2.7800000000000002</v>
      </c>
      <c r="Y41" s="364"/>
      <c r="Z41" s="364"/>
      <c r="AA41"/>
      <c r="AB41"/>
      <c r="AC41"/>
      <c r="AD41"/>
    </row>
    <row r="42" spans="1:30" ht="12.75" customHeight="1">
      <c r="A42" s="121"/>
      <c r="B42" s="121"/>
      <c r="C42" s="121"/>
      <c r="D42" s="121"/>
      <c r="E42" s="121"/>
      <c r="F42" s="121"/>
      <c r="G42" s="121"/>
      <c r="H42" s="121"/>
      <c r="I42" s="121"/>
      <c r="J42" s="121"/>
      <c r="K42" s="121"/>
      <c r="L42" s="121"/>
      <c r="M42" s="121"/>
      <c r="N42" s="121"/>
      <c r="O42" s="121"/>
      <c r="P42" s="121"/>
      <c r="Q42" s="360"/>
      <c r="R42" s="1017" t="s">
        <v>22</v>
      </c>
      <c r="S42" s="1017"/>
      <c r="T42" s="1017"/>
      <c r="U42" s="557">
        <f>'Lookup Properties'!$B$11</f>
        <v>0.71499999999999997</v>
      </c>
      <c r="V42" s="557">
        <f>'Lookup Properties'!$C$11</f>
        <v>1.03</v>
      </c>
      <c r="W42" s="557">
        <f>'Lookup Properties'!$D$11</f>
        <v>1.29</v>
      </c>
      <c r="X42" s="553">
        <f>SUM(U42:W42)</f>
        <v>3.0350000000000001</v>
      </c>
      <c r="Y42" s="364"/>
      <c r="Z42" s="364"/>
      <c r="AA42"/>
      <c r="AB42"/>
      <c r="AC42"/>
      <c r="AD42"/>
    </row>
    <row r="43" spans="1:30" ht="12.75" customHeight="1">
      <c r="A43" s="121"/>
      <c r="B43" s="121"/>
      <c r="C43" s="121"/>
      <c r="D43" s="121"/>
      <c r="E43" s="121"/>
      <c r="F43" s="121"/>
      <c r="G43" s="121"/>
      <c r="H43" s="121"/>
      <c r="I43" s="121"/>
      <c r="J43" s="121"/>
      <c r="K43" s="121"/>
      <c r="L43" s="121"/>
      <c r="M43" s="121"/>
      <c r="N43" s="121"/>
      <c r="O43" s="121"/>
      <c r="P43" s="121"/>
      <c r="Q43" s="360"/>
      <c r="R43" s="1018" t="s">
        <v>579</v>
      </c>
      <c r="S43" s="1018"/>
      <c r="T43" s="1018"/>
      <c r="U43" s="557">
        <f>'Lookup Properties'!$B$12</f>
        <v>0.755</v>
      </c>
      <c r="V43" s="557">
        <f>'Lookup Properties'!$C$12</f>
        <v>1.07</v>
      </c>
      <c r="W43" s="557">
        <f>'Lookup Properties'!$D$12</f>
        <v>1.2949999999999999</v>
      </c>
      <c r="X43" s="553">
        <f>SUM(U43:W43)</f>
        <v>3.12</v>
      </c>
      <c r="Y43" s="364"/>
      <c r="Z43" s="364"/>
      <c r="AA43"/>
      <c r="AB43"/>
      <c r="AC43"/>
      <c r="AD43"/>
    </row>
    <row r="44" spans="1:30" ht="12.75" customHeight="1">
      <c r="A44" s="121"/>
      <c r="B44" s="121"/>
      <c r="C44" s="121"/>
      <c r="D44" s="121"/>
      <c r="E44" s="121"/>
      <c r="F44" s="121"/>
      <c r="G44" s="121"/>
      <c r="H44" s="121"/>
      <c r="I44" s="121"/>
      <c r="J44" s="121"/>
      <c r="K44" s="121"/>
      <c r="L44" s="121"/>
      <c r="M44" s="121"/>
      <c r="N44" s="121"/>
      <c r="O44" s="121"/>
      <c r="P44" s="121"/>
      <c r="Q44" s="360"/>
      <c r="R44" s="1016" t="s">
        <v>21</v>
      </c>
      <c r="S44" s="1016"/>
      <c r="T44" s="1016"/>
      <c r="U44" s="557">
        <f>'Lookup Properties'!$B$10</f>
        <v>0.71</v>
      </c>
      <c r="V44" s="557">
        <f>'Lookup Properties'!$C$10</f>
        <v>1.03</v>
      </c>
      <c r="W44" s="557">
        <f>'Lookup Properties'!$D$10</f>
        <v>1.29</v>
      </c>
      <c r="X44" s="553">
        <f>SUM(U44:W44)</f>
        <v>3.0300000000000002</v>
      </c>
      <c r="Y44" s="364"/>
      <c r="Z44" s="364"/>
      <c r="AA44"/>
      <c r="AB44"/>
      <c r="AC44"/>
      <c r="AD44"/>
    </row>
    <row r="45" spans="1:30" ht="12.75" customHeight="1">
      <c r="A45" s="121"/>
      <c r="B45" s="121"/>
      <c r="C45" s="121"/>
      <c r="D45" s="121"/>
      <c r="E45" s="121"/>
      <c r="F45" s="121"/>
      <c r="G45" s="121"/>
      <c r="H45" s="121"/>
      <c r="I45" s="121"/>
      <c r="J45" s="121"/>
      <c r="K45" s="121"/>
      <c r="L45" s="121"/>
      <c r="M45" s="121"/>
      <c r="N45" s="121"/>
      <c r="O45" s="121"/>
      <c r="P45" s="121"/>
      <c r="Q45" s="364"/>
      <c r="R45" s="364"/>
      <c r="S45" s="364"/>
      <c r="T45" s="364"/>
      <c r="U45" s="555"/>
      <c r="V45" s="555"/>
      <c r="W45" s="555"/>
      <c r="X45" s="555"/>
      <c r="Y45" s="555"/>
      <c r="Z45" s="364"/>
      <c r="AA45"/>
      <c r="AB45"/>
      <c r="AC45"/>
      <c r="AD45"/>
    </row>
    <row r="46" spans="1:30" ht="12.75" customHeight="1">
      <c r="A46" s="121"/>
      <c r="B46" s="121"/>
      <c r="C46" s="121"/>
      <c r="D46" s="121"/>
      <c r="E46" s="121"/>
      <c r="F46" s="121"/>
      <c r="G46" s="121"/>
      <c r="H46" s="121"/>
      <c r="I46" s="121"/>
      <c r="J46" s="121"/>
      <c r="K46" s="121"/>
      <c r="L46" s="121"/>
      <c r="M46" s="121"/>
      <c r="N46" s="121"/>
      <c r="O46" s="121"/>
      <c r="P46" s="121"/>
      <c r="Q46" s="387" t="s">
        <v>817</v>
      </c>
      <c r="R46" s="1015" t="s">
        <v>206</v>
      </c>
      <c r="S46" s="1015"/>
      <c r="T46" s="1015"/>
      <c r="U46" s="1015"/>
      <c r="V46" s="1015"/>
      <c r="W46" s="1015"/>
      <c r="X46" s="1015"/>
      <c r="Y46" s="1015"/>
      <c r="Z46" s="536"/>
      <c r="AA46"/>
      <c r="AB46"/>
      <c r="AC46"/>
      <c r="AD46"/>
    </row>
    <row r="47" spans="1:30" ht="12.75" customHeight="1">
      <c r="A47" s="121"/>
      <c r="B47" s="121"/>
      <c r="C47" s="121"/>
      <c r="D47" s="121"/>
      <c r="E47" s="121"/>
      <c r="F47" s="121"/>
      <c r="G47" s="121"/>
      <c r="H47" s="121"/>
      <c r="I47" s="121"/>
      <c r="J47" s="121"/>
      <c r="K47" s="121"/>
      <c r="L47" s="121"/>
      <c r="M47" s="121"/>
      <c r="N47" s="121"/>
      <c r="O47" s="121"/>
      <c r="P47" s="121"/>
      <c r="Q47" s="668"/>
      <c r="R47" s="364"/>
      <c r="S47" s="364"/>
      <c r="T47" s="364"/>
      <c r="U47" s="555"/>
      <c r="V47" s="555"/>
      <c r="W47" s="555"/>
      <c r="X47" s="555"/>
      <c r="Y47" s="555"/>
      <c r="Z47" s="364"/>
      <c r="AA47"/>
      <c r="AB47"/>
      <c r="AC47"/>
      <c r="AD47"/>
    </row>
    <row r="48" spans="1:30" ht="12.75" customHeight="1">
      <c r="A48" s="121"/>
      <c r="B48" s="121"/>
      <c r="C48" s="121"/>
      <c r="D48" s="121"/>
      <c r="E48" s="121"/>
      <c r="F48" s="121"/>
      <c r="G48" s="121"/>
      <c r="H48" s="121"/>
      <c r="I48" s="121"/>
      <c r="J48" s="121"/>
      <c r="K48" s="121"/>
      <c r="L48" s="121"/>
      <c r="M48" s="121"/>
      <c r="N48" s="121"/>
      <c r="O48" s="121"/>
      <c r="P48" s="121"/>
      <c r="Q48" s="668" t="s">
        <v>196</v>
      </c>
      <c r="R48" s="364" t="s">
        <v>207</v>
      </c>
      <c r="S48" s="364"/>
      <c r="T48" s="364"/>
      <c r="U48" s="555"/>
      <c r="V48" s="555"/>
      <c r="W48" s="555"/>
      <c r="X48" s="555"/>
      <c r="Y48" s="555"/>
      <c r="Z48" s="364"/>
      <c r="AA48"/>
      <c r="AB48"/>
      <c r="AC48"/>
      <c r="AD48"/>
    </row>
    <row r="49" spans="1:30" ht="12.75" customHeight="1">
      <c r="A49" s="121"/>
      <c r="B49" s="121"/>
      <c r="C49" s="121"/>
      <c r="D49" s="121"/>
      <c r="E49" s="121"/>
      <c r="F49" s="121"/>
      <c r="G49" s="121"/>
      <c r="H49" s="121"/>
      <c r="I49" s="121"/>
      <c r="J49" s="121"/>
      <c r="K49" s="121"/>
      <c r="L49" s="121"/>
      <c r="M49" s="121"/>
      <c r="N49" s="121"/>
      <c r="O49" s="121"/>
      <c r="P49" s="121"/>
      <c r="Q49" s="364"/>
      <c r="R49" s="962" t="s">
        <v>678</v>
      </c>
      <c r="S49" s="963"/>
      <c r="T49" s="964"/>
      <c r="U49" s="949" t="s">
        <v>500</v>
      </c>
      <c r="V49" s="938" t="s">
        <v>22</v>
      </c>
      <c r="W49" s="940" t="s">
        <v>579</v>
      </c>
      <c r="X49" s="942" t="s">
        <v>21</v>
      </c>
      <c r="Y49" s="361"/>
      <c r="Z49" s="364"/>
      <c r="AA49"/>
      <c r="AB49"/>
      <c r="AC49"/>
      <c r="AD49"/>
    </row>
    <row r="50" spans="1:30" ht="12.75" customHeight="1">
      <c r="A50" s="121"/>
      <c r="B50" s="121"/>
      <c r="C50" s="121"/>
      <c r="D50" s="121"/>
      <c r="E50" s="121"/>
      <c r="F50" s="121"/>
      <c r="G50" s="121"/>
      <c r="H50" s="121"/>
      <c r="I50" s="121"/>
      <c r="J50" s="121"/>
      <c r="K50" s="121"/>
      <c r="L50" s="121"/>
      <c r="M50" s="121"/>
      <c r="N50" s="121"/>
      <c r="O50" s="121"/>
      <c r="P50" s="121"/>
      <c r="Q50" s="364"/>
      <c r="R50" s="965"/>
      <c r="S50" s="966"/>
      <c r="T50" s="967"/>
      <c r="U50" s="950"/>
      <c r="V50" s="939"/>
      <c r="W50" s="941"/>
      <c r="X50" s="943"/>
      <c r="Y50" s="361"/>
      <c r="Z50" s="364"/>
      <c r="AA50"/>
      <c r="AB50"/>
      <c r="AC50"/>
      <c r="AD50"/>
    </row>
    <row r="51" spans="1:30" ht="12.75" customHeight="1">
      <c r="A51" s="121"/>
      <c r="B51" s="121"/>
      <c r="C51" s="121"/>
      <c r="D51" s="121"/>
      <c r="E51" s="121"/>
      <c r="F51" s="121"/>
      <c r="G51" s="121"/>
      <c r="H51" s="121"/>
      <c r="I51" s="121"/>
      <c r="J51" s="121"/>
      <c r="K51" s="121"/>
      <c r="L51" s="121"/>
      <c r="M51" s="121"/>
      <c r="N51" s="121"/>
      <c r="O51" s="121"/>
      <c r="P51" s="121"/>
      <c r="Q51" s="364"/>
      <c r="R51" s="969" t="s">
        <v>210</v>
      </c>
      <c r="S51" s="969"/>
      <c r="T51" s="969"/>
      <c r="U51" s="560">
        <v>0.3</v>
      </c>
      <c r="V51" s="537">
        <f>VLOOKUP($V$5,'Lookup Penetration Rate'!$B$8:$E$208,3)</f>
        <v>0.3</v>
      </c>
      <c r="W51" s="537">
        <f>VLOOKUP($V$5,'Lookup Penetration Rate'!$B$8:$E$208,4)</f>
        <v>0.4</v>
      </c>
      <c r="X51" s="537">
        <f>VLOOKUP($V$5,'Lookup Penetration Rate'!$B$8:$E$208,2)</f>
        <v>0.45</v>
      </c>
      <c r="Y51" s="361"/>
      <c r="Z51" s="364"/>
      <c r="AA51"/>
      <c r="AB51"/>
      <c r="AC51"/>
      <c r="AD51"/>
    </row>
    <row r="52" spans="1:30" ht="12.75" customHeight="1">
      <c r="A52" s="121"/>
      <c r="B52" s="121"/>
      <c r="C52" s="121"/>
      <c r="D52" s="121"/>
      <c r="E52" s="121"/>
      <c r="F52" s="121"/>
      <c r="G52" s="121"/>
      <c r="H52" s="121"/>
      <c r="I52" s="121"/>
      <c r="J52" s="121"/>
      <c r="K52" s="121"/>
      <c r="L52" s="121"/>
      <c r="M52" s="121"/>
      <c r="N52" s="121"/>
      <c r="O52" s="121"/>
      <c r="P52" s="121"/>
      <c r="Q52" s="364"/>
      <c r="R52" s="364"/>
      <c r="S52" s="364"/>
      <c r="T52" s="364"/>
      <c r="U52" s="555"/>
      <c r="V52" s="555"/>
      <c r="W52" s="555"/>
      <c r="X52" s="555"/>
      <c r="Y52" s="555"/>
      <c r="Z52" s="364"/>
      <c r="AA52"/>
      <c r="AB52"/>
      <c r="AC52"/>
      <c r="AD52"/>
    </row>
    <row r="53" spans="1:30" ht="12.75" customHeight="1">
      <c r="A53" s="121"/>
      <c r="B53" s="121"/>
      <c r="C53" s="121"/>
      <c r="D53" s="121"/>
      <c r="E53" s="121"/>
      <c r="F53" s="121"/>
      <c r="G53" s="121"/>
      <c r="H53" s="121"/>
      <c r="I53" s="121"/>
      <c r="J53" s="121"/>
      <c r="K53" s="121"/>
      <c r="L53" s="121"/>
      <c r="M53" s="121"/>
      <c r="N53" s="121"/>
      <c r="O53" s="121"/>
      <c r="P53" s="121"/>
      <c r="Q53" s="668" t="s">
        <v>197</v>
      </c>
      <c r="R53" s="364" t="s">
        <v>208</v>
      </c>
      <c r="S53" s="364"/>
      <c r="T53" s="364"/>
      <c r="U53" s="555"/>
      <c r="V53" s="555"/>
      <c r="W53" s="555"/>
      <c r="X53" s="555"/>
      <c r="Y53" s="555"/>
      <c r="Z53" s="364"/>
      <c r="AA53"/>
      <c r="AB53"/>
      <c r="AC53"/>
      <c r="AD53"/>
    </row>
    <row r="54" spans="1:30" ht="12.75" customHeight="1">
      <c r="A54" s="121"/>
      <c r="B54" s="121"/>
      <c r="C54" s="121"/>
      <c r="D54" s="121"/>
      <c r="E54" s="121"/>
      <c r="F54" s="121"/>
      <c r="G54" s="121"/>
      <c r="H54" s="121"/>
      <c r="I54" s="121"/>
      <c r="J54" s="121"/>
      <c r="K54" s="121"/>
      <c r="L54" s="121"/>
      <c r="M54" s="121"/>
      <c r="N54" s="121"/>
      <c r="O54" s="121"/>
      <c r="P54" s="121"/>
      <c r="Q54" s="668"/>
      <c r="R54" s="962" t="s">
        <v>678</v>
      </c>
      <c r="S54" s="963"/>
      <c r="T54" s="964"/>
      <c r="U54" s="949" t="s">
        <v>500</v>
      </c>
      <c r="V54" s="938" t="s">
        <v>22</v>
      </c>
      <c r="W54" s="940" t="s">
        <v>579</v>
      </c>
      <c r="X54" s="942" t="s">
        <v>21</v>
      </c>
      <c r="Y54" s="361"/>
      <c r="Z54" s="364"/>
      <c r="AA54"/>
      <c r="AB54"/>
      <c r="AC54"/>
      <c r="AD54"/>
    </row>
    <row r="55" spans="1:30" ht="12.75" customHeight="1">
      <c r="A55" s="121"/>
      <c r="B55" s="121"/>
      <c r="C55" s="121"/>
      <c r="D55" s="121"/>
      <c r="E55" s="121"/>
      <c r="F55" s="121"/>
      <c r="G55" s="121"/>
      <c r="H55" s="121"/>
      <c r="I55" s="121"/>
      <c r="J55" s="121"/>
      <c r="K55" s="121"/>
      <c r="L55" s="121"/>
      <c r="M55" s="121"/>
      <c r="N55" s="121"/>
      <c r="O55" s="121"/>
      <c r="P55" s="121"/>
      <c r="Q55" s="668"/>
      <c r="R55" s="965"/>
      <c r="S55" s="966"/>
      <c r="T55" s="967"/>
      <c r="U55" s="950"/>
      <c r="V55" s="939"/>
      <c r="W55" s="941"/>
      <c r="X55" s="943"/>
      <c r="Y55" s="361"/>
      <c r="Z55" s="364"/>
      <c r="AA55"/>
      <c r="AB55"/>
      <c r="AC55"/>
      <c r="AD55"/>
    </row>
    <row r="56" spans="1:30" ht="12.75" customHeight="1">
      <c r="A56" s="121"/>
      <c r="B56" s="121"/>
      <c r="C56" s="121"/>
      <c r="D56" s="121"/>
      <c r="E56" s="121"/>
      <c r="F56" s="121"/>
      <c r="G56" s="121"/>
      <c r="H56" s="121"/>
      <c r="I56" s="121"/>
      <c r="J56" s="121"/>
      <c r="K56" s="121"/>
      <c r="L56" s="121"/>
      <c r="M56" s="121"/>
      <c r="N56" s="121"/>
      <c r="O56" s="121"/>
      <c r="P56" s="121"/>
      <c r="Q56" s="668"/>
      <c r="R56" s="969" t="s">
        <v>209</v>
      </c>
      <c r="S56" s="969"/>
      <c r="T56" s="969"/>
      <c r="U56" s="560">
        <f>$V$20/U51</f>
        <v>4</v>
      </c>
      <c r="V56" s="669">
        <f>$V$20/V51</f>
        <v>4</v>
      </c>
      <c r="W56" s="669">
        <f>$V$20/W51</f>
        <v>2.9999999999999996</v>
      </c>
      <c r="X56" s="669">
        <f>$V$20/X51</f>
        <v>2.6666666666666665</v>
      </c>
      <c r="Y56" s="361"/>
      <c r="Z56" s="364"/>
      <c r="AA56"/>
      <c r="AB56"/>
      <c r="AC56"/>
      <c r="AD56"/>
    </row>
    <row r="57" spans="1:30" ht="12.75" customHeight="1">
      <c r="A57" s="121"/>
      <c r="B57" s="121"/>
      <c r="C57" s="121"/>
      <c r="D57" s="121"/>
      <c r="E57" s="121"/>
      <c r="F57" s="121"/>
      <c r="G57" s="121"/>
      <c r="H57" s="121"/>
      <c r="I57" s="121"/>
      <c r="J57" s="121"/>
      <c r="K57" s="121"/>
      <c r="L57" s="121"/>
      <c r="M57" s="121"/>
      <c r="N57" s="121"/>
      <c r="O57" s="121"/>
      <c r="P57" s="121"/>
      <c r="Q57" s="364"/>
      <c r="R57" s="364"/>
      <c r="S57" s="364"/>
      <c r="T57" s="364"/>
      <c r="U57" s="555"/>
      <c r="V57" s="555"/>
      <c r="W57" s="555"/>
      <c r="X57" s="555"/>
      <c r="Y57" s="555"/>
      <c r="Z57" s="364"/>
      <c r="AA57"/>
      <c r="AB57"/>
      <c r="AC57"/>
      <c r="AD57"/>
    </row>
    <row r="58" spans="1:30" ht="12.75" customHeight="1">
      <c r="A58" s="121"/>
      <c r="B58" s="121"/>
      <c r="C58" s="121"/>
      <c r="D58" s="121"/>
      <c r="E58" s="121"/>
      <c r="F58" s="121"/>
      <c r="G58" s="121"/>
      <c r="H58" s="121"/>
      <c r="I58" s="121"/>
      <c r="J58" s="121"/>
      <c r="K58" s="121"/>
      <c r="L58" s="121"/>
      <c r="M58" s="121"/>
      <c r="N58" s="121"/>
      <c r="O58" s="121"/>
      <c r="P58" s="121"/>
      <c r="Q58" s="563">
        <v>3.3</v>
      </c>
      <c r="R58" s="363" t="s">
        <v>211</v>
      </c>
      <c r="S58" s="363"/>
      <c r="T58" s="363"/>
      <c r="U58" s="363"/>
      <c r="V58" s="363"/>
      <c r="W58" s="363"/>
      <c r="X58" s="363"/>
      <c r="Y58" s="363"/>
      <c r="Z58" s="364"/>
      <c r="AA58"/>
      <c r="AB58"/>
      <c r="AC58"/>
      <c r="AD58"/>
    </row>
    <row r="59" spans="1:30" ht="12.75" customHeight="1">
      <c r="A59" s="121"/>
      <c r="B59" s="121"/>
      <c r="C59" s="121"/>
      <c r="D59" s="121"/>
      <c r="E59" s="121"/>
      <c r="F59" s="121"/>
      <c r="G59" s="121"/>
      <c r="H59" s="121"/>
      <c r="I59" s="121"/>
      <c r="J59" s="121"/>
      <c r="K59" s="121"/>
      <c r="L59" s="121"/>
      <c r="M59" s="121"/>
      <c r="N59" s="121"/>
      <c r="O59" s="121"/>
      <c r="P59" s="121"/>
      <c r="Q59" s="563"/>
      <c r="R59" s="962" t="s">
        <v>678</v>
      </c>
      <c r="S59" s="963"/>
      <c r="T59" s="964"/>
      <c r="U59" s="949" t="s">
        <v>500</v>
      </c>
      <c r="V59" s="938" t="s">
        <v>22</v>
      </c>
      <c r="W59" s="940" t="s">
        <v>579</v>
      </c>
      <c r="X59" s="942" t="s">
        <v>21</v>
      </c>
      <c r="Y59" s="361"/>
      <c r="Z59" s="364"/>
      <c r="AA59"/>
      <c r="AB59"/>
      <c r="AC59"/>
      <c r="AD59"/>
    </row>
    <row r="60" spans="1:30" ht="12.75" customHeight="1">
      <c r="A60" s="121"/>
      <c r="B60" s="121"/>
      <c r="C60" s="121"/>
      <c r="D60" s="121"/>
      <c r="E60" s="121"/>
      <c r="F60" s="121"/>
      <c r="G60" s="121"/>
      <c r="H60" s="121"/>
      <c r="I60" s="121"/>
      <c r="J60" s="121"/>
      <c r="K60" s="121"/>
      <c r="L60" s="121"/>
      <c r="M60" s="121"/>
      <c r="N60" s="121"/>
      <c r="O60" s="121"/>
      <c r="P60" s="121"/>
      <c r="Q60" s="563"/>
      <c r="R60" s="965"/>
      <c r="S60" s="966"/>
      <c r="T60" s="967"/>
      <c r="U60" s="950"/>
      <c r="V60" s="939"/>
      <c r="W60" s="941"/>
      <c r="X60" s="943"/>
      <c r="Y60" s="361"/>
      <c r="Z60" s="364"/>
      <c r="AA60"/>
      <c r="AB60"/>
      <c r="AC60"/>
      <c r="AD60"/>
    </row>
    <row r="61" spans="1:30" ht="12.75" customHeight="1">
      <c r="A61" s="121"/>
      <c r="B61" s="121"/>
      <c r="C61" s="121"/>
      <c r="D61" s="121"/>
      <c r="E61" s="121"/>
      <c r="F61" s="121"/>
      <c r="G61" s="121"/>
      <c r="H61" s="121"/>
      <c r="I61" s="121"/>
      <c r="J61" s="121"/>
      <c r="K61" s="121"/>
      <c r="L61" s="121"/>
      <c r="M61" s="121"/>
      <c r="N61" s="121"/>
      <c r="O61" s="121"/>
      <c r="P61" s="121"/>
      <c r="Q61" s="563"/>
      <c r="R61" s="969" t="s">
        <v>209</v>
      </c>
      <c r="S61" s="969"/>
      <c r="T61" s="969"/>
      <c r="U61" s="562">
        <f>(U56*$V$24)/$V$23</f>
        <v>160</v>
      </c>
      <c r="V61" s="670">
        <f>(V56*$V$24)/$V$23</f>
        <v>160</v>
      </c>
      <c r="W61" s="670">
        <f>(W56*$V$24)/$V$23</f>
        <v>119.99999999999997</v>
      </c>
      <c r="X61" s="670">
        <f>(X56*$V$24)/$V$23</f>
        <v>106.66666666666666</v>
      </c>
      <c r="Y61" s="361"/>
      <c r="Z61" s="364"/>
      <c r="AA61"/>
      <c r="AB61"/>
      <c r="AC61"/>
      <c r="AD61"/>
    </row>
    <row r="62" spans="1:30" ht="12.75" customHeight="1">
      <c r="A62" s="121"/>
      <c r="B62" s="121"/>
      <c r="C62" s="121"/>
      <c r="D62" s="121"/>
      <c r="E62" s="121"/>
      <c r="F62" s="121"/>
      <c r="G62" s="121"/>
      <c r="H62" s="121"/>
      <c r="I62" s="121"/>
      <c r="J62" s="121"/>
      <c r="K62" s="121"/>
      <c r="L62" s="121"/>
      <c r="M62" s="121"/>
      <c r="N62" s="121"/>
      <c r="O62" s="121"/>
      <c r="P62" s="121"/>
      <c r="Q62" s="563"/>
      <c r="R62" s="931" t="s">
        <v>212</v>
      </c>
      <c r="S62" s="931"/>
      <c r="T62" s="931"/>
      <c r="U62" s="537">
        <f>U61/60</f>
        <v>2.6666666666666665</v>
      </c>
      <c r="V62" s="557">
        <f>V61/60</f>
        <v>2.6666666666666665</v>
      </c>
      <c r="W62" s="557">
        <f>W61/60</f>
        <v>1.9999999999999996</v>
      </c>
      <c r="X62" s="557">
        <f>X61/60</f>
        <v>1.7777777777777777</v>
      </c>
      <c r="Y62" s="361"/>
      <c r="Z62" s="364"/>
      <c r="AA62"/>
      <c r="AB62"/>
      <c r="AC62"/>
      <c r="AD62"/>
    </row>
    <row r="63" spans="1:30" ht="12.75" customHeight="1">
      <c r="A63" s="121"/>
      <c r="B63" s="121"/>
      <c r="C63" s="121"/>
      <c r="D63" s="121"/>
      <c r="E63" s="121"/>
      <c r="F63" s="121"/>
      <c r="G63" s="121"/>
      <c r="H63" s="121"/>
      <c r="I63" s="121"/>
      <c r="J63" s="121"/>
      <c r="K63" s="121"/>
      <c r="L63" s="121"/>
      <c r="M63" s="121"/>
      <c r="N63" s="121"/>
      <c r="O63" s="121"/>
      <c r="P63" s="121"/>
      <c r="Q63" s="563"/>
      <c r="R63" s="363"/>
      <c r="S63" s="363"/>
      <c r="T63" s="363"/>
      <c r="U63" s="363"/>
      <c r="V63" s="363"/>
      <c r="W63" s="363"/>
      <c r="X63" s="363"/>
      <c r="Y63" s="363"/>
      <c r="Z63" s="364"/>
      <c r="AA63"/>
      <c r="AB63"/>
      <c r="AC63"/>
      <c r="AD63"/>
    </row>
    <row r="64" spans="1:30" ht="12.75" customHeight="1">
      <c r="A64" s="121"/>
      <c r="B64" s="121"/>
      <c r="C64" s="121"/>
      <c r="D64" s="121"/>
      <c r="E64" s="121"/>
      <c r="F64" s="121"/>
      <c r="G64" s="121"/>
      <c r="H64" s="121"/>
      <c r="I64" s="121"/>
      <c r="J64" s="121"/>
      <c r="K64" s="121"/>
      <c r="L64" s="121"/>
      <c r="M64" s="121"/>
      <c r="N64" s="121"/>
      <c r="O64" s="121"/>
      <c r="P64" s="121"/>
      <c r="Q64" s="388" t="s">
        <v>295</v>
      </c>
      <c r="R64" s="1015" t="s">
        <v>216</v>
      </c>
      <c r="S64" s="1015"/>
      <c r="T64" s="1015"/>
      <c r="U64" s="1015"/>
      <c r="V64" s="1015"/>
      <c r="W64" s="1015"/>
      <c r="X64" s="1015"/>
      <c r="Y64" s="1015"/>
      <c r="Z64" s="536"/>
      <c r="AA64"/>
      <c r="AB64"/>
      <c r="AC64"/>
      <c r="AD64"/>
    </row>
    <row r="65" spans="1:36" ht="12.75" customHeight="1">
      <c r="A65" s="121"/>
      <c r="B65" s="121"/>
      <c r="C65" s="121"/>
      <c r="D65" s="121"/>
      <c r="E65" s="121"/>
      <c r="F65" s="121"/>
      <c r="G65" s="121"/>
      <c r="H65" s="121"/>
      <c r="I65" s="121"/>
      <c r="J65" s="121"/>
      <c r="K65" s="121"/>
      <c r="L65" s="121"/>
      <c r="M65" s="121"/>
      <c r="N65" s="121"/>
      <c r="O65" s="121"/>
      <c r="P65" s="121"/>
      <c r="Q65" s="563"/>
      <c r="R65" s="363"/>
      <c r="S65" s="363"/>
      <c r="T65" s="363"/>
      <c r="U65" s="363"/>
      <c r="V65" s="363"/>
      <c r="W65" s="363"/>
      <c r="X65" s="363"/>
      <c r="Y65" s="363"/>
      <c r="Z65" s="364"/>
      <c r="AA65"/>
      <c r="AB65"/>
      <c r="AC65"/>
      <c r="AD65"/>
    </row>
    <row r="66" spans="1:36" ht="12.75" customHeight="1">
      <c r="A66" s="121"/>
      <c r="B66" s="121"/>
      <c r="C66" s="121"/>
      <c r="D66" s="121"/>
      <c r="E66" s="121"/>
      <c r="F66" s="121"/>
      <c r="G66" s="121"/>
      <c r="H66" s="121"/>
      <c r="I66" s="121"/>
      <c r="J66" s="121"/>
      <c r="K66" s="121"/>
      <c r="L66" s="121"/>
      <c r="M66" s="121"/>
      <c r="N66" s="121"/>
      <c r="O66" s="121"/>
      <c r="P66" s="121"/>
      <c r="Q66" s="360" t="s">
        <v>502</v>
      </c>
      <c r="R66" s="364" t="s">
        <v>527</v>
      </c>
      <c r="S66" s="364"/>
      <c r="T66" s="364"/>
      <c r="U66" s="555"/>
      <c r="V66" s="555"/>
      <c r="W66" s="555"/>
      <c r="X66" s="555"/>
      <c r="Y66" s="555"/>
      <c r="Z66" s="364"/>
      <c r="AA66"/>
      <c r="AB66"/>
      <c r="AC66"/>
      <c r="AD66"/>
      <c r="AE66" s="23"/>
      <c r="AF66" s="23"/>
      <c r="AG66" s="23"/>
      <c r="AH66" s="23"/>
      <c r="AI66" s="23"/>
    </row>
    <row r="67" spans="1:36" ht="12.75" customHeight="1">
      <c r="A67" s="121"/>
      <c r="B67" s="121"/>
      <c r="C67" s="121"/>
      <c r="D67" s="121"/>
      <c r="E67" s="121"/>
      <c r="F67" s="121"/>
      <c r="G67" s="121"/>
      <c r="H67" s="121"/>
      <c r="I67" s="121"/>
      <c r="J67" s="121"/>
      <c r="K67" s="121"/>
      <c r="L67" s="121"/>
      <c r="M67" s="121"/>
      <c r="N67" s="121"/>
      <c r="O67" s="121"/>
      <c r="P67" s="121"/>
      <c r="Q67" s="360"/>
      <c r="R67" s="962" t="s">
        <v>678</v>
      </c>
      <c r="S67" s="963"/>
      <c r="T67" s="964"/>
      <c r="U67" s="949" t="s">
        <v>500</v>
      </c>
      <c r="V67" s="938" t="s">
        <v>22</v>
      </c>
      <c r="W67" s="940" t="s">
        <v>579</v>
      </c>
      <c r="X67" s="942" t="s">
        <v>21</v>
      </c>
      <c r="Y67" s="361"/>
      <c r="Z67" s="364"/>
      <c r="AA67"/>
      <c r="AB67"/>
      <c r="AC67"/>
      <c r="AD67"/>
      <c r="AJ67" s="17"/>
    </row>
    <row r="68" spans="1:36" ht="12.75" customHeight="1">
      <c r="A68" s="121"/>
      <c r="B68" s="121"/>
      <c r="C68" s="121"/>
      <c r="D68" s="121"/>
      <c r="E68" s="121"/>
      <c r="F68" s="121"/>
      <c r="G68" s="121"/>
      <c r="H68" s="121"/>
      <c r="I68" s="121"/>
      <c r="J68" s="121"/>
      <c r="K68" s="121"/>
      <c r="L68" s="121"/>
      <c r="M68" s="121"/>
      <c r="N68" s="121"/>
      <c r="O68" s="121"/>
      <c r="P68" s="121"/>
      <c r="Q68" s="360"/>
      <c r="R68" s="965"/>
      <c r="S68" s="966"/>
      <c r="T68" s="967"/>
      <c r="U68" s="950"/>
      <c r="V68" s="939"/>
      <c r="W68" s="941"/>
      <c r="X68" s="943"/>
      <c r="Y68" s="361"/>
      <c r="Z68" s="364"/>
      <c r="AA68"/>
      <c r="AB68"/>
      <c r="AC68"/>
      <c r="AD68"/>
      <c r="AJ68" s="17"/>
    </row>
    <row r="69" spans="1:36" ht="12.75" customHeight="1">
      <c r="A69" s="121"/>
      <c r="B69" s="121"/>
      <c r="C69" s="121"/>
      <c r="D69" s="121"/>
      <c r="E69" s="121"/>
      <c r="F69" s="121"/>
      <c r="G69" s="121"/>
      <c r="H69" s="121"/>
      <c r="I69" s="121"/>
      <c r="J69" s="121"/>
      <c r="K69" s="121"/>
      <c r="L69" s="121"/>
      <c r="M69" s="121"/>
      <c r="N69" s="121"/>
      <c r="O69" s="121"/>
      <c r="P69" s="121"/>
      <c r="Q69" s="360"/>
      <c r="R69" s="969" t="s">
        <v>63</v>
      </c>
      <c r="S69" s="969"/>
      <c r="T69" s="969"/>
      <c r="U69" s="369">
        <v>102</v>
      </c>
      <c r="V69" s="369">
        <f>VLOOKUP($V$5,'Lookup dBA'!$B$8:$E$208,3)</f>
        <v>108</v>
      </c>
      <c r="W69" s="369">
        <f>VLOOKUP($V$5,'Lookup dBA'!$B$8:$E$208,4)</f>
        <v>107</v>
      </c>
      <c r="X69" s="369">
        <f>VLOOKUP($V$5,'Lookup dBA'!$B$8:$E$208,2)</f>
        <v>112</v>
      </c>
      <c r="Y69" s="361"/>
      <c r="Z69" s="364"/>
      <c r="AA69"/>
      <c r="AB69"/>
      <c r="AC69"/>
      <c r="AD69"/>
      <c r="AJ69" s="17"/>
    </row>
    <row r="70" spans="1:36" ht="12.75" customHeight="1">
      <c r="A70" s="121"/>
      <c r="B70" s="121"/>
      <c r="C70" s="121"/>
      <c r="D70" s="121"/>
      <c r="E70" s="121"/>
      <c r="F70" s="121"/>
      <c r="G70" s="121"/>
      <c r="H70" s="121"/>
      <c r="I70" s="121"/>
      <c r="J70" s="121"/>
      <c r="K70" s="121"/>
      <c r="L70" s="121"/>
      <c r="M70" s="121"/>
      <c r="N70" s="121"/>
      <c r="O70" s="121"/>
      <c r="P70" s="121"/>
      <c r="Q70" s="360"/>
      <c r="R70" s="969" t="s">
        <v>64</v>
      </c>
      <c r="S70" s="969"/>
      <c r="T70" s="969"/>
      <c r="U70" s="369">
        <f>U69-PPE!$I$15</f>
        <v>89</v>
      </c>
      <c r="V70" s="369">
        <f>V69-PPE!$I$15</f>
        <v>95</v>
      </c>
      <c r="W70" s="369">
        <f>W69-PPE!$I$15</f>
        <v>94</v>
      </c>
      <c r="X70" s="369">
        <f>X69-PPE!$I$15</f>
        <v>99</v>
      </c>
      <c r="Y70" s="361"/>
      <c r="Z70" s="364"/>
      <c r="AA70"/>
      <c r="AB70"/>
      <c r="AC70"/>
      <c r="AD70"/>
      <c r="AJ70" s="32"/>
    </row>
    <row r="71" spans="1:36" ht="12.75" customHeight="1">
      <c r="A71" s="121"/>
      <c r="B71" s="121"/>
      <c r="C71" s="121"/>
      <c r="D71" s="121"/>
      <c r="E71" s="121"/>
      <c r="F71" s="121"/>
      <c r="G71" s="121"/>
      <c r="H71" s="121"/>
      <c r="I71" s="121"/>
      <c r="J71" s="121"/>
      <c r="K71" s="121"/>
      <c r="L71" s="121"/>
      <c r="M71" s="121"/>
      <c r="N71" s="121"/>
      <c r="O71" s="121"/>
      <c r="P71" s="121"/>
      <c r="Q71" s="360"/>
      <c r="R71" s="969" t="s">
        <v>529</v>
      </c>
      <c r="S71" s="969"/>
      <c r="T71" s="969"/>
      <c r="U71" s="369">
        <v>110</v>
      </c>
      <c r="V71" s="369">
        <v>110</v>
      </c>
      <c r="W71" s="369">
        <v>110</v>
      </c>
      <c r="X71" s="369">
        <v>110</v>
      </c>
      <c r="Y71" s="361"/>
      <c r="Z71" s="364"/>
      <c r="AA71"/>
      <c r="AB71"/>
      <c r="AC71"/>
      <c r="AD71"/>
      <c r="AJ71" s="32"/>
    </row>
    <row r="72" spans="1:36" ht="12.75" customHeight="1">
      <c r="A72" s="121"/>
      <c r="B72" s="121"/>
      <c r="C72" s="121"/>
      <c r="D72" s="121"/>
      <c r="E72" s="121"/>
      <c r="F72" s="121"/>
      <c r="G72" s="121"/>
      <c r="H72" s="121"/>
      <c r="I72" s="121"/>
      <c r="J72" s="121"/>
      <c r="K72" s="121"/>
      <c r="L72" s="121"/>
      <c r="M72" s="121"/>
      <c r="N72" s="121"/>
      <c r="O72" s="121"/>
      <c r="P72" s="121"/>
      <c r="Q72" s="360"/>
      <c r="R72" s="363"/>
      <c r="S72" s="363"/>
      <c r="T72" s="363"/>
      <c r="U72" s="363"/>
      <c r="V72" s="363"/>
      <c r="W72" s="363"/>
      <c r="X72" s="363"/>
      <c r="Y72" s="555"/>
      <c r="Z72" s="364"/>
      <c r="AA72"/>
      <c r="AB72"/>
      <c r="AC72"/>
      <c r="AD72"/>
      <c r="AJ72" s="32"/>
    </row>
    <row r="73" spans="1:36" ht="12.75" customHeight="1">
      <c r="A73" s="121"/>
      <c r="B73" s="121"/>
      <c r="C73" s="121"/>
      <c r="D73" s="121"/>
      <c r="E73" s="121"/>
      <c r="F73" s="121"/>
      <c r="G73" s="121"/>
      <c r="H73" s="121"/>
      <c r="I73" s="121"/>
      <c r="J73" s="121"/>
      <c r="K73" s="121"/>
      <c r="L73" s="121"/>
      <c r="M73" s="121"/>
      <c r="N73" s="121"/>
      <c r="O73" s="121"/>
      <c r="P73" s="121"/>
      <c r="Q73" s="360" t="s">
        <v>503</v>
      </c>
      <c r="R73" s="364" t="s">
        <v>528</v>
      </c>
      <c r="S73" s="364"/>
      <c r="T73" s="364"/>
      <c r="U73" s="555"/>
      <c r="V73" s="555"/>
      <c r="W73" s="555"/>
      <c r="X73" s="555"/>
      <c r="Y73" s="555"/>
      <c r="Z73" s="364"/>
      <c r="AA73"/>
      <c r="AB73"/>
      <c r="AC73"/>
      <c r="AD73"/>
      <c r="AJ73" s="17"/>
    </row>
    <row r="74" spans="1:36" ht="12.75" customHeight="1">
      <c r="A74" s="121"/>
      <c r="B74" s="121"/>
      <c r="C74" s="121"/>
      <c r="D74" s="121"/>
      <c r="E74" s="121"/>
      <c r="F74" s="121"/>
      <c r="G74" s="121"/>
      <c r="H74" s="121"/>
      <c r="I74" s="121"/>
      <c r="J74" s="121"/>
      <c r="K74" s="121"/>
      <c r="L74" s="121"/>
      <c r="M74" s="121"/>
      <c r="N74" s="121"/>
      <c r="O74" s="121"/>
      <c r="P74" s="121"/>
      <c r="Q74" s="360"/>
      <c r="R74" s="935" t="s">
        <v>678</v>
      </c>
      <c r="S74" s="935"/>
      <c r="T74" s="935"/>
      <c r="U74" s="930" t="s">
        <v>500</v>
      </c>
      <c r="V74" s="928" t="s">
        <v>22</v>
      </c>
      <c r="W74" s="929" t="s">
        <v>579</v>
      </c>
      <c r="X74" s="927" t="s">
        <v>21</v>
      </c>
      <c r="Y74" s="361"/>
      <c r="Z74" s="364"/>
      <c r="AA74"/>
      <c r="AB74"/>
      <c r="AC74"/>
      <c r="AD74"/>
      <c r="AJ74" s="17"/>
    </row>
    <row r="75" spans="1:36" ht="12.75" customHeight="1">
      <c r="A75" s="121"/>
      <c r="B75" s="121"/>
      <c r="C75" s="121"/>
      <c r="D75" s="121"/>
      <c r="E75" s="121"/>
      <c r="F75" s="121"/>
      <c r="G75" s="121"/>
      <c r="H75" s="121"/>
      <c r="I75" s="121"/>
      <c r="J75" s="121"/>
      <c r="K75" s="121"/>
      <c r="L75" s="121"/>
      <c r="M75" s="121"/>
      <c r="N75" s="121"/>
      <c r="O75" s="121"/>
      <c r="P75" s="121"/>
      <c r="Q75" s="360"/>
      <c r="R75" s="935"/>
      <c r="S75" s="935"/>
      <c r="T75" s="935"/>
      <c r="U75" s="930"/>
      <c r="V75" s="928"/>
      <c r="W75" s="929"/>
      <c r="X75" s="927"/>
      <c r="Y75" s="361"/>
      <c r="Z75" s="364"/>
      <c r="AA75"/>
      <c r="AB75"/>
      <c r="AC75"/>
      <c r="AD75"/>
      <c r="AJ75" s="17"/>
    </row>
    <row r="76" spans="1:36" ht="12.75" customHeight="1">
      <c r="A76" s="121"/>
      <c r="B76" s="121"/>
      <c r="C76" s="121"/>
      <c r="D76" s="121"/>
      <c r="E76" s="121"/>
      <c r="F76" s="121"/>
      <c r="G76" s="121"/>
      <c r="H76" s="121"/>
      <c r="I76" s="121"/>
      <c r="J76" s="121"/>
      <c r="K76" s="121"/>
      <c r="L76" s="121"/>
      <c r="M76" s="121"/>
      <c r="N76" s="121"/>
      <c r="O76" s="121"/>
      <c r="P76" s="121"/>
      <c r="Q76" s="360"/>
      <c r="R76" s="969" t="s">
        <v>63</v>
      </c>
      <c r="S76" s="969"/>
      <c r="T76" s="969"/>
      <c r="U76" s="369">
        <f>VLOOKUP($V$21,$R$309:$Z$314,5)</f>
        <v>108.02059991327964</v>
      </c>
      <c r="V76" s="369">
        <f>VLOOKUP($V$21,$R$309:$Z$314,3)</f>
        <v>114.02059991327963</v>
      </c>
      <c r="W76" s="369">
        <f>VLOOKUP($V$21,$R$309:$Z$314,4)</f>
        <v>113.02059991327964</v>
      </c>
      <c r="X76" s="369">
        <f>VLOOKUP($V$21,$R$309:$Z$314,2)</f>
        <v>118.02059991327963</v>
      </c>
      <c r="Y76" s="361"/>
      <c r="Z76" s="364"/>
      <c r="AA76"/>
      <c r="AB76"/>
      <c r="AC76"/>
      <c r="AD76"/>
      <c r="AJ76" s="17"/>
    </row>
    <row r="77" spans="1:36" ht="12.75" customHeight="1">
      <c r="Q77" s="360"/>
      <c r="R77" s="969" t="s">
        <v>64</v>
      </c>
      <c r="S77" s="969"/>
      <c r="T77" s="969"/>
      <c r="U77" s="369">
        <f>U76-PPE!$I$15</f>
        <v>95.020599913279639</v>
      </c>
      <c r="V77" s="369">
        <f>V76-PPE!$I$15</f>
        <v>101.02059991327963</v>
      </c>
      <c r="W77" s="369">
        <f>W76-PPE!$I$15</f>
        <v>100.02059991327964</v>
      </c>
      <c r="X77" s="369">
        <f>X76-PPE!$I$15</f>
        <v>105.02059991327963</v>
      </c>
      <c r="Y77" s="361"/>
      <c r="Z77" s="364"/>
      <c r="AA77"/>
      <c r="AB77"/>
      <c r="AC77"/>
      <c r="AD77"/>
      <c r="AJ77" s="17"/>
    </row>
    <row r="78" spans="1:36" ht="12.75" customHeight="1">
      <c r="Q78" s="360"/>
      <c r="R78" s="969" t="s">
        <v>529</v>
      </c>
      <c r="S78" s="969"/>
      <c r="T78" s="969"/>
      <c r="U78" s="369">
        <v>110</v>
      </c>
      <c r="V78" s="369">
        <v>110</v>
      </c>
      <c r="W78" s="369">
        <v>110</v>
      </c>
      <c r="X78" s="369">
        <v>110</v>
      </c>
      <c r="Y78" s="361"/>
      <c r="Z78" s="364"/>
      <c r="AA78"/>
      <c r="AB78"/>
      <c r="AC78"/>
      <c r="AD78"/>
      <c r="AJ78" s="17"/>
    </row>
    <row r="79" spans="1:36" ht="12.75" customHeight="1">
      <c r="Q79" s="360"/>
      <c r="R79" s="364"/>
      <c r="S79" s="364"/>
      <c r="T79" s="364"/>
      <c r="U79" s="555"/>
      <c r="V79" s="555"/>
      <c r="W79" s="555"/>
      <c r="X79" s="555"/>
      <c r="Y79" s="555"/>
      <c r="Z79" s="364"/>
      <c r="AA79"/>
      <c r="AB79"/>
      <c r="AC79"/>
      <c r="AD79"/>
      <c r="AJ79" s="17"/>
    </row>
    <row r="80" spans="1:36" ht="12.75" customHeight="1">
      <c r="Q80" s="385" t="s">
        <v>305</v>
      </c>
      <c r="R80" s="1008" t="s">
        <v>218</v>
      </c>
      <c r="S80" s="1008"/>
      <c r="T80" s="1008"/>
      <c r="U80" s="1008"/>
      <c r="V80" s="1008"/>
      <c r="W80" s="1008"/>
      <c r="X80" s="1008"/>
      <c r="Y80" s="1008"/>
      <c r="Z80" s="536"/>
      <c r="AA80"/>
      <c r="AB80"/>
      <c r="AC80"/>
      <c r="AD80"/>
      <c r="AJ80" s="17"/>
    </row>
    <row r="81" spans="17:36" ht="12.75" customHeight="1">
      <c r="Q81" s="546"/>
      <c r="R81" s="363"/>
      <c r="S81" s="363"/>
      <c r="T81" s="363"/>
      <c r="U81" s="363"/>
      <c r="V81" s="363"/>
      <c r="W81" s="363"/>
      <c r="X81" s="363"/>
      <c r="Y81" s="363"/>
      <c r="Z81" s="364"/>
      <c r="AA81"/>
      <c r="AB81"/>
      <c r="AC81"/>
      <c r="AD81"/>
      <c r="AJ81" s="43"/>
    </row>
    <row r="82" spans="17:36" ht="12.75" customHeight="1">
      <c r="Q82" s="546"/>
      <c r="R82" s="363" t="s">
        <v>436</v>
      </c>
      <c r="S82" s="363"/>
      <c r="T82" s="363"/>
      <c r="U82" s="363"/>
      <c r="V82" s="363"/>
      <c r="W82" s="363"/>
      <c r="X82" s="363"/>
      <c r="Y82" s="363"/>
      <c r="Z82" s="364"/>
      <c r="AA82"/>
      <c r="AB82"/>
      <c r="AC82"/>
      <c r="AD82"/>
      <c r="AJ82" s="43"/>
    </row>
    <row r="83" spans="17:36" ht="12.75" customHeight="1">
      <c r="Q83" s="360"/>
      <c r="R83" s="935" t="s">
        <v>678</v>
      </c>
      <c r="S83" s="935"/>
      <c r="T83" s="935"/>
      <c r="U83" s="949" t="s">
        <v>500</v>
      </c>
      <c r="V83" s="1011" t="s">
        <v>22</v>
      </c>
      <c r="W83" s="1013" t="s">
        <v>579</v>
      </c>
      <c r="X83" s="1009" t="s">
        <v>21</v>
      </c>
      <c r="Y83" s="361"/>
      <c r="Z83" s="364"/>
      <c r="AA83"/>
      <c r="AB83"/>
      <c r="AC83"/>
      <c r="AD83"/>
      <c r="AJ83" s="43"/>
    </row>
    <row r="84" spans="17:36" ht="12.75" customHeight="1">
      <c r="Q84" s="360"/>
      <c r="R84" s="935"/>
      <c r="S84" s="935"/>
      <c r="T84" s="935"/>
      <c r="U84" s="950"/>
      <c r="V84" s="1012"/>
      <c r="W84" s="1014"/>
      <c r="X84" s="1010"/>
      <c r="Y84" s="361"/>
      <c r="Z84" s="364"/>
      <c r="AA84"/>
      <c r="AB84"/>
      <c r="AC84"/>
      <c r="AD84"/>
    </row>
    <row r="85" spans="17:36" ht="12.75" customHeight="1">
      <c r="Q85" s="360"/>
      <c r="R85" s="969" t="s">
        <v>63</v>
      </c>
      <c r="S85" s="969"/>
      <c r="T85" s="969"/>
      <c r="U85" s="369">
        <f>U414</f>
        <v>97.15</v>
      </c>
      <c r="V85" s="369">
        <f>U356</f>
        <v>103.15</v>
      </c>
      <c r="W85" s="369">
        <f>U385</f>
        <v>100.95</v>
      </c>
      <c r="X85" s="369">
        <f>U327</f>
        <v>105.45</v>
      </c>
      <c r="Y85" s="361"/>
      <c r="Z85" s="364"/>
      <c r="AA85"/>
      <c r="AB85"/>
      <c r="AC85"/>
      <c r="AD85"/>
    </row>
    <row r="86" spans="17:36" ht="12.75" customHeight="1">
      <c r="Q86" s="360"/>
      <c r="R86" s="969" t="s">
        <v>64</v>
      </c>
      <c r="S86" s="969"/>
      <c r="T86" s="969"/>
      <c r="U86" s="369">
        <f>U427</f>
        <v>84.15</v>
      </c>
      <c r="V86" s="369">
        <f>U369</f>
        <v>90.15</v>
      </c>
      <c r="W86" s="369">
        <f>U398</f>
        <v>87.95</v>
      </c>
      <c r="X86" s="369">
        <f>U340</f>
        <v>92.4</v>
      </c>
      <c r="Y86" s="361"/>
      <c r="Z86" s="364"/>
      <c r="AA86"/>
      <c r="AB86"/>
      <c r="AC86"/>
      <c r="AD86"/>
    </row>
    <row r="87" spans="17:36" ht="12.75" customHeight="1">
      <c r="Q87" s="360"/>
      <c r="R87" s="969" t="s">
        <v>530</v>
      </c>
      <c r="S87" s="969"/>
      <c r="T87" s="969"/>
      <c r="U87" s="369">
        <v>85</v>
      </c>
      <c r="V87" s="369">
        <v>85</v>
      </c>
      <c r="W87" s="369">
        <v>85</v>
      </c>
      <c r="X87" s="369">
        <v>85</v>
      </c>
      <c r="Y87" s="361"/>
      <c r="Z87" s="364"/>
      <c r="AA87"/>
      <c r="AB87"/>
      <c r="AC87"/>
      <c r="AD87"/>
    </row>
    <row r="88" spans="17:36" ht="12.75" customHeight="1">
      <c r="Q88" s="360"/>
      <c r="R88" s="363"/>
      <c r="S88" s="363"/>
      <c r="T88" s="363"/>
      <c r="U88" s="363"/>
      <c r="V88" s="363"/>
      <c r="W88" s="363"/>
      <c r="X88" s="363"/>
      <c r="Y88" s="363"/>
      <c r="Z88" s="364"/>
      <c r="AA88"/>
      <c r="AB88"/>
      <c r="AC88"/>
      <c r="AD88"/>
    </row>
    <row r="89" spans="17:36" ht="12.75" customHeight="1">
      <c r="Q89" s="360"/>
      <c r="R89" s="363" t="s">
        <v>437</v>
      </c>
      <c r="S89" s="363"/>
      <c r="T89" s="363"/>
      <c r="U89" s="363"/>
      <c r="V89" s="363"/>
      <c r="W89" s="363"/>
      <c r="X89" s="363"/>
      <c r="Y89" s="363"/>
      <c r="Z89" s="364"/>
      <c r="AA89"/>
      <c r="AB89"/>
      <c r="AC89"/>
      <c r="AD89"/>
    </row>
    <row r="90" spans="17:36" ht="12.75" customHeight="1">
      <c r="Q90" s="360"/>
      <c r="R90" s="935" t="s">
        <v>678</v>
      </c>
      <c r="S90" s="935"/>
      <c r="T90" s="935"/>
      <c r="U90" s="949" t="s">
        <v>500</v>
      </c>
      <c r="V90" s="1011" t="s">
        <v>22</v>
      </c>
      <c r="W90" s="1013" t="s">
        <v>579</v>
      </c>
      <c r="X90" s="1009" t="s">
        <v>21</v>
      </c>
      <c r="Y90" s="361"/>
      <c r="Z90" s="364"/>
      <c r="AA90"/>
      <c r="AB90"/>
      <c r="AC90"/>
      <c r="AD90"/>
    </row>
    <row r="91" spans="17:36" ht="12.75" customHeight="1">
      <c r="Q91" s="360"/>
      <c r="R91" s="935"/>
      <c r="S91" s="935"/>
      <c r="T91" s="935"/>
      <c r="U91" s="950"/>
      <c r="V91" s="1012"/>
      <c r="W91" s="1014"/>
      <c r="X91" s="1010"/>
      <c r="Y91" s="361"/>
      <c r="Z91" s="364"/>
      <c r="AA91"/>
      <c r="AB91"/>
      <c r="AC91"/>
      <c r="AD91"/>
    </row>
    <row r="92" spans="17:36" ht="12.75" customHeight="1">
      <c r="Q92" s="360"/>
      <c r="R92" s="969" t="s">
        <v>63</v>
      </c>
      <c r="S92" s="969"/>
      <c r="T92" s="969"/>
      <c r="U92" s="369">
        <f>U533</f>
        <v>103.15</v>
      </c>
      <c r="V92" s="369">
        <f>U475</f>
        <v>109.15</v>
      </c>
      <c r="W92" s="369">
        <f>U504</f>
        <v>106.95</v>
      </c>
      <c r="X92" s="369">
        <f>U446</f>
        <v>111.45</v>
      </c>
      <c r="Y92" s="361"/>
      <c r="Z92" s="364"/>
      <c r="AA92"/>
      <c r="AB92"/>
      <c r="AC92"/>
      <c r="AD92"/>
    </row>
    <row r="93" spans="17:36" ht="12.75" customHeight="1">
      <c r="Q93" s="360"/>
      <c r="R93" s="969" t="s">
        <v>64</v>
      </c>
      <c r="S93" s="969"/>
      <c r="T93" s="969"/>
      <c r="U93" s="369">
        <f>U546</f>
        <v>90.15</v>
      </c>
      <c r="V93" s="369">
        <f>U488</f>
        <v>96.2</v>
      </c>
      <c r="W93" s="369">
        <f>U517</f>
        <v>93.95</v>
      </c>
      <c r="X93" s="369">
        <f>U459</f>
        <v>98.4</v>
      </c>
      <c r="Y93" s="361"/>
      <c r="Z93" s="364"/>
      <c r="AA93"/>
      <c r="AB93"/>
      <c r="AC93"/>
      <c r="AD93"/>
    </row>
    <row r="94" spans="17:36" ht="12.75" customHeight="1">
      <c r="Q94" s="360"/>
      <c r="R94" s="969" t="s">
        <v>530</v>
      </c>
      <c r="S94" s="969"/>
      <c r="T94" s="969"/>
      <c r="U94" s="369">
        <v>85</v>
      </c>
      <c r="V94" s="369">
        <v>85</v>
      </c>
      <c r="W94" s="369">
        <v>85</v>
      </c>
      <c r="X94" s="369">
        <v>85</v>
      </c>
      <c r="Y94" s="361"/>
      <c r="Z94" s="364"/>
      <c r="AA94"/>
      <c r="AB94"/>
      <c r="AC94"/>
      <c r="AD94"/>
    </row>
    <row r="95" spans="17:36" ht="12.75" customHeight="1">
      <c r="Q95" s="360"/>
      <c r="R95" s="363"/>
      <c r="S95" s="363"/>
      <c r="T95" s="363"/>
      <c r="U95" s="363"/>
      <c r="V95" s="363"/>
      <c r="W95" s="363"/>
      <c r="X95" s="363"/>
      <c r="Y95" s="363"/>
      <c r="Z95" s="364"/>
      <c r="AA95"/>
      <c r="AB95"/>
      <c r="AC95"/>
      <c r="AD95"/>
    </row>
    <row r="96" spans="17:36" ht="12.75" customHeight="1">
      <c r="Q96" s="385" t="s">
        <v>222</v>
      </c>
      <c r="R96" s="1008" t="s">
        <v>504</v>
      </c>
      <c r="S96" s="1008"/>
      <c r="T96" s="1008"/>
      <c r="U96" s="1008"/>
      <c r="V96" s="1008"/>
      <c r="W96" s="1008"/>
      <c r="X96" s="1008"/>
      <c r="Y96" s="1008"/>
      <c r="Z96" s="547"/>
      <c r="AA96"/>
      <c r="AB96"/>
      <c r="AC96"/>
      <c r="AD96"/>
    </row>
    <row r="97" spans="17:30" s="133" customFormat="1" ht="12.75" customHeight="1">
      <c r="Q97" s="360"/>
      <c r="R97" s="363"/>
      <c r="S97" s="363"/>
      <c r="T97" s="363"/>
      <c r="U97" s="363"/>
      <c r="V97" s="363"/>
      <c r="W97" s="363"/>
      <c r="X97" s="363"/>
      <c r="Y97" s="363"/>
      <c r="Z97" s="364"/>
      <c r="AA97"/>
      <c r="AB97"/>
      <c r="AC97"/>
      <c r="AD97"/>
    </row>
    <row r="98" spans="17:30" ht="12.75" customHeight="1">
      <c r="Q98" s="360" t="s">
        <v>505</v>
      </c>
      <c r="R98" s="363" t="s">
        <v>514</v>
      </c>
      <c r="S98" s="363"/>
      <c r="T98" s="363"/>
      <c r="U98" s="363"/>
      <c r="V98" s="363"/>
      <c r="W98" s="363"/>
      <c r="X98" s="363"/>
      <c r="Y98" s="363"/>
      <c r="Z98" s="364"/>
      <c r="AA98"/>
      <c r="AB98"/>
      <c r="AC98"/>
      <c r="AD98"/>
    </row>
    <row r="99" spans="17:30" ht="12.75" customHeight="1">
      <c r="Q99" s="360"/>
      <c r="R99" s="363" t="s">
        <v>512</v>
      </c>
      <c r="S99" s="363"/>
      <c r="T99" s="363"/>
      <c r="U99" s="363"/>
      <c r="V99" s="363"/>
      <c r="W99" s="363"/>
      <c r="X99" s="363"/>
      <c r="Y99" s="363"/>
      <c r="Z99" s="364"/>
      <c r="AA99"/>
      <c r="AB99"/>
      <c r="AC99"/>
      <c r="AD99"/>
    </row>
    <row r="100" spans="17:30" ht="12.75" customHeight="1">
      <c r="Q100" s="360"/>
      <c r="R100" s="998" t="s">
        <v>191</v>
      </c>
      <c r="S100" s="999"/>
      <c r="T100" s="1000"/>
      <c r="U100" s="949" t="s">
        <v>500</v>
      </c>
      <c r="V100" s="938" t="s">
        <v>22</v>
      </c>
      <c r="W100" s="940" t="s">
        <v>579</v>
      </c>
      <c r="X100" s="942" t="s">
        <v>21</v>
      </c>
      <c r="Y100" s="361"/>
      <c r="Z100" s="364"/>
      <c r="AA100"/>
      <c r="AB100"/>
      <c r="AC100"/>
      <c r="AD100"/>
    </row>
    <row r="101" spans="17:30" ht="12.75" customHeight="1">
      <c r="Q101" s="360"/>
      <c r="R101" s="1001"/>
      <c r="S101" s="1002"/>
      <c r="T101" s="1003"/>
      <c r="U101" s="950"/>
      <c r="V101" s="939"/>
      <c r="W101" s="941"/>
      <c r="X101" s="943"/>
      <c r="Y101" s="361"/>
      <c r="Z101" s="364"/>
      <c r="AA101"/>
      <c r="AB101"/>
      <c r="AC101"/>
      <c r="AD101"/>
    </row>
    <row r="102" spans="17:30" ht="12.75" customHeight="1">
      <c r="Q102" s="360"/>
      <c r="R102" s="969" t="s">
        <v>63</v>
      </c>
      <c r="S102" s="969"/>
      <c r="T102" s="969"/>
      <c r="U102" s="537">
        <f>VLOOKUP(U69,'Lookup Exposure Time'!$B$12:$C$732,2)</f>
        <v>10</v>
      </c>
      <c r="V102" s="537">
        <f>VLOOKUP(V69,'Lookup Exposure Time'!$B$12:$C$732,2)</f>
        <v>2.5</v>
      </c>
      <c r="W102" s="537">
        <f>VLOOKUP(W69,'Lookup Exposure Time'!$B$12:$C$732,2)</f>
        <v>3.125</v>
      </c>
      <c r="X102" s="537">
        <f>VLOOKUP(X69,'Lookup Exposure Time'!$B$12:$C$732,2)</f>
        <v>0.9375</v>
      </c>
      <c r="Y102" s="361"/>
      <c r="Z102" s="364"/>
      <c r="AA102"/>
      <c r="AB102"/>
      <c r="AC102"/>
      <c r="AD102"/>
    </row>
    <row r="103" spans="17:30" ht="12.75" customHeight="1">
      <c r="Q103" s="360"/>
      <c r="R103" s="969" t="s">
        <v>64</v>
      </c>
      <c r="S103" s="969"/>
      <c r="T103" s="969"/>
      <c r="U103" s="537">
        <f>VLOOKUP(U70,'Lookup Exposure Time'!$B$12:$C$732,2)</f>
        <v>200</v>
      </c>
      <c r="V103" s="537">
        <f>VLOOKUP(V70,'Lookup Exposure Time'!$B$12:$C$732,2)</f>
        <v>50</v>
      </c>
      <c r="W103" s="537">
        <f>VLOOKUP(W70,'Lookup Exposure Time'!$B$12:$C$732,2)</f>
        <v>60</v>
      </c>
      <c r="X103" s="537">
        <f>VLOOKUP(X70,'Lookup Exposure Time'!$B$12:$C$732,2)</f>
        <v>20</v>
      </c>
      <c r="Y103" s="361"/>
      <c r="Z103" s="364"/>
      <c r="AA103"/>
      <c r="AB103"/>
      <c r="AC103"/>
      <c r="AD103"/>
    </row>
    <row r="104" spans="17:30" ht="12.75" customHeight="1">
      <c r="Q104" s="360"/>
      <c r="R104" s="364"/>
      <c r="S104" s="364"/>
      <c r="T104" s="364"/>
      <c r="U104" s="364"/>
      <c r="V104" s="364"/>
      <c r="W104" s="364"/>
      <c r="X104" s="364"/>
      <c r="Y104" s="363"/>
      <c r="Z104" s="364"/>
      <c r="AA104"/>
      <c r="AB104"/>
      <c r="AC104"/>
      <c r="AD104"/>
    </row>
    <row r="105" spans="17:30" ht="12.75" customHeight="1">
      <c r="Q105" s="360" t="s">
        <v>507</v>
      </c>
      <c r="R105" s="363" t="s">
        <v>513</v>
      </c>
      <c r="S105" s="363"/>
      <c r="T105" s="363"/>
      <c r="U105" s="363"/>
      <c r="V105" s="363"/>
      <c r="W105" s="363"/>
      <c r="X105" s="363"/>
      <c r="Y105" s="363"/>
      <c r="Z105" s="364"/>
      <c r="AA105"/>
      <c r="AB105"/>
      <c r="AC105"/>
      <c r="AD105"/>
    </row>
    <row r="106" spans="17:30" ht="12.75" customHeight="1">
      <c r="Q106" s="360"/>
      <c r="R106" s="998" t="s">
        <v>191</v>
      </c>
      <c r="S106" s="999"/>
      <c r="T106" s="1000"/>
      <c r="U106" s="949" t="s">
        <v>500</v>
      </c>
      <c r="V106" s="938" t="s">
        <v>22</v>
      </c>
      <c r="W106" s="940" t="s">
        <v>579</v>
      </c>
      <c r="X106" s="942" t="s">
        <v>21</v>
      </c>
      <c r="Y106" s="361"/>
      <c r="Z106" s="364"/>
      <c r="AA106"/>
      <c r="AB106"/>
      <c r="AC106"/>
      <c r="AD106"/>
    </row>
    <row r="107" spans="17:30" ht="12.75" customHeight="1">
      <c r="Q107" s="360"/>
      <c r="R107" s="1001"/>
      <c r="S107" s="1002"/>
      <c r="T107" s="1003"/>
      <c r="U107" s="950"/>
      <c r="V107" s="939"/>
      <c r="W107" s="941"/>
      <c r="X107" s="943"/>
      <c r="Y107" s="361"/>
      <c r="Z107" s="364"/>
      <c r="AA107"/>
      <c r="AB107"/>
      <c r="AC107"/>
      <c r="AD107"/>
    </row>
    <row r="108" spans="17:30" ht="12.75" customHeight="1">
      <c r="Q108" s="360"/>
      <c r="R108" s="969" t="s">
        <v>63</v>
      </c>
      <c r="S108" s="969"/>
      <c r="T108" s="969"/>
      <c r="U108" s="671">
        <f>VLOOKUP(U76,'Lookup Exposure Time'!$B$12:$C$732,2)</f>
        <v>2.5</v>
      </c>
      <c r="V108" s="671">
        <f>VLOOKUP(V76,'Lookup Exposure Time'!$B$12:$C$732,2)</f>
        <v>0.625</v>
      </c>
      <c r="W108" s="671">
        <f>VLOOKUP(W76,'Lookup Exposure Time'!$B$12:$C$732,2)</f>
        <v>0.78125</v>
      </c>
      <c r="X108" s="671">
        <f>VLOOKUP(X76,'Lookup Exposure Time'!$B$12:$C$732,2)</f>
        <v>0.234375</v>
      </c>
      <c r="Y108" s="361"/>
      <c r="Z108" s="364"/>
      <c r="AA108"/>
      <c r="AB108"/>
      <c r="AC108"/>
      <c r="AD108"/>
    </row>
    <row r="109" spans="17:30" ht="12.75" customHeight="1">
      <c r="Q109" s="360"/>
      <c r="R109" s="969" t="s">
        <v>64</v>
      </c>
      <c r="S109" s="969"/>
      <c r="T109" s="969"/>
      <c r="U109" s="557">
        <f>VLOOKUP(U77,'Lookup Exposure Time'!$B$12:$C$732,2)</f>
        <v>50</v>
      </c>
      <c r="V109" s="557">
        <f>VLOOKUP(V77,'Lookup Exposure Time'!$B$12:$C$732,2)</f>
        <v>12.5</v>
      </c>
      <c r="W109" s="557">
        <f>VLOOKUP(W77,'Lookup Exposure Time'!$B$12:$C$732,2)</f>
        <v>15</v>
      </c>
      <c r="X109" s="557">
        <f>VLOOKUP(X77,'Lookup Exposure Time'!$B$12:$C$732,2)</f>
        <v>5</v>
      </c>
      <c r="Y109" s="361"/>
      <c r="Z109" s="364"/>
      <c r="AA109"/>
      <c r="AB109"/>
      <c r="AC109"/>
      <c r="AD109"/>
    </row>
    <row r="110" spans="17:30" ht="12.75" customHeight="1">
      <c r="Q110" s="360"/>
      <c r="R110" s="363"/>
      <c r="S110" s="363"/>
      <c r="T110" s="363"/>
      <c r="U110" s="363"/>
      <c r="V110" s="363"/>
      <c r="W110" s="363"/>
      <c r="X110" s="363"/>
      <c r="Y110" s="363"/>
      <c r="Z110" s="364"/>
      <c r="AA110"/>
      <c r="AB110"/>
      <c r="AC110"/>
      <c r="AD110"/>
    </row>
    <row r="111" spans="17:30" ht="12.75" customHeight="1">
      <c r="Q111" s="360" t="s">
        <v>508</v>
      </c>
      <c r="R111" s="363" t="s">
        <v>531</v>
      </c>
      <c r="S111" s="363"/>
      <c r="T111" s="363"/>
      <c r="U111" s="363"/>
      <c r="V111" s="363"/>
      <c r="W111" s="363"/>
      <c r="X111" s="363"/>
      <c r="Y111" s="363"/>
      <c r="Z111" s="364"/>
      <c r="AA111"/>
      <c r="AB111"/>
      <c r="AC111"/>
      <c r="AD111"/>
    </row>
    <row r="112" spans="17:30" ht="12.75" customHeight="1">
      <c r="Q112" s="360"/>
      <c r="R112" s="998" t="s">
        <v>191</v>
      </c>
      <c r="S112" s="999"/>
      <c r="T112" s="1000"/>
      <c r="U112" s="949" t="s">
        <v>500</v>
      </c>
      <c r="V112" s="938" t="s">
        <v>22</v>
      </c>
      <c r="W112" s="940" t="s">
        <v>579</v>
      </c>
      <c r="X112" s="942" t="s">
        <v>21</v>
      </c>
      <c r="Y112" s="361"/>
      <c r="Z112" s="364"/>
      <c r="AA112"/>
      <c r="AB112"/>
      <c r="AC112"/>
      <c r="AD112"/>
    </row>
    <row r="113" spans="17:30" ht="12.75" customHeight="1">
      <c r="Q113" s="360"/>
      <c r="R113" s="1001"/>
      <c r="S113" s="1002"/>
      <c r="T113" s="1003"/>
      <c r="U113" s="950"/>
      <c r="V113" s="939"/>
      <c r="W113" s="941"/>
      <c r="X113" s="943"/>
      <c r="Y113" s="361"/>
      <c r="Z113" s="364"/>
      <c r="AA113"/>
      <c r="AB113"/>
      <c r="AC113"/>
      <c r="AD113"/>
    </row>
    <row r="114" spans="17:30" ht="12.75" customHeight="1">
      <c r="Q114" s="360"/>
      <c r="R114" s="969" t="s">
        <v>63</v>
      </c>
      <c r="S114" s="969"/>
      <c r="T114" s="969"/>
      <c r="U114" s="537">
        <f t="shared" ref="U114:X115" si="0">U102/60</f>
        <v>0.16666666666666666</v>
      </c>
      <c r="V114" s="537">
        <f t="shared" si="0"/>
        <v>4.1666666666666664E-2</v>
      </c>
      <c r="W114" s="537">
        <f t="shared" si="0"/>
        <v>5.2083333333333336E-2</v>
      </c>
      <c r="X114" s="537">
        <f t="shared" si="0"/>
        <v>1.5625E-2</v>
      </c>
      <c r="Y114" s="361"/>
      <c r="Z114" s="364"/>
      <c r="AA114"/>
      <c r="AB114"/>
      <c r="AC114"/>
      <c r="AD114"/>
    </row>
    <row r="115" spans="17:30" ht="12.75" customHeight="1">
      <c r="Q115" s="360"/>
      <c r="R115" s="969" t="s">
        <v>64</v>
      </c>
      <c r="S115" s="969"/>
      <c r="T115" s="969"/>
      <c r="U115" s="537">
        <f t="shared" si="0"/>
        <v>3.3333333333333335</v>
      </c>
      <c r="V115" s="537">
        <f t="shared" si="0"/>
        <v>0.83333333333333337</v>
      </c>
      <c r="W115" s="537">
        <f t="shared" si="0"/>
        <v>1</v>
      </c>
      <c r="X115" s="537">
        <f t="shared" si="0"/>
        <v>0.33333333333333331</v>
      </c>
      <c r="Y115" s="361"/>
      <c r="Z115" s="364"/>
      <c r="AA115"/>
      <c r="AB115"/>
      <c r="AC115"/>
      <c r="AD115"/>
    </row>
    <row r="116" spans="17:30" ht="12.75" customHeight="1">
      <c r="Q116" s="360"/>
      <c r="R116" s="364"/>
      <c r="S116" s="364"/>
      <c r="T116" s="364"/>
      <c r="U116" s="364"/>
      <c r="V116" s="364"/>
      <c r="W116" s="364"/>
      <c r="X116" s="364"/>
      <c r="Y116" s="363"/>
      <c r="Z116" s="364"/>
      <c r="AA116"/>
      <c r="AB116"/>
      <c r="AC116"/>
      <c r="AD116"/>
    </row>
    <row r="117" spans="17:30" ht="12.75" customHeight="1">
      <c r="Q117" s="360" t="s">
        <v>506</v>
      </c>
      <c r="R117" s="363" t="s">
        <v>532</v>
      </c>
      <c r="S117" s="363"/>
      <c r="T117" s="363"/>
      <c r="U117" s="363"/>
      <c r="V117" s="363"/>
      <c r="W117" s="363"/>
      <c r="X117" s="363"/>
      <c r="Y117" s="363"/>
      <c r="Z117" s="364"/>
      <c r="AA117"/>
      <c r="AB117"/>
      <c r="AC117"/>
      <c r="AD117"/>
    </row>
    <row r="118" spans="17:30" ht="12.75" customHeight="1">
      <c r="Q118" s="360"/>
      <c r="R118" s="998" t="s">
        <v>191</v>
      </c>
      <c r="S118" s="999"/>
      <c r="T118" s="1000"/>
      <c r="U118" s="949" t="s">
        <v>500</v>
      </c>
      <c r="V118" s="938" t="s">
        <v>22</v>
      </c>
      <c r="W118" s="940" t="s">
        <v>579</v>
      </c>
      <c r="X118" s="942" t="s">
        <v>21</v>
      </c>
      <c r="Y118" s="361"/>
      <c r="Z118" s="364"/>
      <c r="AA118"/>
      <c r="AB118"/>
      <c r="AC118"/>
      <c r="AD118"/>
    </row>
    <row r="119" spans="17:30" ht="12.75" customHeight="1">
      <c r="Q119" s="360"/>
      <c r="R119" s="1001"/>
      <c r="S119" s="1002"/>
      <c r="T119" s="1003"/>
      <c r="U119" s="950"/>
      <c r="V119" s="939"/>
      <c r="W119" s="941"/>
      <c r="X119" s="943"/>
      <c r="Y119" s="361"/>
      <c r="Z119" s="364"/>
      <c r="AA119"/>
      <c r="AB119"/>
      <c r="AC119"/>
      <c r="AD119"/>
    </row>
    <row r="120" spans="17:30" ht="12.75" customHeight="1">
      <c r="Q120" s="360"/>
      <c r="R120" s="969" t="s">
        <v>63</v>
      </c>
      <c r="S120" s="969"/>
      <c r="T120" s="969"/>
      <c r="U120" s="537">
        <f t="shared" ref="U120:X121" si="1">U108/60</f>
        <v>4.1666666666666664E-2</v>
      </c>
      <c r="V120" s="537">
        <f t="shared" si="1"/>
        <v>1.0416666666666666E-2</v>
      </c>
      <c r="W120" s="537">
        <f t="shared" si="1"/>
        <v>1.3020833333333334E-2</v>
      </c>
      <c r="X120" s="537">
        <f t="shared" si="1"/>
        <v>3.90625E-3</v>
      </c>
      <c r="Y120" s="361"/>
      <c r="Z120" s="364"/>
      <c r="AA120"/>
      <c r="AB120"/>
      <c r="AC120"/>
      <c r="AD120"/>
    </row>
    <row r="121" spans="17:30" ht="12.75" customHeight="1">
      <c r="Q121" s="360"/>
      <c r="R121" s="969" t="s">
        <v>64</v>
      </c>
      <c r="S121" s="969"/>
      <c r="T121" s="969"/>
      <c r="U121" s="537">
        <f t="shared" si="1"/>
        <v>0.83333333333333337</v>
      </c>
      <c r="V121" s="537">
        <f t="shared" si="1"/>
        <v>0.20833333333333334</v>
      </c>
      <c r="W121" s="537">
        <f t="shared" si="1"/>
        <v>0.25</v>
      </c>
      <c r="X121" s="537">
        <f t="shared" si="1"/>
        <v>8.3333333333333329E-2</v>
      </c>
      <c r="Y121" s="361"/>
      <c r="Z121" s="364"/>
      <c r="AA121"/>
      <c r="AB121"/>
      <c r="AC121"/>
      <c r="AD121"/>
    </row>
    <row r="122" spans="17:30" ht="12.75" customHeight="1">
      <c r="Q122" s="360"/>
      <c r="R122" s="363"/>
      <c r="S122" s="363"/>
      <c r="T122" s="363"/>
      <c r="U122" s="363"/>
      <c r="V122" s="363"/>
      <c r="W122" s="363"/>
      <c r="X122" s="363"/>
      <c r="Y122" s="363"/>
      <c r="Z122" s="364"/>
      <c r="AA122"/>
      <c r="AB122"/>
      <c r="AC122"/>
      <c r="AD122"/>
    </row>
    <row r="123" spans="17:30" ht="12.75" customHeight="1">
      <c r="Q123" s="546" t="s">
        <v>231</v>
      </c>
      <c r="R123" s="952" t="s">
        <v>232</v>
      </c>
      <c r="S123" s="952"/>
      <c r="T123" s="952"/>
      <c r="U123" s="952"/>
      <c r="V123" s="952"/>
      <c r="W123" s="952"/>
      <c r="X123" s="952"/>
      <c r="Y123" s="952"/>
      <c r="Z123" s="360"/>
      <c r="AA123"/>
      <c r="AB123"/>
      <c r="AC123"/>
      <c r="AD123"/>
    </row>
    <row r="124" spans="17:30" ht="12.75" customHeight="1">
      <c r="Q124" s="546"/>
      <c r="R124" s="360"/>
      <c r="S124" s="360"/>
      <c r="T124" s="360"/>
      <c r="U124" s="360"/>
      <c r="V124" s="360"/>
      <c r="W124" s="360"/>
      <c r="X124" s="360"/>
      <c r="Y124" s="360"/>
      <c r="Z124" s="360"/>
      <c r="AA124"/>
      <c r="AB124"/>
      <c r="AC124"/>
      <c r="AD124"/>
    </row>
    <row r="125" spans="17:30" ht="12.75" customHeight="1">
      <c r="Q125" s="546"/>
      <c r="R125" s="363" t="s">
        <v>233</v>
      </c>
      <c r="S125" s="363"/>
      <c r="T125" s="363"/>
      <c r="U125" s="363"/>
      <c r="V125" s="363"/>
      <c r="W125" s="363"/>
      <c r="X125" s="363"/>
      <c r="Y125" s="363"/>
      <c r="Z125" s="364"/>
      <c r="AA125"/>
      <c r="AB125"/>
      <c r="AC125"/>
      <c r="AD125"/>
    </row>
    <row r="126" spans="17:30" ht="12.75" customHeight="1">
      <c r="Q126" s="360"/>
      <c r="R126" s="998" t="s">
        <v>678</v>
      </c>
      <c r="S126" s="999"/>
      <c r="T126" s="1000"/>
      <c r="U126" s="949" t="s">
        <v>470</v>
      </c>
      <c r="V126" s="938" t="s">
        <v>22</v>
      </c>
      <c r="W126" s="940" t="s">
        <v>579</v>
      </c>
      <c r="X126" s="942" t="s">
        <v>21</v>
      </c>
      <c r="Y126" s="361"/>
      <c r="Z126" s="364"/>
      <c r="AA126"/>
      <c r="AB126"/>
      <c r="AC126"/>
      <c r="AD126"/>
    </row>
    <row r="127" spans="17:30" ht="12.75" customHeight="1">
      <c r="Q127" s="360"/>
      <c r="R127" s="1001"/>
      <c r="S127" s="1002"/>
      <c r="T127" s="1003"/>
      <c r="U127" s="950"/>
      <c r="V127" s="939"/>
      <c r="W127" s="941"/>
      <c r="X127" s="943"/>
      <c r="Y127" s="361"/>
      <c r="Z127" s="364"/>
      <c r="AA127"/>
      <c r="AB127"/>
      <c r="AC127"/>
      <c r="AD127"/>
    </row>
    <row r="128" spans="17:30" ht="12.75" customHeight="1">
      <c r="Q128" s="360"/>
      <c r="R128" s="969" t="s">
        <v>234</v>
      </c>
      <c r="S128" s="969"/>
      <c r="T128" s="969"/>
      <c r="U128" s="672">
        <v>8.3000000000000007</v>
      </c>
      <c r="V128" s="672">
        <f>VLOOKUP($V$5,'Lookup Vibration'!$B$8:$F$208,3)</f>
        <v>16.2</v>
      </c>
      <c r="W128" s="672">
        <f>VLOOKUP($V$5,'Lookup Vibration'!$B$8:$F$208,4)</f>
        <v>18</v>
      </c>
      <c r="X128" s="672">
        <f>VLOOKUP($V$5,'Lookup Vibration'!$B$8:$F$208,2)</f>
        <v>16.2</v>
      </c>
      <c r="Y128" s="361"/>
      <c r="Z128" s="364"/>
      <c r="AA128"/>
      <c r="AB128"/>
      <c r="AC128"/>
      <c r="AD128"/>
    </row>
    <row r="129" spans="17:30" ht="12.75" customHeight="1">
      <c r="Q129" s="360"/>
      <c r="R129" s="363"/>
      <c r="S129" s="363"/>
      <c r="T129" s="363"/>
      <c r="U129" s="363"/>
      <c r="V129" s="363"/>
      <c r="W129" s="363"/>
      <c r="X129" s="363"/>
      <c r="Y129" s="363"/>
      <c r="Z129" s="364"/>
      <c r="AA129"/>
      <c r="AB129"/>
      <c r="AC129"/>
      <c r="AD129"/>
    </row>
    <row r="130" spans="17:30" ht="12.75" customHeight="1">
      <c r="Q130" s="546" t="s">
        <v>235</v>
      </c>
      <c r="R130" s="952" t="s">
        <v>34</v>
      </c>
      <c r="S130" s="952"/>
      <c r="T130" s="952"/>
      <c r="U130" s="952"/>
      <c r="V130" s="952"/>
      <c r="W130" s="952"/>
      <c r="X130" s="952"/>
      <c r="Y130" s="952"/>
      <c r="Z130" s="360"/>
      <c r="AA130"/>
      <c r="AB130"/>
      <c r="AC130"/>
      <c r="AD130"/>
    </row>
    <row r="131" spans="17:30" ht="12.75" customHeight="1">
      <c r="Q131" s="546"/>
      <c r="R131" s="363"/>
      <c r="S131" s="363"/>
      <c r="T131" s="363"/>
      <c r="U131" s="363"/>
      <c r="V131" s="363"/>
      <c r="W131" s="363"/>
      <c r="X131" s="363"/>
      <c r="Y131" s="363"/>
      <c r="Z131" s="364"/>
      <c r="AA131"/>
      <c r="AB131"/>
      <c r="AC131"/>
      <c r="AD131"/>
    </row>
    <row r="132" spans="17:30" ht="12.75" customHeight="1">
      <c r="Q132" s="360"/>
      <c r="R132" s="998" t="s">
        <v>678</v>
      </c>
      <c r="S132" s="999"/>
      <c r="T132" s="1000"/>
      <c r="U132" s="949" t="s">
        <v>500</v>
      </c>
      <c r="V132" s="938" t="s">
        <v>22</v>
      </c>
      <c r="W132" s="940" t="s">
        <v>579</v>
      </c>
      <c r="X132" s="942" t="s">
        <v>21</v>
      </c>
      <c r="Y132" s="361"/>
      <c r="Z132" s="364"/>
      <c r="AA132"/>
      <c r="AB132"/>
      <c r="AC132"/>
      <c r="AD132"/>
    </row>
    <row r="133" spans="17:30" ht="12.75" customHeight="1">
      <c r="Q133" s="360"/>
      <c r="R133" s="1001"/>
      <c r="S133" s="1002"/>
      <c r="T133" s="1003"/>
      <c r="U133" s="950"/>
      <c r="V133" s="939"/>
      <c r="W133" s="941"/>
      <c r="X133" s="943"/>
      <c r="Y133" s="361"/>
      <c r="Z133" s="364"/>
      <c r="AA133"/>
      <c r="AB133"/>
      <c r="AC133"/>
      <c r="AD133"/>
    </row>
    <row r="134" spans="17:30" ht="12.75" customHeight="1">
      <c r="Q134" s="360"/>
      <c r="R134" s="1004" t="s">
        <v>298</v>
      </c>
      <c r="S134" s="1004"/>
      <c r="T134" s="1004"/>
      <c r="U134" s="673" t="s">
        <v>819</v>
      </c>
      <c r="V134" s="673" t="s">
        <v>818</v>
      </c>
      <c r="W134" s="673" t="s">
        <v>819</v>
      </c>
      <c r="X134" s="673" t="s">
        <v>818</v>
      </c>
      <c r="Y134" s="361"/>
      <c r="Z134" s="364"/>
      <c r="AA134"/>
      <c r="AB134"/>
      <c r="AC134"/>
      <c r="AD134"/>
    </row>
    <row r="135" spans="17:30" ht="12.75" customHeight="1">
      <c r="Q135" s="360"/>
      <c r="R135" s="931" t="s">
        <v>299</v>
      </c>
      <c r="S135" s="931"/>
      <c r="T135" s="931"/>
      <c r="U135" s="673" t="s">
        <v>297</v>
      </c>
      <c r="V135" s="673" t="s">
        <v>296</v>
      </c>
      <c r="W135" s="673" t="s">
        <v>296</v>
      </c>
      <c r="X135" s="673" t="s">
        <v>296</v>
      </c>
      <c r="Y135" s="361"/>
      <c r="Z135" s="364"/>
      <c r="AA135"/>
      <c r="AB135"/>
      <c r="AC135"/>
      <c r="AD135"/>
    </row>
    <row r="136" spans="17:30" ht="12.75" customHeight="1">
      <c r="Q136" s="360"/>
      <c r="R136" s="363"/>
      <c r="S136" s="363"/>
      <c r="T136" s="363"/>
      <c r="U136" s="363"/>
      <c r="V136" s="363"/>
      <c r="W136" s="363"/>
      <c r="X136" s="363"/>
      <c r="Y136" s="363"/>
      <c r="Z136" s="363"/>
      <c r="AA136"/>
      <c r="AB136"/>
      <c r="AC136"/>
      <c r="AD136"/>
    </row>
    <row r="137" spans="17:30" ht="12.75" customHeight="1">
      <c r="Q137" s="546" t="s">
        <v>236</v>
      </c>
      <c r="R137" s="952" t="s">
        <v>237</v>
      </c>
      <c r="S137" s="952"/>
      <c r="T137" s="952"/>
      <c r="U137" s="952"/>
      <c r="V137" s="952"/>
      <c r="W137" s="952"/>
      <c r="X137" s="952"/>
      <c r="Y137" s="952"/>
      <c r="Z137" s="360"/>
      <c r="AA137"/>
      <c r="AB137"/>
      <c r="AC137"/>
      <c r="AD137"/>
    </row>
    <row r="138" spans="17:30" ht="12.75" customHeight="1">
      <c r="Q138" s="360"/>
      <c r="R138" s="363"/>
      <c r="S138" s="363"/>
      <c r="T138" s="363"/>
      <c r="U138" s="363"/>
      <c r="V138" s="363"/>
      <c r="W138" s="363"/>
      <c r="X138" s="363"/>
      <c r="Y138" s="363"/>
      <c r="Z138" s="363"/>
      <c r="AA138"/>
      <c r="AB138"/>
      <c r="AC138"/>
      <c r="AD138"/>
    </row>
    <row r="139" spans="17:30" ht="12.75" customHeight="1">
      <c r="Q139" s="668" t="s">
        <v>238</v>
      </c>
      <c r="R139" s="364" t="s">
        <v>239</v>
      </c>
      <c r="S139" s="364"/>
      <c r="T139" s="364"/>
      <c r="U139" s="364"/>
      <c r="V139" s="364"/>
      <c r="W139" s="364"/>
      <c r="X139" s="364"/>
      <c r="Y139" s="364"/>
      <c r="Z139" s="364"/>
      <c r="AA139"/>
      <c r="AB139"/>
      <c r="AC139"/>
      <c r="AD139"/>
    </row>
    <row r="140" spans="17:30" ht="12.75" customHeight="1">
      <c r="Q140" s="668"/>
      <c r="R140" s="364" t="s">
        <v>469</v>
      </c>
      <c r="S140" s="364"/>
      <c r="T140" s="364"/>
      <c r="U140" s="364"/>
      <c r="V140" s="364"/>
      <c r="W140" s="364"/>
      <c r="X140" s="364"/>
      <c r="Y140" s="364"/>
      <c r="Z140" s="364"/>
      <c r="AA140"/>
      <c r="AB140"/>
      <c r="AC140"/>
      <c r="AD140"/>
    </row>
    <row r="141" spans="17:30" ht="12.75" customHeight="1">
      <c r="Q141" s="668"/>
      <c r="R141" s="364"/>
      <c r="S141" s="364"/>
      <c r="T141" s="364"/>
      <c r="U141" s="364"/>
      <c r="V141" s="364"/>
      <c r="W141" s="364"/>
      <c r="X141" s="364"/>
      <c r="Y141" s="364"/>
      <c r="Z141" s="364"/>
      <c r="AA141"/>
      <c r="AB141"/>
      <c r="AC141"/>
      <c r="AD141"/>
    </row>
    <row r="142" spans="17:30" ht="12.75" customHeight="1">
      <c r="Q142" s="668"/>
      <c r="R142" s="1005" t="s">
        <v>734</v>
      </c>
      <c r="S142" s="1006"/>
      <c r="T142" s="1006"/>
      <c r="U142" s="1006"/>
      <c r="V142" s="1006"/>
      <c r="W142" s="1007"/>
      <c r="X142" s="351">
        <f>'Compressor Input Data'!G5</f>
        <v>22800</v>
      </c>
      <c r="Y142" s="364"/>
      <c r="Z142" s="364"/>
      <c r="AA142"/>
      <c r="AB142"/>
      <c r="AC142"/>
      <c r="AD142"/>
    </row>
    <row r="143" spans="17:30" ht="12.75" customHeight="1">
      <c r="Q143" s="668"/>
      <c r="R143" s="990" t="s">
        <v>430</v>
      </c>
      <c r="S143" s="991"/>
      <c r="T143" s="992"/>
      <c r="U143" s="949" t="s">
        <v>500</v>
      </c>
      <c r="V143" s="938" t="s">
        <v>22</v>
      </c>
      <c r="W143" s="940" t="s">
        <v>579</v>
      </c>
      <c r="X143" s="942" t="s">
        <v>21</v>
      </c>
      <c r="Y143" s="361"/>
      <c r="Z143" s="364"/>
      <c r="AA143"/>
      <c r="AB143"/>
      <c r="AC143"/>
      <c r="AD143"/>
    </row>
    <row r="144" spans="17:30" ht="12.75" customHeight="1">
      <c r="Q144" s="668"/>
      <c r="R144" s="993"/>
      <c r="S144" s="994"/>
      <c r="T144" s="995"/>
      <c r="U144" s="950"/>
      <c r="V144" s="939"/>
      <c r="W144" s="941"/>
      <c r="X144" s="943"/>
      <c r="Y144" s="361"/>
      <c r="Z144" s="364"/>
      <c r="AA144"/>
      <c r="AB144"/>
      <c r="AC144"/>
      <c r="AD144"/>
    </row>
    <row r="145" spans="17:30" ht="12.75" customHeight="1">
      <c r="Q145" s="668"/>
      <c r="R145" s="973" t="s">
        <v>555</v>
      </c>
      <c r="S145" s="973"/>
      <c r="T145" s="973"/>
      <c r="U145" s="996"/>
      <c r="V145" s="544">
        <f>X145</f>
        <v>22800</v>
      </c>
      <c r="W145" s="544">
        <f>X145</f>
        <v>22800</v>
      </c>
      <c r="X145" s="544">
        <f>X142</f>
        <v>22800</v>
      </c>
      <c r="Y145" s="361"/>
      <c r="Z145" s="364"/>
      <c r="AA145"/>
      <c r="AB145"/>
      <c r="AC145"/>
      <c r="AD145"/>
    </row>
    <row r="146" spans="17:30" ht="12.75" customHeight="1">
      <c r="Q146" s="668"/>
      <c r="R146" s="973" t="s">
        <v>549</v>
      </c>
      <c r="S146" s="973"/>
      <c r="T146" s="973"/>
      <c r="U146" s="997"/>
      <c r="V146" s="544">
        <f>X146</f>
        <v>24</v>
      </c>
      <c r="W146" s="544">
        <f>V146</f>
        <v>24</v>
      </c>
      <c r="X146" s="544">
        <f>'Compressor Input Data'!J15</f>
        <v>24</v>
      </c>
      <c r="Y146" s="361"/>
      <c r="Z146" s="364"/>
      <c r="AA146"/>
      <c r="AB146"/>
      <c r="AC146"/>
      <c r="AD146"/>
    </row>
    <row r="147" spans="17:30" ht="12.75" customHeight="1">
      <c r="Q147" s="668"/>
      <c r="R147" s="970" t="s">
        <v>556</v>
      </c>
      <c r="S147" s="971"/>
      <c r="T147" s="972"/>
      <c r="U147" s="566">
        <f>U62</f>
        <v>2.6666666666666665</v>
      </c>
      <c r="V147" s="566">
        <f>V62</f>
        <v>2.6666666666666665</v>
      </c>
      <c r="W147" s="566">
        <f>W62</f>
        <v>1.9999999999999996</v>
      </c>
      <c r="X147" s="566">
        <f>X62</f>
        <v>1.7777777777777777</v>
      </c>
      <c r="Y147" s="361"/>
      <c r="Z147" s="364"/>
      <c r="AA147"/>
      <c r="AB147"/>
      <c r="AC147"/>
      <c r="AD147"/>
    </row>
    <row r="148" spans="17:30" ht="12.75" customHeight="1">
      <c r="Q148" s="668"/>
      <c r="R148" s="973" t="s">
        <v>575</v>
      </c>
      <c r="S148" s="973"/>
      <c r="T148" s="973"/>
      <c r="U148" s="531">
        <f>W148</f>
        <v>0.22500000000000001</v>
      </c>
      <c r="V148" s="531">
        <f>X148</f>
        <v>0.22500000000000001</v>
      </c>
      <c r="W148" s="531">
        <f>V148</f>
        <v>0.22500000000000001</v>
      </c>
      <c r="X148" s="531">
        <f>'Compressor Input Data'!J17</f>
        <v>0.22500000000000001</v>
      </c>
      <c r="Y148" s="361"/>
      <c r="Z148" s="364"/>
      <c r="AA148"/>
      <c r="AB148"/>
      <c r="AC148"/>
      <c r="AD148"/>
    </row>
    <row r="149" spans="17:30" ht="12.75" customHeight="1">
      <c r="Q149" s="668"/>
      <c r="R149" s="987"/>
      <c r="S149" s="988"/>
      <c r="T149" s="988"/>
      <c r="U149" s="988"/>
      <c r="V149" s="988"/>
      <c r="W149" s="988"/>
      <c r="X149" s="989"/>
      <c r="Y149" s="364"/>
      <c r="Z149" s="364"/>
      <c r="AA149"/>
      <c r="AB149"/>
      <c r="AC149"/>
      <c r="AD149"/>
    </row>
    <row r="150" spans="17:30" ht="12.75" customHeight="1">
      <c r="Q150" s="668"/>
      <c r="R150" s="990" t="s">
        <v>467</v>
      </c>
      <c r="S150" s="991"/>
      <c r="T150" s="992"/>
      <c r="U150" s="949" t="s">
        <v>500</v>
      </c>
      <c r="V150" s="938" t="s">
        <v>22</v>
      </c>
      <c r="W150" s="940" t="s">
        <v>579</v>
      </c>
      <c r="X150" s="942" t="s">
        <v>21</v>
      </c>
      <c r="Y150" s="361"/>
      <c r="Z150" s="364"/>
      <c r="AA150"/>
      <c r="AB150"/>
      <c r="AC150"/>
      <c r="AD150"/>
    </row>
    <row r="151" spans="17:30" ht="12.75" customHeight="1">
      <c r="Q151" s="668"/>
      <c r="R151" s="993"/>
      <c r="S151" s="994"/>
      <c r="T151" s="995"/>
      <c r="U151" s="950"/>
      <c r="V151" s="939"/>
      <c r="W151" s="941"/>
      <c r="X151" s="943"/>
      <c r="Y151" s="361"/>
      <c r="Z151" s="364"/>
      <c r="AA151"/>
      <c r="AB151"/>
      <c r="AC151"/>
      <c r="AD151"/>
    </row>
    <row r="152" spans="17:30" ht="12.75" customHeight="1">
      <c r="Q152" s="668"/>
      <c r="R152" s="973" t="s">
        <v>554</v>
      </c>
      <c r="S152" s="973"/>
      <c r="T152" s="973"/>
      <c r="U152" s="986"/>
      <c r="V152" s="569">
        <f>X152</f>
        <v>1</v>
      </c>
      <c r="W152" s="570">
        <f>V152</f>
        <v>1</v>
      </c>
      <c r="X152" s="570">
        <f>'Compressor Input Data'!J20</f>
        <v>1</v>
      </c>
      <c r="Y152" s="361"/>
      <c r="Z152" s="364"/>
      <c r="AA152"/>
      <c r="AB152"/>
      <c r="AC152"/>
      <c r="AD152"/>
    </row>
    <row r="153" spans="17:30" ht="12.75" customHeight="1">
      <c r="Q153" s="668"/>
      <c r="R153" s="983" t="s">
        <v>551</v>
      </c>
      <c r="S153" s="984"/>
      <c r="T153" s="985"/>
      <c r="U153" s="986"/>
      <c r="V153" s="571">
        <f>V147/V146</f>
        <v>0.1111111111111111</v>
      </c>
      <c r="W153" s="571">
        <f>W147/W146</f>
        <v>8.3333333333333315E-2</v>
      </c>
      <c r="X153" s="571">
        <f>X147/X146</f>
        <v>7.407407407407407E-2</v>
      </c>
      <c r="Y153" s="361"/>
      <c r="Z153" s="364"/>
      <c r="AA153"/>
      <c r="AB153"/>
      <c r="AC153"/>
      <c r="AD153"/>
    </row>
    <row r="154" spans="17:30" ht="12.75" customHeight="1">
      <c r="Q154" s="668"/>
      <c r="R154" s="973" t="s">
        <v>552</v>
      </c>
      <c r="S154" s="973"/>
      <c r="T154" s="973"/>
      <c r="U154" s="986"/>
      <c r="V154" s="572">
        <f>X154</f>
        <v>0.6</v>
      </c>
      <c r="W154" s="572">
        <f>V154</f>
        <v>0.6</v>
      </c>
      <c r="X154" s="572">
        <f>'Compressor Input Data'!J22</f>
        <v>0.6</v>
      </c>
      <c r="Y154" s="361"/>
      <c r="Z154" s="364"/>
      <c r="AA154"/>
      <c r="AB154"/>
      <c r="AC154"/>
      <c r="AD154"/>
    </row>
    <row r="155" spans="17:30" ht="12.75" customHeight="1">
      <c r="Q155" s="668"/>
      <c r="R155" s="987"/>
      <c r="S155" s="988"/>
      <c r="T155" s="988"/>
      <c r="U155" s="988"/>
      <c r="V155" s="988"/>
      <c r="W155" s="988"/>
      <c r="X155" s="989"/>
      <c r="Y155" s="364"/>
      <c r="Z155" s="364"/>
      <c r="AA155"/>
      <c r="AB155"/>
      <c r="AC155"/>
      <c r="AD155"/>
    </row>
    <row r="156" spans="17:30" ht="12.75" customHeight="1">
      <c r="Q156" s="668"/>
      <c r="R156" s="990" t="s">
        <v>468</v>
      </c>
      <c r="S156" s="991"/>
      <c r="T156" s="992"/>
      <c r="U156" s="949" t="s">
        <v>500</v>
      </c>
      <c r="V156" s="938" t="s">
        <v>22</v>
      </c>
      <c r="W156" s="940" t="s">
        <v>579</v>
      </c>
      <c r="X156" s="942" t="s">
        <v>21</v>
      </c>
      <c r="Y156" s="361"/>
      <c r="Z156" s="364"/>
      <c r="AA156"/>
      <c r="AB156"/>
      <c r="AC156"/>
      <c r="AD156"/>
    </row>
    <row r="157" spans="17:30" ht="12.75" customHeight="1">
      <c r="Q157" s="668"/>
      <c r="R157" s="993"/>
      <c r="S157" s="994"/>
      <c r="T157" s="995"/>
      <c r="U157" s="950"/>
      <c r="V157" s="939"/>
      <c r="W157" s="941"/>
      <c r="X157" s="943"/>
      <c r="Y157" s="361"/>
      <c r="Z157" s="364"/>
      <c r="AA157"/>
      <c r="AB157"/>
      <c r="AC157"/>
      <c r="AD157"/>
    </row>
    <row r="158" spans="17:30" ht="12.75" customHeight="1">
      <c r="Q158" s="668"/>
      <c r="R158" s="973" t="s">
        <v>554</v>
      </c>
      <c r="S158" s="973"/>
      <c r="T158" s="973"/>
      <c r="U158" s="980"/>
      <c r="V158" s="572">
        <f>X158</f>
        <v>0.5</v>
      </c>
      <c r="W158" s="572">
        <f>V158</f>
        <v>0.5</v>
      </c>
      <c r="X158" s="572">
        <f>'Compressor Input Data'!J25</f>
        <v>0.5</v>
      </c>
      <c r="Y158" s="361"/>
      <c r="Z158" s="364"/>
      <c r="AA158"/>
      <c r="AB158"/>
      <c r="AC158"/>
      <c r="AD158"/>
    </row>
    <row r="159" spans="17:30" ht="12.75" customHeight="1">
      <c r="Q159" s="668"/>
      <c r="R159" s="983" t="s">
        <v>551</v>
      </c>
      <c r="S159" s="984"/>
      <c r="T159" s="985"/>
      <c r="U159" s="981"/>
      <c r="V159" s="572">
        <f>V152-V153</f>
        <v>0.88888888888888884</v>
      </c>
      <c r="W159" s="572">
        <f>W152-W153</f>
        <v>0.91666666666666674</v>
      </c>
      <c r="X159" s="572">
        <f>X152-X153</f>
        <v>0.92592592592592593</v>
      </c>
      <c r="Y159" s="361"/>
      <c r="Z159" s="364"/>
      <c r="AA159"/>
      <c r="AB159"/>
      <c r="AC159"/>
      <c r="AD159"/>
    </row>
    <row r="160" spans="17:30" ht="12.75" customHeight="1">
      <c r="Q160" s="668"/>
      <c r="R160" s="973" t="s">
        <v>552</v>
      </c>
      <c r="S160" s="973"/>
      <c r="T160" s="973"/>
      <c r="U160" s="982"/>
      <c r="V160" s="572">
        <f>X160</f>
        <v>0.6</v>
      </c>
      <c r="W160" s="572">
        <f>V160</f>
        <v>0.6</v>
      </c>
      <c r="X160" s="572">
        <f>'Compressor Input Data'!J27</f>
        <v>0.6</v>
      </c>
      <c r="Y160" s="361"/>
      <c r="Z160" s="364"/>
      <c r="AA160"/>
      <c r="AB160"/>
      <c r="AC160"/>
      <c r="AD160"/>
    </row>
    <row r="161" spans="17:30" ht="12.75" customHeight="1">
      <c r="Q161" s="668"/>
      <c r="R161" s="567"/>
      <c r="S161" s="568"/>
      <c r="T161" s="568"/>
      <c r="U161" s="573"/>
      <c r="V161" s="573"/>
      <c r="W161" s="573"/>
      <c r="X161" s="574"/>
      <c r="Y161" s="364"/>
      <c r="Z161" s="364"/>
      <c r="AA161"/>
      <c r="AB161"/>
      <c r="AC161"/>
      <c r="AD161"/>
    </row>
    <row r="162" spans="17:30" ht="12.75" customHeight="1">
      <c r="Q162" s="668"/>
      <c r="R162" s="901" t="s">
        <v>471</v>
      </c>
      <c r="S162" s="901"/>
      <c r="T162" s="901"/>
      <c r="U162" s="930" t="s">
        <v>500</v>
      </c>
      <c r="V162" s="928" t="s">
        <v>22</v>
      </c>
      <c r="W162" s="929" t="s">
        <v>579</v>
      </c>
      <c r="X162" s="927" t="s">
        <v>21</v>
      </c>
      <c r="Y162" s="361"/>
      <c r="Z162" s="364"/>
      <c r="AA162"/>
      <c r="AB162"/>
      <c r="AC162"/>
      <c r="AD162"/>
    </row>
    <row r="163" spans="17:30" ht="12.75" customHeight="1">
      <c r="Q163" s="668"/>
      <c r="R163" s="901"/>
      <c r="S163" s="901"/>
      <c r="T163" s="901"/>
      <c r="U163" s="930"/>
      <c r="V163" s="928"/>
      <c r="W163" s="929"/>
      <c r="X163" s="927"/>
      <c r="Y163" s="361"/>
      <c r="Z163" s="364"/>
      <c r="AA163"/>
      <c r="AB163"/>
      <c r="AC163"/>
      <c r="AD163"/>
    </row>
    <row r="164" spans="17:30" ht="12.75" customHeight="1">
      <c r="Q164" s="668"/>
      <c r="R164" s="973" t="s">
        <v>472</v>
      </c>
      <c r="S164" s="973"/>
      <c r="T164" s="973"/>
      <c r="U164" s="544">
        <f>$V$224</f>
        <v>938.66666666666674</v>
      </c>
      <c r="V164" s="544">
        <f>($V$145*$V$146*$V$153*$V$152)/$V$154</f>
        <v>101333.33333333334</v>
      </c>
      <c r="W164" s="544">
        <f>($W$145*$W$146*$W$153*$W$152)/$W$154</f>
        <v>75999.999999999985</v>
      </c>
      <c r="X164" s="544">
        <f>($X$145*$X$146*$X$153*$X$152)/$X$154</f>
        <v>67555.555555555547</v>
      </c>
      <c r="Y164" s="361"/>
      <c r="Z164" s="364"/>
      <c r="AA164"/>
      <c r="AB164"/>
      <c r="AC164"/>
      <c r="AD164"/>
    </row>
    <row r="165" spans="17:30" ht="12.75" customHeight="1">
      <c r="Q165" s="668"/>
      <c r="R165" s="973" t="s">
        <v>473</v>
      </c>
      <c r="S165" s="973"/>
      <c r="T165" s="973"/>
      <c r="U165" s="543"/>
      <c r="V165" s="544">
        <f>($V$145*$V$146*$V$159*$V$158)/$V$160</f>
        <v>405333.33333333337</v>
      </c>
      <c r="W165" s="544">
        <f>($W$145*$W$146*$W$159*$W$158)/$W$160</f>
        <v>418000.00000000006</v>
      </c>
      <c r="X165" s="544">
        <f>($X$145*$X$146*$X$159*$X$158)/$X$160</f>
        <v>422222.22222222225</v>
      </c>
      <c r="Y165" s="361"/>
      <c r="Z165" s="364"/>
      <c r="AA165"/>
      <c r="AB165"/>
      <c r="AC165"/>
      <c r="AD165"/>
    </row>
    <row r="166" spans="17:30" ht="12.75" customHeight="1">
      <c r="Q166" s="668"/>
      <c r="R166" s="567"/>
      <c r="S166" s="568"/>
      <c r="T166" s="568"/>
      <c r="U166" s="573"/>
      <c r="V166" s="573"/>
      <c r="W166" s="573"/>
      <c r="X166" s="574"/>
      <c r="Y166" s="364"/>
      <c r="Z166" s="364"/>
      <c r="AA166"/>
      <c r="AB166"/>
      <c r="AC166"/>
      <c r="AD166"/>
    </row>
    <row r="167" spans="17:30" ht="12.75" customHeight="1">
      <c r="Q167" s="668"/>
      <c r="R167" s="901" t="s">
        <v>474</v>
      </c>
      <c r="S167" s="901"/>
      <c r="T167" s="901"/>
      <c r="U167" s="930" t="s">
        <v>500</v>
      </c>
      <c r="V167" s="928" t="s">
        <v>22</v>
      </c>
      <c r="W167" s="929" t="s">
        <v>579</v>
      </c>
      <c r="X167" s="927" t="s">
        <v>21</v>
      </c>
      <c r="Y167" s="361"/>
      <c r="Z167" s="364"/>
      <c r="AA167"/>
      <c r="AB167"/>
      <c r="AC167"/>
      <c r="AD167"/>
    </row>
    <row r="168" spans="17:30" ht="12.75" customHeight="1">
      <c r="Q168" s="668"/>
      <c r="R168" s="901"/>
      <c r="S168" s="901"/>
      <c r="T168" s="901"/>
      <c r="U168" s="930"/>
      <c r="V168" s="928"/>
      <c r="W168" s="929"/>
      <c r="X168" s="927"/>
      <c r="Y168" s="361"/>
      <c r="Z168" s="364"/>
      <c r="AA168"/>
      <c r="AB168"/>
      <c r="AC168"/>
      <c r="AD168"/>
    </row>
    <row r="169" spans="17:30" ht="12.75" customHeight="1">
      <c r="Q169" s="668"/>
      <c r="R169" s="973" t="s">
        <v>472</v>
      </c>
      <c r="S169" s="973"/>
      <c r="T169" s="973"/>
      <c r="U169" s="544">
        <f>U164*$V$11</f>
        <v>21589.333333333336</v>
      </c>
      <c r="V169" s="544">
        <f>V164*$V$11</f>
        <v>2330666.666666667</v>
      </c>
      <c r="W169" s="544">
        <f>W164*$V$11</f>
        <v>1747999.9999999998</v>
      </c>
      <c r="X169" s="544">
        <f>X164*$V$11</f>
        <v>1553777.7777777775</v>
      </c>
      <c r="Y169" s="361"/>
      <c r="Z169" s="364"/>
      <c r="AA169"/>
      <c r="AB169"/>
      <c r="AC169"/>
      <c r="AD169"/>
    </row>
    <row r="170" spans="17:30" ht="12.75" customHeight="1">
      <c r="Q170" s="668"/>
      <c r="R170" s="973" t="s">
        <v>473</v>
      </c>
      <c r="S170" s="973"/>
      <c r="T170" s="973"/>
      <c r="U170" s="543"/>
      <c r="V170" s="544">
        <f>V165*$V$11</f>
        <v>9322666.6666666679</v>
      </c>
      <c r="W170" s="544">
        <f>W165*$V$11</f>
        <v>9614000.0000000019</v>
      </c>
      <c r="X170" s="544">
        <f>X165*$V$11</f>
        <v>9711111.1111111119</v>
      </c>
      <c r="Y170" s="361"/>
      <c r="Z170" s="364"/>
      <c r="AA170"/>
      <c r="AB170"/>
      <c r="AC170"/>
      <c r="AD170"/>
    </row>
    <row r="171" spans="17:30" ht="12.75" customHeight="1">
      <c r="Q171" s="668"/>
      <c r="R171" s="567"/>
      <c r="S171" s="568"/>
      <c r="T171" s="568"/>
      <c r="U171" s="573"/>
      <c r="V171" s="573"/>
      <c r="W171" s="573"/>
      <c r="X171" s="574"/>
      <c r="Y171" s="364"/>
      <c r="Z171" s="364"/>
      <c r="AA171"/>
      <c r="AB171"/>
      <c r="AC171"/>
      <c r="AD171"/>
    </row>
    <row r="172" spans="17:30" ht="12.75" customHeight="1">
      <c r="Q172" s="668"/>
      <c r="R172" s="901" t="s">
        <v>474</v>
      </c>
      <c r="S172" s="901"/>
      <c r="T172" s="901"/>
      <c r="U172" s="930" t="s">
        <v>500</v>
      </c>
      <c r="V172" s="928" t="s">
        <v>22</v>
      </c>
      <c r="W172" s="929" t="s">
        <v>579</v>
      </c>
      <c r="X172" s="927" t="s">
        <v>21</v>
      </c>
      <c r="Y172" s="361"/>
      <c r="Z172" s="364"/>
      <c r="AA172"/>
      <c r="AB172"/>
      <c r="AC172"/>
      <c r="AD172"/>
    </row>
    <row r="173" spans="17:30" ht="12.75" customHeight="1">
      <c r="Q173" s="668"/>
      <c r="R173" s="901"/>
      <c r="S173" s="901"/>
      <c r="T173" s="901"/>
      <c r="U173" s="930"/>
      <c r="V173" s="928"/>
      <c r="W173" s="929"/>
      <c r="X173" s="927"/>
      <c r="Y173" s="361"/>
      <c r="Z173" s="364"/>
      <c r="AA173"/>
      <c r="AB173"/>
      <c r="AC173"/>
      <c r="AD173"/>
    </row>
    <row r="174" spans="17:30" ht="12.75" customHeight="1">
      <c r="Q174" s="668"/>
      <c r="R174" s="973" t="s">
        <v>472</v>
      </c>
      <c r="S174" s="973"/>
      <c r="T174" s="973"/>
      <c r="U174" s="544">
        <f>U169*12</f>
        <v>259072.00000000003</v>
      </c>
      <c r="V174" s="544">
        <f>V169*12</f>
        <v>27968000.000000004</v>
      </c>
      <c r="W174" s="544">
        <f>W169*12</f>
        <v>20975999.999999996</v>
      </c>
      <c r="X174" s="544">
        <f>X169*12</f>
        <v>18645333.333333328</v>
      </c>
      <c r="Y174" s="361"/>
      <c r="Z174" s="364"/>
      <c r="AA174"/>
      <c r="AB174"/>
      <c r="AC174"/>
      <c r="AD174"/>
    </row>
    <row r="175" spans="17:30" ht="12.75" customHeight="1">
      <c r="Q175" s="668"/>
      <c r="R175" s="973" t="s">
        <v>473</v>
      </c>
      <c r="S175" s="973"/>
      <c r="T175" s="973"/>
      <c r="U175" s="543"/>
      <c r="V175" s="544">
        <f>V170*12</f>
        <v>111872000.00000001</v>
      </c>
      <c r="W175" s="544">
        <f>W170*12</f>
        <v>115368000.00000003</v>
      </c>
      <c r="X175" s="544">
        <f>X170*12</f>
        <v>116533333.33333334</v>
      </c>
      <c r="Y175" s="361"/>
      <c r="Z175" s="364"/>
      <c r="AA175"/>
      <c r="AB175"/>
      <c r="AC175"/>
      <c r="AD175"/>
    </row>
    <row r="176" spans="17:30" ht="12.75" customHeight="1">
      <c r="Q176" s="668"/>
      <c r="R176" s="381"/>
      <c r="S176" s="381"/>
      <c r="T176" s="381"/>
      <c r="U176" s="381"/>
      <c r="V176" s="381"/>
      <c r="W176" s="381"/>
      <c r="X176" s="381"/>
      <c r="Y176" s="364"/>
      <c r="Z176" s="364"/>
      <c r="AA176"/>
      <c r="AB176"/>
      <c r="AC176"/>
      <c r="AD176"/>
    </row>
    <row r="177" spans="17:30" ht="12.75" customHeight="1">
      <c r="Q177" s="668"/>
      <c r="R177" s="901" t="s">
        <v>433</v>
      </c>
      <c r="S177" s="901"/>
      <c r="T177" s="901"/>
      <c r="U177" s="949" t="s">
        <v>500</v>
      </c>
      <c r="V177" s="938" t="s">
        <v>22</v>
      </c>
      <c r="W177" s="940" t="s">
        <v>579</v>
      </c>
      <c r="X177" s="942" t="s">
        <v>21</v>
      </c>
      <c r="Y177" s="361"/>
      <c r="Z177" s="364"/>
      <c r="AA177"/>
      <c r="AB177"/>
      <c r="AC177"/>
      <c r="AD177"/>
    </row>
    <row r="178" spans="17:30" ht="12.75" customHeight="1">
      <c r="Q178" s="668"/>
      <c r="R178" s="901"/>
      <c r="S178" s="901"/>
      <c r="T178" s="901"/>
      <c r="U178" s="950"/>
      <c r="V178" s="939"/>
      <c r="W178" s="941"/>
      <c r="X178" s="943"/>
      <c r="Y178" s="361"/>
      <c r="Z178" s="364"/>
      <c r="AA178"/>
      <c r="AB178"/>
      <c r="AC178"/>
      <c r="AD178"/>
    </row>
    <row r="179" spans="17:30" ht="12.75" customHeight="1">
      <c r="Q179" s="668"/>
      <c r="R179" s="970" t="s">
        <v>459</v>
      </c>
      <c r="S179" s="971"/>
      <c r="T179" s="972"/>
      <c r="U179" s="544">
        <f>U164</f>
        <v>938.66666666666674</v>
      </c>
      <c r="V179" s="544">
        <f>V164+V165</f>
        <v>506666.66666666674</v>
      </c>
      <c r="W179" s="544">
        <f>W164+W165</f>
        <v>494000.00000000006</v>
      </c>
      <c r="X179" s="544">
        <f>X164+X165</f>
        <v>489777.77777777781</v>
      </c>
      <c r="Y179" s="361"/>
      <c r="Z179" s="364"/>
      <c r="AA179"/>
      <c r="AB179"/>
      <c r="AC179"/>
      <c r="AD179"/>
    </row>
    <row r="180" spans="17:30" ht="12.75" customHeight="1">
      <c r="Q180" s="668"/>
      <c r="R180" s="973" t="s">
        <v>307</v>
      </c>
      <c r="S180" s="973"/>
      <c r="T180" s="973"/>
      <c r="U180" s="544">
        <f>U169</f>
        <v>21589.333333333336</v>
      </c>
      <c r="V180" s="544">
        <f>V169+V170</f>
        <v>11653333.333333336</v>
      </c>
      <c r="W180" s="544">
        <f>W169+W170</f>
        <v>11362000.000000002</v>
      </c>
      <c r="X180" s="544">
        <f>X169+X170</f>
        <v>11264888.88888889</v>
      </c>
      <c r="Y180" s="361"/>
      <c r="Z180" s="364"/>
      <c r="AA180"/>
      <c r="AB180"/>
      <c r="AC180"/>
      <c r="AD180"/>
    </row>
    <row r="181" spans="17:30" ht="12.75" customHeight="1">
      <c r="Q181" s="668"/>
      <c r="R181" s="973" t="s">
        <v>308</v>
      </c>
      <c r="S181" s="973"/>
      <c r="T181" s="973"/>
      <c r="U181" s="544">
        <f>U174</f>
        <v>259072.00000000003</v>
      </c>
      <c r="V181" s="544">
        <f>V174+V175</f>
        <v>139840000.00000003</v>
      </c>
      <c r="W181" s="544">
        <f>W174+W175</f>
        <v>136344000.00000003</v>
      </c>
      <c r="X181" s="544">
        <f>X174+X175</f>
        <v>135178666.66666669</v>
      </c>
      <c r="Y181" s="361"/>
      <c r="Z181" s="364"/>
      <c r="AA181"/>
      <c r="AB181"/>
      <c r="AC181"/>
      <c r="AD181"/>
    </row>
    <row r="182" spans="17:30" ht="12.75" customHeight="1">
      <c r="Q182" s="668"/>
      <c r="R182" s="381"/>
      <c r="S182" s="381"/>
      <c r="T182" s="381"/>
      <c r="U182" s="381"/>
      <c r="V182" s="381"/>
      <c r="W182" s="381"/>
      <c r="X182" s="381"/>
      <c r="Y182" s="364"/>
      <c r="Z182" s="364"/>
      <c r="AA182"/>
      <c r="AB182"/>
      <c r="AC182"/>
      <c r="AD182"/>
    </row>
    <row r="183" spans="17:30" ht="12.75" customHeight="1">
      <c r="Q183" s="668"/>
      <c r="R183" s="901" t="s">
        <v>475</v>
      </c>
      <c r="S183" s="901"/>
      <c r="T183" s="901"/>
      <c r="U183" s="930" t="s">
        <v>500</v>
      </c>
      <c r="V183" s="928" t="s">
        <v>22</v>
      </c>
      <c r="W183" s="929" t="s">
        <v>579</v>
      </c>
      <c r="X183" s="927" t="s">
        <v>21</v>
      </c>
      <c r="Y183" s="361"/>
      <c r="Z183" s="364"/>
      <c r="AA183"/>
      <c r="AB183"/>
      <c r="AC183"/>
      <c r="AD183"/>
    </row>
    <row r="184" spans="17:30" ht="12.75" customHeight="1">
      <c r="Q184" s="668"/>
      <c r="R184" s="901"/>
      <c r="S184" s="901"/>
      <c r="T184" s="901"/>
      <c r="U184" s="930"/>
      <c r="V184" s="928"/>
      <c r="W184" s="929"/>
      <c r="X184" s="927"/>
      <c r="Y184" s="361"/>
      <c r="Z184" s="364"/>
      <c r="AA184"/>
      <c r="AB184"/>
      <c r="AC184"/>
      <c r="AD184"/>
    </row>
    <row r="185" spans="17:30" ht="12.75" customHeight="1">
      <c r="Q185" s="668"/>
      <c r="R185" s="973" t="s">
        <v>472</v>
      </c>
      <c r="S185" s="973"/>
      <c r="T185" s="973"/>
      <c r="U185" s="593">
        <f>$V$224*$U$148</f>
        <v>211.20000000000002</v>
      </c>
      <c r="V185" s="593">
        <f>($V$145*$V$146*$V$153*$V$152*$V$148)/$V$154</f>
        <v>22800</v>
      </c>
      <c r="W185" s="593">
        <f>($W$145*$W$146*$W$153*$W$152*$W$148)/$W$154</f>
        <v>17099.999999999996</v>
      </c>
      <c r="X185" s="593">
        <f>($X$145*$X$146*$X$153*$X$152*$X$148)/$X$154</f>
        <v>15200</v>
      </c>
      <c r="Y185" s="361"/>
      <c r="Z185" s="364"/>
      <c r="AA185"/>
      <c r="AB185"/>
      <c r="AC185"/>
      <c r="AD185"/>
    </row>
    <row r="186" spans="17:30" ht="12.75" customHeight="1">
      <c r="Q186" s="668"/>
      <c r="R186" s="973" t="s">
        <v>473</v>
      </c>
      <c r="S186" s="973"/>
      <c r="T186" s="973"/>
      <c r="U186" s="543"/>
      <c r="V186" s="593">
        <f>($V$145*$V$146*$V$159*$V$158*$V$148)/$V$160</f>
        <v>91200</v>
      </c>
      <c r="W186" s="593">
        <f>($W$145*$W$146*$W$159*$W$158*$W$148)/$W$160</f>
        <v>94050.000000000015</v>
      </c>
      <c r="X186" s="593">
        <f>($X$145*$X$146*$X$159*$X$158*$X$148)/$X$160</f>
        <v>95000</v>
      </c>
      <c r="Y186" s="361"/>
      <c r="Z186" s="364"/>
      <c r="AA186"/>
      <c r="AB186"/>
      <c r="AC186"/>
      <c r="AD186"/>
    </row>
    <row r="187" spans="17:30" ht="12.75" customHeight="1">
      <c r="Q187" s="668"/>
      <c r="R187" s="381"/>
      <c r="S187" s="381"/>
      <c r="T187" s="381"/>
      <c r="U187" s="381"/>
      <c r="V187" s="381"/>
      <c r="W187" s="381"/>
      <c r="X187" s="381"/>
      <c r="Y187" s="552"/>
      <c r="Z187" s="364"/>
      <c r="AA187"/>
      <c r="AB187"/>
      <c r="AC187"/>
      <c r="AD187"/>
    </row>
    <row r="188" spans="17:30" ht="12.75" customHeight="1">
      <c r="Q188" s="668"/>
      <c r="R188" s="901" t="s">
        <v>476</v>
      </c>
      <c r="S188" s="901"/>
      <c r="T188" s="901"/>
      <c r="U188" s="930" t="s">
        <v>500</v>
      </c>
      <c r="V188" s="928" t="s">
        <v>22</v>
      </c>
      <c r="W188" s="929" t="s">
        <v>579</v>
      </c>
      <c r="X188" s="927" t="s">
        <v>21</v>
      </c>
      <c r="Y188" s="361"/>
      <c r="Z188" s="364"/>
      <c r="AA188"/>
      <c r="AB188"/>
      <c r="AC188"/>
      <c r="AD188"/>
    </row>
    <row r="189" spans="17:30" ht="12.75" customHeight="1">
      <c r="Q189" s="668"/>
      <c r="R189" s="901"/>
      <c r="S189" s="901"/>
      <c r="T189" s="901"/>
      <c r="U189" s="930"/>
      <c r="V189" s="928"/>
      <c r="W189" s="929"/>
      <c r="X189" s="927"/>
      <c r="Y189" s="361"/>
      <c r="Z189" s="364"/>
      <c r="AA189"/>
      <c r="AB189"/>
      <c r="AC189"/>
      <c r="AD189"/>
    </row>
    <row r="190" spans="17:30" ht="12.75" customHeight="1">
      <c r="Q190" s="668"/>
      <c r="R190" s="973" t="s">
        <v>472</v>
      </c>
      <c r="S190" s="973"/>
      <c r="T190" s="973"/>
      <c r="U190" s="593">
        <f>U185*$V$11</f>
        <v>4857.6000000000004</v>
      </c>
      <c r="V190" s="593">
        <f>V185*$V$11</f>
        <v>524400</v>
      </c>
      <c r="W190" s="593">
        <f>W185*$V$11</f>
        <v>393299.99999999994</v>
      </c>
      <c r="X190" s="593">
        <f>X185*$V$11</f>
        <v>349600</v>
      </c>
      <c r="Y190" s="361"/>
      <c r="Z190" s="364"/>
      <c r="AA190"/>
      <c r="AB190"/>
      <c r="AC190"/>
      <c r="AD190"/>
    </row>
    <row r="191" spans="17:30" ht="12.75" customHeight="1">
      <c r="Q191" s="668"/>
      <c r="R191" s="973" t="s">
        <v>473</v>
      </c>
      <c r="S191" s="973"/>
      <c r="T191" s="973"/>
      <c r="U191" s="543"/>
      <c r="V191" s="593">
        <f>V186*$V$11</f>
        <v>2097600</v>
      </c>
      <c r="W191" s="593">
        <f>W186*$V$11</f>
        <v>2163150.0000000005</v>
      </c>
      <c r="X191" s="593">
        <f>X186*$V$11</f>
        <v>2185000</v>
      </c>
      <c r="Y191" s="361"/>
      <c r="Z191" s="364"/>
      <c r="AA191"/>
      <c r="AB191"/>
      <c r="AC191"/>
      <c r="AD191"/>
    </row>
    <row r="192" spans="17:30" ht="12.75" customHeight="1">
      <c r="Q192" s="668"/>
      <c r="R192" s="367"/>
      <c r="S192" s="367"/>
      <c r="T192" s="367"/>
      <c r="U192" s="367"/>
      <c r="V192" s="367"/>
      <c r="W192" s="367"/>
      <c r="X192" s="367"/>
      <c r="Y192" s="364"/>
      <c r="Z192" s="364"/>
      <c r="AA192"/>
      <c r="AB192"/>
      <c r="AC192"/>
      <c r="AD192"/>
    </row>
    <row r="193" spans="17:30" ht="12.75" customHeight="1">
      <c r="Q193" s="668"/>
      <c r="R193" s="901" t="s">
        <v>477</v>
      </c>
      <c r="S193" s="901"/>
      <c r="T193" s="901"/>
      <c r="U193" s="930" t="s">
        <v>500</v>
      </c>
      <c r="V193" s="928" t="s">
        <v>22</v>
      </c>
      <c r="W193" s="929" t="s">
        <v>579</v>
      </c>
      <c r="X193" s="927" t="s">
        <v>21</v>
      </c>
      <c r="Y193" s="361"/>
      <c r="Z193" s="364"/>
      <c r="AA193"/>
      <c r="AB193"/>
      <c r="AC193"/>
      <c r="AD193"/>
    </row>
    <row r="194" spans="17:30" ht="12.75" customHeight="1">
      <c r="Q194" s="668"/>
      <c r="R194" s="901"/>
      <c r="S194" s="901"/>
      <c r="T194" s="901"/>
      <c r="U194" s="930"/>
      <c r="V194" s="928"/>
      <c r="W194" s="929"/>
      <c r="X194" s="927"/>
      <c r="Y194" s="361"/>
      <c r="Z194" s="364"/>
      <c r="AA194"/>
      <c r="AB194"/>
      <c r="AC194"/>
      <c r="AD194"/>
    </row>
    <row r="195" spans="17:30" ht="12.75" customHeight="1">
      <c r="Q195" s="668"/>
      <c r="R195" s="973" t="s">
        <v>472</v>
      </c>
      <c r="S195" s="973"/>
      <c r="T195" s="973"/>
      <c r="U195" s="593">
        <f>U190*12</f>
        <v>58291.200000000004</v>
      </c>
      <c r="V195" s="593">
        <f>V190*12</f>
        <v>6292800</v>
      </c>
      <c r="W195" s="593">
        <f>W190*12</f>
        <v>4719599.9999999991</v>
      </c>
      <c r="X195" s="593">
        <f>X190*12</f>
        <v>4195200</v>
      </c>
      <c r="Y195" s="361"/>
      <c r="Z195" s="364"/>
      <c r="AA195"/>
      <c r="AB195"/>
      <c r="AC195"/>
      <c r="AD195"/>
    </row>
    <row r="196" spans="17:30" ht="12.75" customHeight="1">
      <c r="Q196" s="668"/>
      <c r="R196" s="973" t="s">
        <v>473</v>
      </c>
      <c r="S196" s="973"/>
      <c r="T196" s="973"/>
      <c r="U196" s="543"/>
      <c r="V196" s="593">
        <f>V191*12</f>
        <v>25171200</v>
      </c>
      <c r="W196" s="593">
        <f>W191*12</f>
        <v>25957800.000000007</v>
      </c>
      <c r="X196" s="593">
        <f>X191*12</f>
        <v>26220000</v>
      </c>
      <c r="Y196" s="361"/>
      <c r="Z196" s="364"/>
      <c r="AA196"/>
      <c r="AB196"/>
      <c r="AC196"/>
      <c r="AD196"/>
    </row>
    <row r="197" spans="17:30" ht="12.75" customHeight="1">
      <c r="Q197" s="668"/>
      <c r="R197" s="367"/>
      <c r="S197" s="367"/>
      <c r="T197" s="367"/>
      <c r="U197" s="367"/>
      <c r="V197" s="367"/>
      <c r="W197" s="367"/>
      <c r="X197" s="367"/>
      <c r="Y197" s="364"/>
      <c r="Z197" s="364"/>
      <c r="AA197"/>
      <c r="AB197"/>
      <c r="AC197"/>
      <c r="AD197"/>
    </row>
    <row r="198" spans="17:30" ht="12.75" customHeight="1">
      <c r="Q198" s="668"/>
      <c r="R198" s="901" t="s">
        <v>116</v>
      </c>
      <c r="S198" s="901"/>
      <c r="T198" s="901"/>
      <c r="U198" s="949" t="s">
        <v>500</v>
      </c>
      <c r="V198" s="938" t="s">
        <v>22</v>
      </c>
      <c r="W198" s="940" t="s">
        <v>579</v>
      </c>
      <c r="X198" s="942" t="s">
        <v>21</v>
      </c>
      <c r="Y198" s="361"/>
      <c r="Z198" s="364"/>
      <c r="AA198"/>
      <c r="AB198"/>
      <c r="AC198"/>
      <c r="AD198"/>
    </row>
    <row r="199" spans="17:30" ht="12.75" customHeight="1">
      <c r="Q199" s="668"/>
      <c r="R199" s="901"/>
      <c r="S199" s="901"/>
      <c r="T199" s="901"/>
      <c r="U199" s="950"/>
      <c r="V199" s="939"/>
      <c r="W199" s="941"/>
      <c r="X199" s="943"/>
      <c r="Y199" s="361"/>
      <c r="Z199" s="364"/>
      <c r="AA199"/>
      <c r="AB199"/>
      <c r="AC199"/>
      <c r="AD199"/>
    </row>
    <row r="200" spans="17:30" ht="12.75" customHeight="1">
      <c r="Q200" s="668"/>
      <c r="R200" s="970" t="s">
        <v>459</v>
      </c>
      <c r="S200" s="971"/>
      <c r="T200" s="972"/>
      <c r="U200" s="593">
        <f>U185</f>
        <v>211.20000000000002</v>
      </c>
      <c r="V200" s="593">
        <f>V185+V186</f>
        <v>114000</v>
      </c>
      <c r="W200" s="593">
        <f>W185+W186</f>
        <v>111150.00000000001</v>
      </c>
      <c r="X200" s="593">
        <f>X185+X186</f>
        <v>110200</v>
      </c>
      <c r="Y200" s="361"/>
      <c r="Z200" s="364"/>
      <c r="AA200"/>
      <c r="AB200"/>
      <c r="AC200"/>
      <c r="AD200"/>
    </row>
    <row r="201" spans="17:30" ht="12.75" customHeight="1">
      <c r="Q201" s="668"/>
      <c r="R201" s="973" t="s">
        <v>307</v>
      </c>
      <c r="S201" s="973"/>
      <c r="T201" s="973"/>
      <c r="U201" s="593">
        <f>U190</f>
        <v>4857.6000000000004</v>
      </c>
      <c r="V201" s="593">
        <f>V190+V191</f>
        <v>2622000</v>
      </c>
      <c r="W201" s="593">
        <f>W190+W191</f>
        <v>2556450.0000000005</v>
      </c>
      <c r="X201" s="593">
        <f>X190+X191</f>
        <v>2534600</v>
      </c>
      <c r="Y201" s="361"/>
      <c r="Z201" s="364"/>
      <c r="AA201"/>
      <c r="AB201"/>
      <c r="AC201"/>
      <c r="AD201"/>
    </row>
    <row r="202" spans="17:30" ht="12.75" customHeight="1">
      <c r="Q202" s="668"/>
      <c r="R202" s="973" t="s">
        <v>308</v>
      </c>
      <c r="S202" s="973"/>
      <c r="T202" s="973"/>
      <c r="U202" s="593">
        <f>U195</f>
        <v>58291.200000000004</v>
      </c>
      <c r="V202" s="593">
        <f>V195+V196</f>
        <v>31464000</v>
      </c>
      <c r="W202" s="593">
        <f>W195+W196</f>
        <v>30677400.000000007</v>
      </c>
      <c r="X202" s="593">
        <f>X195+X196</f>
        <v>30415200</v>
      </c>
      <c r="Y202" s="361"/>
      <c r="Z202" s="364"/>
      <c r="AA202"/>
      <c r="AB202"/>
      <c r="AC202"/>
      <c r="AD202"/>
    </row>
    <row r="203" spans="17:30" ht="12.75" customHeight="1">
      <c r="Q203" s="668"/>
      <c r="R203" s="575"/>
      <c r="S203" s="575"/>
      <c r="T203" s="575"/>
      <c r="U203" s="382"/>
      <c r="V203" s="382"/>
      <c r="W203" s="382"/>
      <c r="X203" s="382"/>
      <c r="Y203" s="364"/>
      <c r="Z203" s="364"/>
      <c r="AA203"/>
      <c r="AB203"/>
      <c r="AC203"/>
      <c r="AD203"/>
    </row>
    <row r="204" spans="17:30" ht="12.75" customHeight="1">
      <c r="Q204" s="668"/>
      <c r="R204" s="974" t="s">
        <v>775</v>
      </c>
      <c r="S204" s="974"/>
      <c r="T204" s="974"/>
      <c r="U204" s="974"/>
      <c r="V204" s="974"/>
      <c r="W204" s="974"/>
      <c r="X204" s="974"/>
      <c r="Y204" s="974"/>
      <c r="Z204" s="364"/>
      <c r="AA204"/>
      <c r="AB204"/>
      <c r="AC204"/>
      <c r="AD204"/>
    </row>
    <row r="205" spans="17:30" ht="12.75" customHeight="1">
      <c r="Q205" s="668"/>
      <c r="R205" s="974"/>
      <c r="S205" s="974"/>
      <c r="T205" s="974"/>
      <c r="U205" s="974"/>
      <c r="V205" s="974"/>
      <c r="W205" s="974"/>
      <c r="X205" s="974"/>
      <c r="Y205" s="974"/>
      <c r="Z205" s="576"/>
      <c r="AA205"/>
      <c r="AB205"/>
      <c r="AC205"/>
      <c r="AD205"/>
    </row>
    <row r="206" spans="17:30" ht="12.75" customHeight="1">
      <c r="Q206" s="668"/>
      <c r="R206" s="974"/>
      <c r="S206" s="974"/>
      <c r="T206" s="974"/>
      <c r="U206" s="974"/>
      <c r="V206" s="974"/>
      <c r="W206" s="974"/>
      <c r="X206" s="974"/>
      <c r="Y206" s="974"/>
      <c r="Z206" s="576"/>
      <c r="AA206"/>
      <c r="AB206"/>
      <c r="AC206"/>
      <c r="AD206"/>
    </row>
    <row r="207" spans="17:30" ht="12.75" customHeight="1">
      <c r="Q207" s="668"/>
      <c r="R207" s="974"/>
      <c r="S207" s="974"/>
      <c r="T207" s="974"/>
      <c r="U207" s="974"/>
      <c r="V207" s="974"/>
      <c r="W207" s="974"/>
      <c r="X207" s="974"/>
      <c r="Y207" s="974"/>
      <c r="Z207" s="576"/>
      <c r="AA207"/>
      <c r="AB207"/>
      <c r="AC207"/>
      <c r="AD207"/>
    </row>
    <row r="208" spans="17:30" ht="12.75" customHeight="1">
      <c r="Q208" s="668"/>
      <c r="R208" s="974"/>
      <c r="S208" s="974"/>
      <c r="T208" s="974"/>
      <c r="U208" s="974"/>
      <c r="V208" s="974"/>
      <c r="W208" s="974"/>
      <c r="X208" s="974"/>
      <c r="Y208" s="974"/>
      <c r="Z208" s="576"/>
      <c r="AA208"/>
      <c r="AB208"/>
      <c r="AC208"/>
      <c r="AD208"/>
    </row>
    <row r="209" spans="17:30" ht="12.75" customHeight="1">
      <c r="Q209" s="668"/>
      <c r="R209" s="364"/>
      <c r="S209" s="375"/>
      <c r="T209" s="375"/>
      <c r="U209" s="577"/>
      <c r="V209" s="577"/>
      <c r="W209" s="577"/>
      <c r="X209" s="577"/>
      <c r="Y209" s="551"/>
      <c r="Z209" s="363"/>
      <c r="AA209"/>
      <c r="AB209"/>
      <c r="AC209"/>
      <c r="AD209"/>
    </row>
    <row r="210" spans="17:30" ht="12.75" customHeight="1">
      <c r="Q210" s="668"/>
      <c r="R210" s="975" t="s">
        <v>667</v>
      </c>
      <c r="S210" s="976"/>
      <c r="T210" s="976"/>
      <c r="U210" s="976"/>
      <c r="V210" s="976"/>
      <c r="W210" s="976"/>
      <c r="X210" s="979">
        <f>10*V25</f>
        <v>76800</v>
      </c>
      <c r="Y210" s="935" t="s">
        <v>668</v>
      </c>
      <c r="Z210" s="364"/>
      <c r="AA210"/>
      <c r="AB210"/>
      <c r="AC210"/>
      <c r="AD210"/>
    </row>
    <row r="211" spans="17:30" ht="12.75" customHeight="1">
      <c r="Q211" s="668"/>
      <c r="R211" s="977"/>
      <c r="S211" s="978"/>
      <c r="T211" s="978"/>
      <c r="U211" s="978"/>
      <c r="V211" s="978"/>
      <c r="W211" s="978"/>
      <c r="X211" s="979"/>
      <c r="Y211" s="935"/>
      <c r="Z211" s="364"/>
      <c r="AA211"/>
      <c r="AB211"/>
      <c r="AC211"/>
      <c r="AD211"/>
    </row>
    <row r="212" spans="17:30" ht="12.75" customHeight="1">
      <c r="Q212" s="668"/>
      <c r="R212" s="578"/>
      <c r="S212" s="578"/>
      <c r="T212" s="578"/>
      <c r="U212" s="578"/>
      <c r="V212" s="578"/>
      <c r="W212" s="578"/>
      <c r="X212" s="578"/>
      <c r="Y212" s="579"/>
      <c r="Z212" s="551"/>
      <c r="AA212"/>
      <c r="AB212"/>
      <c r="AC212"/>
      <c r="AD212"/>
    </row>
    <row r="213" spans="17:30" ht="12.75" customHeight="1">
      <c r="Q213" s="668"/>
      <c r="R213" s="937" t="s">
        <v>678</v>
      </c>
      <c r="S213" s="937"/>
      <c r="T213" s="937"/>
      <c r="U213" s="937"/>
      <c r="V213" s="949" t="s">
        <v>500</v>
      </c>
      <c r="W213" s="938" t="s">
        <v>22</v>
      </c>
      <c r="X213" s="940" t="s">
        <v>579</v>
      </c>
      <c r="Y213" s="942" t="s">
        <v>21</v>
      </c>
      <c r="Z213" s="361"/>
      <c r="AA213"/>
      <c r="AB213"/>
      <c r="AC213"/>
      <c r="AD213"/>
    </row>
    <row r="214" spans="17:30" ht="12.75" customHeight="1">
      <c r="Q214" s="668"/>
      <c r="R214" s="937"/>
      <c r="S214" s="937"/>
      <c r="T214" s="937"/>
      <c r="U214" s="937"/>
      <c r="V214" s="950"/>
      <c r="W214" s="939"/>
      <c r="X214" s="941"/>
      <c r="Y214" s="943"/>
      <c r="Z214" s="361"/>
      <c r="AA214"/>
      <c r="AB214"/>
      <c r="AC214"/>
      <c r="AD214"/>
    </row>
    <row r="215" spans="17:30" ht="12.75" customHeight="1">
      <c r="Q215" s="668"/>
      <c r="R215" s="968" t="s">
        <v>533</v>
      </c>
      <c r="S215" s="968"/>
      <c r="T215" s="968"/>
      <c r="U215" s="968"/>
      <c r="V215" s="580">
        <v>0.107</v>
      </c>
      <c r="W215" s="581">
        <f>VLOOKUP($V$5,'Lookup Energy kWhm'!$B$8:$E$208,3)</f>
        <v>0.107</v>
      </c>
      <c r="X215" s="581">
        <f>VLOOKUP($V$5,'Lookup Energy kWhm'!$B$8:$E$208,4)</f>
        <v>0.126</v>
      </c>
      <c r="Y215" s="581">
        <f>VLOOKUP($V$5,'Lookup Energy kWhm'!$B$8:$E$208,2)</f>
        <v>8.8999999999999996E-2</v>
      </c>
      <c r="Z215" s="361"/>
      <c r="AA215"/>
      <c r="AB215"/>
      <c r="AC215"/>
      <c r="AD215"/>
    </row>
    <row r="216" spans="17:30" ht="12.75" customHeight="1">
      <c r="Q216" s="668"/>
      <c r="R216" s="969" t="s">
        <v>31</v>
      </c>
      <c r="S216" s="969"/>
      <c r="T216" s="969"/>
      <c r="U216" s="969"/>
      <c r="V216" s="556">
        <f t="shared" ref="V216:W219" si="2">X216</f>
        <v>1.2</v>
      </c>
      <c r="W216" s="556">
        <f t="shared" si="2"/>
        <v>1.2</v>
      </c>
      <c r="X216" s="556">
        <f>W216</f>
        <v>1.2</v>
      </c>
      <c r="Y216" s="556">
        <f>V20</f>
        <v>1.2</v>
      </c>
      <c r="Z216" s="361"/>
      <c r="AA216"/>
      <c r="AB216"/>
      <c r="AC216"/>
      <c r="AD216"/>
    </row>
    <row r="217" spans="17:30" ht="12.75" customHeight="1">
      <c r="Q217" s="668"/>
      <c r="R217" s="969" t="s">
        <v>314</v>
      </c>
      <c r="S217" s="969"/>
      <c r="T217" s="969"/>
      <c r="U217" s="969"/>
      <c r="V217" s="556">
        <f t="shared" si="2"/>
        <v>160</v>
      </c>
      <c r="W217" s="556">
        <f t="shared" si="2"/>
        <v>160</v>
      </c>
      <c r="X217" s="556">
        <f>W217</f>
        <v>160</v>
      </c>
      <c r="Y217" s="556">
        <f>V19</f>
        <v>160</v>
      </c>
      <c r="Z217" s="361"/>
      <c r="AA217"/>
      <c r="AB217"/>
      <c r="AC217"/>
      <c r="AD217"/>
    </row>
    <row r="218" spans="17:30" ht="12.75" customHeight="1">
      <c r="Q218" s="668"/>
      <c r="R218" s="969" t="s">
        <v>20</v>
      </c>
      <c r="S218" s="969"/>
      <c r="T218" s="969"/>
      <c r="U218" s="969"/>
      <c r="V218" s="556">
        <f t="shared" si="2"/>
        <v>40</v>
      </c>
      <c r="W218" s="556">
        <f t="shared" si="2"/>
        <v>40</v>
      </c>
      <c r="X218" s="556">
        <f>W218</f>
        <v>40</v>
      </c>
      <c r="Y218" s="556">
        <f>V22</f>
        <v>40</v>
      </c>
      <c r="Z218" s="361"/>
      <c r="AA218"/>
      <c r="AB218"/>
      <c r="AC218"/>
      <c r="AD218"/>
    </row>
    <row r="219" spans="17:30" ht="12.75" customHeight="1">
      <c r="Q219" s="668"/>
      <c r="R219" s="969" t="s">
        <v>310</v>
      </c>
      <c r="S219" s="969"/>
      <c r="T219" s="969"/>
      <c r="U219" s="969"/>
      <c r="V219" s="556">
        <f t="shared" si="2"/>
        <v>160</v>
      </c>
      <c r="W219" s="556">
        <f t="shared" si="2"/>
        <v>160</v>
      </c>
      <c r="X219" s="556">
        <f>W219</f>
        <v>160</v>
      </c>
      <c r="Y219" s="556">
        <f>V23</f>
        <v>160</v>
      </c>
      <c r="Z219" s="361"/>
      <c r="AA219"/>
      <c r="AB219"/>
      <c r="AC219"/>
      <c r="AD219"/>
    </row>
    <row r="220" spans="17:30" ht="12.75" customHeight="1">
      <c r="Q220" s="668"/>
      <c r="R220" s="968" t="s">
        <v>543</v>
      </c>
      <c r="S220" s="968"/>
      <c r="T220" s="968"/>
      <c r="U220" s="968"/>
      <c r="V220" s="582">
        <f>V215*V216*V217*V218</f>
        <v>821.75999999999988</v>
      </c>
      <c r="W220" s="582">
        <f>W215*W216*W217*W218</f>
        <v>821.75999999999988</v>
      </c>
      <c r="X220" s="582">
        <f>X215*X216*X217*X218</f>
        <v>967.68000000000006</v>
      </c>
      <c r="Y220" s="582">
        <f>Y215*Y216*Y217*Y218</f>
        <v>683.51999999999987</v>
      </c>
      <c r="Z220" s="361"/>
      <c r="AA220"/>
      <c r="AB220"/>
      <c r="AC220"/>
      <c r="AD220"/>
    </row>
    <row r="221" spans="17:30" ht="12.75" customHeight="1">
      <c r="Q221" s="668"/>
      <c r="R221" s="968" t="s">
        <v>542</v>
      </c>
      <c r="S221" s="968"/>
      <c r="T221" s="968"/>
      <c r="U221" s="968"/>
      <c r="V221" s="583">
        <f>V220/V219</f>
        <v>5.1359999999999992</v>
      </c>
      <c r="W221" s="583">
        <f>W220/W219</f>
        <v>5.1359999999999992</v>
      </c>
      <c r="X221" s="583">
        <f>X220/X219</f>
        <v>6.048</v>
      </c>
      <c r="Y221" s="583">
        <f>Y220/Y219</f>
        <v>4.2719999999999994</v>
      </c>
      <c r="Z221" s="361"/>
      <c r="AA221"/>
      <c r="AB221"/>
      <c r="AC221"/>
      <c r="AD221"/>
    </row>
    <row r="222" spans="17:30" ht="12.75" customHeight="1">
      <c r="Q222" s="668"/>
      <c r="R222" s="968" t="s">
        <v>538</v>
      </c>
      <c r="S222" s="968"/>
      <c r="T222" s="968"/>
      <c r="U222" s="968"/>
      <c r="V222" s="537">
        <f>U62</f>
        <v>2.6666666666666665</v>
      </c>
      <c r="W222" s="537">
        <f>V62</f>
        <v>2.6666666666666665</v>
      </c>
      <c r="X222" s="537">
        <f>W62</f>
        <v>1.9999999999999996</v>
      </c>
      <c r="Y222" s="537">
        <f>X62</f>
        <v>1.7777777777777777</v>
      </c>
      <c r="Z222" s="361"/>
      <c r="AA222"/>
      <c r="AB222"/>
      <c r="AC222"/>
      <c r="AD222"/>
    </row>
    <row r="223" spans="17:30" ht="12.75" customHeight="1">
      <c r="Q223" s="668"/>
      <c r="R223" s="968" t="s">
        <v>546</v>
      </c>
      <c r="S223" s="968"/>
      <c r="T223" s="968"/>
      <c r="U223" s="968"/>
      <c r="V223" s="584">
        <f>2.2*V222</f>
        <v>5.8666666666666671</v>
      </c>
      <c r="W223" s="584">
        <f>W222/W215</f>
        <v>24.922118380062305</v>
      </c>
      <c r="X223" s="584">
        <f>X222/X215</f>
        <v>15.87301587301587</v>
      </c>
      <c r="Y223" s="584">
        <f>Y222/Y215</f>
        <v>19.975031210986266</v>
      </c>
      <c r="Z223" s="361"/>
      <c r="AA223"/>
      <c r="AB223"/>
      <c r="AC223"/>
      <c r="AD223"/>
    </row>
    <row r="224" spans="17:30" ht="12.75" customHeight="1">
      <c r="Q224" s="668"/>
      <c r="R224" s="968" t="s">
        <v>544</v>
      </c>
      <c r="S224" s="968"/>
      <c r="T224" s="968"/>
      <c r="U224" s="968"/>
      <c r="V224" s="582">
        <f>V219*V223</f>
        <v>938.66666666666674</v>
      </c>
      <c r="W224" s="582">
        <f>W219*W223</f>
        <v>3987.5389408099686</v>
      </c>
      <c r="X224" s="582">
        <f>X219*X223</f>
        <v>2539.6825396825393</v>
      </c>
      <c r="Y224" s="674">
        <f>Y219*Y223</f>
        <v>3196.0049937578024</v>
      </c>
      <c r="Z224" s="361"/>
      <c r="AA224"/>
      <c r="AB224"/>
      <c r="AC224"/>
      <c r="AD224"/>
    </row>
    <row r="225" spans="17:30" ht="12.75" customHeight="1">
      <c r="Q225" s="668"/>
      <c r="R225" s="969" t="s">
        <v>535</v>
      </c>
      <c r="S225" s="969"/>
      <c r="T225" s="969"/>
      <c r="U225" s="969"/>
      <c r="V225" s="556">
        <f>V217/V222</f>
        <v>60</v>
      </c>
      <c r="W225" s="556">
        <f>W217/W222</f>
        <v>60</v>
      </c>
      <c r="X225" s="556">
        <f>X217/X222</f>
        <v>80.000000000000014</v>
      </c>
      <c r="Y225" s="556">
        <f>Y217/Y222</f>
        <v>90</v>
      </c>
      <c r="Z225" s="361"/>
      <c r="AA225"/>
      <c r="AB225"/>
      <c r="AC225"/>
      <c r="AD225"/>
    </row>
    <row r="226" spans="17:30" ht="12.75" customHeight="1">
      <c r="Q226" s="668"/>
      <c r="R226" s="969" t="s">
        <v>536</v>
      </c>
      <c r="S226" s="969"/>
      <c r="T226" s="969"/>
      <c r="U226" s="969"/>
      <c r="V226" s="675">
        <f>V216*V225</f>
        <v>72</v>
      </c>
      <c r="W226" s="675">
        <f>W216*W225</f>
        <v>72</v>
      </c>
      <c r="X226" s="675">
        <f>X216*X225</f>
        <v>96.000000000000014</v>
      </c>
      <c r="Y226" s="675">
        <f>Y216*Y225</f>
        <v>108</v>
      </c>
      <c r="Z226" s="361"/>
      <c r="AA226"/>
      <c r="AB226"/>
      <c r="AC226"/>
      <c r="AD226"/>
    </row>
    <row r="227" spans="17:30" ht="12.75" customHeight="1">
      <c r="Q227" s="668"/>
      <c r="R227" s="968" t="s">
        <v>534</v>
      </c>
      <c r="S227" s="968"/>
      <c r="T227" s="968"/>
      <c r="U227" s="968"/>
      <c r="V227" s="583">
        <f>U56</f>
        <v>4</v>
      </c>
      <c r="W227" s="583">
        <f>V56</f>
        <v>4</v>
      </c>
      <c r="X227" s="583">
        <f>W56</f>
        <v>2.9999999999999996</v>
      </c>
      <c r="Y227" s="583">
        <f>X56</f>
        <v>2.6666666666666665</v>
      </c>
      <c r="Z227" s="361"/>
      <c r="AA227"/>
      <c r="AB227"/>
      <c r="AC227"/>
      <c r="AD227"/>
    </row>
    <row r="228" spans="17:30" ht="12.75" customHeight="1">
      <c r="Q228" s="668"/>
      <c r="R228" s="968" t="s">
        <v>537</v>
      </c>
      <c r="S228" s="968"/>
      <c r="T228" s="968"/>
      <c r="U228" s="968"/>
      <c r="V228" s="584">
        <f>V225*V227</f>
        <v>240</v>
      </c>
      <c r="W228" s="584">
        <f>W225*W227</f>
        <v>240</v>
      </c>
      <c r="X228" s="584">
        <f>X225*X227</f>
        <v>240</v>
      </c>
      <c r="Y228" s="584">
        <f>Y225*Y227</f>
        <v>240</v>
      </c>
      <c r="Z228" s="361"/>
      <c r="AA228"/>
      <c r="AB228"/>
      <c r="AC228"/>
      <c r="AD228"/>
    </row>
    <row r="229" spans="17:30" ht="12.75" customHeight="1">
      <c r="Q229" s="668"/>
      <c r="R229" s="968" t="s">
        <v>545</v>
      </c>
      <c r="S229" s="968"/>
      <c r="T229" s="968"/>
      <c r="U229" s="968"/>
      <c r="V229" s="585">
        <f>V221/V223</f>
        <v>0.87545454545454526</v>
      </c>
      <c r="W229" s="585">
        <f>W221/W223</f>
        <v>0.20608199999999999</v>
      </c>
      <c r="X229" s="585">
        <f>X221/X223</f>
        <v>0.38102400000000008</v>
      </c>
      <c r="Y229" s="585">
        <f>Y221/Y223</f>
        <v>0.21386699999999997</v>
      </c>
      <c r="Z229" s="361"/>
      <c r="AA229"/>
      <c r="AB229"/>
      <c r="AC229"/>
      <c r="AD229"/>
    </row>
    <row r="230" spans="17:30" ht="12.75" customHeight="1">
      <c r="Q230" s="668"/>
      <c r="R230" s="540" t="s">
        <v>547</v>
      </c>
      <c r="S230" s="540"/>
      <c r="T230" s="540"/>
      <c r="U230" s="540"/>
      <c r="V230" s="585"/>
      <c r="W230" s="586">
        <f>10*W217*W216*W218</f>
        <v>76800</v>
      </c>
      <c r="X230" s="586">
        <f>10*X217*X216*X218</f>
        <v>76800</v>
      </c>
      <c r="Y230" s="586">
        <f>10*Y217*Y216*Y218</f>
        <v>76800</v>
      </c>
      <c r="Z230" s="361"/>
      <c r="AA230"/>
      <c r="AB230"/>
      <c r="AC230"/>
      <c r="AD230"/>
    </row>
    <row r="231" spans="17:30" ht="12.75" customHeight="1">
      <c r="Q231" s="668"/>
      <c r="R231" s="968" t="s">
        <v>548</v>
      </c>
      <c r="S231" s="968"/>
      <c r="T231" s="968"/>
      <c r="U231" s="968"/>
      <c r="V231" s="585">
        <f>V229</f>
        <v>0.87545454545454526</v>
      </c>
      <c r="W231" s="585">
        <f>W220/W230</f>
        <v>1.0699999999999998E-2</v>
      </c>
      <c r="X231" s="585">
        <f>X220/X230</f>
        <v>1.26E-2</v>
      </c>
      <c r="Y231" s="585">
        <f>Y220/Y230</f>
        <v>8.8999999999999982E-3</v>
      </c>
      <c r="Z231" s="361"/>
      <c r="AA231"/>
      <c r="AB231"/>
      <c r="AC231"/>
      <c r="AD231"/>
    </row>
    <row r="232" spans="17:30" ht="12.75" customHeight="1">
      <c r="Q232" s="668"/>
      <c r="R232" s="587"/>
      <c r="S232" s="587"/>
      <c r="T232" s="587"/>
      <c r="U232" s="587"/>
      <c r="V232" s="588"/>
      <c r="W232" s="588"/>
      <c r="X232" s="588"/>
      <c r="Y232" s="588"/>
      <c r="Z232" s="589"/>
      <c r="AA232"/>
      <c r="AB232"/>
      <c r="AC232"/>
      <c r="AD232"/>
    </row>
    <row r="233" spans="17:30" ht="12.75" customHeight="1">
      <c r="Q233" s="668"/>
      <c r="R233" s="587"/>
      <c r="S233" s="587"/>
      <c r="T233" s="587"/>
      <c r="U233" s="587"/>
      <c r="V233" s="676"/>
      <c r="W233" s="676"/>
      <c r="X233" s="676"/>
      <c r="Y233" s="588"/>
      <c r="Z233" s="364"/>
      <c r="AA233"/>
      <c r="AB233"/>
      <c r="AC233"/>
      <c r="AD233"/>
    </row>
    <row r="234" spans="17:30" ht="12.75" customHeight="1">
      <c r="Q234" s="668" t="s">
        <v>240</v>
      </c>
      <c r="R234" s="364" t="s">
        <v>241</v>
      </c>
      <c r="S234" s="364"/>
      <c r="T234" s="364"/>
      <c r="U234" s="364"/>
      <c r="V234" s="364"/>
      <c r="W234" s="364"/>
      <c r="X234" s="364"/>
      <c r="Y234" s="364"/>
      <c r="Z234" s="364"/>
      <c r="AA234"/>
      <c r="AB234"/>
      <c r="AC234"/>
      <c r="AD234"/>
    </row>
    <row r="235" spans="17:30" ht="12.75" customHeight="1">
      <c r="Q235" s="364"/>
      <c r="R235" s="962" t="s">
        <v>301</v>
      </c>
      <c r="S235" s="963"/>
      <c r="T235" s="964"/>
      <c r="U235" s="949" t="s">
        <v>500</v>
      </c>
      <c r="V235" s="938" t="s">
        <v>22</v>
      </c>
      <c r="W235" s="940" t="s">
        <v>579</v>
      </c>
      <c r="X235" s="942" t="s">
        <v>21</v>
      </c>
      <c r="Y235" s="361"/>
      <c r="Z235" s="364"/>
      <c r="AA235"/>
      <c r="AB235"/>
      <c r="AC235"/>
      <c r="AD235"/>
    </row>
    <row r="236" spans="17:30" ht="12.75" customHeight="1">
      <c r="Q236" s="364"/>
      <c r="R236" s="965"/>
      <c r="S236" s="966"/>
      <c r="T236" s="967"/>
      <c r="U236" s="950"/>
      <c r="V236" s="939"/>
      <c r="W236" s="941"/>
      <c r="X236" s="943"/>
      <c r="Y236" s="361"/>
      <c r="Z236" s="364"/>
      <c r="AA236"/>
      <c r="AB236"/>
      <c r="AC236"/>
      <c r="AD236"/>
    </row>
    <row r="237" spans="17:30" ht="12.75" customHeight="1">
      <c r="Q237" s="364"/>
      <c r="R237" s="931" t="s">
        <v>662</v>
      </c>
      <c r="S237" s="931"/>
      <c r="T237" s="931"/>
      <c r="U237" s="901" t="s">
        <v>427</v>
      </c>
      <c r="V237" s="562">
        <f>VLOOKUP($V$5,'Lookup Air Consumption'!$B$8:$E$208,3)</f>
        <v>27</v>
      </c>
      <c r="W237" s="562">
        <f>VLOOKUP($V$5,'Lookup Air Consumption'!$B$8:$E$208,4)</f>
        <v>39</v>
      </c>
      <c r="X237" s="562">
        <f>VLOOKUP($V$5,'Lookup Air Consumption'!$B$8:$E$208,2)</f>
        <v>31</v>
      </c>
      <c r="Y237" s="361"/>
      <c r="Z237" s="364"/>
      <c r="AA237"/>
      <c r="AB237"/>
      <c r="AC237"/>
      <c r="AD237"/>
    </row>
    <row r="238" spans="17:30" ht="12.75" customHeight="1">
      <c r="Q238" s="364"/>
      <c r="R238" s="931" t="s">
        <v>663</v>
      </c>
      <c r="S238" s="931"/>
      <c r="T238" s="931"/>
      <c r="U238" s="901"/>
      <c r="V238" s="590">
        <f>V237/1000</f>
        <v>2.7E-2</v>
      </c>
      <c r="W238" s="590">
        <f>W237/1000</f>
        <v>3.9E-2</v>
      </c>
      <c r="X238" s="590">
        <f>X237/1000</f>
        <v>3.1E-2</v>
      </c>
      <c r="Y238" s="361"/>
      <c r="Z238" s="364"/>
      <c r="AA238"/>
      <c r="AB238"/>
      <c r="AC238"/>
      <c r="AD238"/>
    </row>
    <row r="239" spans="17:30" ht="12.75" customHeight="1">
      <c r="Q239" s="364"/>
      <c r="R239" s="931" t="s">
        <v>664</v>
      </c>
      <c r="S239" s="931"/>
      <c r="T239" s="931"/>
      <c r="U239" s="901"/>
      <c r="V239" s="560">
        <f>V238*35.31467</f>
        <v>0.95349609000000002</v>
      </c>
      <c r="W239" s="560">
        <f>W238*35.31467</f>
        <v>1.3772721299999999</v>
      </c>
      <c r="X239" s="560">
        <f>X238*35.31467</f>
        <v>1.09475477</v>
      </c>
      <c r="Y239" s="361"/>
      <c r="Z239" s="364"/>
      <c r="AA239"/>
      <c r="AB239"/>
      <c r="AC239"/>
      <c r="AD239"/>
    </row>
    <row r="240" spans="17:30" ht="12.75" customHeight="1">
      <c r="Q240" s="360"/>
      <c r="R240" s="551"/>
      <c r="S240" s="551"/>
      <c r="T240" s="551"/>
      <c r="U240" s="591"/>
      <c r="V240" s="551"/>
      <c r="W240" s="551"/>
      <c r="X240" s="551"/>
      <c r="Y240" s="361"/>
      <c r="Z240" s="364"/>
      <c r="AA240"/>
      <c r="AB240"/>
      <c r="AC240"/>
      <c r="AD240"/>
    </row>
    <row r="241" spans="17:30" ht="12.75" customHeight="1">
      <c r="Q241" s="360"/>
      <c r="R241" s="962" t="s">
        <v>302</v>
      </c>
      <c r="S241" s="963"/>
      <c r="T241" s="964"/>
      <c r="U241" s="949" t="s">
        <v>500</v>
      </c>
      <c r="V241" s="938" t="s">
        <v>22</v>
      </c>
      <c r="W241" s="940" t="s">
        <v>579</v>
      </c>
      <c r="X241" s="942" t="s">
        <v>21</v>
      </c>
      <c r="Y241" s="361"/>
      <c r="Z241" s="364"/>
      <c r="AA241"/>
      <c r="AB241"/>
      <c r="AC241"/>
      <c r="AD241"/>
    </row>
    <row r="242" spans="17:30" ht="12.75" customHeight="1">
      <c r="Q242" s="360"/>
      <c r="R242" s="965"/>
      <c r="S242" s="966"/>
      <c r="T242" s="967"/>
      <c r="U242" s="950"/>
      <c r="V242" s="939"/>
      <c r="W242" s="941"/>
      <c r="X242" s="943"/>
      <c r="Y242" s="361"/>
      <c r="Z242" s="364"/>
      <c r="AA242"/>
      <c r="AB242"/>
      <c r="AC242"/>
      <c r="AD242"/>
    </row>
    <row r="243" spans="17:30" ht="12.75" customHeight="1">
      <c r="Q243" s="360"/>
      <c r="R243" s="931" t="s">
        <v>662</v>
      </c>
      <c r="S243" s="931"/>
      <c r="T243" s="931"/>
      <c r="U243" s="901" t="s">
        <v>427</v>
      </c>
      <c r="V243" s="549">
        <f t="shared" ref="V243:W245" si="3">V237*$V$23</f>
        <v>4320</v>
      </c>
      <c r="W243" s="549">
        <f t="shared" si="3"/>
        <v>6240</v>
      </c>
      <c r="X243" s="549">
        <f>X237*$V$23</f>
        <v>4960</v>
      </c>
      <c r="Y243" s="361"/>
      <c r="Z243" s="364"/>
      <c r="AA243"/>
      <c r="AB243"/>
      <c r="AC243"/>
      <c r="AD243"/>
    </row>
    <row r="244" spans="17:30" ht="12.75" customHeight="1">
      <c r="Q244" s="360"/>
      <c r="R244" s="931" t="s">
        <v>663</v>
      </c>
      <c r="S244" s="931"/>
      <c r="T244" s="931"/>
      <c r="U244" s="901"/>
      <c r="V244" s="560">
        <f t="shared" si="3"/>
        <v>4.32</v>
      </c>
      <c r="W244" s="560">
        <f t="shared" si="3"/>
        <v>6.24</v>
      </c>
      <c r="X244" s="560">
        <f>X238*$V$23</f>
        <v>4.96</v>
      </c>
      <c r="Y244" s="361"/>
      <c r="Z244" s="364"/>
      <c r="AA244"/>
      <c r="AB244"/>
      <c r="AC244"/>
      <c r="AD244"/>
    </row>
    <row r="245" spans="17:30" ht="12.75" customHeight="1">
      <c r="Q245" s="360"/>
      <c r="R245" s="931" t="s">
        <v>664</v>
      </c>
      <c r="S245" s="931"/>
      <c r="T245" s="931"/>
      <c r="U245" s="901"/>
      <c r="V245" s="560">
        <f t="shared" si="3"/>
        <v>152.5593744</v>
      </c>
      <c r="W245" s="560">
        <f t="shared" si="3"/>
        <v>220.36354079999998</v>
      </c>
      <c r="X245" s="560">
        <f>X239*$V$23</f>
        <v>175.16076319999999</v>
      </c>
      <c r="Y245" s="361"/>
      <c r="Z245" s="364"/>
      <c r="AA245"/>
      <c r="AB245"/>
      <c r="AC245"/>
      <c r="AD245"/>
    </row>
    <row r="246" spans="17:30" ht="12.75" customHeight="1">
      <c r="Q246" s="360"/>
      <c r="R246" s="364"/>
      <c r="S246" s="364"/>
      <c r="T246" s="364"/>
      <c r="U246" s="364"/>
      <c r="V246" s="555"/>
      <c r="W246" s="555"/>
      <c r="X246" s="555"/>
      <c r="Y246" s="361"/>
      <c r="Z246" s="364"/>
      <c r="AA246"/>
      <c r="AB246"/>
      <c r="AC246"/>
      <c r="AD246"/>
    </row>
    <row r="247" spans="17:30" ht="12.75" customHeight="1">
      <c r="Q247" s="360"/>
      <c r="R247" s="962" t="s">
        <v>303</v>
      </c>
      <c r="S247" s="963"/>
      <c r="T247" s="964"/>
      <c r="U247" s="949" t="s">
        <v>500</v>
      </c>
      <c r="V247" s="938" t="s">
        <v>22</v>
      </c>
      <c r="W247" s="940" t="s">
        <v>579</v>
      </c>
      <c r="X247" s="942" t="s">
        <v>21</v>
      </c>
      <c r="Y247" s="361"/>
      <c r="Z247" s="364"/>
      <c r="AA247"/>
      <c r="AB247"/>
      <c r="AC247"/>
      <c r="AD247"/>
    </row>
    <row r="248" spans="17:30" ht="12.75" customHeight="1">
      <c r="Q248" s="360"/>
      <c r="R248" s="965"/>
      <c r="S248" s="966"/>
      <c r="T248" s="967"/>
      <c r="U248" s="950"/>
      <c r="V248" s="939"/>
      <c r="W248" s="941"/>
      <c r="X248" s="943"/>
      <c r="Y248" s="361"/>
      <c r="Z248" s="364"/>
      <c r="AA248"/>
      <c r="AB248"/>
      <c r="AC248"/>
      <c r="AD248"/>
    </row>
    <row r="249" spans="17:30" ht="12.75" customHeight="1">
      <c r="Q249" s="563"/>
      <c r="R249" s="951" t="s">
        <v>517</v>
      </c>
      <c r="S249" s="951"/>
      <c r="T249" s="951"/>
      <c r="U249" s="901" t="s">
        <v>427</v>
      </c>
      <c r="V249" s="549">
        <f t="shared" ref="V249:X251" si="4">($V$25/$X$51)*60*V237</f>
        <v>27648000.000000004</v>
      </c>
      <c r="W249" s="549">
        <f t="shared" si="4"/>
        <v>39936000.000000007</v>
      </c>
      <c r="X249" s="549">
        <f t="shared" si="4"/>
        <v>31744000.000000004</v>
      </c>
      <c r="Y249" s="361"/>
      <c r="Z249" s="364"/>
      <c r="AA249"/>
      <c r="AB249"/>
      <c r="AC249"/>
      <c r="AD249"/>
    </row>
    <row r="250" spans="17:30" ht="12.75" customHeight="1">
      <c r="Q250" s="364"/>
      <c r="R250" s="951" t="s">
        <v>666</v>
      </c>
      <c r="S250" s="951"/>
      <c r="T250" s="951"/>
      <c r="U250" s="901"/>
      <c r="V250" s="549">
        <f t="shared" si="4"/>
        <v>27648.000000000004</v>
      </c>
      <c r="W250" s="549">
        <f t="shared" si="4"/>
        <v>39936.000000000007</v>
      </c>
      <c r="X250" s="549">
        <f t="shared" si="4"/>
        <v>31744.000000000004</v>
      </c>
      <c r="Y250" s="361"/>
      <c r="Z250" s="364"/>
      <c r="AA250"/>
      <c r="AB250"/>
      <c r="AC250"/>
      <c r="AD250"/>
    </row>
    <row r="251" spans="17:30" ht="12.75" customHeight="1">
      <c r="Q251" s="364"/>
      <c r="R251" s="951" t="s">
        <v>583</v>
      </c>
      <c r="S251" s="951"/>
      <c r="T251" s="951"/>
      <c r="U251" s="901"/>
      <c r="V251" s="549">
        <f t="shared" si="4"/>
        <v>976379.9961600001</v>
      </c>
      <c r="W251" s="549">
        <f t="shared" si="4"/>
        <v>1410326.6611200001</v>
      </c>
      <c r="X251" s="549">
        <f t="shared" si="4"/>
        <v>1121028.88448</v>
      </c>
      <c r="Y251" s="361"/>
      <c r="Z251" s="364"/>
      <c r="AA251"/>
      <c r="AB251"/>
      <c r="AC251"/>
      <c r="AD251"/>
    </row>
    <row r="252" spans="17:30" ht="12.75" customHeight="1">
      <c r="Q252" s="364"/>
      <c r="R252" s="364"/>
      <c r="S252" s="364"/>
      <c r="T252" s="364"/>
      <c r="U252" s="364"/>
      <c r="V252" s="364"/>
      <c r="W252" s="364"/>
      <c r="X252" s="364"/>
      <c r="Y252" s="361"/>
      <c r="Z252" s="364"/>
      <c r="AA252"/>
      <c r="AB252"/>
      <c r="AC252"/>
      <c r="AD252"/>
    </row>
    <row r="253" spans="17:30" ht="12.75" customHeight="1">
      <c r="Q253" s="668" t="s">
        <v>753</v>
      </c>
      <c r="R253" s="364" t="s">
        <v>300</v>
      </c>
      <c r="S253" s="364"/>
      <c r="T253" s="364"/>
      <c r="U253" s="364"/>
      <c r="V253" s="364"/>
      <c r="W253" s="364"/>
      <c r="X253" s="364"/>
      <c r="Y253" s="361"/>
      <c r="Z253" s="364"/>
      <c r="AA253"/>
      <c r="AB253"/>
      <c r="AC253"/>
      <c r="AD253"/>
    </row>
    <row r="254" spans="17:30" ht="12.75" customHeight="1">
      <c r="Q254" s="364"/>
      <c r="R254" s="957" t="s">
        <v>669</v>
      </c>
      <c r="S254" s="958"/>
      <c r="T254" s="959"/>
      <c r="U254" s="949" t="s">
        <v>500</v>
      </c>
      <c r="V254" s="938" t="s">
        <v>22</v>
      </c>
      <c r="W254" s="940" t="s">
        <v>579</v>
      </c>
      <c r="X254" s="942" t="s">
        <v>21</v>
      </c>
      <c r="Y254" s="361"/>
      <c r="Z254" s="364"/>
      <c r="AA254"/>
      <c r="AB254"/>
      <c r="AC254"/>
      <c r="AD254"/>
    </row>
    <row r="255" spans="17:30" ht="12.75" customHeight="1">
      <c r="Q255" s="364"/>
      <c r="R255" s="960"/>
      <c r="S255" s="961"/>
      <c r="T255" s="899"/>
      <c r="U255" s="950"/>
      <c r="V255" s="939"/>
      <c r="W255" s="941"/>
      <c r="X255" s="943"/>
      <c r="Y255" s="361"/>
      <c r="Z255" s="364"/>
      <c r="AA255"/>
      <c r="AB255"/>
      <c r="AC255"/>
      <c r="AD255"/>
    </row>
    <row r="256" spans="17:30" ht="12.75" customHeight="1">
      <c r="Q256" s="364"/>
      <c r="R256" s="541" t="s">
        <v>80</v>
      </c>
      <c r="S256" s="559"/>
      <c r="T256" s="559"/>
      <c r="U256" s="543">
        <v>6.5</v>
      </c>
      <c r="V256" s="669">
        <f>VLOOKUP($V$5,'Lookup Water Flow'!$B$8:$E$208,3)</f>
        <v>6.2</v>
      </c>
      <c r="W256" s="669">
        <f>VLOOKUP($V$5,'Lookup Water Flow'!$B$8:$E$208,4)</f>
        <v>12.1</v>
      </c>
      <c r="X256" s="669">
        <f>VLOOKUP($V$5,'Lookup Water Flow'!$B$8:$E$208,2)</f>
        <v>12.1</v>
      </c>
      <c r="Y256" s="361"/>
      <c r="Z256" s="364"/>
      <c r="AA256"/>
      <c r="AB256"/>
      <c r="AC256"/>
      <c r="AD256"/>
    </row>
    <row r="257" spans="17:30" ht="12.75" customHeight="1">
      <c r="Q257" s="364"/>
      <c r="R257" s="951" t="s">
        <v>81</v>
      </c>
      <c r="S257" s="951"/>
      <c r="T257" s="951"/>
      <c r="U257" s="677">
        <f>U256*V23</f>
        <v>1040</v>
      </c>
      <c r="V257" s="678">
        <f>V256*$V$23</f>
        <v>992</v>
      </c>
      <c r="W257" s="678">
        <f>W256*$V$23</f>
        <v>1936</v>
      </c>
      <c r="X257" s="678">
        <f>X256*$V$23</f>
        <v>1936</v>
      </c>
      <c r="Y257" s="361"/>
      <c r="Z257" s="364"/>
      <c r="AA257"/>
      <c r="AB257"/>
      <c r="AC257"/>
      <c r="AD257"/>
    </row>
    <row r="258" spans="17:30" ht="12.75" customHeight="1">
      <c r="Q258" s="364"/>
      <c r="R258" s="592" t="s">
        <v>670</v>
      </c>
      <c r="S258" s="559"/>
      <c r="T258" s="559"/>
      <c r="U258" s="549">
        <f>(U256*U56*V24)+(24*2*V24)</f>
        <v>473600</v>
      </c>
      <c r="V258" s="679">
        <f>V256*$X$56*$V$24</f>
        <v>105813.33333333331</v>
      </c>
      <c r="W258" s="679">
        <f>W256*$X$56*$V$24</f>
        <v>206506.66666666666</v>
      </c>
      <c r="X258" s="679">
        <f>X256*$X$56*$V$24</f>
        <v>206506.66666666666</v>
      </c>
      <c r="Y258" s="361"/>
      <c r="Z258" s="364"/>
      <c r="AA258"/>
      <c r="AB258"/>
      <c r="AC258"/>
      <c r="AD258"/>
    </row>
    <row r="259" spans="17:30" ht="12.75" customHeight="1">
      <c r="Q259" s="364"/>
      <c r="R259" s="364"/>
      <c r="S259" s="364"/>
      <c r="T259" s="364"/>
      <c r="U259" s="364"/>
      <c r="V259" s="364"/>
      <c r="W259" s="364"/>
      <c r="X259" s="364"/>
      <c r="Y259" s="364"/>
      <c r="Z259" s="364"/>
      <c r="AA259"/>
      <c r="AB259"/>
      <c r="AC259"/>
      <c r="AD259"/>
    </row>
    <row r="260" spans="17:30" ht="12.75" customHeight="1">
      <c r="Q260" s="680" t="s">
        <v>754</v>
      </c>
      <c r="R260" s="952" t="s">
        <v>309</v>
      </c>
      <c r="S260" s="952"/>
      <c r="T260" s="952"/>
      <c r="U260" s="952"/>
      <c r="V260" s="952"/>
      <c r="W260" s="952"/>
      <c r="X260" s="952"/>
      <c r="Y260" s="952"/>
      <c r="Z260" s="360"/>
      <c r="AA260"/>
      <c r="AB260"/>
      <c r="AC260"/>
      <c r="AD260"/>
    </row>
    <row r="261" spans="17:30" ht="12.75" customHeight="1">
      <c r="Q261" s="364"/>
      <c r="R261" s="364"/>
      <c r="S261" s="364"/>
      <c r="T261" s="364"/>
      <c r="U261" s="364"/>
      <c r="V261" s="364"/>
      <c r="W261" s="364"/>
      <c r="X261" s="364"/>
      <c r="Y261" s="364"/>
      <c r="Z261" s="364"/>
      <c r="AA261"/>
      <c r="AB261"/>
      <c r="AC261"/>
      <c r="AD261"/>
    </row>
    <row r="262" spans="17:30" ht="12.75" customHeight="1">
      <c r="Q262" s="668" t="s">
        <v>755</v>
      </c>
      <c r="R262" s="364" t="s">
        <v>239</v>
      </c>
      <c r="S262" s="364"/>
      <c r="T262" s="364"/>
      <c r="U262" s="364"/>
      <c r="V262" s="364"/>
      <c r="W262" s="364"/>
      <c r="X262" s="364"/>
      <c r="Y262" s="364"/>
      <c r="Z262" s="364"/>
      <c r="AA262"/>
      <c r="AB262"/>
      <c r="AC262"/>
      <c r="AD262"/>
    </row>
    <row r="263" spans="17:30" ht="12.75" customHeight="1">
      <c r="Q263" s="364"/>
      <c r="R263" s="364"/>
      <c r="S263" s="364"/>
      <c r="T263" s="364"/>
      <c r="U263" s="364"/>
      <c r="V263" s="364"/>
      <c r="W263" s="364"/>
      <c r="X263" s="364"/>
      <c r="Y263" s="364"/>
      <c r="Z263" s="364"/>
      <c r="AA263"/>
      <c r="AB263"/>
      <c r="AC263"/>
      <c r="AD263"/>
    </row>
    <row r="264" spans="17:30" ht="12.75" customHeight="1">
      <c r="Q264" s="364"/>
      <c r="R264" s="953" t="s">
        <v>676</v>
      </c>
      <c r="S264" s="954"/>
      <c r="T264" s="561" t="s">
        <v>320</v>
      </c>
      <c r="U264" s="935" t="s">
        <v>318</v>
      </c>
      <c r="V264" s="935"/>
      <c r="W264" s="681">
        <f>'Compressor Input Data'!G7</f>
        <v>0.19</v>
      </c>
      <c r="X264" s="594"/>
      <c r="Y264" s="595"/>
      <c r="Z264" s="363"/>
      <c r="AA264"/>
      <c r="AB264"/>
      <c r="AC264"/>
      <c r="AD264"/>
    </row>
    <row r="265" spans="17:30" ht="12.75" customHeight="1">
      <c r="Q265" s="364"/>
      <c r="R265" s="955"/>
      <c r="S265" s="956"/>
      <c r="T265" s="561" t="s">
        <v>321</v>
      </c>
      <c r="U265" s="935" t="s">
        <v>319</v>
      </c>
      <c r="V265" s="935"/>
      <c r="W265" s="681">
        <f>'Compressor Input Data'!G8</f>
        <v>0.33</v>
      </c>
      <c r="X265" s="594"/>
      <c r="Y265" s="595"/>
      <c r="Z265" s="595"/>
      <c r="AA265"/>
      <c r="AB265"/>
      <c r="AC265"/>
      <c r="AD265"/>
    </row>
    <row r="266" spans="17:30" ht="12.75" customHeight="1">
      <c r="Q266" s="364"/>
      <c r="R266" s="363"/>
      <c r="S266" s="363"/>
      <c r="T266" s="577"/>
      <c r="U266" s="577"/>
      <c r="V266" s="596"/>
      <c r="W266" s="363"/>
      <c r="X266" s="363"/>
      <c r="Y266" s="363"/>
      <c r="Z266" s="363"/>
      <c r="AA266"/>
      <c r="AB266"/>
      <c r="AC266"/>
      <c r="AD266"/>
    </row>
    <row r="267" spans="17:30" ht="12.75" customHeight="1">
      <c r="Q267" s="364"/>
      <c r="R267" s="935" t="s">
        <v>675</v>
      </c>
      <c r="S267" s="935"/>
      <c r="T267" s="935"/>
      <c r="U267" s="949" t="s">
        <v>500</v>
      </c>
      <c r="V267" s="938" t="s">
        <v>22</v>
      </c>
      <c r="W267" s="940" t="s">
        <v>579</v>
      </c>
      <c r="X267" s="942" t="s">
        <v>21</v>
      </c>
      <c r="Y267" s="361"/>
      <c r="Z267" s="364"/>
      <c r="AA267"/>
      <c r="AB267"/>
      <c r="AC267"/>
      <c r="AD267"/>
    </row>
    <row r="268" spans="17:30" ht="12.75" customHeight="1">
      <c r="Q268" s="364"/>
      <c r="R268" s="944" t="s">
        <v>320</v>
      </c>
      <c r="S268" s="947"/>
      <c r="T268" s="948"/>
      <c r="U268" s="950"/>
      <c r="V268" s="939"/>
      <c r="W268" s="941"/>
      <c r="X268" s="943"/>
      <c r="Y268" s="361"/>
      <c r="Z268" s="364"/>
      <c r="AA268"/>
      <c r="AB268"/>
      <c r="AC268"/>
      <c r="AD268"/>
    </row>
    <row r="269" spans="17:30" ht="12.75" customHeight="1">
      <c r="Q269" s="364"/>
      <c r="R269" s="945"/>
      <c r="S269" s="935" t="s">
        <v>306</v>
      </c>
      <c r="T269" s="935"/>
      <c r="U269" s="599">
        <f>U164*$W$264</f>
        <v>178.34666666666669</v>
      </c>
      <c r="V269" s="599">
        <f>V164*$W$264</f>
        <v>19253.333333333336</v>
      </c>
      <c r="W269" s="599">
        <f>W164*$W$264</f>
        <v>14439.999999999998</v>
      </c>
      <c r="X269" s="599">
        <f>X164*$W$264</f>
        <v>12835.555555555555</v>
      </c>
      <c r="Y269" s="361"/>
      <c r="Z269" s="364"/>
      <c r="AA269"/>
      <c r="AB269"/>
      <c r="AC269"/>
      <c r="AD269"/>
    </row>
    <row r="270" spans="17:30" ht="12.75" customHeight="1">
      <c r="Q270" s="364"/>
      <c r="R270" s="945"/>
      <c r="S270" s="935" t="s">
        <v>307</v>
      </c>
      <c r="T270" s="935"/>
      <c r="U270" s="599">
        <f>U269*$V$11</f>
        <v>4101.9733333333343</v>
      </c>
      <c r="V270" s="599">
        <f>V269*$V$11</f>
        <v>442826.66666666674</v>
      </c>
      <c r="W270" s="599">
        <f>W269*$V$11</f>
        <v>332119.99999999994</v>
      </c>
      <c r="X270" s="599">
        <f>X269*$V$11</f>
        <v>295217.77777777775</v>
      </c>
      <c r="Y270" s="361"/>
      <c r="Z270" s="364"/>
      <c r="AA270"/>
      <c r="AB270"/>
      <c r="AC270"/>
      <c r="AD270"/>
    </row>
    <row r="271" spans="17:30" ht="12.75" customHeight="1">
      <c r="Q271" s="364"/>
      <c r="R271" s="946"/>
      <c r="S271" s="935" t="s">
        <v>308</v>
      </c>
      <c r="T271" s="935"/>
      <c r="U271" s="599">
        <f>U270*9</f>
        <v>36917.760000000009</v>
      </c>
      <c r="V271" s="599">
        <f>V270*9</f>
        <v>3985440.0000000009</v>
      </c>
      <c r="W271" s="599">
        <f>W270*9</f>
        <v>2989079.9999999995</v>
      </c>
      <c r="X271" s="599">
        <f>X270*9</f>
        <v>2656960</v>
      </c>
      <c r="Y271" s="361"/>
      <c r="Z271" s="364"/>
      <c r="AA271"/>
      <c r="AB271"/>
      <c r="AC271"/>
      <c r="AD271"/>
    </row>
    <row r="272" spans="17:30" ht="12.75" customHeight="1">
      <c r="Q272" s="597"/>
      <c r="R272" s="937"/>
      <c r="S272" s="937"/>
      <c r="T272" s="937"/>
      <c r="U272" s="937"/>
      <c r="V272" s="937"/>
      <c r="W272" s="937"/>
      <c r="X272" s="937"/>
      <c r="Y272" s="364"/>
      <c r="Z272" s="364"/>
      <c r="AA272"/>
      <c r="AB272"/>
      <c r="AC272"/>
      <c r="AD272"/>
    </row>
    <row r="273" spans="17:30" ht="12.75" customHeight="1">
      <c r="Q273" s="597"/>
      <c r="R273" s="935" t="s">
        <v>675</v>
      </c>
      <c r="S273" s="935"/>
      <c r="T273" s="935"/>
      <c r="U273" s="930" t="s">
        <v>500</v>
      </c>
      <c r="V273" s="928" t="s">
        <v>22</v>
      </c>
      <c r="W273" s="929" t="s">
        <v>579</v>
      </c>
      <c r="X273" s="927" t="s">
        <v>21</v>
      </c>
      <c r="Y273" s="361"/>
      <c r="Z273" s="364"/>
      <c r="AA273"/>
      <c r="AB273"/>
      <c r="AC273"/>
      <c r="AD273"/>
    </row>
    <row r="274" spans="17:30" ht="12.75" customHeight="1">
      <c r="Q274" s="597"/>
      <c r="R274" s="937" t="s">
        <v>321</v>
      </c>
      <c r="S274" s="937"/>
      <c r="T274" s="937"/>
      <c r="U274" s="930"/>
      <c r="V274" s="928"/>
      <c r="W274" s="929"/>
      <c r="X274" s="927"/>
      <c r="Y274" s="361"/>
      <c r="Z274" s="364"/>
      <c r="AA274"/>
      <c r="AB274"/>
      <c r="AC274"/>
      <c r="AD274"/>
    </row>
    <row r="275" spans="17:30" ht="12.75" customHeight="1">
      <c r="Q275" s="364"/>
      <c r="R275" s="937"/>
      <c r="S275" s="935" t="s">
        <v>306</v>
      </c>
      <c r="T275" s="935"/>
      <c r="U275" s="599">
        <f>U164*$W$265</f>
        <v>309.76000000000005</v>
      </c>
      <c r="V275" s="599">
        <f>V164*$W$265</f>
        <v>33440.000000000007</v>
      </c>
      <c r="W275" s="599">
        <f>W164*$W$265</f>
        <v>25079.999999999996</v>
      </c>
      <c r="X275" s="599">
        <f>X164*$W$265</f>
        <v>22293.333333333332</v>
      </c>
      <c r="Y275" s="361"/>
      <c r="Z275" s="364"/>
      <c r="AA275"/>
      <c r="AB275"/>
      <c r="AC275"/>
      <c r="AD275"/>
    </row>
    <row r="276" spans="17:30" ht="12.75" customHeight="1">
      <c r="Q276" s="597"/>
      <c r="R276" s="937"/>
      <c r="S276" s="935" t="s">
        <v>307</v>
      </c>
      <c r="T276" s="935"/>
      <c r="U276" s="599">
        <f>U275*$V$11</f>
        <v>7124.4800000000014</v>
      </c>
      <c r="V276" s="599">
        <f>V275*$V$11</f>
        <v>769120.00000000012</v>
      </c>
      <c r="W276" s="599">
        <f>W275*$V$11</f>
        <v>576839.99999999988</v>
      </c>
      <c r="X276" s="599">
        <f>X275*$V$11</f>
        <v>512746.66666666663</v>
      </c>
      <c r="Y276" s="361"/>
      <c r="Z276" s="364"/>
      <c r="AA276"/>
      <c r="AB276"/>
      <c r="AC276"/>
      <c r="AD276"/>
    </row>
    <row r="277" spans="17:30" ht="12.75" customHeight="1">
      <c r="Q277" s="364"/>
      <c r="R277" s="937"/>
      <c r="S277" s="935" t="s">
        <v>308</v>
      </c>
      <c r="T277" s="935"/>
      <c r="U277" s="599">
        <f>U276*3</f>
        <v>21373.440000000002</v>
      </c>
      <c r="V277" s="599">
        <f>V276*3</f>
        <v>2307360.0000000005</v>
      </c>
      <c r="W277" s="599">
        <f>W276*3</f>
        <v>1730519.9999999995</v>
      </c>
      <c r="X277" s="599">
        <f>X276*3</f>
        <v>1538240</v>
      </c>
      <c r="Y277" s="361"/>
      <c r="Z277" s="364"/>
      <c r="AA277"/>
      <c r="AB277"/>
      <c r="AC277"/>
      <c r="AD277"/>
    </row>
    <row r="278" spans="17:30" ht="12.75" customHeight="1">
      <c r="Q278" s="364"/>
      <c r="R278" s="937"/>
      <c r="S278" s="937"/>
      <c r="T278" s="937"/>
      <c r="U278" s="937"/>
      <c r="V278" s="937"/>
      <c r="W278" s="937"/>
      <c r="X278" s="937"/>
      <c r="Y278" s="364"/>
      <c r="Z278" s="364"/>
      <c r="AA278"/>
      <c r="AB278"/>
      <c r="AC278"/>
      <c r="AD278"/>
    </row>
    <row r="279" spans="17:30" ht="12.75" customHeight="1">
      <c r="Q279" s="364"/>
      <c r="R279" s="935" t="s">
        <v>675</v>
      </c>
      <c r="S279" s="935"/>
      <c r="T279" s="935"/>
      <c r="U279" s="930" t="s">
        <v>500</v>
      </c>
      <c r="V279" s="928" t="s">
        <v>22</v>
      </c>
      <c r="W279" s="929" t="s">
        <v>579</v>
      </c>
      <c r="X279" s="927" t="s">
        <v>21</v>
      </c>
      <c r="Y279" s="361"/>
      <c r="Z279" s="364"/>
      <c r="AA279"/>
      <c r="AB279"/>
      <c r="AC279"/>
      <c r="AD279"/>
    </row>
    <row r="280" spans="17:30" ht="12.75" customHeight="1">
      <c r="Q280" s="364"/>
      <c r="R280" s="937" t="s">
        <v>322</v>
      </c>
      <c r="S280" s="937"/>
      <c r="T280" s="937"/>
      <c r="U280" s="930"/>
      <c r="V280" s="928"/>
      <c r="W280" s="929"/>
      <c r="X280" s="927"/>
      <c r="Y280" s="361"/>
      <c r="Z280" s="364"/>
      <c r="AA280"/>
      <c r="AB280"/>
      <c r="AC280"/>
      <c r="AD280"/>
    </row>
    <row r="281" spans="17:30" ht="12.75" customHeight="1">
      <c r="Q281" s="364"/>
      <c r="R281" s="937"/>
      <c r="S281" s="935" t="s">
        <v>306</v>
      </c>
      <c r="T281" s="935"/>
      <c r="U281" s="599">
        <f>U282/$V$11</f>
        <v>211.20000000000005</v>
      </c>
      <c r="V281" s="599">
        <f>V282/$V$11</f>
        <v>22800.000000000004</v>
      </c>
      <c r="W281" s="599">
        <f>W282/$V$11</f>
        <v>17099.999999999996</v>
      </c>
      <c r="X281" s="599">
        <f>X282/$V$11</f>
        <v>15200</v>
      </c>
      <c r="Y281" s="361"/>
      <c r="Z281" s="364"/>
      <c r="AA281"/>
      <c r="AB281"/>
      <c r="AC281"/>
      <c r="AD281"/>
    </row>
    <row r="282" spans="17:30" ht="12.75" customHeight="1">
      <c r="Q282" s="364"/>
      <c r="R282" s="937"/>
      <c r="S282" s="935" t="s">
        <v>307</v>
      </c>
      <c r="T282" s="935"/>
      <c r="U282" s="599">
        <f>U283/12</f>
        <v>4857.6000000000013</v>
      </c>
      <c r="V282" s="599">
        <f>V283/12</f>
        <v>524400.00000000012</v>
      </c>
      <c r="W282" s="599">
        <f>W283/12</f>
        <v>393299.99999999994</v>
      </c>
      <c r="X282" s="599">
        <f>X283/12</f>
        <v>349600</v>
      </c>
      <c r="Y282" s="361"/>
      <c r="Z282" s="364"/>
      <c r="AA282"/>
      <c r="AB282"/>
      <c r="AC282"/>
      <c r="AD282"/>
    </row>
    <row r="283" spans="17:30" ht="12.75" customHeight="1">
      <c r="Q283" s="364"/>
      <c r="R283" s="937"/>
      <c r="S283" s="935" t="s">
        <v>308</v>
      </c>
      <c r="T283" s="935"/>
      <c r="U283" s="599">
        <f>U271+U277</f>
        <v>58291.200000000012</v>
      </c>
      <c r="V283" s="599">
        <f>V271+V277</f>
        <v>6292800.0000000019</v>
      </c>
      <c r="W283" s="599">
        <f>W271+W277</f>
        <v>4719599.9999999991</v>
      </c>
      <c r="X283" s="599">
        <f>X271+X277</f>
        <v>4195200</v>
      </c>
      <c r="Y283" s="361"/>
      <c r="Z283" s="364"/>
      <c r="AA283"/>
      <c r="AB283"/>
      <c r="AC283"/>
      <c r="AD283"/>
    </row>
    <row r="284" spans="17:30" ht="12.75" customHeight="1">
      <c r="Q284" s="364"/>
      <c r="R284" s="363"/>
      <c r="S284" s="363"/>
      <c r="T284" s="577"/>
      <c r="U284" s="577"/>
      <c r="V284" s="596"/>
      <c r="W284" s="363"/>
      <c r="X284" s="363"/>
      <c r="Y284" s="363"/>
      <c r="Z284" s="363"/>
      <c r="AA284"/>
      <c r="AB284"/>
      <c r="AC284"/>
      <c r="AD284"/>
    </row>
    <row r="285" spans="17:30" ht="12.75" customHeight="1">
      <c r="Q285" s="668" t="s">
        <v>756</v>
      </c>
      <c r="R285" s="363" t="s">
        <v>758</v>
      </c>
      <c r="S285" s="363"/>
      <c r="T285" s="577"/>
      <c r="U285" s="577"/>
      <c r="V285" s="596"/>
      <c r="W285" s="363"/>
      <c r="X285" s="363"/>
      <c r="Y285" s="363"/>
      <c r="Z285" s="363"/>
      <c r="AA285"/>
      <c r="AB285"/>
      <c r="AC285"/>
      <c r="AD285"/>
    </row>
    <row r="286" spans="17:30" ht="12.75" customHeight="1">
      <c r="Q286" s="364"/>
      <c r="R286" s="935" t="s">
        <v>678</v>
      </c>
      <c r="S286" s="935"/>
      <c r="T286" s="935"/>
      <c r="U286" s="935"/>
      <c r="V286" s="936" t="s">
        <v>500</v>
      </c>
      <c r="W286" s="936" t="s">
        <v>22</v>
      </c>
      <c r="X286" s="936" t="s">
        <v>579</v>
      </c>
      <c r="Y286" s="936" t="s">
        <v>21</v>
      </c>
      <c r="Z286" s="361"/>
      <c r="AA286"/>
      <c r="AB286"/>
      <c r="AC286"/>
      <c r="AD286"/>
    </row>
    <row r="287" spans="17:30" ht="12.75" customHeight="1">
      <c r="Q287" s="364"/>
      <c r="R287" s="935"/>
      <c r="S287" s="935"/>
      <c r="T287" s="935"/>
      <c r="U287" s="935"/>
      <c r="V287" s="936"/>
      <c r="W287" s="936"/>
      <c r="X287" s="936"/>
      <c r="Y287" s="936"/>
      <c r="Z287" s="361"/>
      <c r="AA287"/>
      <c r="AB287"/>
      <c r="AC287"/>
      <c r="AD287"/>
    </row>
    <row r="288" spans="17:30" ht="12.75" customHeight="1">
      <c r="Q288" s="364"/>
      <c r="R288" s="931" t="s">
        <v>35</v>
      </c>
      <c r="S288" s="931"/>
      <c r="T288" s="931"/>
      <c r="U288" s="931"/>
      <c r="V288" s="599">
        <f>AVERAGE(U196:W196)*5%</f>
        <v>1278225.0000000002</v>
      </c>
      <c r="W288" s="599">
        <f>V202*5%</f>
        <v>1573200</v>
      </c>
      <c r="X288" s="599">
        <f>W202*5%</f>
        <v>1533870.0000000005</v>
      </c>
      <c r="Y288" s="599">
        <f>X202*5%</f>
        <v>1520760</v>
      </c>
      <c r="Z288" s="361"/>
      <c r="AA288"/>
      <c r="AB288"/>
      <c r="AC288"/>
      <c r="AD288"/>
    </row>
    <row r="289" spans="17:30" ht="12.75" customHeight="1">
      <c r="Q289" s="364"/>
      <c r="R289" s="931" t="s">
        <v>481</v>
      </c>
      <c r="S289" s="931"/>
      <c r="T289" s="931"/>
      <c r="U289" s="931"/>
      <c r="V289" s="600" t="s">
        <v>479</v>
      </c>
      <c r="W289" s="599">
        <f>Y289</f>
        <v>1059840</v>
      </c>
      <c r="X289" s="600" t="s">
        <v>479</v>
      </c>
      <c r="Y289" s="599">
        <f>Consumables!E23*12</f>
        <v>1059840</v>
      </c>
      <c r="Z289" s="361"/>
      <c r="AA289"/>
      <c r="AB289"/>
      <c r="AC289"/>
      <c r="AD289"/>
    </row>
    <row r="290" spans="17:30" ht="12.75" customHeight="1">
      <c r="Q290" s="364"/>
      <c r="R290" s="931" t="s">
        <v>311</v>
      </c>
      <c r="S290" s="931"/>
      <c r="T290" s="931"/>
      <c r="U290" s="931"/>
      <c r="V290" s="600" t="s">
        <v>557</v>
      </c>
      <c r="W290" s="599">
        <f>Y290</f>
        <v>416000</v>
      </c>
      <c r="X290" s="599">
        <f>W290</f>
        <v>416000</v>
      </c>
      <c r="Y290" s="599">
        <f>Consumables!E21*12</f>
        <v>416000</v>
      </c>
      <c r="Z290" s="361"/>
      <c r="AA290"/>
      <c r="AB290"/>
      <c r="AC290"/>
      <c r="AD290"/>
    </row>
    <row r="291" spans="17:30" ht="12.75" customHeight="1">
      <c r="Q291" s="364"/>
      <c r="R291" s="931" t="s">
        <v>480</v>
      </c>
      <c r="S291" s="931"/>
      <c r="T291" s="931"/>
      <c r="U291" s="931"/>
      <c r="V291" s="599">
        <f>Consumables!H21*12</f>
        <v>3865001.2800000003</v>
      </c>
      <c r="W291" s="599">
        <v>0</v>
      </c>
      <c r="X291" s="599">
        <v>0</v>
      </c>
      <c r="Y291" s="599">
        <v>0</v>
      </c>
      <c r="Z291" s="361"/>
      <c r="AA291"/>
      <c r="AB291"/>
      <c r="AC291"/>
      <c r="AD291"/>
    </row>
    <row r="292" spans="17:30" ht="12.75" customHeight="1">
      <c r="Q292" s="364"/>
      <c r="R292" s="931" t="s">
        <v>312</v>
      </c>
      <c r="S292" s="931"/>
      <c r="T292" s="931"/>
      <c r="U292" s="931"/>
      <c r="V292" s="599">
        <f>Consumables!H20*12</f>
        <v>2691993.6000000001</v>
      </c>
      <c r="W292" s="599">
        <f>Y292</f>
        <v>2331648.0000000005</v>
      </c>
      <c r="X292" s="599">
        <f>W292</f>
        <v>2331648.0000000005</v>
      </c>
      <c r="Y292" s="599">
        <f>Consumables!E20*12</f>
        <v>2331648.0000000005</v>
      </c>
      <c r="Z292" s="361"/>
      <c r="AA292"/>
      <c r="AB292"/>
      <c r="AC292"/>
      <c r="AD292"/>
    </row>
    <row r="293" spans="17:30" ht="12.75" customHeight="1">
      <c r="Q293" s="364"/>
      <c r="R293" s="931" t="s">
        <v>313</v>
      </c>
      <c r="S293" s="931"/>
      <c r="T293" s="931"/>
      <c r="U293" s="931"/>
      <c r="V293" s="599">
        <f>Consumables!H19*12</f>
        <v>1674547.2000000002</v>
      </c>
      <c r="W293" s="599">
        <f>Y293</f>
        <v>1398988.8</v>
      </c>
      <c r="X293" s="599">
        <f>W293</f>
        <v>1398988.8</v>
      </c>
      <c r="Y293" s="599">
        <f>Consumables!E19*12</f>
        <v>1398988.8</v>
      </c>
      <c r="Z293" s="361"/>
      <c r="AA293"/>
      <c r="AB293"/>
      <c r="AC293"/>
      <c r="AD293"/>
    </row>
    <row r="294" spans="17:30" ht="12.75" customHeight="1">
      <c r="Q294" s="364"/>
      <c r="R294" s="931" t="s">
        <v>190</v>
      </c>
      <c r="S294" s="931"/>
      <c r="T294" s="931"/>
      <c r="U294" s="931"/>
      <c r="V294" s="599">
        <f>Consumables!H22*12</f>
        <v>8294400</v>
      </c>
      <c r="W294" s="599">
        <v>0</v>
      </c>
      <c r="X294" s="599">
        <v>0</v>
      </c>
      <c r="Y294" s="599">
        <v>0</v>
      </c>
      <c r="Z294" s="361"/>
      <c r="AA294"/>
      <c r="AB294"/>
      <c r="AC294"/>
      <c r="AD294"/>
    </row>
    <row r="295" spans="17:30" ht="12.75" customHeight="1">
      <c r="Q295" s="364"/>
      <c r="R295" s="931" t="s">
        <v>482</v>
      </c>
      <c r="S295" s="931"/>
      <c r="T295" s="931"/>
      <c r="U295" s="931"/>
      <c r="V295" s="599">
        <v>0</v>
      </c>
      <c r="W295" s="599">
        <f>Y295</f>
        <v>199600.00000000003</v>
      </c>
      <c r="X295" s="599">
        <f>W295</f>
        <v>199600.00000000003</v>
      </c>
      <c r="Y295" s="599">
        <f>Consumables!E25*12</f>
        <v>199600.00000000003</v>
      </c>
      <c r="Z295" s="361"/>
      <c r="AA295"/>
      <c r="AB295"/>
      <c r="AC295"/>
      <c r="AD295"/>
    </row>
    <row r="296" spans="17:30" ht="12.75" customHeight="1">
      <c r="Q296" s="364"/>
      <c r="R296" s="931" t="s">
        <v>483</v>
      </c>
      <c r="S296" s="931"/>
      <c r="T296" s="931"/>
      <c r="U296" s="931"/>
      <c r="V296" s="599">
        <v>0</v>
      </c>
      <c r="W296" s="599">
        <f>Y296</f>
        <v>40600</v>
      </c>
      <c r="X296" s="599">
        <f>W296</f>
        <v>40600</v>
      </c>
      <c r="Y296" s="599">
        <f>Consumables!E24*12</f>
        <v>40600</v>
      </c>
      <c r="Z296" s="361"/>
      <c r="AA296"/>
      <c r="AB296"/>
      <c r="AC296"/>
      <c r="AD296"/>
    </row>
    <row r="297" spans="17:30" ht="12.75" customHeight="1">
      <c r="Q297" s="364"/>
      <c r="R297" s="931" t="s">
        <v>478</v>
      </c>
      <c r="S297" s="931"/>
      <c r="T297" s="931"/>
      <c r="U297" s="931"/>
      <c r="V297" s="599">
        <f>U283</f>
        <v>58291.200000000012</v>
      </c>
      <c r="W297" s="599">
        <f>V283</f>
        <v>6292800.0000000019</v>
      </c>
      <c r="X297" s="599">
        <f>W283</f>
        <v>4719599.9999999991</v>
      </c>
      <c r="Y297" s="599">
        <f>X283</f>
        <v>4195200</v>
      </c>
      <c r="Z297" s="361"/>
      <c r="AA297"/>
      <c r="AB297"/>
      <c r="AC297"/>
      <c r="AD297"/>
    </row>
    <row r="298" spans="17:30" ht="12.75" customHeight="1">
      <c r="Q298" s="364"/>
      <c r="R298" s="931" t="s">
        <v>484</v>
      </c>
      <c r="S298" s="931"/>
      <c r="T298" s="931"/>
      <c r="U298" s="931"/>
      <c r="V298" s="599">
        <f>'NIHL Compenation Cost'!AD21</f>
        <v>1715167.5</v>
      </c>
      <c r="W298" s="599">
        <f>'NIHL Compenation Cost'!Z21</f>
        <v>989115.00000000012</v>
      </c>
      <c r="X298" s="599">
        <f>'NIHL Compenation Cost'!AB21</f>
        <v>1087325</v>
      </c>
      <c r="Y298" s="599">
        <f>'NIHL Compenation Cost'!X21</f>
        <v>596275</v>
      </c>
      <c r="Z298" s="361"/>
      <c r="AA298"/>
      <c r="AB298"/>
      <c r="AC298"/>
      <c r="AD298"/>
    </row>
    <row r="299" spans="17:30" ht="12.75" customHeight="1">
      <c r="Q299" s="364"/>
      <c r="R299" s="932" t="s">
        <v>677</v>
      </c>
      <c r="S299" s="932"/>
      <c r="T299" s="932"/>
      <c r="U299" s="932"/>
      <c r="V299" s="599">
        <f>SUM(V288:V298)</f>
        <v>19577625.780000001</v>
      </c>
      <c r="W299" s="599">
        <f>SUM(W288:W298)</f>
        <v>14301791.800000001</v>
      </c>
      <c r="X299" s="599">
        <f>SUM(X288:X298)</f>
        <v>11727631.800000001</v>
      </c>
      <c r="Y299" s="599">
        <f>SUM(Y288:Y298)</f>
        <v>11758911.800000001</v>
      </c>
      <c r="Z299" s="361"/>
      <c r="AA299"/>
      <c r="AB299"/>
      <c r="AC299"/>
      <c r="AD299"/>
    </row>
    <row r="300" spans="17:30" ht="12.75" customHeight="1">
      <c r="Q300" s="364"/>
      <c r="R300" s="591"/>
      <c r="S300" s="591"/>
      <c r="T300" s="591"/>
      <c r="U300" s="591"/>
      <c r="V300" s="718"/>
      <c r="W300" s="718"/>
      <c r="X300" s="718"/>
      <c r="Y300" s="718"/>
      <c r="Z300" s="361"/>
      <c r="AA300"/>
      <c r="AB300"/>
      <c r="AC300"/>
      <c r="AD300"/>
    </row>
    <row r="301" spans="17:30" ht="12.75" customHeight="1">
      <c r="Q301" s="364"/>
      <c r="R301" s="591"/>
      <c r="S301" s="591"/>
      <c r="T301" s="933" t="s">
        <v>812</v>
      </c>
      <c r="U301" s="933"/>
      <c r="V301" s="718">
        <f>V299-V294</f>
        <v>11283225.780000001</v>
      </c>
      <c r="W301" s="718">
        <f>W299-W294</f>
        <v>14301791.800000001</v>
      </c>
      <c r="X301" s="718">
        <f>X299-X294</f>
        <v>11727631.800000001</v>
      </c>
      <c r="Y301" s="718">
        <f>Y299-Y294</f>
        <v>11758911.800000001</v>
      </c>
      <c r="Z301" s="361"/>
      <c r="AA301"/>
      <c r="AB301"/>
      <c r="AC301"/>
      <c r="AD301"/>
    </row>
    <row r="302" spans="17:30" ht="12.75" customHeight="1">
      <c r="Q302" s="364"/>
      <c r="R302" s="364"/>
      <c r="S302" s="364"/>
      <c r="T302" s="934" t="s">
        <v>350</v>
      </c>
      <c r="U302" s="934"/>
      <c r="V302" s="682">
        <f>V294</f>
        <v>8294400</v>
      </c>
      <c r="W302" s="682"/>
      <c r="X302" s="682"/>
      <c r="Y302" s="682"/>
      <c r="Z302" s="364"/>
      <c r="AA302"/>
      <c r="AB302"/>
      <c r="AC302"/>
      <c r="AD302"/>
    </row>
    <row r="303" spans="17:30" ht="12.75" customHeight="1">
      <c r="Q303" s="364">
        <v>10.3</v>
      </c>
      <c r="R303" s="363"/>
      <c r="S303" s="364"/>
      <c r="T303" s="364"/>
      <c r="U303" s="364"/>
      <c r="V303" s="682"/>
      <c r="W303" s="364"/>
      <c r="X303" s="362"/>
      <c r="Y303" s="682"/>
      <c r="Z303" s="364"/>
      <c r="AA303"/>
      <c r="AB303"/>
      <c r="AC303"/>
      <c r="AD303"/>
    </row>
    <row r="304" spans="17:30" ht="12.75" customHeight="1">
      <c r="Q304" s="364"/>
      <c r="R304" s="364"/>
      <c r="S304" s="364"/>
      <c r="T304" s="364"/>
      <c r="U304" s="364"/>
      <c r="V304" s="364"/>
      <c r="W304" s="364"/>
      <c r="X304" s="364"/>
      <c r="Y304" s="364"/>
      <c r="Z304" s="364"/>
      <c r="AA304"/>
      <c r="AB304"/>
      <c r="AC304"/>
      <c r="AD304"/>
    </row>
    <row r="305" spans="17:30" ht="12.75" customHeight="1">
      <c r="Q305" s="364"/>
      <c r="R305" s="935" t="s">
        <v>195</v>
      </c>
      <c r="S305" s="935"/>
      <c r="T305" s="935"/>
      <c r="U305" s="935"/>
      <c r="V305" s="935"/>
      <c r="W305" s="375"/>
      <c r="X305" s="683"/>
      <c r="Y305" s="375"/>
      <c r="Z305" s="375"/>
      <c r="AA305"/>
      <c r="AB305"/>
      <c r="AC305"/>
      <c r="AD305"/>
    </row>
    <row r="306" spans="17:30" ht="12.75" customHeight="1">
      <c r="Q306" s="364"/>
      <c r="R306" s="926" t="s">
        <v>509</v>
      </c>
      <c r="S306" s="927" t="s">
        <v>21</v>
      </c>
      <c r="T306" s="928" t="s">
        <v>22</v>
      </c>
      <c r="U306" s="929" t="s">
        <v>579</v>
      </c>
      <c r="V306" s="930" t="s">
        <v>500</v>
      </c>
      <c r="W306" s="363"/>
      <c r="X306" s="684"/>
      <c r="Y306" s="363"/>
      <c r="Z306" s="364"/>
      <c r="AA306"/>
      <c r="AB306"/>
      <c r="AC306"/>
      <c r="AD306"/>
    </row>
    <row r="307" spans="17:30" ht="12.75" customHeight="1">
      <c r="Q307" s="364"/>
      <c r="R307" s="926"/>
      <c r="S307" s="927"/>
      <c r="T307" s="928"/>
      <c r="U307" s="929"/>
      <c r="V307" s="930"/>
      <c r="W307" s="363"/>
      <c r="X307" s="684"/>
      <c r="Y307" s="363"/>
      <c r="Z307" s="364"/>
      <c r="AA307"/>
      <c r="AB307"/>
      <c r="AC307"/>
      <c r="AD307"/>
    </row>
    <row r="308" spans="17:30" ht="12.75" customHeight="1">
      <c r="Q308" s="364"/>
      <c r="R308" s="667" t="s">
        <v>204</v>
      </c>
      <c r="S308" s="667" t="s">
        <v>846</v>
      </c>
      <c r="T308" s="667" t="s">
        <v>846</v>
      </c>
      <c r="U308" s="667" t="s">
        <v>846</v>
      </c>
      <c r="V308" s="667" t="s">
        <v>846</v>
      </c>
      <c r="W308" s="363"/>
      <c r="X308" s="363"/>
      <c r="Y308" s="363"/>
      <c r="Z308" s="364"/>
      <c r="AA308"/>
      <c r="AB308"/>
      <c r="AC308"/>
      <c r="AD308"/>
    </row>
    <row r="309" spans="17:30" ht="12.75" customHeight="1">
      <c r="Q309" s="364"/>
      <c r="R309" s="600">
        <v>1</v>
      </c>
      <c r="S309" s="369">
        <f>$X$69</f>
        <v>112</v>
      </c>
      <c r="T309" s="584">
        <f>$V$69</f>
        <v>108</v>
      </c>
      <c r="U309" s="685">
        <f>$W$69</f>
        <v>107</v>
      </c>
      <c r="V309" s="369">
        <f>$U$69</f>
        <v>102</v>
      </c>
      <c r="W309" s="363"/>
      <c r="X309" s="363"/>
      <c r="Y309" s="363"/>
      <c r="Z309" s="364"/>
      <c r="AA309"/>
      <c r="AB309"/>
      <c r="AC309"/>
      <c r="AD309"/>
    </row>
    <row r="310" spans="17:30" ht="12.75" customHeight="1">
      <c r="Q310" s="364"/>
      <c r="R310" s="600">
        <v>2</v>
      </c>
      <c r="S310" s="584">
        <f>(LOG((10^(S309/10))+(10^(S309/10))))*10</f>
        <v>115.01029995663981</v>
      </c>
      <c r="T310" s="584">
        <f>(LOG((10^(T309/10))+(10^(T309/10))))*10</f>
        <v>111.01029995663981</v>
      </c>
      <c r="U310" s="584">
        <f>(LOG((10^(U309/10))+(10^(U309/10))))*10</f>
        <v>110.01029995663983</v>
      </c>
      <c r="V310" s="584">
        <f>(LOG((10^(V309/10))+(10^(V309/10))))*10</f>
        <v>105.01029995663983</v>
      </c>
      <c r="W310" s="363"/>
      <c r="X310" s="363"/>
      <c r="Y310" s="363"/>
      <c r="Z310" s="364"/>
      <c r="AA310"/>
      <c r="AB310"/>
      <c r="AC310"/>
      <c r="AD310"/>
    </row>
    <row r="311" spans="17:30" ht="12.75" customHeight="1">
      <c r="Q311" s="597"/>
      <c r="R311" s="600">
        <v>3</v>
      </c>
      <c r="S311" s="584">
        <f>(LOG((10^(S309/10))+(10^(S309/10))+(10^(S309/10)))*10)</f>
        <v>116.77121254719663</v>
      </c>
      <c r="T311" s="584">
        <f>(LOG((10^(T309/10))+(10^(T309/10))+(10^(T309/10)))*10)</f>
        <v>112.77121254719663</v>
      </c>
      <c r="U311" s="584">
        <f>(LOG((10^(U309/10))+(10^(U309/10))+(10^(U309/10)))*10)</f>
        <v>111.77121254719664</v>
      </c>
      <c r="V311" s="584">
        <f>(LOG((10^(V309/10))+(10^(V309/10))+(10^(V309/10)))*10)</f>
        <v>106.77121254719664</v>
      </c>
      <c r="W311" s="363"/>
      <c r="X311" s="363"/>
      <c r="Y311" s="363"/>
      <c r="Z311" s="364"/>
      <c r="AA311"/>
      <c r="AB311"/>
      <c r="AC311"/>
      <c r="AD311"/>
    </row>
    <row r="312" spans="17:30" ht="12.75" customHeight="1">
      <c r="Q312" s="364"/>
      <c r="R312" s="600">
        <v>4</v>
      </c>
      <c r="S312" s="584">
        <f>(LOG((10^(S309/10))+(10^(S309/10))+(10^(S309/10))+(10^(S309/10))))*10</f>
        <v>118.02059991327963</v>
      </c>
      <c r="T312" s="584">
        <f>(LOG((10^(T309/10))+(10^(T309/10))+(10^(T309/10))+(10^(T309/10))))*10</f>
        <v>114.02059991327963</v>
      </c>
      <c r="U312" s="584">
        <f>(LOG((10^(U309/10))+(10^(U309/10))+(10^(U309/10))+(10^(U309/10))))*10</f>
        <v>113.02059991327964</v>
      </c>
      <c r="V312" s="584">
        <f>(LOG((10^(V309/10))+(10^(V309/10))+(10^(V309/10))+(10^(V309/10))))*10</f>
        <v>108.02059991327964</v>
      </c>
      <c r="W312" s="363"/>
      <c r="X312" s="363"/>
      <c r="Y312" s="363"/>
      <c r="Z312" s="364"/>
      <c r="AA312"/>
      <c r="AB312"/>
      <c r="AC312"/>
      <c r="AD312"/>
    </row>
    <row r="313" spans="17:30" ht="12.75" customHeight="1">
      <c r="Q313" s="364"/>
      <c r="R313" s="600">
        <v>5</v>
      </c>
      <c r="S313" s="584">
        <f>(LOG((10^(S309/10))+(10^(S309/10))+(10^(S309/10))+(10^(S309/10))+(10^(S309/10))))*10</f>
        <v>118.98970004336019</v>
      </c>
      <c r="T313" s="584">
        <f>(LOG((10^(T309/10))+(10^(T309/10))+(10^(T309/10))+(10^(T309/10))+(10^(T309/10))))*10</f>
        <v>114.98970004336019</v>
      </c>
      <c r="U313" s="584">
        <f>(LOG((10^(U309/10))+(10^(U309/10))+(10^(U309/10))+(10^(U309/10))+(10^(U309/10))))*10</f>
        <v>113.9897000433602</v>
      </c>
      <c r="V313" s="584">
        <f>(LOG((10^(V309/10))+(10^(V309/10))+(10^(V309/10))+(10^(V309/10))+(10^(V309/10))))*10</f>
        <v>108.9897000433602</v>
      </c>
      <c r="W313" s="363"/>
      <c r="X313" s="363"/>
      <c r="Y313" s="363"/>
      <c r="Z313" s="364"/>
      <c r="AA313"/>
      <c r="AB313"/>
      <c r="AC313"/>
      <c r="AD313"/>
    </row>
    <row r="314" spans="17:30" ht="12.75" customHeight="1">
      <c r="Q314" s="364"/>
      <c r="R314" s="600">
        <v>6</v>
      </c>
      <c r="S314" s="584">
        <f>(LOG((10^(S309/10))+(10^(S309/10))+(10^(S309/10))+(10^(S309/10))+(10^(S309/10))+(10^(S309/10)))*10)</f>
        <v>119.78151250383644</v>
      </c>
      <c r="T314" s="584">
        <f>(LOG((10^(T309/10))+(10^(T309/10))+(10^(T309/10))+(10^(T309/10))+(10^(T309/10))+(10^(T309/10)))*10)</f>
        <v>115.78151250383644</v>
      </c>
      <c r="U314" s="584">
        <f>(LOG((10^(U309/10))+(10^(U309/10))+(10^(U309/10))+(10^(U309/10))+(10^(U309/10))+(10^(U309/10)))*10)</f>
        <v>114.78151250383644</v>
      </c>
      <c r="V314" s="584">
        <f>(LOG((10^(V309/10))+(10^(V309/10))+(10^(V309/10))+(10^(V309/10))+(10^(V309/10))+(10^(V309/10)))*10)</f>
        <v>109.78151250383645</v>
      </c>
      <c r="W314" s="363"/>
      <c r="X314" s="363"/>
      <c r="Y314" s="363"/>
      <c r="Z314" s="364"/>
      <c r="AA314"/>
      <c r="AB314"/>
      <c r="AC314"/>
      <c r="AD314"/>
    </row>
    <row r="315" spans="17:30" ht="12.75" customHeight="1" thickBot="1">
      <c r="Q315" s="364"/>
      <c r="R315" s="364"/>
      <c r="S315" s="364"/>
      <c r="T315" s="364"/>
      <c r="U315" s="364"/>
      <c r="V315" s="364"/>
      <c r="W315" s="364"/>
      <c r="X315" s="364"/>
      <c r="Y315" s="364"/>
      <c r="Z315" s="364"/>
      <c r="AA315"/>
      <c r="AB315"/>
      <c r="AC315"/>
      <c r="AD315"/>
    </row>
    <row r="316" spans="17:30" ht="12.75" customHeight="1" thickTop="1">
      <c r="Q316" s="364"/>
      <c r="R316" s="916" t="s">
        <v>428</v>
      </c>
      <c r="S316" s="917"/>
      <c r="T316" s="917"/>
      <c r="U316" s="917"/>
      <c r="V316" s="917"/>
      <c r="W316" s="918"/>
      <c r="X316" s="364"/>
      <c r="Y316" s="364"/>
      <c r="Z316" s="364"/>
      <c r="AA316"/>
      <c r="AB316"/>
      <c r="AC316"/>
      <c r="AD316"/>
    </row>
    <row r="317" spans="17:30" ht="12.75" customHeight="1">
      <c r="Q317" s="364"/>
      <c r="R317" s="919"/>
      <c r="S317" s="920"/>
      <c r="T317" s="920"/>
      <c r="U317" s="920"/>
      <c r="V317" s="920"/>
      <c r="W317" s="921"/>
      <c r="X317" s="364"/>
      <c r="Y317" s="364"/>
      <c r="Z317" s="364"/>
      <c r="AA317"/>
      <c r="AB317"/>
      <c r="AC317"/>
      <c r="AD317"/>
    </row>
    <row r="318" spans="17:30" ht="12.75" customHeight="1" thickBot="1">
      <c r="Q318" s="364"/>
      <c r="R318" s="922"/>
      <c r="S318" s="923"/>
      <c r="T318" s="923"/>
      <c r="U318" s="923"/>
      <c r="V318" s="923"/>
      <c r="W318" s="924"/>
      <c r="X318" s="364"/>
      <c r="Y318" s="364"/>
      <c r="Z318" s="364"/>
      <c r="AA318"/>
      <c r="AB318"/>
      <c r="AC318"/>
      <c r="AD318"/>
    </row>
    <row r="319" spans="17:30" ht="12.75" customHeight="1" thickTop="1">
      <c r="Q319" s="364"/>
      <c r="R319" s="925" t="str">
        <f>S306</f>
        <v>Seco S215</v>
      </c>
      <c r="S319" s="925"/>
      <c r="T319" s="925"/>
      <c r="U319" s="925"/>
      <c r="V319" s="925"/>
      <c r="W319" s="925"/>
      <c r="X319" s="364"/>
      <c r="Y319" s="364"/>
      <c r="Z319" s="364"/>
      <c r="AA319"/>
      <c r="AB319"/>
      <c r="AC319"/>
      <c r="AD319"/>
    </row>
    <row r="320" spans="17:30" ht="12.75" customHeight="1" thickBot="1">
      <c r="Q320" s="364"/>
      <c r="R320" s="910" t="s">
        <v>205</v>
      </c>
      <c r="S320" s="911"/>
      <c r="T320" s="911"/>
      <c r="U320" s="911"/>
      <c r="V320" s="911"/>
      <c r="W320" s="912"/>
      <c r="X320" s="364"/>
      <c r="Y320" s="364"/>
      <c r="Z320" s="364"/>
      <c r="AA320"/>
      <c r="AB320"/>
      <c r="AC320"/>
      <c r="AD320"/>
    </row>
    <row r="321" spans="17:30" ht="12.75" customHeight="1" thickBot="1">
      <c r="Q321" s="364"/>
      <c r="R321" s="686" t="s">
        <v>59</v>
      </c>
      <c r="S321" s="577"/>
      <c r="T321" s="687"/>
      <c r="U321" s="687"/>
      <c r="V321" s="687"/>
      <c r="W321" s="688"/>
      <c r="X321" s="364"/>
      <c r="Y321" s="364"/>
      <c r="Z321" s="364"/>
      <c r="AA321"/>
      <c r="AB321"/>
      <c r="AC321"/>
      <c r="AD321"/>
    </row>
    <row r="322" spans="17:30" ht="12.75" customHeight="1">
      <c r="Q322" s="364"/>
      <c r="R322" s="895" t="s">
        <v>845</v>
      </c>
      <c r="S322" s="896"/>
      <c r="T322" s="900" t="s">
        <v>835</v>
      </c>
      <c r="U322" s="900" t="s">
        <v>836</v>
      </c>
      <c r="V322" s="900" t="s">
        <v>837</v>
      </c>
      <c r="W322" s="902" t="s">
        <v>838</v>
      </c>
      <c r="X322" s="364"/>
      <c r="Y322" s="364"/>
      <c r="Z322" s="364"/>
      <c r="AA322"/>
      <c r="AB322"/>
      <c r="AC322"/>
      <c r="AD322"/>
    </row>
    <row r="323" spans="17:30" ht="12.75" customHeight="1">
      <c r="Q323" s="364"/>
      <c r="R323" s="892"/>
      <c r="S323" s="897"/>
      <c r="T323" s="904"/>
      <c r="U323" s="904"/>
      <c r="V323" s="904"/>
      <c r="W323" s="905"/>
      <c r="X323" s="364"/>
      <c r="Y323" s="364"/>
      <c r="Z323" s="364"/>
      <c r="AA323"/>
      <c r="AB323"/>
      <c r="AC323"/>
      <c r="AD323"/>
    </row>
    <row r="324" spans="17:30" ht="12.75" customHeight="1">
      <c r="Q324" s="364"/>
      <c r="R324" s="892"/>
      <c r="S324" s="897"/>
      <c r="T324" s="901"/>
      <c r="U324" s="901"/>
      <c r="V324" s="901"/>
      <c r="W324" s="903"/>
      <c r="X324" s="364"/>
      <c r="Y324" s="364"/>
      <c r="Z324" s="364"/>
      <c r="AA324"/>
      <c r="AB324"/>
      <c r="AC324"/>
      <c r="AD324"/>
    </row>
    <row r="325" spans="17:30" ht="12.75" customHeight="1">
      <c r="Q325" s="364"/>
      <c r="R325" s="892"/>
      <c r="S325" s="897"/>
      <c r="T325" s="689">
        <f>X69</f>
        <v>112</v>
      </c>
      <c r="U325" s="560">
        <f>X62</f>
        <v>1.7777777777777777</v>
      </c>
      <c r="V325" s="690">
        <f>IF(T325&gt;0,W325*U325," ")</f>
        <v>11377.777777777777</v>
      </c>
      <c r="W325" s="691">
        <f>IF(T325&gt;0,(VLOOKUP(T325,'Lookup Ready-reckoner'!$B$5:$E$1207,4))," ")</f>
        <v>6400</v>
      </c>
      <c r="X325" s="364"/>
      <c r="Y325" s="364"/>
      <c r="Z325" s="364"/>
      <c r="AA325"/>
      <c r="AB325"/>
      <c r="AC325"/>
      <c r="AD325"/>
    </row>
    <row r="326" spans="17:30" ht="12.75" customHeight="1">
      <c r="Q326" s="364"/>
      <c r="R326" s="898"/>
      <c r="S326" s="899"/>
      <c r="T326" s="447"/>
      <c r="U326" s="560"/>
      <c r="V326" s="690" t="str">
        <f>IF(T326&gt;0,W326*U326," ")</f>
        <v xml:space="preserve"> </v>
      </c>
      <c r="W326" s="691" t="str">
        <f>IF(T326&gt;0,(VLOOKUP(T326,'Lookup Ready-reckoner'!$B$5:$E$1007,4))," ")</f>
        <v xml:space="preserve"> </v>
      </c>
      <c r="X326" s="364"/>
      <c r="Y326" s="364"/>
      <c r="Z326" s="364"/>
      <c r="AA326"/>
      <c r="AB326"/>
      <c r="AC326"/>
      <c r="AD326"/>
    </row>
    <row r="327" spans="17:30" ht="12.75" customHeight="1" thickBot="1">
      <c r="Q327" s="364"/>
      <c r="R327" s="692" t="s">
        <v>839</v>
      </c>
      <c r="S327" s="693"/>
      <c r="T327" s="693"/>
      <c r="U327" s="694">
        <f>IF(T325&gt;0,(VLOOKUP(V327,'Lookup Ready-reckoner'!$L$5:$M$1207,2))," ")</f>
        <v>105.45</v>
      </c>
      <c r="V327" s="695">
        <f>IF(U325&gt;0,(SUM(V325:V326))," ")</f>
        <v>11377.777777777777</v>
      </c>
      <c r="W327" s="696"/>
      <c r="X327" s="364"/>
      <c r="Y327" s="364"/>
      <c r="Z327" s="364"/>
      <c r="AA327"/>
      <c r="AB327"/>
      <c r="AC327"/>
      <c r="AD327"/>
    </row>
    <row r="328" spans="17:30" ht="12.75" customHeight="1" thickBot="1">
      <c r="Q328" s="364"/>
      <c r="R328" s="892"/>
      <c r="S328" s="893"/>
      <c r="T328" s="893"/>
      <c r="U328" s="893"/>
      <c r="V328" s="893"/>
      <c r="W328" s="894"/>
      <c r="X328" s="364"/>
      <c r="Y328" s="364"/>
      <c r="Z328" s="364"/>
      <c r="AA328"/>
      <c r="AB328"/>
      <c r="AC328"/>
      <c r="AD328"/>
    </row>
    <row r="329" spans="17:30" ht="12.75" customHeight="1">
      <c r="Q329" s="364"/>
      <c r="R329" s="895" t="s">
        <v>886</v>
      </c>
      <c r="S329" s="896"/>
      <c r="T329" s="900" t="s">
        <v>835</v>
      </c>
      <c r="U329" s="900" t="s">
        <v>836</v>
      </c>
      <c r="V329" s="900" t="s">
        <v>837</v>
      </c>
      <c r="W329" s="902" t="s">
        <v>838</v>
      </c>
      <c r="X329" s="364"/>
      <c r="Y329" s="364"/>
      <c r="Z329" s="364"/>
      <c r="AA329"/>
      <c r="AB329"/>
      <c r="AC329"/>
      <c r="AD329"/>
    </row>
    <row r="330" spans="17:30" ht="12.75" customHeight="1">
      <c r="Q330" s="364"/>
      <c r="R330" s="892"/>
      <c r="S330" s="897"/>
      <c r="T330" s="901"/>
      <c r="U330" s="901"/>
      <c r="V330" s="901"/>
      <c r="W330" s="903"/>
      <c r="X330" s="364"/>
      <c r="Y330" s="364"/>
      <c r="Z330" s="364"/>
      <c r="AA330"/>
      <c r="AB330"/>
      <c r="AC330"/>
      <c r="AD330"/>
    </row>
    <row r="331" spans="17:30" ht="12.75" customHeight="1">
      <c r="Q331" s="364"/>
      <c r="R331" s="892"/>
      <c r="S331" s="897"/>
      <c r="T331" s="689">
        <f>T325*(1-0.0178*2)</f>
        <v>108.0128</v>
      </c>
      <c r="U331" s="560">
        <f>U325</f>
        <v>1.7777777777777777</v>
      </c>
      <c r="V331" s="690">
        <f>IF(T331&gt;0,W331*U331," ")</f>
        <v>4444.4444444444443</v>
      </c>
      <c r="W331" s="691">
        <f>IF(T331&gt;0,(VLOOKUP(T331,'Lookup Ready-reckoner'!$B$5:$E$1207,4))," ")</f>
        <v>2500</v>
      </c>
      <c r="X331" s="364"/>
      <c r="Y331" s="364"/>
      <c r="Z331" s="364"/>
      <c r="AA331"/>
      <c r="AB331"/>
      <c r="AC331"/>
      <c r="AD331"/>
    </row>
    <row r="332" spans="17:30" ht="12.75" customHeight="1">
      <c r="Q332" s="364"/>
      <c r="R332" s="898"/>
      <c r="S332" s="899"/>
      <c r="T332" s="447"/>
      <c r="U332" s="560"/>
      <c r="V332" s="690" t="str">
        <f>IF(T332&gt;0,W332*U332," ")</f>
        <v xml:space="preserve"> </v>
      </c>
      <c r="W332" s="691" t="str">
        <f>IF(T332&gt;0,(VLOOKUP(T332,'Lookup Ready-reckoner'!$B$5:$E$1007,4))," ")</f>
        <v xml:space="preserve"> </v>
      </c>
      <c r="X332" s="364"/>
      <c r="Y332" s="364"/>
      <c r="Z332" s="364"/>
      <c r="AA332"/>
      <c r="AB332"/>
      <c r="AC332"/>
      <c r="AD332"/>
    </row>
    <row r="333" spans="17:30" ht="12.75" customHeight="1" thickBot="1">
      <c r="Q333" s="364"/>
      <c r="R333" s="692" t="s">
        <v>839</v>
      </c>
      <c r="S333" s="693"/>
      <c r="T333" s="693"/>
      <c r="U333" s="694">
        <f>IF(T331&gt;0,(VLOOKUP(V333,'Lookup Ready-reckoner'!$L$5:$M$1207,2))," ")</f>
        <v>101.4</v>
      </c>
      <c r="V333" s="695">
        <f>IF(U331&gt;0,(SUM(V331:V332))," ")</f>
        <v>4444.4444444444443</v>
      </c>
      <c r="W333" s="696"/>
      <c r="X333" s="364"/>
      <c r="Y333" s="364"/>
      <c r="Z333" s="364"/>
      <c r="AA333"/>
      <c r="AB333"/>
      <c r="AC333"/>
      <c r="AD333"/>
    </row>
    <row r="334" spans="17:30" ht="12.75" customHeight="1">
      <c r="Q334" s="364"/>
      <c r="R334" s="697"/>
      <c r="S334" s="687"/>
      <c r="T334" s="687"/>
      <c r="U334" s="372"/>
      <c r="V334" s="374"/>
      <c r="W334" s="688"/>
      <c r="X334" s="364"/>
      <c r="Y334" s="364"/>
      <c r="Z334" s="364"/>
      <c r="AA334"/>
      <c r="AB334"/>
      <c r="AC334"/>
      <c r="AD334"/>
    </row>
    <row r="335" spans="17:30" ht="12.75" customHeight="1" thickBot="1">
      <c r="Q335" s="364"/>
      <c r="R335" s="686" t="s">
        <v>60</v>
      </c>
      <c r="S335" s="577"/>
      <c r="T335" s="577"/>
      <c r="U335" s="577"/>
      <c r="V335" s="577"/>
      <c r="W335" s="698"/>
      <c r="X335" s="364"/>
      <c r="Y335" s="364"/>
      <c r="Z335" s="364"/>
      <c r="AA335"/>
      <c r="AB335"/>
      <c r="AC335"/>
      <c r="AD335"/>
    </row>
    <row r="336" spans="17:30" ht="12.75" customHeight="1">
      <c r="Q336" s="364"/>
      <c r="R336" s="895" t="s">
        <v>845</v>
      </c>
      <c r="S336" s="896"/>
      <c r="T336" s="900" t="s">
        <v>835</v>
      </c>
      <c r="U336" s="900" t="s">
        <v>836</v>
      </c>
      <c r="V336" s="900" t="s">
        <v>837</v>
      </c>
      <c r="W336" s="902" t="s">
        <v>838</v>
      </c>
      <c r="X336" s="364"/>
      <c r="Y336" s="364"/>
      <c r="Z336" s="364"/>
      <c r="AA336"/>
      <c r="AB336"/>
      <c r="AC336"/>
      <c r="AD336"/>
    </row>
    <row r="337" spans="17:30" ht="12.75" customHeight="1">
      <c r="Q337" s="364"/>
      <c r="R337" s="892"/>
      <c r="S337" s="897"/>
      <c r="T337" s="901"/>
      <c r="U337" s="901"/>
      <c r="V337" s="901"/>
      <c r="W337" s="903"/>
      <c r="X337" s="364"/>
      <c r="Y337" s="364"/>
      <c r="Z337" s="364"/>
      <c r="AA337"/>
      <c r="AB337"/>
      <c r="AC337"/>
      <c r="AD337"/>
    </row>
    <row r="338" spans="17:30" ht="12.75" customHeight="1">
      <c r="Q338" s="364"/>
      <c r="R338" s="892"/>
      <c r="S338" s="897"/>
      <c r="T338" s="689">
        <f>T325-PPE!$I$15</f>
        <v>99</v>
      </c>
      <c r="U338" s="560">
        <f>U331</f>
        <v>1.7777777777777777</v>
      </c>
      <c r="V338" s="690">
        <f>IF(T338&gt;0,W338*U338," ")</f>
        <v>555.55555555555554</v>
      </c>
      <c r="W338" s="691">
        <f>IF(T338&gt;0,(VLOOKUP(T338,'Lookup Ready-reckoner'!$B$5:$E$1207,4))," ")</f>
        <v>312.5</v>
      </c>
      <c r="X338" s="364"/>
      <c r="Y338" s="364"/>
      <c r="Z338" s="364"/>
      <c r="AA338"/>
      <c r="AB338"/>
      <c r="AC338"/>
      <c r="AD338"/>
    </row>
    <row r="339" spans="17:30" ht="12.75" customHeight="1">
      <c r="Q339" s="364"/>
      <c r="R339" s="898"/>
      <c r="S339" s="899"/>
      <c r="T339" s="447"/>
      <c r="U339" s="560"/>
      <c r="V339" s="690" t="str">
        <f>IF(T339&gt;0,W339*U339," ")</f>
        <v xml:space="preserve"> </v>
      </c>
      <c r="W339" s="691" t="str">
        <f>IF(T339&gt;0,(VLOOKUP(T339,'Lookup Ready-reckoner'!$B$5:$E$1007,4))," ")</f>
        <v xml:space="preserve"> </v>
      </c>
      <c r="X339" s="364"/>
      <c r="Y339" s="364"/>
      <c r="Z339" s="364"/>
      <c r="AA339"/>
      <c r="AB339"/>
      <c r="AC339"/>
      <c r="AD339"/>
    </row>
    <row r="340" spans="17:30" ht="12.75" customHeight="1" thickBot="1">
      <c r="Q340" s="364"/>
      <c r="R340" s="699" t="s">
        <v>839</v>
      </c>
      <c r="S340" s="693"/>
      <c r="T340" s="693"/>
      <c r="U340" s="694">
        <f>IF(T338&gt;0,(VLOOKUP(V340,'Lookup Ready-reckoner'!$L$5:$M$1207,2))," ")</f>
        <v>92.4</v>
      </c>
      <c r="V340" s="695">
        <f>IF(U338&gt;0,(SUM(V338:V339))," ")</f>
        <v>555.55555555555554</v>
      </c>
      <c r="W340" s="696"/>
      <c r="X340" s="364"/>
      <c r="Y340" s="364"/>
      <c r="Z340" s="364"/>
      <c r="AA340"/>
      <c r="AB340"/>
      <c r="AC340"/>
      <c r="AD340"/>
    </row>
    <row r="341" spans="17:30" ht="12.75" customHeight="1" thickBot="1">
      <c r="Q341" s="364"/>
      <c r="R341" s="892"/>
      <c r="S341" s="893"/>
      <c r="T341" s="893"/>
      <c r="U341" s="893"/>
      <c r="V341" s="893"/>
      <c r="W341" s="894"/>
      <c r="X341" s="364"/>
      <c r="Y341" s="364"/>
      <c r="Z341" s="364"/>
      <c r="AA341"/>
      <c r="AB341"/>
      <c r="AC341"/>
      <c r="AD341"/>
    </row>
    <row r="342" spans="17:30" ht="12.75" customHeight="1">
      <c r="Q342" s="364"/>
      <c r="R342" s="895" t="s">
        <v>886</v>
      </c>
      <c r="S342" s="896"/>
      <c r="T342" s="900" t="s">
        <v>835</v>
      </c>
      <c r="U342" s="900" t="s">
        <v>836</v>
      </c>
      <c r="V342" s="900" t="s">
        <v>837</v>
      </c>
      <c r="W342" s="902" t="s">
        <v>838</v>
      </c>
      <c r="X342" s="364"/>
      <c r="Y342" s="364"/>
      <c r="Z342" s="364"/>
      <c r="AA342"/>
      <c r="AB342"/>
      <c r="AC342"/>
      <c r="AD342"/>
    </row>
    <row r="343" spans="17:30" ht="12.75" customHeight="1">
      <c r="Q343" s="364"/>
      <c r="R343" s="892"/>
      <c r="S343" s="897"/>
      <c r="T343" s="901"/>
      <c r="U343" s="901"/>
      <c r="V343" s="901"/>
      <c r="W343" s="903"/>
      <c r="X343" s="364"/>
      <c r="Y343" s="364"/>
      <c r="Z343" s="364"/>
      <c r="AA343"/>
      <c r="AB343"/>
      <c r="AC343"/>
      <c r="AD343"/>
    </row>
    <row r="344" spans="17:30" ht="12.75" customHeight="1">
      <c r="Q344" s="364"/>
      <c r="R344" s="892"/>
      <c r="S344" s="897"/>
      <c r="T344" s="689">
        <f>T331-PPE!$I$15</f>
        <v>95.012799999999999</v>
      </c>
      <c r="U344" s="560">
        <f>U338</f>
        <v>1.7777777777777777</v>
      </c>
      <c r="V344" s="690">
        <f>IF(T344&gt;0,W344*U344," ")</f>
        <v>222.2222222222222</v>
      </c>
      <c r="W344" s="691">
        <f>IF(T344&gt;0,(VLOOKUP(T344,'Lookup Ready-reckoner'!$B$5:$E$1207,4))," ")</f>
        <v>125</v>
      </c>
      <c r="X344" s="364"/>
      <c r="Y344" s="364"/>
      <c r="Z344" s="364"/>
      <c r="AA344"/>
      <c r="AB344"/>
      <c r="AC344"/>
      <c r="AD344"/>
    </row>
    <row r="345" spans="17:30" ht="12.75" customHeight="1">
      <c r="Q345" s="364"/>
      <c r="R345" s="898"/>
      <c r="S345" s="899"/>
      <c r="T345" s="447"/>
      <c r="U345" s="560"/>
      <c r="V345" s="690" t="str">
        <f>IF(T345&gt;0,W345*U345," ")</f>
        <v xml:space="preserve"> </v>
      </c>
      <c r="W345" s="691" t="str">
        <f>IF(T345&gt;0,(VLOOKUP(T345,'Lookup Ready-reckoner'!$B$5:$E$1007,4))," ")</f>
        <v xml:space="preserve"> </v>
      </c>
      <c r="X345" s="364"/>
      <c r="Y345" s="364"/>
      <c r="Z345" s="364"/>
      <c r="AA345"/>
      <c r="AB345"/>
      <c r="AC345"/>
      <c r="AD345"/>
    </row>
    <row r="346" spans="17:30" ht="12.75" customHeight="1" thickBot="1">
      <c r="Q346" s="364"/>
      <c r="R346" s="692" t="s">
        <v>839</v>
      </c>
      <c r="S346" s="693"/>
      <c r="T346" s="693"/>
      <c r="U346" s="694">
        <f>IF(T344&gt;0,(VLOOKUP(V346,'Lookup Ready-reckoner'!$L$5:$M$1207,2))," ")</f>
        <v>88.4</v>
      </c>
      <c r="V346" s="695">
        <f>IF(U344&gt;0,(SUM(V344:V345))," ")</f>
        <v>222.2222222222222</v>
      </c>
      <c r="W346" s="696"/>
      <c r="X346" s="364"/>
      <c r="Y346" s="364"/>
      <c r="Z346" s="364"/>
      <c r="AA346"/>
      <c r="AB346"/>
      <c r="AC346"/>
      <c r="AD346"/>
    </row>
    <row r="347" spans="17:30" ht="12.75" customHeight="1">
      <c r="Q347" s="364"/>
      <c r="R347" s="363"/>
      <c r="S347" s="363"/>
      <c r="T347" s="363"/>
      <c r="U347" s="363"/>
      <c r="V347" s="363"/>
      <c r="W347" s="363"/>
      <c r="X347" s="364"/>
      <c r="Y347" s="364"/>
      <c r="Z347" s="364"/>
      <c r="AA347"/>
      <c r="AB347"/>
      <c r="AC347"/>
      <c r="AD347"/>
    </row>
    <row r="348" spans="17:30" ht="12.75" customHeight="1" thickBot="1">
      <c r="Q348" s="364"/>
      <c r="R348" s="915" t="str">
        <f>T306</f>
        <v>Seco S215 Muffled</v>
      </c>
      <c r="S348" s="915"/>
      <c r="T348" s="915"/>
      <c r="U348" s="915"/>
      <c r="V348" s="915"/>
      <c r="W348" s="915"/>
      <c r="X348" s="364"/>
      <c r="Y348" s="363"/>
      <c r="Z348" s="363"/>
      <c r="AA348"/>
      <c r="AB348"/>
      <c r="AC348"/>
      <c r="AD348"/>
    </row>
    <row r="349" spans="17:30" ht="12.75" customHeight="1" thickBot="1">
      <c r="Q349" s="364"/>
      <c r="R349" s="906" t="s">
        <v>205</v>
      </c>
      <c r="S349" s="907"/>
      <c r="T349" s="907"/>
      <c r="U349" s="907"/>
      <c r="V349" s="907"/>
      <c r="W349" s="908"/>
      <c r="X349" s="364"/>
      <c r="Y349" s="363"/>
      <c r="Z349" s="363"/>
      <c r="AA349"/>
      <c r="AB349"/>
      <c r="AC349"/>
      <c r="AD349"/>
    </row>
    <row r="350" spans="17:30" ht="12.75" customHeight="1" thickBot="1">
      <c r="Q350" s="364"/>
      <c r="R350" s="686" t="s">
        <v>59</v>
      </c>
      <c r="S350" s="577"/>
      <c r="T350" s="687"/>
      <c r="U350" s="687"/>
      <c r="V350" s="687"/>
      <c r="W350" s="688"/>
      <c r="X350" s="364"/>
      <c r="Y350" s="363"/>
      <c r="Z350" s="363"/>
      <c r="AA350"/>
      <c r="AB350"/>
      <c r="AC350"/>
      <c r="AD350"/>
    </row>
    <row r="351" spans="17:30" ht="12.75" customHeight="1">
      <c r="Q351" s="364"/>
      <c r="R351" s="895" t="s">
        <v>845</v>
      </c>
      <c r="S351" s="896"/>
      <c r="T351" s="900" t="s">
        <v>835</v>
      </c>
      <c r="U351" s="900" t="s">
        <v>836</v>
      </c>
      <c r="V351" s="900" t="s">
        <v>837</v>
      </c>
      <c r="W351" s="902" t="s">
        <v>838</v>
      </c>
      <c r="X351" s="364"/>
      <c r="Y351" s="363"/>
      <c r="Z351" s="363"/>
      <c r="AA351"/>
      <c r="AB351"/>
      <c r="AC351"/>
      <c r="AD351"/>
    </row>
    <row r="352" spans="17:30" ht="12.75" customHeight="1">
      <c r="Q352" s="364"/>
      <c r="R352" s="892"/>
      <c r="S352" s="897"/>
      <c r="T352" s="904"/>
      <c r="U352" s="904"/>
      <c r="V352" s="904"/>
      <c r="W352" s="905"/>
      <c r="X352" s="364"/>
      <c r="Y352" s="363"/>
      <c r="Z352" s="363"/>
      <c r="AA352"/>
      <c r="AB352"/>
      <c r="AC352"/>
      <c r="AD352"/>
    </row>
    <row r="353" spans="17:30" ht="12.75" customHeight="1">
      <c r="Q353" s="364"/>
      <c r="R353" s="892"/>
      <c r="S353" s="897"/>
      <c r="T353" s="901"/>
      <c r="U353" s="901"/>
      <c r="V353" s="901"/>
      <c r="W353" s="903"/>
      <c r="X353" s="364"/>
      <c r="Y353" s="363"/>
      <c r="Z353" s="363"/>
      <c r="AA353"/>
      <c r="AB353"/>
      <c r="AC353"/>
      <c r="AD353"/>
    </row>
    <row r="354" spans="17:30" ht="12.75" customHeight="1">
      <c r="Q354" s="364"/>
      <c r="R354" s="892"/>
      <c r="S354" s="897"/>
      <c r="T354" s="700">
        <f>V69</f>
        <v>108</v>
      </c>
      <c r="U354" s="560">
        <f>V62</f>
        <v>2.6666666666666665</v>
      </c>
      <c r="V354" s="690">
        <f>IF(T354&gt;0,W354*U354," ")</f>
        <v>6666.6666666666661</v>
      </c>
      <c r="W354" s="691">
        <f>IF(T354&gt;0,(VLOOKUP(T354,'Lookup Ready-reckoner'!$B$5:$E$1207,4))," ")</f>
        <v>2500</v>
      </c>
      <c r="X354" s="364"/>
      <c r="Y354" s="363"/>
      <c r="Z354" s="363"/>
      <c r="AA354"/>
      <c r="AB354"/>
      <c r="AC354"/>
      <c r="AD354"/>
    </row>
    <row r="355" spans="17:30" ht="12.75" customHeight="1">
      <c r="Q355" s="364"/>
      <c r="R355" s="898"/>
      <c r="S355" s="899"/>
      <c r="T355" s="447"/>
      <c r="U355" s="560"/>
      <c r="V355" s="690" t="str">
        <f>IF(T355&gt;0,W355*U355," ")</f>
        <v xml:space="preserve"> </v>
      </c>
      <c r="W355" s="691" t="str">
        <f>IF(T355&gt;0,(VLOOKUP(T355,'Lookup Ready-reckoner'!$B$5:$E$1007,4))," ")</f>
        <v xml:space="preserve"> </v>
      </c>
      <c r="X355" s="364"/>
      <c r="Y355" s="363"/>
      <c r="Z355" s="363"/>
      <c r="AA355"/>
      <c r="AB355"/>
      <c r="AC355"/>
      <c r="AD355"/>
    </row>
    <row r="356" spans="17:30" ht="12.75" customHeight="1" thickBot="1">
      <c r="Q356" s="364"/>
      <c r="R356" s="699" t="s">
        <v>839</v>
      </c>
      <c r="S356" s="693"/>
      <c r="T356" s="693"/>
      <c r="U356" s="701">
        <f>IF(T354&gt;0,(VLOOKUP(V356,'Lookup Ready-reckoner'!$L$5:$M$1207,2))," ")</f>
        <v>103.15</v>
      </c>
      <c r="V356" s="695">
        <f>IF(U354&gt;0,(SUM(V354:V355))," ")</f>
        <v>6666.6666666666661</v>
      </c>
      <c r="W356" s="696"/>
      <c r="X356" s="364"/>
      <c r="Y356" s="363"/>
      <c r="Z356" s="363"/>
      <c r="AA356"/>
      <c r="AB356"/>
      <c r="AC356"/>
      <c r="AD356"/>
    </row>
    <row r="357" spans="17:30" ht="12.75" customHeight="1" thickBot="1">
      <c r="Q357" s="364"/>
      <c r="R357" s="892"/>
      <c r="S357" s="893"/>
      <c r="T357" s="893"/>
      <c r="U357" s="893"/>
      <c r="V357" s="893"/>
      <c r="W357" s="894"/>
      <c r="X357" s="364"/>
      <c r="Y357" s="363"/>
      <c r="Z357" s="363"/>
      <c r="AA357"/>
      <c r="AB357"/>
      <c r="AC357"/>
      <c r="AD357"/>
    </row>
    <row r="358" spans="17:30" ht="12.75" customHeight="1">
      <c r="Q358" s="364"/>
      <c r="R358" s="895" t="s">
        <v>886</v>
      </c>
      <c r="S358" s="896"/>
      <c r="T358" s="900" t="s">
        <v>835</v>
      </c>
      <c r="U358" s="900" t="s">
        <v>836</v>
      </c>
      <c r="V358" s="900" t="s">
        <v>837</v>
      </c>
      <c r="W358" s="902" t="s">
        <v>838</v>
      </c>
      <c r="X358" s="364"/>
      <c r="Y358" s="363"/>
      <c r="Z358" s="363"/>
      <c r="AA358"/>
      <c r="AB358"/>
      <c r="AC358"/>
      <c r="AD358"/>
    </row>
    <row r="359" spans="17:30" ht="12.75" customHeight="1">
      <c r="Q359" s="364"/>
      <c r="R359" s="892"/>
      <c r="S359" s="897"/>
      <c r="T359" s="901"/>
      <c r="U359" s="901"/>
      <c r="V359" s="901"/>
      <c r="W359" s="903"/>
      <c r="X359" s="364"/>
      <c r="Y359" s="363"/>
      <c r="Z359" s="363"/>
      <c r="AA359"/>
      <c r="AB359"/>
      <c r="AC359"/>
      <c r="AD359"/>
    </row>
    <row r="360" spans="17:30" ht="12.75" customHeight="1">
      <c r="Q360" s="364"/>
      <c r="R360" s="892"/>
      <c r="S360" s="897"/>
      <c r="T360" s="700">
        <f>T354*(1-0.0178*2)</f>
        <v>104.15520000000001</v>
      </c>
      <c r="U360" s="560">
        <f>U354</f>
        <v>2.6666666666666665</v>
      </c>
      <c r="V360" s="690">
        <f>IF(T360&gt;0,W360*U360," ")</f>
        <v>2766.6666666666665</v>
      </c>
      <c r="W360" s="691">
        <f>IF(T360&gt;0,(VLOOKUP(T360,'Lookup Ready-reckoner'!$B$5:$E$1207,4))," ")</f>
        <v>1037.5</v>
      </c>
      <c r="X360" s="364"/>
      <c r="Y360" s="363"/>
      <c r="Z360" s="363"/>
      <c r="AA360"/>
      <c r="AB360"/>
      <c r="AC360"/>
      <c r="AD360"/>
    </row>
    <row r="361" spans="17:30" ht="12.75" customHeight="1">
      <c r="Q361" s="364"/>
      <c r="R361" s="898"/>
      <c r="S361" s="899"/>
      <c r="T361" s="447"/>
      <c r="U361" s="560"/>
      <c r="V361" s="690" t="str">
        <f>IF(T361&gt;0,W361*U361," ")</f>
        <v xml:space="preserve"> </v>
      </c>
      <c r="W361" s="691" t="str">
        <f>IF(T361&gt;0,(VLOOKUP(T361,'Lookup Ready-reckoner'!$B$5:$E$1007,4))," ")</f>
        <v xml:space="preserve"> </v>
      </c>
      <c r="X361" s="364"/>
      <c r="Y361" s="363"/>
      <c r="Z361" s="363"/>
      <c r="AA361"/>
      <c r="AB361"/>
      <c r="AC361"/>
      <c r="AD361"/>
    </row>
    <row r="362" spans="17:30" ht="12.75" customHeight="1" thickBot="1">
      <c r="Q362" s="364"/>
      <c r="R362" s="692" t="s">
        <v>839</v>
      </c>
      <c r="S362" s="693"/>
      <c r="T362" s="693"/>
      <c r="U362" s="701">
        <f>IF(T360&gt;0,(VLOOKUP(V362,'Lookup Ready-reckoner'!$L$5:$M$1207,2))," ")</f>
        <v>99.35</v>
      </c>
      <c r="V362" s="695">
        <f>IF(U360&gt;0,(SUM(V360:V361))," ")</f>
        <v>2766.6666666666665</v>
      </c>
      <c r="W362" s="696"/>
      <c r="X362" s="364"/>
      <c r="Y362" s="363"/>
      <c r="Z362" s="363"/>
      <c r="AA362"/>
      <c r="AB362"/>
      <c r="AC362"/>
      <c r="AD362"/>
    </row>
    <row r="363" spans="17:30" ht="12.75" customHeight="1">
      <c r="Q363" s="364"/>
      <c r="R363" s="697"/>
      <c r="S363" s="687"/>
      <c r="T363" s="687"/>
      <c r="U363" s="372"/>
      <c r="V363" s="374"/>
      <c r="W363" s="688"/>
      <c r="X363" s="364"/>
      <c r="Y363" s="363"/>
      <c r="Z363" s="363"/>
      <c r="AA363"/>
      <c r="AB363"/>
      <c r="AC363"/>
      <c r="AD363"/>
    </row>
    <row r="364" spans="17:30" ht="12.75" customHeight="1" thickBot="1">
      <c r="Q364" s="364"/>
      <c r="R364" s="686" t="s">
        <v>60</v>
      </c>
      <c r="S364" s="577"/>
      <c r="T364" s="577"/>
      <c r="U364" s="577"/>
      <c r="V364" s="577"/>
      <c r="W364" s="698"/>
      <c r="X364" s="364"/>
      <c r="Y364" s="363"/>
      <c r="Z364" s="363"/>
      <c r="AA364"/>
      <c r="AB364"/>
      <c r="AC364"/>
      <c r="AD364"/>
    </row>
    <row r="365" spans="17:30" ht="12.75" customHeight="1">
      <c r="Q365" s="364"/>
      <c r="R365" s="895" t="s">
        <v>845</v>
      </c>
      <c r="S365" s="896"/>
      <c r="T365" s="900" t="s">
        <v>835</v>
      </c>
      <c r="U365" s="900" t="s">
        <v>836</v>
      </c>
      <c r="V365" s="900" t="s">
        <v>837</v>
      </c>
      <c r="W365" s="902" t="s">
        <v>838</v>
      </c>
      <c r="X365" s="364"/>
      <c r="Y365" s="363"/>
      <c r="Z365" s="363"/>
      <c r="AA365"/>
      <c r="AB365"/>
      <c r="AC365"/>
      <c r="AD365"/>
    </row>
    <row r="366" spans="17:30" ht="12.75" customHeight="1">
      <c r="Q366" s="364"/>
      <c r="R366" s="892"/>
      <c r="S366" s="897"/>
      <c r="T366" s="901"/>
      <c r="U366" s="901"/>
      <c r="V366" s="901"/>
      <c r="W366" s="903"/>
      <c r="X366" s="364"/>
      <c r="Y366" s="363"/>
      <c r="Z366" s="363"/>
      <c r="AA366"/>
      <c r="AB366"/>
      <c r="AC366"/>
      <c r="AD366"/>
    </row>
    <row r="367" spans="17:30" ht="12.75" customHeight="1">
      <c r="Q367" s="364"/>
      <c r="R367" s="892"/>
      <c r="S367" s="897"/>
      <c r="T367" s="700">
        <f>T354-PPE!$I$15</f>
        <v>95</v>
      </c>
      <c r="U367" s="560">
        <f>U360</f>
        <v>2.6666666666666665</v>
      </c>
      <c r="V367" s="690">
        <f>IF(T367&gt;0,W367*U367," ")</f>
        <v>333.33333333333331</v>
      </c>
      <c r="W367" s="691">
        <f>IF(T367&gt;0,(VLOOKUP(T367,'Lookup Ready-reckoner'!$B$5:$E$1207,4))," ")</f>
        <v>125</v>
      </c>
      <c r="X367" s="364"/>
      <c r="Y367" s="363"/>
      <c r="Z367" s="363"/>
      <c r="AA367"/>
      <c r="AB367"/>
      <c r="AC367"/>
      <c r="AD367"/>
    </row>
    <row r="368" spans="17:30" ht="12.75" customHeight="1">
      <c r="Q368" s="364"/>
      <c r="R368" s="898"/>
      <c r="S368" s="899"/>
      <c r="T368" s="447"/>
      <c r="U368" s="560"/>
      <c r="V368" s="690" t="str">
        <f>IF(T368&gt;0,W368*U368," ")</f>
        <v xml:space="preserve"> </v>
      </c>
      <c r="W368" s="691" t="str">
        <f>IF(T368&gt;0,(VLOOKUP(T368,'Lookup Ready-reckoner'!$B$5:$E$1007,4))," ")</f>
        <v xml:space="preserve"> </v>
      </c>
      <c r="X368" s="364"/>
      <c r="Y368" s="363"/>
      <c r="Z368" s="363"/>
      <c r="AA368"/>
      <c r="AB368"/>
      <c r="AC368"/>
      <c r="AD368"/>
    </row>
    <row r="369" spans="17:30" ht="12.75" customHeight="1" thickBot="1">
      <c r="Q369" s="364"/>
      <c r="R369" s="692" t="s">
        <v>839</v>
      </c>
      <c r="S369" s="693"/>
      <c r="T369" s="693"/>
      <c r="U369" s="701">
        <f>IF(T367&gt;0,(VLOOKUP(V369,'Lookup Ready-reckoner'!$L$5:$M$1207,2))," ")</f>
        <v>90.15</v>
      </c>
      <c r="V369" s="695">
        <f>IF(U367&gt;0,(SUM(V367:V368))," ")</f>
        <v>333.33333333333331</v>
      </c>
      <c r="W369" s="696"/>
      <c r="X369" s="364"/>
      <c r="Y369" s="363"/>
      <c r="Z369" s="363"/>
      <c r="AA369"/>
      <c r="AB369"/>
      <c r="AC369"/>
      <c r="AD369"/>
    </row>
    <row r="370" spans="17:30" ht="12.75" customHeight="1" thickBot="1">
      <c r="Q370" s="364"/>
      <c r="R370" s="892"/>
      <c r="S370" s="893"/>
      <c r="T370" s="893"/>
      <c r="U370" s="893"/>
      <c r="V370" s="893"/>
      <c r="W370" s="894"/>
      <c r="X370" s="364"/>
      <c r="Y370" s="363"/>
      <c r="Z370" s="363"/>
      <c r="AA370"/>
      <c r="AB370"/>
      <c r="AC370"/>
      <c r="AD370"/>
    </row>
    <row r="371" spans="17:30" ht="12.75" customHeight="1">
      <c r="Q371" s="364"/>
      <c r="R371" s="895" t="s">
        <v>886</v>
      </c>
      <c r="S371" s="896"/>
      <c r="T371" s="900" t="s">
        <v>835</v>
      </c>
      <c r="U371" s="900" t="s">
        <v>836</v>
      </c>
      <c r="V371" s="900" t="s">
        <v>837</v>
      </c>
      <c r="W371" s="902" t="s">
        <v>838</v>
      </c>
      <c r="X371" s="364"/>
      <c r="Y371" s="363"/>
      <c r="Z371" s="363"/>
      <c r="AA371"/>
      <c r="AB371"/>
      <c r="AC371"/>
      <c r="AD371"/>
    </row>
    <row r="372" spans="17:30" ht="12.75" customHeight="1">
      <c r="Q372" s="364"/>
      <c r="R372" s="892"/>
      <c r="S372" s="897"/>
      <c r="T372" s="901"/>
      <c r="U372" s="901"/>
      <c r="V372" s="901"/>
      <c r="W372" s="903"/>
      <c r="X372" s="364"/>
      <c r="Y372" s="363"/>
      <c r="Z372" s="363"/>
      <c r="AA372"/>
      <c r="AB372"/>
      <c r="AC372"/>
      <c r="AD372"/>
    </row>
    <row r="373" spans="17:30" ht="12.75" customHeight="1">
      <c r="Q373" s="364"/>
      <c r="R373" s="892"/>
      <c r="S373" s="897"/>
      <c r="T373" s="700">
        <f>T360-PPE!$I$15</f>
        <v>91.155200000000008</v>
      </c>
      <c r="U373" s="560">
        <f>U367</f>
        <v>2.6666666666666665</v>
      </c>
      <c r="V373" s="690">
        <f>IF(T373&gt;0,W373*U373," ")</f>
        <v>138.33333333333331</v>
      </c>
      <c r="W373" s="691">
        <f>IF(T373&gt;0,(VLOOKUP(T373,'Lookup Ready-reckoner'!$B$5:$E$1207,4))," ")</f>
        <v>51.875</v>
      </c>
      <c r="X373" s="364"/>
      <c r="Y373" s="363"/>
      <c r="Z373" s="363"/>
      <c r="AA373"/>
      <c r="AB373"/>
      <c r="AC373"/>
      <c r="AD373"/>
    </row>
    <row r="374" spans="17:30" ht="12.75" customHeight="1">
      <c r="Q374" s="364"/>
      <c r="R374" s="898"/>
      <c r="S374" s="899"/>
      <c r="T374" s="447"/>
      <c r="U374" s="560"/>
      <c r="V374" s="690" t="str">
        <f>IF(T374&gt;0,W374*U374," ")</f>
        <v xml:space="preserve"> </v>
      </c>
      <c r="W374" s="691" t="str">
        <f>IF(T374&gt;0,(VLOOKUP(T374,'Lookup Ready-reckoner'!$B$5:$E$1007,4))," ")</f>
        <v xml:space="preserve"> </v>
      </c>
      <c r="X374" s="364"/>
      <c r="Y374" s="363"/>
      <c r="Z374" s="363"/>
      <c r="AA374"/>
      <c r="AB374"/>
      <c r="AC374"/>
      <c r="AD374"/>
    </row>
    <row r="375" spans="17:30" ht="12.75" customHeight="1" thickBot="1">
      <c r="Q375" s="364"/>
      <c r="R375" s="692" t="s">
        <v>839</v>
      </c>
      <c r="S375" s="693"/>
      <c r="T375" s="693"/>
      <c r="U375" s="701">
        <f>IF(T373&gt;0,(VLOOKUP(V375,'Lookup Ready-reckoner'!$L$5:$M$1207,2))," ")</f>
        <v>86.35</v>
      </c>
      <c r="V375" s="695">
        <f>IF(U373&gt;0,(SUM(V373:V374))," ")</f>
        <v>138.33333333333331</v>
      </c>
      <c r="W375" s="696"/>
      <c r="X375" s="364"/>
      <c r="Y375" s="363"/>
      <c r="Z375" s="363"/>
      <c r="AA375"/>
      <c r="AB375"/>
      <c r="AC375"/>
      <c r="AD375"/>
    </row>
    <row r="376" spans="17:30" ht="12.75" customHeight="1">
      <c r="Q376" s="364"/>
      <c r="R376" s="363"/>
      <c r="S376" s="363"/>
      <c r="T376" s="363"/>
      <c r="U376" s="363"/>
      <c r="V376" s="363"/>
      <c r="W376" s="363"/>
      <c r="X376" s="364"/>
      <c r="Y376" s="364"/>
      <c r="Z376" s="364"/>
      <c r="AA376"/>
      <c r="AB376"/>
      <c r="AC376"/>
      <c r="AD376"/>
    </row>
    <row r="377" spans="17:30" ht="12.75" customHeight="1">
      <c r="Q377" s="364"/>
      <c r="R377" s="913" t="str">
        <f>U306</f>
        <v>Sulzer ADDS</v>
      </c>
      <c r="S377" s="914"/>
      <c r="T377" s="914"/>
      <c r="U377" s="914"/>
      <c r="V377" s="914"/>
      <c r="W377" s="914"/>
      <c r="X377" s="364"/>
      <c r="Y377" s="363"/>
      <c r="Z377" s="363"/>
      <c r="AA377"/>
      <c r="AB377"/>
      <c r="AC377"/>
      <c r="AD377"/>
    </row>
    <row r="378" spans="17:30" ht="12.75" customHeight="1" thickBot="1">
      <c r="Q378" s="364"/>
      <c r="R378" s="910" t="s">
        <v>205</v>
      </c>
      <c r="S378" s="911"/>
      <c r="T378" s="911"/>
      <c r="U378" s="911"/>
      <c r="V378" s="911"/>
      <c r="W378" s="912"/>
      <c r="X378" s="364"/>
      <c r="Y378" s="363"/>
      <c r="Z378" s="363"/>
      <c r="AA378"/>
      <c r="AB378"/>
      <c r="AC378"/>
      <c r="AD378"/>
    </row>
    <row r="379" spans="17:30" ht="12.75" customHeight="1" thickBot="1">
      <c r="Q379" s="364"/>
      <c r="R379" s="686" t="s">
        <v>59</v>
      </c>
      <c r="S379" s="577"/>
      <c r="T379" s="687"/>
      <c r="U379" s="687"/>
      <c r="V379" s="687"/>
      <c r="W379" s="688"/>
      <c r="X379" s="364"/>
      <c r="Y379" s="363"/>
      <c r="Z379" s="363"/>
      <c r="AA379"/>
      <c r="AB379"/>
      <c r="AC379"/>
      <c r="AD379"/>
    </row>
    <row r="380" spans="17:30" ht="12.75" customHeight="1">
      <c r="Q380" s="364"/>
      <c r="R380" s="895" t="s">
        <v>845</v>
      </c>
      <c r="S380" s="896"/>
      <c r="T380" s="900" t="s">
        <v>835</v>
      </c>
      <c r="U380" s="900" t="s">
        <v>836</v>
      </c>
      <c r="V380" s="900" t="s">
        <v>837</v>
      </c>
      <c r="W380" s="902" t="s">
        <v>838</v>
      </c>
      <c r="X380" s="364"/>
      <c r="Y380" s="363"/>
      <c r="Z380" s="363"/>
      <c r="AA380"/>
      <c r="AB380"/>
      <c r="AC380"/>
      <c r="AD380"/>
    </row>
    <row r="381" spans="17:30" ht="12.75" customHeight="1">
      <c r="Q381" s="364"/>
      <c r="R381" s="892"/>
      <c r="S381" s="897"/>
      <c r="T381" s="904"/>
      <c r="U381" s="904"/>
      <c r="V381" s="904"/>
      <c r="W381" s="905"/>
      <c r="X381" s="364"/>
      <c r="Y381" s="363"/>
      <c r="Z381" s="363"/>
      <c r="AA381"/>
      <c r="AB381"/>
      <c r="AC381"/>
      <c r="AD381"/>
    </row>
    <row r="382" spans="17:30" ht="12.75" customHeight="1">
      <c r="Q382" s="364"/>
      <c r="R382" s="892"/>
      <c r="S382" s="897"/>
      <c r="T382" s="901"/>
      <c r="U382" s="901"/>
      <c r="V382" s="901"/>
      <c r="W382" s="903"/>
      <c r="X382" s="364"/>
      <c r="Y382" s="363"/>
      <c r="Z382" s="363"/>
      <c r="AA382"/>
      <c r="AB382"/>
      <c r="AC382"/>
      <c r="AD382"/>
    </row>
    <row r="383" spans="17:30" ht="12.75" customHeight="1">
      <c r="Q383" s="364"/>
      <c r="R383" s="892"/>
      <c r="S383" s="897"/>
      <c r="T383" s="702">
        <f>W69</f>
        <v>107</v>
      </c>
      <c r="U383" s="560">
        <f>W62</f>
        <v>1.9999999999999996</v>
      </c>
      <c r="V383" s="690">
        <f>IF(T383&gt;0,W383*U383," ")</f>
        <v>3999.9999999999991</v>
      </c>
      <c r="W383" s="691">
        <f>IF(T383&gt;0,(VLOOKUP(T383,'Lookup Ready-reckoner'!$B$5:$E$1207,4))," ")</f>
        <v>2000</v>
      </c>
      <c r="X383" s="364"/>
      <c r="Y383" s="363"/>
      <c r="Z383" s="363"/>
      <c r="AA383"/>
      <c r="AB383"/>
      <c r="AC383"/>
      <c r="AD383"/>
    </row>
    <row r="384" spans="17:30" ht="12.75" customHeight="1">
      <c r="Q384" s="364"/>
      <c r="R384" s="898"/>
      <c r="S384" s="899"/>
      <c r="T384" s="447"/>
      <c r="U384" s="560"/>
      <c r="V384" s="690" t="str">
        <f>IF(T384&gt;0,W384*U384," ")</f>
        <v xml:space="preserve"> </v>
      </c>
      <c r="W384" s="691" t="str">
        <f>IF(T384&gt;0,(VLOOKUP(T384,'Lookup Ready-reckoner'!$B$5:$E$1007,4))," ")</f>
        <v xml:space="preserve"> </v>
      </c>
      <c r="X384" s="364"/>
      <c r="Y384" s="363"/>
      <c r="Z384" s="363"/>
      <c r="AA384"/>
      <c r="AB384"/>
      <c r="AC384"/>
      <c r="AD384"/>
    </row>
    <row r="385" spans="17:30" ht="12.75" customHeight="1" thickBot="1">
      <c r="Q385" s="364"/>
      <c r="R385" s="692" t="s">
        <v>839</v>
      </c>
      <c r="S385" s="693"/>
      <c r="T385" s="693"/>
      <c r="U385" s="703">
        <f>IF(T383&gt;0,(VLOOKUP(V385,'Lookup Ready-reckoner'!$L$5:$M$1207,2))," ")</f>
        <v>100.95</v>
      </c>
      <c r="V385" s="695">
        <f>IF(U383&gt;0,(SUM(V383:V384))," ")</f>
        <v>3999.9999999999991</v>
      </c>
      <c r="W385" s="696"/>
      <c r="X385" s="364"/>
      <c r="Y385" s="363"/>
      <c r="Z385" s="363"/>
      <c r="AA385"/>
      <c r="AB385"/>
      <c r="AC385"/>
      <c r="AD385"/>
    </row>
    <row r="386" spans="17:30" ht="12.75" customHeight="1" thickBot="1">
      <c r="Q386" s="364"/>
      <c r="R386" s="892"/>
      <c r="S386" s="893"/>
      <c r="T386" s="893"/>
      <c r="U386" s="893"/>
      <c r="V386" s="893"/>
      <c r="W386" s="894"/>
      <c r="X386" s="364"/>
      <c r="Y386" s="363"/>
      <c r="Z386" s="363"/>
      <c r="AA386"/>
      <c r="AB386"/>
      <c r="AC386"/>
      <c r="AD386"/>
    </row>
    <row r="387" spans="17:30" ht="12.75" customHeight="1">
      <c r="Q387" s="364"/>
      <c r="R387" s="895" t="s">
        <v>886</v>
      </c>
      <c r="S387" s="896"/>
      <c r="T387" s="900" t="s">
        <v>835</v>
      </c>
      <c r="U387" s="900" t="s">
        <v>836</v>
      </c>
      <c r="V387" s="900" t="s">
        <v>837</v>
      </c>
      <c r="W387" s="902" t="s">
        <v>838</v>
      </c>
      <c r="X387" s="364"/>
      <c r="Y387" s="363"/>
      <c r="Z387" s="363"/>
      <c r="AA387"/>
      <c r="AB387"/>
      <c r="AC387"/>
      <c r="AD387"/>
    </row>
    <row r="388" spans="17:30" ht="12.75" customHeight="1">
      <c r="Q388" s="364"/>
      <c r="R388" s="892"/>
      <c r="S388" s="897"/>
      <c r="T388" s="901"/>
      <c r="U388" s="901"/>
      <c r="V388" s="901"/>
      <c r="W388" s="903"/>
      <c r="X388" s="364"/>
      <c r="Y388" s="363"/>
      <c r="Z388" s="363"/>
      <c r="AA388"/>
      <c r="AB388"/>
      <c r="AC388"/>
      <c r="AD388"/>
    </row>
    <row r="389" spans="17:30" ht="12.75" customHeight="1">
      <c r="Q389" s="364"/>
      <c r="R389" s="892"/>
      <c r="S389" s="897"/>
      <c r="T389" s="702">
        <f>T383*(1-0.0178*2)</f>
        <v>103.19080000000001</v>
      </c>
      <c r="U389" s="560">
        <f>U383</f>
        <v>1.9999999999999996</v>
      </c>
      <c r="V389" s="690">
        <f>IF(T389&gt;0,W389*U389," ")</f>
        <v>1659.9999999999995</v>
      </c>
      <c r="W389" s="691">
        <f>IF(T389&gt;0,(VLOOKUP(T389,'Lookup Ready-reckoner'!$B$5:$E$1207,4))," ")</f>
        <v>830</v>
      </c>
      <c r="X389" s="364"/>
      <c r="Y389" s="363"/>
      <c r="Z389" s="363"/>
      <c r="AA389"/>
      <c r="AB389"/>
      <c r="AC389"/>
      <c r="AD389"/>
    </row>
    <row r="390" spans="17:30" ht="12.75" customHeight="1">
      <c r="Q390" s="364"/>
      <c r="R390" s="898"/>
      <c r="S390" s="899"/>
      <c r="T390" s="447"/>
      <c r="U390" s="560"/>
      <c r="V390" s="690" t="str">
        <f>IF(T390&gt;0,W390*U390," ")</f>
        <v xml:space="preserve"> </v>
      </c>
      <c r="W390" s="691" t="str">
        <f>IF(T390&gt;0,(VLOOKUP(T390,'Lookup Ready-reckoner'!$B$5:$E$1007,4))," ")</f>
        <v xml:space="preserve"> </v>
      </c>
      <c r="X390" s="364"/>
      <c r="Y390" s="363"/>
      <c r="Z390" s="363"/>
      <c r="AA390"/>
      <c r="AB390"/>
      <c r="AC390"/>
      <c r="AD390"/>
    </row>
    <row r="391" spans="17:30" ht="12.75" customHeight="1" thickBot="1">
      <c r="Q391" s="364"/>
      <c r="R391" s="692" t="s">
        <v>839</v>
      </c>
      <c r="S391" s="693"/>
      <c r="T391" s="693"/>
      <c r="U391" s="703">
        <f>IF(T389&gt;0,(VLOOKUP(V391,'Lookup Ready-reckoner'!$L$5:$M$1207,2))," ")</f>
        <v>97.1</v>
      </c>
      <c r="V391" s="695">
        <f>IF(U389&gt;0,(SUM(V389:V390))," ")</f>
        <v>1659.9999999999995</v>
      </c>
      <c r="W391" s="696"/>
      <c r="X391" s="364"/>
      <c r="Y391" s="363"/>
      <c r="Z391" s="363"/>
      <c r="AA391"/>
      <c r="AB391"/>
      <c r="AC391"/>
      <c r="AD391"/>
    </row>
    <row r="392" spans="17:30" ht="12.75" customHeight="1">
      <c r="Q392" s="364"/>
      <c r="R392" s="697"/>
      <c r="S392" s="687"/>
      <c r="T392" s="687"/>
      <c r="U392" s="372"/>
      <c r="V392" s="374"/>
      <c r="W392" s="688"/>
      <c r="X392" s="364"/>
      <c r="Y392" s="363"/>
      <c r="Z392" s="363"/>
      <c r="AA392"/>
      <c r="AB392"/>
      <c r="AC392"/>
      <c r="AD392"/>
    </row>
    <row r="393" spans="17:30" ht="12.75" customHeight="1" thickBot="1">
      <c r="Q393" s="364"/>
      <c r="R393" s="686" t="s">
        <v>60</v>
      </c>
      <c r="S393" s="577"/>
      <c r="T393" s="577"/>
      <c r="U393" s="577"/>
      <c r="V393" s="577"/>
      <c r="W393" s="698"/>
      <c r="X393" s="364"/>
      <c r="Y393" s="363"/>
      <c r="Z393" s="363"/>
      <c r="AA393"/>
      <c r="AB393"/>
      <c r="AC393"/>
      <c r="AD393"/>
    </row>
    <row r="394" spans="17:30" ht="12.75" customHeight="1">
      <c r="Q394" s="364"/>
      <c r="R394" s="895" t="s">
        <v>845</v>
      </c>
      <c r="S394" s="896"/>
      <c r="T394" s="900" t="s">
        <v>835</v>
      </c>
      <c r="U394" s="900" t="s">
        <v>836</v>
      </c>
      <c r="V394" s="900" t="s">
        <v>837</v>
      </c>
      <c r="W394" s="902" t="s">
        <v>838</v>
      </c>
      <c r="X394" s="364"/>
      <c r="Y394" s="363"/>
      <c r="Z394" s="363"/>
      <c r="AA394"/>
      <c r="AB394"/>
      <c r="AC394"/>
      <c r="AD394"/>
    </row>
    <row r="395" spans="17:30" ht="12.75" customHeight="1">
      <c r="Q395" s="364"/>
      <c r="R395" s="892"/>
      <c r="S395" s="897"/>
      <c r="T395" s="901"/>
      <c r="U395" s="901"/>
      <c r="V395" s="901"/>
      <c r="W395" s="903"/>
      <c r="X395" s="364"/>
      <c r="Y395" s="363"/>
      <c r="Z395" s="363"/>
      <c r="AA395"/>
      <c r="AB395"/>
      <c r="AC395"/>
      <c r="AD395"/>
    </row>
    <row r="396" spans="17:30" ht="12.75" customHeight="1">
      <c r="Q396" s="364"/>
      <c r="R396" s="892"/>
      <c r="S396" s="897"/>
      <c r="T396" s="702">
        <f>T383-PPE!$I$15</f>
        <v>94</v>
      </c>
      <c r="U396" s="560">
        <f>U389</f>
        <v>1.9999999999999996</v>
      </c>
      <c r="V396" s="690">
        <f>IF(T396&gt;0,W396*U396," ")</f>
        <v>199.99999999999994</v>
      </c>
      <c r="W396" s="691">
        <f>IF(T396&gt;0,(VLOOKUP(T396,'Lookup Ready-reckoner'!$B$5:$E$1207,4))," ")</f>
        <v>100</v>
      </c>
      <c r="X396" s="364"/>
      <c r="Y396" s="363"/>
      <c r="Z396" s="363"/>
      <c r="AA396"/>
      <c r="AB396"/>
      <c r="AC396"/>
      <c r="AD396"/>
    </row>
    <row r="397" spans="17:30" ht="12.75" customHeight="1">
      <c r="Q397" s="364"/>
      <c r="R397" s="898"/>
      <c r="S397" s="899"/>
      <c r="T397" s="447"/>
      <c r="U397" s="560"/>
      <c r="V397" s="690" t="str">
        <f>IF(T397&gt;0,W397*U397," ")</f>
        <v xml:space="preserve"> </v>
      </c>
      <c r="W397" s="691" t="str">
        <f>IF(T397&gt;0,(VLOOKUP(T397,'Lookup Ready-reckoner'!$B$5:$E$1007,4))," ")</f>
        <v xml:space="preserve"> </v>
      </c>
      <c r="X397" s="364"/>
      <c r="Y397" s="363"/>
      <c r="Z397" s="363"/>
      <c r="AA397"/>
      <c r="AB397"/>
      <c r="AC397"/>
      <c r="AD397"/>
    </row>
    <row r="398" spans="17:30" ht="12.75" customHeight="1" thickBot="1">
      <c r="Q398" s="364"/>
      <c r="R398" s="692" t="s">
        <v>839</v>
      </c>
      <c r="S398" s="693"/>
      <c r="T398" s="693"/>
      <c r="U398" s="703">
        <f>IF(T396&gt;0,(VLOOKUP(V398,'Lookup Ready-reckoner'!$L$5:$M$1207,2))," ")</f>
        <v>87.95</v>
      </c>
      <c r="V398" s="695">
        <f>IF(U396&gt;0,(SUM(V396:V397))," ")</f>
        <v>199.99999999999994</v>
      </c>
      <c r="W398" s="696"/>
      <c r="X398" s="364"/>
      <c r="Y398" s="363"/>
      <c r="Z398" s="363"/>
      <c r="AA398"/>
      <c r="AB398"/>
      <c r="AC398"/>
      <c r="AD398"/>
    </row>
    <row r="399" spans="17:30" ht="12.75" customHeight="1" thickBot="1">
      <c r="Q399" s="364"/>
      <c r="R399" s="892"/>
      <c r="S399" s="893"/>
      <c r="T399" s="893"/>
      <c r="U399" s="893"/>
      <c r="V399" s="893"/>
      <c r="W399" s="894"/>
      <c r="X399" s="364"/>
      <c r="Y399" s="363"/>
      <c r="Z399" s="363"/>
      <c r="AA399"/>
      <c r="AB399"/>
      <c r="AC399"/>
      <c r="AD399"/>
    </row>
    <row r="400" spans="17:30" ht="12.75" customHeight="1">
      <c r="Q400" s="364"/>
      <c r="R400" s="895" t="s">
        <v>886</v>
      </c>
      <c r="S400" s="896"/>
      <c r="T400" s="900" t="s">
        <v>835</v>
      </c>
      <c r="U400" s="900" t="s">
        <v>836</v>
      </c>
      <c r="V400" s="900" t="s">
        <v>837</v>
      </c>
      <c r="W400" s="902" t="s">
        <v>838</v>
      </c>
      <c r="X400" s="364"/>
      <c r="Y400" s="363"/>
      <c r="Z400" s="363"/>
      <c r="AA400"/>
      <c r="AB400"/>
      <c r="AC400"/>
      <c r="AD400"/>
    </row>
    <row r="401" spans="17:30" ht="12.75" customHeight="1">
      <c r="Q401" s="364"/>
      <c r="R401" s="892"/>
      <c r="S401" s="897"/>
      <c r="T401" s="901"/>
      <c r="U401" s="901"/>
      <c r="V401" s="901"/>
      <c r="W401" s="903"/>
      <c r="X401" s="364"/>
      <c r="Y401" s="363"/>
      <c r="Z401" s="363"/>
      <c r="AA401"/>
      <c r="AB401"/>
      <c r="AC401"/>
      <c r="AD401"/>
    </row>
    <row r="402" spans="17:30" ht="12.75" customHeight="1">
      <c r="Q402" s="364"/>
      <c r="R402" s="892"/>
      <c r="S402" s="897"/>
      <c r="T402" s="702">
        <f>T389-PPE!$I$15</f>
        <v>90.19080000000001</v>
      </c>
      <c r="U402" s="560">
        <f>U396</f>
        <v>1.9999999999999996</v>
      </c>
      <c r="V402" s="690">
        <f>IF(T402&gt;0,W402*U402," ")</f>
        <v>82.999999999999986</v>
      </c>
      <c r="W402" s="691">
        <f>IF(T402&gt;0,(VLOOKUP(T402,'Lookup Ready-reckoner'!$B$5:$E$1207,4))," ")</f>
        <v>41.5</v>
      </c>
      <c r="X402" s="364"/>
      <c r="Y402" s="363"/>
      <c r="Z402" s="363"/>
      <c r="AA402"/>
      <c r="AB402"/>
      <c r="AC402"/>
      <c r="AD402"/>
    </row>
    <row r="403" spans="17:30" ht="12.75" customHeight="1">
      <c r="Q403" s="364"/>
      <c r="R403" s="898"/>
      <c r="S403" s="899"/>
      <c r="T403" s="447"/>
      <c r="U403" s="560"/>
      <c r="V403" s="690" t="str">
        <f>IF(T403&gt;0,W403*U403," ")</f>
        <v xml:space="preserve"> </v>
      </c>
      <c r="W403" s="691" t="str">
        <f>IF(T403&gt;0,(VLOOKUP(T403,'Lookup Ready-reckoner'!$B$5:$E$1007,4))," ")</f>
        <v xml:space="preserve"> </v>
      </c>
      <c r="X403" s="364"/>
      <c r="Y403" s="363"/>
      <c r="Z403" s="363"/>
      <c r="AA403"/>
      <c r="AB403"/>
      <c r="AC403"/>
      <c r="AD403"/>
    </row>
    <row r="404" spans="17:30" ht="12.75" customHeight="1" thickBot="1">
      <c r="Q404" s="364"/>
      <c r="R404" s="692" t="s">
        <v>839</v>
      </c>
      <c r="S404" s="693"/>
      <c r="T404" s="693"/>
      <c r="U404" s="703">
        <f>IF(T402&gt;0,(VLOOKUP(V404,'Lookup Ready-reckoner'!$L$5:$M$1207,2))," ")</f>
        <v>84.1</v>
      </c>
      <c r="V404" s="695">
        <f>IF(U402&gt;0,(SUM(V402:V403))," ")</f>
        <v>82.999999999999986</v>
      </c>
      <c r="W404" s="696"/>
      <c r="X404" s="364"/>
      <c r="Y404" s="363"/>
      <c r="Z404" s="363"/>
      <c r="AA404"/>
      <c r="AB404"/>
      <c r="AC404"/>
      <c r="AD404"/>
    </row>
    <row r="405" spans="17:30" ht="12.75" customHeight="1">
      <c r="Q405" s="364"/>
      <c r="R405" s="363"/>
      <c r="S405" s="363"/>
      <c r="T405" s="363"/>
      <c r="U405" s="363"/>
      <c r="V405" s="363"/>
      <c r="W405" s="363"/>
      <c r="X405" s="364"/>
      <c r="Y405" s="364"/>
      <c r="Z405" s="364"/>
      <c r="AA405"/>
      <c r="AB405"/>
      <c r="AC405"/>
      <c r="AD405"/>
    </row>
    <row r="406" spans="17:30" ht="12.75" customHeight="1">
      <c r="Q406" s="364"/>
      <c r="R406" s="909" t="str">
        <f>V306</f>
        <v xml:space="preserve">Hilti TE MD20 </v>
      </c>
      <c r="S406" s="909"/>
      <c r="T406" s="909"/>
      <c r="U406" s="909"/>
      <c r="V406" s="909"/>
      <c r="W406" s="909"/>
      <c r="X406" s="364"/>
      <c r="Y406" s="364"/>
      <c r="Z406" s="364"/>
      <c r="AA406"/>
      <c r="AB406"/>
      <c r="AC406"/>
      <c r="AD406"/>
    </row>
    <row r="407" spans="17:30" ht="12.75" customHeight="1" thickBot="1">
      <c r="Q407" s="364"/>
      <c r="R407" s="910" t="s">
        <v>205</v>
      </c>
      <c r="S407" s="911"/>
      <c r="T407" s="911"/>
      <c r="U407" s="911"/>
      <c r="V407" s="911"/>
      <c r="W407" s="912"/>
      <c r="X407" s="364"/>
      <c r="Y407" s="364"/>
      <c r="Z407" s="364"/>
      <c r="AA407"/>
      <c r="AB407"/>
      <c r="AC407"/>
      <c r="AD407"/>
    </row>
    <row r="408" spans="17:30" ht="12.75" customHeight="1" thickBot="1">
      <c r="Q408" s="364"/>
      <c r="R408" s="686" t="s">
        <v>59</v>
      </c>
      <c r="S408" s="577"/>
      <c r="T408" s="687"/>
      <c r="U408" s="687"/>
      <c r="V408" s="687"/>
      <c r="W408" s="688"/>
      <c r="X408" s="364"/>
      <c r="Y408" s="364"/>
      <c r="Z408" s="364"/>
      <c r="AA408"/>
      <c r="AB408"/>
      <c r="AC408"/>
      <c r="AD408"/>
    </row>
    <row r="409" spans="17:30" ht="12.75" customHeight="1">
      <c r="Q409" s="364"/>
      <c r="R409" s="895" t="s">
        <v>845</v>
      </c>
      <c r="S409" s="896"/>
      <c r="T409" s="900" t="s">
        <v>835</v>
      </c>
      <c r="U409" s="900" t="s">
        <v>836</v>
      </c>
      <c r="V409" s="900" t="s">
        <v>837</v>
      </c>
      <c r="W409" s="902" t="s">
        <v>838</v>
      </c>
      <c r="X409" s="364"/>
      <c r="Y409" s="364"/>
      <c r="Z409" s="364"/>
      <c r="AA409"/>
      <c r="AB409"/>
      <c r="AC409"/>
      <c r="AD409"/>
    </row>
    <row r="410" spans="17:30" ht="12.75" customHeight="1">
      <c r="Q410" s="364"/>
      <c r="R410" s="892"/>
      <c r="S410" s="897"/>
      <c r="T410" s="904"/>
      <c r="U410" s="904"/>
      <c r="V410" s="904"/>
      <c r="W410" s="905"/>
      <c r="X410" s="364"/>
      <c r="Y410" s="364"/>
      <c r="Z410" s="364"/>
      <c r="AA410"/>
      <c r="AB410"/>
      <c r="AC410"/>
      <c r="AD410"/>
    </row>
    <row r="411" spans="17:30" ht="12.75" customHeight="1">
      <c r="Q411" s="364"/>
      <c r="R411" s="892"/>
      <c r="S411" s="897"/>
      <c r="T411" s="901"/>
      <c r="U411" s="901"/>
      <c r="V411" s="901"/>
      <c r="W411" s="903"/>
      <c r="X411" s="364"/>
      <c r="Y411" s="364"/>
      <c r="Z411" s="364"/>
      <c r="AA411"/>
      <c r="AB411"/>
      <c r="AC411"/>
      <c r="AD411"/>
    </row>
    <row r="412" spans="17:30" ht="12.75" customHeight="1">
      <c r="Q412" s="364"/>
      <c r="R412" s="892"/>
      <c r="S412" s="897"/>
      <c r="T412" s="704">
        <f>U69</f>
        <v>102</v>
      </c>
      <c r="U412" s="560">
        <f>U62</f>
        <v>2.6666666666666665</v>
      </c>
      <c r="V412" s="690">
        <f>IF(T412&gt;0,W412*U412," ")</f>
        <v>1666.6666666666665</v>
      </c>
      <c r="W412" s="691">
        <f>IF(T412&gt;0,(VLOOKUP(T412,'Lookup Ready-reckoner'!$B$5:$E$1207,4))," ")</f>
        <v>625</v>
      </c>
      <c r="X412" s="364"/>
      <c r="Y412" s="364"/>
      <c r="Z412" s="364"/>
      <c r="AA412"/>
      <c r="AB412"/>
      <c r="AC412"/>
      <c r="AD412"/>
    </row>
    <row r="413" spans="17:30" ht="12.75" customHeight="1">
      <c r="Q413" s="364"/>
      <c r="R413" s="898"/>
      <c r="S413" s="899"/>
      <c r="T413" s="447"/>
      <c r="U413" s="560"/>
      <c r="V413" s="690" t="str">
        <f>IF(T413&gt;0,W413*U413," ")</f>
        <v xml:space="preserve"> </v>
      </c>
      <c r="W413" s="691" t="str">
        <f>IF(T413&gt;0,(VLOOKUP(T413,'Lookup Ready-reckoner'!$B$5:$E$1007,4))," ")</f>
        <v xml:space="preserve"> </v>
      </c>
      <c r="X413" s="364"/>
      <c r="Y413" s="364"/>
      <c r="Z413" s="364"/>
      <c r="AA413"/>
      <c r="AB413"/>
      <c r="AC413"/>
      <c r="AD413"/>
    </row>
    <row r="414" spans="17:30" ht="12.75" customHeight="1" thickBot="1">
      <c r="Q414" s="364"/>
      <c r="R414" s="692" t="s">
        <v>839</v>
      </c>
      <c r="S414" s="693"/>
      <c r="T414" s="693"/>
      <c r="U414" s="705">
        <f>IF(T412&gt;0,(VLOOKUP(V414,'Lookup Ready-reckoner'!$L$5:$M$1207,2))," ")</f>
        <v>97.15</v>
      </c>
      <c r="V414" s="695">
        <f>IF(U412&gt;0,(SUM(V412:V413))," ")</f>
        <v>1666.6666666666665</v>
      </c>
      <c r="W414" s="696"/>
      <c r="X414" s="364"/>
      <c r="Y414" s="364"/>
      <c r="Z414" s="364"/>
      <c r="AA414"/>
      <c r="AB414"/>
      <c r="AC414"/>
      <c r="AD414"/>
    </row>
    <row r="415" spans="17:30" ht="12.75" customHeight="1" thickBot="1">
      <c r="Q415" s="364"/>
      <c r="R415" s="906"/>
      <c r="S415" s="907"/>
      <c r="T415" s="907"/>
      <c r="U415" s="907"/>
      <c r="V415" s="907"/>
      <c r="W415" s="908"/>
      <c r="X415" s="364"/>
      <c r="Y415" s="364"/>
      <c r="Z415" s="364"/>
      <c r="AA415"/>
      <c r="AB415"/>
      <c r="AC415"/>
      <c r="AD415"/>
    </row>
    <row r="416" spans="17:30" ht="12.75" customHeight="1">
      <c r="Q416" s="364"/>
      <c r="R416" s="895" t="s">
        <v>886</v>
      </c>
      <c r="S416" s="896"/>
      <c r="T416" s="900" t="s">
        <v>835</v>
      </c>
      <c r="U416" s="900" t="s">
        <v>836</v>
      </c>
      <c r="V416" s="900" t="s">
        <v>837</v>
      </c>
      <c r="W416" s="902" t="s">
        <v>838</v>
      </c>
      <c r="X416" s="364"/>
      <c r="Y416" s="364"/>
      <c r="Z416" s="364"/>
      <c r="AA416"/>
      <c r="AB416"/>
      <c r="AC416"/>
      <c r="AD416"/>
    </row>
    <row r="417" spans="17:30" ht="12.75" customHeight="1">
      <c r="Q417" s="364"/>
      <c r="R417" s="892"/>
      <c r="S417" s="897"/>
      <c r="T417" s="901"/>
      <c r="U417" s="901"/>
      <c r="V417" s="901"/>
      <c r="W417" s="903"/>
      <c r="X417" s="364"/>
      <c r="Y417" s="364"/>
      <c r="Z417" s="364"/>
      <c r="AA417"/>
      <c r="AB417"/>
      <c r="AC417"/>
      <c r="AD417"/>
    </row>
    <row r="418" spans="17:30" ht="12.75" customHeight="1">
      <c r="Q418" s="364"/>
      <c r="R418" s="892"/>
      <c r="S418" s="897"/>
      <c r="T418" s="704">
        <f>T412*(1-0.0178*2)</f>
        <v>98.368800000000007</v>
      </c>
      <c r="U418" s="560">
        <f>U412</f>
        <v>2.6666666666666665</v>
      </c>
      <c r="V418" s="690">
        <f>IF(T418&gt;0,W418*U418," ")</f>
        <v>725</v>
      </c>
      <c r="W418" s="691">
        <f>IF(T418&gt;0,(VLOOKUP(T418,'Lookup Ready-reckoner'!$B$5:$E$1207,4))," ")</f>
        <v>271.875</v>
      </c>
      <c r="X418" s="364"/>
      <c r="Y418" s="364"/>
      <c r="Z418" s="364"/>
      <c r="AA418"/>
      <c r="AB418"/>
      <c r="AC418"/>
      <c r="AD418"/>
    </row>
    <row r="419" spans="17:30" ht="12.75" customHeight="1">
      <c r="Q419" s="364"/>
      <c r="R419" s="898"/>
      <c r="S419" s="899"/>
      <c r="T419" s="447"/>
      <c r="U419" s="560"/>
      <c r="V419" s="690" t="str">
        <f>IF(T419&gt;0,W419*U419," ")</f>
        <v xml:space="preserve"> </v>
      </c>
      <c r="W419" s="691" t="str">
        <f>IF(T419&gt;0,(VLOOKUP(T419,'Lookup Ready-reckoner'!$B$5:$E$1007,4))," ")</f>
        <v xml:space="preserve"> </v>
      </c>
      <c r="X419" s="364"/>
      <c r="Y419" s="364"/>
      <c r="Z419" s="364"/>
      <c r="AA419"/>
      <c r="AB419"/>
      <c r="AC419"/>
      <c r="AD419"/>
    </row>
    <row r="420" spans="17:30" ht="12.75" customHeight="1" thickBot="1">
      <c r="Q420" s="364"/>
      <c r="R420" s="692" t="s">
        <v>839</v>
      </c>
      <c r="S420" s="693"/>
      <c r="T420" s="693"/>
      <c r="U420" s="705">
        <f>IF(T418&gt;0,(VLOOKUP(V420,'Lookup Ready-reckoner'!$L$5:$M$1207,2))," ")</f>
        <v>93.55</v>
      </c>
      <c r="V420" s="695">
        <f>IF(U418&gt;0,(SUM(V418:V419))," ")</f>
        <v>725</v>
      </c>
      <c r="W420" s="696"/>
      <c r="X420" s="364"/>
      <c r="Y420" s="364"/>
      <c r="Z420" s="364"/>
      <c r="AA420"/>
      <c r="AB420"/>
      <c r="AC420"/>
      <c r="AD420"/>
    </row>
    <row r="421" spans="17:30" ht="12.75" customHeight="1">
      <c r="Q421" s="364"/>
      <c r="R421" s="697"/>
      <c r="S421" s="687"/>
      <c r="T421" s="687"/>
      <c r="U421" s="372"/>
      <c r="V421" s="374"/>
      <c r="W421" s="688"/>
      <c r="X421" s="364"/>
      <c r="Y421" s="364"/>
      <c r="Z421" s="364"/>
      <c r="AA421"/>
      <c r="AB421"/>
      <c r="AC421"/>
      <c r="AD421"/>
    </row>
    <row r="422" spans="17:30" ht="12.75" customHeight="1" thickBot="1">
      <c r="Q422" s="364"/>
      <c r="R422" s="686" t="s">
        <v>60</v>
      </c>
      <c r="S422" s="577"/>
      <c r="T422" s="577"/>
      <c r="U422" s="577"/>
      <c r="V422" s="577"/>
      <c r="W422" s="698"/>
      <c r="X422" s="364"/>
      <c r="Y422" s="364"/>
      <c r="Z422" s="364"/>
      <c r="AA422"/>
      <c r="AB422"/>
      <c r="AC422"/>
      <c r="AD422"/>
    </row>
    <row r="423" spans="17:30" ht="12.75" customHeight="1">
      <c r="Q423" s="364"/>
      <c r="R423" s="895" t="s">
        <v>845</v>
      </c>
      <c r="S423" s="896"/>
      <c r="T423" s="900" t="s">
        <v>835</v>
      </c>
      <c r="U423" s="900" t="s">
        <v>836</v>
      </c>
      <c r="V423" s="900" t="s">
        <v>837</v>
      </c>
      <c r="W423" s="902" t="s">
        <v>838</v>
      </c>
      <c r="X423" s="364"/>
      <c r="Y423" s="364"/>
      <c r="Z423" s="364"/>
      <c r="AA423"/>
      <c r="AB423"/>
      <c r="AC423"/>
      <c r="AD423"/>
    </row>
    <row r="424" spans="17:30" ht="12.75" customHeight="1">
      <c r="Q424" s="364"/>
      <c r="R424" s="892"/>
      <c r="S424" s="897"/>
      <c r="T424" s="901"/>
      <c r="U424" s="901"/>
      <c r="V424" s="901"/>
      <c r="W424" s="903"/>
      <c r="X424" s="364"/>
      <c r="Y424" s="364"/>
      <c r="Z424" s="364"/>
      <c r="AA424"/>
      <c r="AB424"/>
      <c r="AC424"/>
      <c r="AD424"/>
    </row>
    <row r="425" spans="17:30" ht="12.75" customHeight="1">
      <c r="Q425" s="364"/>
      <c r="R425" s="892"/>
      <c r="S425" s="897"/>
      <c r="T425" s="704">
        <f>T412-PPE!$I$15</f>
        <v>89</v>
      </c>
      <c r="U425" s="560">
        <f>U418</f>
        <v>2.6666666666666665</v>
      </c>
      <c r="V425" s="690">
        <f>IF(T425&gt;0,W425*U425," ")</f>
        <v>83.333333333333329</v>
      </c>
      <c r="W425" s="691">
        <f>IF(T425&gt;0,(VLOOKUP(T425,'Lookup Ready-reckoner'!$B$5:$E$1207,4))," ")</f>
        <v>31.25</v>
      </c>
      <c r="X425" s="364"/>
      <c r="Y425" s="364"/>
      <c r="Z425" s="364"/>
      <c r="AA425"/>
      <c r="AB425"/>
      <c r="AC425"/>
      <c r="AD425"/>
    </row>
    <row r="426" spans="17:30" ht="12.75" customHeight="1">
      <c r="Q426" s="364"/>
      <c r="R426" s="898"/>
      <c r="S426" s="899"/>
      <c r="T426" s="447"/>
      <c r="U426" s="560"/>
      <c r="V426" s="690" t="str">
        <f>IF(T426&gt;0,W426*U426," ")</f>
        <v xml:space="preserve"> </v>
      </c>
      <c r="W426" s="691" t="str">
        <f>IF(T426&gt;0,(VLOOKUP(T426,'Lookup Ready-reckoner'!$B$5:$E$1007,4))," ")</f>
        <v xml:space="preserve"> </v>
      </c>
      <c r="X426" s="364"/>
      <c r="Y426" s="364"/>
      <c r="Z426" s="364"/>
      <c r="AA426"/>
      <c r="AB426"/>
      <c r="AC426"/>
      <c r="AD426"/>
    </row>
    <row r="427" spans="17:30" ht="12.75" customHeight="1" thickBot="1">
      <c r="Q427" s="364"/>
      <c r="R427" s="692" t="s">
        <v>839</v>
      </c>
      <c r="S427" s="693"/>
      <c r="T427" s="693"/>
      <c r="U427" s="705">
        <f>IF(T425&gt;0,(VLOOKUP(V427,'Lookup Ready-reckoner'!$L$5:$M$1207,2))," ")</f>
        <v>84.15</v>
      </c>
      <c r="V427" s="695">
        <f>IF(U425&gt;0,(SUM(V425:V426))," ")</f>
        <v>83.333333333333329</v>
      </c>
      <c r="W427" s="696"/>
      <c r="X427" s="364"/>
      <c r="Y427" s="364"/>
      <c r="Z427" s="364"/>
      <c r="AA427"/>
      <c r="AB427"/>
      <c r="AC427"/>
      <c r="AD427"/>
    </row>
    <row r="428" spans="17:30" ht="12.75" customHeight="1" thickBot="1">
      <c r="Q428" s="364"/>
      <c r="R428" s="892"/>
      <c r="S428" s="893"/>
      <c r="T428" s="893"/>
      <c r="U428" s="893"/>
      <c r="V428" s="893"/>
      <c r="W428" s="894"/>
      <c r="X428" s="364"/>
      <c r="Y428" s="364"/>
      <c r="Z428" s="364"/>
      <c r="AA428"/>
      <c r="AB428"/>
      <c r="AC428"/>
      <c r="AD428"/>
    </row>
    <row r="429" spans="17:30" ht="12.75" customHeight="1">
      <c r="Q429" s="364"/>
      <c r="R429" s="895" t="s">
        <v>886</v>
      </c>
      <c r="S429" s="896"/>
      <c r="T429" s="900" t="s">
        <v>835</v>
      </c>
      <c r="U429" s="900" t="s">
        <v>836</v>
      </c>
      <c r="V429" s="900" t="s">
        <v>837</v>
      </c>
      <c r="W429" s="902" t="s">
        <v>838</v>
      </c>
      <c r="X429" s="364"/>
      <c r="Y429" s="364"/>
      <c r="Z429" s="364"/>
      <c r="AA429"/>
      <c r="AB429"/>
      <c r="AC429"/>
      <c r="AD429"/>
    </row>
    <row r="430" spans="17:30" ht="12.75" customHeight="1">
      <c r="Q430" s="364"/>
      <c r="R430" s="892"/>
      <c r="S430" s="897"/>
      <c r="T430" s="901"/>
      <c r="U430" s="901"/>
      <c r="V430" s="901"/>
      <c r="W430" s="903"/>
      <c r="X430" s="364"/>
      <c r="Y430" s="364"/>
      <c r="Z430" s="364"/>
      <c r="AA430"/>
      <c r="AB430"/>
      <c r="AC430"/>
      <c r="AD430"/>
    </row>
    <row r="431" spans="17:30" ht="12.75" customHeight="1">
      <c r="Q431" s="364"/>
      <c r="R431" s="892"/>
      <c r="S431" s="897"/>
      <c r="T431" s="704">
        <f>T418-PPE!$I$15</f>
        <v>85.368800000000007</v>
      </c>
      <c r="U431" s="560">
        <f>U425</f>
        <v>2.6666666666666665</v>
      </c>
      <c r="V431" s="690">
        <f>IF(T431&gt;0,W431*U431," ")</f>
        <v>36.25</v>
      </c>
      <c r="W431" s="691">
        <f>IF(T431&gt;0,(VLOOKUP(T431,'Lookup Ready-reckoner'!$B$5:$E$1207,4))," ")</f>
        <v>13.59375</v>
      </c>
      <c r="X431" s="364"/>
      <c r="Y431" s="364"/>
      <c r="Z431" s="364"/>
      <c r="AA431"/>
      <c r="AB431"/>
      <c r="AC431"/>
      <c r="AD431"/>
    </row>
    <row r="432" spans="17:30" ht="12.75" customHeight="1">
      <c r="Q432" s="364"/>
      <c r="R432" s="898"/>
      <c r="S432" s="899"/>
      <c r="T432" s="447"/>
      <c r="U432" s="560"/>
      <c r="V432" s="690" t="str">
        <f>IF(T432&gt;0,W432*U432," ")</f>
        <v xml:space="preserve"> </v>
      </c>
      <c r="W432" s="691" t="str">
        <f>IF(T432&gt;0,(VLOOKUP(T432,'Lookup Ready-reckoner'!$B$5:$E$1007,4))," ")</f>
        <v xml:space="preserve"> </v>
      </c>
      <c r="X432" s="364"/>
      <c r="Y432" s="364"/>
      <c r="Z432" s="364"/>
      <c r="AA432"/>
      <c r="AB432"/>
      <c r="AC432"/>
      <c r="AD432"/>
    </row>
    <row r="433" spans="17:30" ht="12.75" customHeight="1" thickBot="1">
      <c r="Q433" s="364"/>
      <c r="R433" s="692" t="s">
        <v>839</v>
      </c>
      <c r="S433" s="693"/>
      <c r="T433" s="693"/>
      <c r="U433" s="705">
        <f>IF(T431&gt;0,(VLOOKUP(V433,'Lookup Ready-reckoner'!$L$5:$M$1207,2))," ")</f>
        <v>80.5</v>
      </c>
      <c r="V433" s="695">
        <f>IF(U431&gt;0,(SUM(V431:V432))," ")</f>
        <v>36.25</v>
      </c>
      <c r="W433" s="696"/>
      <c r="X433" s="364"/>
      <c r="Y433" s="364"/>
      <c r="Z433" s="364"/>
      <c r="AA433"/>
      <c r="AB433"/>
      <c r="AC433"/>
      <c r="AD433"/>
    </row>
    <row r="434" spans="17:30" ht="12.75" customHeight="1" thickBot="1">
      <c r="Q434" s="364"/>
      <c r="R434" s="364"/>
      <c r="S434" s="364"/>
      <c r="T434" s="364"/>
      <c r="U434" s="364"/>
      <c r="V434" s="364"/>
      <c r="W434" s="364"/>
      <c r="X434" s="364"/>
      <c r="Y434" s="364"/>
      <c r="Z434" s="364"/>
      <c r="AA434"/>
      <c r="AB434"/>
      <c r="AC434"/>
      <c r="AD434"/>
    </row>
    <row r="435" spans="17:30" ht="12.75" customHeight="1" thickTop="1">
      <c r="Q435" s="364"/>
      <c r="R435" s="916" t="s">
        <v>429</v>
      </c>
      <c r="S435" s="917"/>
      <c r="T435" s="917"/>
      <c r="U435" s="917"/>
      <c r="V435" s="917"/>
      <c r="W435" s="918"/>
      <c r="X435" s="364"/>
      <c r="Y435" s="364"/>
      <c r="Z435" s="364"/>
      <c r="AA435"/>
      <c r="AB435"/>
      <c r="AC435"/>
      <c r="AD435"/>
    </row>
    <row r="436" spans="17:30" ht="12.75" customHeight="1">
      <c r="Q436" s="364"/>
      <c r="R436" s="919"/>
      <c r="S436" s="920"/>
      <c r="T436" s="920"/>
      <c r="U436" s="920"/>
      <c r="V436" s="920"/>
      <c r="W436" s="921"/>
      <c r="X436" s="364"/>
      <c r="Y436" s="364"/>
      <c r="Z436" s="364"/>
      <c r="AA436"/>
      <c r="AB436"/>
      <c r="AC436"/>
      <c r="AD436"/>
    </row>
    <row r="437" spans="17:30" ht="12.75" customHeight="1" thickBot="1">
      <c r="Q437" s="364"/>
      <c r="R437" s="922"/>
      <c r="S437" s="923"/>
      <c r="T437" s="923"/>
      <c r="U437" s="923"/>
      <c r="V437" s="923"/>
      <c r="W437" s="924"/>
      <c r="X437" s="364"/>
      <c r="Y437" s="364"/>
      <c r="Z437" s="364"/>
      <c r="AA437"/>
      <c r="AB437"/>
      <c r="AC437"/>
      <c r="AD437"/>
    </row>
    <row r="438" spans="17:30" ht="12.75" customHeight="1" thickTop="1">
      <c r="Q438" s="364"/>
      <c r="R438" s="925" t="str">
        <f>R319</f>
        <v>Seco S215</v>
      </c>
      <c r="S438" s="925"/>
      <c r="T438" s="925"/>
      <c r="U438" s="925"/>
      <c r="V438" s="925"/>
      <c r="W438" s="925"/>
      <c r="X438" s="364"/>
      <c r="Y438" s="364"/>
      <c r="Z438" s="364"/>
      <c r="AA438"/>
      <c r="AB438"/>
      <c r="AC438"/>
      <c r="AD438"/>
    </row>
    <row r="439" spans="17:30" ht="12.75" customHeight="1" thickBot="1">
      <c r="Q439" s="364"/>
      <c r="R439" s="910" t="s">
        <v>205</v>
      </c>
      <c r="S439" s="911"/>
      <c r="T439" s="911"/>
      <c r="U439" s="911"/>
      <c r="V439" s="911"/>
      <c r="W439" s="912"/>
      <c r="X439" s="364"/>
      <c r="Y439" s="364"/>
      <c r="Z439" s="364"/>
      <c r="AA439"/>
      <c r="AB439"/>
      <c r="AC439"/>
      <c r="AD439"/>
    </row>
    <row r="440" spans="17:30" ht="12.75" customHeight="1" thickBot="1">
      <c r="Q440" s="364"/>
      <c r="R440" s="686" t="s">
        <v>59</v>
      </c>
      <c r="S440" s="577"/>
      <c r="T440" s="687"/>
      <c r="U440" s="687"/>
      <c r="V440" s="687"/>
      <c r="W440" s="688"/>
      <c r="X440" s="364"/>
      <c r="Y440" s="364"/>
      <c r="Z440" s="364"/>
      <c r="AA440"/>
      <c r="AB440"/>
      <c r="AC440"/>
      <c r="AD440"/>
    </row>
    <row r="441" spans="17:30" ht="12.75" customHeight="1">
      <c r="Q441" s="364"/>
      <c r="R441" s="895" t="s">
        <v>845</v>
      </c>
      <c r="S441" s="896"/>
      <c r="T441" s="900" t="s">
        <v>835</v>
      </c>
      <c r="U441" s="900" t="s">
        <v>836</v>
      </c>
      <c r="V441" s="900" t="s">
        <v>837</v>
      </c>
      <c r="W441" s="902" t="s">
        <v>838</v>
      </c>
      <c r="X441" s="364"/>
      <c r="Y441" s="364"/>
      <c r="Z441" s="364"/>
      <c r="AA441"/>
      <c r="AB441"/>
      <c r="AC441"/>
      <c r="AD441"/>
    </row>
    <row r="442" spans="17:30" ht="12.75" customHeight="1">
      <c r="Q442" s="364"/>
      <c r="R442" s="892"/>
      <c r="S442" s="897"/>
      <c r="T442" s="904"/>
      <c r="U442" s="904"/>
      <c r="V442" s="904"/>
      <c r="W442" s="905"/>
      <c r="X442" s="364"/>
      <c r="Y442" s="364"/>
      <c r="Z442" s="364"/>
      <c r="AA442"/>
      <c r="AB442"/>
      <c r="AC442"/>
      <c r="AD442"/>
    </row>
    <row r="443" spans="17:30" ht="12.75" customHeight="1">
      <c r="Q443" s="364"/>
      <c r="R443" s="892"/>
      <c r="S443" s="897"/>
      <c r="T443" s="901"/>
      <c r="U443" s="901"/>
      <c r="V443" s="901"/>
      <c r="W443" s="903"/>
      <c r="X443" s="364"/>
      <c r="Y443" s="364"/>
      <c r="Z443" s="364"/>
      <c r="AA443"/>
      <c r="AB443"/>
      <c r="AC443"/>
      <c r="AD443"/>
    </row>
    <row r="444" spans="17:30" ht="12.75" customHeight="1">
      <c r="Q444" s="364"/>
      <c r="R444" s="892"/>
      <c r="S444" s="897"/>
      <c r="T444" s="689">
        <f>X76</f>
        <v>118.02059991327963</v>
      </c>
      <c r="U444" s="560">
        <f>X62</f>
        <v>1.7777777777777777</v>
      </c>
      <c r="V444" s="690">
        <f>IF(T444&gt;0,W444*U444," ")</f>
        <v>45511.111111111109</v>
      </c>
      <c r="W444" s="691">
        <f>IF(T444&gt;0,(VLOOKUP(T444,'Lookup Ready-reckoner'!$B$5:$E$1207,4))," ")</f>
        <v>25600</v>
      </c>
      <c r="X444" s="364"/>
      <c r="Y444" s="364"/>
      <c r="Z444" s="364"/>
      <c r="AA444"/>
      <c r="AB444"/>
      <c r="AC444"/>
      <c r="AD444"/>
    </row>
    <row r="445" spans="17:30" ht="12.75" customHeight="1">
      <c r="Q445" s="364"/>
      <c r="R445" s="898"/>
      <c r="S445" s="899"/>
      <c r="T445" s="447"/>
      <c r="U445" s="560"/>
      <c r="V445" s="690" t="str">
        <f>IF(T445&gt;0,W445*U445," ")</f>
        <v xml:space="preserve"> </v>
      </c>
      <c r="W445" s="691" t="str">
        <f>IF(T445&gt;0,(VLOOKUP(T445,'Lookup Ready-reckoner'!$B$5:$E$1007,4))," ")</f>
        <v xml:space="preserve"> </v>
      </c>
      <c r="X445" s="364"/>
      <c r="Y445" s="364"/>
      <c r="Z445" s="364"/>
      <c r="AA445"/>
      <c r="AB445"/>
      <c r="AC445"/>
      <c r="AD445"/>
    </row>
    <row r="446" spans="17:30" ht="12.75" customHeight="1" thickBot="1">
      <c r="Q446" s="364"/>
      <c r="R446" s="692" t="s">
        <v>839</v>
      </c>
      <c r="S446" s="693"/>
      <c r="T446" s="693"/>
      <c r="U446" s="694">
        <f>IF(T444&gt;0,(VLOOKUP(V446,'Lookup Ready-reckoner'!$L$5:$M$1207,2))," ")</f>
        <v>111.45</v>
      </c>
      <c r="V446" s="695">
        <f>IF(U444&gt;0,(SUM(V444:V445))," ")</f>
        <v>45511.111111111109</v>
      </c>
      <c r="W446" s="696"/>
      <c r="X446" s="364"/>
      <c r="Y446" s="364"/>
      <c r="Z446" s="364"/>
      <c r="AA446"/>
      <c r="AB446"/>
      <c r="AC446"/>
      <c r="AD446"/>
    </row>
    <row r="447" spans="17:30" ht="12.75" customHeight="1" thickBot="1">
      <c r="Q447" s="364"/>
      <c r="R447" s="892"/>
      <c r="S447" s="893"/>
      <c r="T447" s="893"/>
      <c r="U447" s="893"/>
      <c r="V447" s="893"/>
      <c r="W447" s="894"/>
      <c r="X447" s="364"/>
      <c r="Y447" s="364"/>
      <c r="Z447" s="364"/>
      <c r="AA447"/>
      <c r="AB447"/>
      <c r="AC447"/>
      <c r="AD447"/>
    </row>
    <row r="448" spans="17:30" ht="12.75" customHeight="1">
      <c r="Q448" s="364"/>
      <c r="R448" s="895" t="s">
        <v>886</v>
      </c>
      <c r="S448" s="896"/>
      <c r="T448" s="900" t="s">
        <v>835</v>
      </c>
      <c r="U448" s="900" t="s">
        <v>836</v>
      </c>
      <c r="V448" s="900" t="s">
        <v>837</v>
      </c>
      <c r="W448" s="902" t="s">
        <v>838</v>
      </c>
      <c r="X448" s="364"/>
      <c r="Y448" s="364"/>
      <c r="Z448" s="364"/>
      <c r="AA448"/>
      <c r="AB448"/>
      <c r="AC448"/>
      <c r="AD448"/>
    </row>
    <row r="449" spans="17:30" ht="12.75" customHeight="1">
      <c r="Q449" s="364"/>
      <c r="R449" s="892"/>
      <c r="S449" s="897"/>
      <c r="T449" s="901"/>
      <c r="U449" s="901"/>
      <c r="V449" s="901"/>
      <c r="W449" s="903"/>
      <c r="X449" s="364"/>
      <c r="Y449" s="364"/>
      <c r="Z449" s="364"/>
      <c r="AA449"/>
      <c r="AB449"/>
      <c r="AC449"/>
      <c r="AD449"/>
    </row>
    <row r="450" spans="17:30" ht="12.75" customHeight="1">
      <c r="Q450" s="364"/>
      <c r="R450" s="892"/>
      <c r="S450" s="897"/>
      <c r="T450" s="689">
        <f>T444*(1-0.0178*2)</f>
        <v>113.81906655636688</v>
      </c>
      <c r="U450" s="560">
        <f>U444</f>
        <v>1.7777777777777777</v>
      </c>
      <c r="V450" s="690">
        <f>IF(T450&gt;0,W450*U450," ")</f>
        <v>17066.666666666664</v>
      </c>
      <c r="W450" s="691">
        <f>IF(T450&gt;0,(VLOOKUP(T450,'Lookup Ready-reckoner'!$B$5:$E$1207,4))," ")</f>
        <v>9600</v>
      </c>
      <c r="X450" s="364"/>
      <c r="Y450" s="364"/>
      <c r="Z450" s="364"/>
      <c r="AA450"/>
      <c r="AB450"/>
      <c r="AC450"/>
      <c r="AD450"/>
    </row>
    <row r="451" spans="17:30" ht="12.75" customHeight="1">
      <c r="Q451" s="364"/>
      <c r="R451" s="898"/>
      <c r="S451" s="899"/>
      <c r="T451" s="447"/>
      <c r="U451" s="560"/>
      <c r="V451" s="690" t="str">
        <f>IF(T451&gt;0,W451*U451," ")</f>
        <v xml:space="preserve"> </v>
      </c>
      <c r="W451" s="691" t="str">
        <f>IF(T451&gt;0,(VLOOKUP(T451,'Lookup Ready-reckoner'!$B$5:$E$1007,4))," ")</f>
        <v xml:space="preserve"> </v>
      </c>
      <c r="X451" s="364"/>
      <c r="Y451" s="364"/>
      <c r="Z451" s="364"/>
      <c r="AA451"/>
      <c r="AB451"/>
      <c r="AC451"/>
      <c r="AD451"/>
    </row>
    <row r="452" spans="17:30" ht="12.75" customHeight="1" thickBot="1">
      <c r="Q452" s="364"/>
      <c r="R452" s="692" t="s">
        <v>839</v>
      </c>
      <c r="S452" s="693"/>
      <c r="T452" s="693"/>
      <c r="U452" s="694">
        <f>IF(T450&gt;0,(VLOOKUP(V452,'Lookup Ready-reckoner'!$L$5:$M$1207,2))," ")</f>
        <v>107.25</v>
      </c>
      <c r="V452" s="695">
        <f>IF(U450&gt;0,(SUM(V450:V451))," ")</f>
        <v>17066.666666666664</v>
      </c>
      <c r="W452" s="696"/>
      <c r="X452" s="364"/>
      <c r="Y452" s="364"/>
      <c r="Z452" s="364"/>
      <c r="AA452"/>
      <c r="AB452"/>
      <c r="AC452"/>
      <c r="AD452"/>
    </row>
    <row r="453" spans="17:30" ht="12.75" customHeight="1">
      <c r="Q453" s="364"/>
      <c r="R453" s="697"/>
      <c r="S453" s="687"/>
      <c r="T453" s="687"/>
      <c r="U453" s="372"/>
      <c r="V453" s="374"/>
      <c r="W453" s="688"/>
      <c r="X453" s="364"/>
      <c r="Y453" s="364"/>
      <c r="Z453" s="364"/>
      <c r="AA453"/>
      <c r="AB453"/>
      <c r="AC453"/>
      <c r="AD453"/>
    </row>
    <row r="454" spans="17:30" ht="12.75" customHeight="1" thickBot="1">
      <c r="Q454" s="364"/>
      <c r="R454" s="686" t="s">
        <v>60</v>
      </c>
      <c r="S454" s="577"/>
      <c r="T454" s="577"/>
      <c r="U454" s="577"/>
      <c r="V454" s="577"/>
      <c r="W454" s="698"/>
      <c r="X454" s="364"/>
      <c r="Y454" s="364"/>
      <c r="Z454" s="364"/>
      <c r="AA454"/>
      <c r="AB454"/>
      <c r="AC454"/>
      <c r="AD454"/>
    </row>
    <row r="455" spans="17:30" ht="12.75" customHeight="1">
      <c r="Q455" s="364"/>
      <c r="R455" s="895" t="s">
        <v>845</v>
      </c>
      <c r="S455" s="896"/>
      <c r="T455" s="900" t="s">
        <v>835</v>
      </c>
      <c r="U455" s="900" t="s">
        <v>836</v>
      </c>
      <c r="V455" s="900" t="s">
        <v>837</v>
      </c>
      <c r="W455" s="902" t="s">
        <v>838</v>
      </c>
      <c r="X455" s="364"/>
      <c r="Y455" s="364"/>
      <c r="Z455" s="364"/>
      <c r="AA455"/>
      <c r="AB455"/>
      <c r="AC455"/>
      <c r="AD455"/>
    </row>
    <row r="456" spans="17:30" ht="12.75" customHeight="1">
      <c r="Q456" s="364"/>
      <c r="R456" s="892"/>
      <c r="S456" s="897"/>
      <c r="T456" s="901"/>
      <c r="U456" s="901"/>
      <c r="V456" s="901"/>
      <c r="W456" s="903"/>
      <c r="X456" s="364"/>
      <c r="Y456" s="364"/>
      <c r="Z456" s="364"/>
      <c r="AA456"/>
      <c r="AB456"/>
      <c r="AC456"/>
      <c r="AD456"/>
    </row>
    <row r="457" spans="17:30" ht="12.75" customHeight="1">
      <c r="Q457" s="364"/>
      <c r="R457" s="892"/>
      <c r="S457" s="897"/>
      <c r="T457" s="689">
        <f>T444-PPE!$I$15</f>
        <v>105.02059991327963</v>
      </c>
      <c r="U457" s="560">
        <f>U450</f>
        <v>1.7777777777777777</v>
      </c>
      <c r="V457" s="690">
        <f>IF(T457&gt;0,W457*U457," ")</f>
        <v>2222.2222222222222</v>
      </c>
      <c r="W457" s="691">
        <f>IF(T457&gt;0,(VLOOKUP(T457,'Lookup Ready-reckoner'!$B$5:$E$1207,4))," ")</f>
        <v>1250</v>
      </c>
      <c r="X457" s="364"/>
      <c r="Y457" s="364"/>
      <c r="Z457" s="364"/>
      <c r="AA457"/>
      <c r="AB457"/>
      <c r="AC457"/>
      <c r="AD457"/>
    </row>
    <row r="458" spans="17:30" ht="12.75" customHeight="1">
      <c r="Q458" s="364"/>
      <c r="R458" s="898"/>
      <c r="S458" s="899"/>
      <c r="T458" s="447"/>
      <c r="U458" s="560"/>
      <c r="V458" s="690" t="str">
        <f>IF(T458&gt;0,W458*U458," ")</f>
        <v xml:space="preserve"> </v>
      </c>
      <c r="W458" s="691" t="str">
        <f>IF(T458&gt;0,(VLOOKUP(T458,'Lookup Ready-reckoner'!$B$5:$E$1007,4))," ")</f>
        <v xml:space="preserve"> </v>
      </c>
      <c r="X458" s="364"/>
      <c r="Y458" s="364"/>
      <c r="Z458" s="364"/>
      <c r="AA458"/>
      <c r="AB458"/>
      <c r="AC458"/>
      <c r="AD458"/>
    </row>
    <row r="459" spans="17:30" ht="12.75" customHeight="1" thickBot="1">
      <c r="Q459" s="364"/>
      <c r="R459" s="699" t="s">
        <v>839</v>
      </c>
      <c r="S459" s="693"/>
      <c r="T459" s="693"/>
      <c r="U459" s="694">
        <f>IF(T457&gt;0,(VLOOKUP(V459,'Lookup Ready-reckoner'!$L$5:$M$1207,2))," ")</f>
        <v>98.4</v>
      </c>
      <c r="V459" s="695">
        <f>IF(U457&gt;0,(SUM(V457:V458))," ")</f>
        <v>2222.2222222222222</v>
      </c>
      <c r="W459" s="696"/>
      <c r="X459" s="364"/>
      <c r="Y459" s="364"/>
      <c r="Z459" s="364"/>
      <c r="AA459"/>
      <c r="AB459"/>
      <c r="AC459"/>
      <c r="AD459"/>
    </row>
    <row r="460" spans="17:30" ht="12.75" customHeight="1" thickBot="1">
      <c r="Q460" s="364"/>
      <c r="R460" s="892"/>
      <c r="S460" s="893"/>
      <c r="T460" s="893"/>
      <c r="U460" s="893"/>
      <c r="V460" s="893"/>
      <c r="W460" s="894"/>
      <c r="X460" s="364"/>
      <c r="Y460" s="364"/>
      <c r="Z460" s="364"/>
      <c r="AA460"/>
      <c r="AB460"/>
      <c r="AC460"/>
      <c r="AD460"/>
    </row>
    <row r="461" spans="17:30" ht="12.75" customHeight="1">
      <c r="Q461" s="364"/>
      <c r="R461" s="895" t="s">
        <v>886</v>
      </c>
      <c r="S461" s="896"/>
      <c r="T461" s="900" t="s">
        <v>835</v>
      </c>
      <c r="U461" s="900" t="s">
        <v>836</v>
      </c>
      <c r="V461" s="900" t="s">
        <v>837</v>
      </c>
      <c r="W461" s="902" t="s">
        <v>838</v>
      </c>
      <c r="X461" s="364"/>
      <c r="Y461" s="364"/>
      <c r="Z461" s="364"/>
      <c r="AA461"/>
      <c r="AB461"/>
      <c r="AC461"/>
      <c r="AD461"/>
    </row>
    <row r="462" spans="17:30" ht="12.75" customHeight="1">
      <c r="Q462" s="364"/>
      <c r="R462" s="892"/>
      <c r="S462" s="897"/>
      <c r="T462" s="901"/>
      <c r="U462" s="901"/>
      <c r="V462" s="901"/>
      <c r="W462" s="903"/>
      <c r="X462" s="364"/>
      <c r="Y462" s="364"/>
      <c r="Z462" s="364"/>
      <c r="AA462"/>
      <c r="AB462"/>
      <c r="AC462"/>
      <c r="AD462"/>
    </row>
    <row r="463" spans="17:30" ht="12.75" customHeight="1">
      <c r="Q463" s="364"/>
      <c r="R463" s="892"/>
      <c r="S463" s="897"/>
      <c r="T463" s="689">
        <f>T450-PPE!$I$15</f>
        <v>100.81906655636688</v>
      </c>
      <c r="U463" s="560">
        <f>U457</f>
        <v>1.7777777777777777</v>
      </c>
      <c r="V463" s="690">
        <f>IF(T463&gt;0,W463*U463," ")</f>
        <v>853.33333333333326</v>
      </c>
      <c r="W463" s="691">
        <f>IF(T463&gt;0,(VLOOKUP(T463,'Lookup Ready-reckoner'!$B$5:$E$1207,4))," ")</f>
        <v>480</v>
      </c>
      <c r="X463" s="364"/>
      <c r="Y463" s="364"/>
      <c r="Z463" s="364"/>
      <c r="AA463"/>
      <c r="AB463"/>
      <c r="AC463"/>
      <c r="AD463"/>
    </row>
    <row r="464" spans="17:30" ht="12.75" customHeight="1">
      <c r="Q464" s="364"/>
      <c r="R464" s="898"/>
      <c r="S464" s="899"/>
      <c r="T464" s="447"/>
      <c r="U464" s="560"/>
      <c r="V464" s="690" t="str">
        <f>IF(T464&gt;0,W464*U464," ")</f>
        <v xml:space="preserve"> </v>
      </c>
      <c r="W464" s="691" t="str">
        <f>IF(T464&gt;0,(VLOOKUP(T464,'Lookup Ready-reckoner'!$B$5:$E$1007,4))," ")</f>
        <v xml:space="preserve"> </v>
      </c>
      <c r="X464" s="364"/>
      <c r="Y464" s="364"/>
      <c r="Z464" s="364"/>
      <c r="AA464"/>
      <c r="AB464"/>
      <c r="AC464"/>
      <c r="AD464"/>
    </row>
    <row r="465" spans="17:30" ht="12.75" customHeight="1" thickBot="1">
      <c r="Q465" s="364"/>
      <c r="R465" s="692" t="s">
        <v>839</v>
      </c>
      <c r="S465" s="693"/>
      <c r="T465" s="693"/>
      <c r="U465" s="694">
        <f>IF(T463&gt;0,(VLOOKUP(V465,'Lookup Ready-reckoner'!$L$5:$M$1207,2))," ")</f>
        <v>94.25</v>
      </c>
      <c r="V465" s="695">
        <f>IF(U463&gt;0,(SUM(V463:V464))," ")</f>
        <v>853.33333333333326</v>
      </c>
      <c r="W465" s="696"/>
      <c r="X465" s="364"/>
      <c r="Y465" s="364"/>
      <c r="Z465" s="364"/>
      <c r="AA465"/>
      <c r="AB465"/>
      <c r="AC465"/>
      <c r="AD465"/>
    </row>
    <row r="466" spans="17:30" ht="12.75" customHeight="1">
      <c r="Q466" s="364"/>
      <c r="R466" s="363"/>
      <c r="S466" s="363"/>
      <c r="T466" s="363"/>
      <c r="U466" s="363"/>
      <c r="V466" s="363"/>
      <c r="W466" s="363"/>
      <c r="X466" s="364"/>
      <c r="Y466" s="364"/>
      <c r="Z466" s="364"/>
      <c r="AA466"/>
      <c r="AB466"/>
      <c r="AC466"/>
      <c r="AD466"/>
    </row>
    <row r="467" spans="17:30" ht="12.75" customHeight="1" thickBot="1">
      <c r="Q467" s="364"/>
      <c r="R467" s="915" t="str">
        <f>R348</f>
        <v>Seco S215 Muffled</v>
      </c>
      <c r="S467" s="915"/>
      <c r="T467" s="915"/>
      <c r="U467" s="915"/>
      <c r="V467" s="915"/>
      <c r="W467" s="915"/>
      <c r="X467" s="364"/>
      <c r="Y467" s="364"/>
      <c r="Z467" s="364"/>
      <c r="AA467"/>
      <c r="AB467"/>
      <c r="AC467"/>
      <c r="AD467"/>
    </row>
    <row r="468" spans="17:30" ht="12.75" customHeight="1" thickBot="1">
      <c r="Q468" s="364"/>
      <c r="R468" s="906" t="s">
        <v>205</v>
      </c>
      <c r="S468" s="907"/>
      <c r="T468" s="907"/>
      <c r="U468" s="907"/>
      <c r="V468" s="907"/>
      <c r="W468" s="908"/>
      <c r="X468" s="364"/>
      <c r="Y468" s="364"/>
      <c r="Z468" s="364"/>
      <c r="AA468"/>
      <c r="AB468"/>
      <c r="AC468"/>
      <c r="AD468"/>
    </row>
    <row r="469" spans="17:30" ht="12.75" customHeight="1" thickBot="1">
      <c r="Q469" s="364"/>
      <c r="R469" s="686" t="s">
        <v>59</v>
      </c>
      <c r="S469" s="577"/>
      <c r="T469" s="687"/>
      <c r="U469" s="687"/>
      <c r="V469" s="687"/>
      <c r="W469" s="688"/>
      <c r="X469" s="364"/>
      <c r="Y469" s="364"/>
      <c r="Z469" s="364"/>
      <c r="AA469"/>
      <c r="AB469"/>
      <c r="AC469"/>
      <c r="AD469"/>
    </row>
    <row r="470" spans="17:30" ht="12.75" customHeight="1">
      <c r="Q470" s="364"/>
      <c r="R470" s="895" t="s">
        <v>845</v>
      </c>
      <c r="S470" s="896"/>
      <c r="T470" s="900" t="s">
        <v>835</v>
      </c>
      <c r="U470" s="900" t="s">
        <v>836</v>
      </c>
      <c r="V470" s="900" t="s">
        <v>837</v>
      </c>
      <c r="W470" s="902" t="s">
        <v>838</v>
      </c>
      <c r="X470" s="364"/>
      <c r="Y470" s="364"/>
      <c r="Z470" s="364"/>
      <c r="AA470"/>
      <c r="AB470"/>
      <c r="AC470"/>
      <c r="AD470"/>
    </row>
    <row r="471" spans="17:30" ht="12.75" customHeight="1">
      <c r="Q471" s="364"/>
      <c r="R471" s="892"/>
      <c r="S471" s="897"/>
      <c r="T471" s="904"/>
      <c r="U471" s="904"/>
      <c r="V471" s="904"/>
      <c r="W471" s="905"/>
      <c r="X471" s="364"/>
      <c r="Y471" s="364"/>
      <c r="Z471" s="364"/>
      <c r="AA471"/>
      <c r="AB471"/>
      <c r="AC471"/>
      <c r="AD471"/>
    </row>
    <row r="472" spans="17:30" ht="12.75" customHeight="1">
      <c r="Q472" s="364"/>
      <c r="R472" s="892"/>
      <c r="S472" s="897"/>
      <c r="T472" s="901"/>
      <c r="U472" s="901"/>
      <c r="V472" s="901"/>
      <c r="W472" s="903"/>
      <c r="X472" s="364"/>
      <c r="Y472" s="364"/>
      <c r="Z472" s="364"/>
      <c r="AA472"/>
      <c r="AB472"/>
      <c r="AC472"/>
      <c r="AD472"/>
    </row>
    <row r="473" spans="17:30" ht="12.75" customHeight="1">
      <c r="Q473" s="364"/>
      <c r="R473" s="892"/>
      <c r="S473" s="897"/>
      <c r="T473" s="700">
        <f>V76</f>
        <v>114.02059991327963</v>
      </c>
      <c r="U473" s="560">
        <f>V62</f>
        <v>2.6666666666666665</v>
      </c>
      <c r="V473" s="690">
        <f>IF(T473&gt;0,W473*U473," ")</f>
        <v>26666.666666666664</v>
      </c>
      <c r="W473" s="691">
        <f>IF(T473&gt;0,(VLOOKUP(T473,'Lookup Ready-reckoner'!$B$5:$E$1207,4))," ")</f>
        <v>10000</v>
      </c>
      <c r="X473" s="364"/>
      <c r="Y473" s="364"/>
      <c r="Z473" s="364"/>
      <c r="AA473"/>
      <c r="AB473"/>
      <c r="AC473"/>
      <c r="AD473"/>
    </row>
    <row r="474" spans="17:30" ht="12.75" customHeight="1">
      <c r="Q474" s="364"/>
      <c r="R474" s="898"/>
      <c r="S474" s="899"/>
      <c r="T474" s="447"/>
      <c r="U474" s="560"/>
      <c r="V474" s="690" t="str">
        <f>IF(T474&gt;0,W474*U474," ")</f>
        <v xml:space="preserve"> </v>
      </c>
      <c r="W474" s="691" t="str">
        <f>IF(T474&gt;0,(VLOOKUP(T474,'Lookup Ready-reckoner'!$B$5:$E$1007,4))," ")</f>
        <v xml:space="preserve"> </v>
      </c>
      <c r="X474" s="364"/>
      <c r="Y474" s="364"/>
      <c r="Z474" s="364"/>
      <c r="AA474"/>
      <c r="AB474"/>
      <c r="AC474"/>
      <c r="AD474"/>
    </row>
    <row r="475" spans="17:30" ht="12.75" customHeight="1" thickBot="1">
      <c r="Q475" s="364"/>
      <c r="R475" s="699" t="s">
        <v>839</v>
      </c>
      <c r="S475" s="693"/>
      <c r="T475" s="693"/>
      <c r="U475" s="701">
        <f>IF(T473&gt;0,(VLOOKUP(V475,'Lookup Ready-reckoner'!$L$5:$M$1207,2))," ")</f>
        <v>109.15</v>
      </c>
      <c r="V475" s="695">
        <f>IF(U473&gt;0,(SUM(V473:V474))," ")</f>
        <v>26666.666666666664</v>
      </c>
      <c r="W475" s="696"/>
      <c r="X475" s="364"/>
      <c r="Y475" s="364"/>
      <c r="Z475" s="364"/>
      <c r="AA475"/>
      <c r="AB475"/>
      <c r="AC475"/>
      <c r="AD475"/>
    </row>
    <row r="476" spans="17:30" ht="12.75" customHeight="1" thickBot="1">
      <c r="Q476" s="364"/>
      <c r="R476" s="892"/>
      <c r="S476" s="893"/>
      <c r="T476" s="893"/>
      <c r="U476" s="893"/>
      <c r="V476" s="893"/>
      <c r="W476" s="894"/>
      <c r="X476" s="364"/>
      <c r="Y476" s="364"/>
      <c r="Z476" s="364"/>
      <c r="AA476"/>
      <c r="AB476"/>
      <c r="AC476"/>
      <c r="AD476"/>
    </row>
    <row r="477" spans="17:30" ht="12.75" customHeight="1">
      <c r="Q477" s="364"/>
      <c r="R477" s="895" t="s">
        <v>886</v>
      </c>
      <c r="S477" s="896"/>
      <c r="T477" s="900" t="s">
        <v>835</v>
      </c>
      <c r="U477" s="900" t="s">
        <v>836</v>
      </c>
      <c r="V477" s="900" t="s">
        <v>837</v>
      </c>
      <c r="W477" s="902" t="s">
        <v>838</v>
      </c>
      <c r="X477" s="364"/>
      <c r="Y477" s="364"/>
      <c r="Z477" s="364"/>
      <c r="AA477"/>
      <c r="AB477"/>
      <c r="AC477"/>
      <c r="AD477"/>
    </row>
    <row r="478" spans="17:30" ht="12.75" customHeight="1">
      <c r="Q478" s="364"/>
      <c r="R478" s="892"/>
      <c r="S478" s="897"/>
      <c r="T478" s="901"/>
      <c r="U478" s="901"/>
      <c r="V478" s="901"/>
      <c r="W478" s="903"/>
      <c r="X478" s="364"/>
      <c r="Y478" s="364"/>
      <c r="Z478" s="364"/>
      <c r="AA478"/>
      <c r="AB478"/>
      <c r="AC478"/>
      <c r="AD478"/>
    </row>
    <row r="479" spans="17:30" ht="12.75" customHeight="1">
      <c r="Q479" s="364"/>
      <c r="R479" s="892"/>
      <c r="S479" s="897"/>
      <c r="T479" s="700">
        <f>T473*(1-0.0178*2)</f>
        <v>109.96146655636687</v>
      </c>
      <c r="U479" s="560">
        <f>U473</f>
        <v>2.6666666666666665</v>
      </c>
      <c r="V479" s="690">
        <f>IF(T479&gt;0,W479*U479," ")</f>
        <v>10560</v>
      </c>
      <c r="W479" s="691">
        <f>IF(T479&gt;0,(VLOOKUP(T479,'Lookup Ready-reckoner'!$B$5:$E$1207,4))," ")</f>
        <v>3960</v>
      </c>
      <c r="X479" s="364"/>
      <c r="Y479" s="364"/>
      <c r="Z479" s="364"/>
      <c r="AA479"/>
      <c r="AB479"/>
      <c r="AC479"/>
      <c r="AD479"/>
    </row>
    <row r="480" spans="17:30" ht="12.75" customHeight="1">
      <c r="Q480" s="364"/>
      <c r="R480" s="898"/>
      <c r="S480" s="899"/>
      <c r="T480" s="447"/>
      <c r="U480" s="560"/>
      <c r="V480" s="690" t="str">
        <f>IF(T480&gt;0,W480*U480," ")</f>
        <v xml:space="preserve"> </v>
      </c>
      <c r="W480" s="691" t="str">
        <f>IF(T480&gt;0,(VLOOKUP(T480,'Lookup Ready-reckoner'!$B$5:$E$1007,4))," ")</f>
        <v xml:space="preserve"> </v>
      </c>
      <c r="X480" s="364"/>
      <c r="Y480" s="364"/>
      <c r="Z480" s="364"/>
      <c r="AA480"/>
      <c r="AB480"/>
      <c r="AC480"/>
      <c r="AD480"/>
    </row>
    <row r="481" spans="17:30" ht="12.75" customHeight="1" thickBot="1">
      <c r="Q481" s="364"/>
      <c r="R481" s="692" t="s">
        <v>839</v>
      </c>
      <c r="S481" s="693"/>
      <c r="T481" s="693"/>
      <c r="U481" s="701">
        <f>IF(T479&gt;0,(VLOOKUP(V481,'Lookup Ready-reckoner'!$L$5:$M$1207,2))," ")</f>
        <v>105.2</v>
      </c>
      <c r="V481" s="695">
        <f>IF(U479&gt;0,(SUM(V479:V480))," ")</f>
        <v>10560</v>
      </c>
      <c r="W481" s="696"/>
      <c r="X481" s="364"/>
      <c r="Y481" s="364"/>
      <c r="Z481" s="364"/>
      <c r="AA481"/>
      <c r="AB481"/>
      <c r="AC481"/>
      <c r="AD481"/>
    </row>
    <row r="482" spans="17:30" ht="12.75" customHeight="1">
      <c r="Q482" s="364"/>
      <c r="R482" s="697"/>
      <c r="S482" s="687"/>
      <c r="T482" s="687"/>
      <c r="U482" s="372"/>
      <c r="V482" s="374"/>
      <c r="W482" s="688"/>
      <c r="X482" s="364"/>
      <c r="Y482" s="364"/>
      <c r="Z482" s="364"/>
      <c r="AA482"/>
      <c r="AB482"/>
      <c r="AC482"/>
      <c r="AD482"/>
    </row>
    <row r="483" spans="17:30" ht="12.75" customHeight="1" thickBot="1">
      <c r="Q483" s="364"/>
      <c r="R483" s="686" t="s">
        <v>60</v>
      </c>
      <c r="S483" s="577"/>
      <c r="T483" s="577"/>
      <c r="U483" s="577"/>
      <c r="V483" s="577"/>
      <c r="W483" s="698"/>
      <c r="X483" s="364"/>
      <c r="Y483" s="364"/>
      <c r="Z483" s="364"/>
      <c r="AA483"/>
      <c r="AB483"/>
      <c r="AC483"/>
      <c r="AD483"/>
    </row>
    <row r="484" spans="17:30" ht="12.75" customHeight="1">
      <c r="Q484" s="364"/>
      <c r="R484" s="895" t="s">
        <v>845</v>
      </c>
      <c r="S484" s="896"/>
      <c r="T484" s="900" t="s">
        <v>835</v>
      </c>
      <c r="U484" s="900" t="s">
        <v>836</v>
      </c>
      <c r="V484" s="900" t="s">
        <v>837</v>
      </c>
      <c r="W484" s="902" t="s">
        <v>838</v>
      </c>
      <c r="X484" s="364"/>
      <c r="Y484" s="364"/>
      <c r="Z484" s="364"/>
      <c r="AA484"/>
      <c r="AB484"/>
      <c r="AC484"/>
      <c r="AD484"/>
    </row>
    <row r="485" spans="17:30" ht="12.75" customHeight="1">
      <c r="Q485" s="364"/>
      <c r="R485" s="892"/>
      <c r="S485" s="897"/>
      <c r="T485" s="901"/>
      <c r="U485" s="901"/>
      <c r="V485" s="901"/>
      <c r="W485" s="903"/>
      <c r="X485" s="364"/>
      <c r="Y485" s="364"/>
      <c r="Z485" s="364"/>
      <c r="AA485"/>
      <c r="AB485"/>
      <c r="AC485"/>
      <c r="AD485"/>
    </row>
    <row r="486" spans="17:30" ht="12.75" customHeight="1">
      <c r="Q486" s="364"/>
      <c r="R486" s="892"/>
      <c r="S486" s="897"/>
      <c r="T486" s="700">
        <f>T473-PPE!$I$15</f>
        <v>101.02059991327963</v>
      </c>
      <c r="U486" s="560">
        <f>U479</f>
        <v>2.6666666666666665</v>
      </c>
      <c r="V486" s="690">
        <f>IF(T486&gt;0,W486*U486," ")</f>
        <v>1333.3333333333333</v>
      </c>
      <c r="W486" s="691">
        <f>IF(T486&gt;0,(VLOOKUP(T486,'Lookup Ready-reckoner'!$B$5:$E$1207,4))," ")</f>
        <v>500</v>
      </c>
      <c r="X486" s="364"/>
      <c r="Y486" s="364"/>
      <c r="Z486" s="364"/>
      <c r="AA486"/>
      <c r="AB486"/>
      <c r="AC486"/>
      <c r="AD486"/>
    </row>
    <row r="487" spans="17:30" ht="12.75" customHeight="1">
      <c r="Q487" s="364"/>
      <c r="R487" s="898"/>
      <c r="S487" s="899"/>
      <c r="T487" s="447"/>
      <c r="U487" s="560"/>
      <c r="V487" s="690" t="str">
        <f>IF(T487&gt;0,W487*U487," ")</f>
        <v xml:space="preserve"> </v>
      </c>
      <c r="W487" s="691" t="str">
        <f>IF(T487&gt;0,(VLOOKUP(T487,'Lookup Ready-reckoner'!$B$5:$E$1007,4))," ")</f>
        <v xml:space="preserve"> </v>
      </c>
      <c r="X487" s="364"/>
      <c r="Y487" s="364"/>
      <c r="Z487" s="364"/>
      <c r="AA487"/>
      <c r="AB487"/>
      <c r="AC487"/>
      <c r="AD487"/>
    </row>
    <row r="488" spans="17:30" ht="12.75" customHeight="1" thickBot="1">
      <c r="Q488" s="364"/>
      <c r="R488" s="692" t="s">
        <v>839</v>
      </c>
      <c r="S488" s="693"/>
      <c r="T488" s="693"/>
      <c r="U488" s="701">
        <f>IF(T486&gt;0,(VLOOKUP(V488,'Lookup Ready-reckoner'!$L$5:$M$1207,2))," ")</f>
        <v>96.2</v>
      </c>
      <c r="V488" s="695">
        <f>IF(U486&gt;0,(SUM(V486:V487))," ")</f>
        <v>1333.3333333333333</v>
      </c>
      <c r="W488" s="696"/>
      <c r="X488" s="364"/>
      <c r="Y488" s="364"/>
      <c r="Z488" s="364"/>
      <c r="AA488"/>
      <c r="AB488"/>
      <c r="AC488"/>
      <c r="AD488"/>
    </row>
    <row r="489" spans="17:30" ht="12.75" customHeight="1" thickBot="1">
      <c r="Q489" s="364"/>
      <c r="R489" s="892"/>
      <c r="S489" s="893"/>
      <c r="T489" s="893"/>
      <c r="U489" s="893"/>
      <c r="V489" s="893"/>
      <c r="W489" s="894"/>
      <c r="X489" s="364"/>
      <c r="Y489" s="364"/>
      <c r="Z489" s="364"/>
      <c r="AA489"/>
      <c r="AB489"/>
      <c r="AC489"/>
      <c r="AD489"/>
    </row>
    <row r="490" spans="17:30" ht="12.75" customHeight="1">
      <c r="Q490" s="364"/>
      <c r="R490" s="895" t="s">
        <v>886</v>
      </c>
      <c r="S490" s="896"/>
      <c r="T490" s="900" t="s">
        <v>835</v>
      </c>
      <c r="U490" s="900" t="s">
        <v>836</v>
      </c>
      <c r="V490" s="900" t="s">
        <v>837</v>
      </c>
      <c r="W490" s="902" t="s">
        <v>838</v>
      </c>
      <c r="X490" s="364"/>
      <c r="Y490" s="364"/>
      <c r="Z490" s="364"/>
      <c r="AA490"/>
      <c r="AB490"/>
      <c r="AC490"/>
      <c r="AD490"/>
    </row>
    <row r="491" spans="17:30" ht="12.75" customHeight="1">
      <c r="Q491" s="364"/>
      <c r="R491" s="892"/>
      <c r="S491" s="897"/>
      <c r="T491" s="901"/>
      <c r="U491" s="901"/>
      <c r="V491" s="901"/>
      <c r="W491" s="903"/>
      <c r="X491" s="364"/>
      <c r="Y491" s="364"/>
      <c r="Z491" s="364"/>
      <c r="AA491"/>
      <c r="AB491"/>
      <c r="AC491"/>
      <c r="AD491"/>
    </row>
    <row r="492" spans="17:30" ht="12.75" customHeight="1">
      <c r="Q492" s="364"/>
      <c r="R492" s="892"/>
      <c r="S492" s="897"/>
      <c r="T492" s="700">
        <f>T479-PPE!$I$15</f>
        <v>96.961466556366872</v>
      </c>
      <c r="U492" s="560">
        <f>U486</f>
        <v>2.6666666666666665</v>
      </c>
      <c r="V492" s="690">
        <f>IF(T492&gt;0,W492*U492," ")</f>
        <v>527.5</v>
      </c>
      <c r="W492" s="691">
        <f>IF(T492&gt;0,(VLOOKUP(T492,'Lookup Ready-reckoner'!$B$5:$E$1207,4))," ")</f>
        <v>197.8125</v>
      </c>
      <c r="X492" s="364"/>
      <c r="Y492" s="364"/>
      <c r="Z492" s="364"/>
      <c r="AA492"/>
      <c r="AB492"/>
      <c r="AC492"/>
      <c r="AD492"/>
    </row>
    <row r="493" spans="17:30" ht="12.75" customHeight="1">
      <c r="Q493" s="364"/>
      <c r="R493" s="898"/>
      <c r="S493" s="899"/>
      <c r="T493" s="447"/>
      <c r="U493" s="560"/>
      <c r="V493" s="690" t="str">
        <f>IF(T493&gt;0,W493*U493," ")</f>
        <v xml:space="preserve"> </v>
      </c>
      <c r="W493" s="691" t="str">
        <f>IF(T493&gt;0,(VLOOKUP(T493,'Lookup Ready-reckoner'!$B$5:$E$1007,4))," ")</f>
        <v xml:space="preserve"> </v>
      </c>
      <c r="X493" s="364"/>
      <c r="Y493" s="364"/>
      <c r="Z493" s="364"/>
      <c r="AA493"/>
      <c r="AB493"/>
      <c r="AC493"/>
      <c r="AD493"/>
    </row>
    <row r="494" spans="17:30" ht="12.75" customHeight="1" thickBot="1">
      <c r="Q494" s="364"/>
      <c r="R494" s="692" t="s">
        <v>839</v>
      </c>
      <c r="S494" s="693"/>
      <c r="T494" s="693"/>
      <c r="U494" s="701">
        <f>IF(T492&gt;0,(VLOOKUP(V494,'Lookup Ready-reckoner'!$L$5:$M$1207,2))," ")</f>
        <v>92.2</v>
      </c>
      <c r="V494" s="695">
        <f>IF(U492&gt;0,(SUM(V492:V493))," ")</f>
        <v>527.5</v>
      </c>
      <c r="W494" s="696"/>
      <c r="X494" s="364"/>
      <c r="Y494" s="364"/>
      <c r="Z494" s="364"/>
      <c r="AA494"/>
      <c r="AB494"/>
      <c r="AC494"/>
      <c r="AD494"/>
    </row>
    <row r="495" spans="17:30" ht="12.75" customHeight="1">
      <c r="Q495" s="364"/>
      <c r="R495" s="363"/>
      <c r="S495" s="363"/>
      <c r="T495" s="363"/>
      <c r="U495" s="363"/>
      <c r="V495" s="363"/>
      <c r="W495" s="363"/>
      <c r="X495" s="364"/>
      <c r="Y495" s="364"/>
      <c r="Z495" s="364"/>
      <c r="AA495"/>
      <c r="AB495"/>
      <c r="AC495"/>
      <c r="AD495"/>
    </row>
    <row r="496" spans="17:30" ht="12.75" customHeight="1">
      <c r="Q496" s="364"/>
      <c r="R496" s="913" t="str">
        <f>R377</f>
        <v>Sulzer ADDS</v>
      </c>
      <c r="S496" s="914"/>
      <c r="T496" s="914"/>
      <c r="U496" s="914"/>
      <c r="V496" s="914"/>
      <c r="W496" s="914"/>
      <c r="X496" s="364"/>
      <c r="Y496" s="364"/>
      <c r="Z496" s="364"/>
      <c r="AA496"/>
      <c r="AB496"/>
      <c r="AC496"/>
      <c r="AD496"/>
    </row>
    <row r="497" spans="17:30" ht="12.75" customHeight="1" thickBot="1">
      <c r="Q497" s="364"/>
      <c r="R497" s="910" t="s">
        <v>205</v>
      </c>
      <c r="S497" s="911"/>
      <c r="T497" s="911"/>
      <c r="U497" s="911"/>
      <c r="V497" s="911"/>
      <c r="W497" s="912"/>
      <c r="X497" s="364"/>
      <c r="Y497" s="364"/>
      <c r="Z497" s="364"/>
      <c r="AA497"/>
      <c r="AB497"/>
      <c r="AC497"/>
      <c r="AD497"/>
    </row>
    <row r="498" spans="17:30" ht="12.75" customHeight="1" thickBot="1">
      <c r="Q498" s="364"/>
      <c r="R498" s="686" t="s">
        <v>59</v>
      </c>
      <c r="S498" s="577"/>
      <c r="T498" s="687"/>
      <c r="U498" s="687"/>
      <c r="V498" s="687"/>
      <c r="W498" s="688"/>
      <c r="X498" s="364"/>
      <c r="Y498" s="364"/>
      <c r="Z498" s="364"/>
      <c r="AA498"/>
      <c r="AB498"/>
      <c r="AC498"/>
      <c r="AD498"/>
    </row>
    <row r="499" spans="17:30" ht="12.75" customHeight="1">
      <c r="Q499" s="364"/>
      <c r="R499" s="895" t="s">
        <v>845</v>
      </c>
      <c r="S499" s="896"/>
      <c r="T499" s="900" t="s">
        <v>835</v>
      </c>
      <c r="U499" s="900" t="s">
        <v>836</v>
      </c>
      <c r="V499" s="900" t="s">
        <v>837</v>
      </c>
      <c r="W499" s="902" t="s">
        <v>838</v>
      </c>
      <c r="X499" s="364"/>
      <c r="Y499" s="364"/>
      <c r="Z499" s="364"/>
      <c r="AA499"/>
      <c r="AB499"/>
      <c r="AC499"/>
      <c r="AD499"/>
    </row>
    <row r="500" spans="17:30" ht="12.75" customHeight="1">
      <c r="Q500" s="364"/>
      <c r="R500" s="892"/>
      <c r="S500" s="897"/>
      <c r="T500" s="904"/>
      <c r="U500" s="904"/>
      <c r="V500" s="904"/>
      <c r="W500" s="905"/>
      <c r="X500" s="364"/>
      <c r="Y500" s="364"/>
      <c r="Z500" s="364"/>
      <c r="AA500"/>
      <c r="AB500"/>
      <c r="AC500"/>
      <c r="AD500"/>
    </row>
    <row r="501" spans="17:30" ht="12.75" customHeight="1">
      <c r="Q501" s="364"/>
      <c r="R501" s="892"/>
      <c r="S501" s="897"/>
      <c r="T501" s="901"/>
      <c r="U501" s="901"/>
      <c r="V501" s="901"/>
      <c r="W501" s="903"/>
      <c r="X501" s="364"/>
      <c r="Y501" s="364"/>
      <c r="Z501" s="364"/>
      <c r="AA501"/>
      <c r="AB501"/>
      <c r="AC501"/>
      <c r="AD501"/>
    </row>
    <row r="502" spans="17:30" ht="12.75" customHeight="1">
      <c r="Q502" s="364"/>
      <c r="R502" s="892"/>
      <c r="S502" s="897"/>
      <c r="T502" s="702">
        <f>W76</f>
        <v>113.02059991327964</v>
      </c>
      <c r="U502" s="560">
        <f>W62</f>
        <v>1.9999999999999996</v>
      </c>
      <c r="V502" s="690">
        <f>IF(T502&gt;0,W502*U502," ")</f>
        <v>15999.999999999996</v>
      </c>
      <c r="W502" s="691">
        <f>IF(T502&gt;0,(VLOOKUP(T502,'Lookup Ready-reckoner'!$B$5:$E$1207,4))," ")</f>
        <v>8000</v>
      </c>
      <c r="X502" s="364"/>
      <c r="Y502" s="364"/>
      <c r="Z502" s="364"/>
      <c r="AA502"/>
      <c r="AB502"/>
      <c r="AC502"/>
      <c r="AD502"/>
    </row>
    <row r="503" spans="17:30" ht="12.75" customHeight="1">
      <c r="Q503" s="364"/>
      <c r="R503" s="898"/>
      <c r="S503" s="899"/>
      <c r="T503" s="447"/>
      <c r="U503" s="560"/>
      <c r="V503" s="690" t="str">
        <f>IF(T503&gt;0,W503*U503," ")</f>
        <v xml:space="preserve"> </v>
      </c>
      <c r="W503" s="691" t="str">
        <f>IF(T503&gt;0,(VLOOKUP(T503,'Lookup Ready-reckoner'!$B$5:$E$1007,4))," ")</f>
        <v xml:space="preserve"> </v>
      </c>
      <c r="X503" s="364"/>
      <c r="Y503" s="364"/>
      <c r="Z503" s="364"/>
      <c r="AA503"/>
      <c r="AB503"/>
      <c r="AC503"/>
      <c r="AD503"/>
    </row>
    <row r="504" spans="17:30" ht="12.75" customHeight="1" thickBot="1">
      <c r="Q504" s="364"/>
      <c r="R504" s="692" t="s">
        <v>839</v>
      </c>
      <c r="S504" s="693"/>
      <c r="T504" s="693"/>
      <c r="U504" s="703">
        <f>IF(T502&gt;0,(VLOOKUP(V504,'Lookup Ready-reckoner'!$L$5:$M$1207,2))," ")</f>
        <v>106.95</v>
      </c>
      <c r="V504" s="695">
        <f>IF(U502&gt;0,(SUM(V502:V503))," ")</f>
        <v>15999.999999999996</v>
      </c>
      <c r="W504" s="696"/>
      <c r="X504" s="364"/>
      <c r="Y504" s="364"/>
      <c r="Z504" s="364"/>
      <c r="AA504"/>
      <c r="AB504"/>
      <c r="AC504"/>
      <c r="AD504"/>
    </row>
    <row r="505" spans="17:30" ht="12.75" customHeight="1" thickBot="1">
      <c r="Q505" s="364"/>
      <c r="R505" s="892"/>
      <c r="S505" s="893"/>
      <c r="T505" s="893"/>
      <c r="U505" s="893"/>
      <c r="V505" s="893"/>
      <c r="W505" s="894"/>
      <c r="X505" s="364"/>
      <c r="Y505" s="364"/>
      <c r="Z505" s="364"/>
      <c r="AA505"/>
      <c r="AB505"/>
      <c r="AC505"/>
      <c r="AD505"/>
    </row>
    <row r="506" spans="17:30" ht="12.75" customHeight="1">
      <c r="Q506" s="364"/>
      <c r="R506" s="895" t="s">
        <v>886</v>
      </c>
      <c r="S506" s="896"/>
      <c r="T506" s="900" t="s">
        <v>835</v>
      </c>
      <c r="U506" s="900" t="s">
        <v>836</v>
      </c>
      <c r="V506" s="900" t="s">
        <v>837</v>
      </c>
      <c r="W506" s="902" t="s">
        <v>838</v>
      </c>
      <c r="X506" s="364"/>
      <c r="Y506" s="364"/>
      <c r="Z506" s="364"/>
      <c r="AA506"/>
      <c r="AB506"/>
      <c r="AC506"/>
      <c r="AD506"/>
    </row>
    <row r="507" spans="17:30" ht="12.75" customHeight="1">
      <c r="Q507" s="364"/>
      <c r="R507" s="892"/>
      <c r="S507" s="897"/>
      <c r="T507" s="901"/>
      <c r="U507" s="901"/>
      <c r="V507" s="901"/>
      <c r="W507" s="903"/>
      <c r="X507" s="364"/>
      <c r="Y507" s="364"/>
      <c r="Z507" s="364"/>
      <c r="AA507"/>
      <c r="AB507"/>
      <c r="AC507"/>
      <c r="AD507"/>
    </row>
    <row r="508" spans="17:30" ht="12.75" customHeight="1">
      <c r="Q508" s="364"/>
      <c r="R508" s="892"/>
      <c r="S508" s="897"/>
      <c r="T508" s="702">
        <f>T502*(1-0.0178*2)</f>
        <v>108.99706655636689</v>
      </c>
      <c r="U508" s="560">
        <f>U502</f>
        <v>1.9999999999999996</v>
      </c>
      <c r="V508" s="690">
        <f>IF(T508&gt;0,W508*U508," ")</f>
        <v>6329.9999999999982</v>
      </c>
      <c r="W508" s="691">
        <f>IF(T508&gt;0,(VLOOKUP(T508,'Lookup Ready-reckoner'!$B$5:$E$1207,4))," ")</f>
        <v>3165</v>
      </c>
      <c r="X508" s="364"/>
      <c r="Y508" s="364"/>
      <c r="Z508" s="364"/>
      <c r="AA508"/>
      <c r="AB508"/>
      <c r="AC508"/>
      <c r="AD508"/>
    </row>
    <row r="509" spans="17:30" ht="12.75" customHeight="1">
      <c r="Q509" s="364"/>
      <c r="R509" s="898"/>
      <c r="S509" s="899"/>
      <c r="T509" s="447"/>
      <c r="U509" s="560"/>
      <c r="V509" s="690" t="str">
        <f>IF(T509&gt;0,W509*U509," ")</f>
        <v xml:space="preserve"> </v>
      </c>
      <c r="W509" s="691" t="str">
        <f>IF(T509&gt;0,(VLOOKUP(T509,'Lookup Ready-reckoner'!$B$5:$E$1007,4))," ")</f>
        <v xml:space="preserve"> </v>
      </c>
      <c r="X509" s="364"/>
      <c r="Y509" s="364"/>
      <c r="Z509" s="364"/>
      <c r="AA509"/>
      <c r="AB509"/>
      <c r="AC509"/>
      <c r="AD509"/>
    </row>
    <row r="510" spans="17:30" ht="12.75" customHeight="1" thickBot="1">
      <c r="Q510" s="364"/>
      <c r="R510" s="692" t="s">
        <v>839</v>
      </c>
      <c r="S510" s="693"/>
      <c r="T510" s="693"/>
      <c r="U510" s="703">
        <f>IF(T508&gt;0,(VLOOKUP(V510,'Lookup Ready-reckoner'!$L$5:$M$1207,2))," ")</f>
        <v>102.9</v>
      </c>
      <c r="V510" s="695">
        <f>IF(U508&gt;0,(SUM(V508:V509))," ")</f>
        <v>6329.9999999999982</v>
      </c>
      <c r="W510" s="696"/>
      <c r="X510" s="364"/>
      <c r="Y510" s="364"/>
      <c r="Z510" s="364"/>
      <c r="AA510"/>
      <c r="AB510"/>
      <c r="AC510"/>
      <c r="AD510"/>
    </row>
    <row r="511" spans="17:30" ht="12.75" customHeight="1">
      <c r="Q511" s="364"/>
      <c r="R511" s="697"/>
      <c r="S511" s="687"/>
      <c r="T511" s="687"/>
      <c r="U511" s="372"/>
      <c r="V511" s="374"/>
      <c r="W511" s="688"/>
      <c r="X511" s="364"/>
      <c r="Y511" s="364"/>
      <c r="Z511" s="364"/>
      <c r="AA511"/>
      <c r="AB511"/>
      <c r="AC511"/>
      <c r="AD511"/>
    </row>
    <row r="512" spans="17:30" ht="12.75" customHeight="1" thickBot="1">
      <c r="Q512" s="364"/>
      <c r="R512" s="686" t="s">
        <v>60</v>
      </c>
      <c r="S512" s="577"/>
      <c r="T512" s="577"/>
      <c r="U512" s="577"/>
      <c r="V512" s="577"/>
      <c r="W512" s="698"/>
      <c r="X512" s="364"/>
      <c r="Y512" s="364"/>
      <c r="Z512" s="364"/>
      <c r="AA512"/>
      <c r="AB512"/>
      <c r="AC512"/>
      <c r="AD512"/>
    </row>
    <row r="513" spans="17:30" ht="12.75" customHeight="1">
      <c r="Q513" s="364"/>
      <c r="R513" s="895" t="s">
        <v>845</v>
      </c>
      <c r="S513" s="896"/>
      <c r="T513" s="900" t="s">
        <v>835</v>
      </c>
      <c r="U513" s="900" t="s">
        <v>836</v>
      </c>
      <c r="V513" s="900" t="s">
        <v>837</v>
      </c>
      <c r="W513" s="902" t="s">
        <v>838</v>
      </c>
      <c r="X513" s="364"/>
      <c r="Y513" s="364"/>
      <c r="Z513" s="364"/>
      <c r="AA513"/>
      <c r="AB513"/>
      <c r="AC513"/>
      <c r="AD513"/>
    </row>
    <row r="514" spans="17:30" ht="12.75" customHeight="1">
      <c r="Q514" s="364"/>
      <c r="R514" s="892"/>
      <c r="S514" s="897"/>
      <c r="T514" s="901"/>
      <c r="U514" s="901"/>
      <c r="V514" s="901"/>
      <c r="W514" s="903"/>
      <c r="X514" s="364"/>
      <c r="Y514" s="364"/>
      <c r="Z514" s="364"/>
      <c r="AA514"/>
      <c r="AB514"/>
      <c r="AC514"/>
      <c r="AD514"/>
    </row>
    <row r="515" spans="17:30" ht="12.75" customHeight="1">
      <c r="Q515" s="364"/>
      <c r="R515" s="892"/>
      <c r="S515" s="897"/>
      <c r="T515" s="702">
        <f>T502-PPE!$I$15</f>
        <v>100.02059991327964</v>
      </c>
      <c r="U515" s="560">
        <f>U508</f>
        <v>1.9999999999999996</v>
      </c>
      <c r="V515" s="690">
        <f>IF(T515&gt;0,W515*U515," ")</f>
        <v>799.99999999999977</v>
      </c>
      <c r="W515" s="691">
        <f>IF(T515&gt;0,(VLOOKUP(T515,'Lookup Ready-reckoner'!$B$5:$E$1207,4))," ")</f>
        <v>400</v>
      </c>
      <c r="X515" s="364"/>
      <c r="Y515" s="364"/>
      <c r="Z515" s="364"/>
      <c r="AA515"/>
      <c r="AB515"/>
      <c r="AC515"/>
      <c r="AD515"/>
    </row>
    <row r="516" spans="17:30" ht="12.75" customHeight="1">
      <c r="Q516" s="364"/>
      <c r="R516" s="898"/>
      <c r="S516" s="899"/>
      <c r="T516" s="447"/>
      <c r="U516" s="560"/>
      <c r="V516" s="690" t="str">
        <f>IF(T516&gt;0,W516*U516," ")</f>
        <v xml:space="preserve"> </v>
      </c>
      <c r="W516" s="691" t="str">
        <f>IF(T516&gt;0,(VLOOKUP(T516,'Lookup Ready-reckoner'!$B$5:$E$1007,4))," ")</f>
        <v xml:space="preserve"> </v>
      </c>
      <c r="X516" s="364"/>
      <c r="Y516" s="364"/>
      <c r="Z516" s="364"/>
      <c r="AA516"/>
      <c r="AB516"/>
      <c r="AC516"/>
      <c r="AD516"/>
    </row>
    <row r="517" spans="17:30" ht="12.75" customHeight="1" thickBot="1">
      <c r="Q517" s="364"/>
      <c r="R517" s="692" t="s">
        <v>839</v>
      </c>
      <c r="S517" s="693"/>
      <c r="T517" s="693"/>
      <c r="U517" s="703">
        <f>IF(T515&gt;0,(VLOOKUP(V517,'Lookup Ready-reckoner'!$L$5:$M$1207,2))," ")</f>
        <v>93.95</v>
      </c>
      <c r="V517" s="695">
        <f>IF(U515&gt;0,(SUM(V515:V516))," ")</f>
        <v>799.99999999999977</v>
      </c>
      <c r="W517" s="696"/>
      <c r="X517" s="364"/>
      <c r="Y517" s="364"/>
      <c r="Z517" s="364"/>
      <c r="AA517"/>
      <c r="AB517"/>
      <c r="AC517"/>
      <c r="AD517"/>
    </row>
    <row r="518" spans="17:30" ht="12.75" customHeight="1" thickBot="1">
      <c r="Q518" s="364"/>
      <c r="R518" s="892"/>
      <c r="S518" s="893"/>
      <c r="T518" s="893"/>
      <c r="U518" s="893"/>
      <c r="V518" s="893"/>
      <c r="W518" s="894"/>
      <c r="X518" s="364"/>
      <c r="Y518" s="364"/>
      <c r="Z518" s="364"/>
      <c r="AA518"/>
      <c r="AB518"/>
      <c r="AC518"/>
      <c r="AD518"/>
    </row>
    <row r="519" spans="17:30" ht="12.75" customHeight="1">
      <c r="Q519" s="364"/>
      <c r="R519" s="895" t="s">
        <v>886</v>
      </c>
      <c r="S519" s="896"/>
      <c r="T519" s="900" t="s">
        <v>835</v>
      </c>
      <c r="U519" s="900" t="s">
        <v>836</v>
      </c>
      <c r="V519" s="900" t="s">
        <v>837</v>
      </c>
      <c r="W519" s="902" t="s">
        <v>838</v>
      </c>
      <c r="X519" s="364"/>
      <c r="Y519" s="364"/>
      <c r="Z519" s="364"/>
      <c r="AA519"/>
      <c r="AB519"/>
      <c r="AC519"/>
      <c r="AD519"/>
    </row>
    <row r="520" spans="17:30" ht="12.75" customHeight="1">
      <c r="Q520" s="364"/>
      <c r="R520" s="892"/>
      <c r="S520" s="897"/>
      <c r="T520" s="901"/>
      <c r="U520" s="901"/>
      <c r="V520" s="901"/>
      <c r="W520" s="903"/>
      <c r="X520" s="364"/>
      <c r="Y520" s="364"/>
      <c r="Z520" s="364"/>
      <c r="AA520"/>
      <c r="AB520"/>
      <c r="AC520"/>
      <c r="AD520"/>
    </row>
    <row r="521" spans="17:30" ht="12.75" customHeight="1">
      <c r="Q521" s="364"/>
      <c r="R521" s="892"/>
      <c r="S521" s="897"/>
      <c r="T521" s="702">
        <f>T508-PPE!$I$15</f>
        <v>95.997066556366889</v>
      </c>
      <c r="U521" s="560">
        <f>U515</f>
        <v>1.9999999999999996</v>
      </c>
      <c r="V521" s="690">
        <f>IF(T521&gt;0,W521*U521," ")</f>
        <v>309.37499999999994</v>
      </c>
      <c r="W521" s="691">
        <f>IF(T521&gt;0,(VLOOKUP(T521,'Lookup Ready-reckoner'!$B$5:$E$1207,4))," ")</f>
        <v>154.6875</v>
      </c>
      <c r="X521" s="364"/>
      <c r="Y521" s="364"/>
      <c r="Z521" s="364"/>
      <c r="AA521"/>
      <c r="AB521"/>
      <c r="AC521"/>
      <c r="AD521"/>
    </row>
    <row r="522" spans="17:30" ht="12.75" customHeight="1">
      <c r="Q522" s="364"/>
      <c r="R522" s="898"/>
      <c r="S522" s="899"/>
      <c r="T522" s="447"/>
      <c r="U522" s="560"/>
      <c r="V522" s="690" t="str">
        <f>IF(T522&gt;0,W522*U522," ")</f>
        <v xml:space="preserve"> </v>
      </c>
      <c r="W522" s="691" t="str">
        <f>IF(T522&gt;0,(VLOOKUP(T522,'Lookup Ready-reckoner'!$B$5:$E$1007,4))," ")</f>
        <v xml:space="preserve"> </v>
      </c>
      <c r="X522" s="364"/>
      <c r="Y522" s="364"/>
      <c r="Z522" s="364"/>
      <c r="AA522"/>
      <c r="AB522"/>
      <c r="AC522"/>
      <c r="AD522"/>
    </row>
    <row r="523" spans="17:30" ht="12.75" customHeight="1" thickBot="1">
      <c r="Q523" s="364"/>
      <c r="R523" s="692" t="s">
        <v>839</v>
      </c>
      <c r="S523" s="693"/>
      <c r="T523" s="693"/>
      <c r="U523" s="703">
        <f>IF(T521&gt;0,(VLOOKUP(V523,'Lookup Ready-reckoner'!$L$5:$M$1207,2))," ")</f>
        <v>89.8</v>
      </c>
      <c r="V523" s="695">
        <f>IF(U521&gt;0,(SUM(V521:V522))," ")</f>
        <v>309.37499999999994</v>
      </c>
      <c r="W523" s="696"/>
      <c r="X523" s="364"/>
      <c r="Y523" s="364"/>
      <c r="Z523" s="364"/>
      <c r="AA523"/>
      <c r="AB523"/>
      <c r="AC523"/>
      <c r="AD523"/>
    </row>
    <row r="524" spans="17:30" ht="12.75" customHeight="1">
      <c r="Q524" s="364"/>
      <c r="R524" s="363"/>
      <c r="S524" s="363"/>
      <c r="T524" s="363"/>
      <c r="U524" s="363"/>
      <c r="V524" s="363"/>
      <c r="W524" s="363"/>
      <c r="X524" s="364"/>
      <c r="Y524" s="364"/>
      <c r="Z524" s="364"/>
      <c r="AA524"/>
      <c r="AB524"/>
      <c r="AC524"/>
      <c r="AD524"/>
    </row>
    <row r="525" spans="17:30" ht="12.75" customHeight="1">
      <c r="Q525" s="364"/>
      <c r="R525" s="909" t="str">
        <f>R406</f>
        <v xml:space="preserve">Hilti TE MD20 </v>
      </c>
      <c r="S525" s="909"/>
      <c r="T525" s="909"/>
      <c r="U525" s="909"/>
      <c r="V525" s="909"/>
      <c r="W525" s="909"/>
      <c r="X525" s="364"/>
      <c r="Y525" s="364"/>
      <c r="Z525" s="364"/>
      <c r="AA525"/>
      <c r="AB525"/>
      <c r="AC525"/>
      <c r="AD525"/>
    </row>
    <row r="526" spans="17:30" ht="12.75" customHeight="1" thickBot="1">
      <c r="Q526" s="364"/>
      <c r="R526" s="910" t="s">
        <v>205</v>
      </c>
      <c r="S526" s="911"/>
      <c r="T526" s="911"/>
      <c r="U526" s="911"/>
      <c r="V526" s="911"/>
      <c r="W526" s="912"/>
      <c r="X526" s="364"/>
      <c r="Y526" s="364"/>
      <c r="Z526" s="364"/>
      <c r="AA526"/>
      <c r="AB526"/>
      <c r="AC526"/>
      <c r="AD526"/>
    </row>
    <row r="527" spans="17:30" ht="12.75" customHeight="1" thickBot="1">
      <c r="Q527" s="364"/>
      <c r="R527" s="686" t="s">
        <v>59</v>
      </c>
      <c r="S527" s="577"/>
      <c r="T527" s="687"/>
      <c r="U527" s="687"/>
      <c r="V527" s="687"/>
      <c r="W527" s="688"/>
      <c r="X527" s="364"/>
      <c r="Y527" s="364"/>
      <c r="Z527" s="364"/>
      <c r="AA527"/>
      <c r="AB527"/>
      <c r="AC527"/>
      <c r="AD527"/>
    </row>
    <row r="528" spans="17:30" ht="12.75" customHeight="1">
      <c r="Q528" s="364"/>
      <c r="R528" s="895" t="s">
        <v>845</v>
      </c>
      <c r="S528" s="896"/>
      <c r="T528" s="900" t="s">
        <v>835</v>
      </c>
      <c r="U528" s="900" t="s">
        <v>836</v>
      </c>
      <c r="V528" s="900" t="s">
        <v>837</v>
      </c>
      <c r="W528" s="902" t="s">
        <v>838</v>
      </c>
      <c r="X528" s="364"/>
      <c r="Y528" s="364"/>
      <c r="Z528" s="364"/>
      <c r="AA528"/>
      <c r="AB528"/>
      <c r="AC528"/>
      <c r="AD528"/>
    </row>
    <row r="529" spans="17:30" ht="12.75" customHeight="1">
      <c r="Q529" s="364"/>
      <c r="R529" s="892"/>
      <c r="S529" s="897"/>
      <c r="T529" s="904"/>
      <c r="U529" s="904"/>
      <c r="V529" s="904"/>
      <c r="W529" s="905"/>
      <c r="X529" s="364"/>
      <c r="Y529" s="364"/>
      <c r="Z529" s="364"/>
      <c r="AA529"/>
      <c r="AB529"/>
      <c r="AC529"/>
      <c r="AD529"/>
    </row>
    <row r="530" spans="17:30" ht="12.75" customHeight="1">
      <c r="Q530" s="364"/>
      <c r="R530" s="892"/>
      <c r="S530" s="897"/>
      <c r="T530" s="901"/>
      <c r="U530" s="901"/>
      <c r="V530" s="901"/>
      <c r="W530" s="903"/>
      <c r="X530" s="364"/>
      <c r="Y530" s="364"/>
      <c r="Z530" s="364"/>
      <c r="AA530"/>
      <c r="AB530"/>
      <c r="AC530"/>
      <c r="AD530"/>
    </row>
    <row r="531" spans="17:30" ht="12.75" customHeight="1">
      <c r="Q531" s="364"/>
      <c r="R531" s="892"/>
      <c r="S531" s="897"/>
      <c r="T531" s="704">
        <f>U76</f>
        <v>108.02059991327964</v>
      </c>
      <c r="U531" s="560">
        <f>U62</f>
        <v>2.6666666666666665</v>
      </c>
      <c r="V531" s="690">
        <f>IF(T531&gt;0,W531*U531," ")</f>
        <v>6666.6666666666661</v>
      </c>
      <c r="W531" s="691">
        <f>IF(T531&gt;0,(VLOOKUP(T531,'Lookup Ready-reckoner'!$B$5:$E$1207,4))," ")</f>
        <v>2500</v>
      </c>
      <c r="X531" s="364"/>
      <c r="Y531" s="364"/>
      <c r="Z531" s="364"/>
      <c r="AA531"/>
      <c r="AB531"/>
      <c r="AC531"/>
      <c r="AD531"/>
    </row>
    <row r="532" spans="17:30" ht="12.75" customHeight="1">
      <c r="Q532" s="364"/>
      <c r="R532" s="898"/>
      <c r="S532" s="899"/>
      <c r="T532" s="447"/>
      <c r="U532" s="560"/>
      <c r="V532" s="690" t="str">
        <f>IF(T532&gt;0,W532*U532," ")</f>
        <v xml:space="preserve"> </v>
      </c>
      <c r="W532" s="691" t="str">
        <f>IF(T532&gt;0,(VLOOKUP(T532,'Lookup Ready-reckoner'!$B$5:$E$1007,4))," ")</f>
        <v xml:space="preserve"> </v>
      </c>
      <c r="X532" s="364"/>
      <c r="Y532" s="364"/>
      <c r="Z532" s="364"/>
      <c r="AA532"/>
      <c r="AB532"/>
      <c r="AC532"/>
      <c r="AD532"/>
    </row>
    <row r="533" spans="17:30" ht="12.75" customHeight="1" thickBot="1">
      <c r="Q533" s="364"/>
      <c r="R533" s="692" t="s">
        <v>839</v>
      </c>
      <c r="S533" s="693"/>
      <c r="T533" s="693"/>
      <c r="U533" s="705">
        <f>IF(T531&gt;0,(VLOOKUP(V533,'Lookup Ready-reckoner'!$L$5:$M$1207,2))," ")</f>
        <v>103.15</v>
      </c>
      <c r="V533" s="695">
        <f>IF(U531&gt;0,(SUM(V531:V532))," ")</f>
        <v>6666.6666666666661</v>
      </c>
      <c r="W533" s="696"/>
      <c r="X533" s="364"/>
      <c r="Y533" s="364"/>
      <c r="Z533" s="364"/>
      <c r="AA533"/>
      <c r="AB533"/>
      <c r="AC533"/>
      <c r="AD533"/>
    </row>
    <row r="534" spans="17:30" ht="12.75" customHeight="1" thickBot="1">
      <c r="Q534" s="364"/>
      <c r="R534" s="906"/>
      <c r="S534" s="907"/>
      <c r="T534" s="907"/>
      <c r="U534" s="907"/>
      <c r="V534" s="907"/>
      <c r="W534" s="908"/>
      <c r="X534" s="364"/>
      <c r="Y534" s="364"/>
      <c r="Z534" s="364"/>
      <c r="AA534"/>
      <c r="AB534"/>
      <c r="AC534"/>
      <c r="AD534"/>
    </row>
    <row r="535" spans="17:30" ht="12.75" customHeight="1">
      <c r="Q535" s="364"/>
      <c r="R535" s="895" t="s">
        <v>886</v>
      </c>
      <c r="S535" s="896"/>
      <c r="T535" s="900" t="s">
        <v>835</v>
      </c>
      <c r="U535" s="900" t="s">
        <v>836</v>
      </c>
      <c r="V535" s="900" t="s">
        <v>837</v>
      </c>
      <c r="W535" s="902" t="s">
        <v>838</v>
      </c>
      <c r="X535" s="364"/>
      <c r="Y535" s="364"/>
      <c r="Z535" s="364"/>
      <c r="AA535"/>
      <c r="AB535"/>
      <c r="AC535"/>
      <c r="AD535"/>
    </row>
    <row r="536" spans="17:30" ht="12.75" customHeight="1">
      <c r="Q536" s="364"/>
      <c r="R536" s="892"/>
      <c r="S536" s="897"/>
      <c r="T536" s="901"/>
      <c r="U536" s="901"/>
      <c r="V536" s="901"/>
      <c r="W536" s="903"/>
      <c r="X536" s="364"/>
      <c r="Y536" s="364"/>
      <c r="Z536" s="364"/>
      <c r="AA536"/>
      <c r="AB536"/>
      <c r="AC536"/>
      <c r="AD536"/>
    </row>
    <row r="537" spans="17:30" ht="12.75" customHeight="1">
      <c r="Q537" s="364"/>
      <c r="R537" s="892"/>
      <c r="S537" s="897"/>
      <c r="T537" s="704">
        <f>T531*(1-0.0178*2)</f>
        <v>104.17506655636689</v>
      </c>
      <c r="U537" s="560">
        <f>U531</f>
        <v>2.6666666666666665</v>
      </c>
      <c r="V537" s="690">
        <f>IF(T537&gt;0,W537*U537," ")</f>
        <v>2766.6666666666665</v>
      </c>
      <c r="W537" s="691">
        <f>IF(T537&gt;0,(VLOOKUP(T537,'Lookup Ready-reckoner'!$B$5:$E$1207,4))," ")</f>
        <v>1037.5</v>
      </c>
      <c r="X537" s="364"/>
      <c r="Y537" s="364"/>
      <c r="Z537" s="364"/>
      <c r="AA537"/>
      <c r="AB537"/>
      <c r="AC537"/>
      <c r="AD537"/>
    </row>
    <row r="538" spans="17:30" ht="12.75" customHeight="1">
      <c r="Q538" s="364"/>
      <c r="R538" s="898"/>
      <c r="S538" s="899"/>
      <c r="T538" s="447"/>
      <c r="U538" s="560"/>
      <c r="V538" s="690" t="str">
        <f>IF(T538&gt;0,W538*U538," ")</f>
        <v xml:space="preserve"> </v>
      </c>
      <c r="W538" s="691" t="str">
        <f>IF(T538&gt;0,(VLOOKUP(T538,'Lookup Ready-reckoner'!$B$5:$E$1007,4))," ")</f>
        <v xml:space="preserve"> </v>
      </c>
      <c r="X538" s="364"/>
      <c r="Y538" s="364"/>
      <c r="Z538" s="364"/>
      <c r="AA538"/>
      <c r="AB538"/>
      <c r="AC538"/>
      <c r="AD538"/>
    </row>
    <row r="539" spans="17:30" ht="12.75" customHeight="1" thickBot="1">
      <c r="Q539" s="364"/>
      <c r="R539" s="692" t="s">
        <v>839</v>
      </c>
      <c r="S539" s="693"/>
      <c r="T539" s="693"/>
      <c r="U539" s="705">
        <f>IF(T537&gt;0,(VLOOKUP(V539,'Lookup Ready-reckoner'!$L$5:$M$1207,2))," ")</f>
        <v>99.35</v>
      </c>
      <c r="V539" s="695">
        <f>IF(U537&gt;0,(SUM(V537:V538))," ")</f>
        <v>2766.6666666666665</v>
      </c>
      <c r="W539" s="696"/>
      <c r="X539" s="364"/>
      <c r="Y539" s="364"/>
      <c r="Z539" s="364"/>
      <c r="AA539"/>
      <c r="AB539"/>
      <c r="AC539"/>
      <c r="AD539"/>
    </row>
    <row r="540" spans="17:30" ht="12.75" customHeight="1">
      <c r="Q540" s="364"/>
      <c r="R540" s="697"/>
      <c r="S540" s="687"/>
      <c r="T540" s="687"/>
      <c r="U540" s="372"/>
      <c r="V540" s="374"/>
      <c r="W540" s="688"/>
      <c r="X540" s="364"/>
      <c r="Y540" s="364"/>
      <c r="Z540" s="364"/>
      <c r="AA540"/>
      <c r="AB540"/>
      <c r="AC540"/>
      <c r="AD540"/>
    </row>
    <row r="541" spans="17:30" ht="12.75" customHeight="1" thickBot="1">
      <c r="Q541" s="364"/>
      <c r="R541" s="686" t="s">
        <v>60</v>
      </c>
      <c r="S541" s="577"/>
      <c r="T541" s="577"/>
      <c r="U541" s="577"/>
      <c r="V541" s="577"/>
      <c r="W541" s="698"/>
      <c r="X541" s="364"/>
      <c r="Y541" s="364"/>
      <c r="Z541" s="364"/>
      <c r="AA541"/>
      <c r="AB541"/>
      <c r="AC541"/>
      <c r="AD541"/>
    </row>
    <row r="542" spans="17:30" ht="12.75" customHeight="1">
      <c r="Q542" s="364"/>
      <c r="R542" s="895" t="s">
        <v>845</v>
      </c>
      <c r="S542" s="896"/>
      <c r="T542" s="900" t="s">
        <v>835</v>
      </c>
      <c r="U542" s="900" t="s">
        <v>836</v>
      </c>
      <c r="V542" s="900" t="s">
        <v>837</v>
      </c>
      <c r="W542" s="902" t="s">
        <v>838</v>
      </c>
      <c r="X542" s="364"/>
      <c r="Y542" s="364"/>
      <c r="Z542" s="364"/>
      <c r="AA542"/>
      <c r="AB542"/>
      <c r="AC542"/>
      <c r="AD542"/>
    </row>
    <row r="543" spans="17:30" ht="12.75" customHeight="1">
      <c r="Q543" s="364"/>
      <c r="R543" s="892"/>
      <c r="S543" s="897"/>
      <c r="T543" s="901"/>
      <c r="U543" s="901"/>
      <c r="V543" s="901"/>
      <c r="W543" s="903"/>
      <c r="X543" s="364"/>
      <c r="Y543" s="364"/>
      <c r="Z543" s="364"/>
      <c r="AA543"/>
      <c r="AB543"/>
      <c r="AC543"/>
      <c r="AD543"/>
    </row>
    <row r="544" spans="17:30" ht="12.75" customHeight="1">
      <c r="Q544" s="364"/>
      <c r="R544" s="892"/>
      <c r="S544" s="897"/>
      <c r="T544" s="704">
        <f>T531-PPE!$I$15</f>
        <v>95.020599913279639</v>
      </c>
      <c r="U544" s="560">
        <f>U537</f>
        <v>2.6666666666666665</v>
      </c>
      <c r="V544" s="690">
        <f>IF(T544&gt;0,W544*U544," ")</f>
        <v>333.33333333333331</v>
      </c>
      <c r="W544" s="691">
        <f>IF(T544&gt;0,(VLOOKUP(T544,'Lookup Ready-reckoner'!$B$5:$E$1207,4))," ")</f>
        <v>125</v>
      </c>
      <c r="X544" s="364"/>
      <c r="Y544" s="364"/>
      <c r="Z544" s="364"/>
      <c r="AA544"/>
      <c r="AB544"/>
      <c r="AC544"/>
      <c r="AD544"/>
    </row>
    <row r="545" spans="17:30" ht="12.75" customHeight="1">
      <c r="Q545" s="364"/>
      <c r="R545" s="898"/>
      <c r="S545" s="899"/>
      <c r="T545" s="447"/>
      <c r="U545" s="560"/>
      <c r="V545" s="690" t="str">
        <f>IF(T545&gt;0,W545*U545," ")</f>
        <v xml:space="preserve"> </v>
      </c>
      <c r="W545" s="691" t="str">
        <f>IF(T545&gt;0,(VLOOKUP(T545,'Lookup Ready-reckoner'!$B$5:$E$1007,4))," ")</f>
        <v xml:space="preserve"> </v>
      </c>
      <c r="X545" s="364"/>
      <c r="Y545" s="364"/>
      <c r="Z545" s="364"/>
      <c r="AA545"/>
      <c r="AB545"/>
      <c r="AC545"/>
      <c r="AD545"/>
    </row>
    <row r="546" spans="17:30" ht="12.75" customHeight="1" thickBot="1">
      <c r="Q546" s="364"/>
      <c r="R546" s="692" t="s">
        <v>839</v>
      </c>
      <c r="S546" s="693"/>
      <c r="T546" s="693"/>
      <c r="U546" s="705">
        <f>IF(T544&gt;0,(VLOOKUP(V546,'Lookup Ready-reckoner'!$L$5:$M$1207,2))," ")</f>
        <v>90.15</v>
      </c>
      <c r="V546" s="695">
        <f>IF(U544&gt;0,(SUM(V544:V545))," ")</f>
        <v>333.33333333333331</v>
      </c>
      <c r="W546" s="696"/>
      <c r="X546" s="364"/>
      <c r="Y546" s="364"/>
      <c r="Z546" s="364"/>
      <c r="AA546"/>
      <c r="AB546"/>
      <c r="AC546"/>
      <c r="AD546"/>
    </row>
    <row r="547" spans="17:30" ht="12.75" customHeight="1" thickBot="1">
      <c r="Q547" s="364"/>
      <c r="R547" s="892"/>
      <c r="S547" s="893"/>
      <c r="T547" s="893"/>
      <c r="U547" s="893"/>
      <c r="V547" s="893"/>
      <c r="W547" s="894"/>
      <c r="X547" s="364"/>
      <c r="Y547" s="364"/>
      <c r="Z547" s="364"/>
      <c r="AA547"/>
      <c r="AB547"/>
      <c r="AC547"/>
      <c r="AD547"/>
    </row>
    <row r="548" spans="17:30" ht="12.75" customHeight="1">
      <c r="Q548" s="364"/>
      <c r="R548" s="895" t="s">
        <v>886</v>
      </c>
      <c r="S548" s="896"/>
      <c r="T548" s="900" t="s">
        <v>835</v>
      </c>
      <c r="U548" s="900" t="s">
        <v>836</v>
      </c>
      <c r="V548" s="900" t="s">
        <v>837</v>
      </c>
      <c r="W548" s="902" t="s">
        <v>838</v>
      </c>
      <c r="X548" s="364"/>
      <c r="Y548" s="364"/>
      <c r="Z548" s="364"/>
      <c r="AA548"/>
      <c r="AB548"/>
      <c r="AC548"/>
      <c r="AD548"/>
    </row>
    <row r="549" spans="17:30" ht="12.75" customHeight="1">
      <c r="Q549" s="364"/>
      <c r="R549" s="892"/>
      <c r="S549" s="897"/>
      <c r="T549" s="901"/>
      <c r="U549" s="901"/>
      <c r="V549" s="901"/>
      <c r="W549" s="903"/>
      <c r="X549" s="364"/>
      <c r="Y549" s="364"/>
      <c r="Z549" s="364"/>
      <c r="AA549"/>
      <c r="AB549"/>
      <c r="AC549"/>
      <c r="AD549"/>
    </row>
    <row r="550" spans="17:30" ht="12.75" customHeight="1">
      <c r="Q550" s="364"/>
      <c r="R550" s="892"/>
      <c r="S550" s="897"/>
      <c r="T550" s="704">
        <f>T537-PPE!$I$15</f>
        <v>91.175066556366886</v>
      </c>
      <c r="U550" s="560">
        <f>U544</f>
        <v>2.6666666666666665</v>
      </c>
      <c r="V550" s="690">
        <f>IF(T550&gt;0,W550*U550," ")</f>
        <v>138.33333333333331</v>
      </c>
      <c r="W550" s="691">
        <f>IF(T550&gt;0,(VLOOKUP(T550,'Lookup Ready-reckoner'!$B$5:$E$1207,4))," ")</f>
        <v>51.875</v>
      </c>
      <c r="X550" s="364"/>
      <c r="Y550" s="364"/>
      <c r="Z550" s="364"/>
      <c r="AA550"/>
      <c r="AB550"/>
      <c r="AC550"/>
      <c r="AD550"/>
    </row>
    <row r="551" spans="17:30" ht="12.75" customHeight="1">
      <c r="Q551" s="364"/>
      <c r="R551" s="898"/>
      <c r="S551" s="899"/>
      <c r="T551" s="447"/>
      <c r="U551" s="560"/>
      <c r="V551" s="690" t="str">
        <f>IF(T551&gt;0,W551*U551," ")</f>
        <v xml:space="preserve"> </v>
      </c>
      <c r="W551" s="691" t="str">
        <f>IF(T551&gt;0,(VLOOKUP(T551,'Lookup Ready-reckoner'!$B$5:$E$1007,4))," ")</f>
        <v xml:space="preserve"> </v>
      </c>
      <c r="X551" s="364"/>
      <c r="Y551" s="364"/>
      <c r="Z551" s="364"/>
      <c r="AA551"/>
      <c r="AB551"/>
      <c r="AC551"/>
      <c r="AD551"/>
    </row>
    <row r="552" spans="17:30" ht="12.75" customHeight="1" thickBot="1">
      <c r="Q552" s="364"/>
      <c r="R552" s="692" t="s">
        <v>839</v>
      </c>
      <c r="S552" s="693"/>
      <c r="T552" s="693"/>
      <c r="U552" s="705">
        <f>IF(T550&gt;0,(VLOOKUP(V552,'Lookup Ready-reckoner'!$L$5:$M$1207,2))," ")</f>
        <v>86.35</v>
      </c>
      <c r="V552" s="695">
        <f>IF(U550&gt;0,(SUM(V550:V551))," ")</f>
        <v>138.33333333333331</v>
      </c>
      <c r="W552" s="696"/>
      <c r="X552" s="364"/>
      <c r="Y552" s="364"/>
      <c r="Z552" s="364"/>
      <c r="AA552"/>
      <c r="AB552"/>
      <c r="AC552"/>
      <c r="AD552"/>
    </row>
    <row r="553" spans="17:30" ht="12.75" customHeight="1">
      <c r="Q553" s="364"/>
      <c r="R553" s="364"/>
      <c r="S553" s="364"/>
      <c r="T553" s="364"/>
      <c r="U553" s="364"/>
      <c r="V553" s="364"/>
      <c r="W553" s="364"/>
      <c r="X553" s="364"/>
      <c r="Y553" s="364"/>
      <c r="Z553" s="364"/>
      <c r="AA553"/>
      <c r="AB553"/>
      <c r="AC553"/>
      <c r="AD553"/>
    </row>
    <row r="554" spans="17:30" ht="12.75" customHeight="1">
      <c r="Q554"/>
      <c r="R554"/>
      <c r="S554"/>
      <c r="T554"/>
      <c r="U554"/>
      <c r="V554"/>
      <c r="W554"/>
      <c r="X554"/>
      <c r="Y554"/>
      <c r="Z554"/>
      <c r="AA554"/>
      <c r="AB554"/>
      <c r="AC554"/>
      <c r="AD554"/>
    </row>
    <row r="555" spans="17:30" ht="12.75" customHeight="1">
      <c r="Q555"/>
      <c r="R555"/>
      <c r="S555"/>
      <c r="T555"/>
      <c r="U555"/>
      <c r="V555"/>
      <c r="W555"/>
      <c r="X555"/>
      <c r="Y555"/>
      <c r="Z555"/>
      <c r="AA555"/>
      <c r="AB555"/>
      <c r="AC555"/>
      <c r="AD555"/>
    </row>
    <row r="556" spans="17:30" ht="12.75" customHeight="1">
      <c r="Q556"/>
      <c r="R556"/>
      <c r="S556"/>
      <c r="T556"/>
      <c r="U556"/>
      <c r="V556"/>
      <c r="W556"/>
      <c r="X556"/>
      <c r="Y556"/>
      <c r="Z556"/>
      <c r="AA556"/>
      <c r="AB556"/>
      <c r="AC556"/>
      <c r="AD556"/>
    </row>
    <row r="557" spans="17:30" ht="12.75" customHeight="1">
      <c r="Q557"/>
      <c r="R557"/>
      <c r="S557"/>
      <c r="T557"/>
      <c r="U557"/>
      <c r="V557"/>
      <c r="W557"/>
      <c r="X557"/>
      <c r="Y557"/>
      <c r="Z557"/>
      <c r="AA557"/>
      <c r="AB557"/>
      <c r="AC557"/>
      <c r="AD557"/>
    </row>
    <row r="558" spans="17:30" ht="12.75" customHeight="1">
      <c r="Q558"/>
      <c r="R558"/>
      <c r="S558"/>
      <c r="T558"/>
      <c r="U558"/>
      <c r="V558"/>
      <c r="W558"/>
      <c r="X558"/>
      <c r="Y558"/>
      <c r="Z558"/>
      <c r="AA558"/>
      <c r="AB558"/>
      <c r="AC558"/>
      <c r="AD558"/>
    </row>
    <row r="559" spans="17:30" ht="12.75" customHeight="1">
      <c r="Q559"/>
      <c r="R559"/>
      <c r="S559"/>
      <c r="T559"/>
      <c r="U559"/>
      <c r="V559"/>
      <c r="W559"/>
      <c r="X559"/>
      <c r="Y559"/>
      <c r="Z559"/>
      <c r="AA559"/>
      <c r="AB559"/>
      <c r="AC559"/>
      <c r="AD559"/>
    </row>
    <row r="560" spans="17:30" ht="12.75" customHeight="1">
      <c r="Q560"/>
      <c r="R560"/>
      <c r="S560"/>
      <c r="T560"/>
      <c r="U560"/>
      <c r="V560"/>
      <c r="W560"/>
      <c r="X560"/>
      <c r="Y560"/>
      <c r="Z560"/>
      <c r="AA560"/>
      <c r="AB560"/>
      <c r="AC560"/>
      <c r="AD560"/>
    </row>
    <row r="561" spans="17:30" ht="12.75" customHeight="1">
      <c r="Q561"/>
      <c r="R561"/>
      <c r="S561"/>
      <c r="T561"/>
      <c r="U561"/>
      <c r="V561"/>
      <c r="W561"/>
      <c r="X561"/>
      <c r="Y561"/>
      <c r="Z561"/>
      <c r="AA561"/>
      <c r="AB561"/>
      <c r="AC561"/>
      <c r="AD561"/>
    </row>
    <row r="562" spans="17:30" ht="12.75" customHeight="1">
      <c r="Q562"/>
      <c r="R562"/>
      <c r="S562"/>
      <c r="T562"/>
      <c r="U562"/>
      <c r="V562"/>
      <c r="W562"/>
      <c r="X562"/>
      <c r="Y562"/>
      <c r="Z562"/>
      <c r="AA562"/>
      <c r="AB562"/>
      <c r="AC562"/>
      <c r="AD562"/>
    </row>
    <row r="563" spans="17:30" ht="12.75" customHeight="1">
      <c r="Q563"/>
      <c r="R563"/>
      <c r="S563"/>
      <c r="T563"/>
      <c r="U563"/>
      <c r="V563"/>
      <c r="W563"/>
      <c r="X563"/>
      <c r="Y563"/>
      <c r="Z563"/>
      <c r="AA563"/>
      <c r="AB563"/>
      <c r="AC563"/>
      <c r="AD563"/>
    </row>
    <row r="564" spans="17:30" ht="12.75" customHeight="1">
      <c r="Q564"/>
      <c r="R564"/>
      <c r="S564"/>
      <c r="T564"/>
      <c r="U564"/>
      <c r="V564"/>
      <c r="W564"/>
      <c r="X564"/>
      <c r="Y564"/>
      <c r="Z564"/>
      <c r="AA564"/>
      <c r="AB564"/>
      <c r="AC564"/>
      <c r="AD564"/>
    </row>
    <row r="565" spans="17:30" ht="12.75" customHeight="1">
      <c r="Q565"/>
      <c r="R565"/>
      <c r="S565"/>
      <c r="T565"/>
      <c r="U565"/>
      <c r="V565"/>
      <c r="W565"/>
      <c r="X565"/>
      <c r="Y565"/>
      <c r="Z565"/>
      <c r="AA565"/>
      <c r="AB565"/>
      <c r="AC565"/>
      <c r="AD565"/>
    </row>
    <row r="566" spans="17:30" ht="12.75" customHeight="1">
      <c r="Q566"/>
      <c r="R566"/>
      <c r="S566"/>
      <c r="T566"/>
      <c r="U566"/>
      <c r="V566"/>
      <c r="W566"/>
      <c r="X566"/>
      <c r="Y566"/>
      <c r="Z566"/>
      <c r="AA566"/>
      <c r="AB566"/>
      <c r="AC566"/>
      <c r="AD566"/>
    </row>
    <row r="567" spans="17:30" ht="12.75" customHeight="1">
      <c r="Q567"/>
      <c r="R567"/>
      <c r="S567"/>
      <c r="T567"/>
      <c r="U567"/>
      <c r="V567"/>
      <c r="W567"/>
      <c r="X567"/>
      <c r="Y567"/>
      <c r="Z567"/>
      <c r="AA567"/>
      <c r="AB567"/>
      <c r="AC567"/>
      <c r="AD567"/>
    </row>
    <row r="568" spans="17:30" ht="12.75" customHeight="1">
      <c r="Q568"/>
      <c r="R568"/>
      <c r="S568"/>
      <c r="T568"/>
      <c r="U568"/>
      <c r="V568"/>
      <c r="W568"/>
      <c r="X568"/>
      <c r="Y568"/>
      <c r="Z568"/>
      <c r="AA568"/>
      <c r="AB568"/>
      <c r="AC568"/>
      <c r="AD568"/>
    </row>
    <row r="569" spans="17:30" ht="12.75" customHeight="1">
      <c r="Q569"/>
      <c r="R569"/>
      <c r="S569"/>
      <c r="T569"/>
      <c r="U569"/>
      <c r="V569"/>
      <c r="W569"/>
      <c r="X569"/>
      <c r="Y569"/>
      <c r="Z569"/>
      <c r="AA569"/>
      <c r="AB569"/>
      <c r="AC569"/>
      <c r="AD569"/>
    </row>
    <row r="570" spans="17:30" ht="12.75" customHeight="1">
      <c r="Q570"/>
      <c r="R570"/>
      <c r="S570"/>
      <c r="T570"/>
      <c r="U570"/>
      <c r="V570"/>
      <c r="W570"/>
      <c r="X570"/>
      <c r="Y570"/>
      <c r="Z570"/>
      <c r="AA570"/>
      <c r="AB570"/>
      <c r="AC570"/>
      <c r="AD570"/>
    </row>
    <row r="571" spans="17:30" ht="12.75" customHeight="1">
      <c r="Q571"/>
      <c r="R571"/>
      <c r="S571"/>
      <c r="T571"/>
      <c r="U571"/>
      <c r="V571"/>
      <c r="W571"/>
      <c r="X571"/>
      <c r="Y571"/>
      <c r="Z571"/>
      <c r="AA571"/>
      <c r="AB571"/>
      <c r="AC571"/>
      <c r="AD571"/>
    </row>
    <row r="572" spans="17:30" ht="12.75" customHeight="1">
      <c r="Q572" s="23"/>
      <c r="R572" s="1"/>
      <c r="S572" s="1"/>
      <c r="T572" s="1"/>
      <c r="U572" s="1"/>
      <c r="V572" s="1"/>
      <c r="W572" s="1"/>
      <c r="X572" s="1"/>
      <c r="Y572" s="1"/>
      <c r="Z572" s="1"/>
      <c r="AC572"/>
      <c r="AD572"/>
    </row>
    <row r="573" spans="17:30" ht="12.75" customHeight="1">
      <c r="Q573" s="23"/>
      <c r="R573" s="1"/>
      <c r="S573" s="1"/>
      <c r="T573" s="1"/>
      <c r="U573" s="1"/>
      <c r="V573" s="1"/>
      <c r="W573" s="1"/>
      <c r="X573" s="1"/>
      <c r="Y573" s="1"/>
      <c r="Z573" s="1"/>
      <c r="AC573"/>
      <c r="AD573"/>
    </row>
    <row r="574" spans="17:30" ht="12.75" customHeight="1">
      <c r="Q574" s="23"/>
      <c r="R574" s="1"/>
      <c r="S574" s="1"/>
      <c r="T574" s="1"/>
      <c r="U574" s="1"/>
      <c r="V574" s="1"/>
      <c r="W574" s="1"/>
      <c r="X574" s="1"/>
      <c r="Y574" s="1"/>
      <c r="Z574" s="1"/>
      <c r="AC574"/>
      <c r="AD574"/>
    </row>
    <row r="575" spans="17:30" ht="12.75" customHeight="1">
      <c r="Q575" s="23"/>
      <c r="R575" s="1"/>
      <c r="S575" s="1"/>
      <c r="T575" s="1"/>
      <c r="U575" s="1"/>
      <c r="V575" s="1"/>
      <c r="W575" s="1"/>
      <c r="X575" s="1"/>
      <c r="Y575" s="1"/>
      <c r="Z575" s="1"/>
      <c r="AC575"/>
      <c r="AD575"/>
    </row>
    <row r="576" spans="17:30" ht="12.75" customHeight="1">
      <c r="Q576" s="23"/>
      <c r="R576" s="1"/>
      <c r="S576" s="1"/>
      <c r="T576" s="1"/>
      <c r="U576" s="1"/>
      <c r="V576" s="1"/>
      <c r="W576" s="1"/>
      <c r="X576" s="1"/>
      <c r="Y576" s="1"/>
      <c r="Z576" s="1"/>
      <c r="AC576"/>
      <c r="AD576"/>
    </row>
    <row r="577" spans="17:30" ht="12.75" customHeight="1">
      <c r="Q577" s="23"/>
      <c r="R577" s="1"/>
      <c r="S577" s="1"/>
      <c r="T577" s="1"/>
      <c r="U577" s="1"/>
      <c r="V577" s="1"/>
      <c r="W577" s="1"/>
      <c r="X577" s="1"/>
      <c r="Y577" s="1"/>
      <c r="Z577" s="1"/>
      <c r="AC577"/>
      <c r="AD577"/>
    </row>
    <row r="578" spans="17:30" ht="12.75" customHeight="1">
      <c r="Q578" s="23"/>
      <c r="R578" s="1"/>
      <c r="S578" s="1"/>
      <c r="T578" s="1"/>
      <c r="U578" s="1"/>
      <c r="V578" s="1"/>
      <c r="W578" s="1"/>
      <c r="X578" s="1"/>
      <c r="Y578" s="1"/>
      <c r="Z578" s="1"/>
      <c r="AC578"/>
      <c r="AD578"/>
    </row>
    <row r="579" spans="17:30" ht="12.75" customHeight="1">
      <c r="Q579" s="23"/>
      <c r="R579" s="1"/>
      <c r="S579" s="1"/>
      <c r="T579" s="1"/>
      <c r="U579" s="1"/>
      <c r="V579" s="1"/>
      <c r="W579" s="1"/>
      <c r="X579" s="1"/>
      <c r="Y579" s="1"/>
      <c r="Z579" s="1"/>
      <c r="AC579"/>
      <c r="AD579"/>
    </row>
    <row r="580" spans="17:30" ht="12.75" customHeight="1">
      <c r="Q580" s="23"/>
      <c r="R580" s="1"/>
      <c r="S580" s="1"/>
      <c r="T580" s="1"/>
      <c r="U580" s="1"/>
      <c r="V580" s="1"/>
      <c r="W580" s="1"/>
      <c r="X580" s="1"/>
      <c r="Y580" s="1"/>
      <c r="Z580" s="1"/>
      <c r="AC580"/>
      <c r="AD580"/>
    </row>
    <row r="581" spans="17:30" ht="12.75" customHeight="1">
      <c r="Q581" s="23"/>
      <c r="R581" s="1"/>
      <c r="S581" s="1"/>
      <c r="T581" s="1"/>
      <c r="U581" s="1"/>
      <c r="V581" s="1"/>
      <c r="W581" s="1"/>
      <c r="X581" s="1"/>
      <c r="Y581" s="1"/>
      <c r="Z581" s="1"/>
      <c r="AC581"/>
      <c r="AD581"/>
    </row>
    <row r="582" spans="17:30" ht="12.75" customHeight="1">
      <c r="Q582" s="23"/>
      <c r="R582" s="1"/>
      <c r="S582" s="1"/>
      <c r="T582" s="1"/>
      <c r="U582" s="1"/>
      <c r="V582" s="1"/>
      <c r="W582" s="1"/>
      <c r="X582" s="1"/>
      <c r="Y582" s="1"/>
      <c r="Z582" s="1"/>
      <c r="AC582"/>
      <c r="AD582"/>
    </row>
    <row r="583" spans="17:30" ht="12.75" customHeight="1">
      <c r="Q583" s="23"/>
      <c r="R583" s="1"/>
      <c r="S583" s="1"/>
      <c r="T583" s="1"/>
      <c r="U583" s="1"/>
      <c r="V583" s="1"/>
      <c r="W583" s="1"/>
      <c r="X583" s="1"/>
      <c r="Y583" s="1"/>
      <c r="Z583" s="1"/>
      <c r="AC583"/>
      <c r="AD583"/>
    </row>
    <row r="584" spans="17:30" ht="12.75" customHeight="1">
      <c r="Q584" s="23"/>
      <c r="R584" s="1"/>
      <c r="S584" s="1"/>
      <c r="T584" s="1"/>
      <c r="U584" s="1"/>
      <c r="V584" s="1"/>
      <c r="W584" s="1"/>
      <c r="X584" s="1"/>
      <c r="Y584" s="1"/>
      <c r="Z584" s="1"/>
      <c r="AC584"/>
      <c r="AD584"/>
    </row>
    <row r="585" spans="17:30" ht="12.75" customHeight="1">
      <c r="Q585" s="23"/>
      <c r="R585" s="1"/>
      <c r="S585" s="1"/>
      <c r="T585" s="1"/>
      <c r="U585" s="1"/>
      <c r="V585" s="1"/>
      <c r="W585" s="1"/>
      <c r="X585" s="1"/>
      <c r="Y585" s="1"/>
      <c r="Z585" s="1"/>
      <c r="AC585"/>
      <c r="AD585"/>
    </row>
    <row r="586" spans="17:30" ht="12.75" customHeight="1">
      <c r="Q586" s="23"/>
      <c r="R586" s="1"/>
      <c r="S586" s="1"/>
      <c r="T586" s="1"/>
      <c r="U586" s="1"/>
      <c r="V586" s="1"/>
      <c r="W586" s="1"/>
      <c r="X586" s="1"/>
      <c r="Y586" s="1"/>
      <c r="Z586" s="1"/>
      <c r="AC586"/>
      <c r="AD586"/>
    </row>
    <row r="587" spans="17:30" ht="12.75" customHeight="1">
      <c r="Q587" s="23"/>
      <c r="R587" s="1"/>
      <c r="S587" s="1"/>
      <c r="T587" s="1"/>
      <c r="U587" s="1"/>
      <c r="V587" s="1"/>
      <c r="W587" s="1"/>
      <c r="X587" s="1"/>
      <c r="Y587" s="1"/>
      <c r="Z587" s="1"/>
      <c r="AC587"/>
      <c r="AD587"/>
    </row>
    <row r="588" spans="17:30" ht="12.75" customHeight="1">
      <c r="Q588" s="23"/>
      <c r="R588" s="1"/>
      <c r="S588" s="1"/>
      <c r="T588" s="1"/>
      <c r="U588" s="1"/>
      <c r="V588" s="1"/>
      <c r="W588" s="1"/>
      <c r="X588" s="1"/>
      <c r="Y588" s="1"/>
      <c r="Z588" s="1"/>
      <c r="AC588"/>
      <c r="AD588"/>
    </row>
    <row r="589" spans="17:30" ht="12.75" customHeight="1">
      <c r="Q589" s="23"/>
      <c r="R589" s="1"/>
      <c r="S589" s="1"/>
      <c r="T589" s="1"/>
      <c r="U589" s="1"/>
      <c r="V589" s="1"/>
      <c r="W589" s="1"/>
      <c r="X589" s="1"/>
      <c r="Y589" s="1"/>
      <c r="Z589" s="1"/>
      <c r="AC589"/>
      <c r="AD589"/>
    </row>
    <row r="590" spans="17:30" ht="12.75" customHeight="1">
      <c r="Q590" s="23"/>
      <c r="R590" s="1"/>
      <c r="S590" s="1"/>
      <c r="T590" s="1"/>
      <c r="U590" s="1"/>
      <c r="V590" s="1"/>
      <c r="W590" s="1"/>
      <c r="X590" s="1"/>
      <c r="Y590" s="1"/>
      <c r="Z590" s="1"/>
      <c r="AC590"/>
      <c r="AD590"/>
    </row>
    <row r="591" spans="17:30" ht="12.75" customHeight="1">
      <c r="Q591" s="23"/>
      <c r="R591" s="1"/>
      <c r="S591" s="1"/>
      <c r="T591" s="1"/>
      <c r="U591" s="1"/>
      <c r="V591" s="1"/>
      <c r="W591" s="1"/>
      <c r="X591" s="1"/>
      <c r="Y591" s="1"/>
      <c r="Z591" s="1"/>
      <c r="AC591"/>
      <c r="AD591"/>
    </row>
    <row r="592" spans="17:30" ht="12.75" customHeight="1">
      <c r="Q592" s="23"/>
      <c r="R592" s="1"/>
      <c r="S592" s="1"/>
      <c r="T592" s="1"/>
      <c r="U592" s="1"/>
      <c r="V592" s="1"/>
      <c r="W592" s="1"/>
      <c r="X592" s="1"/>
      <c r="Y592" s="1"/>
      <c r="Z592" s="1"/>
      <c r="AC592"/>
      <c r="AD592"/>
    </row>
    <row r="593" spans="17:30" ht="12.75" customHeight="1">
      <c r="Q593" s="23"/>
      <c r="R593" s="1"/>
      <c r="S593" s="1"/>
      <c r="T593" s="1"/>
      <c r="U593" s="1"/>
      <c r="V593" s="1"/>
      <c r="W593" s="1"/>
      <c r="X593" s="1"/>
      <c r="Y593" s="1"/>
      <c r="Z593" s="1"/>
      <c r="AC593"/>
      <c r="AD593"/>
    </row>
    <row r="594" spans="17:30" ht="12.75" customHeight="1">
      <c r="Q594" s="23"/>
      <c r="R594" s="1"/>
      <c r="S594" s="1"/>
      <c r="T594" s="1"/>
      <c r="U594" s="1"/>
      <c r="V594" s="1"/>
      <c r="W594" s="1"/>
      <c r="X594" s="1"/>
      <c r="Y594" s="1"/>
      <c r="Z594" s="1"/>
      <c r="AC594"/>
      <c r="AD594"/>
    </row>
    <row r="595" spans="17:30" ht="12.75" customHeight="1">
      <c r="Q595" s="23"/>
      <c r="R595" s="1"/>
      <c r="S595" s="1"/>
      <c r="T595" s="1"/>
      <c r="U595" s="1"/>
      <c r="V595" s="1"/>
      <c r="W595" s="1"/>
      <c r="X595" s="1"/>
      <c r="Y595" s="1"/>
      <c r="Z595" s="1"/>
      <c r="AC595"/>
      <c r="AD595"/>
    </row>
    <row r="596" spans="17:30" ht="12.75" customHeight="1">
      <c r="Q596" s="23"/>
      <c r="R596" s="1"/>
      <c r="S596" s="1"/>
      <c r="T596" s="1"/>
      <c r="U596" s="1"/>
      <c r="V596" s="1"/>
      <c r="W596" s="1"/>
      <c r="X596" s="1"/>
      <c r="Y596" s="1"/>
      <c r="Z596" s="1"/>
      <c r="AC596"/>
      <c r="AD596"/>
    </row>
    <row r="597" spans="17:30" ht="12.75" customHeight="1">
      <c r="Q597" s="23"/>
      <c r="R597" s="1"/>
      <c r="S597" s="1"/>
      <c r="T597" s="1"/>
      <c r="U597" s="1"/>
      <c r="V597" s="1"/>
      <c r="W597" s="1"/>
      <c r="X597" s="1"/>
      <c r="Y597" s="1"/>
      <c r="Z597" s="1"/>
      <c r="AC597"/>
      <c r="AD597"/>
    </row>
    <row r="598" spans="17:30" ht="12.75" customHeight="1">
      <c r="Q598" s="23"/>
      <c r="R598" s="1"/>
      <c r="S598" s="1"/>
      <c r="T598" s="1"/>
      <c r="U598" s="1"/>
      <c r="V598" s="1"/>
      <c r="W598" s="1"/>
      <c r="X598" s="1"/>
      <c r="Y598" s="1"/>
      <c r="Z598" s="1"/>
      <c r="AC598"/>
      <c r="AD598"/>
    </row>
    <row r="599" spans="17:30" ht="12.75" customHeight="1">
      <c r="Q599" s="23"/>
      <c r="R599" s="1"/>
      <c r="S599" s="1"/>
      <c r="T599" s="1"/>
      <c r="U599" s="1"/>
      <c r="V599" s="1"/>
      <c r="W599" s="1"/>
      <c r="X599" s="1"/>
      <c r="Y599" s="1"/>
      <c r="Z599" s="1"/>
      <c r="AC599"/>
      <c r="AD599"/>
    </row>
    <row r="600" spans="17:30" ht="12.75" customHeight="1">
      <c r="Q600" s="23"/>
      <c r="R600" s="1"/>
      <c r="S600" s="1"/>
      <c r="T600" s="1"/>
      <c r="U600" s="1"/>
      <c r="V600" s="1"/>
      <c r="W600" s="1"/>
      <c r="X600" s="1"/>
      <c r="Y600" s="1"/>
      <c r="Z600" s="1"/>
      <c r="AC600"/>
      <c r="AD600"/>
    </row>
    <row r="601" spans="17:30" ht="12.75" customHeight="1">
      <c r="Q601" s="23"/>
      <c r="R601" s="1"/>
      <c r="S601" s="1"/>
      <c r="T601" s="1"/>
      <c r="U601" s="1"/>
      <c r="V601" s="1"/>
      <c r="W601" s="1"/>
      <c r="X601" s="1"/>
      <c r="Y601" s="1"/>
      <c r="Z601" s="1"/>
      <c r="AC601"/>
      <c r="AD601"/>
    </row>
    <row r="602" spans="17:30" ht="12.75" customHeight="1">
      <c r="Q602" s="23"/>
      <c r="R602" s="1"/>
      <c r="S602" s="1"/>
      <c r="T602" s="1"/>
      <c r="U602" s="1"/>
      <c r="V602" s="1"/>
      <c r="W602" s="1"/>
      <c r="X602" s="1"/>
      <c r="Y602" s="1"/>
      <c r="Z602" s="1"/>
      <c r="AC602"/>
      <c r="AD602"/>
    </row>
    <row r="603" spans="17:30" ht="12.75" customHeight="1">
      <c r="Q603" s="23"/>
      <c r="R603" s="1"/>
      <c r="S603" s="1"/>
      <c r="T603" s="1"/>
      <c r="U603" s="1"/>
      <c r="V603" s="1"/>
      <c r="W603" s="1"/>
      <c r="X603" s="1"/>
      <c r="Y603" s="1"/>
      <c r="Z603" s="1"/>
      <c r="AC603"/>
      <c r="AD603"/>
    </row>
    <row r="604" spans="17:30" ht="12.75" customHeight="1">
      <c r="Q604" s="23"/>
      <c r="R604" s="1"/>
      <c r="S604" s="1"/>
      <c r="T604" s="1"/>
      <c r="U604" s="1"/>
      <c r="V604" s="1"/>
      <c r="W604" s="1"/>
      <c r="X604" s="1"/>
      <c r="Y604" s="1"/>
      <c r="Z604" s="1"/>
      <c r="AC604"/>
      <c r="AD604"/>
    </row>
    <row r="605" spans="17:30" ht="12.75" customHeight="1">
      <c r="Q605" s="23"/>
      <c r="R605" s="1"/>
      <c r="S605" s="1"/>
      <c r="T605" s="1"/>
      <c r="U605" s="1"/>
      <c r="V605" s="1"/>
      <c r="W605" s="1"/>
      <c r="X605" s="1"/>
      <c r="Y605" s="1"/>
      <c r="Z605" s="1"/>
      <c r="AC605"/>
      <c r="AD605"/>
    </row>
    <row r="606" spans="17:30" ht="12.75" customHeight="1">
      <c r="Q606" s="23"/>
      <c r="R606" s="1"/>
      <c r="S606" s="1"/>
      <c r="T606" s="1"/>
      <c r="U606" s="1"/>
      <c r="V606" s="1"/>
      <c r="W606" s="1"/>
      <c r="X606" s="1"/>
      <c r="Y606" s="1"/>
      <c r="Z606" s="1"/>
      <c r="AC606"/>
      <c r="AD606"/>
    </row>
    <row r="607" spans="17:30" ht="12.75" customHeight="1">
      <c r="Q607" s="23"/>
      <c r="R607" s="1"/>
      <c r="S607" s="1"/>
      <c r="T607" s="1"/>
      <c r="U607" s="1"/>
      <c r="V607" s="1"/>
      <c r="W607" s="1"/>
      <c r="X607" s="1"/>
      <c r="Y607" s="1"/>
      <c r="Z607" s="1"/>
      <c r="AC607"/>
      <c r="AD607"/>
    </row>
    <row r="608" spans="17:30" ht="12.75" customHeight="1">
      <c r="Q608" s="23"/>
      <c r="R608" s="1"/>
      <c r="S608" s="1"/>
      <c r="T608" s="1"/>
      <c r="U608" s="1"/>
      <c r="V608" s="1"/>
      <c r="W608" s="1"/>
      <c r="X608" s="1"/>
      <c r="Y608" s="1"/>
      <c r="Z608" s="1"/>
      <c r="AC608"/>
      <c r="AD608"/>
    </row>
    <row r="609" spans="17:30" ht="12.75" customHeight="1">
      <c r="Q609" s="23"/>
      <c r="R609" s="1"/>
      <c r="S609" s="1"/>
      <c r="T609" s="1"/>
      <c r="U609" s="1"/>
      <c r="V609" s="1"/>
      <c r="W609" s="1"/>
      <c r="X609" s="1"/>
      <c r="Y609" s="1"/>
      <c r="Z609" s="1"/>
      <c r="AC609"/>
      <c r="AD609"/>
    </row>
    <row r="610" spans="17:30" ht="12.75" customHeight="1">
      <c r="Q610" s="23"/>
      <c r="R610" s="1"/>
      <c r="S610" s="1"/>
      <c r="T610" s="1"/>
      <c r="U610" s="1"/>
      <c r="V610" s="1"/>
      <c r="W610" s="1"/>
      <c r="X610" s="1"/>
      <c r="Y610" s="1"/>
      <c r="Z610" s="1"/>
      <c r="AC610"/>
      <c r="AD610"/>
    </row>
    <row r="611" spans="17:30" ht="12.75" customHeight="1">
      <c r="Q611" s="23"/>
      <c r="R611" s="1"/>
      <c r="S611" s="1"/>
      <c r="T611" s="1"/>
      <c r="U611" s="1"/>
      <c r="V611" s="1"/>
      <c r="W611" s="1"/>
      <c r="X611" s="1"/>
      <c r="Y611" s="1"/>
      <c r="Z611" s="1"/>
      <c r="AC611"/>
      <c r="AD611"/>
    </row>
    <row r="612" spans="17:30" ht="12.75" customHeight="1">
      <c r="Q612" s="23"/>
      <c r="R612" s="1"/>
      <c r="S612" s="1"/>
      <c r="T612" s="1"/>
      <c r="U612" s="1"/>
      <c r="V612" s="1"/>
      <c r="W612" s="1"/>
      <c r="X612" s="1"/>
      <c r="Y612" s="1"/>
      <c r="Z612" s="1"/>
      <c r="AC612"/>
      <c r="AD612"/>
    </row>
    <row r="613" spans="17:30" ht="12.75" customHeight="1">
      <c r="Q613" s="23"/>
      <c r="R613" s="1"/>
      <c r="S613" s="1"/>
      <c r="T613" s="1"/>
      <c r="U613" s="1"/>
      <c r="V613" s="1"/>
      <c r="W613" s="1"/>
      <c r="X613" s="1"/>
      <c r="Y613" s="1"/>
      <c r="Z613" s="1"/>
      <c r="AC613"/>
      <c r="AD613"/>
    </row>
    <row r="614" spans="17:30" ht="12.75" customHeight="1">
      <c r="Q614" s="23"/>
      <c r="R614" s="1"/>
      <c r="S614" s="1"/>
      <c r="T614" s="1"/>
      <c r="U614" s="1"/>
      <c r="V614" s="1"/>
      <c r="W614" s="1"/>
      <c r="X614" s="1"/>
      <c r="Y614" s="1"/>
      <c r="Z614" s="1"/>
      <c r="AC614"/>
      <c r="AD614"/>
    </row>
    <row r="615" spans="17:30" ht="12.75" customHeight="1">
      <c r="Q615" s="23"/>
      <c r="R615" s="1"/>
      <c r="S615" s="1"/>
      <c r="T615" s="1"/>
      <c r="U615" s="1"/>
      <c r="V615" s="1"/>
      <c r="W615" s="1"/>
      <c r="X615" s="1"/>
      <c r="Y615" s="1"/>
      <c r="Z615" s="1"/>
      <c r="AC615"/>
      <c r="AD615"/>
    </row>
    <row r="616" spans="17:30" ht="12.75" customHeight="1">
      <c r="Q616" s="23"/>
      <c r="R616" s="1"/>
      <c r="S616" s="1"/>
      <c r="T616" s="1"/>
      <c r="U616" s="1"/>
      <c r="V616" s="1"/>
      <c r="W616" s="1"/>
      <c r="X616" s="1"/>
      <c r="Y616" s="1"/>
      <c r="Z616" s="1"/>
      <c r="AC616"/>
      <c r="AD616"/>
    </row>
    <row r="617" spans="17:30" ht="12.75" customHeight="1">
      <c r="Q617" s="23"/>
      <c r="R617" s="1"/>
      <c r="S617" s="1"/>
      <c r="T617" s="1"/>
      <c r="U617" s="1"/>
      <c r="V617" s="1"/>
      <c r="W617" s="1"/>
      <c r="X617" s="1"/>
      <c r="Y617" s="1"/>
      <c r="Z617" s="1"/>
      <c r="AC617"/>
      <c r="AD617"/>
    </row>
    <row r="618" spans="17:30" ht="12.75" customHeight="1">
      <c r="Q618" s="23"/>
      <c r="R618" s="1"/>
      <c r="S618" s="1"/>
      <c r="T618" s="1"/>
      <c r="U618" s="1"/>
      <c r="V618" s="1"/>
      <c r="W618" s="1"/>
      <c r="X618" s="1"/>
      <c r="Y618" s="1"/>
      <c r="Z618" s="1"/>
      <c r="AC618"/>
      <c r="AD618"/>
    </row>
    <row r="619" spans="17:30" ht="12.75" customHeight="1">
      <c r="Q619" s="23"/>
      <c r="R619" s="1"/>
      <c r="S619" s="1"/>
      <c r="T619" s="1"/>
      <c r="U619" s="1"/>
      <c r="V619" s="1"/>
      <c r="W619" s="1"/>
      <c r="X619" s="1"/>
      <c r="Y619" s="1"/>
      <c r="Z619" s="1"/>
      <c r="AC619"/>
      <c r="AD619"/>
    </row>
    <row r="620" spans="17:30" ht="12.75" customHeight="1">
      <c r="Q620" s="23"/>
      <c r="R620" s="1"/>
      <c r="S620" s="1"/>
      <c r="T620" s="1"/>
      <c r="U620" s="1"/>
      <c r="V620" s="1"/>
      <c r="W620" s="1"/>
      <c r="X620" s="1"/>
      <c r="Y620" s="1"/>
      <c r="Z620" s="1"/>
      <c r="AC620"/>
      <c r="AD620"/>
    </row>
    <row r="621" spans="17:30" ht="12.75" customHeight="1">
      <c r="Q621" s="23"/>
      <c r="R621" s="1"/>
      <c r="S621" s="1"/>
      <c r="T621" s="1"/>
      <c r="U621" s="1"/>
      <c r="V621" s="1"/>
      <c r="W621" s="1"/>
      <c r="X621" s="1"/>
      <c r="Y621" s="1"/>
      <c r="Z621" s="1"/>
      <c r="AC621"/>
      <c r="AD621"/>
    </row>
    <row r="622" spans="17:30" ht="12.75" customHeight="1">
      <c r="Q622" s="23"/>
      <c r="R622" s="1"/>
      <c r="S622" s="1"/>
      <c r="T622" s="1"/>
      <c r="U622" s="1"/>
      <c r="V622" s="1"/>
      <c r="W622" s="1"/>
      <c r="X622" s="1"/>
      <c r="Y622" s="1"/>
      <c r="Z622" s="1"/>
      <c r="AC622"/>
      <c r="AD622"/>
    </row>
    <row r="623" spans="17:30" ht="12.75" customHeight="1">
      <c r="Q623" s="23"/>
      <c r="R623" s="1"/>
      <c r="S623" s="1"/>
      <c r="T623" s="1"/>
      <c r="U623" s="1"/>
      <c r="V623" s="1"/>
      <c r="W623" s="1"/>
      <c r="X623" s="1"/>
      <c r="Y623" s="1"/>
      <c r="Z623" s="1"/>
      <c r="AC623"/>
      <c r="AD623"/>
    </row>
    <row r="624" spans="17:30" ht="12.75" customHeight="1">
      <c r="Q624" s="23"/>
      <c r="R624" s="1"/>
      <c r="S624" s="1"/>
      <c r="T624" s="1"/>
      <c r="U624" s="1"/>
      <c r="V624" s="1"/>
      <c r="W624" s="1"/>
      <c r="X624" s="1"/>
      <c r="Y624" s="1"/>
      <c r="Z624" s="1"/>
      <c r="AC624"/>
      <c r="AD624"/>
    </row>
    <row r="625" spans="17:30" ht="12.75" customHeight="1">
      <c r="Q625" s="23"/>
      <c r="R625" s="1"/>
      <c r="S625" s="1"/>
      <c r="T625" s="1"/>
      <c r="U625" s="1"/>
      <c r="V625" s="1"/>
      <c r="W625" s="1"/>
      <c r="X625" s="1"/>
      <c r="Y625" s="1"/>
      <c r="Z625" s="1"/>
      <c r="AC625"/>
      <c r="AD625"/>
    </row>
    <row r="626" spans="17:30" ht="12.75" customHeight="1">
      <c r="Q626" s="23"/>
      <c r="R626" s="1"/>
      <c r="S626" s="1"/>
      <c r="T626" s="1"/>
      <c r="U626" s="1"/>
      <c r="V626" s="1"/>
      <c r="W626" s="1"/>
      <c r="X626" s="1"/>
      <c r="Y626" s="1"/>
      <c r="Z626" s="1"/>
      <c r="AC626"/>
      <c r="AD626"/>
    </row>
    <row r="627" spans="17:30" ht="12.75" customHeight="1">
      <c r="Q627" s="23"/>
      <c r="R627" s="1"/>
      <c r="S627" s="1"/>
      <c r="T627" s="1"/>
      <c r="U627" s="1"/>
      <c r="V627" s="1"/>
      <c r="W627" s="1"/>
      <c r="X627" s="1"/>
      <c r="Y627" s="1"/>
      <c r="Z627" s="1"/>
      <c r="AC627"/>
      <c r="AD627"/>
    </row>
    <row r="628" spans="17:30" ht="12.75" customHeight="1">
      <c r="Q628" s="23"/>
      <c r="R628" s="1"/>
      <c r="S628" s="1"/>
      <c r="T628" s="1"/>
      <c r="U628" s="1"/>
      <c r="V628" s="1"/>
      <c r="W628" s="1"/>
      <c r="X628" s="1"/>
      <c r="Y628" s="1"/>
      <c r="Z628" s="1"/>
      <c r="AC628"/>
      <c r="AD628"/>
    </row>
    <row r="629" spans="17:30" ht="12.75" customHeight="1">
      <c r="Q629" s="23"/>
      <c r="R629" s="1"/>
      <c r="S629" s="1"/>
      <c r="T629" s="1"/>
      <c r="U629" s="1"/>
      <c r="V629" s="1"/>
      <c r="W629" s="1"/>
      <c r="X629" s="1"/>
      <c r="Y629" s="1"/>
      <c r="Z629" s="1"/>
      <c r="AC629"/>
      <c r="AD629"/>
    </row>
    <row r="630" spans="17:30" ht="12.75" customHeight="1">
      <c r="Q630" s="23"/>
      <c r="R630" s="1"/>
      <c r="S630" s="1"/>
      <c r="T630" s="1"/>
      <c r="U630" s="1"/>
      <c r="V630" s="1"/>
      <c r="W630" s="1"/>
      <c r="X630" s="1"/>
      <c r="Y630" s="1"/>
      <c r="Z630" s="1"/>
      <c r="AC630"/>
      <c r="AD630"/>
    </row>
    <row r="631" spans="17:30" ht="12.75" customHeight="1">
      <c r="Q631" s="23"/>
      <c r="R631" s="1"/>
      <c r="S631" s="1"/>
      <c r="T631" s="1"/>
      <c r="U631" s="1"/>
      <c r="V631" s="1"/>
      <c r="W631" s="1"/>
      <c r="X631" s="1"/>
      <c r="Y631" s="1"/>
      <c r="Z631" s="1"/>
      <c r="AC631"/>
      <c r="AD631"/>
    </row>
    <row r="632" spans="17:30" ht="12.75" customHeight="1">
      <c r="Q632" s="23"/>
      <c r="R632" s="1"/>
      <c r="S632" s="1"/>
      <c r="T632" s="1"/>
      <c r="U632" s="1"/>
      <c r="V632" s="1"/>
      <c r="W632" s="1"/>
      <c r="X632" s="1"/>
      <c r="Y632" s="1"/>
      <c r="Z632" s="1"/>
      <c r="AC632"/>
      <c r="AD632"/>
    </row>
    <row r="633" spans="17:30" ht="12.75" customHeight="1">
      <c r="Q633" s="23"/>
      <c r="R633" s="1"/>
      <c r="S633" s="1"/>
      <c r="T633" s="1"/>
      <c r="U633" s="1"/>
      <c r="V633" s="1"/>
      <c r="W633" s="1"/>
      <c r="X633" s="1"/>
      <c r="Y633" s="1"/>
      <c r="Z633" s="1"/>
      <c r="AC633"/>
      <c r="AD633"/>
    </row>
    <row r="634" spans="17:30" ht="12.75" customHeight="1">
      <c r="Q634" s="23"/>
      <c r="R634" s="1"/>
      <c r="S634" s="1"/>
      <c r="T634" s="1"/>
      <c r="U634" s="1"/>
      <c r="V634" s="1"/>
      <c r="W634" s="1"/>
      <c r="X634" s="1"/>
      <c r="Y634" s="1"/>
      <c r="Z634" s="1"/>
      <c r="AC634"/>
      <c r="AD634"/>
    </row>
    <row r="635" spans="17:30" ht="12.75" customHeight="1">
      <c r="Q635" s="23"/>
      <c r="R635" s="1"/>
      <c r="S635" s="1"/>
      <c r="T635" s="1"/>
      <c r="U635" s="1"/>
      <c r="V635" s="1"/>
      <c r="W635" s="1"/>
      <c r="X635" s="1"/>
      <c r="Y635" s="1"/>
      <c r="Z635" s="1"/>
      <c r="AC635"/>
      <c r="AD635"/>
    </row>
    <row r="636" spans="17:30" ht="12.75" customHeight="1">
      <c r="Q636" s="23"/>
      <c r="R636" s="1"/>
      <c r="S636" s="1"/>
      <c r="T636" s="1"/>
      <c r="U636" s="1"/>
      <c r="V636" s="1"/>
      <c r="W636" s="1"/>
      <c r="X636" s="1"/>
      <c r="Y636" s="1"/>
      <c r="Z636" s="1"/>
      <c r="AC636"/>
      <c r="AD636"/>
    </row>
    <row r="637" spans="17:30" ht="12.75" customHeight="1">
      <c r="Q637" s="23"/>
      <c r="R637" s="1"/>
      <c r="S637" s="1"/>
      <c r="T637" s="1"/>
      <c r="U637" s="1"/>
      <c r="V637" s="1"/>
      <c r="W637" s="1"/>
      <c r="X637" s="1"/>
      <c r="Y637" s="1"/>
      <c r="Z637" s="1"/>
      <c r="AC637"/>
      <c r="AD637"/>
    </row>
    <row r="638" spans="17:30" ht="12.75" customHeight="1">
      <c r="Q638" s="23"/>
      <c r="R638" s="1"/>
      <c r="S638" s="1"/>
      <c r="T638" s="1"/>
      <c r="U638" s="1"/>
      <c r="V638" s="1"/>
      <c r="W638" s="1"/>
      <c r="X638" s="1"/>
      <c r="Y638" s="1"/>
      <c r="Z638" s="1"/>
      <c r="AC638"/>
      <c r="AD638"/>
    </row>
    <row r="639" spans="17:30" ht="12.75" customHeight="1">
      <c r="Q639" s="23"/>
      <c r="R639" s="1"/>
      <c r="S639" s="1"/>
      <c r="T639" s="1"/>
      <c r="U639" s="1"/>
      <c r="V639" s="1"/>
      <c r="W639" s="1"/>
      <c r="X639" s="1"/>
      <c r="Y639" s="1"/>
      <c r="Z639" s="1"/>
      <c r="AC639"/>
      <c r="AD639"/>
    </row>
    <row r="640" spans="17:30" ht="12.75" customHeight="1">
      <c r="Q640" s="23"/>
      <c r="R640" s="1"/>
      <c r="S640" s="1"/>
      <c r="T640" s="1"/>
      <c r="U640" s="1"/>
      <c r="V640" s="1"/>
      <c r="W640" s="1"/>
      <c r="X640" s="1"/>
      <c r="Y640" s="1"/>
      <c r="Z640" s="1"/>
      <c r="AC640"/>
      <c r="AD640"/>
    </row>
    <row r="641" spans="17:30" ht="12.75" customHeight="1">
      <c r="Q641" s="23"/>
      <c r="R641" s="1"/>
      <c r="S641" s="1"/>
      <c r="T641" s="1"/>
      <c r="U641" s="1"/>
      <c r="V641" s="1"/>
      <c r="W641" s="1"/>
      <c r="X641" s="1"/>
      <c r="Y641" s="1"/>
      <c r="Z641" s="1"/>
      <c r="AC641"/>
      <c r="AD641"/>
    </row>
    <row r="642" spans="17:30" ht="12.75" customHeight="1">
      <c r="Q642" s="23"/>
      <c r="R642" s="1"/>
      <c r="S642" s="1"/>
      <c r="T642" s="1"/>
      <c r="U642" s="1"/>
      <c r="V642" s="1"/>
      <c r="W642" s="1"/>
      <c r="X642" s="1"/>
      <c r="Y642" s="1"/>
      <c r="Z642" s="1"/>
      <c r="AC642"/>
      <c r="AD642"/>
    </row>
    <row r="643" spans="17:30" ht="12.75" customHeight="1">
      <c r="Q643" s="23"/>
      <c r="R643" s="1"/>
      <c r="S643" s="1"/>
      <c r="T643" s="1"/>
      <c r="U643" s="1"/>
      <c r="V643" s="1"/>
      <c r="W643" s="1"/>
      <c r="X643" s="1"/>
      <c r="Y643" s="1"/>
      <c r="Z643" s="1"/>
      <c r="AC643"/>
      <c r="AD643"/>
    </row>
    <row r="644" spans="17:30" ht="12.75" customHeight="1">
      <c r="Q644" s="23"/>
      <c r="R644" s="1"/>
      <c r="S644" s="1"/>
      <c r="T644" s="1"/>
      <c r="U644" s="1"/>
      <c r="V644" s="1"/>
      <c r="W644" s="1"/>
      <c r="X644" s="1"/>
      <c r="Y644" s="1"/>
      <c r="Z644" s="1"/>
      <c r="AC644"/>
      <c r="AD644"/>
    </row>
    <row r="645" spans="17:30" ht="12.75" customHeight="1">
      <c r="Q645" s="23"/>
      <c r="R645" s="1"/>
      <c r="S645" s="1"/>
      <c r="T645" s="1"/>
      <c r="U645" s="1"/>
      <c r="V645" s="1"/>
      <c r="W645" s="1"/>
      <c r="X645" s="1"/>
      <c r="Y645" s="1"/>
      <c r="Z645" s="1"/>
      <c r="AC645"/>
      <c r="AD645"/>
    </row>
    <row r="646" spans="17:30" ht="12.75" customHeight="1">
      <c r="Q646" s="23"/>
      <c r="R646" s="1"/>
      <c r="S646" s="1"/>
      <c r="T646" s="1"/>
      <c r="U646" s="1"/>
      <c r="V646" s="1"/>
      <c r="W646" s="1"/>
      <c r="X646" s="1"/>
      <c r="Y646" s="1"/>
      <c r="Z646" s="1"/>
      <c r="AC646"/>
      <c r="AD646"/>
    </row>
    <row r="647" spans="17:30" ht="12.75" customHeight="1">
      <c r="Q647" s="23"/>
      <c r="R647" s="1"/>
      <c r="S647" s="1"/>
      <c r="T647" s="1"/>
      <c r="U647" s="1"/>
      <c r="V647" s="1"/>
      <c r="W647" s="1"/>
      <c r="X647" s="1"/>
      <c r="Y647" s="1"/>
      <c r="Z647" s="1"/>
      <c r="AC647"/>
      <c r="AD647"/>
    </row>
    <row r="648" spans="17:30" ht="12.75" customHeight="1">
      <c r="Q648" s="23"/>
      <c r="R648" s="1"/>
      <c r="S648" s="1"/>
      <c r="T648" s="1"/>
      <c r="U648" s="1"/>
      <c r="V648" s="1"/>
      <c r="W648" s="1"/>
      <c r="X648" s="1"/>
      <c r="Y648" s="1"/>
      <c r="Z648" s="1"/>
      <c r="AC648"/>
      <c r="AD648"/>
    </row>
    <row r="649" spans="17:30" ht="12.75" customHeight="1">
      <c r="Q649" s="23"/>
      <c r="R649" s="1"/>
      <c r="S649" s="1"/>
      <c r="T649" s="1"/>
      <c r="U649" s="1"/>
      <c r="V649" s="1"/>
      <c r="W649" s="1"/>
      <c r="X649" s="1"/>
      <c r="Y649" s="1"/>
      <c r="Z649" s="1"/>
      <c r="AC649"/>
      <c r="AD649"/>
    </row>
    <row r="650" spans="17:30" ht="12.75" customHeight="1">
      <c r="Q650" s="23"/>
      <c r="R650" s="1"/>
      <c r="S650" s="1"/>
      <c r="T650" s="1"/>
      <c r="U650" s="1"/>
      <c r="V650" s="1"/>
      <c r="W650" s="1"/>
      <c r="X650" s="1"/>
      <c r="Y650" s="1"/>
      <c r="Z650" s="1"/>
      <c r="AC650"/>
      <c r="AD650"/>
    </row>
    <row r="651" spans="17:30" ht="12.75" customHeight="1">
      <c r="Q651" s="23"/>
      <c r="R651" s="1"/>
      <c r="S651" s="1"/>
      <c r="T651" s="1"/>
      <c r="U651" s="1"/>
      <c r="V651" s="1"/>
      <c r="W651" s="1"/>
      <c r="X651" s="1"/>
      <c r="Y651" s="1"/>
      <c r="Z651" s="1"/>
      <c r="AC651"/>
      <c r="AD651"/>
    </row>
    <row r="652" spans="17:30" ht="12.75" customHeight="1">
      <c r="Q652" s="23"/>
      <c r="R652" s="1"/>
      <c r="S652" s="1"/>
      <c r="T652" s="1"/>
      <c r="U652" s="1"/>
      <c r="V652" s="1"/>
      <c r="W652" s="1"/>
      <c r="X652" s="1"/>
      <c r="Y652" s="1"/>
      <c r="Z652" s="1"/>
      <c r="AC652"/>
      <c r="AD652"/>
    </row>
    <row r="653" spans="17:30" ht="12.75" customHeight="1">
      <c r="Q653" s="23"/>
      <c r="R653" s="1"/>
      <c r="S653" s="1"/>
      <c r="T653" s="1"/>
      <c r="U653" s="1"/>
      <c r="V653" s="1"/>
      <c r="W653" s="1"/>
      <c r="X653" s="1"/>
      <c r="Y653" s="1"/>
      <c r="Z653" s="1"/>
      <c r="AC653"/>
      <c r="AD653"/>
    </row>
    <row r="654" spans="17:30" ht="12.75" customHeight="1">
      <c r="Q654" s="23"/>
      <c r="R654" s="1"/>
      <c r="S654" s="1"/>
      <c r="T654" s="1"/>
      <c r="U654" s="1"/>
      <c r="V654" s="1"/>
      <c r="W654" s="1"/>
      <c r="X654" s="1"/>
      <c r="Y654" s="1"/>
      <c r="Z654" s="1"/>
      <c r="AC654"/>
      <c r="AD654"/>
    </row>
    <row r="655" spans="17:30" ht="12.75" customHeight="1">
      <c r="Q655" s="23"/>
      <c r="R655" s="1"/>
      <c r="S655" s="1"/>
      <c r="T655" s="1"/>
      <c r="U655" s="1"/>
      <c r="V655" s="1"/>
      <c r="W655" s="1"/>
      <c r="X655" s="1"/>
      <c r="Y655" s="1"/>
      <c r="Z655" s="1"/>
      <c r="AC655"/>
      <c r="AD655"/>
    </row>
    <row r="656" spans="17:30" ht="12.75" customHeight="1">
      <c r="Q656" s="23"/>
      <c r="R656" s="1"/>
      <c r="S656" s="1"/>
      <c r="T656" s="1"/>
      <c r="U656" s="1"/>
      <c r="V656" s="1"/>
      <c r="W656" s="1"/>
      <c r="X656" s="1"/>
      <c r="Y656" s="1"/>
      <c r="Z656" s="1"/>
      <c r="AC656"/>
      <c r="AD656"/>
    </row>
    <row r="657" spans="17:30" ht="12.75" customHeight="1">
      <c r="Q657" s="23"/>
      <c r="R657" s="1"/>
      <c r="S657" s="1"/>
      <c r="T657" s="1"/>
      <c r="U657" s="1"/>
      <c r="V657" s="1"/>
      <c r="W657" s="1"/>
      <c r="X657" s="1"/>
      <c r="Y657" s="1"/>
      <c r="Z657" s="1"/>
      <c r="AC657"/>
      <c r="AD657"/>
    </row>
    <row r="658" spans="17:30" ht="12.75" customHeight="1">
      <c r="Q658" s="23"/>
      <c r="R658" s="1"/>
      <c r="S658" s="1"/>
      <c r="T658" s="1"/>
      <c r="U658" s="1"/>
      <c r="V658" s="1"/>
      <c r="W658" s="1"/>
      <c r="X658" s="1"/>
      <c r="Y658" s="1"/>
      <c r="Z658" s="1"/>
      <c r="AC658"/>
      <c r="AD658"/>
    </row>
    <row r="659" spans="17:30" ht="12.75" customHeight="1">
      <c r="Q659" s="23"/>
      <c r="R659" s="1"/>
      <c r="S659" s="1"/>
      <c r="T659" s="1"/>
      <c r="U659" s="1"/>
      <c r="V659" s="1"/>
      <c r="W659" s="1"/>
      <c r="X659" s="1"/>
      <c r="Y659" s="1"/>
      <c r="Z659" s="1"/>
      <c r="AC659"/>
      <c r="AD659"/>
    </row>
    <row r="660" spans="17:30" ht="12.75" customHeight="1">
      <c r="Q660" s="23"/>
      <c r="R660" s="1"/>
      <c r="S660" s="1"/>
      <c r="T660" s="1"/>
      <c r="U660" s="1"/>
      <c r="V660" s="1"/>
      <c r="W660" s="1"/>
      <c r="X660" s="1"/>
      <c r="Y660" s="1"/>
      <c r="Z660" s="1"/>
      <c r="AC660"/>
      <c r="AD660"/>
    </row>
    <row r="661" spans="17:30" ht="12.75" customHeight="1">
      <c r="Q661" s="23"/>
      <c r="R661" s="1"/>
      <c r="S661" s="1"/>
      <c r="T661" s="1"/>
      <c r="U661" s="1"/>
      <c r="V661" s="1"/>
      <c r="W661" s="1"/>
      <c r="X661" s="1"/>
      <c r="Y661" s="1"/>
      <c r="Z661" s="1"/>
      <c r="AC661"/>
      <c r="AD661"/>
    </row>
    <row r="662" spans="17:30" ht="12.75" customHeight="1">
      <c r="Q662" s="23"/>
      <c r="R662" s="1"/>
      <c r="S662" s="1"/>
      <c r="T662" s="1"/>
      <c r="U662" s="1"/>
      <c r="V662" s="1"/>
      <c r="W662" s="1"/>
      <c r="X662" s="1"/>
      <c r="Y662" s="1"/>
      <c r="Z662" s="1"/>
      <c r="AC662"/>
      <c r="AD662"/>
    </row>
    <row r="663" spans="17:30" ht="12.75" customHeight="1">
      <c r="Q663" s="23"/>
      <c r="R663" s="1"/>
      <c r="S663" s="1"/>
      <c r="T663" s="1"/>
      <c r="U663" s="1"/>
      <c r="V663" s="1"/>
      <c r="W663" s="1"/>
      <c r="X663" s="1"/>
      <c r="Y663" s="1"/>
      <c r="Z663" s="1"/>
      <c r="AC663"/>
      <c r="AD663"/>
    </row>
    <row r="664" spans="17:30" ht="12.75" customHeight="1">
      <c r="Q664" s="23"/>
      <c r="R664" s="1"/>
      <c r="S664" s="1"/>
      <c r="T664" s="1"/>
      <c r="U664" s="1"/>
      <c r="V664" s="1"/>
      <c r="W664" s="1"/>
      <c r="X664" s="1"/>
      <c r="Y664" s="1"/>
      <c r="Z664" s="1"/>
      <c r="AC664"/>
      <c r="AD664"/>
    </row>
    <row r="665" spans="17:30" ht="12.75" customHeight="1">
      <c r="Q665" s="23"/>
      <c r="R665" s="1"/>
      <c r="S665" s="1"/>
      <c r="T665" s="1"/>
      <c r="U665" s="1"/>
      <c r="V665" s="1"/>
      <c r="W665" s="1"/>
      <c r="X665" s="1"/>
      <c r="Y665" s="1"/>
      <c r="Z665" s="1"/>
      <c r="AC665"/>
      <c r="AD665"/>
    </row>
    <row r="666" spans="17:30" ht="12.75" customHeight="1">
      <c r="Q666" s="23"/>
      <c r="R666" s="1"/>
      <c r="S666" s="1"/>
      <c r="T666" s="1"/>
      <c r="U666" s="1"/>
      <c r="V666" s="1"/>
      <c r="W666" s="1"/>
      <c r="X666" s="1"/>
      <c r="Y666" s="1"/>
      <c r="Z666" s="1"/>
      <c r="AC666"/>
      <c r="AD666"/>
    </row>
    <row r="667" spans="17:30" ht="12.75" customHeight="1">
      <c r="Q667" s="23"/>
      <c r="R667" s="1"/>
      <c r="S667" s="1"/>
      <c r="T667" s="1"/>
      <c r="U667" s="1"/>
      <c r="V667" s="1"/>
      <c r="W667" s="1"/>
      <c r="X667" s="1"/>
      <c r="Y667" s="1"/>
      <c r="Z667" s="1"/>
      <c r="AC667"/>
      <c r="AD667"/>
    </row>
    <row r="668" spans="17:30" ht="12.75" customHeight="1">
      <c r="Q668" s="23"/>
      <c r="R668" s="1"/>
      <c r="S668" s="1"/>
      <c r="T668" s="1"/>
      <c r="U668" s="1"/>
      <c r="V668" s="1"/>
      <c r="W668" s="1"/>
      <c r="X668" s="1"/>
      <c r="Y668" s="1"/>
      <c r="Z668" s="1"/>
      <c r="AC668"/>
      <c r="AD668"/>
    </row>
    <row r="669" spans="17:30" ht="12.75" customHeight="1">
      <c r="Q669" s="23"/>
      <c r="R669" s="1"/>
      <c r="S669" s="1"/>
      <c r="T669" s="1"/>
      <c r="U669" s="1"/>
      <c r="V669" s="1"/>
      <c r="W669" s="1"/>
      <c r="X669" s="1"/>
      <c r="Y669" s="1"/>
      <c r="Z669" s="1"/>
      <c r="AC669"/>
      <c r="AD669"/>
    </row>
    <row r="670" spans="17:30" ht="12.75" customHeight="1">
      <c r="Q670" s="23"/>
      <c r="R670" s="1"/>
      <c r="S670" s="1"/>
      <c r="T670" s="1"/>
      <c r="U670" s="1"/>
      <c r="V670" s="1"/>
      <c r="W670" s="1"/>
      <c r="X670" s="1"/>
      <c r="Y670" s="1"/>
      <c r="Z670" s="1"/>
      <c r="AC670"/>
      <c r="AD670"/>
    </row>
    <row r="671" spans="17:30" ht="12.75" customHeight="1">
      <c r="Q671" s="23"/>
      <c r="R671" s="1"/>
      <c r="S671" s="1"/>
      <c r="T671" s="1"/>
      <c r="U671" s="1"/>
      <c r="V671" s="1"/>
      <c r="W671" s="1"/>
      <c r="X671" s="1"/>
      <c r="Y671" s="1"/>
      <c r="Z671" s="1"/>
      <c r="AC671"/>
      <c r="AD671"/>
    </row>
    <row r="672" spans="17:30" ht="12.75" customHeight="1">
      <c r="Q672" s="23"/>
      <c r="R672" s="1"/>
      <c r="S672" s="1"/>
      <c r="T672" s="1"/>
      <c r="U672" s="1"/>
      <c r="V672" s="1"/>
      <c r="W672" s="1"/>
      <c r="X672" s="1"/>
      <c r="Y672" s="1"/>
      <c r="Z672" s="1"/>
      <c r="AC672"/>
      <c r="AD672"/>
    </row>
    <row r="673" spans="17:30" ht="12.75" customHeight="1">
      <c r="Q673" s="23"/>
      <c r="R673" s="1"/>
      <c r="S673" s="1"/>
      <c r="T673" s="1"/>
      <c r="U673" s="1"/>
      <c r="V673" s="1"/>
      <c r="W673" s="1"/>
      <c r="X673" s="1"/>
      <c r="Y673" s="1"/>
      <c r="Z673" s="1"/>
      <c r="AC673"/>
      <c r="AD673"/>
    </row>
    <row r="674" spans="17:30" ht="12.75" customHeight="1">
      <c r="Q674" s="23"/>
      <c r="R674" s="1"/>
      <c r="S674" s="1"/>
      <c r="T674" s="1"/>
      <c r="U674" s="1"/>
      <c r="V674" s="1"/>
      <c r="W674" s="1"/>
      <c r="X674" s="1"/>
      <c r="Y674" s="1"/>
      <c r="Z674" s="1"/>
      <c r="AC674"/>
      <c r="AD674"/>
    </row>
    <row r="675" spans="17:30" ht="12.75" customHeight="1">
      <c r="Q675" s="23"/>
      <c r="R675" s="1"/>
      <c r="S675" s="1"/>
      <c r="T675" s="1"/>
      <c r="U675" s="1"/>
      <c r="V675" s="1"/>
      <c r="W675" s="1"/>
      <c r="X675" s="1"/>
      <c r="Y675" s="1"/>
      <c r="Z675" s="1"/>
      <c r="AC675"/>
      <c r="AD675"/>
    </row>
    <row r="676" spans="17:30" ht="12.75" customHeight="1">
      <c r="Q676" s="23"/>
      <c r="R676" s="1"/>
      <c r="S676" s="1"/>
      <c r="T676" s="1"/>
      <c r="U676" s="1"/>
      <c r="V676" s="1"/>
      <c r="W676" s="1"/>
      <c r="X676" s="1"/>
      <c r="Y676" s="1"/>
      <c r="Z676" s="1"/>
      <c r="AC676"/>
      <c r="AD676"/>
    </row>
    <row r="677" spans="17:30" ht="12.75" customHeight="1">
      <c r="Q677" s="23"/>
      <c r="R677" s="1"/>
      <c r="S677" s="1"/>
      <c r="T677" s="1"/>
      <c r="U677" s="1"/>
      <c r="V677" s="1"/>
      <c r="W677" s="1"/>
      <c r="X677" s="1"/>
      <c r="Y677" s="1"/>
      <c r="Z677" s="1"/>
      <c r="AC677"/>
      <c r="AD677"/>
    </row>
    <row r="678" spans="17:30" ht="12.75" customHeight="1">
      <c r="Q678" s="23"/>
      <c r="R678" s="1"/>
      <c r="S678" s="1"/>
      <c r="T678" s="1"/>
      <c r="U678" s="1"/>
      <c r="V678" s="1"/>
      <c r="W678" s="1"/>
      <c r="X678" s="1"/>
      <c r="Y678" s="1"/>
      <c r="Z678" s="1"/>
      <c r="AC678"/>
      <c r="AD678"/>
    </row>
    <row r="679" spans="17:30" ht="12.75" customHeight="1">
      <c r="Q679" s="23"/>
      <c r="R679" s="1"/>
      <c r="S679" s="1"/>
      <c r="T679" s="1"/>
      <c r="U679" s="1"/>
      <c r="V679" s="1"/>
      <c r="W679" s="1"/>
      <c r="X679" s="1"/>
      <c r="Y679" s="1"/>
      <c r="Z679" s="1"/>
      <c r="AC679"/>
      <c r="AD679"/>
    </row>
    <row r="680" spans="17:30" ht="12.75" customHeight="1">
      <c r="Q680" s="23"/>
      <c r="R680" s="1"/>
      <c r="S680" s="1"/>
      <c r="T680" s="1"/>
      <c r="U680" s="1"/>
      <c r="V680" s="1"/>
      <c r="W680" s="1"/>
      <c r="X680" s="1"/>
      <c r="Y680" s="1"/>
      <c r="Z680" s="1"/>
      <c r="AC680"/>
      <c r="AD680"/>
    </row>
    <row r="681" spans="17:30" ht="12.75" customHeight="1">
      <c r="Q681" s="23"/>
      <c r="R681" s="1"/>
      <c r="S681" s="1"/>
      <c r="T681" s="1"/>
      <c r="U681" s="1"/>
      <c r="V681" s="1"/>
      <c r="W681" s="1"/>
      <c r="X681" s="1"/>
      <c r="Y681" s="1"/>
      <c r="Z681" s="1"/>
      <c r="AC681"/>
      <c r="AD681"/>
    </row>
    <row r="682" spans="17:30" ht="12.75" customHeight="1">
      <c r="Q682" s="23"/>
      <c r="R682" s="1"/>
      <c r="S682" s="1"/>
      <c r="T682" s="1"/>
      <c r="U682" s="1"/>
      <c r="V682" s="1"/>
      <c r="W682" s="1"/>
      <c r="X682" s="1"/>
      <c r="Y682" s="1"/>
      <c r="Z682" s="1"/>
      <c r="AC682"/>
      <c r="AD682"/>
    </row>
    <row r="683" spans="17:30" ht="12.75" customHeight="1">
      <c r="Q683" s="23"/>
      <c r="R683" s="1"/>
      <c r="S683" s="1"/>
      <c r="T683" s="1"/>
      <c r="U683" s="1"/>
      <c r="V683" s="1"/>
      <c r="W683" s="1"/>
      <c r="X683" s="1"/>
      <c r="Y683" s="1"/>
      <c r="Z683" s="1"/>
      <c r="AC683"/>
      <c r="AD683"/>
    </row>
    <row r="684" spans="17:30" ht="12.75" customHeight="1">
      <c r="Q684" s="23"/>
      <c r="R684" s="1"/>
      <c r="S684" s="1"/>
      <c r="T684" s="1"/>
      <c r="U684" s="1"/>
      <c r="V684" s="1"/>
      <c r="W684" s="1"/>
      <c r="X684" s="1"/>
      <c r="Y684" s="1"/>
      <c r="Z684" s="1"/>
      <c r="AC684"/>
      <c r="AD684"/>
    </row>
    <row r="685" spans="17:30" ht="12.75" customHeight="1">
      <c r="Q685" s="23"/>
      <c r="R685" s="1"/>
      <c r="S685" s="1"/>
      <c r="T685" s="1"/>
      <c r="U685" s="1"/>
      <c r="V685" s="1"/>
      <c r="W685" s="1"/>
      <c r="X685" s="1"/>
      <c r="Y685" s="1"/>
      <c r="Z685" s="1"/>
      <c r="AC685"/>
      <c r="AD685"/>
    </row>
    <row r="686" spans="17:30" ht="12.75" customHeight="1">
      <c r="Q686" s="23"/>
      <c r="R686" s="1"/>
      <c r="S686" s="1"/>
      <c r="T686" s="1"/>
      <c r="U686" s="1"/>
      <c r="V686" s="1"/>
      <c r="W686" s="1"/>
      <c r="X686" s="1"/>
      <c r="Y686" s="1"/>
      <c r="Z686" s="1"/>
      <c r="AC686"/>
      <c r="AD686"/>
    </row>
    <row r="687" spans="17:30" ht="12.75" customHeight="1">
      <c r="Q687" s="23"/>
      <c r="R687" s="1"/>
      <c r="S687" s="1"/>
      <c r="T687" s="1"/>
      <c r="U687" s="1"/>
      <c r="V687" s="1"/>
      <c r="W687" s="1"/>
      <c r="X687" s="1"/>
      <c r="Y687" s="1"/>
      <c r="Z687" s="1"/>
      <c r="AC687"/>
      <c r="AD687"/>
    </row>
    <row r="688" spans="17:30" ht="12.75" customHeight="1">
      <c r="Q688" s="23"/>
      <c r="R688" s="1"/>
      <c r="S688" s="1"/>
      <c r="T688" s="1"/>
      <c r="U688" s="1"/>
      <c r="V688" s="1"/>
      <c r="W688" s="1"/>
      <c r="X688" s="1"/>
      <c r="Y688" s="1"/>
      <c r="Z688" s="1"/>
      <c r="AC688"/>
      <c r="AD688"/>
    </row>
    <row r="689" spans="17:30" ht="12.75" customHeight="1">
      <c r="Q689" s="23"/>
      <c r="R689" s="1"/>
      <c r="S689" s="1"/>
      <c r="T689" s="1"/>
      <c r="U689" s="1"/>
      <c r="V689" s="1"/>
      <c r="W689" s="1"/>
      <c r="X689" s="1"/>
      <c r="Y689" s="1"/>
      <c r="Z689" s="1"/>
      <c r="AC689"/>
      <c r="AD689"/>
    </row>
    <row r="690" spans="17:30">
      <c r="Q690" s="23"/>
      <c r="R690" s="1"/>
      <c r="S690" s="1"/>
      <c r="T690" s="1"/>
      <c r="U690" s="1"/>
      <c r="V690" s="1"/>
      <c r="W690" s="1"/>
      <c r="X690" s="1"/>
      <c r="Y690" s="1"/>
      <c r="Z690" s="1"/>
      <c r="AC690"/>
      <c r="AD690"/>
    </row>
    <row r="691" spans="17:30">
      <c r="Q691" s="23"/>
      <c r="R691" s="1"/>
      <c r="S691" s="1"/>
      <c r="T691" s="1"/>
      <c r="U691" s="1"/>
      <c r="V691" s="1"/>
      <c r="W691" s="1"/>
      <c r="X691" s="1"/>
      <c r="Y691" s="1"/>
      <c r="Z691" s="1"/>
      <c r="AC691"/>
      <c r="AD691"/>
    </row>
    <row r="692" spans="17:30">
      <c r="Q692" s="23"/>
      <c r="R692" s="1"/>
      <c r="S692" s="1"/>
      <c r="T692" s="1"/>
      <c r="U692" s="1"/>
      <c r="V692" s="1"/>
      <c r="W692" s="1"/>
      <c r="X692" s="1"/>
      <c r="Y692" s="1"/>
      <c r="Z692" s="1"/>
      <c r="AC692"/>
      <c r="AD692"/>
    </row>
    <row r="693" spans="17:30">
      <c r="Q693" s="23"/>
      <c r="R693" s="1"/>
      <c r="S693" s="1"/>
      <c r="T693" s="1"/>
      <c r="U693" s="1"/>
      <c r="V693" s="1"/>
      <c r="W693" s="1"/>
      <c r="X693" s="1"/>
      <c r="Y693" s="1"/>
      <c r="Z693" s="1"/>
      <c r="AC693"/>
      <c r="AD693"/>
    </row>
    <row r="694" spans="17:30">
      <c r="Q694" s="23"/>
      <c r="R694" s="1"/>
      <c r="S694" s="1"/>
      <c r="T694" s="1"/>
      <c r="U694" s="1"/>
      <c r="V694" s="1"/>
      <c r="W694" s="1"/>
      <c r="X694" s="1"/>
      <c r="Y694" s="1"/>
      <c r="Z694" s="1"/>
      <c r="AC694"/>
      <c r="AD694"/>
    </row>
    <row r="695" spans="17:30">
      <c r="Q695" s="23"/>
      <c r="R695" s="1"/>
      <c r="S695" s="1"/>
      <c r="T695" s="1"/>
      <c r="U695" s="1"/>
      <c r="V695" s="1"/>
      <c r="W695" s="1"/>
      <c r="X695" s="1"/>
      <c r="Y695" s="1"/>
      <c r="Z695" s="1"/>
      <c r="AC695"/>
      <c r="AD695"/>
    </row>
    <row r="696" spans="17:30">
      <c r="Q696" s="23"/>
      <c r="R696" s="1"/>
      <c r="S696" s="1"/>
      <c r="T696" s="1"/>
      <c r="U696" s="1"/>
      <c r="V696" s="1"/>
      <c r="W696" s="1"/>
      <c r="X696" s="1"/>
      <c r="Y696" s="1"/>
      <c r="Z696" s="1"/>
      <c r="AC696"/>
      <c r="AD696"/>
    </row>
    <row r="697" spans="17:30">
      <c r="Q697" s="23"/>
      <c r="R697" s="1"/>
      <c r="S697" s="1"/>
      <c r="T697" s="1"/>
      <c r="U697" s="1"/>
      <c r="V697" s="1"/>
      <c r="W697" s="1"/>
      <c r="X697" s="1"/>
      <c r="Y697" s="1"/>
      <c r="Z697" s="1"/>
      <c r="AC697"/>
      <c r="AD697"/>
    </row>
    <row r="698" spans="17:30">
      <c r="Q698" s="23"/>
      <c r="R698" s="1"/>
      <c r="S698" s="1"/>
      <c r="T698" s="1"/>
      <c r="U698" s="1"/>
      <c r="V698" s="1"/>
      <c r="W698" s="1"/>
      <c r="X698" s="1"/>
      <c r="Y698" s="1"/>
      <c r="Z698" s="1"/>
      <c r="AC698"/>
      <c r="AD698"/>
    </row>
    <row r="699" spans="17:30">
      <c r="Q699" s="23"/>
      <c r="R699" s="1"/>
      <c r="S699" s="1"/>
      <c r="T699" s="1"/>
      <c r="U699" s="1"/>
      <c r="V699" s="1"/>
      <c r="W699" s="1"/>
      <c r="X699" s="1"/>
      <c r="Y699" s="1"/>
      <c r="Z699" s="1"/>
      <c r="AC699"/>
      <c r="AD699"/>
    </row>
    <row r="700" spans="17:30">
      <c r="Q700" s="23"/>
      <c r="R700" s="1"/>
      <c r="S700" s="1"/>
      <c r="T700" s="1"/>
      <c r="U700" s="1"/>
      <c r="V700" s="1"/>
      <c r="W700" s="1"/>
      <c r="X700" s="1"/>
      <c r="Y700" s="1"/>
      <c r="Z700" s="1"/>
      <c r="AC700"/>
      <c r="AD700"/>
    </row>
    <row r="701" spans="17:30">
      <c r="Q701" s="23"/>
      <c r="R701" s="1"/>
      <c r="S701" s="1"/>
      <c r="T701" s="1"/>
      <c r="U701" s="1"/>
      <c r="V701" s="1"/>
      <c r="W701" s="1"/>
      <c r="X701" s="1"/>
      <c r="Y701" s="1"/>
      <c r="Z701" s="1"/>
      <c r="AC701"/>
      <c r="AD701"/>
    </row>
    <row r="702" spans="17:30">
      <c r="Q702" s="23"/>
      <c r="R702" s="1"/>
      <c r="S702" s="1"/>
      <c r="T702" s="1"/>
      <c r="U702" s="1"/>
      <c r="V702" s="1"/>
      <c r="W702" s="1"/>
      <c r="X702" s="1"/>
      <c r="Y702" s="1"/>
      <c r="Z702" s="1"/>
      <c r="AC702"/>
      <c r="AD702"/>
    </row>
    <row r="703" spans="17:30">
      <c r="Q703" s="23"/>
      <c r="R703" s="1"/>
      <c r="S703" s="1"/>
      <c r="T703" s="1"/>
      <c r="U703" s="1"/>
      <c r="V703" s="1"/>
      <c r="W703" s="1"/>
      <c r="X703" s="1"/>
      <c r="Y703" s="1"/>
      <c r="Z703" s="1"/>
      <c r="AC703"/>
      <c r="AD703"/>
    </row>
    <row r="704" spans="17:30">
      <c r="Q704" s="23"/>
      <c r="R704" s="1"/>
      <c r="S704" s="1"/>
      <c r="T704" s="1"/>
      <c r="U704" s="1"/>
      <c r="V704" s="1"/>
      <c r="W704" s="1"/>
      <c r="X704" s="1"/>
      <c r="Y704" s="1"/>
      <c r="Z704" s="1"/>
      <c r="AC704"/>
      <c r="AD704"/>
    </row>
    <row r="705" spans="17:30">
      <c r="Q705" s="23"/>
      <c r="R705" s="1"/>
      <c r="S705" s="1"/>
      <c r="T705" s="1"/>
      <c r="U705" s="1"/>
      <c r="V705" s="1"/>
      <c r="W705" s="1"/>
      <c r="X705" s="1"/>
      <c r="Y705" s="1"/>
      <c r="Z705" s="1"/>
      <c r="AC705"/>
      <c r="AD705"/>
    </row>
    <row r="706" spans="17:30">
      <c r="Q706" s="23"/>
      <c r="R706" s="1"/>
      <c r="S706" s="1"/>
      <c r="T706" s="1"/>
      <c r="U706" s="1"/>
      <c r="V706" s="1"/>
      <c r="W706" s="1"/>
      <c r="X706" s="1"/>
      <c r="Y706" s="1"/>
      <c r="Z706" s="1"/>
      <c r="AC706"/>
      <c r="AD706"/>
    </row>
    <row r="707" spans="17:30">
      <c r="Q707" s="23"/>
      <c r="R707" s="1"/>
      <c r="S707" s="1"/>
      <c r="T707" s="1"/>
      <c r="U707" s="1"/>
      <c r="V707" s="1"/>
      <c r="W707" s="1"/>
      <c r="X707" s="1"/>
      <c r="Y707" s="1"/>
      <c r="Z707" s="1"/>
      <c r="AC707"/>
      <c r="AD707"/>
    </row>
    <row r="708" spans="17:30">
      <c r="Q708" s="23"/>
      <c r="R708" s="1"/>
      <c r="S708" s="1"/>
      <c r="T708" s="1"/>
      <c r="U708" s="1"/>
      <c r="V708" s="1"/>
      <c r="W708" s="1"/>
      <c r="X708" s="1"/>
      <c r="Y708" s="1"/>
      <c r="Z708" s="1"/>
      <c r="AC708"/>
      <c r="AD708"/>
    </row>
    <row r="709" spans="17:30">
      <c r="Q709" s="23"/>
      <c r="R709" s="1"/>
      <c r="S709" s="1"/>
      <c r="T709" s="1"/>
      <c r="U709" s="1"/>
      <c r="V709" s="1"/>
      <c r="W709" s="1"/>
      <c r="X709" s="1"/>
      <c r="Y709" s="1"/>
      <c r="Z709" s="1"/>
      <c r="AC709"/>
      <c r="AD709"/>
    </row>
    <row r="710" spans="17:30">
      <c r="Q710" s="23"/>
      <c r="R710" s="1"/>
      <c r="S710" s="1"/>
      <c r="T710" s="1"/>
      <c r="U710" s="1"/>
      <c r="V710" s="1"/>
      <c r="W710" s="1"/>
      <c r="X710" s="1"/>
      <c r="Y710" s="1"/>
      <c r="Z710" s="1"/>
      <c r="AC710"/>
      <c r="AD710"/>
    </row>
    <row r="711" spans="17:30">
      <c r="Q711" s="23"/>
      <c r="R711" s="1"/>
      <c r="S711" s="1"/>
      <c r="T711" s="1"/>
      <c r="U711" s="1"/>
      <c r="V711" s="1"/>
      <c r="W711" s="1"/>
      <c r="X711" s="1"/>
      <c r="Y711" s="1"/>
      <c r="Z711" s="1"/>
      <c r="AC711"/>
      <c r="AD711"/>
    </row>
    <row r="712" spans="17:30">
      <c r="Q712" s="23"/>
      <c r="R712" s="1"/>
      <c r="S712" s="1"/>
      <c r="T712" s="1"/>
      <c r="U712" s="1"/>
      <c r="V712" s="1"/>
      <c r="W712" s="1"/>
      <c r="X712" s="1"/>
      <c r="Y712" s="1"/>
      <c r="Z712" s="1"/>
      <c r="AC712"/>
      <c r="AD712"/>
    </row>
    <row r="713" spans="17:30">
      <c r="Q713" s="23"/>
      <c r="R713" s="1"/>
      <c r="S713" s="1"/>
      <c r="T713" s="1"/>
      <c r="U713" s="1"/>
      <c r="V713" s="1"/>
      <c r="W713" s="1"/>
      <c r="X713" s="1"/>
      <c r="Y713" s="1"/>
      <c r="Z713" s="1"/>
      <c r="AC713"/>
      <c r="AD713"/>
    </row>
    <row r="714" spans="17:30">
      <c r="Q714" s="23"/>
      <c r="R714" s="1"/>
      <c r="S714" s="1"/>
      <c r="T714" s="1"/>
      <c r="U714" s="1"/>
      <c r="V714" s="1"/>
      <c r="W714" s="1"/>
      <c r="X714" s="1"/>
      <c r="Y714" s="1"/>
      <c r="Z714" s="1"/>
      <c r="AC714"/>
      <c r="AD714"/>
    </row>
    <row r="715" spans="17:30">
      <c r="Q715" s="23"/>
      <c r="R715" s="1"/>
      <c r="S715" s="1"/>
      <c r="T715" s="1"/>
      <c r="U715" s="1"/>
      <c r="V715" s="1"/>
      <c r="W715" s="1"/>
      <c r="X715" s="1"/>
      <c r="Y715" s="1"/>
      <c r="Z715" s="1"/>
      <c r="AC715"/>
      <c r="AD715"/>
    </row>
    <row r="716" spans="17:30">
      <c r="Q716" s="23"/>
      <c r="R716" s="1"/>
      <c r="S716" s="1"/>
      <c r="T716" s="1"/>
      <c r="U716" s="1"/>
      <c r="V716" s="1"/>
      <c r="W716" s="1"/>
      <c r="X716" s="1"/>
      <c r="Y716" s="1"/>
      <c r="Z716" s="1"/>
      <c r="AC716"/>
      <c r="AD716"/>
    </row>
    <row r="717" spans="17:30">
      <c r="Q717" s="23"/>
      <c r="R717" s="1"/>
      <c r="S717" s="1"/>
      <c r="T717" s="1"/>
      <c r="U717" s="1"/>
      <c r="V717" s="1"/>
      <c r="W717" s="1"/>
      <c r="X717" s="1"/>
      <c r="Y717" s="1"/>
      <c r="Z717" s="1"/>
      <c r="AC717"/>
      <c r="AD717"/>
    </row>
    <row r="718" spans="17:30">
      <c r="Q718" s="23"/>
      <c r="R718" s="1"/>
      <c r="S718" s="1"/>
      <c r="T718" s="1"/>
      <c r="U718" s="1"/>
      <c r="V718" s="1"/>
      <c r="W718" s="1"/>
      <c r="X718" s="1"/>
      <c r="Y718" s="1"/>
      <c r="Z718" s="1"/>
      <c r="AC718"/>
      <c r="AD718"/>
    </row>
    <row r="719" spans="17:30">
      <c r="Q719" s="23"/>
      <c r="R719" s="1"/>
      <c r="S719" s="1"/>
      <c r="T719" s="1"/>
      <c r="U719" s="1"/>
      <c r="V719" s="1"/>
      <c r="W719" s="1"/>
      <c r="X719" s="1"/>
      <c r="Y719" s="1"/>
      <c r="Z719" s="1"/>
      <c r="AC719"/>
      <c r="AD719"/>
    </row>
    <row r="720" spans="17:30">
      <c r="Q720" s="23"/>
      <c r="R720" s="1"/>
      <c r="S720" s="1"/>
      <c r="T720" s="1"/>
      <c r="U720" s="1"/>
      <c r="V720" s="1"/>
      <c r="W720" s="1"/>
      <c r="X720" s="1"/>
      <c r="Y720" s="1"/>
      <c r="Z720" s="1"/>
      <c r="AC720"/>
      <c r="AD720"/>
    </row>
    <row r="721" spans="17:30">
      <c r="Q721" s="23"/>
      <c r="R721" s="1"/>
      <c r="S721" s="1"/>
      <c r="T721" s="1"/>
      <c r="U721" s="1"/>
      <c r="V721" s="1"/>
      <c r="W721" s="1"/>
      <c r="X721" s="1"/>
      <c r="Y721" s="1"/>
      <c r="Z721" s="1"/>
      <c r="AC721"/>
      <c r="AD721"/>
    </row>
    <row r="722" spans="17:30">
      <c r="Q722" s="23"/>
      <c r="R722" s="1"/>
      <c r="S722" s="1"/>
      <c r="T722" s="1"/>
      <c r="U722" s="1"/>
      <c r="V722" s="1"/>
      <c r="W722" s="1"/>
      <c r="X722" s="1"/>
      <c r="Y722" s="1"/>
      <c r="Z722" s="1"/>
      <c r="AC722"/>
      <c r="AD722"/>
    </row>
    <row r="723" spans="17:30">
      <c r="Q723" s="23"/>
      <c r="R723" s="1"/>
      <c r="S723" s="1"/>
      <c r="T723" s="1"/>
      <c r="U723" s="1"/>
      <c r="V723" s="1"/>
      <c r="W723" s="1"/>
      <c r="X723" s="1"/>
      <c r="Y723" s="1"/>
      <c r="Z723" s="1"/>
      <c r="AC723"/>
      <c r="AD723"/>
    </row>
    <row r="724" spans="17:30">
      <c r="Q724" s="23"/>
      <c r="R724" s="1"/>
      <c r="S724" s="1"/>
      <c r="T724" s="1"/>
      <c r="U724" s="1"/>
      <c r="V724" s="1"/>
      <c r="W724" s="1"/>
      <c r="X724" s="1"/>
      <c r="Y724" s="1"/>
      <c r="Z724" s="1"/>
      <c r="AC724"/>
      <c r="AD724"/>
    </row>
    <row r="725" spans="17:30">
      <c r="Q725" s="23"/>
      <c r="R725" s="1"/>
      <c r="S725" s="1"/>
      <c r="T725" s="1"/>
      <c r="U725" s="1"/>
      <c r="V725" s="1"/>
      <c r="W725" s="1"/>
      <c r="X725" s="1"/>
      <c r="Y725" s="1"/>
      <c r="Z725" s="1"/>
      <c r="AC725"/>
      <c r="AD725"/>
    </row>
    <row r="726" spans="17:30">
      <c r="Q726" s="23"/>
      <c r="R726" s="1"/>
      <c r="S726" s="1"/>
      <c r="T726" s="1"/>
      <c r="U726" s="1"/>
      <c r="V726" s="1"/>
      <c r="W726" s="1"/>
      <c r="X726" s="1"/>
      <c r="Y726" s="1"/>
      <c r="Z726" s="1"/>
      <c r="AC726"/>
      <c r="AD726"/>
    </row>
    <row r="727" spans="17:30">
      <c r="Q727" s="23"/>
      <c r="R727" s="1"/>
      <c r="S727" s="1"/>
      <c r="T727" s="1"/>
      <c r="U727" s="1"/>
      <c r="V727" s="1"/>
      <c r="W727" s="1"/>
      <c r="X727" s="1"/>
      <c r="Y727" s="1"/>
      <c r="Z727" s="1"/>
      <c r="AC727"/>
      <c r="AD727"/>
    </row>
    <row r="728" spans="17:30">
      <c r="Q728"/>
      <c r="R728"/>
      <c r="S728"/>
      <c r="T728"/>
      <c r="U728"/>
      <c r="V728"/>
      <c r="W728"/>
      <c r="X728"/>
      <c r="Y728"/>
      <c r="Z728"/>
      <c r="AA728"/>
      <c r="AB728"/>
      <c r="AC728"/>
      <c r="AD728"/>
    </row>
    <row r="729" spans="17:30">
      <c r="Q729"/>
      <c r="R729"/>
      <c r="S729"/>
      <c r="T729"/>
      <c r="U729"/>
      <c r="V729"/>
      <c r="W729"/>
      <c r="X729"/>
      <c r="Y729"/>
      <c r="Z729"/>
      <c r="AA729"/>
      <c r="AB729"/>
      <c r="AC729"/>
      <c r="AD729"/>
    </row>
    <row r="730" spans="17:30">
      <c r="Q730"/>
      <c r="R730"/>
      <c r="S730"/>
      <c r="T730"/>
      <c r="U730"/>
      <c r="V730"/>
      <c r="W730"/>
      <c r="X730"/>
      <c r="Y730"/>
      <c r="Z730"/>
      <c r="AA730"/>
      <c r="AB730"/>
      <c r="AC730"/>
      <c r="AD730"/>
    </row>
    <row r="731" spans="17:30">
      <c r="Q731"/>
      <c r="R731"/>
      <c r="S731"/>
      <c r="T731"/>
      <c r="U731"/>
      <c r="V731"/>
      <c r="W731"/>
      <c r="X731"/>
      <c r="Y731"/>
      <c r="Z731"/>
      <c r="AA731"/>
      <c r="AB731"/>
      <c r="AC731"/>
      <c r="AD731"/>
    </row>
    <row r="732" spans="17:30">
      <c r="Q732"/>
      <c r="R732"/>
      <c r="S732"/>
      <c r="T732"/>
      <c r="U732"/>
      <c r="V732"/>
      <c r="W732"/>
      <c r="X732"/>
      <c r="Y732"/>
      <c r="Z732"/>
      <c r="AA732"/>
      <c r="AB732"/>
      <c r="AC732"/>
      <c r="AD732"/>
    </row>
    <row r="733" spans="17:30">
      <c r="Q733"/>
      <c r="R733"/>
      <c r="S733"/>
      <c r="T733"/>
      <c r="U733"/>
      <c r="V733"/>
      <c r="W733"/>
      <c r="X733"/>
      <c r="Y733"/>
      <c r="Z733"/>
      <c r="AA733"/>
      <c r="AB733"/>
      <c r="AC733"/>
      <c r="AD733"/>
    </row>
    <row r="734" spans="17:30">
      <c r="Q734"/>
      <c r="R734"/>
      <c r="S734"/>
      <c r="T734"/>
      <c r="U734"/>
      <c r="V734"/>
      <c r="W734"/>
      <c r="X734"/>
      <c r="Y734"/>
      <c r="Z734"/>
      <c r="AA734"/>
      <c r="AB734"/>
      <c r="AC734"/>
      <c r="AD734"/>
    </row>
    <row r="735" spans="17:30">
      <c r="Q735"/>
      <c r="R735"/>
      <c r="S735"/>
      <c r="T735"/>
      <c r="U735"/>
      <c r="V735"/>
      <c r="W735"/>
      <c r="X735"/>
      <c r="Y735"/>
      <c r="Z735"/>
      <c r="AA735"/>
      <c r="AB735"/>
      <c r="AC735"/>
      <c r="AD735"/>
    </row>
    <row r="736" spans="17:30">
      <c r="Q736"/>
      <c r="R736"/>
      <c r="S736"/>
      <c r="T736"/>
      <c r="U736"/>
      <c r="V736"/>
      <c r="W736"/>
      <c r="X736"/>
      <c r="Y736"/>
      <c r="Z736"/>
      <c r="AA736"/>
      <c r="AB736"/>
      <c r="AC736"/>
      <c r="AD736"/>
    </row>
    <row r="737" spans="17:30">
      <c r="Q737"/>
      <c r="R737"/>
      <c r="S737"/>
      <c r="T737"/>
      <c r="U737"/>
      <c r="V737"/>
      <c r="W737"/>
      <c r="X737"/>
      <c r="Y737"/>
      <c r="Z737"/>
      <c r="AA737"/>
      <c r="AB737"/>
      <c r="AC737"/>
      <c r="AD737"/>
    </row>
    <row r="738" spans="17:30">
      <c r="Q738"/>
      <c r="R738"/>
      <c r="S738"/>
      <c r="T738"/>
      <c r="U738"/>
      <c r="V738"/>
      <c r="W738"/>
      <c r="X738"/>
      <c r="Y738"/>
      <c r="Z738"/>
      <c r="AA738"/>
      <c r="AB738"/>
      <c r="AC738"/>
      <c r="AD738"/>
    </row>
    <row r="739" spans="17:30">
      <c r="Q739"/>
      <c r="R739"/>
      <c r="S739"/>
      <c r="T739"/>
      <c r="U739"/>
      <c r="V739"/>
      <c r="W739"/>
      <c r="X739"/>
      <c r="Y739"/>
      <c r="Z739"/>
      <c r="AA739"/>
      <c r="AB739"/>
      <c r="AC739"/>
      <c r="AD739"/>
    </row>
    <row r="740" spans="17:30">
      <c r="Q740"/>
      <c r="R740"/>
      <c r="S740"/>
      <c r="T740"/>
      <c r="U740"/>
      <c r="V740"/>
      <c r="W740"/>
      <c r="X740"/>
      <c r="Y740"/>
      <c r="Z740"/>
      <c r="AA740"/>
      <c r="AB740"/>
      <c r="AC740"/>
      <c r="AD740"/>
    </row>
    <row r="741" spans="17:30">
      <c r="Q741"/>
      <c r="R741"/>
      <c r="S741"/>
      <c r="T741"/>
      <c r="U741"/>
      <c r="V741"/>
      <c r="W741"/>
      <c r="X741"/>
      <c r="Y741"/>
      <c r="Z741"/>
      <c r="AA741"/>
      <c r="AB741"/>
      <c r="AC741"/>
      <c r="AD741"/>
    </row>
    <row r="742" spans="17:30">
      <c r="Q742"/>
      <c r="R742"/>
      <c r="S742"/>
      <c r="T742"/>
      <c r="U742"/>
      <c r="V742"/>
      <c r="W742"/>
      <c r="X742"/>
      <c r="Y742"/>
      <c r="Z742"/>
      <c r="AA742"/>
      <c r="AB742"/>
      <c r="AC742"/>
      <c r="AD742"/>
    </row>
    <row r="743" spans="17:30">
      <c r="Q743"/>
      <c r="R743"/>
      <c r="S743"/>
      <c r="T743"/>
      <c r="U743"/>
      <c r="V743"/>
      <c r="W743"/>
      <c r="X743"/>
      <c r="Y743"/>
      <c r="Z743"/>
      <c r="AA743"/>
      <c r="AB743"/>
      <c r="AC743"/>
      <c r="AD743"/>
    </row>
    <row r="744" spans="17:30">
      <c r="Q744"/>
      <c r="R744"/>
      <c r="S744"/>
      <c r="T744"/>
      <c r="U744"/>
      <c r="V744"/>
      <c r="W744"/>
      <c r="X744"/>
      <c r="Y744"/>
      <c r="Z744"/>
      <c r="AA744"/>
      <c r="AB744"/>
      <c r="AC744"/>
      <c r="AD744"/>
    </row>
    <row r="745" spans="17:30">
      <c r="Q745"/>
      <c r="R745"/>
      <c r="S745"/>
      <c r="T745"/>
      <c r="U745"/>
      <c r="V745"/>
      <c r="W745"/>
      <c r="X745"/>
      <c r="Y745"/>
      <c r="Z745"/>
      <c r="AA745"/>
      <c r="AB745"/>
      <c r="AC745"/>
      <c r="AD745"/>
    </row>
    <row r="746" spans="17:30">
      <c r="Q746"/>
      <c r="R746"/>
      <c r="S746"/>
      <c r="T746"/>
      <c r="U746"/>
      <c r="V746"/>
      <c r="W746"/>
      <c r="X746"/>
      <c r="Y746"/>
      <c r="Z746"/>
      <c r="AA746"/>
      <c r="AB746"/>
      <c r="AC746"/>
      <c r="AD746"/>
    </row>
    <row r="747" spans="17:30">
      <c r="Q747"/>
      <c r="R747"/>
      <c r="S747"/>
      <c r="T747"/>
      <c r="U747"/>
      <c r="V747"/>
      <c r="W747"/>
      <c r="X747"/>
      <c r="Y747"/>
      <c r="Z747"/>
      <c r="AA747"/>
      <c r="AB747"/>
      <c r="AC747"/>
      <c r="AD747"/>
    </row>
    <row r="748" spans="17:30">
      <c r="Q748"/>
      <c r="R748"/>
      <c r="S748"/>
      <c r="T748"/>
      <c r="U748"/>
      <c r="V748"/>
      <c r="W748"/>
      <c r="X748"/>
      <c r="Y748"/>
      <c r="Z748"/>
      <c r="AA748"/>
      <c r="AB748"/>
      <c r="AC748"/>
      <c r="AD748"/>
    </row>
    <row r="749" spans="17:30">
      <c r="Q749"/>
      <c r="R749"/>
      <c r="S749"/>
      <c r="T749"/>
      <c r="U749"/>
      <c r="V749"/>
      <c r="W749"/>
      <c r="X749"/>
      <c r="Y749"/>
      <c r="Z749"/>
      <c r="AA749"/>
      <c r="AB749"/>
      <c r="AC749"/>
      <c r="AD749"/>
    </row>
    <row r="750" spans="17:30">
      <c r="Q750"/>
      <c r="R750"/>
      <c r="S750"/>
      <c r="T750"/>
      <c r="U750"/>
      <c r="V750"/>
      <c r="W750"/>
      <c r="X750"/>
      <c r="Y750"/>
      <c r="Z750"/>
      <c r="AA750"/>
      <c r="AB750"/>
      <c r="AC750"/>
      <c r="AD750"/>
    </row>
    <row r="751" spans="17:30">
      <c r="Q751"/>
      <c r="R751"/>
      <c r="S751"/>
      <c r="T751"/>
      <c r="U751"/>
      <c r="V751"/>
      <c r="W751"/>
      <c r="X751"/>
      <c r="Y751"/>
      <c r="Z751"/>
      <c r="AA751"/>
      <c r="AB751"/>
      <c r="AC751"/>
      <c r="AD751"/>
    </row>
    <row r="752" spans="17:30">
      <c r="Q752"/>
      <c r="R752"/>
      <c r="S752"/>
      <c r="T752"/>
      <c r="U752"/>
      <c r="V752"/>
      <c r="W752"/>
      <c r="X752"/>
      <c r="Y752"/>
      <c r="Z752"/>
      <c r="AA752"/>
      <c r="AB752"/>
      <c r="AC752"/>
      <c r="AD752"/>
    </row>
    <row r="753" spans="17:30">
      <c r="Q753"/>
      <c r="R753"/>
      <c r="S753"/>
      <c r="T753"/>
      <c r="U753"/>
      <c r="V753"/>
      <c r="W753"/>
      <c r="X753"/>
      <c r="Y753"/>
      <c r="Z753"/>
      <c r="AA753"/>
      <c r="AB753"/>
      <c r="AC753"/>
      <c r="AD753"/>
    </row>
    <row r="754" spans="17:30">
      <c r="Q754"/>
      <c r="R754"/>
      <c r="S754"/>
      <c r="T754"/>
      <c r="U754"/>
      <c r="V754"/>
      <c r="W754"/>
      <c r="X754"/>
      <c r="Y754"/>
      <c r="Z754"/>
      <c r="AA754"/>
      <c r="AB754"/>
      <c r="AC754"/>
      <c r="AD754"/>
    </row>
    <row r="755" spans="17:30">
      <c r="Q755"/>
      <c r="R755"/>
      <c r="S755"/>
      <c r="T755"/>
      <c r="U755"/>
      <c r="V755"/>
      <c r="W755"/>
      <c r="X755"/>
      <c r="Y755"/>
      <c r="Z755"/>
      <c r="AA755"/>
      <c r="AB755"/>
      <c r="AC755"/>
      <c r="AD755"/>
    </row>
    <row r="756" spans="17:30">
      <c r="Q756"/>
      <c r="R756"/>
      <c r="S756"/>
      <c r="T756"/>
      <c r="U756"/>
      <c r="V756"/>
      <c r="W756"/>
      <c r="X756"/>
      <c r="Y756"/>
      <c r="Z756"/>
      <c r="AA756"/>
      <c r="AB756"/>
      <c r="AC756"/>
      <c r="AD756"/>
    </row>
    <row r="757" spans="17:30">
      <c r="Q757"/>
      <c r="R757"/>
      <c r="S757"/>
      <c r="T757"/>
      <c r="U757"/>
      <c r="V757"/>
      <c r="W757"/>
      <c r="X757"/>
      <c r="Y757"/>
      <c r="Z757"/>
      <c r="AA757"/>
      <c r="AB757"/>
      <c r="AC757"/>
      <c r="AD757"/>
    </row>
    <row r="758" spans="17:30">
      <c r="Q758"/>
      <c r="R758"/>
      <c r="S758"/>
      <c r="T758"/>
      <c r="U758"/>
      <c r="V758"/>
      <c r="W758"/>
      <c r="X758"/>
      <c r="Y758"/>
      <c r="Z758"/>
      <c r="AA758"/>
      <c r="AB758"/>
      <c r="AC758"/>
      <c r="AD758"/>
    </row>
    <row r="759" spans="17:30">
      <c r="Q759"/>
      <c r="R759"/>
      <c r="S759"/>
      <c r="T759"/>
      <c r="U759"/>
      <c r="V759"/>
      <c r="W759"/>
      <c r="X759"/>
      <c r="Y759"/>
      <c r="Z759"/>
      <c r="AA759"/>
      <c r="AB759"/>
      <c r="AC759"/>
      <c r="AD759"/>
    </row>
    <row r="760" spans="17:30">
      <c r="Q760"/>
      <c r="R760"/>
      <c r="S760"/>
      <c r="T760"/>
      <c r="U760"/>
      <c r="V760"/>
      <c r="W760"/>
      <c r="X760"/>
      <c r="Y760"/>
      <c r="Z760"/>
      <c r="AA760"/>
      <c r="AB760"/>
      <c r="AC760"/>
      <c r="AD760"/>
    </row>
    <row r="761" spans="17:30">
      <c r="Q761"/>
      <c r="R761"/>
      <c r="S761"/>
      <c r="T761"/>
      <c r="U761"/>
      <c r="V761"/>
      <c r="W761"/>
      <c r="X761"/>
      <c r="Y761"/>
      <c r="Z761"/>
      <c r="AA761"/>
      <c r="AB761"/>
      <c r="AC761"/>
      <c r="AD761"/>
    </row>
    <row r="762" spans="17:30">
      <c r="Q762"/>
      <c r="R762"/>
      <c r="S762"/>
      <c r="T762"/>
      <c r="U762"/>
      <c r="V762"/>
      <c r="W762"/>
      <c r="X762"/>
      <c r="Y762"/>
      <c r="Z762"/>
      <c r="AA762"/>
      <c r="AB762"/>
      <c r="AC762"/>
      <c r="AD762"/>
    </row>
    <row r="763" spans="17:30">
      <c r="Q763"/>
      <c r="R763"/>
      <c r="S763"/>
      <c r="T763"/>
      <c r="U763"/>
      <c r="V763"/>
      <c r="W763"/>
      <c r="X763"/>
      <c r="Y763"/>
      <c r="Z763"/>
      <c r="AA763"/>
      <c r="AB763"/>
      <c r="AC763"/>
      <c r="AD763"/>
    </row>
    <row r="764" spans="17:30">
      <c r="Q764"/>
      <c r="R764"/>
      <c r="S764"/>
      <c r="T764"/>
      <c r="U764"/>
      <c r="V764"/>
      <c r="W764"/>
      <c r="X764"/>
      <c r="Y764"/>
      <c r="Z764"/>
      <c r="AA764"/>
      <c r="AB764"/>
      <c r="AC764"/>
      <c r="AD764"/>
    </row>
    <row r="765" spans="17:30">
      <c r="Q765"/>
      <c r="R765"/>
      <c r="S765"/>
      <c r="T765"/>
      <c r="U765"/>
      <c r="V765"/>
      <c r="W765"/>
      <c r="X765"/>
      <c r="Y765"/>
      <c r="Z765"/>
      <c r="AA765"/>
      <c r="AB765"/>
      <c r="AC765"/>
      <c r="AD765"/>
    </row>
    <row r="766" spans="17:30">
      <c r="Q766"/>
      <c r="R766"/>
      <c r="S766"/>
      <c r="T766"/>
      <c r="U766"/>
      <c r="V766"/>
      <c r="W766"/>
      <c r="X766"/>
      <c r="Y766"/>
      <c r="Z766"/>
      <c r="AA766"/>
      <c r="AB766"/>
      <c r="AC766"/>
      <c r="AD766"/>
    </row>
    <row r="767" spans="17:30">
      <c r="Q767"/>
      <c r="R767"/>
      <c r="S767"/>
      <c r="T767"/>
      <c r="U767"/>
      <c r="V767"/>
      <c r="W767"/>
      <c r="X767"/>
      <c r="Y767"/>
      <c r="Z767"/>
      <c r="AA767"/>
      <c r="AB767"/>
      <c r="AC767"/>
      <c r="AD767"/>
    </row>
    <row r="768" spans="17:30">
      <c r="Q768"/>
      <c r="R768"/>
      <c r="S768"/>
      <c r="T768"/>
      <c r="U768"/>
      <c r="V768"/>
      <c r="W768"/>
      <c r="X768"/>
      <c r="Y768"/>
      <c r="Z768"/>
      <c r="AA768"/>
      <c r="AB768"/>
      <c r="AC768"/>
      <c r="AD768"/>
    </row>
    <row r="769" spans="17:30">
      <c r="Q769"/>
      <c r="R769"/>
      <c r="S769"/>
      <c r="T769"/>
      <c r="U769"/>
      <c r="V769"/>
      <c r="W769"/>
      <c r="X769"/>
      <c r="Y769"/>
      <c r="Z769"/>
      <c r="AA769"/>
      <c r="AB769"/>
      <c r="AC769"/>
      <c r="AD769"/>
    </row>
    <row r="770" spans="17:30">
      <c r="Q770"/>
      <c r="R770"/>
      <c r="S770"/>
      <c r="T770"/>
      <c r="U770"/>
      <c r="V770"/>
      <c r="W770"/>
      <c r="X770"/>
      <c r="Y770"/>
      <c r="Z770"/>
      <c r="AA770"/>
      <c r="AB770"/>
      <c r="AC770"/>
      <c r="AD770"/>
    </row>
    <row r="771" spans="17:30">
      <c r="Q771"/>
      <c r="R771"/>
      <c r="S771"/>
      <c r="T771"/>
      <c r="U771"/>
      <c r="V771"/>
      <c r="W771"/>
      <c r="X771"/>
      <c r="Y771"/>
      <c r="Z771"/>
      <c r="AA771"/>
      <c r="AB771"/>
      <c r="AC771"/>
      <c r="AD771"/>
    </row>
    <row r="772" spans="17:30">
      <c r="Q772"/>
      <c r="R772"/>
      <c r="S772"/>
      <c r="T772"/>
      <c r="U772"/>
      <c r="V772"/>
      <c r="W772"/>
      <c r="X772"/>
      <c r="Y772"/>
      <c r="Z772"/>
      <c r="AA772"/>
      <c r="AB772"/>
      <c r="AC772"/>
      <c r="AD772"/>
    </row>
    <row r="773" spans="17:30">
      <c r="Q773"/>
      <c r="R773"/>
      <c r="S773"/>
      <c r="T773"/>
      <c r="U773"/>
      <c r="V773"/>
      <c r="W773"/>
      <c r="X773"/>
      <c r="Y773"/>
      <c r="Z773"/>
      <c r="AA773"/>
      <c r="AB773"/>
      <c r="AC773"/>
      <c r="AD773"/>
    </row>
    <row r="774" spans="17:30">
      <c r="Q774"/>
      <c r="R774"/>
      <c r="S774"/>
      <c r="T774"/>
      <c r="U774"/>
      <c r="V774"/>
      <c r="W774"/>
      <c r="X774"/>
      <c r="Y774"/>
      <c r="Z774"/>
      <c r="AA774"/>
      <c r="AB774"/>
      <c r="AC774"/>
      <c r="AD774"/>
    </row>
    <row r="775" spans="17:30">
      <c r="Q775"/>
      <c r="R775"/>
      <c r="S775"/>
      <c r="T775"/>
      <c r="U775"/>
      <c r="V775"/>
      <c r="W775"/>
      <c r="X775"/>
      <c r="Y775"/>
      <c r="Z775"/>
      <c r="AA775"/>
      <c r="AB775"/>
      <c r="AC775"/>
      <c r="AD775"/>
    </row>
    <row r="776" spans="17:30">
      <c r="Q776"/>
      <c r="R776"/>
      <c r="S776"/>
      <c r="T776"/>
      <c r="U776"/>
      <c r="V776"/>
      <c r="W776"/>
      <c r="X776"/>
      <c r="Y776"/>
      <c r="Z776"/>
      <c r="AA776"/>
      <c r="AB776"/>
      <c r="AC776"/>
      <c r="AD776"/>
    </row>
    <row r="777" spans="17:30">
      <c r="Q777" s="23"/>
      <c r="R777" s="1"/>
      <c r="S777" s="1"/>
      <c r="T777" s="1"/>
      <c r="U777" s="1"/>
      <c r="V777" s="1"/>
      <c r="W777" s="1"/>
      <c r="X777" s="1"/>
      <c r="Y777" s="1"/>
      <c r="Z777" s="1"/>
    </row>
    <row r="778" spans="17:30">
      <c r="Q778" s="23"/>
      <c r="R778" s="1"/>
      <c r="S778" s="1"/>
      <c r="T778" s="1"/>
      <c r="U778" s="1"/>
      <c r="V778" s="1"/>
      <c r="W778" s="1"/>
      <c r="X778" s="1"/>
      <c r="Y778" s="1"/>
      <c r="Z778" s="1"/>
    </row>
    <row r="779" spans="17:30">
      <c r="Q779" s="23"/>
      <c r="R779" s="1"/>
      <c r="S779" s="1"/>
      <c r="T779" s="1"/>
      <c r="U779" s="1"/>
      <c r="V779" s="1"/>
      <c r="W779" s="1"/>
      <c r="X779" s="1"/>
      <c r="Y779" s="1"/>
      <c r="Z779" s="1"/>
    </row>
    <row r="780" spans="17:30">
      <c r="Q780" s="23"/>
      <c r="R780" s="1"/>
      <c r="S780" s="1"/>
      <c r="T780" s="1"/>
      <c r="U780" s="1"/>
      <c r="V780" s="1"/>
      <c r="W780" s="1"/>
      <c r="X780" s="1"/>
      <c r="Y780" s="1"/>
      <c r="Z780" s="1"/>
    </row>
    <row r="781" spans="17:30">
      <c r="Q781" s="23"/>
      <c r="R781" s="1"/>
      <c r="S781" s="1"/>
      <c r="T781" s="1"/>
      <c r="U781" s="1"/>
      <c r="V781" s="1"/>
      <c r="W781" s="1"/>
      <c r="X781" s="1"/>
      <c r="Y781" s="1"/>
      <c r="Z781" s="1"/>
    </row>
    <row r="782" spans="17:30">
      <c r="Q782" s="23"/>
      <c r="R782" s="1"/>
      <c r="S782" s="1"/>
      <c r="T782" s="1"/>
      <c r="U782" s="1"/>
      <c r="V782" s="1"/>
      <c r="W782" s="1"/>
      <c r="X782" s="1"/>
      <c r="Y782" s="1"/>
      <c r="Z782" s="1"/>
    </row>
    <row r="783" spans="17:30">
      <c r="Q783" s="23"/>
      <c r="R783" s="1"/>
      <c r="S783" s="1"/>
      <c r="T783" s="1"/>
      <c r="U783" s="1"/>
      <c r="V783" s="1"/>
      <c r="W783" s="1"/>
      <c r="X783" s="1"/>
      <c r="Y783" s="1"/>
      <c r="Z783" s="1"/>
    </row>
    <row r="784" spans="17:30">
      <c r="Q784" s="23"/>
      <c r="R784" s="1"/>
      <c r="S784" s="1"/>
      <c r="T784" s="1"/>
      <c r="U784" s="1"/>
      <c r="V784" s="1"/>
      <c r="W784" s="1"/>
      <c r="X784" s="1"/>
      <c r="Y784" s="1"/>
      <c r="Z784" s="1"/>
    </row>
    <row r="785" spans="17:26">
      <c r="Q785" s="23"/>
      <c r="R785" s="1"/>
      <c r="S785" s="1"/>
      <c r="T785" s="1"/>
      <c r="U785" s="1"/>
      <c r="V785" s="1"/>
      <c r="W785" s="1"/>
      <c r="X785" s="1"/>
      <c r="Y785" s="1"/>
      <c r="Z785" s="1"/>
    </row>
    <row r="786" spans="17:26">
      <c r="Q786" s="23"/>
      <c r="R786" s="1"/>
      <c r="S786" s="1"/>
      <c r="T786" s="1"/>
      <c r="U786" s="1"/>
      <c r="V786" s="1"/>
      <c r="W786" s="1"/>
      <c r="X786" s="1"/>
      <c r="Y786" s="1"/>
      <c r="Z786" s="1"/>
    </row>
    <row r="787" spans="17:26">
      <c r="Q787" s="23"/>
      <c r="R787" s="1"/>
      <c r="S787" s="1"/>
      <c r="T787" s="1"/>
      <c r="U787" s="1"/>
      <c r="V787" s="1"/>
      <c r="W787" s="1"/>
      <c r="X787" s="1"/>
      <c r="Y787" s="1"/>
      <c r="Z787" s="1"/>
    </row>
    <row r="788" spans="17:26">
      <c r="Q788" s="23"/>
      <c r="R788" s="1"/>
      <c r="S788" s="1"/>
      <c r="T788" s="1"/>
      <c r="U788" s="1"/>
      <c r="V788" s="1"/>
      <c r="W788" s="1"/>
      <c r="X788" s="1"/>
      <c r="Y788" s="1"/>
      <c r="Z788" s="1"/>
    </row>
    <row r="789" spans="17:26">
      <c r="Q789" s="23"/>
      <c r="R789" s="1"/>
      <c r="S789" s="1"/>
      <c r="T789" s="1"/>
      <c r="U789" s="1"/>
      <c r="V789" s="1"/>
      <c r="W789" s="1"/>
      <c r="X789" s="1"/>
      <c r="Y789" s="1"/>
      <c r="Z789" s="1"/>
    </row>
    <row r="790" spans="17:26">
      <c r="Q790" s="23"/>
      <c r="R790" s="1"/>
      <c r="S790" s="1"/>
      <c r="T790" s="1"/>
      <c r="U790" s="1"/>
      <c r="V790" s="1"/>
      <c r="W790" s="1"/>
      <c r="X790" s="1"/>
      <c r="Y790" s="1"/>
      <c r="Z790" s="1"/>
    </row>
    <row r="791" spans="17:26">
      <c r="Q791" s="23"/>
      <c r="R791" s="1"/>
      <c r="S791" s="1"/>
      <c r="T791" s="1"/>
      <c r="U791" s="1"/>
      <c r="V791" s="1"/>
      <c r="W791" s="1"/>
      <c r="X791" s="1"/>
      <c r="Y791" s="1"/>
      <c r="Z791" s="1"/>
    </row>
    <row r="792" spans="17:26">
      <c r="Q792" s="23"/>
      <c r="R792" s="1"/>
      <c r="S792" s="1"/>
      <c r="T792" s="1"/>
      <c r="U792" s="1"/>
      <c r="V792" s="1"/>
      <c r="W792" s="1"/>
      <c r="X792" s="1"/>
      <c r="Y792" s="1"/>
      <c r="Z792" s="1"/>
    </row>
    <row r="793" spans="17:26">
      <c r="Q793" s="23"/>
      <c r="R793" s="1"/>
      <c r="S793" s="1"/>
      <c r="T793" s="1"/>
      <c r="U793" s="1"/>
      <c r="V793" s="1"/>
      <c r="W793" s="1"/>
      <c r="X793" s="1"/>
      <c r="Y793" s="1"/>
      <c r="Z793" s="1"/>
    </row>
    <row r="794" spans="17:26">
      <c r="Q794" s="23"/>
      <c r="R794" s="1"/>
      <c r="S794" s="1"/>
      <c r="T794" s="1"/>
      <c r="U794" s="1"/>
      <c r="V794" s="1"/>
      <c r="W794" s="1"/>
      <c r="X794" s="1"/>
      <c r="Y794" s="1"/>
      <c r="Z794" s="1"/>
    </row>
    <row r="795" spans="17:26">
      <c r="Q795" s="23"/>
      <c r="R795" s="1"/>
      <c r="S795" s="1"/>
      <c r="T795" s="1"/>
      <c r="U795" s="1"/>
      <c r="V795" s="1"/>
      <c r="W795" s="1"/>
      <c r="X795" s="1"/>
      <c r="Y795" s="1"/>
      <c r="Z795" s="1"/>
    </row>
    <row r="796" spans="17:26">
      <c r="Q796" s="23"/>
      <c r="R796" s="1"/>
      <c r="S796" s="1"/>
      <c r="T796" s="1"/>
      <c r="U796" s="1"/>
      <c r="V796" s="1"/>
      <c r="W796" s="1"/>
      <c r="X796" s="1"/>
      <c r="Y796" s="1"/>
      <c r="Z796" s="1"/>
    </row>
    <row r="797" spans="17:26">
      <c r="Q797" s="23"/>
      <c r="R797" s="1"/>
      <c r="S797" s="1"/>
      <c r="T797" s="1"/>
      <c r="U797" s="1"/>
      <c r="V797" s="1"/>
      <c r="W797" s="1"/>
      <c r="X797" s="1"/>
      <c r="Y797" s="1"/>
      <c r="Z797" s="1"/>
    </row>
    <row r="798" spans="17:26">
      <c r="Q798" s="23"/>
      <c r="R798" s="1"/>
      <c r="S798" s="1"/>
      <c r="T798" s="1"/>
      <c r="U798" s="1"/>
      <c r="V798" s="1"/>
      <c r="W798" s="1"/>
      <c r="X798" s="1"/>
      <c r="Y798" s="1"/>
      <c r="Z798" s="1"/>
    </row>
    <row r="799" spans="17:26">
      <c r="Q799" s="23"/>
      <c r="R799" s="1"/>
      <c r="S799" s="1"/>
      <c r="T799" s="1"/>
      <c r="U799" s="1"/>
      <c r="V799" s="1"/>
      <c r="W799" s="1"/>
      <c r="X799" s="1"/>
      <c r="Y799" s="1"/>
      <c r="Z799" s="1"/>
    </row>
    <row r="800" spans="17:26">
      <c r="Q800" s="23"/>
      <c r="R800" s="1"/>
      <c r="S800" s="1"/>
      <c r="T800" s="1"/>
      <c r="U800" s="1"/>
      <c r="V800" s="1"/>
      <c r="W800" s="1"/>
      <c r="X800" s="1"/>
      <c r="Y800" s="1"/>
      <c r="Z800" s="1"/>
    </row>
    <row r="801" spans="17:26">
      <c r="Q801" s="23"/>
      <c r="R801" s="1"/>
      <c r="S801" s="1"/>
      <c r="T801" s="1"/>
      <c r="U801" s="1"/>
      <c r="V801" s="1"/>
      <c r="W801" s="1"/>
      <c r="X801" s="1"/>
      <c r="Y801" s="1"/>
      <c r="Z801" s="1"/>
    </row>
    <row r="802" spans="17:26">
      <c r="Q802" s="23"/>
      <c r="R802" s="1"/>
      <c r="S802" s="1"/>
      <c r="T802" s="1"/>
      <c r="U802" s="1"/>
      <c r="V802" s="1"/>
      <c r="W802" s="1"/>
      <c r="X802" s="1"/>
      <c r="Y802" s="1"/>
      <c r="Z802" s="1"/>
    </row>
    <row r="803" spans="17:26">
      <c r="Q803" s="23"/>
      <c r="R803" s="1"/>
      <c r="S803" s="1"/>
      <c r="T803" s="1"/>
      <c r="U803" s="1"/>
      <c r="V803" s="1"/>
      <c r="W803" s="1"/>
      <c r="X803" s="1"/>
      <c r="Y803" s="1"/>
      <c r="Z803" s="1"/>
    </row>
    <row r="804" spans="17:26">
      <c r="Q804" s="23"/>
      <c r="R804" s="1"/>
      <c r="S804" s="1"/>
      <c r="T804" s="1"/>
      <c r="U804" s="1"/>
      <c r="V804" s="1"/>
      <c r="W804" s="1"/>
      <c r="X804" s="1"/>
      <c r="Y804" s="1"/>
      <c r="Z804" s="1"/>
    </row>
    <row r="805" spans="17:26">
      <c r="Q805" s="23"/>
      <c r="R805" s="1"/>
      <c r="S805" s="1"/>
      <c r="T805" s="1"/>
      <c r="U805" s="1"/>
      <c r="V805" s="1"/>
      <c r="W805" s="1"/>
      <c r="X805" s="1"/>
      <c r="Y805" s="1"/>
      <c r="Z805" s="1"/>
    </row>
    <row r="806" spans="17:26">
      <c r="Q806" s="23"/>
      <c r="R806" s="1"/>
      <c r="S806" s="1"/>
      <c r="T806" s="1"/>
      <c r="U806" s="1"/>
      <c r="V806" s="1"/>
      <c r="W806" s="1"/>
      <c r="X806" s="1"/>
      <c r="Y806" s="1"/>
      <c r="Z806" s="1"/>
    </row>
    <row r="807" spans="17:26">
      <c r="Q807" s="23"/>
      <c r="R807" s="1"/>
      <c r="S807" s="1"/>
      <c r="T807" s="1"/>
      <c r="U807" s="1"/>
      <c r="V807" s="1"/>
      <c r="W807" s="1"/>
      <c r="X807" s="1"/>
      <c r="Y807" s="1"/>
      <c r="Z807" s="1"/>
    </row>
    <row r="808" spans="17:26">
      <c r="Q808" s="23"/>
      <c r="R808" s="1"/>
      <c r="S808" s="1"/>
      <c r="T808" s="1"/>
      <c r="U808" s="1"/>
      <c r="V808" s="1"/>
      <c r="W808" s="1"/>
      <c r="X808" s="1"/>
      <c r="Y808" s="1"/>
      <c r="Z808" s="1"/>
    </row>
    <row r="809" spans="17:26">
      <c r="Q809" s="23"/>
      <c r="R809" s="1"/>
      <c r="S809" s="1"/>
      <c r="T809" s="1"/>
      <c r="U809" s="1"/>
      <c r="V809" s="1"/>
      <c r="W809" s="1"/>
      <c r="X809" s="1"/>
      <c r="Y809" s="1"/>
      <c r="Z809" s="1"/>
    </row>
    <row r="810" spans="17:26">
      <c r="Q810" s="23"/>
      <c r="R810" s="1"/>
      <c r="S810" s="1"/>
      <c r="T810" s="1"/>
      <c r="U810" s="1"/>
      <c r="V810" s="1"/>
      <c r="W810" s="1"/>
      <c r="X810" s="1"/>
      <c r="Y810" s="1"/>
      <c r="Z810" s="1"/>
    </row>
    <row r="811" spans="17:26">
      <c r="Q811" s="23"/>
      <c r="R811" s="1"/>
      <c r="S811" s="1"/>
      <c r="T811" s="1"/>
      <c r="U811" s="1"/>
      <c r="V811" s="1"/>
      <c r="W811" s="1"/>
      <c r="X811" s="1"/>
      <c r="Y811" s="1"/>
      <c r="Z811" s="1"/>
    </row>
    <row r="812" spans="17:26">
      <c r="Q812" s="23"/>
      <c r="R812" s="1"/>
      <c r="S812" s="1"/>
      <c r="T812" s="1"/>
      <c r="U812" s="1"/>
      <c r="V812" s="1"/>
      <c r="W812" s="1"/>
      <c r="X812" s="1"/>
      <c r="Y812" s="1"/>
      <c r="Z812" s="1"/>
    </row>
    <row r="813" spans="17:26">
      <c r="Q813" s="23"/>
      <c r="R813" s="1"/>
      <c r="S813" s="1"/>
      <c r="T813" s="1"/>
      <c r="U813" s="1"/>
      <c r="V813" s="1"/>
      <c r="W813" s="1"/>
      <c r="X813" s="1"/>
      <c r="Y813" s="1"/>
      <c r="Z813" s="1"/>
    </row>
    <row r="814" spans="17:26">
      <c r="Q814" s="23"/>
      <c r="R814" s="1"/>
      <c r="S814" s="1"/>
      <c r="T814" s="1"/>
      <c r="U814" s="1"/>
      <c r="V814" s="1"/>
      <c r="W814" s="1"/>
      <c r="X814" s="1"/>
      <c r="Y814" s="1"/>
      <c r="Z814" s="1"/>
    </row>
    <row r="815" spans="17:26">
      <c r="Q815" s="23"/>
      <c r="R815" s="1"/>
      <c r="S815" s="1"/>
      <c r="T815" s="1"/>
      <c r="U815" s="1"/>
      <c r="V815" s="1"/>
      <c r="W815" s="1"/>
      <c r="X815" s="1"/>
      <c r="Y815" s="1"/>
      <c r="Z815" s="1"/>
    </row>
    <row r="816" spans="17:26">
      <c r="Q816" s="23"/>
      <c r="R816" s="1"/>
      <c r="S816" s="1"/>
      <c r="T816" s="1"/>
      <c r="U816" s="1"/>
      <c r="V816" s="1"/>
      <c r="W816" s="1"/>
      <c r="X816" s="1"/>
      <c r="Y816" s="1"/>
      <c r="Z816" s="1"/>
    </row>
    <row r="817" spans="17:26">
      <c r="Q817" s="23"/>
      <c r="R817" s="1"/>
      <c r="S817" s="1"/>
      <c r="T817" s="1"/>
      <c r="U817" s="1"/>
      <c r="V817" s="1"/>
      <c r="W817" s="1"/>
      <c r="X817" s="1"/>
      <c r="Y817" s="1"/>
      <c r="Z817" s="1"/>
    </row>
    <row r="818" spans="17:26">
      <c r="Q818" s="23"/>
      <c r="R818" s="1"/>
      <c r="S818" s="1"/>
      <c r="T818" s="1"/>
      <c r="U818" s="1"/>
      <c r="V818" s="1"/>
      <c r="W818" s="1"/>
      <c r="X818" s="1"/>
      <c r="Y818" s="1"/>
      <c r="Z818" s="1"/>
    </row>
    <row r="819" spans="17:26">
      <c r="Q819" s="23"/>
      <c r="R819" s="1"/>
      <c r="S819" s="1"/>
      <c r="T819" s="1"/>
      <c r="U819" s="1"/>
      <c r="V819" s="1"/>
      <c r="W819" s="1"/>
      <c r="X819" s="1"/>
      <c r="Y819" s="1"/>
      <c r="Z819" s="1"/>
    </row>
    <row r="820" spans="17:26">
      <c r="Q820" s="23"/>
      <c r="R820" s="1"/>
      <c r="S820" s="1"/>
      <c r="T820" s="1"/>
      <c r="U820" s="1"/>
      <c r="V820" s="1"/>
      <c r="W820" s="1"/>
      <c r="X820" s="1"/>
      <c r="Y820" s="1"/>
      <c r="Z820" s="1"/>
    </row>
    <row r="821" spans="17:26">
      <c r="Q821" s="23"/>
      <c r="R821" s="1"/>
      <c r="S821" s="1"/>
      <c r="T821" s="1"/>
      <c r="U821" s="1"/>
      <c r="V821" s="1"/>
      <c r="W821" s="1"/>
      <c r="X821" s="1"/>
      <c r="Y821" s="1"/>
      <c r="Z821" s="1"/>
    </row>
    <row r="822" spans="17:26">
      <c r="Q822" s="23"/>
      <c r="R822" s="1"/>
      <c r="S822" s="1"/>
      <c r="T822" s="1"/>
      <c r="U822" s="1"/>
      <c r="V822" s="1"/>
      <c r="W822" s="1"/>
      <c r="X822" s="1"/>
      <c r="Y822" s="1"/>
      <c r="Z822" s="1"/>
    </row>
    <row r="823" spans="17:26">
      <c r="Q823" s="23"/>
      <c r="R823" s="1"/>
      <c r="S823" s="1"/>
      <c r="T823" s="1"/>
      <c r="U823" s="1"/>
      <c r="V823" s="1"/>
      <c r="W823" s="1"/>
      <c r="X823" s="1"/>
      <c r="Y823" s="1"/>
      <c r="Z823" s="1"/>
    </row>
    <row r="824" spans="17:26">
      <c r="Q824" s="23"/>
      <c r="R824" s="1"/>
      <c r="S824" s="1"/>
      <c r="T824" s="1"/>
      <c r="U824" s="1"/>
      <c r="V824" s="1"/>
      <c r="W824" s="1"/>
      <c r="X824" s="1"/>
      <c r="Y824" s="1"/>
      <c r="Z824" s="1"/>
    </row>
    <row r="825" spans="17:26">
      <c r="Q825" s="23"/>
      <c r="R825" s="1"/>
      <c r="S825" s="1"/>
      <c r="T825" s="1"/>
      <c r="U825" s="1"/>
      <c r="V825" s="1"/>
      <c r="W825" s="1"/>
      <c r="X825" s="1"/>
      <c r="Y825" s="1"/>
      <c r="Z825" s="1"/>
    </row>
    <row r="826" spans="17:26">
      <c r="Q826" s="23"/>
      <c r="R826" s="1"/>
      <c r="S826" s="1"/>
      <c r="T826" s="1"/>
      <c r="U826" s="1"/>
      <c r="V826" s="1"/>
      <c r="W826" s="1"/>
      <c r="X826" s="1"/>
      <c r="Y826" s="1"/>
      <c r="Z826" s="1"/>
    </row>
    <row r="827" spans="17:26">
      <c r="Q827" s="23"/>
      <c r="R827" s="1"/>
      <c r="S827" s="1"/>
      <c r="T827" s="1"/>
      <c r="U827" s="1"/>
      <c r="V827" s="1"/>
      <c r="W827" s="1"/>
      <c r="X827" s="1"/>
      <c r="Y827" s="1"/>
      <c r="Z827" s="1"/>
    </row>
    <row r="828" spans="17:26">
      <c r="Q828" s="23"/>
      <c r="R828" s="1"/>
      <c r="S828" s="1"/>
      <c r="T828" s="1"/>
      <c r="U828" s="1"/>
      <c r="V828" s="1"/>
      <c r="W828" s="1"/>
      <c r="X828" s="1"/>
      <c r="Y828" s="1"/>
      <c r="Z828" s="1"/>
    </row>
    <row r="829" spans="17:26">
      <c r="Q829" s="23"/>
      <c r="R829" s="1"/>
      <c r="S829" s="1"/>
      <c r="T829" s="1"/>
      <c r="U829" s="1"/>
      <c r="V829" s="1"/>
      <c r="W829" s="1"/>
      <c r="X829" s="1"/>
      <c r="Y829" s="1"/>
      <c r="Z829" s="1"/>
    </row>
    <row r="830" spans="17:26">
      <c r="Q830" s="23"/>
      <c r="R830" s="1"/>
      <c r="S830" s="1"/>
      <c r="T830" s="1"/>
      <c r="U830" s="1"/>
      <c r="V830" s="1"/>
      <c r="W830" s="1"/>
      <c r="X830" s="1"/>
      <c r="Y830" s="1"/>
      <c r="Z830" s="1"/>
    </row>
    <row r="831" spans="17:26">
      <c r="Q831" s="23"/>
      <c r="R831" s="1"/>
      <c r="S831" s="1"/>
      <c r="T831" s="1"/>
      <c r="U831" s="1"/>
      <c r="V831" s="1"/>
      <c r="W831" s="1"/>
      <c r="X831" s="1"/>
      <c r="Y831" s="1"/>
      <c r="Z831" s="1"/>
    </row>
    <row r="832" spans="17:26">
      <c r="Q832" s="23"/>
      <c r="R832" s="1"/>
      <c r="S832" s="1"/>
      <c r="T832" s="1"/>
      <c r="U832" s="1"/>
      <c r="V832" s="1"/>
      <c r="W832" s="1"/>
      <c r="X832" s="1"/>
      <c r="Y832" s="1"/>
      <c r="Z832" s="1"/>
    </row>
    <row r="833" spans="17:26">
      <c r="Q833" s="23"/>
      <c r="R833" s="1"/>
      <c r="S833" s="1"/>
      <c r="T833" s="1"/>
      <c r="U833" s="1"/>
      <c r="V833" s="1"/>
      <c r="W833" s="1"/>
      <c r="X833" s="1"/>
      <c r="Y833" s="1"/>
      <c r="Z833" s="1"/>
    </row>
    <row r="834" spans="17:26">
      <c r="Q834" s="23"/>
      <c r="R834" s="1"/>
      <c r="S834" s="1"/>
      <c r="T834" s="1"/>
      <c r="U834" s="1"/>
      <c r="V834" s="1"/>
      <c r="W834" s="1"/>
      <c r="X834" s="1"/>
      <c r="Y834" s="1"/>
      <c r="Z834" s="1"/>
    </row>
    <row r="835" spans="17:26">
      <c r="Q835" s="23"/>
      <c r="R835" s="1"/>
      <c r="S835" s="1"/>
      <c r="T835" s="1"/>
      <c r="U835" s="1"/>
      <c r="V835" s="1"/>
      <c r="W835" s="1"/>
      <c r="X835" s="1"/>
      <c r="Y835" s="1"/>
      <c r="Z835" s="1"/>
    </row>
    <row r="836" spans="17:26">
      <c r="Q836" s="23"/>
      <c r="R836" s="1"/>
      <c r="S836" s="1"/>
      <c r="T836" s="1"/>
      <c r="U836" s="1"/>
      <c r="V836" s="1"/>
      <c r="W836" s="1"/>
      <c r="X836" s="1"/>
      <c r="Y836" s="1"/>
      <c r="Z836" s="1"/>
    </row>
    <row r="837" spans="17:26">
      <c r="Q837" s="23"/>
      <c r="R837" s="1"/>
      <c r="S837" s="1"/>
      <c r="T837" s="1"/>
      <c r="U837" s="1"/>
      <c r="V837" s="1"/>
      <c r="W837" s="1"/>
      <c r="X837" s="1"/>
      <c r="Y837" s="1"/>
      <c r="Z837" s="1"/>
    </row>
    <row r="838" spans="17:26">
      <c r="Q838" s="23"/>
      <c r="R838" s="1"/>
      <c r="S838" s="1"/>
      <c r="T838" s="1"/>
      <c r="U838" s="1"/>
      <c r="V838" s="1"/>
      <c r="W838" s="1"/>
      <c r="X838" s="1"/>
      <c r="Y838" s="1"/>
      <c r="Z838" s="1"/>
    </row>
    <row r="839" spans="17:26">
      <c r="Q839" s="23"/>
      <c r="R839" s="1"/>
      <c r="S839" s="1"/>
      <c r="T839" s="1"/>
      <c r="U839" s="1"/>
      <c r="V839" s="1"/>
      <c r="W839" s="1"/>
      <c r="X839" s="1"/>
      <c r="Y839" s="1"/>
      <c r="Z839" s="1"/>
    </row>
    <row r="840" spans="17:26">
      <c r="Q840" s="23"/>
      <c r="R840" s="1"/>
      <c r="S840" s="1"/>
      <c r="T840" s="1"/>
      <c r="U840" s="1"/>
      <c r="V840" s="1"/>
      <c r="W840" s="1"/>
      <c r="X840" s="1"/>
      <c r="Y840" s="1"/>
      <c r="Z840" s="1"/>
    </row>
    <row r="841" spans="17:26">
      <c r="Q841" s="23"/>
      <c r="R841" s="1"/>
      <c r="S841" s="1"/>
      <c r="T841" s="1"/>
      <c r="U841" s="1"/>
      <c r="V841" s="1"/>
      <c r="W841" s="1"/>
      <c r="X841" s="1"/>
      <c r="Y841" s="1"/>
      <c r="Z841" s="1"/>
    </row>
    <row r="842" spans="17:26">
      <c r="Q842" s="23"/>
      <c r="R842" s="1"/>
      <c r="S842" s="1"/>
      <c r="T842" s="1"/>
      <c r="U842" s="1"/>
      <c r="V842" s="1"/>
      <c r="W842" s="1"/>
      <c r="X842" s="1"/>
      <c r="Y842" s="1"/>
      <c r="Z842" s="1"/>
    </row>
    <row r="843" spans="17:26">
      <c r="Q843" s="23"/>
      <c r="R843" s="1"/>
      <c r="S843" s="1"/>
      <c r="T843" s="1"/>
      <c r="U843" s="1"/>
      <c r="V843" s="1"/>
      <c r="W843" s="1"/>
      <c r="X843" s="1"/>
      <c r="Y843" s="1"/>
      <c r="Z843" s="1"/>
    </row>
    <row r="844" spans="17:26">
      <c r="Q844" s="23"/>
      <c r="R844" s="1"/>
      <c r="S844" s="1"/>
      <c r="T844" s="1"/>
      <c r="U844" s="1"/>
      <c r="V844" s="1"/>
      <c r="W844" s="1"/>
      <c r="X844" s="1"/>
      <c r="Y844" s="1"/>
      <c r="Z844" s="1"/>
    </row>
    <row r="845" spans="17:26">
      <c r="Q845" s="23"/>
      <c r="R845" s="1"/>
      <c r="S845" s="1"/>
      <c r="T845" s="1"/>
      <c r="U845" s="1"/>
      <c r="V845" s="1"/>
      <c r="W845" s="1"/>
      <c r="X845" s="1"/>
      <c r="Y845" s="1"/>
      <c r="Z845" s="1"/>
    </row>
    <row r="846" spans="17:26">
      <c r="Q846" s="23"/>
      <c r="R846" s="1"/>
      <c r="S846" s="1"/>
      <c r="T846" s="1"/>
      <c r="U846" s="1"/>
      <c r="V846" s="1"/>
      <c r="W846" s="1"/>
      <c r="X846" s="1"/>
      <c r="Y846" s="1"/>
      <c r="Z846" s="1"/>
    </row>
    <row r="847" spans="17:26">
      <c r="Q847" s="23"/>
      <c r="R847" s="1"/>
      <c r="S847" s="1"/>
      <c r="T847" s="1"/>
      <c r="U847" s="1"/>
      <c r="V847" s="1"/>
      <c r="W847" s="1"/>
      <c r="X847" s="1"/>
      <c r="Y847" s="1"/>
      <c r="Z847" s="1"/>
    </row>
    <row r="848" spans="17:26">
      <c r="Q848" s="23"/>
      <c r="R848" s="1"/>
      <c r="S848" s="1"/>
      <c r="T848" s="1"/>
      <c r="U848" s="1"/>
      <c r="V848" s="1"/>
      <c r="W848" s="1"/>
      <c r="X848" s="1"/>
      <c r="Y848" s="1"/>
      <c r="Z848" s="1"/>
    </row>
    <row r="849" spans="17:26">
      <c r="Q849" s="23"/>
      <c r="R849" s="1"/>
      <c r="S849" s="1"/>
      <c r="T849" s="1"/>
      <c r="U849" s="1"/>
      <c r="V849" s="1"/>
      <c r="W849" s="1"/>
      <c r="X849" s="1"/>
      <c r="Y849" s="1"/>
      <c r="Z849" s="1"/>
    </row>
    <row r="850" spans="17:26">
      <c r="Q850" s="23"/>
      <c r="R850" s="1"/>
      <c r="S850" s="1"/>
      <c r="T850" s="1"/>
      <c r="U850" s="1"/>
      <c r="V850" s="1"/>
      <c r="W850" s="1"/>
      <c r="X850" s="1"/>
      <c r="Y850" s="1"/>
      <c r="Z850" s="1"/>
    </row>
    <row r="851" spans="17:26">
      <c r="Q851" s="23"/>
      <c r="R851" s="1"/>
      <c r="S851" s="1"/>
      <c r="T851" s="1"/>
      <c r="U851" s="1"/>
      <c r="V851" s="1"/>
      <c r="W851" s="1"/>
      <c r="X851" s="1"/>
      <c r="Y851" s="1"/>
      <c r="Z851" s="1"/>
    </row>
    <row r="852" spans="17:26">
      <c r="Q852" s="23"/>
      <c r="R852" s="1"/>
      <c r="S852" s="1"/>
      <c r="T852" s="1"/>
      <c r="U852" s="1"/>
      <c r="V852" s="1"/>
      <c r="W852" s="1"/>
      <c r="X852" s="1"/>
      <c r="Y852" s="1"/>
      <c r="Z852" s="1"/>
    </row>
    <row r="853" spans="17:26">
      <c r="Q853" s="23"/>
      <c r="R853" s="1"/>
      <c r="S853" s="1"/>
      <c r="T853" s="1"/>
      <c r="U853" s="1"/>
      <c r="V853" s="1"/>
      <c r="W853" s="1"/>
      <c r="X853" s="1"/>
      <c r="Y853" s="1"/>
      <c r="Z853" s="1"/>
    </row>
    <row r="854" spans="17:26">
      <c r="Q854" s="23"/>
      <c r="R854" s="1"/>
      <c r="S854" s="1"/>
      <c r="T854" s="1"/>
      <c r="U854" s="1"/>
      <c r="V854" s="1"/>
      <c r="W854" s="1"/>
      <c r="X854" s="1"/>
      <c r="Y854" s="1"/>
      <c r="Z854" s="1"/>
    </row>
    <row r="855" spans="17:26">
      <c r="Q855" s="23"/>
      <c r="R855" s="1"/>
      <c r="S855" s="1"/>
      <c r="T855" s="1"/>
      <c r="U855" s="1"/>
      <c r="V855" s="1"/>
      <c r="W855" s="1"/>
      <c r="X855" s="1"/>
      <c r="Y855" s="1"/>
      <c r="Z855" s="1"/>
    </row>
    <row r="856" spans="17:26">
      <c r="Q856" s="23"/>
      <c r="R856" s="1"/>
      <c r="S856" s="1"/>
      <c r="T856" s="1"/>
      <c r="U856" s="1"/>
      <c r="V856" s="1"/>
      <c r="W856" s="1"/>
      <c r="X856" s="1"/>
      <c r="Y856" s="1"/>
      <c r="Z856" s="1"/>
    </row>
    <row r="857" spans="17:26">
      <c r="Q857" s="23"/>
      <c r="R857" s="1"/>
      <c r="S857" s="1"/>
      <c r="T857" s="1"/>
      <c r="U857" s="1"/>
      <c r="V857" s="1"/>
      <c r="W857" s="1"/>
      <c r="X857" s="1"/>
      <c r="Y857" s="1"/>
      <c r="Z857" s="1"/>
    </row>
    <row r="858" spans="17:26">
      <c r="Q858" s="23"/>
      <c r="R858" s="1"/>
      <c r="S858" s="1"/>
      <c r="T858" s="1"/>
      <c r="U858" s="1"/>
      <c r="V858" s="1"/>
      <c r="W858" s="1"/>
      <c r="X858" s="1"/>
      <c r="Y858" s="1"/>
      <c r="Z858" s="1"/>
    </row>
    <row r="859" spans="17:26">
      <c r="Q859" s="23"/>
      <c r="R859" s="1"/>
      <c r="S859" s="1"/>
      <c r="T859" s="1"/>
      <c r="U859" s="1"/>
      <c r="V859" s="1"/>
      <c r="W859" s="1"/>
      <c r="X859" s="1"/>
      <c r="Y859" s="1"/>
      <c r="Z859" s="1"/>
    </row>
    <row r="860" spans="17:26">
      <c r="Q860" s="23"/>
      <c r="R860" s="1"/>
      <c r="S860" s="1"/>
      <c r="T860" s="1"/>
      <c r="U860" s="1"/>
      <c r="V860" s="1"/>
      <c r="W860" s="1"/>
      <c r="X860" s="1"/>
      <c r="Y860" s="1"/>
      <c r="Z860" s="1"/>
    </row>
    <row r="861" spans="17:26">
      <c r="Q861" s="23"/>
      <c r="R861" s="1"/>
      <c r="S861" s="1"/>
      <c r="T861" s="1"/>
      <c r="U861" s="1"/>
      <c r="V861" s="1"/>
      <c r="W861" s="1"/>
      <c r="X861" s="1"/>
      <c r="Y861" s="1"/>
      <c r="Z861" s="1"/>
    </row>
    <row r="862" spans="17:26">
      <c r="Q862" s="23"/>
      <c r="R862" s="1"/>
      <c r="S862" s="1"/>
      <c r="T862" s="1"/>
      <c r="U862" s="1"/>
      <c r="V862" s="1"/>
      <c r="W862" s="1"/>
      <c r="X862" s="1"/>
      <c r="Y862" s="1"/>
      <c r="Z862" s="1"/>
    </row>
    <row r="863" spans="17:26">
      <c r="Q863" s="23"/>
      <c r="R863" s="1"/>
      <c r="S863" s="1"/>
      <c r="T863" s="1"/>
      <c r="U863" s="1"/>
      <c r="V863" s="1"/>
      <c r="W863" s="1"/>
      <c r="X863" s="1"/>
      <c r="Y863" s="1"/>
      <c r="Z863" s="1"/>
    </row>
    <row r="864" spans="17:26">
      <c r="Q864" s="23"/>
      <c r="R864" s="1"/>
      <c r="S864" s="1"/>
      <c r="T864" s="1"/>
      <c r="U864" s="1"/>
      <c r="V864" s="1"/>
      <c r="W864" s="1"/>
      <c r="X864" s="1"/>
      <c r="Y864" s="1"/>
      <c r="Z864" s="1"/>
    </row>
    <row r="865" spans="17:26">
      <c r="Q865" s="23"/>
      <c r="R865" s="1"/>
      <c r="S865" s="1"/>
      <c r="T865" s="1"/>
      <c r="U865" s="1"/>
      <c r="V865" s="1"/>
      <c r="W865" s="1"/>
      <c r="X865" s="1"/>
      <c r="Y865" s="1"/>
      <c r="Z865" s="1"/>
    </row>
    <row r="866" spans="17:26">
      <c r="Q866" s="23"/>
      <c r="R866" s="1"/>
      <c r="S866" s="1"/>
      <c r="T866" s="1"/>
      <c r="U866" s="1"/>
      <c r="V866" s="1"/>
      <c r="W866" s="1"/>
      <c r="X866" s="1"/>
      <c r="Y866" s="1"/>
      <c r="Z866" s="1"/>
    </row>
    <row r="867" spans="17:26">
      <c r="Q867" s="23"/>
      <c r="R867" s="1"/>
      <c r="S867" s="1"/>
      <c r="T867" s="1"/>
      <c r="U867" s="1"/>
      <c r="V867" s="1"/>
      <c r="W867" s="1"/>
      <c r="X867" s="1"/>
      <c r="Y867" s="1"/>
      <c r="Z867" s="1"/>
    </row>
    <row r="868" spans="17:26">
      <c r="Q868" s="23"/>
      <c r="R868" s="1"/>
      <c r="S868" s="1"/>
      <c r="T868" s="1"/>
      <c r="U868" s="1"/>
      <c r="V868" s="1"/>
      <c r="W868" s="1"/>
      <c r="X868" s="1"/>
      <c r="Y868" s="1"/>
      <c r="Z868" s="1"/>
    </row>
    <row r="869" spans="17:26">
      <c r="Q869" s="23"/>
      <c r="R869" s="1"/>
      <c r="S869" s="1"/>
      <c r="T869" s="1"/>
      <c r="U869" s="1"/>
      <c r="V869" s="1"/>
      <c r="W869" s="1"/>
      <c r="X869" s="1"/>
      <c r="Y869" s="1"/>
      <c r="Z869" s="1"/>
    </row>
    <row r="870" spans="17:26">
      <c r="Q870" s="23"/>
      <c r="R870" s="1"/>
      <c r="S870" s="1"/>
      <c r="T870" s="1"/>
      <c r="U870" s="1"/>
      <c r="V870" s="1"/>
      <c r="W870" s="1"/>
      <c r="X870" s="1"/>
      <c r="Y870" s="1"/>
      <c r="Z870" s="1"/>
    </row>
    <row r="871" spans="17:26">
      <c r="Q871" s="23"/>
      <c r="R871" s="1"/>
      <c r="S871" s="1"/>
      <c r="T871" s="1"/>
      <c r="U871" s="1"/>
      <c r="V871" s="1"/>
      <c r="W871" s="1"/>
      <c r="X871" s="1"/>
      <c r="Y871" s="1"/>
      <c r="Z871" s="1"/>
    </row>
    <row r="872" spans="17:26">
      <c r="Q872" s="23"/>
      <c r="R872" s="1"/>
      <c r="S872" s="1"/>
      <c r="T872" s="1"/>
      <c r="U872" s="1"/>
      <c r="V872" s="1"/>
      <c r="W872" s="1"/>
      <c r="X872" s="1"/>
      <c r="Y872" s="1"/>
      <c r="Z872" s="1"/>
    </row>
    <row r="873" spans="17:26">
      <c r="Q873" s="23"/>
      <c r="R873" s="1"/>
      <c r="S873" s="1"/>
      <c r="T873" s="1"/>
      <c r="U873" s="1"/>
      <c r="V873" s="1"/>
      <c r="W873" s="1"/>
      <c r="X873" s="1"/>
      <c r="Y873" s="1"/>
      <c r="Z873" s="1"/>
    </row>
    <row r="874" spans="17:26">
      <c r="Q874" s="23"/>
      <c r="R874" s="1"/>
      <c r="S874" s="1"/>
      <c r="T874" s="1"/>
      <c r="U874" s="1"/>
      <c r="V874" s="1"/>
      <c r="W874" s="1"/>
      <c r="X874" s="1"/>
      <c r="Y874" s="1"/>
      <c r="Z874" s="1"/>
    </row>
    <row r="875" spans="17:26">
      <c r="Q875" s="23"/>
      <c r="R875" s="1"/>
      <c r="S875" s="1"/>
      <c r="T875" s="1"/>
      <c r="U875" s="1"/>
      <c r="V875" s="1"/>
      <c r="W875" s="1"/>
      <c r="X875" s="1"/>
      <c r="Y875" s="1"/>
      <c r="Z875" s="1"/>
    </row>
    <row r="876" spans="17:26">
      <c r="Q876" s="23"/>
      <c r="R876" s="1"/>
      <c r="S876" s="1"/>
      <c r="T876" s="1"/>
      <c r="U876" s="1"/>
      <c r="V876" s="1"/>
      <c r="W876" s="1"/>
      <c r="X876" s="1"/>
      <c r="Y876" s="1"/>
      <c r="Z876" s="1"/>
    </row>
    <row r="877" spans="17:26">
      <c r="Q877" s="23"/>
      <c r="R877" s="1"/>
      <c r="S877" s="1"/>
      <c r="T877" s="1"/>
      <c r="U877" s="1"/>
      <c r="V877" s="1"/>
      <c r="W877" s="1"/>
      <c r="X877" s="1"/>
      <c r="Y877" s="1"/>
      <c r="Z877" s="1"/>
    </row>
    <row r="878" spans="17:26">
      <c r="Q878" s="23"/>
      <c r="R878" s="1"/>
      <c r="S878" s="1"/>
      <c r="T878" s="1"/>
      <c r="U878" s="1"/>
      <c r="V878" s="1"/>
      <c r="W878" s="1"/>
      <c r="X878" s="1"/>
      <c r="Y878" s="1"/>
      <c r="Z878" s="1"/>
    </row>
    <row r="879" spans="17:26">
      <c r="Q879" s="23"/>
      <c r="R879" s="1"/>
      <c r="S879" s="1"/>
      <c r="T879" s="1"/>
      <c r="U879" s="1"/>
      <c r="V879" s="1"/>
      <c r="W879" s="1"/>
      <c r="X879" s="1"/>
      <c r="Y879" s="1"/>
      <c r="Z879" s="1"/>
    </row>
    <row r="880" spans="17:26">
      <c r="Q880" s="23"/>
      <c r="R880" s="1"/>
      <c r="S880" s="1"/>
      <c r="T880" s="1"/>
      <c r="U880" s="1"/>
      <c r="V880" s="1"/>
      <c r="W880" s="1"/>
      <c r="X880" s="1"/>
      <c r="Y880" s="1"/>
      <c r="Z880" s="1"/>
    </row>
    <row r="881" spans="17:26">
      <c r="Q881" s="23"/>
      <c r="R881" s="1"/>
      <c r="S881" s="1"/>
      <c r="T881" s="1"/>
      <c r="U881" s="1"/>
      <c r="V881" s="1"/>
      <c r="W881" s="1"/>
      <c r="X881" s="1"/>
      <c r="Y881" s="1"/>
      <c r="Z881" s="1"/>
    </row>
    <row r="882" spans="17:26">
      <c r="Q882" s="23"/>
      <c r="R882" s="1"/>
      <c r="S882" s="1"/>
      <c r="T882" s="1"/>
      <c r="U882" s="1"/>
      <c r="V882" s="1"/>
      <c r="W882" s="1"/>
      <c r="X882" s="1"/>
      <c r="Y882" s="1"/>
      <c r="Z882" s="1"/>
    </row>
    <row r="883" spans="17:26">
      <c r="Q883" s="23"/>
      <c r="R883" s="1"/>
      <c r="S883" s="1"/>
      <c r="T883" s="1"/>
      <c r="U883" s="1"/>
      <c r="V883" s="1"/>
      <c r="W883" s="1"/>
      <c r="X883" s="1"/>
      <c r="Y883" s="1"/>
      <c r="Z883" s="1"/>
    </row>
    <row r="884" spans="17:26">
      <c r="Q884" s="23"/>
      <c r="R884" s="1"/>
      <c r="S884" s="1"/>
      <c r="T884" s="1"/>
      <c r="U884" s="1"/>
      <c r="V884" s="1"/>
      <c r="W884" s="1"/>
      <c r="X884" s="1"/>
      <c r="Y884" s="1"/>
      <c r="Z884" s="1"/>
    </row>
    <row r="885" spans="17:26">
      <c r="Q885" s="23"/>
      <c r="R885" s="1"/>
      <c r="S885" s="1"/>
      <c r="T885" s="1"/>
      <c r="U885" s="1"/>
      <c r="V885" s="1"/>
      <c r="W885" s="1"/>
      <c r="X885" s="1"/>
      <c r="Y885" s="1"/>
      <c r="Z885" s="1"/>
    </row>
    <row r="886" spans="17:26">
      <c r="Q886" s="23"/>
      <c r="R886" s="1"/>
      <c r="S886" s="1"/>
      <c r="T886" s="1"/>
      <c r="U886" s="1"/>
      <c r="V886" s="1"/>
      <c r="W886" s="1"/>
      <c r="X886" s="1"/>
      <c r="Y886" s="1"/>
      <c r="Z886" s="1"/>
    </row>
    <row r="887" spans="17:26">
      <c r="Q887" s="23"/>
      <c r="R887" s="1"/>
      <c r="S887" s="1"/>
      <c r="T887" s="1"/>
      <c r="U887" s="1"/>
      <c r="V887" s="1"/>
      <c r="W887" s="1"/>
      <c r="X887" s="1"/>
      <c r="Y887" s="1"/>
      <c r="Z887" s="1"/>
    </row>
    <row r="888" spans="17:26">
      <c r="Q888" s="23"/>
      <c r="R888" s="1"/>
      <c r="S888" s="1"/>
      <c r="T888" s="1"/>
      <c r="U888" s="1"/>
      <c r="V888" s="1"/>
      <c r="W888" s="1"/>
      <c r="X888" s="1"/>
      <c r="Y888" s="1"/>
      <c r="Z888" s="1"/>
    </row>
    <row r="889" spans="17:26">
      <c r="Q889" s="23"/>
      <c r="R889" s="1"/>
      <c r="S889" s="1"/>
      <c r="T889" s="1"/>
      <c r="U889" s="1"/>
      <c r="V889" s="1"/>
      <c r="W889" s="1"/>
      <c r="X889" s="1"/>
      <c r="Y889" s="1"/>
      <c r="Z889" s="1"/>
    </row>
    <row r="890" spans="17:26">
      <c r="Q890" s="23"/>
      <c r="R890" s="1"/>
      <c r="S890" s="1"/>
      <c r="T890" s="1"/>
      <c r="U890" s="1"/>
      <c r="V890" s="1"/>
      <c r="W890" s="1"/>
      <c r="X890" s="1"/>
      <c r="Y890" s="1"/>
      <c r="Z890" s="1"/>
    </row>
    <row r="891" spans="17:26">
      <c r="Q891" s="23"/>
      <c r="R891" s="1"/>
      <c r="S891" s="1"/>
      <c r="T891" s="1"/>
      <c r="U891" s="1"/>
      <c r="V891" s="1"/>
      <c r="W891" s="1"/>
      <c r="X891" s="1"/>
      <c r="Y891" s="1"/>
      <c r="Z891" s="1"/>
    </row>
    <row r="892" spans="17:26">
      <c r="Q892" s="23"/>
      <c r="R892" s="1"/>
      <c r="S892" s="1"/>
      <c r="T892" s="1"/>
      <c r="U892" s="1"/>
      <c r="V892" s="1"/>
      <c r="W892" s="1"/>
      <c r="X892" s="1"/>
      <c r="Y892" s="1"/>
      <c r="Z892" s="1"/>
    </row>
    <row r="893" spans="17:26">
      <c r="Q893" s="23"/>
      <c r="R893" s="1"/>
      <c r="S893" s="1"/>
      <c r="T893" s="1"/>
      <c r="U893" s="1"/>
      <c r="V893" s="1"/>
      <c r="W893" s="1"/>
      <c r="X893" s="1"/>
      <c r="Y893" s="1"/>
      <c r="Z893" s="1"/>
    </row>
    <row r="894" spans="17:26">
      <c r="Q894" s="23"/>
      <c r="R894" s="1"/>
      <c r="S894" s="1"/>
      <c r="T894" s="1"/>
      <c r="U894" s="1"/>
      <c r="V894" s="1"/>
      <c r="W894" s="1"/>
      <c r="X894" s="1"/>
      <c r="Y894" s="1"/>
      <c r="Z894" s="1"/>
    </row>
    <row r="895" spans="17:26">
      <c r="Q895" s="23"/>
      <c r="R895" s="1"/>
      <c r="S895" s="1"/>
      <c r="T895" s="1"/>
      <c r="U895" s="1"/>
      <c r="V895" s="1"/>
      <c r="W895" s="1"/>
      <c r="X895" s="1"/>
      <c r="Y895" s="1"/>
      <c r="Z895" s="1"/>
    </row>
    <row r="896" spans="17:26">
      <c r="Q896" s="23"/>
      <c r="R896" s="1"/>
      <c r="S896" s="1"/>
      <c r="T896" s="1"/>
      <c r="U896" s="1"/>
      <c r="V896" s="1"/>
      <c r="W896" s="1"/>
      <c r="X896" s="1"/>
      <c r="Y896" s="1"/>
      <c r="Z896" s="1"/>
    </row>
    <row r="897" spans="17:26">
      <c r="Q897" s="23"/>
      <c r="R897" s="1"/>
      <c r="S897" s="1"/>
      <c r="T897" s="1"/>
      <c r="U897" s="1"/>
      <c r="V897" s="1"/>
      <c r="W897" s="1"/>
      <c r="X897" s="1"/>
      <c r="Y897" s="1"/>
      <c r="Z897" s="1"/>
    </row>
    <row r="898" spans="17:26">
      <c r="Q898" s="23"/>
      <c r="R898" s="1"/>
      <c r="S898" s="1"/>
      <c r="T898" s="1"/>
      <c r="U898" s="1"/>
      <c r="V898" s="1"/>
      <c r="W898" s="1"/>
      <c r="X898" s="1"/>
      <c r="Y898" s="1"/>
      <c r="Z898" s="1"/>
    </row>
    <row r="899" spans="17:26">
      <c r="Q899" s="1"/>
      <c r="R899" s="1"/>
      <c r="S899" s="1"/>
      <c r="T899" s="1"/>
      <c r="U899" s="1"/>
      <c r="V899" s="1"/>
      <c r="W899" s="1"/>
      <c r="X899" s="1"/>
      <c r="Y899" s="1"/>
      <c r="Z899" s="1"/>
    </row>
    <row r="900" spans="17:26">
      <c r="Q900" s="1"/>
      <c r="R900" s="1"/>
      <c r="S900" s="1"/>
      <c r="T900" s="1"/>
      <c r="U900" s="1"/>
      <c r="V900" s="1"/>
      <c r="W900" s="1"/>
      <c r="X900" s="1"/>
      <c r="Y900" s="1"/>
      <c r="Z900" s="1"/>
    </row>
    <row r="901" spans="17:26">
      <c r="Q901" s="1"/>
      <c r="R901" s="1"/>
      <c r="S901" s="1"/>
      <c r="T901" s="1"/>
      <c r="U901" s="1"/>
      <c r="V901" s="1"/>
      <c r="W901" s="1"/>
      <c r="X901" s="1"/>
      <c r="Y901" s="1"/>
      <c r="Z901" s="1"/>
    </row>
    <row r="902" spans="17:26">
      <c r="Q902" s="1"/>
      <c r="R902" s="1"/>
      <c r="S902" s="1"/>
      <c r="T902" s="1"/>
      <c r="U902" s="1"/>
      <c r="V902" s="1"/>
      <c r="W902" s="1"/>
      <c r="X902" s="1"/>
      <c r="Y902" s="1"/>
      <c r="Z902" s="1"/>
    </row>
    <row r="903" spans="17:26">
      <c r="Q903" s="1"/>
      <c r="R903" s="1"/>
      <c r="S903" s="1"/>
      <c r="T903" s="1"/>
      <c r="U903" s="1"/>
      <c r="V903" s="1"/>
      <c r="W903" s="1"/>
      <c r="X903" s="1"/>
      <c r="Y903" s="1"/>
      <c r="Z903" s="1"/>
    </row>
    <row r="904" spans="17:26">
      <c r="Q904" s="1"/>
      <c r="R904" s="1"/>
      <c r="S904" s="1"/>
      <c r="T904" s="1"/>
      <c r="U904" s="1"/>
      <c r="V904" s="1"/>
      <c r="W904" s="1"/>
      <c r="X904" s="1"/>
      <c r="Y904" s="1"/>
      <c r="Z904" s="1"/>
    </row>
    <row r="905" spans="17:26">
      <c r="Q905" s="1"/>
      <c r="R905" s="1"/>
      <c r="S905" s="1"/>
      <c r="T905" s="1"/>
      <c r="U905" s="1"/>
      <c r="V905" s="1"/>
      <c r="W905" s="1"/>
      <c r="X905" s="1"/>
      <c r="Y905" s="1"/>
      <c r="Z905" s="1"/>
    </row>
    <row r="906" spans="17:26">
      <c r="Q906" s="1"/>
      <c r="R906" s="1"/>
      <c r="S906" s="1"/>
      <c r="T906" s="1"/>
      <c r="U906" s="1"/>
      <c r="V906" s="1"/>
      <c r="W906" s="1"/>
      <c r="X906" s="1"/>
      <c r="Y906" s="1"/>
      <c r="Z906" s="1"/>
    </row>
    <row r="907" spans="17:26">
      <c r="Q907" s="1"/>
      <c r="R907" s="1"/>
      <c r="S907" s="1"/>
      <c r="T907" s="1"/>
      <c r="U907" s="1"/>
      <c r="V907" s="1"/>
      <c r="W907" s="1"/>
      <c r="X907" s="1"/>
      <c r="Y907" s="1"/>
      <c r="Z907" s="1"/>
    </row>
  </sheetData>
  <mergeCells count="540">
    <mergeCell ref="B2:K3"/>
    <mergeCell ref="B5:D5"/>
    <mergeCell ref="R2:Y3"/>
    <mergeCell ref="R5:U5"/>
    <mergeCell ref="R7:Y7"/>
    <mergeCell ref="R10:U10"/>
    <mergeCell ref="R11:U11"/>
    <mergeCell ref="R12:U12"/>
    <mergeCell ref="R13:U13"/>
    <mergeCell ref="R14:U14"/>
    <mergeCell ref="R15:U15"/>
    <mergeCell ref="R16:U16"/>
    <mergeCell ref="R19:U19"/>
    <mergeCell ref="R20:U20"/>
    <mergeCell ref="R21:U21"/>
    <mergeCell ref="R22:U22"/>
    <mergeCell ref="R23:U23"/>
    <mergeCell ref="R24:U24"/>
    <mergeCell ref="R25:U25"/>
    <mergeCell ref="R26:U26"/>
    <mergeCell ref="R28:Y28"/>
    <mergeCell ref="R31:T32"/>
    <mergeCell ref="U31:U32"/>
    <mergeCell ref="V31:V32"/>
    <mergeCell ref="W31:W32"/>
    <mergeCell ref="X31:X32"/>
    <mergeCell ref="R33:T33"/>
    <mergeCell ref="R34:T34"/>
    <mergeCell ref="R35:T35"/>
    <mergeCell ref="R36:T36"/>
    <mergeCell ref="X39:X40"/>
    <mergeCell ref="R41:T41"/>
    <mergeCell ref="R42:T42"/>
    <mergeCell ref="R43:T43"/>
    <mergeCell ref="R39:T40"/>
    <mergeCell ref="U39:U40"/>
    <mergeCell ref="V39:V40"/>
    <mergeCell ref="W39:W40"/>
    <mergeCell ref="R44:T44"/>
    <mergeCell ref="R46:Y46"/>
    <mergeCell ref="R49:T50"/>
    <mergeCell ref="U49:U50"/>
    <mergeCell ref="V49:V50"/>
    <mergeCell ref="W49:W50"/>
    <mergeCell ref="X49:X50"/>
    <mergeCell ref="R51:T51"/>
    <mergeCell ref="R54:T55"/>
    <mergeCell ref="U54:U55"/>
    <mergeCell ref="V54:V55"/>
    <mergeCell ref="W54:W55"/>
    <mergeCell ref="X54:X55"/>
    <mergeCell ref="R56:T56"/>
    <mergeCell ref="R59:T60"/>
    <mergeCell ref="U59:U60"/>
    <mergeCell ref="V59:V60"/>
    <mergeCell ref="W59:W60"/>
    <mergeCell ref="X59:X60"/>
    <mergeCell ref="R61:T61"/>
    <mergeCell ref="R62:T62"/>
    <mergeCell ref="R64:Y64"/>
    <mergeCell ref="R67:T68"/>
    <mergeCell ref="U67:U68"/>
    <mergeCell ref="V67:V68"/>
    <mergeCell ref="W67:W68"/>
    <mergeCell ref="X67:X68"/>
    <mergeCell ref="R69:T69"/>
    <mergeCell ref="R70:T70"/>
    <mergeCell ref="R71:T71"/>
    <mergeCell ref="R74:T75"/>
    <mergeCell ref="U74:U75"/>
    <mergeCell ref="V74:V75"/>
    <mergeCell ref="W74:W75"/>
    <mergeCell ref="X74:X75"/>
    <mergeCell ref="R76:T76"/>
    <mergeCell ref="R77:T77"/>
    <mergeCell ref="R78:T78"/>
    <mergeCell ref="R80:Y80"/>
    <mergeCell ref="X83:X84"/>
    <mergeCell ref="R85:T85"/>
    <mergeCell ref="R86:T86"/>
    <mergeCell ref="R87:T87"/>
    <mergeCell ref="R83:T84"/>
    <mergeCell ref="U83:U84"/>
    <mergeCell ref="V83:V84"/>
    <mergeCell ref="W83:W84"/>
    <mergeCell ref="X90:X91"/>
    <mergeCell ref="R92:T92"/>
    <mergeCell ref="R93:T93"/>
    <mergeCell ref="R94:T94"/>
    <mergeCell ref="R90:T91"/>
    <mergeCell ref="U90:U91"/>
    <mergeCell ref="V90:V91"/>
    <mergeCell ref="W90:W91"/>
    <mergeCell ref="R96:Y96"/>
    <mergeCell ref="R100:T101"/>
    <mergeCell ref="U100:U101"/>
    <mergeCell ref="V100:V101"/>
    <mergeCell ref="W100:W101"/>
    <mergeCell ref="X100:X101"/>
    <mergeCell ref="R102:T102"/>
    <mergeCell ref="R103:T103"/>
    <mergeCell ref="R106:T107"/>
    <mergeCell ref="U106:U107"/>
    <mergeCell ref="V106:V107"/>
    <mergeCell ref="W106:W107"/>
    <mergeCell ref="X106:X107"/>
    <mergeCell ref="R108:T108"/>
    <mergeCell ref="R109:T109"/>
    <mergeCell ref="R112:T113"/>
    <mergeCell ref="U112:U113"/>
    <mergeCell ref="V112:V113"/>
    <mergeCell ref="W112:W113"/>
    <mergeCell ref="X112:X113"/>
    <mergeCell ref="R114:T114"/>
    <mergeCell ref="R115:T115"/>
    <mergeCell ref="V126:V127"/>
    <mergeCell ref="W126:W127"/>
    <mergeCell ref="X118:X119"/>
    <mergeCell ref="R120:T120"/>
    <mergeCell ref="R121:T121"/>
    <mergeCell ref="R123:Y123"/>
    <mergeCell ref="R118:T119"/>
    <mergeCell ref="U118:U119"/>
    <mergeCell ref="V118:V119"/>
    <mergeCell ref="W118:W119"/>
    <mergeCell ref="X126:X127"/>
    <mergeCell ref="R128:T128"/>
    <mergeCell ref="R130:Y130"/>
    <mergeCell ref="R132:T133"/>
    <mergeCell ref="U132:U133"/>
    <mergeCell ref="V132:V133"/>
    <mergeCell ref="W132:W133"/>
    <mergeCell ref="X132:X133"/>
    <mergeCell ref="R126:T127"/>
    <mergeCell ref="U126:U127"/>
    <mergeCell ref="R134:T134"/>
    <mergeCell ref="R135:T135"/>
    <mergeCell ref="R137:Y137"/>
    <mergeCell ref="R142:W142"/>
    <mergeCell ref="X143:X144"/>
    <mergeCell ref="R145:T145"/>
    <mergeCell ref="U145:U146"/>
    <mergeCell ref="R146:T146"/>
    <mergeCell ref="R143:T144"/>
    <mergeCell ref="U143:U144"/>
    <mergeCell ref="V143:V144"/>
    <mergeCell ref="W143:W144"/>
    <mergeCell ref="R147:T147"/>
    <mergeCell ref="R148:T148"/>
    <mergeCell ref="R149:X149"/>
    <mergeCell ref="R150:T151"/>
    <mergeCell ref="U150:U151"/>
    <mergeCell ref="V150:V151"/>
    <mergeCell ref="W150:W151"/>
    <mergeCell ref="X150:X151"/>
    <mergeCell ref="R152:T152"/>
    <mergeCell ref="U152:U154"/>
    <mergeCell ref="R153:T153"/>
    <mergeCell ref="R154:T154"/>
    <mergeCell ref="R155:X155"/>
    <mergeCell ref="R156:T157"/>
    <mergeCell ref="U156:U157"/>
    <mergeCell ref="V156:V157"/>
    <mergeCell ref="W156:W157"/>
    <mergeCell ref="X156:X157"/>
    <mergeCell ref="V162:V163"/>
    <mergeCell ref="W162:W163"/>
    <mergeCell ref="R158:T158"/>
    <mergeCell ref="U158:U160"/>
    <mergeCell ref="R159:T159"/>
    <mergeCell ref="R160:T160"/>
    <mergeCell ref="X162:X163"/>
    <mergeCell ref="R164:T164"/>
    <mergeCell ref="R165:T165"/>
    <mergeCell ref="R167:T168"/>
    <mergeCell ref="U167:U168"/>
    <mergeCell ref="V167:V168"/>
    <mergeCell ref="W167:W168"/>
    <mergeCell ref="X167:X168"/>
    <mergeCell ref="R162:T163"/>
    <mergeCell ref="U162:U163"/>
    <mergeCell ref="R174:T174"/>
    <mergeCell ref="R179:T179"/>
    <mergeCell ref="R180:T180"/>
    <mergeCell ref="R175:T175"/>
    <mergeCell ref="R177:T178"/>
    <mergeCell ref="R169:T169"/>
    <mergeCell ref="R170:T170"/>
    <mergeCell ref="R172:T173"/>
    <mergeCell ref="W177:W178"/>
    <mergeCell ref="X177:X178"/>
    <mergeCell ref="U177:U178"/>
    <mergeCell ref="V177:V178"/>
    <mergeCell ref="X183:X184"/>
    <mergeCell ref="X172:X173"/>
    <mergeCell ref="U172:U173"/>
    <mergeCell ref="V172:V173"/>
    <mergeCell ref="W172:W173"/>
    <mergeCell ref="R185:T185"/>
    <mergeCell ref="R186:T186"/>
    <mergeCell ref="R181:T181"/>
    <mergeCell ref="R183:T184"/>
    <mergeCell ref="W188:W189"/>
    <mergeCell ref="W183:W184"/>
    <mergeCell ref="V188:V189"/>
    <mergeCell ref="U183:U184"/>
    <mergeCell ref="V183:V184"/>
    <mergeCell ref="X188:X189"/>
    <mergeCell ref="V193:V194"/>
    <mergeCell ref="W193:W194"/>
    <mergeCell ref="X193:X194"/>
    <mergeCell ref="R188:T189"/>
    <mergeCell ref="U188:U189"/>
    <mergeCell ref="R190:T190"/>
    <mergeCell ref="R191:T191"/>
    <mergeCell ref="R193:T194"/>
    <mergeCell ref="U193:U194"/>
    <mergeCell ref="R195:T195"/>
    <mergeCell ref="R196:T196"/>
    <mergeCell ref="R198:T199"/>
    <mergeCell ref="U198:U199"/>
    <mergeCell ref="V198:V199"/>
    <mergeCell ref="W198:W199"/>
    <mergeCell ref="X198:X199"/>
    <mergeCell ref="R200:T200"/>
    <mergeCell ref="R201:T201"/>
    <mergeCell ref="R202:T202"/>
    <mergeCell ref="R204:Y208"/>
    <mergeCell ref="R210:W211"/>
    <mergeCell ref="X210:X211"/>
    <mergeCell ref="Y210:Y211"/>
    <mergeCell ref="Y213:Y214"/>
    <mergeCell ref="R215:U215"/>
    <mergeCell ref="R216:U216"/>
    <mergeCell ref="R217:U217"/>
    <mergeCell ref="R213:U214"/>
    <mergeCell ref="V213:V214"/>
    <mergeCell ref="W213:W214"/>
    <mergeCell ref="X213:X214"/>
    <mergeCell ref="R218:U218"/>
    <mergeCell ref="R219:U219"/>
    <mergeCell ref="R220:U220"/>
    <mergeCell ref="R221:U221"/>
    <mergeCell ref="R222:U222"/>
    <mergeCell ref="R223:U223"/>
    <mergeCell ref="R224:U224"/>
    <mergeCell ref="R225:U225"/>
    <mergeCell ref="R226:U226"/>
    <mergeCell ref="R227:U227"/>
    <mergeCell ref="R228:U228"/>
    <mergeCell ref="R229:U229"/>
    <mergeCell ref="R231:U231"/>
    <mergeCell ref="R235:T236"/>
    <mergeCell ref="U235:U236"/>
    <mergeCell ref="V235:V236"/>
    <mergeCell ref="W235:W236"/>
    <mergeCell ref="X235:X236"/>
    <mergeCell ref="R237:T237"/>
    <mergeCell ref="U237:U239"/>
    <mergeCell ref="R238:T238"/>
    <mergeCell ref="R239:T239"/>
    <mergeCell ref="X241:X242"/>
    <mergeCell ref="R243:T243"/>
    <mergeCell ref="U243:U245"/>
    <mergeCell ref="R244:T244"/>
    <mergeCell ref="R245:T245"/>
    <mergeCell ref="R241:T242"/>
    <mergeCell ref="U241:U242"/>
    <mergeCell ref="V241:V242"/>
    <mergeCell ref="W241:W242"/>
    <mergeCell ref="X247:X248"/>
    <mergeCell ref="R249:T249"/>
    <mergeCell ref="U249:U251"/>
    <mergeCell ref="R250:T250"/>
    <mergeCell ref="R251:T251"/>
    <mergeCell ref="R247:T248"/>
    <mergeCell ref="U247:U248"/>
    <mergeCell ref="V247:V248"/>
    <mergeCell ref="W247:W248"/>
    <mergeCell ref="X254:X255"/>
    <mergeCell ref="R257:T257"/>
    <mergeCell ref="R260:Y260"/>
    <mergeCell ref="R264:S265"/>
    <mergeCell ref="U264:V264"/>
    <mergeCell ref="U265:V265"/>
    <mergeCell ref="R254:T255"/>
    <mergeCell ref="U254:U255"/>
    <mergeCell ref="V254:V255"/>
    <mergeCell ref="W254:W255"/>
    <mergeCell ref="X267:X268"/>
    <mergeCell ref="R268:R271"/>
    <mergeCell ref="S268:T268"/>
    <mergeCell ref="S269:T269"/>
    <mergeCell ref="S270:T270"/>
    <mergeCell ref="S271:T271"/>
    <mergeCell ref="R267:T267"/>
    <mergeCell ref="U267:U268"/>
    <mergeCell ref="V267:V268"/>
    <mergeCell ref="W267:W268"/>
    <mergeCell ref="R272:X272"/>
    <mergeCell ref="R273:T273"/>
    <mergeCell ref="U273:U274"/>
    <mergeCell ref="V273:V274"/>
    <mergeCell ref="W273:W274"/>
    <mergeCell ref="X273:X274"/>
    <mergeCell ref="R274:R277"/>
    <mergeCell ref="S274:T274"/>
    <mergeCell ref="S275:T275"/>
    <mergeCell ref="S276:T276"/>
    <mergeCell ref="S277:T277"/>
    <mergeCell ref="R278:X278"/>
    <mergeCell ref="R279:T279"/>
    <mergeCell ref="U279:U280"/>
    <mergeCell ref="V279:V280"/>
    <mergeCell ref="W279:W280"/>
    <mergeCell ref="X279:X280"/>
    <mergeCell ref="R280:R283"/>
    <mergeCell ref="S280:T280"/>
    <mergeCell ref="S281:T281"/>
    <mergeCell ref="S282:T282"/>
    <mergeCell ref="S283:T283"/>
    <mergeCell ref="R286:U287"/>
    <mergeCell ref="V286:V287"/>
    <mergeCell ref="W286:W287"/>
    <mergeCell ref="X286:X287"/>
    <mergeCell ref="Y286:Y287"/>
    <mergeCell ref="R288:U288"/>
    <mergeCell ref="R289:U289"/>
    <mergeCell ref="R290:U290"/>
    <mergeCell ref="R291:U291"/>
    <mergeCell ref="R292:U292"/>
    <mergeCell ref="R293:U293"/>
    <mergeCell ref="R294:U294"/>
    <mergeCell ref="R295:U295"/>
    <mergeCell ref="R296:U296"/>
    <mergeCell ref="R297:U297"/>
    <mergeCell ref="R298:U298"/>
    <mergeCell ref="R299:U299"/>
    <mergeCell ref="T301:U301"/>
    <mergeCell ref="T302:U302"/>
    <mergeCell ref="R305:V305"/>
    <mergeCell ref="R306:R307"/>
    <mergeCell ref="S306:S307"/>
    <mergeCell ref="T306:T307"/>
    <mergeCell ref="U306:U307"/>
    <mergeCell ref="V306:V307"/>
    <mergeCell ref="R316:W318"/>
    <mergeCell ref="R336:S339"/>
    <mergeCell ref="T336:T337"/>
    <mergeCell ref="R319:W319"/>
    <mergeCell ref="R320:W320"/>
    <mergeCell ref="R322:S326"/>
    <mergeCell ref="T322:T324"/>
    <mergeCell ref="U322:U324"/>
    <mergeCell ref="V322:V324"/>
    <mergeCell ref="W322:W324"/>
    <mergeCell ref="R328:W328"/>
    <mergeCell ref="R329:S332"/>
    <mergeCell ref="T329:T330"/>
    <mergeCell ref="U329:U330"/>
    <mergeCell ref="V329:V330"/>
    <mergeCell ref="W329:W330"/>
    <mergeCell ref="T342:T343"/>
    <mergeCell ref="U342:U343"/>
    <mergeCell ref="V342:V343"/>
    <mergeCell ref="W342:W343"/>
    <mergeCell ref="U336:U337"/>
    <mergeCell ref="R348:W348"/>
    <mergeCell ref="R341:W341"/>
    <mergeCell ref="R342:S345"/>
    <mergeCell ref="V336:V337"/>
    <mergeCell ref="W336:W337"/>
    <mergeCell ref="R365:S368"/>
    <mergeCell ref="T365:T366"/>
    <mergeCell ref="R349:W349"/>
    <mergeCell ref="R351:S355"/>
    <mergeCell ref="T351:T353"/>
    <mergeCell ref="U351:U353"/>
    <mergeCell ref="V351:V353"/>
    <mergeCell ref="W351:W353"/>
    <mergeCell ref="R357:W357"/>
    <mergeCell ref="R358:S361"/>
    <mergeCell ref="T358:T359"/>
    <mergeCell ref="U358:U359"/>
    <mergeCell ref="V358:V359"/>
    <mergeCell ref="W358:W359"/>
    <mergeCell ref="T371:T372"/>
    <mergeCell ref="U371:U372"/>
    <mergeCell ref="V371:V372"/>
    <mergeCell ref="W371:W372"/>
    <mergeCell ref="U365:U366"/>
    <mergeCell ref="R377:W377"/>
    <mergeCell ref="R370:W370"/>
    <mergeCell ref="R371:S374"/>
    <mergeCell ref="V365:V366"/>
    <mergeCell ref="W365:W366"/>
    <mergeCell ref="R394:S397"/>
    <mergeCell ref="T394:T395"/>
    <mergeCell ref="R378:W378"/>
    <mergeCell ref="R380:S384"/>
    <mergeCell ref="T380:T382"/>
    <mergeCell ref="U380:U382"/>
    <mergeCell ref="V380:V382"/>
    <mergeCell ref="W380:W382"/>
    <mergeCell ref="R386:W386"/>
    <mergeCell ref="R387:S390"/>
    <mergeCell ref="T387:T388"/>
    <mergeCell ref="U387:U388"/>
    <mergeCell ref="V387:V388"/>
    <mergeCell ref="W387:W388"/>
    <mergeCell ref="T400:T401"/>
    <mergeCell ref="U400:U401"/>
    <mergeCell ref="V400:V401"/>
    <mergeCell ref="W400:W401"/>
    <mergeCell ref="U394:U395"/>
    <mergeCell ref="R406:W406"/>
    <mergeCell ref="R399:W399"/>
    <mergeCell ref="R400:S403"/>
    <mergeCell ref="V394:V395"/>
    <mergeCell ref="W394:W395"/>
    <mergeCell ref="R407:W407"/>
    <mergeCell ref="R409:S413"/>
    <mergeCell ref="T409:T411"/>
    <mergeCell ref="U409:U411"/>
    <mergeCell ref="V409:V411"/>
    <mergeCell ref="W409:W411"/>
    <mergeCell ref="V423:V424"/>
    <mergeCell ref="R415:W415"/>
    <mergeCell ref="R416:S419"/>
    <mergeCell ref="T416:T417"/>
    <mergeCell ref="U416:U417"/>
    <mergeCell ref="V416:V417"/>
    <mergeCell ref="W416:W417"/>
    <mergeCell ref="W423:W424"/>
    <mergeCell ref="R423:S426"/>
    <mergeCell ref="T423:T424"/>
    <mergeCell ref="U423:U424"/>
    <mergeCell ref="R435:W437"/>
    <mergeCell ref="R438:W438"/>
    <mergeCell ref="R439:W439"/>
    <mergeCell ref="R428:W428"/>
    <mergeCell ref="R429:S432"/>
    <mergeCell ref="T429:T430"/>
    <mergeCell ref="U429:U430"/>
    <mergeCell ref="V429:V430"/>
    <mergeCell ref="W429:W430"/>
    <mergeCell ref="R441:S445"/>
    <mergeCell ref="T441:T443"/>
    <mergeCell ref="U441:U443"/>
    <mergeCell ref="V441:V443"/>
    <mergeCell ref="W441:W443"/>
    <mergeCell ref="V455:V456"/>
    <mergeCell ref="R447:W447"/>
    <mergeCell ref="R448:S451"/>
    <mergeCell ref="T448:T449"/>
    <mergeCell ref="U448:U449"/>
    <mergeCell ref="V448:V449"/>
    <mergeCell ref="W448:W449"/>
    <mergeCell ref="W455:W456"/>
    <mergeCell ref="R455:S458"/>
    <mergeCell ref="T455:T456"/>
    <mergeCell ref="U455:U456"/>
    <mergeCell ref="R467:W467"/>
    <mergeCell ref="R468:W468"/>
    <mergeCell ref="R460:W460"/>
    <mergeCell ref="R461:S464"/>
    <mergeCell ref="T461:T462"/>
    <mergeCell ref="U461:U462"/>
    <mergeCell ref="V461:V462"/>
    <mergeCell ref="W461:W462"/>
    <mergeCell ref="R470:S474"/>
    <mergeCell ref="T470:T472"/>
    <mergeCell ref="U470:U472"/>
    <mergeCell ref="V470:V472"/>
    <mergeCell ref="W470:W472"/>
    <mergeCell ref="V484:V485"/>
    <mergeCell ref="R476:W476"/>
    <mergeCell ref="R477:S480"/>
    <mergeCell ref="T477:T478"/>
    <mergeCell ref="U477:U478"/>
    <mergeCell ref="V477:V478"/>
    <mergeCell ref="W477:W478"/>
    <mergeCell ref="W484:W485"/>
    <mergeCell ref="R484:S487"/>
    <mergeCell ref="T484:T485"/>
    <mergeCell ref="U484:U485"/>
    <mergeCell ref="R496:W496"/>
    <mergeCell ref="R497:W497"/>
    <mergeCell ref="R489:W489"/>
    <mergeCell ref="R490:S493"/>
    <mergeCell ref="T490:T491"/>
    <mergeCell ref="U490:U491"/>
    <mergeCell ref="V490:V491"/>
    <mergeCell ref="W490:W491"/>
    <mergeCell ref="R499:S503"/>
    <mergeCell ref="T499:T501"/>
    <mergeCell ref="U499:U501"/>
    <mergeCell ref="V499:V501"/>
    <mergeCell ref="W499:W501"/>
    <mergeCell ref="V513:V514"/>
    <mergeCell ref="R505:W505"/>
    <mergeCell ref="R506:S509"/>
    <mergeCell ref="T506:T507"/>
    <mergeCell ref="U506:U507"/>
    <mergeCell ref="V506:V507"/>
    <mergeCell ref="W506:W507"/>
    <mergeCell ref="W513:W514"/>
    <mergeCell ref="R513:S516"/>
    <mergeCell ref="T513:T514"/>
    <mergeCell ref="U513:U514"/>
    <mergeCell ref="R525:W525"/>
    <mergeCell ref="R526:W526"/>
    <mergeCell ref="R518:W518"/>
    <mergeCell ref="R519:S522"/>
    <mergeCell ref="T519:T520"/>
    <mergeCell ref="U519:U520"/>
    <mergeCell ref="V519:V520"/>
    <mergeCell ref="W519:W520"/>
    <mergeCell ref="R528:S532"/>
    <mergeCell ref="T528:T530"/>
    <mergeCell ref="U528:U530"/>
    <mergeCell ref="V528:V530"/>
    <mergeCell ref="W528:W530"/>
    <mergeCell ref="V542:V543"/>
    <mergeCell ref="R534:W534"/>
    <mergeCell ref="R535:S538"/>
    <mergeCell ref="T535:T536"/>
    <mergeCell ref="U535:U536"/>
    <mergeCell ref="V535:V536"/>
    <mergeCell ref="W535:W536"/>
    <mergeCell ref="W542:W543"/>
    <mergeCell ref="R542:S545"/>
    <mergeCell ref="T542:T543"/>
    <mergeCell ref="U542:U543"/>
    <mergeCell ref="R547:W547"/>
    <mergeCell ref="R548:S551"/>
    <mergeCell ref="T548:T549"/>
    <mergeCell ref="U548:U549"/>
    <mergeCell ref="V548:V549"/>
    <mergeCell ref="W548:W549"/>
  </mergeCells>
  <phoneticPr fontId="0" type="noConversion"/>
  <conditionalFormatting sqref="U108:X109">
    <cfRule type="cellIs" dxfId="581" priority="1" stopIfTrue="1" operator="equal">
      <formula>"yes"</formula>
    </cfRule>
    <cfRule type="cellIs" dxfId="580" priority="2" stopIfTrue="1" operator="equal">
      <formula>"no"</formula>
    </cfRule>
  </conditionalFormatting>
  <conditionalFormatting sqref="X254:X255 X106:X107 X247:X248 X49:X50 X235:X236 X54:X55 X67:X68 X74:X75 X100:X101 X112:X113 X118:X119 X132:X133 X279:X280 X126:X127 X241:X242 X59:X60 Y286:Y287 S306:S307 X143:X144 X183:X184 X177:X178 X267:X268 X273:X274 Y213:Y214 X83 X90 X156:X157 X150:X151 X198:X199 X162:X163 X167:X168 X172:X173 X188:X189 X193:X194">
    <cfRule type="cellIs" dxfId="579" priority="3" stopIfTrue="1" operator="equal">
      <formula>$U$31</formula>
    </cfRule>
    <cfRule type="cellIs" dxfId="578" priority="4" stopIfTrue="1" operator="equal">
      <formula>$W$31</formula>
    </cfRule>
    <cfRule type="cellIs" dxfId="577" priority="5" stopIfTrue="1" operator="equal">
      <formula>$Y$31</formula>
    </cfRule>
  </conditionalFormatting>
  <conditionalFormatting sqref="V106:V107 V247:V248 V49:V50 V241:V242 V54:V55 V59:V60 V67:V68 V74:V75 W286:W287 V100:V101 V112:V113 V118:V119 V126:V127 V132:V133 V279:V280 V235:V236 V254:V255 T306:T307 V143:V144 V183:V184 V177:V178 V267:V268 V273:V274 W213:W214 V83 V90 V156:V157 V150:V151 V198:V199 V162:V163 V167:V168 V172:V173 V188:V189 V193:V194">
    <cfRule type="cellIs" dxfId="576" priority="6" stopIfTrue="1" operator="equal">
      <formula>$R$6</formula>
    </cfRule>
    <cfRule type="cellIs" dxfId="575" priority="7" stopIfTrue="1" operator="equal">
      <formula>$V$33</formula>
    </cfRule>
    <cfRule type="cellIs" dxfId="574" priority="8" stopIfTrue="1" operator="equal">
      <formula>$R$8</formula>
    </cfRule>
  </conditionalFormatting>
  <conditionalFormatting sqref="W106:W107 W126:W127 W247:W248 W49:W50 W241:W242 W54:W55 W59:W60 W67:W68 W74:W75 X286:X287 W100:W101 W112:W113 W118:W119 W132:W133 W279:W280 W235:W236 W254:W255 U306:U307 W143:W144 W183:W184 W177:W178 W267:W268 W273:W274 X213:X214 W83 W90 W156:W157 W150:W151 W198:W199 W162:W163 W167:W168 W172:W173 W188:W189 W193:W194">
    <cfRule type="cellIs" dxfId="573" priority="9" stopIfTrue="1" operator="equal">
      <formula>$R$6</formula>
    </cfRule>
    <cfRule type="cellIs" dxfId="572" priority="10" stopIfTrue="1" operator="equal">
      <formula>$R$7</formula>
    </cfRule>
    <cfRule type="cellIs" dxfId="571" priority="11" stopIfTrue="1" operator="equal">
      <formula>$W$33</formula>
    </cfRule>
  </conditionalFormatting>
  <conditionalFormatting sqref="R36 R44">
    <cfRule type="cellIs" dxfId="570" priority="12" stopIfTrue="1" operator="equal">
      <formula>$AI$31</formula>
    </cfRule>
    <cfRule type="cellIs" dxfId="569" priority="13" stopIfTrue="1" operator="equal">
      <formula>$AK$31</formula>
    </cfRule>
    <cfRule type="cellIs" dxfId="568" priority="14" stopIfTrue="1" operator="equal">
      <formula>$AM$31</formula>
    </cfRule>
  </conditionalFormatting>
  <conditionalFormatting sqref="R34 R42">
    <cfRule type="cellIs" dxfId="567" priority="15" stopIfTrue="1" operator="equal">
      <formula>$AF$6</formula>
    </cfRule>
    <cfRule type="cellIs" dxfId="566" priority="16" stopIfTrue="1" operator="equal">
      <formula>$AJ$33</formula>
    </cfRule>
    <cfRule type="cellIs" dxfId="565" priority="17" stopIfTrue="1" operator="equal">
      <formula>$AF$8</formula>
    </cfRule>
  </conditionalFormatting>
  <conditionalFormatting sqref="R35 R43">
    <cfRule type="cellIs" dxfId="564" priority="18" stopIfTrue="1" operator="equal">
      <formula>$AF$6</formula>
    </cfRule>
    <cfRule type="cellIs" dxfId="563" priority="19" stopIfTrue="1" operator="equal">
      <formula>$AF$7</formula>
    </cfRule>
    <cfRule type="cellIs" dxfId="562" priority="20" stopIfTrue="1" operator="equal">
      <formula>$AK$33</formula>
    </cfRule>
  </conditionalFormatting>
  <pageMargins left="0" right="0" top="0.59055118110236227" bottom="0.39370078740157483" header="0.51181102362204722" footer="0.51181102362204722"/>
  <pageSetup paperSize="9" scale="96" fitToHeight="6"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sheetPr codeName="Sheet65">
    <pageSetUpPr fitToPage="1"/>
  </sheetPr>
  <dimension ref="A1:AJ907"/>
  <sheetViews>
    <sheetView showRowColHeaders="0" workbookViewId="0">
      <selection activeCell="B2" sqref="B2:K3"/>
    </sheetView>
  </sheetViews>
  <sheetFormatPr defaultRowHeight="12.75"/>
  <cols>
    <col min="1" max="1" width="10.7109375" style="1" customWidth="1"/>
    <col min="2" max="11" width="11.7109375" style="1" customWidth="1"/>
    <col min="12" max="16" width="10.7109375" style="1" customWidth="1"/>
    <col min="17" max="17" width="4.7109375" style="20" customWidth="1"/>
    <col min="18" max="20" width="10.7109375" style="18" customWidth="1"/>
    <col min="21" max="23" width="11.7109375" style="18" customWidth="1"/>
    <col min="24" max="26" width="10.7109375" style="18" customWidth="1"/>
    <col min="27" max="27" width="10.7109375" style="1" customWidth="1"/>
    <col min="28" max="30" width="8.7109375" style="1" customWidth="1"/>
    <col min="31" max="35" width="13.7109375" style="1" customWidth="1"/>
    <col min="36" max="37" width="10.7109375" style="1" customWidth="1"/>
    <col min="38" max="54" width="10.28515625" style="1" customWidth="1"/>
    <col min="55" max="110" width="10.7109375" style="1" customWidth="1"/>
    <col min="111" max="16384" width="9.140625" style="1"/>
  </cols>
  <sheetData>
    <row r="1" spans="1:30" ht="6" customHeight="1" thickBot="1">
      <c r="A1" s="121"/>
      <c r="B1" s="121"/>
      <c r="C1" s="121"/>
      <c r="D1" s="121"/>
      <c r="E1" s="121"/>
      <c r="F1" s="121"/>
      <c r="G1" s="121"/>
      <c r="H1" s="121"/>
      <c r="I1" s="121"/>
      <c r="J1" s="121"/>
      <c r="K1" s="121"/>
      <c r="L1" s="121"/>
      <c r="M1" s="121"/>
      <c r="N1" s="121"/>
      <c r="O1" s="121"/>
      <c r="P1" s="121"/>
      <c r="Q1" s="360"/>
      <c r="R1" s="361"/>
      <c r="S1" s="361"/>
      <c r="T1" s="361"/>
      <c r="U1" s="361"/>
      <c r="V1" s="361"/>
      <c r="W1" s="361"/>
      <c r="X1" s="361"/>
      <c r="Y1" s="361"/>
      <c r="Z1" s="361"/>
      <c r="AA1"/>
      <c r="AB1"/>
      <c r="AC1"/>
      <c r="AD1"/>
    </row>
    <row r="2" spans="1:30" ht="12.75" customHeight="1" thickTop="1">
      <c r="A2" s="121"/>
      <c r="B2" s="753" t="s">
        <v>740</v>
      </c>
      <c r="C2" s="754"/>
      <c r="D2" s="754"/>
      <c r="E2" s="754"/>
      <c r="F2" s="754"/>
      <c r="G2" s="754"/>
      <c r="H2" s="754"/>
      <c r="I2" s="754"/>
      <c r="J2" s="754"/>
      <c r="K2" s="755"/>
      <c r="L2" s="121"/>
      <c r="M2" s="121"/>
      <c r="N2" s="121"/>
      <c r="O2" s="121"/>
      <c r="P2" s="121"/>
      <c r="Q2" s="363"/>
      <c r="R2" s="1024" t="s">
        <v>396</v>
      </c>
      <c r="S2" s="1025"/>
      <c r="T2" s="1025"/>
      <c r="U2" s="1025"/>
      <c r="V2" s="1025"/>
      <c r="W2" s="1025"/>
      <c r="X2" s="1025"/>
      <c r="Y2" s="1026"/>
      <c r="Z2" s="362"/>
      <c r="AA2"/>
      <c r="AB2"/>
      <c r="AC2"/>
      <c r="AD2"/>
    </row>
    <row r="3" spans="1:30" ht="12.75" customHeight="1" thickBot="1">
      <c r="A3" s="121"/>
      <c r="B3" s="756"/>
      <c r="C3" s="757"/>
      <c r="D3" s="757"/>
      <c r="E3" s="757"/>
      <c r="F3" s="757"/>
      <c r="G3" s="757"/>
      <c r="H3" s="757"/>
      <c r="I3" s="757"/>
      <c r="J3" s="757"/>
      <c r="K3" s="758"/>
      <c r="L3" s="121"/>
      <c r="M3" s="121"/>
      <c r="N3" s="121"/>
      <c r="O3" s="121"/>
      <c r="P3" s="121"/>
      <c r="Q3" s="363"/>
      <c r="R3" s="1027"/>
      <c r="S3" s="1028"/>
      <c r="T3" s="1028"/>
      <c r="U3" s="1028"/>
      <c r="V3" s="1028"/>
      <c r="W3" s="1028"/>
      <c r="X3" s="1028"/>
      <c r="Y3" s="1029"/>
      <c r="Z3" s="362"/>
      <c r="AA3"/>
      <c r="AB3"/>
      <c r="AC3"/>
      <c r="AD3"/>
    </row>
    <row r="4" spans="1:30" ht="12.75" customHeight="1" thickTop="1">
      <c r="A4" s="121"/>
      <c r="B4" s="121"/>
      <c r="C4" s="121"/>
      <c r="D4" s="121"/>
      <c r="E4" s="121"/>
      <c r="F4" s="121"/>
      <c r="G4" s="121"/>
      <c r="H4" s="121"/>
      <c r="I4" s="121"/>
      <c r="J4" s="121"/>
      <c r="K4" s="121"/>
      <c r="L4" s="121"/>
      <c r="M4" s="121"/>
      <c r="N4" s="121"/>
      <c r="O4" s="121"/>
      <c r="P4" s="121"/>
      <c r="Q4" s="363"/>
      <c r="R4" s="361"/>
      <c r="S4" s="361"/>
      <c r="T4" s="361"/>
      <c r="U4" s="361"/>
      <c r="V4" s="361"/>
      <c r="W4" s="361"/>
      <c r="X4" s="361"/>
      <c r="Y4" s="361"/>
      <c r="Z4" s="361"/>
      <c r="AA4"/>
      <c r="AB4"/>
      <c r="AC4"/>
      <c r="AD4"/>
    </row>
    <row r="5" spans="1:30" ht="12.75" customHeight="1">
      <c r="A5" s="121"/>
      <c r="B5" s="828" t="s">
        <v>581</v>
      </c>
      <c r="C5" s="829"/>
      <c r="D5" s="830"/>
      <c r="E5" s="460">
        <v>450</v>
      </c>
      <c r="F5" s="461">
        <f>+E5</f>
        <v>450</v>
      </c>
      <c r="G5" s="121"/>
      <c r="H5" s="121"/>
      <c r="I5" s="121"/>
      <c r="J5" s="121"/>
      <c r="K5" s="121"/>
      <c r="L5" s="121"/>
      <c r="M5" s="121"/>
      <c r="N5" s="121"/>
      <c r="O5" s="121"/>
      <c r="P5" s="121"/>
      <c r="Q5" s="360"/>
      <c r="R5" s="951" t="s">
        <v>868</v>
      </c>
      <c r="S5" s="951"/>
      <c r="T5" s="951"/>
      <c r="U5" s="951"/>
      <c r="V5" s="447">
        <f>F5</f>
        <v>450</v>
      </c>
      <c r="W5" s="362"/>
      <c r="X5" s="362"/>
      <c r="Y5" s="362"/>
      <c r="Z5" s="362"/>
      <c r="AA5"/>
      <c r="AB5"/>
      <c r="AC5"/>
      <c r="AD5"/>
    </row>
    <row r="6" spans="1:30" ht="12.75" customHeight="1">
      <c r="A6" s="121"/>
      <c r="B6" s="121"/>
      <c r="C6" s="121"/>
      <c r="D6" s="121"/>
      <c r="E6" s="121"/>
      <c r="F6" s="121"/>
      <c r="G6" s="121"/>
      <c r="H6" s="121"/>
      <c r="I6" s="121"/>
      <c r="J6" s="121"/>
      <c r="K6" s="121"/>
      <c r="L6" s="121"/>
      <c r="M6" s="121"/>
      <c r="N6" s="121"/>
      <c r="O6" s="121"/>
      <c r="P6" s="121"/>
      <c r="Q6" s="360"/>
      <c r="R6" s="362"/>
      <c r="S6" s="362"/>
      <c r="T6" s="362"/>
      <c r="U6" s="362"/>
      <c r="V6" s="361"/>
      <c r="W6" s="361"/>
      <c r="X6" s="361"/>
      <c r="Y6" s="361"/>
      <c r="Z6" s="361"/>
      <c r="AA6"/>
      <c r="AB6"/>
      <c r="AC6"/>
      <c r="AD6"/>
    </row>
    <row r="7" spans="1:30" ht="12.75" customHeight="1">
      <c r="A7" s="121"/>
      <c r="B7" s="121"/>
      <c r="C7" s="121"/>
      <c r="D7" s="121"/>
      <c r="E7" s="121"/>
      <c r="F7" s="121"/>
      <c r="G7" s="121"/>
      <c r="H7" s="121"/>
      <c r="I7" s="121"/>
      <c r="J7" s="121"/>
      <c r="K7" s="121"/>
      <c r="L7" s="121"/>
      <c r="M7" s="121"/>
      <c r="N7" s="121"/>
      <c r="O7" s="121"/>
      <c r="P7" s="121"/>
      <c r="Q7" s="385">
        <v>1</v>
      </c>
      <c r="R7" s="1008" t="s">
        <v>24</v>
      </c>
      <c r="S7" s="1008"/>
      <c r="T7" s="1008"/>
      <c r="U7" s="1008"/>
      <c r="V7" s="1008"/>
      <c r="W7" s="1008"/>
      <c r="X7" s="1008"/>
      <c r="Y7" s="1008"/>
      <c r="Z7" s="536"/>
      <c r="AA7"/>
      <c r="AB7"/>
      <c r="AC7"/>
      <c r="AD7"/>
    </row>
    <row r="8" spans="1:30" ht="12.75" customHeight="1">
      <c r="A8" s="121"/>
      <c r="B8" s="121"/>
      <c r="C8" s="121"/>
      <c r="D8" s="121"/>
      <c r="E8" s="121"/>
      <c r="F8" s="121"/>
      <c r="G8" s="121"/>
      <c r="H8" s="121"/>
      <c r="I8" s="121"/>
      <c r="J8" s="121"/>
      <c r="K8" s="121"/>
      <c r="L8" s="121"/>
      <c r="M8" s="121"/>
      <c r="N8" s="121"/>
      <c r="O8" s="121"/>
      <c r="P8" s="121"/>
      <c r="Q8" s="386"/>
      <c r="R8" s="361"/>
      <c r="S8" s="361"/>
      <c r="T8" s="361"/>
      <c r="U8" s="361"/>
      <c r="V8" s="361"/>
      <c r="W8" s="361"/>
      <c r="X8" s="361"/>
      <c r="Y8" s="361"/>
      <c r="Z8" s="361"/>
      <c r="AA8"/>
      <c r="AB8"/>
      <c r="AC8"/>
      <c r="AD8"/>
    </row>
    <row r="9" spans="1:30" ht="12.75" customHeight="1">
      <c r="A9" s="121"/>
      <c r="B9" s="121"/>
      <c r="C9" s="121"/>
      <c r="D9" s="121"/>
      <c r="E9" s="121"/>
      <c r="F9" s="121"/>
      <c r="G9" s="121"/>
      <c r="H9" s="121"/>
      <c r="I9" s="121"/>
      <c r="J9" s="121"/>
      <c r="K9" s="121"/>
      <c r="L9" s="121"/>
      <c r="M9" s="121"/>
      <c r="N9" s="121"/>
      <c r="O9" s="121"/>
      <c r="P9" s="121"/>
      <c r="Q9" s="360">
        <v>1.1000000000000001</v>
      </c>
      <c r="R9" s="364" t="s">
        <v>586</v>
      </c>
      <c r="S9" s="363"/>
      <c r="T9" s="363"/>
      <c r="U9" s="363"/>
      <c r="V9" s="363"/>
      <c r="W9" s="363"/>
      <c r="X9" s="363"/>
      <c r="Y9" s="363"/>
      <c r="Z9" s="363"/>
      <c r="AA9"/>
      <c r="AB9"/>
      <c r="AC9"/>
      <c r="AD9"/>
    </row>
    <row r="10" spans="1:30" ht="12.75" customHeight="1">
      <c r="A10" s="121"/>
      <c r="B10" s="121"/>
      <c r="C10" s="121"/>
      <c r="D10" s="121"/>
      <c r="E10" s="121"/>
      <c r="F10" s="121"/>
      <c r="G10" s="121"/>
      <c r="H10" s="121"/>
      <c r="I10" s="121"/>
      <c r="J10" s="121"/>
      <c r="K10" s="121"/>
      <c r="L10" s="121"/>
      <c r="M10" s="121"/>
      <c r="N10" s="121"/>
      <c r="O10" s="121"/>
      <c r="P10" s="121"/>
      <c r="Q10" s="360"/>
      <c r="R10" s="969" t="s">
        <v>25</v>
      </c>
      <c r="S10" s="969"/>
      <c r="T10" s="969"/>
      <c r="U10" s="969"/>
      <c r="V10" s="447">
        <f>'Prod Parameters'!$F$8</f>
        <v>23</v>
      </c>
      <c r="W10" s="363"/>
      <c r="X10" s="363"/>
      <c r="Y10" s="363"/>
      <c r="Z10" s="363"/>
      <c r="AA10"/>
      <c r="AB10"/>
      <c r="AC10"/>
      <c r="AD10"/>
    </row>
    <row r="11" spans="1:30" ht="12.75" customHeight="1">
      <c r="A11" s="121"/>
      <c r="B11" s="121"/>
      <c r="C11" s="121"/>
      <c r="D11" s="121"/>
      <c r="E11" s="121"/>
      <c r="F11" s="121"/>
      <c r="G11" s="121"/>
      <c r="H11" s="121"/>
      <c r="I11" s="121"/>
      <c r="J11" s="121"/>
      <c r="K11" s="121"/>
      <c r="L11" s="121"/>
      <c r="M11" s="121"/>
      <c r="N11" s="121"/>
      <c r="O11" s="121"/>
      <c r="P11" s="121"/>
      <c r="Q11" s="360"/>
      <c r="R11" s="969" t="s">
        <v>325</v>
      </c>
      <c r="S11" s="969"/>
      <c r="T11" s="969"/>
      <c r="U11" s="969"/>
      <c r="V11" s="447">
        <f>'Prod Parameters'!$F$9</f>
        <v>23</v>
      </c>
      <c r="W11" s="363"/>
      <c r="X11" s="363"/>
      <c r="Y11" s="363"/>
      <c r="Z11" s="363"/>
      <c r="AA11"/>
      <c r="AB11"/>
      <c r="AC11"/>
      <c r="AD11"/>
    </row>
    <row r="12" spans="1:30" ht="12.75" customHeight="1">
      <c r="A12" s="121"/>
      <c r="B12" s="121"/>
      <c r="C12" s="121"/>
      <c r="D12" s="121"/>
      <c r="E12" s="121"/>
      <c r="F12" s="121"/>
      <c r="G12" s="121"/>
      <c r="H12" s="121"/>
      <c r="I12" s="121"/>
      <c r="J12" s="121"/>
      <c r="K12" s="121"/>
      <c r="L12" s="121"/>
      <c r="M12" s="121"/>
      <c r="N12" s="121"/>
      <c r="O12" s="121"/>
      <c r="P12" s="121"/>
      <c r="Q12" s="360"/>
      <c r="R12" s="1021" t="s">
        <v>26</v>
      </c>
      <c r="S12" s="1022"/>
      <c r="T12" s="1022"/>
      <c r="U12" s="1023"/>
      <c r="V12" s="447">
        <f>'Prod Parameters'!$F$10</f>
        <v>6</v>
      </c>
      <c r="W12" s="363"/>
      <c r="X12" s="363"/>
      <c r="Y12" s="363"/>
      <c r="Z12" s="363"/>
      <c r="AA12"/>
      <c r="AB12"/>
      <c r="AC12"/>
      <c r="AD12"/>
    </row>
    <row r="13" spans="1:30" ht="12.75" customHeight="1">
      <c r="A13" s="121"/>
      <c r="B13" s="121"/>
      <c r="C13" s="121"/>
      <c r="D13" s="121"/>
      <c r="E13" s="121"/>
      <c r="F13" s="121"/>
      <c r="G13" s="121"/>
      <c r="H13" s="121"/>
      <c r="I13" s="121"/>
      <c r="J13" s="121"/>
      <c r="K13" s="121"/>
      <c r="L13" s="121"/>
      <c r="M13" s="121"/>
      <c r="N13" s="121"/>
      <c r="O13" s="121"/>
      <c r="P13" s="121"/>
      <c r="Q13" s="360"/>
      <c r="R13" s="969" t="s">
        <v>27</v>
      </c>
      <c r="S13" s="969"/>
      <c r="T13" s="969"/>
      <c r="U13" s="969"/>
      <c r="V13" s="447">
        <f>'Prod Parameters'!$F$11</f>
        <v>52</v>
      </c>
      <c r="W13" s="363"/>
      <c r="X13" s="363"/>
      <c r="Y13" s="363"/>
      <c r="Z13" s="363"/>
      <c r="AA13"/>
      <c r="AB13"/>
      <c r="AC13"/>
      <c r="AD13"/>
    </row>
    <row r="14" spans="1:30" ht="12.75" customHeight="1">
      <c r="A14" s="121"/>
      <c r="B14" s="121"/>
      <c r="C14" s="121"/>
      <c r="D14" s="121"/>
      <c r="E14" s="121"/>
      <c r="F14" s="121"/>
      <c r="G14" s="121"/>
      <c r="H14" s="121"/>
      <c r="I14" s="121"/>
      <c r="J14" s="121"/>
      <c r="K14" s="121"/>
      <c r="L14" s="121"/>
      <c r="M14" s="121"/>
      <c r="N14" s="121"/>
      <c r="O14" s="121"/>
      <c r="P14" s="121"/>
      <c r="Q14" s="360"/>
      <c r="R14" s="969" t="s">
        <v>28</v>
      </c>
      <c r="S14" s="969"/>
      <c r="T14" s="969"/>
      <c r="U14" s="969"/>
      <c r="V14" s="447">
        <f>'Prod Parameters'!$F$12</f>
        <v>260</v>
      </c>
      <c r="W14" s="363"/>
      <c r="X14" s="363"/>
      <c r="Y14" s="363"/>
      <c r="Z14" s="363"/>
      <c r="AA14"/>
      <c r="AB14"/>
      <c r="AC14"/>
      <c r="AD14"/>
    </row>
    <row r="15" spans="1:30" ht="12.75" customHeight="1">
      <c r="A15" s="121"/>
      <c r="B15" s="121"/>
      <c r="C15" s="121"/>
      <c r="D15" s="121"/>
      <c r="E15" s="121"/>
      <c r="F15" s="121"/>
      <c r="G15" s="121"/>
      <c r="H15" s="121"/>
      <c r="I15" s="121"/>
      <c r="J15" s="121"/>
      <c r="K15" s="121"/>
      <c r="L15" s="121"/>
      <c r="M15" s="121"/>
      <c r="N15" s="121"/>
      <c r="O15" s="121"/>
      <c r="P15" s="121"/>
      <c r="Q15" s="360"/>
      <c r="R15" s="969" t="s">
        <v>29</v>
      </c>
      <c r="S15" s="969"/>
      <c r="T15" s="969"/>
      <c r="U15" s="969"/>
      <c r="V15" s="447">
        <f>'Prod Parameters'!$F$13</f>
        <v>30</v>
      </c>
      <c r="W15" s="363"/>
      <c r="X15" s="363"/>
      <c r="Y15" s="363"/>
      <c r="Z15" s="363"/>
      <c r="AA15"/>
      <c r="AB15"/>
      <c r="AC15"/>
      <c r="AD15"/>
    </row>
    <row r="16" spans="1:30" ht="12.75" customHeight="1">
      <c r="A16" s="121"/>
      <c r="B16" s="121"/>
      <c r="C16" s="121"/>
      <c r="D16" s="121"/>
      <c r="E16" s="121"/>
      <c r="F16" s="121"/>
      <c r="G16" s="121"/>
      <c r="H16" s="121"/>
      <c r="I16" s="121"/>
      <c r="J16" s="121"/>
      <c r="K16" s="121"/>
      <c r="L16" s="121"/>
      <c r="M16" s="121"/>
      <c r="N16" s="121"/>
      <c r="O16" s="121"/>
      <c r="P16" s="121"/>
      <c r="Q16" s="360"/>
      <c r="R16" s="968" t="s">
        <v>30</v>
      </c>
      <c r="S16" s="968"/>
      <c r="T16" s="968"/>
      <c r="U16" s="968"/>
      <c r="V16" s="447">
        <f>'Prod Parameters'!$F$14</f>
        <v>230</v>
      </c>
      <c r="W16" s="363"/>
      <c r="X16" s="363"/>
      <c r="Y16" s="363"/>
      <c r="Z16" s="363"/>
      <c r="AA16"/>
      <c r="AB16"/>
      <c r="AC16"/>
      <c r="AD16"/>
    </row>
    <row r="17" spans="1:30" ht="12.75" customHeight="1">
      <c r="A17" s="121"/>
      <c r="B17" s="121"/>
      <c r="C17" s="121"/>
      <c r="D17" s="121"/>
      <c r="E17" s="121"/>
      <c r="F17" s="121"/>
      <c r="G17" s="121"/>
      <c r="H17" s="121"/>
      <c r="I17" s="121"/>
      <c r="J17" s="121"/>
      <c r="K17" s="121"/>
      <c r="L17" s="121"/>
      <c r="M17" s="121"/>
      <c r="N17" s="121"/>
      <c r="O17" s="121"/>
      <c r="P17" s="121"/>
      <c r="Q17" s="360"/>
      <c r="R17" s="363"/>
      <c r="S17" s="363"/>
      <c r="T17" s="363"/>
      <c r="U17" s="363"/>
      <c r="V17" s="363"/>
      <c r="W17" s="363"/>
      <c r="X17" s="363"/>
      <c r="Y17" s="363"/>
      <c r="Z17" s="363"/>
      <c r="AA17"/>
      <c r="AB17"/>
      <c r="AC17"/>
      <c r="AD17"/>
    </row>
    <row r="18" spans="1:30" ht="12.75" customHeight="1">
      <c r="A18" s="121"/>
      <c r="B18" s="121"/>
      <c r="C18" s="121"/>
      <c r="D18" s="121"/>
      <c r="E18" s="121"/>
      <c r="F18" s="121"/>
      <c r="G18" s="121"/>
      <c r="H18" s="121"/>
      <c r="I18" s="121"/>
      <c r="J18" s="121"/>
      <c r="K18" s="121"/>
      <c r="L18" s="121"/>
      <c r="M18" s="121"/>
      <c r="N18" s="121"/>
      <c r="O18" s="121"/>
      <c r="P18" s="121"/>
      <c r="Q18" s="360">
        <v>1.2</v>
      </c>
      <c r="R18" s="364" t="s">
        <v>19</v>
      </c>
      <c r="S18" s="363"/>
      <c r="T18" s="363"/>
      <c r="U18" s="363"/>
      <c r="V18" s="363"/>
      <c r="W18" s="363"/>
      <c r="X18" s="363"/>
      <c r="Y18" s="363"/>
      <c r="Z18" s="363"/>
      <c r="AA18"/>
      <c r="AB18"/>
      <c r="AC18"/>
      <c r="AD18"/>
    </row>
    <row r="19" spans="1:30" ht="12.75" customHeight="1">
      <c r="A19" s="121"/>
      <c r="B19" s="121"/>
      <c r="C19" s="121"/>
      <c r="D19" s="121"/>
      <c r="E19" s="121"/>
      <c r="F19" s="121"/>
      <c r="G19" s="121"/>
      <c r="H19" s="121"/>
      <c r="I19" s="121"/>
      <c r="J19" s="121"/>
      <c r="K19" s="121"/>
      <c r="L19" s="121"/>
      <c r="M19" s="121"/>
      <c r="N19" s="121"/>
      <c r="O19" s="121"/>
      <c r="P19" s="121"/>
      <c r="Q19" s="360"/>
      <c r="R19" s="969" t="s">
        <v>314</v>
      </c>
      <c r="S19" s="969"/>
      <c r="T19" s="969"/>
      <c r="U19" s="969"/>
      <c r="V19" s="447">
        <f>'Prod Parameters'!$F$17</f>
        <v>160</v>
      </c>
      <c r="W19" s="363"/>
      <c r="X19" s="363"/>
      <c r="Y19" s="363"/>
      <c r="Z19" s="363"/>
      <c r="AA19"/>
      <c r="AB19"/>
      <c r="AC19"/>
      <c r="AD19"/>
    </row>
    <row r="20" spans="1:30" ht="12.75" customHeight="1">
      <c r="A20" s="121"/>
      <c r="B20" s="121"/>
      <c r="C20" s="121"/>
      <c r="D20" s="121"/>
      <c r="E20" s="121"/>
      <c r="F20" s="121"/>
      <c r="G20" s="121"/>
      <c r="H20" s="121"/>
      <c r="I20" s="121"/>
      <c r="J20" s="121"/>
      <c r="K20" s="121"/>
      <c r="L20" s="121"/>
      <c r="M20" s="121"/>
      <c r="N20" s="121"/>
      <c r="O20" s="121"/>
      <c r="P20" s="121"/>
      <c r="Q20" s="360"/>
      <c r="R20" s="969" t="s">
        <v>31</v>
      </c>
      <c r="S20" s="969"/>
      <c r="T20" s="969"/>
      <c r="U20" s="969"/>
      <c r="V20" s="447">
        <f>'Prod Parameters'!$F$18</f>
        <v>1.2</v>
      </c>
      <c r="W20" s="363"/>
      <c r="X20" s="363"/>
      <c r="Y20" s="363"/>
      <c r="Z20" s="363"/>
      <c r="AA20"/>
      <c r="AB20"/>
      <c r="AC20"/>
      <c r="AD20"/>
    </row>
    <row r="21" spans="1:30" ht="12.75" customHeight="1">
      <c r="A21" s="121"/>
      <c r="B21" s="121"/>
      <c r="C21" s="121"/>
      <c r="D21" s="121"/>
      <c r="E21" s="121"/>
      <c r="F21" s="121"/>
      <c r="G21" s="121"/>
      <c r="H21" s="121"/>
      <c r="I21" s="121"/>
      <c r="J21" s="121"/>
      <c r="K21" s="121"/>
      <c r="L21" s="121"/>
      <c r="M21" s="121"/>
      <c r="N21" s="121"/>
      <c r="O21" s="121"/>
      <c r="P21" s="121"/>
      <c r="Q21" s="360"/>
      <c r="R21" s="969" t="s">
        <v>199</v>
      </c>
      <c r="S21" s="969"/>
      <c r="T21" s="969"/>
      <c r="U21" s="969"/>
      <c r="V21" s="447">
        <f>'Prod Parameters'!$F$19</f>
        <v>4</v>
      </c>
      <c r="W21" s="363"/>
      <c r="X21" s="363"/>
      <c r="Y21" s="363"/>
      <c r="Z21" s="363"/>
      <c r="AA21"/>
      <c r="AB21"/>
      <c r="AC21"/>
      <c r="AD21"/>
    </row>
    <row r="22" spans="1:30" ht="12.75" customHeight="1">
      <c r="A22" s="121"/>
      <c r="B22" s="121"/>
      <c r="C22" s="121"/>
      <c r="D22" s="121"/>
      <c r="E22" s="121"/>
      <c r="F22" s="121"/>
      <c r="G22" s="121"/>
      <c r="H22" s="121"/>
      <c r="I22" s="121"/>
      <c r="J22" s="121"/>
      <c r="K22" s="121"/>
      <c r="L22" s="121"/>
      <c r="M22" s="121"/>
      <c r="N22" s="121"/>
      <c r="O22" s="121"/>
      <c r="P22" s="121"/>
      <c r="Q22" s="360"/>
      <c r="R22" s="969" t="s">
        <v>20</v>
      </c>
      <c r="S22" s="969"/>
      <c r="T22" s="969"/>
      <c r="U22" s="969"/>
      <c r="V22" s="447">
        <f>'Prod Parameters'!$F$20</f>
        <v>40</v>
      </c>
      <c r="W22" s="363"/>
      <c r="X22" s="363"/>
      <c r="Y22" s="363"/>
      <c r="Z22" s="363"/>
      <c r="AA22"/>
      <c r="AB22"/>
      <c r="AC22"/>
      <c r="AD22"/>
    </row>
    <row r="23" spans="1:30" ht="12.75" customHeight="1">
      <c r="A23" s="121"/>
      <c r="B23" s="121"/>
      <c r="C23" s="121"/>
      <c r="D23" s="121"/>
      <c r="E23" s="121"/>
      <c r="F23" s="121"/>
      <c r="G23" s="121"/>
      <c r="H23" s="121"/>
      <c r="I23" s="121"/>
      <c r="J23" s="121"/>
      <c r="K23" s="121"/>
      <c r="L23" s="121"/>
      <c r="M23" s="121"/>
      <c r="N23" s="121"/>
      <c r="O23" s="121"/>
      <c r="P23" s="121"/>
      <c r="Q23" s="360"/>
      <c r="R23" s="969" t="s">
        <v>310</v>
      </c>
      <c r="S23" s="969"/>
      <c r="T23" s="969"/>
      <c r="U23" s="969"/>
      <c r="V23" s="447">
        <f>'Prod Parameters'!$F$21</f>
        <v>160</v>
      </c>
      <c r="W23" s="363"/>
      <c r="X23" s="363"/>
      <c r="Y23" s="363"/>
      <c r="Z23" s="363"/>
      <c r="AA23"/>
      <c r="AB23"/>
      <c r="AC23"/>
      <c r="AD23"/>
    </row>
    <row r="24" spans="1:30" ht="12.75" customHeight="1">
      <c r="A24" s="121"/>
      <c r="B24" s="121"/>
      <c r="C24" s="121"/>
      <c r="D24" s="121"/>
      <c r="E24" s="121"/>
      <c r="F24" s="121"/>
      <c r="G24" s="121"/>
      <c r="H24" s="121"/>
      <c r="I24" s="121"/>
      <c r="J24" s="121"/>
      <c r="K24" s="121"/>
      <c r="L24" s="121"/>
      <c r="M24" s="121"/>
      <c r="N24" s="121"/>
      <c r="O24" s="121"/>
      <c r="P24" s="121"/>
      <c r="Q24" s="360"/>
      <c r="R24" s="969" t="s">
        <v>315</v>
      </c>
      <c r="S24" s="969"/>
      <c r="T24" s="969"/>
      <c r="U24" s="969"/>
      <c r="V24" s="549">
        <f>'Prod Parameters'!$F$22</f>
        <v>6400</v>
      </c>
      <c r="W24" s="363"/>
      <c r="X24" s="363"/>
      <c r="Y24" s="363"/>
      <c r="Z24" s="363"/>
      <c r="AA24"/>
      <c r="AB24"/>
      <c r="AC24"/>
      <c r="AD24"/>
    </row>
    <row r="25" spans="1:30" ht="12.75" customHeight="1">
      <c r="A25" s="121"/>
      <c r="B25" s="121"/>
      <c r="C25" s="121"/>
      <c r="D25" s="121"/>
      <c r="E25" s="121"/>
      <c r="F25" s="121"/>
      <c r="G25" s="121"/>
      <c r="H25" s="121"/>
      <c r="I25" s="121"/>
      <c r="J25" s="121"/>
      <c r="K25" s="121"/>
      <c r="L25" s="121"/>
      <c r="M25" s="121"/>
      <c r="N25" s="121"/>
      <c r="O25" s="121"/>
      <c r="P25" s="121"/>
      <c r="Q25" s="360"/>
      <c r="R25" s="969" t="s">
        <v>187</v>
      </c>
      <c r="S25" s="969"/>
      <c r="T25" s="969"/>
      <c r="U25" s="969"/>
      <c r="V25" s="549">
        <f>'Prod Parameters'!$F$23</f>
        <v>7680</v>
      </c>
      <c r="W25" s="363"/>
      <c r="X25" s="363"/>
      <c r="Y25" s="363"/>
      <c r="Z25" s="363"/>
      <c r="AA25"/>
      <c r="AB25"/>
      <c r="AC25"/>
      <c r="AD25"/>
    </row>
    <row r="26" spans="1:30" ht="12.75" customHeight="1">
      <c r="A26" s="121"/>
      <c r="B26" s="121"/>
      <c r="C26" s="121"/>
      <c r="D26" s="121"/>
      <c r="E26" s="121"/>
      <c r="F26" s="121"/>
      <c r="G26" s="121"/>
      <c r="H26" s="121"/>
      <c r="I26" s="121"/>
      <c r="J26" s="121"/>
      <c r="K26" s="121"/>
      <c r="L26" s="121"/>
      <c r="M26" s="121"/>
      <c r="N26" s="121"/>
      <c r="O26" s="121"/>
      <c r="P26" s="121"/>
      <c r="Q26" s="360"/>
      <c r="R26" s="969" t="s">
        <v>200</v>
      </c>
      <c r="S26" s="969"/>
      <c r="T26" s="969"/>
      <c r="U26" s="969"/>
      <c r="V26" s="549">
        <f>'Prod Parameters'!$F$24</f>
        <v>176640</v>
      </c>
      <c r="W26" s="363"/>
      <c r="X26" s="363"/>
      <c r="Y26" s="363"/>
      <c r="Z26" s="363"/>
      <c r="AA26"/>
      <c r="AB26"/>
      <c r="AC26"/>
      <c r="AD26"/>
    </row>
    <row r="27" spans="1:30" ht="12.75" customHeight="1">
      <c r="A27" s="121"/>
      <c r="B27" s="121"/>
      <c r="C27" s="121"/>
      <c r="D27" s="121"/>
      <c r="E27" s="121"/>
      <c r="F27" s="121"/>
      <c r="G27" s="121"/>
      <c r="H27" s="121"/>
      <c r="I27" s="121"/>
      <c r="J27" s="121"/>
      <c r="K27" s="121"/>
      <c r="L27" s="121"/>
      <c r="M27" s="121"/>
      <c r="N27" s="121"/>
      <c r="O27" s="121"/>
      <c r="P27" s="121"/>
      <c r="Q27" s="360"/>
      <c r="R27" s="363"/>
      <c r="S27" s="363"/>
      <c r="T27" s="363"/>
      <c r="U27" s="363"/>
      <c r="V27" s="363"/>
      <c r="W27" s="363"/>
      <c r="X27" s="363"/>
      <c r="Y27" s="363"/>
      <c r="Z27" s="363"/>
      <c r="AA27"/>
      <c r="AB27"/>
      <c r="AC27"/>
      <c r="AD27"/>
    </row>
    <row r="28" spans="1:30" ht="12.75" customHeight="1">
      <c r="A28" s="121"/>
      <c r="B28" s="121"/>
      <c r="C28" s="121"/>
      <c r="D28" s="121"/>
      <c r="E28" s="121"/>
      <c r="F28" s="121"/>
      <c r="G28" s="121"/>
      <c r="H28" s="121"/>
      <c r="I28" s="121"/>
      <c r="J28" s="121"/>
      <c r="K28" s="121"/>
      <c r="L28" s="121"/>
      <c r="M28" s="121"/>
      <c r="N28" s="121"/>
      <c r="O28" s="121"/>
      <c r="P28" s="121"/>
      <c r="Q28" s="385" t="s">
        <v>33</v>
      </c>
      <c r="R28" s="1008" t="s">
        <v>821</v>
      </c>
      <c r="S28" s="1008"/>
      <c r="T28" s="1008"/>
      <c r="U28" s="1008"/>
      <c r="V28" s="1008"/>
      <c r="W28" s="1008"/>
      <c r="X28" s="1008"/>
      <c r="Y28" s="1008"/>
      <c r="Z28" s="536"/>
      <c r="AA28"/>
      <c r="AB28"/>
      <c r="AC28"/>
      <c r="AD28"/>
    </row>
    <row r="29" spans="1:30" ht="12.75" customHeight="1">
      <c r="A29" s="121"/>
      <c r="B29" s="121"/>
      <c r="C29" s="121"/>
      <c r="D29" s="121"/>
      <c r="E29" s="121"/>
      <c r="F29" s="121"/>
      <c r="G29" s="121"/>
      <c r="H29" s="121"/>
      <c r="I29" s="121"/>
      <c r="J29" s="121"/>
      <c r="K29" s="121"/>
      <c r="L29" s="121"/>
      <c r="M29" s="121"/>
      <c r="N29" s="121"/>
      <c r="O29" s="121"/>
      <c r="P29" s="121"/>
      <c r="Q29" s="546"/>
      <c r="R29" s="363"/>
      <c r="S29" s="363"/>
      <c r="T29" s="363"/>
      <c r="U29" s="363"/>
      <c r="V29" s="363"/>
      <c r="W29" s="363"/>
      <c r="X29" s="363"/>
      <c r="Y29" s="363"/>
      <c r="Z29" s="363"/>
      <c r="AA29"/>
      <c r="AB29"/>
      <c r="AC29"/>
      <c r="AD29"/>
    </row>
    <row r="30" spans="1:30" ht="12.75" customHeight="1">
      <c r="A30" s="121"/>
      <c r="B30" s="121"/>
      <c r="C30" s="121"/>
      <c r="D30" s="121"/>
      <c r="E30" s="121"/>
      <c r="F30" s="121"/>
      <c r="G30" s="121"/>
      <c r="H30" s="121"/>
      <c r="I30" s="121"/>
      <c r="J30" s="121"/>
      <c r="K30" s="121"/>
      <c r="L30" s="121"/>
      <c r="M30" s="121"/>
      <c r="N30" s="121"/>
      <c r="O30" s="121"/>
      <c r="P30" s="121"/>
      <c r="Q30" s="546">
        <v>2.1</v>
      </c>
      <c r="R30" s="363" t="s">
        <v>831</v>
      </c>
      <c r="S30" s="363"/>
      <c r="T30" s="363"/>
      <c r="U30" s="550"/>
      <c r="V30" s="550"/>
      <c r="W30" s="550"/>
      <c r="X30" s="550"/>
      <c r="Y30" s="551"/>
      <c r="Z30" s="551"/>
      <c r="AA30"/>
      <c r="AB30"/>
      <c r="AC30"/>
      <c r="AD30"/>
    </row>
    <row r="31" spans="1:30" ht="12.75" customHeight="1">
      <c r="A31" s="121"/>
      <c r="B31" s="121"/>
      <c r="C31" s="121"/>
      <c r="D31" s="121"/>
      <c r="E31" s="121"/>
      <c r="F31" s="121"/>
      <c r="G31" s="121"/>
      <c r="H31" s="121"/>
      <c r="I31" s="121"/>
      <c r="J31" s="121"/>
      <c r="K31" s="121"/>
      <c r="L31" s="121"/>
      <c r="M31" s="121"/>
      <c r="N31" s="121"/>
      <c r="O31" s="121"/>
      <c r="P31" s="121"/>
      <c r="Q31" s="546"/>
      <c r="R31" s="998" t="s">
        <v>77</v>
      </c>
      <c r="S31" s="999"/>
      <c r="T31" s="1000"/>
      <c r="U31" s="1019" t="s">
        <v>824</v>
      </c>
      <c r="V31" s="1019" t="s">
        <v>828</v>
      </c>
      <c r="W31" s="1019" t="s">
        <v>826</v>
      </c>
      <c r="X31" s="1019" t="s">
        <v>23</v>
      </c>
      <c r="Y31" s="552"/>
      <c r="Z31" s="552"/>
      <c r="AA31"/>
      <c r="AB31"/>
      <c r="AC31"/>
      <c r="AD31"/>
    </row>
    <row r="32" spans="1:30" ht="12.75" customHeight="1">
      <c r="A32" s="121"/>
      <c r="B32" s="121"/>
      <c r="C32" s="121"/>
      <c r="D32" s="121"/>
      <c r="E32" s="121"/>
      <c r="F32" s="121"/>
      <c r="G32" s="121"/>
      <c r="H32" s="121"/>
      <c r="I32" s="121"/>
      <c r="J32" s="121"/>
      <c r="K32" s="121"/>
      <c r="L32" s="121"/>
      <c r="M32" s="121"/>
      <c r="N32" s="121"/>
      <c r="O32" s="121"/>
      <c r="P32" s="121"/>
      <c r="Q32" s="546"/>
      <c r="R32" s="1001"/>
      <c r="S32" s="1002"/>
      <c r="T32" s="1003"/>
      <c r="U32" s="1019"/>
      <c r="V32" s="1019"/>
      <c r="W32" s="1019"/>
      <c r="X32" s="1019"/>
      <c r="Y32" s="364"/>
      <c r="Z32" s="364"/>
      <c r="AA32"/>
      <c r="AB32"/>
      <c r="AC32"/>
      <c r="AD32"/>
    </row>
    <row r="33" spans="1:30" ht="12.75" customHeight="1">
      <c r="A33" s="121"/>
      <c r="B33" s="121"/>
      <c r="C33" s="121"/>
      <c r="D33" s="121"/>
      <c r="E33" s="121"/>
      <c r="F33" s="121"/>
      <c r="G33" s="121"/>
      <c r="H33" s="121"/>
      <c r="I33" s="121"/>
      <c r="J33" s="121"/>
      <c r="K33" s="121"/>
      <c r="L33" s="121"/>
      <c r="M33" s="121"/>
      <c r="N33" s="121"/>
      <c r="O33" s="121"/>
      <c r="P33" s="121"/>
      <c r="Q33" s="546"/>
      <c r="R33" s="1020" t="s">
        <v>500</v>
      </c>
      <c r="S33" s="1020"/>
      <c r="T33" s="1020"/>
      <c r="U33" s="369">
        <v>23.9</v>
      </c>
      <c r="V33" s="369">
        <f>'Lookup Properties'!$C$7</f>
        <v>15.4</v>
      </c>
      <c r="W33" s="369">
        <f>'Lookup Properties'!$D$7</f>
        <v>4.8</v>
      </c>
      <c r="X33" s="553">
        <f>SUM(U33:W33)</f>
        <v>44.099999999999994</v>
      </c>
      <c r="Y33" s="364"/>
      <c r="Z33" s="364"/>
      <c r="AA33"/>
      <c r="AB33"/>
      <c r="AC33"/>
      <c r="AD33"/>
    </row>
    <row r="34" spans="1:30" ht="12.75" customHeight="1">
      <c r="A34" s="121"/>
      <c r="B34" s="121"/>
      <c r="C34" s="121"/>
      <c r="D34" s="121"/>
      <c r="E34" s="121"/>
      <c r="F34" s="121"/>
      <c r="G34" s="121"/>
      <c r="H34" s="121"/>
      <c r="I34" s="121"/>
      <c r="J34" s="121"/>
      <c r="K34" s="121"/>
      <c r="L34" s="121"/>
      <c r="M34" s="121"/>
      <c r="N34" s="121"/>
      <c r="O34" s="121"/>
      <c r="P34" s="121"/>
      <c r="Q34" s="546"/>
      <c r="R34" s="1017" t="s">
        <v>22</v>
      </c>
      <c r="S34" s="1017"/>
      <c r="T34" s="1017"/>
      <c r="U34" s="369">
        <f>'Lookup Properties'!$B$5</f>
        <v>22.35</v>
      </c>
      <c r="V34" s="369">
        <f>'Lookup Properties'!$C$5</f>
        <v>17.399999999999999</v>
      </c>
      <c r="W34" s="369">
        <f>'Lookup Properties'!$D$5</f>
        <v>5</v>
      </c>
      <c r="X34" s="553">
        <f>SUM(U34:W34)</f>
        <v>44.75</v>
      </c>
      <c r="Y34" s="364"/>
      <c r="Z34" s="364"/>
      <c r="AA34"/>
      <c r="AB34"/>
      <c r="AC34"/>
      <c r="AD34"/>
    </row>
    <row r="35" spans="1:30" ht="12.75" customHeight="1">
      <c r="A35" s="121"/>
      <c r="B35" s="121"/>
      <c r="C35" s="121"/>
      <c r="D35" s="121"/>
      <c r="E35" s="121"/>
      <c r="F35" s="121"/>
      <c r="G35" s="121"/>
      <c r="H35" s="121"/>
      <c r="I35" s="121"/>
      <c r="J35" s="121"/>
      <c r="K35" s="121"/>
      <c r="L35" s="121"/>
      <c r="M35" s="121"/>
      <c r="N35" s="121"/>
      <c r="O35" s="121"/>
      <c r="P35" s="121"/>
      <c r="Q35" s="546"/>
      <c r="R35" s="1018" t="s">
        <v>579</v>
      </c>
      <c r="S35" s="1018"/>
      <c r="T35" s="1018"/>
      <c r="U35" s="369">
        <f>'Lookup Properties'!$B$6</f>
        <v>22.15</v>
      </c>
      <c r="V35" s="369">
        <f>'Lookup Properties'!$C$6</f>
        <v>18.149999999999999</v>
      </c>
      <c r="W35" s="369">
        <f>'Lookup Properties'!$D$6</f>
        <v>5</v>
      </c>
      <c r="X35" s="553">
        <f>SUM(U35:W35)</f>
        <v>45.3</v>
      </c>
      <c r="Y35" s="364"/>
      <c r="Z35" s="364"/>
      <c r="AA35"/>
      <c r="AB35"/>
      <c r="AC35"/>
      <c r="AD35"/>
    </row>
    <row r="36" spans="1:30" ht="12.75" customHeight="1">
      <c r="A36" s="121"/>
      <c r="B36" s="121"/>
      <c r="C36" s="121"/>
      <c r="D36" s="121"/>
      <c r="E36" s="121"/>
      <c r="F36" s="121"/>
      <c r="G36" s="121"/>
      <c r="H36" s="121"/>
      <c r="I36" s="121"/>
      <c r="J36" s="121"/>
      <c r="K36" s="121"/>
      <c r="L36" s="121"/>
      <c r="M36" s="121"/>
      <c r="N36" s="121"/>
      <c r="O36" s="121"/>
      <c r="P36" s="121"/>
      <c r="Q36" s="546"/>
      <c r="R36" s="1016" t="s">
        <v>21</v>
      </c>
      <c r="S36" s="1016"/>
      <c r="T36" s="1016"/>
      <c r="U36" s="369">
        <f>'Lookup Properties'!$B$4</f>
        <v>21.25</v>
      </c>
      <c r="V36" s="369">
        <f>'Lookup Properties'!$C$4</f>
        <v>17.399999999999999</v>
      </c>
      <c r="W36" s="369">
        <f>'Lookup Properties'!$D$4</f>
        <v>5</v>
      </c>
      <c r="X36" s="553">
        <f>SUM(U36:W36)</f>
        <v>43.65</v>
      </c>
      <c r="Y36" s="364"/>
      <c r="Z36" s="364"/>
      <c r="AA36"/>
      <c r="AB36"/>
      <c r="AC36"/>
      <c r="AD36"/>
    </row>
    <row r="37" spans="1:30" ht="12.75" customHeight="1">
      <c r="A37" s="121"/>
      <c r="B37" s="121"/>
      <c r="C37" s="121"/>
      <c r="D37" s="121"/>
      <c r="E37" s="121"/>
      <c r="F37" s="121"/>
      <c r="G37" s="121"/>
      <c r="H37" s="121"/>
      <c r="I37" s="121"/>
      <c r="J37" s="121"/>
      <c r="K37" s="121"/>
      <c r="L37" s="121"/>
      <c r="M37" s="121"/>
      <c r="N37" s="121"/>
      <c r="O37" s="121"/>
      <c r="P37" s="121"/>
      <c r="Q37" s="364"/>
      <c r="R37" s="364"/>
      <c r="S37" s="364"/>
      <c r="T37" s="364"/>
      <c r="U37" s="555"/>
      <c r="V37" s="555"/>
      <c r="W37" s="555"/>
      <c r="X37" s="555"/>
      <c r="Y37" s="555"/>
      <c r="Z37" s="364"/>
      <c r="AA37"/>
      <c r="AB37"/>
      <c r="AC37"/>
      <c r="AD37"/>
    </row>
    <row r="38" spans="1:30" ht="12.75" customHeight="1">
      <c r="A38" s="121"/>
      <c r="B38" s="121"/>
      <c r="C38" s="121"/>
      <c r="D38" s="121"/>
      <c r="E38" s="121"/>
      <c r="F38" s="121"/>
      <c r="G38" s="121"/>
      <c r="H38" s="121"/>
      <c r="I38" s="121"/>
      <c r="J38" s="121"/>
      <c r="K38" s="121"/>
      <c r="L38" s="121"/>
      <c r="M38" s="121"/>
      <c r="N38" s="121"/>
      <c r="O38" s="121"/>
      <c r="P38" s="121"/>
      <c r="Q38" s="360">
        <v>2.2000000000000002</v>
      </c>
      <c r="R38" s="363" t="s">
        <v>832</v>
      </c>
      <c r="S38" s="363"/>
      <c r="T38" s="363"/>
      <c r="U38" s="363"/>
      <c r="V38" s="363"/>
      <c r="W38" s="363"/>
      <c r="X38" s="363"/>
      <c r="Y38" s="363"/>
      <c r="Z38" s="364"/>
      <c r="AA38"/>
      <c r="AB38"/>
      <c r="AC38"/>
      <c r="AD38"/>
    </row>
    <row r="39" spans="1:30" ht="12.75" customHeight="1">
      <c r="A39" s="121"/>
      <c r="B39" s="121"/>
      <c r="C39" s="121"/>
      <c r="D39" s="121"/>
      <c r="E39" s="121"/>
      <c r="F39" s="121"/>
      <c r="G39" s="121"/>
      <c r="H39" s="121"/>
      <c r="I39" s="121"/>
      <c r="J39" s="121"/>
      <c r="K39" s="121"/>
      <c r="L39" s="121"/>
      <c r="M39" s="121"/>
      <c r="N39" s="121"/>
      <c r="O39" s="121"/>
      <c r="P39" s="121"/>
      <c r="Q39" s="360"/>
      <c r="R39" s="998" t="s">
        <v>77</v>
      </c>
      <c r="S39" s="999"/>
      <c r="T39" s="1000"/>
      <c r="U39" s="1019" t="s">
        <v>824</v>
      </c>
      <c r="V39" s="1019" t="s">
        <v>828</v>
      </c>
      <c r="W39" s="1019" t="s">
        <v>826</v>
      </c>
      <c r="X39" s="1019" t="s">
        <v>23</v>
      </c>
      <c r="Y39" s="364"/>
      <c r="Z39" s="364"/>
      <c r="AA39"/>
      <c r="AB39"/>
      <c r="AC39"/>
      <c r="AD39"/>
    </row>
    <row r="40" spans="1:30" ht="12.75" customHeight="1">
      <c r="A40" s="121"/>
      <c r="B40" s="121"/>
      <c r="C40" s="121"/>
      <c r="D40" s="121"/>
      <c r="E40" s="121"/>
      <c r="F40" s="121"/>
      <c r="G40" s="121"/>
      <c r="H40" s="121"/>
      <c r="I40" s="121"/>
      <c r="J40" s="121"/>
      <c r="K40" s="121"/>
      <c r="L40" s="121"/>
      <c r="M40" s="121"/>
      <c r="N40" s="121"/>
      <c r="O40" s="121"/>
      <c r="P40" s="121"/>
      <c r="Q40" s="360"/>
      <c r="R40" s="1001"/>
      <c r="S40" s="1002"/>
      <c r="T40" s="1003"/>
      <c r="U40" s="1019"/>
      <c r="V40" s="1019"/>
      <c r="W40" s="1019"/>
      <c r="X40" s="1019"/>
      <c r="Y40" s="364"/>
      <c r="Z40" s="364"/>
      <c r="AA40"/>
      <c r="AB40"/>
      <c r="AC40"/>
      <c r="AD40"/>
    </row>
    <row r="41" spans="1:30" ht="12.75" customHeight="1">
      <c r="A41" s="121"/>
      <c r="B41" s="121"/>
      <c r="C41" s="121"/>
      <c r="D41" s="121"/>
      <c r="E41" s="121"/>
      <c r="F41" s="121"/>
      <c r="G41" s="121"/>
      <c r="H41" s="121"/>
      <c r="I41" s="121"/>
      <c r="J41" s="121"/>
      <c r="K41" s="121"/>
      <c r="L41" s="121"/>
      <c r="M41" s="121"/>
      <c r="N41" s="121"/>
      <c r="O41" s="121"/>
      <c r="P41" s="121"/>
      <c r="Q41" s="360"/>
      <c r="R41" s="1020" t="s">
        <v>500</v>
      </c>
      <c r="S41" s="1020"/>
      <c r="T41" s="1020"/>
      <c r="U41" s="556">
        <f>'Lookup Properties'!$B$13</f>
        <v>0.74</v>
      </c>
      <c r="V41" s="556">
        <f>'Lookup Properties'!$C$13</f>
        <v>0.78</v>
      </c>
      <c r="W41" s="556">
        <f>'Lookup Properties'!$D$13</f>
        <v>1.26</v>
      </c>
      <c r="X41" s="553">
        <f>SUM(U41:W41)</f>
        <v>2.7800000000000002</v>
      </c>
      <c r="Y41" s="364"/>
      <c r="Z41" s="364"/>
      <c r="AA41"/>
      <c r="AB41"/>
      <c r="AC41"/>
      <c r="AD41"/>
    </row>
    <row r="42" spans="1:30" ht="12.75" customHeight="1">
      <c r="A42" s="121"/>
      <c r="B42" s="121"/>
      <c r="C42" s="121"/>
      <c r="D42" s="121"/>
      <c r="E42" s="121"/>
      <c r="F42" s="121"/>
      <c r="G42" s="121"/>
      <c r="H42" s="121"/>
      <c r="I42" s="121"/>
      <c r="J42" s="121"/>
      <c r="K42" s="121"/>
      <c r="L42" s="121"/>
      <c r="M42" s="121"/>
      <c r="N42" s="121"/>
      <c r="O42" s="121"/>
      <c r="P42" s="121"/>
      <c r="Q42" s="360"/>
      <c r="R42" s="1017" t="s">
        <v>22</v>
      </c>
      <c r="S42" s="1017"/>
      <c r="T42" s="1017"/>
      <c r="U42" s="557">
        <f>'Lookup Properties'!$B$11</f>
        <v>0.71499999999999997</v>
      </c>
      <c r="V42" s="557">
        <f>'Lookup Properties'!$C$11</f>
        <v>1.03</v>
      </c>
      <c r="W42" s="557">
        <f>'Lookup Properties'!$D$11</f>
        <v>1.29</v>
      </c>
      <c r="X42" s="553">
        <f>SUM(U42:W42)</f>
        <v>3.0350000000000001</v>
      </c>
      <c r="Y42" s="364"/>
      <c r="Z42" s="364"/>
      <c r="AA42"/>
      <c r="AB42"/>
      <c r="AC42"/>
      <c r="AD42"/>
    </row>
    <row r="43" spans="1:30" ht="12.75" customHeight="1">
      <c r="A43" s="121"/>
      <c r="B43" s="121"/>
      <c r="C43" s="121"/>
      <c r="D43" s="121"/>
      <c r="E43" s="121"/>
      <c r="F43" s="121"/>
      <c r="G43" s="121"/>
      <c r="H43" s="121"/>
      <c r="I43" s="121"/>
      <c r="J43" s="121"/>
      <c r="K43" s="121"/>
      <c r="L43" s="121"/>
      <c r="M43" s="121"/>
      <c r="N43" s="121"/>
      <c r="O43" s="121"/>
      <c r="P43" s="121"/>
      <c r="Q43" s="360"/>
      <c r="R43" s="1018" t="s">
        <v>579</v>
      </c>
      <c r="S43" s="1018"/>
      <c r="T43" s="1018"/>
      <c r="U43" s="557">
        <f>'Lookup Properties'!$B$12</f>
        <v>0.755</v>
      </c>
      <c r="V43" s="557">
        <f>'Lookup Properties'!$C$12</f>
        <v>1.07</v>
      </c>
      <c r="W43" s="557">
        <f>'Lookup Properties'!$D$12</f>
        <v>1.2949999999999999</v>
      </c>
      <c r="X43" s="553">
        <f>SUM(U43:W43)</f>
        <v>3.12</v>
      </c>
      <c r="Y43" s="364"/>
      <c r="Z43" s="364"/>
      <c r="AA43"/>
      <c r="AB43"/>
      <c r="AC43"/>
      <c r="AD43"/>
    </row>
    <row r="44" spans="1:30" ht="12.75" customHeight="1">
      <c r="A44" s="121"/>
      <c r="B44" s="121"/>
      <c r="C44" s="121"/>
      <c r="D44" s="121"/>
      <c r="E44" s="121"/>
      <c r="F44" s="121"/>
      <c r="G44" s="121"/>
      <c r="H44" s="121"/>
      <c r="I44" s="121"/>
      <c r="J44" s="121"/>
      <c r="K44" s="121"/>
      <c r="L44" s="121"/>
      <c r="M44" s="121"/>
      <c r="N44" s="121"/>
      <c r="O44" s="121"/>
      <c r="P44" s="121"/>
      <c r="Q44" s="360"/>
      <c r="R44" s="1016" t="s">
        <v>21</v>
      </c>
      <c r="S44" s="1016"/>
      <c r="T44" s="1016"/>
      <c r="U44" s="557">
        <f>'Lookup Properties'!$B$10</f>
        <v>0.71</v>
      </c>
      <c r="V44" s="557">
        <f>'Lookup Properties'!$C$10</f>
        <v>1.03</v>
      </c>
      <c r="W44" s="557">
        <f>'Lookup Properties'!$D$10</f>
        <v>1.29</v>
      </c>
      <c r="X44" s="553">
        <f>SUM(U44:W44)</f>
        <v>3.0300000000000002</v>
      </c>
      <c r="Y44" s="364"/>
      <c r="Z44" s="364"/>
      <c r="AA44"/>
      <c r="AB44"/>
      <c r="AC44"/>
      <c r="AD44"/>
    </row>
    <row r="45" spans="1:30" ht="12.75" customHeight="1">
      <c r="A45" s="121"/>
      <c r="B45" s="121"/>
      <c r="C45" s="121"/>
      <c r="D45" s="121"/>
      <c r="E45" s="121"/>
      <c r="F45" s="121"/>
      <c r="G45" s="121"/>
      <c r="H45" s="121"/>
      <c r="I45" s="121"/>
      <c r="J45" s="121"/>
      <c r="K45" s="121"/>
      <c r="L45" s="121"/>
      <c r="M45" s="121"/>
      <c r="N45" s="121"/>
      <c r="O45" s="121"/>
      <c r="P45" s="121"/>
      <c r="Q45" s="364"/>
      <c r="R45" s="364"/>
      <c r="S45" s="364"/>
      <c r="T45" s="364"/>
      <c r="U45" s="555"/>
      <c r="V45" s="555"/>
      <c r="W45" s="555"/>
      <c r="X45" s="555"/>
      <c r="Y45" s="555"/>
      <c r="Z45" s="364"/>
      <c r="AA45"/>
      <c r="AB45"/>
      <c r="AC45"/>
      <c r="AD45"/>
    </row>
    <row r="46" spans="1:30" ht="12.75" customHeight="1">
      <c r="A46" s="121"/>
      <c r="B46" s="121"/>
      <c r="C46" s="121"/>
      <c r="D46" s="121"/>
      <c r="E46" s="121"/>
      <c r="F46" s="121"/>
      <c r="G46" s="121"/>
      <c r="H46" s="121"/>
      <c r="I46" s="121"/>
      <c r="J46" s="121"/>
      <c r="K46" s="121"/>
      <c r="L46" s="121"/>
      <c r="M46" s="121"/>
      <c r="N46" s="121"/>
      <c r="O46" s="121"/>
      <c r="P46" s="121"/>
      <c r="Q46" s="387" t="s">
        <v>817</v>
      </c>
      <c r="R46" s="1015" t="s">
        <v>206</v>
      </c>
      <c r="S46" s="1015"/>
      <c r="T46" s="1015"/>
      <c r="U46" s="1015"/>
      <c r="V46" s="1015"/>
      <c r="W46" s="1015"/>
      <c r="X46" s="1015"/>
      <c r="Y46" s="1015"/>
      <c r="Z46" s="536"/>
      <c r="AA46"/>
      <c r="AB46"/>
      <c r="AC46"/>
      <c r="AD46"/>
    </row>
    <row r="47" spans="1:30" ht="12.75" customHeight="1">
      <c r="A47" s="121"/>
      <c r="B47" s="121"/>
      <c r="C47" s="121"/>
      <c r="D47" s="121"/>
      <c r="E47" s="121"/>
      <c r="F47" s="121"/>
      <c r="G47" s="121"/>
      <c r="H47" s="121"/>
      <c r="I47" s="121"/>
      <c r="J47" s="121"/>
      <c r="K47" s="121"/>
      <c r="L47" s="121"/>
      <c r="M47" s="121"/>
      <c r="N47" s="121"/>
      <c r="O47" s="121"/>
      <c r="P47" s="121"/>
      <c r="Q47" s="668"/>
      <c r="R47" s="364"/>
      <c r="S47" s="364"/>
      <c r="T47" s="364"/>
      <c r="U47" s="555"/>
      <c r="V47" s="555"/>
      <c r="W47" s="555"/>
      <c r="X47" s="555"/>
      <c r="Y47" s="555"/>
      <c r="Z47" s="364"/>
      <c r="AA47"/>
      <c r="AB47"/>
      <c r="AC47"/>
      <c r="AD47"/>
    </row>
    <row r="48" spans="1:30" ht="12.75" customHeight="1">
      <c r="A48" s="121"/>
      <c r="B48" s="121"/>
      <c r="C48" s="121"/>
      <c r="D48" s="121"/>
      <c r="E48" s="121"/>
      <c r="F48" s="121"/>
      <c r="G48" s="121"/>
      <c r="H48" s="121"/>
      <c r="I48" s="121"/>
      <c r="J48" s="121"/>
      <c r="K48" s="121"/>
      <c r="L48" s="121"/>
      <c r="M48" s="121"/>
      <c r="N48" s="121"/>
      <c r="O48" s="121"/>
      <c r="P48" s="121"/>
      <c r="Q48" s="668" t="s">
        <v>196</v>
      </c>
      <c r="R48" s="364" t="s">
        <v>207</v>
      </c>
      <c r="S48" s="364"/>
      <c r="T48" s="364"/>
      <c r="U48" s="555"/>
      <c r="V48" s="555"/>
      <c r="W48" s="555"/>
      <c r="X48" s="555"/>
      <c r="Y48" s="555"/>
      <c r="Z48" s="364"/>
      <c r="AA48"/>
      <c r="AB48"/>
      <c r="AC48"/>
      <c r="AD48"/>
    </row>
    <row r="49" spans="1:30" ht="12.75" customHeight="1">
      <c r="A49" s="121"/>
      <c r="B49" s="121"/>
      <c r="C49" s="121"/>
      <c r="D49" s="121"/>
      <c r="E49" s="121"/>
      <c r="F49" s="121"/>
      <c r="G49" s="121"/>
      <c r="H49" s="121"/>
      <c r="I49" s="121"/>
      <c r="J49" s="121"/>
      <c r="K49" s="121"/>
      <c r="L49" s="121"/>
      <c r="M49" s="121"/>
      <c r="N49" s="121"/>
      <c r="O49" s="121"/>
      <c r="P49" s="121"/>
      <c r="Q49" s="364"/>
      <c r="R49" s="962" t="s">
        <v>678</v>
      </c>
      <c r="S49" s="963"/>
      <c r="T49" s="964"/>
      <c r="U49" s="949" t="s">
        <v>500</v>
      </c>
      <c r="V49" s="938" t="s">
        <v>22</v>
      </c>
      <c r="W49" s="940" t="s">
        <v>579</v>
      </c>
      <c r="X49" s="942" t="s">
        <v>21</v>
      </c>
      <c r="Y49" s="361"/>
      <c r="Z49" s="364"/>
      <c r="AA49"/>
      <c r="AB49"/>
      <c r="AC49"/>
      <c r="AD49"/>
    </row>
    <row r="50" spans="1:30" ht="12.75" customHeight="1">
      <c r="A50" s="121"/>
      <c r="B50" s="121"/>
      <c r="C50" s="121"/>
      <c r="D50" s="121"/>
      <c r="E50" s="121"/>
      <c r="F50" s="121"/>
      <c r="G50" s="121"/>
      <c r="H50" s="121"/>
      <c r="I50" s="121"/>
      <c r="J50" s="121"/>
      <c r="K50" s="121"/>
      <c r="L50" s="121"/>
      <c r="M50" s="121"/>
      <c r="N50" s="121"/>
      <c r="O50" s="121"/>
      <c r="P50" s="121"/>
      <c r="Q50" s="364"/>
      <c r="R50" s="965"/>
      <c r="S50" s="966"/>
      <c r="T50" s="967"/>
      <c r="U50" s="950"/>
      <c r="V50" s="939"/>
      <c r="W50" s="941"/>
      <c r="X50" s="943"/>
      <c r="Y50" s="361"/>
      <c r="Z50" s="364"/>
      <c r="AA50"/>
      <c r="AB50"/>
      <c r="AC50"/>
      <c r="AD50"/>
    </row>
    <row r="51" spans="1:30" ht="12.75" customHeight="1">
      <c r="A51" s="121"/>
      <c r="B51" s="121"/>
      <c r="C51" s="121"/>
      <c r="D51" s="121"/>
      <c r="E51" s="121"/>
      <c r="F51" s="121"/>
      <c r="G51" s="121"/>
      <c r="H51" s="121"/>
      <c r="I51" s="121"/>
      <c r="J51" s="121"/>
      <c r="K51" s="121"/>
      <c r="L51" s="121"/>
      <c r="M51" s="121"/>
      <c r="N51" s="121"/>
      <c r="O51" s="121"/>
      <c r="P51" s="121"/>
      <c r="Q51" s="364"/>
      <c r="R51" s="969" t="s">
        <v>210</v>
      </c>
      <c r="S51" s="969"/>
      <c r="T51" s="969"/>
      <c r="U51" s="560">
        <v>0.3</v>
      </c>
      <c r="V51" s="537">
        <f>VLOOKUP($V$5,'Lookup Penetration Rate'!$B$8:$E$208,3)</f>
        <v>0.4</v>
      </c>
      <c r="W51" s="537">
        <f>VLOOKUP($V$5,'Lookup Penetration Rate'!$B$8:$E$208,4)</f>
        <v>0.46</v>
      </c>
      <c r="X51" s="537">
        <f>VLOOKUP($V$5,'Lookup Penetration Rate'!$B$8:$E$208,2)</f>
        <v>0.56000000000000005</v>
      </c>
      <c r="Y51" s="361"/>
      <c r="Z51" s="364"/>
      <c r="AA51"/>
      <c r="AB51"/>
      <c r="AC51"/>
      <c r="AD51"/>
    </row>
    <row r="52" spans="1:30" ht="12.75" customHeight="1">
      <c r="A52" s="121"/>
      <c r="B52" s="121"/>
      <c r="C52" s="121"/>
      <c r="D52" s="121"/>
      <c r="E52" s="121"/>
      <c r="F52" s="121"/>
      <c r="G52" s="121"/>
      <c r="H52" s="121"/>
      <c r="I52" s="121"/>
      <c r="J52" s="121"/>
      <c r="K52" s="121"/>
      <c r="L52" s="121"/>
      <c r="M52" s="121"/>
      <c r="N52" s="121"/>
      <c r="O52" s="121"/>
      <c r="P52" s="121"/>
      <c r="Q52" s="364"/>
      <c r="R52" s="364"/>
      <c r="S52" s="364"/>
      <c r="T52" s="364"/>
      <c r="U52" s="555"/>
      <c r="V52" s="555"/>
      <c r="W52" s="555"/>
      <c r="X52" s="555"/>
      <c r="Y52" s="555"/>
      <c r="Z52" s="364"/>
      <c r="AA52"/>
      <c r="AB52"/>
      <c r="AC52"/>
      <c r="AD52"/>
    </row>
    <row r="53" spans="1:30" ht="12.75" customHeight="1">
      <c r="A53" s="121"/>
      <c r="B53" s="121"/>
      <c r="C53" s="121"/>
      <c r="D53" s="121"/>
      <c r="E53" s="121"/>
      <c r="F53" s="121"/>
      <c r="G53" s="121"/>
      <c r="H53" s="121"/>
      <c r="I53" s="121"/>
      <c r="J53" s="121"/>
      <c r="K53" s="121"/>
      <c r="L53" s="121"/>
      <c r="M53" s="121"/>
      <c r="N53" s="121"/>
      <c r="O53" s="121"/>
      <c r="P53" s="121"/>
      <c r="Q53" s="668" t="s">
        <v>197</v>
      </c>
      <c r="R53" s="364" t="s">
        <v>208</v>
      </c>
      <c r="S53" s="364"/>
      <c r="T53" s="364"/>
      <c r="U53" s="555"/>
      <c r="V53" s="555"/>
      <c r="W53" s="555"/>
      <c r="X53" s="555"/>
      <c r="Y53" s="555"/>
      <c r="Z53" s="364"/>
      <c r="AA53"/>
      <c r="AB53"/>
      <c r="AC53"/>
      <c r="AD53"/>
    </row>
    <row r="54" spans="1:30" ht="12.75" customHeight="1">
      <c r="A54" s="121"/>
      <c r="B54" s="121"/>
      <c r="C54" s="121"/>
      <c r="D54" s="121"/>
      <c r="E54" s="121"/>
      <c r="F54" s="121"/>
      <c r="G54" s="121"/>
      <c r="H54" s="121"/>
      <c r="I54" s="121"/>
      <c r="J54" s="121"/>
      <c r="K54" s="121"/>
      <c r="L54" s="121"/>
      <c r="M54" s="121"/>
      <c r="N54" s="121"/>
      <c r="O54" s="121"/>
      <c r="P54" s="121"/>
      <c r="Q54" s="668"/>
      <c r="R54" s="962" t="s">
        <v>678</v>
      </c>
      <c r="S54" s="963"/>
      <c r="T54" s="964"/>
      <c r="U54" s="949" t="s">
        <v>500</v>
      </c>
      <c r="V54" s="938" t="s">
        <v>22</v>
      </c>
      <c r="W54" s="940" t="s">
        <v>579</v>
      </c>
      <c r="X54" s="942" t="s">
        <v>21</v>
      </c>
      <c r="Y54" s="361"/>
      <c r="Z54" s="364"/>
      <c r="AA54"/>
      <c r="AB54"/>
      <c r="AC54"/>
      <c r="AD54"/>
    </row>
    <row r="55" spans="1:30" ht="12.75" customHeight="1">
      <c r="A55" s="121"/>
      <c r="B55" s="121"/>
      <c r="C55" s="121"/>
      <c r="D55" s="121"/>
      <c r="E55" s="121"/>
      <c r="F55" s="121"/>
      <c r="G55" s="121"/>
      <c r="H55" s="121"/>
      <c r="I55" s="121"/>
      <c r="J55" s="121"/>
      <c r="K55" s="121"/>
      <c r="L55" s="121"/>
      <c r="M55" s="121"/>
      <c r="N55" s="121"/>
      <c r="O55" s="121"/>
      <c r="P55" s="121"/>
      <c r="Q55" s="668"/>
      <c r="R55" s="965"/>
      <c r="S55" s="966"/>
      <c r="T55" s="967"/>
      <c r="U55" s="950"/>
      <c r="V55" s="939"/>
      <c r="W55" s="941"/>
      <c r="X55" s="943"/>
      <c r="Y55" s="361"/>
      <c r="Z55" s="364"/>
      <c r="AA55"/>
      <c r="AB55"/>
      <c r="AC55"/>
      <c r="AD55"/>
    </row>
    <row r="56" spans="1:30" ht="12.75" customHeight="1">
      <c r="A56" s="121"/>
      <c r="B56" s="121"/>
      <c r="C56" s="121"/>
      <c r="D56" s="121"/>
      <c r="E56" s="121"/>
      <c r="F56" s="121"/>
      <c r="G56" s="121"/>
      <c r="H56" s="121"/>
      <c r="I56" s="121"/>
      <c r="J56" s="121"/>
      <c r="K56" s="121"/>
      <c r="L56" s="121"/>
      <c r="M56" s="121"/>
      <c r="N56" s="121"/>
      <c r="O56" s="121"/>
      <c r="P56" s="121"/>
      <c r="Q56" s="668"/>
      <c r="R56" s="969" t="s">
        <v>209</v>
      </c>
      <c r="S56" s="969"/>
      <c r="T56" s="969"/>
      <c r="U56" s="560">
        <f>$V$20/U51</f>
        <v>4</v>
      </c>
      <c r="V56" s="669">
        <f>$V$20/V51</f>
        <v>2.9999999999999996</v>
      </c>
      <c r="W56" s="669">
        <f>$V$20/W51</f>
        <v>2.6086956521739126</v>
      </c>
      <c r="X56" s="669">
        <f>$V$20/X51</f>
        <v>2.1428571428571428</v>
      </c>
      <c r="Y56" s="361"/>
      <c r="Z56" s="364"/>
      <c r="AA56"/>
      <c r="AB56"/>
      <c r="AC56"/>
      <c r="AD56"/>
    </row>
    <row r="57" spans="1:30" ht="12.75" customHeight="1">
      <c r="A57" s="121"/>
      <c r="B57" s="121"/>
      <c r="C57" s="121"/>
      <c r="D57" s="121"/>
      <c r="E57" s="121"/>
      <c r="F57" s="121"/>
      <c r="G57" s="121"/>
      <c r="H57" s="121"/>
      <c r="I57" s="121"/>
      <c r="J57" s="121"/>
      <c r="K57" s="121"/>
      <c r="L57" s="121"/>
      <c r="M57" s="121"/>
      <c r="N57" s="121"/>
      <c r="O57" s="121"/>
      <c r="P57" s="121"/>
      <c r="Q57" s="364"/>
      <c r="R57" s="364"/>
      <c r="S57" s="364"/>
      <c r="T57" s="364"/>
      <c r="U57" s="555"/>
      <c r="V57" s="555"/>
      <c r="W57" s="555"/>
      <c r="X57" s="555"/>
      <c r="Y57" s="555"/>
      <c r="Z57" s="364"/>
      <c r="AA57"/>
      <c r="AB57"/>
      <c r="AC57"/>
      <c r="AD57"/>
    </row>
    <row r="58" spans="1:30" ht="12.75" customHeight="1">
      <c r="A58" s="121"/>
      <c r="B58" s="121"/>
      <c r="C58" s="121"/>
      <c r="D58" s="121"/>
      <c r="E58" s="121"/>
      <c r="F58" s="121"/>
      <c r="G58" s="121"/>
      <c r="H58" s="121"/>
      <c r="I58" s="121"/>
      <c r="J58" s="121"/>
      <c r="K58" s="121"/>
      <c r="L58" s="121"/>
      <c r="M58" s="121"/>
      <c r="N58" s="121"/>
      <c r="O58" s="121"/>
      <c r="P58" s="121"/>
      <c r="Q58" s="563">
        <v>3.3</v>
      </c>
      <c r="R58" s="363" t="s">
        <v>211</v>
      </c>
      <c r="S58" s="363"/>
      <c r="T58" s="363"/>
      <c r="U58" s="363"/>
      <c r="V58" s="363"/>
      <c r="W58" s="363"/>
      <c r="X58" s="363"/>
      <c r="Y58" s="363"/>
      <c r="Z58" s="364"/>
      <c r="AA58"/>
      <c r="AB58"/>
      <c r="AC58"/>
      <c r="AD58"/>
    </row>
    <row r="59" spans="1:30" ht="12.75" customHeight="1">
      <c r="A59" s="121"/>
      <c r="B59" s="121"/>
      <c r="C59" s="121"/>
      <c r="D59" s="121"/>
      <c r="E59" s="121"/>
      <c r="F59" s="121"/>
      <c r="G59" s="121"/>
      <c r="H59" s="121"/>
      <c r="I59" s="121"/>
      <c r="J59" s="121"/>
      <c r="K59" s="121"/>
      <c r="L59" s="121"/>
      <c r="M59" s="121"/>
      <c r="N59" s="121"/>
      <c r="O59" s="121"/>
      <c r="P59" s="121"/>
      <c r="Q59" s="563"/>
      <c r="R59" s="962" t="s">
        <v>678</v>
      </c>
      <c r="S59" s="963"/>
      <c r="T59" s="964"/>
      <c r="U59" s="949" t="s">
        <v>500</v>
      </c>
      <c r="V59" s="938" t="s">
        <v>22</v>
      </c>
      <c r="W59" s="940" t="s">
        <v>579</v>
      </c>
      <c r="X59" s="942" t="s">
        <v>21</v>
      </c>
      <c r="Y59" s="361"/>
      <c r="Z59" s="364"/>
      <c r="AA59"/>
      <c r="AB59"/>
      <c r="AC59"/>
      <c r="AD59"/>
    </row>
    <row r="60" spans="1:30" ht="12.75" customHeight="1">
      <c r="A60" s="121"/>
      <c r="B60" s="121"/>
      <c r="C60" s="121"/>
      <c r="D60" s="121"/>
      <c r="E60" s="121"/>
      <c r="F60" s="121"/>
      <c r="G60" s="121"/>
      <c r="H60" s="121"/>
      <c r="I60" s="121"/>
      <c r="J60" s="121"/>
      <c r="K60" s="121"/>
      <c r="L60" s="121"/>
      <c r="M60" s="121"/>
      <c r="N60" s="121"/>
      <c r="O60" s="121"/>
      <c r="P60" s="121"/>
      <c r="Q60" s="563"/>
      <c r="R60" s="965"/>
      <c r="S60" s="966"/>
      <c r="T60" s="967"/>
      <c r="U60" s="950"/>
      <c r="V60" s="939"/>
      <c r="W60" s="941"/>
      <c r="X60" s="943"/>
      <c r="Y60" s="361"/>
      <c r="Z60" s="364"/>
      <c r="AA60"/>
      <c r="AB60"/>
      <c r="AC60"/>
      <c r="AD60"/>
    </row>
    <row r="61" spans="1:30" ht="12.75" customHeight="1">
      <c r="A61" s="121"/>
      <c r="B61" s="121"/>
      <c r="C61" s="121"/>
      <c r="D61" s="121"/>
      <c r="E61" s="121"/>
      <c r="F61" s="121"/>
      <c r="G61" s="121"/>
      <c r="H61" s="121"/>
      <c r="I61" s="121"/>
      <c r="J61" s="121"/>
      <c r="K61" s="121"/>
      <c r="L61" s="121"/>
      <c r="M61" s="121"/>
      <c r="N61" s="121"/>
      <c r="O61" s="121"/>
      <c r="P61" s="121"/>
      <c r="Q61" s="563"/>
      <c r="R61" s="969" t="s">
        <v>209</v>
      </c>
      <c r="S61" s="969"/>
      <c r="T61" s="969"/>
      <c r="U61" s="562">
        <f>(U56*$V$24)/$V$23</f>
        <v>160</v>
      </c>
      <c r="V61" s="670">
        <f>(V56*$V$24)/$V$23</f>
        <v>119.99999999999997</v>
      </c>
      <c r="W61" s="670">
        <f>(W56*$V$24)/$V$23</f>
        <v>104.3478260869565</v>
      </c>
      <c r="X61" s="670">
        <f>(X56*$V$24)/$V$23</f>
        <v>85.714285714285708</v>
      </c>
      <c r="Y61" s="361"/>
      <c r="Z61" s="364"/>
      <c r="AA61"/>
      <c r="AB61"/>
      <c r="AC61"/>
      <c r="AD61"/>
    </row>
    <row r="62" spans="1:30" ht="12.75" customHeight="1">
      <c r="A62" s="121"/>
      <c r="B62" s="121"/>
      <c r="C62" s="121"/>
      <c r="D62" s="121"/>
      <c r="E62" s="121"/>
      <c r="F62" s="121"/>
      <c r="G62" s="121"/>
      <c r="H62" s="121"/>
      <c r="I62" s="121"/>
      <c r="J62" s="121"/>
      <c r="K62" s="121"/>
      <c r="L62" s="121"/>
      <c r="M62" s="121"/>
      <c r="N62" s="121"/>
      <c r="O62" s="121"/>
      <c r="P62" s="121"/>
      <c r="Q62" s="563"/>
      <c r="R62" s="931" t="s">
        <v>212</v>
      </c>
      <c r="S62" s="931"/>
      <c r="T62" s="931"/>
      <c r="U62" s="537">
        <f>U61/60</f>
        <v>2.6666666666666665</v>
      </c>
      <c r="V62" s="557">
        <f>V61/60</f>
        <v>1.9999999999999996</v>
      </c>
      <c r="W62" s="557">
        <f>W61/60</f>
        <v>1.7391304347826084</v>
      </c>
      <c r="X62" s="557">
        <f>X61/60</f>
        <v>1.4285714285714284</v>
      </c>
      <c r="Y62" s="361"/>
      <c r="Z62" s="364"/>
      <c r="AA62"/>
      <c r="AB62"/>
      <c r="AC62"/>
      <c r="AD62"/>
    </row>
    <row r="63" spans="1:30" ht="12.75" customHeight="1">
      <c r="A63" s="121"/>
      <c r="B63" s="121"/>
      <c r="C63" s="121"/>
      <c r="D63" s="121"/>
      <c r="E63" s="121"/>
      <c r="F63" s="121"/>
      <c r="G63" s="121"/>
      <c r="H63" s="121"/>
      <c r="I63" s="121"/>
      <c r="J63" s="121"/>
      <c r="K63" s="121"/>
      <c r="L63" s="121"/>
      <c r="M63" s="121"/>
      <c r="N63" s="121"/>
      <c r="O63" s="121"/>
      <c r="P63" s="121"/>
      <c r="Q63" s="563"/>
      <c r="R63" s="363"/>
      <c r="S63" s="363"/>
      <c r="T63" s="363"/>
      <c r="U63" s="363"/>
      <c r="V63" s="363"/>
      <c r="W63" s="363"/>
      <c r="X63" s="363"/>
      <c r="Y63" s="363"/>
      <c r="Z63" s="364"/>
      <c r="AA63"/>
      <c r="AB63"/>
      <c r="AC63"/>
      <c r="AD63"/>
    </row>
    <row r="64" spans="1:30" ht="12.75" customHeight="1">
      <c r="A64" s="121"/>
      <c r="B64" s="121"/>
      <c r="C64" s="121"/>
      <c r="D64" s="121"/>
      <c r="E64" s="121"/>
      <c r="F64" s="121"/>
      <c r="G64" s="121"/>
      <c r="H64" s="121"/>
      <c r="I64" s="121"/>
      <c r="J64" s="121"/>
      <c r="K64" s="121"/>
      <c r="L64" s="121"/>
      <c r="M64" s="121"/>
      <c r="N64" s="121"/>
      <c r="O64" s="121"/>
      <c r="P64" s="121"/>
      <c r="Q64" s="388" t="s">
        <v>295</v>
      </c>
      <c r="R64" s="1015" t="s">
        <v>216</v>
      </c>
      <c r="S64" s="1015"/>
      <c r="T64" s="1015"/>
      <c r="U64" s="1015"/>
      <c r="V64" s="1015"/>
      <c r="W64" s="1015"/>
      <c r="X64" s="1015"/>
      <c r="Y64" s="1015"/>
      <c r="Z64" s="536"/>
      <c r="AA64"/>
      <c r="AB64"/>
      <c r="AC64"/>
      <c r="AD64"/>
    </row>
    <row r="65" spans="1:36" ht="12.75" customHeight="1">
      <c r="A65" s="121"/>
      <c r="B65" s="121"/>
      <c r="C65" s="121"/>
      <c r="D65" s="121"/>
      <c r="E65" s="121"/>
      <c r="F65" s="121"/>
      <c r="G65" s="121"/>
      <c r="H65" s="121"/>
      <c r="I65" s="121"/>
      <c r="J65" s="121"/>
      <c r="K65" s="121"/>
      <c r="L65" s="121"/>
      <c r="M65" s="121"/>
      <c r="N65" s="121"/>
      <c r="O65" s="121"/>
      <c r="P65" s="121"/>
      <c r="Q65" s="563"/>
      <c r="R65" s="363"/>
      <c r="S65" s="363"/>
      <c r="T65" s="363"/>
      <c r="U65" s="363"/>
      <c r="V65" s="363"/>
      <c r="W65" s="363"/>
      <c r="X65" s="363"/>
      <c r="Y65" s="363"/>
      <c r="Z65" s="364"/>
      <c r="AA65"/>
      <c r="AB65"/>
      <c r="AC65"/>
      <c r="AD65"/>
    </row>
    <row r="66" spans="1:36" ht="12.75" customHeight="1">
      <c r="A66" s="121"/>
      <c r="B66" s="121"/>
      <c r="C66" s="121"/>
      <c r="D66" s="121"/>
      <c r="E66" s="121"/>
      <c r="F66" s="121"/>
      <c r="G66" s="121"/>
      <c r="H66" s="121"/>
      <c r="I66" s="121"/>
      <c r="J66" s="121"/>
      <c r="K66" s="121"/>
      <c r="L66" s="121"/>
      <c r="M66" s="121"/>
      <c r="N66" s="121"/>
      <c r="O66" s="121"/>
      <c r="P66" s="121"/>
      <c r="Q66" s="360" t="s">
        <v>502</v>
      </c>
      <c r="R66" s="364" t="s">
        <v>527</v>
      </c>
      <c r="S66" s="364"/>
      <c r="T66" s="364"/>
      <c r="U66" s="555"/>
      <c r="V66" s="555"/>
      <c r="W66" s="555"/>
      <c r="X66" s="555"/>
      <c r="Y66" s="555"/>
      <c r="Z66" s="364"/>
      <c r="AA66"/>
      <c r="AB66"/>
      <c r="AC66"/>
      <c r="AD66"/>
      <c r="AE66" s="23"/>
      <c r="AF66" s="23"/>
      <c r="AG66" s="23"/>
      <c r="AH66" s="23"/>
      <c r="AI66" s="23"/>
    </row>
    <row r="67" spans="1:36" ht="12.75" customHeight="1">
      <c r="A67" s="121"/>
      <c r="B67" s="121"/>
      <c r="C67" s="121"/>
      <c r="D67" s="121"/>
      <c r="E67" s="121"/>
      <c r="F67" s="121"/>
      <c r="G67" s="121"/>
      <c r="H67" s="121"/>
      <c r="I67" s="121"/>
      <c r="J67" s="121"/>
      <c r="K67" s="121"/>
      <c r="L67" s="121"/>
      <c r="M67" s="121"/>
      <c r="N67" s="121"/>
      <c r="O67" s="121"/>
      <c r="P67" s="121"/>
      <c r="Q67" s="360"/>
      <c r="R67" s="962" t="s">
        <v>678</v>
      </c>
      <c r="S67" s="963"/>
      <c r="T67" s="964"/>
      <c r="U67" s="949" t="s">
        <v>500</v>
      </c>
      <c r="V67" s="938" t="s">
        <v>22</v>
      </c>
      <c r="W67" s="940" t="s">
        <v>579</v>
      </c>
      <c r="X67" s="942" t="s">
        <v>21</v>
      </c>
      <c r="Y67" s="361"/>
      <c r="Z67" s="364"/>
      <c r="AA67"/>
      <c r="AB67"/>
      <c r="AC67"/>
      <c r="AD67"/>
      <c r="AJ67" s="17"/>
    </row>
    <row r="68" spans="1:36" ht="12.75" customHeight="1">
      <c r="A68" s="121"/>
      <c r="B68" s="121"/>
      <c r="C68" s="121"/>
      <c r="D68" s="121"/>
      <c r="E68" s="121"/>
      <c r="F68" s="121"/>
      <c r="G68" s="121"/>
      <c r="H68" s="121"/>
      <c r="I68" s="121"/>
      <c r="J68" s="121"/>
      <c r="K68" s="121"/>
      <c r="L68" s="121"/>
      <c r="M68" s="121"/>
      <c r="N68" s="121"/>
      <c r="O68" s="121"/>
      <c r="P68" s="121"/>
      <c r="Q68" s="360"/>
      <c r="R68" s="965"/>
      <c r="S68" s="966"/>
      <c r="T68" s="967"/>
      <c r="U68" s="950"/>
      <c r="V68" s="939"/>
      <c r="W68" s="941"/>
      <c r="X68" s="943"/>
      <c r="Y68" s="361"/>
      <c r="Z68" s="364"/>
      <c r="AA68"/>
      <c r="AB68"/>
      <c r="AC68"/>
      <c r="AD68"/>
      <c r="AJ68" s="17"/>
    </row>
    <row r="69" spans="1:36" ht="12.75" customHeight="1">
      <c r="A69" s="121"/>
      <c r="B69" s="121"/>
      <c r="C69" s="121"/>
      <c r="D69" s="121"/>
      <c r="E69" s="121"/>
      <c r="F69" s="121"/>
      <c r="G69" s="121"/>
      <c r="H69" s="121"/>
      <c r="I69" s="121"/>
      <c r="J69" s="121"/>
      <c r="K69" s="121"/>
      <c r="L69" s="121"/>
      <c r="M69" s="121"/>
      <c r="N69" s="121"/>
      <c r="O69" s="121"/>
      <c r="P69" s="121"/>
      <c r="Q69" s="360"/>
      <c r="R69" s="969" t="s">
        <v>63</v>
      </c>
      <c r="S69" s="969"/>
      <c r="T69" s="969"/>
      <c r="U69" s="369">
        <v>102</v>
      </c>
      <c r="V69" s="369">
        <f>VLOOKUP($V$5,'Lookup dBA'!$B$8:$E$208,3)</f>
        <v>108</v>
      </c>
      <c r="W69" s="369">
        <f>VLOOKUP($V$5,'Lookup dBA'!$B$8:$E$208,4)</f>
        <v>109</v>
      </c>
      <c r="X69" s="369">
        <f>VLOOKUP($V$5,'Lookup dBA'!$B$8:$E$208,2)</f>
        <v>116</v>
      </c>
      <c r="Y69" s="361"/>
      <c r="Z69" s="364"/>
      <c r="AA69"/>
      <c r="AB69"/>
      <c r="AC69"/>
      <c r="AD69"/>
      <c r="AJ69" s="17"/>
    </row>
    <row r="70" spans="1:36" ht="12.75" customHeight="1">
      <c r="A70" s="121"/>
      <c r="B70" s="121"/>
      <c r="C70" s="121"/>
      <c r="D70" s="121"/>
      <c r="E70" s="121"/>
      <c r="F70" s="121"/>
      <c r="G70" s="121"/>
      <c r="H70" s="121"/>
      <c r="I70" s="121"/>
      <c r="J70" s="121"/>
      <c r="K70" s="121"/>
      <c r="L70" s="121"/>
      <c r="M70" s="121"/>
      <c r="N70" s="121"/>
      <c r="O70" s="121"/>
      <c r="P70" s="121"/>
      <c r="Q70" s="360"/>
      <c r="R70" s="969" t="s">
        <v>64</v>
      </c>
      <c r="S70" s="969"/>
      <c r="T70" s="969"/>
      <c r="U70" s="369">
        <f>U69-PPE!$I$15</f>
        <v>89</v>
      </c>
      <c r="V70" s="369">
        <f>V69-PPE!$I$15</f>
        <v>95</v>
      </c>
      <c r="W70" s="369">
        <f>W69-PPE!$I$15</f>
        <v>96</v>
      </c>
      <c r="X70" s="369">
        <f>X69-PPE!$I$15</f>
        <v>103</v>
      </c>
      <c r="Y70" s="361"/>
      <c r="Z70" s="364"/>
      <c r="AA70"/>
      <c r="AB70"/>
      <c r="AC70"/>
      <c r="AD70"/>
      <c r="AJ70" s="32"/>
    </row>
    <row r="71" spans="1:36" ht="12.75" customHeight="1">
      <c r="A71" s="121"/>
      <c r="B71" s="121"/>
      <c r="C71" s="121"/>
      <c r="D71" s="121"/>
      <c r="E71" s="121"/>
      <c r="F71" s="121"/>
      <c r="G71" s="121"/>
      <c r="H71" s="121"/>
      <c r="I71" s="121"/>
      <c r="J71" s="121"/>
      <c r="K71" s="121"/>
      <c r="L71" s="121"/>
      <c r="M71" s="121"/>
      <c r="N71" s="121"/>
      <c r="O71" s="121"/>
      <c r="P71" s="121"/>
      <c r="Q71" s="360"/>
      <c r="R71" s="969" t="s">
        <v>529</v>
      </c>
      <c r="S71" s="969"/>
      <c r="T71" s="969"/>
      <c r="U71" s="369">
        <v>110</v>
      </c>
      <c r="V71" s="369">
        <v>110</v>
      </c>
      <c r="W71" s="369">
        <v>110</v>
      </c>
      <c r="X71" s="369">
        <v>110</v>
      </c>
      <c r="Y71" s="361"/>
      <c r="Z71" s="364"/>
      <c r="AA71"/>
      <c r="AB71"/>
      <c r="AC71"/>
      <c r="AD71"/>
      <c r="AJ71" s="32"/>
    </row>
    <row r="72" spans="1:36" ht="12.75" customHeight="1">
      <c r="A72" s="121"/>
      <c r="B72" s="121"/>
      <c r="C72" s="121"/>
      <c r="D72" s="121"/>
      <c r="E72" s="121"/>
      <c r="F72" s="121"/>
      <c r="G72" s="121"/>
      <c r="H72" s="121"/>
      <c r="I72" s="121"/>
      <c r="J72" s="121"/>
      <c r="K72" s="121"/>
      <c r="L72" s="121"/>
      <c r="M72" s="121"/>
      <c r="N72" s="121"/>
      <c r="O72" s="121"/>
      <c r="P72" s="121"/>
      <c r="Q72" s="360"/>
      <c r="R72" s="363"/>
      <c r="S72" s="363"/>
      <c r="T72" s="363"/>
      <c r="U72" s="363"/>
      <c r="V72" s="363"/>
      <c r="W72" s="363"/>
      <c r="X72" s="363"/>
      <c r="Y72" s="555"/>
      <c r="Z72" s="364"/>
      <c r="AA72"/>
      <c r="AB72"/>
      <c r="AC72"/>
      <c r="AD72"/>
      <c r="AJ72" s="32"/>
    </row>
    <row r="73" spans="1:36" ht="12.75" customHeight="1">
      <c r="A73" s="121"/>
      <c r="B73" s="121"/>
      <c r="C73" s="121"/>
      <c r="D73" s="121"/>
      <c r="E73" s="121"/>
      <c r="F73" s="121"/>
      <c r="G73" s="121"/>
      <c r="H73" s="121"/>
      <c r="I73" s="121"/>
      <c r="J73" s="121"/>
      <c r="K73" s="121"/>
      <c r="L73" s="121"/>
      <c r="M73" s="121"/>
      <c r="N73" s="121"/>
      <c r="O73" s="121"/>
      <c r="P73" s="121"/>
      <c r="Q73" s="360" t="s">
        <v>503</v>
      </c>
      <c r="R73" s="364" t="s">
        <v>528</v>
      </c>
      <c r="S73" s="364"/>
      <c r="T73" s="364"/>
      <c r="U73" s="555"/>
      <c r="V73" s="555"/>
      <c r="W73" s="555"/>
      <c r="X73" s="555"/>
      <c r="Y73" s="555"/>
      <c r="Z73" s="364"/>
      <c r="AA73"/>
      <c r="AB73"/>
      <c r="AC73"/>
      <c r="AD73"/>
      <c r="AJ73" s="17"/>
    </row>
    <row r="74" spans="1:36" ht="12.75" customHeight="1">
      <c r="A74" s="121"/>
      <c r="B74" s="121"/>
      <c r="C74" s="121"/>
      <c r="D74" s="121"/>
      <c r="E74" s="121"/>
      <c r="F74" s="121"/>
      <c r="G74" s="121"/>
      <c r="H74" s="121"/>
      <c r="I74" s="121"/>
      <c r="J74" s="121"/>
      <c r="K74" s="121"/>
      <c r="L74" s="121"/>
      <c r="M74" s="121"/>
      <c r="N74" s="121"/>
      <c r="O74" s="121"/>
      <c r="P74" s="121"/>
      <c r="Q74" s="360"/>
      <c r="R74" s="935" t="s">
        <v>678</v>
      </c>
      <c r="S74" s="935"/>
      <c r="T74" s="935"/>
      <c r="U74" s="930" t="s">
        <v>500</v>
      </c>
      <c r="V74" s="928" t="s">
        <v>22</v>
      </c>
      <c r="W74" s="929" t="s">
        <v>579</v>
      </c>
      <c r="X74" s="927" t="s">
        <v>21</v>
      </c>
      <c r="Y74" s="361"/>
      <c r="Z74" s="364"/>
      <c r="AA74"/>
      <c r="AB74"/>
      <c r="AC74"/>
      <c r="AD74"/>
      <c r="AJ74" s="17"/>
    </row>
    <row r="75" spans="1:36" ht="12.75" customHeight="1">
      <c r="A75" s="121"/>
      <c r="B75" s="121"/>
      <c r="C75" s="121"/>
      <c r="D75" s="121"/>
      <c r="E75" s="121"/>
      <c r="F75" s="121"/>
      <c r="G75" s="121"/>
      <c r="H75" s="121"/>
      <c r="I75" s="121"/>
      <c r="J75" s="121"/>
      <c r="K75" s="121"/>
      <c r="L75" s="121"/>
      <c r="M75" s="121"/>
      <c r="N75" s="121"/>
      <c r="O75" s="121"/>
      <c r="P75" s="121"/>
      <c r="Q75" s="360"/>
      <c r="R75" s="935"/>
      <c r="S75" s="935"/>
      <c r="T75" s="935"/>
      <c r="U75" s="930"/>
      <c r="V75" s="928"/>
      <c r="W75" s="929"/>
      <c r="X75" s="927"/>
      <c r="Y75" s="361"/>
      <c r="Z75" s="364"/>
      <c r="AA75"/>
      <c r="AB75"/>
      <c r="AC75"/>
      <c r="AD75"/>
      <c r="AJ75" s="17"/>
    </row>
    <row r="76" spans="1:36" ht="12.75" customHeight="1">
      <c r="A76" s="121"/>
      <c r="B76" s="121"/>
      <c r="C76" s="121"/>
      <c r="D76" s="121"/>
      <c r="E76" s="121"/>
      <c r="F76" s="121"/>
      <c r="G76" s="121"/>
      <c r="H76" s="121"/>
      <c r="I76" s="121"/>
      <c r="J76" s="121"/>
      <c r="K76" s="121"/>
      <c r="L76" s="121"/>
      <c r="M76" s="121"/>
      <c r="N76" s="121"/>
      <c r="O76" s="121"/>
      <c r="P76" s="121"/>
      <c r="Q76" s="360"/>
      <c r="R76" s="969" t="s">
        <v>63</v>
      </c>
      <c r="S76" s="969"/>
      <c r="T76" s="969"/>
      <c r="U76" s="369">
        <f>VLOOKUP($V$21,$R$309:$Z$314,5)</f>
        <v>108.02059991327964</v>
      </c>
      <c r="V76" s="369">
        <f>VLOOKUP($V$21,$R$309:$Z$314,3)</f>
        <v>114.02059991327963</v>
      </c>
      <c r="W76" s="369">
        <f>VLOOKUP($V$21,$R$309:$Z$314,4)</f>
        <v>115.02059991327963</v>
      </c>
      <c r="X76" s="369">
        <f>VLOOKUP($V$21,$R$309:$Z$314,2)</f>
        <v>122.02059991327964</v>
      </c>
      <c r="Y76" s="361"/>
      <c r="Z76" s="364"/>
      <c r="AA76"/>
      <c r="AB76"/>
      <c r="AC76"/>
      <c r="AD76"/>
      <c r="AJ76" s="17"/>
    </row>
    <row r="77" spans="1:36" ht="12.75" customHeight="1">
      <c r="Q77" s="360"/>
      <c r="R77" s="969" t="s">
        <v>64</v>
      </c>
      <c r="S77" s="969"/>
      <c r="T77" s="969"/>
      <c r="U77" s="369">
        <f>U76-PPE!$I$15</f>
        <v>95.020599913279639</v>
      </c>
      <c r="V77" s="369">
        <f>V76-PPE!$I$15</f>
        <v>101.02059991327963</v>
      </c>
      <c r="W77" s="369">
        <f>W76-PPE!$I$15</f>
        <v>102.02059991327963</v>
      </c>
      <c r="X77" s="369">
        <f>X76-PPE!$I$15</f>
        <v>109.02059991327964</v>
      </c>
      <c r="Y77" s="361"/>
      <c r="Z77" s="364"/>
      <c r="AA77"/>
      <c r="AB77"/>
      <c r="AC77"/>
      <c r="AD77"/>
      <c r="AJ77" s="17"/>
    </row>
    <row r="78" spans="1:36" ht="12.75" customHeight="1">
      <c r="Q78" s="360"/>
      <c r="R78" s="969" t="s">
        <v>529</v>
      </c>
      <c r="S78" s="969"/>
      <c r="T78" s="969"/>
      <c r="U78" s="369">
        <v>110</v>
      </c>
      <c r="V78" s="369">
        <v>110</v>
      </c>
      <c r="W78" s="369">
        <v>110</v>
      </c>
      <c r="X78" s="369">
        <v>110</v>
      </c>
      <c r="Y78" s="361"/>
      <c r="Z78" s="364"/>
      <c r="AA78"/>
      <c r="AB78"/>
      <c r="AC78"/>
      <c r="AD78"/>
      <c r="AJ78" s="17"/>
    </row>
    <row r="79" spans="1:36" ht="12.75" customHeight="1">
      <c r="Q79" s="360"/>
      <c r="R79" s="364"/>
      <c r="S79" s="364"/>
      <c r="T79" s="364"/>
      <c r="U79" s="555"/>
      <c r="V79" s="555"/>
      <c r="W79" s="555"/>
      <c r="X79" s="555"/>
      <c r="Y79" s="555"/>
      <c r="Z79" s="364"/>
      <c r="AA79"/>
      <c r="AB79"/>
      <c r="AC79"/>
      <c r="AD79"/>
      <c r="AJ79" s="17"/>
    </row>
    <row r="80" spans="1:36" ht="12.75" customHeight="1">
      <c r="Q80" s="385" t="s">
        <v>305</v>
      </c>
      <c r="R80" s="1008" t="s">
        <v>218</v>
      </c>
      <c r="S80" s="1008"/>
      <c r="T80" s="1008"/>
      <c r="U80" s="1008"/>
      <c r="V80" s="1008"/>
      <c r="W80" s="1008"/>
      <c r="X80" s="1008"/>
      <c r="Y80" s="1008"/>
      <c r="Z80" s="536"/>
      <c r="AA80"/>
      <c r="AB80"/>
      <c r="AC80"/>
      <c r="AD80"/>
      <c r="AJ80" s="17"/>
    </row>
    <row r="81" spans="17:36" ht="12.75" customHeight="1">
      <c r="Q81" s="546"/>
      <c r="R81" s="363"/>
      <c r="S81" s="363"/>
      <c r="T81" s="363"/>
      <c r="U81" s="363"/>
      <c r="V81" s="363"/>
      <c r="W81" s="363"/>
      <c r="X81" s="363"/>
      <c r="Y81" s="363"/>
      <c r="Z81" s="364"/>
      <c r="AA81"/>
      <c r="AB81"/>
      <c r="AC81"/>
      <c r="AD81"/>
      <c r="AJ81" s="43"/>
    </row>
    <row r="82" spans="17:36" ht="12.75" customHeight="1">
      <c r="Q82" s="546"/>
      <c r="R82" s="363" t="s">
        <v>436</v>
      </c>
      <c r="S82" s="363"/>
      <c r="T82" s="363"/>
      <c r="U82" s="363"/>
      <c r="V82" s="363"/>
      <c r="W82" s="363"/>
      <c r="X82" s="363"/>
      <c r="Y82" s="363"/>
      <c r="Z82" s="364"/>
      <c r="AA82"/>
      <c r="AB82"/>
      <c r="AC82"/>
      <c r="AD82"/>
      <c r="AJ82" s="43"/>
    </row>
    <row r="83" spans="17:36" ht="12.75" customHeight="1">
      <c r="Q83" s="360"/>
      <c r="R83" s="935" t="s">
        <v>678</v>
      </c>
      <c r="S83" s="935"/>
      <c r="T83" s="935"/>
      <c r="U83" s="949" t="s">
        <v>500</v>
      </c>
      <c r="V83" s="1011" t="s">
        <v>22</v>
      </c>
      <c r="W83" s="1013" t="s">
        <v>579</v>
      </c>
      <c r="X83" s="1009" t="s">
        <v>21</v>
      </c>
      <c r="Y83" s="361"/>
      <c r="Z83" s="364"/>
      <c r="AA83"/>
      <c r="AB83"/>
      <c r="AC83"/>
      <c r="AD83"/>
      <c r="AJ83" s="43"/>
    </row>
    <row r="84" spans="17:36" ht="12.75" customHeight="1">
      <c r="Q84" s="360"/>
      <c r="R84" s="935"/>
      <c r="S84" s="935"/>
      <c r="T84" s="935"/>
      <c r="U84" s="950"/>
      <c r="V84" s="1012"/>
      <c r="W84" s="1014"/>
      <c r="X84" s="1010"/>
      <c r="Y84" s="361"/>
      <c r="Z84" s="364"/>
      <c r="AA84"/>
      <c r="AB84"/>
      <c r="AC84"/>
      <c r="AD84"/>
    </row>
    <row r="85" spans="17:36" ht="12.75" customHeight="1">
      <c r="Q85" s="360"/>
      <c r="R85" s="969" t="s">
        <v>63</v>
      </c>
      <c r="S85" s="969"/>
      <c r="T85" s="969"/>
      <c r="U85" s="369">
        <f>U414</f>
        <v>97.15</v>
      </c>
      <c r="V85" s="369">
        <f>U356</f>
        <v>101.95</v>
      </c>
      <c r="W85" s="369">
        <f>U385</f>
        <v>102.4</v>
      </c>
      <c r="X85" s="369">
        <f>U327</f>
        <v>108.5</v>
      </c>
      <c r="Y85" s="361"/>
      <c r="Z85" s="364"/>
      <c r="AA85"/>
      <c r="AB85"/>
      <c r="AC85"/>
      <c r="AD85"/>
    </row>
    <row r="86" spans="17:36" ht="12.75" customHeight="1">
      <c r="Q86" s="360"/>
      <c r="R86" s="969" t="s">
        <v>64</v>
      </c>
      <c r="S86" s="969"/>
      <c r="T86" s="969"/>
      <c r="U86" s="369">
        <f>U427</f>
        <v>84.15</v>
      </c>
      <c r="V86" s="369">
        <f>U369</f>
        <v>88.95</v>
      </c>
      <c r="W86" s="369">
        <f>U398</f>
        <v>89.3</v>
      </c>
      <c r="X86" s="369">
        <f>U340</f>
        <v>95.55</v>
      </c>
      <c r="Y86" s="361"/>
      <c r="Z86" s="364"/>
      <c r="AA86"/>
      <c r="AB86"/>
      <c r="AC86"/>
      <c r="AD86"/>
    </row>
    <row r="87" spans="17:36" ht="12.75" customHeight="1">
      <c r="Q87" s="360"/>
      <c r="R87" s="969" t="s">
        <v>530</v>
      </c>
      <c r="S87" s="969"/>
      <c r="T87" s="969"/>
      <c r="U87" s="369">
        <v>85</v>
      </c>
      <c r="V87" s="369">
        <v>85</v>
      </c>
      <c r="W87" s="369">
        <v>85</v>
      </c>
      <c r="X87" s="369">
        <v>85</v>
      </c>
      <c r="Y87" s="361"/>
      <c r="Z87" s="364"/>
      <c r="AA87"/>
      <c r="AB87"/>
      <c r="AC87"/>
      <c r="AD87"/>
    </row>
    <row r="88" spans="17:36" ht="12.75" customHeight="1">
      <c r="Q88" s="360"/>
      <c r="R88" s="363"/>
      <c r="S88" s="363"/>
      <c r="T88" s="363"/>
      <c r="U88" s="363"/>
      <c r="V88" s="363"/>
      <c r="W88" s="363"/>
      <c r="X88" s="363"/>
      <c r="Y88" s="363"/>
      <c r="Z88" s="364"/>
      <c r="AA88"/>
      <c r="AB88"/>
      <c r="AC88"/>
      <c r="AD88"/>
    </row>
    <row r="89" spans="17:36" ht="12.75" customHeight="1">
      <c r="Q89" s="360"/>
      <c r="R89" s="363" t="s">
        <v>437</v>
      </c>
      <c r="S89" s="363"/>
      <c r="T89" s="363"/>
      <c r="U89" s="363"/>
      <c r="V89" s="363"/>
      <c r="W89" s="363"/>
      <c r="X89" s="363"/>
      <c r="Y89" s="363"/>
      <c r="Z89" s="364"/>
      <c r="AA89"/>
      <c r="AB89"/>
      <c r="AC89"/>
      <c r="AD89"/>
    </row>
    <row r="90" spans="17:36" ht="12.75" customHeight="1">
      <c r="Q90" s="360"/>
      <c r="R90" s="935" t="s">
        <v>678</v>
      </c>
      <c r="S90" s="935"/>
      <c r="T90" s="935"/>
      <c r="U90" s="949" t="s">
        <v>500</v>
      </c>
      <c r="V90" s="1011" t="s">
        <v>22</v>
      </c>
      <c r="W90" s="1013" t="s">
        <v>579</v>
      </c>
      <c r="X90" s="1009" t="s">
        <v>21</v>
      </c>
      <c r="Y90" s="361"/>
      <c r="Z90" s="364"/>
      <c r="AA90"/>
      <c r="AB90"/>
      <c r="AC90"/>
      <c r="AD90"/>
    </row>
    <row r="91" spans="17:36" ht="12.75" customHeight="1">
      <c r="Q91" s="360"/>
      <c r="R91" s="935"/>
      <c r="S91" s="935"/>
      <c r="T91" s="935"/>
      <c r="U91" s="950"/>
      <c r="V91" s="1012"/>
      <c r="W91" s="1014"/>
      <c r="X91" s="1010"/>
      <c r="Y91" s="361"/>
      <c r="Z91" s="364"/>
      <c r="AA91"/>
      <c r="AB91"/>
      <c r="AC91"/>
      <c r="AD91"/>
    </row>
    <row r="92" spans="17:36" ht="12.75" customHeight="1">
      <c r="Q92" s="360"/>
      <c r="R92" s="969" t="s">
        <v>63</v>
      </c>
      <c r="S92" s="969"/>
      <c r="T92" s="969"/>
      <c r="U92" s="369">
        <f>U533</f>
        <v>103.15</v>
      </c>
      <c r="V92" s="369">
        <f>U475</f>
        <v>107.95</v>
      </c>
      <c r="W92" s="369">
        <f>U504</f>
        <v>108.4</v>
      </c>
      <c r="X92" s="369">
        <f>U446</f>
        <v>113.95</v>
      </c>
      <c r="Y92" s="361"/>
      <c r="Z92" s="364"/>
      <c r="AA92"/>
      <c r="AB92"/>
      <c r="AC92"/>
      <c r="AD92"/>
    </row>
    <row r="93" spans="17:36" ht="12.75" customHeight="1">
      <c r="Q93" s="360"/>
      <c r="R93" s="969" t="s">
        <v>64</v>
      </c>
      <c r="S93" s="969"/>
      <c r="T93" s="969"/>
      <c r="U93" s="369">
        <f>U546</f>
        <v>90.15</v>
      </c>
      <c r="V93" s="369">
        <f>U488</f>
        <v>94.95</v>
      </c>
      <c r="W93" s="369">
        <f>U517</f>
        <v>95.3</v>
      </c>
      <c r="X93" s="369">
        <f>U459</f>
        <v>101.55</v>
      </c>
      <c r="Y93" s="361"/>
      <c r="Z93" s="364"/>
      <c r="AA93"/>
      <c r="AB93"/>
      <c r="AC93"/>
      <c r="AD93"/>
    </row>
    <row r="94" spans="17:36" ht="12.75" customHeight="1">
      <c r="Q94" s="360"/>
      <c r="R94" s="969" t="s">
        <v>530</v>
      </c>
      <c r="S94" s="969"/>
      <c r="T94" s="969"/>
      <c r="U94" s="369">
        <v>85</v>
      </c>
      <c r="V94" s="369">
        <v>85</v>
      </c>
      <c r="W94" s="369">
        <v>85</v>
      </c>
      <c r="X94" s="369">
        <v>85</v>
      </c>
      <c r="Y94" s="361"/>
      <c r="Z94" s="364"/>
      <c r="AA94"/>
      <c r="AB94"/>
      <c r="AC94"/>
      <c r="AD94"/>
    </row>
    <row r="95" spans="17:36" ht="12.75" customHeight="1">
      <c r="Q95" s="360"/>
      <c r="R95" s="363"/>
      <c r="S95" s="363"/>
      <c r="T95" s="363"/>
      <c r="U95" s="363"/>
      <c r="V95" s="363"/>
      <c r="W95" s="363"/>
      <c r="X95" s="363"/>
      <c r="Y95" s="363"/>
      <c r="Z95" s="364"/>
      <c r="AA95"/>
      <c r="AB95"/>
      <c r="AC95"/>
      <c r="AD95"/>
    </row>
    <row r="96" spans="17:36" ht="12.75" customHeight="1">
      <c r="Q96" s="385" t="s">
        <v>222</v>
      </c>
      <c r="R96" s="1008" t="s">
        <v>504</v>
      </c>
      <c r="S96" s="1008"/>
      <c r="T96" s="1008"/>
      <c r="U96" s="1008"/>
      <c r="V96" s="1008"/>
      <c r="W96" s="1008"/>
      <c r="X96" s="1008"/>
      <c r="Y96" s="1008"/>
      <c r="Z96" s="547"/>
      <c r="AA96"/>
      <c r="AB96"/>
      <c r="AC96"/>
      <c r="AD96"/>
    </row>
    <row r="97" spans="17:30" s="133" customFormat="1" ht="12.75" customHeight="1">
      <c r="Q97" s="360"/>
      <c r="R97" s="363"/>
      <c r="S97" s="363"/>
      <c r="T97" s="363"/>
      <c r="U97" s="363"/>
      <c r="V97" s="363"/>
      <c r="W97" s="363"/>
      <c r="X97" s="363"/>
      <c r="Y97" s="363"/>
      <c r="Z97" s="364"/>
      <c r="AA97"/>
      <c r="AB97"/>
      <c r="AC97"/>
      <c r="AD97"/>
    </row>
    <row r="98" spans="17:30" ht="12.75" customHeight="1">
      <c r="Q98" s="360" t="s">
        <v>505</v>
      </c>
      <c r="R98" s="363" t="s">
        <v>514</v>
      </c>
      <c r="S98" s="363"/>
      <c r="T98" s="363"/>
      <c r="U98" s="363"/>
      <c r="V98" s="363"/>
      <c r="W98" s="363"/>
      <c r="X98" s="363"/>
      <c r="Y98" s="363"/>
      <c r="Z98" s="364"/>
      <c r="AA98"/>
      <c r="AB98"/>
      <c r="AC98"/>
      <c r="AD98"/>
    </row>
    <row r="99" spans="17:30" ht="12.75" customHeight="1">
      <c r="Q99" s="360"/>
      <c r="R99" s="363" t="s">
        <v>512</v>
      </c>
      <c r="S99" s="363"/>
      <c r="T99" s="363"/>
      <c r="U99" s="363"/>
      <c r="V99" s="363"/>
      <c r="W99" s="363"/>
      <c r="X99" s="363"/>
      <c r="Y99" s="363"/>
      <c r="Z99" s="364"/>
      <c r="AA99"/>
      <c r="AB99"/>
      <c r="AC99"/>
      <c r="AD99"/>
    </row>
    <row r="100" spans="17:30" ht="12.75" customHeight="1">
      <c r="Q100" s="360"/>
      <c r="R100" s="998" t="s">
        <v>191</v>
      </c>
      <c r="S100" s="999"/>
      <c r="T100" s="1000"/>
      <c r="U100" s="949" t="s">
        <v>500</v>
      </c>
      <c r="V100" s="938" t="s">
        <v>22</v>
      </c>
      <c r="W100" s="940" t="s">
        <v>579</v>
      </c>
      <c r="X100" s="942" t="s">
        <v>21</v>
      </c>
      <c r="Y100" s="361"/>
      <c r="Z100" s="364"/>
      <c r="AA100"/>
      <c r="AB100"/>
      <c r="AC100"/>
      <c r="AD100"/>
    </row>
    <row r="101" spans="17:30" ht="12.75" customHeight="1">
      <c r="Q101" s="360"/>
      <c r="R101" s="1001"/>
      <c r="S101" s="1002"/>
      <c r="T101" s="1003"/>
      <c r="U101" s="950"/>
      <c r="V101" s="939"/>
      <c r="W101" s="941"/>
      <c r="X101" s="943"/>
      <c r="Y101" s="361"/>
      <c r="Z101" s="364"/>
      <c r="AA101"/>
      <c r="AB101"/>
      <c r="AC101"/>
      <c r="AD101"/>
    </row>
    <row r="102" spans="17:30" ht="12.75" customHeight="1">
      <c r="Q102" s="360"/>
      <c r="R102" s="969" t="s">
        <v>63</v>
      </c>
      <c r="S102" s="969"/>
      <c r="T102" s="969"/>
      <c r="U102" s="537">
        <f>VLOOKUP(U69,'Lookup Exposure Time'!$B$12:$C$732,2)</f>
        <v>10</v>
      </c>
      <c r="V102" s="537">
        <f>VLOOKUP(V69,'Lookup Exposure Time'!$B$12:$C$732,2)</f>
        <v>2.5</v>
      </c>
      <c r="W102" s="537">
        <f>VLOOKUP(W69,'Lookup Exposure Time'!$B$12:$C$732,2)</f>
        <v>1.875</v>
      </c>
      <c r="X102" s="537">
        <f>VLOOKUP(X69,'Lookup Exposure Time'!$B$12:$C$732,2)</f>
        <v>0.39061999999999986</v>
      </c>
      <c r="Y102" s="361"/>
      <c r="Z102" s="364"/>
      <c r="AA102"/>
      <c r="AB102"/>
      <c r="AC102"/>
      <c r="AD102"/>
    </row>
    <row r="103" spans="17:30" ht="12.75" customHeight="1">
      <c r="Q103" s="360"/>
      <c r="R103" s="969" t="s">
        <v>64</v>
      </c>
      <c r="S103" s="969"/>
      <c r="T103" s="969"/>
      <c r="U103" s="537">
        <f>VLOOKUP(U70,'Lookup Exposure Time'!$B$12:$C$732,2)</f>
        <v>200</v>
      </c>
      <c r="V103" s="537">
        <f>VLOOKUP(V70,'Lookup Exposure Time'!$B$12:$C$732,2)</f>
        <v>50</v>
      </c>
      <c r="W103" s="537">
        <f>VLOOKUP(W70,'Lookup Exposure Time'!$B$12:$C$732,2)</f>
        <v>40</v>
      </c>
      <c r="X103" s="537">
        <f>VLOOKUP(X70,'Lookup Exposure Time'!$B$12:$C$732,2)</f>
        <v>7.5</v>
      </c>
      <c r="Y103" s="361"/>
      <c r="Z103" s="364"/>
      <c r="AA103"/>
      <c r="AB103"/>
      <c r="AC103"/>
      <c r="AD103"/>
    </row>
    <row r="104" spans="17:30" ht="12.75" customHeight="1">
      <c r="Q104" s="360"/>
      <c r="R104" s="364"/>
      <c r="S104" s="364"/>
      <c r="T104" s="364"/>
      <c r="U104" s="364"/>
      <c r="V104" s="364"/>
      <c r="W104" s="364"/>
      <c r="X104" s="364"/>
      <c r="Y104" s="363"/>
      <c r="Z104" s="364"/>
      <c r="AA104"/>
      <c r="AB104"/>
      <c r="AC104"/>
      <c r="AD104"/>
    </row>
    <row r="105" spans="17:30" ht="12.75" customHeight="1">
      <c r="Q105" s="360" t="s">
        <v>507</v>
      </c>
      <c r="R105" s="363" t="s">
        <v>513</v>
      </c>
      <c r="S105" s="363"/>
      <c r="T105" s="363"/>
      <c r="U105" s="363"/>
      <c r="V105" s="363"/>
      <c r="W105" s="363"/>
      <c r="X105" s="363"/>
      <c r="Y105" s="363"/>
      <c r="Z105" s="364"/>
      <c r="AA105"/>
      <c r="AB105"/>
      <c r="AC105"/>
      <c r="AD105"/>
    </row>
    <row r="106" spans="17:30" ht="12.75" customHeight="1">
      <c r="Q106" s="360"/>
      <c r="R106" s="998" t="s">
        <v>191</v>
      </c>
      <c r="S106" s="999"/>
      <c r="T106" s="1000"/>
      <c r="U106" s="949" t="s">
        <v>500</v>
      </c>
      <c r="V106" s="938" t="s">
        <v>22</v>
      </c>
      <c r="W106" s="940" t="s">
        <v>579</v>
      </c>
      <c r="X106" s="942" t="s">
        <v>21</v>
      </c>
      <c r="Y106" s="361"/>
      <c r="Z106" s="364"/>
      <c r="AA106"/>
      <c r="AB106"/>
      <c r="AC106"/>
      <c r="AD106"/>
    </row>
    <row r="107" spans="17:30" ht="12.75" customHeight="1">
      <c r="Q107" s="360"/>
      <c r="R107" s="1001"/>
      <c r="S107" s="1002"/>
      <c r="T107" s="1003"/>
      <c r="U107" s="950"/>
      <c r="V107" s="939"/>
      <c r="W107" s="941"/>
      <c r="X107" s="943"/>
      <c r="Y107" s="361"/>
      <c r="Z107" s="364"/>
      <c r="AA107"/>
      <c r="AB107"/>
      <c r="AC107"/>
      <c r="AD107"/>
    </row>
    <row r="108" spans="17:30" ht="12.75" customHeight="1">
      <c r="Q108" s="360"/>
      <c r="R108" s="969" t="s">
        <v>63</v>
      </c>
      <c r="S108" s="969"/>
      <c r="T108" s="969"/>
      <c r="U108" s="671">
        <f>VLOOKUP(U76,'Lookup Exposure Time'!$B$12:$C$732,2)</f>
        <v>2.5</v>
      </c>
      <c r="V108" s="671">
        <f>VLOOKUP(V76,'Lookup Exposure Time'!$B$12:$C$732,2)</f>
        <v>0.625</v>
      </c>
      <c r="W108" s="671">
        <f>VLOOKUP(W76,'Lookup Exposure Time'!$B$12:$C$732,2)</f>
        <v>0.46875</v>
      </c>
      <c r="X108" s="671">
        <f>VLOOKUP(X76,'Lookup Exposure Time'!$B$12:$C$732,2)</f>
        <v>9.765625E-2</v>
      </c>
      <c r="Y108" s="361"/>
      <c r="Z108" s="364"/>
      <c r="AA108"/>
      <c r="AB108"/>
      <c r="AC108"/>
      <c r="AD108"/>
    </row>
    <row r="109" spans="17:30" ht="12.75" customHeight="1">
      <c r="Q109" s="360"/>
      <c r="R109" s="969" t="s">
        <v>64</v>
      </c>
      <c r="S109" s="969"/>
      <c r="T109" s="969"/>
      <c r="U109" s="557">
        <f>VLOOKUP(U77,'Lookup Exposure Time'!$B$12:$C$732,2)</f>
        <v>50</v>
      </c>
      <c r="V109" s="557">
        <f>VLOOKUP(V77,'Lookup Exposure Time'!$B$12:$C$732,2)</f>
        <v>12.5</v>
      </c>
      <c r="W109" s="557">
        <f>VLOOKUP(W77,'Lookup Exposure Time'!$B$12:$C$732,2)</f>
        <v>10</v>
      </c>
      <c r="X109" s="557">
        <f>VLOOKUP(X77,'Lookup Exposure Time'!$B$12:$C$732,2)</f>
        <v>1.875</v>
      </c>
      <c r="Y109" s="361"/>
      <c r="Z109" s="364"/>
      <c r="AA109"/>
      <c r="AB109"/>
      <c r="AC109"/>
      <c r="AD109"/>
    </row>
    <row r="110" spans="17:30" ht="12.75" customHeight="1">
      <c r="Q110" s="360"/>
      <c r="R110" s="363"/>
      <c r="S110" s="363"/>
      <c r="T110" s="363"/>
      <c r="U110" s="363"/>
      <c r="V110" s="363"/>
      <c r="W110" s="363"/>
      <c r="X110" s="363"/>
      <c r="Y110" s="363"/>
      <c r="Z110" s="364"/>
      <c r="AA110"/>
      <c r="AB110"/>
      <c r="AC110"/>
      <c r="AD110"/>
    </row>
    <row r="111" spans="17:30" ht="12.75" customHeight="1">
      <c r="Q111" s="360" t="s">
        <v>508</v>
      </c>
      <c r="R111" s="363" t="s">
        <v>531</v>
      </c>
      <c r="S111" s="363"/>
      <c r="T111" s="363"/>
      <c r="U111" s="363"/>
      <c r="V111" s="363"/>
      <c r="W111" s="363"/>
      <c r="X111" s="363"/>
      <c r="Y111" s="363"/>
      <c r="Z111" s="364"/>
      <c r="AA111"/>
      <c r="AB111"/>
      <c r="AC111"/>
      <c r="AD111"/>
    </row>
    <row r="112" spans="17:30" ht="12.75" customHeight="1">
      <c r="Q112" s="360"/>
      <c r="R112" s="998" t="s">
        <v>191</v>
      </c>
      <c r="S112" s="999"/>
      <c r="T112" s="1000"/>
      <c r="U112" s="949" t="s">
        <v>500</v>
      </c>
      <c r="V112" s="938" t="s">
        <v>22</v>
      </c>
      <c r="W112" s="940" t="s">
        <v>579</v>
      </c>
      <c r="X112" s="942" t="s">
        <v>21</v>
      </c>
      <c r="Y112" s="361"/>
      <c r="Z112" s="364"/>
      <c r="AA112"/>
      <c r="AB112"/>
      <c r="AC112"/>
      <c r="AD112"/>
    </row>
    <row r="113" spans="17:30" ht="12.75" customHeight="1">
      <c r="Q113" s="360"/>
      <c r="R113" s="1001"/>
      <c r="S113" s="1002"/>
      <c r="T113" s="1003"/>
      <c r="U113" s="950"/>
      <c r="V113" s="939"/>
      <c r="W113" s="941"/>
      <c r="X113" s="943"/>
      <c r="Y113" s="361"/>
      <c r="Z113" s="364"/>
      <c r="AA113"/>
      <c r="AB113"/>
      <c r="AC113"/>
      <c r="AD113"/>
    </row>
    <row r="114" spans="17:30" ht="12.75" customHeight="1">
      <c r="Q114" s="360"/>
      <c r="R114" s="969" t="s">
        <v>63</v>
      </c>
      <c r="S114" s="969"/>
      <c r="T114" s="969"/>
      <c r="U114" s="537">
        <f t="shared" ref="U114:X115" si="0">U102/60</f>
        <v>0.16666666666666666</v>
      </c>
      <c r="V114" s="537">
        <f t="shared" si="0"/>
        <v>4.1666666666666664E-2</v>
      </c>
      <c r="W114" s="537">
        <f t="shared" si="0"/>
        <v>3.125E-2</v>
      </c>
      <c r="X114" s="537">
        <f t="shared" si="0"/>
        <v>6.5103333333333306E-3</v>
      </c>
      <c r="Y114" s="361"/>
      <c r="Z114" s="364"/>
      <c r="AA114"/>
      <c r="AB114"/>
      <c r="AC114"/>
      <c r="AD114"/>
    </row>
    <row r="115" spans="17:30" ht="12.75" customHeight="1">
      <c r="Q115" s="360"/>
      <c r="R115" s="969" t="s">
        <v>64</v>
      </c>
      <c r="S115" s="969"/>
      <c r="T115" s="969"/>
      <c r="U115" s="537">
        <f t="shared" si="0"/>
        <v>3.3333333333333335</v>
      </c>
      <c r="V115" s="537">
        <f t="shared" si="0"/>
        <v>0.83333333333333337</v>
      </c>
      <c r="W115" s="537">
        <f t="shared" si="0"/>
        <v>0.66666666666666663</v>
      </c>
      <c r="X115" s="537">
        <f t="shared" si="0"/>
        <v>0.125</v>
      </c>
      <c r="Y115" s="361"/>
      <c r="Z115" s="364"/>
      <c r="AA115"/>
      <c r="AB115"/>
      <c r="AC115"/>
      <c r="AD115"/>
    </row>
    <row r="116" spans="17:30" ht="12.75" customHeight="1">
      <c r="Q116" s="360"/>
      <c r="R116" s="364"/>
      <c r="S116" s="364"/>
      <c r="T116" s="364"/>
      <c r="U116" s="364"/>
      <c r="V116" s="364"/>
      <c r="W116" s="364"/>
      <c r="X116" s="364"/>
      <c r="Y116" s="363"/>
      <c r="Z116" s="364"/>
      <c r="AA116"/>
      <c r="AB116"/>
      <c r="AC116"/>
      <c r="AD116"/>
    </row>
    <row r="117" spans="17:30" ht="12.75" customHeight="1">
      <c r="Q117" s="360" t="s">
        <v>506</v>
      </c>
      <c r="R117" s="363" t="s">
        <v>532</v>
      </c>
      <c r="S117" s="363"/>
      <c r="T117" s="363"/>
      <c r="U117" s="363"/>
      <c r="V117" s="363"/>
      <c r="W117" s="363"/>
      <c r="X117" s="363"/>
      <c r="Y117" s="363"/>
      <c r="Z117" s="364"/>
      <c r="AA117"/>
      <c r="AB117"/>
      <c r="AC117"/>
      <c r="AD117"/>
    </row>
    <row r="118" spans="17:30" ht="12.75" customHeight="1">
      <c r="Q118" s="360"/>
      <c r="R118" s="998" t="s">
        <v>191</v>
      </c>
      <c r="S118" s="999"/>
      <c r="T118" s="1000"/>
      <c r="U118" s="949" t="s">
        <v>500</v>
      </c>
      <c r="V118" s="938" t="s">
        <v>22</v>
      </c>
      <c r="W118" s="940" t="s">
        <v>579</v>
      </c>
      <c r="X118" s="942" t="s">
        <v>21</v>
      </c>
      <c r="Y118" s="361"/>
      <c r="Z118" s="364"/>
      <c r="AA118"/>
      <c r="AB118"/>
      <c r="AC118"/>
      <c r="AD118"/>
    </row>
    <row r="119" spans="17:30" ht="12.75" customHeight="1">
      <c r="Q119" s="360"/>
      <c r="R119" s="1001"/>
      <c r="S119" s="1002"/>
      <c r="T119" s="1003"/>
      <c r="U119" s="950"/>
      <c r="V119" s="939"/>
      <c r="W119" s="941"/>
      <c r="X119" s="943"/>
      <c r="Y119" s="361"/>
      <c r="Z119" s="364"/>
      <c r="AA119"/>
      <c r="AB119"/>
      <c r="AC119"/>
      <c r="AD119"/>
    </row>
    <row r="120" spans="17:30" ht="12.75" customHeight="1">
      <c r="Q120" s="360"/>
      <c r="R120" s="969" t="s">
        <v>63</v>
      </c>
      <c r="S120" s="969"/>
      <c r="T120" s="969"/>
      <c r="U120" s="537">
        <f t="shared" ref="U120:X121" si="1">U108/60</f>
        <v>4.1666666666666664E-2</v>
      </c>
      <c r="V120" s="537">
        <f t="shared" si="1"/>
        <v>1.0416666666666666E-2</v>
      </c>
      <c r="W120" s="537">
        <f t="shared" si="1"/>
        <v>7.8125E-3</v>
      </c>
      <c r="X120" s="537">
        <f t="shared" si="1"/>
        <v>1.6276041666666667E-3</v>
      </c>
      <c r="Y120" s="361"/>
      <c r="Z120" s="364"/>
      <c r="AA120"/>
      <c r="AB120"/>
      <c r="AC120"/>
      <c r="AD120"/>
    </row>
    <row r="121" spans="17:30" ht="12.75" customHeight="1">
      <c r="Q121" s="360"/>
      <c r="R121" s="969" t="s">
        <v>64</v>
      </c>
      <c r="S121" s="969"/>
      <c r="T121" s="969"/>
      <c r="U121" s="537">
        <f t="shared" si="1"/>
        <v>0.83333333333333337</v>
      </c>
      <c r="V121" s="537">
        <f t="shared" si="1"/>
        <v>0.20833333333333334</v>
      </c>
      <c r="W121" s="537">
        <f t="shared" si="1"/>
        <v>0.16666666666666666</v>
      </c>
      <c r="X121" s="537">
        <f t="shared" si="1"/>
        <v>3.125E-2</v>
      </c>
      <c r="Y121" s="361"/>
      <c r="Z121" s="364"/>
      <c r="AA121"/>
      <c r="AB121"/>
      <c r="AC121"/>
      <c r="AD121"/>
    </row>
    <row r="122" spans="17:30" ht="12.75" customHeight="1">
      <c r="Q122" s="360"/>
      <c r="R122" s="363"/>
      <c r="S122" s="363"/>
      <c r="T122" s="363"/>
      <c r="U122" s="363"/>
      <c r="V122" s="363"/>
      <c r="W122" s="363"/>
      <c r="X122" s="363"/>
      <c r="Y122" s="363"/>
      <c r="Z122" s="364"/>
      <c r="AA122"/>
      <c r="AB122"/>
      <c r="AC122"/>
      <c r="AD122"/>
    </row>
    <row r="123" spans="17:30" ht="12.75" customHeight="1">
      <c r="Q123" s="546" t="s">
        <v>231</v>
      </c>
      <c r="R123" s="952" t="s">
        <v>232</v>
      </c>
      <c r="S123" s="952"/>
      <c r="T123" s="952"/>
      <c r="U123" s="952"/>
      <c r="V123" s="952"/>
      <c r="W123" s="952"/>
      <c r="X123" s="952"/>
      <c r="Y123" s="952"/>
      <c r="Z123" s="360"/>
      <c r="AA123"/>
      <c r="AB123"/>
      <c r="AC123"/>
      <c r="AD123"/>
    </row>
    <row r="124" spans="17:30" ht="12.75" customHeight="1">
      <c r="Q124" s="546"/>
      <c r="R124" s="360"/>
      <c r="S124" s="360"/>
      <c r="T124" s="360"/>
      <c r="U124" s="360"/>
      <c r="V124" s="360"/>
      <c r="W124" s="360"/>
      <c r="X124" s="360"/>
      <c r="Y124" s="360"/>
      <c r="Z124" s="360"/>
      <c r="AA124"/>
      <c r="AB124"/>
      <c r="AC124"/>
      <c r="AD124"/>
    </row>
    <row r="125" spans="17:30" ht="12.75" customHeight="1">
      <c r="Q125" s="546"/>
      <c r="R125" s="363" t="s">
        <v>233</v>
      </c>
      <c r="S125" s="363"/>
      <c r="T125" s="363"/>
      <c r="U125" s="363"/>
      <c r="V125" s="363"/>
      <c r="W125" s="363"/>
      <c r="X125" s="363"/>
      <c r="Y125" s="363"/>
      <c r="Z125" s="364"/>
      <c r="AA125"/>
      <c r="AB125"/>
      <c r="AC125"/>
      <c r="AD125"/>
    </row>
    <row r="126" spans="17:30" ht="12.75" customHeight="1">
      <c r="Q126" s="360"/>
      <c r="R126" s="998" t="s">
        <v>678</v>
      </c>
      <c r="S126" s="999"/>
      <c r="T126" s="1000"/>
      <c r="U126" s="949" t="s">
        <v>470</v>
      </c>
      <c r="V126" s="938" t="s">
        <v>22</v>
      </c>
      <c r="W126" s="940" t="s">
        <v>579</v>
      </c>
      <c r="X126" s="942" t="s">
        <v>21</v>
      </c>
      <c r="Y126" s="361"/>
      <c r="Z126" s="364"/>
      <c r="AA126"/>
      <c r="AB126"/>
      <c r="AC126"/>
      <c r="AD126"/>
    </row>
    <row r="127" spans="17:30" ht="12.75" customHeight="1">
      <c r="Q127" s="360"/>
      <c r="R127" s="1001"/>
      <c r="S127" s="1002"/>
      <c r="T127" s="1003"/>
      <c r="U127" s="950"/>
      <c r="V127" s="939"/>
      <c r="W127" s="941"/>
      <c r="X127" s="943"/>
      <c r="Y127" s="361"/>
      <c r="Z127" s="364"/>
      <c r="AA127"/>
      <c r="AB127"/>
      <c r="AC127"/>
      <c r="AD127"/>
    </row>
    <row r="128" spans="17:30" ht="12.75" customHeight="1">
      <c r="Q128" s="360"/>
      <c r="R128" s="969" t="s">
        <v>234</v>
      </c>
      <c r="S128" s="969"/>
      <c r="T128" s="969"/>
      <c r="U128" s="672">
        <v>8.3000000000000007</v>
      </c>
      <c r="V128" s="672">
        <f>VLOOKUP($V$5,'Lookup Vibration'!$B$8:$F$208,3)</f>
        <v>18.049999999999951</v>
      </c>
      <c r="W128" s="672">
        <f>VLOOKUP($V$5,'Lookup Vibration'!$B$8:$F$208,4)</f>
        <v>19.950000000000074</v>
      </c>
      <c r="X128" s="672">
        <f>VLOOKUP($V$5,'Lookup Vibration'!$B$8:$F$208,2)</f>
        <v>18.049999999999951</v>
      </c>
      <c r="Y128" s="361"/>
      <c r="Z128" s="364"/>
      <c r="AA128"/>
      <c r="AB128"/>
      <c r="AC128"/>
      <c r="AD128"/>
    </row>
    <row r="129" spans="17:30" ht="12.75" customHeight="1">
      <c r="Q129" s="360"/>
      <c r="R129" s="363"/>
      <c r="S129" s="363"/>
      <c r="T129" s="363"/>
      <c r="U129" s="363"/>
      <c r="V129" s="363"/>
      <c r="W129" s="363"/>
      <c r="X129" s="363"/>
      <c r="Y129" s="363"/>
      <c r="Z129" s="364"/>
      <c r="AA129"/>
      <c r="AB129"/>
      <c r="AC129"/>
      <c r="AD129"/>
    </row>
    <row r="130" spans="17:30" ht="12.75" customHeight="1">
      <c r="Q130" s="546" t="s">
        <v>235</v>
      </c>
      <c r="R130" s="952" t="s">
        <v>34</v>
      </c>
      <c r="S130" s="952"/>
      <c r="T130" s="952"/>
      <c r="U130" s="952"/>
      <c r="V130" s="952"/>
      <c r="W130" s="952"/>
      <c r="X130" s="952"/>
      <c r="Y130" s="952"/>
      <c r="Z130" s="360"/>
      <c r="AA130"/>
      <c r="AB130"/>
      <c r="AC130"/>
      <c r="AD130"/>
    </row>
    <row r="131" spans="17:30" ht="12.75" customHeight="1">
      <c r="Q131" s="546"/>
      <c r="R131" s="363"/>
      <c r="S131" s="363"/>
      <c r="T131" s="363"/>
      <c r="U131" s="363"/>
      <c r="V131" s="363"/>
      <c r="W131" s="363"/>
      <c r="X131" s="363"/>
      <c r="Y131" s="363"/>
      <c r="Z131" s="364"/>
      <c r="AA131"/>
      <c r="AB131"/>
      <c r="AC131"/>
      <c r="AD131"/>
    </row>
    <row r="132" spans="17:30" ht="12.75" customHeight="1">
      <c r="Q132" s="360"/>
      <c r="R132" s="998" t="s">
        <v>678</v>
      </c>
      <c r="S132" s="999"/>
      <c r="T132" s="1000"/>
      <c r="U132" s="949" t="s">
        <v>500</v>
      </c>
      <c r="V132" s="938" t="s">
        <v>22</v>
      </c>
      <c r="W132" s="940" t="s">
        <v>579</v>
      </c>
      <c r="X132" s="942" t="s">
        <v>21</v>
      </c>
      <c r="Y132" s="361"/>
      <c r="Z132" s="364"/>
      <c r="AA132"/>
      <c r="AB132"/>
      <c r="AC132"/>
      <c r="AD132"/>
    </row>
    <row r="133" spans="17:30" ht="12.75" customHeight="1">
      <c r="Q133" s="360"/>
      <c r="R133" s="1001"/>
      <c r="S133" s="1002"/>
      <c r="T133" s="1003"/>
      <c r="U133" s="950"/>
      <c r="V133" s="939"/>
      <c r="W133" s="941"/>
      <c r="X133" s="943"/>
      <c r="Y133" s="361"/>
      <c r="Z133" s="364"/>
      <c r="AA133"/>
      <c r="AB133"/>
      <c r="AC133"/>
      <c r="AD133"/>
    </row>
    <row r="134" spans="17:30" ht="12.75" customHeight="1">
      <c r="Q134" s="360"/>
      <c r="R134" s="1004" t="s">
        <v>298</v>
      </c>
      <c r="S134" s="1004"/>
      <c r="T134" s="1004"/>
      <c r="U134" s="673" t="s">
        <v>819</v>
      </c>
      <c r="V134" s="673" t="s">
        <v>818</v>
      </c>
      <c r="W134" s="673" t="s">
        <v>819</v>
      </c>
      <c r="X134" s="673" t="s">
        <v>818</v>
      </c>
      <c r="Y134" s="361"/>
      <c r="Z134" s="364"/>
      <c r="AA134"/>
      <c r="AB134"/>
      <c r="AC134"/>
      <c r="AD134"/>
    </row>
    <row r="135" spans="17:30" ht="12.75" customHeight="1">
      <c r="Q135" s="360"/>
      <c r="R135" s="931" t="s">
        <v>299</v>
      </c>
      <c r="S135" s="931"/>
      <c r="T135" s="931"/>
      <c r="U135" s="673" t="s">
        <v>297</v>
      </c>
      <c r="V135" s="673" t="s">
        <v>296</v>
      </c>
      <c r="W135" s="673" t="s">
        <v>296</v>
      </c>
      <c r="X135" s="673" t="s">
        <v>296</v>
      </c>
      <c r="Y135" s="361"/>
      <c r="Z135" s="364"/>
      <c r="AA135"/>
      <c r="AB135"/>
      <c r="AC135"/>
      <c r="AD135"/>
    </row>
    <row r="136" spans="17:30" ht="12.75" customHeight="1">
      <c r="Q136" s="360"/>
      <c r="R136" s="363"/>
      <c r="S136" s="363"/>
      <c r="T136" s="363"/>
      <c r="U136" s="363"/>
      <c r="V136" s="363"/>
      <c r="W136" s="363"/>
      <c r="X136" s="363"/>
      <c r="Y136" s="363"/>
      <c r="Z136" s="363"/>
      <c r="AA136"/>
      <c r="AB136"/>
      <c r="AC136"/>
      <c r="AD136"/>
    </row>
    <row r="137" spans="17:30" ht="12.75" customHeight="1">
      <c r="Q137" s="546" t="s">
        <v>236</v>
      </c>
      <c r="R137" s="952" t="s">
        <v>237</v>
      </c>
      <c r="S137" s="952"/>
      <c r="T137" s="952"/>
      <c r="U137" s="952"/>
      <c r="V137" s="952"/>
      <c r="W137" s="952"/>
      <c r="X137" s="952"/>
      <c r="Y137" s="952"/>
      <c r="Z137" s="360"/>
      <c r="AA137"/>
      <c r="AB137"/>
      <c r="AC137"/>
      <c r="AD137"/>
    </row>
    <row r="138" spans="17:30" ht="12.75" customHeight="1">
      <c r="Q138" s="360"/>
      <c r="R138" s="363"/>
      <c r="S138" s="363"/>
      <c r="T138" s="363"/>
      <c r="U138" s="363"/>
      <c r="V138" s="363"/>
      <c r="W138" s="363"/>
      <c r="X138" s="363"/>
      <c r="Y138" s="363"/>
      <c r="Z138" s="363"/>
      <c r="AA138"/>
      <c r="AB138"/>
      <c r="AC138"/>
      <c r="AD138"/>
    </row>
    <row r="139" spans="17:30" ht="12.75" customHeight="1">
      <c r="Q139" s="668" t="s">
        <v>238</v>
      </c>
      <c r="R139" s="364" t="s">
        <v>239</v>
      </c>
      <c r="S139" s="364"/>
      <c r="T139" s="364"/>
      <c r="U139" s="364"/>
      <c r="V139" s="364"/>
      <c r="W139" s="364"/>
      <c r="X139" s="364"/>
      <c r="Y139" s="364"/>
      <c r="Z139" s="364"/>
      <c r="AA139"/>
      <c r="AB139"/>
      <c r="AC139"/>
      <c r="AD139"/>
    </row>
    <row r="140" spans="17:30" ht="12.75" customHeight="1">
      <c r="Q140" s="668"/>
      <c r="R140" s="364" t="s">
        <v>469</v>
      </c>
      <c r="S140" s="364"/>
      <c r="T140" s="364"/>
      <c r="U140" s="364"/>
      <c r="V140" s="364"/>
      <c r="W140" s="364"/>
      <c r="X140" s="364"/>
      <c r="Y140" s="364"/>
      <c r="Z140" s="364"/>
      <c r="AA140"/>
      <c r="AB140"/>
      <c r="AC140"/>
      <c r="AD140"/>
    </row>
    <row r="141" spans="17:30" ht="12.75" customHeight="1">
      <c r="Q141" s="668"/>
      <c r="R141" s="364"/>
      <c r="S141" s="364"/>
      <c r="T141" s="364"/>
      <c r="U141" s="364"/>
      <c r="V141" s="364"/>
      <c r="W141" s="364"/>
      <c r="X141" s="364"/>
      <c r="Y141" s="364"/>
      <c r="Z141" s="364"/>
      <c r="AA141"/>
      <c r="AB141"/>
      <c r="AC141"/>
      <c r="AD141"/>
    </row>
    <row r="142" spans="17:30" ht="12.75" customHeight="1">
      <c r="Q142" s="668"/>
      <c r="R142" s="1005" t="s">
        <v>734</v>
      </c>
      <c r="S142" s="1006"/>
      <c r="T142" s="1006"/>
      <c r="U142" s="1006"/>
      <c r="V142" s="1006"/>
      <c r="W142" s="1007"/>
      <c r="X142" s="351">
        <f>'Compressor Input Data'!G5</f>
        <v>22800</v>
      </c>
      <c r="Y142" s="364"/>
      <c r="Z142" s="364"/>
      <c r="AA142"/>
      <c r="AB142"/>
      <c r="AC142"/>
      <c r="AD142"/>
    </row>
    <row r="143" spans="17:30" ht="12.75" customHeight="1">
      <c r="Q143" s="668"/>
      <c r="R143" s="990" t="s">
        <v>430</v>
      </c>
      <c r="S143" s="991"/>
      <c r="T143" s="992"/>
      <c r="U143" s="949" t="s">
        <v>500</v>
      </c>
      <c r="V143" s="938" t="s">
        <v>22</v>
      </c>
      <c r="W143" s="940" t="s">
        <v>579</v>
      </c>
      <c r="X143" s="942" t="s">
        <v>21</v>
      </c>
      <c r="Y143" s="361"/>
      <c r="Z143" s="364"/>
      <c r="AA143"/>
      <c r="AB143"/>
      <c r="AC143"/>
      <c r="AD143"/>
    </row>
    <row r="144" spans="17:30" ht="12.75" customHeight="1">
      <c r="Q144" s="668"/>
      <c r="R144" s="993"/>
      <c r="S144" s="994"/>
      <c r="T144" s="995"/>
      <c r="U144" s="950"/>
      <c r="V144" s="939"/>
      <c r="W144" s="941"/>
      <c r="X144" s="943"/>
      <c r="Y144" s="361"/>
      <c r="Z144" s="364"/>
      <c r="AA144"/>
      <c r="AB144"/>
      <c r="AC144"/>
      <c r="AD144"/>
    </row>
    <row r="145" spans="17:30" ht="12.75" customHeight="1">
      <c r="Q145" s="668"/>
      <c r="R145" s="973" t="s">
        <v>555</v>
      </c>
      <c r="S145" s="973"/>
      <c r="T145" s="973"/>
      <c r="U145" s="996"/>
      <c r="V145" s="544">
        <f>X145</f>
        <v>22800</v>
      </c>
      <c r="W145" s="544">
        <f>X145</f>
        <v>22800</v>
      </c>
      <c r="X145" s="544">
        <f>X142</f>
        <v>22800</v>
      </c>
      <c r="Y145" s="361"/>
      <c r="Z145" s="364"/>
      <c r="AA145"/>
      <c r="AB145"/>
      <c r="AC145"/>
      <c r="AD145"/>
    </row>
    <row r="146" spans="17:30" ht="12.75" customHeight="1">
      <c r="Q146" s="668"/>
      <c r="R146" s="973" t="s">
        <v>549</v>
      </c>
      <c r="S146" s="973"/>
      <c r="T146" s="973"/>
      <c r="U146" s="997"/>
      <c r="V146" s="544">
        <f>X146</f>
        <v>24</v>
      </c>
      <c r="W146" s="544">
        <f>V146</f>
        <v>24</v>
      </c>
      <c r="X146" s="544">
        <f>'Compressor Input Data'!J15</f>
        <v>24</v>
      </c>
      <c r="Y146" s="361"/>
      <c r="Z146" s="364"/>
      <c r="AA146"/>
      <c r="AB146"/>
      <c r="AC146"/>
      <c r="AD146"/>
    </row>
    <row r="147" spans="17:30" ht="12.75" customHeight="1">
      <c r="Q147" s="668"/>
      <c r="R147" s="970" t="s">
        <v>556</v>
      </c>
      <c r="S147" s="971"/>
      <c r="T147" s="972"/>
      <c r="U147" s="566">
        <f>U62</f>
        <v>2.6666666666666665</v>
      </c>
      <c r="V147" s="566">
        <f>V62</f>
        <v>1.9999999999999996</v>
      </c>
      <c r="W147" s="566">
        <f>W62</f>
        <v>1.7391304347826084</v>
      </c>
      <c r="X147" s="566">
        <f>X62</f>
        <v>1.4285714285714284</v>
      </c>
      <c r="Y147" s="361"/>
      <c r="Z147" s="364"/>
      <c r="AA147"/>
      <c r="AB147"/>
      <c r="AC147"/>
      <c r="AD147"/>
    </row>
    <row r="148" spans="17:30" ht="12.75" customHeight="1">
      <c r="Q148" s="668"/>
      <c r="R148" s="973" t="s">
        <v>575</v>
      </c>
      <c r="S148" s="973"/>
      <c r="T148" s="973"/>
      <c r="U148" s="531">
        <f>W148</f>
        <v>0.22500000000000001</v>
      </c>
      <c r="V148" s="531">
        <f>X148</f>
        <v>0.22500000000000001</v>
      </c>
      <c r="W148" s="531">
        <f>V148</f>
        <v>0.22500000000000001</v>
      </c>
      <c r="X148" s="531">
        <f>'Compressor Input Data'!J17</f>
        <v>0.22500000000000001</v>
      </c>
      <c r="Y148" s="361"/>
      <c r="Z148" s="364"/>
      <c r="AA148"/>
      <c r="AB148"/>
      <c r="AC148"/>
      <c r="AD148"/>
    </row>
    <row r="149" spans="17:30" ht="12.75" customHeight="1">
      <c r="Q149" s="668"/>
      <c r="R149" s="987"/>
      <c r="S149" s="988"/>
      <c r="T149" s="988"/>
      <c r="U149" s="988"/>
      <c r="V149" s="988"/>
      <c r="W149" s="988"/>
      <c r="X149" s="989"/>
      <c r="Y149" s="364"/>
      <c r="Z149" s="364"/>
      <c r="AA149"/>
      <c r="AB149"/>
      <c r="AC149"/>
      <c r="AD149"/>
    </row>
    <row r="150" spans="17:30" ht="12.75" customHeight="1">
      <c r="Q150" s="668"/>
      <c r="R150" s="990" t="s">
        <v>467</v>
      </c>
      <c r="S150" s="991"/>
      <c r="T150" s="992"/>
      <c r="U150" s="949" t="s">
        <v>500</v>
      </c>
      <c r="V150" s="938" t="s">
        <v>22</v>
      </c>
      <c r="W150" s="940" t="s">
        <v>579</v>
      </c>
      <c r="X150" s="942" t="s">
        <v>21</v>
      </c>
      <c r="Y150" s="361"/>
      <c r="Z150" s="364"/>
      <c r="AA150"/>
      <c r="AB150"/>
      <c r="AC150"/>
      <c r="AD150"/>
    </row>
    <row r="151" spans="17:30" ht="12.75" customHeight="1">
      <c r="Q151" s="668"/>
      <c r="R151" s="993"/>
      <c r="S151" s="994"/>
      <c r="T151" s="995"/>
      <c r="U151" s="950"/>
      <c r="V151" s="939"/>
      <c r="W151" s="941"/>
      <c r="X151" s="943"/>
      <c r="Y151" s="361"/>
      <c r="Z151" s="364"/>
      <c r="AA151"/>
      <c r="AB151"/>
      <c r="AC151"/>
      <c r="AD151"/>
    </row>
    <row r="152" spans="17:30" ht="12.75" customHeight="1">
      <c r="Q152" s="668"/>
      <c r="R152" s="973" t="s">
        <v>554</v>
      </c>
      <c r="S152" s="973"/>
      <c r="T152" s="973"/>
      <c r="U152" s="986"/>
      <c r="V152" s="569">
        <f>X152</f>
        <v>1</v>
      </c>
      <c r="W152" s="570">
        <f>V152</f>
        <v>1</v>
      </c>
      <c r="X152" s="570">
        <f>'Compressor Input Data'!J20</f>
        <v>1</v>
      </c>
      <c r="Y152" s="361"/>
      <c r="Z152" s="364"/>
      <c r="AA152"/>
      <c r="AB152"/>
      <c r="AC152"/>
      <c r="AD152"/>
    </row>
    <row r="153" spans="17:30" ht="12.75" customHeight="1">
      <c r="Q153" s="668"/>
      <c r="R153" s="983" t="s">
        <v>551</v>
      </c>
      <c r="S153" s="984"/>
      <c r="T153" s="985"/>
      <c r="U153" s="986"/>
      <c r="V153" s="571">
        <f>V147/V146</f>
        <v>8.3333333333333315E-2</v>
      </c>
      <c r="W153" s="571">
        <f>W147/W146</f>
        <v>7.2463768115942018E-2</v>
      </c>
      <c r="X153" s="571">
        <f>X147/X146</f>
        <v>5.9523809523809514E-2</v>
      </c>
      <c r="Y153" s="361"/>
      <c r="Z153" s="364"/>
      <c r="AA153"/>
      <c r="AB153"/>
      <c r="AC153"/>
      <c r="AD153"/>
    </row>
    <row r="154" spans="17:30" ht="12.75" customHeight="1">
      <c r="Q154" s="668"/>
      <c r="R154" s="973" t="s">
        <v>552</v>
      </c>
      <c r="S154" s="973"/>
      <c r="T154" s="973"/>
      <c r="U154" s="986"/>
      <c r="V154" s="572">
        <f>X154</f>
        <v>0.6</v>
      </c>
      <c r="W154" s="572">
        <f>V154</f>
        <v>0.6</v>
      </c>
      <c r="X154" s="572">
        <f>'Compressor Input Data'!J22</f>
        <v>0.6</v>
      </c>
      <c r="Y154" s="361"/>
      <c r="Z154" s="364"/>
      <c r="AA154"/>
      <c r="AB154"/>
      <c r="AC154"/>
      <c r="AD154"/>
    </row>
    <row r="155" spans="17:30" ht="12.75" customHeight="1">
      <c r="Q155" s="668"/>
      <c r="R155" s="987"/>
      <c r="S155" s="988"/>
      <c r="T155" s="988"/>
      <c r="U155" s="988"/>
      <c r="V155" s="988"/>
      <c r="W155" s="988"/>
      <c r="X155" s="989"/>
      <c r="Y155" s="364"/>
      <c r="Z155" s="364"/>
      <c r="AA155"/>
      <c r="AB155"/>
      <c r="AC155"/>
      <c r="AD155"/>
    </row>
    <row r="156" spans="17:30" ht="12.75" customHeight="1">
      <c r="Q156" s="668"/>
      <c r="R156" s="990" t="s">
        <v>468</v>
      </c>
      <c r="S156" s="991"/>
      <c r="T156" s="992"/>
      <c r="U156" s="949" t="s">
        <v>500</v>
      </c>
      <c r="V156" s="938" t="s">
        <v>22</v>
      </c>
      <c r="W156" s="940" t="s">
        <v>579</v>
      </c>
      <c r="X156" s="942" t="s">
        <v>21</v>
      </c>
      <c r="Y156" s="361"/>
      <c r="Z156" s="364"/>
      <c r="AA156"/>
      <c r="AB156"/>
      <c r="AC156"/>
      <c r="AD156"/>
    </row>
    <row r="157" spans="17:30" ht="12.75" customHeight="1">
      <c r="Q157" s="668"/>
      <c r="R157" s="993"/>
      <c r="S157" s="994"/>
      <c r="T157" s="995"/>
      <c r="U157" s="950"/>
      <c r="V157" s="939"/>
      <c r="W157" s="941"/>
      <c r="X157" s="943"/>
      <c r="Y157" s="361"/>
      <c r="Z157" s="364"/>
      <c r="AA157"/>
      <c r="AB157"/>
      <c r="AC157"/>
      <c r="AD157"/>
    </row>
    <row r="158" spans="17:30" ht="12.75" customHeight="1">
      <c r="Q158" s="668"/>
      <c r="R158" s="973" t="s">
        <v>554</v>
      </c>
      <c r="S158" s="973"/>
      <c r="T158" s="973"/>
      <c r="U158" s="980"/>
      <c r="V158" s="572">
        <f>X158</f>
        <v>0.5</v>
      </c>
      <c r="W158" s="572">
        <f>V158</f>
        <v>0.5</v>
      </c>
      <c r="X158" s="572">
        <f>'Compressor Input Data'!J25</f>
        <v>0.5</v>
      </c>
      <c r="Y158" s="361"/>
      <c r="Z158" s="364"/>
      <c r="AA158"/>
      <c r="AB158"/>
      <c r="AC158"/>
      <c r="AD158"/>
    </row>
    <row r="159" spans="17:30" ht="12.75" customHeight="1">
      <c r="Q159" s="668"/>
      <c r="R159" s="983" t="s">
        <v>551</v>
      </c>
      <c r="S159" s="984"/>
      <c r="T159" s="985"/>
      <c r="U159" s="981"/>
      <c r="V159" s="572">
        <f>V152-V153</f>
        <v>0.91666666666666674</v>
      </c>
      <c r="W159" s="572">
        <f>W152-W153</f>
        <v>0.92753623188405798</v>
      </c>
      <c r="X159" s="572">
        <f>X152-X153</f>
        <v>0.94047619047619047</v>
      </c>
      <c r="Y159" s="361"/>
      <c r="Z159" s="364"/>
      <c r="AA159"/>
      <c r="AB159"/>
      <c r="AC159"/>
      <c r="AD159"/>
    </row>
    <row r="160" spans="17:30" ht="12.75" customHeight="1">
      <c r="Q160" s="668"/>
      <c r="R160" s="973" t="s">
        <v>552</v>
      </c>
      <c r="S160" s="973"/>
      <c r="T160" s="973"/>
      <c r="U160" s="982"/>
      <c r="V160" s="572">
        <f>X160</f>
        <v>0.6</v>
      </c>
      <c r="W160" s="572">
        <f>V160</f>
        <v>0.6</v>
      </c>
      <c r="X160" s="572">
        <f>'Compressor Input Data'!J27</f>
        <v>0.6</v>
      </c>
      <c r="Y160" s="361"/>
      <c r="Z160" s="364"/>
      <c r="AA160"/>
      <c r="AB160"/>
      <c r="AC160"/>
      <c r="AD160"/>
    </row>
    <row r="161" spans="17:30" ht="12.75" customHeight="1">
      <c r="Q161" s="668"/>
      <c r="R161" s="567"/>
      <c r="S161" s="568"/>
      <c r="T161" s="568"/>
      <c r="U161" s="573"/>
      <c r="V161" s="573"/>
      <c r="W161" s="573"/>
      <c r="X161" s="574"/>
      <c r="Y161" s="364"/>
      <c r="Z161" s="364"/>
      <c r="AA161"/>
      <c r="AB161"/>
      <c r="AC161"/>
      <c r="AD161"/>
    </row>
    <row r="162" spans="17:30" ht="12.75" customHeight="1">
      <c r="Q162" s="668"/>
      <c r="R162" s="901" t="s">
        <v>471</v>
      </c>
      <c r="S162" s="901"/>
      <c r="T162" s="901"/>
      <c r="U162" s="930" t="s">
        <v>500</v>
      </c>
      <c r="V162" s="928" t="s">
        <v>22</v>
      </c>
      <c r="W162" s="929" t="s">
        <v>579</v>
      </c>
      <c r="X162" s="927" t="s">
        <v>21</v>
      </c>
      <c r="Y162" s="361"/>
      <c r="Z162" s="364"/>
      <c r="AA162"/>
      <c r="AB162"/>
      <c r="AC162"/>
      <c r="AD162"/>
    </row>
    <row r="163" spans="17:30" ht="12.75" customHeight="1">
      <c r="Q163" s="668"/>
      <c r="R163" s="901"/>
      <c r="S163" s="901"/>
      <c r="T163" s="901"/>
      <c r="U163" s="930"/>
      <c r="V163" s="928"/>
      <c r="W163" s="929"/>
      <c r="X163" s="927"/>
      <c r="Y163" s="361"/>
      <c r="Z163" s="364"/>
      <c r="AA163"/>
      <c r="AB163"/>
      <c r="AC163"/>
      <c r="AD163"/>
    </row>
    <row r="164" spans="17:30" ht="12.75" customHeight="1">
      <c r="Q164" s="668"/>
      <c r="R164" s="973" t="s">
        <v>472</v>
      </c>
      <c r="S164" s="973"/>
      <c r="T164" s="973"/>
      <c r="U164" s="544">
        <f>$V$224</f>
        <v>938.66666666666674</v>
      </c>
      <c r="V164" s="544">
        <f>($V$145*$V$146*$V$153*$V$152)/$V$154</f>
        <v>75999.999999999985</v>
      </c>
      <c r="W164" s="544">
        <f>($W$145*$W$146*$W$153*$W$152)/$W$154</f>
        <v>66086.956521739121</v>
      </c>
      <c r="X164" s="544">
        <f>($X$145*$X$146*$X$153*$X$152)/$X$154</f>
        <v>54285.714285714275</v>
      </c>
      <c r="Y164" s="361"/>
      <c r="Z164" s="364"/>
      <c r="AA164"/>
      <c r="AB164"/>
      <c r="AC164"/>
      <c r="AD164"/>
    </row>
    <row r="165" spans="17:30" ht="12.75" customHeight="1">
      <c r="Q165" s="668"/>
      <c r="R165" s="973" t="s">
        <v>473</v>
      </c>
      <c r="S165" s="973"/>
      <c r="T165" s="973"/>
      <c r="U165" s="543"/>
      <c r="V165" s="544">
        <f>($V$145*$V$146*$V$159*$V$158)/$V$160</f>
        <v>418000.00000000006</v>
      </c>
      <c r="W165" s="544">
        <f>($W$145*$W$146*$W$159*$W$158)/$W$160</f>
        <v>422956.52173913049</v>
      </c>
      <c r="X165" s="544">
        <f>($X$145*$X$146*$X$159*$X$158)/$X$160</f>
        <v>428857.14285714284</v>
      </c>
      <c r="Y165" s="361"/>
      <c r="Z165" s="364"/>
      <c r="AA165"/>
      <c r="AB165"/>
      <c r="AC165"/>
      <c r="AD165"/>
    </row>
    <row r="166" spans="17:30" ht="12.75" customHeight="1">
      <c r="Q166" s="668"/>
      <c r="R166" s="567"/>
      <c r="S166" s="568"/>
      <c r="T166" s="568"/>
      <c r="U166" s="573"/>
      <c r="V166" s="573"/>
      <c r="W166" s="573"/>
      <c r="X166" s="574"/>
      <c r="Y166" s="364"/>
      <c r="Z166" s="364"/>
      <c r="AA166"/>
      <c r="AB166"/>
      <c r="AC166"/>
      <c r="AD166"/>
    </row>
    <row r="167" spans="17:30" ht="12.75" customHeight="1">
      <c r="Q167" s="668"/>
      <c r="R167" s="901" t="s">
        <v>474</v>
      </c>
      <c r="S167" s="901"/>
      <c r="T167" s="901"/>
      <c r="U167" s="930" t="s">
        <v>500</v>
      </c>
      <c r="V167" s="928" t="s">
        <v>22</v>
      </c>
      <c r="W167" s="929" t="s">
        <v>579</v>
      </c>
      <c r="X167" s="927" t="s">
        <v>21</v>
      </c>
      <c r="Y167" s="361"/>
      <c r="Z167" s="364"/>
      <c r="AA167"/>
      <c r="AB167"/>
      <c r="AC167"/>
      <c r="AD167"/>
    </row>
    <row r="168" spans="17:30" ht="12.75" customHeight="1">
      <c r="Q168" s="668"/>
      <c r="R168" s="901"/>
      <c r="S168" s="901"/>
      <c r="T168" s="901"/>
      <c r="U168" s="930"/>
      <c r="V168" s="928"/>
      <c r="W168" s="929"/>
      <c r="X168" s="927"/>
      <c r="Y168" s="361"/>
      <c r="Z168" s="364"/>
      <c r="AA168"/>
      <c r="AB168"/>
      <c r="AC168"/>
      <c r="AD168"/>
    </row>
    <row r="169" spans="17:30" ht="12.75" customHeight="1">
      <c r="Q169" s="668"/>
      <c r="R169" s="973" t="s">
        <v>472</v>
      </c>
      <c r="S169" s="973"/>
      <c r="T169" s="973"/>
      <c r="U169" s="544">
        <f>U164*$V$11</f>
        <v>21589.333333333336</v>
      </c>
      <c r="V169" s="544">
        <f>V164*$V$11</f>
        <v>1747999.9999999998</v>
      </c>
      <c r="W169" s="544">
        <f>W164*$V$11</f>
        <v>1519999.9999999998</v>
      </c>
      <c r="X169" s="544">
        <f>X164*$V$11</f>
        <v>1248571.4285714284</v>
      </c>
      <c r="Y169" s="361"/>
      <c r="Z169" s="364"/>
      <c r="AA169"/>
      <c r="AB169"/>
      <c r="AC169"/>
      <c r="AD169"/>
    </row>
    <row r="170" spans="17:30" ht="12.75" customHeight="1">
      <c r="Q170" s="668"/>
      <c r="R170" s="973" t="s">
        <v>473</v>
      </c>
      <c r="S170" s="973"/>
      <c r="T170" s="973"/>
      <c r="U170" s="543"/>
      <c r="V170" s="544">
        <f>V165*$V$11</f>
        <v>9614000.0000000019</v>
      </c>
      <c r="W170" s="544">
        <f>W165*$V$11</f>
        <v>9728000.0000000019</v>
      </c>
      <c r="X170" s="544">
        <f>X165*$V$11</f>
        <v>9863714.2857142854</v>
      </c>
      <c r="Y170" s="361"/>
      <c r="Z170" s="364"/>
      <c r="AA170"/>
      <c r="AB170"/>
      <c r="AC170"/>
      <c r="AD170"/>
    </row>
    <row r="171" spans="17:30" ht="12.75" customHeight="1">
      <c r="Q171" s="668"/>
      <c r="R171" s="567"/>
      <c r="S171" s="568"/>
      <c r="T171" s="568"/>
      <c r="U171" s="573"/>
      <c r="V171" s="573"/>
      <c r="W171" s="573"/>
      <c r="X171" s="574"/>
      <c r="Y171" s="364"/>
      <c r="Z171" s="364"/>
      <c r="AA171"/>
      <c r="AB171"/>
      <c r="AC171"/>
      <c r="AD171"/>
    </row>
    <row r="172" spans="17:30" ht="12.75" customHeight="1">
      <c r="Q172" s="668"/>
      <c r="R172" s="901" t="s">
        <v>474</v>
      </c>
      <c r="S172" s="901"/>
      <c r="T172" s="901"/>
      <c r="U172" s="930" t="s">
        <v>500</v>
      </c>
      <c r="V172" s="928" t="s">
        <v>22</v>
      </c>
      <c r="W172" s="929" t="s">
        <v>579</v>
      </c>
      <c r="X172" s="927" t="s">
        <v>21</v>
      </c>
      <c r="Y172" s="361"/>
      <c r="Z172" s="364"/>
      <c r="AA172"/>
      <c r="AB172"/>
      <c r="AC172"/>
      <c r="AD172"/>
    </row>
    <row r="173" spans="17:30" ht="12.75" customHeight="1">
      <c r="Q173" s="668"/>
      <c r="R173" s="901"/>
      <c r="S173" s="901"/>
      <c r="T173" s="901"/>
      <c r="U173" s="930"/>
      <c r="V173" s="928"/>
      <c r="W173" s="929"/>
      <c r="X173" s="927"/>
      <c r="Y173" s="361"/>
      <c r="Z173" s="364"/>
      <c r="AA173"/>
      <c r="AB173"/>
      <c r="AC173"/>
      <c r="AD173"/>
    </row>
    <row r="174" spans="17:30" ht="12.75" customHeight="1">
      <c r="Q174" s="668"/>
      <c r="R174" s="973" t="s">
        <v>472</v>
      </c>
      <c r="S174" s="973"/>
      <c r="T174" s="973"/>
      <c r="U174" s="544">
        <f>U169*12</f>
        <v>259072.00000000003</v>
      </c>
      <c r="V174" s="544">
        <f>V169*12</f>
        <v>20975999.999999996</v>
      </c>
      <c r="W174" s="544">
        <f>W169*12</f>
        <v>18239999.999999996</v>
      </c>
      <c r="X174" s="544">
        <f>X169*12</f>
        <v>14982857.142857142</v>
      </c>
      <c r="Y174" s="361"/>
      <c r="Z174" s="364"/>
      <c r="AA174"/>
      <c r="AB174"/>
      <c r="AC174"/>
      <c r="AD174"/>
    </row>
    <row r="175" spans="17:30" ht="12.75" customHeight="1">
      <c r="Q175" s="668"/>
      <c r="R175" s="973" t="s">
        <v>473</v>
      </c>
      <c r="S175" s="973"/>
      <c r="T175" s="973"/>
      <c r="U175" s="543"/>
      <c r="V175" s="544">
        <f>V170*12</f>
        <v>115368000.00000003</v>
      </c>
      <c r="W175" s="544">
        <f>W170*12</f>
        <v>116736000.00000003</v>
      </c>
      <c r="X175" s="544">
        <f>X170*12</f>
        <v>118364571.42857143</v>
      </c>
      <c r="Y175" s="361"/>
      <c r="Z175" s="364"/>
      <c r="AA175"/>
      <c r="AB175"/>
      <c r="AC175"/>
      <c r="AD175"/>
    </row>
    <row r="176" spans="17:30" ht="12.75" customHeight="1">
      <c r="Q176" s="668"/>
      <c r="R176" s="381"/>
      <c r="S176" s="381"/>
      <c r="T176" s="381"/>
      <c r="U176" s="381"/>
      <c r="V176" s="381"/>
      <c r="W176" s="381"/>
      <c r="X176" s="381"/>
      <c r="Y176" s="364"/>
      <c r="Z176" s="364"/>
      <c r="AA176"/>
      <c r="AB176"/>
      <c r="AC176"/>
      <c r="AD176"/>
    </row>
    <row r="177" spans="17:30" ht="12.75" customHeight="1">
      <c r="Q177" s="668"/>
      <c r="R177" s="901" t="s">
        <v>433</v>
      </c>
      <c r="S177" s="901"/>
      <c r="T177" s="901"/>
      <c r="U177" s="949" t="s">
        <v>500</v>
      </c>
      <c r="V177" s="938" t="s">
        <v>22</v>
      </c>
      <c r="W177" s="940" t="s">
        <v>579</v>
      </c>
      <c r="X177" s="942" t="s">
        <v>21</v>
      </c>
      <c r="Y177" s="361"/>
      <c r="Z177" s="364"/>
      <c r="AA177"/>
      <c r="AB177"/>
      <c r="AC177"/>
      <c r="AD177"/>
    </row>
    <row r="178" spans="17:30" ht="12.75" customHeight="1">
      <c r="Q178" s="668"/>
      <c r="R178" s="901"/>
      <c r="S178" s="901"/>
      <c r="T178" s="901"/>
      <c r="U178" s="950"/>
      <c r="V178" s="939"/>
      <c r="W178" s="941"/>
      <c r="X178" s="943"/>
      <c r="Y178" s="361"/>
      <c r="Z178" s="364"/>
      <c r="AA178"/>
      <c r="AB178"/>
      <c r="AC178"/>
      <c r="AD178"/>
    </row>
    <row r="179" spans="17:30" ht="12.75" customHeight="1">
      <c r="Q179" s="668"/>
      <c r="R179" s="970" t="s">
        <v>459</v>
      </c>
      <c r="S179" s="971"/>
      <c r="T179" s="972"/>
      <c r="U179" s="544">
        <f>U164</f>
        <v>938.66666666666674</v>
      </c>
      <c r="V179" s="544">
        <f>V164+V165</f>
        <v>494000.00000000006</v>
      </c>
      <c r="W179" s="544">
        <f>W164+W165</f>
        <v>489043.47826086963</v>
      </c>
      <c r="X179" s="544">
        <f>X164+X165</f>
        <v>483142.8571428571</v>
      </c>
      <c r="Y179" s="361"/>
      <c r="Z179" s="364"/>
      <c r="AA179"/>
      <c r="AB179"/>
      <c r="AC179"/>
      <c r="AD179"/>
    </row>
    <row r="180" spans="17:30" ht="12.75" customHeight="1">
      <c r="Q180" s="668"/>
      <c r="R180" s="973" t="s">
        <v>307</v>
      </c>
      <c r="S180" s="973"/>
      <c r="T180" s="973"/>
      <c r="U180" s="544">
        <f>U169</f>
        <v>21589.333333333336</v>
      </c>
      <c r="V180" s="544">
        <f>V169+V170</f>
        <v>11362000.000000002</v>
      </c>
      <c r="W180" s="544">
        <f>W169+W170</f>
        <v>11248000.000000002</v>
      </c>
      <c r="X180" s="544">
        <f>X169+X170</f>
        <v>11112285.714285715</v>
      </c>
      <c r="Y180" s="361"/>
      <c r="Z180" s="364"/>
      <c r="AA180"/>
      <c r="AB180"/>
      <c r="AC180"/>
      <c r="AD180"/>
    </row>
    <row r="181" spans="17:30" ht="12.75" customHeight="1">
      <c r="Q181" s="668"/>
      <c r="R181" s="973" t="s">
        <v>308</v>
      </c>
      <c r="S181" s="973"/>
      <c r="T181" s="973"/>
      <c r="U181" s="544">
        <f>U174</f>
        <v>259072.00000000003</v>
      </c>
      <c r="V181" s="544">
        <f>V174+V175</f>
        <v>136344000.00000003</v>
      </c>
      <c r="W181" s="544">
        <f>W174+W175</f>
        <v>134976000.00000003</v>
      </c>
      <c r="X181" s="544">
        <f>X174+X175</f>
        <v>133347428.57142857</v>
      </c>
      <c r="Y181" s="361"/>
      <c r="Z181" s="364"/>
      <c r="AA181"/>
      <c r="AB181"/>
      <c r="AC181"/>
      <c r="AD181"/>
    </row>
    <row r="182" spans="17:30" ht="12.75" customHeight="1">
      <c r="Q182" s="668"/>
      <c r="R182" s="381"/>
      <c r="S182" s="381"/>
      <c r="T182" s="381"/>
      <c r="U182" s="381"/>
      <c r="V182" s="381"/>
      <c r="W182" s="381"/>
      <c r="X182" s="381"/>
      <c r="Y182" s="364"/>
      <c r="Z182" s="364"/>
      <c r="AA182"/>
      <c r="AB182"/>
      <c r="AC182"/>
      <c r="AD182"/>
    </row>
    <row r="183" spans="17:30" ht="12.75" customHeight="1">
      <c r="Q183" s="668"/>
      <c r="R183" s="901" t="s">
        <v>475</v>
      </c>
      <c r="S183" s="901"/>
      <c r="T183" s="901"/>
      <c r="U183" s="930" t="s">
        <v>500</v>
      </c>
      <c r="V183" s="928" t="s">
        <v>22</v>
      </c>
      <c r="W183" s="929" t="s">
        <v>579</v>
      </c>
      <c r="X183" s="927" t="s">
        <v>21</v>
      </c>
      <c r="Y183" s="361"/>
      <c r="Z183" s="364"/>
      <c r="AA183"/>
      <c r="AB183"/>
      <c r="AC183"/>
      <c r="AD183"/>
    </row>
    <row r="184" spans="17:30" ht="12.75" customHeight="1">
      <c r="Q184" s="668"/>
      <c r="R184" s="901"/>
      <c r="S184" s="901"/>
      <c r="T184" s="901"/>
      <c r="U184" s="930"/>
      <c r="V184" s="928"/>
      <c r="W184" s="929"/>
      <c r="X184" s="927"/>
      <c r="Y184" s="361"/>
      <c r="Z184" s="364"/>
      <c r="AA184"/>
      <c r="AB184"/>
      <c r="AC184"/>
      <c r="AD184"/>
    </row>
    <row r="185" spans="17:30" ht="12.75" customHeight="1">
      <c r="Q185" s="668"/>
      <c r="R185" s="973" t="s">
        <v>472</v>
      </c>
      <c r="S185" s="973"/>
      <c r="T185" s="973"/>
      <c r="U185" s="593">
        <f>$V$224*$U$148</f>
        <v>211.20000000000002</v>
      </c>
      <c r="V185" s="593">
        <f>($V$145*$V$146*$V$153*$V$152*$V$148)/$V$154</f>
        <v>17099.999999999996</v>
      </c>
      <c r="W185" s="593">
        <f>($W$145*$W$146*$W$153*$W$152*$W$148)/$W$154</f>
        <v>14869.565217391304</v>
      </c>
      <c r="X185" s="593">
        <f>($X$145*$X$146*$X$153*$X$152*$X$148)/$X$154</f>
        <v>12214.285714285714</v>
      </c>
      <c r="Y185" s="361"/>
      <c r="Z185" s="364"/>
      <c r="AA185"/>
      <c r="AB185"/>
      <c r="AC185"/>
      <c r="AD185"/>
    </row>
    <row r="186" spans="17:30" ht="12.75" customHeight="1">
      <c r="Q186" s="668"/>
      <c r="R186" s="973" t="s">
        <v>473</v>
      </c>
      <c r="S186" s="973"/>
      <c r="T186" s="973"/>
      <c r="U186" s="543"/>
      <c r="V186" s="593">
        <f>($V$145*$V$146*$V$159*$V$158*$V$148)/$V$160</f>
        <v>94050.000000000015</v>
      </c>
      <c r="W186" s="593">
        <f>($W$145*$W$146*$W$159*$W$158*$W$148)/$W$160</f>
        <v>95165.217391304366</v>
      </c>
      <c r="X186" s="593">
        <f>($X$145*$X$146*$X$159*$X$158*$X$148)/$X$160</f>
        <v>96492.857142857145</v>
      </c>
      <c r="Y186" s="361"/>
      <c r="Z186" s="364"/>
      <c r="AA186"/>
      <c r="AB186"/>
      <c r="AC186"/>
      <c r="AD186"/>
    </row>
    <row r="187" spans="17:30" ht="12.75" customHeight="1">
      <c r="Q187" s="668"/>
      <c r="R187" s="381"/>
      <c r="S187" s="381"/>
      <c r="T187" s="381"/>
      <c r="U187" s="381"/>
      <c r="V187" s="381"/>
      <c r="W187" s="381"/>
      <c r="X187" s="381"/>
      <c r="Y187" s="552"/>
      <c r="Z187" s="364"/>
      <c r="AA187"/>
      <c r="AB187"/>
      <c r="AC187"/>
      <c r="AD187"/>
    </row>
    <row r="188" spans="17:30" ht="12.75" customHeight="1">
      <c r="Q188" s="668"/>
      <c r="R188" s="901" t="s">
        <v>476</v>
      </c>
      <c r="S188" s="901"/>
      <c r="T188" s="901"/>
      <c r="U188" s="930" t="s">
        <v>500</v>
      </c>
      <c r="V188" s="928" t="s">
        <v>22</v>
      </c>
      <c r="W188" s="929" t="s">
        <v>579</v>
      </c>
      <c r="X188" s="927" t="s">
        <v>21</v>
      </c>
      <c r="Y188" s="361"/>
      <c r="Z188" s="364"/>
      <c r="AA188"/>
      <c r="AB188"/>
      <c r="AC188"/>
      <c r="AD188"/>
    </row>
    <row r="189" spans="17:30" ht="12.75" customHeight="1">
      <c r="Q189" s="668"/>
      <c r="R189" s="901"/>
      <c r="S189" s="901"/>
      <c r="T189" s="901"/>
      <c r="U189" s="930"/>
      <c r="V189" s="928"/>
      <c r="W189" s="929"/>
      <c r="X189" s="927"/>
      <c r="Y189" s="361"/>
      <c r="Z189" s="364"/>
      <c r="AA189"/>
      <c r="AB189"/>
      <c r="AC189"/>
      <c r="AD189"/>
    </row>
    <row r="190" spans="17:30" ht="12.75" customHeight="1">
      <c r="Q190" s="668"/>
      <c r="R190" s="973" t="s">
        <v>472</v>
      </c>
      <c r="S190" s="973"/>
      <c r="T190" s="973"/>
      <c r="U190" s="593">
        <f>U185*$V$11</f>
        <v>4857.6000000000004</v>
      </c>
      <c r="V190" s="593">
        <f>V185*$V$11</f>
        <v>393299.99999999994</v>
      </c>
      <c r="W190" s="593">
        <f>W185*$V$11</f>
        <v>342000</v>
      </c>
      <c r="X190" s="593">
        <f>X185*$V$11</f>
        <v>280928.57142857142</v>
      </c>
      <c r="Y190" s="361"/>
      <c r="Z190" s="364"/>
      <c r="AA190"/>
      <c r="AB190"/>
      <c r="AC190"/>
      <c r="AD190"/>
    </row>
    <row r="191" spans="17:30" ht="12.75" customHeight="1">
      <c r="Q191" s="668"/>
      <c r="R191" s="973" t="s">
        <v>473</v>
      </c>
      <c r="S191" s="973"/>
      <c r="T191" s="973"/>
      <c r="U191" s="543"/>
      <c r="V191" s="593">
        <f>V186*$V$11</f>
        <v>2163150.0000000005</v>
      </c>
      <c r="W191" s="593">
        <f>W186*$V$11</f>
        <v>2188800.0000000005</v>
      </c>
      <c r="X191" s="593">
        <f>X186*$V$11</f>
        <v>2219335.7142857146</v>
      </c>
      <c r="Y191" s="361"/>
      <c r="Z191" s="364"/>
      <c r="AA191"/>
      <c r="AB191"/>
      <c r="AC191"/>
      <c r="AD191"/>
    </row>
    <row r="192" spans="17:30" ht="12.75" customHeight="1">
      <c r="Q192" s="668"/>
      <c r="R192" s="367"/>
      <c r="S192" s="367"/>
      <c r="T192" s="367"/>
      <c r="U192" s="367"/>
      <c r="V192" s="367"/>
      <c r="W192" s="367"/>
      <c r="X192" s="367"/>
      <c r="Y192" s="364"/>
      <c r="Z192" s="364"/>
      <c r="AA192"/>
      <c r="AB192"/>
      <c r="AC192"/>
      <c r="AD192"/>
    </row>
    <row r="193" spans="17:30" ht="12.75" customHeight="1">
      <c r="Q193" s="668"/>
      <c r="R193" s="901" t="s">
        <v>477</v>
      </c>
      <c r="S193" s="901"/>
      <c r="T193" s="901"/>
      <c r="U193" s="930" t="s">
        <v>500</v>
      </c>
      <c r="V193" s="928" t="s">
        <v>22</v>
      </c>
      <c r="W193" s="929" t="s">
        <v>579</v>
      </c>
      <c r="X193" s="927" t="s">
        <v>21</v>
      </c>
      <c r="Y193" s="361"/>
      <c r="Z193" s="364"/>
      <c r="AA193"/>
      <c r="AB193"/>
      <c r="AC193"/>
      <c r="AD193"/>
    </row>
    <row r="194" spans="17:30" ht="12.75" customHeight="1">
      <c r="Q194" s="668"/>
      <c r="R194" s="901"/>
      <c r="S194" s="901"/>
      <c r="T194" s="901"/>
      <c r="U194" s="930"/>
      <c r="V194" s="928"/>
      <c r="W194" s="929"/>
      <c r="X194" s="927"/>
      <c r="Y194" s="361"/>
      <c r="Z194" s="364"/>
      <c r="AA194"/>
      <c r="AB194"/>
      <c r="AC194"/>
      <c r="AD194"/>
    </row>
    <row r="195" spans="17:30" ht="12.75" customHeight="1">
      <c r="Q195" s="668"/>
      <c r="R195" s="973" t="s">
        <v>472</v>
      </c>
      <c r="S195" s="973"/>
      <c r="T195" s="973"/>
      <c r="U195" s="593">
        <f>U190*12</f>
        <v>58291.200000000004</v>
      </c>
      <c r="V195" s="593">
        <f>V190*12</f>
        <v>4719599.9999999991</v>
      </c>
      <c r="W195" s="593">
        <f>W190*12</f>
        <v>4104000</v>
      </c>
      <c r="X195" s="593">
        <f>X190*12</f>
        <v>3371142.8571428573</v>
      </c>
      <c r="Y195" s="361"/>
      <c r="Z195" s="364"/>
      <c r="AA195"/>
      <c r="AB195"/>
      <c r="AC195"/>
      <c r="AD195"/>
    </row>
    <row r="196" spans="17:30" ht="12.75" customHeight="1">
      <c r="Q196" s="668"/>
      <c r="R196" s="973" t="s">
        <v>473</v>
      </c>
      <c r="S196" s="973"/>
      <c r="T196" s="973"/>
      <c r="U196" s="543"/>
      <c r="V196" s="593">
        <f>V191*12</f>
        <v>25957800.000000007</v>
      </c>
      <c r="W196" s="593">
        <f>W191*12</f>
        <v>26265600.000000007</v>
      </c>
      <c r="X196" s="593">
        <f>X191*12</f>
        <v>26632028.571428575</v>
      </c>
      <c r="Y196" s="361"/>
      <c r="Z196" s="364"/>
      <c r="AA196"/>
      <c r="AB196"/>
      <c r="AC196"/>
      <c r="AD196"/>
    </row>
    <row r="197" spans="17:30" ht="12.75" customHeight="1">
      <c r="Q197" s="668"/>
      <c r="R197" s="367"/>
      <c r="S197" s="367"/>
      <c r="T197" s="367"/>
      <c r="U197" s="367"/>
      <c r="V197" s="367"/>
      <c r="W197" s="367"/>
      <c r="X197" s="367"/>
      <c r="Y197" s="364"/>
      <c r="Z197" s="364"/>
      <c r="AA197"/>
      <c r="AB197"/>
      <c r="AC197"/>
      <c r="AD197"/>
    </row>
    <row r="198" spans="17:30" ht="12.75" customHeight="1">
      <c r="Q198" s="668"/>
      <c r="R198" s="901" t="s">
        <v>116</v>
      </c>
      <c r="S198" s="901"/>
      <c r="T198" s="901"/>
      <c r="U198" s="949" t="s">
        <v>500</v>
      </c>
      <c r="V198" s="938" t="s">
        <v>22</v>
      </c>
      <c r="W198" s="940" t="s">
        <v>579</v>
      </c>
      <c r="X198" s="942" t="s">
        <v>21</v>
      </c>
      <c r="Y198" s="361"/>
      <c r="Z198" s="364"/>
      <c r="AA198"/>
      <c r="AB198"/>
      <c r="AC198"/>
      <c r="AD198"/>
    </row>
    <row r="199" spans="17:30" ht="12.75" customHeight="1">
      <c r="Q199" s="668"/>
      <c r="R199" s="901"/>
      <c r="S199" s="901"/>
      <c r="T199" s="901"/>
      <c r="U199" s="950"/>
      <c r="V199" s="939"/>
      <c r="W199" s="941"/>
      <c r="X199" s="943"/>
      <c r="Y199" s="361"/>
      <c r="Z199" s="364"/>
      <c r="AA199"/>
      <c r="AB199"/>
      <c r="AC199"/>
      <c r="AD199"/>
    </row>
    <row r="200" spans="17:30" ht="12.75" customHeight="1">
      <c r="Q200" s="668"/>
      <c r="R200" s="970" t="s">
        <v>459</v>
      </c>
      <c r="S200" s="971"/>
      <c r="T200" s="972"/>
      <c r="U200" s="593">
        <f>U185</f>
        <v>211.20000000000002</v>
      </c>
      <c r="V200" s="593">
        <f>V185+V186</f>
        <v>111150.00000000001</v>
      </c>
      <c r="W200" s="593">
        <f>W185+W186</f>
        <v>110034.78260869568</v>
      </c>
      <c r="X200" s="593">
        <f>X185+X186</f>
        <v>108707.14285714286</v>
      </c>
      <c r="Y200" s="361"/>
      <c r="Z200" s="364"/>
      <c r="AA200"/>
      <c r="AB200"/>
      <c r="AC200"/>
      <c r="AD200"/>
    </row>
    <row r="201" spans="17:30" ht="12.75" customHeight="1">
      <c r="Q201" s="668"/>
      <c r="R201" s="973" t="s">
        <v>307</v>
      </c>
      <c r="S201" s="973"/>
      <c r="T201" s="973"/>
      <c r="U201" s="593">
        <f>U190</f>
        <v>4857.6000000000004</v>
      </c>
      <c r="V201" s="593">
        <f>V190+V191</f>
        <v>2556450.0000000005</v>
      </c>
      <c r="W201" s="593">
        <f>W190+W191</f>
        <v>2530800.0000000005</v>
      </c>
      <c r="X201" s="593">
        <f>X190+X191</f>
        <v>2500264.2857142859</v>
      </c>
      <c r="Y201" s="361"/>
      <c r="Z201" s="364"/>
      <c r="AA201"/>
      <c r="AB201"/>
      <c r="AC201"/>
      <c r="AD201"/>
    </row>
    <row r="202" spans="17:30" ht="12.75" customHeight="1">
      <c r="Q202" s="668"/>
      <c r="R202" s="973" t="s">
        <v>308</v>
      </c>
      <c r="S202" s="973"/>
      <c r="T202" s="973"/>
      <c r="U202" s="593">
        <f>U195</f>
        <v>58291.200000000004</v>
      </c>
      <c r="V202" s="593">
        <f>V195+V196</f>
        <v>30677400.000000007</v>
      </c>
      <c r="W202" s="593">
        <f>W195+W196</f>
        <v>30369600.000000007</v>
      </c>
      <c r="X202" s="593">
        <f>X195+X196</f>
        <v>30003171.428571433</v>
      </c>
      <c r="Y202" s="361"/>
      <c r="Z202" s="364"/>
      <c r="AA202"/>
      <c r="AB202"/>
      <c r="AC202"/>
      <c r="AD202"/>
    </row>
    <row r="203" spans="17:30" ht="12.75" customHeight="1">
      <c r="Q203" s="668"/>
      <c r="R203" s="575"/>
      <c r="S203" s="575"/>
      <c r="T203" s="575"/>
      <c r="U203" s="382"/>
      <c r="V203" s="382"/>
      <c r="W203" s="382"/>
      <c r="X203" s="382"/>
      <c r="Y203" s="364"/>
      <c r="Z203" s="364"/>
      <c r="AA203"/>
      <c r="AB203"/>
      <c r="AC203"/>
      <c r="AD203"/>
    </row>
    <row r="204" spans="17:30" ht="12.75" customHeight="1">
      <c r="Q204" s="668"/>
      <c r="R204" s="974" t="s">
        <v>775</v>
      </c>
      <c r="S204" s="974"/>
      <c r="T204" s="974"/>
      <c r="U204" s="974"/>
      <c r="V204" s="974"/>
      <c r="W204" s="974"/>
      <c r="X204" s="974"/>
      <c r="Y204" s="974"/>
      <c r="Z204" s="364"/>
      <c r="AA204"/>
      <c r="AB204"/>
      <c r="AC204"/>
      <c r="AD204"/>
    </row>
    <row r="205" spans="17:30" ht="12.75" customHeight="1">
      <c r="Q205" s="668"/>
      <c r="R205" s="974"/>
      <c r="S205" s="974"/>
      <c r="T205" s="974"/>
      <c r="U205" s="974"/>
      <c r="V205" s="974"/>
      <c r="W205" s="974"/>
      <c r="X205" s="974"/>
      <c r="Y205" s="974"/>
      <c r="Z205" s="576"/>
      <c r="AA205"/>
      <c r="AB205"/>
      <c r="AC205"/>
      <c r="AD205"/>
    </row>
    <row r="206" spans="17:30" ht="12.75" customHeight="1">
      <c r="Q206" s="668"/>
      <c r="R206" s="974"/>
      <c r="S206" s="974"/>
      <c r="T206" s="974"/>
      <c r="U206" s="974"/>
      <c r="V206" s="974"/>
      <c r="W206" s="974"/>
      <c r="X206" s="974"/>
      <c r="Y206" s="974"/>
      <c r="Z206" s="576"/>
      <c r="AA206"/>
      <c r="AB206"/>
      <c r="AC206"/>
      <c r="AD206"/>
    </row>
    <row r="207" spans="17:30" ht="12.75" customHeight="1">
      <c r="Q207" s="668"/>
      <c r="R207" s="974"/>
      <c r="S207" s="974"/>
      <c r="T207" s="974"/>
      <c r="U207" s="974"/>
      <c r="V207" s="974"/>
      <c r="W207" s="974"/>
      <c r="X207" s="974"/>
      <c r="Y207" s="974"/>
      <c r="Z207" s="576"/>
      <c r="AA207"/>
      <c r="AB207"/>
      <c r="AC207"/>
      <c r="AD207"/>
    </row>
    <row r="208" spans="17:30" ht="12.75" customHeight="1">
      <c r="Q208" s="668"/>
      <c r="R208" s="974"/>
      <c r="S208" s="974"/>
      <c r="T208" s="974"/>
      <c r="U208" s="974"/>
      <c r="V208" s="974"/>
      <c r="W208" s="974"/>
      <c r="X208" s="974"/>
      <c r="Y208" s="974"/>
      <c r="Z208" s="576"/>
      <c r="AA208"/>
      <c r="AB208"/>
      <c r="AC208"/>
      <c r="AD208"/>
    </row>
    <row r="209" spans="17:30" ht="12.75" customHeight="1">
      <c r="Q209" s="668"/>
      <c r="R209" s="364"/>
      <c r="S209" s="375"/>
      <c r="T209" s="375"/>
      <c r="U209" s="577"/>
      <c r="V209" s="577"/>
      <c r="W209" s="577"/>
      <c r="X209" s="577"/>
      <c r="Y209" s="551"/>
      <c r="Z209" s="363"/>
      <c r="AA209"/>
      <c r="AB209"/>
      <c r="AC209"/>
      <c r="AD209"/>
    </row>
    <row r="210" spans="17:30" ht="12.75" customHeight="1">
      <c r="Q210" s="668"/>
      <c r="R210" s="975" t="s">
        <v>667</v>
      </c>
      <c r="S210" s="976"/>
      <c r="T210" s="976"/>
      <c r="U210" s="976"/>
      <c r="V210" s="976"/>
      <c r="W210" s="976"/>
      <c r="X210" s="979">
        <f>10*V25</f>
        <v>76800</v>
      </c>
      <c r="Y210" s="935" t="s">
        <v>668</v>
      </c>
      <c r="Z210" s="364"/>
      <c r="AA210"/>
      <c r="AB210"/>
      <c r="AC210"/>
      <c r="AD210"/>
    </row>
    <row r="211" spans="17:30" ht="12.75" customHeight="1">
      <c r="Q211" s="668"/>
      <c r="R211" s="977"/>
      <c r="S211" s="978"/>
      <c r="T211" s="978"/>
      <c r="U211" s="978"/>
      <c r="V211" s="978"/>
      <c r="W211" s="978"/>
      <c r="X211" s="979"/>
      <c r="Y211" s="935"/>
      <c r="Z211" s="364"/>
      <c r="AA211"/>
      <c r="AB211"/>
      <c r="AC211"/>
      <c r="AD211"/>
    </row>
    <row r="212" spans="17:30" ht="12.75" customHeight="1">
      <c r="Q212" s="668"/>
      <c r="R212" s="578"/>
      <c r="S212" s="578"/>
      <c r="T212" s="578"/>
      <c r="U212" s="578"/>
      <c r="V212" s="578"/>
      <c r="W212" s="578"/>
      <c r="X212" s="578"/>
      <c r="Y212" s="579"/>
      <c r="Z212" s="551"/>
      <c r="AA212"/>
      <c r="AB212"/>
      <c r="AC212"/>
      <c r="AD212"/>
    </row>
    <row r="213" spans="17:30" ht="12.75" customHeight="1">
      <c r="Q213" s="668"/>
      <c r="R213" s="937" t="s">
        <v>678</v>
      </c>
      <c r="S213" s="937"/>
      <c r="T213" s="937"/>
      <c r="U213" s="937"/>
      <c r="V213" s="949" t="s">
        <v>500</v>
      </c>
      <c r="W213" s="938" t="s">
        <v>22</v>
      </c>
      <c r="X213" s="940" t="s">
        <v>579</v>
      </c>
      <c r="Y213" s="942" t="s">
        <v>21</v>
      </c>
      <c r="Z213" s="361"/>
      <c r="AA213"/>
      <c r="AB213"/>
      <c r="AC213"/>
      <c r="AD213"/>
    </row>
    <row r="214" spans="17:30" ht="12.75" customHeight="1">
      <c r="Q214" s="668"/>
      <c r="R214" s="937"/>
      <c r="S214" s="937"/>
      <c r="T214" s="937"/>
      <c r="U214" s="937"/>
      <c r="V214" s="950"/>
      <c r="W214" s="939"/>
      <c r="X214" s="941"/>
      <c r="Y214" s="943"/>
      <c r="Z214" s="361"/>
      <c r="AA214"/>
      <c r="AB214"/>
      <c r="AC214"/>
      <c r="AD214"/>
    </row>
    <row r="215" spans="17:30" ht="12.75" customHeight="1">
      <c r="Q215" s="668"/>
      <c r="R215" s="968" t="s">
        <v>533</v>
      </c>
      <c r="S215" s="968"/>
      <c r="T215" s="968"/>
      <c r="U215" s="968"/>
      <c r="V215" s="580">
        <v>0.107</v>
      </c>
      <c r="W215" s="581">
        <f>VLOOKUP($V$5,'Lookup Energy kWhm'!$B$8:$E$208,3)</f>
        <v>0.13</v>
      </c>
      <c r="X215" s="581">
        <f>VLOOKUP($V$5,'Lookup Energy kWhm'!$B$8:$E$208,4)</f>
        <v>0.14799999999999999</v>
      </c>
      <c r="Y215" s="581">
        <f>VLOOKUP($V$5,'Lookup Energy kWhm'!$B$8:$E$208,2)</f>
        <v>0.1</v>
      </c>
      <c r="Z215" s="361"/>
      <c r="AA215"/>
      <c r="AB215"/>
      <c r="AC215"/>
      <c r="AD215"/>
    </row>
    <row r="216" spans="17:30" ht="12.75" customHeight="1">
      <c r="Q216" s="668"/>
      <c r="R216" s="969" t="s">
        <v>31</v>
      </c>
      <c r="S216" s="969"/>
      <c r="T216" s="969"/>
      <c r="U216" s="969"/>
      <c r="V216" s="556">
        <f t="shared" ref="V216:W219" si="2">X216</f>
        <v>1.2</v>
      </c>
      <c r="W216" s="556">
        <f t="shared" si="2"/>
        <v>1.2</v>
      </c>
      <c r="X216" s="556">
        <f>W216</f>
        <v>1.2</v>
      </c>
      <c r="Y216" s="556">
        <f>V20</f>
        <v>1.2</v>
      </c>
      <c r="Z216" s="361"/>
      <c r="AA216"/>
      <c r="AB216"/>
      <c r="AC216"/>
      <c r="AD216"/>
    </row>
    <row r="217" spans="17:30" ht="12.75" customHeight="1">
      <c r="Q217" s="668"/>
      <c r="R217" s="969" t="s">
        <v>314</v>
      </c>
      <c r="S217" s="969"/>
      <c r="T217" s="969"/>
      <c r="U217" s="969"/>
      <c r="V217" s="556">
        <f t="shared" si="2"/>
        <v>160</v>
      </c>
      <c r="W217" s="556">
        <f t="shared" si="2"/>
        <v>160</v>
      </c>
      <c r="X217" s="556">
        <f>W217</f>
        <v>160</v>
      </c>
      <c r="Y217" s="556">
        <f>V19</f>
        <v>160</v>
      </c>
      <c r="Z217" s="361"/>
      <c r="AA217"/>
      <c r="AB217"/>
      <c r="AC217"/>
      <c r="AD217"/>
    </row>
    <row r="218" spans="17:30" ht="12.75" customHeight="1">
      <c r="Q218" s="668"/>
      <c r="R218" s="969" t="s">
        <v>20</v>
      </c>
      <c r="S218" s="969"/>
      <c r="T218" s="969"/>
      <c r="U218" s="969"/>
      <c r="V218" s="556">
        <f t="shared" si="2"/>
        <v>40</v>
      </c>
      <c r="W218" s="556">
        <f t="shared" si="2"/>
        <v>40</v>
      </c>
      <c r="X218" s="556">
        <f>W218</f>
        <v>40</v>
      </c>
      <c r="Y218" s="556">
        <f>V22</f>
        <v>40</v>
      </c>
      <c r="Z218" s="361"/>
      <c r="AA218"/>
      <c r="AB218"/>
      <c r="AC218"/>
      <c r="AD218"/>
    </row>
    <row r="219" spans="17:30" ht="12.75" customHeight="1">
      <c r="Q219" s="668"/>
      <c r="R219" s="969" t="s">
        <v>310</v>
      </c>
      <c r="S219" s="969"/>
      <c r="T219" s="969"/>
      <c r="U219" s="969"/>
      <c r="V219" s="556">
        <f t="shared" si="2"/>
        <v>160</v>
      </c>
      <c r="W219" s="556">
        <f t="shared" si="2"/>
        <v>160</v>
      </c>
      <c r="X219" s="556">
        <f>W219</f>
        <v>160</v>
      </c>
      <c r="Y219" s="556">
        <f>V23</f>
        <v>160</v>
      </c>
      <c r="Z219" s="361"/>
      <c r="AA219"/>
      <c r="AB219"/>
      <c r="AC219"/>
      <c r="AD219"/>
    </row>
    <row r="220" spans="17:30" ht="12.75" customHeight="1">
      <c r="Q220" s="668"/>
      <c r="R220" s="968" t="s">
        <v>543</v>
      </c>
      <c r="S220" s="968"/>
      <c r="T220" s="968"/>
      <c r="U220" s="968"/>
      <c r="V220" s="582">
        <f>V215*V216*V217*V218</f>
        <v>821.75999999999988</v>
      </c>
      <c r="W220" s="582">
        <f>W215*W216*W217*W218</f>
        <v>998.40000000000009</v>
      </c>
      <c r="X220" s="582">
        <f>X215*X216*X217*X218</f>
        <v>1136.6399999999999</v>
      </c>
      <c r="Y220" s="582">
        <f>Y215*Y216*Y217*Y218</f>
        <v>768</v>
      </c>
      <c r="Z220" s="361"/>
      <c r="AA220"/>
      <c r="AB220"/>
      <c r="AC220"/>
      <c r="AD220"/>
    </row>
    <row r="221" spans="17:30" ht="12.75" customHeight="1">
      <c r="Q221" s="668"/>
      <c r="R221" s="968" t="s">
        <v>542</v>
      </c>
      <c r="S221" s="968"/>
      <c r="T221" s="968"/>
      <c r="U221" s="968"/>
      <c r="V221" s="583">
        <f>V220/V219</f>
        <v>5.1359999999999992</v>
      </c>
      <c r="W221" s="583">
        <f>W220/W219</f>
        <v>6.24</v>
      </c>
      <c r="X221" s="583">
        <f>X220/X219</f>
        <v>7.1039999999999992</v>
      </c>
      <c r="Y221" s="583">
        <f>Y220/Y219</f>
        <v>4.8</v>
      </c>
      <c r="Z221" s="361"/>
      <c r="AA221"/>
      <c r="AB221"/>
      <c r="AC221"/>
      <c r="AD221"/>
    </row>
    <row r="222" spans="17:30" ht="12.75" customHeight="1">
      <c r="Q222" s="668"/>
      <c r="R222" s="968" t="s">
        <v>538</v>
      </c>
      <c r="S222" s="968"/>
      <c r="T222" s="968"/>
      <c r="U222" s="968"/>
      <c r="V222" s="537">
        <f>U62</f>
        <v>2.6666666666666665</v>
      </c>
      <c r="W222" s="537">
        <f>V62</f>
        <v>1.9999999999999996</v>
      </c>
      <c r="X222" s="537">
        <f>W62</f>
        <v>1.7391304347826084</v>
      </c>
      <c r="Y222" s="537">
        <f>X62</f>
        <v>1.4285714285714284</v>
      </c>
      <c r="Z222" s="361"/>
      <c r="AA222"/>
      <c r="AB222"/>
      <c r="AC222"/>
      <c r="AD222"/>
    </row>
    <row r="223" spans="17:30" ht="12.75" customHeight="1">
      <c r="Q223" s="668"/>
      <c r="R223" s="968" t="s">
        <v>546</v>
      </c>
      <c r="S223" s="968"/>
      <c r="T223" s="968"/>
      <c r="U223" s="968"/>
      <c r="V223" s="584">
        <f>2.2*V222</f>
        <v>5.8666666666666671</v>
      </c>
      <c r="W223" s="584">
        <f>W222/W215</f>
        <v>15.384615384615381</v>
      </c>
      <c r="X223" s="584">
        <f>X222/X215</f>
        <v>11.750881316098706</v>
      </c>
      <c r="Y223" s="584">
        <f>Y222/Y215</f>
        <v>14.285714285714283</v>
      </c>
      <c r="Z223" s="361"/>
      <c r="AA223"/>
      <c r="AB223"/>
      <c r="AC223"/>
      <c r="AD223"/>
    </row>
    <row r="224" spans="17:30" ht="12.75" customHeight="1">
      <c r="Q224" s="668"/>
      <c r="R224" s="968" t="s">
        <v>544</v>
      </c>
      <c r="S224" s="968"/>
      <c r="T224" s="968"/>
      <c r="U224" s="968"/>
      <c r="V224" s="582">
        <f>V219*V223</f>
        <v>938.66666666666674</v>
      </c>
      <c r="W224" s="582">
        <f>W219*W223</f>
        <v>2461.538461538461</v>
      </c>
      <c r="X224" s="582">
        <f>X219*X223</f>
        <v>1880.141010575793</v>
      </c>
      <c r="Y224" s="674">
        <f>Y219*Y223</f>
        <v>2285.7142857142853</v>
      </c>
      <c r="Z224" s="361"/>
      <c r="AA224"/>
      <c r="AB224"/>
      <c r="AC224"/>
      <c r="AD224"/>
    </row>
    <row r="225" spans="17:30" ht="12.75" customHeight="1">
      <c r="Q225" s="668"/>
      <c r="R225" s="969" t="s">
        <v>535</v>
      </c>
      <c r="S225" s="969"/>
      <c r="T225" s="969"/>
      <c r="U225" s="969"/>
      <c r="V225" s="556">
        <f>V217/V222</f>
        <v>60</v>
      </c>
      <c r="W225" s="556">
        <f>W217/W222</f>
        <v>80.000000000000014</v>
      </c>
      <c r="X225" s="556">
        <f>X217/X222</f>
        <v>92.000000000000014</v>
      </c>
      <c r="Y225" s="556">
        <f>Y217/Y222</f>
        <v>112.00000000000001</v>
      </c>
      <c r="Z225" s="361"/>
      <c r="AA225"/>
      <c r="AB225"/>
      <c r="AC225"/>
      <c r="AD225"/>
    </row>
    <row r="226" spans="17:30" ht="12.75" customHeight="1">
      <c r="Q226" s="668"/>
      <c r="R226" s="969" t="s">
        <v>536</v>
      </c>
      <c r="S226" s="969"/>
      <c r="T226" s="969"/>
      <c r="U226" s="969"/>
      <c r="V226" s="675">
        <f>V216*V225</f>
        <v>72</v>
      </c>
      <c r="W226" s="675">
        <f>W216*W225</f>
        <v>96.000000000000014</v>
      </c>
      <c r="X226" s="675">
        <f>X216*X225</f>
        <v>110.40000000000002</v>
      </c>
      <c r="Y226" s="675">
        <f>Y216*Y225</f>
        <v>134.4</v>
      </c>
      <c r="Z226" s="361"/>
      <c r="AA226"/>
      <c r="AB226"/>
      <c r="AC226"/>
      <c r="AD226"/>
    </row>
    <row r="227" spans="17:30" ht="12.75" customHeight="1">
      <c r="Q227" s="668"/>
      <c r="R227" s="968" t="s">
        <v>534</v>
      </c>
      <c r="S227" s="968"/>
      <c r="T227" s="968"/>
      <c r="U227" s="968"/>
      <c r="V227" s="583">
        <f>U56</f>
        <v>4</v>
      </c>
      <c r="W227" s="583">
        <f>V56</f>
        <v>2.9999999999999996</v>
      </c>
      <c r="X227" s="583">
        <f>W56</f>
        <v>2.6086956521739126</v>
      </c>
      <c r="Y227" s="583">
        <f>X56</f>
        <v>2.1428571428571428</v>
      </c>
      <c r="Z227" s="361"/>
      <c r="AA227"/>
      <c r="AB227"/>
      <c r="AC227"/>
      <c r="AD227"/>
    </row>
    <row r="228" spans="17:30" ht="12.75" customHeight="1">
      <c r="Q228" s="668"/>
      <c r="R228" s="968" t="s">
        <v>537</v>
      </c>
      <c r="S228" s="968"/>
      <c r="T228" s="968"/>
      <c r="U228" s="968"/>
      <c r="V228" s="584">
        <f>V225*V227</f>
        <v>240</v>
      </c>
      <c r="W228" s="584">
        <f>W225*W227</f>
        <v>240</v>
      </c>
      <c r="X228" s="584">
        <f>X225*X227</f>
        <v>240</v>
      </c>
      <c r="Y228" s="584">
        <f>Y225*Y227</f>
        <v>240.00000000000003</v>
      </c>
      <c r="Z228" s="361"/>
      <c r="AA228"/>
      <c r="AB228"/>
      <c r="AC228"/>
      <c r="AD228"/>
    </row>
    <row r="229" spans="17:30" ht="12.75" customHeight="1">
      <c r="Q229" s="668"/>
      <c r="R229" s="968" t="s">
        <v>545</v>
      </c>
      <c r="S229" s="968"/>
      <c r="T229" s="968"/>
      <c r="U229" s="968"/>
      <c r="V229" s="585">
        <f>V221/V223</f>
        <v>0.87545454545454526</v>
      </c>
      <c r="W229" s="585">
        <f>W221/W223</f>
        <v>0.40560000000000007</v>
      </c>
      <c r="X229" s="585">
        <f>X221/X223</f>
        <v>0.60455040000000004</v>
      </c>
      <c r="Y229" s="585">
        <f>Y221/Y223</f>
        <v>0.33600000000000008</v>
      </c>
      <c r="Z229" s="361"/>
      <c r="AA229"/>
      <c r="AB229"/>
      <c r="AC229"/>
      <c r="AD229"/>
    </row>
    <row r="230" spans="17:30" ht="12.75" customHeight="1">
      <c r="Q230" s="668"/>
      <c r="R230" s="540" t="s">
        <v>547</v>
      </c>
      <c r="S230" s="540"/>
      <c r="T230" s="540"/>
      <c r="U230" s="540"/>
      <c r="V230" s="585"/>
      <c r="W230" s="586">
        <f>10*W217*W216*W218</f>
        <v>76800</v>
      </c>
      <c r="X230" s="586">
        <f>10*X217*X216*X218</f>
        <v>76800</v>
      </c>
      <c r="Y230" s="586">
        <f>10*Y217*Y216*Y218</f>
        <v>76800</v>
      </c>
      <c r="Z230" s="361"/>
      <c r="AA230"/>
      <c r="AB230"/>
      <c r="AC230"/>
      <c r="AD230"/>
    </row>
    <row r="231" spans="17:30" ht="12.75" customHeight="1">
      <c r="Q231" s="668"/>
      <c r="R231" s="968" t="s">
        <v>548</v>
      </c>
      <c r="S231" s="968"/>
      <c r="T231" s="968"/>
      <c r="U231" s="968"/>
      <c r="V231" s="585">
        <f>V229</f>
        <v>0.87545454545454526</v>
      </c>
      <c r="W231" s="585">
        <f>W220/W230</f>
        <v>1.3000000000000001E-2</v>
      </c>
      <c r="X231" s="585">
        <f>X220/X230</f>
        <v>1.4799999999999999E-2</v>
      </c>
      <c r="Y231" s="585">
        <f>Y220/Y230</f>
        <v>0.01</v>
      </c>
      <c r="Z231" s="361"/>
      <c r="AA231"/>
      <c r="AB231"/>
      <c r="AC231"/>
      <c r="AD231"/>
    </row>
    <row r="232" spans="17:30" ht="12.75" customHeight="1">
      <c r="Q232" s="668"/>
      <c r="R232" s="587"/>
      <c r="S232" s="587"/>
      <c r="T232" s="587"/>
      <c r="U232" s="587"/>
      <c r="V232" s="588"/>
      <c r="W232" s="588"/>
      <c r="X232" s="588"/>
      <c r="Y232" s="588"/>
      <c r="Z232" s="589"/>
      <c r="AA232"/>
      <c r="AB232"/>
      <c r="AC232"/>
      <c r="AD232"/>
    </row>
    <row r="233" spans="17:30" ht="12.75" customHeight="1">
      <c r="Q233" s="668"/>
      <c r="R233" s="587"/>
      <c r="S233" s="587"/>
      <c r="T233" s="587"/>
      <c r="U233" s="587"/>
      <c r="V233" s="676"/>
      <c r="W233" s="676"/>
      <c r="X233" s="676"/>
      <c r="Y233" s="588"/>
      <c r="Z233" s="364"/>
      <c r="AA233"/>
      <c r="AB233"/>
      <c r="AC233"/>
      <c r="AD233"/>
    </row>
    <row r="234" spans="17:30" ht="12.75" customHeight="1">
      <c r="Q234" s="668" t="s">
        <v>240</v>
      </c>
      <c r="R234" s="364" t="s">
        <v>241</v>
      </c>
      <c r="S234" s="364"/>
      <c r="T234" s="364"/>
      <c r="U234" s="364"/>
      <c r="V234" s="364"/>
      <c r="W234" s="364"/>
      <c r="X234" s="364"/>
      <c r="Y234" s="364"/>
      <c r="Z234" s="364"/>
      <c r="AA234"/>
      <c r="AB234"/>
      <c r="AC234"/>
      <c r="AD234"/>
    </row>
    <row r="235" spans="17:30" ht="12.75" customHeight="1">
      <c r="Q235" s="364"/>
      <c r="R235" s="962" t="s">
        <v>301</v>
      </c>
      <c r="S235" s="963"/>
      <c r="T235" s="964"/>
      <c r="U235" s="949" t="s">
        <v>500</v>
      </c>
      <c r="V235" s="938" t="s">
        <v>22</v>
      </c>
      <c r="W235" s="940" t="s">
        <v>579</v>
      </c>
      <c r="X235" s="942" t="s">
        <v>21</v>
      </c>
      <c r="Y235" s="361"/>
      <c r="Z235" s="364"/>
      <c r="AA235"/>
      <c r="AB235"/>
      <c r="AC235"/>
      <c r="AD235"/>
    </row>
    <row r="236" spans="17:30" ht="12.75" customHeight="1">
      <c r="Q236" s="364"/>
      <c r="R236" s="965"/>
      <c r="S236" s="966"/>
      <c r="T236" s="967"/>
      <c r="U236" s="950"/>
      <c r="V236" s="939"/>
      <c r="W236" s="941"/>
      <c r="X236" s="943"/>
      <c r="Y236" s="361"/>
      <c r="Z236" s="364"/>
      <c r="AA236"/>
      <c r="AB236"/>
      <c r="AC236"/>
      <c r="AD236"/>
    </row>
    <row r="237" spans="17:30" ht="12.75" customHeight="1">
      <c r="Q237" s="364"/>
      <c r="R237" s="931" t="s">
        <v>662</v>
      </c>
      <c r="S237" s="931"/>
      <c r="T237" s="931"/>
      <c r="U237" s="901" t="s">
        <v>427</v>
      </c>
      <c r="V237" s="562">
        <f>VLOOKUP($V$5,'Lookup Air Consumption'!$B$8:$E$208,3)</f>
        <v>38</v>
      </c>
      <c r="W237" s="562">
        <f>VLOOKUP($V$5,'Lookup Air Consumption'!$B$8:$E$208,4)</f>
        <v>50</v>
      </c>
      <c r="X237" s="562">
        <f>VLOOKUP($V$5,'Lookup Air Consumption'!$B$8:$E$208,2)</f>
        <v>41</v>
      </c>
      <c r="Y237" s="361"/>
      <c r="Z237" s="364"/>
      <c r="AA237"/>
      <c r="AB237"/>
      <c r="AC237"/>
      <c r="AD237"/>
    </row>
    <row r="238" spans="17:30" ht="12.75" customHeight="1">
      <c r="Q238" s="364"/>
      <c r="R238" s="931" t="s">
        <v>663</v>
      </c>
      <c r="S238" s="931"/>
      <c r="T238" s="931"/>
      <c r="U238" s="901"/>
      <c r="V238" s="590">
        <f>V237/1000</f>
        <v>3.7999999999999999E-2</v>
      </c>
      <c r="W238" s="590">
        <f>W237/1000</f>
        <v>0.05</v>
      </c>
      <c r="X238" s="590">
        <f>X237/1000</f>
        <v>4.1000000000000002E-2</v>
      </c>
      <c r="Y238" s="361"/>
      <c r="Z238" s="364"/>
      <c r="AA238"/>
      <c r="AB238"/>
      <c r="AC238"/>
      <c r="AD238"/>
    </row>
    <row r="239" spans="17:30" ht="12.75" customHeight="1">
      <c r="Q239" s="364"/>
      <c r="R239" s="931" t="s">
        <v>664</v>
      </c>
      <c r="S239" s="931"/>
      <c r="T239" s="931"/>
      <c r="U239" s="901"/>
      <c r="V239" s="560">
        <f>V238*35.31467</f>
        <v>1.3419574599999999</v>
      </c>
      <c r="W239" s="560">
        <f>W238*35.31467</f>
        <v>1.7657335000000001</v>
      </c>
      <c r="X239" s="560">
        <f>X238*35.31467</f>
        <v>1.4479014700000001</v>
      </c>
      <c r="Y239" s="361"/>
      <c r="Z239" s="364"/>
      <c r="AA239"/>
      <c r="AB239"/>
      <c r="AC239"/>
      <c r="AD239"/>
    </row>
    <row r="240" spans="17:30" ht="12.75" customHeight="1">
      <c r="Q240" s="360"/>
      <c r="R240" s="551"/>
      <c r="S240" s="551"/>
      <c r="T240" s="551"/>
      <c r="U240" s="591"/>
      <c r="V240" s="551"/>
      <c r="W240" s="551"/>
      <c r="X240" s="551"/>
      <c r="Y240" s="361"/>
      <c r="Z240" s="364"/>
      <c r="AA240"/>
      <c r="AB240"/>
      <c r="AC240"/>
      <c r="AD240"/>
    </row>
    <row r="241" spans="17:30" ht="12.75" customHeight="1">
      <c r="Q241" s="360"/>
      <c r="R241" s="962" t="s">
        <v>302</v>
      </c>
      <c r="S241" s="963"/>
      <c r="T241" s="964"/>
      <c r="U241" s="949" t="s">
        <v>500</v>
      </c>
      <c r="V241" s="938" t="s">
        <v>22</v>
      </c>
      <c r="W241" s="940" t="s">
        <v>579</v>
      </c>
      <c r="X241" s="942" t="s">
        <v>21</v>
      </c>
      <c r="Y241" s="361"/>
      <c r="Z241" s="364"/>
      <c r="AA241"/>
      <c r="AB241"/>
      <c r="AC241"/>
      <c r="AD241"/>
    </row>
    <row r="242" spans="17:30" ht="12.75" customHeight="1">
      <c r="Q242" s="360"/>
      <c r="R242" s="965"/>
      <c r="S242" s="966"/>
      <c r="T242" s="967"/>
      <c r="U242" s="950"/>
      <c r="V242" s="939"/>
      <c r="W242" s="941"/>
      <c r="X242" s="943"/>
      <c r="Y242" s="361"/>
      <c r="Z242" s="364"/>
      <c r="AA242"/>
      <c r="AB242"/>
      <c r="AC242"/>
      <c r="AD242"/>
    </row>
    <row r="243" spans="17:30" ht="12.75" customHeight="1">
      <c r="Q243" s="360"/>
      <c r="R243" s="931" t="s">
        <v>662</v>
      </c>
      <c r="S243" s="931"/>
      <c r="T243" s="931"/>
      <c r="U243" s="901" t="s">
        <v>427</v>
      </c>
      <c r="V243" s="549">
        <f t="shared" ref="V243:W245" si="3">V237*$V$23</f>
        <v>6080</v>
      </c>
      <c r="W243" s="549">
        <f t="shared" si="3"/>
        <v>8000</v>
      </c>
      <c r="X243" s="549">
        <f>X237*$V$23</f>
        <v>6560</v>
      </c>
      <c r="Y243" s="361"/>
      <c r="Z243" s="364"/>
      <c r="AA243"/>
      <c r="AB243"/>
      <c r="AC243"/>
      <c r="AD243"/>
    </row>
    <row r="244" spans="17:30" ht="12.75" customHeight="1">
      <c r="Q244" s="360"/>
      <c r="R244" s="931" t="s">
        <v>663</v>
      </c>
      <c r="S244" s="931"/>
      <c r="T244" s="931"/>
      <c r="U244" s="901"/>
      <c r="V244" s="560">
        <f t="shared" si="3"/>
        <v>6.08</v>
      </c>
      <c r="W244" s="560">
        <f t="shared" si="3"/>
        <v>8</v>
      </c>
      <c r="X244" s="560">
        <f>X238*$V$23</f>
        <v>6.5600000000000005</v>
      </c>
      <c r="Y244" s="361"/>
      <c r="Z244" s="364"/>
      <c r="AA244"/>
      <c r="AB244"/>
      <c r="AC244"/>
      <c r="AD244"/>
    </row>
    <row r="245" spans="17:30" ht="12.75" customHeight="1">
      <c r="Q245" s="360"/>
      <c r="R245" s="931" t="s">
        <v>664</v>
      </c>
      <c r="S245" s="931"/>
      <c r="T245" s="931"/>
      <c r="U245" s="901"/>
      <c r="V245" s="560">
        <f t="shared" si="3"/>
        <v>214.71319359999998</v>
      </c>
      <c r="W245" s="560">
        <f t="shared" si="3"/>
        <v>282.51736</v>
      </c>
      <c r="X245" s="560">
        <f>X239*$V$23</f>
        <v>231.66423520000001</v>
      </c>
      <c r="Y245" s="361"/>
      <c r="Z245" s="364"/>
      <c r="AA245"/>
      <c r="AB245"/>
      <c r="AC245"/>
      <c r="AD245"/>
    </row>
    <row r="246" spans="17:30" ht="12.75" customHeight="1">
      <c r="Q246" s="360"/>
      <c r="R246" s="364"/>
      <c r="S246" s="364"/>
      <c r="T246" s="364"/>
      <c r="U246" s="364"/>
      <c r="V246" s="555"/>
      <c r="W246" s="555"/>
      <c r="X246" s="555"/>
      <c r="Y246" s="361"/>
      <c r="Z246" s="364"/>
      <c r="AA246"/>
      <c r="AB246"/>
      <c r="AC246"/>
      <c r="AD246"/>
    </row>
    <row r="247" spans="17:30" ht="12.75" customHeight="1">
      <c r="Q247" s="360"/>
      <c r="R247" s="962" t="s">
        <v>303</v>
      </c>
      <c r="S247" s="963"/>
      <c r="T247" s="964"/>
      <c r="U247" s="949" t="s">
        <v>500</v>
      </c>
      <c r="V247" s="938" t="s">
        <v>22</v>
      </c>
      <c r="W247" s="940" t="s">
        <v>579</v>
      </c>
      <c r="X247" s="942" t="s">
        <v>21</v>
      </c>
      <c r="Y247" s="361"/>
      <c r="Z247" s="364"/>
      <c r="AA247"/>
      <c r="AB247"/>
      <c r="AC247"/>
      <c r="AD247"/>
    </row>
    <row r="248" spans="17:30" ht="12.75" customHeight="1">
      <c r="Q248" s="360"/>
      <c r="R248" s="965"/>
      <c r="S248" s="966"/>
      <c r="T248" s="967"/>
      <c r="U248" s="950"/>
      <c r="V248" s="939"/>
      <c r="W248" s="941"/>
      <c r="X248" s="943"/>
      <c r="Y248" s="361"/>
      <c r="Z248" s="364"/>
      <c r="AA248"/>
      <c r="AB248"/>
      <c r="AC248"/>
      <c r="AD248"/>
    </row>
    <row r="249" spans="17:30" ht="12.75" customHeight="1">
      <c r="Q249" s="563"/>
      <c r="R249" s="951" t="s">
        <v>517</v>
      </c>
      <c r="S249" s="951"/>
      <c r="T249" s="951"/>
      <c r="U249" s="901" t="s">
        <v>427</v>
      </c>
      <c r="V249" s="549">
        <f t="shared" ref="V249:X251" si="4">($V$25/$X$51)*60*V237</f>
        <v>31268571.428571429</v>
      </c>
      <c r="W249" s="549">
        <f t="shared" si="4"/>
        <v>41142857.142857142</v>
      </c>
      <c r="X249" s="549">
        <f t="shared" si="4"/>
        <v>33737142.857142858</v>
      </c>
      <c r="Y249" s="361"/>
      <c r="Z249" s="364"/>
      <c r="AA249"/>
      <c r="AB249"/>
      <c r="AC249"/>
      <c r="AD249"/>
    </row>
    <row r="250" spans="17:30" ht="12.75" customHeight="1">
      <c r="Q250" s="364"/>
      <c r="R250" s="951" t="s">
        <v>666</v>
      </c>
      <c r="S250" s="951"/>
      <c r="T250" s="951"/>
      <c r="U250" s="901"/>
      <c r="V250" s="549">
        <f t="shared" si="4"/>
        <v>31268.571428571428</v>
      </c>
      <c r="W250" s="549">
        <f t="shared" si="4"/>
        <v>41142.857142857145</v>
      </c>
      <c r="X250" s="549">
        <f t="shared" si="4"/>
        <v>33737.142857142855</v>
      </c>
      <c r="Y250" s="361"/>
      <c r="Z250" s="364"/>
      <c r="AA250"/>
      <c r="AB250"/>
      <c r="AC250"/>
      <c r="AD250"/>
    </row>
    <row r="251" spans="17:30" ht="12.75" customHeight="1">
      <c r="Q251" s="364"/>
      <c r="R251" s="951" t="s">
        <v>583</v>
      </c>
      <c r="S251" s="951"/>
      <c r="T251" s="951"/>
      <c r="U251" s="901"/>
      <c r="V251" s="549">
        <f t="shared" si="4"/>
        <v>1104239.2813714284</v>
      </c>
      <c r="W251" s="549">
        <f t="shared" si="4"/>
        <v>1452946.422857143</v>
      </c>
      <c r="X251" s="549">
        <f t="shared" si="4"/>
        <v>1191416.0667428572</v>
      </c>
      <c r="Y251" s="361"/>
      <c r="Z251" s="364"/>
      <c r="AA251"/>
      <c r="AB251"/>
      <c r="AC251"/>
      <c r="AD251"/>
    </row>
    <row r="252" spans="17:30" ht="12.75" customHeight="1">
      <c r="Q252" s="364"/>
      <c r="R252" s="364"/>
      <c r="S252" s="364"/>
      <c r="T252" s="364"/>
      <c r="U252" s="364"/>
      <c r="V252" s="364"/>
      <c r="W252" s="364"/>
      <c r="X252" s="364"/>
      <c r="Y252" s="361"/>
      <c r="Z252" s="364"/>
      <c r="AA252"/>
      <c r="AB252"/>
      <c r="AC252"/>
      <c r="AD252"/>
    </row>
    <row r="253" spans="17:30" ht="12.75" customHeight="1">
      <c r="Q253" s="668" t="s">
        <v>753</v>
      </c>
      <c r="R253" s="364" t="s">
        <v>300</v>
      </c>
      <c r="S253" s="364"/>
      <c r="T253" s="364"/>
      <c r="U253" s="364"/>
      <c r="V253" s="364"/>
      <c r="W253" s="364"/>
      <c r="X253" s="364"/>
      <c r="Y253" s="361"/>
      <c r="Z253" s="364"/>
      <c r="AA253"/>
      <c r="AB253"/>
      <c r="AC253"/>
      <c r="AD253"/>
    </row>
    <row r="254" spans="17:30" ht="12.75" customHeight="1">
      <c r="Q254" s="364"/>
      <c r="R254" s="957" t="s">
        <v>669</v>
      </c>
      <c r="S254" s="958"/>
      <c r="T254" s="959"/>
      <c r="U254" s="949" t="s">
        <v>500</v>
      </c>
      <c r="V254" s="938" t="s">
        <v>22</v>
      </c>
      <c r="W254" s="940" t="s">
        <v>579</v>
      </c>
      <c r="X254" s="942" t="s">
        <v>21</v>
      </c>
      <c r="Y254" s="361"/>
      <c r="Z254" s="364"/>
      <c r="AA254"/>
      <c r="AB254"/>
      <c r="AC254"/>
      <c r="AD254"/>
    </row>
    <row r="255" spans="17:30" ht="12.75" customHeight="1">
      <c r="Q255" s="364"/>
      <c r="R255" s="960"/>
      <c r="S255" s="961"/>
      <c r="T255" s="899"/>
      <c r="U255" s="950"/>
      <c r="V255" s="939"/>
      <c r="W255" s="941"/>
      <c r="X255" s="943"/>
      <c r="Y255" s="361"/>
      <c r="Z255" s="364"/>
      <c r="AA255"/>
      <c r="AB255"/>
      <c r="AC255"/>
      <c r="AD255"/>
    </row>
    <row r="256" spans="17:30" ht="12.75" customHeight="1">
      <c r="Q256" s="364"/>
      <c r="R256" s="541" t="s">
        <v>80</v>
      </c>
      <c r="S256" s="559"/>
      <c r="T256" s="559"/>
      <c r="U256" s="543">
        <v>6.5</v>
      </c>
      <c r="V256" s="669">
        <f>VLOOKUP($V$5,'Lookup Water Flow'!$B$8:$E$208,3)</f>
        <v>6.9</v>
      </c>
      <c r="W256" s="669">
        <f>VLOOKUP($V$5,'Lookup Water Flow'!$B$8:$E$208,4)</f>
        <v>12.1</v>
      </c>
      <c r="X256" s="669">
        <f>VLOOKUP($V$5,'Lookup Water Flow'!$B$8:$E$208,2)</f>
        <v>12.6</v>
      </c>
      <c r="Y256" s="361"/>
      <c r="Z256" s="364"/>
      <c r="AA256"/>
      <c r="AB256"/>
      <c r="AC256"/>
      <c r="AD256"/>
    </row>
    <row r="257" spans="17:30" ht="12.75" customHeight="1">
      <c r="Q257" s="364"/>
      <c r="R257" s="951" t="s">
        <v>81</v>
      </c>
      <c r="S257" s="951"/>
      <c r="T257" s="951"/>
      <c r="U257" s="677">
        <f>U256*V23</f>
        <v>1040</v>
      </c>
      <c r="V257" s="678">
        <f>V256*$V$23</f>
        <v>1104</v>
      </c>
      <c r="W257" s="678">
        <f>W256*$V$23</f>
        <v>1936</v>
      </c>
      <c r="X257" s="678">
        <f>X256*$V$23</f>
        <v>2016</v>
      </c>
      <c r="Y257" s="361"/>
      <c r="Z257" s="364"/>
      <c r="AA257"/>
      <c r="AB257"/>
      <c r="AC257"/>
      <c r="AD257"/>
    </row>
    <row r="258" spans="17:30" ht="12.75" customHeight="1">
      <c r="Q258" s="364"/>
      <c r="R258" s="592" t="s">
        <v>670</v>
      </c>
      <c r="S258" s="559"/>
      <c r="T258" s="559"/>
      <c r="U258" s="549">
        <f>(U256*U56*V24)+(24*2*V24)</f>
        <v>473600</v>
      </c>
      <c r="V258" s="679">
        <f>V256*$X$56*$V$24</f>
        <v>94628.571428571435</v>
      </c>
      <c r="W258" s="679">
        <f>W256*$X$56*$V$24</f>
        <v>165942.85714285713</v>
      </c>
      <c r="X258" s="679">
        <f>X256*$X$56*$V$24</f>
        <v>172800</v>
      </c>
      <c r="Y258" s="361"/>
      <c r="Z258" s="364"/>
      <c r="AA258"/>
      <c r="AB258"/>
      <c r="AC258"/>
      <c r="AD258"/>
    </row>
    <row r="259" spans="17:30" ht="12.75" customHeight="1">
      <c r="Q259" s="364"/>
      <c r="R259" s="364"/>
      <c r="S259" s="364"/>
      <c r="T259" s="364"/>
      <c r="U259" s="364"/>
      <c r="V259" s="364"/>
      <c r="W259" s="364"/>
      <c r="X259" s="364"/>
      <c r="Y259" s="364"/>
      <c r="Z259" s="364"/>
      <c r="AA259"/>
      <c r="AB259"/>
      <c r="AC259"/>
      <c r="AD259"/>
    </row>
    <row r="260" spans="17:30" ht="12.75" customHeight="1">
      <c r="Q260" s="680" t="s">
        <v>754</v>
      </c>
      <c r="R260" s="952" t="s">
        <v>309</v>
      </c>
      <c r="S260" s="952"/>
      <c r="T260" s="952"/>
      <c r="U260" s="952"/>
      <c r="V260" s="952"/>
      <c r="W260" s="952"/>
      <c r="X260" s="952"/>
      <c r="Y260" s="952"/>
      <c r="Z260" s="360"/>
      <c r="AA260"/>
      <c r="AB260"/>
      <c r="AC260"/>
      <c r="AD260"/>
    </row>
    <row r="261" spans="17:30" ht="12.75" customHeight="1">
      <c r="Q261" s="364"/>
      <c r="R261" s="364"/>
      <c r="S261" s="364"/>
      <c r="T261" s="364"/>
      <c r="U261" s="364"/>
      <c r="V261" s="364"/>
      <c r="W261" s="364"/>
      <c r="X261" s="364"/>
      <c r="Y261" s="364"/>
      <c r="Z261" s="364"/>
      <c r="AA261"/>
      <c r="AB261"/>
      <c r="AC261"/>
      <c r="AD261"/>
    </row>
    <row r="262" spans="17:30" ht="12.75" customHeight="1">
      <c r="Q262" s="668" t="s">
        <v>755</v>
      </c>
      <c r="R262" s="364" t="s">
        <v>239</v>
      </c>
      <c r="S262" s="364"/>
      <c r="T262" s="364"/>
      <c r="U262" s="364"/>
      <c r="V262" s="364"/>
      <c r="W262" s="364"/>
      <c r="X262" s="364"/>
      <c r="Y262" s="364"/>
      <c r="Z262" s="364"/>
      <c r="AA262"/>
      <c r="AB262"/>
      <c r="AC262"/>
      <c r="AD262"/>
    </row>
    <row r="263" spans="17:30" ht="12.75" customHeight="1">
      <c r="Q263" s="364"/>
      <c r="R263" s="364"/>
      <c r="S263" s="364"/>
      <c r="T263" s="364"/>
      <c r="U263" s="364"/>
      <c r="V263" s="364"/>
      <c r="W263" s="364"/>
      <c r="X263" s="364"/>
      <c r="Y263" s="364"/>
      <c r="Z263" s="364"/>
      <c r="AA263"/>
      <c r="AB263"/>
      <c r="AC263"/>
      <c r="AD263"/>
    </row>
    <row r="264" spans="17:30" ht="12.75" customHeight="1">
      <c r="Q264" s="364"/>
      <c r="R264" s="953" t="s">
        <v>676</v>
      </c>
      <c r="S264" s="954"/>
      <c r="T264" s="561" t="s">
        <v>320</v>
      </c>
      <c r="U264" s="935" t="s">
        <v>318</v>
      </c>
      <c r="V264" s="935"/>
      <c r="W264" s="681">
        <f>'Compressor Input Data'!G7</f>
        <v>0.19</v>
      </c>
      <c r="X264" s="594"/>
      <c r="Y264" s="595"/>
      <c r="Z264" s="363"/>
      <c r="AA264"/>
      <c r="AB264"/>
      <c r="AC264"/>
      <c r="AD264"/>
    </row>
    <row r="265" spans="17:30" ht="12.75" customHeight="1">
      <c r="Q265" s="364"/>
      <c r="R265" s="955"/>
      <c r="S265" s="956"/>
      <c r="T265" s="561" t="s">
        <v>321</v>
      </c>
      <c r="U265" s="935" t="s">
        <v>319</v>
      </c>
      <c r="V265" s="935"/>
      <c r="W265" s="681">
        <f>'Compressor Input Data'!G8</f>
        <v>0.33</v>
      </c>
      <c r="X265" s="594"/>
      <c r="Y265" s="595"/>
      <c r="Z265" s="595"/>
      <c r="AA265"/>
      <c r="AB265"/>
      <c r="AC265"/>
      <c r="AD265"/>
    </row>
    <row r="266" spans="17:30" ht="12.75" customHeight="1">
      <c r="Q266" s="364"/>
      <c r="R266" s="363"/>
      <c r="S266" s="363"/>
      <c r="T266" s="577"/>
      <c r="U266" s="577"/>
      <c r="V266" s="596"/>
      <c r="W266" s="363"/>
      <c r="X266" s="363"/>
      <c r="Y266" s="363"/>
      <c r="Z266" s="363"/>
      <c r="AA266"/>
      <c r="AB266"/>
      <c r="AC266"/>
      <c r="AD266"/>
    </row>
    <row r="267" spans="17:30" ht="12.75" customHeight="1">
      <c r="Q267" s="364"/>
      <c r="R267" s="935" t="s">
        <v>675</v>
      </c>
      <c r="S267" s="935"/>
      <c r="T267" s="935"/>
      <c r="U267" s="949" t="s">
        <v>500</v>
      </c>
      <c r="V267" s="938" t="s">
        <v>22</v>
      </c>
      <c r="W267" s="940" t="s">
        <v>579</v>
      </c>
      <c r="X267" s="942" t="s">
        <v>21</v>
      </c>
      <c r="Y267" s="361"/>
      <c r="Z267" s="364"/>
      <c r="AA267"/>
      <c r="AB267"/>
      <c r="AC267"/>
      <c r="AD267"/>
    </row>
    <row r="268" spans="17:30" ht="12.75" customHeight="1">
      <c r="Q268" s="364"/>
      <c r="R268" s="944" t="s">
        <v>320</v>
      </c>
      <c r="S268" s="947"/>
      <c r="T268" s="948"/>
      <c r="U268" s="950"/>
      <c r="V268" s="939"/>
      <c r="W268" s="941"/>
      <c r="X268" s="943"/>
      <c r="Y268" s="361"/>
      <c r="Z268" s="364"/>
      <c r="AA268"/>
      <c r="AB268"/>
      <c r="AC268"/>
      <c r="AD268"/>
    </row>
    <row r="269" spans="17:30" ht="12.75" customHeight="1">
      <c r="Q269" s="364"/>
      <c r="R269" s="945"/>
      <c r="S269" s="935" t="s">
        <v>306</v>
      </c>
      <c r="T269" s="935"/>
      <c r="U269" s="599">
        <f>U164*$W$264</f>
        <v>178.34666666666669</v>
      </c>
      <c r="V269" s="599">
        <f>V164*$W$264</f>
        <v>14439.999999999998</v>
      </c>
      <c r="W269" s="599">
        <f>W164*$W$264</f>
        <v>12556.521739130432</v>
      </c>
      <c r="X269" s="599">
        <f>X164*$W$264</f>
        <v>10314.285714285712</v>
      </c>
      <c r="Y269" s="361"/>
      <c r="Z269" s="364"/>
      <c r="AA269"/>
      <c r="AB269"/>
      <c r="AC269"/>
      <c r="AD269"/>
    </row>
    <row r="270" spans="17:30" ht="12.75" customHeight="1">
      <c r="Q270" s="364"/>
      <c r="R270" s="945"/>
      <c r="S270" s="935" t="s">
        <v>307</v>
      </c>
      <c r="T270" s="935"/>
      <c r="U270" s="599">
        <f>U269*$V$11</f>
        <v>4101.9733333333343</v>
      </c>
      <c r="V270" s="599">
        <f>V269*$V$11</f>
        <v>332119.99999999994</v>
      </c>
      <c r="W270" s="599">
        <f>W269*$V$11</f>
        <v>288799.99999999994</v>
      </c>
      <c r="X270" s="599">
        <f>X269*$V$11</f>
        <v>237228.57142857136</v>
      </c>
      <c r="Y270" s="361"/>
      <c r="Z270" s="364"/>
      <c r="AA270"/>
      <c r="AB270"/>
      <c r="AC270"/>
      <c r="AD270"/>
    </row>
    <row r="271" spans="17:30" ht="12.75" customHeight="1">
      <c r="Q271" s="364"/>
      <c r="R271" s="946"/>
      <c r="S271" s="935" t="s">
        <v>308</v>
      </c>
      <c r="T271" s="935"/>
      <c r="U271" s="599">
        <f>U270*9</f>
        <v>36917.760000000009</v>
      </c>
      <c r="V271" s="599">
        <f>V270*9</f>
        <v>2989079.9999999995</v>
      </c>
      <c r="W271" s="599">
        <f>W270*9</f>
        <v>2599199.9999999995</v>
      </c>
      <c r="X271" s="599">
        <f>X270*9</f>
        <v>2135057.1428571423</v>
      </c>
      <c r="Y271" s="361"/>
      <c r="Z271" s="364"/>
      <c r="AA271"/>
      <c r="AB271"/>
      <c r="AC271"/>
      <c r="AD271"/>
    </row>
    <row r="272" spans="17:30" ht="12.75" customHeight="1">
      <c r="Q272" s="597"/>
      <c r="R272" s="937"/>
      <c r="S272" s="937"/>
      <c r="T272" s="937"/>
      <c r="U272" s="937"/>
      <c r="V272" s="937"/>
      <c r="W272" s="937"/>
      <c r="X272" s="937"/>
      <c r="Y272" s="364"/>
      <c r="Z272" s="364"/>
      <c r="AA272"/>
      <c r="AB272"/>
      <c r="AC272"/>
      <c r="AD272"/>
    </row>
    <row r="273" spans="17:30" ht="12.75" customHeight="1">
      <c r="Q273" s="597"/>
      <c r="R273" s="935" t="s">
        <v>675</v>
      </c>
      <c r="S273" s="935"/>
      <c r="T273" s="935"/>
      <c r="U273" s="930" t="s">
        <v>500</v>
      </c>
      <c r="V273" s="928" t="s">
        <v>22</v>
      </c>
      <c r="W273" s="929" t="s">
        <v>579</v>
      </c>
      <c r="X273" s="927" t="s">
        <v>21</v>
      </c>
      <c r="Y273" s="361"/>
      <c r="Z273" s="364"/>
      <c r="AA273"/>
      <c r="AB273"/>
      <c r="AC273"/>
      <c r="AD273"/>
    </row>
    <row r="274" spans="17:30" ht="12.75" customHeight="1">
      <c r="Q274" s="597"/>
      <c r="R274" s="937" t="s">
        <v>321</v>
      </c>
      <c r="S274" s="937"/>
      <c r="T274" s="937"/>
      <c r="U274" s="930"/>
      <c r="V274" s="928"/>
      <c r="W274" s="929"/>
      <c r="X274" s="927"/>
      <c r="Y274" s="361"/>
      <c r="Z274" s="364"/>
      <c r="AA274"/>
      <c r="AB274"/>
      <c r="AC274"/>
      <c r="AD274"/>
    </row>
    <row r="275" spans="17:30" ht="12.75" customHeight="1">
      <c r="Q275" s="364"/>
      <c r="R275" s="937"/>
      <c r="S275" s="935" t="s">
        <v>306</v>
      </c>
      <c r="T275" s="935"/>
      <c r="U275" s="599">
        <f>U164*$W$265</f>
        <v>309.76000000000005</v>
      </c>
      <c r="V275" s="599">
        <f>V164*$W$265</f>
        <v>25079.999999999996</v>
      </c>
      <c r="W275" s="599">
        <f>W164*$W$265</f>
        <v>21808.695652173912</v>
      </c>
      <c r="X275" s="599">
        <f>X164*$W$265</f>
        <v>17914.28571428571</v>
      </c>
      <c r="Y275" s="361"/>
      <c r="Z275" s="364"/>
      <c r="AA275"/>
      <c r="AB275"/>
      <c r="AC275"/>
      <c r="AD275"/>
    </row>
    <row r="276" spans="17:30" ht="12.75" customHeight="1">
      <c r="Q276" s="597"/>
      <c r="R276" s="937"/>
      <c r="S276" s="935" t="s">
        <v>307</v>
      </c>
      <c r="T276" s="935"/>
      <c r="U276" s="599">
        <f>U275*$V$11</f>
        <v>7124.4800000000014</v>
      </c>
      <c r="V276" s="599">
        <f>V275*$V$11</f>
        <v>576839.99999999988</v>
      </c>
      <c r="W276" s="599">
        <f>W275*$V$11</f>
        <v>501600</v>
      </c>
      <c r="X276" s="599">
        <f>X275*$V$11</f>
        <v>412028.57142857136</v>
      </c>
      <c r="Y276" s="361"/>
      <c r="Z276" s="364"/>
      <c r="AA276"/>
      <c r="AB276"/>
      <c r="AC276"/>
      <c r="AD276"/>
    </row>
    <row r="277" spans="17:30" ht="12.75" customHeight="1">
      <c r="Q277" s="364"/>
      <c r="R277" s="937"/>
      <c r="S277" s="935" t="s">
        <v>308</v>
      </c>
      <c r="T277" s="935"/>
      <c r="U277" s="599">
        <f>U276*3</f>
        <v>21373.440000000002</v>
      </c>
      <c r="V277" s="599">
        <f>V276*3</f>
        <v>1730519.9999999995</v>
      </c>
      <c r="W277" s="599">
        <f>W276*3</f>
        <v>1504800</v>
      </c>
      <c r="X277" s="599">
        <f>X276*3</f>
        <v>1236085.7142857141</v>
      </c>
      <c r="Y277" s="361"/>
      <c r="Z277" s="364"/>
      <c r="AA277"/>
      <c r="AB277"/>
      <c r="AC277"/>
      <c r="AD277"/>
    </row>
    <row r="278" spans="17:30" ht="12.75" customHeight="1">
      <c r="Q278" s="364"/>
      <c r="R278" s="937"/>
      <c r="S278" s="937"/>
      <c r="T278" s="937"/>
      <c r="U278" s="937"/>
      <c r="V278" s="937"/>
      <c r="W278" s="937"/>
      <c r="X278" s="937"/>
      <c r="Y278" s="364"/>
      <c r="Z278" s="364"/>
      <c r="AA278"/>
      <c r="AB278"/>
      <c r="AC278"/>
      <c r="AD278"/>
    </row>
    <row r="279" spans="17:30" ht="12.75" customHeight="1">
      <c r="Q279" s="364"/>
      <c r="R279" s="935" t="s">
        <v>675</v>
      </c>
      <c r="S279" s="935"/>
      <c r="T279" s="935"/>
      <c r="U279" s="930" t="s">
        <v>500</v>
      </c>
      <c r="V279" s="928" t="s">
        <v>22</v>
      </c>
      <c r="W279" s="929" t="s">
        <v>579</v>
      </c>
      <c r="X279" s="927" t="s">
        <v>21</v>
      </c>
      <c r="Y279" s="361"/>
      <c r="Z279" s="364"/>
      <c r="AA279"/>
      <c r="AB279"/>
      <c r="AC279"/>
      <c r="AD279"/>
    </row>
    <row r="280" spans="17:30" ht="12.75" customHeight="1">
      <c r="Q280" s="364"/>
      <c r="R280" s="937" t="s">
        <v>322</v>
      </c>
      <c r="S280" s="937"/>
      <c r="T280" s="937"/>
      <c r="U280" s="930"/>
      <c r="V280" s="928"/>
      <c r="W280" s="929"/>
      <c r="X280" s="927"/>
      <c r="Y280" s="361"/>
      <c r="Z280" s="364"/>
      <c r="AA280"/>
      <c r="AB280"/>
      <c r="AC280"/>
      <c r="AD280"/>
    </row>
    <row r="281" spans="17:30" ht="12.75" customHeight="1">
      <c r="Q281" s="364"/>
      <c r="R281" s="937"/>
      <c r="S281" s="935" t="s">
        <v>306</v>
      </c>
      <c r="T281" s="935"/>
      <c r="U281" s="599">
        <f>U282/$V$11</f>
        <v>211.20000000000005</v>
      </c>
      <c r="V281" s="599">
        <f>V282/$V$11</f>
        <v>17099.999999999996</v>
      </c>
      <c r="W281" s="599">
        <f>W282/$V$11</f>
        <v>14869.565217391302</v>
      </c>
      <c r="X281" s="599">
        <f>X282/$V$11</f>
        <v>12214.285714285712</v>
      </c>
      <c r="Y281" s="361"/>
      <c r="Z281" s="364"/>
      <c r="AA281"/>
      <c r="AB281"/>
      <c r="AC281"/>
      <c r="AD281"/>
    </row>
    <row r="282" spans="17:30" ht="12.75" customHeight="1">
      <c r="Q282" s="364"/>
      <c r="R282" s="937"/>
      <c r="S282" s="935" t="s">
        <v>307</v>
      </c>
      <c r="T282" s="935"/>
      <c r="U282" s="599">
        <f>U283/12</f>
        <v>4857.6000000000013</v>
      </c>
      <c r="V282" s="599">
        <f>V283/12</f>
        <v>393299.99999999994</v>
      </c>
      <c r="W282" s="599">
        <f>W283/12</f>
        <v>341999.99999999994</v>
      </c>
      <c r="X282" s="599">
        <f>X283/12</f>
        <v>280928.57142857136</v>
      </c>
      <c r="Y282" s="361"/>
      <c r="Z282" s="364"/>
      <c r="AA282"/>
      <c r="AB282"/>
      <c r="AC282"/>
      <c r="AD282"/>
    </row>
    <row r="283" spans="17:30" ht="12.75" customHeight="1">
      <c r="Q283" s="364"/>
      <c r="R283" s="937"/>
      <c r="S283" s="935" t="s">
        <v>308</v>
      </c>
      <c r="T283" s="935"/>
      <c r="U283" s="599">
        <f>U271+U277</f>
        <v>58291.200000000012</v>
      </c>
      <c r="V283" s="599">
        <f>V271+V277</f>
        <v>4719599.9999999991</v>
      </c>
      <c r="W283" s="599">
        <f>W271+W277</f>
        <v>4103999.9999999995</v>
      </c>
      <c r="X283" s="599">
        <f>X271+X277</f>
        <v>3371142.8571428563</v>
      </c>
      <c r="Y283" s="361"/>
      <c r="Z283" s="364"/>
      <c r="AA283"/>
      <c r="AB283"/>
      <c r="AC283"/>
      <c r="AD283"/>
    </row>
    <row r="284" spans="17:30" ht="12.75" customHeight="1">
      <c r="Q284" s="364"/>
      <c r="R284" s="363"/>
      <c r="S284" s="363"/>
      <c r="T284" s="577"/>
      <c r="U284" s="577"/>
      <c r="V284" s="596"/>
      <c r="W284" s="363"/>
      <c r="X284" s="363"/>
      <c r="Y284" s="363"/>
      <c r="Z284" s="363"/>
      <c r="AA284"/>
      <c r="AB284"/>
      <c r="AC284"/>
      <c r="AD284"/>
    </row>
    <row r="285" spans="17:30" ht="12.75" customHeight="1">
      <c r="Q285" s="668" t="s">
        <v>756</v>
      </c>
      <c r="R285" s="363" t="s">
        <v>758</v>
      </c>
      <c r="S285" s="363"/>
      <c r="T285" s="577"/>
      <c r="U285" s="577"/>
      <c r="V285" s="596"/>
      <c r="W285" s="363"/>
      <c r="X285" s="363"/>
      <c r="Y285" s="363"/>
      <c r="Z285" s="363"/>
      <c r="AA285"/>
      <c r="AB285"/>
      <c r="AC285"/>
      <c r="AD285"/>
    </row>
    <row r="286" spans="17:30" ht="12.75" customHeight="1">
      <c r="Q286" s="364"/>
      <c r="R286" s="935" t="s">
        <v>678</v>
      </c>
      <c r="S286" s="935"/>
      <c r="T286" s="935"/>
      <c r="U286" s="935"/>
      <c r="V286" s="936" t="s">
        <v>500</v>
      </c>
      <c r="W286" s="936" t="s">
        <v>22</v>
      </c>
      <c r="X286" s="936" t="s">
        <v>579</v>
      </c>
      <c r="Y286" s="936" t="s">
        <v>21</v>
      </c>
      <c r="Z286" s="361"/>
      <c r="AA286"/>
      <c r="AB286"/>
      <c r="AC286"/>
      <c r="AD286"/>
    </row>
    <row r="287" spans="17:30" ht="12.75" customHeight="1">
      <c r="Q287" s="364"/>
      <c r="R287" s="935"/>
      <c r="S287" s="935"/>
      <c r="T287" s="935"/>
      <c r="U287" s="935"/>
      <c r="V287" s="936"/>
      <c r="W287" s="936"/>
      <c r="X287" s="936"/>
      <c r="Y287" s="936"/>
      <c r="Z287" s="361"/>
      <c r="AA287"/>
      <c r="AB287"/>
      <c r="AC287"/>
      <c r="AD287"/>
    </row>
    <row r="288" spans="17:30" ht="12.75" customHeight="1">
      <c r="Q288" s="364"/>
      <c r="R288" s="931" t="s">
        <v>35</v>
      </c>
      <c r="S288" s="931"/>
      <c r="T288" s="931"/>
      <c r="U288" s="931"/>
      <c r="V288" s="599">
        <f>AVERAGE(U196:W196)*5%</f>
        <v>1305585.0000000005</v>
      </c>
      <c r="W288" s="599">
        <f>V202*5%</f>
        <v>1533870.0000000005</v>
      </c>
      <c r="X288" s="599">
        <f>W202*5%</f>
        <v>1518480.0000000005</v>
      </c>
      <c r="Y288" s="599">
        <f>X202*5%</f>
        <v>1500158.5714285718</v>
      </c>
      <c r="Z288" s="361"/>
      <c r="AA288"/>
      <c r="AB288"/>
      <c r="AC288"/>
      <c r="AD288"/>
    </row>
    <row r="289" spans="17:30" ht="12.75" customHeight="1">
      <c r="Q289" s="364"/>
      <c r="R289" s="931" t="s">
        <v>481</v>
      </c>
      <c r="S289" s="931"/>
      <c r="T289" s="931"/>
      <c r="U289" s="931"/>
      <c r="V289" s="600" t="s">
        <v>479</v>
      </c>
      <c r="W289" s="599">
        <f>Y289</f>
        <v>1059840</v>
      </c>
      <c r="X289" s="600" t="s">
        <v>479</v>
      </c>
      <c r="Y289" s="599">
        <f>Consumables!E23*12</f>
        <v>1059840</v>
      </c>
      <c r="Z289" s="361"/>
      <c r="AA289"/>
      <c r="AB289"/>
      <c r="AC289"/>
      <c r="AD289"/>
    </row>
    <row r="290" spans="17:30" ht="12.75" customHeight="1">
      <c r="Q290" s="364"/>
      <c r="R290" s="931" t="s">
        <v>311</v>
      </c>
      <c r="S290" s="931"/>
      <c r="T290" s="931"/>
      <c r="U290" s="931"/>
      <c r="V290" s="600" t="s">
        <v>557</v>
      </c>
      <c r="W290" s="599">
        <f>Y290</f>
        <v>416000</v>
      </c>
      <c r="X290" s="599">
        <f>W290</f>
        <v>416000</v>
      </c>
      <c r="Y290" s="599">
        <f>Consumables!E21*12</f>
        <v>416000</v>
      </c>
      <c r="Z290" s="361"/>
      <c r="AA290"/>
      <c r="AB290"/>
      <c r="AC290"/>
      <c r="AD290"/>
    </row>
    <row r="291" spans="17:30" ht="12.75" customHeight="1">
      <c r="Q291" s="364"/>
      <c r="R291" s="931" t="s">
        <v>480</v>
      </c>
      <c r="S291" s="931"/>
      <c r="T291" s="931"/>
      <c r="U291" s="931"/>
      <c r="V291" s="599">
        <f>Consumables!H21*12</f>
        <v>3865001.2800000003</v>
      </c>
      <c r="W291" s="599">
        <v>0</v>
      </c>
      <c r="X291" s="599">
        <v>0</v>
      </c>
      <c r="Y291" s="599">
        <v>0</v>
      </c>
      <c r="Z291" s="361"/>
      <c r="AA291"/>
      <c r="AB291"/>
      <c r="AC291"/>
      <c r="AD291"/>
    </row>
    <row r="292" spans="17:30" ht="12.75" customHeight="1">
      <c r="Q292" s="364"/>
      <c r="R292" s="931" t="s">
        <v>312</v>
      </c>
      <c r="S292" s="931"/>
      <c r="T292" s="931"/>
      <c r="U292" s="931"/>
      <c r="V292" s="599">
        <f>Consumables!H20*12</f>
        <v>2691993.6000000001</v>
      </c>
      <c r="W292" s="599">
        <f>Y292</f>
        <v>2331648.0000000005</v>
      </c>
      <c r="X292" s="599">
        <f>W292</f>
        <v>2331648.0000000005</v>
      </c>
      <c r="Y292" s="599">
        <f>Consumables!E20*12</f>
        <v>2331648.0000000005</v>
      </c>
      <c r="Z292" s="361"/>
      <c r="AA292"/>
      <c r="AB292"/>
      <c r="AC292"/>
      <c r="AD292"/>
    </row>
    <row r="293" spans="17:30" ht="12.75" customHeight="1">
      <c r="Q293" s="364"/>
      <c r="R293" s="931" t="s">
        <v>313</v>
      </c>
      <c r="S293" s="931"/>
      <c r="T293" s="931"/>
      <c r="U293" s="931"/>
      <c r="V293" s="599">
        <f>Consumables!H19*12</f>
        <v>1674547.2000000002</v>
      </c>
      <c r="W293" s="599">
        <f>Y293</f>
        <v>1398988.8</v>
      </c>
      <c r="X293" s="599">
        <f>W293</f>
        <v>1398988.8</v>
      </c>
      <c r="Y293" s="599">
        <f>Consumables!E19*12</f>
        <v>1398988.8</v>
      </c>
      <c r="Z293" s="361"/>
      <c r="AA293"/>
      <c r="AB293"/>
      <c r="AC293"/>
      <c r="AD293"/>
    </row>
    <row r="294" spans="17:30" ht="12.75" customHeight="1">
      <c r="Q294" s="364"/>
      <c r="R294" s="931" t="s">
        <v>190</v>
      </c>
      <c r="S294" s="931"/>
      <c r="T294" s="931"/>
      <c r="U294" s="931"/>
      <c r="V294" s="599">
        <f>Consumables!H22*12</f>
        <v>8294400</v>
      </c>
      <c r="W294" s="599">
        <v>0</v>
      </c>
      <c r="X294" s="599">
        <v>0</v>
      </c>
      <c r="Y294" s="599">
        <v>0</v>
      </c>
      <c r="Z294" s="361"/>
      <c r="AA294"/>
      <c r="AB294"/>
      <c r="AC294"/>
      <c r="AD294"/>
    </row>
    <row r="295" spans="17:30" ht="12.75" customHeight="1">
      <c r="Q295" s="364"/>
      <c r="R295" s="931" t="s">
        <v>482</v>
      </c>
      <c r="S295" s="931"/>
      <c r="T295" s="931"/>
      <c r="U295" s="931"/>
      <c r="V295" s="599">
        <v>0</v>
      </c>
      <c r="W295" s="599">
        <f>Y295</f>
        <v>199600.00000000003</v>
      </c>
      <c r="X295" s="599">
        <f>W295</f>
        <v>199600.00000000003</v>
      </c>
      <c r="Y295" s="599">
        <f>Consumables!E25*12</f>
        <v>199600.00000000003</v>
      </c>
      <c r="Z295" s="361"/>
      <c r="AA295"/>
      <c r="AB295"/>
      <c r="AC295"/>
      <c r="AD295"/>
    </row>
    <row r="296" spans="17:30" ht="12.75" customHeight="1">
      <c r="Q296" s="364"/>
      <c r="R296" s="931" t="s">
        <v>483</v>
      </c>
      <c r="S296" s="931"/>
      <c r="T296" s="931"/>
      <c r="U296" s="931"/>
      <c r="V296" s="599">
        <v>0</v>
      </c>
      <c r="W296" s="599">
        <f>Y296</f>
        <v>40600</v>
      </c>
      <c r="X296" s="599">
        <f>W296</f>
        <v>40600</v>
      </c>
      <c r="Y296" s="599">
        <f>Consumables!E24*12</f>
        <v>40600</v>
      </c>
      <c r="Z296" s="361"/>
      <c r="AA296"/>
      <c r="AB296"/>
      <c r="AC296"/>
      <c r="AD296"/>
    </row>
    <row r="297" spans="17:30" ht="12.75" customHeight="1">
      <c r="Q297" s="364"/>
      <c r="R297" s="931" t="s">
        <v>478</v>
      </c>
      <c r="S297" s="931"/>
      <c r="T297" s="931"/>
      <c r="U297" s="931"/>
      <c r="V297" s="599">
        <f>U283</f>
        <v>58291.200000000012</v>
      </c>
      <c r="W297" s="599">
        <f>V283</f>
        <v>4719599.9999999991</v>
      </c>
      <c r="X297" s="599">
        <f>W283</f>
        <v>4103999.9999999995</v>
      </c>
      <c r="Y297" s="599">
        <f>X283</f>
        <v>3371142.8571428563</v>
      </c>
      <c r="Z297" s="361"/>
      <c r="AA297"/>
      <c r="AB297"/>
      <c r="AC297"/>
      <c r="AD297"/>
    </row>
    <row r="298" spans="17:30" ht="12.75" customHeight="1">
      <c r="Q298" s="364"/>
      <c r="R298" s="931" t="s">
        <v>484</v>
      </c>
      <c r="S298" s="931"/>
      <c r="T298" s="931"/>
      <c r="U298" s="931"/>
      <c r="V298" s="599">
        <f>'NIHL Compenation Cost'!AD21</f>
        <v>1715167.5</v>
      </c>
      <c r="W298" s="599">
        <f>'NIHL Compenation Cost'!Z21</f>
        <v>989115.00000000012</v>
      </c>
      <c r="X298" s="599">
        <f>'NIHL Compenation Cost'!AB21</f>
        <v>1087325</v>
      </c>
      <c r="Y298" s="599">
        <f>'NIHL Compenation Cost'!X21</f>
        <v>596275</v>
      </c>
      <c r="Z298" s="361"/>
      <c r="AA298"/>
      <c r="AB298"/>
      <c r="AC298"/>
      <c r="AD298"/>
    </row>
    <row r="299" spans="17:30" ht="12.75" customHeight="1">
      <c r="Q299" s="364"/>
      <c r="R299" s="932" t="s">
        <v>677</v>
      </c>
      <c r="S299" s="932"/>
      <c r="T299" s="932"/>
      <c r="U299" s="932"/>
      <c r="V299" s="599">
        <f>SUM(V288:V298)</f>
        <v>19604985.780000001</v>
      </c>
      <c r="W299" s="599">
        <f>SUM(W288:W298)</f>
        <v>12689261.800000001</v>
      </c>
      <c r="X299" s="599">
        <f>SUM(X288:X298)</f>
        <v>11096641.800000001</v>
      </c>
      <c r="Y299" s="599">
        <f>SUM(Y288:Y298)</f>
        <v>10914253.22857143</v>
      </c>
      <c r="Z299" s="361"/>
      <c r="AA299"/>
      <c r="AB299"/>
      <c r="AC299"/>
      <c r="AD299"/>
    </row>
    <row r="300" spans="17:30" ht="12.75" customHeight="1">
      <c r="Q300" s="364"/>
      <c r="R300" s="591"/>
      <c r="S300" s="591"/>
      <c r="T300" s="591"/>
      <c r="U300" s="591"/>
      <c r="V300" s="718"/>
      <c r="W300" s="718"/>
      <c r="X300" s="718"/>
      <c r="Y300" s="718"/>
      <c r="Z300" s="361"/>
      <c r="AA300"/>
      <c r="AB300"/>
      <c r="AC300"/>
      <c r="AD300"/>
    </row>
    <row r="301" spans="17:30" ht="12.75" customHeight="1">
      <c r="Q301" s="364"/>
      <c r="R301" s="591"/>
      <c r="S301" s="591"/>
      <c r="T301" s="933" t="s">
        <v>812</v>
      </c>
      <c r="U301" s="933"/>
      <c r="V301" s="718">
        <f>V299-V294</f>
        <v>11310585.780000001</v>
      </c>
      <c r="W301" s="718">
        <f>W299-W294</f>
        <v>12689261.800000001</v>
      </c>
      <c r="X301" s="718">
        <f>X299-X294</f>
        <v>11096641.800000001</v>
      </c>
      <c r="Y301" s="718">
        <f>Y299-Y294</f>
        <v>10914253.22857143</v>
      </c>
      <c r="Z301" s="361"/>
      <c r="AA301"/>
      <c r="AB301"/>
      <c r="AC301"/>
      <c r="AD301"/>
    </row>
    <row r="302" spans="17:30" ht="12.75" customHeight="1">
      <c r="Q302" s="364"/>
      <c r="R302" s="364"/>
      <c r="S302" s="364"/>
      <c r="T302" s="934" t="s">
        <v>350</v>
      </c>
      <c r="U302" s="934"/>
      <c r="V302" s="682">
        <f>V294</f>
        <v>8294400</v>
      </c>
      <c r="W302" s="682"/>
      <c r="X302" s="682"/>
      <c r="Y302" s="682"/>
      <c r="Z302" s="364"/>
      <c r="AA302"/>
      <c r="AB302"/>
      <c r="AC302"/>
      <c r="AD302"/>
    </row>
    <row r="303" spans="17:30" ht="12.75" customHeight="1">
      <c r="Q303" s="364">
        <v>10.3</v>
      </c>
      <c r="R303" s="363"/>
      <c r="S303" s="364"/>
      <c r="T303" s="364"/>
      <c r="U303" s="364"/>
      <c r="V303" s="682"/>
      <c r="W303" s="364"/>
      <c r="X303" s="362"/>
      <c r="Y303" s="682"/>
      <c r="Z303" s="364"/>
      <c r="AA303"/>
      <c r="AB303"/>
      <c r="AC303"/>
      <c r="AD303"/>
    </row>
    <row r="304" spans="17:30" ht="12.75" customHeight="1">
      <c r="Q304" s="364"/>
      <c r="R304" s="364"/>
      <c r="S304" s="364"/>
      <c r="T304" s="364"/>
      <c r="U304" s="364"/>
      <c r="V304" s="364"/>
      <c r="W304" s="364"/>
      <c r="X304" s="364"/>
      <c r="Y304" s="364"/>
      <c r="Z304" s="364"/>
      <c r="AA304"/>
      <c r="AB304"/>
      <c r="AC304"/>
      <c r="AD304"/>
    </row>
    <row r="305" spans="17:30" ht="12.75" customHeight="1">
      <c r="Q305" s="364"/>
      <c r="R305" s="935" t="s">
        <v>195</v>
      </c>
      <c r="S305" s="935"/>
      <c r="T305" s="935"/>
      <c r="U305" s="935"/>
      <c r="V305" s="935"/>
      <c r="W305" s="375"/>
      <c r="X305" s="683"/>
      <c r="Y305" s="375"/>
      <c r="Z305" s="375"/>
      <c r="AA305"/>
      <c r="AB305"/>
      <c r="AC305"/>
      <c r="AD305"/>
    </row>
    <row r="306" spans="17:30" ht="12.75" customHeight="1">
      <c r="Q306" s="364"/>
      <c r="R306" s="926" t="s">
        <v>509</v>
      </c>
      <c r="S306" s="927" t="s">
        <v>21</v>
      </c>
      <c r="T306" s="928" t="s">
        <v>22</v>
      </c>
      <c r="U306" s="929" t="s">
        <v>579</v>
      </c>
      <c r="V306" s="930" t="s">
        <v>500</v>
      </c>
      <c r="W306" s="363"/>
      <c r="X306" s="684"/>
      <c r="Y306" s="363"/>
      <c r="Z306" s="364"/>
      <c r="AA306"/>
      <c r="AB306"/>
      <c r="AC306"/>
      <c r="AD306"/>
    </row>
    <row r="307" spans="17:30" ht="12.75" customHeight="1">
      <c r="Q307" s="364"/>
      <c r="R307" s="926"/>
      <c r="S307" s="927"/>
      <c r="T307" s="928"/>
      <c r="U307" s="929"/>
      <c r="V307" s="930"/>
      <c r="W307" s="363"/>
      <c r="X307" s="684"/>
      <c r="Y307" s="363"/>
      <c r="Z307" s="364"/>
      <c r="AA307"/>
      <c r="AB307"/>
      <c r="AC307"/>
      <c r="AD307"/>
    </row>
    <row r="308" spans="17:30" ht="12.75" customHeight="1">
      <c r="Q308" s="364"/>
      <c r="R308" s="667" t="s">
        <v>204</v>
      </c>
      <c r="S308" s="667" t="s">
        <v>846</v>
      </c>
      <c r="T308" s="667" t="s">
        <v>846</v>
      </c>
      <c r="U308" s="667" t="s">
        <v>846</v>
      </c>
      <c r="V308" s="667" t="s">
        <v>846</v>
      </c>
      <c r="W308" s="363"/>
      <c r="X308" s="363"/>
      <c r="Y308" s="363"/>
      <c r="Z308" s="364"/>
      <c r="AA308"/>
      <c r="AB308"/>
      <c r="AC308"/>
      <c r="AD308"/>
    </row>
    <row r="309" spans="17:30" ht="12.75" customHeight="1">
      <c r="Q309" s="364"/>
      <c r="R309" s="600">
        <v>1</v>
      </c>
      <c r="S309" s="369">
        <f>$X$69</f>
        <v>116</v>
      </c>
      <c r="T309" s="584">
        <f>$V$69</f>
        <v>108</v>
      </c>
      <c r="U309" s="685">
        <f>$W$69</f>
        <v>109</v>
      </c>
      <c r="V309" s="369">
        <f>$U$69</f>
        <v>102</v>
      </c>
      <c r="W309" s="363"/>
      <c r="X309" s="363"/>
      <c r="Y309" s="363"/>
      <c r="Z309" s="364"/>
      <c r="AA309"/>
      <c r="AB309"/>
      <c r="AC309"/>
      <c r="AD309"/>
    </row>
    <row r="310" spans="17:30" ht="12.75" customHeight="1">
      <c r="Q310" s="364"/>
      <c r="R310" s="600">
        <v>2</v>
      </c>
      <c r="S310" s="584">
        <f>(LOG((10^(S309/10))+(10^(S309/10))))*10</f>
        <v>119.01029995663983</v>
      </c>
      <c r="T310" s="584">
        <f>(LOG((10^(T309/10))+(10^(T309/10))))*10</f>
        <v>111.01029995663981</v>
      </c>
      <c r="U310" s="584">
        <f>(LOG((10^(U309/10))+(10^(U309/10))))*10</f>
        <v>112.01029995663981</v>
      </c>
      <c r="V310" s="584">
        <f>(LOG((10^(V309/10))+(10^(V309/10))))*10</f>
        <v>105.01029995663983</v>
      </c>
      <c r="W310" s="363"/>
      <c r="X310" s="363"/>
      <c r="Y310" s="363"/>
      <c r="Z310" s="364"/>
      <c r="AA310"/>
      <c r="AB310"/>
      <c r="AC310"/>
      <c r="AD310"/>
    </row>
    <row r="311" spans="17:30" ht="12.75" customHeight="1">
      <c r="Q311" s="597"/>
      <c r="R311" s="600">
        <v>3</v>
      </c>
      <c r="S311" s="584">
        <f>(LOG((10^(S309/10))+(10^(S309/10))+(10^(S309/10)))*10)</f>
        <v>120.77121254719664</v>
      </c>
      <c r="T311" s="584">
        <f>(LOG((10^(T309/10))+(10^(T309/10))+(10^(T309/10)))*10)</f>
        <v>112.77121254719663</v>
      </c>
      <c r="U311" s="584">
        <f>(LOG((10^(U309/10))+(10^(U309/10))+(10^(U309/10)))*10)</f>
        <v>113.77121254719663</v>
      </c>
      <c r="V311" s="584">
        <f>(LOG((10^(V309/10))+(10^(V309/10))+(10^(V309/10)))*10)</f>
        <v>106.77121254719664</v>
      </c>
      <c r="W311" s="363"/>
      <c r="X311" s="363"/>
      <c r="Y311" s="363"/>
      <c r="Z311" s="364"/>
      <c r="AA311"/>
      <c r="AB311"/>
      <c r="AC311"/>
      <c r="AD311"/>
    </row>
    <row r="312" spans="17:30" ht="12.75" customHeight="1">
      <c r="Q312" s="364"/>
      <c r="R312" s="600">
        <v>4</v>
      </c>
      <c r="S312" s="584">
        <f>(LOG((10^(S309/10))+(10^(S309/10))+(10^(S309/10))+(10^(S309/10))))*10</f>
        <v>122.02059991327964</v>
      </c>
      <c r="T312" s="584">
        <f>(LOG((10^(T309/10))+(10^(T309/10))+(10^(T309/10))+(10^(T309/10))))*10</f>
        <v>114.02059991327963</v>
      </c>
      <c r="U312" s="584">
        <f>(LOG((10^(U309/10))+(10^(U309/10))+(10^(U309/10))+(10^(U309/10))))*10</f>
        <v>115.02059991327963</v>
      </c>
      <c r="V312" s="584">
        <f>(LOG((10^(V309/10))+(10^(V309/10))+(10^(V309/10))+(10^(V309/10))))*10</f>
        <v>108.02059991327964</v>
      </c>
      <c r="W312" s="363"/>
      <c r="X312" s="363"/>
      <c r="Y312" s="363"/>
      <c r="Z312" s="364"/>
      <c r="AA312"/>
      <c r="AB312"/>
      <c r="AC312"/>
      <c r="AD312"/>
    </row>
    <row r="313" spans="17:30" ht="12.75" customHeight="1">
      <c r="Q313" s="364"/>
      <c r="R313" s="600">
        <v>5</v>
      </c>
      <c r="S313" s="584">
        <f>(LOG((10^(S309/10))+(10^(S309/10))+(10^(S309/10))+(10^(S309/10))+(10^(S309/10))))*10</f>
        <v>122.9897000433602</v>
      </c>
      <c r="T313" s="584">
        <f>(LOG((10^(T309/10))+(10^(T309/10))+(10^(T309/10))+(10^(T309/10))+(10^(T309/10))))*10</f>
        <v>114.98970004336019</v>
      </c>
      <c r="U313" s="584">
        <f>(LOG((10^(U309/10))+(10^(U309/10))+(10^(U309/10))+(10^(U309/10))+(10^(U309/10))))*10</f>
        <v>115.98970004336019</v>
      </c>
      <c r="V313" s="584">
        <f>(LOG((10^(V309/10))+(10^(V309/10))+(10^(V309/10))+(10^(V309/10))+(10^(V309/10))))*10</f>
        <v>108.9897000433602</v>
      </c>
      <c r="W313" s="363"/>
      <c r="X313" s="363"/>
      <c r="Y313" s="363"/>
      <c r="Z313" s="364"/>
      <c r="AA313"/>
      <c r="AB313"/>
      <c r="AC313"/>
      <c r="AD313"/>
    </row>
    <row r="314" spans="17:30" ht="12.75" customHeight="1">
      <c r="Q314" s="364"/>
      <c r="R314" s="600">
        <v>6</v>
      </c>
      <c r="S314" s="584">
        <f>(LOG((10^(S309/10))+(10^(S309/10))+(10^(S309/10))+(10^(S309/10))+(10^(S309/10))+(10^(S309/10)))*10)</f>
        <v>123.78151250383645</v>
      </c>
      <c r="T314" s="584">
        <f>(LOG((10^(T309/10))+(10^(T309/10))+(10^(T309/10))+(10^(T309/10))+(10^(T309/10))+(10^(T309/10)))*10)</f>
        <v>115.78151250383644</v>
      </c>
      <c r="U314" s="584">
        <f>(LOG((10^(U309/10))+(10^(U309/10))+(10^(U309/10))+(10^(U309/10))+(10^(U309/10))+(10^(U309/10)))*10)</f>
        <v>116.78151250383644</v>
      </c>
      <c r="V314" s="584">
        <f>(LOG((10^(V309/10))+(10^(V309/10))+(10^(V309/10))+(10^(V309/10))+(10^(V309/10))+(10^(V309/10)))*10)</f>
        <v>109.78151250383645</v>
      </c>
      <c r="W314" s="363"/>
      <c r="X314" s="363"/>
      <c r="Y314" s="363"/>
      <c r="Z314" s="364"/>
      <c r="AA314"/>
      <c r="AB314"/>
      <c r="AC314"/>
      <c r="AD314"/>
    </row>
    <row r="315" spans="17:30" ht="12.75" customHeight="1" thickBot="1">
      <c r="Q315" s="364"/>
      <c r="R315" s="364"/>
      <c r="S315" s="364"/>
      <c r="T315" s="364"/>
      <c r="U315" s="364"/>
      <c r="V315" s="364"/>
      <c r="W315" s="364"/>
      <c r="X315" s="364"/>
      <c r="Y315" s="364"/>
      <c r="Z315" s="364"/>
      <c r="AA315"/>
      <c r="AB315"/>
      <c r="AC315"/>
      <c r="AD315"/>
    </row>
    <row r="316" spans="17:30" ht="12.75" customHeight="1" thickTop="1">
      <c r="Q316" s="364"/>
      <c r="R316" s="916" t="s">
        <v>428</v>
      </c>
      <c r="S316" s="917"/>
      <c r="T316" s="917"/>
      <c r="U316" s="917"/>
      <c r="V316" s="917"/>
      <c r="W316" s="918"/>
      <c r="X316" s="364"/>
      <c r="Y316" s="364"/>
      <c r="Z316" s="364"/>
      <c r="AA316"/>
      <c r="AB316"/>
      <c r="AC316"/>
      <c r="AD316"/>
    </row>
    <row r="317" spans="17:30" ht="12.75" customHeight="1">
      <c r="Q317" s="364"/>
      <c r="R317" s="919"/>
      <c r="S317" s="920"/>
      <c r="T317" s="920"/>
      <c r="U317" s="920"/>
      <c r="V317" s="920"/>
      <c r="W317" s="921"/>
      <c r="X317" s="364"/>
      <c r="Y317" s="364"/>
      <c r="Z317" s="364"/>
      <c r="AA317"/>
      <c r="AB317"/>
      <c r="AC317"/>
      <c r="AD317"/>
    </row>
    <row r="318" spans="17:30" ht="12.75" customHeight="1" thickBot="1">
      <c r="Q318" s="364"/>
      <c r="R318" s="922"/>
      <c r="S318" s="923"/>
      <c r="T318" s="923"/>
      <c r="U318" s="923"/>
      <c r="V318" s="923"/>
      <c r="W318" s="924"/>
      <c r="X318" s="364"/>
      <c r="Y318" s="364"/>
      <c r="Z318" s="364"/>
      <c r="AA318"/>
      <c r="AB318"/>
      <c r="AC318"/>
      <c r="AD318"/>
    </row>
    <row r="319" spans="17:30" ht="12.75" customHeight="1" thickTop="1">
      <c r="Q319" s="364"/>
      <c r="R319" s="925" t="str">
        <f>S306</f>
        <v>Seco S215</v>
      </c>
      <c r="S319" s="925"/>
      <c r="T319" s="925"/>
      <c r="U319" s="925"/>
      <c r="V319" s="925"/>
      <c r="W319" s="925"/>
      <c r="X319" s="364"/>
      <c r="Y319" s="364"/>
      <c r="Z319" s="364"/>
      <c r="AA319"/>
      <c r="AB319"/>
      <c r="AC319"/>
      <c r="AD319"/>
    </row>
    <row r="320" spans="17:30" ht="12.75" customHeight="1" thickBot="1">
      <c r="Q320" s="364"/>
      <c r="R320" s="910" t="s">
        <v>205</v>
      </c>
      <c r="S320" s="911"/>
      <c r="T320" s="911"/>
      <c r="U320" s="911"/>
      <c r="V320" s="911"/>
      <c r="W320" s="912"/>
      <c r="X320" s="364"/>
      <c r="Y320" s="364"/>
      <c r="Z320" s="364"/>
      <c r="AA320"/>
      <c r="AB320"/>
      <c r="AC320"/>
      <c r="AD320"/>
    </row>
    <row r="321" spans="17:30" ht="12.75" customHeight="1" thickBot="1">
      <c r="Q321" s="364"/>
      <c r="R321" s="686" t="s">
        <v>59</v>
      </c>
      <c r="S321" s="577"/>
      <c r="T321" s="687"/>
      <c r="U321" s="687"/>
      <c r="V321" s="687"/>
      <c r="W321" s="688"/>
      <c r="X321" s="364"/>
      <c r="Y321" s="364"/>
      <c r="Z321" s="364"/>
      <c r="AA321"/>
      <c r="AB321"/>
      <c r="AC321"/>
      <c r="AD321"/>
    </row>
    <row r="322" spans="17:30" ht="12.75" customHeight="1">
      <c r="Q322" s="364"/>
      <c r="R322" s="895" t="s">
        <v>845</v>
      </c>
      <c r="S322" s="896"/>
      <c r="T322" s="900" t="s">
        <v>835</v>
      </c>
      <c r="U322" s="900" t="s">
        <v>836</v>
      </c>
      <c r="V322" s="900" t="s">
        <v>837</v>
      </c>
      <c r="W322" s="902" t="s">
        <v>838</v>
      </c>
      <c r="X322" s="364"/>
      <c r="Y322" s="364"/>
      <c r="Z322" s="364"/>
      <c r="AA322"/>
      <c r="AB322"/>
      <c r="AC322"/>
      <c r="AD322"/>
    </row>
    <row r="323" spans="17:30" ht="12.75" customHeight="1">
      <c r="Q323" s="364"/>
      <c r="R323" s="892"/>
      <c r="S323" s="897"/>
      <c r="T323" s="904"/>
      <c r="U323" s="904"/>
      <c r="V323" s="904"/>
      <c r="W323" s="905"/>
      <c r="X323" s="364"/>
      <c r="Y323" s="364"/>
      <c r="Z323" s="364"/>
      <c r="AA323"/>
      <c r="AB323"/>
      <c r="AC323"/>
      <c r="AD323"/>
    </row>
    <row r="324" spans="17:30" ht="12.75" customHeight="1">
      <c r="Q324" s="364"/>
      <c r="R324" s="892"/>
      <c r="S324" s="897"/>
      <c r="T324" s="901"/>
      <c r="U324" s="901"/>
      <c r="V324" s="901"/>
      <c r="W324" s="903"/>
      <c r="X324" s="364"/>
      <c r="Y324" s="364"/>
      <c r="Z324" s="364"/>
      <c r="AA324"/>
      <c r="AB324"/>
      <c r="AC324"/>
      <c r="AD324"/>
    </row>
    <row r="325" spans="17:30" ht="12.75" customHeight="1">
      <c r="Q325" s="364"/>
      <c r="R325" s="892"/>
      <c r="S325" s="897"/>
      <c r="T325" s="689">
        <f>X69</f>
        <v>116</v>
      </c>
      <c r="U325" s="560">
        <f>X62</f>
        <v>1.4285714285714284</v>
      </c>
      <c r="V325" s="690">
        <f>IF(T325&gt;0,W325*U325," ")</f>
        <v>22857.142857142855</v>
      </c>
      <c r="W325" s="691">
        <f>IF(T325&gt;0,(VLOOKUP(T325,'Lookup Ready-reckoner'!$B$5:$E$1207,4))," ")</f>
        <v>16000</v>
      </c>
      <c r="X325" s="364"/>
      <c r="Y325" s="364"/>
      <c r="Z325" s="364"/>
      <c r="AA325"/>
      <c r="AB325"/>
      <c r="AC325"/>
      <c r="AD325"/>
    </row>
    <row r="326" spans="17:30" ht="12.75" customHeight="1">
      <c r="Q326" s="364"/>
      <c r="R326" s="898"/>
      <c r="S326" s="899"/>
      <c r="T326" s="447"/>
      <c r="U326" s="560"/>
      <c r="V326" s="690" t="str">
        <f>IF(T326&gt;0,W326*U326," ")</f>
        <v xml:space="preserve"> </v>
      </c>
      <c r="W326" s="691" t="str">
        <f>IF(T326&gt;0,(VLOOKUP(T326,'Lookup Ready-reckoner'!$B$5:$E$1007,4))," ")</f>
        <v xml:space="preserve"> </v>
      </c>
      <c r="X326" s="364"/>
      <c r="Y326" s="364"/>
      <c r="Z326" s="364"/>
      <c r="AA326"/>
      <c r="AB326"/>
      <c r="AC326"/>
      <c r="AD326"/>
    </row>
    <row r="327" spans="17:30" ht="12.75" customHeight="1" thickBot="1">
      <c r="Q327" s="364"/>
      <c r="R327" s="692" t="s">
        <v>839</v>
      </c>
      <c r="S327" s="693"/>
      <c r="T327" s="693"/>
      <c r="U327" s="694">
        <f>IF(T325&gt;0,(VLOOKUP(V327,'Lookup Ready-reckoner'!$L$5:$M$1207,2))," ")</f>
        <v>108.5</v>
      </c>
      <c r="V327" s="695">
        <f>IF(U325&gt;0,(SUM(V325:V326))," ")</f>
        <v>22857.142857142855</v>
      </c>
      <c r="W327" s="696"/>
      <c r="X327" s="364"/>
      <c r="Y327" s="364"/>
      <c r="Z327" s="364"/>
      <c r="AA327"/>
      <c r="AB327"/>
      <c r="AC327"/>
      <c r="AD327"/>
    </row>
    <row r="328" spans="17:30" ht="12.75" customHeight="1" thickBot="1">
      <c r="Q328" s="364"/>
      <c r="R328" s="892"/>
      <c r="S328" s="893"/>
      <c r="T328" s="893"/>
      <c r="U328" s="893"/>
      <c r="V328" s="893"/>
      <c r="W328" s="894"/>
      <c r="X328" s="364"/>
      <c r="Y328" s="364"/>
      <c r="Z328" s="364"/>
      <c r="AA328"/>
      <c r="AB328"/>
      <c r="AC328"/>
      <c r="AD328"/>
    </row>
    <row r="329" spans="17:30" ht="12.75" customHeight="1">
      <c r="Q329" s="364"/>
      <c r="R329" s="895" t="s">
        <v>886</v>
      </c>
      <c r="S329" s="896"/>
      <c r="T329" s="900" t="s">
        <v>835</v>
      </c>
      <c r="U329" s="900" t="s">
        <v>836</v>
      </c>
      <c r="V329" s="900" t="s">
        <v>837</v>
      </c>
      <c r="W329" s="902" t="s">
        <v>838</v>
      </c>
      <c r="X329" s="364"/>
      <c r="Y329" s="364"/>
      <c r="Z329" s="364"/>
      <c r="AA329"/>
      <c r="AB329"/>
      <c r="AC329"/>
      <c r="AD329"/>
    </row>
    <row r="330" spans="17:30" ht="12.75" customHeight="1">
      <c r="Q330" s="364"/>
      <c r="R330" s="892"/>
      <c r="S330" s="897"/>
      <c r="T330" s="901"/>
      <c r="U330" s="901"/>
      <c r="V330" s="901"/>
      <c r="W330" s="903"/>
      <c r="X330" s="364"/>
      <c r="Y330" s="364"/>
      <c r="Z330" s="364"/>
      <c r="AA330"/>
      <c r="AB330"/>
      <c r="AC330"/>
      <c r="AD330"/>
    </row>
    <row r="331" spans="17:30" ht="12.75" customHeight="1">
      <c r="Q331" s="364"/>
      <c r="R331" s="892"/>
      <c r="S331" s="897"/>
      <c r="T331" s="689">
        <f>T325*(1-0.0178*2)</f>
        <v>111.8704</v>
      </c>
      <c r="U331" s="560">
        <f>U325</f>
        <v>1.4285714285714284</v>
      </c>
      <c r="V331" s="690">
        <f>IF(T331&gt;0,W331*U331," ")</f>
        <v>8842.8571428571413</v>
      </c>
      <c r="W331" s="691">
        <f>IF(T331&gt;0,(VLOOKUP(T331,'Lookup Ready-reckoner'!$B$5:$E$1207,4))," ")</f>
        <v>6190</v>
      </c>
      <c r="X331" s="364"/>
      <c r="Y331" s="364"/>
      <c r="Z331" s="364"/>
      <c r="AA331"/>
      <c r="AB331"/>
      <c r="AC331"/>
      <c r="AD331"/>
    </row>
    <row r="332" spans="17:30" ht="12.75" customHeight="1">
      <c r="Q332" s="364"/>
      <c r="R332" s="898"/>
      <c r="S332" s="899"/>
      <c r="T332" s="447"/>
      <c r="U332" s="560"/>
      <c r="V332" s="690" t="str">
        <f>IF(T332&gt;0,W332*U332," ")</f>
        <v xml:space="preserve"> </v>
      </c>
      <c r="W332" s="691" t="str">
        <f>IF(T332&gt;0,(VLOOKUP(T332,'Lookup Ready-reckoner'!$B$5:$E$1007,4))," ")</f>
        <v xml:space="preserve"> </v>
      </c>
      <c r="X332" s="364"/>
      <c r="Y332" s="364"/>
      <c r="Z332" s="364"/>
      <c r="AA332"/>
      <c r="AB332"/>
      <c r="AC332"/>
      <c r="AD332"/>
    </row>
    <row r="333" spans="17:30" ht="12.75" customHeight="1" thickBot="1">
      <c r="Q333" s="364"/>
      <c r="R333" s="692" t="s">
        <v>839</v>
      </c>
      <c r="S333" s="693"/>
      <c r="T333" s="693"/>
      <c r="U333" s="694">
        <f>IF(T331&gt;0,(VLOOKUP(V333,'Lookup Ready-reckoner'!$L$5:$M$1207,2))," ")</f>
        <v>104.4</v>
      </c>
      <c r="V333" s="695">
        <f>IF(U331&gt;0,(SUM(V331:V332))," ")</f>
        <v>8842.8571428571413</v>
      </c>
      <c r="W333" s="696"/>
      <c r="X333" s="364"/>
      <c r="Y333" s="364"/>
      <c r="Z333" s="364"/>
      <c r="AA333"/>
      <c r="AB333"/>
      <c r="AC333"/>
      <c r="AD333"/>
    </row>
    <row r="334" spans="17:30" ht="12.75" customHeight="1">
      <c r="Q334" s="364"/>
      <c r="R334" s="697"/>
      <c r="S334" s="687"/>
      <c r="T334" s="687"/>
      <c r="U334" s="372"/>
      <c r="V334" s="374"/>
      <c r="W334" s="688"/>
      <c r="X334" s="364"/>
      <c r="Y334" s="364"/>
      <c r="Z334" s="364"/>
      <c r="AA334"/>
      <c r="AB334"/>
      <c r="AC334"/>
      <c r="AD334"/>
    </row>
    <row r="335" spans="17:30" ht="12.75" customHeight="1" thickBot="1">
      <c r="Q335" s="364"/>
      <c r="R335" s="686" t="s">
        <v>60</v>
      </c>
      <c r="S335" s="577"/>
      <c r="T335" s="577"/>
      <c r="U335" s="577"/>
      <c r="V335" s="577"/>
      <c r="W335" s="698"/>
      <c r="X335" s="364"/>
      <c r="Y335" s="364"/>
      <c r="Z335" s="364"/>
      <c r="AA335"/>
      <c r="AB335"/>
      <c r="AC335"/>
      <c r="AD335"/>
    </row>
    <row r="336" spans="17:30" ht="12.75" customHeight="1">
      <c r="Q336" s="364"/>
      <c r="R336" s="895" t="s">
        <v>845</v>
      </c>
      <c r="S336" s="896"/>
      <c r="T336" s="900" t="s">
        <v>835</v>
      </c>
      <c r="U336" s="900" t="s">
        <v>836</v>
      </c>
      <c r="V336" s="900" t="s">
        <v>837</v>
      </c>
      <c r="W336" s="902" t="s">
        <v>838</v>
      </c>
      <c r="X336" s="364"/>
      <c r="Y336" s="364"/>
      <c r="Z336" s="364"/>
      <c r="AA336"/>
      <c r="AB336"/>
      <c r="AC336"/>
      <c r="AD336"/>
    </row>
    <row r="337" spans="17:30" ht="12.75" customHeight="1">
      <c r="Q337" s="364"/>
      <c r="R337" s="892"/>
      <c r="S337" s="897"/>
      <c r="T337" s="901"/>
      <c r="U337" s="901"/>
      <c r="V337" s="901"/>
      <c r="W337" s="903"/>
      <c r="X337" s="364"/>
      <c r="Y337" s="364"/>
      <c r="Z337" s="364"/>
      <c r="AA337"/>
      <c r="AB337"/>
      <c r="AC337"/>
      <c r="AD337"/>
    </row>
    <row r="338" spans="17:30" ht="12.75" customHeight="1">
      <c r="Q338" s="364"/>
      <c r="R338" s="892"/>
      <c r="S338" s="897"/>
      <c r="T338" s="689">
        <f>T325-PPE!$I$15</f>
        <v>103</v>
      </c>
      <c r="U338" s="560">
        <f>U331</f>
        <v>1.4285714285714284</v>
      </c>
      <c r="V338" s="690">
        <f>IF(T338&gt;0,W338*U338," ")</f>
        <v>1142.8571428571427</v>
      </c>
      <c r="W338" s="691">
        <f>IF(T338&gt;0,(VLOOKUP(T338,'Lookup Ready-reckoner'!$B$5:$E$1207,4))," ")</f>
        <v>800</v>
      </c>
      <c r="X338" s="364"/>
      <c r="Y338" s="364"/>
      <c r="Z338" s="364"/>
      <c r="AA338"/>
      <c r="AB338"/>
      <c r="AC338"/>
      <c r="AD338"/>
    </row>
    <row r="339" spans="17:30" ht="12.75" customHeight="1">
      <c r="Q339" s="364"/>
      <c r="R339" s="898"/>
      <c r="S339" s="899"/>
      <c r="T339" s="447"/>
      <c r="U339" s="560"/>
      <c r="V339" s="690" t="str">
        <f>IF(T339&gt;0,W339*U339," ")</f>
        <v xml:space="preserve"> </v>
      </c>
      <c r="W339" s="691" t="str">
        <f>IF(T339&gt;0,(VLOOKUP(T339,'Lookup Ready-reckoner'!$B$5:$E$1007,4))," ")</f>
        <v xml:space="preserve"> </v>
      </c>
      <c r="X339" s="364"/>
      <c r="Y339" s="364"/>
      <c r="Z339" s="364"/>
      <c r="AA339"/>
      <c r="AB339"/>
      <c r="AC339"/>
      <c r="AD339"/>
    </row>
    <row r="340" spans="17:30" ht="12.75" customHeight="1" thickBot="1">
      <c r="Q340" s="364"/>
      <c r="R340" s="699" t="s">
        <v>839</v>
      </c>
      <c r="S340" s="693"/>
      <c r="T340" s="693"/>
      <c r="U340" s="694">
        <f>IF(T338&gt;0,(VLOOKUP(V340,'Lookup Ready-reckoner'!$L$5:$M$1207,2))," ")</f>
        <v>95.55</v>
      </c>
      <c r="V340" s="695">
        <f>IF(U338&gt;0,(SUM(V338:V339))," ")</f>
        <v>1142.8571428571427</v>
      </c>
      <c r="W340" s="696"/>
      <c r="X340" s="364"/>
      <c r="Y340" s="364"/>
      <c r="Z340" s="364"/>
      <c r="AA340"/>
      <c r="AB340"/>
      <c r="AC340"/>
      <c r="AD340"/>
    </row>
    <row r="341" spans="17:30" ht="12.75" customHeight="1" thickBot="1">
      <c r="Q341" s="364"/>
      <c r="R341" s="892"/>
      <c r="S341" s="893"/>
      <c r="T341" s="893"/>
      <c r="U341" s="893"/>
      <c r="V341" s="893"/>
      <c r="W341" s="894"/>
      <c r="X341" s="364"/>
      <c r="Y341" s="364"/>
      <c r="Z341" s="364"/>
      <c r="AA341"/>
      <c r="AB341"/>
      <c r="AC341"/>
      <c r="AD341"/>
    </row>
    <row r="342" spans="17:30" ht="12.75" customHeight="1">
      <c r="Q342" s="364"/>
      <c r="R342" s="895" t="s">
        <v>886</v>
      </c>
      <c r="S342" s="896"/>
      <c r="T342" s="900" t="s">
        <v>835</v>
      </c>
      <c r="U342" s="900" t="s">
        <v>836</v>
      </c>
      <c r="V342" s="900" t="s">
        <v>837</v>
      </c>
      <c r="W342" s="902" t="s">
        <v>838</v>
      </c>
      <c r="X342" s="364"/>
      <c r="Y342" s="364"/>
      <c r="Z342" s="364"/>
      <c r="AA342"/>
      <c r="AB342"/>
      <c r="AC342"/>
      <c r="AD342"/>
    </row>
    <row r="343" spans="17:30" ht="12.75" customHeight="1">
      <c r="Q343" s="364"/>
      <c r="R343" s="892"/>
      <c r="S343" s="897"/>
      <c r="T343" s="901"/>
      <c r="U343" s="901"/>
      <c r="V343" s="901"/>
      <c r="W343" s="903"/>
      <c r="X343" s="364"/>
      <c r="Y343" s="364"/>
      <c r="Z343" s="364"/>
      <c r="AA343"/>
      <c r="AB343"/>
      <c r="AC343"/>
      <c r="AD343"/>
    </row>
    <row r="344" spans="17:30" ht="12.75" customHeight="1">
      <c r="Q344" s="364"/>
      <c r="R344" s="892"/>
      <c r="S344" s="897"/>
      <c r="T344" s="689">
        <f>T331-PPE!$I$15</f>
        <v>98.870400000000004</v>
      </c>
      <c r="U344" s="560">
        <f>U338</f>
        <v>1.4285714285714284</v>
      </c>
      <c r="V344" s="690">
        <f>IF(T344&gt;0,W344*U344," ")</f>
        <v>433.03571428571422</v>
      </c>
      <c r="W344" s="691">
        <f>IF(T344&gt;0,(VLOOKUP(T344,'Lookup Ready-reckoner'!$B$5:$E$1207,4))," ")</f>
        <v>303.125</v>
      </c>
      <c r="X344" s="364"/>
      <c r="Y344" s="364"/>
      <c r="Z344" s="364"/>
      <c r="AA344"/>
      <c r="AB344"/>
      <c r="AC344"/>
      <c r="AD344"/>
    </row>
    <row r="345" spans="17:30" ht="12.75" customHeight="1">
      <c r="Q345" s="364"/>
      <c r="R345" s="898"/>
      <c r="S345" s="899"/>
      <c r="T345" s="447"/>
      <c r="U345" s="560"/>
      <c r="V345" s="690" t="str">
        <f>IF(T345&gt;0,W345*U345," ")</f>
        <v xml:space="preserve"> </v>
      </c>
      <c r="W345" s="691" t="str">
        <f>IF(T345&gt;0,(VLOOKUP(T345,'Lookup Ready-reckoner'!$B$5:$E$1007,4))," ")</f>
        <v xml:space="preserve"> </v>
      </c>
      <c r="X345" s="364"/>
      <c r="Y345" s="364"/>
      <c r="Z345" s="364"/>
      <c r="AA345"/>
      <c r="AB345"/>
      <c r="AC345"/>
      <c r="AD345"/>
    </row>
    <row r="346" spans="17:30" ht="12.75" customHeight="1" thickBot="1">
      <c r="Q346" s="364"/>
      <c r="R346" s="692" t="s">
        <v>839</v>
      </c>
      <c r="S346" s="693"/>
      <c r="T346" s="693"/>
      <c r="U346" s="694">
        <f>IF(T344&gt;0,(VLOOKUP(V346,'Lookup Ready-reckoner'!$L$5:$M$1207,2))," ")</f>
        <v>91.3</v>
      </c>
      <c r="V346" s="695">
        <f>IF(U344&gt;0,(SUM(V344:V345))," ")</f>
        <v>433.03571428571422</v>
      </c>
      <c r="W346" s="696"/>
      <c r="X346" s="364"/>
      <c r="Y346" s="364"/>
      <c r="Z346" s="364"/>
      <c r="AA346"/>
      <c r="AB346"/>
      <c r="AC346"/>
      <c r="AD346"/>
    </row>
    <row r="347" spans="17:30" ht="12.75" customHeight="1">
      <c r="Q347" s="364"/>
      <c r="R347" s="363"/>
      <c r="S347" s="363"/>
      <c r="T347" s="363"/>
      <c r="U347" s="363"/>
      <c r="V347" s="363"/>
      <c r="W347" s="363"/>
      <c r="X347" s="364"/>
      <c r="Y347" s="364"/>
      <c r="Z347" s="364"/>
      <c r="AA347"/>
      <c r="AB347"/>
      <c r="AC347"/>
      <c r="AD347"/>
    </row>
    <row r="348" spans="17:30" ht="12.75" customHeight="1" thickBot="1">
      <c r="Q348" s="364"/>
      <c r="R348" s="915" t="str">
        <f>T306</f>
        <v>Seco S215 Muffled</v>
      </c>
      <c r="S348" s="915"/>
      <c r="T348" s="915"/>
      <c r="U348" s="915"/>
      <c r="V348" s="915"/>
      <c r="W348" s="915"/>
      <c r="X348" s="364"/>
      <c r="Y348" s="363"/>
      <c r="Z348" s="363"/>
      <c r="AA348"/>
      <c r="AB348"/>
      <c r="AC348"/>
      <c r="AD348"/>
    </row>
    <row r="349" spans="17:30" ht="12.75" customHeight="1" thickBot="1">
      <c r="Q349" s="364"/>
      <c r="R349" s="906" t="s">
        <v>205</v>
      </c>
      <c r="S349" s="907"/>
      <c r="T349" s="907"/>
      <c r="U349" s="907"/>
      <c r="V349" s="907"/>
      <c r="W349" s="908"/>
      <c r="X349" s="364"/>
      <c r="Y349" s="363"/>
      <c r="Z349" s="363"/>
      <c r="AA349"/>
      <c r="AB349"/>
      <c r="AC349"/>
      <c r="AD349"/>
    </row>
    <row r="350" spans="17:30" ht="12.75" customHeight="1" thickBot="1">
      <c r="Q350" s="364"/>
      <c r="R350" s="686" t="s">
        <v>59</v>
      </c>
      <c r="S350" s="577"/>
      <c r="T350" s="687"/>
      <c r="U350" s="687"/>
      <c r="V350" s="687"/>
      <c r="W350" s="688"/>
      <c r="X350" s="364"/>
      <c r="Y350" s="363"/>
      <c r="Z350" s="363"/>
      <c r="AA350"/>
      <c r="AB350"/>
      <c r="AC350"/>
      <c r="AD350"/>
    </row>
    <row r="351" spans="17:30" ht="12.75" customHeight="1">
      <c r="Q351" s="364"/>
      <c r="R351" s="895" t="s">
        <v>845</v>
      </c>
      <c r="S351" s="896"/>
      <c r="T351" s="900" t="s">
        <v>835</v>
      </c>
      <c r="U351" s="900" t="s">
        <v>836</v>
      </c>
      <c r="V351" s="900" t="s">
        <v>837</v>
      </c>
      <c r="W351" s="902" t="s">
        <v>838</v>
      </c>
      <c r="X351" s="364"/>
      <c r="Y351" s="363"/>
      <c r="Z351" s="363"/>
      <c r="AA351"/>
      <c r="AB351"/>
      <c r="AC351"/>
      <c r="AD351"/>
    </row>
    <row r="352" spans="17:30" ht="12.75" customHeight="1">
      <c r="Q352" s="364"/>
      <c r="R352" s="892"/>
      <c r="S352" s="897"/>
      <c r="T352" s="904"/>
      <c r="U352" s="904"/>
      <c r="V352" s="904"/>
      <c r="W352" s="905"/>
      <c r="X352" s="364"/>
      <c r="Y352" s="363"/>
      <c r="Z352" s="363"/>
      <c r="AA352"/>
      <c r="AB352"/>
      <c r="AC352"/>
      <c r="AD352"/>
    </row>
    <row r="353" spans="17:30" ht="12.75" customHeight="1">
      <c r="Q353" s="364"/>
      <c r="R353" s="892"/>
      <c r="S353" s="897"/>
      <c r="T353" s="901"/>
      <c r="U353" s="901"/>
      <c r="V353" s="901"/>
      <c r="W353" s="903"/>
      <c r="X353" s="364"/>
      <c r="Y353" s="363"/>
      <c r="Z353" s="363"/>
      <c r="AA353"/>
      <c r="AB353"/>
      <c r="AC353"/>
      <c r="AD353"/>
    </row>
    <row r="354" spans="17:30" ht="12.75" customHeight="1">
      <c r="Q354" s="364"/>
      <c r="R354" s="892"/>
      <c r="S354" s="897"/>
      <c r="T354" s="700">
        <f>V69</f>
        <v>108</v>
      </c>
      <c r="U354" s="560">
        <f>V62</f>
        <v>1.9999999999999996</v>
      </c>
      <c r="V354" s="690">
        <f>IF(T354&gt;0,W354*U354," ")</f>
        <v>4999.9999999999991</v>
      </c>
      <c r="W354" s="691">
        <f>IF(T354&gt;0,(VLOOKUP(T354,'Lookup Ready-reckoner'!$B$5:$E$1207,4))," ")</f>
        <v>2500</v>
      </c>
      <c r="X354" s="364"/>
      <c r="Y354" s="363"/>
      <c r="Z354" s="363"/>
      <c r="AA354"/>
      <c r="AB354"/>
      <c r="AC354"/>
      <c r="AD354"/>
    </row>
    <row r="355" spans="17:30" ht="12.75" customHeight="1">
      <c r="Q355" s="364"/>
      <c r="R355" s="898"/>
      <c r="S355" s="899"/>
      <c r="T355" s="447"/>
      <c r="U355" s="560"/>
      <c r="V355" s="690" t="str">
        <f>IF(T355&gt;0,W355*U355," ")</f>
        <v xml:space="preserve"> </v>
      </c>
      <c r="W355" s="691" t="str">
        <f>IF(T355&gt;0,(VLOOKUP(T355,'Lookup Ready-reckoner'!$B$5:$E$1007,4))," ")</f>
        <v xml:space="preserve"> </v>
      </c>
      <c r="X355" s="364"/>
      <c r="Y355" s="363"/>
      <c r="Z355" s="363"/>
      <c r="AA355"/>
      <c r="AB355"/>
      <c r="AC355"/>
      <c r="AD355"/>
    </row>
    <row r="356" spans="17:30" ht="12.75" customHeight="1" thickBot="1">
      <c r="Q356" s="364"/>
      <c r="R356" s="699" t="s">
        <v>839</v>
      </c>
      <c r="S356" s="693"/>
      <c r="T356" s="693"/>
      <c r="U356" s="701">
        <f>IF(T354&gt;0,(VLOOKUP(V356,'Lookup Ready-reckoner'!$L$5:$M$1207,2))," ")</f>
        <v>101.95</v>
      </c>
      <c r="V356" s="695">
        <f>IF(U354&gt;0,(SUM(V354:V355))," ")</f>
        <v>4999.9999999999991</v>
      </c>
      <c r="W356" s="696"/>
      <c r="X356" s="364"/>
      <c r="Y356" s="363"/>
      <c r="Z356" s="363"/>
      <c r="AA356"/>
      <c r="AB356"/>
      <c r="AC356"/>
      <c r="AD356"/>
    </row>
    <row r="357" spans="17:30" ht="12.75" customHeight="1" thickBot="1">
      <c r="Q357" s="364"/>
      <c r="R357" s="892"/>
      <c r="S357" s="893"/>
      <c r="T357" s="893"/>
      <c r="U357" s="893"/>
      <c r="V357" s="893"/>
      <c r="W357" s="894"/>
      <c r="X357" s="364"/>
      <c r="Y357" s="363"/>
      <c r="Z357" s="363"/>
      <c r="AA357"/>
      <c r="AB357"/>
      <c r="AC357"/>
      <c r="AD357"/>
    </row>
    <row r="358" spans="17:30" ht="12.75" customHeight="1">
      <c r="Q358" s="364"/>
      <c r="R358" s="895" t="s">
        <v>886</v>
      </c>
      <c r="S358" s="896"/>
      <c r="T358" s="900" t="s">
        <v>835</v>
      </c>
      <c r="U358" s="900" t="s">
        <v>836</v>
      </c>
      <c r="V358" s="900" t="s">
        <v>837</v>
      </c>
      <c r="W358" s="902" t="s">
        <v>838</v>
      </c>
      <c r="X358" s="364"/>
      <c r="Y358" s="363"/>
      <c r="Z358" s="363"/>
      <c r="AA358"/>
      <c r="AB358"/>
      <c r="AC358"/>
      <c r="AD358"/>
    </row>
    <row r="359" spans="17:30" ht="12.75" customHeight="1">
      <c r="Q359" s="364"/>
      <c r="R359" s="892"/>
      <c r="S359" s="897"/>
      <c r="T359" s="901"/>
      <c r="U359" s="901"/>
      <c r="V359" s="901"/>
      <c r="W359" s="903"/>
      <c r="X359" s="364"/>
      <c r="Y359" s="363"/>
      <c r="Z359" s="363"/>
      <c r="AA359"/>
      <c r="AB359"/>
      <c r="AC359"/>
      <c r="AD359"/>
    </row>
    <row r="360" spans="17:30" ht="12.75" customHeight="1">
      <c r="Q360" s="364"/>
      <c r="R360" s="892"/>
      <c r="S360" s="897"/>
      <c r="T360" s="700">
        <f>T354*(1-0.0178*2)</f>
        <v>104.15520000000001</v>
      </c>
      <c r="U360" s="560">
        <f>U354</f>
        <v>1.9999999999999996</v>
      </c>
      <c r="V360" s="690">
        <f>IF(T360&gt;0,W360*U360," ")</f>
        <v>2074.9999999999995</v>
      </c>
      <c r="W360" s="691">
        <f>IF(T360&gt;0,(VLOOKUP(T360,'Lookup Ready-reckoner'!$B$5:$E$1207,4))," ")</f>
        <v>1037.5</v>
      </c>
      <c r="X360" s="364"/>
      <c r="Y360" s="363"/>
      <c r="Z360" s="363"/>
      <c r="AA360"/>
      <c r="AB360"/>
      <c r="AC360"/>
      <c r="AD360"/>
    </row>
    <row r="361" spans="17:30" ht="12.75" customHeight="1">
      <c r="Q361" s="364"/>
      <c r="R361" s="898"/>
      <c r="S361" s="899"/>
      <c r="T361" s="447"/>
      <c r="U361" s="560"/>
      <c r="V361" s="690" t="str">
        <f>IF(T361&gt;0,W361*U361," ")</f>
        <v xml:space="preserve"> </v>
      </c>
      <c r="W361" s="691" t="str">
        <f>IF(T361&gt;0,(VLOOKUP(T361,'Lookup Ready-reckoner'!$B$5:$E$1007,4))," ")</f>
        <v xml:space="preserve"> </v>
      </c>
      <c r="X361" s="364"/>
      <c r="Y361" s="363"/>
      <c r="Z361" s="363"/>
      <c r="AA361"/>
      <c r="AB361"/>
      <c r="AC361"/>
      <c r="AD361"/>
    </row>
    <row r="362" spans="17:30" ht="12.75" customHeight="1" thickBot="1">
      <c r="Q362" s="364"/>
      <c r="R362" s="692" t="s">
        <v>839</v>
      </c>
      <c r="S362" s="693"/>
      <c r="T362" s="693"/>
      <c r="U362" s="701">
        <f>IF(T360&gt;0,(VLOOKUP(V362,'Lookup Ready-reckoner'!$L$5:$M$1207,2))," ")</f>
        <v>98.1</v>
      </c>
      <c r="V362" s="695">
        <f>IF(U360&gt;0,(SUM(V360:V361))," ")</f>
        <v>2074.9999999999995</v>
      </c>
      <c r="W362" s="696"/>
      <c r="X362" s="364"/>
      <c r="Y362" s="363"/>
      <c r="Z362" s="363"/>
      <c r="AA362"/>
      <c r="AB362"/>
      <c r="AC362"/>
      <c r="AD362"/>
    </row>
    <row r="363" spans="17:30" ht="12.75" customHeight="1">
      <c r="Q363" s="364"/>
      <c r="R363" s="697"/>
      <c r="S363" s="687"/>
      <c r="T363" s="687"/>
      <c r="U363" s="372"/>
      <c r="V363" s="374"/>
      <c r="W363" s="688"/>
      <c r="X363" s="364"/>
      <c r="Y363" s="363"/>
      <c r="Z363" s="363"/>
      <c r="AA363"/>
      <c r="AB363"/>
      <c r="AC363"/>
      <c r="AD363"/>
    </row>
    <row r="364" spans="17:30" ht="12.75" customHeight="1" thickBot="1">
      <c r="Q364" s="364"/>
      <c r="R364" s="686" t="s">
        <v>60</v>
      </c>
      <c r="S364" s="577"/>
      <c r="T364" s="577"/>
      <c r="U364" s="577"/>
      <c r="V364" s="577"/>
      <c r="W364" s="698"/>
      <c r="X364" s="364"/>
      <c r="Y364" s="363"/>
      <c r="Z364" s="363"/>
      <c r="AA364"/>
      <c r="AB364"/>
      <c r="AC364"/>
      <c r="AD364"/>
    </row>
    <row r="365" spans="17:30" ht="12.75" customHeight="1">
      <c r="Q365" s="364"/>
      <c r="R365" s="895" t="s">
        <v>845</v>
      </c>
      <c r="S365" s="896"/>
      <c r="T365" s="900" t="s">
        <v>835</v>
      </c>
      <c r="U365" s="900" t="s">
        <v>836</v>
      </c>
      <c r="V365" s="900" t="s">
        <v>837</v>
      </c>
      <c r="W365" s="902" t="s">
        <v>838</v>
      </c>
      <c r="X365" s="364"/>
      <c r="Y365" s="363"/>
      <c r="Z365" s="363"/>
      <c r="AA365"/>
      <c r="AB365"/>
      <c r="AC365"/>
      <c r="AD365"/>
    </row>
    <row r="366" spans="17:30" ht="12.75" customHeight="1">
      <c r="Q366" s="364"/>
      <c r="R366" s="892"/>
      <c r="S366" s="897"/>
      <c r="T366" s="901"/>
      <c r="U366" s="901"/>
      <c r="V366" s="901"/>
      <c r="W366" s="903"/>
      <c r="X366" s="364"/>
      <c r="Y366" s="363"/>
      <c r="Z366" s="363"/>
      <c r="AA366"/>
      <c r="AB366"/>
      <c r="AC366"/>
      <c r="AD366"/>
    </row>
    <row r="367" spans="17:30" ht="12.75" customHeight="1">
      <c r="Q367" s="364"/>
      <c r="R367" s="892"/>
      <c r="S367" s="897"/>
      <c r="T367" s="700">
        <f>T354-PPE!$I$15</f>
        <v>95</v>
      </c>
      <c r="U367" s="560">
        <f>U360</f>
        <v>1.9999999999999996</v>
      </c>
      <c r="V367" s="690">
        <f>IF(T367&gt;0,W367*U367," ")</f>
        <v>249.99999999999994</v>
      </c>
      <c r="W367" s="691">
        <f>IF(T367&gt;0,(VLOOKUP(T367,'Lookup Ready-reckoner'!$B$5:$E$1207,4))," ")</f>
        <v>125</v>
      </c>
      <c r="X367" s="364"/>
      <c r="Y367" s="363"/>
      <c r="Z367" s="363"/>
      <c r="AA367"/>
      <c r="AB367"/>
      <c r="AC367"/>
      <c r="AD367"/>
    </row>
    <row r="368" spans="17:30" ht="12.75" customHeight="1">
      <c r="Q368" s="364"/>
      <c r="R368" s="898"/>
      <c r="S368" s="899"/>
      <c r="T368" s="447"/>
      <c r="U368" s="560"/>
      <c r="V368" s="690" t="str">
        <f>IF(T368&gt;0,W368*U368," ")</f>
        <v xml:space="preserve"> </v>
      </c>
      <c r="W368" s="691" t="str">
        <f>IF(T368&gt;0,(VLOOKUP(T368,'Lookup Ready-reckoner'!$B$5:$E$1007,4))," ")</f>
        <v xml:space="preserve"> </v>
      </c>
      <c r="X368" s="364"/>
      <c r="Y368" s="363"/>
      <c r="Z368" s="363"/>
      <c r="AA368"/>
      <c r="AB368"/>
      <c r="AC368"/>
      <c r="AD368"/>
    </row>
    <row r="369" spans="17:30" ht="12.75" customHeight="1" thickBot="1">
      <c r="Q369" s="364"/>
      <c r="R369" s="692" t="s">
        <v>839</v>
      </c>
      <c r="S369" s="693"/>
      <c r="T369" s="693"/>
      <c r="U369" s="701">
        <f>IF(T367&gt;0,(VLOOKUP(V369,'Lookup Ready-reckoner'!$L$5:$M$1207,2))," ")</f>
        <v>88.95</v>
      </c>
      <c r="V369" s="695">
        <f>IF(U367&gt;0,(SUM(V367:V368))," ")</f>
        <v>249.99999999999994</v>
      </c>
      <c r="W369" s="696"/>
      <c r="X369" s="364"/>
      <c r="Y369" s="363"/>
      <c r="Z369" s="363"/>
      <c r="AA369"/>
      <c r="AB369"/>
      <c r="AC369"/>
      <c r="AD369"/>
    </row>
    <row r="370" spans="17:30" ht="12.75" customHeight="1" thickBot="1">
      <c r="Q370" s="364"/>
      <c r="R370" s="892"/>
      <c r="S370" s="893"/>
      <c r="T370" s="893"/>
      <c r="U370" s="893"/>
      <c r="V370" s="893"/>
      <c r="W370" s="894"/>
      <c r="X370" s="364"/>
      <c r="Y370" s="363"/>
      <c r="Z370" s="363"/>
      <c r="AA370"/>
      <c r="AB370"/>
      <c r="AC370"/>
      <c r="AD370"/>
    </row>
    <row r="371" spans="17:30" ht="12.75" customHeight="1">
      <c r="Q371" s="364"/>
      <c r="R371" s="895" t="s">
        <v>886</v>
      </c>
      <c r="S371" s="896"/>
      <c r="T371" s="900" t="s">
        <v>835</v>
      </c>
      <c r="U371" s="900" t="s">
        <v>836</v>
      </c>
      <c r="V371" s="900" t="s">
        <v>837</v>
      </c>
      <c r="W371" s="902" t="s">
        <v>838</v>
      </c>
      <c r="X371" s="364"/>
      <c r="Y371" s="363"/>
      <c r="Z371" s="363"/>
      <c r="AA371"/>
      <c r="AB371"/>
      <c r="AC371"/>
      <c r="AD371"/>
    </row>
    <row r="372" spans="17:30" ht="12.75" customHeight="1">
      <c r="Q372" s="364"/>
      <c r="R372" s="892"/>
      <c r="S372" s="897"/>
      <c r="T372" s="901"/>
      <c r="U372" s="901"/>
      <c r="V372" s="901"/>
      <c r="W372" s="903"/>
      <c r="X372" s="364"/>
      <c r="Y372" s="363"/>
      <c r="Z372" s="363"/>
      <c r="AA372"/>
      <c r="AB372"/>
      <c r="AC372"/>
      <c r="AD372"/>
    </row>
    <row r="373" spans="17:30" ht="12.75" customHeight="1">
      <c r="Q373" s="364"/>
      <c r="R373" s="892"/>
      <c r="S373" s="897"/>
      <c r="T373" s="700">
        <f>T360-PPE!$I$15</f>
        <v>91.155200000000008</v>
      </c>
      <c r="U373" s="560">
        <f>U367</f>
        <v>1.9999999999999996</v>
      </c>
      <c r="V373" s="690">
        <f>IF(T373&gt;0,W373*U373," ")</f>
        <v>103.74999999999997</v>
      </c>
      <c r="W373" s="691">
        <f>IF(T373&gt;0,(VLOOKUP(T373,'Lookup Ready-reckoner'!$B$5:$E$1207,4))," ")</f>
        <v>51.875</v>
      </c>
      <c r="X373" s="364"/>
      <c r="Y373" s="363"/>
      <c r="Z373" s="363"/>
      <c r="AA373"/>
      <c r="AB373"/>
      <c r="AC373"/>
      <c r="AD373"/>
    </row>
    <row r="374" spans="17:30" ht="12.75" customHeight="1">
      <c r="Q374" s="364"/>
      <c r="R374" s="898"/>
      <c r="S374" s="899"/>
      <c r="T374" s="447"/>
      <c r="U374" s="560"/>
      <c r="V374" s="690" t="str">
        <f>IF(T374&gt;0,W374*U374," ")</f>
        <v xml:space="preserve"> </v>
      </c>
      <c r="W374" s="691" t="str">
        <f>IF(T374&gt;0,(VLOOKUP(T374,'Lookup Ready-reckoner'!$B$5:$E$1007,4))," ")</f>
        <v xml:space="preserve"> </v>
      </c>
      <c r="X374" s="364"/>
      <c r="Y374" s="363"/>
      <c r="Z374" s="363"/>
      <c r="AA374"/>
      <c r="AB374"/>
      <c r="AC374"/>
      <c r="AD374"/>
    </row>
    <row r="375" spans="17:30" ht="12.75" customHeight="1" thickBot="1">
      <c r="Q375" s="364"/>
      <c r="R375" s="692" t="s">
        <v>839</v>
      </c>
      <c r="S375" s="693"/>
      <c r="T375" s="693"/>
      <c r="U375" s="701">
        <f>IF(T373&gt;0,(VLOOKUP(V375,'Lookup Ready-reckoner'!$L$5:$M$1207,2))," ")</f>
        <v>85.1</v>
      </c>
      <c r="V375" s="695">
        <f>IF(U373&gt;0,(SUM(V373:V374))," ")</f>
        <v>103.74999999999997</v>
      </c>
      <c r="W375" s="696"/>
      <c r="X375" s="364"/>
      <c r="Y375" s="363"/>
      <c r="Z375" s="363"/>
      <c r="AA375"/>
      <c r="AB375"/>
      <c r="AC375"/>
      <c r="AD375"/>
    </row>
    <row r="376" spans="17:30" ht="12.75" customHeight="1">
      <c r="Q376" s="364"/>
      <c r="R376" s="363"/>
      <c r="S376" s="363"/>
      <c r="T376" s="363"/>
      <c r="U376" s="363"/>
      <c r="V376" s="363"/>
      <c r="W376" s="363"/>
      <c r="X376" s="364"/>
      <c r="Y376" s="364"/>
      <c r="Z376" s="364"/>
      <c r="AA376"/>
      <c r="AB376"/>
      <c r="AC376"/>
      <c r="AD376"/>
    </row>
    <row r="377" spans="17:30" ht="12.75" customHeight="1">
      <c r="Q377" s="364"/>
      <c r="R377" s="913" t="str">
        <f>U306</f>
        <v>Sulzer ADDS</v>
      </c>
      <c r="S377" s="914"/>
      <c r="T377" s="914"/>
      <c r="U377" s="914"/>
      <c r="V377" s="914"/>
      <c r="W377" s="914"/>
      <c r="X377" s="364"/>
      <c r="Y377" s="363"/>
      <c r="Z377" s="363"/>
      <c r="AA377"/>
      <c r="AB377"/>
      <c r="AC377"/>
      <c r="AD377"/>
    </row>
    <row r="378" spans="17:30" ht="12.75" customHeight="1" thickBot="1">
      <c r="Q378" s="364"/>
      <c r="R378" s="910" t="s">
        <v>205</v>
      </c>
      <c r="S378" s="911"/>
      <c r="T378" s="911"/>
      <c r="U378" s="911"/>
      <c r="V378" s="911"/>
      <c r="W378" s="912"/>
      <c r="X378" s="364"/>
      <c r="Y378" s="363"/>
      <c r="Z378" s="363"/>
      <c r="AA378"/>
      <c r="AB378"/>
      <c r="AC378"/>
      <c r="AD378"/>
    </row>
    <row r="379" spans="17:30" ht="12.75" customHeight="1" thickBot="1">
      <c r="Q379" s="364"/>
      <c r="R379" s="686" t="s">
        <v>59</v>
      </c>
      <c r="S379" s="577"/>
      <c r="T379" s="687"/>
      <c r="U379" s="687"/>
      <c r="V379" s="687"/>
      <c r="W379" s="688"/>
      <c r="X379" s="364"/>
      <c r="Y379" s="363"/>
      <c r="Z379" s="363"/>
      <c r="AA379"/>
      <c r="AB379"/>
      <c r="AC379"/>
      <c r="AD379"/>
    </row>
    <row r="380" spans="17:30" ht="12.75" customHeight="1">
      <c r="Q380" s="364"/>
      <c r="R380" s="895" t="s">
        <v>845</v>
      </c>
      <c r="S380" s="896"/>
      <c r="T380" s="900" t="s">
        <v>835</v>
      </c>
      <c r="U380" s="900" t="s">
        <v>836</v>
      </c>
      <c r="V380" s="900" t="s">
        <v>837</v>
      </c>
      <c r="W380" s="902" t="s">
        <v>838</v>
      </c>
      <c r="X380" s="364"/>
      <c r="Y380" s="363"/>
      <c r="Z380" s="363"/>
      <c r="AA380"/>
      <c r="AB380"/>
      <c r="AC380"/>
      <c r="AD380"/>
    </row>
    <row r="381" spans="17:30" ht="12.75" customHeight="1">
      <c r="Q381" s="364"/>
      <c r="R381" s="892"/>
      <c r="S381" s="897"/>
      <c r="T381" s="904"/>
      <c r="U381" s="904"/>
      <c r="V381" s="904"/>
      <c r="W381" s="905"/>
      <c r="X381" s="364"/>
      <c r="Y381" s="363"/>
      <c r="Z381" s="363"/>
      <c r="AA381"/>
      <c r="AB381"/>
      <c r="AC381"/>
      <c r="AD381"/>
    </row>
    <row r="382" spans="17:30" ht="12.75" customHeight="1">
      <c r="Q382" s="364"/>
      <c r="R382" s="892"/>
      <c r="S382" s="897"/>
      <c r="T382" s="901"/>
      <c r="U382" s="901"/>
      <c r="V382" s="901"/>
      <c r="W382" s="903"/>
      <c r="X382" s="364"/>
      <c r="Y382" s="363"/>
      <c r="Z382" s="363"/>
      <c r="AA382"/>
      <c r="AB382"/>
      <c r="AC382"/>
      <c r="AD382"/>
    </row>
    <row r="383" spans="17:30" ht="12.75" customHeight="1">
      <c r="Q383" s="364"/>
      <c r="R383" s="892"/>
      <c r="S383" s="897"/>
      <c r="T383" s="702">
        <f>W69</f>
        <v>109</v>
      </c>
      <c r="U383" s="560">
        <f>W62</f>
        <v>1.7391304347826084</v>
      </c>
      <c r="V383" s="690">
        <f>IF(T383&gt;0,W383*U383," ")</f>
        <v>5565.2173913043471</v>
      </c>
      <c r="W383" s="691">
        <f>IF(T383&gt;0,(VLOOKUP(T383,'Lookup Ready-reckoner'!$B$5:$E$1207,4))," ")</f>
        <v>3200</v>
      </c>
      <c r="X383" s="364"/>
      <c r="Y383" s="363"/>
      <c r="Z383" s="363"/>
      <c r="AA383"/>
      <c r="AB383"/>
      <c r="AC383"/>
      <c r="AD383"/>
    </row>
    <row r="384" spans="17:30" ht="12.75" customHeight="1">
      <c r="Q384" s="364"/>
      <c r="R384" s="898"/>
      <c r="S384" s="899"/>
      <c r="T384" s="447"/>
      <c r="U384" s="560"/>
      <c r="V384" s="690" t="str">
        <f>IF(T384&gt;0,W384*U384," ")</f>
        <v xml:space="preserve"> </v>
      </c>
      <c r="W384" s="691" t="str">
        <f>IF(T384&gt;0,(VLOOKUP(T384,'Lookup Ready-reckoner'!$B$5:$E$1007,4))," ")</f>
        <v xml:space="preserve"> </v>
      </c>
      <c r="X384" s="364"/>
      <c r="Y384" s="363"/>
      <c r="Z384" s="363"/>
      <c r="AA384"/>
      <c r="AB384"/>
      <c r="AC384"/>
      <c r="AD384"/>
    </row>
    <row r="385" spans="17:30" ht="12.75" customHeight="1" thickBot="1">
      <c r="Q385" s="364"/>
      <c r="R385" s="692" t="s">
        <v>839</v>
      </c>
      <c r="S385" s="693"/>
      <c r="T385" s="693"/>
      <c r="U385" s="703">
        <f>IF(T383&gt;0,(VLOOKUP(V385,'Lookup Ready-reckoner'!$L$5:$M$1207,2))," ")</f>
        <v>102.4</v>
      </c>
      <c r="V385" s="695">
        <f>IF(U383&gt;0,(SUM(V383:V384))," ")</f>
        <v>5565.2173913043471</v>
      </c>
      <c r="W385" s="696"/>
      <c r="X385" s="364"/>
      <c r="Y385" s="363"/>
      <c r="Z385" s="363"/>
      <c r="AA385"/>
      <c r="AB385"/>
      <c r="AC385"/>
      <c r="AD385"/>
    </row>
    <row r="386" spans="17:30" ht="12.75" customHeight="1" thickBot="1">
      <c r="Q386" s="364"/>
      <c r="R386" s="892"/>
      <c r="S386" s="893"/>
      <c r="T386" s="893"/>
      <c r="U386" s="893"/>
      <c r="V386" s="893"/>
      <c r="W386" s="894"/>
      <c r="X386" s="364"/>
      <c r="Y386" s="363"/>
      <c r="Z386" s="363"/>
      <c r="AA386"/>
      <c r="AB386"/>
      <c r="AC386"/>
      <c r="AD386"/>
    </row>
    <row r="387" spans="17:30" ht="12.75" customHeight="1">
      <c r="Q387" s="364"/>
      <c r="R387" s="895" t="s">
        <v>886</v>
      </c>
      <c r="S387" s="896"/>
      <c r="T387" s="900" t="s">
        <v>835</v>
      </c>
      <c r="U387" s="900" t="s">
        <v>836</v>
      </c>
      <c r="V387" s="900" t="s">
        <v>837</v>
      </c>
      <c r="W387" s="902" t="s">
        <v>838</v>
      </c>
      <c r="X387" s="364"/>
      <c r="Y387" s="363"/>
      <c r="Z387" s="363"/>
      <c r="AA387"/>
      <c r="AB387"/>
      <c r="AC387"/>
      <c r="AD387"/>
    </row>
    <row r="388" spans="17:30" ht="12.75" customHeight="1">
      <c r="Q388" s="364"/>
      <c r="R388" s="892"/>
      <c r="S388" s="897"/>
      <c r="T388" s="901"/>
      <c r="U388" s="901"/>
      <c r="V388" s="901"/>
      <c r="W388" s="903"/>
      <c r="X388" s="364"/>
      <c r="Y388" s="363"/>
      <c r="Z388" s="363"/>
      <c r="AA388"/>
      <c r="AB388"/>
      <c r="AC388"/>
      <c r="AD388"/>
    </row>
    <row r="389" spans="17:30" ht="12.75" customHeight="1">
      <c r="Q389" s="364"/>
      <c r="R389" s="892"/>
      <c r="S389" s="897"/>
      <c r="T389" s="702">
        <f>T383*(1-0.0178*2)</f>
        <v>105.11960000000001</v>
      </c>
      <c r="U389" s="560">
        <f>U383</f>
        <v>1.7391304347826084</v>
      </c>
      <c r="V389" s="690">
        <f>IF(T389&gt;0,W389*U389," ")</f>
        <v>2234.782608695652</v>
      </c>
      <c r="W389" s="691">
        <f>IF(T389&gt;0,(VLOOKUP(T389,'Lookup Ready-reckoner'!$B$5:$E$1207,4))," ")</f>
        <v>1285</v>
      </c>
      <c r="X389" s="364"/>
      <c r="Y389" s="363"/>
      <c r="Z389" s="363"/>
      <c r="AA389"/>
      <c r="AB389"/>
      <c r="AC389"/>
      <c r="AD389"/>
    </row>
    <row r="390" spans="17:30" ht="12.75" customHeight="1">
      <c r="Q390" s="364"/>
      <c r="R390" s="898"/>
      <c r="S390" s="899"/>
      <c r="T390" s="447"/>
      <c r="U390" s="560"/>
      <c r="V390" s="690" t="str">
        <f>IF(T390&gt;0,W390*U390," ")</f>
        <v xml:space="preserve"> </v>
      </c>
      <c r="W390" s="691" t="str">
        <f>IF(T390&gt;0,(VLOOKUP(T390,'Lookup Ready-reckoner'!$B$5:$E$1007,4))," ")</f>
        <v xml:space="preserve"> </v>
      </c>
      <c r="X390" s="364"/>
      <c r="Y390" s="363"/>
      <c r="Z390" s="363"/>
      <c r="AA390"/>
      <c r="AB390"/>
      <c r="AC390"/>
      <c r="AD390"/>
    </row>
    <row r="391" spans="17:30" ht="12.75" customHeight="1" thickBot="1">
      <c r="Q391" s="364"/>
      <c r="R391" s="692" t="s">
        <v>839</v>
      </c>
      <c r="S391" s="693"/>
      <c r="T391" s="693"/>
      <c r="U391" s="703">
        <f>IF(T389&gt;0,(VLOOKUP(V391,'Lookup Ready-reckoner'!$L$5:$M$1207,2))," ")</f>
        <v>98.45</v>
      </c>
      <c r="V391" s="695">
        <f>IF(U389&gt;0,(SUM(V389:V390))," ")</f>
        <v>2234.782608695652</v>
      </c>
      <c r="W391" s="696"/>
      <c r="X391" s="364"/>
      <c r="Y391" s="363"/>
      <c r="Z391" s="363"/>
      <c r="AA391"/>
      <c r="AB391"/>
      <c r="AC391"/>
      <c r="AD391"/>
    </row>
    <row r="392" spans="17:30" ht="12.75" customHeight="1">
      <c r="Q392" s="364"/>
      <c r="R392" s="697"/>
      <c r="S392" s="687"/>
      <c r="T392" s="687"/>
      <c r="U392" s="372"/>
      <c r="V392" s="374"/>
      <c r="W392" s="688"/>
      <c r="X392" s="364"/>
      <c r="Y392" s="363"/>
      <c r="Z392" s="363"/>
      <c r="AA392"/>
      <c r="AB392"/>
      <c r="AC392"/>
      <c r="AD392"/>
    </row>
    <row r="393" spans="17:30" ht="12.75" customHeight="1" thickBot="1">
      <c r="Q393" s="364"/>
      <c r="R393" s="686" t="s">
        <v>60</v>
      </c>
      <c r="S393" s="577"/>
      <c r="T393" s="577"/>
      <c r="U393" s="577"/>
      <c r="V393" s="577"/>
      <c r="W393" s="698"/>
      <c r="X393" s="364"/>
      <c r="Y393" s="363"/>
      <c r="Z393" s="363"/>
      <c r="AA393"/>
      <c r="AB393"/>
      <c r="AC393"/>
      <c r="AD393"/>
    </row>
    <row r="394" spans="17:30" ht="12.75" customHeight="1">
      <c r="Q394" s="364"/>
      <c r="R394" s="895" t="s">
        <v>845</v>
      </c>
      <c r="S394" s="896"/>
      <c r="T394" s="900" t="s">
        <v>835</v>
      </c>
      <c r="U394" s="900" t="s">
        <v>836</v>
      </c>
      <c r="V394" s="900" t="s">
        <v>837</v>
      </c>
      <c r="W394" s="902" t="s">
        <v>838</v>
      </c>
      <c r="X394" s="364"/>
      <c r="Y394" s="363"/>
      <c r="Z394" s="363"/>
      <c r="AA394"/>
      <c r="AB394"/>
      <c r="AC394"/>
      <c r="AD394"/>
    </row>
    <row r="395" spans="17:30" ht="12.75" customHeight="1">
      <c r="Q395" s="364"/>
      <c r="R395" s="892"/>
      <c r="S395" s="897"/>
      <c r="T395" s="901"/>
      <c r="U395" s="901"/>
      <c r="V395" s="901"/>
      <c r="W395" s="903"/>
      <c r="X395" s="364"/>
      <c r="Y395" s="363"/>
      <c r="Z395" s="363"/>
      <c r="AA395"/>
      <c r="AB395"/>
      <c r="AC395"/>
      <c r="AD395"/>
    </row>
    <row r="396" spans="17:30" ht="12.75" customHeight="1">
      <c r="Q396" s="364"/>
      <c r="R396" s="892"/>
      <c r="S396" s="897"/>
      <c r="T396" s="702">
        <f>T383-PPE!$I$15</f>
        <v>96</v>
      </c>
      <c r="U396" s="560">
        <f>U389</f>
        <v>1.7391304347826084</v>
      </c>
      <c r="V396" s="690">
        <f>IF(T396&gt;0,W396*U396," ")</f>
        <v>271.73913043478257</v>
      </c>
      <c r="W396" s="691">
        <f>IF(T396&gt;0,(VLOOKUP(T396,'Lookup Ready-reckoner'!$B$5:$E$1207,4))," ")</f>
        <v>156.25</v>
      </c>
      <c r="X396" s="364"/>
      <c r="Y396" s="363"/>
      <c r="Z396" s="363"/>
      <c r="AA396"/>
      <c r="AB396"/>
      <c r="AC396"/>
      <c r="AD396"/>
    </row>
    <row r="397" spans="17:30" ht="12.75" customHeight="1">
      <c r="Q397" s="364"/>
      <c r="R397" s="898"/>
      <c r="S397" s="899"/>
      <c r="T397" s="447"/>
      <c r="U397" s="560"/>
      <c r="V397" s="690" t="str">
        <f>IF(T397&gt;0,W397*U397," ")</f>
        <v xml:space="preserve"> </v>
      </c>
      <c r="W397" s="691" t="str">
        <f>IF(T397&gt;0,(VLOOKUP(T397,'Lookup Ready-reckoner'!$B$5:$E$1007,4))," ")</f>
        <v xml:space="preserve"> </v>
      </c>
      <c r="X397" s="364"/>
      <c r="Y397" s="363"/>
      <c r="Z397" s="363"/>
      <c r="AA397"/>
      <c r="AB397"/>
      <c r="AC397"/>
      <c r="AD397"/>
    </row>
    <row r="398" spans="17:30" ht="12.75" customHeight="1" thickBot="1">
      <c r="Q398" s="364"/>
      <c r="R398" s="692" t="s">
        <v>839</v>
      </c>
      <c r="S398" s="693"/>
      <c r="T398" s="693"/>
      <c r="U398" s="703">
        <f>IF(T396&gt;0,(VLOOKUP(V398,'Lookup Ready-reckoner'!$L$5:$M$1207,2))," ")</f>
        <v>89.3</v>
      </c>
      <c r="V398" s="695">
        <f>IF(U396&gt;0,(SUM(V396:V397))," ")</f>
        <v>271.73913043478257</v>
      </c>
      <c r="W398" s="696"/>
      <c r="X398" s="364"/>
      <c r="Y398" s="363"/>
      <c r="Z398" s="363"/>
      <c r="AA398"/>
      <c r="AB398"/>
      <c r="AC398"/>
      <c r="AD398"/>
    </row>
    <row r="399" spans="17:30" ht="12.75" customHeight="1" thickBot="1">
      <c r="Q399" s="364"/>
      <c r="R399" s="892"/>
      <c r="S399" s="893"/>
      <c r="T399" s="893"/>
      <c r="U399" s="893"/>
      <c r="V399" s="893"/>
      <c r="W399" s="894"/>
      <c r="X399" s="364"/>
      <c r="Y399" s="363"/>
      <c r="Z399" s="363"/>
      <c r="AA399"/>
      <c r="AB399"/>
      <c r="AC399"/>
      <c r="AD399"/>
    </row>
    <row r="400" spans="17:30" ht="12.75" customHeight="1">
      <c r="Q400" s="364"/>
      <c r="R400" s="895" t="s">
        <v>886</v>
      </c>
      <c r="S400" s="896"/>
      <c r="T400" s="900" t="s">
        <v>835</v>
      </c>
      <c r="U400" s="900" t="s">
        <v>836</v>
      </c>
      <c r="V400" s="900" t="s">
        <v>837</v>
      </c>
      <c r="W400" s="902" t="s">
        <v>838</v>
      </c>
      <c r="X400" s="364"/>
      <c r="Y400" s="363"/>
      <c r="Z400" s="363"/>
      <c r="AA400"/>
      <c r="AB400"/>
      <c r="AC400"/>
      <c r="AD400"/>
    </row>
    <row r="401" spans="17:30" ht="12.75" customHeight="1">
      <c r="Q401" s="364"/>
      <c r="R401" s="892"/>
      <c r="S401" s="897"/>
      <c r="T401" s="901"/>
      <c r="U401" s="901"/>
      <c r="V401" s="901"/>
      <c r="W401" s="903"/>
      <c r="X401" s="364"/>
      <c r="Y401" s="363"/>
      <c r="Z401" s="363"/>
      <c r="AA401"/>
      <c r="AB401"/>
      <c r="AC401"/>
      <c r="AD401"/>
    </row>
    <row r="402" spans="17:30" ht="12.75" customHeight="1">
      <c r="Q402" s="364"/>
      <c r="R402" s="892"/>
      <c r="S402" s="897"/>
      <c r="T402" s="702">
        <f>T389-PPE!$I$15</f>
        <v>92.119600000000005</v>
      </c>
      <c r="U402" s="560">
        <f>U396</f>
        <v>1.7391304347826084</v>
      </c>
      <c r="V402" s="690">
        <f>IF(T402&gt;0,W402*U402," ")</f>
        <v>111.52173913043477</v>
      </c>
      <c r="W402" s="691">
        <f>IF(T402&gt;0,(VLOOKUP(T402,'Lookup Ready-reckoner'!$B$5:$E$1207,4))," ")</f>
        <v>64.125</v>
      </c>
      <c r="X402" s="364"/>
      <c r="Y402" s="363"/>
      <c r="Z402" s="363"/>
      <c r="AA402"/>
      <c r="AB402"/>
      <c r="AC402"/>
      <c r="AD402"/>
    </row>
    <row r="403" spans="17:30" ht="12.75" customHeight="1">
      <c r="Q403" s="364"/>
      <c r="R403" s="898"/>
      <c r="S403" s="899"/>
      <c r="T403" s="447"/>
      <c r="U403" s="560"/>
      <c r="V403" s="690" t="str">
        <f>IF(T403&gt;0,W403*U403," ")</f>
        <v xml:space="preserve"> </v>
      </c>
      <c r="W403" s="691" t="str">
        <f>IF(T403&gt;0,(VLOOKUP(T403,'Lookup Ready-reckoner'!$B$5:$E$1007,4))," ")</f>
        <v xml:space="preserve"> </v>
      </c>
      <c r="X403" s="364"/>
      <c r="Y403" s="363"/>
      <c r="Z403" s="363"/>
      <c r="AA403"/>
      <c r="AB403"/>
      <c r="AC403"/>
      <c r="AD403"/>
    </row>
    <row r="404" spans="17:30" ht="12.75" customHeight="1" thickBot="1">
      <c r="Q404" s="364"/>
      <c r="R404" s="692" t="s">
        <v>839</v>
      </c>
      <c r="S404" s="693"/>
      <c r="T404" s="693"/>
      <c r="U404" s="703">
        <f>IF(T402&gt;0,(VLOOKUP(V404,'Lookup Ready-reckoner'!$L$5:$M$1207,2))," ")</f>
        <v>85.45</v>
      </c>
      <c r="V404" s="695">
        <f>IF(U402&gt;0,(SUM(V402:V403))," ")</f>
        <v>111.52173913043477</v>
      </c>
      <c r="W404" s="696"/>
      <c r="X404" s="364"/>
      <c r="Y404" s="363"/>
      <c r="Z404" s="363"/>
      <c r="AA404"/>
      <c r="AB404"/>
      <c r="AC404"/>
      <c r="AD404"/>
    </row>
    <row r="405" spans="17:30" ht="12.75" customHeight="1">
      <c r="Q405" s="364"/>
      <c r="R405" s="363"/>
      <c r="S405" s="363"/>
      <c r="T405" s="363"/>
      <c r="U405" s="363"/>
      <c r="V405" s="363"/>
      <c r="W405" s="363"/>
      <c r="X405" s="364"/>
      <c r="Y405" s="364"/>
      <c r="Z405" s="364"/>
      <c r="AA405"/>
      <c r="AB405"/>
      <c r="AC405"/>
      <c r="AD405"/>
    </row>
    <row r="406" spans="17:30" ht="12.75" customHeight="1">
      <c r="Q406" s="364"/>
      <c r="R406" s="909" t="str">
        <f>V306</f>
        <v xml:space="preserve">Hilti TE MD20 </v>
      </c>
      <c r="S406" s="909"/>
      <c r="T406" s="909"/>
      <c r="U406" s="909"/>
      <c r="V406" s="909"/>
      <c r="W406" s="909"/>
      <c r="X406" s="364"/>
      <c r="Y406" s="364"/>
      <c r="Z406" s="364"/>
      <c r="AA406"/>
      <c r="AB406"/>
      <c r="AC406"/>
      <c r="AD406"/>
    </row>
    <row r="407" spans="17:30" ht="12.75" customHeight="1" thickBot="1">
      <c r="Q407" s="364"/>
      <c r="R407" s="910" t="s">
        <v>205</v>
      </c>
      <c r="S407" s="911"/>
      <c r="T407" s="911"/>
      <c r="U407" s="911"/>
      <c r="V407" s="911"/>
      <c r="W407" s="912"/>
      <c r="X407" s="364"/>
      <c r="Y407" s="364"/>
      <c r="Z407" s="364"/>
      <c r="AA407"/>
      <c r="AB407"/>
      <c r="AC407"/>
      <c r="AD407"/>
    </row>
    <row r="408" spans="17:30" ht="12.75" customHeight="1" thickBot="1">
      <c r="Q408" s="364"/>
      <c r="R408" s="686" t="s">
        <v>59</v>
      </c>
      <c r="S408" s="577"/>
      <c r="T408" s="687"/>
      <c r="U408" s="687"/>
      <c r="V408" s="687"/>
      <c r="W408" s="688"/>
      <c r="X408" s="364"/>
      <c r="Y408" s="364"/>
      <c r="Z408" s="364"/>
      <c r="AA408"/>
      <c r="AB408"/>
      <c r="AC408"/>
      <c r="AD408"/>
    </row>
    <row r="409" spans="17:30" ht="12.75" customHeight="1">
      <c r="Q409" s="364"/>
      <c r="R409" s="895" t="s">
        <v>845</v>
      </c>
      <c r="S409" s="896"/>
      <c r="T409" s="900" t="s">
        <v>835</v>
      </c>
      <c r="U409" s="900" t="s">
        <v>836</v>
      </c>
      <c r="V409" s="900" t="s">
        <v>837</v>
      </c>
      <c r="W409" s="902" t="s">
        <v>838</v>
      </c>
      <c r="X409" s="364"/>
      <c r="Y409" s="364"/>
      <c r="Z409" s="364"/>
      <c r="AA409"/>
      <c r="AB409"/>
      <c r="AC409"/>
      <c r="AD409"/>
    </row>
    <row r="410" spans="17:30" ht="12.75" customHeight="1">
      <c r="Q410" s="364"/>
      <c r="R410" s="892"/>
      <c r="S410" s="897"/>
      <c r="T410" s="904"/>
      <c r="U410" s="904"/>
      <c r="V410" s="904"/>
      <c r="W410" s="905"/>
      <c r="X410" s="364"/>
      <c r="Y410" s="364"/>
      <c r="Z410" s="364"/>
      <c r="AA410"/>
      <c r="AB410"/>
      <c r="AC410"/>
      <c r="AD410"/>
    </row>
    <row r="411" spans="17:30" ht="12.75" customHeight="1">
      <c r="Q411" s="364"/>
      <c r="R411" s="892"/>
      <c r="S411" s="897"/>
      <c r="T411" s="901"/>
      <c r="U411" s="901"/>
      <c r="V411" s="901"/>
      <c r="W411" s="903"/>
      <c r="X411" s="364"/>
      <c r="Y411" s="364"/>
      <c r="Z411" s="364"/>
      <c r="AA411"/>
      <c r="AB411"/>
      <c r="AC411"/>
      <c r="AD411"/>
    </row>
    <row r="412" spans="17:30" ht="12.75" customHeight="1">
      <c r="Q412" s="364"/>
      <c r="R412" s="892"/>
      <c r="S412" s="897"/>
      <c r="T412" s="704">
        <f>U69</f>
        <v>102</v>
      </c>
      <c r="U412" s="560">
        <f>U62</f>
        <v>2.6666666666666665</v>
      </c>
      <c r="V412" s="690">
        <f>IF(T412&gt;0,W412*U412," ")</f>
        <v>1666.6666666666665</v>
      </c>
      <c r="W412" s="691">
        <f>IF(T412&gt;0,(VLOOKUP(T412,'Lookup Ready-reckoner'!$B$5:$E$1207,4))," ")</f>
        <v>625</v>
      </c>
      <c r="X412" s="364"/>
      <c r="Y412" s="364"/>
      <c r="Z412" s="364"/>
      <c r="AA412"/>
      <c r="AB412"/>
      <c r="AC412"/>
      <c r="AD412"/>
    </row>
    <row r="413" spans="17:30" ht="12.75" customHeight="1">
      <c r="Q413" s="364"/>
      <c r="R413" s="898"/>
      <c r="S413" s="899"/>
      <c r="T413" s="447"/>
      <c r="U413" s="560"/>
      <c r="V413" s="690" t="str">
        <f>IF(T413&gt;0,W413*U413," ")</f>
        <v xml:space="preserve"> </v>
      </c>
      <c r="W413" s="691" t="str">
        <f>IF(T413&gt;0,(VLOOKUP(T413,'Lookup Ready-reckoner'!$B$5:$E$1007,4))," ")</f>
        <v xml:space="preserve"> </v>
      </c>
      <c r="X413" s="364"/>
      <c r="Y413" s="364"/>
      <c r="Z413" s="364"/>
      <c r="AA413"/>
      <c r="AB413"/>
      <c r="AC413"/>
      <c r="AD413"/>
    </row>
    <row r="414" spans="17:30" ht="12.75" customHeight="1" thickBot="1">
      <c r="Q414" s="364"/>
      <c r="R414" s="692" t="s">
        <v>839</v>
      </c>
      <c r="S414" s="693"/>
      <c r="T414" s="693"/>
      <c r="U414" s="705">
        <f>IF(T412&gt;0,(VLOOKUP(V414,'Lookup Ready-reckoner'!$L$5:$M$1207,2))," ")</f>
        <v>97.15</v>
      </c>
      <c r="V414" s="695">
        <f>IF(U412&gt;0,(SUM(V412:V413))," ")</f>
        <v>1666.6666666666665</v>
      </c>
      <c r="W414" s="696"/>
      <c r="X414" s="364"/>
      <c r="Y414" s="364"/>
      <c r="Z414" s="364"/>
      <c r="AA414"/>
      <c r="AB414"/>
      <c r="AC414"/>
      <c r="AD414"/>
    </row>
    <row r="415" spans="17:30" ht="12.75" customHeight="1" thickBot="1">
      <c r="Q415" s="364"/>
      <c r="R415" s="906"/>
      <c r="S415" s="907"/>
      <c r="T415" s="907"/>
      <c r="U415" s="907"/>
      <c r="V415" s="907"/>
      <c r="W415" s="908"/>
      <c r="X415" s="364"/>
      <c r="Y415" s="364"/>
      <c r="Z415" s="364"/>
      <c r="AA415"/>
      <c r="AB415"/>
      <c r="AC415"/>
      <c r="AD415"/>
    </row>
    <row r="416" spans="17:30" ht="12.75" customHeight="1">
      <c r="Q416" s="364"/>
      <c r="R416" s="895" t="s">
        <v>886</v>
      </c>
      <c r="S416" s="896"/>
      <c r="T416" s="900" t="s">
        <v>835</v>
      </c>
      <c r="U416" s="900" t="s">
        <v>836</v>
      </c>
      <c r="V416" s="900" t="s">
        <v>837</v>
      </c>
      <c r="W416" s="902" t="s">
        <v>838</v>
      </c>
      <c r="X416" s="364"/>
      <c r="Y416" s="364"/>
      <c r="Z416" s="364"/>
      <c r="AA416"/>
      <c r="AB416"/>
      <c r="AC416"/>
      <c r="AD416"/>
    </row>
    <row r="417" spans="17:30" ht="12.75" customHeight="1">
      <c r="Q417" s="364"/>
      <c r="R417" s="892"/>
      <c r="S417" s="897"/>
      <c r="T417" s="901"/>
      <c r="U417" s="901"/>
      <c r="V417" s="901"/>
      <c r="W417" s="903"/>
      <c r="X417" s="364"/>
      <c r="Y417" s="364"/>
      <c r="Z417" s="364"/>
      <c r="AA417"/>
      <c r="AB417"/>
      <c r="AC417"/>
      <c r="AD417"/>
    </row>
    <row r="418" spans="17:30" ht="12.75" customHeight="1">
      <c r="Q418" s="364"/>
      <c r="R418" s="892"/>
      <c r="S418" s="897"/>
      <c r="T418" s="704">
        <f>T412*(1-0.0178*2)</f>
        <v>98.368800000000007</v>
      </c>
      <c r="U418" s="560">
        <f>U412</f>
        <v>2.6666666666666665</v>
      </c>
      <c r="V418" s="690">
        <f>IF(T418&gt;0,W418*U418," ")</f>
        <v>725</v>
      </c>
      <c r="W418" s="691">
        <f>IF(T418&gt;0,(VLOOKUP(T418,'Lookup Ready-reckoner'!$B$5:$E$1207,4))," ")</f>
        <v>271.875</v>
      </c>
      <c r="X418" s="364"/>
      <c r="Y418" s="364"/>
      <c r="Z418" s="364"/>
      <c r="AA418"/>
      <c r="AB418"/>
      <c r="AC418"/>
      <c r="AD418"/>
    </row>
    <row r="419" spans="17:30" ht="12.75" customHeight="1">
      <c r="Q419" s="364"/>
      <c r="R419" s="898"/>
      <c r="S419" s="899"/>
      <c r="T419" s="447"/>
      <c r="U419" s="560"/>
      <c r="V419" s="690" t="str">
        <f>IF(T419&gt;0,W419*U419," ")</f>
        <v xml:space="preserve"> </v>
      </c>
      <c r="W419" s="691" t="str">
        <f>IF(T419&gt;0,(VLOOKUP(T419,'Lookup Ready-reckoner'!$B$5:$E$1007,4))," ")</f>
        <v xml:space="preserve"> </v>
      </c>
      <c r="X419" s="364"/>
      <c r="Y419" s="364"/>
      <c r="Z419" s="364"/>
      <c r="AA419"/>
      <c r="AB419"/>
      <c r="AC419"/>
      <c r="AD419"/>
    </row>
    <row r="420" spans="17:30" ht="12.75" customHeight="1" thickBot="1">
      <c r="Q420" s="364"/>
      <c r="R420" s="692" t="s">
        <v>839</v>
      </c>
      <c r="S420" s="693"/>
      <c r="T420" s="693"/>
      <c r="U420" s="705">
        <f>IF(T418&gt;0,(VLOOKUP(V420,'Lookup Ready-reckoner'!$L$5:$M$1207,2))," ")</f>
        <v>93.55</v>
      </c>
      <c r="V420" s="695">
        <f>IF(U418&gt;0,(SUM(V418:V419))," ")</f>
        <v>725</v>
      </c>
      <c r="W420" s="696"/>
      <c r="X420" s="364"/>
      <c r="Y420" s="364"/>
      <c r="Z420" s="364"/>
      <c r="AA420"/>
      <c r="AB420"/>
      <c r="AC420"/>
      <c r="AD420"/>
    </row>
    <row r="421" spans="17:30" ht="12.75" customHeight="1">
      <c r="Q421" s="364"/>
      <c r="R421" s="697"/>
      <c r="S421" s="687"/>
      <c r="T421" s="687"/>
      <c r="U421" s="372"/>
      <c r="V421" s="374"/>
      <c r="W421" s="688"/>
      <c r="X421" s="364"/>
      <c r="Y421" s="364"/>
      <c r="Z421" s="364"/>
      <c r="AA421"/>
      <c r="AB421"/>
      <c r="AC421"/>
      <c r="AD421"/>
    </row>
    <row r="422" spans="17:30" ht="12.75" customHeight="1" thickBot="1">
      <c r="Q422" s="364"/>
      <c r="R422" s="686" t="s">
        <v>60</v>
      </c>
      <c r="S422" s="577"/>
      <c r="T422" s="577"/>
      <c r="U422" s="577"/>
      <c r="V422" s="577"/>
      <c r="W422" s="698"/>
      <c r="X422" s="364"/>
      <c r="Y422" s="364"/>
      <c r="Z422" s="364"/>
      <c r="AA422"/>
      <c r="AB422"/>
      <c r="AC422"/>
      <c r="AD422"/>
    </row>
    <row r="423" spans="17:30" ht="12.75" customHeight="1">
      <c r="Q423" s="364"/>
      <c r="R423" s="895" t="s">
        <v>845</v>
      </c>
      <c r="S423" s="896"/>
      <c r="T423" s="900" t="s">
        <v>835</v>
      </c>
      <c r="U423" s="900" t="s">
        <v>836</v>
      </c>
      <c r="V423" s="900" t="s">
        <v>837</v>
      </c>
      <c r="W423" s="902" t="s">
        <v>838</v>
      </c>
      <c r="X423" s="364"/>
      <c r="Y423" s="364"/>
      <c r="Z423" s="364"/>
      <c r="AA423"/>
      <c r="AB423"/>
      <c r="AC423"/>
      <c r="AD423"/>
    </row>
    <row r="424" spans="17:30" ht="12.75" customHeight="1">
      <c r="Q424" s="364"/>
      <c r="R424" s="892"/>
      <c r="S424" s="897"/>
      <c r="T424" s="901"/>
      <c r="U424" s="901"/>
      <c r="V424" s="901"/>
      <c r="W424" s="903"/>
      <c r="X424" s="364"/>
      <c r="Y424" s="364"/>
      <c r="Z424" s="364"/>
      <c r="AA424"/>
      <c r="AB424"/>
      <c r="AC424"/>
      <c r="AD424"/>
    </row>
    <row r="425" spans="17:30" ht="12.75" customHeight="1">
      <c r="Q425" s="364"/>
      <c r="R425" s="892"/>
      <c r="S425" s="897"/>
      <c r="T425" s="704">
        <f>T412-PPE!$I$15</f>
        <v>89</v>
      </c>
      <c r="U425" s="560">
        <f>U418</f>
        <v>2.6666666666666665</v>
      </c>
      <c r="V425" s="690">
        <f>IF(T425&gt;0,W425*U425," ")</f>
        <v>83.333333333333329</v>
      </c>
      <c r="W425" s="691">
        <f>IF(T425&gt;0,(VLOOKUP(T425,'Lookup Ready-reckoner'!$B$5:$E$1207,4))," ")</f>
        <v>31.25</v>
      </c>
      <c r="X425" s="364"/>
      <c r="Y425" s="364"/>
      <c r="Z425" s="364"/>
      <c r="AA425"/>
      <c r="AB425"/>
      <c r="AC425"/>
      <c r="AD425"/>
    </row>
    <row r="426" spans="17:30" ht="12.75" customHeight="1">
      <c r="Q426" s="364"/>
      <c r="R426" s="898"/>
      <c r="S426" s="899"/>
      <c r="T426" s="447"/>
      <c r="U426" s="560"/>
      <c r="V426" s="690" t="str">
        <f>IF(T426&gt;0,W426*U426," ")</f>
        <v xml:space="preserve"> </v>
      </c>
      <c r="W426" s="691" t="str">
        <f>IF(T426&gt;0,(VLOOKUP(T426,'Lookup Ready-reckoner'!$B$5:$E$1007,4))," ")</f>
        <v xml:space="preserve"> </v>
      </c>
      <c r="X426" s="364"/>
      <c r="Y426" s="364"/>
      <c r="Z426" s="364"/>
      <c r="AA426"/>
      <c r="AB426"/>
      <c r="AC426"/>
      <c r="AD426"/>
    </row>
    <row r="427" spans="17:30" ht="12.75" customHeight="1" thickBot="1">
      <c r="Q427" s="364"/>
      <c r="R427" s="692" t="s">
        <v>839</v>
      </c>
      <c r="S427" s="693"/>
      <c r="T427" s="693"/>
      <c r="U427" s="705">
        <f>IF(T425&gt;0,(VLOOKUP(V427,'Lookup Ready-reckoner'!$L$5:$M$1207,2))," ")</f>
        <v>84.15</v>
      </c>
      <c r="V427" s="695">
        <f>IF(U425&gt;0,(SUM(V425:V426))," ")</f>
        <v>83.333333333333329</v>
      </c>
      <c r="W427" s="696"/>
      <c r="X427" s="364"/>
      <c r="Y427" s="364"/>
      <c r="Z427" s="364"/>
      <c r="AA427"/>
      <c r="AB427"/>
      <c r="AC427"/>
      <c r="AD427"/>
    </row>
    <row r="428" spans="17:30" ht="12.75" customHeight="1" thickBot="1">
      <c r="Q428" s="364"/>
      <c r="R428" s="892"/>
      <c r="S428" s="893"/>
      <c r="T428" s="893"/>
      <c r="U428" s="893"/>
      <c r="V428" s="893"/>
      <c r="W428" s="894"/>
      <c r="X428" s="364"/>
      <c r="Y428" s="364"/>
      <c r="Z428" s="364"/>
      <c r="AA428"/>
      <c r="AB428"/>
      <c r="AC428"/>
      <c r="AD428"/>
    </row>
    <row r="429" spans="17:30" ht="12.75" customHeight="1">
      <c r="Q429" s="364"/>
      <c r="R429" s="895" t="s">
        <v>886</v>
      </c>
      <c r="S429" s="896"/>
      <c r="T429" s="900" t="s">
        <v>835</v>
      </c>
      <c r="U429" s="900" t="s">
        <v>836</v>
      </c>
      <c r="V429" s="900" t="s">
        <v>837</v>
      </c>
      <c r="W429" s="902" t="s">
        <v>838</v>
      </c>
      <c r="X429" s="364"/>
      <c r="Y429" s="364"/>
      <c r="Z429" s="364"/>
      <c r="AA429"/>
      <c r="AB429"/>
      <c r="AC429"/>
      <c r="AD429"/>
    </row>
    <row r="430" spans="17:30" ht="12.75" customHeight="1">
      <c r="Q430" s="364"/>
      <c r="R430" s="892"/>
      <c r="S430" s="897"/>
      <c r="T430" s="901"/>
      <c r="U430" s="901"/>
      <c r="V430" s="901"/>
      <c r="W430" s="903"/>
      <c r="X430" s="364"/>
      <c r="Y430" s="364"/>
      <c r="Z430" s="364"/>
      <c r="AA430"/>
      <c r="AB430"/>
      <c r="AC430"/>
      <c r="AD430"/>
    </row>
    <row r="431" spans="17:30" ht="12.75" customHeight="1">
      <c r="Q431" s="364"/>
      <c r="R431" s="892"/>
      <c r="S431" s="897"/>
      <c r="T431" s="704">
        <f>T418-PPE!$I$15</f>
        <v>85.368800000000007</v>
      </c>
      <c r="U431" s="560">
        <f>U425</f>
        <v>2.6666666666666665</v>
      </c>
      <c r="V431" s="690">
        <f>IF(T431&gt;0,W431*U431," ")</f>
        <v>36.25</v>
      </c>
      <c r="W431" s="691">
        <f>IF(T431&gt;0,(VLOOKUP(T431,'Lookup Ready-reckoner'!$B$5:$E$1207,4))," ")</f>
        <v>13.59375</v>
      </c>
      <c r="X431" s="364"/>
      <c r="Y431" s="364"/>
      <c r="Z431" s="364"/>
      <c r="AA431"/>
      <c r="AB431"/>
      <c r="AC431"/>
      <c r="AD431"/>
    </row>
    <row r="432" spans="17:30" ht="12.75" customHeight="1">
      <c r="Q432" s="364"/>
      <c r="R432" s="898"/>
      <c r="S432" s="899"/>
      <c r="T432" s="447"/>
      <c r="U432" s="560"/>
      <c r="V432" s="690" t="str">
        <f>IF(T432&gt;0,W432*U432," ")</f>
        <v xml:space="preserve"> </v>
      </c>
      <c r="W432" s="691" t="str">
        <f>IF(T432&gt;0,(VLOOKUP(T432,'Lookup Ready-reckoner'!$B$5:$E$1007,4))," ")</f>
        <v xml:space="preserve"> </v>
      </c>
      <c r="X432" s="364"/>
      <c r="Y432" s="364"/>
      <c r="Z432" s="364"/>
      <c r="AA432"/>
      <c r="AB432"/>
      <c r="AC432"/>
      <c r="AD432"/>
    </row>
    <row r="433" spans="17:30" ht="12.75" customHeight="1" thickBot="1">
      <c r="Q433" s="364"/>
      <c r="R433" s="692" t="s">
        <v>839</v>
      </c>
      <c r="S433" s="693"/>
      <c r="T433" s="693"/>
      <c r="U433" s="705">
        <f>IF(T431&gt;0,(VLOOKUP(V433,'Lookup Ready-reckoner'!$L$5:$M$1207,2))," ")</f>
        <v>80.5</v>
      </c>
      <c r="V433" s="695">
        <f>IF(U431&gt;0,(SUM(V431:V432))," ")</f>
        <v>36.25</v>
      </c>
      <c r="W433" s="696"/>
      <c r="X433" s="364"/>
      <c r="Y433" s="364"/>
      <c r="Z433" s="364"/>
      <c r="AA433"/>
      <c r="AB433"/>
      <c r="AC433"/>
      <c r="AD433"/>
    </row>
    <row r="434" spans="17:30" ht="12.75" customHeight="1" thickBot="1">
      <c r="Q434" s="364"/>
      <c r="R434" s="364"/>
      <c r="S434" s="364"/>
      <c r="T434" s="364"/>
      <c r="U434" s="364"/>
      <c r="V434" s="364"/>
      <c r="W434" s="364"/>
      <c r="X434" s="364"/>
      <c r="Y434" s="364"/>
      <c r="Z434" s="364"/>
      <c r="AA434"/>
      <c r="AB434"/>
      <c r="AC434"/>
      <c r="AD434"/>
    </row>
    <row r="435" spans="17:30" ht="12.75" customHeight="1" thickTop="1">
      <c r="Q435" s="364"/>
      <c r="R435" s="916" t="s">
        <v>429</v>
      </c>
      <c r="S435" s="917"/>
      <c r="T435" s="917"/>
      <c r="U435" s="917"/>
      <c r="V435" s="917"/>
      <c r="W435" s="918"/>
      <c r="X435" s="364"/>
      <c r="Y435" s="364"/>
      <c r="Z435" s="364"/>
      <c r="AA435"/>
      <c r="AB435"/>
      <c r="AC435"/>
      <c r="AD435"/>
    </row>
    <row r="436" spans="17:30" ht="12.75" customHeight="1">
      <c r="Q436" s="364"/>
      <c r="R436" s="919"/>
      <c r="S436" s="920"/>
      <c r="T436" s="920"/>
      <c r="U436" s="920"/>
      <c r="V436" s="920"/>
      <c r="W436" s="921"/>
      <c r="X436" s="364"/>
      <c r="Y436" s="364"/>
      <c r="Z436" s="364"/>
      <c r="AA436"/>
      <c r="AB436"/>
      <c r="AC436"/>
      <c r="AD436"/>
    </row>
    <row r="437" spans="17:30" ht="12.75" customHeight="1" thickBot="1">
      <c r="Q437" s="364"/>
      <c r="R437" s="922"/>
      <c r="S437" s="923"/>
      <c r="T437" s="923"/>
      <c r="U437" s="923"/>
      <c r="V437" s="923"/>
      <c r="W437" s="924"/>
      <c r="X437" s="364"/>
      <c r="Y437" s="364"/>
      <c r="Z437" s="364"/>
      <c r="AA437"/>
      <c r="AB437"/>
      <c r="AC437"/>
      <c r="AD437"/>
    </row>
    <row r="438" spans="17:30" ht="12.75" customHeight="1" thickTop="1">
      <c r="Q438" s="364"/>
      <c r="R438" s="925" t="str">
        <f>R319</f>
        <v>Seco S215</v>
      </c>
      <c r="S438" s="925"/>
      <c r="T438" s="925"/>
      <c r="U438" s="925"/>
      <c r="V438" s="925"/>
      <c r="W438" s="925"/>
      <c r="X438" s="364"/>
      <c r="Y438" s="364"/>
      <c r="Z438" s="364"/>
      <c r="AA438"/>
      <c r="AB438"/>
      <c r="AC438"/>
      <c r="AD438"/>
    </row>
    <row r="439" spans="17:30" ht="12.75" customHeight="1" thickBot="1">
      <c r="Q439" s="364"/>
      <c r="R439" s="910" t="s">
        <v>205</v>
      </c>
      <c r="S439" s="911"/>
      <c r="T439" s="911"/>
      <c r="U439" s="911"/>
      <c r="V439" s="911"/>
      <c r="W439" s="912"/>
      <c r="X439" s="364"/>
      <c r="Y439" s="364"/>
      <c r="Z439" s="364"/>
      <c r="AA439"/>
      <c r="AB439"/>
      <c r="AC439"/>
      <c r="AD439"/>
    </row>
    <row r="440" spans="17:30" ht="12.75" customHeight="1" thickBot="1">
      <c r="Q440" s="364"/>
      <c r="R440" s="686" t="s">
        <v>59</v>
      </c>
      <c r="S440" s="577"/>
      <c r="T440" s="687"/>
      <c r="U440" s="687"/>
      <c r="V440" s="687"/>
      <c r="W440" s="688"/>
      <c r="X440" s="364"/>
      <c r="Y440" s="364"/>
      <c r="Z440" s="364"/>
      <c r="AA440"/>
      <c r="AB440"/>
      <c r="AC440"/>
      <c r="AD440"/>
    </row>
    <row r="441" spans="17:30" ht="12.75" customHeight="1">
      <c r="Q441" s="364"/>
      <c r="R441" s="895" t="s">
        <v>845</v>
      </c>
      <c r="S441" s="896"/>
      <c r="T441" s="900" t="s">
        <v>835</v>
      </c>
      <c r="U441" s="900" t="s">
        <v>836</v>
      </c>
      <c r="V441" s="900" t="s">
        <v>837</v>
      </c>
      <c r="W441" s="902" t="s">
        <v>838</v>
      </c>
      <c r="X441" s="364"/>
      <c r="Y441" s="364"/>
      <c r="Z441" s="364"/>
      <c r="AA441"/>
      <c r="AB441"/>
      <c r="AC441"/>
      <c r="AD441"/>
    </row>
    <row r="442" spans="17:30" ht="12.75" customHeight="1">
      <c r="Q442" s="364"/>
      <c r="R442" s="892"/>
      <c r="S442" s="897"/>
      <c r="T442" s="904"/>
      <c r="U442" s="904"/>
      <c r="V442" s="904"/>
      <c r="W442" s="905"/>
      <c r="X442" s="364"/>
      <c r="Y442" s="364"/>
      <c r="Z442" s="364"/>
      <c r="AA442"/>
      <c r="AB442"/>
      <c r="AC442"/>
      <c r="AD442"/>
    </row>
    <row r="443" spans="17:30" ht="12.75" customHeight="1">
      <c r="Q443" s="364"/>
      <c r="R443" s="892"/>
      <c r="S443" s="897"/>
      <c r="T443" s="901"/>
      <c r="U443" s="901"/>
      <c r="V443" s="901"/>
      <c r="W443" s="903"/>
      <c r="X443" s="364"/>
      <c r="Y443" s="364"/>
      <c r="Z443" s="364"/>
      <c r="AA443"/>
      <c r="AB443"/>
      <c r="AC443"/>
      <c r="AD443"/>
    </row>
    <row r="444" spans="17:30" ht="12.75" customHeight="1">
      <c r="Q444" s="364"/>
      <c r="R444" s="892"/>
      <c r="S444" s="897"/>
      <c r="T444" s="689">
        <f>X76</f>
        <v>122.02059991327964</v>
      </c>
      <c r="U444" s="560">
        <f>X62</f>
        <v>1.4285714285714284</v>
      </c>
      <c r="V444" s="690">
        <f>IF(T444&gt;0,W444*U444," ")</f>
        <v>79999.999999999985</v>
      </c>
      <c r="W444" s="691">
        <f>IF(T444&gt;0,(VLOOKUP(T444,'Lookup Ready-reckoner'!$B$5:$E$1207,4))," ")</f>
        <v>56000</v>
      </c>
      <c r="X444" s="364"/>
      <c r="Y444" s="364"/>
      <c r="Z444" s="364"/>
      <c r="AA444"/>
      <c r="AB444"/>
      <c r="AC444"/>
      <c r="AD444"/>
    </row>
    <row r="445" spans="17:30" ht="12.75" customHeight="1">
      <c r="Q445" s="364"/>
      <c r="R445" s="898"/>
      <c r="S445" s="899"/>
      <c r="T445" s="447"/>
      <c r="U445" s="560"/>
      <c r="V445" s="690" t="str">
        <f>IF(T445&gt;0,W445*U445," ")</f>
        <v xml:space="preserve"> </v>
      </c>
      <c r="W445" s="691" t="str">
        <f>IF(T445&gt;0,(VLOOKUP(T445,'Lookup Ready-reckoner'!$B$5:$E$1007,4))," ")</f>
        <v xml:space="preserve"> </v>
      </c>
      <c r="X445" s="364"/>
      <c r="Y445" s="364"/>
      <c r="Z445" s="364"/>
      <c r="AA445"/>
      <c r="AB445"/>
      <c r="AC445"/>
      <c r="AD445"/>
    </row>
    <row r="446" spans="17:30" ht="12.75" customHeight="1" thickBot="1">
      <c r="Q446" s="364"/>
      <c r="R446" s="692" t="s">
        <v>839</v>
      </c>
      <c r="S446" s="693"/>
      <c r="T446" s="693"/>
      <c r="U446" s="694">
        <f>IF(T444&gt;0,(VLOOKUP(V446,'Lookup Ready-reckoner'!$L$5:$M$1207,2))," ")</f>
        <v>113.95</v>
      </c>
      <c r="V446" s="695">
        <f>IF(U444&gt;0,(SUM(V444:V445))," ")</f>
        <v>79999.999999999985</v>
      </c>
      <c r="W446" s="696"/>
      <c r="X446" s="364"/>
      <c r="Y446" s="364"/>
      <c r="Z446" s="364"/>
      <c r="AA446"/>
      <c r="AB446"/>
      <c r="AC446"/>
      <c r="AD446"/>
    </row>
    <row r="447" spans="17:30" ht="12.75" customHeight="1" thickBot="1">
      <c r="Q447" s="364"/>
      <c r="R447" s="892"/>
      <c r="S447" s="893"/>
      <c r="T447" s="893"/>
      <c r="U447" s="893"/>
      <c r="V447" s="893"/>
      <c r="W447" s="894"/>
      <c r="X447" s="364"/>
      <c r="Y447" s="364"/>
      <c r="Z447" s="364"/>
      <c r="AA447"/>
      <c r="AB447"/>
      <c r="AC447"/>
      <c r="AD447"/>
    </row>
    <row r="448" spans="17:30" ht="12.75" customHeight="1">
      <c r="Q448" s="364"/>
      <c r="R448" s="895" t="s">
        <v>886</v>
      </c>
      <c r="S448" s="896"/>
      <c r="T448" s="900" t="s">
        <v>835</v>
      </c>
      <c r="U448" s="900" t="s">
        <v>836</v>
      </c>
      <c r="V448" s="900" t="s">
        <v>837</v>
      </c>
      <c r="W448" s="902" t="s">
        <v>838</v>
      </c>
      <c r="X448" s="364"/>
      <c r="Y448" s="364"/>
      <c r="Z448" s="364"/>
      <c r="AA448"/>
      <c r="AB448"/>
      <c r="AC448"/>
      <c r="AD448"/>
    </row>
    <row r="449" spans="17:30" ht="12.75" customHeight="1">
      <c r="Q449" s="364"/>
      <c r="R449" s="892"/>
      <c r="S449" s="897"/>
      <c r="T449" s="901"/>
      <c r="U449" s="901"/>
      <c r="V449" s="901"/>
      <c r="W449" s="903"/>
      <c r="X449" s="364"/>
      <c r="Y449" s="364"/>
      <c r="Z449" s="364"/>
      <c r="AA449"/>
      <c r="AB449"/>
      <c r="AC449"/>
      <c r="AD449"/>
    </row>
    <row r="450" spans="17:30" ht="12.75" customHeight="1">
      <c r="Q450" s="364"/>
      <c r="R450" s="892"/>
      <c r="S450" s="897"/>
      <c r="T450" s="689">
        <f>T444*(1-0.0178*2)</f>
        <v>117.67666655636688</v>
      </c>
      <c r="U450" s="560">
        <f>U444</f>
        <v>1.4285714285714284</v>
      </c>
      <c r="V450" s="690">
        <f>IF(T450&gt;0,W450*U450," ")</f>
        <v>33771.428571428565</v>
      </c>
      <c r="W450" s="691">
        <f>IF(T450&gt;0,(VLOOKUP(T450,'Lookup Ready-reckoner'!$B$5:$E$1207,4))," ")</f>
        <v>23640</v>
      </c>
      <c r="X450" s="364"/>
      <c r="Y450" s="364"/>
      <c r="Z450" s="364"/>
      <c r="AA450"/>
      <c r="AB450"/>
      <c r="AC450"/>
      <c r="AD450"/>
    </row>
    <row r="451" spans="17:30" ht="12.75" customHeight="1">
      <c r="Q451" s="364"/>
      <c r="R451" s="898"/>
      <c r="S451" s="899"/>
      <c r="T451" s="447"/>
      <c r="U451" s="560"/>
      <c r="V451" s="690" t="str">
        <f>IF(T451&gt;0,W451*U451," ")</f>
        <v xml:space="preserve"> </v>
      </c>
      <c r="W451" s="691" t="str">
        <f>IF(T451&gt;0,(VLOOKUP(T451,'Lookup Ready-reckoner'!$B$5:$E$1007,4))," ")</f>
        <v xml:space="preserve"> </v>
      </c>
      <c r="X451" s="364"/>
      <c r="Y451" s="364"/>
      <c r="Z451" s="364"/>
      <c r="AA451"/>
      <c r="AB451"/>
      <c r="AC451"/>
      <c r="AD451"/>
    </row>
    <row r="452" spans="17:30" ht="12.75" customHeight="1" thickBot="1">
      <c r="Q452" s="364"/>
      <c r="R452" s="692" t="s">
        <v>839</v>
      </c>
      <c r="S452" s="693"/>
      <c r="T452" s="693"/>
      <c r="U452" s="694">
        <f>IF(T450&gt;0,(VLOOKUP(V452,'Lookup Ready-reckoner'!$L$5:$M$1207,2))," ")</f>
        <v>110.2</v>
      </c>
      <c r="V452" s="695">
        <f>IF(U450&gt;0,(SUM(V450:V451))," ")</f>
        <v>33771.428571428565</v>
      </c>
      <c r="W452" s="696"/>
      <c r="X452" s="364"/>
      <c r="Y452" s="364"/>
      <c r="Z452" s="364"/>
      <c r="AA452"/>
      <c r="AB452"/>
      <c r="AC452"/>
      <c r="AD452"/>
    </row>
    <row r="453" spans="17:30" ht="12.75" customHeight="1">
      <c r="Q453" s="364"/>
      <c r="R453" s="697"/>
      <c r="S453" s="687"/>
      <c r="T453" s="687"/>
      <c r="U453" s="372"/>
      <c r="V453" s="374"/>
      <c r="W453" s="688"/>
      <c r="X453" s="364"/>
      <c r="Y453" s="364"/>
      <c r="Z453" s="364"/>
      <c r="AA453"/>
      <c r="AB453"/>
      <c r="AC453"/>
      <c r="AD453"/>
    </row>
    <row r="454" spans="17:30" ht="12.75" customHeight="1" thickBot="1">
      <c r="Q454" s="364"/>
      <c r="R454" s="686" t="s">
        <v>60</v>
      </c>
      <c r="S454" s="577"/>
      <c r="T454" s="577"/>
      <c r="U454" s="577"/>
      <c r="V454" s="577"/>
      <c r="W454" s="698"/>
      <c r="X454" s="364"/>
      <c r="Y454" s="364"/>
      <c r="Z454" s="364"/>
      <c r="AA454"/>
      <c r="AB454"/>
      <c r="AC454"/>
      <c r="AD454"/>
    </row>
    <row r="455" spans="17:30" ht="12.75" customHeight="1">
      <c r="Q455" s="364"/>
      <c r="R455" s="895" t="s">
        <v>845</v>
      </c>
      <c r="S455" s="896"/>
      <c r="T455" s="900" t="s">
        <v>835</v>
      </c>
      <c r="U455" s="900" t="s">
        <v>836</v>
      </c>
      <c r="V455" s="900" t="s">
        <v>837</v>
      </c>
      <c r="W455" s="902" t="s">
        <v>838</v>
      </c>
      <c r="X455" s="364"/>
      <c r="Y455" s="364"/>
      <c r="Z455" s="364"/>
      <c r="AA455"/>
      <c r="AB455"/>
      <c r="AC455"/>
      <c r="AD455"/>
    </row>
    <row r="456" spans="17:30" ht="12.75" customHeight="1">
      <c r="Q456" s="364"/>
      <c r="R456" s="892"/>
      <c r="S456" s="897"/>
      <c r="T456" s="901"/>
      <c r="U456" s="901"/>
      <c r="V456" s="901"/>
      <c r="W456" s="903"/>
      <c r="X456" s="364"/>
      <c r="Y456" s="364"/>
      <c r="Z456" s="364"/>
      <c r="AA456"/>
      <c r="AB456"/>
      <c r="AC456"/>
      <c r="AD456"/>
    </row>
    <row r="457" spans="17:30" ht="12.75" customHeight="1">
      <c r="Q457" s="364"/>
      <c r="R457" s="892"/>
      <c r="S457" s="897"/>
      <c r="T457" s="689">
        <f>T444-PPE!$I$15</f>
        <v>109.02059991327964</v>
      </c>
      <c r="U457" s="560">
        <f>U450</f>
        <v>1.4285714285714284</v>
      </c>
      <c r="V457" s="690">
        <f>IF(T457&gt;0,W457*U457," ")</f>
        <v>4571.4285714285706</v>
      </c>
      <c r="W457" s="691">
        <f>IF(T457&gt;0,(VLOOKUP(T457,'Lookup Ready-reckoner'!$B$5:$E$1207,4))," ")</f>
        <v>3200</v>
      </c>
      <c r="X457" s="364"/>
      <c r="Y457" s="364"/>
      <c r="Z457" s="364"/>
      <c r="AA457"/>
      <c r="AB457"/>
      <c r="AC457"/>
      <c r="AD457"/>
    </row>
    <row r="458" spans="17:30" ht="12.75" customHeight="1">
      <c r="Q458" s="364"/>
      <c r="R458" s="898"/>
      <c r="S458" s="899"/>
      <c r="T458" s="447"/>
      <c r="U458" s="560"/>
      <c r="V458" s="690" t="str">
        <f>IF(T458&gt;0,W458*U458," ")</f>
        <v xml:space="preserve"> </v>
      </c>
      <c r="W458" s="691" t="str">
        <f>IF(T458&gt;0,(VLOOKUP(T458,'Lookup Ready-reckoner'!$B$5:$E$1007,4))," ")</f>
        <v xml:space="preserve"> </v>
      </c>
      <c r="X458" s="364"/>
      <c r="Y458" s="364"/>
      <c r="Z458" s="364"/>
      <c r="AA458"/>
      <c r="AB458"/>
      <c r="AC458"/>
      <c r="AD458"/>
    </row>
    <row r="459" spans="17:30" ht="12.75" customHeight="1" thickBot="1">
      <c r="Q459" s="364"/>
      <c r="R459" s="699" t="s">
        <v>839</v>
      </c>
      <c r="S459" s="693"/>
      <c r="T459" s="693"/>
      <c r="U459" s="694">
        <f>IF(T457&gt;0,(VLOOKUP(V459,'Lookup Ready-reckoner'!$L$5:$M$1207,2))," ")</f>
        <v>101.55</v>
      </c>
      <c r="V459" s="695">
        <f>IF(U457&gt;0,(SUM(V457:V458))," ")</f>
        <v>4571.4285714285706</v>
      </c>
      <c r="W459" s="696"/>
      <c r="X459" s="364"/>
      <c r="Y459" s="364"/>
      <c r="Z459" s="364"/>
      <c r="AA459"/>
      <c r="AB459"/>
      <c r="AC459"/>
      <c r="AD459"/>
    </row>
    <row r="460" spans="17:30" ht="12.75" customHeight="1" thickBot="1">
      <c r="Q460" s="364"/>
      <c r="R460" s="892"/>
      <c r="S460" s="893"/>
      <c r="T460" s="893"/>
      <c r="U460" s="893"/>
      <c r="V460" s="893"/>
      <c r="W460" s="894"/>
      <c r="X460" s="364"/>
      <c r="Y460" s="364"/>
      <c r="Z460" s="364"/>
      <c r="AA460"/>
      <c r="AB460"/>
      <c r="AC460"/>
      <c r="AD460"/>
    </row>
    <row r="461" spans="17:30" ht="12.75" customHeight="1">
      <c r="Q461" s="364"/>
      <c r="R461" s="895" t="s">
        <v>886</v>
      </c>
      <c r="S461" s="896"/>
      <c r="T461" s="900" t="s">
        <v>835</v>
      </c>
      <c r="U461" s="900" t="s">
        <v>836</v>
      </c>
      <c r="V461" s="900" t="s">
        <v>837</v>
      </c>
      <c r="W461" s="902" t="s">
        <v>838</v>
      </c>
      <c r="X461" s="364"/>
      <c r="Y461" s="364"/>
      <c r="Z461" s="364"/>
      <c r="AA461"/>
      <c r="AB461"/>
      <c r="AC461"/>
      <c r="AD461"/>
    </row>
    <row r="462" spans="17:30" ht="12.75" customHeight="1">
      <c r="Q462" s="364"/>
      <c r="R462" s="892"/>
      <c r="S462" s="897"/>
      <c r="T462" s="901"/>
      <c r="U462" s="901"/>
      <c r="V462" s="901"/>
      <c r="W462" s="903"/>
      <c r="X462" s="364"/>
      <c r="Y462" s="364"/>
      <c r="Z462" s="364"/>
      <c r="AA462"/>
      <c r="AB462"/>
      <c r="AC462"/>
      <c r="AD462"/>
    </row>
    <row r="463" spans="17:30" ht="12.75" customHeight="1">
      <c r="Q463" s="364"/>
      <c r="R463" s="892"/>
      <c r="S463" s="897"/>
      <c r="T463" s="689">
        <f>T450-PPE!$I$15</f>
        <v>104.67666655636688</v>
      </c>
      <c r="U463" s="560">
        <f>U457</f>
        <v>1.4285714285714284</v>
      </c>
      <c r="V463" s="690">
        <f>IF(T463&gt;0,W463*U463," ")</f>
        <v>1660.7142857142856</v>
      </c>
      <c r="W463" s="691">
        <f>IF(T463&gt;0,(VLOOKUP(T463,'Lookup Ready-reckoner'!$B$5:$E$1207,4))," ")</f>
        <v>1162.5</v>
      </c>
      <c r="X463" s="364"/>
      <c r="Y463" s="364"/>
      <c r="Z463" s="364"/>
      <c r="AA463"/>
      <c r="AB463"/>
      <c r="AC463"/>
      <c r="AD463"/>
    </row>
    <row r="464" spans="17:30" ht="12.75" customHeight="1">
      <c r="Q464" s="364"/>
      <c r="R464" s="898"/>
      <c r="S464" s="899"/>
      <c r="T464" s="447"/>
      <c r="U464" s="560"/>
      <c r="V464" s="690" t="str">
        <f>IF(T464&gt;0,W464*U464," ")</f>
        <v xml:space="preserve"> </v>
      </c>
      <c r="W464" s="691" t="str">
        <f>IF(T464&gt;0,(VLOOKUP(T464,'Lookup Ready-reckoner'!$B$5:$E$1007,4))," ")</f>
        <v xml:space="preserve"> </v>
      </c>
      <c r="X464" s="364"/>
      <c r="Y464" s="364"/>
      <c r="Z464" s="364"/>
      <c r="AA464"/>
      <c r="AB464"/>
      <c r="AC464"/>
      <c r="AD464"/>
    </row>
    <row r="465" spans="17:30" ht="12.75" customHeight="1" thickBot="1">
      <c r="Q465" s="364"/>
      <c r="R465" s="692" t="s">
        <v>839</v>
      </c>
      <c r="S465" s="693"/>
      <c r="T465" s="693"/>
      <c r="U465" s="694">
        <f>IF(T463&gt;0,(VLOOKUP(V465,'Lookup Ready-reckoner'!$L$5:$M$1207,2))," ")</f>
        <v>97.15</v>
      </c>
      <c r="V465" s="695">
        <f>IF(U463&gt;0,(SUM(V463:V464))," ")</f>
        <v>1660.7142857142856</v>
      </c>
      <c r="W465" s="696"/>
      <c r="X465" s="364"/>
      <c r="Y465" s="364"/>
      <c r="Z465" s="364"/>
      <c r="AA465"/>
      <c r="AB465"/>
      <c r="AC465"/>
      <c r="AD465"/>
    </row>
    <row r="466" spans="17:30" ht="12.75" customHeight="1">
      <c r="Q466" s="364"/>
      <c r="R466" s="363"/>
      <c r="S466" s="363"/>
      <c r="T466" s="363"/>
      <c r="U466" s="363"/>
      <c r="V466" s="363"/>
      <c r="W466" s="363"/>
      <c r="X466" s="364"/>
      <c r="Y466" s="364"/>
      <c r="Z466" s="364"/>
      <c r="AA466"/>
      <c r="AB466"/>
      <c r="AC466"/>
      <c r="AD466"/>
    </row>
    <row r="467" spans="17:30" ht="12.75" customHeight="1" thickBot="1">
      <c r="Q467" s="364"/>
      <c r="R467" s="915" t="str">
        <f>R348</f>
        <v>Seco S215 Muffled</v>
      </c>
      <c r="S467" s="915"/>
      <c r="T467" s="915"/>
      <c r="U467" s="915"/>
      <c r="V467" s="915"/>
      <c r="W467" s="915"/>
      <c r="X467" s="364"/>
      <c r="Y467" s="364"/>
      <c r="Z467" s="364"/>
      <c r="AA467"/>
      <c r="AB467"/>
      <c r="AC467"/>
      <c r="AD467"/>
    </row>
    <row r="468" spans="17:30" ht="12.75" customHeight="1" thickBot="1">
      <c r="Q468" s="364"/>
      <c r="R468" s="906" t="s">
        <v>205</v>
      </c>
      <c r="S468" s="907"/>
      <c r="T468" s="907"/>
      <c r="U468" s="907"/>
      <c r="V468" s="907"/>
      <c r="W468" s="908"/>
      <c r="X468" s="364"/>
      <c r="Y468" s="364"/>
      <c r="Z468" s="364"/>
      <c r="AA468"/>
      <c r="AB468"/>
      <c r="AC468"/>
      <c r="AD468"/>
    </row>
    <row r="469" spans="17:30" ht="12.75" customHeight="1" thickBot="1">
      <c r="Q469" s="364"/>
      <c r="R469" s="686" t="s">
        <v>59</v>
      </c>
      <c r="S469" s="577"/>
      <c r="T469" s="687"/>
      <c r="U469" s="687"/>
      <c r="V469" s="687"/>
      <c r="W469" s="688"/>
      <c r="X469" s="364"/>
      <c r="Y469" s="364"/>
      <c r="Z469" s="364"/>
      <c r="AA469"/>
      <c r="AB469"/>
      <c r="AC469"/>
      <c r="AD469"/>
    </row>
    <row r="470" spans="17:30" ht="12.75" customHeight="1">
      <c r="Q470" s="364"/>
      <c r="R470" s="895" t="s">
        <v>845</v>
      </c>
      <c r="S470" s="896"/>
      <c r="T470" s="900" t="s">
        <v>835</v>
      </c>
      <c r="U470" s="900" t="s">
        <v>836</v>
      </c>
      <c r="V470" s="900" t="s">
        <v>837</v>
      </c>
      <c r="W470" s="902" t="s">
        <v>838</v>
      </c>
      <c r="X470" s="364"/>
      <c r="Y470" s="364"/>
      <c r="Z470" s="364"/>
      <c r="AA470"/>
      <c r="AB470"/>
      <c r="AC470"/>
      <c r="AD470"/>
    </row>
    <row r="471" spans="17:30" ht="12.75" customHeight="1">
      <c r="Q471" s="364"/>
      <c r="R471" s="892"/>
      <c r="S471" s="897"/>
      <c r="T471" s="904"/>
      <c r="U471" s="904"/>
      <c r="V471" s="904"/>
      <c r="W471" s="905"/>
      <c r="X471" s="364"/>
      <c r="Y471" s="364"/>
      <c r="Z471" s="364"/>
      <c r="AA471"/>
      <c r="AB471"/>
      <c r="AC471"/>
      <c r="AD471"/>
    </row>
    <row r="472" spans="17:30" ht="12.75" customHeight="1">
      <c r="Q472" s="364"/>
      <c r="R472" s="892"/>
      <c r="S472" s="897"/>
      <c r="T472" s="901"/>
      <c r="U472" s="901"/>
      <c r="V472" s="901"/>
      <c r="W472" s="903"/>
      <c r="X472" s="364"/>
      <c r="Y472" s="364"/>
      <c r="Z472" s="364"/>
      <c r="AA472"/>
      <c r="AB472"/>
      <c r="AC472"/>
      <c r="AD472"/>
    </row>
    <row r="473" spans="17:30" ht="12.75" customHeight="1">
      <c r="Q473" s="364"/>
      <c r="R473" s="892"/>
      <c r="S473" s="897"/>
      <c r="T473" s="700">
        <f>V76</f>
        <v>114.02059991327963</v>
      </c>
      <c r="U473" s="560">
        <f>V62</f>
        <v>1.9999999999999996</v>
      </c>
      <c r="V473" s="690">
        <f>IF(T473&gt;0,W473*U473," ")</f>
        <v>19999.999999999996</v>
      </c>
      <c r="W473" s="691">
        <f>IF(T473&gt;0,(VLOOKUP(T473,'Lookup Ready-reckoner'!$B$5:$E$1207,4))," ")</f>
        <v>10000</v>
      </c>
      <c r="X473" s="364"/>
      <c r="Y473" s="364"/>
      <c r="Z473" s="364"/>
      <c r="AA473"/>
      <c r="AB473"/>
      <c r="AC473"/>
      <c r="AD473"/>
    </row>
    <row r="474" spans="17:30" ht="12.75" customHeight="1">
      <c r="Q474" s="364"/>
      <c r="R474" s="898"/>
      <c r="S474" s="899"/>
      <c r="T474" s="447"/>
      <c r="U474" s="560"/>
      <c r="V474" s="690" t="str">
        <f>IF(T474&gt;0,W474*U474," ")</f>
        <v xml:space="preserve"> </v>
      </c>
      <c r="W474" s="691" t="str">
        <f>IF(T474&gt;0,(VLOOKUP(T474,'Lookup Ready-reckoner'!$B$5:$E$1007,4))," ")</f>
        <v xml:space="preserve"> </v>
      </c>
      <c r="X474" s="364"/>
      <c r="Y474" s="364"/>
      <c r="Z474" s="364"/>
      <c r="AA474"/>
      <c r="AB474"/>
      <c r="AC474"/>
      <c r="AD474"/>
    </row>
    <row r="475" spans="17:30" ht="12.75" customHeight="1" thickBot="1">
      <c r="Q475" s="364"/>
      <c r="R475" s="699" t="s">
        <v>839</v>
      </c>
      <c r="S475" s="693"/>
      <c r="T475" s="693"/>
      <c r="U475" s="701">
        <f>IF(T473&gt;0,(VLOOKUP(V475,'Lookup Ready-reckoner'!$L$5:$M$1207,2))," ")</f>
        <v>107.95</v>
      </c>
      <c r="V475" s="695">
        <f>IF(U473&gt;0,(SUM(V473:V474))," ")</f>
        <v>19999.999999999996</v>
      </c>
      <c r="W475" s="696"/>
      <c r="X475" s="364"/>
      <c r="Y475" s="364"/>
      <c r="Z475" s="364"/>
      <c r="AA475"/>
      <c r="AB475"/>
      <c r="AC475"/>
      <c r="AD475"/>
    </row>
    <row r="476" spans="17:30" ht="12.75" customHeight="1" thickBot="1">
      <c r="Q476" s="364"/>
      <c r="R476" s="892"/>
      <c r="S476" s="893"/>
      <c r="T476" s="893"/>
      <c r="U476" s="893"/>
      <c r="V476" s="893"/>
      <c r="W476" s="894"/>
      <c r="X476" s="364"/>
      <c r="Y476" s="364"/>
      <c r="Z476" s="364"/>
      <c r="AA476"/>
      <c r="AB476"/>
      <c r="AC476"/>
      <c r="AD476"/>
    </row>
    <row r="477" spans="17:30" ht="12.75" customHeight="1">
      <c r="Q477" s="364"/>
      <c r="R477" s="895" t="s">
        <v>886</v>
      </c>
      <c r="S477" s="896"/>
      <c r="T477" s="900" t="s">
        <v>835</v>
      </c>
      <c r="U477" s="900" t="s">
        <v>836</v>
      </c>
      <c r="V477" s="900" t="s">
        <v>837</v>
      </c>
      <c r="W477" s="902" t="s">
        <v>838</v>
      </c>
      <c r="X477" s="364"/>
      <c r="Y477" s="364"/>
      <c r="Z477" s="364"/>
      <c r="AA477"/>
      <c r="AB477"/>
      <c r="AC477"/>
      <c r="AD477"/>
    </row>
    <row r="478" spans="17:30" ht="12.75" customHeight="1">
      <c r="Q478" s="364"/>
      <c r="R478" s="892"/>
      <c r="S478" s="897"/>
      <c r="T478" s="901"/>
      <c r="U478" s="901"/>
      <c r="V478" s="901"/>
      <c r="W478" s="903"/>
      <c r="X478" s="364"/>
      <c r="Y478" s="364"/>
      <c r="Z478" s="364"/>
      <c r="AA478"/>
      <c r="AB478"/>
      <c r="AC478"/>
      <c r="AD478"/>
    </row>
    <row r="479" spans="17:30" ht="12.75" customHeight="1">
      <c r="Q479" s="364"/>
      <c r="R479" s="892"/>
      <c r="S479" s="897"/>
      <c r="T479" s="700">
        <f>T473*(1-0.0178*2)</f>
        <v>109.96146655636687</v>
      </c>
      <c r="U479" s="560">
        <f>U473</f>
        <v>1.9999999999999996</v>
      </c>
      <c r="V479" s="690">
        <f>IF(T479&gt;0,W479*U479," ")</f>
        <v>7919.9999999999982</v>
      </c>
      <c r="W479" s="691">
        <f>IF(T479&gt;0,(VLOOKUP(T479,'Lookup Ready-reckoner'!$B$5:$E$1207,4))," ")</f>
        <v>3960</v>
      </c>
      <c r="X479" s="364"/>
      <c r="Y479" s="364"/>
      <c r="Z479" s="364"/>
      <c r="AA479"/>
      <c r="AB479"/>
      <c r="AC479"/>
      <c r="AD479"/>
    </row>
    <row r="480" spans="17:30" ht="12.75" customHeight="1">
      <c r="Q480" s="364"/>
      <c r="R480" s="898"/>
      <c r="S480" s="899"/>
      <c r="T480" s="447"/>
      <c r="U480" s="560"/>
      <c r="V480" s="690" t="str">
        <f>IF(T480&gt;0,W480*U480," ")</f>
        <v xml:space="preserve"> </v>
      </c>
      <c r="W480" s="691" t="str">
        <f>IF(T480&gt;0,(VLOOKUP(T480,'Lookup Ready-reckoner'!$B$5:$E$1007,4))," ")</f>
        <v xml:space="preserve"> </v>
      </c>
      <c r="X480" s="364"/>
      <c r="Y480" s="364"/>
      <c r="Z480" s="364"/>
      <c r="AA480"/>
      <c r="AB480"/>
      <c r="AC480"/>
      <c r="AD480"/>
    </row>
    <row r="481" spans="17:30" ht="12.75" customHeight="1" thickBot="1">
      <c r="Q481" s="364"/>
      <c r="R481" s="692" t="s">
        <v>839</v>
      </c>
      <c r="S481" s="693"/>
      <c r="T481" s="693"/>
      <c r="U481" s="701">
        <f>IF(T479&gt;0,(VLOOKUP(V481,'Lookup Ready-reckoner'!$L$5:$M$1207,2))," ")</f>
        <v>103.9</v>
      </c>
      <c r="V481" s="695">
        <f>IF(U479&gt;0,(SUM(V479:V480))," ")</f>
        <v>7919.9999999999982</v>
      </c>
      <c r="W481" s="696"/>
      <c r="X481" s="364"/>
      <c r="Y481" s="364"/>
      <c r="Z481" s="364"/>
      <c r="AA481"/>
      <c r="AB481"/>
      <c r="AC481"/>
      <c r="AD481"/>
    </row>
    <row r="482" spans="17:30" ht="12.75" customHeight="1">
      <c r="Q482" s="364"/>
      <c r="R482" s="697"/>
      <c r="S482" s="687"/>
      <c r="T482" s="687"/>
      <c r="U482" s="372"/>
      <c r="V482" s="374"/>
      <c r="W482" s="688"/>
      <c r="X482" s="364"/>
      <c r="Y482" s="364"/>
      <c r="Z482" s="364"/>
      <c r="AA482"/>
      <c r="AB482"/>
      <c r="AC482"/>
      <c r="AD482"/>
    </row>
    <row r="483" spans="17:30" ht="12.75" customHeight="1" thickBot="1">
      <c r="Q483" s="364"/>
      <c r="R483" s="686" t="s">
        <v>60</v>
      </c>
      <c r="S483" s="577"/>
      <c r="T483" s="577"/>
      <c r="U483" s="577"/>
      <c r="V483" s="577"/>
      <c r="W483" s="698"/>
      <c r="X483" s="364"/>
      <c r="Y483" s="364"/>
      <c r="Z483" s="364"/>
      <c r="AA483"/>
      <c r="AB483"/>
      <c r="AC483"/>
      <c r="AD483"/>
    </row>
    <row r="484" spans="17:30" ht="12.75" customHeight="1">
      <c r="Q484" s="364"/>
      <c r="R484" s="895" t="s">
        <v>845</v>
      </c>
      <c r="S484" s="896"/>
      <c r="T484" s="900" t="s">
        <v>835</v>
      </c>
      <c r="U484" s="900" t="s">
        <v>836</v>
      </c>
      <c r="V484" s="900" t="s">
        <v>837</v>
      </c>
      <c r="W484" s="902" t="s">
        <v>838</v>
      </c>
      <c r="X484" s="364"/>
      <c r="Y484" s="364"/>
      <c r="Z484" s="364"/>
      <c r="AA484"/>
      <c r="AB484"/>
      <c r="AC484"/>
      <c r="AD484"/>
    </row>
    <row r="485" spans="17:30" ht="12.75" customHeight="1">
      <c r="Q485" s="364"/>
      <c r="R485" s="892"/>
      <c r="S485" s="897"/>
      <c r="T485" s="901"/>
      <c r="U485" s="901"/>
      <c r="V485" s="901"/>
      <c r="W485" s="903"/>
      <c r="X485" s="364"/>
      <c r="Y485" s="364"/>
      <c r="Z485" s="364"/>
      <c r="AA485"/>
      <c r="AB485"/>
      <c r="AC485"/>
      <c r="AD485"/>
    </row>
    <row r="486" spans="17:30" ht="12.75" customHeight="1">
      <c r="Q486" s="364"/>
      <c r="R486" s="892"/>
      <c r="S486" s="897"/>
      <c r="T486" s="700">
        <f>T473-PPE!$I$15</f>
        <v>101.02059991327963</v>
      </c>
      <c r="U486" s="560">
        <f>U479</f>
        <v>1.9999999999999996</v>
      </c>
      <c r="V486" s="690">
        <f>IF(T486&gt;0,W486*U486," ")</f>
        <v>999.99999999999977</v>
      </c>
      <c r="W486" s="691">
        <f>IF(T486&gt;0,(VLOOKUP(T486,'Lookup Ready-reckoner'!$B$5:$E$1207,4))," ")</f>
        <v>500</v>
      </c>
      <c r="X486" s="364"/>
      <c r="Y486" s="364"/>
      <c r="Z486" s="364"/>
      <c r="AA486"/>
      <c r="AB486"/>
      <c r="AC486"/>
      <c r="AD486"/>
    </row>
    <row r="487" spans="17:30" ht="12.75" customHeight="1">
      <c r="Q487" s="364"/>
      <c r="R487" s="898"/>
      <c r="S487" s="899"/>
      <c r="T487" s="447"/>
      <c r="U487" s="560"/>
      <c r="V487" s="690" t="str">
        <f>IF(T487&gt;0,W487*U487," ")</f>
        <v xml:space="preserve"> </v>
      </c>
      <c r="W487" s="691" t="str">
        <f>IF(T487&gt;0,(VLOOKUP(T487,'Lookup Ready-reckoner'!$B$5:$E$1007,4))," ")</f>
        <v xml:space="preserve"> </v>
      </c>
      <c r="X487" s="364"/>
      <c r="Y487" s="364"/>
      <c r="Z487" s="364"/>
      <c r="AA487"/>
      <c r="AB487"/>
      <c r="AC487"/>
      <c r="AD487"/>
    </row>
    <row r="488" spans="17:30" ht="12.75" customHeight="1" thickBot="1">
      <c r="Q488" s="364"/>
      <c r="R488" s="692" t="s">
        <v>839</v>
      </c>
      <c r="S488" s="693"/>
      <c r="T488" s="693"/>
      <c r="U488" s="701">
        <f>IF(T486&gt;0,(VLOOKUP(V488,'Lookup Ready-reckoner'!$L$5:$M$1207,2))," ")</f>
        <v>94.95</v>
      </c>
      <c r="V488" s="695">
        <f>IF(U486&gt;0,(SUM(V486:V487))," ")</f>
        <v>999.99999999999977</v>
      </c>
      <c r="W488" s="696"/>
      <c r="X488" s="364"/>
      <c r="Y488" s="364"/>
      <c r="Z488" s="364"/>
      <c r="AA488"/>
      <c r="AB488"/>
      <c r="AC488"/>
      <c r="AD488"/>
    </row>
    <row r="489" spans="17:30" ht="12.75" customHeight="1" thickBot="1">
      <c r="Q489" s="364"/>
      <c r="R489" s="892"/>
      <c r="S489" s="893"/>
      <c r="T489" s="893"/>
      <c r="U489" s="893"/>
      <c r="V489" s="893"/>
      <c r="W489" s="894"/>
      <c r="X489" s="364"/>
      <c r="Y489" s="364"/>
      <c r="Z489" s="364"/>
      <c r="AA489"/>
      <c r="AB489"/>
      <c r="AC489"/>
      <c r="AD489"/>
    </row>
    <row r="490" spans="17:30" ht="12.75" customHeight="1">
      <c r="Q490" s="364"/>
      <c r="R490" s="895" t="s">
        <v>886</v>
      </c>
      <c r="S490" s="896"/>
      <c r="T490" s="900" t="s">
        <v>835</v>
      </c>
      <c r="U490" s="900" t="s">
        <v>836</v>
      </c>
      <c r="V490" s="900" t="s">
        <v>837</v>
      </c>
      <c r="W490" s="902" t="s">
        <v>838</v>
      </c>
      <c r="X490" s="364"/>
      <c r="Y490" s="364"/>
      <c r="Z490" s="364"/>
      <c r="AA490"/>
      <c r="AB490"/>
      <c r="AC490"/>
      <c r="AD490"/>
    </row>
    <row r="491" spans="17:30" ht="12.75" customHeight="1">
      <c r="Q491" s="364"/>
      <c r="R491" s="892"/>
      <c r="S491" s="897"/>
      <c r="T491" s="901"/>
      <c r="U491" s="901"/>
      <c r="V491" s="901"/>
      <c r="W491" s="903"/>
      <c r="X491" s="364"/>
      <c r="Y491" s="364"/>
      <c r="Z491" s="364"/>
      <c r="AA491"/>
      <c r="AB491"/>
      <c r="AC491"/>
      <c r="AD491"/>
    </row>
    <row r="492" spans="17:30" ht="12.75" customHeight="1">
      <c r="Q492" s="364"/>
      <c r="R492" s="892"/>
      <c r="S492" s="897"/>
      <c r="T492" s="700">
        <f>T479-PPE!$I$15</f>
        <v>96.961466556366872</v>
      </c>
      <c r="U492" s="560">
        <f>U486</f>
        <v>1.9999999999999996</v>
      </c>
      <c r="V492" s="690">
        <f>IF(T492&gt;0,W492*U492," ")</f>
        <v>395.62499999999989</v>
      </c>
      <c r="W492" s="691">
        <f>IF(T492&gt;0,(VLOOKUP(T492,'Lookup Ready-reckoner'!$B$5:$E$1207,4))," ")</f>
        <v>197.8125</v>
      </c>
      <c r="X492" s="364"/>
      <c r="Y492" s="364"/>
      <c r="Z492" s="364"/>
      <c r="AA492"/>
      <c r="AB492"/>
      <c r="AC492"/>
      <c r="AD492"/>
    </row>
    <row r="493" spans="17:30" ht="12.75" customHeight="1">
      <c r="Q493" s="364"/>
      <c r="R493" s="898"/>
      <c r="S493" s="899"/>
      <c r="T493" s="447"/>
      <c r="U493" s="560"/>
      <c r="V493" s="690" t="str">
        <f>IF(T493&gt;0,W493*U493," ")</f>
        <v xml:space="preserve"> </v>
      </c>
      <c r="W493" s="691" t="str">
        <f>IF(T493&gt;0,(VLOOKUP(T493,'Lookup Ready-reckoner'!$B$5:$E$1007,4))," ")</f>
        <v xml:space="preserve"> </v>
      </c>
      <c r="X493" s="364"/>
      <c r="Y493" s="364"/>
      <c r="Z493" s="364"/>
      <c r="AA493"/>
      <c r="AB493"/>
      <c r="AC493"/>
      <c r="AD493"/>
    </row>
    <row r="494" spans="17:30" ht="12.75" customHeight="1" thickBot="1">
      <c r="Q494" s="364"/>
      <c r="R494" s="692" t="s">
        <v>839</v>
      </c>
      <c r="S494" s="693"/>
      <c r="T494" s="693"/>
      <c r="U494" s="701">
        <f>IF(T492&gt;0,(VLOOKUP(V494,'Lookup Ready-reckoner'!$L$5:$M$1207,2))," ")</f>
        <v>90.9</v>
      </c>
      <c r="V494" s="695">
        <f>IF(U492&gt;0,(SUM(V492:V493))," ")</f>
        <v>395.62499999999989</v>
      </c>
      <c r="W494" s="696"/>
      <c r="X494" s="364"/>
      <c r="Y494" s="364"/>
      <c r="Z494" s="364"/>
      <c r="AA494"/>
      <c r="AB494"/>
      <c r="AC494"/>
      <c r="AD494"/>
    </row>
    <row r="495" spans="17:30" ht="12.75" customHeight="1">
      <c r="Q495" s="364"/>
      <c r="R495" s="363"/>
      <c r="S495" s="363"/>
      <c r="T495" s="363"/>
      <c r="U495" s="363"/>
      <c r="V495" s="363"/>
      <c r="W495" s="363"/>
      <c r="X495" s="364"/>
      <c r="Y495" s="364"/>
      <c r="Z495" s="364"/>
      <c r="AA495"/>
      <c r="AB495"/>
      <c r="AC495"/>
      <c r="AD495"/>
    </row>
    <row r="496" spans="17:30" ht="12.75" customHeight="1">
      <c r="Q496" s="364"/>
      <c r="R496" s="913" t="str">
        <f>R377</f>
        <v>Sulzer ADDS</v>
      </c>
      <c r="S496" s="914"/>
      <c r="T496" s="914"/>
      <c r="U496" s="914"/>
      <c r="V496" s="914"/>
      <c r="W496" s="914"/>
      <c r="X496" s="364"/>
      <c r="Y496" s="364"/>
      <c r="Z496" s="364"/>
      <c r="AA496"/>
      <c r="AB496"/>
      <c r="AC496"/>
      <c r="AD496"/>
    </row>
    <row r="497" spans="17:30" ht="12.75" customHeight="1" thickBot="1">
      <c r="Q497" s="364"/>
      <c r="R497" s="910" t="s">
        <v>205</v>
      </c>
      <c r="S497" s="911"/>
      <c r="T497" s="911"/>
      <c r="U497" s="911"/>
      <c r="V497" s="911"/>
      <c r="W497" s="912"/>
      <c r="X497" s="364"/>
      <c r="Y497" s="364"/>
      <c r="Z497" s="364"/>
      <c r="AA497"/>
      <c r="AB497"/>
      <c r="AC497"/>
      <c r="AD497"/>
    </row>
    <row r="498" spans="17:30" ht="12.75" customHeight="1" thickBot="1">
      <c r="Q498" s="364"/>
      <c r="R498" s="686" t="s">
        <v>59</v>
      </c>
      <c r="S498" s="577"/>
      <c r="T498" s="687"/>
      <c r="U498" s="687"/>
      <c r="V498" s="687"/>
      <c r="W498" s="688"/>
      <c r="X498" s="364"/>
      <c r="Y498" s="364"/>
      <c r="Z498" s="364"/>
      <c r="AA498"/>
      <c r="AB498"/>
      <c r="AC498"/>
      <c r="AD498"/>
    </row>
    <row r="499" spans="17:30" ht="12.75" customHeight="1">
      <c r="Q499" s="364"/>
      <c r="R499" s="895" t="s">
        <v>845</v>
      </c>
      <c r="S499" s="896"/>
      <c r="T499" s="900" t="s">
        <v>835</v>
      </c>
      <c r="U499" s="900" t="s">
        <v>836</v>
      </c>
      <c r="V499" s="900" t="s">
        <v>837</v>
      </c>
      <c r="W499" s="902" t="s">
        <v>838</v>
      </c>
      <c r="X499" s="364"/>
      <c r="Y499" s="364"/>
      <c r="Z499" s="364"/>
      <c r="AA499"/>
      <c r="AB499"/>
      <c r="AC499"/>
      <c r="AD499"/>
    </row>
    <row r="500" spans="17:30" ht="12.75" customHeight="1">
      <c r="Q500" s="364"/>
      <c r="R500" s="892"/>
      <c r="S500" s="897"/>
      <c r="T500" s="904"/>
      <c r="U500" s="904"/>
      <c r="V500" s="904"/>
      <c r="W500" s="905"/>
      <c r="X500" s="364"/>
      <c r="Y500" s="364"/>
      <c r="Z500" s="364"/>
      <c r="AA500"/>
      <c r="AB500"/>
      <c r="AC500"/>
      <c r="AD500"/>
    </row>
    <row r="501" spans="17:30" ht="12.75" customHeight="1">
      <c r="Q501" s="364"/>
      <c r="R501" s="892"/>
      <c r="S501" s="897"/>
      <c r="T501" s="901"/>
      <c r="U501" s="901"/>
      <c r="V501" s="901"/>
      <c r="W501" s="903"/>
      <c r="X501" s="364"/>
      <c r="Y501" s="364"/>
      <c r="Z501" s="364"/>
      <c r="AA501"/>
      <c r="AB501"/>
      <c r="AC501"/>
      <c r="AD501"/>
    </row>
    <row r="502" spans="17:30" ht="12.75" customHeight="1">
      <c r="Q502" s="364"/>
      <c r="R502" s="892"/>
      <c r="S502" s="897"/>
      <c r="T502" s="702">
        <f>W76</f>
        <v>115.02059991327963</v>
      </c>
      <c r="U502" s="560">
        <f>W62</f>
        <v>1.7391304347826084</v>
      </c>
      <c r="V502" s="690">
        <f>IF(T502&gt;0,W502*U502," ")</f>
        <v>22260.869565217388</v>
      </c>
      <c r="W502" s="691">
        <f>IF(T502&gt;0,(VLOOKUP(T502,'Lookup Ready-reckoner'!$B$5:$E$1207,4))," ")</f>
        <v>12800</v>
      </c>
      <c r="X502" s="364"/>
      <c r="Y502" s="364"/>
      <c r="Z502" s="364"/>
      <c r="AA502"/>
      <c r="AB502"/>
      <c r="AC502"/>
      <c r="AD502"/>
    </row>
    <row r="503" spans="17:30" ht="12.75" customHeight="1">
      <c r="Q503" s="364"/>
      <c r="R503" s="898"/>
      <c r="S503" s="899"/>
      <c r="T503" s="447"/>
      <c r="U503" s="560"/>
      <c r="V503" s="690" t="str">
        <f>IF(T503&gt;0,W503*U503," ")</f>
        <v xml:space="preserve"> </v>
      </c>
      <c r="W503" s="691" t="str">
        <f>IF(T503&gt;0,(VLOOKUP(T503,'Lookup Ready-reckoner'!$B$5:$E$1007,4))," ")</f>
        <v xml:space="preserve"> </v>
      </c>
      <c r="X503" s="364"/>
      <c r="Y503" s="364"/>
      <c r="Z503" s="364"/>
      <c r="AA503"/>
      <c r="AB503"/>
      <c r="AC503"/>
      <c r="AD503"/>
    </row>
    <row r="504" spans="17:30" ht="12.75" customHeight="1" thickBot="1">
      <c r="Q504" s="364"/>
      <c r="R504" s="692" t="s">
        <v>839</v>
      </c>
      <c r="S504" s="693"/>
      <c r="T504" s="693"/>
      <c r="U504" s="703">
        <f>IF(T502&gt;0,(VLOOKUP(V504,'Lookup Ready-reckoner'!$L$5:$M$1207,2))," ")</f>
        <v>108.4</v>
      </c>
      <c r="V504" s="695">
        <f>IF(U502&gt;0,(SUM(V502:V503))," ")</f>
        <v>22260.869565217388</v>
      </c>
      <c r="W504" s="696"/>
      <c r="X504" s="364"/>
      <c r="Y504" s="364"/>
      <c r="Z504" s="364"/>
      <c r="AA504"/>
      <c r="AB504"/>
      <c r="AC504"/>
      <c r="AD504"/>
    </row>
    <row r="505" spans="17:30" ht="12.75" customHeight="1" thickBot="1">
      <c r="Q505" s="364"/>
      <c r="R505" s="892"/>
      <c r="S505" s="893"/>
      <c r="T505" s="893"/>
      <c r="U505" s="893"/>
      <c r="V505" s="893"/>
      <c r="W505" s="894"/>
      <c r="X505" s="364"/>
      <c r="Y505" s="364"/>
      <c r="Z505" s="364"/>
      <c r="AA505"/>
      <c r="AB505"/>
      <c r="AC505"/>
      <c r="AD505"/>
    </row>
    <row r="506" spans="17:30" ht="12.75" customHeight="1">
      <c r="Q506" s="364"/>
      <c r="R506" s="895" t="s">
        <v>886</v>
      </c>
      <c r="S506" s="896"/>
      <c r="T506" s="900" t="s">
        <v>835</v>
      </c>
      <c r="U506" s="900" t="s">
        <v>836</v>
      </c>
      <c r="V506" s="900" t="s">
        <v>837</v>
      </c>
      <c r="W506" s="902" t="s">
        <v>838</v>
      </c>
      <c r="X506" s="364"/>
      <c r="Y506" s="364"/>
      <c r="Z506" s="364"/>
      <c r="AA506"/>
      <c r="AB506"/>
      <c r="AC506"/>
      <c r="AD506"/>
    </row>
    <row r="507" spans="17:30" ht="12.75" customHeight="1">
      <c r="Q507" s="364"/>
      <c r="R507" s="892"/>
      <c r="S507" s="897"/>
      <c r="T507" s="901"/>
      <c r="U507" s="901"/>
      <c r="V507" s="901"/>
      <c r="W507" s="903"/>
      <c r="X507" s="364"/>
      <c r="Y507" s="364"/>
      <c r="Z507" s="364"/>
      <c r="AA507"/>
      <c r="AB507"/>
      <c r="AC507"/>
      <c r="AD507"/>
    </row>
    <row r="508" spans="17:30" ht="12.75" customHeight="1">
      <c r="Q508" s="364"/>
      <c r="R508" s="892"/>
      <c r="S508" s="897"/>
      <c r="T508" s="702">
        <f>T502*(1-0.0178*2)</f>
        <v>110.92586655636687</v>
      </c>
      <c r="U508" s="560">
        <f>U502</f>
        <v>1.7391304347826084</v>
      </c>
      <c r="V508" s="690">
        <f>IF(T508&gt;0,W508*U508," ")</f>
        <v>8521.7391304347821</v>
      </c>
      <c r="W508" s="691">
        <f>IF(T508&gt;0,(VLOOKUP(T508,'Lookup Ready-reckoner'!$B$5:$E$1207,4))," ")</f>
        <v>4900</v>
      </c>
      <c r="X508" s="364"/>
      <c r="Y508" s="364"/>
      <c r="Z508" s="364"/>
      <c r="AA508"/>
      <c r="AB508"/>
      <c r="AC508"/>
      <c r="AD508"/>
    </row>
    <row r="509" spans="17:30" ht="12.75" customHeight="1">
      <c r="Q509" s="364"/>
      <c r="R509" s="898"/>
      <c r="S509" s="899"/>
      <c r="T509" s="447"/>
      <c r="U509" s="560"/>
      <c r="V509" s="690" t="str">
        <f>IF(T509&gt;0,W509*U509," ")</f>
        <v xml:space="preserve"> </v>
      </c>
      <c r="W509" s="691" t="str">
        <f>IF(T509&gt;0,(VLOOKUP(T509,'Lookup Ready-reckoner'!$B$5:$E$1007,4))," ")</f>
        <v xml:space="preserve"> </v>
      </c>
      <c r="X509" s="364"/>
      <c r="Y509" s="364"/>
      <c r="Z509" s="364"/>
      <c r="AA509"/>
      <c r="AB509"/>
      <c r="AC509"/>
      <c r="AD509"/>
    </row>
    <row r="510" spans="17:30" ht="12.75" customHeight="1" thickBot="1">
      <c r="Q510" s="364"/>
      <c r="R510" s="692" t="s">
        <v>839</v>
      </c>
      <c r="S510" s="693"/>
      <c r="T510" s="693"/>
      <c r="U510" s="703">
        <f>IF(T508&gt;0,(VLOOKUP(V510,'Lookup Ready-reckoner'!$L$5:$M$1207,2))," ")</f>
        <v>104.25</v>
      </c>
      <c r="V510" s="695">
        <f>IF(U508&gt;0,(SUM(V508:V509))," ")</f>
        <v>8521.7391304347821</v>
      </c>
      <c r="W510" s="696"/>
      <c r="X510" s="364"/>
      <c r="Y510" s="364"/>
      <c r="Z510" s="364"/>
      <c r="AA510"/>
      <c r="AB510"/>
      <c r="AC510"/>
      <c r="AD510"/>
    </row>
    <row r="511" spans="17:30" ht="12.75" customHeight="1">
      <c r="Q511" s="364"/>
      <c r="R511" s="697"/>
      <c r="S511" s="687"/>
      <c r="T511" s="687"/>
      <c r="U511" s="372"/>
      <c r="V511" s="374"/>
      <c r="W511" s="688"/>
      <c r="X511" s="364"/>
      <c r="Y511" s="364"/>
      <c r="Z511" s="364"/>
      <c r="AA511"/>
      <c r="AB511"/>
      <c r="AC511"/>
      <c r="AD511"/>
    </row>
    <row r="512" spans="17:30" ht="12.75" customHeight="1" thickBot="1">
      <c r="Q512" s="364"/>
      <c r="R512" s="686" t="s">
        <v>60</v>
      </c>
      <c r="S512" s="577"/>
      <c r="T512" s="577"/>
      <c r="U512" s="577"/>
      <c r="V512" s="577"/>
      <c r="W512" s="698"/>
      <c r="X512" s="364"/>
      <c r="Y512" s="364"/>
      <c r="Z512" s="364"/>
      <c r="AA512"/>
      <c r="AB512"/>
      <c r="AC512"/>
      <c r="AD512"/>
    </row>
    <row r="513" spans="17:30" ht="12.75" customHeight="1">
      <c r="Q513" s="364"/>
      <c r="R513" s="895" t="s">
        <v>845</v>
      </c>
      <c r="S513" s="896"/>
      <c r="T513" s="900" t="s">
        <v>835</v>
      </c>
      <c r="U513" s="900" t="s">
        <v>836</v>
      </c>
      <c r="V513" s="900" t="s">
        <v>837</v>
      </c>
      <c r="W513" s="902" t="s">
        <v>838</v>
      </c>
      <c r="X513" s="364"/>
      <c r="Y513" s="364"/>
      <c r="Z513" s="364"/>
      <c r="AA513"/>
      <c r="AB513"/>
      <c r="AC513"/>
      <c r="AD513"/>
    </row>
    <row r="514" spans="17:30" ht="12.75" customHeight="1">
      <c r="Q514" s="364"/>
      <c r="R514" s="892"/>
      <c r="S514" s="897"/>
      <c r="T514" s="901"/>
      <c r="U514" s="901"/>
      <c r="V514" s="901"/>
      <c r="W514" s="903"/>
      <c r="X514" s="364"/>
      <c r="Y514" s="364"/>
      <c r="Z514" s="364"/>
      <c r="AA514"/>
      <c r="AB514"/>
      <c r="AC514"/>
      <c r="AD514"/>
    </row>
    <row r="515" spans="17:30" ht="12.75" customHeight="1">
      <c r="Q515" s="364"/>
      <c r="R515" s="892"/>
      <c r="S515" s="897"/>
      <c r="T515" s="702">
        <f>T502-PPE!$I$15</f>
        <v>102.02059991327963</v>
      </c>
      <c r="U515" s="560">
        <f>U508</f>
        <v>1.7391304347826084</v>
      </c>
      <c r="V515" s="690">
        <f>IF(T515&gt;0,W515*U515," ")</f>
        <v>1086.9565217391303</v>
      </c>
      <c r="W515" s="691">
        <f>IF(T515&gt;0,(VLOOKUP(T515,'Lookup Ready-reckoner'!$B$5:$E$1207,4))," ")</f>
        <v>625</v>
      </c>
      <c r="X515" s="364"/>
      <c r="Y515" s="364"/>
      <c r="Z515" s="364"/>
      <c r="AA515"/>
      <c r="AB515"/>
      <c r="AC515"/>
      <c r="AD515"/>
    </row>
    <row r="516" spans="17:30" ht="12.75" customHeight="1">
      <c r="Q516" s="364"/>
      <c r="R516" s="898"/>
      <c r="S516" s="899"/>
      <c r="T516" s="447"/>
      <c r="U516" s="560"/>
      <c r="V516" s="690" t="str">
        <f>IF(T516&gt;0,W516*U516," ")</f>
        <v xml:space="preserve"> </v>
      </c>
      <c r="W516" s="691" t="str">
        <f>IF(T516&gt;0,(VLOOKUP(T516,'Lookup Ready-reckoner'!$B$5:$E$1007,4))," ")</f>
        <v xml:space="preserve"> </v>
      </c>
      <c r="X516" s="364"/>
      <c r="Y516" s="364"/>
      <c r="Z516" s="364"/>
      <c r="AA516"/>
      <c r="AB516"/>
      <c r="AC516"/>
      <c r="AD516"/>
    </row>
    <row r="517" spans="17:30" ht="12.75" customHeight="1" thickBot="1">
      <c r="Q517" s="364"/>
      <c r="R517" s="692" t="s">
        <v>839</v>
      </c>
      <c r="S517" s="693"/>
      <c r="T517" s="693"/>
      <c r="U517" s="703">
        <f>IF(T515&gt;0,(VLOOKUP(V517,'Lookup Ready-reckoner'!$L$5:$M$1207,2))," ")</f>
        <v>95.3</v>
      </c>
      <c r="V517" s="695">
        <f>IF(U515&gt;0,(SUM(V515:V516))," ")</f>
        <v>1086.9565217391303</v>
      </c>
      <c r="W517" s="696"/>
      <c r="X517" s="364"/>
      <c r="Y517" s="364"/>
      <c r="Z517" s="364"/>
      <c r="AA517"/>
      <c r="AB517"/>
      <c r="AC517"/>
      <c r="AD517"/>
    </row>
    <row r="518" spans="17:30" ht="12.75" customHeight="1" thickBot="1">
      <c r="Q518" s="364"/>
      <c r="R518" s="892"/>
      <c r="S518" s="893"/>
      <c r="T518" s="893"/>
      <c r="U518" s="893"/>
      <c r="V518" s="893"/>
      <c r="W518" s="894"/>
      <c r="X518" s="364"/>
      <c r="Y518" s="364"/>
      <c r="Z518" s="364"/>
      <c r="AA518"/>
      <c r="AB518"/>
      <c r="AC518"/>
      <c r="AD518"/>
    </row>
    <row r="519" spans="17:30" ht="12.75" customHeight="1">
      <c r="Q519" s="364"/>
      <c r="R519" s="895" t="s">
        <v>886</v>
      </c>
      <c r="S519" s="896"/>
      <c r="T519" s="900" t="s">
        <v>835</v>
      </c>
      <c r="U519" s="900" t="s">
        <v>836</v>
      </c>
      <c r="V519" s="900" t="s">
        <v>837</v>
      </c>
      <c r="W519" s="902" t="s">
        <v>838</v>
      </c>
      <c r="X519" s="364"/>
      <c r="Y519" s="364"/>
      <c r="Z519" s="364"/>
      <c r="AA519"/>
      <c r="AB519"/>
      <c r="AC519"/>
      <c r="AD519"/>
    </row>
    <row r="520" spans="17:30" ht="12.75" customHeight="1">
      <c r="Q520" s="364"/>
      <c r="R520" s="892"/>
      <c r="S520" s="897"/>
      <c r="T520" s="901"/>
      <c r="U520" s="901"/>
      <c r="V520" s="901"/>
      <c r="W520" s="903"/>
      <c r="X520" s="364"/>
      <c r="Y520" s="364"/>
      <c r="Z520" s="364"/>
      <c r="AA520"/>
      <c r="AB520"/>
      <c r="AC520"/>
      <c r="AD520"/>
    </row>
    <row r="521" spans="17:30" ht="12.75" customHeight="1">
      <c r="Q521" s="364"/>
      <c r="R521" s="892"/>
      <c r="S521" s="897"/>
      <c r="T521" s="702">
        <f>T508-PPE!$I$15</f>
        <v>97.92586655636687</v>
      </c>
      <c r="U521" s="560">
        <f>U515</f>
        <v>1.7391304347826084</v>
      </c>
      <c r="V521" s="690">
        <f>IF(T521&gt;0,W521*U521," ")</f>
        <v>426.08695652173907</v>
      </c>
      <c r="W521" s="691">
        <f>IF(T521&gt;0,(VLOOKUP(T521,'Lookup Ready-reckoner'!$B$5:$E$1207,4))," ")</f>
        <v>245</v>
      </c>
      <c r="X521" s="364"/>
      <c r="Y521" s="364"/>
      <c r="Z521" s="364"/>
      <c r="AA521"/>
      <c r="AB521"/>
      <c r="AC521"/>
      <c r="AD521"/>
    </row>
    <row r="522" spans="17:30" ht="12.75" customHeight="1">
      <c r="Q522" s="364"/>
      <c r="R522" s="898"/>
      <c r="S522" s="899"/>
      <c r="T522" s="447"/>
      <c r="U522" s="560"/>
      <c r="V522" s="690" t="str">
        <f>IF(T522&gt;0,W522*U522," ")</f>
        <v xml:space="preserve"> </v>
      </c>
      <c r="W522" s="691" t="str">
        <f>IF(T522&gt;0,(VLOOKUP(T522,'Lookup Ready-reckoner'!$B$5:$E$1007,4))," ")</f>
        <v xml:space="preserve"> </v>
      </c>
      <c r="X522" s="364"/>
      <c r="Y522" s="364"/>
      <c r="Z522" s="364"/>
      <c r="AA522"/>
      <c r="AB522"/>
      <c r="AC522"/>
      <c r="AD522"/>
    </row>
    <row r="523" spans="17:30" ht="12.75" customHeight="1" thickBot="1">
      <c r="Q523" s="364"/>
      <c r="R523" s="692" t="s">
        <v>839</v>
      </c>
      <c r="S523" s="693"/>
      <c r="T523" s="693"/>
      <c r="U523" s="703">
        <f>IF(T521&gt;0,(VLOOKUP(V523,'Lookup Ready-reckoner'!$L$5:$M$1207,2))," ")</f>
        <v>91.25</v>
      </c>
      <c r="V523" s="695">
        <f>IF(U521&gt;0,(SUM(V521:V522))," ")</f>
        <v>426.08695652173907</v>
      </c>
      <c r="W523" s="696"/>
      <c r="X523" s="364"/>
      <c r="Y523" s="364"/>
      <c r="Z523" s="364"/>
      <c r="AA523"/>
      <c r="AB523"/>
      <c r="AC523"/>
      <c r="AD523"/>
    </row>
    <row r="524" spans="17:30" ht="12.75" customHeight="1">
      <c r="Q524" s="364"/>
      <c r="R524" s="363"/>
      <c r="S524" s="363"/>
      <c r="T524" s="363"/>
      <c r="U524" s="363"/>
      <c r="V524" s="363"/>
      <c r="W524" s="363"/>
      <c r="X524" s="364"/>
      <c r="Y524" s="364"/>
      <c r="Z524" s="364"/>
      <c r="AA524"/>
      <c r="AB524"/>
      <c r="AC524"/>
      <c r="AD524"/>
    </row>
    <row r="525" spans="17:30" ht="12.75" customHeight="1">
      <c r="Q525" s="364"/>
      <c r="R525" s="909" t="str">
        <f>R406</f>
        <v xml:space="preserve">Hilti TE MD20 </v>
      </c>
      <c r="S525" s="909"/>
      <c r="T525" s="909"/>
      <c r="U525" s="909"/>
      <c r="V525" s="909"/>
      <c r="W525" s="909"/>
      <c r="X525" s="364"/>
      <c r="Y525" s="364"/>
      <c r="Z525" s="364"/>
      <c r="AA525"/>
      <c r="AB525"/>
      <c r="AC525"/>
      <c r="AD525"/>
    </row>
    <row r="526" spans="17:30" ht="12.75" customHeight="1" thickBot="1">
      <c r="Q526" s="364"/>
      <c r="R526" s="910" t="s">
        <v>205</v>
      </c>
      <c r="S526" s="911"/>
      <c r="T526" s="911"/>
      <c r="U526" s="911"/>
      <c r="V526" s="911"/>
      <c r="W526" s="912"/>
      <c r="X526" s="364"/>
      <c r="Y526" s="364"/>
      <c r="Z526" s="364"/>
      <c r="AA526"/>
      <c r="AB526"/>
      <c r="AC526"/>
      <c r="AD526"/>
    </row>
    <row r="527" spans="17:30" ht="12.75" customHeight="1" thickBot="1">
      <c r="Q527" s="364"/>
      <c r="R527" s="686" t="s">
        <v>59</v>
      </c>
      <c r="S527" s="577"/>
      <c r="T527" s="687"/>
      <c r="U527" s="687"/>
      <c r="V527" s="687"/>
      <c r="W527" s="688"/>
      <c r="X527" s="364"/>
      <c r="Y527" s="364"/>
      <c r="Z527" s="364"/>
      <c r="AA527"/>
      <c r="AB527"/>
      <c r="AC527"/>
      <c r="AD527"/>
    </row>
    <row r="528" spans="17:30" ht="12.75" customHeight="1">
      <c r="Q528" s="364"/>
      <c r="R528" s="895" t="s">
        <v>845</v>
      </c>
      <c r="S528" s="896"/>
      <c r="T528" s="900" t="s">
        <v>835</v>
      </c>
      <c r="U528" s="900" t="s">
        <v>836</v>
      </c>
      <c r="V528" s="900" t="s">
        <v>837</v>
      </c>
      <c r="W528" s="902" t="s">
        <v>838</v>
      </c>
      <c r="X528" s="364"/>
      <c r="Y528" s="364"/>
      <c r="Z528" s="364"/>
      <c r="AA528"/>
      <c r="AB528"/>
      <c r="AC528"/>
      <c r="AD528"/>
    </row>
    <row r="529" spans="17:30" ht="12.75" customHeight="1">
      <c r="Q529" s="364"/>
      <c r="R529" s="892"/>
      <c r="S529" s="897"/>
      <c r="T529" s="904"/>
      <c r="U529" s="904"/>
      <c r="V529" s="904"/>
      <c r="W529" s="905"/>
      <c r="X529" s="364"/>
      <c r="Y529" s="364"/>
      <c r="Z529" s="364"/>
      <c r="AA529"/>
      <c r="AB529"/>
      <c r="AC529"/>
      <c r="AD529"/>
    </row>
    <row r="530" spans="17:30" ht="12.75" customHeight="1">
      <c r="Q530" s="364"/>
      <c r="R530" s="892"/>
      <c r="S530" s="897"/>
      <c r="T530" s="901"/>
      <c r="U530" s="901"/>
      <c r="V530" s="901"/>
      <c r="W530" s="903"/>
      <c r="X530" s="364"/>
      <c r="Y530" s="364"/>
      <c r="Z530" s="364"/>
      <c r="AA530"/>
      <c r="AB530"/>
      <c r="AC530"/>
      <c r="AD530"/>
    </row>
    <row r="531" spans="17:30" ht="12.75" customHeight="1">
      <c r="Q531" s="364"/>
      <c r="R531" s="892"/>
      <c r="S531" s="897"/>
      <c r="T531" s="704">
        <f>U76</f>
        <v>108.02059991327964</v>
      </c>
      <c r="U531" s="560">
        <f>U62</f>
        <v>2.6666666666666665</v>
      </c>
      <c r="V531" s="690">
        <f>IF(T531&gt;0,W531*U531," ")</f>
        <v>6666.6666666666661</v>
      </c>
      <c r="W531" s="691">
        <f>IF(T531&gt;0,(VLOOKUP(T531,'Lookup Ready-reckoner'!$B$5:$E$1207,4))," ")</f>
        <v>2500</v>
      </c>
      <c r="X531" s="364"/>
      <c r="Y531" s="364"/>
      <c r="Z531" s="364"/>
      <c r="AA531"/>
      <c r="AB531"/>
      <c r="AC531"/>
      <c r="AD531"/>
    </row>
    <row r="532" spans="17:30" ht="12.75" customHeight="1">
      <c r="Q532" s="364"/>
      <c r="R532" s="898"/>
      <c r="S532" s="899"/>
      <c r="T532" s="447"/>
      <c r="U532" s="560"/>
      <c r="V532" s="690" t="str">
        <f>IF(T532&gt;0,W532*U532," ")</f>
        <v xml:space="preserve"> </v>
      </c>
      <c r="W532" s="691" t="str">
        <f>IF(T532&gt;0,(VLOOKUP(T532,'Lookup Ready-reckoner'!$B$5:$E$1007,4))," ")</f>
        <v xml:space="preserve"> </v>
      </c>
      <c r="X532" s="364"/>
      <c r="Y532" s="364"/>
      <c r="Z532" s="364"/>
      <c r="AA532"/>
      <c r="AB532"/>
      <c r="AC532"/>
      <c r="AD532"/>
    </row>
    <row r="533" spans="17:30" ht="12.75" customHeight="1" thickBot="1">
      <c r="Q533" s="364"/>
      <c r="R533" s="692" t="s">
        <v>839</v>
      </c>
      <c r="S533" s="693"/>
      <c r="T533" s="693"/>
      <c r="U533" s="705">
        <f>IF(T531&gt;0,(VLOOKUP(V533,'Lookup Ready-reckoner'!$L$5:$M$1207,2))," ")</f>
        <v>103.15</v>
      </c>
      <c r="V533" s="695">
        <f>IF(U531&gt;0,(SUM(V531:V532))," ")</f>
        <v>6666.6666666666661</v>
      </c>
      <c r="W533" s="696"/>
      <c r="X533" s="364"/>
      <c r="Y533" s="364"/>
      <c r="Z533" s="364"/>
      <c r="AA533"/>
      <c r="AB533"/>
      <c r="AC533"/>
      <c r="AD533"/>
    </row>
    <row r="534" spans="17:30" ht="12.75" customHeight="1" thickBot="1">
      <c r="Q534" s="364"/>
      <c r="R534" s="906"/>
      <c r="S534" s="907"/>
      <c r="T534" s="907"/>
      <c r="U534" s="907"/>
      <c r="V534" s="907"/>
      <c r="W534" s="908"/>
      <c r="X534" s="364"/>
      <c r="Y534" s="364"/>
      <c r="Z534" s="364"/>
      <c r="AA534"/>
      <c r="AB534"/>
      <c r="AC534"/>
      <c r="AD534"/>
    </row>
    <row r="535" spans="17:30" ht="12.75" customHeight="1">
      <c r="Q535" s="364"/>
      <c r="R535" s="895" t="s">
        <v>886</v>
      </c>
      <c r="S535" s="896"/>
      <c r="T535" s="900" t="s">
        <v>835</v>
      </c>
      <c r="U535" s="900" t="s">
        <v>836</v>
      </c>
      <c r="V535" s="900" t="s">
        <v>837</v>
      </c>
      <c r="W535" s="902" t="s">
        <v>838</v>
      </c>
      <c r="X535" s="364"/>
      <c r="Y535" s="364"/>
      <c r="Z535" s="364"/>
      <c r="AA535"/>
      <c r="AB535"/>
      <c r="AC535"/>
      <c r="AD535"/>
    </row>
    <row r="536" spans="17:30" ht="12.75" customHeight="1">
      <c r="Q536" s="364"/>
      <c r="R536" s="892"/>
      <c r="S536" s="897"/>
      <c r="T536" s="901"/>
      <c r="U536" s="901"/>
      <c r="V536" s="901"/>
      <c r="W536" s="903"/>
      <c r="X536" s="364"/>
      <c r="Y536" s="364"/>
      <c r="Z536" s="364"/>
      <c r="AA536"/>
      <c r="AB536"/>
      <c r="AC536"/>
      <c r="AD536"/>
    </row>
    <row r="537" spans="17:30" ht="12.75" customHeight="1">
      <c r="Q537" s="364"/>
      <c r="R537" s="892"/>
      <c r="S537" s="897"/>
      <c r="T537" s="704">
        <f>T531*(1-0.0178*2)</f>
        <v>104.17506655636689</v>
      </c>
      <c r="U537" s="560">
        <f>U531</f>
        <v>2.6666666666666665</v>
      </c>
      <c r="V537" s="690">
        <f>IF(T537&gt;0,W537*U537," ")</f>
        <v>2766.6666666666665</v>
      </c>
      <c r="W537" s="691">
        <f>IF(T537&gt;0,(VLOOKUP(T537,'Lookup Ready-reckoner'!$B$5:$E$1207,4))," ")</f>
        <v>1037.5</v>
      </c>
      <c r="X537" s="364"/>
      <c r="Y537" s="364"/>
      <c r="Z537" s="364"/>
      <c r="AA537"/>
      <c r="AB537"/>
      <c r="AC537"/>
      <c r="AD537"/>
    </row>
    <row r="538" spans="17:30" ht="12.75" customHeight="1">
      <c r="Q538" s="364"/>
      <c r="R538" s="898"/>
      <c r="S538" s="899"/>
      <c r="T538" s="447"/>
      <c r="U538" s="560"/>
      <c r="V538" s="690" t="str">
        <f>IF(T538&gt;0,W538*U538," ")</f>
        <v xml:space="preserve"> </v>
      </c>
      <c r="W538" s="691" t="str">
        <f>IF(T538&gt;0,(VLOOKUP(T538,'Lookup Ready-reckoner'!$B$5:$E$1007,4))," ")</f>
        <v xml:space="preserve"> </v>
      </c>
      <c r="X538" s="364"/>
      <c r="Y538" s="364"/>
      <c r="Z538" s="364"/>
      <c r="AA538"/>
      <c r="AB538"/>
      <c r="AC538"/>
      <c r="AD538"/>
    </row>
    <row r="539" spans="17:30" ht="12.75" customHeight="1" thickBot="1">
      <c r="Q539" s="364"/>
      <c r="R539" s="692" t="s">
        <v>839</v>
      </c>
      <c r="S539" s="693"/>
      <c r="T539" s="693"/>
      <c r="U539" s="705">
        <f>IF(T537&gt;0,(VLOOKUP(V539,'Lookup Ready-reckoner'!$L$5:$M$1207,2))," ")</f>
        <v>99.35</v>
      </c>
      <c r="V539" s="695">
        <f>IF(U537&gt;0,(SUM(V537:V538))," ")</f>
        <v>2766.6666666666665</v>
      </c>
      <c r="W539" s="696"/>
      <c r="X539" s="364"/>
      <c r="Y539" s="364"/>
      <c r="Z539" s="364"/>
      <c r="AA539"/>
      <c r="AB539"/>
      <c r="AC539"/>
      <c r="AD539"/>
    </row>
    <row r="540" spans="17:30" ht="12.75" customHeight="1">
      <c r="Q540" s="364"/>
      <c r="R540" s="697"/>
      <c r="S540" s="687"/>
      <c r="T540" s="687"/>
      <c r="U540" s="372"/>
      <c r="V540" s="374"/>
      <c r="W540" s="688"/>
      <c r="X540" s="364"/>
      <c r="Y540" s="364"/>
      <c r="Z540" s="364"/>
      <c r="AA540"/>
      <c r="AB540"/>
      <c r="AC540"/>
      <c r="AD540"/>
    </row>
    <row r="541" spans="17:30" ht="12.75" customHeight="1" thickBot="1">
      <c r="Q541" s="364"/>
      <c r="R541" s="686" t="s">
        <v>60</v>
      </c>
      <c r="S541" s="577"/>
      <c r="T541" s="577"/>
      <c r="U541" s="577"/>
      <c r="V541" s="577"/>
      <c r="W541" s="698"/>
      <c r="X541" s="364"/>
      <c r="Y541" s="364"/>
      <c r="Z541" s="364"/>
      <c r="AA541"/>
      <c r="AB541"/>
      <c r="AC541"/>
      <c r="AD541"/>
    </row>
    <row r="542" spans="17:30" ht="12.75" customHeight="1">
      <c r="Q542" s="364"/>
      <c r="R542" s="895" t="s">
        <v>845</v>
      </c>
      <c r="S542" s="896"/>
      <c r="T542" s="900" t="s">
        <v>835</v>
      </c>
      <c r="U542" s="900" t="s">
        <v>836</v>
      </c>
      <c r="V542" s="900" t="s">
        <v>837</v>
      </c>
      <c r="W542" s="902" t="s">
        <v>838</v>
      </c>
      <c r="X542" s="364"/>
      <c r="Y542" s="364"/>
      <c r="Z542" s="364"/>
      <c r="AA542"/>
      <c r="AB542"/>
      <c r="AC542"/>
      <c r="AD542"/>
    </row>
    <row r="543" spans="17:30" ht="12.75" customHeight="1">
      <c r="Q543" s="364"/>
      <c r="R543" s="892"/>
      <c r="S543" s="897"/>
      <c r="T543" s="901"/>
      <c r="U543" s="901"/>
      <c r="V543" s="901"/>
      <c r="W543" s="903"/>
      <c r="X543" s="364"/>
      <c r="Y543" s="364"/>
      <c r="Z543" s="364"/>
      <c r="AA543"/>
      <c r="AB543"/>
      <c r="AC543"/>
      <c r="AD543"/>
    </row>
    <row r="544" spans="17:30" ht="12.75" customHeight="1">
      <c r="Q544" s="364"/>
      <c r="R544" s="892"/>
      <c r="S544" s="897"/>
      <c r="T544" s="704">
        <f>T531-PPE!$I$15</f>
        <v>95.020599913279639</v>
      </c>
      <c r="U544" s="560">
        <f>U537</f>
        <v>2.6666666666666665</v>
      </c>
      <c r="V544" s="690">
        <f>IF(T544&gt;0,W544*U544," ")</f>
        <v>333.33333333333331</v>
      </c>
      <c r="W544" s="691">
        <f>IF(T544&gt;0,(VLOOKUP(T544,'Lookup Ready-reckoner'!$B$5:$E$1207,4))," ")</f>
        <v>125</v>
      </c>
      <c r="X544" s="364"/>
      <c r="Y544" s="364"/>
      <c r="Z544" s="364"/>
      <c r="AA544"/>
      <c r="AB544"/>
      <c r="AC544"/>
      <c r="AD544"/>
    </row>
    <row r="545" spans="17:30" ht="12.75" customHeight="1">
      <c r="Q545" s="364"/>
      <c r="R545" s="898"/>
      <c r="S545" s="899"/>
      <c r="T545" s="447"/>
      <c r="U545" s="560"/>
      <c r="V545" s="690" t="str">
        <f>IF(T545&gt;0,W545*U545," ")</f>
        <v xml:space="preserve"> </v>
      </c>
      <c r="W545" s="691" t="str">
        <f>IF(T545&gt;0,(VLOOKUP(T545,'Lookup Ready-reckoner'!$B$5:$E$1007,4))," ")</f>
        <v xml:space="preserve"> </v>
      </c>
      <c r="X545" s="364"/>
      <c r="Y545" s="364"/>
      <c r="Z545" s="364"/>
      <c r="AA545"/>
      <c r="AB545"/>
      <c r="AC545"/>
      <c r="AD545"/>
    </row>
    <row r="546" spans="17:30" ht="12.75" customHeight="1" thickBot="1">
      <c r="Q546" s="364"/>
      <c r="R546" s="692" t="s">
        <v>839</v>
      </c>
      <c r="S546" s="693"/>
      <c r="T546" s="693"/>
      <c r="U546" s="705">
        <f>IF(T544&gt;0,(VLOOKUP(V546,'Lookup Ready-reckoner'!$L$5:$M$1207,2))," ")</f>
        <v>90.15</v>
      </c>
      <c r="V546" s="695">
        <f>IF(U544&gt;0,(SUM(V544:V545))," ")</f>
        <v>333.33333333333331</v>
      </c>
      <c r="W546" s="696"/>
      <c r="X546" s="364"/>
      <c r="Y546" s="364"/>
      <c r="Z546" s="364"/>
      <c r="AA546"/>
      <c r="AB546"/>
      <c r="AC546"/>
      <c r="AD546"/>
    </row>
    <row r="547" spans="17:30" ht="12.75" customHeight="1" thickBot="1">
      <c r="Q547" s="364"/>
      <c r="R547" s="892"/>
      <c r="S547" s="893"/>
      <c r="T547" s="893"/>
      <c r="U547" s="893"/>
      <c r="V547" s="893"/>
      <c r="W547" s="894"/>
      <c r="X547" s="364"/>
      <c r="Y547" s="364"/>
      <c r="Z547" s="364"/>
      <c r="AA547"/>
      <c r="AB547"/>
      <c r="AC547"/>
      <c r="AD547"/>
    </row>
    <row r="548" spans="17:30" ht="12.75" customHeight="1">
      <c r="Q548" s="364"/>
      <c r="R548" s="895" t="s">
        <v>886</v>
      </c>
      <c r="S548" s="896"/>
      <c r="T548" s="900" t="s">
        <v>835</v>
      </c>
      <c r="U548" s="900" t="s">
        <v>836</v>
      </c>
      <c r="V548" s="900" t="s">
        <v>837</v>
      </c>
      <c r="W548" s="902" t="s">
        <v>838</v>
      </c>
      <c r="X548" s="364"/>
      <c r="Y548" s="364"/>
      <c r="Z548" s="364"/>
      <c r="AA548"/>
      <c r="AB548"/>
      <c r="AC548"/>
      <c r="AD548"/>
    </row>
    <row r="549" spans="17:30" ht="12.75" customHeight="1">
      <c r="Q549" s="364"/>
      <c r="R549" s="892"/>
      <c r="S549" s="897"/>
      <c r="T549" s="901"/>
      <c r="U549" s="901"/>
      <c r="V549" s="901"/>
      <c r="W549" s="903"/>
      <c r="X549" s="364"/>
      <c r="Y549" s="364"/>
      <c r="Z549" s="364"/>
      <c r="AA549"/>
      <c r="AB549"/>
      <c r="AC549"/>
      <c r="AD549"/>
    </row>
    <row r="550" spans="17:30" ht="12.75" customHeight="1">
      <c r="Q550" s="364"/>
      <c r="R550" s="892"/>
      <c r="S550" s="897"/>
      <c r="T550" s="704">
        <f>T537-PPE!$I$15</f>
        <v>91.175066556366886</v>
      </c>
      <c r="U550" s="560">
        <f>U544</f>
        <v>2.6666666666666665</v>
      </c>
      <c r="V550" s="690">
        <f>IF(T550&gt;0,W550*U550," ")</f>
        <v>138.33333333333331</v>
      </c>
      <c r="W550" s="691">
        <f>IF(T550&gt;0,(VLOOKUP(T550,'Lookup Ready-reckoner'!$B$5:$E$1207,4))," ")</f>
        <v>51.875</v>
      </c>
      <c r="X550" s="364"/>
      <c r="Y550" s="364"/>
      <c r="Z550" s="364"/>
      <c r="AA550"/>
      <c r="AB550"/>
      <c r="AC550"/>
      <c r="AD550"/>
    </row>
    <row r="551" spans="17:30" ht="12.75" customHeight="1">
      <c r="Q551" s="364"/>
      <c r="R551" s="898"/>
      <c r="S551" s="899"/>
      <c r="T551" s="447"/>
      <c r="U551" s="560"/>
      <c r="V551" s="690" t="str">
        <f>IF(T551&gt;0,W551*U551," ")</f>
        <v xml:space="preserve"> </v>
      </c>
      <c r="W551" s="691" t="str">
        <f>IF(T551&gt;0,(VLOOKUP(T551,'Lookup Ready-reckoner'!$B$5:$E$1007,4))," ")</f>
        <v xml:space="preserve"> </v>
      </c>
      <c r="X551" s="364"/>
      <c r="Y551" s="364"/>
      <c r="Z551" s="364"/>
      <c r="AA551"/>
      <c r="AB551"/>
      <c r="AC551"/>
      <c r="AD551"/>
    </row>
    <row r="552" spans="17:30" ht="12.75" customHeight="1" thickBot="1">
      <c r="Q552" s="364"/>
      <c r="R552" s="692" t="s">
        <v>839</v>
      </c>
      <c r="S552" s="693"/>
      <c r="T552" s="693"/>
      <c r="U552" s="705">
        <f>IF(T550&gt;0,(VLOOKUP(V552,'Lookup Ready-reckoner'!$L$5:$M$1207,2))," ")</f>
        <v>86.35</v>
      </c>
      <c r="V552" s="695">
        <f>IF(U550&gt;0,(SUM(V550:V551))," ")</f>
        <v>138.33333333333331</v>
      </c>
      <c r="W552" s="696"/>
      <c r="X552" s="364"/>
      <c r="Y552" s="364"/>
      <c r="Z552" s="364"/>
      <c r="AA552"/>
      <c r="AB552"/>
      <c r="AC552"/>
      <c r="AD552"/>
    </row>
    <row r="553" spans="17:30" ht="12.75" customHeight="1">
      <c r="Q553" s="364"/>
      <c r="R553" s="364"/>
      <c r="S553" s="364"/>
      <c r="T553" s="364"/>
      <c r="U553" s="364"/>
      <c r="V553" s="364"/>
      <c r="W553" s="364"/>
      <c r="X553" s="364"/>
      <c r="Y553" s="364"/>
      <c r="Z553" s="364"/>
      <c r="AA553"/>
      <c r="AB553"/>
      <c r="AC553"/>
      <c r="AD553"/>
    </row>
    <row r="554" spans="17:30" ht="12.75" customHeight="1">
      <c r="Q554"/>
      <c r="R554"/>
      <c r="S554"/>
      <c r="T554"/>
      <c r="U554"/>
      <c r="V554"/>
      <c r="W554"/>
      <c r="X554"/>
      <c r="Y554"/>
      <c r="Z554"/>
      <c r="AA554"/>
      <c r="AB554"/>
      <c r="AC554"/>
      <c r="AD554"/>
    </row>
    <row r="555" spans="17:30" ht="12.75" customHeight="1">
      <c r="Q555"/>
      <c r="R555"/>
      <c r="S555"/>
      <c r="T555"/>
      <c r="U555"/>
      <c r="V555"/>
      <c r="W555"/>
      <c r="X555"/>
      <c r="Y555"/>
      <c r="Z555"/>
      <c r="AA555"/>
      <c r="AB555"/>
      <c r="AC555"/>
      <c r="AD555"/>
    </row>
    <row r="556" spans="17:30" ht="12.75" customHeight="1">
      <c r="Q556"/>
      <c r="R556"/>
      <c r="S556"/>
      <c r="T556"/>
      <c r="U556"/>
      <c r="V556"/>
      <c r="W556"/>
      <c r="X556"/>
      <c r="Y556"/>
      <c r="Z556"/>
      <c r="AA556"/>
      <c r="AB556"/>
      <c r="AC556"/>
      <c r="AD556"/>
    </row>
    <row r="557" spans="17:30" ht="12.75" customHeight="1">
      <c r="Q557"/>
      <c r="R557"/>
      <c r="S557"/>
      <c r="T557"/>
      <c r="U557"/>
      <c r="V557"/>
      <c r="W557"/>
      <c r="X557"/>
      <c r="Y557"/>
      <c r="Z557"/>
      <c r="AA557"/>
      <c r="AB557"/>
      <c r="AC557"/>
      <c r="AD557"/>
    </row>
    <row r="558" spans="17:30" ht="12.75" customHeight="1">
      <c r="Q558"/>
      <c r="R558"/>
      <c r="S558"/>
      <c r="T558"/>
      <c r="U558"/>
      <c r="V558"/>
      <c r="W558"/>
      <c r="X558"/>
      <c r="Y558"/>
      <c r="Z558"/>
      <c r="AA558"/>
      <c r="AB558"/>
      <c r="AC558"/>
      <c r="AD558"/>
    </row>
    <row r="559" spans="17:30" ht="12.75" customHeight="1">
      <c r="Q559"/>
      <c r="R559"/>
      <c r="S559"/>
      <c r="T559"/>
      <c r="U559"/>
      <c r="V559"/>
      <c r="W559"/>
      <c r="X559"/>
      <c r="Y559"/>
      <c r="Z559"/>
      <c r="AA559"/>
      <c r="AB559"/>
      <c r="AC559"/>
      <c r="AD559"/>
    </row>
    <row r="560" spans="17:30" ht="12.75" customHeight="1">
      <c r="Q560"/>
      <c r="R560"/>
      <c r="S560"/>
      <c r="T560"/>
      <c r="U560"/>
      <c r="V560"/>
      <c r="W560"/>
      <c r="X560"/>
      <c r="Y560"/>
      <c r="Z560"/>
      <c r="AA560"/>
      <c r="AB560"/>
      <c r="AC560"/>
      <c r="AD560"/>
    </row>
    <row r="561" spans="17:30" ht="12.75" customHeight="1">
      <c r="Q561"/>
      <c r="R561"/>
      <c r="S561"/>
      <c r="T561"/>
      <c r="U561"/>
      <c r="V561"/>
      <c r="W561"/>
      <c r="X561"/>
      <c r="Y561"/>
      <c r="Z561"/>
      <c r="AA561"/>
      <c r="AB561"/>
      <c r="AC561"/>
      <c r="AD561"/>
    </row>
    <row r="562" spans="17:30" ht="12.75" customHeight="1">
      <c r="Q562"/>
      <c r="R562"/>
      <c r="S562"/>
      <c r="T562"/>
      <c r="U562"/>
      <c r="V562"/>
      <c r="W562"/>
      <c r="X562"/>
      <c r="Y562"/>
      <c r="Z562"/>
      <c r="AA562"/>
      <c r="AB562"/>
      <c r="AC562"/>
      <c r="AD562"/>
    </row>
    <row r="563" spans="17:30" ht="12.75" customHeight="1">
      <c r="Q563"/>
      <c r="R563"/>
      <c r="S563"/>
      <c r="T563"/>
      <c r="U563"/>
      <c r="V563"/>
      <c r="W563"/>
      <c r="X563"/>
      <c r="Y563"/>
      <c r="Z563"/>
      <c r="AA563"/>
      <c r="AB563"/>
      <c r="AC563"/>
      <c r="AD563"/>
    </row>
    <row r="564" spans="17:30" ht="12.75" customHeight="1">
      <c r="Q564"/>
      <c r="R564"/>
      <c r="S564"/>
      <c r="T564"/>
      <c r="U564"/>
      <c r="V564"/>
      <c r="W564"/>
      <c r="X564"/>
      <c r="Y564"/>
      <c r="Z564"/>
      <c r="AA564"/>
      <c r="AB564"/>
      <c r="AC564"/>
      <c r="AD564"/>
    </row>
    <row r="565" spans="17:30" ht="12.75" customHeight="1">
      <c r="Q565"/>
      <c r="R565"/>
      <c r="S565"/>
      <c r="T565"/>
      <c r="U565"/>
      <c r="V565"/>
      <c r="W565"/>
      <c r="X565"/>
      <c r="Y565"/>
      <c r="Z565"/>
      <c r="AA565"/>
      <c r="AB565"/>
      <c r="AC565"/>
      <c r="AD565"/>
    </row>
    <row r="566" spans="17:30" ht="12.75" customHeight="1">
      <c r="Q566"/>
      <c r="R566"/>
      <c r="S566"/>
      <c r="T566"/>
      <c r="U566"/>
      <c r="V566"/>
      <c r="W566"/>
      <c r="X566"/>
      <c r="Y566"/>
      <c r="Z566"/>
      <c r="AA566"/>
      <c r="AB566"/>
      <c r="AC566"/>
      <c r="AD566"/>
    </row>
    <row r="567" spans="17:30" ht="12.75" customHeight="1">
      <c r="Q567"/>
      <c r="R567"/>
      <c r="S567"/>
      <c r="T567"/>
      <c r="U567"/>
      <c r="V567"/>
      <c r="W567"/>
      <c r="X567"/>
      <c r="Y567"/>
      <c r="Z567"/>
      <c r="AA567"/>
      <c r="AB567"/>
      <c r="AC567"/>
      <c r="AD567"/>
    </row>
    <row r="568" spans="17:30" ht="12.75" customHeight="1">
      <c r="Q568"/>
      <c r="R568"/>
      <c r="S568"/>
      <c r="T568"/>
      <c r="U568"/>
      <c r="V568"/>
      <c r="W568"/>
      <c r="X568"/>
      <c r="Y568"/>
      <c r="Z568"/>
      <c r="AA568"/>
      <c r="AB568"/>
      <c r="AC568"/>
      <c r="AD568"/>
    </row>
    <row r="569" spans="17:30" ht="12.75" customHeight="1">
      <c r="Q569"/>
      <c r="R569"/>
      <c r="S569"/>
      <c r="T569"/>
      <c r="U569"/>
      <c r="V569"/>
      <c r="W569"/>
      <c r="X569"/>
      <c r="Y569"/>
      <c r="Z569"/>
      <c r="AA569"/>
      <c r="AB569"/>
      <c r="AC569"/>
      <c r="AD569"/>
    </row>
    <row r="570" spans="17:30" ht="12.75" customHeight="1">
      <c r="Q570"/>
      <c r="R570"/>
      <c r="S570"/>
      <c r="T570"/>
      <c r="U570"/>
      <c r="V570"/>
      <c r="W570"/>
      <c r="X570"/>
      <c r="Y570"/>
      <c r="Z570"/>
      <c r="AA570"/>
      <c r="AB570"/>
      <c r="AC570"/>
      <c r="AD570"/>
    </row>
    <row r="571" spans="17:30" ht="12.75" customHeight="1">
      <c r="Q571"/>
      <c r="R571"/>
      <c r="S571"/>
      <c r="T571"/>
      <c r="U571"/>
      <c r="V571"/>
      <c r="W571"/>
      <c r="X571"/>
      <c r="Y571"/>
      <c r="Z571"/>
      <c r="AA571"/>
      <c r="AB571"/>
      <c r="AC571"/>
      <c r="AD571"/>
    </row>
    <row r="572" spans="17:30" ht="12.75" customHeight="1">
      <c r="Q572"/>
      <c r="R572"/>
      <c r="S572"/>
      <c r="T572"/>
      <c r="U572"/>
      <c r="V572"/>
      <c r="W572"/>
      <c r="X572"/>
      <c r="Y572"/>
      <c r="Z572"/>
      <c r="AA572"/>
      <c r="AB572"/>
      <c r="AC572"/>
      <c r="AD572"/>
    </row>
    <row r="573" spans="17:30" ht="12.75" customHeight="1">
      <c r="Q573"/>
      <c r="R573"/>
      <c r="S573"/>
      <c r="T573"/>
      <c r="U573"/>
      <c r="V573"/>
      <c r="W573"/>
      <c r="X573"/>
      <c r="Y573"/>
      <c r="Z573"/>
      <c r="AA573"/>
      <c r="AB573"/>
      <c r="AC573"/>
      <c r="AD573"/>
    </row>
    <row r="574" spans="17:30" ht="12.75" customHeight="1">
      <c r="Q574"/>
      <c r="R574"/>
      <c r="S574"/>
      <c r="T574"/>
      <c r="U574"/>
      <c r="V574"/>
      <c r="W574"/>
      <c r="X574"/>
      <c r="Y574"/>
      <c r="Z574"/>
      <c r="AA574"/>
      <c r="AB574"/>
      <c r="AC574"/>
      <c r="AD574"/>
    </row>
    <row r="575" spans="17:30" ht="12.75" customHeight="1">
      <c r="Q575"/>
      <c r="R575"/>
      <c r="S575"/>
      <c r="T575"/>
      <c r="U575"/>
      <c r="V575"/>
      <c r="W575"/>
      <c r="X575"/>
      <c r="Y575"/>
      <c r="Z575"/>
      <c r="AA575"/>
      <c r="AB575"/>
      <c r="AC575"/>
      <c r="AD575"/>
    </row>
    <row r="576" spans="17:30" ht="12.75" customHeight="1">
      <c r="Q576"/>
      <c r="R576"/>
      <c r="S576"/>
      <c r="T576"/>
      <c r="U576"/>
      <c r="V576"/>
      <c r="W576"/>
      <c r="X576"/>
      <c r="Y576"/>
      <c r="Z576"/>
      <c r="AA576"/>
      <c r="AB576"/>
      <c r="AC576"/>
      <c r="AD576"/>
    </row>
    <row r="577" spans="17:30" ht="12.75" customHeight="1">
      <c r="Q577"/>
      <c r="R577"/>
      <c r="S577"/>
      <c r="T577"/>
      <c r="U577"/>
      <c r="V577"/>
      <c r="W577"/>
      <c r="X577"/>
      <c r="Y577"/>
      <c r="Z577"/>
      <c r="AA577"/>
      <c r="AB577"/>
      <c r="AC577"/>
      <c r="AD577"/>
    </row>
    <row r="578" spans="17:30" ht="12.75" customHeight="1">
      <c r="Q578"/>
      <c r="R578"/>
      <c r="S578"/>
      <c r="T578"/>
      <c r="U578"/>
      <c r="V578"/>
      <c r="W578"/>
      <c r="X578"/>
      <c r="Y578"/>
      <c r="Z578"/>
      <c r="AA578"/>
      <c r="AB578"/>
      <c r="AC578"/>
      <c r="AD578"/>
    </row>
    <row r="579" spans="17:30" ht="12.75" customHeight="1">
      <c r="Q579"/>
      <c r="R579"/>
      <c r="S579"/>
      <c r="T579"/>
      <c r="U579"/>
      <c r="V579"/>
      <c r="W579"/>
      <c r="X579"/>
      <c r="Y579"/>
      <c r="Z579"/>
      <c r="AA579"/>
      <c r="AB579"/>
      <c r="AC579"/>
      <c r="AD579"/>
    </row>
    <row r="580" spans="17:30" ht="12.75" customHeight="1">
      <c r="Q580"/>
      <c r="R580"/>
      <c r="S580"/>
      <c r="T580"/>
      <c r="U580"/>
      <c r="V580"/>
      <c r="W580"/>
      <c r="X580"/>
      <c r="Y580"/>
      <c r="Z580"/>
      <c r="AA580"/>
      <c r="AB580"/>
      <c r="AC580"/>
      <c r="AD580"/>
    </row>
    <row r="581" spans="17:30" ht="12.75" customHeight="1">
      <c r="Q581"/>
      <c r="R581"/>
      <c r="S581"/>
      <c r="T581"/>
      <c r="U581"/>
      <c r="V581"/>
      <c r="W581"/>
      <c r="X581"/>
      <c r="Y581"/>
      <c r="Z581"/>
      <c r="AA581"/>
      <c r="AB581"/>
      <c r="AC581"/>
      <c r="AD581"/>
    </row>
    <row r="582" spans="17:30" ht="12.75" customHeight="1">
      <c r="Q582"/>
      <c r="R582"/>
      <c r="S582"/>
      <c r="T582"/>
      <c r="U582"/>
      <c r="V582"/>
      <c r="W582"/>
      <c r="X582"/>
      <c r="Y582"/>
      <c r="Z582"/>
      <c r="AA582"/>
      <c r="AB582"/>
      <c r="AC582"/>
      <c r="AD582"/>
    </row>
    <row r="583" spans="17:30" ht="12.75" customHeight="1">
      <c r="Q583"/>
      <c r="R583"/>
      <c r="S583"/>
      <c r="T583"/>
      <c r="U583"/>
      <c r="V583"/>
      <c r="W583"/>
      <c r="X583"/>
      <c r="Y583"/>
      <c r="Z583"/>
      <c r="AA583"/>
      <c r="AB583"/>
      <c r="AC583"/>
      <c r="AD583"/>
    </row>
    <row r="584" spans="17:30" ht="12.75" customHeight="1">
      <c r="Q584"/>
      <c r="R584"/>
      <c r="S584"/>
      <c r="T584"/>
      <c r="U584"/>
      <c r="V584"/>
      <c r="W584"/>
      <c r="X584"/>
      <c r="Y584"/>
      <c r="Z584"/>
      <c r="AA584"/>
      <c r="AB584"/>
      <c r="AC584"/>
      <c r="AD584"/>
    </row>
    <row r="585" spans="17:30" ht="12.75" customHeight="1">
      <c r="Q585"/>
      <c r="R585"/>
      <c r="S585"/>
      <c r="T585"/>
      <c r="U585"/>
      <c r="V585"/>
      <c r="W585"/>
      <c r="X585"/>
      <c r="Y585"/>
      <c r="Z585"/>
      <c r="AA585"/>
      <c r="AB585"/>
      <c r="AC585"/>
      <c r="AD585"/>
    </row>
    <row r="586" spans="17:30" ht="12.75" customHeight="1">
      <c r="Q586"/>
      <c r="R586"/>
      <c r="S586"/>
      <c r="T586"/>
      <c r="U586"/>
      <c r="V586"/>
      <c r="W586"/>
      <c r="X586"/>
      <c r="Y586"/>
      <c r="Z586"/>
      <c r="AA586"/>
      <c r="AB586"/>
      <c r="AC586"/>
      <c r="AD586"/>
    </row>
    <row r="587" spans="17:30" ht="12.75" customHeight="1">
      <c r="Q587"/>
      <c r="R587"/>
      <c r="S587"/>
      <c r="T587"/>
      <c r="U587"/>
      <c r="V587"/>
      <c r="W587"/>
      <c r="X587"/>
      <c r="Y587"/>
      <c r="Z587"/>
      <c r="AA587"/>
      <c r="AB587"/>
      <c r="AC587"/>
      <c r="AD587"/>
    </row>
    <row r="588" spans="17:30" ht="12.75" customHeight="1">
      <c r="Q588"/>
      <c r="R588"/>
      <c r="S588"/>
      <c r="T588"/>
      <c r="U588"/>
      <c r="V588"/>
      <c r="W588"/>
      <c r="X588"/>
      <c r="Y588"/>
      <c r="Z588"/>
      <c r="AA588"/>
      <c r="AB588"/>
      <c r="AC588"/>
      <c r="AD588"/>
    </row>
    <row r="589" spans="17:30" ht="12.75" customHeight="1">
      <c r="Q589"/>
      <c r="R589"/>
      <c r="S589"/>
      <c r="T589"/>
      <c r="U589"/>
      <c r="V589"/>
      <c r="W589"/>
      <c r="X589"/>
      <c r="Y589"/>
      <c r="Z589"/>
      <c r="AA589"/>
      <c r="AB589"/>
      <c r="AC589"/>
      <c r="AD589"/>
    </row>
    <row r="590" spans="17:30" ht="12.75" customHeight="1">
      <c r="Q590"/>
      <c r="R590"/>
      <c r="S590"/>
      <c r="T590"/>
      <c r="U590"/>
      <c r="V590"/>
      <c r="W590"/>
      <c r="X590"/>
      <c r="Y590"/>
      <c r="Z590"/>
      <c r="AA590"/>
      <c r="AB590"/>
      <c r="AC590"/>
      <c r="AD590"/>
    </row>
    <row r="591" spans="17:30" ht="12.75" customHeight="1">
      <c r="Q591"/>
      <c r="R591"/>
      <c r="S591"/>
      <c r="T591"/>
      <c r="U591"/>
      <c r="V591"/>
      <c r="W591"/>
      <c r="X591"/>
      <c r="Y591"/>
      <c r="Z591"/>
      <c r="AA591"/>
      <c r="AB591"/>
      <c r="AC591"/>
      <c r="AD591"/>
    </row>
    <row r="592" spans="17:30" ht="12.75" customHeight="1">
      <c r="Q592"/>
      <c r="R592"/>
      <c r="S592"/>
      <c r="T592"/>
      <c r="U592"/>
      <c r="V592"/>
      <c r="W592"/>
      <c r="X592"/>
      <c r="Y592"/>
      <c r="Z592"/>
      <c r="AA592"/>
      <c r="AB592"/>
      <c r="AC592"/>
      <c r="AD592"/>
    </row>
    <row r="593" spans="17:30" ht="12.75" customHeight="1">
      <c r="Q593"/>
      <c r="R593"/>
      <c r="S593"/>
      <c r="T593"/>
      <c r="U593"/>
      <c r="V593"/>
      <c r="W593"/>
      <c r="X593"/>
      <c r="Y593"/>
      <c r="Z593"/>
      <c r="AA593"/>
      <c r="AB593"/>
      <c r="AC593"/>
      <c r="AD593"/>
    </row>
    <row r="594" spans="17:30" ht="12.75" customHeight="1">
      <c r="Q594"/>
      <c r="R594"/>
      <c r="S594"/>
      <c r="T594"/>
      <c r="U594"/>
      <c r="V594"/>
      <c r="W594"/>
      <c r="X594"/>
      <c r="Y594"/>
      <c r="Z594"/>
      <c r="AA594"/>
      <c r="AB594"/>
      <c r="AC594"/>
      <c r="AD594"/>
    </row>
    <row r="595" spans="17:30" ht="12.75" customHeight="1">
      <c r="Q595"/>
      <c r="R595"/>
      <c r="S595"/>
      <c r="T595"/>
      <c r="U595"/>
      <c r="V595"/>
      <c r="W595"/>
      <c r="X595"/>
      <c r="Y595"/>
      <c r="Z595"/>
      <c r="AA595"/>
      <c r="AB595"/>
      <c r="AC595"/>
      <c r="AD595"/>
    </row>
    <row r="596" spans="17:30" ht="12.75" customHeight="1">
      <c r="Q596"/>
      <c r="R596"/>
      <c r="S596"/>
      <c r="T596"/>
      <c r="U596"/>
      <c r="V596"/>
      <c r="W596"/>
      <c r="X596"/>
      <c r="Y596"/>
      <c r="Z596"/>
      <c r="AA596"/>
      <c r="AB596"/>
      <c r="AC596"/>
      <c r="AD596"/>
    </row>
    <row r="597" spans="17:30" ht="12.75" customHeight="1">
      <c r="Q597"/>
      <c r="R597"/>
      <c r="S597"/>
      <c r="T597"/>
      <c r="U597"/>
      <c r="V597"/>
      <c r="W597"/>
      <c r="X597"/>
      <c r="Y597"/>
      <c r="Z597"/>
      <c r="AA597"/>
      <c r="AB597"/>
      <c r="AC597"/>
      <c r="AD597"/>
    </row>
    <row r="598" spans="17:30" ht="12.75" customHeight="1">
      <c r="Q598"/>
      <c r="R598"/>
      <c r="S598"/>
      <c r="T598"/>
      <c r="U598"/>
      <c r="V598"/>
      <c r="W598"/>
      <c r="X598"/>
      <c r="Y598"/>
      <c r="Z598"/>
      <c r="AA598"/>
      <c r="AB598"/>
      <c r="AC598"/>
      <c r="AD598"/>
    </row>
    <row r="599" spans="17:30" ht="12.75" customHeight="1">
      <c r="Q599"/>
      <c r="R599"/>
      <c r="S599"/>
      <c r="T599"/>
      <c r="U599"/>
      <c r="V599"/>
      <c r="W599"/>
      <c r="X599"/>
      <c r="Y599"/>
      <c r="Z599"/>
      <c r="AA599"/>
      <c r="AB599"/>
      <c r="AC599"/>
      <c r="AD599"/>
    </row>
    <row r="600" spans="17:30" ht="12.75" customHeight="1">
      <c r="Q600"/>
      <c r="R600"/>
      <c r="S600"/>
      <c r="T600"/>
      <c r="U600"/>
      <c r="V600"/>
      <c r="W600"/>
      <c r="X600"/>
      <c r="Y600"/>
      <c r="Z600"/>
      <c r="AA600"/>
      <c r="AB600"/>
      <c r="AC600"/>
      <c r="AD600"/>
    </row>
    <row r="601" spans="17:30" ht="12.75" customHeight="1">
      <c r="Q601"/>
      <c r="R601"/>
      <c r="S601"/>
      <c r="T601"/>
      <c r="U601"/>
      <c r="V601"/>
      <c r="W601"/>
      <c r="X601"/>
      <c r="Y601"/>
      <c r="Z601"/>
      <c r="AA601"/>
      <c r="AB601"/>
      <c r="AC601"/>
      <c r="AD601"/>
    </row>
    <row r="602" spans="17:30" ht="12.75" customHeight="1">
      <c r="Q602"/>
      <c r="R602"/>
      <c r="S602"/>
      <c r="T602"/>
      <c r="U602"/>
      <c r="V602"/>
      <c r="W602"/>
      <c r="X602"/>
      <c r="Y602"/>
      <c r="Z602"/>
      <c r="AA602"/>
      <c r="AB602"/>
      <c r="AC602"/>
      <c r="AD602"/>
    </row>
    <row r="603" spans="17:30" ht="12.75" customHeight="1">
      <c r="Q603"/>
      <c r="R603"/>
      <c r="S603"/>
      <c r="T603"/>
      <c r="U603"/>
      <c r="V603"/>
      <c r="W603"/>
      <c r="X603"/>
      <c r="Y603"/>
      <c r="Z603"/>
      <c r="AA603"/>
      <c r="AB603"/>
      <c r="AC603"/>
      <c r="AD603"/>
    </row>
    <row r="604" spans="17:30" ht="12.75" customHeight="1">
      <c r="Q604"/>
      <c r="R604"/>
      <c r="S604"/>
      <c r="T604"/>
      <c r="U604"/>
      <c r="V604"/>
      <c r="W604"/>
      <c r="X604"/>
      <c r="Y604"/>
      <c r="Z604"/>
      <c r="AA604"/>
      <c r="AB604"/>
      <c r="AC604"/>
      <c r="AD604"/>
    </row>
    <row r="605" spans="17:30" ht="12.75" customHeight="1">
      <c r="Q605"/>
      <c r="R605"/>
      <c r="S605"/>
      <c r="T605"/>
      <c r="U605"/>
      <c r="V605"/>
      <c r="W605"/>
      <c r="X605"/>
      <c r="Y605"/>
      <c r="Z605"/>
      <c r="AA605"/>
      <c r="AB605"/>
      <c r="AC605"/>
      <c r="AD605"/>
    </row>
    <row r="606" spans="17:30" ht="12.75" customHeight="1">
      <c r="Q606"/>
      <c r="R606"/>
      <c r="S606"/>
      <c r="T606"/>
      <c r="U606"/>
      <c r="V606"/>
      <c r="W606"/>
      <c r="X606"/>
      <c r="Y606"/>
      <c r="Z606"/>
      <c r="AA606"/>
      <c r="AB606"/>
      <c r="AC606"/>
      <c r="AD606"/>
    </row>
    <row r="607" spans="17:30" ht="12.75" customHeight="1">
      <c r="Q607"/>
      <c r="R607"/>
      <c r="S607"/>
      <c r="T607"/>
      <c r="U607"/>
      <c r="V607"/>
      <c r="W607"/>
      <c r="X607"/>
      <c r="Y607"/>
      <c r="Z607"/>
      <c r="AA607"/>
      <c r="AB607"/>
      <c r="AC607"/>
      <c r="AD607"/>
    </row>
    <row r="608" spans="17:30" ht="12.75" customHeight="1">
      <c r="Q608"/>
      <c r="R608"/>
      <c r="S608"/>
      <c r="T608"/>
      <c r="U608"/>
      <c r="V608"/>
      <c r="W608"/>
      <c r="X608"/>
      <c r="Y608"/>
      <c r="Z608"/>
      <c r="AA608"/>
      <c r="AB608"/>
      <c r="AC608"/>
      <c r="AD608"/>
    </row>
    <row r="609" spans="17:30" ht="12.75" customHeight="1">
      <c r="Q609"/>
      <c r="R609"/>
      <c r="S609"/>
      <c r="T609"/>
      <c r="U609"/>
      <c r="V609"/>
      <c r="W609"/>
      <c r="X609"/>
      <c r="Y609"/>
      <c r="Z609"/>
      <c r="AA609"/>
      <c r="AB609"/>
      <c r="AC609"/>
      <c r="AD609"/>
    </row>
    <row r="610" spans="17:30" ht="12.75" customHeight="1">
      <c r="Q610"/>
      <c r="R610"/>
      <c r="S610"/>
      <c r="T610"/>
      <c r="U610"/>
      <c r="V610"/>
      <c r="W610"/>
      <c r="X610"/>
      <c r="Y610"/>
      <c r="Z610"/>
      <c r="AA610"/>
      <c r="AB610"/>
      <c r="AC610"/>
      <c r="AD610"/>
    </row>
    <row r="611" spans="17:30" ht="12.75" customHeight="1">
      <c r="Q611"/>
      <c r="R611"/>
      <c r="S611"/>
      <c r="T611"/>
      <c r="U611"/>
      <c r="V611"/>
      <c r="W611"/>
      <c r="X611"/>
      <c r="Y611"/>
      <c r="Z611"/>
      <c r="AA611"/>
      <c r="AB611"/>
      <c r="AC611"/>
      <c r="AD611"/>
    </row>
    <row r="612" spans="17:30" ht="12.75" customHeight="1">
      <c r="Q612"/>
      <c r="R612"/>
      <c r="S612"/>
      <c r="T612"/>
      <c r="U612"/>
      <c r="V612"/>
      <c r="W612"/>
      <c r="X612"/>
      <c r="Y612"/>
      <c r="Z612"/>
      <c r="AA612"/>
      <c r="AB612"/>
      <c r="AC612"/>
      <c r="AD612"/>
    </row>
    <row r="613" spans="17:30" ht="12.75" customHeight="1">
      <c r="Q613"/>
      <c r="R613"/>
      <c r="S613"/>
      <c r="T613"/>
      <c r="U613"/>
      <c r="V613"/>
      <c r="W613"/>
      <c r="X613"/>
      <c r="Y613"/>
      <c r="Z613"/>
      <c r="AA613"/>
      <c r="AB613"/>
      <c r="AC613"/>
      <c r="AD613"/>
    </row>
    <row r="614" spans="17:30" ht="12.75" customHeight="1">
      <c r="Q614"/>
      <c r="R614"/>
      <c r="S614"/>
      <c r="T614"/>
      <c r="U614"/>
      <c r="V614"/>
      <c r="W614"/>
      <c r="X614"/>
      <c r="Y614"/>
      <c r="Z614"/>
      <c r="AA614"/>
      <c r="AB614"/>
      <c r="AC614"/>
      <c r="AD614"/>
    </row>
    <row r="615" spans="17:30" ht="12.75" customHeight="1">
      <c r="Q615"/>
      <c r="R615"/>
      <c r="S615"/>
      <c r="T615"/>
      <c r="U615"/>
      <c r="V615"/>
      <c r="W615"/>
      <c r="X615"/>
      <c r="Y615"/>
      <c r="Z615"/>
      <c r="AA615"/>
      <c r="AB615"/>
      <c r="AC615"/>
      <c r="AD615"/>
    </row>
    <row r="616" spans="17:30" ht="12.75" customHeight="1">
      <c r="Q616"/>
      <c r="R616"/>
      <c r="S616"/>
      <c r="T616"/>
      <c r="U616"/>
      <c r="V616"/>
      <c r="W616"/>
      <c r="X616"/>
      <c r="Y616"/>
      <c r="Z616"/>
      <c r="AA616"/>
      <c r="AB616"/>
      <c r="AC616"/>
      <c r="AD616"/>
    </row>
    <row r="617" spans="17:30" ht="12.75" customHeight="1">
      <c r="Q617"/>
      <c r="R617"/>
      <c r="S617"/>
      <c r="T617"/>
      <c r="U617"/>
      <c r="V617"/>
      <c r="W617"/>
      <c r="X617"/>
      <c r="Y617"/>
      <c r="Z617"/>
      <c r="AA617"/>
      <c r="AB617"/>
      <c r="AC617"/>
      <c r="AD617"/>
    </row>
    <row r="618" spans="17:30" ht="12.75" customHeight="1">
      <c r="Q618"/>
      <c r="R618"/>
      <c r="S618"/>
      <c r="T618"/>
      <c r="U618"/>
      <c r="V618"/>
      <c r="W618"/>
      <c r="X618"/>
      <c r="Y618"/>
      <c r="Z618"/>
      <c r="AA618"/>
      <c r="AB618"/>
      <c r="AC618"/>
      <c r="AD618"/>
    </row>
    <row r="619" spans="17:30" ht="12.75" customHeight="1">
      <c r="Q619"/>
      <c r="R619"/>
      <c r="S619"/>
      <c r="T619"/>
      <c r="U619"/>
      <c r="V619"/>
      <c r="W619"/>
      <c r="X619"/>
      <c r="Y619"/>
      <c r="Z619"/>
      <c r="AA619"/>
      <c r="AB619"/>
      <c r="AC619"/>
      <c r="AD619"/>
    </row>
    <row r="620" spans="17:30" ht="12.75" customHeight="1">
      <c r="Q620"/>
      <c r="R620"/>
      <c r="S620"/>
      <c r="T620"/>
      <c r="U620"/>
      <c r="V620"/>
      <c r="W620"/>
      <c r="X620"/>
      <c r="Y620"/>
      <c r="Z620"/>
      <c r="AA620"/>
      <c r="AB620"/>
      <c r="AC620"/>
      <c r="AD620"/>
    </row>
    <row r="621" spans="17:30" ht="12.75" customHeight="1">
      <c r="Q621"/>
      <c r="R621"/>
      <c r="S621"/>
      <c r="T621"/>
      <c r="U621"/>
      <c r="V621"/>
      <c r="W621"/>
      <c r="X621"/>
      <c r="Y621"/>
      <c r="Z621"/>
      <c r="AA621"/>
      <c r="AB621"/>
      <c r="AC621"/>
      <c r="AD621"/>
    </row>
    <row r="622" spans="17:30" ht="12.75" customHeight="1">
      <c r="Q622"/>
      <c r="R622"/>
      <c r="S622"/>
      <c r="T622"/>
      <c r="U622"/>
      <c r="V622"/>
      <c r="W622"/>
      <c r="X622"/>
      <c r="Y622"/>
      <c r="Z622"/>
      <c r="AA622"/>
      <c r="AB622"/>
      <c r="AC622"/>
      <c r="AD622"/>
    </row>
    <row r="623" spans="17:30" ht="12.75" customHeight="1">
      <c r="Q623"/>
      <c r="R623"/>
      <c r="S623"/>
      <c r="T623"/>
      <c r="U623"/>
      <c r="V623"/>
      <c r="W623"/>
      <c r="X623"/>
      <c r="Y623"/>
      <c r="Z623"/>
      <c r="AA623"/>
      <c r="AB623"/>
      <c r="AC623"/>
      <c r="AD623"/>
    </row>
    <row r="624" spans="17:30" ht="12.75" customHeight="1">
      <c r="Q624"/>
      <c r="R624"/>
      <c r="S624"/>
      <c r="T624"/>
      <c r="U624"/>
      <c r="V624"/>
      <c r="W624"/>
      <c r="X624"/>
      <c r="Y624"/>
      <c r="Z624"/>
      <c r="AA624"/>
      <c r="AB624"/>
      <c r="AC624"/>
      <c r="AD624"/>
    </row>
    <row r="625" spans="17:30" ht="12.75" customHeight="1">
      <c r="Q625"/>
      <c r="R625"/>
      <c r="S625"/>
      <c r="T625"/>
      <c r="U625"/>
      <c r="V625"/>
      <c r="W625"/>
      <c r="X625"/>
      <c r="Y625"/>
      <c r="Z625"/>
      <c r="AA625"/>
      <c r="AB625"/>
      <c r="AC625"/>
      <c r="AD625"/>
    </row>
    <row r="626" spans="17:30" ht="12.75" customHeight="1">
      <c r="Q626"/>
      <c r="R626"/>
      <c r="S626"/>
      <c r="T626"/>
      <c r="U626"/>
      <c r="V626"/>
      <c r="W626"/>
      <c r="X626"/>
      <c r="Y626"/>
      <c r="Z626"/>
      <c r="AA626"/>
      <c r="AB626"/>
      <c r="AC626"/>
      <c r="AD626"/>
    </row>
    <row r="627" spans="17:30" ht="12.75" customHeight="1">
      <c r="Q627"/>
      <c r="R627"/>
      <c r="S627"/>
      <c r="T627"/>
      <c r="U627"/>
      <c r="V627"/>
      <c r="W627"/>
      <c r="X627"/>
      <c r="Y627"/>
      <c r="Z627"/>
      <c r="AA627"/>
      <c r="AB627"/>
      <c r="AC627"/>
      <c r="AD627"/>
    </row>
    <row r="628" spans="17:30" ht="12.75" customHeight="1">
      <c r="Q628"/>
      <c r="R628"/>
      <c r="S628"/>
      <c r="T628"/>
      <c r="U628"/>
      <c r="V628"/>
      <c r="W628"/>
      <c r="X628"/>
      <c r="Y628"/>
      <c r="Z628"/>
      <c r="AA628"/>
      <c r="AB628"/>
      <c r="AC628"/>
      <c r="AD628"/>
    </row>
    <row r="629" spans="17:30" ht="12.75" customHeight="1">
      <c r="Q629"/>
      <c r="R629"/>
      <c r="S629"/>
      <c r="T629"/>
      <c r="U629"/>
      <c r="V629"/>
      <c r="W629"/>
      <c r="X629"/>
      <c r="Y629"/>
      <c r="Z629"/>
      <c r="AA629"/>
      <c r="AB629"/>
      <c r="AC629"/>
      <c r="AD629"/>
    </row>
    <row r="630" spans="17:30" ht="12.75" customHeight="1">
      <c r="Q630"/>
      <c r="R630"/>
      <c r="S630"/>
      <c r="T630"/>
      <c r="U630"/>
      <c r="V630"/>
      <c r="W630"/>
      <c r="X630"/>
      <c r="Y630"/>
      <c r="Z630"/>
      <c r="AA630"/>
      <c r="AB630"/>
      <c r="AC630"/>
      <c r="AD630"/>
    </row>
    <row r="631" spans="17:30" ht="12.75" customHeight="1">
      <c r="Q631"/>
      <c r="R631"/>
      <c r="S631"/>
      <c r="T631"/>
      <c r="U631"/>
      <c r="V631"/>
      <c r="W631"/>
      <c r="X631"/>
      <c r="Y631"/>
      <c r="Z631"/>
      <c r="AA631"/>
      <c r="AB631"/>
      <c r="AC631"/>
      <c r="AD631"/>
    </row>
    <row r="632" spans="17:30" ht="12.75" customHeight="1">
      <c r="Q632"/>
      <c r="R632"/>
      <c r="S632"/>
      <c r="T632"/>
      <c r="U632"/>
      <c r="V632"/>
      <c r="W632"/>
      <c r="X632"/>
      <c r="Y632"/>
      <c r="Z632"/>
      <c r="AA632"/>
      <c r="AB632"/>
      <c r="AC632"/>
      <c r="AD632"/>
    </row>
    <row r="633" spans="17:30" ht="12.75" customHeight="1">
      <c r="Q633"/>
      <c r="R633"/>
      <c r="S633"/>
      <c r="T633"/>
      <c r="U633"/>
      <c r="V633"/>
      <c r="W633"/>
      <c r="X633"/>
      <c r="Y633"/>
      <c r="Z633"/>
      <c r="AA633"/>
      <c r="AB633"/>
      <c r="AC633"/>
      <c r="AD633"/>
    </row>
    <row r="634" spans="17:30" ht="12.75" customHeight="1">
      <c r="Q634"/>
      <c r="R634"/>
      <c r="S634"/>
      <c r="T634"/>
      <c r="U634"/>
      <c r="V634"/>
      <c r="W634"/>
      <c r="X634"/>
      <c r="Y634"/>
      <c r="Z634"/>
      <c r="AA634"/>
      <c r="AB634"/>
      <c r="AC634"/>
      <c r="AD634"/>
    </row>
    <row r="635" spans="17:30" ht="12.75" customHeight="1">
      <c r="Q635"/>
      <c r="R635"/>
      <c r="S635"/>
      <c r="T635"/>
      <c r="U635"/>
      <c r="V635"/>
      <c r="W635"/>
      <c r="X635"/>
      <c r="Y635"/>
      <c r="Z635"/>
      <c r="AA635"/>
      <c r="AB635"/>
      <c r="AC635"/>
      <c r="AD635"/>
    </row>
    <row r="636" spans="17:30" ht="12.75" customHeight="1">
      <c r="Q636"/>
      <c r="R636"/>
      <c r="S636"/>
      <c r="T636"/>
      <c r="U636"/>
      <c r="V636"/>
      <c r="W636"/>
      <c r="X636"/>
      <c r="Y636"/>
      <c r="Z636"/>
      <c r="AA636"/>
      <c r="AB636"/>
      <c r="AC636"/>
      <c r="AD636"/>
    </row>
    <row r="637" spans="17:30" ht="12.75" customHeight="1">
      <c r="Q637"/>
      <c r="R637"/>
      <c r="S637"/>
      <c r="T637"/>
      <c r="U637"/>
      <c r="V637"/>
      <c r="W637"/>
      <c r="X637"/>
      <c r="Y637"/>
      <c r="Z637"/>
      <c r="AA637"/>
      <c r="AB637"/>
      <c r="AC637"/>
      <c r="AD637"/>
    </row>
    <row r="638" spans="17:30" ht="12.75" customHeight="1">
      <c r="Q638"/>
      <c r="R638"/>
      <c r="S638"/>
      <c r="T638"/>
      <c r="U638"/>
      <c r="V638"/>
      <c r="W638"/>
      <c r="X638"/>
      <c r="Y638"/>
      <c r="Z638"/>
      <c r="AA638"/>
      <c r="AB638"/>
      <c r="AC638"/>
      <c r="AD638"/>
    </row>
    <row r="639" spans="17:30" ht="12.75" customHeight="1">
      <c r="Q639"/>
      <c r="R639"/>
      <c r="S639"/>
      <c r="T639"/>
      <c r="U639"/>
      <c r="V639"/>
      <c r="W639"/>
      <c r="X639"/>
      <c r="Y639"/>
      <c r="Z639"/>
      <c r="AA639"/>
      <c r="AB639"/>
      <c r="AC639"/>
      <c r="AD639"/>
    </row>
    <row r="640" spans="17:30" ht="12.75" customHeight="1">
      <c r="Q640"/>
      <c r="R640"/>
      <c r="S640"/>
      <c r="T640"/>
      <c r="U640"/>
      <c r="V640"/>
      <c r="W640"/>
      <c r="X640"/>
      <c r="Y640"/>
      <c r="Z640"/>
      <c r="AA640"/>
      <c r="AB640"/>
      <c r="AC640"/>
      <c r="AD640"/>
    </row>
    <row r="641" spans="17:30" ht="12.75" customHeight="1">
      <c r="Q641"/>
      <c r="R641"/>
      <c r="S641"/>
      <c r="T641"/>
      <c r="U641"/>
      <c r="V641"/>
      <c r="W641"/>
      <c r="X641"/>
      <c r="Y641"/>
      <c r="Z641"/>
      <c r="AA641"/>
      <c r="AB641"/>
      <c r="AC641"/>
      <c r="AD641"/>
    </row>
    <row r="642" spans="17:30" ht="12.75" customHeight="1">
      <c r="Q642" s="23"/>
      <c r="R642" s="1"/>
      <c r="S642" s="1"/>
      <c r="T642" s="1"/>
      <c r="U642" s="1"/>
      <c r="V642" s="1"/>
      <c r="W642" s="1"/>
      <c r="X642" s="1"/>
      <c r="Y642" s="1"/>
      <c r="Z642" s="1"/>
    </row>
    <row r="643" spans="17:30" ht="12.75" customHeight="1">
      <c r="Q643" s="23"/>
      <c r="R643" s="1"/>
      <c r="S643" s="1"/>
      <c r="T643" s="1"/>
      <c r="U643" s="1"/>
      <c r="V643" s="1"/>
      <c r="W643" s="1"/>
      <c r="X643" s="1"/>
      <c r="Y643" s="1"/>
      <c r="Z643" s="1"/>
    </row>
    <row r="644" spans="17:30" ht="12.75" customHeight="1">
      <c r="Q644" s="23"/>
      <c r="R644" s="1"/>
      <c r="S644" s="1"/>
      <c r="T644" s="1"/>
      <c r="U644" s="1"/>
      <c r="V644" s="1"/>
      <c r="W644" s="1"/>
      <c r="X644" s="1"/>
      <c r="Y644" s="1"/>
      <c r="Z644" s="1"/>
    </row>
    <row r="645" spans="17:30" ht="12.75" customHeight="1">
      <c r="Q645" s="23"/>
      <c r="R645" s="1"/>
      <c r="S645" s="1"/>
      <c r="T645" s="1"/>
      <c r="U645" s="1"/>
      <c r="V645" s="1"/>
      <c r="W645" s="1"/>
      <c r="X645" s="1"/>
      <c r="Y645" s="1"/>
      <c r="Z645" s="1"/>
    </row>
    <row r="646" spans="17:30" ht="12.75" customHeight="1">
      <c r="Q646" s="23"/>
      <c r="R646" s="1"/>
      <c r="S646" s="1"/>
      <c r="T646" s="1"/>
      <c r="U646" s="1"/>
      <c r="V646" s="1"/>
      <c r="W646" s="1"/>
      <c r="X646" s="1"/>
      <c r="Y646" s="1"/>
      <c r="Z646" s="1"/>
    </row>
    <row r="647" spans="17:30" ht="12.75" customHeight="1">
      <c r="Q647" s="23"/>
      <c r="R647" s="1"/>
      <c r="S647" s="1"/>
      <c r="T647" s="1"/>
      <c r="U647" s="1"/>
      <c r="V647" s="1"/>
      <c r="W647" s="1"/>
      <c r="X647" s="1"/>
      <c r="Y647" s="1"/>
      <c r="Z647" s="1"/>
    </row>
    <row r="648" spans="17:30" ht="12.75" customHeight="1">
      <c r="Q648" s="23"/>
      <c r="R648" s="1"/>
      <c r="S648" s="1"/>
      <c r="T648" s="1"/>
      <c r="U648" s="1"/>
      <c r="V648" s="1"/>
      <c r="W648" s="1"/>
      <c r="X648" s="1"/>
      <c r="Y648" s="1"/>
      <c r="Z648" s="1"/>
    </row>
    <row r="649" spans="17:30" ht="12.75" customHeight="1">
      <c r="Q649" s="23"/>
      <c r="R649" s="1"/>
      <c r="S649" s="1"/>
      <c r="T649" s="1"/>
      <c r="U649" s="1"/>
      <c r="V649" s="1"/>
      <c r="W649" s="1"/>
      <c r="X649" s="1"/>
      <c r="Y649" s="1"/>
      <c r="Z649" s="1"/>
    </row>
    <row r="650" spans="17:30" ht="12.75" customHeight="1">
      <c r="Q650" s="23"/>
      <c r="R650" s="1"/>
      <c r="S650" s="1"/>
      <c r="T650" s="1"/>
      <c r="U650" s="1"/>
      <c r="V650" s="1"/>
      <c r="W650" s="1"/>
      <c r="X650" s="1"/>
      <c r="Y650" s="1"/>
      <c r="Z650" s="1"/>
    </row>
    <row r="651" spans="17:30" ht="12.75" customHeight="1">
      <c r="Q651" s="23"/>
      <c r="R651" s="1"/>
      <c r="S651" s="1"/>
      <c r="T651" s="1"/>
      <c r="U651" s="1"/>
      <c r="V651" s="1"/>
      <c r="W651" s="1"/>
      <c r="X651" s="1"/>
      <c r="Y651" s="1"/>
      <c r="Z651" s="1"/>
    </row>
    <row r="652" spans="17:30" ht="12.75" customHeight="1">
      <c r="Q652" s="23"/>
      <c r="R652" s="1"/>
      <c r="S652" s="1"/>
      <c r="T652" s="1"/>
      <c r="U652" s="1"/>
      <c r="V652" s="1"/>
      <c r="W652" s="1"/>
      <c r="X652" s="1"/>
      <c r="Y652" s="1"/>
      <c r="Z652" s="1"/>
    </row>
    <row r="653" spans="17:30" ht="12.75" customHeight="1">
      <c r="Q653" s="23"/>
      <c r="R653" s="1"/>
      <c r="S653" s="1"/>
      <c r="T653" s="1"/>
      <c r="U653" s="1"/>
      <c r="V653" s="1"/>
      <c r="W653" s="1"/>
      <c r="X653" s="1"/>
      <c r="Y653" s="1"/>
      <c r="Z653" s="1"/>
    </row>
    <row r="654" spans="17:30" ht="12.75" customHeight="1">
      <c r="Q654" s="23"/>
      <c r="R654" s="1"/>
      <c r="S654" s="1"/>
      <c r="T654" s="1"/>
      <c r="U654" s="1"/>
      <c r="V654" s="1"/>
      <c r="W654" s="1"/>
      <c r="X654" s="1"/>
      <c r="Y654" s="1"/>
      <c r="Z654" s="1"/>
    </row>
    <row r="655" spans="17:30" ht="12.75" customHeight="1">
      <c r="Q655" s="23"/>
      <c r="R655" s="1"/>
      <c r="S655" s="1"/>
      <c r="T655" s="1"/>
      <c r="U655" s="1"/>
      <c r="V655" s="1"/>
      <c r="W655" s="1"/>
      <c r="X655" s="1"/>
      <c r="Y655" s="1"/>
      <c r="Z655" s="1"/>
    </row>
    <row r="656" spans="17:30" ht="12.75" customHeight="1">
      <c r="Q656" s="23"/>
      <c r="R656" s="1"/>
      <c r="S656" s="1"/>
      <c r="T656" s="1"/>
      <c r="U656" s="1"/>
      <c r="V656" s="1"/>
      <c r="W656" s="1"/>
      <c r="X656" s="1"/>
      <c r="Y656" s="1"/>
      <c r="Z656" s="1"/>
    </row>
    <row r="657" spans="17:26" ht="12.75" customHeight="1">
      <c r="Q657" s="23"/>
      <c r="R657" s="1"/>
      <c r="S657" s="1"/>
      <c r="T657" s="1"/>
      <c r="U657" s="1"/>
      <c r="V657" s="1"/>
      <c r="W657" s="1"/>
      <c r="X657" s="1"/>
      <c r="Y657" s="1"/>
      <c r="Z657" s="1"/>
    </row>
    <row r="658" spans="17:26" ht="12.75" customHeight="1">
      <c r="Q658" s="23"/>
      <c r="R658" s="1"/>
      <c r="S658" s="1"/>
      <c r="T658" s="1"/>
      <c r="U658" s="1"/>
      <c r="V658" s="1"/>
      <c r="W658" s="1"/>
      <c r="X658" s="1"/>
      <c r="Y658" s="1"/>
      <c r="Z658" s="1"/>
    </row>
    <row r="659" spans="17:26" ht="12.75" customHeight="1">
      <c r="Q659" s="23"/>
      <c r="R659" s="1"/>
      <c r="S659" s="1"/>
      <c r="T659" s="1"/>
      <c r="U659" s="1"/>
      <c r="V659" s="1"/>
      <c r="W659" s="1"/>
      <c r="X659" s="1"/>
      <c r="Y659" s="1"/>
      <c r="Z659" s="1"/>
    </row>
    <row r="660" spans="17:26" ht="12.75" customHeight="1">
      <c r="Q660" s="23"/>
      <c r="R660" s="1"/>
      <c r="S660" s="1"/>
      <c r="T660" s="1"/>
      <c r="U660" s="1"/>
      <c r="V660" s="1"/>
      <c r="W660" s="1"/>
      <c r="X660" s="1"/>
      <c r="Y660" s="1"/>
      <c r="Z660" s="1"/>
    </row>
    <row r="661" spans="17:26" ht="12.75" customHeight="1">
      <c r="Q661" s="23"/>
      <c r="R661" s="1"/>
      <c r="S661" s="1"/>
      <c r="T661" s="1"/>
      <c r="U661" s="1"/>
      <c r="V661" s="1"/>
      <c r="W661" s="1"/>
      <c r="X661" s="1"/>
      <c r="Y661" s="1"/>
      <c r="Z661" s="1"/>
    </row>
    <row r="662" spans="17:26" ht="12.75" customHeight="1">
      <c r="Q662" s="23"/>
      <c r="R662" s="1"/>
      <c r="S662" s="1"/>
      <c r="T662" s="1"/>
      <c r="U662" s="1"/>
      <c r="V662" s="1"/>
      <c r="W662" s="1"/>
      <c r="X662" s="1"/>
      <c r="Y662" s="1"/>
      <c r="Z662" s="1"/>
    </row>
    <row r="663" spans="17:26" ht="12.75" customHeight="1">
      <c r="Q663" s="23"/>
      <c r="R663" s="1"/>
      <c r="S663" s="1"/>
      <c r="T663" s="1"/>
      <c r="U663" s="1"/>
      <c r="V663" s="1"/>
      <c r="W663" s="1"/>
      <c r="X663" s="1"/>
      <c r="Y663" s="1"/>
      <c r="Z663" s="1"/>
    </row>
    <row r="664" spans="17:26" ht="12.75" customHeight="1">
      <c r="Q664" s="23"/>
      <c r="R664" s="1"/>
      <c r="S664" s="1"/>
      <c r="T664" s="1"/>
      <c r="U664" s="1"/>
      <c r="V664" s="1"/>
      <c r="W664" s="1"/>
      <c r="X664" s="1"/>
      <c r="Y664" s="1"/>
      <c r="Z664" s="1"/>
    </row>
    <row r="665" spans="17:26" ht="12.75" customHeight="1">
      <c r="Q665" s="23"/>
      <c r="R665" s="1"/>
      <c r="S665" s="1"/>
      <c r="T665" s="1"/>
      <c r="U665" s="1"/>
      <c r="V665" s="1"/>
      <c r="W665" s="1"/>
      <c r="X665" s="1"/>
      <c r="Y665" s="1"/>
      <c r="Z665" s="1"/>
    </row>
    <row r="666" spans="17:26" ht="12.75" customHeight="1">
      <c r="Q666" s="23"/>
      <c r="R666" s="1"/>
      <c r="S666" s="1"/>
      <c r="T666" s="1"/>
      <c r="U666" s="1"/>
      <c r="V666" s="1"/>
      <c r="W666" s="1"/>
      <c r="X666" s="1"/>
      <c r="Y666" s="1"/>
      <c r="Z666" s="1"/>
    </row>
    <row r="667" spans="17:26" ht="12.75" customHeight="1">
      <c r="Q667" s="23"/>
      <c r="R667" s="1"/>
      <c r="S667" s="1"/>
      <c r="T667" s="1"/>
      <c r="U667" s="1"/>
      <c r="V667" s="1"/>
      <c r="W667" s="1"/>
      <c r="X667" s="1"/>
      <c r="Y667" s="1"/>
      <c r="Z667" s="1"/>
    </row>
    <row r="668" spans="17:26" ht="12.75" customHeight="1">
      <c r="Q668" s="23"/>
      <c r="R668" s="1"/>
      <c r="S668" s="1"/>
      <c r="T668" s="1"/>
      <c r="U668" s="1"/>
      <c r="V668" s="1"/>
      <c r="W668" s="1"/>
      <c r="X668" s="1"/>
      <c r="Y668" s="1"/>
      <c r="Z668" s="1"/>
    </row>
    <row r="669" spans="17:26" ht="12.75" customHeight="1">
      <c r="Q669" s="23"/>
      <c r="R669" s="1"/>
      <c r="S669" s="1"/>
      <c r="T669" s="1"/>
      <c r="U669" s="1"/>
      <c r="V669" s="1"/>
      <c r="W669" s="1"/>
      <c r="X669" s="1"/>
      <c r="Y669" s="1"/>
      <c r="Z669" s="1"/>
    </row>
    <row r="670" spans="17:26" ht="12.75" customHeight="1">
      <c r="Q670" s="23"/>
      <c r="R670" s="1"/>
      <c r="S670" s="1"/>
      <c r="T670" s="1"/>
      <c r="U670" s="1"/>
      <c r="V670" s="1"/>
      <c r="W670" s="1"/>
      <c r="X670" s="1"/>
      <c r="Y670" s="1"/>
      <c r="Z670" s="1"/>
    </row>
    <row r="671" spans="17:26" ht="12.75" customHeight="1">
      <c r="Q671" s="23"/>
      <c r="R671" s="1"/>
      <c r="S671" s="1"/>
      <c r="T671" s="1"/>
      <c r="U671" s="1"/>
      <c r="V671" s="1"/>
      <c r="W671" s="1"/>
      <c r="X671" s="1"/>
      <c r="Y671" s="1"/>
      <c r="Z671" s="1"/>
    </row>
    <row r="672" spans="17:26" ht="12.75" customHeight="1">
      <c r="Q672" s="23"/>
      <c r="R672" s="1"/>
      <c r="S672" s="1"/>
      <c r="T672" s="1"/>
      <c r="U672" s="1"/>
      <c r="V672" s="1"/>
      <c r="W672" s="1"/>
      <c r="X672" s="1"/>
      <c r="Y672" s="1"/>
      <c r="Z672" s="1"/>
    </row>
    <row r="673" spans="17:26" ht="12.75" customHeight="1">
      <c r="Q673" s="23"/>
      <c r="R673" s="1"/>
      <c r="S673" s="1"/>
      <c r="T673" s="1"/>
      <c r="U673" s="1"/>
      <c r="V673" s="1"/>
      <c r="W673" s="1"/>
      <c r="X673" s="1"/>
      <c r="Y673" s="1"/>
      <c r="Z673" s="1"/>
    </row>
    <row r="674" spans="17:26" ht="12.75" customHeight="1">
      <c r="Q674" s="23"/>
      <c r="R674" s="1"/>
      <c r="S674" s="1"/>
      <c r="T674" s="1"/>
      <c r="U674" s="1"/>
      <c r="V674" s="1"/>
      <c r="W674" s="1"/>
      <c r="X674" s="1"/>
      <c r="Y674" s="1"/>
      <c r="Z674" s="1"/>
    </row>
    <row r="675" spans="17:26" ht="12.75" customHeight="1">
      <c r="Q675" s="23"/>
      <c r="R675" s="1"/>
      <c r="S675" s="1"/>
      <c r="T675" s="1"/>
      <c r="U675" s="1"/>
      <c r="V675" s="1"/>
      <c r="W675" s="1"/>
      <c r="X675" s="1"/>
      <c r="Y675" s="1"/>
      <c r="Z675" s="1"/>
    </row>
    <row r="676" spans="17:26" ht="12.75" customHeight="1">
      <c r="Q676" s="23"/>
      <c r="R676" s="1"/>
      <c r="S676" s="1"/>
      <c r="T676" s="1"/>
      <c r="U676" s="1"/>
      <c r="V676" s="1"/>
      <c r="W676" s="1"/>
      <c r="X676" s="1"/>
      <c r="Y676" s="1"/>
      <c r="Z676" s="1"/>
    </row>
    <row r="677" spans="17:26" ht="12.75" customHeight="1">
      <c r="Q677" s="23"/>
      <c r="R677" s="1"/>
      <c r="S677" s="1"/>
      <c r="T677" s="1"/>
      <c r="U677" s="1"/>
      <c r="V677" s="1"/>
      <c r="W677" s="1"/>
      <c r="X677" s="1"/>
      <c r="Y677" s="1"/>
      <c r="Z677" s="1"/>
    </row>
    <row r="678" spans="17:26" ht="12.75" customHeight="1">
      <c r="Q678" s="23"/>
      <c r="R678" s="1"/>
      <c r="S678" s="1"/>
      <c r="T678" s="1"/>
      <c r="U678" s="1"/>
      <c r="V678" s="1"/>
      <c r="W678" s="1"/>
      <c r="X678" s="1"/>
      <c r="Y678" s="1"/>
      <c r="Z678" s="1"/>
    </row>
    <row r="679" spans="17:26" ht="12.75" customHeight="1">
      <c r="Q679" s="23"/>
      <c r="R679" s="1"/>
      <c r="S679" s="1"/>
      <c r="T679" s="1"/>
      <c r="U679" s="1"/>
      <c r="V679" s="1"/>
      <c r="W679" s="1"/>
      <c r="X679" s="1"/>
      <c r="Y679" s="1"/>
      <c r="Z679" s="1"/>
    </row>
    <row r="680" spans="17:26" ht="12.75" customHeight="1">
      <c r="Q680" s="23"/>
      <c r="R680" s="1"/>
      <c r="S680" s="1"/>
      <c r="T680" s="1"/>
      <c r="U680" s="1"/>
      <c r="V680" s="1"/>
      <c r="W680" s="1"/>
      <c r="X680" s="1"/>
      <c r="Y680" s="1"/>
      <c r="Z680" s="1"/>
    </row>
    <row r="681" spans="17:26" ht="12.75" customHeight="1">
      <c r="Q681" s="23"/>
      <c r="R681" s="1"/>
      <c r="S681" s="1"/>
      <c r="T681" s="1"/>
      <c r="U681" s="1"/>
      <c r="V681" s="1"/>
      <c r="W681" s="1"/>
      <c r="X681" s="1"/>
      <c r="Y681" s="1"/>
      <c r="Z681" s="1"/>
    </row>
    <row r="682" spans="17:26" ht="12.75" customHeight="1">
      <c r="Q682" s="23"/>
      <c r="R682" s="1"/>
      <c r="S682" s="1"/>
      <c r="T682" s="1"/>
      <c r="U682" s="1"/>
      <c r="V682" s="1"/>
      <c r="W682" s="1"/>
      <c r="X682" s="1"/>
      <c r="Y682" s="1"/>
      <c r="Z682" s="1"/>
    </row>
    <row r="683" spans="17:26" ht="12.75" customHeight="1">
      <c r="Q683" s="23"/>
      <c r="R683" s="1"/>
      <c r="S683" s="1"/>
      <c r="T683" s="1"/>
      <c r="U683" s="1"/>
      <c r="V683" s="1"/>
      <c r="W683" s="1"/>
      <c r="X683" s="1"/>
      <c r="Y683" s="1"/>
      <c r="Z683" s="1"/>
    </row>
    <row r="684" spans="17:26" ht="12.75" customHeight="1">
      <c r="Q684" s="23"/>
      <c r="R684" s="1"/>
      <c r="S684" s="1"/>
      <c r="T684" s="1"/>
      <c r="U684" s="1"/>
      <c r="V684" s="1"/>
      <c r="W684" s="1"/>
      <c r="X684" s="1"/>
      <c r="Y684" s="1"/>
      <c r="Z684" s="1"/>
    </row>
    <row r="685" spans="17:26" ht="12.75" customHeight="1">
      <c r="Q685" s="23"/>
      <c r="R685" s="1"/>
      <c r="S685" s="1"/>
      <c r="T685" s="1"/>
      <c r="U685" s="1"/>
      <c r="V685" s="1"/>
      <c r="W685" s="1"/>
      <c r="X685" s="1"/>
      <c r="Y685" s="1"/>
      <c r="Z685" s="1"/>
    </row>
    <row r="686" spans="17:26" ht="12.75" customHeight="1">
      <c r="Q686" s="23"/>
      <c r="R686" s="1"/>
      <c r="S686" s="1"/>
      <c r="T686" s="1"/>
      <c r="U686" s="1"/>
      <c r="V686" s="1"/>
      <c r="W686" s="1"/>
      <c r="X686" s="1"/>
      <c r="Y686" s="1"/>
      <c r="Z686" s="1"/>
    </row>
    <row r="687" spans="17:26" ht="12.75" customHeight="1">
      <c r="Q687" s="23"/>
      <c r="R687" s="1"/>
      <c r="S687" s="1"/>
      <c r="T687" s="1"/>
      <c r="U687" s="1"/>
      <c r="V687" s="1"/>
      <c r="W687" s="1"/>
      <c r="X687" s="1"/>
      <c r="Y687" s="1"/>
      <c r="Z687" s="1"/>
    </row>
    <row r="688" spans="17:26" ht="12.75" customHeight="1">
      <c r="Q688" s="23"/>
      <c r="R688" s="1"/>
      <c r="S688" s="1"/>
      <c r="T688" s="1"/>
      <c r="U688" s="1"/>
      <c r="V688" s="1"/>
      <c r="W688" s="1"/>
      <c r="X688" s="1"/>
      <c r="Y688" s="1"/>
      <c r="Z688" s="1"/>
    </row>
    <row r="689" spans="17:26" ht="12.75" customHeight="1">
      <c r="Q689" s="23"/>
      <c r="R689" s="1"/>
      <c r="S689" s="1"/>
      <c r="T689" s="1"/>
      <c r="U689" s="1"/>
      <c r="V689" s="1"/>
      <c r="W689" s="1"/>
      <c r="X689" s="1"/>
      <c r="Y689" s="1"/>
      <c r="Z689" s="1"/>
    </row>
    <row r="690" spans="17:26">
      <c r="Q690" s="23"/>
      <c r="R690" s="1"/>
      <c r="S690" s="1"/>
      <c r="T690" s="1"/>
      <c r="U690" s="1"/>
      <c r="V690" s="1"/>
      <c r="W690" s="1"/>
      <c r="X690" s="1"/>
      <c r="Y690" s="1"/>
      <c r="Z690" s="1"/>
    </row>
    <row r="691" spans="17:26">
      <c r="Q691" s="23"/>
      <c r="R691" s="1"/>
      <c r="S691" s="1"/>
      <c r="T691" s="1"/>
      <c r="U691" s="1"/>
      <c r="V691" s="1"/>
      <c r="W691" s="1"/>
      <c r="X691" s="1"/>
      <c r="Y691" s="1"/>
      <c r="Z691" s="1"/>
    </row>
    <row r="692" spans="17:26">
      <c r="Q692" s="23"/>
      <c r="R692" s="1"/>
      <c r="S692" s="1"/>
      <c r="T692" s="1"/>
      <c r="U692" s="1"/>
      <c r="V692" s="1"/>
      <c r="W692" s="1"/>
      <c r="X692" s="1"/>
      <c r="Y692" s="1"/>
      <c r="Z692" s="1"/>
    </row>
    <row r="693" spans="17:26">
      <c r="Q693" s="23"/>
      <c r="R693" s="1"/>
      <c r="S693" s="1"/>
      <c r="T693" s="1"/>
      <c r="U693" s="1"/>
      <c r="V693" s="1"/>
      <c r="W693" s="1"/>
      <c r="X693" s="1"/>
      <c r="Y693" s="1"/>
      <c r="Z693" s="1"/>
    </row>
    <row r="694" spans="17:26">
      <c r="Q694" s="23"/>
      <c r="R694" s="1"/>
      <c r="S694" s="1"/>
      <c r="T694" s="1"/>
      <c r="U694" s="1"/>
      <c r="V694" s="1"/>
      <c r="W694" s="1"/>
      <c r="X694" s="1"/>
      <c r="Y694" s="1"/>
      <c r="Z694" s="1"/>
    </row>
    <row r="695" spans="17:26">
      <c r="Q695" s="23"/>
      <c r="R695" s="1"/>
      <c r="S695" s="1"/>
      <c r="T695" s="1"/>
      <c r="U695" s="1"/>
      <c r="V695" s="1"/>
      <c r="W695" s="1"/>
      <c r="X695" s="1"/>
      <c r="Y695" s="1"/>
      <c r="Z695" s="1"/>
    </row>
    <row r="696" spans="17:26">
      <c r="Q696" s="23"/>
      <c r="R696" s="1"/>
      <c r="S696" s="1"/>
      <c r="T696" s="1"/>
      <c r="U696" s="1"/>
      <c r="V696" s="1"/>
      <c r="W696" s="1"/>
      <c r="X696" s="1"/>
      <c r="Y696" s="1"/>
      <c r="Z696" s="1"/>
    </row>
    <row r="697" spans="17:26">
      <c r="Q697" s="23"/>
      <c r="R697" s="1"/>
      <c r="S697" s="1"/>
      <c r="T697" s="1"/>
      <c r="U697" s="1"/>
      <c r="V697" s="1"/>
      <c r="W697" s="1"/>
      <c r="X697" s="1"/>
      <c r="Y697" s="1"/>
      <c r="Z697" s="1"/>
    </row>
    <row r="698" spans="17:26">
      <c r="Q698" s="23"/>
      <c r="R698" s="1"/>
      <c r="S698" s="1"/>
      <c r="T698" s="1"/>
      <c r="U698" s="1"/>
      <c r="V698" s="1"/>
      <c r="W698" s="1"/>
      <c r="X698" s="1"/>
      <c r="Y698" s="1"/>
      <c r="Z698" s="1"/>
    </row>
    <row r="699" spans="17:26">
      <c r="Q699" s="23"/>
      <c r="R699" s="1"/>
      <c r="S699" s="1"/>
      <c r="T699" s="1"/>
      <c r="U699" s="1"/>
      <c r="V699" s="1"/>
      <c r="W699" s="1"/>
      <c r="X699" s="1"/>
      <c r="Y699" s="1"/>
      <c r="Z699" s="1"/>
    </row>
    <row r="700" spans="17:26">
      <c r="Q700" s="23"/>
      <c r="R700" s="1"/>
      <c r="S700" s="1"/>
      <c r="T700" s="1"/>
      <c r="U700" s="1"/>
      <c r="V700" s="1"/>
      <c r="W700" s="1"/>
      <c r="X700" s="1"/>
      <c r="Y700" s="1"/>
      <c r="Z700" s="1"/>
    </row>
    <row r="701" spans="17:26">
      <c r="Q701" s="23"/>
      <c r="R701" s="1"/>
      <c r="S701" s="1"/>
      <c r="T701" s="1"/>
      <c r="U701" s="1"/>
      <c r="V701" s="1"/>
      <c r="W701" s="1"/>
      <c r="X701" s="1"/>
      <c r="Y701" s="1"/>
      <c r="Z701" s="1"/>
    </row>
    <row r="702" spans="17:26">
      <c r="Q702" s="23"/>
      <c r="R702" s="1"/>
      <c r="S702" s="1"/>
      <c r="T702" s="1"/>
      <c r="U702" s="1"/>
      <c r="V702" s="1"/>
      <c r="W702" s="1"/>
      <c r="X702" s="1"/>
      <c r="Y702" s="1"/>
      <c r="Z702" s="1"/>
    </row>
    <row r="703" spans="17:26">
      <c r="Q703" s="23"/>
      <c r="R703" s="1"/>
      <c r="S703" s="1"/>
      <c r="T703" s="1"/>
      <c r="U703" s="1"/>
      <c r="V703" s="1"/>
      <c r="W703" s="1"/>
      <c r="X703" s="1"/>
      <c r="Y703" s="1"/>
      <c r="Z703" s="1"/>
    </row>
    <row r="704" spans="17:26">
      <c r="Q704" s="23"/>
      <c r="R704" s="1"/>
      <c r="S704" s="1"/>
      <c r="T704" s="1"/>
      <c r="U704" s="1"/>
      <c r="V704" s="1"/>
      <c r="W704" s="1"/>
      <c r="X704" s="1"/>
      <c r="Y704" s="1"/>
      <c r="Z704" s="1"/>
    </row>
    <row r="705" spans="17:26">
      <c r="Q705" s="23"/>
      <c r="R705" s="1"/>
      <c r="S705" s="1"/>
      <c r="T705" s="1"/>
      <c r="U705" s="1"/>
      <c r="V705" s="1"/>
      <c r="W705" s="1"/>
      <c r="X705" s="1"/>
      <c r="Y705" s="1"/>
      <c r="Z705" s="1"/>
    </row>
    <row r="706" spans="17:26">
      <c r="Q706" s="23"/>
      <c r="R706" s="1"/>
      <c r="S706" s="1"/>
      <c r="T706" s="1"/>
      <c r="U706" s="1"/>
      <c r="V706" s="1"/>
      <c r="W706" s="1"/>
      <c r="X706" s="1"/>
      <c r="Y706" s="1"/>
      <c r="Z706" s="1"/>
    </row>
    <row r="707" spans="17:26">
      <c r="Q707" s="23"/>
      <c r="R707" s="1"/>
      <c r="S707" s="1"/>
      <c r="T707" s="1"/>
      <c r="U707" s="1"/>
      <c r="V707" s="1"/>
      <c r="W707" s="1"/>
      <c r="X707" s="1"/>
      <c r="Y707" s="1"/>
      <c r="Z707" s="1"/>
    </row>
    <row r="708" spans="17:26">
      <c r="Q708" s="23"/>
      <c r="R708" s="1"/>
      <c r="S708" s="1"/>
      <c r="T708" s="1"/>
      <c r="U708" s="1"/>
      <c r="V708" s="1"/>
      <c r="W708" s="1"/>
      <c r="X708" s="1"/>
      <c r="Y708" s="1"/>
      <c r="Z708" s="1"/>
    </row>
    <row r="709" spans="17:26">
      <c r="Q709" s="23"/>
      <c r="R709" s="1"/>
      <c r="S709" s="1"/>
      <c r="T709" s="1"/>
      <c r="U709" s="1"/>
      <c r="V709" s="1"/>
      <c r="W709" s="1"/>
      <c r="X709" s="1"/>
      <c r="Y709" s="1"/>
      <c r="Z709" s="1"/>
    </row>
    <row r="710" spans="17:26">
      <c r="Q710" s="23"/>
      <c r="R710" s="1"/>
      <c r="S710" s="1"/>
      <c r="T710" s="1"/>
      <c r="U710" s="1"/>
      <c r="V710" s="1"/>
      <c r="W710" s="1"/>
      <c r="X710" s="1"/>
      <c r="Y710" s="1"/>
      <c r="Z710" s="1"/>
    </row>
    <row r="711" spans="17:26">
      <c r="Q711" s="23"/>
      <c r="R711" s="1"/>
      <c r="S711" s="1"/>
      <c r="T711" s="1"/>
      <c r="U711" s="1"/>
      <c r="V711" s="1"/>
      <c r="W711" s="1"/>
      <c r="X711" s="1"/>
      <c r="Y711" s="1"/>
      <c r="Z711" s="1"/>
    </row>
    <row r="712" spans="17:26">
      <c r="Q712" s="23"/>
      <c r="R712" s="1"/>
      <c r="S712" s="1"/>
      <c r="T712" s="1"/>
      <c r="U712" s="1"/>
      <c r="V712" s="1"/>
      <c r="W712" s="1"/>
      <c r="X712" s="1"/>
      <c r="Y712" s="1"/>
      <c r="Z712" s="1"/>
    </row>
    <row r="713" spans="17:26">
      <c r="Q713" s="23"/>
      <c r="R713" s="1"/>
      <c r="S713" s="1"/>
      <c r="T713" s="1"/>
      <c r="U713" s="1"/>
      <c r="V713" s="1"/>
      <c r="W713" s="1"/>
      <c r="X713" s="1"/>
      <c r="Y713" s="1"/>
      <c r="Z713" s="1"/>
    </row>
    <row r="714" spans="17:26">
      <c r="Q714" s="23"/>
      <c r="R714" s="1"/>
      <c r="S714" s="1"/>
      <c r="T714" s="1"/>
      <c r="U714" s="1"/>
      <c r="V714" s="1"/>
      <c r="W714" s="1"/>
      <c r="X714" s="1"/>
      <c r="Y714" s="1"/>
      <c r="Z714" s="1"/>
    </row>
    <row r="715" spans="17:26">
      <c r="Q715" s="23"/>
      <c r="R715" s="1"/>
      <c r="S715" s="1"/>
      <c r="T715" s="1"/>
      <c r="U715" s="1"/>
      <c r="V715" s="1"/>
      <c r="W715" s="1"/>
      <c r="X715" s="1"/>
      <c r="Y715" s="1"/>
      <c r="Z715" s="1"/>
    </row>
    <row r="716" spans="17:26">
      <c r="Q716" s="23"/>
      <c r="R716" s="1"/>
      <c r="S716" s="1"/>
      <c r="T716" s="1"/>
      <c r="U716" s="1"/>
      <c r="V716" s="1"/>
      <c r="W716" s="1"/>
      <c r="X716" s="1"/>
      <c r="Y716" s="1"/>
      <c r="Z716" s="1"/>
    </row>
    <row r="717" spans="17:26">
      <c r="Q717" s="23"/>
      <c r="R717" s="1"/>
      <c r="S717" s="1"/>
      <c r="T717" s="1"/>
      <c r="U717" s="1"/>
      <c r="V717" s="1"/>
      <c r="W717" s="1"/>
      <c r="X717" s="1"/>
      <c r="Y717" s="1"/>
      <c r="Z717" s="1"/>
    </row>
    <row r="718" spans="17:26">
      <c r="Q718" s="23"/>
      <c r="R718" s="1"/>
      <c r="S718" s="1"/>
      <c r="T718" s="1"/>
      <c r="U718" s="1"/>
      <c r="V718" s="1"/>
      <c r="W718" s="1"/>
      <c r="X718" s="1"/>
      <c r="Y718" s="1"/>
      <c r="Z718" s="1"/>
    </row>
    <row r="719" spans="17:26">
      <c r="Q719" s="23"/>
      <c r="R719" s="1"/>
      <c r="S719" s="1"/>
      <c r="T719" s="1"/>
      <c r="U719" s="1"/>
      <c r="V719" s="1"/>
      <c r="W719" s="1"/>
      <c r="X719" s="1"/>
      <c r="Y719" s="1"/>
      <c r="Z719" s="1"/>
    </row>
    <row r="720" spans="17:26">
      <c r="Q720" s="23"/>
      <c r="R720" s="1"/>
      <c r="S720" s="1"/>
      <c r="T720" s="1"/>
      <c r="U720" s="1"/>
      <c r="V720" s="1"/>
      <c r="W720" s="1"/>
      <c r="X720" s="1"/>
      <c r="Y720" s="1"/>
      <c r="Z720" s="1"/>
    </row>
    <row r="721" spans="17:26">
      <c r="Q721" s="23"/>
      <c r="R721" s="1"/>
      <c r="S721" s="1"/>
      <c r="T721" s="1"/>
      <c r="U721" s="1"/>
      <c r="V721" s="1"/>
      <c r="W721" s="1"/>
      <c r="X721" s="1"/>
      <c r="Y721" s="1"/>
      <c r="Z721" s="1"/>
    </row>
    <row r="722" spans="17:26">
      <c r="Q722" s="23"/>
      <c r="R722" s="1"/>
      <c r="S722" s="1"/>
      <c r="T722" s="1"/>
      <c r="U722" s="1"/>
      <c r="V722" s="1"/>
      <c r="W722" s="1"/>
      <c r="X722" s="1"/>
      <c r="Y722" s="1"/>
      <c r="Z722" s="1"/>
    </row>
    <row r="723" spans="17:26">
      <c r="Q723" s="23"/>
      <c r="R723" s="1"/>
      <c r="S723" s="1"/>
      <c r="T723" s="1"/>
      <c r="U723" s="1"/>
      <c r="V723" s="1"/>
      <c r="W723" s="1"/>
      <c r="X723" s="1"/>
      <c r="Y723" s="1"/>
      <c r="Z723" s="1"/>
    </row>
    <row r="724" spans="17:26">
      <c r="Q724" s="23"/>
      <c r="R724" s="1"/>
      <c r="S724" s="1"/>
      <c r="T724" s="1"/>
      <c r="U724" s="1"/>
      <c r="V724" s="1"/>
      <c r="W724" s="1"/>
      <c r="X724" s="1"/>
      <c r="Y724" s="1"/>
      <c r="Z724" s="1"/>
    </row>
    <row r="725" spans="17:26">
      <c r="Q725" s="23"/>
      <c r="R725" s="1"/>
      <c r="S725" s="1"/>
      <c r="T725" s="1"/>
      <c r="U725" s="1"/>
      <c r="V725" s="1"/>
      <c r="W725" s="1"/>
      <c r="X725" s="1"/>
      <c r="Y725" s="1"/>
      <c r="Z725" s="1"/>
    </row>
    <row r="726" spans="17:26">
      <c r="Q726" s="23"/>
      <c r="R726" s="1"/>
      <c r="S726" s="1"/>
      <c r="T726" s="1"/>
      <c r="U726" s="1"/>
      <c r="V726" s="1"/>
      <c r="W726" s="1"/>
      <c r="X726" s="1"/>
      <c r="Y726" s="1"/>
      <c r="Z726" s="1"/>
    </row>
    <row r="727" spans="17:26">
      <c r="Q727" s="23"/>
      <c r="R727" s="1"/>
      <c r="S727" s="1"/>
      <c r="T727" s="1"/>
      <c r="U727" s="1"/>
      <c r="V727" s="1"/>
      <c r="W727" s="1"/>
      <c r="X727" s="1"/>
      <c r="Y727" s="1"/>
      <c r="Z727" s="1"/>
    </row>
    <row r="728" spans="17:26">
      <c r="Q728" s="23"/>
      <c r="R728" s="1"/>
      <c r="S728" s="1"/>
      <c r="T728" s="1"/>
      <c r="U728" s="1"/>
      <c r="V728" s="1"/>
      <c r="W728" s="1"/>
      <c r="X728" s="1"/>
      <c r="Y728" s="1"/>
      <c r="Z728" s="1"/>
    </row>
    <row r="729" spans="17:26">
      <c r="Q729" s="23"/>
      <c r="R729" s="1"/>
      <c r="S729" s="1"/>
      <c r="T729" s="1"/>
      <c r="U729" s="1"/>
      <c r="V729" s="1"/>
      <c r="W729" s="1"/>
      <c r="X729" s="1"/>
      <c r="Y729" s="1"/>
      <c r="Z729" s="1"/>
    </row>
    <row r="730" spans="17:26">
      <c r="Q730" s="23"/>
      <c r="R730" s="1"/>
      <c r="S730" s="1"/>
      <c r="T730" s="1"/>
      <c r="U730" s="1"/>
      <c r="V730" s="1"/>
      <c r="W730" s="1"/>
      <c r="X730" s="1"/>
      <c r="Y730" s="1"/>
      <c r="Z730" s="1"/>
    </row>
    <row r="731" spans="17:26">
      <c r="Q731" s="23"/>
      <c r="R731" s="1"/>
      <c r="S731" s="1"/>
      <c r="T731" s="1"/>
      <c r="U731" s="1"/>
      <c r="V731" s="1"/>
      <c r="W731" s="1"/>
      <c r="X731" s="1"/>
      <c r="Y731" s="1"/>
      <c r="Z731" s="1"/>
    </row>
    <row r="732" spans="17:26">
      <c r="Q732" s="23"/>
      <c r="R732" s="1"/>
      <c r="S732" s="1"/>
      <c r="T732" s="1"/>
      <c r="U732" s="1"/>
      <c r="V732" s="1"/>
      <c r="W732" s="1"/>
      <c r="X732" s="1"/>
      <c r="Y732" s="1"/>
      <c r="Z732" s="1"/>
    </row>
    <row r="733" spans="17:26">
      <c r="Q733" s="23"/>
      <c r="R733" s="1"/>
      <c r="S733" s="1"/>
      <c r="T733" s="1"/>
      <c r="U733" s="1"/>
      <c r="V733" s="1"/>
      <c r="W733" s="1"/>
      <c r="X733" s="1"/>
      <c r="Y733" s="1"/>
      <c r="Z733" s="1"/>
    </row>
    <row r="734" spans="17:26">
      <c r="Q734" s="23"/>
      <c r="R734" s="1"/>
      <c r="S734" s="1"/>
      <c r="T734" s="1"/>
      <c r="U734" s="1"/>
      <c r="V734" s="1"/>
      <c r="W734" s="1"/>
      <c r="X734" s="1"/>
      <c r="Y734" s="1"/>
      <c r="Z734" s="1"/>
    </row>
    <row r="735" spans="17:26">
      <c r="Q735" s="23"/>
      <c r="R735" s="1"/>
      <c r="S735" s="1"/>
      <c r="T735" s="1"/>
      <c r="U735" s="1"/>
      <c r="V735" s="1"/>
      <c r="W735" s="1"/>
      <c r="X735" s="1"/>
      <c r="Y735" s="1"/>
      <c r="Z735" s="1"/>
    </row>
    <row r="736" spans="17:26">
      <c r="Q736" s="23"/>
      <c r="R736" s="1"/>
      <c r="S736" s="1"/>
      <c r="T736" s="1"/>
      <c r="U736" s="1"/>
      <c r="V736" s="1"/>
      <c r="W736" s="1"/>
      <c r="X736" s="1"/>
      <c r="Y736" s="1"/>
      <c r="Z736" s="1"/>
    </row>
    <row r="737" spans="17:26">
      <c r="Q737" s="23"/>
      <c r="R737" s="1"/>
      <c r="S737" s="1"/>
      <c r="T737" s="1"/>
      <c r="U737" s="1"/>
      <c r="V737" s="1"/>
      <c r="W737" s="1"/>
      <c r="X737" s="1"/>
      <c r="Y737" s="1"/>
      <c r="Z737" s="1"/>
    </row>
    <row r="738" spans="17:26">
      <c r="Q738" s="23"/>
      <c r="R738" s="1"/>
      <c r="S738" s="1"/>
      <c r="T738" s="1"/>
      <c r="U738" s="1"/>
      <c r="V738" s="1"/>
      <c r="W738" s="1"/>
      <c r="X738" s="1"/>
      <c r="Y738" s="1"/>
      <c r="Z738" s="1"/>
    </row>
    <row r="739" spans="17:26">
      <c r="Q739" s="23"/>
      <c r="R739" s="1"/>
      <c r="S739" s="1"/>
      <c r="T739" s="1"/>
      <c r="U739" s="1"/>
      <c r="V739" s="1"/>
      <c r="W739" s="1"/>
      <c r="X739" s="1"/>
      <c r="Y739" s="1"/>
      <c r="Z739" s="1"/>
    </row>
    <row r="740" spans="17:26">
      <c r="Q740" s="23"/>
      <c r="R740" s="1"/>
      <c r="S740" s="1"/>
      <c r="T740" s="1"/>
      <c r="U740" s="1"/>
      <c r="V740" s="1"/>
      <c r="W740" s="1"/>
      <c r="X740" s="1"/>
      <c r="Y740" s="1"/>
      <c r="Z740" s="1"/>
    </row>
    <row r="741" spans="17:26">
      <c r="Q741" s="23"/>
      <c r="R741" s="1"/>
      <c r="S741" s="1"/>
      <c r="T741" s="1"/>
      <c r="U741" s="1"/>
      <c r="V741" s="1"/>
      <c r="W741" s="1"/>
      <c r="X741" s="1"/>
      <c r="Y741" s="1"/>
      <c r="Z741" s="1"/>
    </row>
    <row r="742" spans="17:26">
      <c r="Q742" s="23"/>
      <c r="R742" s="1"/>
      <c r="S742" s="1"/>
      <c r="T742" s="1"/>
      <c r="U742" s="1"/>
      <c r="V742" s="1"/>
      <c r="W742" s="1"/>
      <c r="X742" s="1"/>
      <c r="Y742" s="1"/>
      <c r="Z742" s="1"/>
    </row>
    <row r="743" spans="17:26">
      <c r="Q743" s="23"/>
      <c r="R743" s="1"/>
      <c r="S743" s="1"/>
      <c r="T743" s="1"/>
      <c r="U743" s="1"/>
      <c r="V743" s="1"/>
      <c r="W743" s="1"/>
      <c r="X743" s="1"/>
      <c r="Y743" s="1"/>
      <c r="Z743" s="1"/>
    </row>
    <row r="744" spans="17:26">
      <c r="Q744" s="23"/>
      <c r="R744" s="1"/>
      <c r="S744" s="1"/>
      <c r="T744" s="1"/>
      <c r="U744" s="1"/>
      <c r="V744" s="1"/>
      <c r="W744" s="1"/>
      <c r="X744" s="1"/>
      <c r="Y744" s="1"/>
      <c r="Z744" s="1"/>
    </row>
    <row r="745" spans="17:26">
      <c r="Q745" s="23"/>
      <c r="R745" s="1"/>
      <c r="S745" s="1"/>
      <c r="T745" s="1"/>
      <c r="U745" s="1"/>
      <c r="V745" s="1"/>
      <c r="W745" s="1"/>
      <c r="X745" s="1"/>
      <c r="Y745" s="1"/>
      <c r="Z745" s="1"/>
    </row>
    <row r="746" spans="17:26">
      <c r="Q746" s="23"/>
      <c r="R746" s="1"/>
      <c r="S746" s="1"/>
      <c r="T746" s="1"/>
      <c r="U746" s="1"/>
      <c r="V746" s="1"/>
      <c r="W746" s="1"/>
      <c r="X746" s="1"/>
      <c r="Y746" s="1"/>
      <c r="Z746" s="1"/>
    </row>
    <row r="747" spans="17:26">
      <c r="Q747" s="23"/>
      <c r="R747" s="1"/>
      <c r="S747" s="1"/>
      <c r="T747" s="1"/>
      <c r="U747" s="1"/>
      <c r="V747" s="1"/>
      <c r="W747" s="1"/>
      <c r="X747" s="1"/>
      <c r="Y747" s="1"/>
      <c r="Z747" s="1"/>
    </row>
    <row r="748" spans="17:26">
      <c r="Q748" s="23"/>
      <c r="R748" s="1"/>
      <c r="S748" s="1"/>
      <c r="T748" s="1"/>
      <c r="U748" s="1"/>
      <c r="V748" s="1"/>
      <c r="W748" s="1"/>
      <c r="X748" s="1"/>
      <c r="Y748" s="1"/>
      <c r="Z748" s="1"/>
    </row>
    <row r="749" spans="17:26">
      <c r="Q749" s="23"/>
      <c r="R749" s="1"/>
      <c r="S749" s="1"/>
      <c r="T749" s="1"/>
      <c r="U749" s="1"/>
      <c r="V749" s="1"/>
      <c r="W749" s="1"/>
      <c r="X749" s="1"/>
      <c r="Y749" s="1"/>
      <c r="Z749" s="1"/>
    </row>
    <row r="750" spans="17:26">
      <c r="Q750" s="23"/>
      <c r="R750" s="1"/>
      <c r="S750" s="1"/>
      <c r="T750" s="1"/>
      <c r="U750" s="1"/>
      <c r="V750" s="1"/>
      <c r="W750" s="1"/>
      <c r="X750" s="1"/>
      <c r="Y750" s="1"/>
      <c r="Z750" s="1"/>
    </row>
    <row r="751" spans="17:26">
      <c r="Q751" s="23"/>
      <c r="R751" s="1"/>
      <c r="S751" s="1"/>
      <c r="T751" s="1"/>
      <c r="U751" s="1"/>
      <c r="V751" s="1"/>
      <c r="W751" s="1"/>
      <c r="X751" s="1"/>
      <c r="Y751" s="1"/>
      <c r="Z751" s="1"/>
    </row>
    <row r="752" spans="17:26">
      <c r="Q752" s="23"/>
      <c r="R752" s="1"/>
      <c r="S752" s="1"/>
      <c r="T752" s="1"/>
      <c r="U752" s="1"/>
      <c r="V752" s="1"/>
      <c r="W752" s="1"/>
      <c r="X752" s="1"/>
      <c r="Y752" s="1"/>
      <c r="Z752" s="1"/>
    </row>
    <row r="753" spans="17:26">
      <c r="Q753" s="23"/>
      <c r="R753" s="1"/>
      <c r="S753" s="1"/>
      <c r="T753" s="1"/>
      <c r="U753" s="1"/>
      <c r="V753" s="1"/>
      <c r="W753" s="1"/>
      <c r="X753" s="1"/>
      <c r="Y753" s="1"/>
      <c r="Z753" s="1"/>
    </row>
    <row r="754" spans="17:26">
      <c r="Q754" s="23"/>
      <c r="R754" s="1"/>
      <c r="S754" s="1"/>
      <c r="T754" s="1"/>
      <c r="U754" s="1"/>
      <c r="V754" s="1"/>
      <c r="W754" s="1"/>
      <c r="X754" s="1"/>
      <c r="Y754" s="1"/>
      <c r="Z754" s="1"/>
    </row>
    <row r="755" spans="17:26">
      <c r="Q755" s="23"/>
      <c r="R755" s="1"/>
      <c r="S755" s="1"/>
      <c r="T755" s="1"/>
      <c r="U755" s="1"/>
      <c r="V755" s="1"/>
      <c r="W755" s="1"/>
      <c r="X755" s="1"/>
      <c r="Y755" s="1"/>
      <c r="Z755" s="1"/>
    </row>
    <row r="756" spans="17:26">
      <c r="Q756" s="23"/>
      <c r="R756" s="1"/>
      <c r="S756" s="1"/>
      <c r="T756" s="1"/>
      <c r="U756" s="1"/>
      <c r="V756" s="1"/>
      <c r="W756" s="1"/>
      <c r="X756" s="1"/>
      <c r="Y756" s="1"/>
      <c r="Z756" s="1"/>
    </row>
    <row r="757" spans="17:26">
      <c r="Q757" s="23"/>
      <c r="R757" s="1"/>
      <c r="S757" s="1"/>
      <c r="T757" s="1"/>
      <c r="U757" s="1"/>
      <c r="V757" s="1"/>
      <c r="W757" s="1"/>
      <c r="X757" s="1"/>
      <c r="Y757" s="1"/>
      <c r="Z757" s="1"/>
    </row>
    <row r="758" spans="17:26">
      <c r="Q758" s="23"/>
      <c r="R758" s="1"/>
      <c r="S758" s="1"/>
      <c r="T758" s="1"/>
      <c r="U758" s="1"/>
      <c r="V758" s="1"/>
      <c r="W758" s="1"/>
      <c r="X758" s="1"/>
      <c r="Y758" s="1"/>
      <c r="Z758" s="1"/>
    </row>
    <row r="759" spans="17:26">
      <c r="Q759" s="23"/>
      <c r="R759" s="1"/>
      <c r="S759" s="1"/>
      <c r="T759" s="1"/>
      <c r="U759" s="1"/>
      <c r="V759" s="1"/>
      <c r="W759" s="1"/>
      <c r="X759" s="1"/>
      <c r="Y759" s="1"/>
      <c r="Z759" s="1"/>
    </row>
    <row r="760" spans="17:26">
      <c r="Q760" s="23"/>
      <c r="R760" s="1"/>
      <c r="S760" s="1"/>
      <c r="T760" s="1"/>
      <c r="U760" s="1"/>
      <c r="V760" s="1"/>
      <c r="W760" s="1"/>
      <c r="X760" s="1"/>
      <c r="Y760" s="1"/>
      <c r="Z760" s="1"/>
    </row>
    <row r="761" spans="17:26">
      <c r="Q761" s="23"/>
      <c r="R761" s="1"/>
      <c r="S761" s="1"/>
      <c r="T761" s="1"/>
      <c r="U761" s="1"/>
      <c r="V761" s="1"/>
      <c r="W761" s="1"/>
      <c r="X761" s="1"/>
      <c r="Y761" s="1"/>
      <c r="Z761" s="1"/>
    </row>
    <row r="762" spans="17:26">
      <c r="Q762" s="23"/>
      <c r="R762" s="1"/>
      <c r="S762" s="1"/>
      <c r="T762" s="1"/>
      <c r="U762" s="1"/>
      <c r="V762" s="1"/>
      <c r="W762" s="1"/>
      <c r="X762" s="1"/>
      <c r="Y762" s="1"/>
      <c r="Z762" s="1"/>
    </row>
    <row r="763" spans="17:26">
      <c r="Q763" s="23"/>
      <c r="R763" s="1"/>
      <c r="S763" s="1"/>
      <c r="T763" s="1"/>
      <c r="U763" s="1"/>
      <c r="V763" s="1"/>
      <c r="W763" s="1"/>
      <c r="X763" s="1"/>
      <c r="Y763" s="1"/>
      <c r="Z763" s="1"/>
    </row>
    <row r="764" spans="17:26">
      <c r="Q764" s="23"/>
      <c r="R764" s="1"/>
      <c r="S764" s="1"/>
      <c r="T764" s="1"/>
      <c r="U764" s="1"/>
      <c r="V764" s="1"/>
      <c r="W764" s="1"/>
      <c r="X764" s="1"/>
      <c r="Y764" s="1"/>
      <c r="Z764" s="1"/>
    </row>
    <row r="765" spans="17:26">
      <c r="Q765" s="23"/>
      <c r="R765" s="1"/>
      <c r="S765" s="1"/>
      <c r="T765" s="1"/>
      <c r="U765" s="1"/>
      <c r="V765" s="1"/>
      <c r="W765" s="1"/>
      <c r="X765" s="1"/>
      <c r="Y765" s="1"/>
      <c r="Z765" s="1"/>
    </row>
    <row r="766" spans="17:26">
      <c r="Q766" s="23"/>
      <c r="R766" s="1"/>
      <c r="S766" s="1"/>
      <c r="T766" s="1"/>
      <c r="U766" s="1"/>
      <c r="V766" s="1"/>
      <c r="W766" s="1"/>
      <c r="X766" s="1"/>
      <c r="Y766" s="1"/>
      <c r="Z766" s="1"/>
    </row>
    <row r="767" spans="17:26">
      <c r="Q767" s="23"/>
      <c r="R767" s="1"/>
      <c r="S767" s="1"/>
      <c r="T767" s="1"/>
      <c r="U767" s="1"/>
      <c r="V767" s="1"/>
      <c r="W767" s="1"/>
      <c r="X767" s="1"/>
      <c r="Y767" s="1"/>
      <c r="Z767" s="1"/>
    </row>
    <row r="768" spans="17:26">
      <c r="Q768" s="23"/>
      <c r="R768" s="1"/>
      <c r="S768" s="1"/>
      <c r="T768" s="1"/>
      <c r="U768" s="1"/>
      <c r="V768" s="1"/>
      <c r="W768" s="1"/>
      <c r="X768" s="1"/>
      <c r="Y768" s="1"/>
      <c r="Z768" s="1"/>
    </row>
    <row r="769" spans="17:26">
      <c r="Q769" s="23"/>
      <c r="R769" s="1"/>
      <c r="S769" s="1"/>
      <c r="T769" s="1"/>
      <c r="U769" s="1"/>
      <c r="V769" s="1"/>
      <c r="W769" s="1"/>
      <c r="X769" s="1"/>
      <c r="Y769" s="1"/>
      <c r="Z769" s="1"/>
    </row>
    <row r="770" spans="17:26">
      <c r="Q770" s="23"/>
      <c r="R770" s="1"/>
      <c r="S770" s="1"/>
      <c r="T770" s="1"/>
      <c r="U770" s="1"/>
      <c r="V770" s="1"/>
      <c r="W770" s="1"/>
      <c r="X770" s="1"/>
      <c r="Y770" s="1"/>
      <c r="Z770" s="1"/>
    </row>
    <row r="771" spans="17:26">
      <c r="Q771" s="23"/>
      <c r="R771" s="1"/>
      <c r="S771" s="1"/>
      <c r="T771" s="1"/>
      <c r="U771" s="1"/>
      <c r="V771" s="1"/>
      <c r="W771" s="1"/>
      <c r="X771" s="1"/>
      <c r="Y771" s="1"/>
      <c r="Z771" s="1"/>
    </row>
    <row r="772" spans="17:26">
      <c r="Q772" s="23"/>
      <c r="R772" s="1"/>
      <c r="S772" s="1"/>
      <c r="T772" s="1"/>
      <c r="U772" s="1"/>
      <c r="V772" s="1"/>
      <c r="W772" s="1"/>
      <c r="X772" s="1"/>
      <c r="Y772" s="1"/>
      <c r="Z772" s="1"/>
    </row>
    <row r="773" spans="17:26">
      <c r="Q773" s="23"/>
      <c r="R773" s="1"/>
      <c r="S773" s="1"/>
      <c r="T773" s="1"/>
      <c r="U773" s="1"/>
      <c r="V773" s="1"/>
      <c r="W773" s="1"/>
      <c r="X773" s="1"/>
      <c r="Y773" s="1"/>
      <c r="Z773" s="1"/>
    </row>
    <row r="774" spans="17:26">
      <c r="Q774" s="23"/>
      <c r="R774" s="1"/>
      <c r="S774" s="1"/>
      <c r="T774" s="1"/>
      <c r="U774" s="1"/>
      <c r="V774" s="1"/>
      <c r="W774" s="1"/>
      <c r="X774" s="1"/>
      <c r="Y774" s="1"/>
      <c r="Z774" s="1"/>
    </row>
    <row r="775" spans="17:26">
      <c r="Q775" s="23"/>
      <c r="R775" s="1"/>
      <c r="S775" s="1"/>
      <c r="T775" s="1"/>
      <c r="U775" s="1"/>
      <c r="V775" s="1"/>
      <c r="W775" s="1"/>
      <c r="X775" s="1"/>
      <c r="Y775" s="1"/>
      <c r="Z775" s="1"/>
    </row>
    <row r="776" spans="17:26">
      <c r="Q776" s="23"/>
      <c r="R776" s="1"/>
      <c r="S776" s="1"/>
      <c r="T776" s="1"/>
      <c r="U776" s="1"/>
      <c r="V776" s="1"/>
      <c r="W776" s="1"/>
      <c r="X776" s="1"/>
      <c r="Y776" s="1"/>
      <c r="Z776" s="1"/>
    </row>
    <row r="777" spans="17:26">
      <c r="Q777" s="23"/>
      <c r="R777" s="1"/>
      <c r="S777" s="1"/>
      <c r="T777" s="1"/>
      <c r="U777" s="1"/>
      <c r="V777" s="1"/>
      <c r="W777" s="1"/>
      <c r="X777" s="1"/>
      <c r="Y777" s="1"/>
      <c r="Z777" s="1"/>
    </row>
    <row r="778" spans="17:26">
      <c r="Q778" s="23"/>
      <c r="R778" s="1"/>
      <c r="S778" s="1"/>
      <c r="T778" s="1"/>
      <c r="U778" s="1"/>
      <c r="V778" s="1"/>
      <c r="W778" s="1"/>
      <c r="X778" s="1"/>
      <c r="Y778" s="1"/>
      <c r="Z778" s="1"/>
    </row>
    <row r="779" spans="17:26">
      <c r="Q779" s="23"/>
      <c r="R779" s="1"/>
      <c r="S779" s="1"/>
      <c r="T779" s="1"/>
      <c r="U779" s="1"/>
      <c r="V779" s="1"/>
      <c r="W779" s="1"/>
      <c r="X779" s="1"/>
      <c r="Y779" s="1"/>
      <c r="Z779" s="1"/>
    </row>
    <row r="780" spans="17:26">
      <c r="Q780" s="23"/>
      <c r="R780" s="1"/>
      <c r="S780" s="1"/>
      <c r="T780" s="1"/>
      <c r="U780" s="1"/>
      <c r="V780" s="1"/>
      <c r="W780" s="1"/>
      <c r="X780" s="1"/>
      <c r="Y780" s="1"/>
      <c r="Z780" s="1"/>
    </row>
    <row r="781" spans="17:26">
      <c r="Q781" s="23"/>
      <c r="R781" s="1"/>
      <c r="S781" s="1"/>
      <c r="T781" s="1"/>
      <c r="U781" s="1"/>
      <c r="V781" s="1"/>
      <c r="W781" s="1"/>
      <c r="X781" s="1"/>
      <c r="Y781" s="1"/>
      <c r="Z781" s="1"/>
    </row>
    <row r="782" spans="17:26">
      <c r="Q782" s="23"/>
      <c r="R782" s="1"/>
      <c r="S782" s="1"/>
      <c r="T782" s="1"/>
      <c r="U782" s="1"/>
      <c r="V782" s="1"/>
      <c r="W782" s="1"/>
      <c r="X782" s="1"/>
      <c r="Y782" s="1"/>
      <c r="Z782" s="1"/>
    </row>
    <row r="783" spans="17:26">
      <c r="Q783" s="23"/>
      <c r="R783" s="1"/>
      <c r="S783" s="1"/>
      <c r="T783" s="1"/>
      <c r="U783" s="1"/>
      <c r="V783" s="1"/>
      <c r="W783" s="1"/>
      <c r="X783" s="1"/>
      <c r="Y783" s="1"/>
      <c r="Z783" s="1"/>
    </row>
    <row r="784" spans="17:26">
      <c r="Q784" s="23"/>
      <c r="R784" s="1"/>
      <c r="S784" s="1"/>
      <c r="T784" s="1"/>
      <c r="U784" s="1"/>
      <c r="V784" s="1"/>
      <c r="W784" s="1"/>
      <c r="X784" s="1"/>
      <c r="Y784" s="1"/>
      <c r="Z784" s="1"/>
    </row>
    <row r="785" spans="17:26">
      <c r="Q785" s="23"/>
      <c r="R785" s="1"/>
      <c r="S785" s="1"/>
      <c r="T785" s="1"/>
      <c r="U785" s="1"/>
      <c r="V785" s="1"/>
      <c r="W785" s="1"/>
      <c r="X785" s="1"/>
      <c r="Y785" s="1"/>
      <c r="Z785" s="1"/>
    </row>
    <row r="786" spans="17:26">
      <c r="Q786" s="23"/>
      <c r="R786" s="1"/>
      <c r="S786" s="1"/>
      <c r="T786" s="1"/>
      <c r="U786" s="1"/>
      <c r="V786" s="1"/>
      <c r="W786" s="1"/>
      <c r="X786" s="1"/>
      <c r="Y786" s="1"/>
      <c r="Z786" s="1"/>
    </row>
    <row r="787" spans="17:26">
      <c r="Q787" s="23"/>
      <c r="R787" s="1"/>
      <c r="S787" s="1"/>
      <c r="T787" s="1"/>
      <c r="U787" s="1"/>
      <c r="V787" s="1"/>
      <c r="W787" s="1"/>
      <c r="X787" s="1"/>
      <c r="Y787" s="1"/>
      <c r="Z787" s="1"/>
    </row>
    <row r="788" spans="17:26">
      <c r="Q788" s="23"/>
      <c r="R788" s="1"/>
      <c r="S788" s="1"/>
      <c r="T788" s="1"/>
      <c r="U788" s="1"/>
      <c r="V788" s="1"/>
      <c r="W788" s="1"/>
      <c r="X788" s="1"/>
      <c r="Y788" s="1"/>
      <c r="Z788" s="1"/>
    </row>
    <row r="789" spans="17:26">
      <c r="Q789" s="23"/>
      <c r="R789" s="1"/>
      <c r="S789" s="1"/>
      <c r="T789" s="1"/>
      <c r="U789" s="1"/>
      <c r="V789" s="1"/>
      <c r="W789" s="1"/>
      <c r="X789" s="1"/>
      <c r="Y789" s="1"/>
      <c r="Z789" s="1"/>
    </row>
    <row r="790" spans="17:26">
      <c r="Q790" s="23"/>
      <c r="R790" s="1"/>
      <c r="S790" s="1"/>
      <c r="T790" s="1"/>
      <c r="U790" s="1"/>
      <c r="V790" s="1"/>
      <c r="W790" s="1"/>
      <c r="X790" s="1"/>
      <c r="Y790" s="1"/>
      <c r="Z790" s="1"/>
    </row>
    <row r="791" spans="17:26">
      <c r="Q791" s="23"/>
      <c r="R791" s="1"/>
      <c r="S791" s="1"/>
      <c r="T791" s="1"/>
      <c r="U791" s="1"/>
      <c r="V791" s="1"/>
      <c r="W791" s="1"/>
      <c r="X791" s="1"/>
      <c r="Y791" s="1"/>
      <c r="Z791" s="1"/>
    </row>
    <row r="792" spans="17:26">
      <c r="Q792" s="23"/>
      <c r="R792" s="1"/>
      <c r="S792" s="1"/>
      <c r="T792" s="1"/>
      <c r="U792" s="1"/>
      <c r="V792" s="1"/>
      <c r="W792" s="1"/>
      <c r="X792" s="1"/>
      <c r="Y792" s="1"/>
      <c r="Z792" s="1"/>
    </row>
    <row r="793" spans="17:26">
      <c r="Q793" s="23"/>
      <c r="R793" s="1"/>
      <c r="S793" s="1"/>
      <c r="T793" s="1"/>
      <c r="U793" s="1"/>
      <c r="V793" s="1"/>
      <c r="W793" s="1"/>
      <c r="X793" s="1"/>
      <c r="Y793" s="1"/>
      <c r="Z793" s="1"/>
    </row>
    <row r="794" spans="17:26">
      <c r="Q794" s="23"/>
      <c r="R794" s="1"/>
      <c r="S794" s="1"/>
      <c r="T794" s="1"/>
      <c r="U794" s="1"/>
      <c r="V794" s="1"/>
      <c r="W794" s="1"/>
      <c r="X794" s="1"/>
      <c r="Y794" s="1"/>
      <c r="Z794" s="1"/>
    </row>
    <row r="795" spans="17:26">
      <c r="Q795" s="23"/>
      <c r="R795" s="1"/>
      <c r="S795" s="1"/>
      <c r="T795" s="1"/>
      <c r="U795" s="1"/>
      <c r="V795" s="1"/>
      <c r="W795" s="1"/>
      <c r="X795" s="1"/>
      <c r="Y795" s="1"/>
      <c r="Z795" s="1"/>
    </row>
    <row r="796" spans="17:26">
      <c r="Q796" s="23"/>
      <c r="R796" s="1"/>
      <c r="S796" s="1"/>
      <c r="T796" s="1"/>
      <c r="U796" s="1"/>
      <c r="V796" s="1"/>
      <c r="W796" s="1"/>
      <c r="X796" s="1"/>
      <c r="Y796" s="1"/>
      <c r="Z796" s="1"/>
    </row>
    <row r="797" spans="17:26">
      <c r="Q797" s="23"/>
      <c r="R797" s="1"/>
      <c r="S797" s="1"/>
      <c r="T797" s="1"/>
      <c r="U797" s="1"/>
      <c r="V797" s="1"/>
      <c r="W797" s="1"/>
      <c r="X797" s="1"/>
      <c r="Y797" s="1"/>
      <c r="Z797" s="1"/>
    </row>
    <row r="798" spans="17:26">
      <c r="Q798" s="23"/>
      <c r="R798" s="1"/>
      <c r="S798" s="1"/>
      <c r="T798" s="1"/>
      <c r="U798" s="1"/>
      <c r="V798" s="1"/>
      <c r="W798" s="1"/>
      <c r="X798" s="1"/>
      <c r="Y798" s="1"/>
      <c r="Z798" s="1"/>
    </row>
    <row r="799" spans="17:26">
      <c r="Q799" s="23"/>
      <c r="R799" s="1"/>
      <c r="S799" s="1"/>
      <c r="T799" s="1"/>
      <c r="U799" s="1"/>
      <c r="V799" s="1"/>
      <c r="W799" s="1"/>
      <c r="X799" s="1"/>
      <c r="Y799" s="1"/>
      <c r="Z799" s="1"/>
    </row>
    <row r="800" spans="17:26">
      <c r="Q800" s="23"/>
      <c r="R800" s="1"/>
      <c r="S800" s="1"/>
      <c r="T800" s="1"/>
      <c r="U800" s="1"/>
      <c r="V800" s="1"/>
      <c r="W800" s="1"/>
      <c r="X800" s="1"/>
      <c r="Y800" s="1"/>
      <c r="Z800" s="1"/>
    </row>
    <row r="801" spans="17:26">
      <c r="Q801" s="23"/>
      <c r="R801" s="1"/>
      <c r="S801" s="1"/>
      <c r="T801" s="1"/>
      <c r="U801" s="1"/>
      <c r="V801" s="1"/>
      <c r="W801" s="1"/>
      <c r="X801" s="1"/>
      <c r="Y801" s="1"/>
      <c r="Z801" s="1"/>
    </row>
    <row r="802" spans="17:26">
      <c r="Q802" s="23"/>
      <c r="R802" s="1"/>
      <c r="S802" s="1"/>
      <c r="T802" s="1"/>
      <c r="U802" s="1"/>
      <c r="V802" s="1"/>
      <c r="W802" s="1"/>
      <c r="X802" s="1"/>
      <c r="Y802" s="1"/>
      <c r="Z802" s="1"/>
    </row>
    <row r="803" spans="17:26">
      <c r="Q803" s="23"/>
      <c r="R803" s="1"/>
      <c r="S803" s="1"/>
      <c r="T803" s="1"/>
      <c r="U803" s="1"/>
      <c r="V803" s="1"/>
      <c r="W803" s="1"/>
      <c r="X803" s="1"/>
      <c r="Y803" s="1"/>
      <c r="Z803" s="1"/>
    </row>
    <row r="804" spans="17:26">
      <c r="Q804" s="23"/>
      <c r="R804" s="1"/>
      <c r="S804" s="1"/>
      <c r="T804" s="1"/>
      <c r="U804" s="1"/>
      <c r="V804" s="1"/>
      <c r="W804" s="1"/>
      <c r="X804" s="1"/>
      <c r="Y804" s="1"/>
      <c r="Z804" s="1"/>
    </row>
    <row r="805" spans="17:26">
      <c r="Q805" s="23"/>
      <c r="R805" s="1"/>
      <c r="S805" s="1"/>
      <c r="T805" s="1"/>
      <c r="U805" s="1"/>
      <c r="V805" s="1"/>
      <c r="W805" s="1"/>
      <c r="X805" s="1"/>
      <c r="Y805" s="1"/>
      <c r="Z805" s="1"/>
    </row>
    <row r="806" spans="17:26">
      <c r="Q806" s="23"/>
      <c r="R806" s="1"/>
      <c r="S806" s="1"/>
      <c r="T806" s="1"/>
      <c r="U806" s="1"/>
      <c r="V806" s="1"/>
      <c r="W806" s="1"/>
      <c r="X806" s="1"/>
      <c r="Y806" s="1"/>
      <c r="Z806" s="1"/>
    </row>
    <row r="807" spans="17:26">
      <c r="Q807" s="23"/>
      <c r="R807" s="1"/>
      <c r="S807" s="1"/>
      <c r="T807" s="1"/>
      <c r="U807" s="1"/>
      <c r="V807" s="1"/>
      <c r="W807" s="1"/>
      <c r="X807" s="1"/>
      <c r="Y807" s="1"/>
      <c r="Z807" s="1"/>
    </row>
    <row r="808" spans="17:26">
      <c r="Q808" s="23"/>
      <c r="R808" s="1"/>
      <c r="S808" s="1"/>
      <c r="T808" s="1"/>
      <c r="U808" s="1"/>
      <c r="V808" s="1"/>
      <c r="W808" s="1"/>
      <c r="X808" s="1"/>
      <c r="Y808" s="1"/>
      <c r="Z808" s="1"/>
    </row>
    <row r="809" spans="17:26">
      <c r="Q809" s="23"/>
      <c r="R809" s="1"/>
      <c r="S809" s="1"/>
      <c r="T809" s="1"/>
      <c r="U809" s="1"/>
      <c r="V809" s="1"/>
      <c r="W809" s="1"/>
      <c r="X809" s="1"/>
      <c r="Y809" s="1"/>
      <c r="Z809" s="1"/>
    </row>
    <row r="810" spans="17:26">
      <c r="Q810" s="23"/>
      <c r="R810" s="1"/>
      <c r="S810" s="1"/>
      <c r="T810" s="1"/>
      <c r="U810" s="1"/>
      <c r="V810" s="1"/>
      <c r="W810" s="1"/>
      <c r="X810" s="1"/>
      <c r="Y810" s="1"/>
      <c r="Z810" s="1"/>
    </row>
    <row r="811" spans="17:26">
      <c r="Q811" s="23"/>
      <c r="R811" s="1"/>
      <c r="S811" s="1"/>
      <c r="T811" s="1"/>
      <c r="U811" s="1"/>
      <c r="V811" s="1"/>
      <c r="W811" s="1"/>
      <c r="X811" s="1"/>
      <c r="Y811" s="1"/>
      <c r="Z811" s="1"/>
    </row>
    <row r="812" spans="17:26">
      <c r="Q812" s="23"/>
      <c r="R812" s="1"/>
      <c r="S812" s="1"/>
      <c r="T812" s="1"/>
      <c r="U812" s="1"/>
      <c r="V812" s="1"/>
      <c r="W812" s="1"/>
      <c r="X812" s="1"/>
      <c r="Y812" s="1"/>
      <c r="Z812" s="1"/>
    </row>
    <row r="813" spans="17:26">
      <c r="Q813" s="23"/>
      <c r="R813" s="1"/>
      <c r="S813" s="1"/>
      <c r="T813" s="1"/>
      <c r="U813" s="1"/>
      <c r="V813" s="1"/>
      <c r="W813" s="1"/>
      <c r="X813" s="1"/>
      <c r="Y813" s="1"/>
      <c r="Z813" s="1"/>
    </row>
    <row r="814" spans="17:26">
      <c r="Q814" s="23"/>
      <c r="R814" s="1"/>
      <c r="S814" s="1"/>
      <c r="T814" s="1"/>
      <c r="U814" s="1"/>
      <c r="V814" s="1"/>
      <c r="W814" s="1"/>
      <c r="X814" s="1"/>
      <c r="Y814" s="1"/>
      <c r="Z814" s="1"/>
    </row>
    <row r="815" spans="17:26">
      <c r="Q815" s="23"/>
      <c r="R815" s="1"/>
      <c r="S815" s="1"/>
      <c r="T815" s="1"/>
      <c r="U815" s="1"/>
      <c r="V815" s="1"/>
      <c r="W815" s="1"/>
      <c r="X815" s="1"/>
      <c r="Y815" s="1"/>
      <c r="Z815" s="1"/>
    </row>
    <row r="816" spans="17:26">
      <c r="Q816" s="23"/>
      <c r="R816" s="1"/>
      <c r="S816" s="1"/>
      <c r="T816" s="1"/>
      <c r="U816" s="1"/>
      <c r="V816" s="1"/>
      <c r="W816" s="1"/>
      <c r="X816" s="1"/>
      <c r="Y816" s="1"/>
      <c r="Z816" s="1"/>
    </row>
    <row r="817" spans="17:26">
      <c r="Q817" s="23"/>
      <c r="R817" s="1"/>
      <c r="S817" s="1"/>
      <c r="T817" s="1"/>
      <c r="U817" s="1"/>
      <c r="V817" s="1"/>
      <c r="W817" s="1"/>
      <c r="X817" s="1"/>
      <c r="Y817" s="1"/>
      <c r="Z817" s="1"/>
    </row>
    <row r="818" spans="17:26">
      <c r="Q818" s="23"/>
      <c r="R818" s="1"/>
      <c r="S818" s="1"/>
      <c r="T818" s="1"/>
      <c r="U818" s="1"/>
      <c r="V818" s="1"/>
      <c r="W818" s="1"/>
      <c r="X818" s="1"/>
      <c r="Y818" s="1"/>
      <c r="Z818" s="1"/>
    </row>
    <row r="819" spans="17:26">
      <c r="Q819" s="23"/>
      <c r="R819" s="1"/>
      <c r="S819" s="1"/>
      <c r="T819" s="1"/>
      <c r="U819" s="1"/>
      <c r="V819" s="1"/>
      <c r="W819" s="1"/>
      <c r="X819" s="1"/>
      <c r="Y819" s="1"/>
      <c r="Z819" s="1"/>
    </row>
    <row r="820" spans="17:26">
      <c r="Q820" s="23"/>
      <c r="R820" s="1"/>
      <c r="S820" s="1"/>
      <c r="T820" s="1"/>
      <c r="U820" s="1"/>
      <c r="V820" s="1"/>
      <c r="W820" s="1"/>
      <c r="X820" s="1"/>
      <c r="Y820" s="1"/>
      <c r="Z820" s="1"/>
    </row>
    <row r="821" spans="17:26">
      <c r="Q821" s="23"/>
      <c r="R821" s="1"/>
      <c r="S821" s="1"/>
      <c r="T821" s="1"/>
      <c r="U821" s="1"/>
      <c r="V821" s="1"/>
      <c r="W821" s="1"/>
      <c r="X821" s="1"/>
      <c r="Y821" s="1"/>
      <c r="Z821" s="1"/>
    </row>
    <row r="822" spans="17:26">
      <c r="Q822" s="23"/>
      <c r="R822" s="1"/>
      <c r="S822" s="1"/>
      <c r="T822" s="1"/>
      <c r="U822" s="1"/>
      <c r="V822" s="1"/>
      <c r="W822" s="1"/>
      <c r="X822" s="1"/>
      <c r="Y822" s="1"/>
      <c r="Z822" s="1"/>
    </row>
    <row r="823" spans="17:26">
      <c r="Q823" s="23"/>
      <c r="R823" s="1"/>
      <c r="S823" s="1"/>
      <c r="T823" s="1"/>
      <c r="U823" s="1"/>
      <c r="V823" s="1"/>
      <c r="W823" s="1"/>
      <c r="X823" s="1"/>
      <c r="Y823" s="1"/>
      <c r="Z823" s="1"/>
    </row>
    <row r="824" spans="17:26">
      <c r="Q824" s="23"/>
      <c r="R824" s="1"/>
      <c r="S824" s="1"/>
      <c r="T824" s="1"/>
      <c r="U824" s="1"/>
      <c r="V824" s="1"/>
      <c r="W824" s="1"/>
      <c r="X824" s="1"/>
      <c r="Y824" s="1"/>
      <c r="Z824" s="1"/>
    </row>
    <row r="825" spans="17:26">
      <c r="Q825" s="23"/>
      <c r="R825" s="1"/>
      <c r="S825" s="1"/>
      <c r="T825" s="1"/>
      <c r="U825" s="1"/>
      <c r="V825" s="1"/>
      <c r="W825" s="1"/>
      <c r="X825" s="1"/>
      <c r="Y825" s="1"/>
      <c r="Z825" s="1"/>
    </row>
    <row r="826" spans="17:26">
      <c r="Q826" s="23"/>
      <c r="R826" s="1"/>
      <c r="S826" s="1"/>
      <c r="T826" s="1"/>
      <c r="U826" s="1"/>
      <c r="V826" s="1"/>
      <c r="W826" s="1"/>
      <c r="X826" s="1"/>
      <c r="Y826" s="1"/>
      <c r="Z826" s="1"/>
    </row>
    <row r="827" spans="17:26">
      <c r="Q827" s="23"/>
      <c r="R827" s="1"/>
      <c r="S827" s="1"/>
      <c r="T827" s="1"/>
      <c r="U827" s="1"/>
      <c r="V827" s="1"/>
      <c r="W827" s="1"/>
      <c r="X827" s="1"/>
      <c r="Y827" s="1"/>
      <c r="Z827" s="1"/>
    </row>
    <row r="828" spans="17:26">
      <c r="Q828" s="23"/>
      <c r="R828" s="1"/>
      <c r="S828" s="1"/>
      <c r="T828" s="1"/>
      <c r="U828" s="1"/>
      <c r="V828" s="1"/>
      <c r="W828" s="1"/>
      <c r="X828" s="1"/>
      <c r="Y828" s="1"/>
      <c r="Z828" s="1"/>
    </row>
    <row r="829" spans="17:26">
      <c r="Q829" s="23"/>
      <c r="R829" s="1"/>
      <c r="S829" s="1"/>
      <c r="T829" s="1"/>
      <c r="U829" s="1"/>
      <c r="V829" s="1"/>
      <c r="W829" s="1"/>
      <c r="X829" s="1"/>
      <c r="Y829" s="1"/>
      <c r="Z829" s="1"/>
    </row>
    <row r="830" spans="17:26">
      <c r="Q830" s="23"/>
      <c r="R830" s="1"/>
      <c r="S830" s="1"/>
      <c r="T830" s="1"/>
      <c r="U830" s="1"/>
      <c r="V830" s="1"/>
      <c r="W830" s="1"/>
      <c r="X830" s="1"/>
      <c r="Y830" s="1"/>
      <c r="Z830" s="1"/>
    </row>
    <row r="831" spans="17:26">
      <c r="Q831" s="23"/>
      <c r="R831" s="1"/>
      <c r="S831" s="1"/>
      <c r="T831" s="1"/>
      <c r="U831" s="1"/>
      <c r="V831" s="1"/>
      <c r="W831" s="1"/>
      <c r="X831" s="1"/>
      <c r="Y831" s="1"/>
      <c r="Z831" s="1"/>
    </row>
    <row r="832" spans="17:26">
      <c r="Q832" s="23"/>
      <c r="R832" s="1"/>
      <c r="S832" s="1"/>
      <c r="T832" s="1"/>
      <c r="U832" s="1"/>
      <c r="V832" s="1"/>
      <c r="W832" s="1"/>
      <c r="X832" s="1"/>
      <c r="Y832" s="1"/>
      <c r="Z832" s="1"/>
    </row>
    <row r="833" spans="17:26">
      <c r="Q833" s="23"/>
      <c r="R833" s="1"/>
      <c r="S833" s="1"/>
      <c r="T833" s="1"/>
      <c r="U833" s="1"/>
      <c r="V833" s="1"/>
      <c r="W833" s="1"/>
      <c r="X833" s="1"/>
      <c r="Y833" s="1"/>
      <c r="Z833" s="1"/>
    </row>
    <row r="834" spans="17:26">
      <c r="Q834" s="23"/>
      <c r="R834" s="1"/>
      <c r="S834" s="1"/>
      <c r="T834" s="1"/>
      <c r="U834" s="1"/>
      <c r="V834" s="1"/>
      <c r="W834" s="1"/>
      <c r="X834" s="1"/>
      <c r="Y834" s="1"/>
      <c r="Z834" s="1"/>
    </row>
    <row r="835" spans="17:26">
      <c r="Q835" s="23"/>
      <c r="R835" s="1"/>
      <c r="S835" s="1"/>
      <c r="T835" s="1"/>
      <c r="U835" s="1"/>
      <c r="V835" s="1"/>
      <c r="W835" s="1"/>
      <c r="X835" s="1"/>
      <c r="Y835" s="1"/>
      <c r="Z835" s="1"/>
    </row>
    <row r="836" spans="17:26">
      <c r="Q836" s="23"/>
      <c r="R836" s="1"/>
      <c r="S836" s="1"/>
      <c r="T836" s="1"/>
      <c r="U836" s="1"/>
      <c r="V836" s="1"/>
      <c r="W836" s="1"/>
      <c r="X836" s="1"/>
      <c r="Y836" s="1"/>
      <c r="Z836" s="1"/>
    </row>
    <row r="837" spans="17:26">
      <c r="Q837" s="23"/>
      <c r="R837" s="1"/>
      <c r="S837" s="1"/>
      <c r="T837" s="1"/>
      <c r="U837" s="1"/>
      <c r="V837" s="1"/>
      <c r="W837" s="1"/>
      <c r="X837" s="1"/>
      <c r="Y837" s="1"/>
      <c r="Z837" s="1"/>
    </row>
    <row r="838" spans="17:26">
      <c r="Q838" s="23"/>
      <c r="R838" s="1"/>
      <c r="S838" s="1"/>
      <c r="T838" s="1"/>
      <c r="U838" s="1"/>
      <c r="V838" s="1"/>
      <c r="W838" s="1"/>
      <c r="X838" s="1"/>
      <c r="Y838" s="1"/>
      <c r="Z838" s="1"/>
    </row>
    <row r="839" spans="17:26">
      <c r="Q839" s="23"/>
      <c r="R839" s="1"/>
      <c r="S839" s="1"/>
      <c r="T839" s="1"/>
      <c r="U839" s="1"/>
      <c r="V839" s="1"/>
      <c r="W839" s="1"/>
      <c r="X839" s="1"/>
      <c r="Y839" s="1"/>
      <c r="Z839" s="1"/>
    </row>
    <row r="840" spans="17:26">
      <c r="Q840" s="23"/>
      <c r="R840" s="1"/>
      <c r="S840" s="1"/>
      <c r="T840" s="1"/>
      <c r="U840" s="1"/>
      <c r="V840" s="1"/>
      <c r="W840" s="1"/>
      <c r="X840" s="1"/>
      <c r="Y840" s="1"/>
      <c r="Z840" s="1"/>
    </row>
    <row r="841" spans="17:26">
      <c r="Q841" s="23"/>
      <c r="R841" s="1"/>
      <c r="S841" s="1"/>
      <c r="T841" s="1"/>
      <c r="U841" s="1"/>
      <c r="V841" s="1"/>
      <c r="W841" s="1"/>
      <c r="X841" s="1"/>
      <c r="Y841" s="1"/>
      <c r="Z841" s="1"/>
    </row>
    <row r="842" spans="17:26">
      <c r="Q842" s="23"/>
      <c r="R842" s="1"/>
      <c r="S842" s="1"/>
      <c r="T842" s="1"/>
      <c r="U842" s="1"/>
      <c r="V842" s="1"/>
      <c r="W842" s="1"/>
      <c r="X842" s="1"/>
      <c r="Y842" s="1"/>
      <c r="Z842" s="1"/>
    </row>
    <row r="843" spans="17:26">
      <c r="Q843" s="23"/>
      <c r="R843" s="1"/>
      <c r="S843" s="1"/>
      <c r="T843" s="1"/>
      <c r="U843" s="1"/>
      <c r="V843" s="1"/>
      <c r="W843" s="1"/>
      <c r="X843" s="1"/>
      <c r="Y843" s="1"/>
      <c r="Z843" s="1"/>
    </row>
    <row r="844" spans="17:26">
      <c r="Q844" s="23"/>
      <c r="R844" s="1"/>
      <c r="S844" s="1"/>
      <c r="T844" s="1"/>
      <c r="U844" s="1"/>
      <c r="V844" s="1"/>
      <c r="W844" s="1"/>
      <c r="X844" s="1"/>
      <c r="Y844" s="1"/>
      <c r="Z844" s="1"/>
    </row>
    <row r="845" spans="17:26">
      <c r="Q845" s="23"/>
      <c r="R845" s="1"/>
      <c r="S845" s="1"/>
      <c r="T845" s="1"/>
      <c r="U845" s="1"/>
      <c r="V845" s="1"/>
      <c r="W845" s="1"/>
      <c r="X845" s="1"/>
      <c r="Y845" s="1"/>
      <c r="Z845" s="1"/>
    </row>
    <row r="846" spans="17:26">
      <c r="Q846" s="23"/>
      <c r="R846" s="1"/>
      <c r="S846" s="1"/>
      <c r="T846" s="1"/>
      <c r="U846" s="1"/>
      <c r="V846" s="1"/>
      <c r="W846" s="1"/>
      <c r="X846" s="1"/>
      <c r="Y846" s="1"/>
      <c r="Z846" s="1"/>
    </row>
    <row r="847" spans="17:26">
      <c r="Q847" s="23"/>
      <c r="R847" s="1"/>
      <c r="S847" s="1"/>
      <c r="T847" s="1"/>
      <c r="U847" s="1"/>
      <c r="V847" s="1"/>
      <c r="W847" s="1"/>
      <c r="X847" s="1"/>
      <c r="Y847" s="1"/>
      <c r="Z847" s="1"/>
    </row>
    <row r="848" spans="17:26">
      <c r="Q848" s="23"/>
      <c r="R848" s="1"/>
      <c r="S848" s="1"/>
      <c r="T848" s="1"/>
      <c r="U848" s="1"/>
      <c r="V848" s="1"/>
      <c r="W848" s="1"/>
      <c r="X848" s="1"/>
      <c r="Y848" s="1"/>
      <c r="Z848" s="1"/>
    </row>
    <row r="849" spans="17:26">
      <c r="Q849" s="23"/>
      <c r="R849" s="1"/>
      <c r="S849" s="1"/>
      <c r="T849" s="1"/>
      <c r="U849" s="1"/>
      <c r="V849" s="1"/>
      <c r="W849" s="1"/>
      <c r="X849" s="1"/>
      <c r="Y849" s="1"/>
      <c r="Z849" s="1"/>
    </row>
    <row r="850" spans="17:26">
      <c r="Q850" s="23"/>
      <c r="R850" s="1"/>
      <c r="S850" s="1"/>
      <c r="T850" s="1"/>
      <c r="U850" s="1"/>
      <c r="V850" s="1"/>
      <c r="W850" s="1"/>
      <c r="X850" s="1"/>
      <c r="Y850" s="1"/>
      <c r="Z850" s="1"/>
    </row>
    <row r="851" spans="17:26">
      <c r="Q851" s="23"/>
      <c r="R851" s="1"/>
      <c r="S851" s="1"/>
      <c r="T851" s="1"/>
      <c r="U851" s="1"/>
      <c r="V851" s="1"/>
      <c r="W851" s="1"/>
      <c r="X851" s="1"/>
      <c r="Y851" s="1"/>
      <c r="Z851" s="1"/>
    </row>
    <row r="852" spans="17:26">
      <c r="Q852" s="23"/>
      <c r="R852" s="1"/>
      <c r="S852" s="1"/>
      <c r="T852" s="1"/>
      <c r="U852" s="1"/>
      <c r="V852" s="1"/>
      <c r="W852" s="1"/>
      <c r="X852" s="1"/>
      <c r="Y852" s="1"/>
      <c r="Z852" s="1"/>
    </row>
    <row r="853" spans="17:26">
      <c r="Q853" s="23"/>
      <c r="R853" s="1"/>
      <c r="S853" s="1"/>
      <c r="T853" s="1"/>
      <c r="U853" s="1"/>
      <c r="V853" s="1"/>
      <c r="W853" s="1"/>
      <c r="X853" s="1"/>
      <c r="Y853" s="1"/>
      <c r="Z853" s="1"/>
    </row>
    <row r="854" spans="17:26">
      <c r="Q854" s="23"/>
      <c r="R854" s="1"/>
      <c r="S854" s="1"/>
      <c r="T854" s="1"/>
      <c r="U854" s="1"/>
      <c r="V854" s="1"/>
      <c r="W854" s="1"/>
      <c r="X854" s="1"/>
      <c r="Y854" s="1"/>
      <c r="Z854" s="1"/>
    </row>
    <row r="855" spans="17:26">
      <c r="Q855" s="23"/>
      <c r="R855" s="1"/>
      <c r="S855" s="1"/>
      <c r="T855" s="1"/>
      <c r="U855" s="1"/>
      <c r="V855" s="1"/>
      <c r="W855" s="1"/>
      <c r="X855" s="1"/>
      <c r="Y855" s="1"/>
      <c r="Z855" s="1"/>
    </row>
    <row r="856" spans="17:26">
      <c r="Q856" s="23"/>
      <c r="R856" s="1"/>
      <c r="S856" s="1"/>
      <c r="T856" s="1"/>
      <c r="U856" s="1"/>
      <c r="V856" s="1"/>
      <c r="W856" s="1"/>
      <c r="X856" s="1"/>
      <c r="Y856" s="1"/>
      <c r="Z856" s="1"/>
    </row>
    <row r="857" spans="17:26">
      <c r="Q857" s="23"/>
      <c r="R857" s="1"/>
      <c r="S857" s="1"/>
      <c r="T857" s="1"/>
      <c r="U857" s="1"/>
      <c r="V857" s="1"/>
      <c r="W857" s="1"/>
      <c r="X857" s="1"/>
      <c r="Y857" s="1"/>
      <c r="Z857" s="1"/>
    </row>
    <row r="858" spans="17:26">
      <c r="Q858" s="23"/>
      <c r="R858" s="1"/>
      <c r="S858" s="1"/>
      <c r="T858" s="1"/>
      <c r="U858" s="1"/>
      <c r="V858" s="1"/>
      <c r="W858" s="1"/>
      <c r="X858" s="1"/>
      <c r="Y858" s="1"/>
      <c r="Z858" s="1"/>
    </row>
    <row r="859" spans="17:26">
      <c r="Q859" s="23"/>
      <c r="R859" s="1"/>
      <c r="S859" s="1"/>
      <c r="T859" s="1"/>
      <c r="U859" s="1"/>
      <c r="V859" s="1"/>
      <c r="W859" s="1"/>
      <c r="X859" s="1"/>
      <c r="Y859" s="1"/>
      <c r="Z859" s="1"/>
    </row>
    <row r="860" spans="17:26">
      <c r="Q860" s="23"/>
      <c r="R860" s="1"/>
      <c r="S860" s="1"/>
      <c r="T860" s="1"/>
      <c r="U860" s="1"/>
      <c r="V860" s="1"/>
      <c r="W860" s="1"/>
      <c r="X860" s="1"/>
      <c r="Y860" s="1"/>
      <c r="Z860" s="1"/>
    </row>
    <row r="861" spans="17:26">
      <c r="Q861" s="23"/>
      <c r="R861" s="1"/>
      <c r="S861" s="1"/>
      <c r="T861" s="1"/>
      <c r="U861" s="1"/>
      <c r="V861" s="1"/>
      <c r="W861" s="1"/>
      <c r="X861" s="1"/>
      <c r="Y861" s="1"/>
      <c r="Z861" s="1"/>
    </row>
    <row r="862" spans="17:26">
      <c r="Q862" s="23"/>
      <c r="R862" s="1"/>
      <c r="S862" s="1"/>
      <c r="T862" s="1"/>
      <c r="U862" s="1"/>
      <c r="V862" s="1"/>
      <c r="W862" s="1"/>
      <c r="X862" s="1"/>
      <c r="Y862" s="1"/>
      <c r="Z862" s="1"/>
    </row>
    <row r="863" spans="17:26">
      <c r="Q863" s="23"/>
      <c r="R863" s="1"/>
      <c r="S863" s="1"/>
      <c r="T863" s="1"/>
      <c r="U863" s="1"/>
      <c r="V863" s="1"/>
      <c r="W863" s="1"/>
      <c r="X863" s="1"/>
      <c r="Y863" s="1"/>
      <c r="Z863" s="1"/>
    </row>
    <row r="864" spans="17:26">
      <c r="Q864" s="23"/>
      <c r="R864" s="1"/>
      <c r="S864" s="1"/>
      <c r="T864" s="1"/>
      <c r="U864" s="1"/>
      <c r="V864" s="1"/>
      <c r="W864" s="1"/>
      <c r="X864" s="1"/>
      <c r="Y864" s="1"/>
      <c r="Z864" s="1"/>
    </row>
    <row r="865" spans="17:26">
      <c r="Q865" s="23"/>
      <c r="R865" s="1"/>
      <c r="S865" s="1"/>
      <c r="T865" s="1"/>
      <c r="U865" s="1"/>
      <c r="V865" s="1"/>
      <c r="W865" s="1"/>
      <c r="X865" s="1"/>
      <c r="Y865" s="1"/>
      <c r="Z865" s="1"/>
    </row>
    <row r="866" spans="17:26">
      <c r="Q866" s="23"/>
      <c r="R866" s="1"/>
      <c r="S866" s="1"/>
      <c r="T866" s="1"/>
      <c r="U866" s="1"/>
      <c r="V866" s="1"/>
      <c r="W866" s="1"/>
      <c r="X866" s="1"/>
      <c r="Y866" s="1"/>
      <c r="Z866" s="1"/>
    </row>
    <row r="867" spans="17:26">
      <c r="Q867" s="23"/>
      <c r="R867" s="1"/>
      <c r="S867" s="1"/>
      <c r="T867" s="1"/>
      <c r="U867" s="1"/>
      <c r="V867" s="1"/>
      <c r="W867" s="1"/>
      <c r="X867" s="1"/>
      <c r="Y867" s="1"/>
      <c r="Z867" s="1"/>
    </row>
    <row r="868" spans="17:26">
      <c r="Q868" s="23"/>
      <c r="R868" s="1"/>
      <c r="S868" s="1"/>
      <c r="T868" s="1"/>
      <c r="U868" s="1"/>
      <c r="V868" s="1"/>
      <c r="W868" s="1"/>
      <c r="X868" s="1"/>
      <c r="Y868" s="1"/>
      <c r="Z868" s="1"/>
    </row>
    <row r="869" spans="17:26">
      <c r="Q869" s="23"/>
      <c r="R869" s="1"/>
      <c r="S869" s="1"/>
      <c r="T869" s="1"/>
      <c r="U869" s="1"/>
      <c r="V869" s="1"/>
      <c r="W869" s="1"/>
      <c r="X869" s="1"/>
      <c r="Y869" s="1"/>
      <c r="Z869" s="1"/>
    </row>
    <row r="870" spans="17:26">
      <c r="Q870" s="23"/>
      <c r="R870" s="1"/>
      <c r="S870" s="1"/>
      <c r="T870" s="1"/>
      <c r="U870" s="1"/>
      <c r="V870" s="1"/>
      <c r="W870" s="1"/>
      <c r="X870" s="1"/>
      <c r="Y870" s="1"/>
      <c r="Z870" s="1"/>
    </row>
    <row r="871" spans="17:26">
      <c r="Q871" s="23"/>
      <c r="R871" s="1"/>
      <c r="S871" s="1"/>
      <c r="T871" s="1"/>
      <c r="U871" s="1"/>
      <c r="V871" s="1"/>
      <c r="W871" s="1"/>
      <c r="X871" s="1"/>
      <c r="Y871" s="1"/>
      <c r="Z871" s="1"/>
    </row>
    <row r="872" spans="17:26">
      <c r="Q872" s="23"/>
      <c r="R872" s="1"/>
      <c r="S872" s="1"/>
      <c r="T872" s="1"/>
      <c r="U872" s="1"/>
      <c r="V872" s="1"/>
      <c r="W872" s="1"/>
      <c r="X872" s="1"/>
      <c r="Y872" s="1"/>
      <c r="Z872" s="1"/>
    </row>
    <row r="873" spans="17:26">
      <c r="Q873" s="23"/>
      <c r="R873" s="1"/>
      <c r="S873" s="1"/>
      <c r="T873" s="1"/>
      <c r="U873" s="1"/>
      <c r="V873" s="1"/>
      <c r="W873" s="1"/>
      <c r="X873" s="1"/>
      <c r="Y873" s="1"/>
      <c r="Z873" s="1"/>
    </row>
    <row r="874" spans="17:26">
      <c r="Q874" s="23"/>
      <c r="R874" s="1"/>
      <c r="S874" s="1"/>
      <c r="T874" s="1"/>
      <c r="U874" s="1"/>
      <c r="V874" s="1"/>
      <c r="W874" s="1"/>
      <c r="X874" s="1"/>
      <c r="Y874" s="1"/>
      <c r="Z874" s="1"/>
    </row>
    <row r="875" spans="17:26">
      <c r="Q875" s="23"/>
      <c r="R875" s="1"/>
      <c r="S875" s="1"/>
      <c r="T875" s="1"/>
      <c r="U875" s="1"/>
      <c r="V875" s="1"/>
      <c r="W875" s="1"/>
      <c r="X875" s="1"/>
      <c r="Y875" s="1"/>
      <c r="Z875" s="1"/>
    </row>
    <row r="876" spans="17:26">
      <c r="Q876" s="23"/>
      <c r="R876" s="1"/>
      <c r="S876" s="1"/>
      <c r="T876" s="1"/>
      <c r="U876" s="1"/>
      <c r="V876" s="1"/>
      <c r="W876" s="1"/>
      <c r="X876" s="1"/>
      <c r="Y876" s="1"/>
      <c r="Z876" s="1"/>
    </row>
    <row r="877" spans="17:26">
      <c r="Q877" s="23"/>
      <c r="R877" s="1"/>
      <c r="S877" s="1"/>
      <c r="T877" s="1"/>
      <c r="U877" s="1"/>
      <c r="V877" s="1"/>
      <c r="W877" s="1"/>
      <c r="X877" s="1"/>
      <c r="Y877" s="1"/>
      <c r="Z877" s="1"/>
    </row>
    <row r="878" spans="17:26">
      <c r="Q878" s="23"/>
      <c r="R878" s="1"/>
      <c r="S878" s="1"/>
      <c r="T878" s="1"/>
      <c r="U878" s="1"/>
      <c r="V878" s="1"/>
      <c r="W878" s="1"/>
      <c r="X878" s="1"/>
      <c r="Y878" s="1"/>
      <c r="Z878" s="1"/>
    </row>
    <row r="879" spans="17:26">
      <c r="Q879" s="23"/>
      <c r="R879" s="1"/>
      <c r="S879" s="1"/>
      <c r="T879" s="1"/>
      <c r="U879" s="1"/>
      <c r="V879" s="1"/>
      <c r="W879" s="1"/>
      <c r="X879" s="1"/>
      <c r="Y879" s="1"/>
      <c r="Z879" s="1"/>
    </row>
    <row r="880" spans="17:26">
      <c r="Q880" s="23"/>
      <c r="R880" s="1"/>
      <c r="S880" s="1"/>
      <c r="T880" s="1"/>
      <c r="U880" s="1"/>
      <c r="V880" s="1"/>
      <c r="W880" s="1"/>
      <c r="X880" s="1"/>
      <c r="Y880" s="1"/>
      <c r="Z880" s="1"/>
    </row>
    <row r="881" spans="17:26">
      <c r="Q881" s="23"/>
      <c r="R881" s="1"/>
      <c r="S881" s="1"/>
      <c r="T881" s="1"/>
      <c r="U881" s="1"/>
      <c r="V881" s="1"/>
      <c r="W881" s="1"/>
      <c r="X881" s="1"/>
      <c r="Y881" s="1"/>
      <c r="Z881" s="1"/>
    </row>
    <row r="882" spans="17:26">
      <c r="Q882" s="23"/>
      <c r="R882" s="1"/>
      <c r="S882" s="1"/>
      <c r="T882" s="1"/>
      <c r="U882" s="1"/>
      <c r="V882" s="1"/>
      <c r="W882" s="1"/>
      <c r="X882" s="1"/>
      <c r="Y882" s="1"/>
      <c r="Z882" s="1"/>
    </row>
    <row r="883" spans="17:26">
      <c r="Q883" s="23"/>
      <c r="R883" s="1"/>
      <c r="S883" s="1"/>
      <c r="T883" s="1"/>
      <c r="U883" s="1"/>
      <c r="V883" s="1"/>
      <c r="W883" s="1"/>
      <c r="X883" s="1"/>
      <c r="Y883" s="1"/>
      <c r="Z883" s="1"/>
    </row>
    <row r="884" spans="17:26">
      <c r="Q884" s="23"/>
      <c r="R884" s="1"/>
      <c r="S884" s="1"/>
      <c r="T884" s="1"/>
      <c r="U884" s="1"/>
      <c r="V884" s="1"/>
      <c r="W884" s="1"/>
      <c r="X884" s="1"/>
      <c r="Y884" s="1"/>
      <c r="Z884" s="1"/>
    </row>
    <row r="885" spans="17:26">
      <c r="Q885" s="23"/>
      <c r="R885" s="1"/>
      <c r="S885" s="1"/>
      <c r="T885" s="1"/>
      <c r="U885" s="1"/>
      <c r="V885" s="1"/>
      <c r="W885" s="1"/>
      <c r="X885" s="1"/>
      <c r="Y885" s="1"/>
      <c r="Z885" s="1"/>
    </row>
    <row r="886" spans="17:26">
      <c r="Q886" s="23"/>
      <c r="R886" s="1"/>
      <c r="S886" s="1"/>
      <c r="T886" s="1"/>
      <c r="U886" s="1"/>
      <c r="V886" s="1"/>
      <c r="W886" s="1"/>
      <c r="X886" s="1"/>
      <c r="Y886" s="1"/>
      <c r="Z886" s="1"/>
    </row>
    <row r="887" spans="17:26">
      <c r="Q887" s="23"/>
      <c r="R887" s="1"/>
      <c r="S887" s="1"/>
      <c r="T887" s="1"/>
      <c r="U887" s="1"/>
      <c r="V887" s="1"/>
      <c r="W887" s="1"/>
      <c r="X887" s="1"/>
      <c r="Y887" s="1"/>
      <c r="Z887" s="1"/>
    </row>
    <row r="888" spans="17:26">
      <c r="Q888" s="23"/>
      <c r="R888" s="1"/>
      <c r="S888" s="1"/>
      <c r="T888" s="1"/>
      <c r="U888" s="1"/>
      <c r="V888" s="1"/>
      <c r="W888" s="1"/>
      <c r="X888" s="1"/>
      <c r="Y888" s="1"/>
      <c r="Z888" s="1"/>
    </row>
    <row r="889" spans="17:26">
      <c r="Q889" s="23"/>
      <c r="R889" s="1"/>
      <c r="S889" s="1"/>
      <c r="T889" s="1"/>
      <c r="U889" s="1"/>
      <c r="V889" s="1"/>
      <c r="W889" s="1"/>
      <c r="X889" s="1"/>
      <c r="Y889" s="1"/>
      <c r="Z889" s="1"/>
    </row>
    <row r="890" spans="17:26">
      <c r="Q890" s="23"/>
      <c r="R890" s="1"/>
      <c r="S890" s="1"/>
      <c r="T890" s="1"/>
      <c r="U890" s="1"/>
      <c r="V890" s="1"/>
      <c r="W890" s="1"/>
      <c r="X890" s="1"/>
      <c r="Y890" s="1"/>
      <c r="Z890" s="1"/>
    </row>
    <row r="891" spans="17:26">
      <c r="Q891" s="23"/>
      <c r="R891" s="1"/>
      <c r="S891" s="1"/>
      <c r="T891" s="1"/>
      <c r="U891" s="1"/>
      <c r="V891" s="1"/>
      <c r="W891" s="1"/>
      <c r="X891" s="1"/>
      <c r="Y891" s="1"/>
      <c r="Z891" s="1"/>
    </row>
    <row r="892" spans="17:26">
      <c r="Q892" s="23"/>
      <c r="R892" s="1"/>
      <c r="S892" s="1"/>
      <c r="T892" s="1"/>
      <c r="U892" s="1"/>
      <c r="V892" s="1"/>
      <c r="W892" s="1"/>
      <c r="X892" s="1"/>
      <c r="Y892" s="1"/>
      <c r="Z892" s="1"/>
    </row>
    <row r="893" spans="17:26">
      <c r="Q893" s="23"/>
      <c r="R893" s="1"/>
      <c r="S893" s="1"/>
      <c r="T893" s="1"/>
      <c r="U893" s="1"/>
      <c r="V893" s="1"/>
      <c r="W893" s="1"/>
      <c r="X893" s="1"/>
      <c r="Y893" s="1"/>
      <c r="Z893" s="1"/>
    </row>
    <row r="894" spans="17:26">
      <c r="Q894" s="23"/>
      <c r="R894" s="1"/>
      <c r="S894" s="1"/>
      <c r="T894" s="1"/>
      <c r="U894" s="1"/>
      <c r="V894" s="1"/>
      <c r="W894" s="1"/>
      <c r="X894" s="1"/>
      <c r="Y894" s="1"/>
      <c r="Z894" s="1"/>
    </row>
    <row r="895" spans="17:26">
      <c r="Q895" s="23"/>
      <c r="R895" s="1"/>
      <c r="S895" s="1"/>
      <c r="T895" s="1"/>
      <c r="U895" s="1"/>
      <c r="V895" s="1"/>
      <c r="W895" s="1"/>
      <c r="X895" s="1"/>
      <c r="Y895" s="1"/>
      <c r="Z895" s="1"/>
    </row>
    <row r="896" spans="17:26">
      <c r="Q896" s="23"/>
      <c r="R896" s="1"/>
      <c r="S896" s="1"/>
      <c r="T896" s="1"/>
      <c r="U896" s="1"/>
      <c r="V896" s="1"/>
      <c r="W896" s="1"/>
      <c r="X896" s="1"/>
      <c r="Y896" s="1"/>
      <c r="Z896" s="1"/>
    </row>
    <row r="897" spans="17:26">
      <c r="Q897" s="23"/>
      <c r="R897" s="1"/>
      <c r="S897" s="1"/>
      <c r="T897" s="1"/>
      <c r="U897" s="1"/>
      <c r="V897" s="1"/>
      <c r="W897" s="1"/>
      <c r="X897" s="1"/>
      <c r="Y897" s="1"/>
      <c r="Z897" s="1"/>
    </row>
    <row r="898" spans="17:26">
      <c r="Q898" s="23"/>
      <c r="R898" s="1"/>
      <c r="S898" s="1"/>
      <c r="T898" s="1"/>
      <c r="U898" s="1"/>
      <c r="V898" s="1"/>
      <c r="W898" s="1"/>
      <c r="X898" s="1"/>
      <c r="Y898" s="1"/>
      <c r="Z898" s="1"/>
    </row>
    <row r="899" spans="17:26">
      <c r="Q899" s="1"/>
      <c r="R899" s="1"/>
      <c r="S899" s="1"/>
      <c r="T899" s="1"/>
      <c r="U899" s="1"/>
      <c r="V899" s="1"/>
      <c r="W899" s="1"/>
      <c r="X899" s="1"/>
      <c r="Y899" s="1"/>
      <c r="Z899" s="1"/>
    </row>
    <row r="900" spans="17:26">
      <c r="Q900" s="1"/>
      <c r="R900" s="1"/>
      <c r="S900" s="1"/>
      <c r="T900" s="1"/>
      <c r="U900" s="1"/>
      <c r="V900" s="1"/>
      <c r="W900" s="1"/>
      <c r="X900" s="1"/>
      <c r="Y900" s="1"/>
      <c r="Z900" s="1"/>
    </row>
    <row r="901" spans="17:26">
      <c r="Q901" s="1"/>
      <c r="R901" s="1"/>
      <c r="S901" s="1"/>
      <c r="T901" s="1"/>
      <c r="U901" s="1"/>
      <c r="V901" s="1"/>
      <c r="W901" s="1"/>
      <c r="X901" s="1"/>
      <c r="Y901" s="1"/>
      <c r="Z901" s="1"/>
    </row>
    <row r="902" spans="17:26">
      <c r="Q902" s="1"/>
      <c r="R902" s="1"/>
      <c r="S902" s="1"/>
      <c r="T902" s="1"/>
      <c r="U902" s="1"/>
      <c r="V902" s="1"/>
      <c r="W902" s="1"/>
      <c r="X902" s="1"/>
      <c r="Y902" s="1"/>
      <c r="Z902" s="1"/>
    </row>
    <row r="903" spans="17:26">
      <c r="Q903" s="1"/>
      <c r="R903" s="1"/>
      <c r="S903" s="1"/>
      <c r="T903" s="1"/>
      <c r="U903" s="1"/>
      <c r="V903" s="1"/>
      <c r="W903" s="1"/>
      <c r="X903" s="1"/>
      <c r="Y903" s="1"/>
      <c r="Z903" s="1"/>
    </row>
    <row r="904" spans="17:26">
      <c r="Q904" s="1"/>
      <c r="R904" s="1"/>
      <c r="S904" s="1"/>
      <c r="T904" s="1"/>
      <c r="U904" s="1"/>
      <c r="V904" s="1"/>
      <c r="W904" s="1"/>
      <c r="X904" s="1"/>
      <c r="Y904" s="1"/>
      <c r="Z904" s="1"/>
    </row>
    <row r="905" spans="17:26">
      <c r="Q905" s="1"/>
      <c r="R905" s="1"/>
      <c r="S905" s="1"/>
      <c r="T905" s="1"/>
      <c r="U905" s="1"/>
      <c r="V905" s="1"/>
      <c r="W905" s="1"/>
      <c r="X905" s="1"/>
      <c r="Y905" s="1"/>
      <c r="Z905" s="1"/>
    </row>
    <row r="906" spans="17:26">
      <c r="Q906" s="1"/>
      <c r="R906" s="1"/>
      <c r="S906" s="1"/>
      <c r="T906" s="1"/>
      <c r="U906" s="1"/>
      <c r="V906" s="1"/>
      <c r="W906" s="1"/>
      <c r="X906" s="1"/>
      <c r="Y906" s="1"/>
      <c r="Z906" s="1"/>
    </row>
    <row r="907" spans="17:26">
      <c r="Q907" s="1"/>
      <c r="R907" s="1"/>
      <c r="S907" s="1"/>
      <c r="T907" s="1"/>
      <c r="U907" s="1"/>
      <c r="V907" s="1"/>
      <c r="W907" s="1"/>
      <c r="X907" s="1"/>
      <c r="Y907" s="1"/>
      <c r="Z907" s="1"/>
    </row>
  </sheetData>
  <mergeCells count="540">
    <mergeCell ref="B2:K3"/>
    <mergeCell ref="B5:D5"/>
    <mergeCell ref="R2:Y3"/>
    <mergeCell ref="R5:U5"/>
    <mergeCell ref="R7:Y7"/>
    <mergeCell ref="R10:U10"/>
    <mergeCell ref="R11:U11"/>
    <mergeCell ref="R12:U12"/>
    <mergeCell ref="R13:U13"/>
    <mergeCell ref="R14:U14"/>
    <mergeCell ref="R15:U15"/>
    <mergeCell ref="R16:U16"/>
    <mergeCell ref="R19:U19"/>
    <mergeCell ref="R20:U20"/>
    <mergeCell ref="R21:U21"/>
    <mergeCell ref="R22:U22"/>
    <mergeCell ref="R23:U23"/>
    <mergeCell ref="R24:U24"/>
    <mergeCell ref="R25:U25"/>
    <mergeCell ref="R26:U26"/>
    <mergeCell ref="R28:Y28"/>
    <mergeCell ref="R31:T32"/>
    <mergeCell ref="U31:U32"/>
    <mergeCell ref="V31:V32"/>
    <mergeCell ref="W31:W32"/>
    <mergeCell ref="X31:X32"/>
    <mergeCell ref="R33:T33"/>
    <mergeCell ref="R34:T34"/>
    <mergeCell ref="R35:T35"/>
    <mergeCell ref="R36:T36"/>
    <mergeCell ref="X39:X40"/>
    <mergeCell ref="R41:T41"/>
    <mergeCell ref="R42:T42"/>
    <mergeCell ref="R43:T43"/>
    <mergeCell ref="R39:T40"/>
    <mergeCell ref="U39:U40"/>
    <mergeCell ref="V39:V40"/>
    <mergeCell ref="W39:W40"/>
    <mergeCell ref="R44:T44"/>
    <mergeCell ref="R46:Y46"/>
    <mergeCell ref="R49:T50"/>
    <mergeCell ref="U49:U50"/>
    <mergeCell ref="V49:V50"/>
    <mergeCell ref="W49:W50"/>
    <mergeCell ref="X49:X50"/>
    <mergeCell ref="R51:T51"/>
    <mergeCell ref="R54:T55"/>
    <mergeCell ref="U54:U55"/>
    <mergeCell ref="V54:V55"/>
    <mergeCell ref="W54:W55"/>
    <mergeCell ref="X54:X55"/>
    <mergeCell ref="R56:T56"/>
    <mergeCell ref="R59:T60"/>
    <mergeCell ref="U59:U60"/>
    <mergeCell ref="V59:V60"/>
    <mergeCell ref="W59:W60"/>
    <mergeCell ref="X59:X60"/>
    <mergeCell ref="R61:T61"/>
    <mergeCell ref="R62:T62"/>
    <mergeCell ref="R64:Y64"/>
    <mergeCell ref="R67:T68"/>
    <mergeCell ref="U67:U68"/>
    <mergeCell ref="V67:V68"/>
    <mergeCell ref="W67:W68"/>
    <mergeCell ref="X67:X68"/>
    <mergeCell ref="R69:T69"/>
    <mergeCell ref="R70:T70"/>
    <mergeCell ref="R71:T71"/>
    <mergeCell ref="R74:T75"/>
    <mergeCell ref="U74:U75"/>
    <mergeCell ref="V74:V75"/>
    <mergeCell ref="W74:W75"/>
    <mergeCell ref="X74:X75"/>
    <mergeCell ref="R76:T76"/>
    <mergeCell ref="R77:T77"/>
    <mergeCell ref="R78:T78"/>
    <mergeCell ref="R80:Y80"/>
    <mergeCell ref="X83:X84"/>
    <mergeCell ref="R85:T85"/>
    <mergeCell ref="R86:T86"/>
    <mergeCell ref="R87:T87"/>
    <mergeCell ref="R83:T84"/>
    <mergeCell ref="U83:U84"/>
    <mergeCell ref="V83:V84"/>
    <mergeCell ref="W83:W84"/>
    <mergeCell ref="X90:X91"/>
    <mergeCell ref="R92:T92"/>
    <mergeCell ref="R93:T93"/>
    <mergeCell ref="R94:T94"/>
    <mergeCell ref="R90:T91"/>
    <mergeCell ref="U90:U91"/>
    <mergeCell ref="V90:V91"/>
    <mergeCell ref="W90:W91"/>
    <mergeCell ref="R96:Y96"/>
    <mergeCell ref="R100:T101"/>
    <mergeCell ref="U100:U101"/>
    <mergeCell ref="V100:V101"/>
    <mergeCell ref="W100:W101"/>
    <mergeCell ref="X100:X101"/>
    <mergeCell ref="R102:T102"/>
    <mergeCell ref="R103:T103"/>
    <mergeCell ref="R106:T107"/>
    <mergeCell ref="U106:U107"/>
    <mergeCell ref="V106:V107"/>
    <mergeCell ref="W106:W107"/>
    <mergeCell ref="X106:X107"/>
    <mergeCell ref="R108:T108"/>
    <mergeCell ref="R109:T109"/>
    <mergeCell ref="R112:T113"/>
    <mergeCell ref="U112:U113"/>
    <mergeCell ref="V112:V113"/>
    <mergeCell ref="W112:W113"/>
    <mergeCell ref="X112:X113"/>
    <mergeCell ref="R114:T114"/>
    <mergeCell ref="R115:T115"/>
    <mergeCell ref="V126:V127"/>
    <mergeCell ref="W126:W127"/>
    <mergeCell ref="X118:X119"/>
    <mergeCell ref="R120:T120"/>
    <mergeCell ref="R121:T121"/>
    <mergeCell ref="R123:Y123"/>
    <mergeCell ref="R118:T119"/>
    <mergeCell ref="U118:U119"/>
    <mergeCell ref="V118:V119"/>
    <mergeCell ref="W118:W119"/>
    <mergeCell ref="X126:X127"/>
    <mergeCell ref="R128:T128"/>
    <mergeCell ref="R130:Y130"/>
    <mergeCell ref="R132:T133"/>
    <mergeCell ref="U132:U133"/>
    <mergeCell ref="V132:V133"/>
    <mergeCell ref="W132:W133"/>
    <mergeCell ref="X132:X133"/>
    <mergeCell ref="R126:T127"/>
    <mergeCell ref="U126:U127"/>
    <mergeCell ref="R134:T134"/>
    <mergeCell ref="R135:T135"/>
    <mergeCell ref="R137:Y137"/>
    <mergeCell ref="R142:W142"/>
    <mergeCell ref="X143:X144"/>
    <mergeCell ref="R145:T145"/>
    <mergeCell ref="U145:U146"/>
    <mergeCell ref="R146:T146"/>
    <mergeCell ref="R143:T144"/>
    <mergeCell ref="U143:U144"/>
    <mergeCell ref="V143:V144"/>
    <mergeCell ref="W143:W144"/>
    <mergeCell ref="R147:T147"/>
    <mergeCell ref="R148:T148"/>
    <mergeCell ref="R149:X149"/>
    <mergeCell ref="R150:T151"/>
    <mergeCell ref="U150:U151"/>
    <mergeCell ref="V150:V151"/>
    <mergeCell ref="W150:W151"/>
    <mergeCell ref="X150:X151"/>
    <mergeCell ref="R152:T152"/>
    <mergeCell ref="U152:U154"/>
    <mergeCell ref="R153:T153"/>
    <mergeCell ref="R154:T154"/>
    <mergeCell ref="R155:X155"/>
    <mergeCell ref="R156:T157"/>
    <mergeCell ref="U156:U157"/>
    <mergeCell ref="V156:V157"/>
    <mergeCell ref="W156:W157"/>
    <mergeCell ref="X156:X157"/>
    <mergeCell ref="V162:V163"/>
    <mergeCell ref="W162:W163"/>
    <mergeCell ref="R158:T158"/>
    <mergeCell ref="U158:U160"/>
    <mergeCell ref="R159:T159"/>
    <mergeCell ref="R160:T160"/>
    <mergeCell ref="X162:X163"/>
    <mergeCell ref="R164:T164"/>
    <mergeCell ref="R165:T165"/>
    <mergeCell ref="R167:T168"/>
    <mergeCell ref="U167:U168"/>
    <mergeCell ref="V167:V168"/>
    <mergeCell ref="W167:W168"/>
    <mergeCell ref="X167:X168"/>
    <mergeCell ref="R162:T163"/>
    <mergeCell ref="U162:U163"/>
    <mergeCell ref="R174:T174"/>
    <mergeCell ref="R179:T179"/>
    <mergeCell ref="R180:T180"/>
    <mergeCell ref="R175:T175"/>
    <mergeCell ref="R177:T178"/>
    <mergeCell ref="R169:T169"/>
    <mergeCell ref="R170:T170"/>
    <mergeCell ref="R172:T173"/>
    <mergeCell ref="W177:W178"/>
    <mergeCell ref="X177:X178"/>
    <mergeCell ref="U177:U178"/>
    <mergeCell ref="V177:V178"/>
    <mergeCell ref="X183:X184"/>
    <mergeCell ref="X172:X173"/>
    <mergeCell ref="U172:U173"/>
    <mergeCell ref="V172:V173"/>
    <mergeCell ref="W172:W173"/>
    <mergeCell ref="R185:T185"/>
    <mergeCell ref="R186:T186"/>
    <mergeCell ref="R181:T181"/>
    <mergeCell ref="R183:T184"/>
    <mergeCell ref="W188:W189"/>
    <mergeCell ref="W183:W184"/>
    <mergeCell ref="V188:V189"/>
    <mergeCell ref="U183:U184"/>
    <mergeCell ref="V183:V184"/>
    <mergeCell ref="X188:X189"/>
    <mergeCell ref="V193:V194"/>
    <mergeCell ref="W193:W194"/>
    <mergeCell ref="X193:X194"/>
    <mergeCell ref="R188:T189"/>
    <mergeCell ref="U188:U189"/>
    <mergeCell ref="R190:T190"/>
    <mergeCell ref="R191:T191"/>
    <mergeCell ref="R193:T194"/>
    <mergeCell ref="U193:U194"/>
    <mergeCell ref="R195:T195"/>
    <mergeCell ref="R196:T196"/>
    <mergeCell ref="R198:T199"/>
    <mergeCell ref="U198:U199"/>
    <mergeCell ref="V198:V199"/>
    <mergeCell ref="W198:W199"/>
    <mergeCell ref="X198:X199"/>
    <mergeCell ref="R200:T200"/>
    <mergeCell ref="R201:T201"/>
    <mergeCell ref="R202:T202"/>
    <mergeCell ref="R204:Y208"/>
    <mergeCell ref="R210:W211"/>
    <mergeCell ref="X210:X211"/>
    <mergeCell ref="Y210:Y211"/>
    <mergeCell ref="Y213:Y214"/>
    <mergeCell ref="R215:U215"/>
    <mergeCell ref="R216:U216"/>
    <mergeCell ref="R217:U217"/>
    <mergeCell ref="R213:U214"/>
    <mergeCell ref="V213:V214"/>
    <mergeCell ref="W213:W214"/>
    <mergeCell ref="X213:X214"/>
    <mergeCell ref="R218:U218"/>
    <mergeCell ref="R219:U219"/>
    <mergeCell ref="R220:U220"/>
    <mergeCell ref="R221:U221"/>
    <mergeCell ref="R222:U222"/>
    <mergeCell ref="R223:U223"/>
    <mergeCell ref="R224:U224"/>
    <mergeCell ref="R225:U225"/>
    <mergeCell ref="R226:U226"/>
    <mergeCell ref="R227:U227"/>
    <mergeCell ref="R228:U228"/>
    <mergeCell ref="R229:U229"/>
    <mergeCell ref="R231:U231"/>
    <mergeCell ref="R235:T236"/>
    <mergeCell ref="U235:U236"/>
    <mergeCell ref="V235:V236"/>
    <mergeCell ref="W235:W236"/>
    <mergeCell ref="X235:X236"/>
    <mergeCell ref="R237:T237"/>
    <mergeCell ref="U237:U239"/>
    <mergeCell ref="R238:T238"/>
    <mergeCell ref="R239:T239"/>
    <mergeCell ref="X241:X242"/>
    <mergeCell ref="R243:T243"/>
    <mergeCell ref="U243:U245"/>
    <mergeCell ref="R244:T244"/>
    <mergeCell ref="R245:T245"/>
    <mergeCell ref="R241:T242"/>
    <mergeCell ref="U241:U242"/>
    <mergeCell ref="V241:V242"/>
    <mergeCell ref="W241:W242"/>
    <mergeCell ref="X247:X248"/>
    <mergeCell ref="R249:T249"/>
    <mergeCell ref="U249:U251"/>
    <mergeCell ref="R250:T250"/>
    <mergeCell ref="R251:T251"/>
    <mergeCell ref="R247:T248"/>
    <mergeCell ref="U247:U248"/>
    <mergeCell ref="V247:V248"/>
    <mergeCell ref="W247:W248"/>
    <mergeCell ref="X254:X255"/>
    <mergeCell ref="R257:T257"/>
    <mergeCell ref="R260:Y260"/>
    <mergeCell ref="R264:S265"/>
    <mergeCell ref="U264:V264"/>
    <mergeCell ref="U265:V265"/>
    <mergeCell ref="R254:T255"/>
    <mergeCell ref="U254:U255"/>
    <mergeCell ref="V254:V255"/>
    <mergeCell ref="W254:W255"/>
    <mergeCell ref="X267:X268"/>
    <mergeCell ref="R268:R271"/>
    <mergeCell ref="S268:T268"/>
    <mergeCell ref="S269:T269"/>
    <mergeCell ref="S270:T270"/>
    <mergeCell ref="S271:T271"/>
    <mergeCell ref="R267:T267"/>
    <mergeCell ref="U267:U268"/>
    <mergeCell ref="V267:V268"/>
    <mergeCell ref="W267:W268"/>
    <mergeCell ref="R272:X272"/>
    <mergeCell ref="R273:T273"/>
    <mergeCell ref="U273:U274"/>
    <mergeCell ref="V273:V274"/>
    <mergeCell ref="W273:W274"/>
    <mergeCell ref="X273:X274"/>
    <mergeCell ref="R274:R277"/>
    <mergeCell ref="S274:T274"/>
    <mergeCell ref="S275:T275"/>
    <mergeCell ref="S276:T276"/>
    <mergeCell ref="S277:T277"/>
    <mergeCell ref="R278:X278"/>
    <mergeCell ref="R279:T279"/>
    <mergeCell ref="U279:U280"/>
    <mergeCell ref="V279:V280"/>
    <mergeCell ref="W279:W280"/>
    <mergeCell ref="X279:X280"/>
    <mergeCell ref="R280:R283"/>
    <mergeCell ref="S280:T280"/>
    <mergeCell ref="S281:T281"/>
    <mergeCell ref="S282:T282"/>
    <mergeCell ref="S283:T283"/>
    <mergeCell ref="R286:U287"/>
    <mergeCell ref="V286:V287"/>
    <mergeCell ref="W286:W287"/>
    <mergeCell ref="X286:X287"/>
    <mergeCell ref="Y286:Y287"/>
    <mergeCell ref="R288:U288"/>
    <mergeCell ref="R289:U289"/>
    <mergeCell ref="R290:U290"/>
    <mergeCell ref="R291:U291"/>
    <mergeCell ref="R292:U292"/>
    <mergeCell ref="R293:U293"/>
    <mergeCell ref="R294:U294"/>
    <mergeCell ref="R295:U295"/>
    <mergeCell ref="R296:U296"/>
    <mergeCell ref="R297:U297"/>
    <mergeCell ref="R298:U298"/>
    <mergeCell ref="R299:U299"/>
    <mergeCell ref="T301:U301"/>
    <mergeCell ref="T302:U302"/>
    <mergeCell ref="R305:V305"/>
    <mergeCell ref="R306:R307"/>
    <mergeCell ref="S306:S307"/>
    <mergeCell ref="T306:T307"/>
    <mergeCell ref="U306:U307"/>
    <mergeCell ref="V306:V307"/>
    <mergeCell ref="R316:W318"/>
    <mergeCell ref="R336:S339"/>
    <mergeCell ref="T336:T337"/>
    <mergeCell ref="R319:W319"/>
    <mergeCell ref="R320:W320"/>
    <mergeCell ref="R322:S326"/>
    <mergeCell ref="T322:T324"/>
    <mergeCell ref="U322:U324"/>
    <mergeCell ref="V322:V324"/>
    <mergeCell ref="W322:W324"/>
    <mergeCell ref="R328:W328"/>
    <mergeCell ref="R329:S332"/>
    <mergeCell ref="T329:T330"/>
    <mergeCell ref="U329:U330"/>
    <mergeCell ref="V329:V330"/>
    <mergeCell ref="W329:W330"/>
    <mergeCell ref="T342:T343"/>
    <mergeCell ref="U342:U343"/>
    <mergeCell ref="V342:V343"/>
    <mergeCell ref="W342:W343"/>
    <mergeCell ref="U336:U337"/>
    <mergeCell ref="R348:W348"/>
    <mergeCell ref="R341:W341"/>
    <mergeCell ref="R342:S345"/>
    <mergeCell ref="V336:V337"/>
    <mergeCell ref="W336:W337"/>
    <mergeCell ref="R365:S368"/>
    <mergeCell ref="T365:T366"/>
    <mergeCell ref="R349:W349"/>
    <mergeCell ref="R351:S355"/>
    <mergeCell ref="T351:T353"/>
    <mergeCell ref="U351:U353"/>
    <mergeCell ref="V351:V353"/>
    <mergeCell ref="W351:W353"/>
    <mergeCell ref="R357:W357"/>
    <mergeCell ref="R358:S361"/>
    <mergeCell ref="T358:T359"/>
    <mergeCell ref="U358:U359"/>
    <mergeCell ref="V358:V359"/>
    <mergeCell ref="W358:W359"/>
    <mergeCell ref="T371:T372"/>
    <mergeCell ref="U371:U372"/>
    <mergeCell ref="V371:V372"/>
    <mergeCell ref="W371:W372"/>
    <mergeCell ref="U365:U366"/>
    <mergeCell ref="R377:W377"/>
    <mergeCell ref="R370:W370"/>
    <mergeCell ref="R371:S374"/>
    <mergeCell ref="V365:V366"/>
    <mergeCell ref="W365:W366"/>
    <mergeCell ref="R394:S397"/>
    <mergeCell ref="T394:T395"/>
    <mergeCell ref="R378:W378"/>
    <mergeCell ref="R380:S384"/>
    <mergeCell ref="T380:T382"/>
    <mergeCell ref="U380:U382"/>
    <mergeCell ref="V380:V382"/>
    <mergeCell ref="W380:W382"/>
    <mergeCell ref="R386:W386"/>
    <mergeCell ref="R387:S390"/>
    <mergeCell ref="T387:T388"/>
    <mergeCell ref="U387:U388"/>
    <mergeCell ref="V387:V388"/>
    <mergeCell ref="W387:W388"/>
    <mergeCell ref="T400:T401"/>
    <mergeCell ref="U400:U401"/>
    <mergeCell ref="V400:V401"/>
    <mergeCell ref="W400:W401"/>
    <mergeCell ref="U394:U395"/>
    <mergeCell ref="R406:W406"/>
    <mergeCell ref="R399:W399"/>
    <mergeCell ref="R400:S403"/>
    <mergeCell ref="V394:V395"/>
    <mergeCell ref="W394:W395"/>
    <mergeCell ref="R407:W407"/>
    <mergeCell ref="R409:S413"/>
    <mergeCell ref="T409:T411"/>
    <mergeCell ref="U409:U411"/>
    <mergeCell ref="V409:V411"/>
    <mergeCell ref="W409:W411"/>
    <mergeCell ref="V423:V424"/>
    <mergeCell ref="R415:W415"/>
    <mergeCell ref="R416:S419"/>
    <mergeCell ref="T416:T417"/>
    <mergeCell ref="U416:U417"/>
    <mergeCell ref="V416:V417"/>
    <mergeCell ref="W416:W417"/>
    <mergeCell ref="W423:W424"/>
    <mergeCell ref="R423:S426"/>
    <mergeCell ref="T423:T424"/>
    <mergeCell ref="U423:U424"/>
    <mergeCell ref="R435:W437"/>
    <mergeCell ref="R438:W438"/>
    <mergeCell ref="R439:W439"/>
    <mergeCell ref="R428:W428"/>
    <mergeCell ref="R429:S432"/>
    <mergeCell ref="T429:T430"/>
    <mergeCell ref="U429:U430"/>
    <mergeCell ref="V429:V430"/>
    <mergeCell ref="W429:W430"/>
    <mergeCell ref="R441:S445"/>
    <mergeCell ref="T441:T443"/>
    <mergeCell ref="U441:U443"/>
    <mergeCell ref="V441:V443"/>
    <mergeCell ref="W441:W443"/>
    <mergeCell ref="V455:V456"/>
    <mergeCell ref="R447:W447"/>
    <mergeCell ref="R448:S451"/>
    <mergeCell ref="T448:T449"/>
    <mergeCell ref="U448:U449"/>
    <mergeCell ref="V448:V449"/>
    <mergeCell ref="W448:W449"/>
    <mergeCell ref="W455:W456"/>
    <mergeCell ref="R455:S458"/>
    <mergeCell ref="T455:T456"/>
    <mergeCell ref="U455:U456"/>
    <mergeCell ref="R467:W467"/>
    <mergeCell ref="R468:W468"/>
    <mergeCell ref="R460:W460"/>
    <mergeCell ref="R461:S464"/>
    <mergeCell ref="T461:T462"/>
    <mergeCell ref="U461:U462"/>
    <mergeCell ref="V461:V462"/>
    <mergeCell ref="W461:W462"/>
    <mergeCell ref="R470:S474"/>
    <mergeCell ref="T470:T472"/>
    <mergeCell ref="U470:U472"/>
    <mergeCell ref="V470:V472"/>
    <mergeCell ref="W470:W472"/>
    <mergeCell ref="V484:V485"/>
    <mergeCell ref="R476:W476"/>
    <mergeCell ref="R477:S480"/>
    <mergeCell ref="T477:T478"/>
    <mergeCell ref="U477:U478"/>
    <mergeCell ref="V477:V478"/>
    <mergeCell ref="W477:W478"/>
    <mergeCell ref="W484:W485"/>
    <mergeCell ref="R484:S487"/>
    <mergeCell ref="T484:T485"/>
    <mergeCell ref="U484:U485"/>
    <mergeCell ref="R496:W496"/>
    <mergeCell ref="R497:W497"/>
    <mergeCell ref="R489:W489"/>
    <mergeCell ref="R490:S493"/>
    <mergeCell ref="T490:T491"/>
    <mergeCell ref="U490:U491"/>
    <mergeCell ref="V490:V491"/>
    <mergeCell ref="W490:W491"/>
    <mergeCell ref="R499:S503"/>
    <mergeCell ref="T499:T501"/>
    <mergeCell ref="U499:U501"/>
    <mergeCell ref="V499:V501"/>
    <mergeCell ref="W499:W501"/>
    <mergeCell ref="V513:V514"/>
    <mergeCell ref="R505:W505"/>
    <mergeCell ref="R506:S509"/>
    <mergeCell ref="T506:T507"/>
    <mergeCell ref="U506:U507"/>
    <mergeCell ref="V506:V507"/>
    <mergeCell ref="W506:W507"/>
    <mergeCell ref="W513:W514"/>
    <mergeCell ref="R513:S516"/>
    <mergeCell ref="T513:T514"/>
    <mergeCell ref="U513:U514"/>
    <mergeCell ref="R525:W525"/>
    <mergeCell ref="R526:W526"/>
    <mergeCell ref="R518:W518"/>
    <mergeCell ref="R519:S522"/>
    <mergeCell ref="T519:T520"/>
    <mergeCell ref="U519:U520"/>
    <mergeCell ref="V519:V520"/>
    <mergeCell ref="W519:W520"/>
    <mergeCell ref="R528:S532"/>
    <mergeCell ref="T528:T530"/>
    <mergeCell ref="U528:U530"/>
    <mergeCell ref="V528:V530"/>
    <mergeCell ref="W528:W530"/>
    <mergeCell ref="V542:V543"/>
    <mergeCell ref="R534:W534"/>
    <mergeCell ref="R535:S538"/>
    <mergeCell ref="T535:T536"/>
    <mergeCell ref="U535:U536"/>
    <mergeCell ref="V535:V536"/>
    <mergeCell ref="W535:W536"/>
    <mergeCell ref="W542:W543"/>
    <mergeCell ref="R542:S545"/>
    <mergeCell ref="T542:T543"/>
    <mergeCell ref="U542:U543"/>
    <mergeCell ref="R547:W547"/>
    <mergeCell ref="R548:S551"/>
    <mergeCell ref="T548:T549"/>
    <mergeCell ref="U548:U549"/>
    <mergeCell ref="V548:V549"/>
    <mergeCell ref="W548:W549"/>
  </mergeCells>
  <phoneticPr fontId="0" type="noConversion"/>
  <conditionalFormatting sqref="U108:X109">
    <cfRule type="cellIs" dxfId="561" priority="1" stopIfTrue="1" operator="equal">
      <formula>"yes"</formula>
    </cfRule>
    <cfRule type="cellIs" dxfId="560" priority="2" stopIfTrue="1" operator="equal">
      <formula>"no"</formula>
    </cfRule>
  </conditionalFormatting>
  <conditionalFormatting sqref="X254:X255 X106:X107 X247:X248 X49:X50 X235:X236 X54:X55 X67:X68 X74:X75 X100:X101 X112:X113 X118:X119 X132:X133 X279:X280 X126:X127 X241:X242 X59:X60 Y286:Y287 S306:S307 X143:X144 X183:X184 X177:X178 X267:X268 X273:X274 Y213:Y214 X83 X90 X156:X157 X150:X151 X198:X199 X162:X163 X167:X168 X172:X173 X188:X189 X193:X194">
    <cfRule type="cellIs" dxfId="559" priority="3" stopIfTrue="1" operator="equal">
      <formula>$U$31</formula>
    </cfRule>
    <cfRule type="cellIs" dxfId="558" priority="4" stopIfTrue="1" operator="equal">
      <formula>$W$31</formula>
    </cfRule>
    <cfRule type="cellIs" dxfId="557" priority="5" stopIfTrue="1" operator="equal">
      <formula>$Y$31</formula>
    </cfRule>
  </conditionalFormatting>
  <conditionalFormatting sqref="V106:V107 V247:V248 V49:V50 V241:V242 V54:V55 V59:V60 V67:V68 V74:V75 W286:W287 V100:V101 V112:V113 V118:V119 V126:V127 V132:V133 V279:V280 V235:V236 V254:V255 T306:T307 V143:V144 V183:V184 V177:V178 V267:V268 V273:V274 W213:W214 V83 V90 V156:V157 V150:V151 V198:V199 V162:V163 V167:V168 V172:V173 V188:V189 V193:V194">
    <cfRule type="cellIs" dxfId="556" priority="6" stopIfTrue="1" operator="equal">
      <formula>$R$6</formula>
    </cfRule>
    <cfRule type="cellIs" dxfId="555" priority="7" stopIfTrue="1" operator="equal">
      <formula>$V$33</formula>
    </cfRule>
    <cfRule type="cellIs" dxfId="554" priority="8" stopIfTrue="1" operator="equal">
      <formula>$R$8</formula>
    </cfRule>
  </conditionalFormatting>
  <conditionalFormatting sqref="W106:W107 W126:W127 W247:W248 W49:W50 W241:W242 W54:W55 W59:W60 W67:W68 W74:W75 X286:X287 W100:W101 W112:W113 W118:W119 W132:W133 W279:W280 W235:W236 W254:W255 U306:U307 W143:W144 W183:W184 W177:W178 W267:W268 W273:W274 X213:X214 W83 W90 W156:W157 W150:W151 W198:W199 W162:W163 W167:W168 W172:W173 W188:W189 W193:W194">
    <cfRule type="cellIs" dxfId="553" priority="9" stopIfTrue="1" operator="equal">
      <formula>$R$6</formula>
    </cfRule>
    <cfRule type="cellIs" dxfId="552" priority="10" stopIfTrue="1" operator="equal">
      <formula>$R$7</formula>
    </cfRule>
    <cfRule type="cellIs" dxfId="551" priority="11" stopIfTrue="1" operator="equal">
      <formula>$W$33</formula>
    </cfRule>
  </conditionalFormatting>
  <conditionalFormatting sqref="R36 R44">
    <cfRule type="cellIs" dxfId="550" priority="12" stopIfTrue="1" operator="equal">
      <formula>$AI$31</formula>
    </cfRule>
    <cfRule type="cellIs" dxfId="549" priority="13" stopIfTrue="1" operator="equal">
      <formula>$AK$31</formula>
    </cfRule>
    <cfRule type="cellIs" dxfId="548" priority="14" stopIfTrue="1" operator="equal">
      <formula>$AM$31</formula>
    </cfRule>
  </conditionalFormatting>
  <conditionalFormatting sqref="R34 R42">
    <cfRule type="cellIs" dxfId="547" priority="15" stopIfTrue="1" operator="equal">
      <formula>$AF$6</formula>
    </cfRule>
    <cfRule type="cellIs" dxfId="546" priority="16" stopIfTrue="1" operator="equal">
      <formula>$AJ$33</formula>
    </cfRule>
    <cfRule type="cellIs" dxfId="545" priority="17" stopIfTrue="1" operator="equal">
      <formula>$AF$8</formula>
    </cfRule>
  </conditionalFormatting>
  <conditionalFormatting sqref="R35 R43">
    <cfRule type="cellIs" dxfId="544" priority="18" stopIfTrue="1" operator="equal">
      <formula>$AF$6</formula>
    </cfRule>
    <cfRule type="cellIs" dxfId="543" priority="19" stopIfTrue="1" operator="equal">
      <formula>$AF$7</formula>
    </cfRule>
    <cfRule type="cellIs" dxfId="542" priority="20" stopIfTrue="1" operator="equal">
      <formula>$AK$33</formula>
    </cfRule>
  </conditionalFormatting>
  <pageMargins left="0" right="0" top="0.59055118110236227" bottom="0.39370078740157483" header="0.51181102362204722" footer="0.51181102362204722"/>
  <pageSetup paperSize="9" scale="96" fitToHeight="6"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sheetPr codeName="Sheet60">
    <pageSetUpPr fitToPage="1"/>
  </sheetPr>
  <dimension ref="A1:AJ907"/>
  <sheetViews>
    <sheetView showRowColHeaders="0" workbookViewId="0">
      <selection activeCell="B2" sqref="B2:K3"/>
    </sheetView>
  </sheetViews>
  <sheetFormatPr defaultRowHeight="12.75"/>
  <cols>
    <col min="1" max="1" width="10.7109375" style="1" customWidth="1"/>
    <col min="2" max="11" width="11.7109375" style="1" customWidth="1"/>
    <col min="12" max="16" width="10.7109375" style="1" customWidth="1"/>
    <col min="17" max="17" width="4.7109375" style="20" customWidth="1"/>
    <col min="18" max="20" width="10.7109375" style="18" customWidth="1"/>
    <col min="21" max="23" width="11.7109375" style="18" customWidth="1"/>
    <col min="24" max="26" width="10.7109375" style="18" customWidth="1"/>
    <col min="27" max="27" width="10.7109375" style="1" customWidth="1"/>
    <col min="28" max="30" width="8.7109375" style="1" customWidth="1"/>
    <col min="31" max="35" width="13.7109375" style="1" customWidth="1"/>
    <col min="36" max="37" width="10.7109375" style="1" customWidth="1"/>
    <col min="38" max="54" width="10.28515625" style="1" customWidth="1"/>
    <col min="55" max="110" width="10.7109375" style="1" customWidth="1"/>
    <col min="111" max="16384" width="9.140625" style="1"/>
  </cols>
  <sheetData>
    <row r="1" spans="1:33" ht="6" customHeight="1" thickBot="1">
      <c r="A1" s="121"/>
      <c r="B1" s="121"/>
      <c r="C1" s="121"/>
      <c r="D1" s="121"/>
      <c r="E1" s="121"/>
      <c r="F1" s="121"/>
      <c r="G1" s="121"/>
      <c r="H1" s="121"/>
      <c r="I1" s="121"/>
      <c r="J1" s="121"/>
      <c r="K1" s="121"/>
      <c r="L1" s="121"/>
      <c r="M1" s="121"/>
      <c r="N1" s="121"/>
      <c r="O1" s="121"/>
      <c r="P1" s="121"/>
      <c r="Q1" s="360"/>
      <c r="R1" s="361"/>
      <c r="S1" s="361"/>
      <c r="T1" s="361"/>
      <c r="U1" s="361"/>
      <c r="V1" s="361"/>
      <c r="W1" s="361"/>
      <c r="X1" s="361"/>
      <c r="Y1" s="361"/>
      <c r="Z1" s="361"/>
      <c r="AA1"/>
      <c r="AB1"/>
      <c r="AC1"/>
      <c r="AD1"/>
      <c r="AE1"/>
      <c r="AF1"/>
      <c r="AG1"/>
    </row>
    <row r="2" spans="1:33" ht="12.75" customHeight="1" thickTop="1">
      <c r="A2" s="121"/>
      <c r="B2" s="753" t="s">
        <v>164</v>
      </c>
      <c r="C2" s="754"/>
      <c r="D2" s="754"/>
      <c r="E2" s="754"/>
      <c r="F2" s="754"/>
      <c r="G2" s="754"/>
      <c r="H2" s="754"/>
      <c r="I2" s="754"/>
      <c r="J2" s="754"/>
      <c r="K2" s="755"/>
      <c r="L2" s="121"/>
      <c r="M2" s="121"/>
      <c r="N2" s="121"/>
      <c r="O2" s="121"/>
      <c r="P2" s="121"/>
      <c r="Q2" s="363"/>
      <c r="R2" s="1024" t="s">
        <v>396</v>
      </c>
      <c r="S2" s="1025"/>
      <c r="T2" s="1025"/>
      <c r="U2" s="1025"/>
      <c r="V2" s="1025"/>
      <c r="W2" s="1025"/>
      <c r="X2" s="1025"/>
      <c r="Y2" s="1026"/>
      <c r="Z2" s="362"/>
      <c r="AA2"/>
      <c r="AB2"/>
      <c r="AC2"/>
      <c r="AD2"/>
      <c r="AE2"/>
      <c r="AF2"/>
      <c r="AG2"/>
    </row>
    <row r="3" spans="1:33" ht="12.75" customHeight="1" thickBot="1">
      <c r="A3" s="121"/>
      <c r="B3" s="756"/>
      <c r="C3" s="757"/>
      <c r="D3" s="757"/>
      <c r="E3" s="757"/>
      <c r="F3" s="757"/>
      <c r="G3" s="757"/>
      <c r="H3" s="757"/>
      <c r="I3" s="757"/>
      <c r="J3" s="757"/>
      <c r="K3" s="758"/>
      <c r="L3" s="121"/>
      <c r="M3" s="121"/>
      <c r="N3" s="121"/>
      <c r="O3" s="121"/>
      <c r="P3" s="121"/>
      <c r="Q3" s="363"/>
      <c r="R3" s="1027"/>
      <c r="S3" s="1028"/>
      <c r="T3" s="1028"/>
      <c r="U3" s="1028"/>
      <c r="V3" s="1028"/>
      <c r="W3" s="1028"/>
      <c r="X3" s="1028"/>
      <c r="Y3" s="1029"/>
      <c r="Z3" s="362"/>
      <c r="AA3"/>
      <c r="AB3"/>
      <c r="AC3"/>
      <c r="AD3"/>
      <c r="AE3"/>
      <c r="AF3"/>
      <c r="AG3"/>
    </row>
    <row r="4" spans="1:33" ht="12.75" customHeight="1" thickTop="1">
      <c r="A4" s="121"/>
      <c r="B4" s="121"/>
      <c r="C4" s="121"/>
      <c r="D4" s="121"/>
      <c r="E4" s="121"/>
      <c r="F4" s="121"/>
      <c r="G4" s="121"/>
      <c r="H4" s="121"/>
      <c r="I4" s="121"/>
      <c r="J4" s="121"/>
      <c r="K4" s="121"/>
      <c r="L4" s="121"/>
      <c r="M4" s="121"/>
      <c r="N4" s="121"/>
      <c r="O4" s="121"/>
      <c r="P4" s="121"/>
      <c r="Q4" s="363"/>
      <c r="R4" s="361"/>
      <c r="S4" s="361"/>
      <c r="T4" s="361"/>
      <c r="U4" s="361"/>
      <c r="V4" s="361"/>
      <c r="W4" s="361"/>
      <c r="X4" s="361"/>
      <c r="Y4" s="361"/>
      <c r="Z4" s="361"/>
      <c r="AA4"/>
      <c r="AB4"/>
      <c r="AC4"/>
      <c r="AD4"/>
      <c r="AE4"/>
      <c r="AF4"/>
      <c r="AG4"/>
    </row>
    <row r="5" spans="1:33" ht="12.75" customHeight="1">
      <c r="A5" s="121"/>
      <c r="B5" s="828" t="s">
        <v>581</v>
      </c>
      <c r="C5" s="829"/>
      <c r="D5" s="830"/>
      <c r="E5" s="460">
        <v>450</v>
      </c>
      <c r="F5" s="461">
        <f>+E5</f>
        <v>450</v>
      </c>
      <c r="G5" s="121"/>
      <c r="H5" s="121"/>
      <c r="I5" s="121"/>
      <c r="J5" s="121"/>
      <c r="K5" s="121"/>
      <c r="L5" s="121"/>
      <c r="M5" s="121"/>
      <c r="N5" s="121"/>
      <c r="O5" s="121"/>
      <c r="P5" s="121"/>
      <c r="Q5" s="360"/>
      <c r="R5" s="951" t="s">
        <v>868</v>
      </c>
      <c r="S5" s="951"/>
      <c r="T5" s="951"/>
      <c r="U5" s="951"/>
      <c r="V5" s="447">
        <f>F5</f>
        <v>450</v>
      </c>
      <c r="W5" s="362"/>
      <c r="X5" s="362"/>
      <c r="Y5" s="362"/>
      <c r="Z5" s="362"/>
      <c r="AA5"/>
      <c r="AB5"/>
      <c r="AC5"/>
      <c r="AD5"/>
      <c r="AE5"/>
      <c r="AF5"/>
      <c r="AG5"/>
    </row>
    <row r="6" spans="1:33" ht="12.75" customHeight="1">
      <c r="A6" s="121"/>
      <c r="B6" s="121"/>
      <c r="C6" s="121"/>
      <c r="D6" s="121"/>
      <c r="E6" s="121"/>
      <c r="F6" s="121"/>
      <c r="G6" s="121"/>
      <c r="H6" s="121"/>
      <c r="I6" s="121"/>
      <c r="J6" s="121"/>
      <c r="K6" s="121"/>
      <c r="L6" s="121"/>
      <c r="M6" s="121"/>
      <c r="N6" s="121"/>
      <c r="O6" s="121"/>
      <c r="P6" s="121"/>
      <c r="Q6" s="360"/>
      <c r="R6" s="362"/>
      <c r="S6" s="362"/>
      <c r="T6" s="362"/>
      <c r="U6" s="362"/>
      <c r="V6" s="361"/>
      <c r="W6" s="361"/>
      <c r="X6" s="361"/>
      <c r="Y6" s="361"/>
      <c r="Z6" s="361"/>
      <c r="AA6"/>
      <c r="AB6"/>
      <c r="AC6"/>
      <c r="AD6"/>
      <c r="AE6"/>
      <c r="AF6"/>
      <c r="AG6"/>
    </row>
    <row r="7" spans="1:33" ht="12.75" customHeight="1">
      <c r="A7" s="121"/>
      <c r="B7" s="121"/>
      <c r="C7" s="121"/>
      <c r="D7" s="121"/>
      <c r="E7" s="121"/>
      <c r="F7" s="121"/>
      <c r="G7" s="121"/>
      <c r="H7" s="121"/>
      <c r="I7" s="121"/>
      <c r="J7" s="121"/>
      <c r="K7" s="121"/>
      <c r="L7" s="121"/>
      <c r="M7" s="121"/>
      <c r="N7" s="121"/>
      <c r="O7" s="121"/>
      <c r="P7" s="121"/>
      <c r="Q7" s="385">
        <v>1</v>
      </c>
      <c r="R7" s="1008" t="s">
        <v>24</v>
      </c>
      <c r="S7" s="1008"/>
      <c r="T7" s="1008"/>
      <c r="U7" s="1008"/>
      <c r="V7" s="1008"/>
      <c r="W7" s="1008"/>
      <c r="X7" s="1008"/>
      <c r="Y7" s="1008"/>
      <c r="Z7" s="536"/>
      <c r="AA7"/>
      <c r="AB7"/>
      <c r="AC7"/>
      <c r="AD7"/>
      <c r="AE7"/>
      <c r="AF7"/>
      <c r="AG7"/>
    </row>
    <row r="8" spans="1:33" ht="12.75" customHeight="1">
      <c r="A8" s="121"/>
      <c r="B8" s="121"/>
      <c r="C8" s="121"/>
      <c r="D8" s="121"/>
      <c r="E8" s="121"/>
      <c r="F8" s="121"/>
      <c r="G8" s="121"/>
      <c r="H8" s="121"/>
      <c r="I8" s="121"/>
      <c r="J8" s="121"/>
      <c r="K8" s="121"/>
      <c r="L8" s="121"/>
      <c r="M8" s="121"/>
      <c r="N8" s="121"/>
      <c r="O8" s="121"/>
      <c r="P8" s="121"/>
      <c r="Q8" s="386"/>
      <c r="R8" s="361"/>
      <c r="S8" s="361"/>
      <c r="T8" s="361"/>
      <c r="U8" s="361"/>
      <c r="V8" s="361"/>
      <c r="W8" s="361"/>
      <c r="X8" s="361"/>
      <c r="Y8" s="361"/>
      <c r="Z8" s="361"/>
      <c r="AA8"/>
      <c r="AB8"/>
      <c r="AC8"/>
      <c r="AD8"/>
      <c r="AE8"/>
      <c r="AF8"/>
      <c r="AG8"/>
    </row>
    <row r="9" spans="1:33" ht="12.75" customHeight="1">
      <c r="A9" s="121"/>
      <c r="B9" s="121"/>
      <c r="C9" s="121"/>
      <c r="D9" s="121"/>
      <c r="E9" s="121"/>
      <c r="F9" s="121"/>
      <c r="G9" s="121"/>
      <c r="H9" s="121"/>
      <c r="I9" s="121"/>
      <c r="J9" s="121"/>
      <c r="K9" s="121"/>
      <c r="L9" s="121"/>
      <c r="M9" s="121"/>
      <c r="N9" s="121"/>
      <c r="O9" s="121"/>
      <c r="P9" s="121"/>
      <c r="Q9" s="360">
        <v>1.1000000000000001</v>
      </c>
      <c r="R9" s="364" t="s">
        <v>586</v>
      </c>
      <c r="S9" s="363"/>
      <c r="T9" s="363"/>
      <c r="U9" s="363"/>
      <c r="V9" s="363"/>
      <c r="W9" s="363"/>
      <c r="X9" s="363"/>
      <c r="Y9" s="363"/>
      <c r="Z9" s="363"/>
      <c r="AA9"/>
      <c r="AB9"/>
      <c r="AC9"/>
      <c r="AD9"/>
      <c r="AE9"/>
      <c r="AF9"/>
      <c r="AG9"/>
    </row>
    <row r="10" spans="1:33" ht="12.75" customHeight="1">
      <c r="A10" s="121"/>
      <c r="B10" s="121"/>
      <c r="C10" s="121"/>
      <c r="D10" s="121"/>
      <c r="E10" s="121"/>
      <c r="F10" s="121"/>
      <c r="G10" s="121"/>
      <c r="H10" s="121"/>
      <c r="I10" s="121"/>
      <c r="J10" s="121"/>
      <c r="K10" s="121"/>
      <c r="L10" s="121"/>
      <c r="M10" s="121"/>
      <c r="N10" s="121"/>
      <c r="O10" s="121"/>
      <c r="P10" s="121"/>
      <c r="Q10" s="360"/>
      <c r="R10" s="969" t="s">
        <v>25</v>
      </c>
      <c r="S10" s="969"/>
      <c r="T10" s="969"/>
      <c r="U10" s="969"/>
      <c r="V10" s="447">
        <f>'Prod Parameters'!$F$8</f>
        <v>23</v>
      </c>
      <c r="W10" s="363"/>
      <c r="X10" s="363"/>
      <c r="Y10" s="363"/>
      <c r="Z10" s="363"/>
      <c r="AA10"/>
      <c r="AB10"/>
      <c r="AC10"/>
      <c r="AD10"/>
      <c r="AE10"/>
      <c r="AF10"/>
      <c r="AG10"/>
    </row>
    <row r="11" spans="1:33" ht="12.75" customHeight="1">
      <c r="A11" s="121"/>
      <c r="B11" s="121"/>
      <c r="C11" s="121"/>
      <c r="D11" s="121"/>
      <c r="E11" s="121"/>
      <c r="F11" s="121"/>
      <c r="G11" s="121"/>
      <c r="H11" s="121"/>
      <c r="I11" s="121"/>
      <c r="J11" s="121"/>
      <c r="K11" s="121"/>
      <c r="L11" s="121"/>
      <c r="M11" s="121"/>
      <c r="N11" s="121"/>
      <c r="O11" s="121"/>
      <c r="P11" s="121"/>
      <c r="Q11" s="360"/>
      <c r="R11" s="969" t="s">
        <v>325</v>
      </c>
      <c r="S11" s="969"/>
      <c r="T11" s="969"/>
      <c r="U11" s="969"/>
      <c r="V11" s="447">
        <f>'Prod Parameters'!$F$9</f>
        <v>23</v>
      </c>
      <c r="W11" s="363"/>
      <c r="X11" s="363"/>
      <c r="Y11" s="363"/>
      <c r="Z11" s="363"/>
      <c r="AA11"/>
      <c r="AB11"/>
      <c r="AC11"/>
      <c r="AD11"/>
      <c r="AE11"/>
      <c r="AF11"/>
      <c r="AG11"/>
    </row>
    <row r="12" spans="1:33" ht="12.75" customHeight="1">
      <c r="A12" s="121"/>
      <c r="B12" s="121"/>
      <c r="C12" s="121"/>
      <c r="D12" s="121"/>
      <c r="E12" s="121"/>
      <c r="F12" s="121"/>
      <c r="G12" s="121"/>
      <c r="H12" s="121"/>
      <c r="I12" s="121"/>
      <c r="J12" s="121"/>
      <c r="K12" s="121"/>
      <c r="L12" s="121"/>
      <c r="M12" s="121"/>
      <c r="N12" s="121"/>
      <c r="O12" s="121"/>
      <c r="P12" s="121"/>
      <c r="Q12" s="360"/>
      <c r="R12" s="1021" t="s">
        <v>26</v>
      </c>
      <c r="S12" s="1022"/>
      <c r="T12" s="1022"/>
      <c r="U12" s="1023"/>
      <c r="V12" s="447">
        <f>'Prod Parameters'!$F$10</f>
        <v>6</v>
      </c>
      <c r="W12" s="363"/>
      <c r="X12" s="363"/>
      <c r="Y12" s="363"/>
      <c r="Z12" s="363"/>
      <c r="AA12"/>
      <c r="AB12"/>
      <c r="AC12"/>
      <c r="AD12"/>
      <c r="AE12"/>
      <c r="AF12"/>
      <c r="AG12"/>
    </row>
    <row r="13" spans="1:33" ht="12.75" customHeight="1">
      <c r="A13" s="121"/>
      <c r="B13" s="121"/>
      <c r="C13" s="121"/>
      <c r="D13" s="121"/>
      <c r="E13" s="121"/>
      <c r="F13" s="121"/>
      <c r="G13" s="121"/>
      <c r="H13" s="121"/>
      <c r="I13" s="121"/>
      <c r="J13" s="121"/>
      <c r="K13" s="121"/>
      <c r="L13" s="121"/>
      <c r="M13" s="121"/>
      <c r="N13" s="121"/>
      <c r="O13" s="121"/>
      <c r="P13" s="121"/>
      <c r="Q13" s="360"/>
      <c r="R13" s="969" t="s">
        <v>27</v>
      </c>
      <c r="S13" s="969"/>
      <c r="T13" s="969"/>
      <c r="U13" s="969"/>
      <c r="V13" s="447">
        <f>'Prod Parameters'!$F$11</f>
        <v>52</v>
      </c>
      <c r="W13" s="363"/>
      <c r="X13" s="363"/>
      <c r="Y13" s="363"/>
      <c r="Z13" s="363"/>
      <c r="AA13"/>
      <c r="AB13"/>
      <c r="AC13"/>
      <c r="AD13"/>
      <c r="AE13"/>
      <c r="AF13"/>
      <c r="AG13"/>
    </row>
    <row r="14" spans="1:33" ht="12.75" customHeight="1">
      <c r="A14" s="121"/>
      <c r="B14" s="121"/>
      <c r="C14" s="121"/>
      <c r="D14" s="121"/>
      <c r="E14" s="121"/>
      <c r="F14" s="121"/>
      <c r="G14" s="121"/>
      <c r="H14" s="121"/>
      <c r="I14" s="121"/>
      <c r="J14" s="121"/>
      <c r="K14" s="121"/>
      <c r="L14" s="121"/>
      <c r="M14" s="121"/>
      <c r="N14" s="121"/>
      <c r="O14" s="121"/>
      <c r="P14" s="121"/>
      <c r="Q14" s="360"/>
      <c r="R14" s="969" t="s">
        <v>28</v>
      </c>
      <c r="S14" s="969"/>
      <c r="T14" s="969"/>
      <c r="U14" s="969"/>
      <c r="V14" s="447">
        <f>'Prod Parameters'!$F$12</f>
        <v>260</v>
      </c>
      <c r="W14" s="363"/>
      <c r="X14" s="363"/>
      <c r="Y14" s="363"/>
      <c r="Z14" s="363"/>
      <c r="AA14"/>
      <c r="AB14"/>
      <c r="AC14"/>
      <c r="AD14"/>
      <c r="AE14"/>
      <c r="AF14"/>
      <c r="AG14"/>
    </row>
    <row r="15" spans="1:33" ht="12.75" customHeight="1">
      <c r="A15" s="121"/>
      <c r="B15" s="121"/>
      <c r="C15" s="121"/>
      <c r="D15" s="121"/>
      <c r="E15" s="121"/>
      <c r="F15" s="121"/>
      <c r="G15" s="121"/>
      <c r="H15" s="121"/>
      <c r="I15" s="121"/>
      <c r="J15" s="121"/>
      <c r="K15" s="121"/>
      <c r="L15" s="121"/>
      <c r="M15" s="121"/>
      <c r="N15" s="121"/>
      <c r="O15" s="121"/>
      <c r="P15" s="121"/>
      <c r="Q15" s="360"/>
      <c r="R15" s="969" t="s">
        <v>29</v>
      </c>
      <c r="S15" s="969"/>
      <c r="T15" s="969"/>
      <c r="U15" s="969"/>
      <c r="V15" s="447">
        <f>'Prod Parameters'!$F$13</f>
        <v>30</v>
      </c>
      <c r="W15" s="363"/>
      <c r="X15" s="363"/>
      <c r="Y15" s="363"/>
      <c r="Z15" s="363"/>
      <c r="AA15"/>
      <c r="AB15"/>
      <c r="AC15"/>
      <c r="AD15"/>
      <c r="AE15"/>
      <c r="AF15"/>
      <c r="AG15"/>
    </row>
    <row r="16" spans="1:33" ht="12.75" customHeight="1">
      <c r="A16" s="121"/>
      <c r="B16" s="121"/>
      <c r="C16" s="121"/>
      <c r="D16" s="121"/>
      <c r="E16" s="121"/>
      <c r="F16" s="121"/>
      <c r="G16" s="121"/>
      <c r="H16" s="121"/>
      <c r="I16" s="121"/>
      <c r="J16" s="121"/>
      <c r="K16" s="121"/>
      <c r="L16" s="121"/>
      <c r="M16" s="121"/>
      <c r="N16" s="121"/>
      <c r="O16" s="121"/>
      <c r="P16" s="121"/>
      <c r="Q16" s="360"/>
      <c r="R16" s="968" t="s">
        <v>30</v>
      </c>
      <c r="S16" s="968"/>
      <c r="T16" s="968"/>
      <c r="U16" s="968"/>
      <c r="V16" s="447">
        <f>'Prod Parameters'!$F$14</f>
        <v>230</v>
      </c>
      <c r="W16" s="363"/>
      <c r="X16" s="363"/>
      <c r="Y16" s="363"/>
      <c r="Z16" s="363"/>
      <c r="AA16"/>
      <c r="AB16"/>
      <c r="AC16"/>
      <c r="AD16"/>
      <c r="AE16"/>
      <c r="AF16"/>
      <c r="AG16"/>
    </row>
    <row r="17" spans="1:33" ht="12.75" customHeight="1">
      <c r="A17" s="121"/>
      <c r="B17" s="121"/>
      <c r="C17" s="121"/>
      <c r="D17" s="121"/>
      <c r="E17" s="121"/>
      <c r="F17" s="121"/>
      <c r="G17" s="121"/>
      <c r="H17" s="121"/>
      <c r="I17" s="121"/>
      <c r="J17" s="121"/>
      <c r="K17" s="121"/>
      <c r="L17" s="121"/>
      <c r="M17" s="121"/>
      <c r="N17" s="121"/>
      <c r="O17" s="121"/>
      <c r="P17" s="121"/>
      <c r="Q17" s="360"/>
      <c r="R17" s="363"/>
      <c r="S17" s="363"/>
      <c r="T17" s="363"/>
      <c r="U17" s="363"/>
      <c r="V17" s="363"/>
      <c r="W17" s="363"/>
      <c r="X17" s="363"/>
      <c r="Y17" s="363"/>
      <c r="Z17" s="363"/>
      <c r="AA17"/>
      <c r="AB17"/>
      <c r="AC17"/>
      <c r="AD17"/>
      <c r="AE17"/>
      <c r="AF17"/>
      <c r="AG17"/>
    </row>
    <row r="18" spans="1:33" ht="12.75" customHeight="1">
      <c r="A18" s="121"/>
      <c r="B18" s="121"/>
      <c r="C18" s="121"/>
      <c r="D18" s="121"/>
      <c r="E18" s="121"/>
      <c r="F18" s="121"/>
      <c r="G18" s="121"/>
      <c r="H18" s="121"/>
      <c r="I18" s="121"/>
      <c r="J18" s="121"/>
      <c r="K18" s="121"/>
      <c r="L18" s="121"/>
      <c r="M18" s="121"/>
      <c r="N18" s="121"/>
      <c r="O18" s="121"/>
      <c r="P18" s="121"/>
      <c r="Q18" s="360">
        <v>1.2</v>
      </c>
      <c r="R18" s="364" t="s">
        <v>19</v>
      </c>
      <c r="S18" s="363"/>
      <c r="T18" s="363"/>
      <c r="U18" s="363"/>
      <c r="V18" s="363"/>
      <c r="W18" s="363"/>
      <c r="X18" s="363"/>
      <c r="Y18" s="363"/>
      <c r="Z18" s="363"/>
      <c r="AA18"/>
      <c r="AB18"/>
      <c r="AC18"/>
      <c r="AD18"/>
      <c r="AE18"/>
      <c r="AF18"/>
      <c r="AG18"/>
    </row>
    <row r="19" spans="1:33" ht="12.75" customHeight="1">
      <c r="A19" s="121"/>
      <c r="B19" s="121"/>
      <c r="C19" s="121"/>
      <c r="D19" s="121"/>
      <c r="E19" s="121"/>
      <c r="F19" s="121"/>
      <c r="G19" s="121"/>
      <c r="H19" s="121"/>
      <c r="I19" s="121"/>
      <c r="J19" s="121"/>
      <c r="K19" s="121"/>
      <c r="L19" s="121"/>
      <c r="M19" s="121"/>
      <c r="N19" s="121"/>
      <c r="O19" s="121"/>
      <c r="P19" s="121"/>
      <c r="Q19" s="360"/>
      <c r="R19" s="969" t="s">
        <v>314</v>
      </c>
      <c r="S19" s="969"/>
      <c r="T19" s="969"/>
      <c r="U19" s="969"/>
      <c r="V19" s="447">
        <f>'Prod Parameters'!$F$17</f>
        <v>160</v>
      </c>
      <c r="W19" s="363"/>
      <c r="X19" s="363"/>
      <c r="Y19" s="363"/>
      <c r="Z19" s="363"/>
      <c r="AA19"/>
      <c r="AB19"/>
      <c r="AC19"/>
      <c r="AD19"/>
      <c r="AE19"/>
      <c r="AF19"/>
      <c r="AG19"/>
    </row>
    <row r="20" spans="1:33" ht="12.75" customHeight="1">
      <c r="A20" s="121"/>
      <c r="B20" s="121"/>
      <c r="C20" s="121"/>
      <c r="D20" s="121"/>
      <c r="E20" s="121"/>
      <c r="F20" s="121"/>
      <c r="G20" s="121"/>
      <c r="H20" s="121"/>
      <c r="I20" s="121"/>
      <c r="J20" s="121"/>
      <c r="K20" s="121"/>
      <c r="L20" s="121"/>
      <c r="M20" s="121"/>
      <c r="N20" s="121"/>
      <c r="O20" s="121"/>
      <c r="P20" s="121"/>
      <c r="Q20" s="360"/>
      <c r="R20" s="969" t="s">
        <v>31</v>
      </c>
      <c r="S20" s="969"/>
      <c r="T20" s="969"/>
      <c r="U20" s="969"/>
      <c r="V20" s="447">
        <f>'Prod Parameters'!$F$18</f>
        <v>1.2</v>
      </c>
      <c r="W20" s="363"/>
      <c r="X20" s="363"/>
      <c r="Y20" s="363"/>
      <c r="Z20" s="363"/>
      <c r="AA20"/>
      <c r="AB20"/>
      <c r="AC20"/>
      <c r="AD20"/>
      <c r="AE20"/>
      <c r="AF20"/>
      <c r="AG20"/>
    </row>
    <row r="21" spans="1:33" ht="12.75" customHeight="1">
      <c r="A21" s="121"/>
      <c r="B21" s="121"/>
      <c r="C21" s="121"/>
      <c r="D21" s="121"/>
      <c r="E21" s="121"/>
      <c r="F21" s="121"/>
      <c r="G21" s="121"/>
      <c r="H21" s="121"/>
      <c r="I21" s="121"/>
      <c r="J21" s="121"/>
      <c r="K21" s="121"/>
      <c r="L21" s="121"/>
      <c r="M21" s="121"/>
      <c r="N21" s="121"/>
      <c r="O21" s="121"/>
      <c r="P21" s="121"/>
      <c r="Q21" s="360"/>
      <c r="R21" s="969" t="s">
        <v>199</v>
      </c>
      <c r="S21" s="969"/>
      <c r="T21" s="969"/>
      <c r="U21" s="969"/>
      <c r="V21" s="447">
        <f>'Prod Parameters'!$F$19</f>
        <v>4</v>
      </c>
      <c r="W21" s="363"/>
      <c r="X21" s="363"/>
      <c r="Y21" s="363"/>
      <c r="Z21" s="363"/>
      <c r="AA21"/>
      <c r="AB21"/>
      <c r="AC21"/>
      <c r="AD21"/>
      <c r="AE21"/>
      <c r="AF21"/>
      <c r="AG21"/>
    </row>
    <row r="22" spans="1:33" ht="12.75" customHeight="1">
      <c r="A22" s="121"/>
      <c r="B22" s="121"/>
      <c r="C22" s="121"/>
      <c r="D22" s="121"/>
      <c r="E22" s="121"/>
      <c r="F22" s="121"/>
      <c r="G22" s="121"/>
      <c r="H22" s="121"/>
      <c r="I22" s="121"/>
      <c r="J22" s="121"/>
      <c r="K22" s="121"/>
      <c r="L22" s="121"/>
      <c r="M22" s="121"/>
      <c r="N22" s="121"/>
      <c r="O22" s="121"/>
      <c r="P22" s="121"/>
      <c r="Q22" s="360"/>
      <c r="R22" s="969" t="s">
        <v>20</v>
      </c>
      <c r="S22" s="969"/>
      <c r="T22" s="969"/>
      <c r="U22" s="969"/>
      <c r="V22" s="447">
        <f>'Prod Parameters'!$F$20</f>
        <v>40</v>
      </c>
      <c r="W22" s="363"/>
      <c r="X22" s="363"/>
      <c r="Y22" s="363"/>
      <c r="Z22" s="363"/>
      <c r="AA22"/>
      <c r="AB22"/>
      <c r="AC22"/>
      <c r="AD22"/>
      <c r="AE22"/>
      <c r="AF22"/>
      <c r="AG22"/>
    </row>
    <row r="23" spans="1:33" ht="12.75" customHeight="1">
      <c r="A23" s="121"/>
      <c r="B23" s="121"/>
      <c r="C23" s="121"/>
      <c r="D23" s="121"/>
      <c r="E23" s="121"/>
      <c r="F23" s="121"/>
      <c r="G23" s="121"/>
      <c r="H23" s="121"/>
      <c r="I23" s="121"/>
      <c r="J23" s="121"/>
      <c r="K23" s="121"/>
      <c r="L23" s="121"/>
      <c r="M23" s="121"/>
      <c r="N23" s="121"/>
      <c r="O23" s="121"/>
      <c r="P23" s="121"/>
      <c r="Q23" s="360"/>
      <c r="R23" s="969" t="s">
        <v>310</v>
      </c>
      <c r="S23" s="969"/>
      <c r="T23" s="969"/>
      <c r="U23" s="969"/>
      <c r="V23" s="447">
        <f>'Prod Parameters'!$F$21</f>
        <v>160</v>
      </c>
      <c r="W23" s="363"/>
      <c r="X23" s="363"/>
      <c r="Y23" s="363"/>
      <c r="Z23" s="363"/>
      <c r="AA23"/>
      <c r="AB23"/>
      <c r="AC23"/>
      <c r="AD23"/>
      <c r="AE23"/>
      <c r="AF23"/>
      <c r="AG23"/>
    </row>
    <row r="24" spans="1:33" ht="12.75" customHeight="1">
      <c r="A24" s="121"/>
      <c r="B24" s="121"/>
      <c r="C24" s="121"/>
      <c r="D24" s="121"/>
      <c r="E24" s="121"/>
      <c r="F24" s="121"/>
      <c r="G24" s="121"/>
      <c r="H24" s="121"/>
      <c r="I24" s="121"/>
      <c r="J24" s="121"/>
      <c r="K24" s="121"/>
      <c r="L24" s="121"/>
      <c r="M24" s="121"/>
      <c r="N24" s="121"/>
      <c r="O24" s="121"/>
      <c r="P24" s="121"/>
      <c r="Q24" s="360"/>
      <c r="R24" s="969" t="s">
        <v>315</v>
      </c>
      <c r="S24" s="969"/>
      <c r="T24" s="969"/>
      <c r="U24" s="969"/>
      <c r="V24" s="549">
        <f>'Prod Parameters'!$F$22</f>
        <v>6400</v>
      </c>
      <c r="W24" s="363"/>
      <c r="X24" s="363"/>
      <c r="Y24" s="363"/>
      <c r="Z24" s="363"/>
      <c r="AA24"/>
      <c r="AB24"/>
      <c r="AC24"/>
      <c r="AD24"/>
      <c r="AE24"/>
      <c r="AF24"/>
      <c r="AG24"/>
    </row>
    <row r="25" spans="1:33" ht="12.75" customHeight="1">
      <c r="A25" s="121"/>
      <c r="B25" s="121"/>
      <c r="C25" s="121"/>
      <c r="D25" s="121"/>
      <c r="E25" s="121"/>
      <c r="F25" s="121"/>
      <c r="G25" s="121"/>
      <c r="H25" s="121"/>
      <c r="I25" s="121"/>
      <c r="J25" s="121"/>
      <c r="K25" s="121"/>
      <c r="L25" s="121"/>
      <c r="M25" s="121"/>
      <c r="N25" s="121"/>
      <c r="O25" s="121"/>
      <c r="P25" s="121"/>
      <c r="Q25" s="360"/>
      <c r="R25" s="969" t="s">
        <v>187</v>
      </c>
      <c r="S25" s="969"/>
      <c r="T25" s="969"/>
      <c r="U25" s="969"/>
      <c r="V25" s="549">
        <f>'Prod Parameters'!$F$23</f>
        <v>7680</v>
      </c>
      <c r="W25" s="363"/>
      <c r="X25" s="363"/>
      <c r="Y25" s="363"/>
      <c r="Z25" s="363"/>
      <c r="AA25"/>
      <c r="AB25"/>
      <c r="AC25"/>
      <c r="AD25"/>
      <c r="AE25"/>
      <c r="AF25"/>
      <c r="AG25"/>
    </row>
    <row r="26" spans="1:33" ht="12.75" customHeight="1">
      <c r="A26" s="121"/>
      <c r="B26" s="121"/>
      <c r="C26" s="121"/>
      <c r="D26" s="121"/>
      <c r="E26" s="121"/>
      <c r="F26" s="121"/>
      <c r="G26" s="121"/>
      <c r="H26" s="121"/>
      <c r="I26" s="121"/>
      <c r="J26" s="121"/>
      <c r="K26" s="121"/>
      <c r="L26" s="121"/>
      <c r="M26" s="121"/>
      <c r="N26" s="121"/>
      <c r="O26" s="121"/>
      <c r="P26" s="121"/>
      <c r="Q26" s="360"/>
      <c r="R26" s="969" t="s">
        <v>200</v>
      </c>
      <c r="S26" s="969"/>
      <c r="T26" s="969"/>
      <c r="U26" s="969"/>
      <c r="V26" s="549">
        <f>'Prod Parameters'!$F$24</f>
        <v>176640</v>
      </c>
      <c r="W26" s="363"/>
      <c r="X26" s="363"/>
      <c r="Y26" s="363"/>
      <c r="Z26" s="363"/>
      <c r="AA26"/>
      <c r="AB26"/>
      <c r="AC26"/>
      <c r="AD26"/>
      <c r="AE26"/>
      <c r="AF26"/>
      <c r="AG26"/>
    </row>
    <row r="27" spans="1:33" ht="12.75" customHeight="1">
      <c r="A27" s="121"/>
      <c r="B27" s="121"/>
      <c r="C27" s="121"/>
      <c r="D27" s="121"/>
      <c r="E27" s="121"/>
      <c r="F27" s="121"/>
      <c r="G27" s="121"/>
      <c r="H27" s="121"/>
      <c r="I27" s="121"/>
      <c r="J27" s="121"/>
      <c r="K27" s="121"/>
      <c r="L27" s="121"/>
      <c r="M27" s="121"/>
      <c r="N27" s="121"/>
      <c r="O27" s="121"/>
      <c r="P27" s="121"/>
      <c r="Q27" s="360"/>
      <c r="R27" s="363"/>
      <c r="S27" s="363"/>
      <c r="T27" s="363"/>
      <c r="U27" s="363"/>
      <c r="V27" s="363"/>
      <c r="W27" s="363"/>
      <c r="X27" s="363"/>
      <c r="Y27" s="363"/>
      <c r="Z27" s="363"/>
      <c r="AA27"/>
      <c r="AB27"/>
      <c r="AC27"/>
      <c r="AD27"/>
      <c r="AE27"/>
      <c r="AF27"/>
      <c r="AG27"/>
    </row>
    <row r="28" spans="1:33" ht="12.75" customHeight="1">
      <c r="A28" s="121"/>
      <c r="B28" s="121"/>
      <c r="C28" s="121"/>
      <c r="D28" s="121"/>
      <c r="E28" s="121"/>
      <c r="F28" s="121"/>
      <c r="G28" s="121"/>
      <c r="H28" s="121"/>
      <c r="I28" s="121"/>
      <c r="J28" s="121"/>
      <c r="K28" s="121"/>
      <c r="L28" s="121"/>
      <c r="M28" s="121"/>
      <c r="N28" s="121"/>
      <c r="O28" s="121"/>
      <c r="P28" s="121"/>
      <c r="Q28" s="385" t="s">
        <v>33</v>
      </c>
      <c r="R28" s="1008" t="s">
        <v>821</v>
      </c>
      <c r="S28" s="1008"/>
      <c r="T28" s="1008"/>
      <c r="U28" s="1008"/>
      <c r="V28" s="1008"/>
      <c r="W28" s="1008"/>
      <c r="X28" s="1008"/>
      <c r="Y28" s="1008"/>
      <c r="Z28" s="536"/>
      <c r="AA28"/>
      <c r="AB28"/>
      <c r="AC28"/>
      <c r="AD28"/>
      <c r="AE28"/>
      <c r="AF28"/>
      <c r="AG28"/>
    </row>
    <row r="29" spans="1:33" ht="12.75" customHeight="1">
      <c r="A29" s="121"/>
      <c r="B29" s="121"/>
      <c r="C29" s="121"/>
      <c r="D29" s="121"/>
      <c r="E29" s="121"/>
      <c r="F29" s="121"/>
      <c r="G29" s="121"/>
      <c r="H29" s="121"/>
      <c r="I29" s="121"/>
      <c r="J29" s="121"/>
      <c r="K29" s="121"/>
      <c r="L29" s="121"/>
      <c r="M29" s="121"/>
      <c r="N29" s="121"/>
      <c r="O29" s="121"/>
      <c r="P29" s="121"/>
      <c r="Q29" s="546"/>
      <c r="R29" s="363"/>
      <c r="S29" s="363"/>
      <c r="T29" s="363"/>
      <c r="U29" s="363"/>
      <c r="V29" s="363"/>
      <c r="W29" s="363"/>
      <c r="X29" s="363"/>
      <c r="Y29" s="363"/>
      <c r="Z29" s="363"/>
      <c r="AA29"/>
      <c r="AB29"/>
      <c r="AC29"/>
      <c r="AD29"/>
      <c r="AE29"/>
      <c r="AF29"/>
      <c r="AG29"/>
    </row>
    <row r="30" spans="1:33" ht="12.75" customHeight="1">
      <c r="A30" s="121"/>
      <c r="B30" s="121"/>
      <c r="C30" s="121"/>
      <c r="D30" s="121"/>
      <c r="E30" s="121"/>
      <c r="F30" s="121"/>
      <c r="G30" s="121"/>
      <c r="H30" s="121"/>
      <c r="I30" s="121"/>
      <c r="J30" s="121"/>
      <c r="K30" s="121"/>
      <c r="L30" s="121"/>
      <c r="M30" s="121"/>
      <c r="N30" s="121"/>
      <c r="O30" s="121"/>
      <c r="P30" s="121"/>
      <c r="Q30" s="546">
        <v>2.1</v>
      </c>
      <c r="R30" s="363" t="s">
        <v>831</v>
      </c>
      <c r="S30" s="363"/>
      <c r="T30" s="363"/>
      <c r="U30" s="550"/>
      <c r="V30" s="550"/>
      <c r="W30" s="550"/>
      <c r="X30" s="550"/>
      <c r="Y30" s="551"/>
      <c r="Z30" s="551"/>
      <c r="AA30"/>
      <c r="AB30"/>
      <c r="AC30"/>
      <c r="AD30"/>
      <c r="AE30"/>
      <c r="AF30"/>
      <c r="AG30"/>
    </row>
    <row r="31" spans="1:33" ht="12.75" customHeight="1">
      <c r="A31" s="121"/>
      <c r="B31" s="121"/>
      <c r="C31" s="121"/>
      <c r="D31" s="121"/>
      <c r="E31" s="121"/>
      <c r="F31" s="121"/>
      <c r="G31" s="121"/>
      <c r="H31" s="121"/>
      <c r="I31" s="121"/>
      <c r="J31" s="121"/>
      <c r="K31" s="121"/>
      <c r="L31" s="121"/>
      <c r="M31" s="121"/>
      <c r="N31" s="121"/>
      <c r="O31" s="121"/>
      <c r="P31" s="121"/>
      <c r="Q31" s="546"/>
      <c r="R31" s="998" t="s">
        <v>77</v>
      </c>
      <c r="S31" s="999"/>
      <c r="T31" s="1000"/>
      <c r="U31" s="1019" t="s">
        <v>824</v>
      </c>
      <c r="V31" s="1019" t="s">
        <v>828</v>
      </c>
      <c r="W31" s="1019" t="s">
        <v>826</v>
      </c>
      <c r="X31" s="1019" t="s">
        <v>23</v>
      </c>
      <c r="Y31" s="552"/>
      <c r="Z31" s="552"/>
      <c r="AA31"/>
      <c r="AB31"/>
      <c r="AC31"/>
      <c r="AD31"/>
      <c r="AE31"/>
      <c r="AF31"/>
      <c r="AG31"/>
    </row>
    <row r="32" spans="1:33" ht="12.75" customHeight="1">
      <c r="A32" s="121"/>
      <c r="B32" s="121"/>
      <c r="C32" s="121"/>
      <c r="D32" s="121"/>
      <c r="E32" s="121"/>
      <c r="F32" s="121"/>
      <c r="G32" s="121"/>
      <c r="H32" s="121"/>
      <c r="I32" s="121"/>
      <c r="J32" s="121"/>
      <c r="K32" s="121"/>
      <c r="L32" s="121"/>
      <c r="M32" s="121"/>
      <c r="N32" s="121"/>
      <c r="O32" s="121"/>
      <c r="P32" s="121"/>
      <c r="Q32" s="546"/>
      <c r="R32" s="1001"/>
      <c r="S32" s="1002"/>
      <c r="T32" s="1003"/>
      <c r="U32" s="1019"/>
      <c r="V32" s="1019"/>
      <c r="W32" s="1019"/>
      <c r="X32" s="1019"/>
      <c r="Y32" s="364"/>
      <c r="Z32" s="364"/>
      <c r="AA32"/>
      <c r="AB32"/>
      <c r="AC32"/>
      <c r="AD32"/>
      <c r="AE32"/>
      <c r="AF32"/>
      <c r="AG32"/>
    </row>
    <row r="33" spans="1:33" ht="12.75" customHeight="1">
      <c r="A33" s="121"/>
      <c r="B33" s="121"/>
      <c r="C33" s="121"/>
      <c r="D33" s="121"/>
      <c r="E33" s="121"/>
      <c r="F33" s="121"/>
      <c r="G33" s="121"/>
      <c r="H33" s="121"/>
      <c r="I33" s="121"/>
      <c r="J33" s="121"/>
      <c r="K33" s="121"/>
      <c r="L33" s="121"/>
      <c r="M33" s="121"/>
      <c r="N33" s="121"/>
      <c r="O33" s="121"/>
      <c r="P33" s="121"/>
      <c r="Q33" s="546"/>
      <c r="R33" s="1020" t="s">
        <v>500</v>
      </c>
      <c r="S33" s="1020"/>
      <c r="T33" s="1020"/>
      <c r="U33" s="369">
        <v>23.9</v>
      </c>
      <c r="V33" s="369">
        <f>'Lookup Properties'!$C$7</f>
        <v>15.4</v>
      </c>
      <c r="W33" s="369">
        <f>'Lookup Properties'!$D$7</f>
        <v>4.8</v>
      </c>
      <c r="X33" s="553">
        <f>SUM(U33:W33)</f>
        <v>44.099999999999994</v>
      </c>
      <c r="Y33" s="364"/>
      <c r="Z33" s="364"/>
      <c r="AA33"/>
      <c r="AB33"/>
      <c r="AC33"/>
      <c r="AD33"/>
      <c r="AE33"/>
      <c r="AF33"/>
      <c r="AG33"/>
    </row>
    <row r="34" spans="1:33" ht="12.75" customHeight="1">
      <c r="A34" s="121"/>
      <c r="B34" s="121"/>
      <c r="C34" s="121"/>
      <c r="D34" s="121"/>
      <c r="E34" s="121"/>
      <c r="F34" s="121"/>
      <c r="G34" s="121"/>
      <c r="H34" s="121"/>
      <c r="I34" s="121"/>
      <c r="J34" s="121"/>
      <c r="K34" s="121"/>
      <c r="L34" s="121"/>
      <c r="M34" s="121"/>
      <c r="N34" s="121"/>
      <c r="O34" s="121"/>
      <c r="P34" s="121"/>
      <c r="Q34" s="546"/>
      <c r="R34" s="1017" t="s">
        <v>22</v>
      </c>
      <c r="S34" s="1017"/>
      <c r="T34" s="1017"/>
      <c r="U34" s="369">
        <f>'Lookup Properties'!$B$5</f>
        <v>22.35</v>
      </c>
      <c r="V34" s="369">
        <f>'Lookup Properties'!$C$5</f>
        <v>17.399999999999999</v>
      </c>
      <c r="W34" s="369">
        <f>'Lookup Properties'!$D$5</f>
        <v>5</v>
      </c>
      <c r="X34" s="553">
        <f>SUM(U34:W34)</f>
        <v>44.75</v>
      </c>
      <c r="Y34" s="364"/>
      <c r="Z34" s="364"/>
      <c r="AA34"/>
      <c r="AB34"/>
      <c r="AC34"/>
      <c r="AD34"/>
      <c r="AE34"/>
      <c r="AF34"/>
      <c r="AG34"/>
    </row>
    <row r="35" spans="1:33" ht="12.75" customHeight="1">
      <c r="A35" s="121"/>
      <c r="B35" s="121"/>
      <c r="C35" s="121"/>
      <c r="D35" s="121"/>
      <c r="E35" s="121"/>
      <c r="F35" s="121"/>
      <c r="G35" s="121"/>
      <c r="H35" s="121"/>
      <c r="I35" s="121"/>
      <c r="J35" s="121"/>
      <c r="K35" s="121"/>
      <c r="L35" s="121"/>
      <c r="M35" s="121"/>
      <c r="N35" s="121"/>
      <c r="O35" s="121"/>
      <c r="P35" s="121"/>
      <c r="Q35" s="546"/>
      <c r="R35" s="1018" t="s">
        <v>579</v>
      </c>
      <c r="S35" s="1018"/>
      <c r="T35" s="1018"/>
      <c r="U35" s="369">
        <f>'Lookup Properties'!$B$6</f>
        <v>22.15</v>
      </c>
      <c r="V35" s="369">
        <f>'Lookup Properties'!$C$6</f>
        <v>18.149999999999999</v>
      </c>
      <c r="W35" s="369">
        <f>'Lookup Properties'!$D$6</f>
        <v>5</v>
      </c>
      <c r="X35" s="553">
        <f>SUM(U35:W35)</f>
        <v>45.3</v>
      </c>
      <c r="Y35" s="364"/>
      <c r="Z35" s="364"/>
      <c r="AA35"/>
      <c r="AB35"/>
      <c r="AC35"/>
      <c r="AD35"/>
      <c r="AE35"/>
      <c r="AF35"/>
      <c r="AG35"/>
    </row>
    <row r="36" spans="1:33" ht="12.75" customHeight="1">
      <c r="A36" s="121"/>
      <c r="B36" s="121"/>
      <c r="C36" s="121"/>
      <c r="D36" s="121"/>
      <c r="E36" s="121"/>
      <c r="F36" s="121"/>
      <c r="G36" s="121"/>
      <c r="H36" s="121"/>
      <c r="I36" s="121"/>
      <c r="J36" s="121"/>
      <c r="K36" s="121"/>
      <c r="L36" s="121"/>
      <c r="M36" s="121"/>
      <c r="N36" s="121"/>
      <c r="O36" s="121"/>
      <c r="P36" s="121"/>
      <c r="Q36" s="546"/>
      <c r="R36" s="1016" t="s">
        <v>21</v>
      </c>
      <c r="S36" s="1016"/>
      <c r="T36" s="1016"/>
      <c r="U36" s="369">
        <f>'Lookup Properties'!$B$4</f>
        <v>21.25</v>
      </c>
      <c r="V36" s="369">
        <f>'Lookup Properties'!$C$4</f>
        <v>17.399999999999999</v>
      </c>
      <c r="W36" s="369">
        <f>'Lookup Properties'!$D$4</f>
        <v>5</v>
      </c>
      <c r="X36" s="553">
        <f>SUM(U36:W36)</f>
        <v>43.65</v>
      </c>
      <c r="Y36" s="364"/>
      <c r="Z36" s="364"/>
      <c r="AA36"/>
      <c r="AB36"/>
      <c r="AC36"/>
      <c r="AD36"/>
      <c r="AE36"/>
      <c r="AF36"/>
      <c r="AG36"/>
    </row>
    <row r="37" spans="1:33" ht="12.75" customHeight="1">
      <c r="A37" s="121"/>
      <c r="B37" s="121"/>
      <c r="C37" s="121"/>
      <c r="D37" s="121"/>
      <c r="E37" s="121"/>
      <c r="F37" s="121"/>
      <c r="G37" s="121"/>
      <c r="H37" s="121"/>
      <c r="I37" s="121"/>
      <c r="J37" s="121"/>
      <c r="K37" s="121"/>
      <c r="L37" s="121"/>
      <c r="M37" s="121"/>
      <c r="N37" s="121"/>
      <c r="O37" s="121"/>
      <c r="P37" s="121"/>
      <c r="Q37" s="364"/>
      <c r="R37" s="364"/>
      <c r="S37" s="364"/>
      <c r="T37" s="364"/>
      <c r="U37" s="555"/>
      <c r="V37" s="555"/>
      <c r="W37" s="555"/>
      <c r="X37" s="555"/>
      <c r="Y37" s="555"/>
      <c r="Z37" s="364"/>
      <c r="AA37"/>
      <c r="AB37"/>
      <c r="AC37"/>
      <c r="AD37"/>
      <c r="AE37"/>
      <c r="AF37"/>
      <c r="AG37"/>
    </row>
    <row r="38" spans="1:33" ht="12.75" customHeight="1">
      <c r="A38" s="121"/>
      <c r="B38" s="121"/>
      <c r="C38" s="121"/>
      <c r="D38" s="121"/>
      <c r="E38" s="121"/>
      <c r="F38" s="121"/>
      <c r="G38" s="121"/>
      <c r="H38" s="121"/>
      <c r="I38" s="121"/>
      <c r="J38" s="121"/>
      <c r="K38" s="121"/>
      <c r="L38" s="121"/>
      <c r="M38" s="121"/>
      <c r="N38" s="121"/>
      <c r="O38" s="121"/>
      <c r="P38" s="121"/>
      <c r="Q38" s="360">
        <v>2.2000000000000002</v>
      </c>
      <c r="R38" s="363" t="s">
        <v>832</v>
      </c>
      <c r="S38" s="363"/>
      <c r="T38" s="363"/>
      <c r="U38" s="363"/>
      <c r="V38" s="363"/>
      <c r="W38" s="363"/>
      <c r="X38" s="363"/>
      <c r="Y38" s="363"/>
      <c r="Z38" s="364"/>
      <c r="AA38"/>
      <c r="AB38"/>
      <c r="AC38"/>
      <c r="AD38"/>
      <c r="AE38"/>
      <c r="AF38"/>
      <c r="AG38"/>
    </row>
    <row r="39" spans="1:33" ht="12.75" customHeight="1">
      <c r="A39" s="121"/>
      <c r="B39" s="121"/>
      <c r="C39" s="121"/>
      <c r="D39" s="121"/>
      <c r="E39" s="121"/>
      <c r="F39" s="121"/>
      <c r="G39" s="121"/>
      <c r="H39" s="121"/>
      <c r="I39" s="121"/>
      <c r="J39" s="121"/>
      <c r="K39" s="121"/>
      <c r="L39" s="121"/>
      <c r="M39" s="121"/>
      <c r="N39" s="121"/>
      <c r="O39" s="121"/>
      <c r="P39" s="121"/>
      <c r="Q39" s="360"/>
      <c r="R39" s="998" t="s">
        <v>77</v>
      </c>
      <c r="S39" s="999"/>
      <c r="T39" s="1000"/>
      <c r="U39" s="1019" t="s">
        <v>824</v>
      </c>
      <c r="V39" s="1019" t="s">
        <v>828</v>
      </c>
      <c r="W39" s="1019" t="s">
        <v>826</v>
      </c>
      <c r="X39" s="1019" t="s">
        <v>23</v>
      </c>
      <c r="Y39" s="364"/>
      <c r="Z39" s="364"/>
      <c r="AA39"/>
      <c r="AB39"/>
      <c r="AC39"/>
      <c r="AD39"/>
      <c r="AE39"/>
      <c r="AF39"/>
      <c r="AG39"/>
    </row>
    <row r="40" spans="1:33" ht="12.75" customHeight="1">
      <c r="A40" s="121"/>
      <c r="B40" s="121"/>
      <c r="C40" s="121"/>
      <c r="D40" s="121"/>
      <c r="E40" s="121"/>
      <c r="F40" s="121"/>
      <c r="G40" s="121"/>
      <c r="H40" s="121"/>
      <c r="I40" s="121"/>
      <c r="J40" s="121"/>
      <c r="K40" s="121"/>
      <c r="L40" s="121"/>
      <c r="M40" s="121"/>
      <c r="N40" s="121"/>
      <c r="O40" s="121"/>
      <c r="P40" s="121"/>
      <c r="Q40" s="360"/>
      <c r="R40" s="1001"/>
      <c r="S40" s="1002"/>
      <c r="T40" s="1003"/>
      <c r="U40" s="1019"/>
      <c r="V40" s="1019"/>
      <c r="W40" s="1019"/>
      <c r="X40" s="1019"/>
      <c r="Y40" s="364"/>
      <c r="Z40" s="364"/>
      <c r="AA40"/>
      <c r="AB40"/>
      <c r="AC40"/>
      <c r="AD40"/>
      <c r="AE40"/>
      <c r="AF40"/>
      <c r="AG40"/>
    </row>
    <row r="41" spans="1:33" ht="12.75" customHeight="1">
      <c r="A41" s="121"/>
      <c r="B41" s="121"/>
      <c r="C41" s="121"/>
      <c r="D41" s="121"/>
      <c r="E41" s="121"/>
      <c r="F41" s="121"/>
      <c r="G41" s="121"/>
      <c r="H41" s="121"/>
      <c r="I41" s="121"/>
      <c r="J41" s="121"/>
      <c r="K41" s="121"/>
      <c r="L41" s="121"/>
      <c r="M41" s="121"/>
      <c r="N41" s="121"/>
      <c r="O41" s="121"/>
      <c r="P41" s="121"/>
      <c r="Q41" s="360"/>
      <c r="R41" s="1020" t="s">
        <v>500</v>
      </c>
      <c r="S41" s="1020"/>
      <c r="T41" s="1020"/>
      <c r="U41" s="556">
        <f>'Lookup Properties'!$B$13</f>
        <v>0.74</v>
      </c>
      <c r="V41" s="556">
        <f>'Lookup Properties'!$C$13</f>
        <v>0.78</v>
      </c>
      <c r="W41" s="556">
        <f>'Lookup Properties'!$D$13</f>
        <v>1.26</v>
      </c>
      <c r="X41" s="553">
        <f>SUM(U41:W41)</f>
        <v>2.7800000000000002</v>
      </c>
      <c r="Y41" s="364"/>
      <c r="Z41" s="364"/>
      <c r="AA41"/>
      <c r="AB41"/>
      <c r="AC41"/>
      <c r="AD41"/>
      <c r="AE41"/>
      <c r="AF41"/>
      <c r="AG41"/>
    </row>
    <row r="42" spans="1:33" ht="12.75" customHeight="1">
      <c r="A42" s="121"/>
      <c r="B42" s="121"/>
      <c r="C42" s="121"/>
      <c r="D42" s="121"/>
      <c r="E42" s="121"/>
      <c r="F42" s="121"/>
      <c r="G42" s="121"/>
      <c r="H42" s="121"/>
      <c r="I42" s="121"/>
      <c r="J42" s="121"/>
      <c r="K42" s="121"/>
      <c r="L42" s="121"/>
      <c r="M42" s="121"/>
      <c r="N42" s="121"/>
      <c r="O42" s="121"/>
      <c r="P42" s="121"/>
      <c r="Q42" s="360"/>
      <c r="R42" s="1017" t="s">
        <v>22</v>
      </c>
      <c r="S42" s="1017"/>
      <c r="T42" s="1017"/>
      <c r="U42" s="557">
        <f>'Lookup Properties'!$B$11</f>
        <v>0.71499999999999997</v>
      </c>
      <c r="V42" s="557">
        <f>'Lookup Properties'!$C$11</f>
        <v>1.03</v>
      </c>
      <c r="W42" s="557">
        <f>'Lookup Properties'!$D$11</f>
        <v>1.29</v>
      </c>
      <c r="X42" s="553">
        <f>SUM(U42:W42)</f>
        <v>3.0350000000000001</v>
      </c>
      <c r="Y42" s="364"/>
      <c r="Z42" s="364"/>
      <c r="AA42"/>
      <c r="AB42"/>
      <c r="AC42"/>
      <c r="AD42"/>
      <c r="AE42"/>
      <c r="AF42"/>
      <c r="AG42"/>
    </row>
    <row r="43" spans="1:33" ht="12.75" customHeight="1">
      <c r="A43" s="121"/>
      <c r="B43" s="121"/>
      <c r="C43" s="121"/>
      <c r="D43" s="121"/>
      <c r="E43" s="121"/>
      <c r="F43" s="121"/>
      <c r="G43" s="121"/>
      <c r="H43" s="121"/>
      <c r="I43" s="121"/>
      <c r="J43" s="121"/>
      <c r="K43" s="121"/>
      <c r="L43" s="121"/>
      <c r="M43" s="121"/>
      <c r="N43" s="121"/>
      <c r="O43" s="121"/>
      <c r="P43" s="121"/>
      <c r="Q43" s="360"/>
      <c r="R43" s="1018" t="s">
        <v>579</v>
      </c>
      <c r="S43" s="1018"/>
      <c r="T43" s="1018"/>
      <c r="U43" s="557">
        <f>'Lookup Properties'!$B$12</f>
        <v>0.755</v>
      </c>
      <c r="V43" s="557">
        <f>'Lookup Properties'!$C$12</f>
        <v>1.07</v>
      </c>
      <c r="W43" s="557">
        <f>'Lookup Properties'!$D$12</f>
        <v>1.2949999999999999</v>
      </c>
      <c r="X43" s="553">
        <f>SUM(U43:W43)</f>
        <v>3.12</v>
      </c>
      <c r="Y43" s="364"/>
      <c r="Z43" s="364"/>
      <c r="AA43"/>
      <c r="AB43"/>
      <c r="AC43"/>
      <c r="AD43"/>
      <c r="AE43"/>
      <c r="AF43"/>
      <c r="AG43"/>
    </row>
    <row r="44" spans="1:33" ht="12.75" customHeight="1">
      <c r="A44" s="121"/>
      <c r="B44" s="121"/>
      <c r="C44" s="121"/>
      <c r="D44" s="121"/>
      <c r="E44" s="121"/>
      <c r="F44" s="121"/>
      <c r="G44" s="121"/>
      <c r="H44" s="121"/>
      <c r="I44" s="121"/>
      <c r="J44" s="121"/>
      <c r="K44" s="121"/>
      <c r="L44" s="121"/>
      <c r="M44" s="121"/>
      <c r="N44" s="121"/>
      <c r="O44" s="121"/>
      <c r="P44" s="121"/>
      <c r="Q44" s="360"/>
      <c r="R44" s="1016" t="s">
        <v>21</v>
      </c>
      <c r="S44" s="1016"/>
      <c r="T44" s="1016"/>
      <c r="U44" s="557">
        <f>'Lookup Properties'!$B$10</f>
        <v>0.71</v>
      </c>
      <c r="V44" s="557">
        <f>'Lookup Properties'!$C$10</f>
        <v>1.03</v>
      </c>
      <c r="W44" s="557">
        <f>'Lookup Properties'!$D$10</f>
        <v>1.29</v>
      </c>
      <c r="X44" s="553">
        <f>SUM(U44:W44)</f>
        <v>3.0300000000000002</v>
      </c>
      <c r="Y44" s="364"/>
      <c r="Z44" s="364"/>
      <c r="AA44"/>
      <c r="AB44"/>
      <c r="AC44"/>
      <c r="AD44"/>
      <c r="AE44"/>
      <c r="AF44"/>
      <c r="AG44"/>
    </row>
    <row r="45" spans="1:33" ht="12.75" customHeight="1">
      <c r="A45" s="121"/>
      <c r="B45" s="121"/>
      <c r="C45" s="121"/>
      <c r="D45" s="121"/>
      <c r="E45" s="121"/>
      <c r="F45" s="121"/>
      <c r="G45" s="121"/>
      <c r="H45" s="121"/>
      <c r="I45" s="121"/>
      <c r="J45" s="121"/>
      <c r="K45" s="121"/>
      <c r="L45" s="121"/>
      <c r="M45" s="121"/>
      <c r="N45" s="121"/>
      <c r="O45" s="121"/>
      <c r="P45" s="121"/>
      <c r="Q45" s="364"/>
      <c r="R45" s="364"/>
      <c r="S45" s="364"/>
      <c r="T45" s="364"/>
      <c r="U45" s="555"/>
      <c r="V45" s="555"/>
      <c r="W45" s="555"/>
      <c r="X45" s="555"/>
      <c r="Y45" s="555"/>
      <c r="Z45" s="364"/>
      <c r="AA45"/>
      <c r="AB45"/>
      <c r="AC45"/>
      <c r="AD45"/>
      <c r="AE45"/>
      <c r="AF45"/>
      <c r="AG45"/>
    </row>
    <row r="46" spans="1:33" ht="12.75" customHeight="1">
      <c r="A46" s="121"/>
      <c r="B46" s="121"/>
      <c r="C46" s="121"/>
      <c r="D46" s="121"/>
      <c r="E46" s="121"/>
      <c r="F46" s="121"/>
      <c r="G46" s="121"/>
      <c r="H46" s="121"/>
      <c r="I46" s="121"/>
      <c r="J46" s="121"/>
      <c r="K46" s="121"/>
      <c r="L46" s="121"/>
      <c r="M46" s="121"/>
      <c r="N46" s="121"/>
      <c r="O46" s="121"/>
      <c r="P46" s="121"/>
      <c r="Q46" s="387" t="s">
        <v>817</v>
      </c>
      <c r="R46" s="1015" t="s">
        <v>206</v>
      </c>
      <c r="S46" s="1015"/>
      <c r="T46" s="1015"/>
      <c r="U46" s="1015"/>
      <c r="V46" s="1015"/>
      <c r="W46" s="1015"/>
      <c r="X46" s="1015"/>
      <c r="Y46" s="1015"/>
      <c r="Z46" s="536"/>
      <c r="AA46"/>
      <c r="AB46"/>
      <c r="AC46"/>
      <c r="AD46"/>
      <c r="AE46"/>
      <c r="AF46"/>
      <c r="AG46"/>
    </row>
    <row r="47" spans="1:33" ht="12.75" customHeight="1">
      <c r="A47" s="121"/>
      <c r="B47" s="121"/>
      <c r="C47" s="121"/>
      <c r="D47" s="121"/>
      <c r="E47" s="121"/>
      <c r="F47" s="121"/>
      <c r="G47" s="121"/>
      <c r="H47" s="121"/>
      <c r="I47" s="121"/>
      <c r="J47" s="121"/>
      <c r="K47" s="121"/>
      <c r="L47" s="121"/>
      <c r="M47" s="121"/>
      <c r="N47" s="121"/>
      <c r="O47" s="121"/>
      <c r="P47" s="121"/>
      <c r="Q47" s="668"/>
      <c r="R47" s="364"/>
      <c r="S47" s="364"/>
      <c r="T47" s="364"/>
      <c r="U47" s="555"/>
      <c r="V47" s="555"/>
      <c r="W47" s="555"/>
      <c r="X47" s="555"/>
      <c r="Y47" s="555"/>
      <c r="Z47" s="364"/>
      <c r="AA47"/>
      <c r="AB47"/>
      <c r="AC47"/>
      <c r="AD47"/>
      <c r="AE47"/>
      <c r="AF47"/>
      <c r="AG47"/>
    </row>
    <row r="48" spans="1:33" ht="12.75" customHeight="1">
      <c r="A48" s="121"/>
      <c r="B48" s="121"/>
      <c r="C48" s="121"/>
      <c r="D48" s="121"/>
      <c r="E48" s="121"/>
      <c r="F48" s="121"/>
      <c r="G48" s="121"/>
      <c r="H48" s="121"/>
      <c r="I48" s="121"/>
      <c r="J48" s="121"/>
      <c r="K48" s="121"/>
      <c r="L48" s="121"/>
      <c r="M48" s="121"/>
      <c r="N48" s="121"/>
      <c r="O48" s="121"/>
      <c r="P48" s="121"/>
      <c r="Q48" s="668" t="s">
        <v>196</v>
      </c>
      <c r="R48" s="364" t="s">
        <v>207</v>
      </c>
      <c r="S48" s="364"/>
      <c r="T48" s="364"/>
      <c r="U48" s="555"/>
      <c r="V48" s="555"/>
      <c r="W48" s="555"/>
      <c r="X48" s="555"/>
      <c r="Y48" s="555"/>
      <c r="Z48" s="364"/>
      <c r="AA48"/>
      <c r="AB48"/>
      <c r="AC48"/>
      <c r="AD48"/>
      <c r="AE48"/>
      <c r="AF48"/>
      <c r="AG48"/>
    </row>
    <row r="49" spans="1:33" ht="12.75" customHeight="1">
      <c r="A49" s="121"/>
      <c r="B49" s="121"/>
      <c r="C49" s="121"/>
      <c r="D49" s="121"/>
      <c r="E49" s="121"/>
      <c r="F49" s="121"/>
      <c r="G49" s="121"/>
      <c r="H49" s="121"/>
      <c r="I49" s="121"/>
      <c r="J49" s="121"/>
      <c r="K49" s="121"/>
      <c r="L49" s="121"/>
      <c r="M49" s="121"/>
      <c r="N49" s="121"/>
      <c r="O49" s="121"/>
      <c r="P49" s="121"/>
      <c r="Q49" s="364"/>
      <c r="R49" s="962" t="s">
        <v>678</v>
      </c>
      <c r="S49" s="963"/>
      <c r="T49" s="964"/>
      <c r="U49" s="949" t="s">
        <v>500</v>
      </c>
      <c r="V49" s="938" t="s">
        <v>22</v>
      </c>
      <c r="W49" s="940" t="s">
        <v>579</v>
      </c>
      <c r="X49" s="942" t="s">
        <v>21</v>
      </c>
      <c r="Y49" s="361"/>
      <c r="Z49" s="364"/>
      <c r="AA49"/>
      <c r="AB49"/>
      <c r="AC49"/>
      <c r="AD49"/>
      <c r="AE49"/>
      <c r="AF49"/>
      <c r="AG49"/>
    </row>
    <row r="50" spans="1:33" ht="12.75" customHeight="1">
      <c r="A50" s="121"/>
      <c r="B50" s="121"/>
      <c r="C50" s="121"/>
      <c r="D50" s="121"/>
      <c r="E50" s="121"/>
      <c r="F50" s="121"/>
      <c r="G50" s="121"/>
      <c r="H50" s="121"/>
      <c r="I50" s="121"/>
      <c r="J50" s="121"/>
      <c r="K50" s="121"/>
      <c r="L50" s="121"/>
      <c r="M50" s="121"/>
      <c r="N50" s="121"/>
      <c r="O50" s="121"/>
      <c r="P50" s="121"/>
      <c r="Q50" s="364"/>
      <c r="R50" s="965"/>
      <c r="S50" s="966"/>
      <c r="T50" s="967"/>
      <c r="U50" s="950"/>
      <c r="V50" s="939"/>
      <c r="W50" s="941"/>
      <c r="X50" s="943"/>
      <c r="Y50" s="361"/>
      <c r="Z50" s="364"/>
      <c r="AA50"/>
      <c r="AB50"/>
      <c r="AC50"/>
      <c r="AD50"/>
      <c r="AE50"/>
      <c r="AF50"/>
      <c r="AG50"/>
    </row>
    <row r="51" spans="1:33" ht="12.75" customHeight="1">
      <c r="A51" s="121"/>
      <c r="B51" s="121"/>
      <c r="C51" s="121"/>
      <c r="D51" s="121"/>
      <c r="E51" s="121"/>
      <c r="F51" s="121"/>
      <c r="G51" s="121"/>
      <c r="H51" s="121"/>
      <c r="I51" s="121"/>
      <c r="J51" s="121"/>
      <c r="K51" s="121"/>
      <c r="L51" s="121"/>
      <c r="M51" s="121"/>
      <c r="N51" s="121"/>
      <c r="O51" s="121"/>
      <c r="P51" s="121"/>
      <c r="Q51" s="364"/>
      <c r="R51" s="969" t="s">
        <v>210</v>
      </c>
      <c r="S51" s="969"/>
      <c r="T51" s="969"/>
      <c r="U51" s="560">
        <v>0.3</v>
      </c>
      <c r="V51" s="537">
        <f>VLOOKUP($V$5,'Lookup Penetration Rate'!$B$8:$E$208,3)</f>
        <v>0.4</v>
      </c>
      <c r="W51" s="537">
        <f>VLOOKUP($V$5,'Lookup Penetration Rate'!$B$8:$E$208,4)</f>
        <v>0.46</v>
      </c>
      <c r="X51" s="537">
        <f>VLOOKUP($V$5,'Lookup Penetration Rate'!$B$8:$E$208,2)</f>
        <v>0.56000000000000005</v>
      </c>
      <c r="Y51" s="361"/>
      <c r="Z51" s="364"/>
      <c r="AA51"/>
      <c r="AB51"/>
      <c r="AC51"/>
      <c r="AD51"/>
      <c r="AE51"/>
      <c r="AF51"/>
      <c r="AG51"/>
    </row>
    <row r="52" spans="1:33" ht="12.75" customHeight="1">
      <c r="A52" s="121"/>
      <c r="B52" s="121"/>
      <c r="C52" s="121"/>
      <c r="D52" s="121"/>
      <c r="E52" s="121"/>
      <c r="F52" s="121"/>
      <c r="G52" s="121"/>
      <c r="H52" s="121"/>
      <c r="I52" s="121"/>
      <c r="J52" s="121"/>
      <c r="K52" s="121"/>
      <c r="L52" s="121"/>
      <c r="M52" s="121"/>
      <c r="N52" s="121"/>
      <c r="O52" s="121"/>
      <c r="P52" s="121"/>
      <c r="Q52" s="364"/>
      <c r="R52" s="364"/>
      <c r="S52" s="364"/>
      <c r="T52" s="364"/>
      <c r="U52" s="555"/>
      <c r="V52" s="555"/>
      <c r="W52" s="555"/>
      <c r="X52" s="555"/>
      <c r="Y52" s="555"/>
      <c r="Z52" s="364"/>
      <c r="AA52"/>
      <c r="AB52"/>
      <c r="AC52"/>
      <c r="AD52"/>
      <c r="AE52"/>
      <c r="AF52"/>
      <c r="AG52"/>
    </row>
    <row r="53" spans="1:33" ht="12.75" customHeight="1">
      <c r="A53" s="121"/>
      <c r="B53" s="121"/>
      <c r="C53" s="121"/>
      <c r="D53" s="121"/>
      <c r="E53" s="121"/>
      <c r="F53" s="121"/>
      <c r="G53" s="121"/>
      <c r="H53" s="121"/>
      <c r="I53" s="121"/>
      <c r="J53" s="121"/>
      <c r="K53" s="121"/>
      <c r="L53" s="121"/>
      <c r="M53" s="121"/>
      <c r="N53" s="121"/>
      <c r="O53" s="121"/>
      <c r="P53" s="121"/>
      <c r="Q53" s="668" t="s">
        <v>197</v>
      </c>
      <c r="R53" s="364" t="s">
        <v>208</v>
      </c>
      <c r="S53" s="364"/>
      <c r="T53" s="364"/>
      <c r="U53" s="555"/>
      <c r="V53" s="555"/>
      <c r="W53" s="555"/>
      <c r="X53" s="555"/>
      <c r="Y53" s="555"/>
      <c r="Z53" s="364"/>
      <c r="AA53"/>
      <c r="AB53"/>
      <c r="AC53"/>
      <c r="AD53"/>
      <c r="AE53"/>
      <c r="AF53"/>
      <c r="AG53"/>
    </row>
    <row r="54" spans="1:33" ht="12.75" customHeight="1">
      <c r="A54" s="121"/>
      <c r="B54" s="121"/>
      <c r="C54" s="121"/>
      <c r="D54" s="121"/>
      <c r="E54" s="121"/>
      <c r="F54" s="121"/>
      <c r="G54" s="121"/>
      <c r="H54" s="121"/>
      <c r="I54" s="121"/>
      <c r="J54" s="121"/>
      <c r="K54" s="121"/>
      <c r="L54" s="121"/>
      <c r="M54" s="121"/>
      <c r="N54" s="121"/>
      <c r="O54" s="121"/>
      <c r="P54" s="121"/>
      <c r="Q54" s="668"/>
      <c r="R54" s="962" t="s">
        <v>678</v>
      </c>
      <c r="S54" s="963"/>
      <c r="T54" s="964"/>
      <c r="U54" s="949" t="s">
        <v>500</v>
      </c>
      <c r="V54" s="938" t="s">
        <v>22</v>
      </c>
      <c r="W54" s="940" t="s">
        <v>579</v>
      </c>
      <c r="X54" s="942" t="s">
        <v>21</v>
      </c>
      <c r="Y54" s="361"/>
      <c r="Z54" s="364"/>
      <c r="AA54"/>
      <c r="AB54"/>
      <c r="AC54"/>
      <c r="AD54"/>
      <c r="AE54"/>
      <c r="AF54"/>
      <c r="AG54"/>
    </row>
    <row r="55" spans="1:33" ht="12.75" customHeight="1">
      <c r="A55" s="121"/>
      <c r="B55" s="121"/>
      <c r="C55" s="121"/>
      <c r="D55" s="121"/>
      <c r="E55" s="121"/>
      <c r="F55" s="121"/>
      <c r="G55" s="121"/>
      <c r="H55" s="121"/>
      <c r="I55" s="121"/>
      <c r="J55" s="121"/>
      <c r="K55" s="121"/>
      <c r="L55" s="121"/>
      <c r="M55" s="121"/>
      <c r="N55" s="121"/>
      <c r="O55" s="121"/>
      <c r="P55" s="121"/>
      <c r="Q55" s="668"/>
      <c r="R55" s="965"/>
      <c r="S55" s="966"/>
      <c r="T55" s="967"/>
      <c r="U55" s="950"/>
      <c r="V55" s="939"/>
      <c r="W55" s="941"/>
      <c r="X55" s="943"/>
      <c r="Y55" s="361"/>
      <c r="Z55" s="364"/>
      <c r="AA55"/>
      <c r="AB55"/>
      <c r="AC55"/>
      <c r="AD55"/>
      <c r="AE55"/>
      <c r="AF55"/>
      <c r="AG55"/>
    </row>
    <row r="56" spans="1:33" ht="12.75" customHeight="1">
      <c r="A56" s="121"/>
      <c r="B56" s="121"/>
      <c r="C56" s="121"/>
      <c r="D56" s="121"/>
      <c r="E56" s="121"/>
      <c r="F56" s="121"/>
      <c r="G56" s="121"/>
      <c r="H56" s="121"/>
      <c r="I56" s="121"/>
      <c r="J56" s="121"/>
      <c r="K56" s="121"/>
      <c r="L56" s="121"/>
      <c r="M56" s="121"/>
      <c r="N56" s="121"/>
      <c r="O56" s="121"/>
      <c r="P56" s="121"/>
      <c r="Q56" s="668"/>
      <c r="R56" s="969" t="s">
        <v>209</v>
      </c>
      <c r="S56" s="969"/>
      <c r="T56" s="969"/>
      <c r="U56" s="560">
        <f>$V$20/U51</f>
        <v>4</v>
      </c>
      <c r="V56" s="669">
        <f>$V$20/V51</f>
        <v>2.9999999999999996</v>
      </c>
      <c r="W56" s="669">
        <f>$V$20/W51</f>
        <v>2.6086956521739126</v>
      </c>
      <c r="X56" s="669">
        <f>$V$20/X51</f>
        <v>2.1428571428571428</v>
      </c>
      <c r="Y56" s="361"/>
      <c r="Z56" s="364"/>
      <c r="AA56"/>
      <c r="AB56"/>
      <c r="AC56"/>
      <c r="AD56"/>
      <c r="AE56"/>
      <c r="AF56"/>
      <c r="AG56"/>
    </row>
    <row r="57" spans="1:33" ht="12.75" customHeight="1">
      <c r="A57" s="121"/>
      <c r="B57" s="121"/>
      <c r="C57" s="121"/>
      <c r="D57" s="121"/>
      <c r="E57" s="121"/>
      <c r="F57" s="121"/>
      <c r="G57" s="121"/>
      <c r="H57" s="121"/>
      <c r="I57" s="121"/>
      <c r="J57" s="121"/>
      <c r="K57" s="121"/>
      <c r="L57" s="121"/>
      <c r="M57" s="121"/>
      <c r="N57" s="121"/>
      <c r="O57" s="121"/>
      <c r="P57" s="121"/>
      <c r="Q57" s="364"/>
      <c r="R57" s="364"/>
      <c r="S57" s="364"/>
      <c r="T57" s="364"/>
      <c r="U57" s="555"/>
      <c r="V57" s="555"/>
      <c r="W57" s="555"/>
      <c r="X57" s="555"/>
      <c r="Y57" s="555"/>
      <c r="Z57" s="364"/>
      <c r="AA57"/>
      <c r="AB57"/>
      <c r="AC57"/>
      <c r="AD57"/>
      <c r="AE57"/>
      <c r="AF57"/>
      <c r="AG57"/>
    </row>
    <row r="58" spans="1:33" ht="12.75" customHeight="1">
      <c r="A58" s="121"/>
      <c r="B58" s="121"/>
      <c r="C58" s="121"/>
      <c r="D58" s="121"/>
      <c r="E58" s="121"/>
      <c r="F58" s="121"/>
      <c r="G58" s="121"/>
      <c r="H58" s="121"/>
      <c r="I58" s="121"/>
      <c r="J58" s="121"/>
      <c r="K58" s="121"/>
      <c r="L58" s="121"/>
      <c r="M58" s="121"/>
      <c r="N58" s="121"/>
      <c r="O58" s="121"/>
      <c r="P58" s="121"/>
      <c r="Q58" s="563">
        <v>3.3</v>
      </c>
      <c r="R58" s="363" t="s">
        <v>211</v>
      </c>
      <c r="S58" s="363"/>
      <c r="T58" s="363"/>
      <c r="U58" s="363"/>
      <c r="V58" s="363"/>
      <c r="W58" s="363"/>
      <c r="X58" s="363"/>
      <c r="Y58" s="363"/>
      <c r="Z58" s="364"/>
      <c r="AA58"/>
      <c r="AB58"/>
      <c r="AC58"/>
      <c r="AD58"/>
      <c r="AE58"/>
      <c r="AF58"/>
      <c r="AG58"/>
    </row>
    <row r="59" spans="1:33" ht="12.75" customHeight="1">
      <c r="A59" s="121"/>
      <c r="B59" s="121"/>
      <c r="C59" s="121"/>
      <c r="D59" s="121"/>
      <c r="E59" s="121"/>
      <c r="F59" s="121"/>
      <c r="G59" s="121"/>
      <c r="H59" s="121"/>
      <c r="I59" s="121"/>
      <c r="J59" s="121"/>
      <c r="K59" s="121"/>
      <c r="L59" s="121"/>
      <c r="M59" s="121"/>
      <c r="N59" s="121"/>
      <c r="O59" s="121"/>
      <c r="P59" s="121"/>
      <c r="Q59" s="563"/>
      <c r="R59" s="962" t="s">
        <v>678</v>
      </c>
      <c r="S59" s="963"/>
      <c r="T59" s="964"/>
      <c r="U59" s="949" t="s">
        <v>500</v>
      </c>
      <c r="V59" s="938" t="s">
        <v>22</v>
      </c>
      <c r="W59" s="940" t="s">
        <v>579</v>
      </c>
      <c r="X59" s="942" t="s">
        <v>21</v>
      </c>
      <c r="Y59" s="361"/>
      <c r="Z59" s="364"/>
      <c r="AA59"/>
      <c r="AB59"/>
      <c r="AC59"/>
      <c r="AD59"/>
      <c r="AE59"/>
      <c r="AF59"/>
      <c r="AG59"/>
    </row>
    <row r="60" spans="1:33" ht="12.75" customHeight="1">
      <c r="A60" s="121"/>
      <c r="B60" s="121"/>
      <c r="C60" s="121"/>
      <c r="D60" s="121"/>
      <c r="E60" s="121"/>
      <c r="F60" s="121"/>
      <c r="G60" s="121"/>
      <c r="H60" s="121"/>
      <c r="I60" s="121"/>
      <c r="J60" s="121"/>
      <c r="K60" s="121"/>
      <c r="L60" s="121"/>
      <c r="M60" s="121"/>
      <c r="N60" s="121"/>
      <c r="O60" s="121"/>
      <c r="P60" s="121"/>
      <c r="Q60" s="563"/>
      <c r="R60" s="965"/>
      <c r="S60" s="966"/>
      <c r="T60" s="967"/>
      <c r="U60" s="950"/>
      <c r="V60" s="939"/>
      <c r="W60" s="941"/>
      <c r="X60" s="943"/>
      <c r="Y60" s="361"/>
      <c r="Z60" s="364"/>
      <c r="AA60"/>
      <c r="AB60"/>
      <c r="AC60"/>
      <c r="AD60"/>
      <c r="AE60"/>
      <c r="AF60"/>
      <c r="AG60"/>
    </row>
    <row r="61" spans="1:33" ht="12.75" customHeight="1">
      <c r="A61" s="121"/>
      <c r="B61" s="121"/>
      <c r="C61" s="121"/>
      <c r="D61" s="121"/>
      <c r="E61" s="121"/>
      <c r="F61" s="121"/>
      <c r="G61" s="121"/>
      <c r="H61" s="121"/>
      <c r="I61" s="121"/>
      <c r="J61" s="121"/>
      <c r="K61" s="121"/>
      <c r="L61" s="121"/>
      <c r="M61" s="121"/>
      <c r="N61" s="121"/>
      <c r="O61" s="121"/>
      <c r="P61" s="121"/>
      <c r="Q61" s="563"/>
      <c r="R61" s="969" t="s">
        <v>209</v>
      </c>
      <c r="S61" s="969"/>
      <c r="T61" s="969"/>
      <c r="U61" s="562">
        <f>(U56*$V$24)/$V$23</f>
        <v>160</v>
      </c>
      <c r="V61" s="670">
        <f>(V56*$V$24)/$V$23</f>
        <v>119.99999999999997</v>
      </c>
      <c r="W61" s="670">
        <f>(W56*$V$24)/$V$23</f>
        <v>104.3478260869565</v>
      </c>
      <c r="X61" s="670">
        <f>(X56*$V$24)/$V$23</f>
        <v>85.714285714285708</v>
      </c>
      <c r="Y61" s="361"/>
      <c r="Z61" s="364"/>
      <c r="AA61"/>
      <c r="AB61"/>
      <c r="AC61"/>
      <c r="AD61"/>
      <c r="AE61"/>
      <c r="AF61"/>
      <c r="AG61"/>
    </row>
    <row r="62" spans="1:33" ht="12.75" customHeight="1">
      <c r="A62" s="121"/>
      <c r="B62" s="121"/>
      <c r="C62" s="121"/>
      <c r="D62" s="121"/>
      <c r="E62" s="121"/>
      <c r="F62" s="121"/>
      <c r="G62" s="121"/>
      <c r="H62" s="121"/>
      <c r="I62" s="121"/>
      <c r="J62" s="121"/>
      <c r="K62" s="121"/>
      <c r="L62" s="121"/>
      <c r="M62" s="121"/>
      <c r="N62" s="121"/>
      <c r="O62" s="121"/>
      <c r="P62" s="121"/>
      <c r="Q62" s="563"/>
      <c r="R62" s="931" t="s">
        <v>212</v>
      </c>
      <c r="S62" s="931"/>
      <c r="T62" s="931"/>
      <c r="U62" s="537">
        <f>U61/60</f>
        <v>2.6666666666666665</v>
      </c>
      <c r="V62" s="557">
        <f>V61/60</f>
        <v>1.9999999999999996</v>
      </c>
      <c r="W62" s="557">
        <f>W61/60</f>
        <v>1.7391304347826084</v>
      </c>
      <c r="X62" s="557">
        <f>X61/60</f>
        <v>1.4285714285714284</v>
      </c>
      <c r="Y62" s="361"/>
      <c r="Z62" s="364"/>
      <c r="AA62"/>
      <c r="AB62"/>
      <c r="AC62"/>
      <c r="AD62"/>
      <c r="AE62"/>
      <c r="AF62"/>
      <c r="AG62"/>
    </row>
    <row r="63" spans="1:33" ht="12.75" customHeight="1">
      <c r="A63" s="121"/>
      <c r="B63" s="121"/>
      <c r="C63" s="121"/>
      <c r="D63" s="121"/>
      <c r="E63" s="121"/>
      <c r="F63" s="121"/>
      <c r="G63" s="121"/>
      <c r="H63" s="121"/>
      <c r="I63" s="121"/>
      <c r="J63" s="121"/>
      <c r="K63" s="121"/>
      <c r="L63" s="121"/>
      <c r="M63" s="121"/>
      <c r="N63" s="121"/>
      <c r="O63" s="121"/>
      <c r="P63" s="121"/>
      <c r="Q63" s="563"/>
      <c r="R63" s="363"/>
      <c r="S63" s="363"/>
      <c r="T63" s="363"/>
      <c r="U63" s="363"/>
      <c r="V63" s="363"/>
      <c r="W63" s="363"/>
      <c r="X63" s="363"/>
      <c r="Y63" s="363"/>
      <c r="Z63" s="364"/>
      <c r="AA63"/>
      <c r="AB63"/>
      <c r="AC63"/>
      <c r="AD63"/>
      <c r="AE63"/>
      <c r="AF63"/>
      <c r="AG63"/>
    </row>
    <row r="64" spans="1:33" ht="12.75" customHeight="1">
      <c r="A64" s="121"/>
      <c r="B64" s="121"/>
      <c r="C64" s="121"/>
      <c r="D64" s="121"/>
      <c r="E64" s="121"/>
      <c r="F64" s="121"/>
      <c r="G64" s="121"/>
      <c r="H64" s="121"/>
      <c r="I64" s="121"/>
      <c r="J64" s="121"/>
      <c r="K64" s="121"/>
      <c r="L64" s="121"/>
      <c r="M64" s="121"/>
      <c r="N64" s="121"/>
      <c r="O64" s="121"/>
      <c r="P64" s="121"/>
      <c r="Q64" s="388" t="s">
        <v>295</v>
      </c>
      <c r="R64" s="1015" t="s">
        <v>216</v>
      </c>
      <c r="S64" s="1015"/>
      <c r="T64" s="1015"/>
      <c r="U64" s="1015"/>
      <c r="V64" s="1015"/>
      <c r="W64" s="1015"/>
      <c r="X64" s="1015"/>
      <c r="Y64" s="1015"/>
      <c r="Z64" s="536"/>
      <c r="AA64"/>
      <c r="AB64"/>
      <c r="AC64"/>
      <c r="AD64"/>
      <c r="AE64"/>
      <c r="AF64"/>
      <c r="AG64"/>
    </row>
    <row r="65" spans="1:36" ht="12.75" customHeight="1">
      <c r="A65" s="121"/>
      <c r="B65" s="121"/>
      <c r="C65" s="121"/>
      <c r="D65" s="121"/>
      <c r="E65" s="121"/>
      <c r="F65" s="121"/>
      <c r="G65" s="121"/>
      <c r="H65" s="121"/>
      <c r="I65" s="121"/>
      <c r="J65" s="121"/>
      <c r="K65" s="121"/>
      <c r="L65" s="121"/>
      <c r="M65" s="121"/>
      <c r="N65" s="121"/>
      <c r="O65" s="121"/>
      <c r="P65" s="121"/>
      <c r="Q65" s="563"/>
      <c r="R65" s="363"/>
      <c r="S65" s="363"/>
      <c r="T65" s="363"/>
      <c r="U65" s="363"/>
      <c r="V65" s="363"/>
      <c r="W65" s="363"/>
      <c r="X65" s="363"/>
      <c r="Y65" s="363"/>
      <c r="Z65" s="364"/>
      <c r="AA65"/>
      <c r="AB65"/>
      <c r="AC65"/>
      <c r="AD65"/>
      <c r="AE65"/>
      <c r="AF65"/>
      <c r="AG65"/>
    </row>
    <row r="66" spans="1:36" ht="12.75" customHeight="1">
      <c r="A66" s="121"/>
      <c r="B66" s="121"/>
      <c r="C66" s="121"/>
      <c r="D66" s="121"/>
      <c r="E66" s="121"/>
      <c r="F66" s="121"/>
      <c r="G66" s="121"/>
      <c r="H66" s="121"/>
      <c r="I66" s="121"/>
      <c r="J66" s="121"/>
      <c r="K66" s="121"/>
      <c r="L66" s="121"/>
      <c r="M66" s="121"/>
      <c r="N66" s="121"/>
      <c r="O66" s="121"/>
      <c r="P66" s="121"/>
      <c r="Q66" s="360" t="s">
        <v>502</v>
      </c>
      <c r="R66" s="364" t="s">
        <v>527</v>
      </c>
      <c r="S66" s="364"/>
      <c r="T66" s="364"/>
      <c r="U66" s="555"/>
      <c r="V66" s="555"/>
      <c r="W66" s="555"/>
      <c r="X66" s="555"/>
      <c r="Y66" s="555"/>
      <c r="Z66" s="364"/>
      <c r="AA66"/>
      <c r="AB66"/>
      <c r="AC66"/>
      <c r="AD66"/>
      <c r="AE66"/>
      <c r="AF66"/>
      <c r="AG66"/>
      <c r="AH66" s="23"/>
      <c r="AI66" s="23"/>
    </row>
    <row r="67" spans="1:36" ht="12.75" customHeight="1">
      <c r="A67" s="121"/>
      <c r="B67" s="121"/>
      <c r="C67" s="121"/>
      <c r="D67" s="121"/>
      <c r="E67" s="121"/>
      <c r="F67" s="121"/>
      <c r="G67" s="121"/>
      <c r="H67" s="121"/>
      <c r="I67" s="121"/>
      <c r="J67" s="121"/>
      <c r="K67" s="121"/>
      <c r="L67" s="121"/>
      <c r="M67" s="121"/>
      <c r="N67" s="121"/>
      <c r="O67" s="121"/>
      <c r="P67" s="121"/>
      <c r="Q67" s="360"/>
      <c r="R67" s="962" t="s">
        <v>678</v>
      </c>
      <c r="S67" s="963"/>
      <c r="T67" s="964"/>
      <c r="U67" s="949" t="s">
        <v>500</v>
      </c>
      <c r="V67" s="938" t="s">
        <v>22</v>
      </c>
      <c r="W67" s="940" t="s">
        <v>579</v>
      </c>
      <c r="X67" s="942" t="s">
        <v>21</v>
      </c>
      <c r="Y67" s="361"/>
      <c r="Z67" s="364"/>
      <c r="AA67"/>
      <c r="AB67"/>
      <c r="AC67"/>
      <c r="AD67"/>
      <c r="AE67"/>
      <c r="AF67"/>
      <c r="AG67"/>
      <c r="AJ67" s="17"/>
    </row>
    <row r="68" spans="1:36" ht="12.75" customHeight="1">
      <c r="A68" s="121"/>
      <c r="B68" s="121"/>
      <c r="C68" s="121"/>
      <c r="D68" s="121"/>
      <c r="E68" s="121"/>
      <c r="F68" s="121"/>
      <c r="G68" s="121"/>
      <c r="H68" s="121"/>
      <c r="I68" s="121"/>
      <c r="J68" s="121"/>
      <c r="K68" s="121"/>
      <c r="L68" s="121"/>
      <c r="M68" s="121"/>
      <c r="N68" s="121"/>
      <c r="O68" s="121"/>
      <c r="P68" s="121"/>
      <c r="Q68" s="360"/>
      <c r="R68" s="965"/>
      <c r="S68" s="966"/>
      <c r="T68" s="967"/>
      <c r="U68" s="950"/>
      <c r="V68" s="939"/>
      <c r="W68" s="941"/>
      <c r="X68" s="943"/>
      <c r="Y68" s="361"/>
      <c r="Z68" s="364"/>
      <c r="AA68"/>
      <c r="AB68"/>
      <c r="AC68"/>
      <c r="AD68"/>
      <c r="AE68"/>
      <c r="AF68"/>
      <c r="AG68"/>
      <c r="AJ68" s="17"/>
    </row>
    <row r="69" spans="1:36" ht="12.75" customHeight="1">
      <c r="A69" s="121"/>
      <c r="B69" s="121"/>
      <c r="C69" s="121"/>
      <c r="D69" s="121"/>
      <c r="E69" s="121"/>
      <c r="F69" s="121"/>
      <c r="G69" s="121"/>
      <c r="H69" s="121"/>
      <c r="I69" s="121"/>
      <c r="J69" s="121"/>
      <c r="K69" s="121"/>
      <c r="L69" s="121"/>
      <c r="M69" s="121"/>
      <c r="N69" s="121"/>
      <c r="O69" s="121"/>
      <c r="P69" s="121"/>
      <c r="Q69" s="360"/>
      <c r="R69" s="969" t="s">
        <v>63</v>
      </c>
      <c r="S69" s="969"/>
      <c r="T69" s="969"/>
      <c r="U69" s="369">
        <v>102</v>
      </c>
      <c r="V69" s="369">
        <f>VLOOKUP($V$5,'Lookup dBA'!$B$8:$E$208,3)</f>
        <v>108</v>
      </c>
      <c r="W69" s="369">
        <f>VLOOKUP($V$5,'Lookup dBA'!$B$8:$E$208,4)</f>
        <v>109</v>
      </c>
      <c r="X69" s="369">
        <f>VLOOKUP($V$5,'Lookup dBA'!$B$8:$E$208,2)</f>
        <v>116</v>
      </c>
      <c r="Y69" s="361"/>
      <c r="Z69" s="364"/>
      <c r="AA69"/>
      <c r="AB69"/>
      <c r="AC69"/>
      <c r="AD69"/>
      <c r="AE69"/>
      <c r="AF69"/>
      <c r="AG69"/>
      <c r="AJ69" s="17"/>
    </row>
    <row r="70" spans="1:36" ht="12.75" customHeight="1">
      <c r="A70" s="121"/>
      <c r="B70" s="121"/>
      <c r="C70" s="121"/>
      <c r="D70" s="121"/>
      <c r="E70" s="121"/>
      <c r="F70" s="121"/>
      <c r="G70" s="121"/>
      <c r="H70" s="121"/>
      <c r="I70" s="121"/>
      <c r="J70" s="121"/>
      <c r="K70" s="121"/>
      <c r="L70" s="121"/>
      <c r="M70" s="121"/>
      <c r="N70" s="121"/>
      <c r="O70" s="121"/>
      <c r="P70" s="121"/>
      <c r="Q70" s="360"/>
      <c r="R70" s="969" t="s">
        <v>64</v>
      </c>
      <c r="S70" s="969"/>
      <c r="T70" s="969"/>
      <c r="U70" s="369">
        <f>U69-PPE!$I$15</f>
        <v>89</v>
      </c>
      <c r="V70" s="369">
        <f>V69-PPE!$I$15</f>
        <v>95</v>
      </c>
      <c r="W70" s="369">
        <f>W69-PPE!$I$15</f>
        <v>96</v>
      </c>
      <c r="X70" s="369">
        <f>X69-PPE!$I$15</f>
        <v>103</v>
      </c>
      <c r="Y70" s="361"/>
      <c r="Z70" s="364"/>
      <c r="AA70"/>
      <c r="AB70"/>
      <c r="AC70"/>
      <c r="AD70"/>
      <c r="AE70"/>
      <c r="AF70"/>
      <c r="AG70"/>
      <c r="AJ70" s="32"/>
    </row>
    <row r="71" spans="1:36" ht="12.75" customHeight="1">
      <c r="A71" s="121"/>
      <c r="B71" s="121"/>
      <c r="C71" s="121"/>
      <c r="D71" s="121"/>
      <c r="E71" s="121"/>
      <c r="F71" s="121"/>
      <c r="G71" s="121"/>
      <c r="H71" s="121"/>
      <c r="I71" s="121"/>
      <c r="J71" s="121"/>
      <c r="K71" s="121"/>
      <c r="L71" s="121"/>
      <c r="M71" s="121"/>
      <c r="N71" s="121"/>
      <c r="O71" s="121"/>
      <c r="P71" s="121"/>
      <c r="Q71" s="360"/>
      <c r="R71" s="969" t="s">
        <v>529</v>
      </c>
      <c r="S71" s="969"/>
      <c r="T71" s="969"/>
      <c r="U71" s="369">
        <v>110</v>
      </c>
      <c r="V71" s="369">
        <v>110</v>
      </c>
      <c r="W71" s="369">
        <v>110</v>
      </c>
      <c r="X71" s="369">
        <v>110</v>
      </c>
      <c r="Y71" s="361"/>
      <c r="Z71" s="364"/>
      <c r="AA71"/>
      <c r="AB71"/>
      <c r="AC71"/>
      <c r="AD71"/>
      <c r="AE71"/>
      <c r="AF71"/>
      <c r="AG71"/>
      <c r="AJ71" s="32"/>
    </row>
    <row r="72" spans="1:36" ht="12.75" customHeight="1">
      <c r="A72" s="121"/>
      <c r="B72" s="121"/>
      <c r="C72" s="121"/>
      <c r="D72" s="121"/>
      <c r="E72" s="121"/>
      <c r="F72" s="121"/>
      <c r="G72" s="121"/>
      <c r="H72" s="121"/>
      <c r="I72" s="121"/>
      <c r="J72" s="121"/>
      <c r="K72" s="121"/>
      <c r="L72" s="121"/>
      <c r="M72" s="121"/>
      <c r="N72" s="121"/>
      <c r="O72" s="121"/>
      <c r="P72" s="121"/>
      <c r="Q72" s="360"/>
      <c r="R72" s="363"/>
      <c r="S72" s="363"/>
      <c r="T72" s="363"/>
      <c r="U72" s="363"/>
      <c r="V72" s="363"/>
      <c r="W72" s="363"/>
      <c r="X72" s="363"/>
      <c r="Y72" s="555"/>
      <c r="Z72" s="364"/>
      <c r="AA72"/>
      <c r="AB72"/>
      <c r="AC72"/>
      <c r="AD72"/>
      <c r="AE72"/>
      <c r="AF72"/>
      <c r="AG72"/>
      <c r="AJ72" s="32"/>
    </row>
    <row r="73" spans="1:36" ht="12.75" customHeight="1">
      <c r="A73" s="121"/>
      <c r="B73" s="121"/>
      <c r="C73" s="121"/>
      <c r="D73" s="121"/>
      <c r="E73" s="121"/>
      <c r="F73" s="121"/>
      <c r="G73" s="121"/>
      <c r="H73" s="121"/>
      <c r="I73" s="121"/>
      <c r="J73" s="121"/>
      <c r="K73" s="121"/>
      <c r="L73" s="121"/>
      <c r="M73" s="121"/>
      <c r="N73" s="121"/>
      <c r="O73" s="121"/>
      <c r="P73" s="121"/>
      <c r="Q73" s="360" t="s">
        <v>503</v>
      </c>
      <c r="R73" s="364" t="s">
        <v>528</v>
      </c>
      <c r="S73" s="364"/>
      <c r="T73" s="364"/>
      <c r="U73" s="555"/>
      <c r="V73" s="555"/>
      <c r="W73" s="555"/>
      <c r="X73" s="555"/>
      <c r="Y73" s="555"/>
      <c r="Z73" s="364"/>
      <c r="AA73"/>
      <c r="AB73"/>
      <c r="AC73"/>
      <c r="AD73"/>
      <c r="AE73"/>
      <c r="AF73"/>
      <c r="AG73"/>
      <c r="AJ73" s="17"/>
    </row>
    <row r="74" spans="1:36" ht="12.75" customHeight="1">
      <c r="A74" s="121"/>
      <c r="B74" s="121"/>
      <c r="C74" s="121"/>
      <c r="D74" s="121"/>
      <c r="E74" s="121"/>
      <c r="F74" s="121"/>
      <c r="G74" s="121"/>
      <c r="H74" s="121"/>
      <c r="I74" s="121"/>
      <c r="J74" s="121"/>
      <c r="K74" s="121"/>
      <c r="L74" s="121"/>
      <c r="M74" s="121"/>
      <c r="N74" s="121"/>
      <c r="O74" s="121"/>
      <c r="P74" s="121"/>
      <c r="Q74" s="360"/>
      <c r="R74" s="935" t="s">
        <v>678</v>
      </c>
      <c r="S74" s="935"/>
      <c r="T74" s="935"/>
      <c r="U74" s="930" t="s">
        <v>500</v>
      </c>
      <c r="V74" s="928" t="s">
        <v>22</v>
      </c>
      <c r="W74" s="929" t="s">
        <v>579</v>
      </c>
      <c r="X74" s="927" t="s">
        <v>21</v>
      </c>
      <c r="Y74" s="361"/>
      <c r="Z74" s="364"/>
      <c r="AA74"/>
      <c r="AB74"/>
      <c r="AC74"/>
      <c r="AD74"/>
      <c r="AE74"/>
      <c r="AF74"/>
      <c r="AG74"/>
      <c r="AJ74" s="17"/>
    </row>
    <row r="75" spans="1:36" ht="12.75" customHeight="1">
      <c r="A75" s="121"/>
      <c r="B75" s="121"/>
      <c r="C75" s="121"/>
      <c r="D75" s="121"/>
      <c r="E75" s="121"/>
      <c r="F75" s="121"/>
      <c r="G75" s="121"/>
      <c r="H75" s="121"/>
      <c r="I75" s="121"/>
      <c r="J75" s="121"/>
      <c r="K75" s="121"/>
      <c r="L75" s="121"/>
      <c r="M75" s="121"/>
      <c r="N75" s="121"/>
      <c r="O75" s="121"/>
      <c r="P75" s="121"/>
      <c r="Q75" s="360"/>
      <c r="R75" s="935"/>
      <c r="S75" s="935"/>
      <c r="T75" s="935"/>
      <c r="U75" s="930"/>
      <c r="V75" s="928"/>
      <c r="W75" s="929"/>
      <c r="X75" s="927"/>
      <c r="Y75" s="361"/>
      <c r="Z75" s="364"/>
      <c r="AA75"/>
      <c r="AB75"/>
      <c r="AC75"/>
      <c r="AD75"/>
      <c r="AE75"/>
      <c r="AF75"/>
      <c r="AG75"/>
      <c r="AJ75" s="17"/>
    </row>
    <row r="76" spans="1:36" ht="12.75" customHeight="1">
      <c r="A76" s="121"/>
      <c r="B76" s="121"/>
      <c r="C76" s="121"/>
      <c r="D76" s="121"/>
      <c r="E76" s="121"/>
      <c r="F76" s="121"/>
      <c r="G76" s="121"/>
      <c r="H76" s="121"/>
      <c r="I76" s="121"/>
      <c r="J76" s="121"/>
      <c r="K76" s="121"/>
      <c r="L76" s="121"/>
      <c r="M76" s="121"/>
      <c r="N76" s="121"/>
      <c r="O76" s="121"/>
      <c r="P76" s="121"/>
      <c r="Q76" s="360"/>
      <c r="R76" s="969" t="s">
        <v>63</v>
      </c>
      <c r="S76" s="969"/>
      <c r="T76" s="969"/>
      <c r="U76" s="369">
        <f>VLOOKUP($V$21,$R$309:$Z$314,5)</f>
        <v>108.02059991327964</v>
      </c>
      <c r="V76" s="369">
        <f>VLOOKUP($V$21,$R$309:$Z$314,3)</f>
        <v>114.02059991327963</v>
      </c>
      <c r="W76" s="369">
        <f>VLOOKUP($V$21,$R$309:$Z$314,4)</f>
        <v>115.02059991327963</v>
      </c>
      <c r="X76" s="369">
        <f>VLOOKUP($V$21,$R$309:$Z$314,2)</f>
        <v>122.02059991327964</v>
      </c>
      <c r="Y76" s="361"/>
      <c r="Z76" s="364"/>
      <c r="AA76"/>
      <c r="AB76"/>
      <c r="AC76"/>
      <c r="AD76"/>
      <c r="AE76"/>
      <c r="AF76"/>
      <c r="AG76"/>
      <c r="AJ76" s="17"/>
    </row>
    <row r="77" spans="1:36" ht="12.75" customHeight="1">
      <c r="Q77" s="360"/>
      <c r="R77" s="969" t="s">
        <v>64</v>
      </c>
      <c r="S77" s="969"/>
      <c r="T77" s="969"/>
      <c r="U77" s="369">
        <f>U76-PPE!$I$15</f>
        <v>95.020599913279639</v>
      </c>
      <c r="V77" s="369">
        <f>V76-PPE!$I$15</f>
        <v>101.02059991327963</v>
      </c>
      <c r="W77" s="369">
        <f>W76-PPE!$I$15</f>
        <v>102.02059991327963</v>
      </c>
      <c r="X77" s="369">
        <f>X76-PPE!$I$15</f>
        <v>109.02059991327964</v>
      </c>
      <c r="Y77" s="361"/>
      <c r="Z77" s="364"/>
      <c r="AA77"/>
      <c r="AB77"/>
      <c r="AC77"/>
      <c r="AD77"/>
      <c r="AE77"/>
      <c r="AF77"/>
      <c r="AG77"/>
      <c r="AJ77" s="17"/>
    </row>
    <row r="78" spans="1:36" ht="12.75" customHeight="1">
      <c r="Q78" s="360"/>
      <c r="R78" s="969" t="s">
        <v>529</v>
      </c>
      <c r="S78" s="969"/>
      <c r="T78" s="969"/>
      <c r="U78" s="369">
        <v>110</v>
      </c>
      <c r="V78" s="369">
        <v>110</v>
      </c>
      <c r="W78" s="369">
        <v>110</v>
      </c>
      <c r="X78" s="369">
        <v>110</v>
      </c>
      <c r="Y78" s="361"/>
      <c r="Z78" s="364"/>
      <c r="AA78"/>
      <c r="AB78"/>
      <c r="AC78"/>
      <c r="AD78"/>
      <c r="AE78"/>
      <c r="AF78"/>
      <c r="AG78"/>
      <c r="AJ78" s="17"/>
    </row>
    <row r="79" spans="1:36" ht="12.75" customHeight="1">
      <c r="Q79" s="360"/>
      <c r="R79" s="364"/>
      <c r="S79" s="364"/>
      <c r="T79" s="364"/>
      <c r="U79" s="555"/>
      <c r="V79" s="555"/>
      <c r="W79" s="555"/>
      <c r="X79" s="555"/>
      <c r="Y79" s="555"/>
      <c r="Z79" s="364"/>
      <c r="AA79"/>
      <c r="AB79"/>
      <c r="AC79"/>
      <c r="AD79"/>
      <c r="AE79"/>
      <c r="AF79"/>
      <c r="AG79"/>
      <c r="AJ79" s="17"/>
    </row>
    <row r="80" spans="1:36" ht="12.75" customHeight="1">
      <c r="Q80" s="385" t="s">
        <v>305</v>
      </c>
      <c r="R80" s="1008" t="s">
        <v>218</v>
      </c>
      <c r="S80" s="1008"/>
      <c r="T80" s="1008"/>
      <c r="U80" s="1008"/>
      <c r="V80" s="1008"/>
      <c r="W80" s="1008"/>
      <c r="X80" s="1008"/>
      <c r="Y80" s="1008"/>
      <c r="Z80" s="536"/>
      <c r="AA80"/>
      <c r="AB80"/>
      <c r="AC80"/>
      <c r="AD80"/>
      <c r="AE80"/>
      <c r="AF80"/>
      <c r="AG80"/>
      <c r="AJ80" s="17"/>
    </row>
    <row r="81" spans="17:36" ht="12.75" customHeight="1">
      <c r="Q81" s="546"/>
      <c r="R81" s="363"/>
      <c r="S81" s="363"/>
      <c r="T81" s="363"/>
      <c r="U81" s="363"/>
      <c r="V81" s="363"/>
      <c r="W81" s="363"/>
      <c r="X81" s="363"/>
      <c r="Y81" s="363"/>
      <c r="Z81" s="364"/>
      <c r="AA81"/>
      <c r="AB81"/>
      <c r="AC81"/>
      <c r="AD81"/>
      <c r="AE81"/>
      <c r="AF81"/>
      <c r="AG81"/>
      <c r="AJ81" s="43"/>
    </row>
    <row r="82" spans="17:36" ht="12.75" customHeight="1">
      <c r="Q82" s="546"/>
      <c r="R82" s="363" t="s">
        <v>436</v>
      </c>
      <c r="S82" s="363"/>
      <c r="T82" s="363"/>
      <c r="U82" s="363"/>
      <c r="V82" s="363"/>
      <c r="W82" s="363"/>
      <c r="X82" s="363"/>
      <c r="Y82" s="363"/>
      <c r="Z82" s="364"/>
      <c r="AA82"/>
      <c r="AB82"/>
      <c r="AC82"/>
      <c r="AD82"/>
      <c r="AE82"/>
      <c r="AF82"/>
      <c r="AG82"/>
      <c r="AJ82" s="43"/>
    </row>
    <row r="83" spans="17:36" ht="12.75" customHeight="1">
      <c r="Q83" s="360"/>
      <c r="R83" s="935" t="s">
        <v>678</v>
      </c>
      <c r="S83" s="935"/>
      <c r="T83" s="935"/>
      <c r="U83" s="949" t="s">
        <v>500</v>
      </c>
      <c r="V83" s="1011" t="s">
        <v>22</v>
      </c>
      <c r="W83" s="1013" t="s">
        <v>579</v>
      </c>
      <c r="X83" s="1009" t="s">
        <v>21</v>
      </c>
      <c r="Y83" s="361"/>
      <c r="Z83" s="364"/>
      <c r="AA83"/>
      <c r="AB83"/>
      <c r="AC83"/>
      <c r="AD83"/>
      <c r="AE83"/>
      <c r="AF83"/>
      <c r="AG83"/>
      <c r="AJ83" s="43"/>
    </row>
    <row r="84" spans="17:36" ht="12.75" customHeight="1">
      <c r="Q84" s="360"/>
      <c r="R84" s="935"/>
      <c r="S84" s="935"/>
      <c r="T84" s="935"/>
      <c r="U84" s="950"/>
      <c r="V84" s="1012"/>
      <c r="W84" s="1014"/>
      <c r="X84" s="1010"/>
      <c r="Y84" s="361"/>
      <c r="Z84" s="364"/>
      <c r="AA84"/>
      <c r="AB84"/>
      <c r="AC84"/>
      <c r="AD84"/>
      <c r="AE84"/>
      <c r="AF84"/>
      <c r="AG84"/>
    </row>
    <row r="85" spans="17:36" ht="12.75" customHeight="1">
      <c r="Q85" s="360"/>
      <c r="R85" s="969" t="s">
        <v>63</v>
      </c>
      <c r="S85" s="969"/>
      <c r="T85" s="969"/>
      <c r="U85" s="369">
        <f>U414</f>
        <v>97.15</v>
      </c>
      <c r="V85" s="369">
        <f>U356</f>
        <v>101.95</v>
      </c>
      <c r="W85" s="369">
        <f>U385</f>
        <v>102.4</v>
      </c>
      <c r="X85" s="369">
        <f>U327</f>
        <v>108.5</v>
      </c>
      <c r="Y85" s="361"/>
      <c r="Z85" s="364"/>
      <c r="AA85"/>
      <c r="AB85"/>
      <c r="AC85"/>
      <c r="AD85"/>
      <c r="AE85"/>
      <c r="AF85"/>
      <c r="AG85"/>
    </row>
    <row r="86" spans="17:36" ht="12.75" customHeight="1">
      <c r="Q86" s="360"/>
      <c r="R86" s="969" t="s">
        <v>64</v>
      </c>
      <c r="S86" s="969"/>
      <c r="T86" s="969"/>
      <c r="U86" s="369">
        <f>U427</f>
        <v>84.15</v>
      </c>
      <c r="V86" s="369">
        <f>U369</f>
        <v>88.95</v>
      </c>
      <c r="W86" s="369">
        <f>U398</f>
        <v>89.3</v>
      </c>
      <c r="X86" s="369">
        <f>U340</f>
        <v>95.55</v>
      </c>
      <c r="Y86" s="361"/>
      <c r="Z86" s="364"/>
      <c r="AA86"/>
      <c r="AB86"/>
      <c r="AC86"/>
      <c r="AD86"/>
      <c r="AE86"/>
      <c r="AF86"/>
      <c r="AG86"/>
    </row>
    <row r="87" spans="17:36" ht="12.75" customHeight="1">
      <c r="Q87" s="360"/>
      <c r="R87" s="969" t="s">
        <v>530</v>
      </c>
      <c r="S87" s="969"/>
      <c r="T87" s="969"/>
      <c r="U87" s="369">
        <v>85</v>
      </c>
      <c r="V87" s="369">
        <v>85</v>
      </c>
      <c r="W87" s="369">
        <v>85</v>
      </c>
      <c r="X87" s="369">
        <v>85</v>
      </c>
      <c r="Y87" s="361"/>
      <c r="Z87" s="364"/>
      <c r="AA87"/>
      <c r="AB87"/>
      <c r="AC87"/>
      <c r="AD87"/>
      <c r="AE87"/>
      <c r="AF87"/>
      <c r="AG87"/>
    </row>
    <row r="88" spans="17:36" ht="12.75" customHeight="1">
      <c r="Q88" s="360"/>
      <c r="R88" s="363"/>
      <c r="S88" s="363"/>
      <c r="T88" s="363"/>
      <c r="U88" s="363"/>
      <c r="V88" s="363"/>
      <c r="W88" s="363"/>
      <c r="X88" s="363"/>
      <c r="Y88" s="363"/>
      <c r="Z88" s="364"/>
      <c r="AA88"/>
      <c r="AB88"/>
      <c r="AC88"/>
      <c r="AD88"/>
      <c r="AE88"/>
      <c r="AF88"/>
      <c r="AG88"/>
    </row>
    <row r="89" spans="17:36" ht="12.75" customHeight="1">
      <c r="Q89" s="360"/>
      <c r="R89" s="363" t="s">
        <v>437</v>
      </c>
      <c r="S89" s="363"/>
      <c r="T89" s="363"/>
      <c r="U89" s="363"/>
      <c r="V89" s="363"/>
      <c r="W89" s="363"/>
      <c r="X89" s="363"/>
      <c r="Y89" s="363"/>
      <c r="Z89" s="364"/>
      <c r="AA89"/>
      <c r="AB89"/>
      <c r="AC89"/>
      <c r="AD89"/>
      <c r="AE89"/>
      <c r="AF89"/>
      <c r="AG89"/>
    </row>
    <row r="90" spans="17:36" ht="12.75" customHeight="1">
      <c r="Q90" s="360"/>
      <c r="R90" s="935" t="s">
        <v>678</v>
      </c>
      <c r="S90" s="935"/>
      <c r="T90" s="935"/>
      <c r="U90" s="949" t="s">
        <v>500</v>
      </c>
      <c r="V90" s="1011" t="s">
        <v>22</v>
      </c>
      <c r="W90" s="1013" t="s">
        <v>579</v>
      </c>
      <c r="X90" s="1009" t="s">
        <v>21</v>
      </c>
      <c r="Y90" s="361"/>
      <c r="Z90" s="364"/>
      <c r="AA90"/>
      <c r="AB90"/>
      <c r="AC90"/>
      <c r="AD90"/>
      <c r="AE90"/>
      <c r="AF90"/>
      <c r="AG90"/>
    </row>
    <row r="91" spans="17:36" ht="12.75" customHeight="1">
      <c r="Q91" s="360"/>
      <c r="R91" s="935"/>
      <c r="S91" s="935"/>
      <c r="T91" s="935"/>
      <c r="U91" s="950"/>
      <c r="V91" s="1012"/>
      <c r="W91" s="1014"/>
      <c r="X91" s="1010"/>
      <c r="Y91" s="361"/>
      <c r="Z91" s="364"/>
      <c r="AA91"/>
      <c r="AB91"/>
      <c r="AC91"/>
      <c r="AD91"/>
      <c r="AE91"/>
      <c r="AF91"/>
      <c r="AG91"/>
    </row>
    <row r="92" spans="17:36" ht="12.75" customHeight="1">
      <c r="Q92" s="360"/>
      <c r="R92" s="969" t="s">
        <v>63</v>
      </c>
      <c r="S92" s="969"/>
      <c r="T92" s="969"/>
      <c r="U92" s="369">
        <f>U533</f>
        <v>103.15</v>
      </c>
      <c r="V92" s="369">
        <f>U475</f>
        <v>107.95</v>
      </c>
      <c r="W92" s="369">
        <f>U504</f>
        <v>108.4</v>
      </c>
      <c r="X92" s="369">
        <f>U446</f>
        <v>113.95</v>
      </c>
      <c r="Y92" s="361"/>
      <c r="Z92" s="364"/>
      <c r="AA92"/>
      <c r="AB92"/>
      <c r="AC92"/>
      <c r="AD92"/>
      <c r="AE92"/>
      <c r="AF92"/>
      <c r="AG92"/>
    </row>
    <row r="93" spans="17:36" ht="12.75" customHeight="1">
      <c r="Q93" s="360"/>
      <c r="R93" s="969" t="s">
        <v>64</v>
      </c>
      <c r="S93" s="969"/>
      <c r="T93" s="969"/>
      <c r="U93" s="369">
        <f>U546</f>
        <v>90.15</v>
      </c>
      <c r="V93" s="369">
        <f>U488</f>
        <v>94.95</v>
      </c>
      <c r="W93" s="369">
        <f>U517</f>
        <v>95.3</v>
      </c>
      <c r="X93" s="369">
        <f>U459</f>
        <v>101.55</v>
      </c>
      <c r="Y93" s="361"/>
      <c r="Z93" s="364"/>
      <c r="AA93"/>
      <c r="AB93"/>
      <c r="AC93"/>
      <c r="AD93"/>
      <c r="AE93"/>
      <c r="AF93"/>
      <c r="AG93"/>
    </row>
    <row r="94" spans="17:36" ht="12.75" customHeight="1">
      <c r="Q94" s="360"/>
      <c r="R94" s="969" t="s">
        <v>530</v>
      </c>
      <c r="S94" s="969"/>
      <c r="T94" s="969"/>
      <c r="U94" s="369">
        <v>85</v>
      </c>
      <c r="V94" s="369">
        <v>85</v>
      </c>
      <c r="W94" s="369">
        <v>85</v>
      </c>
      <c r="X94" s="369">
        <v>85</v>
      </c>
      <c r="Y94" s="361"/>
      <c r="Z94" s="364"/>
      <c r="AA94"/>
      <c r="AB94"/>
      <c r="AC94"/>
      <c r="AD94"/>
      <c r="AE94"/>
      <c r="AF94"/>
      <c r="AG94"/>
    </row>
    <row r="95" spans="17:36" ht="12.75" customHeight="1">
      <c r="Q95" s="360"/>
      <c r="R95" s="363"/>
      <c r="S95" s="363"/>
      <c r="T95" s="363"/>
      <c r="U95" s="363"/>
      <c r="V95" s="363"/>
      <c r="W95" s="363"/>
      <c r="X95" s="363"/>
      <c r="Y95" s="363"/>
      <c r="Z95" s="364"/>
      <c r="AA95"/>
      <c r="AB95"/>
      <c r="AC95"/>
      <c r="AD95"/>
      <c r="AE95"/>
      <c r="AF95"/>
      <c r="AG95"/>
    </row>
    <row r="96" spans="17:36" ht="12.75" customHeight="1">
      <c r="Q96" s="385" t="s">
        <v>222</v>
      </c>
      <c r="R96" s="1008" t="s">
        <v>504</v>
      </c>
      <c r="S96" s="1008"/>
      <c r="T96" s="1008"/>
      <c r="U96" s="1008"/>
      <c r="V96" s="1008"/>
      <c r="W96" s="1008"/>
      <c r="X96" s="1008"/>
      <c r="Y96" s="1008"/>
      <c r="Z96" s="547"/>
      <c r="AA96"/>
      <c r="AB96"/>
      <c r="AC96"/>
      <c r="AD96"/>
      <c r="AE96"/>
      <c r="AF96"/>
      <c r="AG96"/>
    </row>
    <row r="97" spans="17:33" s="133" customFormat="1" ht="12.75" customHeight="1">
      <c r="Q97" s="360"/>
      <c r="R97" s="363"/>
      <c r="S97" s="363"/>
      <c r="T97" s="363"/>
      <c r="U97" s="363"/>
      <c r="V97" s="363"/>
      <c r="W97" s="363"/>
      <c r="X97" s="363"/>
      <c r="Y97" s="363"/>
      <c r="Z97" s="364"/>
      <c r="AA97"/>
      <c r="AB97"/>
      <c r="AC97"/>
      <c r="AD97"/>
      <c r="AE97"/>
      <c r="AF97"/>
      <c r="AG97"/>
    </row>
    <row r="98" spans="17:33" ht="12.75" customHeight="1">
      <c r="Q98" s="360" t="s">
        <v>505</v>
      </c>
      <c r="R98" s="363" t="s">
        <v>514</v>
      </c>
      <c r="S98" s="363"/>
      <c r="T98" s="363"/>
      <c r="U98" s="363"/>
      <c r="V98" s="363"/>
      <c r="W98" s="363"/>
      <c r="X98" s="363"/>
      <c r="Y98" s="363"/>
      <c r="Z98" s="364"/>
      <c r="AA98"/>
      <c r="AB98"/>
      <c r="AC98"/>
      <c r="AD98"/>
      <c r="AE98"/>
      <c r="AF98"/>
      <c r="AG98"/>
    </row>
    <row r="99" spans="17:33" ht="12.75" customHeight="1">
      <c r="Q99" s="360"/>
      <c r="R99" s="363" t="s">
        <v>512</v>
      </c>
      <c r="S99" s="363"/>
      <c r="T99" s="363"/>
      <c r="U99" s="363"/>
      <c r="V99" s="363"/>
      <c r="W99" s="363"/>
      <c r="X99" s="363"/>
      <c r="Y99" s="363"/>
      <c r="Z99" s="364"/>
      <c r="AA99"/>
      <c r="AB99"/>
      <c r="AC99"/>
      <c r="AD99"/>
      <c r="AE99"/>
      <c r="AF99"/>
      <c r="AG99"/>
    </row>
    <row r="100" spans="17:33" ht="12.75" customHeight="1">
      <c r="Q100" s="360"/>
      <c r="R100" s="998" t="s">
        <v>191</v>
      </c>
      <c r="S100" s="999"/>
      <c r="T100" s="1000"/>
      <c r="U100" s="949" t="s">
        <v>500</v>
      </c>
      <c r="V100" s="938" t="s">
        <v>22</v>
      </c>
      <c r="W100" s="940" t="s">
        <v>579</v>
      </c>
      <c r="X100" s="942" t="s">
        <v>21</v>
      </c>
      <c r="Y100" s="361"/>
      <c r="Z100" s="364"/>
      <c r="AA100"/>
      <c r="AB100"/>
      <c r="AC100"/>
      <c r="AD100"/>
      <c r="AE100"/>
      <c r="AF100"/>
      <c r="AG100"/>
    </row>
    <row r="101" spans="17:33" ht="12.75" customHeight="1">
      <c r="Q101" s="360"/>
      <c r="R101" s="1001"/>
      <c r="S101" s="1002"/>
      <c r="T101" s="1003"/>
      <c r="U101" s="950"/>
      <c r="V101" s="939"/>
      <c r="W101" s="941"/>
      <c r="X101" s="943"/>
      <c r="Y101" s="361"/>
      <c r="Z101" s="364"/>
      <c r="AA101"/>
      <c r="AB101"/>
      <c r="AC101"/>
      <c r="AD101"/>
      <c r="AE101"/>
      <c r="AF101"/>
      <c r="AG101"/>
    </row>
    <row r="102" spans="17:33" ht="12.75" customHeight="1">
      <c r="Q102" s="360"/>
      <c r="R102" s="969" t="s">
        <v>63</v>
      </c>
      <c r="S102" s="969"/>
      <c r="T102" s="969"/>
      <c r="U102" s="537">
        <f>VLOOKUP(U69,'Lookup Exposure Time'!$B$12:$C$732,2)</f>
        <v>10</v>
      </c>
      <c r="V102" s="537">
        <f>VLOOKUP(V69,'Lookup Exposure Time'!$B$12:$C$732,2)</f>
        <v>2.5</v>
      </c>
      <c r="W102" s="537">
        <f>VLOOKUP(W69,'Lookup Exposure Time'!$B$12:$C$732,2)</f>
        <v>1.875</v>
      </c>
      <c r="X102" s="537">
        <f>VLOOKUP(X69,'Lookup Exposure Time'!$B$12:$C$732,2)</f>
        <v>0.39061999999999986</v>
      </c>
      <c r="Y102" s="361"/>
      <c r="Z102" s="364"/>
      <c r="AA102"/>
      <c r="AB102"/>
      <c r="AC102"/>
      <c r="AD102"/>
      <c r="AE102"/>
      <c r="AF102"/>
      <c r="AG102"/>
    </row>
    <row r="103" spans="17:33" ht="12.75" customHeight="1">
      <c r="Q103" s="360"/>
      <c r="R103" s="969" t="s">
        <v>64</v>
      </c>
      <c r="S103" s="969"/>
      <c r="T103" s="969"/>
      <c r="U103" s="537">
        <f>VLOOKUP(U70,'Lookup Exposure Time'!$B$12:$C$732,2)</f>
        <v>200</v>
      </c>
      <c r="V103" s="537">
        <f>VLOOKUP(V70,'Lookup Exposure Time'!$B$12:$C$732,2)</f>
        <v>50</v>
      </c>
      <c r="W103" s="537">
        <f>VLOOKUP(W70,'Lookup Exposure Time'!$B$12:$C$732,2)</f>
        <v>40</v>
      </c>
      <c r="X103" s="537">
        <f>VLOOKUP(X70,'Lookup Exposure Time'!$B$12:$C$732,2)</f>
        <v>7.5</v>
      </c>
      <c r="Y103" s="361"/>
      <c r="Z103" s="364"/>
      <c r="AA103"/>
      <c r="AB103"/>
      <c r="AC103"/>
      <c r="AD103"/>
      <c r="AE103"/>
      <c r="AF103"/>
      <c r="AG103"/>
    </row>
    <row r="104" spans="17:33" ht="12.75" customHeight="1">
      <c r="Q104" s="360"/>
      <c r="R104" s="364"/>
      <c r="S104" s="364"/>
      <c r="T104" s="364"/>
      <c r="U104" s="364"/>
      <c r="V104" s="364"/>
      <c r="W104" s="364"/>
      <c r="X104" s="364"/>
      <c r="Y104" s="363"/>
      <c r="Z104" s="364"/>
      <c r="AA104"/>
      <c r="AB104"/>
      <c r="AC104"/>
      <c r="AD104"/>
      <c r="AE104"/>
      <c r="AF104"/>
      <c r="AG104"/>
    </row>
    <row r="105" spans="17:33" ht="12.75" customHeight="1">
      <c r="Q105" s="360" t="s">
        <v>507</v>
      </c>
      <c r="R105" s="363" t="s">
        <v>513</v>
      </c>
      <c r="S105" s="363"/>
      <c r="T105" s="363"/>
      <c r="U105" s="363"/>
      <c r="V105" s="363"/>
      <c r="W105" s="363"/>
      <c r="X105" s="363"/>
      <c r="Y105" s="363"/>
      <c r="Z105" s="364"/>
      <c r="AA105"/>
      <c r="AB105"/>
      <c r="AC105"/>
      <c r="AD105"/>
      <c r="AE105"/>
      <c r="AF105"/>
      <c r="AG105"/>
    </row>
    <row r="106" spans="17:33" ht="12.75" customHeight="1">
      <c r="Q106" s="360"/>
      <c r="R106" s="998" t="s">
        <v>191</v>
      </c>
      <c r="S106" s="999"/>
      <c r="T106" s="1000"/>
      <c r="U106" s="949" t="s">
        <v>500</v>
      </c>
      <c r="V106" s="938" t="s">
        <v>22</v>
      </c>
      <c r="W106" s="940" t="s">
        <v>579</v>
      </c>
      <c r="X106" s="942" t="s">
        <v>21</v>
      </c>
      <c r="Y106" s="361"/>
      <c r="Z106" s="364"/>
      <c r="AA106"/>
      <c r="AB106"/>
      <c r="AC106"/>
      <c r="AD106"/>
      <c r="AE106"/>
      <c r="AF106"/>
      <c r="AG106"/>
    </row>
    <row r="107" spans="17:33" ht="12.75" customHeight="1">
      <c r="Q107" s="360"/>
      <c r="R107" s="1001"/>
      <c r="S107" s="1002"/>
      <c r="T107" s="1003"/>
      <c r="U107" s="950"/>
      <c r="V107" s="939"/>
      <c r="W107" s="941"/>
      <c r="X107" s="943"/>
      <c r="Y107" s="361"/>
      <c r="Z107" s="364"/>
      <c r="AA107"/>
      <c r="AB107"/>
      <c r="AC107"/>
      <c r="AD107"/>
      <c r="AE107"/>
      <c r="AF107"/>
      <c r="AG107"/>
    </row>
    <row r="108" spans="17:33" ht="12.75" customHeight="1">
      <c r="Q108" s="360"/>
      <c r="R108" s="969" t="s">
        <v>63</v>
      </c>
      <c r="S108" s="969"/>
      <c r="T108" s="969"/>
      <c r="U108" s="671">
        <f>VLOOKUP(U76,'Lookup Exposure Time'!$B$12:$C$732,2)</f>
        <v>2.5</v>
      </c>
      <c r="V108" s="671">
        <f>VLOOKUP(V76,'Lookup Exposure Time'!$B$12:$C$732,2)</f>
        <v>0.625</v>
      </c>
      <c r="W108" s="671">
        <f>VLOOKUP(W76,'Lookup Exposure Time'!$B$12:$C$732,2)</f>
        <v>0.46875</v>
      </c>
      <c r="X108" s="671">
        <f>VLOOKUP(X76,'Lookup Exposure Time'!$B$12:$C$732,2)</f>
        <v>9.765625E-2</v>
      </c>
      <c r="Y108" s="361"/>
      <c r="Z108" s="364"/>
      <c r="AA108"/>
      <c r="AB108"/>
      <c r="AC108"/>
      <c r="AD108"/>
      <c r="AE108"/>
      <c r="AF108"/>
      <c r="AG108"/>
    </row>
    <row r="109" spans="17:33" ht="12.75" customHeight="1">
      <c r="Q109" s="360"/>
      <c r="R109" s="969" t="s">
        <v>64</v>
      </c>
      <c r="S109" s="969"/>
      <c r="T109" s="969"/>
      <c r="U109" s="557">
        <f>VLOOKUP(U77,'Lookup Exposure Time'!$B$12:$C$732,2)</f>
        <v>50</v>
      </c>
      <c r="V109" s="557">
        <f>VLOOKUP(V77,'Lookup Exposure Time'!$B$12:$C$732,2)</f>
        <v>12.5</v>
      </c>
      <c r="W109" s="557">
        <f>VLOOKUP(W77,'Lookup Exposure Time'!$B$12:$C$732,2)</f>
        <v>10</v>
      </c>
      <c r="X109" s="557">
        <f>VLOOKUP(X77,'Lookup Exposure Time'!$B$12:$C$732,2)</f>
        <v>1.875</v>
      </c>
      <c r="Y109" s="361"/>
      <c r="Z109" s="364"/>
      <c r="AA109"/>
      <c r="AB109"/>
      <c r="AC109"/>
      <c r="AD109"/>
      <c r="AE109"/>
      <c r="AF109"/>
      <c r="AG109"/>
    </row>
    <row r="110" spans="17:33" ht="12.75" customHeight="1">
      <c r="Q110" s="360"/>
      <c r="R110" s="363"/>
      <c r="S110" s="363"/>
      <c r="T110" s="363"/>
      <c r="U110" s="363"/>
      <c r="V110" s="363"/>
      <c r="W110" s="363"/>
      <c r="X110" s="363"/>
      <c r="Y110" s="363"/>
      <c r="Z110" s="364"/>
      <c r="AA110"/>
      <c r="AB110"/>
      <c r="AC110"/>
      <c r="AD110"/>
      <c r="AE110"/>
      <c r="AF110"/>
      <c r="AG110"/>
    </row>
    <row r="111" spans="17:33" ht="12.75" customHeight="1">
      <c r="Q111" s="360" t="s">
        <v>508</v>
      </c>
      <c r="R111" s="363" t="s">
        <v>531</v>
      </c>
      <c r="S111" s="363"/>
      <c r="T111" s="363"/>
      <c r="U111" s="363"/>
      <c r="V111" s="363"/>
      <c r="W111" s="363"/>
      <c r="X111" s="363"/>
      <c r="Y111" s="363"/>
      <c r="Z111" s="364"/>
      <c r="AA111"/>
      <c r="AB111"/>
      <c r="AC111"/>
      <c r="AD111"/>
      <c r="AE111"/>
      <c r="AF111"/>
      <c r="AG111"/>
    </row>
    <row r="112" spans="17:33" ht="12.75" customHeight="1">
      <c r="Q112" s="360"/>
      <c r="R112" s="998" t="s">
        <v>191</v>
      </c>
      <c r="S112" s="999"/>
      <c r="T112" s="1000"/>
      <c r="U112" s="949" t="s">
        <v>500</v>
      </c>
      <c r="V112" s="938" t="s">
        <v>22</v>
      </c>
      <c r="W112" s="940" t="s">
        <v>579</v>
      </c>
      <c r="X112" s="942" t="s">
        <v>21</v>
      </c>
      <c r="Y112" s="361"/>
      <c r="Z112" s="364"/>
      <c r="AA112"/>
      <c r="AB112"/>
      <c r="AC112"/>
      <c r="AD112"/>
      <c r="AE112"/>
      <c r="AF112"/>
      <c r="AG112"/>
    </row>
    <row r="113" spans="17:33" ht="12.75" customHeight="1">
      <c r="Q113" s="360"/>
      <c r="R113" s="1001"/>
      <c r="S113" s="1002"/>
      <c r="T113" s="1003"/>
      <c r="U113" s="950"/>
      <c r="V113" s="939"/>
      <c r="W113" s="941"/>
      <c r="X113" s="943"/>
      <c r="Y113" s="361"/>
      <c r="Z113" s="364"/>
      <c r="AA113"/>
      <c r="AB113"/>
      <c r="AC113"/>
      <c r="AD113"/>
      <c r="AE113"/>
      <c r="AF113"/>
      <c r="AG113"/>
    </row>
    <row r="114" spans="17:33" ht="12.75" customHeight="1">
      <c r="Q114" s="360"/>
      <c r="R114" s="969" t="s">
        <v>63</v>
      </c>
      <c r="S114" s="969"/>
      <c r="T114" s="969"/>
      <c r="U114" s="537">
        <f t="shared" ref="U114:X115" si="0">U102/60</f>
        <v>0.16666666666666666</v>
      </c>
      <c r="V114" s="537">
        <f t="shared" si="0"/>
        <v>4.1666666666666664E-2</v>
      </c>
      <c r="W114" s="537">
        <f t="shared" si="0"/>
        <v>3.125E-2</v>
      </c>
      <c r="X114" s="537">
        <f t="shared" si="0"/>
        <v>6.5103333333333306E-3</v>
      </c>
      <c r="Y114" s="361"/>
      <c r="Z114" s="364"/>
      <c r="AA114"/>
      <c r="AB114"/>
      <c r="AC114"/>
      <c r="AD114"/>
      <c r="AE114"/>
      <c r="AF114"/>
      <c r="AG114"/>
    </row>
    <row r="115" spans="17:33" ht="12.75" customHeight="1">
      <c r="Q115" s="360"/>
      <c r="R115" s="969" t="s">
        <v>64</v>
      </c>
      <c r="S115" s="969"/>
      <c r="T115" s="969"/>
      <c r="U115" s="537">
        <f t="shared" si="0"/>
        <v>3.3333333333333335</v>
      </c>
      <c r="V115" s="537">
        <f t="shared" si="0"/>
        <v>0.83333333333333337</v>
      </c>
      <c r="W115" s="537">
        <f t="shared" si="0"/>
        <v>0.66666666666666663</v>
      </c>
      <c r="X115" s="537">
        <f t="shared" si="0"/>
        <v>0.125</v>
      </c>
      <c r="Y115" s="361"/>
      <c r="Z115" s="364"/>
      <c r="AA115"/>
      <c r="AB115"/>
      <c r="AC115"/>
      <c r="AD115"/>
      <c r="AE115"/>
      <c r="AF115"/>
      <c r="AG115"/>
    </row>
    <row r="116" spans="17:33" ht="12.75" customHeight="1">
      <c r="Q116" s="360"/>
      <c r="R116" s="364"/>
      <c r="S116" s="364"/>
      <c r="T116" s="364"/>
      <c r="U116" s="364"/>
      <c r="V116" s="364"/>
      <c r="W116" s="364"/>
      <c r="X116" s="364"/>
      <c r="Y116" s="363"/>
      <c r="Z116" s="364"/>
      <c r="AA116"/>
      <c r="AB116"/>
      <c r="AC116"/>
      <c r="AD116"/>
      <c r="AE116"/>
      <c r="AF116"/>
      <c r="AG116"/>
    </row>
    <row r="117" spans="17:33" ht="12.75" customHeight="1">
      <c r="Q117" s="360" t="s">
        <v>506</v>
      </c>
      <c r="R117" s="363" t="s">
        <v>532</v>
      </c>
      <c r="S117" s="363"/>
      <c r="T117" s="363"/>
      <c r="U117" s="363"/>
      <c r="V117" s="363"/>
      <c r="W117" s="363"/>
      <c r="X117" s="363"/>
      <c r="Y117" s="363"/>
      <c r="Z117" s="364"/>
      <c r="AA117"/>
      <c r="AB117"/>
      <c r="AC117"/>
      <c r="AD117"/>
      <c r="AE117"/>
      <c r="AF117"/>
      <c r="AG117"/>
    </row>
    <row r="118" spans="17:33" ht="12.75" customHeight="1">
      <c r="Q118" s="360"/>
      <c r="R118" s="998" t="s">
        <v>191</v>
      </c>
      <c r="S118" s="999"/>
      <c r="T118" s="1000"/>
      <c r="U118" s="949" t="s">
        <v>500</v>
      </c>
      <c r="V118" s="938" t="s">
        <v>22</v>
      </c>
      <c r="W118" s="940" t="s">
        <v>579</v>
      </c>
      <c r="X118" s="942" t="s">
        <v>21</v>
      </c>
      <c r="Y118" s="361"/>
      <c r="Z118" s="364"/>
      <c r="AA118"/>
      <c r="AB118"/>
      <c r="AC118"/>
      <c r="AD118"/>
      <c r="AE118"/>
      <c r="AF118"/>
      <c r="AG118"/>
    </row>
    <row r="119" spans="17:33" ht="12.75" customHeight="1">
      <c r="Q119" s="360"/>
      <c r="R119" s="1001"/>
      <c r="S119" s="1002"/>
      <c r="T119" s="1003"/>
      <c r="U119" s="950"/>
      <c r="V119" s="939"/>
      <c r="W119" s="941"/>
      <c r="X119" s="943"/>
      <c r="Y119" s="361"/>
      <c r="Z119" s="364"/>
      <c r="AA119"/>
      <c r="AB119"/>
      <c r="AC119"/>
      <c r="AD119"/>
      <c r="AE119"/>
      <c r="AF119"/>
      <c r="AG119"/>
    </row>
    <row r="120" spans="17:33" ht="12.75" customHeight="1">
      <c r="Q120" s="360"/>
      <c r="R120" s="969" t="s">
        <v>63</v>
      </c>
      <c r="S120" s="969"/>
      <c r="T120" s="969"/>
      <c r="U120" s="537">
        <f t="shared" ref="U120:X121" si="1">U108/60</f>
        <v>4.1666666666666664E-2</v>
      </c>
      <c r="V120" s="537">
        <f t="shared" si="1"/>
        <v>1.0416666666666666E-2</v>
      </c>
      <c r="W120" s="537">
        <f t="shared" si="1"/>
        <v>7.8125E-3</v>
      </c>
      <c r="X120" s="537">
        <f t="shared" si="1"/>
        <v>1.6276041666666667E-3</v>
      </c>
      <c r="Y120" s="361"/>
      <c r="Z120" s="364"/>
      <c r="AA120"/>
      <c r="AB120"/>
      <c r="AC120"/>
      <c r="AD120"/>
      <c r="AE120"/>
      <c r="AF120"/>
      <c r="AG120"/>
    </row>
    <row r="121" spans="17:33" ht="12.75" customHeight="1">
      <c r="Q121" s="360"/>
      <c r="R121" s="969" t="s">
        <v>64</v>
      </c>
      <c r="S121" s="969"/>
      <c r="T121" s="969"/>
      <c r="U121" s="537">
        <f t="shared" si="1"/>
        <v>0.83333333333333337</v>
      </c>
      <c r="V121" s="537">
        <f t="shared" si="1"/>
        <v>0.20833333333333334</v>
      </c>
      <c r="W121" s="537">
        <f t="shared" si="1"/>
        <v>0.16666666666666666</v>
      </c>
      <c r="X121" s="537">
        <f t="shared" si="1"/>
        <v>3.125E-2</v>
      </c>
      <c r="Y121" s="361"/>
      <c r="Z121" s="364"/>
      <c r="AA121"/>
      <c r="AB121"/>
      <c r="AC121"/>
      <c r="AD121"/>
      <c r="AE121"/>
      <c r="AF121"/>
      <c r="AG121"/>
    </row>
    <row r="122" spans="17:33" ht="12.75" customHeight="1">
      <c r="Q122" s="360"/>
      <c r="R122" s="363"/>
      <c r="S122" s="363"/>
      <c r="T122" s="363"/>
      <c r="U122" s="363"/>
      <c r="V122" s="363"/>
      <c r="W122" s="363"/>
      <c r="X122" s="363"/>
      <c r="Y122" s="363"/>
      <c r="Z122" s="364"/>
      <c r="AA122"/>
      <c r="AB122"/>
      <c r="AC122"/>
      <c r="AD122"/>
      <c r="AE122"/>
      <c r="AF122"/>
      <c r="AG122"/>
    </row>
    <row r="123" spans="17:33" ht="12.75" customHeight="1">
      <c r="Q123" s="546" t="s">
        <v>231</v>
      </c>
      <c r="R123" s="952" t="s">
        <v>232</v>
      </c>
      <c r="S123" s="952"/>
      <c r="T123" s="952"/>
      <c r="U123" s="952"/>
      <c r="V123" s="952"/>
      <c r="W123" s="952"/>
      <c r="X123" s="952"/>
      <c r="Y123" s="952"/>
      <c r="Z123" s="360"/>
      <c r="AA123"/>
      <c r="AB123"/>
      <c r="AC123"/>
      <c r="AD123"/>
      <c r="AE123"/>
      <c r="AF123"/>
      <c r="AG123"/>
    </row>
    <row r="124" spans="17:33" ht="12.75" customHeight="1">
      <c r="Q124" s="546"/>
      <c r="R124" s="360"/>
      <c r="S124" s="360"/>
      <c r="T124" s="360"/>
      <c r="U124" s="360"/>
      <c r="V124" s="360"/>
      <c r="W124" s="360"/>
      <c r="X124" s="360"/>
      <c r="Y124" s="360"/>
      <c r="Z124" s="360"/>
      <c r="AA124"/>
      <c r="AB124"/>
      <c r="AC124"/>
      <c r="AD124"/>
      <c r="AE124"/>
      <c r="AF124"/>
      <c r="AG124"/>
    </row>
    <row r="125" spans="17:33" ht="12.75" customHeight="1">
      <c r="Q125" s="546"/>
      <c r="R125" s="363" t="s">
        <v>233</v>
      </c>
      <c r="S125" s="363"/>
      <c r="T125" s="363"/>
      <c r="U125" s="363"/>
      <c r="V125" s="363"/>
      <c r="W125" s="363"/>
      <c r="X125" s="363"/>
      <c r="Y125" s="363"/>
      <c r="Z125" s="364"/>
      <c r="AA125"/>
      <c r="AB125"/>
      <c r="AC125"/>
      <c r="AD125"/>
      <c r="AE125"/>
      <c r="AF125"/>
      <c r="AG125"/>
    </row>
    <row r="126" spans="17:33" ht="12.75" customHeight="1">
      <c r="Q126" s="360"/>
      <c r="R126" s="998" t="s">
        <v>678</v>
      </c>
      <c r="S126" s="999"/>
      <c r="T126" s="1000"/>
      <c r="U126" s="949" t="s">
        <v>470</v>
      </c>
      <c r="V126" s="938" t="s">
        <v>22</v>
      </c>
      <c r="W126" s="940" t="s">
        <v>579</v>
      </c>
      <c r="X126" s="942" t="s">
        <v>21</v>
      </c>
      <c r="Y126" s="361"/>
      <c r="Z126" s="364"/>
      <c r="AA126"/>
      <c r="AB126"/>
      <c r="AC126"/>
      <c r="AD126"/>
      <c r="AE126"/>
      <c r="AF126"/>
      <c r="AG126"/>
    </row>
    <row r="127" spans="17:33" ht="12.75" customHeight="1">
      <c r="Q127" s="360"/>
      <c r="R127" s="1001"/>
      <c r="S127" s="1002"/>
      <c r="T127" s="1003"/>
      <c r="U127" s="950"/>
      <c r="V127" s="939"/>
      <c r="W127" s="941"/>
      <c r="X127" s="943"/>
      <c r="Y127" s="361"/>
      <c r="Z127" s="364"/>
      <c r="AA127"/>
      <c r="AB127"/>
      <c r="AC127"/>
      <c r="AD127"/>
      <c r="AE127"/>
      <c r="AF127"/>
      <c r="AG127"/>
    </row>
    <row r="128" spans="17:33" ht="12.75" customHeight="1">
      <c r="Q128" s="360"/>
      <c r="R128" s="969" t="s">
        <v>234</v>
      </c>
      <c r="S128" s="969"/>
      <c r="T128" s="969"/>
      <c r="U128" s="672">
        <v>8.3000000000000007</v>
      </c>
      <c r="V128" s="672">
        <f>VLOOKUP($V$5,'Lookup Vibration'!$B$8:$F$208,3)</f>
        <v>18.049999999999951</v>
      </c>
      <c r="W128" s="672">
        <f>VLOOKUP($V$5,'Lookup Vibration'!$B$8:$F$208,4)</f>
        <v>19.950000000000074</v>
      </c>
      <c r="X128" s="672">
        <f>VLOOKUP($V$5,'Lookup Vibration'!$B$8:$F$208,2)</f>
        <v>18.049999999999951</v>
      </c>
      <c r="Y128" s="361"/>
      <c r="Z128" s="364"/>
      <c r="AA128"/>
      <c r="AB128"/>
      <c r="AC128"/>
      <c r="AD128"/>
      <c r="AE128"/>
      <c r="AF128"/>
      <c r="AG128"/>
    </row>
    <row r="129" spans="17:33" ht="12.75" customHeight="1">
      <c r="Q129" s="360"/>
      <c r="R129" s="363"/>
      <c r="S129" s="363"/>
      <c r="T129" s="363"/>
      <c r="U129" s="363"/>
      <c r="V129" s="363"/>
      <c r="W129" s="363"/>
      <c r="X129" s="363"/>
      <c r="Y129" s="363"/>
      <c r="Z129" s="364"/>
      <c r="AA129"/>
      <c r="AB129"/>
      <c r="AC129"/>
      <c r="AD129"/>
      <c r="AE129"/>
      <c r="AF129"/>
      <c r="AG129"/>
    </row>
    <row r="130" spans="17:33" ht="12.75" customHeight="1">
      <c r="Q130" s="546" t="s">
        <v>235</v>
      </c>
      <c r="R130" s="952" t="s">
        <v>34</v>
      </c>
      <c r="S130" s="952"/>
      <c r="T130" s="952"/>
      <c r="U130" s="952"/>
      <c r="V130" s="952"/>
      <c r="W130" s="952"/>
      <c r="X130" s="952"/>
      <c r="Y130" s="952"/>
      <c r="Z130" s="360"/>
      <c r="AA130"/>
      <c r="AB130"/>
      <c r="AC130"/>
      <c r="AD130"/>
      <c r="AE130"/>
      <c r="AF130"/>
      <c r="AG130"/>
    </row>
    <row r="131" spans="17:33" ht="12.75" customHeight="1">
      <c r="Q131" s="546"/>
      <c r="R131" s="363"/>
      <c r="S131" s="363"/>
      <c r="T131" s="363"/>
      <c r="U131" s="363"/>
      <c r="V131" s="363"/>
      <c r="W131" s="363"/>
      <c r="X131" s="363"/>
      <c r="Y131" s="363"/>
      <c r="Z131" s="364"/>
      <c r="AA131"/>
      <c r="AB131"/>
      <c r="AC131"/>
      <c r="AD131"/>
      <c r="AE131"/>
      <c r="AF131"/>
      <c r="AG131"/>
    </row>
    <row r="132" spans="17:33" ht="12.75" customHeight="1">
      <c r="Q132" s="360"/>
      <c r="R132" s="998" t="s">
        <v>678</v>
      </c>
      <c r="S132" s="999"/>
      <c r="T132" s="1000"/>
      <c r="U132" s="949" t="s">
        <v>500</v>
      </c>
      <c r="V132" s="938" t="s">
        <v>22</v>
      </c>
      <c r="W132" s="940" t="s">
        <v>579</v>
      </c>
      <c r="X132" s="942" t="s">
        <v>21</v>
      </c>
      <c r="Y132" s="361"/>
      <c r="Z132" s="364"/>
      <c r="AA132"/>
      <c r="AB132"/>
      <c r="AC132"/>
      <c r="AD132"/>
      <c r="AE132"/>
      <c r="AF132"/>
      <c r="AG132"/>
    </row>
    <row r="133" spans="17:33" ht="12.75" customHeight="1">
      <c r="Q133" s="360"/>
      <c r="R133" s="1001"/>
      <c r="S133" s="1002"/>
      <c r="T133" s="1003"/>
      <c r="U133" s="950"/>
      <c r="V133" s="939"/>
      <c r="W133" s="941"/>
      <c r="X133" s="943"/>
      <c r="Y133" s="361"/>
      <c r="Z133" s="364"/>
      <c r="AA133"/>
      <c r="AB133"/>
      <c r="AC133"/>
      <c r="AD133"/>
      <c r="AE133"/>
      <c r="AF133"/>
      <c r="AG133"/>
    </row>
    <row r="134" spans="17:33" ht="12.75" customHeight="1">
      <c r="Q134" s="360"/>
      <c r="R134" s="1004" t="s">
        <v>298</v>
      </c>
      <c r="S134" s="1004"/>
      <c r="T134" s="1004"/>
      <c r="U134" s="673" t="s">
        <v>819</v>
      </c>
      <c r="V134" s="673" t="s">
        <v>818</v>
      </c>
      <c r="W134" s="673" t="s">
        <v>819</v>
      </c>
      <c r="X134" s="673" t="s">
        <v>818</v>
      </c>
      <c r="Y134" s="361"/>
      <c r="Z134" s="364"/>
      <c r="AA134"/>
      <c r="AB134"/>
      <c r="AC134"/>
      <c r="AD134"/>
      <c r="AE134"/>
      <c r="AF134"/>
      <c r="AG134"/>
    </row>
    <row r="135" spans="17:33" ht="12.75" customHeight="1">
      <c r="Q135" s="360"/>
      <c r="R135" s="931" t="s">
        <v>299</v>
      </c>
      <c r="S135" s="931"/>
      <c r="T135" s="931"/>
      <c r="U135" s="673" t="s">
        <v>297</v>
      </c>
      <c r="V135" s="673" t="s">
        <v>296</v>
      </c>
      <c r="W135" s="673" t="s">
        <v>296</v>
      </c>
      <c r="X135" s="673" t="s">
        <v>296</v>
      </c>
      <c r="Y135" s="361"/>
      <c r="Z135" s="364"/>
      <c r="AA135"/>
      <c r="AB135"/>
      <c r="AC135"/>
      <c r="AD135"/>
      <c r="AE135"/>
      <c r="AF135"/>
      <c r="AG135"/>
    </row>
    <row r="136" spans="17:33" ht="12.75" customHeight="1">
      <c r="Q136" s="360"/>
      <c r="R136" s="363"/>
      <c r="S136" s="363"/>
      <c r="T136" s="363"/>
      <c r="U136" s="363"/>
      <c r="V136" s="363"/>
      <c r="W136" s="363"/>
      <c r="X136" s="363"/>
      <c r="Y136" s="363"/>
      <c r="Z136" s="363"/>
      <c r="AA136"/>
      <c r="AB136"/>
      <c r="AC136"/>
      <c r="AD136"/>
      <c r="AE136"/>
      <c r="AF136"/>
      <c r="AG136"/>
    </row>
    <row r="137" spans="17:33" ht="12.75" customHeight="1">
      <c r="Q137" s="546" t="s">
        <v>236</v>
      </c>
      <c r="R137" s="952" t="s">
        <v>237</v>
      </c>
      <c r="S137" s="952"/>
      <c r="T137" s="952"/>
      <c r="U137" s="952"/>
      <c r="V137" s="952"/>
      <c r="W137" s="952"/>
      <c r="X137" s="952"/>
      <c r="Y137" s="952"/>
      <c r="Z137" s="360"/>
      <c r="AA137"/>
      <c r="AB137"/>
      <c r="AC137"/>
      <c r="AD137"/>
      <c r="AE137"/>
      <c r="AF137"/>
      <c r="AG137"/>
    </row>
    <row r="138" spans="17:33" ht="12.75" customHeight="1">
      <c r="Q138" s="360"/>
      <c r="R138" s="363"/>
      <c r="S138" s="363"/>
      <c r="T138" s="363"/>
      <c r="U138" s="363"/>
      <c r="V138" s="363"/>
      <c r="W138" s="363"/>
      <c r="X138" s="363"/>
      <c r="Y138" s="363"/>
      <c r="Z138" s="363"/>
      <c r="AA138"/>
      <c r="AB138"/>
      <c r="AC138"/>
      <c r="AD138"/>
      <c r="AE138"/>
      <c r="AF138"/>
      <c r="AG138"/>
    </row>
    <row r="139" spans="17:33" ht="12.75" customHeight="1">
      <c r="Q139" s="668" t="s">
        <v>238</v>
      </c>
      <c r="R139" s="364" t="s">
        <v>239</v>
      </c>
      <c r="S139" s="364"/>
      <c r="T139" s="364"/>
      <c r="U139" s="364"/>
      <c r="V139" s="364"/>
      <c r="W139" s="364"/>
      <c r="X139" s="364"/>
      <c r="Y139" s="364"/>
      <c r="Z139" s="364"/>
      <c r="AA139"/>
      <c r="AB139"/>
      <c r="AC139"/>
      <c r="AD139"/>
      <c r="AE139"/>
      <c r="AF139"/>
      <c r="AG139"/>
    </row>
    <row r="140" spans="17:33" ht="12.75" customHeight="1">
      <c r="Q140" s="668"/>
      <c r="R140" s="364" t="s">
        <v>469</v>
      </c>
      <c r="S140" s="364"/>
      <c r="T140" s="364"/>
      <c r="U140" s="364"/>
      <c r="V140" s="364"/>
      <c r="W140" s="364"/>
      <c r="X140" s="364"/>
      <c r="Y140" s="364"/>
      <c r="Z140" s="364"/>
      <c r="AA140"/>
      <c r="AB140"/>
      <c r="AC140"/>
      <c r="AD140"/>
      <c r="AE140"/>
      <c r="AF140"/>
      <c r="AG140"/>
    </row>
    <row r="141" spans="17:33" ht="12.75" customHeight="1">
      <c r="Q141" s="668"/>
      <c r="R141" s="364"/>
      <c r="S141" s="364"/>
      <c r="T141" s="364"/>
      <c r="U141" s="364"/>
      <c r="V141" s="364"/>
      <c r="W141" s="364"/>
      <c r="X141" s="364"/>
      <c r="Y141" s="364"/>
      <c r="Z141" s="364"/>
      <c r="AA141"/>
      <c r="AB141"/>
      <c r="AC141"/>
      <c r="AD141"/>
      <c r="AE141"/>
      <c r="AF141"/>
      <c r="AG141"/>
    </row>
    <row r="142" spans="17:33" ht="12.75" customHeight="1">
      <c r="Q142" s="668"/>
      <c r="R142" s="1005" t="s">
        <v>734</v>
      </c>
      <c r="S142" s="1006"/>
      <c r="T142" s="1006"/>
      <c r="U142" s="1006"/>
      <c r="V142" s="1006"/>
      <c r="W142" s="1007"/>
      <c r="X142" s="351">
        <f>'Compressor Input Data'!G5</f>
        <v>22800</v>
      </c>
      <c r="Y142" s="364"/>
      <c r="Z142" s="364"/>
      <c r="AA142"/>
      <c r="AB142"/>
      <c r="AC142"/>
      <c r="AD142"/>
      <c r="AE142"/>
      <c r="AF142"/>
      <c r="AG142"/>
    </row>
    <row r="143" spans="17:33" ht="12.75" customHeight="1">
      <c r="Q143" s="668"/>
      <c r="R143" s="990" t="s">
        <v>430</v>
      </c>
      <c r="S143" s="991"/>
      <c r="T143" s="992"/>
      <c r="U143" s="949" t="s">
        <v>500</v>
      </c>
      <c r="V143" s="938" t="s">
        <v>22</v>
      </c>
      <c r="W143" s="940" t="s">
        <v>579</v>
      </c>
      <c r="X143" s="942" t="s">
        <v>21</v>
      </c>
      <c r="Y143" s="361"/>
      <c r="Z143" s="364"/>
      <c r="AA143"/>
      <c r="AB143"/>
      <c r="AC143"/>
      <c r="AD143"/>
      <c r="AE143"/>
      <c r="AF143"/>
      <c r="AG143"/>
    </row>
    <row r="144" spans="17:33" ht="12.75" customHeight="1">
      <c r="Q144" s="668"/>
      <c r="R144" s="993"/>
      <c r="S144" s="994"/>
      <c r="T144" s="995"/>
      <c r="U144" s="950"/>
      <c r="V144" s="939"/>
      <c r="W144" s="941"/>
      <c r="X144" s="943"/>
      <c r="Y144" s="361"/>
      <c r="Z144" s="364"/>
      <c r="AA144"/>
      <c r="AB144"/>
      <c r="AC144"/>
      <c r="AD144"/>
      <c r="AE144"/>
      <c r="AF144"/>
      <c r="AG144"/>
    </row>
    <row r="145" spans="17:33" ht="12.75" customHeight="1">
      <c r="Q145" s="668"/>
      <c r="R145" s="973" t="s">
        <v>555</v>
      </c>
      <c r="S145" s="973"/>
      <c r="T145" s="973"/>
      <c r="U145" s="996"/>
      <c r="V145" s="544">
        <f>X145</f>
        <v>22800</v>
      </c>
      <c r="W145" s="544">
        <f>X145</f>
        <v>22800</v>
      </c>
      <c r="X145" s="544">
        <f>X142</f>
        <v>22800</v>
      </c>
      <c r="Y145" s="361"/>
      <c r="Z145" s="364"/>
      <c r="AA145"/>
      <c r="AB145"/>
      <c r="AC145"/>
      <c r="AD145"/>
      <c r="AE145"/>
      <c r="AF145"/>
      <c r="AG145"/>
    </row>
    <row r="146" spans="17:33" ht="12.75" customHeight="1">
      <c r="Q146" s="668"/>
      <c r="R146" s="973" t="s">
        <v>549</v>
      </c>
      <c r="S146" s="973"/>
      <c r="T146" s="973"/>
      <c r="U146" s="997"/>
      <c r="V146" s="544">
        <f>X146</f>
        <v>24</v>
      </c>
      <c r="W146" s="544">
        <f>V146</f>
        <v>24</v>
      </c>
      <c r="X146" s="544">
        <f>'Compressor Input Data'!J15</f>
        <v>24</v>
      </c>
      <c r="Y146" s="361"/>
      <c r="Z146" s="364"/>
      <c r="AA146"/>
      <c r="AB146"/>
      <c r="AC146"/>
      <c r="AD146"/>
      <c r="AE146"/>
      <c r="AF146"/>
      <c r="AG146"/>
    </row>
    <row r="147" spans="17:33" ht="12.75" customHeight="1">
      <c r="Q147" s="668"/>
      <c r="R147" s="970" t="s">
        <v>556</v>
      </c>
      <c r="S147" s="971"/>
      <c r="T147" s="972"/>
      <c r="U147" s="566">
        <f>U62</f>
        <v>2.6666666666666665</v>
      </c>
      <c r="V147" s="566">
        <f>V62</f>
        <v>1.9999999999999996</v>
      </c>
      <c r="W147" s="566">
        <f>W62</f>
        <v>1.7391304347826084</v>
      </c>
      <c r="X147" s="566">
        <f>X62</f>
        <v>1.4285714285714284</v>
      </c>
      <c r="Y147" s="361"/>
      <c r="Z147" s="364"/>
      <c r="AA147"/>
      <c r="AB147"/>
      <c r="AC147"/>
      <c r="AD147"/>
      <c r="AE147"/>
      <c r="AF147"/>
      <c r="AG147"/>
    </row>
    <row r="148" spans="17:33" ht="12.75" customHeight="1">
      <c r="Q148" s="668"/>
      <c r="R148" s="973" t="s">
        <v>575</v>
      </c>
      <c r="S148" s="973"/>
      <c r="T148" s="973"/>
      <c r="U148" s="531">
        <f>W148</f>
        <v>0.22500000000000001</v>
      </c>
      <c r="V148" s="531">
        <f>X148</f>
        <v>0.22500000000000001</v>
      </c>
      <c r="W148" s="531">
        <f>V148</f>
        <v>0.22500000000000001</v>
      </c>
      <c r="X148" s="531">
        <f>'Compressor Input Data'!J17</f>
        <v>0.22500000000000001</v>
      </c>
      <c r="Y148" s="361"/>
      <c r="Z148" s="364"/>
      <c r="AA148"/>
      <c r="AB148"/>
      <c r="AC148"/>
      <c r="AD148"/>
      <c r="AE148"/>
      <c r="AF148"/>
      <c r="AG148"/>
    </row>
    <row r="149" spans="17:33" ht="12.75" customHeight="1">
      <c r="Q149" s="668"/>
      <c r="R149" s="987"/>
      <c r="S149" s="988"/>
      <c r="T149" s="988"/>
      <c r="U149" s="988"/>
      <c r="V149" s="988"/>
      <c r="W149" s="988"/>
      <c r="X149" s="989"/>
      <c r="Y149" s="364"/>
      <c r="Z149" s="364"/>
      <c r="AA149"/>
      <c r="AB149"/>
      <c r="AC149"/>
      <c r="AD149"/>
      <c r="AE149"/>
      <c r="AF149"/>
      <c r="AG149"/>
    </row>
    <row r="150" spans="17:33" ht="12.75" customHeight="1">
      <c r="Q150" s="668"/>
      <c r="R150" s="990" t="s">
        <v>467</v>
      </c>
      <c r="S150" s="991"/>
      <c r="T150" s="992"/>
      <c r="U150" s="949" t="s">
        <v>500</v>
      </c>
      <c r="V150" s="938" t="s">
        <v>22</v>
      </c>
      <c r="W150" s="940" t="s">
        <v>579</v>
      </c>
      <c r="X150" s="942" t="s">
        <v>21</v>
      </c>
      <c r="Y150" s="361"/>
      <c r="Z150" s="364"/>
      <c r="AA150"/>
      <c r="AB150"/>
      <c r="AC150"/>
      <c r="AD150"/>
      <c r="AE150"/>
      <c r="AF150"/>
      <c r="AG150"/>
    </row>
    <row r="151" spans="17:33" ht="12.75" customHeight="1">
      <c r="Q151" s="668"/>
      <c r="R151" s="993"/>
      <c r="S151" s="994"/>
      <c r="T151" s="995"/>
      <c r="U151" s="950"/>
      <c r="V151" s="939"/>
      <c r="W151" s="941"/>
      <c r="X151" s="943"/>
      <c r="Y151" s="361"/>
      <c r="Z151" s="364"/>
      <c r="AA151"/>
      <c r="AB151"/>
      <c r="AC151"/>
      <c r="AD151"/>
      <c r="AE151"/>
      <c r="AF151"/>
      <c r="AG151"/>
    </row>
    <row r="152" spans="17:33" ht="12.75" customHeight="1">
      <c r="Q152" s="668"/>
      <c r="R152" s="973" t="s">
        <v>554</v>
      </c>
      <c r="S152" s="973"/>
      <c r="T152" s="973"/>
      <c r="U152" s="986"/>
      <c r="V152" s="569">
        <f>X152</f>
        <v>1</v>
      </c>
      <c r="W152" s="570">
        <f>V152</f>
        <v>1</v>
      </c>
      <c r="X152" s="570">
        <f>'Compressor Input Data'!J20</f>
        <v>1</v>
      </c>
      <c r="Y152" s="361"/>
      <c r="Z152" s="364"/>
      <c r="AA152"/>
      <c r="AB152"/>
      <c r="AC152"/>
      <c r="AD152"/>
      <c r="AE152"/>
      <c r="AF152"/>
      <c r="AG152"/>
    </row>
    <row r="153" spans="17:33" ht="12.75" customHeight="1">
      <c r="Q153" s="668"/>
      <c r="R153" s="983" t="s">
        <v>551</v>
      </c>
      <c r="S153" s="984"/>
      <c r="T153" s="985"/>
      <c r="U153" s="986"/>
      <c r="V153" s="571">
        <f>V147/V146</f>
        <v>8.3333333333333315E-2</v>
      </c>
      <c r="W153" s="571">
        <f>W147/W146</f>
        <v>7.2463768115942018E-2</v>
      </c>
      <c r="X153" s="571">
        <f>X147/X146</f>
        <v>5.9523809523809514E-2</v>
      </c>
      <c r="Y153" s="361"/>
      <c r="Z153" s="364"/>
      <c r="AA153"/>
      <c r="AB153"/>
      <c r="AC153"/>
      <c r="AD153"/>
      <c r="AE153"/>
      <c r="AF153"/>
      <c r="AG153"/>
    </row>
    <row r="154" spans="17:33" ht="12.75" customHeight="1">
      <c r="Q154" s="668"/>
      <c r="R154" s="973" t="s">
        <v>552</v>
      </c>
      <c r="S154" s="973"/>
      <c r="T154" s="973"/>
      <c r="U154" s="986"/>
      <c r="V154" s="572">
        <f>X154</f>
        <v>0.6</v>
      </c>
      <c r="W154" s="572">
        <f>V154</f>
        <v>0.6</v>
      </c>
      <c r="X154" s="572">
        <f>'Compressor Input Data'!J22</f>
        <v>0.6</v>
      </c>
      <c r="Y154" s="361"/>
      <c r="Z154" s="364"/>
      <c r="AA154"/>
      <c r="AB154"/>
      <c r="AC154"/>
      <c r="AD154"/>
      <c r="AE154"/>
      <c r="AF154"/>
      <c r="AG154"/>
    </row>
    <row r="155" spans="17:33" ht="12.75" customHeight="1">
      <c r="Q155" s="668"/>
      <c r="R155" s="987"/>
      <c r="S155" s="988"/>
      <c r="T155" s="988"/>
      <c r="U155" s="988"/>
      <c r="V155" s="988"/>
      <c r="W155" s="988"/>
      <c r="X155" s="989"/>
      <c r="Y155" s="364"/>
      <c r="Z155" s="364"/>
      <c r="AA155"/>
      <c r="AB155"/>
      <c r="AC155"/>
      <c r="AD155"/>
      <c r="AE155"/>
      <c r="AF155"/>
      <c r="AG155"/>
    </row>
    <row r="156" spans="17:33" ht="12.75" customHeight="1">
      <c r="Q156" s="668"/>
      <c r="R156" s="990" t="s">
        <v>468</v>
      </c>
      <c r="S156" s="991"/>
      <c r="T156" s="992"/>
      <c r="U156" s="949" t="s">
        <v>500</v>
      </c>
      <c r="V156" s="938" t="s">
        <v>22</v>
      </c>
      <c r="W156" s="940" t="s">
        <v>579</v>
      </c>
      <c r="X156" s="942" t="s">
        <v>21</v>
      </c>
      <c r="Y156" s="361"/>
      <c r="Z156" s="364"/>
      <c r="AA156"/>
      <c r="AB156"/>
      <c r="AC156"/>
      <c r="AD156"/>
      <c r="AE156"/>
      <c r="AF156"/>
      <c r="AG156"/>
    </row>
    <row r="157" spans="17:33" ht="12.75" customHeight="1">
      <c r="Q157" s="668"/>
      <c r="R157" s="993"/>
      <c r="S157" s="994"/>
      <c r="T157" s="995"/>
      <c r="U157" s="950"/>
      <c r="V157" s="939"/>
      <c r="W157" s="941"/>
      <c r="X157" s="943"/>
      <c r="Y157" s="361"/>
      <c r="Z157" s="364"/>
      <c r="AA157"/>
      <c r="AB157"/>
      <c r="AC157"/>
      <c r="AD157"/>
      <c r="AE157"/>
      <c r="AF157"/>
      <c r="AG157"/>
    </row>
    <row r="158" spans="17:33" ht="12.75" customHeight="1">
      <c r="Q158" s="668"/>
      <c r="R158" s="973" t="s">
        <v>554</v>
      </c>
      <c r="S158" s="973"/>
      <c r="T158" s="973"/>
      <c r="U158" s="980"/>
      <c r="V158" s="572">
        <f>X158</f>
        <v>0.5</v>
      </c>
      <c r="W158" s="572">
        <f>V158</f>
        <v>0.5</v>
      </c>
      <c r="X158" s="572">
        <f>'Compressor Input Data'!J25</f>
        <v>0.5</v>
      </c>
      <c r="Y158" s="361"/>
      <c r="Z158" s="364"/>
      <c r="AA158"/>
      <c r="AB158"/>
      <c r="AC158"/>
      <c r="AD158"/>
      <c r="AE158"/>
      <c r="AF158"/>
      <c r="AG158"/>
    </row>
    <row r="159" spans="17:33" ht="12.75" customHeight="1">
      <c r="Q159" s="668"/>
      <c r="R159" s="983" t="s">
        <v>551</v>
      </c>
      <c r="S159" s="984"/>
      <c r="T159" s="985"/>
      <c r="U159" s="981"/>
      <c r="V159" s="572">
        <f>V152-V153</f>
        <v>0.91666666666666674</v>
      </c>
      <c r="W159" s="572">
        <f>W152-W153</f>
        <v>0.92753623188405798</v>
      </c>
      <c r="X159" s="572">
        <f>X152-X153</f>
        <v>0.94047619047619047</v>
      </c>
      <c r="Y159" s="361"/>
      <c r="Z159" s="364"/>
      <c r="AA159"/>
      <c r="AB159"/>
      <c r="AC159"/>
      <c r="AD159"/>
      <c r="AE159"/>
      <c r="AF159"/>
      <c r="AG159"/>
    </row>
    <row r="160" spans="17:33" ht="12.75" customHeight="1">
      <c r="Q160" s="668"/>
      <c r="R160" s="973" t="s">
        <v>552</v>
      </c>
      <c r="S160" s="973"/>
      <c r="T160" s="973"/>
      <c r="U160" s="982"/>
      <c r="V160" s="572">
        <f>X160</f>
        <v>0.6</v>
      </c>
      <c r="W160" s="572">
        <f>V160</f>
        <v>0.6</v>
      </c>
      <c r="X160" s="572">
        <f>'Compressor Input Data'!J27</f>
        <v>0.6</v>
      </c>
      <c r="Y160" s="361"/>
      <c r="Z160" s="364"/>
      <c r="AA160"/>
      <c r="AB160"/>
      <c r="AC160"/>
      <c r="AD160"/>
      <c r="AE160"/>
      <c r="AF160"/>
      <c r="AG160"/>
    </row>
    <row r="161" spans="17:33" ht="12.75" customHeight="1">
      <c r="Q161" s="668"/>
      <c r="R161" s="567"/>
      <c r="S161" s="568"/>
      <c r="T161" s="568"/>
      <c r="U161" s="573"/>
      <c r="V161" s="573"/>
      <c r="W161" s="573"/>
      <c r="X161" s="574"/>
      <c r="Y161" s="364"/>
      <c r="Z161" s="364"/>
      <c r="AA161"/>
      <c r="AB161"/>
      <c r="AC161"/>
      <c r="AD161"/>
      <c r="AE161"/>
      <c r="AF161"/>
      <c r="AG161"/>
    </row>
    <row r="162" spans="17:33" ht="12.75" customHeight="1">
      <c r="Q162" s="668"/>
      <c r="R162" s="901" t="s">
        <v>471</v>
      </c>
      <c r="S162" s="901"/>
      <c r="T162" s="901"/>
      <c r="U162" s="930" t="s">
        <v>500</v>
      </c>
      <c r="V162" s="928" t="s">
        <v>22</v>
      </c>
      <c r="W162" s="929" t="s">
        <v>579</v>
      </c>
      <c r="X162" s="927" t="s">
        <v>21</v>
      </c>
      <c r="Y162" s="361"/>
      <c r="Z162" s="364"/>
      <c r="AA162"/>
      <c r="AB162"/>
      <c r="AC162"/>
      <c r="AD162"/>
      <c r="AE162"/>
      <c r="AF162"/>
      <c r="AG162"/>
    </row>
    <row r="163" spans="17:33" ht="12.75" customHeight="1">
      <c r="Q163" s="668"/>
      <c r="R163" s="901"/>
      <c r="S163" s="901"/>
      <c r="T163" s="901"/>
      <c r="U163" s="930"/>
      <c r="V163" s="928"/>
      <c r="W163" s="929"/>
      <c r="X163" s="927"/>
      <c r="Y163" s="361"/>
      <c r="Z163" s="364"/>
      <c r="AA163"/>
      <c r="AB163"/>
      <c r="AC163"/>
      <c r="AD163"/>
      <c r="AE163"/>
      <c r="AF163"/>
      <c r="AG163"/>
    </row>
    <row r="164" spans="17:33" ht="12.75" customHeight="1">
      <c r="Q164" s="668"/>
      <c r="R164" s="973" t="s">
        <v>472</v>
      </c>
      <c r="S164" s="973"/>
      <c r="T164" s="973"/>
      <c r="U164" s="544">
        <f>$V$224</f>
        <v>938.66666666666674</v>
      </c>
      <c r="V164" s="544">
        <f>($V$145*$V$146*$V$153*$V$152)/$V$154</f>
        <v>75999.999999999985</v>
      </c>
      <c r="W164" s="544">
        <f>($W$145*$W$146*$W$153*$W$152)/$W$154</f>
        <v>66086.956521739121</v>
      </c>
      <c r="X164" s="544">
        <f>($X$145*$X$146*$X$153*$X$152)/$X$154</f>
        <v>54285.714285714275</v>
      </c>
      <c r="Y164" s="361"/>
      <c r="Z164" s="364"/>
      <c r="AA164"/>
      <c r="AB164"/>
      <c r="AC164"/>
      <c r="AD164"/>
      <c r="AE164"/>
      <c r="AF164"/>
      <c r="AG164"/>
    </row>
    <row r="165" spans="17:33" ht="12.75" customHeight="1">
      <c r="Q165" s="668"/>
      <c r="R165" s="973" t="s">
        <v>473</v>
      </c>
      <c r="S165" s="973"/>
      <c r="T165" s="973"/>
      <c r="U165" s="543"/>
      <c r="V165" s="544">
        <f>($V$145*$V$146*$V$159*$V$158)/$V$160</f>
        <v>418000.00000000006</v>
      </c>
      <c r="W165" s="544">
        <f>($W$145*$W$146*$W$159*$W$158)/$W$160</f>
        <v>422956.52173913049</v>
      </c>
      <c r="X165" s="544">
        <f>($X$145*$X$146*$X$159*$X$158)/$X$160</f>
        <v>428857.14285714284</v>
      </c>
      <c r="Y165" s="361"/>
      <c r="Z165" s="364"/>
      <c r="AA165"/>
      <c r="AB165"/>
      <c r="AC165"/>
      <c r="AD165"/>
      <c r="AE165"/>
      <c r="AF165"/>
      <c r="AG165"/>
    </row>
    <row r="166" spans="17:33" ht="12.75" customHeight="1">
      <c r="Q166" s="668"/>
      <c r="R166" s="567"/>
      <c r="S166" s="568"/>
      <c r="T166" s="568"/>
      <c r="U166" s="573"/>
      <c r="V166" s="573"/>
      <c r="W166" s="573"/>
      <c r="X166" s="574"/>
      <c r="Y166" s="364"/>
      <c r="Z166" s="364"/>
      <c r="AA166"/>
      <c r="AB166"/>
      <c r="AC166"/>
      <c r="AD166"/>
      <c r="AE166"/>
      <c r="AF166"/>
      <c r="AG166"/>
    </row>
    <row r="167" spans="17:33" ht="12.75" customHeight="1">
      <c r="Q167" s="668"/>
      <c r="R167" s="901" t="s">
        <v>474</v>
      </c>
      <c r="S167" s="901"/>
      <c r="T167" s="901"/>
      <c r="U167" s="930" t="s">
        <v>500</v>
      </c>
      <c r="V167" s="928" t="s">
        <v>22</v>
      </c>
      <c r="W167" s="929" t="s">
        <v>579</v>
      </c>
      <c r="X167" s="927" t="s">
        <v>21</v>
      </c>
      <c r="Y167" s="361"/>
      <c r="Z167" s="364"/>
      <c r="AA167"/>
      <c r="AB167"/>
      <c r="AC167"/>
      <c r="AD167"/>
      <c r="AE167"/>
      <c r="AF167"/>
      <c r="AG167"/>
    </row>
    <row r="168" spans="17:33" ht="12.75" customHeight="1">
      <c r="Q168" s="668"/>
      <c r="R168" s="901"/>
      <c r="S168" s="901"/>
      <c r="T168" s="901"/>
      <c r="U168" s="930"/>
      <c r="V168" s="928"/>
      <c r="W168" s="929"/>
      <c r="X168" s="927"/>
      <c r="Y168" s="361"/>
      <c r="Z168" s="364"/>
      <c r="AA168"/>
      <c r="AB168"/>
      <c r="AC168"/>
      <c r="AD168"/>
      <c r="AE168"/>
      <c r="AF168"/>
      <c r="AG168"/>
    </row>
    <row r="169" spans="17:33" ht="12.75" customHeight="1">
      <c r="Q169" s="668"/>
      <c r="R169" s="973" t="s">
        <v>472</v>
      </c>
      <c r="S169" s="973"/>
      <c r="T169" s="973"/>
      <c r="U169" s="544">
        <f>U164*$V$11</f>
        <v>21589.333333333336</v>
      </c>
      <c r="V169" s="544">
        <f>V164*$V$11</f>
        <v>1747999.9999999998</v>
      </c>
      <c r="W169" s="544">
        <f>W164*$V$11</f>
        <v>1519999.9999999998</v>
      </c>
      <c r="X169" s="544">
        <f>X164*$V$11</f>
        <v>1248571.4285714284</v>
      </c>
      <c r="Y169" s="361"/>
      <c r="Z169" s="364"/>
      <c r="AA169"/>
      <c r="AB169"/>
      <c r="AC169"/>
      <c r="AD169"/>
      <c r="AE169"/>
      <c r="AF169"/>
      <c r="AG169"/>
    </row>
    <row r="170" spans="17:33" ht="12.75" customHeight="1">
      <c r="Q170" s="668"/>
      <c r="R170" s="973" t="s">
        <v>473</v>
      </c>
      <c r="S170" s="973"/>
      <c r="T170" s="973"/>
      <c r="U170" s="543"/>
      <c r="V170" s="544">
        <f>V165*$V$11</f>
        <v>9614000.0000000019</v>
      </c>
      <c r="W170" s="544">
        <f>W165*$V$11</f>
        <v>9728000.0000000019</v>
      </c>
      <c r="X170" s="544">
        <f>X165*$V$11</f>
        <v>9863714.2857142854</v>
      </c>
      <c r="Y170" s="361"/>
      <c r="Z170" s="364"/>
      <c r="AA170"/>
      <c r="AB170"/>
      <c r="AC170"/>
      <c r="AD170"/>
      <c r="AE170"/>
      <c r="AF170"/>
      <c r="AG170"/>
    </row>
    <row r="171" spans="17:33" ht="12.75" customHeight="1">
      <c r="Q171" s="668"/>
      <c r="R171" s="567"/>
      <c r="S171" s="568"/>
      <c r="T171" s="568"/>
      <c r="U171" s="573"/>
      <c r="V171" s="573"/>
      <c r="W171" s="573"/>
      <c r="X171" s="574"/>
      <c r="Y171" s="364"/>
      <c r="Z171" s="364"/>
      <c r="AA171"/>
      <c r="AB171"/>
      <c r="AC171"/>
      <c r="AD171"/>
      <c r="AE171"/>
      <c r="AF171"/>
      <c r="AG171"/>
    </row>
    <row r="172" spans="17:33" ht="12.75" customHeight="1">
      <c r="Q172" s="668"/>
      <c r="R172" s="901" t="s">
        <v>474</v>
      </c>
      <c r="S172" s="901"/>
      <c r="T172" s="901"/>
      <c r="U172" s="930" t="s">
        <v>500</v>
      </c>
      <c r="V172" s="928" t="s">
        <v>22</v>
      </c>
      <c r="W172" s="929" t="s">
        <v>579</v>
      </c>
      <c r="X172" s="927" t="s">
        <v>21</v>
      </c>
      <c r="Y172" s="361"/>
      <c r="Z172" s="364"/>
      <c r="AA172"/>
      <c r="AB172"/>
      <c r="AC172"/>
      <c r="AD172"/>
      <c r="AE172"/>
      <c r="AF172"/>
      <c r="AG172"/>
    </row>
    <row r="173" spans="17:33" ht="12.75" customHeight="1">
      <c r="Q173" s="668"/>
      <c r="R173" s="901"/>
      <c r="S173" s="901"/>
      <c r="T173" s="901"/>
      <c r="U173" s="930"/>
      <c r="V173" s="928"/>
      <c r="W173" s="929"/>
      <c r="X173" s="927"/>
      <c r="Y173" s="361"/>
      <c r="Z173" s="364"/>
      <c r="AA173"/>
      <c r="AB173"/>
      <c r="AC173"/>
      <c r="AD173"/>
      <c r="AE173"/>
      <c r="AF173"/>
      <c r="AG173"/>
    </row>
    <row r="174" spans="17:33" ht="12.75" customHeight="1">
      <c r="Q174" s="668"/>
      <c r="R174" s="973" t="s">
        <v>472</v>
      </c>
      <c r="S174" s="973"/>
      <c r="T174" s="973"/>
      <c r="U174" s="544">
        <f>U169*12</f>
        <v>259072.00000000003</v>
      </c>
      <c r="V174" s="544">
        <f>V169*12</f>
        <v>20975999.999999996</v>
      </c>
      <c r="W174" s="544">
        <f>W169*12</f>
        <v>18239999.999999996</v>
      </c>
      <c r="X174" s="544">
        <f>X169*12</f>
        <v>14982857.142857142</v>
      </c>
      <c r="Y174" s="361"/>
      <c r="Z174" s="364"/>
      <c r="AA174"/>
      <c r="AB174"/>
      <c r="AC174"/>
      <c r="AD174"/>
      <c r="AE174"/>
      <c r="AF174"/>
      <c r="AG174"/>
    </row>
    <row r="175" spans="17:33" ht="12.75" customHeight="1">
      <c r="Q175" s="668"/>
      <c r="R175" s="973" t="s">
        <v>473</v>
      </c>
      <c r="S175" s="973"/>
      <c r="T175" s="973"/>
      <c r="U175" s="543"/>
      <c r="V175" s="544">
        <f>V170*12</f>
        <v>115368000.00000003</v>
      </c>
      <c r="W175" s="544">
        <f>W170*12</f>
        <v>116736000.00000003</v>
      </c>
      <c r="X175" s="544">
        <f>X170*12</f>
        <v>118364571.42857143</v>
      </c>
      <c r="Y175" s="361"/>
      <c r="Z175" s="364"/>
      <c r="AA175"/>
      <c r="AB175"/>
      <c r="AC175"/>
      <c r="AD175"/>
      <c r="AE175"/>
      <c r="AF175"/>
      <c r="AG175"/>
    </row>
    <row r="176" spans="17:33" ht="12.75" customHeight="1">
      <c r="Q176" s="668"/>
      <c r="R176" s="381"/>
      <c r="S176" s="381"/>
      <c r="T176" s="381"/>
      <c r="U176" s="381"/>
      <c r="V176" s="381"/>
      <c r="W176" s="381"/>
      <c r="X176" s="381"/>
      <c r="Y176" s="364"/>
      <c r="Z176" s="364"/>
      <c r="AA176"/>
      <c r="AB176"/>
      <c r="AC176"/>
      <c r="AD176"/>
      <c r="AE176"/>
      <c r="AF176"/>
      <c r="AG176"/>
    </row>
    <row r="177" spans="17:33" ht="12.75" customHeight="1">
      <c r="Q177" s="668"/>
      <c r="R177" s="901" t="s">
        <v>433</v>
      </c>
      <c r="S177" s="901"/>
      <c r="T177" s="901"/>
      <c r="U177" s="949" t="s">
        <v>500</v>
      </c>
      <c r="V177" s="938" t="s">
        <v>22</v>
      </c>
      <c r="W177" s="940" t="s">
        <v>579</v>
      </c>
      <c r="X177" s="942" t="s">
        <v>21</v>
      </c>
      <c r="Y177" s="361"/>
      <c r="Z177" s="364"/>
      <c r="AA177"/>
      <c r="AB177"/>
      <c r="AC177"/>
      <c r="AD177"/>
      <c r="AE177"/>
      <c r="AF177"/>
      <c r="AG177"/>
    </row>
    <row r="178" spans="17:33" ht="12.75" customHeight="1">
      <c r="Q178" s="668"/>
      <c r="R178" s="901"/>
      <c r="S178" s="901"/>
      <c r="T178" s="901"/>
      <c r="U178" s="950"/>
      <c r="V178" s="939"/>
      <c r="W178" s="941"/>
      <c r="X178" s="943"/>
      <c r="Y178" s="361"/>
      <c r="Z178" s="364"/>
      <c r="AA178"/>
      <c r="AB178"/>
      <c r="AC178"/>
      <c r="AD178"/>
      <c r="AE178"/>
      <c r="AF178"/>
      <c r="AG178"/>
    </row>
    <row r="179" spans="17:33" ht="12.75" customHeight="1">
      <c r="Q179" s="668"/>
      <c r="R179" s="970" t="s">
        <v>459</v>
      </c>
      <c r="S179" s="971"/>
      <c r="T179" s="972"/>
      <c r="U179" s="544">
        <f>U164</f>
        <v>938.66666666666674</v>
      </c>
      <c r="V179" s="544">
        <f>V164+V165</f>
        <v>494000.00000000006</v>
      </c>
      <c r="W179" s="544">
        <f>W164+W165</f>
        <v>489043.47826086963</v>
      </c>
      <c r="X179" s="544">
        <f>X164+X165</f>
        <v>483142.8571428571</v>
      </c>
      <c r="Y179" s="361"/>
      <c r="Z179" s="364"/>
      <c r="AA179"/>
      <c r="AB179"/>
      <c r="AC179"/>
      <c r="AD179"/>
      <c r="AE179"/>
      <c r="AF179"/>
      <c r="AG179"/>
    </row>
    <row r="180" spans="17:33" ht="12.75" customHeight="1">
      <c r="Q180" s="668"/>
      <c r="R180" s="973" t="s">
        <v>307</v>
      </c>
      <c r="S180" s="973"/>
      <c r="T180" s="973"/>
      <c r="U180" s="544">
        <f>U169</f>
        <v>21589.333333333336</v>
      </c>
      <c r="V180" s="544">
        <f>V169+V170</f>
        <v>11362000.000000002</v>
      </c>
      <c r="W180" s="544">
        <f>W169+W170</f>
        <v>11248000.000000002</v>
      </c>
      <c r="X180" s="544">
        <f>X169+X170</f>
        <v>11112285.714285715</v>
      </c>
      <c r="Y180" s="361"/>
      <c r="Z180" s="364"/>
      <c r="AA180"/>
      <c r="AB180"/>
      <c r="AC180"/>
      <c r="AD180"/>
      <c r="AE180"/>
      <c r="AF180"/>
      <c r="AG180"/>
    </row>
    <row r="181" spans="17:33" ht="12.75" customHeight="1">
      <c r="Q181" s="668"/>
      <c r="R181" s="973" t="s">
        <v>308</v>
      </c>
      <c r="S181" s="973"/>
      <c r="T181" s="973"/>
      <c r="U181" s="544">
        <f>U174</f>
        <v>259072.00000000003</v>
      </c>
      <c r="V181" s="544">
        <f>V174+V175</f>
        <v>136344000.00000003</v>
      </c>
      <c r="W181" s="544">
        <f>W174+W175</f>
        <v>134976000.00000003</v>
      </c>
      <c r="X181" s="544">
        <f>X174+X175</f>
        <v>133347428.57142857</v>
      </c>
      <c r="Y181" s="361"/>
      <c r="Z181" s="364"/>
      <c r="AA181"/>
      <c r="AB181"/>
      <c r="AC181"/>
      <c r="AD181"/>
      <c r="AE181"/>
      <c r="AF181"/>
      <c r="AG181"/>
    </row>
    <row r="182" spans="17:33" ht="12.75" customHeight="1">
      <c r="Q182" s="668"/>
      <c r="R182" s="381"/>
      <c r="S182" s="381"/>
      <c r="T182" s="381"/>
      <c r="U182" s="381"/>
      <c r="V182" s="381"/>
      <c r="W182" s="381"/>
      <c r="X182" s="381"/>
      <c r="Y182" s="364"/>
      <c r="Z182" s="364"/>
      <c r="AA182"/>
      <c r="AB182"/>
      <c r="AC182"/>
      <c r="AD182"/>
      <c r="AE182"/>
      <c r="AF182"/>
      <c r="AG182"/>
    </row>
    <row r="183" spans="17:33" ht="12.75" customHeight="1">
      <c r="Q183" s="668"/>
      <c r="R183" s="901" t="s">
        <v>475</v>
      </c>
      <c r="S183" s="901"/>
      <c r="T183" s="901"/>
      <c r="U183" s="930" t="s">
        <v>500</v>
      </c>
      <c r="V183" s="928" t="s">
        <v>22</v>
      </c>
      <c r="W183" s="929" t="s">
        <v>579</v>
      </c>
      <c r="X183" s="927" t="s">
        <v>21</v>
      </c>
      <c r="Y183" s="361"/>
      <c r="Z183" s="364"/>
      <c r="AA183"/>
      <c r="AB183"/>
      <c r="AC183"/>
      <c r="AD183"/>
      <c r="AE183"/>
      <c r="AF183"/>
      <c r="AG183"/>
    </row>
    <row r="184" spans="17:33" ht="12.75" customHeight="1">
      <c r="Q184" s="668"/>
      <c r="R184" s="901"/>
      <c r="S184" s="901"/>
      <c r="T184" s="901"/>
      <c r="U184" s="930"/>
      <c r="V184" s="928"/>
      <c r="W184" s="929"/>
      <c r="X184" s="927"/>
      <c r="Y184" s="361"/>
      <c r="Z184" s="364"/>
      <c r="AA184"/>
      <c r="AB184"/>
      <c r="AC184"/>
      <c r="AD184"/>
      <c r="AE184"/>
      <c r="AF184"/>
      <c r="AG184"/>
    </row>
    <row r="185" spans="17:33" ht="12.75" customHeight="1">
      <c r="Q185" s="668"/>
      <c r="R185" s="973" t="s">
        <v>472</v>
      </c>
      <c r="S185" s="973"/>
      <c r="T185" s="973"/>
      <c r="U185" s="593">
        <f>$V$224*$U$148</f>
        <v>211.20000000000002</v>
      </c>
      <c r="V185" s="593">
        <f>($V$145*$V$146*$V$153*$V$152*$V$148)/$V$154</f>
        <v>17099.999999999996</v>
      </c>
      <c r="W185" s="593">
        <f>($W$145*$W$146*$W$153*$W$152*$W$148)/$W$154</f>
        <v>14869.565217391304</v>
      </c>
      <c r="X185" s="593">
        <f>($X$145*$X$146*$X$153*$X$152*$X$148)/$X$154</f>
        <v>12214.285714285714</v>
      </c>
      <c r="Y185" s="361"/>
      <c r="Z185" s="364"/>
      <c r="AA185"/>
      <c r="AB185"/>
      <c r="AC185"/>
      <c r="AD185"/>
      <c r="AE185"/>
      <c r="AF185"/>
      <c r="AG185"/>
    </row>
    <row r="186" spans="17:33" ht="12.75" customHeight="1">
      <c r="Q186" s="668"/>
      <c r="R186" s="973" t="s">
        <v>473</v>
      </c>
      <c r="S186" s="973"/>
      <c r="T186" s="973"/>
      <c r="U186" s="543"/>
      <c r="V186" s="593">
        <f>($V$145*$V$146*$V$159*$V$158*$V$148)/$V$160</f>
        <v>94050.000000000015</v>
      </c>
      <c r="W186" s="593">
        <f>($W$145*$W$146*$W$159*$W$158*$W$148)/$W$160</f>
        <v>95165.217391304366</v>
      </c>
      <c r="X186" s="593">
        <f>($X$145*$X$146*$X$159*$X$158*$X$148)/$X$160</f>
        <v>96492.857142857145</v>
      </c>
      <c r="Y186" s="361"/>
      <c r="Z186" s="364"/>
      <c r="AA186"/>
      <c r="AB186"/>
      <c r="AC186"/>
      <c r="AD186"/>
      <c r="AE186"/>
      <c r="AF186"/>
      <c r="AG186"/>
    </row>
    <row r="187" spans="17:33" ht="12.75" customHeight="1">
      <c r="Q187" s="668"/>
      <c r="R187" s="381"/>
      <c r="S187" s="381"/>
      <c r="T187" s="381"/>
      <c r="U187" s="381"/>
      <c r="V187" s="381"/>
      <c r="W187" s="381"/>
      <c r="X187" s="381"/>
      <c r="Y187" s="552"/>
      <c r="Z187" s="364"/>
      <c r="AA187"/>
      <c r="AB187"/>
      <c r="AC187"/>
      <c r="AD187"/>
      <c r="AE187"/>
      <c r="AF187"/>
      <c r="AG187"/>
    </row>
    <row r="188" spans="17:33" ht="12.75" customHeight="1">
      <c r="Q188" s="668"/>
      <c r="R188" s="901" t="s">
        <v>476</v>
      </c>
      <c r="S188" s="901"/>
      <c r="T188" s="901"/>
      <c r="U188" s="930" t="s">
        <v>500</v>
      </c>
      <c r="V188" s="928" t="s">
        <v>22</v>
      </c>
      <c r="W188" s="929" t="s">
        <v>579</v>
      </c>
      <c r="X188" s="927" t="s">
        <v>21</v>
      </c>
      <c r="Y188" s="361"/>
      <c r="Z188" s="364"/>
      <c r="AA188"/>
      <c r="AB188"/>
      <c r="AC188"/>
      <c r="AD188"/>
      <c r="AE188"/>
      <c r="AF188"/>
      <c r="AG188"/>
    </row>
    <row r="189" spans="17:33" ht="12.75" customHeight="1">
      <c r="Q189" s="668"/>
      <c r="R189" s="901"/>
      <c r="S189" s="901"/>
      <c r="T189" s="901"/>
      <c r="U189" s="930"/>
      <c r="V189" s="928"/>
      <c r="W189" s="929"/>
      <c r="X189" s="927"/>
      <c r="Y189" s="361"/>
      <c r="Z189" s="364"/>
      <c r="AA189"/>
      <c r="AB189"/>
      <c r="AC189"/>
      <c r="AD189"/>
      <c r="AE189"/>
      <c r="AF189"/>
      <c r="AG189"/>
    </row>
    <row r="190" spans="17:33" ht="12.75" customHeight="1">
      <c r="Q190" s="668"/>
      <c r="R190" s="973" t="s">
        <v>472</v>
      </c>
      <c r="S190" s="973"/>
      <c r="T190" s="973"/>
      <c r="U190" s="593">
        <f>U185*$V$11</f>
        <v>4857.6000000000004</v>
      </c>
      <c r="V190" s="593">
        <f>V185*$V$11</f>
        <v>393299.99999999994</v>
      </c>
      <c r="W190" s="593">
        <f>W185*$V$11</f>
        <v>342000</v>
      </c>
      <c r="X190" s="593">
        <f>X185*$V$11</f>
        <v>280928.57142857142</v>
      </c>
      <c r="Y190" s="361"/>
      <c r="Z190" s="364"/>
      <c r="AA190"/>
      <c r="AB190"/>
      <c r="AC190"/>
      <c r="AD190"/>
      <c r="AE190"/>
      <c r="AF190"/>
      <c r="AG190"/>
    </row>
    <row r="191" spans="17:33" ht="12.75" customHeight="1">
      <c r="Q191" s="668"/>
      <c r="R191" s="973" t="s">
        <v>473</v>
      </c>
      <c r="S191" s="973"/>
      <c r="T191" s="973"/>
      <c r="U191" s="543"/>
      <c r="V191" s="593">
        <f>V186*$V$11</f>
        <v>2163150.0000000005</v>
      </c>
      <c r="W191" s="593">
        <f>W186*$V$11</f>
        <v>2188800.0000000005</v>
      </c>
      <c r="X191" s="593">
        <f>X186*$V$11</f>
        <v>2219335.7142857146</v>
      </c>
      <c r="Y191" s="361"/>
      <c r="Z191" s="364"/>
      <c r="AA191"/>
      <c r="AB191"/>
      <c r="AC191"/>
      <c r="AD191"/>
      <c r="AE191"/>
      <c r="AF191"/>
      <c r="AG191"/>
    </row>
    <row r="192" spans="17:33" ht="12.75" customHeight="1">
      <c r="Q192" s="668"/>
      <c r="R192" s="367"/>
      <c r="S192" s="367"/>
      <c r="T192" s="367"/>
      <c r="U192" s="367"/>
      <c r="V192" s="367"/>
      <c r="W192" s="367"/>
      <c r="X192" s="367"/>
      <c r="Y192" s="364"/>
      <c r="Z192" s="364"/>
      <c r="AA192"/>
      <c r="AB192"/>
      <c r="AC192"/>
      <c r="AD192"/>
      <c r="AE192"/>
      <c r="AF192"/>
      <c r="AG192"/>
    </row>
    <row r="193" spans="17:33" ht="12.75" customHeight="1">
      <c r="Q193" s="668"/>
      <c r="R193" s="901" t="s">
        <v>477</v>
      </c>
      <c r="S193" s="901"/>
      <c r="T193" s="901"/>
      <c r="U193" s="930" t="s">
        <v>500</v>
      </c>
      <c r="V193" s="928" t="s">
        <v>22</v>
      </c>
      <c r="W193" s="929" t="s">
        <v>579</v>
      </c>
      <c r="X193" s="927" t="s">
        <v>21</v>
      </c>
      <c r="Y193" s="361"/>
      <c r="Z193" s="364"/>
      <c r="AA193"/>
      <c r="AB193"/>
      <c r="AC193"/>
      <c r="AD193"/>
      <c r="AE193"/>
      <c r="AF193"/>
      <c r="AG193"/>
    </row>
    <row r="194" spans="17:33" ht="12.75" customHeight="1">
      <c r="Q194" s="668"/>
      <c r="R194" s="901"/>
      <c r="S194" s="901"/>
      <c r="T194" s="901"/>
      <c r="U194" s="930"/>
      <c r="V194" s="928"/>
      <c r="W194" s="929"/>
      <c r="X194" s="927"/>
      <c r="Y194" s="361"/>
      <c r="Z194" s="364"/>
      <c r="AA194"/>
      <c r="AB194"/>
      <c r="AC194"/>
      <c r="AD194"/>
      <c r="AE194"/>
      <c r="AF194"/>
      <c r="AG194"/>
    </row>
    <row r="195" spans="17:33" ht="12.75" customHeight="1">
      <c r="Q195" s="668"/>
      <c r="R195" s="973" t="s">
        <v>472</v>
      </c>
      <c r="S195" s="973"/>
      <c r="T195" s="973"/>
      <c r="U195" s="593">
        <f>U190*12</f>
        <v>58291.200000000004</v>
      </c>
      <c r="V195" s="593">
        <f>V190*12</f>
        <v>4719599.9999999991</v>
      </c>
      <c r="W195" s="593">
        <f>W190*12</f>
        <v>4104000</v>
      </c>
      <c r="X195" s="593">
        <f>X190*12</f>
        <v>3371142.8571428573</v>
      </c>
      <c r="Y195" s="361"/>
      <c r="Z195" s="364"/>
      <c r="AA195"/>
      <c r="AB195"/>
      <c r="AC195"/>
      <c r="AD195"/>
      <c r="AE195"/>
      <c r="AF195"/>
      <c r="AG195"/>
    </row>
    <row r="196" spans="17:33" ht="12.75" customHeight="1">
      <c r="Q196" s="668"/>
      <c r="R196" s="973" t="s">
        <v>473</v>
      </c>
      <c r="S196" s="973"/>
      <c r="T196" s="973"/>
      <c r="U196" s="543"/>
      <c r="V196" s="593">
        <f>V191*12</f>
        <v>25957800.000000007</v>
      </c>
      <c r="W196" s="593">
        <f>W191*12</f>
        <v>26265600.000000007</v>
      </c>
      <c r="X196" s="593">
        <f>X191*12</f>
        <v>26632028.571428575</v>
      </c>
      <c r="Y196" s="361"/>
      <c r="Z196" s="364"/>
      <c r="AA196"/>
      <c r="AB196"/>
      <c r="AC196"/>
      <c r="AD196"/>
      <c r="AE196"/>
      <c r="AF196"/>
      <c r="AG196"/>
    </row>
    <row r="197" spans="17:33" ht="12.75" customHeight="1">
      <c r="Q197" s="668"/>
      <c r="R197" s="367"/>
      <c r="S197" s="367"/>
      <c r="T197" s="367"/>
      <c r="U197" s="367"/>
      <c r="V197" s="367"/>
      <c r="W197" s="367"/>
      <c r="X197" s="367"/>
      <c r="Y197" s="364"/>
      <c r="Z197" s="364"/>
      <c r="AA197"/>
      <c r="AB197"/>
      <c r="AC197"/>
      <c r="AD197"/>
      <c r="AE197"/>
      <c r="AF197"/>
      <c r="AG197"/>
    </row>
    <row r="198" spans="17:33" ht="12.75" customHeight="1">
      <c r="Q198" s="668"/>
      <c r="R198" s="901" t="s">
        <v>116</v>
      </c>
      <c r="S198" s="901"/>
      <c r="T198" s="901"/>
      <c r="U198" s="949" t="s">
        <v>500</v>
      </c>
      <c r="V198" s="938" t="s">
        <v>22</v>
      </c>
      <c r="W198" s="940" t="s">
        <v>579</v>
      </c>
      <c r="X198" s="942" t="s">
        <v>21</v>
      </c>
      <c r="Y198" s="361"/>
      <c r="Z198" s="364"/>
      <c r="AA198"/>
      <c r="AB198"/>
      <c r="AC198"/>
      <c r="AD198"/>
      <c r="AE198"/>
      <c r="AF198"/>
      <c r="AG198"/>
    </row>
    <row r="199" spans="17:33" ht="12.75" customHeight="1">
      <c r="Q199" s="668"/>
      <c r="R199" s="901"/>
      <c r="S199" s="901"/>
      <c r="T199" s="901"/>
      <c r="U199" s="950"/>
      <c r="V199" s="939"/>
      <c r="W199" s="941"/>
      <c r="X199" s="943"/>
      <c r="Y199" s="361"/>
      <c r="Z199" s="364"/>
      <c r="AA199"/>
      <c r="AB199"/>
      <c r="AC199"/>
      <c r="AD199"/>
      <c r="AE199"/>
      <c r="AF199"/>
      <c r="AG199"/>
    </row>
    <row r="200" spans="17:33" ht="12.75" customHeight="1">
      <c r="Q200" s="668"/>
      <c r="R200" s="970" t="s">
        <v>459</v>
      </c>
      <c r="S200" s="971"/>
      <c r="T200" s="972"/>
      <c r="U200" s="593">
        <f>U185</f>
        <v>211.20000000000002</v>
      </c>
      <c r="V200" s="593">
        <f>V185+V186</f>
        <v>111150.00000000001</v>
      </c>
      <c r="W200" s="593">
        <f>W185+W186</f>
        <v>110034.78260869568</v>
      </c>
      <c r="X200" s="593">
        <f>X185+X186</f>
        <v>108707.14285714286</v>
      </c>
      <c r="Y200" s="361"/>
      <c r="Z200" s="364"/>
      <c r="AA200"/>
      <c r="AB200"/>
      <c r="AC200"/>
      <c r="AD200"/>
      <c r="AE200"/>
      <c r="AF200"/>
      <c r="AG200"/>
    </row>
    <row r="201" spans="17:33" ht="12.75" customHeight="1">
      <c r="Q201" s="668"/>
      <c r="R201" s="973" t="s">
        <v>307</v>
      </c>
      <c r="S201" s="973"/>
      <c r="T201" s="973"/>
      <c r="U201" s="593">
        <f>U190</f>
        <v>4857.6000000000004</v>
      </c>
      <c r="V201" s="593">
        <f>V190+V191</f>
        <v>2556450.0000000005</v>
      </c>
      <c r="W201" s="593">
        <f>W190+W191</f>
        <v>2530800.0000000005</v>
      </c>
      <c r="X201" s="593">
        <f>X190+X191</f>
        <v>2500264.2857142859</v>
      </c>
      <c r="Y201" s="361"/>
      <c r="Z201" s="364"/>
      <c r="AA201"/>
      <c r="AB201"/>
      <c r="AC201"/>
      <c r="AD201"/>
      <c r="AE201"/>
      <c r="AF201"/>
      <c r="AG201"/>
    </row>
    <row r="202" spans="17:33" ht="12.75" customHeight="1">
      <c r="Q202" s="668"/>
      <c r="R202" s="973" t="s">
        <v>308</v>
      </c>
      <c r="S202" s="973"/>
      <c r="T202" s="973"/>
      <c r="U202" s="593">
        <f>U195</f>
        <v>58291.200000000004</v>
      </c>
      <c r="V202" s="593">
        <f>V195+V196</f>
        <v>30677400.000000007</v>
      </c>
      <c r="W202" s="593">
        <f>W195+W196</f>
        <v>30369600.000000007</v>
      </c>
      <c r="X202" s="593">
        <f>X195+X196</f>
        <v>30003171.428571433</v>
      </c>
      <c r="Y202" s="361"/>
      <c r="Z202" s="364"/>
      <c r="AA202"/>
      <c r="AB202"/>
      <c r="AC202"/>
      <c r="AD202"/>
      <c r="AE202"/>
      <c r="AF202"/>
      <c r="AG202"/>
    </row>
    <row r="203" spans="17:33" ht="12.75" customHeight="1">
      <c r="Q203" s="668"/>
      <c r="R203" s="575"/>
      <c r="S203" s="575"/>
      <c r="T203" s="575"/>
      <c r="U203" s="382"/>
      <c r="V203" s="382"/>
      <c r="W203" s="382"/>
      <c r="X203" s="382"/>
      <c r="Y203" s="364"/>
      <c r="Z203" s="364"/>
      <c r="AA203"/>
      <c r="AB203"/>
      <c r="AC203"/>
      <c r="AD203"/>
      <c r="AE203"/>
      <c r="AF203"/>
      <c r="AG203"/>
    </row>
    <row r="204" spans="17:33" ht="12.75" customHeight="1">
      <c r="Q204" s="668"/>
      <c r="R204" s="974" t="s">
        <v>775</v>
      </c>
      <c r="S204" s="974"/>
      <c r="T204" s="974"/>
      <c r="U204" s="974"/>
      <c r="V204" s="974"/>
      <c r="W204" s="974"/>
      <c r="X204" s="974"/>
      <c r="Y204" s="974"/>
      <c r="Z204" s="364"/>
      <c r="AA204"/>
      <c r="AB204"/>
      <c r="AC204"/>
      <c r="AD204"/>
      <c r="AE204"/>
      <c r="AF204"/>
      <c r="AG204"/>
    </row>
    <row r="205" spans="17:33" ht="12.75" customHeight="1">
      <c r="Q205" s="668"/>
      <c r="R205" s="974"/>
      <c r="S205" s="974"/>
      <c r="T205" s="974"/>
      <c r="U205" s="974"/>
      <c r="V205" s="974"/>
      <c r="W205" s="974"/>
      <c r="X205" s="974"/>
      <c r="Y205" s="974"/>
      <c r="Z205" s="576"/>
      <c r="AA205"/>
      <c r="AB205"/>
      <c r="AC205"/>
      <c r="AD205"/>
      <c r="AE205"/>
      <c r="AF205"/>
      <c r="AG205"/>
    </row>
    <row r="206" spans="17:33" ht="12.75" customHeight="1">
      <c r="Q206" s="668"/>
      <c r="R206" s="974"/>
      <c r="S206" s="974"/>
      <c r="T206" s="974"/>
      <c r="U206" s="974"/>
      <c r="V206" s="974"/>
      <c r="W206" s="974"/>
      <c r="X206" s="974"/>
      <c r="Y206" s="974"/>
      <c r="Z206" s="576"/>
      <c r="AA206"/>
      <c r="AB206"/>
      <c r="AC206"/>
      <c r="AD206"/>
      <c r="AE206"/>
      <c r="AF206"/>
      <c r="AG206"/>
    </row>
    <row r="207" spans="17:33" ht="12.75" customHeight="1">
      <c r="Q207" s="668"/>
      <c r="R207" s="974"/>
      <c r="S207" s="974"/>
      <c r="T207" s="974"/>
      <c r="U207" s="974"/>
      <c r="V207" s="974"/>
      <c r="W207" s="974"/>
      <c r="X207" s="974"/>
      <c r="Y207" s="974"/>
      <c r="Z207" s="576"/>
      <c r="AA207"/>
      <c r="AB207"/>
      <c r="AC207"/>
      <c r="AD207"/>
      <c r="AE207"/>
      <c r="AF207"/>
      <c r="AG207"/>
    </row>
    <row r="208" spans="17:33" ht="12.75" customHeight="1">
      <c r="Q208" s="668"/>
      <c r="R208" s="974"/>
      <c r="S208" s="974"/>
      <c r="T208" s="974"/>
      <c r="U208" s="974"/>
      <c r="V208" s="974"/>
      <c r="W208" s="974"/>
      <c r="X208" s="974"/>
      <c r="Y208" s="974"/>
      <c r="Z208" s="576"/>
      <c r="AA208"/>
      <c r="AB208"/>
      <c r="AC208"/>
      <c r="AD208"/>
      <c r="AE208"/>
      <c r="AF208"/>
      <c r="AG208"/>
    </row>
    <row r="209" spans="17:33" ht="12.75" customHeight="1">
      <c r="Q209" s="668"/>
      <c r="R209" s="364"/>
      <c r="S209" s="375"/>
      <c r="T209" s="375"/>
      <c r="U209" s="577"/>
      <c r="V209" s="577"/>
      <c r="W209" s="577"/>
      <c r="X209" s="577"/>
      <c r="Y209" s="551"/>
      <c r="Z209" s="363"/>
      <c r="AA209"/>
      <c r="AB209"/>
      <c r="AC209"/>
      <c r="AD209"/>
      <c r="AE209"/>
      <c r="AF209"/>
      <c r="AG209"/>
    </row>
    <row r="210" spans="17:33" ht="12.75" customHeight="1">
      <c r="Q210" s="668"/>
      <c r="R210" s="975" t="s">
        <v>667</v>
      </c>
      <c r="S210" s="976"/>
      <c r="T210" s="976"/>
      <c r="U210" s="976"/>
      <c r="V210" s="976"/>
      <c r="W210" s="976"/>
      <c r="X210" s="979">
        <f>10*V25</f>
        <v>76800</v>
      </c>
      <c r="Y210" s="935" t="s">
        <v>668</v>
      </c>
      <c r="Z210" s="364"/>
      <c r="AA210"/>
      <c r="AB210"/>
      <c r="AC210"/>
      <c r="AD210"/>
      <c r="AE210"/>
      <c r="AF210"/>
      <c r="AG210"/>
    </row>
    <row r="211" spans="17:33" ht="12.75" customHeight="1">
      <c r="Q211" s="668"/>
      <c r="R211" s="977"/>
      <c r="S211" s="978"/>
      <c r="T211" s="978"/>
      <c r="U211" s="978"/>
      <c r="V211" s="978"/>
      <c r="W211" s="978"/>
      <c r="X211" s="979"/>
      <c r="Y211" s="935"/>
      <c r="Z211" s="364"/>
      <c r="AA211"/>
      <c r="AB211"/>
      <c r="AC211"/>
      <c r="AD211"/>
      <c r="AE211"/>
      <c r="AF211"/>
      <c r="AG211"/>
    </row>
    <row r="212" spans="17:33" ht="12.75" customHeight="1">
      <c r="Q212" s="668"/>
      <c r="R212" s="578"/>
      <c r="S212" s="578"/>
      <c r="T212" s="578"/>
      <c r="U212" s="578"/>
      <c r="V212" s="578"/>
      <c r="W212" s="578"/>
      <c r="X212" s="578"/>
      <c r="Y212" s="579"/>
      <c r="Z212" s="551"/>
      <c r="AA212"/>
      <c r="AB212"/>
      <c r="AC212"/>
      <c r="AD212"/>
      <c r="AE212"/>
      <c r="AF212"/>
      <c r="AG212"/>
    </row>
    <row r="213" spans="17:33" ht="12.75" customHeight="1">
      <c r="Q213" s="668"/>
      <c r="R213" s="937" t="s">
        <v>678</v>
      </c>
      <c r="S213" s="937"/>
      <c r="T213" s="937"/>
      <c r="U213" s="937"/>
      <c r="V213" s="949" t="s">
        <v>500</v>
      </c>
      <c r="W213" s="938" t="s">
        <v>22</v>
      </c>
      <c r="X213" s="940" t="s">
        <v>579</v>
      </c>
      <c r="Y213" s="942" t="s">
        <v>21</v>
      </c>
      <c r="Z213" s="361"/>
      <c r="AA213"/>
      <c r="AB213"/>
      <c r="AC213"/>
      <c r="AD213"/>
      <c r="AE213"/>
      <c r="AF213"/>
      <c r="AG213"/>
    </row>
    <row r="214" spans="17:33" ht="12.75" customHeight="1">
      <c r="Q214" s="668"/>
      <c r="R214" s="937"/>
      <c r="S214" s="937"/>
      <c r="T214" s="937"/>
      <c r="U214" s="937"/>
      <c r="V214" s="950"/>
      <c r="W214" s="939"/>
      <c r="X214" s="941"/>
      <c r="Y214" s="943"/>
      <c r="Z214" s="361"/>
      <c r="AA214"/>
      <c r="AB214"/>
      <c r="AC214"/>
      <c r="AD214"/>
      <c r="AE214"/>
      <c r="AF214"/>
      <c r="AG214"/>
    </row>
    <row r="215" spans="17:33" ht="12.75" customHeight="1">
      <c r="Q215" s="668"/>
      <c r="R215" s="968" t="s">
        <v>533</v>
      </c>
      <c r="S215" s="968"/>
      <c r="T215" s="968"/>
      <c r="U215" s="968"/>
      <c r="V215" s="580">
        <v>0.107</v>
      </c>
      <c r="W215" s="581">
        <f>VLOOKUP($V$5,'Lookup Energy kWhm'!$B$8:$E$208,3)</f>
        <v>0.13</v>
      </c>
      <c r="X215" s="581">
        <f>VLOOKUP($V$5,'Lookup Energy kWhm'!$B$8:$E$208,4)</f>
        <v>0.14799999999999999</v>
      </c>
      <c r="Y215" s="581">
        <f>VLOOKUP($V$5,'Lookup Energy kWhm'!$B$8:$E$208,2)</f>
        <v>0.1</v>
      </c>
      <c r="Z215" s="361"/>
      <c r="AA215"/>
      <c r="AB215"/>
      <c r="AC215"/>
      <c r="AD215"/>
      <c r="AE215"/>
      <c r="AF215"/>
      <c r="AG215"/>
    </row>
    <row r="216" spans="17:33" ht="12.75" customHeight="1">
      <c r="Q216" s="668"/>
      <c r="R216" s="969" t="s">
        <v>31</v>
      </c>
      <c r="S216" s="969"/>
      <c r="T216" s="969"/>
      <c r="U216" s="969"/>
      <c r="V216" s="556">
        <f t="shared" ref="V216:W219" si="2">X216</f>
        <v>1.2</v>
      </c>
      <c r="W216" s="556">
        <f t="shared" si="2"/>
        <v>1.2</v>
      </c>
      <c r="X216" s="556">
        <f>W216</f>
        <v>1.2</v>
      </c>
      <c r="Y216" s="556">
        <f>V20</f>
        <v>1.2</v>
      </c>
      <c r="Z216" s="361"/>
      <c r="AA216"/>
      <c r="AB216"/>
      <c r="AC216"/>
      <c r="AD216"/>
      <c r="AE216"/>
      <c r="AF216"/>
      <c r="AG216"/>
    </row>
    <row r="217" spans="17:33" ht="12.75" customHeight="1">
      <c r="Q217" s="668"/>
      <c r="R217" s="969" t="s">
        <v>314</v>
      </c>
      <c r="S217" s="969"/>
      <c r="T217" s="969"/>
      <c r="U217" s="969"/>
      <c r="V217" s="556">
        <f t="shared" si="2"/>
        <v>160</v>
      </c>
      <c r="W217" s="556">
        <f t="shared" si="2"/>
        <v>160</v>
      </c>
      <c r="X217" s="556">
        <f>W217</f>
        <v>160</v>
      </c>
      <c r="Y217" s="556">
        <f>V19</f>
        <v>160</v>
      </c>
      <c r="Z217" s="361"/>
      <c r="AA217"/>
      <c r="AB217"/>
      <c r="AC217"/>
      <c r="AD217"/>
      <c r="AE217"/>
      <c r="AF217"/>
      <c r="AG217"/>
    </row>
    <row r="218" spans="17:33" ht="12.75" customHeight="1">
      <c r="Q218" s="668"/>
      <c r="R218" s="969" t="s">
        <v>20</v>
      </c>
      <c r="S218" s="969"/>
      <c r="T218" s="969"/>
      <c r="U218" s="969"/>
      <c r="V218" s="556">
        <f t="shared" si="2"/>
        <v>40</v>
      </c>
      <c r="W218" s="556">
        <f t="shared" si="2"/>
        <v>40</v>
      </c>
      <c r="X218" s="556">
        <f>W218</f>
        <v>40</v>
      </c>
      <c r="Y218" s="556">
        <f>V22</f>
        <v>40</v>
      </c>
      <c r="Z218" s="361"/>
      <c r="AA218"/>
      <c r="AB218"/>
      <c r="AC218"/>
      <c r="AD218"/>
      <c r="AE218"/>
      <c r="AF218"/>
      <c r="AG218"/>
    </row>
    <row r="219" spans="17:33" ht="12.75" customHeight="1">
      <c r="Q219" s="668"/>
      <c r="R219" s="969" t="s">
        <v>310</v>
      </c>
      <c r="S219" s="969"/>
      <c r="T219" s="969"/>
      <c r="U219" s="969"/>
      <c r="V219" s="556">
        <f t="shared" si="2"/>
        <v>160</v>
      </c>
      <c r="W219" s="556">
        <f t="shared" si="2"/>
        <v>160</v>
      </c>
      <c r="X219" s="556">
        <f>W219</f>
        <v>160</v>
      </c>
      <c r="Y219" s="556">
        <f>V23</f>
        <v>160</v>
      </c>
      <c r="Z219" s="361"/>
      <c r="AA219"/>
      <c r="AB219"/>
      <c r="AC219"/>
      <c r="AD219"/>
      <c r="AE219"/>
      <c r="AF219"/>
      <c r="AG219"/>
    </row>
    <row r="220" spans="17:33" ht="12.75" customHeight="1">
      <c r="Q220" s="668"/>
      <c r="R220" s="968" t="s">
        <v>543</v>
      </c>
      <c r="S220" s="968"/>
      <c r="T220" s="968"/>
      <c r="U220" s="968"/>
      <c r="V220" s="582">
        <f>V215*V216*V217*V218</f>
        <v>821.75999999999988</v>
      </c>
      <c r="W220" s="582">
        <f>W215*W216*W217*W218</f>
        <v>998.40000000000009</v>
      </c>
      <c r="X220" s="582">
        <f>X215*X216*X217*X218</f>
        <v>1136.6399999999999</v>
      </c>
      <c r="Y220" s="582">
        <f>Y215*Y216*Y217*Y218</f>
        <v>768</v>
      </c>
      <c r="Z220" s="361"/>
      <c r="AA220"/>
      <c r="AB220"/>
      <c r="AC220"/>
      <c r="AD220"/>
      <c r="AE220"/>
      <c r="AF220"/>
      <c r="AG220"/>
    </row>
    <row r="221" spans="17:33" ht="12.75" customHeight="1">
      <c r="Q221" s="668"/>
      <c r="R221" s="968" t="s">
        <v>542</v>
      </c>
      <c r="S221" s="968"/>
      <c r="T221" s="968"/>
      <c r="U221" s="968"/>
      <c r="V221" s="583">
        <f>V220/V219</f>
        <v>5.1359999999999992</v>
      </c>
      <c r="W221" s="583">
        <f>W220/W219</f>
        <v>6.24</v>
      </c>
      <c r="X221" s="583">
        <f>X220/X219</f>
        <v>7.1039999999999992</v>
      </c>
      <c r="Y221" s="583">
        <f>Y220/Y219</f>
        <v>4.8</v>
      </c>
      <c r="Z221" s="361"/>
      <c r="AA221"/>
      <c r="AB221"/>
      <c r="AC221"/>
      <c r="AD221"/>
      <c r="AE221"/>
      <c r="AF221"/>
      <c r="AG221"/>
    </row>
    <row r="222" spans="17:33" ht="12.75" customHeight="1">
      <c r="Q222" s="668"/>
      <c r="R222" s="968" t="s">
        <v>538</v>
      </c>
      <c r="S222" s="968"/>
      <c r="T222" s="968"/>
      <c r="U222" s="968"/>
      <c r="V222" s="537">
        <f>U62</f>
        <v>2.6666666666666665</v>
      </c>
      <c r="W222" s="537">
        <f>V62</f>
        <v>1.9999999999999996</v>
      </c>
      <c r="X222" s="537">
        <f>W62</f>
        <v>1.7391304347826084</v>
      </c>
      <c r="Y222" s="537">
        <f>X62</f>
        <v>1.4285714285714284</v>
      </c>
      <c r="Z222" s="361"/>
      <c r="AA222"/>
      <c r="AB222"/>
      <c r="AC222"/>
      <c r="AD222"/>
      <c r="AE222"/>
      <c r="AF222"/>
      <c r="AG222"/>
    </row>
    <row r="223" spans="17:33" ht="12.75" customHeight="1">
      <c r="Q223" s="668"/>
      <c r="R223" s="968" t="s">
        <v>546</v>
      </c>
      <c r="S223" s="968"/>
      <c r="T223" s="968"/>
      <c r="U223" s="968"/>
      <c r="V223" s="584">
        <f>2.2*V222</f>
        <v>5.8666666666666671</v>
      </c>
      <c r="W223" s="584">
        <f>W222/W215</f>
        <v>15.384615384615381</v>
      </c>
      <c r="X223" s="584">
        <f>X222/X215</f>
        <v>11.750881316098706</v>
      </c>
      <c r="Y223" s="584">
        <f>Y222/Y215</f>
        <v>14.285714285714283</v>
      </c>
      <c r="Z223" s="361"/>
      <c r="AA223"/>
      <c r="AB223"/>
      <c r="AC223"/>
      <c r="AD223"/>
      <c r="AE223"/>
      <c r="AF223"/>
      <c r="AG223"/>
    </row>
    <row r="224" spans="17:33" ht="12.75" customHeight="1">
      <c r="Q224" s="668"/>
      <c r="R224" s="968" t="s">
        <v>544</v>
      </c>
      <c r="S224" s="968"/>
      <c r="T224" s="968"/>
      <c r="U224" s="968"/>
      <c r="V224" s="582">
        <f>V219*V223</f>
        <v>938.66666666666674</v>
      </c>
      <c r="W224" s="582">
        <f>W219*W223</f>
        <v>2461.538461538461</v>
      </c>
      <c r="X224" s="582">
        <f>X219*X223</f>
        <v>1880.141010575793</v>
      </c>
      <c r="Y224" s="674">
        <f>Y219*Y223</f>
        <v>2285.7142857142853</v>
      </c>
      <c r="Z224" s="361"/>
      <c r="AA224"/>
      <c r="AB224"/>
      <c r="AC224"/>
      <c r="AD224"/>
      <c r="AE224"/>
      <c r="AF224"/>
      <c r="AG224"/>
    </row>
    <row r="225" spans="17:33" ht="12.75" customHeight="1">
      <c r="Q225" s="668"/>
      <c r="R225" s="969" t="s">
        <v>535</v>
      </c>
      <c r="S225" s="969"/>
      <c r="T225" s="969"/>
      <c r="U225" s="969"/>
      <c r="V225" s="556">
        <f>V217/V222</f>
        <v>60</v>
      </c>
      <c r="W225" s="556">
        <f>W217/W222</f>
        <v>80.000000000000014</v>
      </c>
      <c r="X225" s="556">
        <f>X217/X222</f>
        <v>92.000000000000014</v>
      </c>
      <c r="Y225" s="556">
        <f>Y217/Y222</f>
        <v>112.00000000000001</v>
      </c>
      <c r="Z225" s="361"/>
      <c r="AA225"/>
      <c r="AB225"/>
      <c r="AC225"/>
      <c r="AD225"/>
      <c r="AE225"/>
      <c r="AF225"/>
      <c r="AG225"/>
    </row>
    <row r="226" spans="17:33" ht="12.75" customHeight="1">
      <c r="Q226" s="668"/>
      <c r="R226" s="969" t="s">
        <v>536</v>
      </c>
      <c r="S226" s="969"/>
      <c r="T226" s="969"/>
      <c r="U226" s="969"/>
      <c r="V226" s="675">
        <f>V216*V225</f>
        <v>72</v>
      </c>
      <c r="W226" s="675">
        <f>W216*W225</f>
        <v>96.000000000000014</v>
      </c>
      <c r="X226" s="675">
        <f>X216*X225</f>
        <v>110.40000000000002</v>
      </c>
      <c r="Y226" s="675">
        <f>Y216*Y225</f>
        <v>134.4</v>
      </c>
      <c r="Z226" s="361"/>
      <c r="AA226"/>
      <c r="AB226"/>
      <c r="AC226"/>
      <c r="AD226"/>
      <c r="AE226"/>
      <c r="AF226"/>
      <c r="AG226"/>
    </row>
    <row r="227" spans="17:33" ht="12.75" customHeight="1">
      <c r="Q227" s="668"/>
      <c r="R227" s="968" t="s">
        <v>534</v>
      </c>
      <c r="S227" s="968"/>
      <c r="T227" s="968"/>
      <c r="U227" s="968"/>
      <c r="V227" s="583">
        <f>U56</f>
        <v>4</v>
      </c>
      <c r="W227" s="583">
        <f>V56</f>
        <v>2.9999999999999996</v>
      </c>
      <c r="X227" s="583">
        <f>W56</f>
        <v>2.6086956521739126</v>
      </c>
      <c r="Y227" s="583">
        <f>X56</f>
        <v>2.1428571428571428</v>
      </c>
      <c r="Z227" s="361"/>
      <c r="AA227"/>
      <c r="AB227"/>
      <c r="AC227"/>
      <c r="AD227"/>
      <c r="AE227"/>
      <c r="AF227"/>
      <c r="AG227"/>
    </row>
    <row r="228" spans="17:33" ht="12.75" customHeight="1">
      <c r="Q228" s="668"/>
      <c r="R228" s="968" t="s">
        <v>537</v>
      </c>
      <c r="S228" s="968"/>
      <c r="T228" s="968"/>
      <c r="U228" s="968"/>
      <c r="V228" s="584">
        <f>V225*V227</f>
        <v>240</v>
      </c>
      <c r="W228" s="584">
        <f>W225*W227</f>
        <v>240</v>
      </c>
      <c r="X228" s="584">
        <f>X225*X227</f>
        <v>240</v>
      </c>
      <c r="Y228" s="584">
        <f>Y225*Y227</f>
        <v>240.00000000000003</v>
      </c>
      <c r="Z228" s="361"/>
      <c r="AA228"/>
      <c r="AB228"/>
      <c r="AC228"/>
      <c r="AD228"/>
      <c r="AE228"/>
      <c r="AF228"/>
      <c r="AG228"/>
    </row>
    <row r="229" spans="17:33" ht="12.75" customHeight="1">
      <c r="Q229" s="668"/>
      <c r="R229" s="968" t="s">
        <v>545</v>
      </c>
      <c r="S229" s="968"/>
      <c r="T229" s="968"/>
      <c r="U229" s="968"/>
      <c r="V229" s="585">
        <f>V221/V223</f>
        <v>0.87545454545454526</v>
      </c>
      <c r="W229" s="585">
        <f>W221/W223</f>
        <v>0.40560000000000007</v>
      </c>
      <c r="X229" s="585">
        <f>X221/X223</f>
        <v>0.60455040000000004</v>
      </c>
      <c r="Y229" s="585">
        <f>Y221/Y223</f>
        <v>0.33600000000000008</v>
      </c>
      <c r="Z229" s="361"/>
      <c r="AA229"/>
      <c r="AB229"/>
      <c r="AC229"/>
      <c r="AD229"/>
      <c r="AE229"/>
      <c r="AF229"/>
      <c r="AG229"/>
    </row>
    <row r="230" spans="17:33" ht="12.75" customHeight="1">
      <c r="Q230" s="668"/>
      <c r="R230" s="540" t="s">
        <v>547</v>
      </c>
      <c r="S230" s="540"/>
      <c r="T230" s="540"/>
      <c r="U230" s="540"/>
      <c r="V230" s="585"/>
      <c r="W230" s="586">
        <f>10*W217*W216*W218</f>
        <v>76800</v>
      </c>
      <c r="X230" s="586">
        <f>10*X217*X216*X218</f>
        <v>76800</v>
      </c>
      <c r="Y230" s="586">
        <f>10*Y217*Y216*Y218</f>
        <v>76800</v>
      </c>
      <c r="Z230" s="361"/>
      <c r="AA230"/>
      <c r="AB230"/>
      <c r="AC230"/>
      <c r="AD230"/>
      <c r="AE230"/>
      <c r="AF230"/>
      <c r="AG230"/>
    </row>
    <row r="231" spans="17:33" ht="12.75" customHeight="1">
      <c r="Q231" s="668"/>
      <c r="R231" s="968" t="s">
        <v>548</v>
      </c>
      <c r="S231" s="968"/>
      <c r="T231" s="968"/>
      <c r="U231" s="968"/>
      <c r="V231" s="585">
        <f>V229</f>
        <v>0.87545454545454526</v>
      </c>
      <c r="W231" s="585">
        <f>W220/W230</f>
        <v>1.3000000000000001E-2</v>
      </c>
      <c r="X231" s="585">
        <f>X220/X230</f>
        <v>1.4799999999999999E-2</v>
      </c>
      <c r="Y231" s="585">
        <f>Y220/Y230</f>
        <v>0.01</v>
      </c>
      <c r="Z231" s="361"/>
      <c r="AA231"/>
      <c r="AB231"/>
      <c r="AC231"/>
      <c r="AD231"/>
      <c r="AE231"/>
      <c r="AF231"/>
      <c r="AG231"/>
    </row>
    <row r="232" spans="17:33" ht="12.75" customHeight="1">
      <c r="Q232" s="668"/>
      <c r="R232" s="587"/>
      <c r="S232" s="587"/>
      <c r="T232" s="587"/>
      <c r="U232" s="587"/>
      <c r="V232" s="588"/>
      <c r="W232" s="588"/>
      <c r="X232" s="588"/>
      <c r="Y232" s="588"/>
      <c r="Z232" s="589"/>
      <c r="AA232"/>
      <c r="AB232"/>
      <c r="AC232"/>
      <c r="AD232"/>
      <c r="AE232"/>
      <c r="AF232"/>
      <c r="AG232"/>
    </row>
    <row r="233" spans="17:33" ht="12.75" customHeight="1">
      <c r="Q233" s="668"/>
      <c r="R233" s="587"/>
      <c r="S233" s="587"/>
      <c r="T233" s="587"/>
      <c r="U233" s="587"/>
      <c r="V233" s="676"/>
      <c r="W233" s="676"/>
      <c r="X233" s="676"/>
      <c r="Y233" s="588"/>
      <c r="Z233" s="364"/>
      <c r="AA233"/>
      <c r="AB233"/>
      <c r="AC233"/>
      <c r="AD233"/>
      <c r="AE233"/>
      <c r="AF233"/>
      <c r="AG233"/>
    </row>
    <row r="234" spans="17:33" ht="12.75" customHeight="1">
      <c r="Q234" s="668" t="s">
        <v>240</v>
      </c>
      <c r="R234" s="364" t="s">
        <v>241</v>
      </c>
      <c r="S234" s="364"/>
      <c r="T234" s="364"/>
      <c r="U234" s="364"/>
      <c r="V234" s="364"/>
      <c r="W234" s="364"/>
      <c r="X234" s="364"/>
      <c r="Y234" s="364"/>
      <c r="Z234" s="364"/>
      <c r="AA234"/>
      <c r="AB234"/>
      <c r="AC234"/>
      <c r="AD234"/>
      <c r="AE234"/>
      <c r="AF234"/>
      <c r="AG234"/>
    </row>
    <row r="235" spans="17:33" ht="12.75" customHeight="1">
      <c r="Q235" s="364"/>
      <c r="R235" s="962" t="s">
        <v>301</v>
      </c>
      <c r="S235" s="963"/>
      <c r="T235" s="964"/>
      <c r="U235" s="949" t="s">
        <v>500</v>
      </c>
      <c r="V235" s="938" t="s">
        <v>22</v>
      </c>
      <c r="W235" s="940" t="s">
        <v>579</v>
      </c>
      <c r="X235" s="942" t="s">
        <v>21</v>
      </c>
      <c r="Y235" s="361"/>
      <c r="Z235" s="364"/>
      <c r="AA235"/>
      <c r="AB235"/>
      <c r="AC235"/>
      <c r="AD235"/>
      <c r="AE235"/>
      <c r="AF235"/>
      <c r="AG235"/>
    </row>
    <row r="236" spans="17:33" ht="12.75" customHeight="1">
      <c r="Q236" s="364"/>
      <c r="R236" s="965"/>
      <c r="S236" s="966"/>
      <c r="T236" s="967"/>
      <c r="U236" s="950"/>
      <c r="V236" s="939"/>
      <c r="W236" s="941"/>
      <c r="X236" s="943"/>
      <c r="Y236" s="361"/>
      <c r="Z236" s="364"/>
      <c r="AA236"/>
      <c r="AB236"/>
      <c r="AC236"/>
      <c r="AD236"/>
      <c r="AE236"/>
      <c r="AF236"/>
      <c r="AG236"/>
    </row>
    <row r="237" spans="17:33" ht="12.75" customHeight="1">
      <c r="Q237" s="364"/>
      <c r="R237" s="931" t="s">
        <v>662</v>
      </c>
      <c r="S237" s="931"/>
      <c r="T237" s="931"/>
      <c r="U237" s="901" t="s">
        <v>427</v>
      </c>
      <c r="V237" s="562">
        <f>VLOOKUP($V$5,'Lookup Air Consumption'!$B$8:$E$208,3)</f>
        <v>38</v>
      </c>
      <c r="W237" s="562">
        <f>VLOOKUP($V$5,'Lookup Air Consumption'!$B$8:$E$208,4)</f>
        <v>50</v>
      </c>
      <c r="X237" s="562">
        <f>VLOOKUP($V$5,'Lookup Air Consumption'!$B$8:$E$208,2)</f>
        <v>41</v>
      </c>
      <c r="Y237" s="361"/>
      <c r="Z237" s="364"/>
      <c r="AA237"/>
      <c r="AB237"/>
      <c r="AC237"/>
      <c r="AD237"/>
      <c r="AE237"/>
      <c r="AF237"/>
      <c r="AG237"/>
    </row>
    <row r="238" spans="17:33" ht="12.75" customHeight="1">
      <c r="Q238" s="364"/>
      <c r="R238" s="931" t="s">
        <v>663</v>
      </c>
      <c r="S238" s="931"/>
      <c r="T238" s="931"/>
      <c r="U238" s="901"/>
      <c r="V238" s="590">
        <f>V237/1000</f>
        <v>3.7999999999999999E-2</v>
      </c>
      <c r="W238" s="590">
        <f>W237/1000</f>
        <v>0.05</v>
      </c>
      <c r="X238" s="590">
        <f>X237/1000</f>
        <v>4.1000000000000002E-2</v>
      </c>
      <c r="Y238" s="361"/>
      <c r="Z238" s="364"/>
      <c r="AA238"/>
      <c r="AB238"/>
      <c r="AC238"/>
      <c r="AD238"/>
      <c r="AE238"/>
      <c r="AF238"/>
      <c r="AG238"/>
    </row>
    <row r="239" spans="17:33" ht="12.75" customHeight="1">
      <c r="Q239" s="364"/>
      <c r="R239" s="931" t="s">
        <v>664</v>
      </c>
      <c r="S239" s="931"/>
      <c r="T239" s="931"/>
      <c r="U239" s="901"/>
      <c r="V239" s="560">
        <f>V238*35.31467</f>
        <v>1.3419574599999999</v>
      </c>
      <c r="W239" s="560">
        <f>W238*35.31467</f>
        <v>1.7657335000000001</v>
      </c>
      <c r="X239" s="560">
        <f>X238*35.31467</f>
        <v>1.4479014700000001</v>
      </c>
      <c r="Y239" s="361"/>
      <c r="Z239" s="364"/>
      <c r="AA239"/>
      <c r="AB239"/>
      <c r="AC239"/>
      <c r="AD239"/>
      <c r="AE239"/>
      <c r="AF239"/>
      <c r="AG239"/>
    </row>
    <row r="240" spans="17:33" ht="12.75" customHeight="1">
      <c r="Q240" s="360"/>
      <c r="R240" s="551"/>
      <c r="S240" s="551"/>
      <c r="T240" s="551"/>
      <c r="U240" s="591"/>
      <c r="V240" s="551"/>
      <c r="W240" s="551"/>
      <c r="X240" s="551"/>
      <c r="Y240" s="361"/>
      <c r="Z240" s="364"/>
      <c r="AA240"/>
      <c r="AB240"/>
      <c r="AC240"/>
      <c r="AD240"/>
      <c r="AE240"/>
      <c r="AF240"/>
      <c r="AG240"/>
    </row>
    <row r="241" spans="17:33" ht="12.75" customHeight="1">
      <c r="Q241" s="360"/>
      <c r="R241" s="962" t="s">
        <v>302</v>
      </c>
      <c r="S241" s="963"/>
      <c r="T241" s="964"/>
      <c r="U241" s="949" t="s">
        <v>500</v>
      </c>
      <c r="V241" s="938" t="s">
        <v>22</v>
      </c>
      <c r="W241" s="940" t="s">
        <v>579</v>
      </c>
      <c r="X241" s="942" t="s">
        <v>21</v>
      </c>
      <c r="Y241" s="361"/>
      <c r="Z241" s="364"/>
      <c r="AA241"/>
      <c r="AB241"/>
      <c r="AC241"/>
      <c r="AD241"/>
      <c r="AE241"/>
      <c r="AF241"/>
      <c r="AG241"/>
    </row>
    <row r="242" spans="17:33" ht="12.75" customHeight="1">
      <c r="Q242" s="360"/>
      <c r="R242" s="965"/>
      <c r="S242" s="966"/>
      <c r="T242" s="967"/>
      <c r="U242" s="950"/>
      <c r="V242" s="939"/>
      <c r="W242" s="941"/>
      <c r="X242" s="943"/>
      <c r="Y242" s="361"/>
      <c r="Z242" s="364"/>
      <c r="AA242"/>
      <c r="AB242"/>
      <c r="AC242"/>
      <c r="AD242"/>
      <c r="AE242"/>
      <c r="AF242"/>
      <c r="AG242"/>
    </row>
    <row r="243" spans="17:33" ht="12.75" customHeight="1">
      <c r="Q243" s="360"/>
      <c r="R243" s="931" t="s">
        <v>662</v>
      </c>
      <c r="S243" s="931"/>
      <c r="T243" s="931"/>
      <c r="U243" s="901" t="s">
        <v>427</v>
      </c>
      <c r="V243" s="549">
        <f t="shared" ref="V243:W245" si="3">V237*$V$23</f>
        <v>6080</v>
      </c>
      <c r="W243" s="549">
        <f t="shared" si="3"/>
        <v>8000</v>
      </c>
      <c r="X243" s="549">
        <f>X237*$V$23</f>
        <v>6560</v>
      </c>
      <c r="Y243" s="361"/>
      <c r="Z243" s="364"/>
      <c r="AA243"/>
      <c r="AB243"/>
      <c r="AC243"/>
      <c r="AD243"/>
      <c r="AE243"/>
      <c r="AF243"/>
      <c r="AG243"/>
    </row>
    <row r="244" spans="17:33" ht="12.75" customHeight="1">
      <c r="Q244" s="360"/>
      <c r="R244" s="931" t="s">
        <v>663</v>
      </c>
      <c r="S244" s="931"/>
      <c r="T244" s="931"/>
      <c r="U244" s="901"/>
      <c r="V244" s="560">
        <f t="shared" si="3"/>
        <v>6.08</v>
      </c>
      <c r="W244" s="560">
        <f t="shared" si="3"/>
        <v>8</v>
      </c>
      <c r="X244" s="560">
        <f>X238*$V$23</f>
        <v>6.5600000000000005</v>
      </c>
      <c r="Y244" s="361"/>
      <c r="Z244" s="364"/>
      <c r="AA244"/>
      <c r="AB244"/>
      <c r="AC244"/>
      <c r="AD244"/>
      <c r="AE244"/>
      <c r="AF244"/>
      <c r="AG244"/>
    </row>
    <row r="245" spans="17:33" ht="12.75" customHeight="1">
      <c r="Q245" s="360"/>
      <c r="R245" s="931" t="s">
        <v>664</v>
      </c>
      <c r="S245" s="931"/>
      <c r="T245" s="931"/>
      <c r="U245" s="901"/>
      <c r="V245" s="560">
        <f t="shared" si="3"/>
        <v>214.71319359999998</v>
      </c>
      <c r="W245" s="560">
        <f t="shared" si="3"/>
        <v>282.51736</v>
      </c>
      <c r="X245" s="560">
        <f>X239*$V$23</f>
        <v>231.66423520000001</v>
      </c>
      <c r="Y245" s="361"/>
      <c r="Z245" s="364"/>
      <c r="AA245"/>
      <c r="AB245"/>
      <c r="AC245"/>
      <c r="AD245"/>
      <c r="AE245"/>
      <c r="AF245"/>
      <c r="AG245"/>
    </row>
    <row r="246" spans="17:33" ht="12.75" customHeight="1">
      <c r="Q246" s="360"/>
      <c r="R246" s="364"/>
      <c r="S246" s="364"/>
      <c r="T246" s="364"/>
      <c r="U246" s="364"/>
      <c r="V246" s="555"/>
      <c r="W246" s="555"/>
      <c r="X246" s="555"/>
      <c r="Y246" s="361"/>
      <c r="Z246" s="364"/>
      <c r="AA246"/>
      <c r="AB246"/>
      <c r="AC246"/>
      <c r="AD246"/>
      <c r="AE246"/>
      <c r="AF246"/>
      <c r="AG246"/>
    </row>
    <row r="247" spans="17:33" ht="12.75" customHeight="1">
      <c r="Q247" s="360"/>
      <c r="R247" s="962" t="s">
        <v>303</v>
      </c>
      <c r="S247" s="963"/>
      <c r="T247" s="964"/>
      <c r="U247" s="949" t="s">
        <v>500</v>
      </c>
      <c r="V247" s="938" t="s">
        <v>22</v>
      </c>
      <c r="W247" s="940" t="s">
        <v>579</v>
      </c>
      <c r="X247" s="942" t="s">
        <v>21</v>
      </c>
      <c r="Y247" s="361"/>
      <c r="Z247" s="364"/>
      <c r="AA247"/>
      <c r="AB247"/>
      <c r="AC247"/>
      <c r="AD247"/>
      <c r="AE247"/>
      <c r="AF247"/>
      <c r="AG247"/>
    </row>
    <row r="248" spans="17:33" ht="12.75" customHeight="1">
      <c r="Q248" s="360"/>
      <c r="R248" s="965"/>
      <c r="S248" s="966"/>
      <c r="T248" s="967"/>
      <c r="U248" s="950"/>
      <c r="V248" s="939"/>
      <c r="W248" s="941"/>
      <c r="X248" s="943"/>
      <c r="Y248" s="361"/>
      <c r="Z248" s="364"/>
      <c r="AA248"/>
      <c r="AB248"/>
      <c r="AC248"/>
      <c r="AD248"/>
      <c r="AE248"/>
      <c r="AF248"/>
      <c r="AG248"/>
    </row>
    <row r="249" spans="17:33" ht="12.75" customHeight="1">
      <c r="Q249" s="563"/>
      <c r="R249" s="951" t="s">
        <v>517</v>
      </c>
      <c r="S249" s="951"/>
      <c r="T249" s="951"/>
      <c r="U249" s="901" t="s">
        <v>427</v>
      </c>
      <c r="V249" s="549">
        <f t="shared" ref="V249:X251" si="4">($V$25/$X$51)*60*V237</f>
        <v>31268571.428571429</v>
      </c>
      <c r="W249" s="549">
        <f t="shared" si="4"/>
        <v>41142857.142857142</v>
      </c>
      <c r="X249" s="549">
        <f t="shared" si="4"/>
        <v>33737142.857142858</v>
      </c>
      <c r="Y249" s="361"/>
      <c r="Z249" s="364"/>
      <c r="AA249"/>
      <c r="AB249"/>
      <c r="AC249"/>
      <c r="AD249"/>
      <c r="AE249"/>
      <c r="AF249"/>
      <c r="AG249"/>
    </row>
    <row r="250" spans="17:33" ht="12.75" customHeight="1">
      <c r="Q250" s="364"/>
      <c r="R250" s="951" t="s">
        <v>666</v>
      </c>
      <c r="S250" s="951"/>
      <c r="T250" s="951"/>
      <c r="U250" s="901"/>
      <c r="V250" s="549">
        <f t="shared" si="4"/>
        <v>31268.571428571428</v>
      </c>
      <c r="W250" s="549">
        <f t="shared" si="4"/>
        <v>41142.857142857145</v>
      </c>
      <c r="X250" s="549">
        <f t="shared" si="4"/>
        <v>33737.142857142855</v>
      </c>
      <c r="Y250" s="361"/>
      <c r="Z250" s="364"/>
      <c r="AA250"/>
      <c r="AB250"/>
      <c r="AC250"/>
      <c r="AD250"/>
      <c r="AE250"/>
      <c r="AF250"/>
      <c r="AG250"/>
    </row>
    <row r="251" spans="17:33" ht="12.75" customHeight="1">
      <c r="Q251" s="364"/>
      <c r="R251" s="951" t="s">
        <v>583</v>
      </c>
      <c r="S251" s="951"/>
      <c r="T251" s="951"/>
      <c r="U251" s="901"/>
      <c r="V251" s="549">
        <f t="shared" si="4"/>
        <v>1104239.2813714284</v>
      </c>
      <c r="W251" s="549">
        <f t="shared" si="4"/>
        <v>1452946.422857143</v>
      </c>
      <c r="X251" s="549">
        <f t="shared" si="4"/>
        <v>1191416.0667428572</v>
      </c>
      <c r="Y251" s="361"/>
      <c r="Z251" s="364"/>
      <c r="AA251"/>
      <c r="AB251"/>
      <c r="AC251"/>
      <c r="AD251"/>
      <c r="AE251"/>
      <c r="AF251"/>
      <c r="AG251"/>
    </row>
    <row r="252" spans="17:33" ht="12.75" customHeight="1">
      <c r="Q252" s="364"/>
      <c r="R252" s="364"/>
      <c r="S252" s="364"/>
      <c r="T252" s="364"/>
      <c r="U252" s="364"/>
      <c r="V252" s="364"/>
      <c r="W252" s="364"/>
      <c r="X252" s="364"/>
      <c r="Y252" s="361"/>
      <c r="Z252" s="364"/>
      <c r="AA252"/>
      <c r="AB252"/>
      <c r="AC252"/>
      <c r="AD252"/>
      <c r="AE252"/>
      <c r="AF252"/>
      <c r="AG252"/>
    </row>
    <row r="253" spans="17:33" ht="12.75" customHeight="1">
      <c r="Q253" s="668" t="s">
        <v>753</v>
      </c>
      <c r="R253" s="364" t="s">
        <v>300</v>
      </c>
      <c r="S253" s="364"/>
      <c r="T253" s="364"/>
      <c r="U253" s="364"/>
      <c r="V253" s="364"/>
      <c r="W253" s="364"/>
      <c r="X253" s="364"/>
      <c r="Y253" s="361"/>
      <c r="Z253" s="364"/>
      <c r="AA253"/>
      <c r="AB253"/>
      <c r="AC253"/>
      <c r="AD253"/>
      <c r="AE253"/>
      <c r="AF253"/>
      <c r="AG253"/>
    </row>
    <row r="254" spans="17:33" ht="12.75" customHeight="1">
      <c r="Q254" s="364"/>
      <c r="R254" s="957" t="s">
        <v>669</v>
      </c>
      <c r="S254" s="958"/>
      <c r="T254" s="959"/>
      <c r="U254" s="949" t="s">
        <v>500</v>
      </c>
      <c r="V254" s="938" t="s">
        <v>22</v>
      </c>
      <c r="W254" s="940" t="s">
        <v>579</v>
      </c>
      <c r="X254" s="942" t="s">
        <v>21</v>
      </c>
      <c r="Y254" s="361"/>
      <c r="Z254" s="364"/>
      <c r="AA254"/>
      <c r="AB254"/>
      <c r="AC254"/>
      <c r="AD254"/>
      <c r="AE254"/>
      <c r="AF254"/>
      <c r="AG254"/>
    </row>
    <row r="255" spans="17:33" ht="12.75" customHeight="1">
      <c r="Q255" s="364"/>
      <c r="R255" s="960"/>
      <c r="S255" s="961"/>
      <c r="T255" s="899"/>
      <c r="U255" s="950"/>
      <c r="V255" s="939"/>
      <c r="W255" s="941"/>
      <c r="X255" s="943"/>
      <c r="Y255" s="361"/>
      <c r="Z255" s="364"/>
      <c r="AA255"/>
      <c r="AB255"/>
      <c r="AC255"/>
      <c r="AD255"/>
      <c r="AE255"/>
      <c r="AF255"/>
      <c r="AG255"/>
    </row>
    <row r="256" spans="17:33" ht="12.75" customHeight="1">
      <c r="Q256" s="364"/>
      <c r="R256" s="541" t="s">
        <v>80</v>
      </c>
      <c r="S256" s="559"/>
      <c r="T256" s="559"/>
      <c r="U256" s="543">
        <v>6.5</v>
      </c>
      <c r="V256" s="669">
        <f>VLOOKUP($V$5,'Lookup Water Flow'!$B$8:$E$208,3)</f>
        <v>6.9</v>
      </c>
      <c r="W256" s="669">
        <f>VLOOKUP($V$5,'Lookup Water Flow'!$B$8:$E$208,4)</f>
        <v>12.1</v>
      </c>
      <c r="X256" s="669">
        <f>VLOOKUP($V$5,'Lookup Water Flow'!$B$8:$E$208,2)</f>
        <v>12.6</v>
      </c>
      <c r="Y256" s="361"/>
      <c r="Z256" s="364"/>
      <c r="AA256"/>
      <c r="AB256"/>
      <c r="AC256"/>
      <c r="AD256"/>
      <c r="AE256"/>
      <c r="AF256"/>
      <c r="AG256"/>
    </row>
    <row r="257" spans="17:33" ht="12.75" customHeight="1">
      <c r="Q257" s="364"/>
      <c r="R257" s="951" t="s">
        <v>81</v>
      </c>
      <c r="S257" s="951"/>
      <c r="T257" s="951"/>
      <c r="U257" s="677">
        <f>U256*V23</f>
        <v>1040</v>
      </c>
      <c r="V257" s="678">
        <f>V256*$V$23</f>
        <v>1104</v>
      </c>
      <c r="W257" s="678">
        <f>W256*$V$23</f>
        <v>1936</v>
      </c>
      <c r="X257" s="678">
        <f>X256*$V$23</f>
        <v>2016</v>
      </c>
      <c r="Y257" s="361"/>
      <c r="Z257" s="364"/>
      <c r="AA257"/>
      <c r="AB257"/>
      <c r="AC257"/>
      <c r="AD257"/>
      <c r="AE257"/>
      <c r="AF257"/>
      <c r="AG257"/>
    </row>
    <row r="258" spans="17:33" ht="12.75" customHeight="1">
      <c r="Q258" s="364"/>
      <c r="R258" s="592" t="s">
        <v>670</v>
      </c>
      <c r="S258" s="559"/>
      <c r="T258" s="559"/>
      <c r="U258" s="549">
        <f>(U256*U56*V24)+(24*2*V24)</f>
        <v>473600</v>
      </c>
      <c r="V258" s="679">
        <f>V256*$X$56*$V$24</f>
        <v>94628.571428571435</v>
      </c>
      <c r="W258" s="679">
        <f>W256*$X$56*$V$24</f>
        <v>165942.85714285713</v>
      </c>
      <c r="X258" s="679">
        <f>X256*$X$56*$V$24</f>
        <v>172800</v>
      </c>
      <c r="Y258" s="361"/>
      <c r="Z258" s="364"/>
      <c r="AA258"/>
      <c r="AB258"/>
      <c r="AC258"/>
      <c r="AD258"/>
      <c r="AE258"/>
      <c r="AF258"/>
      <c r="AG258"/>
    </row>
    <row r="259" spans="17:33" ht="12.75" customHeight="1">
      <c r="Q259" s="364"/>
      <c r="R259" s="364"/>
      <c r="S259" s="364"/>
      <c r="T259" s="364"/>
      <c r="U259" s="364"/>
      <c r="V259" s="364"/>
      <c r="W259" s="364"/>
      <c r="X259" s="364"/>
      <c r="Y259" s="364"/>
      <c r="Z259" s="364"/>
      <c r="AA259"/>
      <c r="AB259"/>
      <c r="AC259"/>
      <c r="AD259"/>
      <c r="AE259"/>
      <c r="AF259"/>
      <c r="AG259"/>
    </row>
    <row r="260" spans="17:33" ht="12.75" customHeight="1">
      <c r="Q260" s="680" t="s">
        <v>754</v>
      </c>
      <c r="R260" s="952" t="s">
        <v>309</v>
      </c>
      <c r="S260" s="952"/>
      <c r="T260" s="952"/>
      <c r="U260" s="952"/>
      <c r="V260" s="952"/>
      <c r="W260" s="952"/>
      <c r="X260" s="952"/>
      <c r="Y260" s="952"/>
      <c r="Z260" s="360"/>
      <c r="AA260"/>
      <c r="AB260"/>
      <c r="AC260"/>
      <c r="AD260"/>
      <c r="AE260"/>
      <c r="AF260"/>
      <c r="AG260"/>
    </row>
    <row r="261" spans="17:33" ht="12.75" customHeight="1">
      <c r="Q261" s="364"/>
      <c r="R261" s="364"/>
      <c r="S261" s="364"/>
      <c r="T261" s="364"/>
      <c r="U261" s="364"/>
      <c r="V261" s="364"/>
      <c r="W261" s="364"/>
      <c r="X261" s="364"/>
      <c r="Y261" s="364"/>
      <c r="Z261" s="364"/>
      <c r="AA261"/>
      <c r="AB261"/>
      <c r="AC261"/>
      <c r="AD261"/>
      <c r="AE261"/>
      <c r="AF261"/>
      <c r="AG261"/>
    </row>
    <row r="262" spans="17:33" ht="12.75" customHeight="1">
      <c r="Q262" s="668" t="s">
        <v>755</v>
      </c>
      <c r="R262" s="364" t="s">
        <v>239</v>
      </c>
      <c r="S262" s="364"/>
      <c r="T262" s="364"/>
      <c r="U262" s="364"/>
      <c r="V262" s="364"/>
      <c r="W262" s="364"/>
      <c r="X262" s="364"/>
      <c r="Y262" s="364"/>
      <c r="Z262" s="364"/>
      <c r="AA262"/>
      <c r="AB262"/>
      <c r="AC262"/>
      <c r="AD262"/>
      <c r="AE262"/>
      <c r="AF262"/>
      <c r="AG262"/>
    </row>
    <row r="263" spans="17:33" ht="12.75" customHeight="1">
      <c r="Q263" s="364"/>
      <c r="R263" s="364"/>
      <c r="S263" s="364"/>
      <c r="T263" s="364"/>
      <c r="U263" s="364"/>
      <c r="V263" s="364"/>
      <c r="W263" s="364"/>
      <c r="X263" s="364"/>
      <c r="Y263" s="364"/>
      <c r="Z263" s="364"/>
      <c r="AA263"/>
      <c r="AB263"/>
      <c r="AC263"/>
      <c r="AD263"/>
      <c r="AE263"/>
      <c r="AF263"/>
      <c r="AG263"/>
    </row>
    <row r="264" spans="17:33" ht="12.75" customHeight="1">
      <c r="Q264" s="364"/>
      <c r="R264" s="953" t="s">
        <v>676</v>
      </c>
      <c r="S264" s="954"/>
      <c r="T264" s="561" t="s">
        <v>320</v>
      </c>
      <c r="U264" s="935" t="s">
        <v>318</v>
      </c>
      <c r="V264" s="935"/>
      <c r="W264" s="681">
        <f>'Compressor Input Data'!G7</f>
        <v>0.19</v>
      </c>
      <c r="X264" s="594"/>
      <c r="Y264" s="595"/>
      <c r="Z264" s="363"/>
      <c r="AA264"/>
      <c r="AB264"/>
      <c r="AC264"/>
      <c r="AD264"/>
      <c r="AE264"/>
      <c r="AF264"/>
      <c r="AG264"/>
    </row>
    <row r="265" spans="17:33" ht="12.75" customHeight="1">
      <c r="Q265" s="364"/>
      <c r="R265" s="955"/>
      <c r="S265" s="956"/>
      <c r="T265" s="561" t="s">
        <v>321</v>
      </c>
      <c r="U265" s="935" t="s">
        <v>319</v>
      </c>
      <c r="V265" s="935"/>
      <c r="W265" s="681">
        <f>'Compressor Input Data'!G8</f>
        <v>0.33</v>
      </c>
      <c r="X265" s="594"/>
      <c r="Y265" s="595"/>
      <c r="Z265" s="595"/>
      <c r="AA265"/>
      <c r="AB265"/>
      <c r="AC265"/>
      <c r="AD265"/>
      <c r="AE265"/>
      <c r="AF265"/>
      <c r="AG265"/>
    </row>
    <row r="266" spans="17:33" ht="12.75" customHeight="1">
      <c r="Q266" s="364"/>
      <c r="R266" s="363"/>
      <c r="S266" s="363"/>
      <c r="T266" s="577"/>
      <c r="U266" s="577"/>
      <c r="V266" s="596"/>
      <c r="W266" s="363"/>
      <c r="X266" s="363"/>
      <c r="Y266" s="363"/>
      <c r="Z266" s="363"/>
      <c r="AA266"/>
      <c r="AB266"/>
      <c r="AC266"/>
      <c r="AD266"/>
      <c r="AE266"/>
      <c r="AF266"/>
      <c r="AG266"/>
    </row>
    <row r="267" spans="17:33" ht="12.75" customHeight="1">
      <c r="Q267" s="364"/>
      <c r="R267" s="935" t="s">
        <v>675</v>
      </c>
      <c r="S267" s="935"/>
      <c r="T267" s="935"/>
      <c r="U267" s="949" t="s">
        <v>500</v>
      </c>
      <c r="V267" s="938" t="s">
        <v>22</v>
      </c>
      <c r="W267" s="940" t="s">
        <v>579</v>
      </c>
      <c r="X267" s="942" t="s">
        <v>21</v>
      </c>
      <c r="Y267" s="361"/>
      <c r="Z267" s="364"/>
      <c r="AA267"/>
      <c r="AB267"/>
      <c r="AC267"/>
      <c r="AD267"/>
      <c r="AE267"/>
      <c r="AF267"/>
      <c r="AG267"/>
    </row>
    <row r="268" spans="17:33" ht="12.75" customHeight="1">
      <c r="Q268" s="364"/>
      <c r="R268" s="944" t="s">
        <v>320</v>
      </c>
      <c r="S268" s="947"/>
      <c r="T268" s="948"/>
      <c r="U268" s="950"/>
      <c r="V268" s="939"/>
      <c r="W268" s="941"/>
      <c r="X268" s="943"/>
      <c r="Y268" s="361"/>
      <c r="Z268" s="364"/>
      <c r="AA268"/>
      <c r="AB268"/>
      <c r="AC268"/>
      <c r="AD268"/>
      <c r="AE268"/>
      <c r="AF268"/>
      <c r="AG268"/>
    </row>
    <row r="269" spans="17:33" ht="12.75" customHeight="1">
      <c r="Q269" s="364"/>
      <c r="R269" s="945"/>
      <c r="S269" s="935" t="s">
        <v>306</v>
      </c>
      <c r="T269" s="935"/>
      <c r="U269" s="599">
        <f>U164*$W$264</f>
        <v>178.34666666666669</v>
      </c>
      <c r="V269" s="599">
        <f>V164*$W$264</f>
        <v>14439.999999999998</v>
      </c>
      <c r="W269" s="599">
        <f>W164*$W$264</f>
        <v>12556.521739130432</v>
      </c>
      <c r="X269" s="599">
        <f>X164*$W$264</f>
        <v>10314.285714285712</v>
      </c>
      <c r="Y269" s="361"/>
      <c r="Z269" s="364"/>
      <c r="AA269"/>
      <c r="AB269"/>
      <c r="AC269"/>
      <c r="AD269"/>
      <c r="AE269"/>
      <c r="AF269"/>
      <c r="AG269"/>
    </row>
    <row r="270" spans="17:33" ht="12.75" customHeight="1">
      <c r="Q270" s="364"/>
      <c r="R270" s="945"/>
      <c r="S270" s="935" t="s">
        <v>307</v>
      </c>
      <c r="T270" s="935"/>
      <c r="U270" s="599">
        <f>U269*$V$11</f>
        <v>4101.9733333333343</v>
      </c>
      <c r="V270" s="599">
        <f>V269*$V$11</f>
        <v>332119.99999999994</v>
      </c>
      <c r="W270" s="599">
        <f>W269*$V$11</f>
        <v>288799.99999999994</v>
      </c>
      <c r="X270" s="599">
        <f>X269*$V$11</f>
        <v>237228.57142857136</v>
      </c>
      <c r="Y270" s="361"/>
      <c r="Z270" s="364"/>
      <c r="AA270"/>
      <c r="AB270"/>
      <c r="AC270"/>
      <c r="AD270"/>
      <c r="AE270"/>
      <c r="AF270"/>
      <c r="AG270"/>
    </row>
    <row r="271" spans="17:33" ht="12.75" customHeight="1">
      <c r="Q271" s="364"/>
      <c r="R271" s="946"/>
      <c r="S271" s="935" t="s">
        <v>308</v>
      </c>
      <c r="T271" s="935"/>
      <c r="U271" s="599">
        <f>U270*9</f>
        <v>36917.760000000009</v>
      </c>
      <c r="V271" s="599">
        <f>V270*9</f>
        <v>2989079.9999999995</v>
      </c>
      <c r="W271" s="599">
        <f>W270*9</f>
        <v>2599199.9999999995</v>
      </c>
      <c r="X271" s="599">
        <f>X270*9</f>
        <v>2135057.1428571423</v>
      </c>
      <c r="Y271" s="361"/>
      <c r="Z271" s="364"/>
      <c r="AA271"/>
      <c r="AB271"/>
      <c r="AC271"/>
      <c r="AD271"/>
      <c r="AE271"/>
      <c r="AF271"/>
      <c r="AG271"/>
    </row>
    <row r="272" spans="17:33" ht="12.75" customHeight="1">
      <c r="Q272" s="597"/>
      <c r="R272" s="937"/>
      <c r="S272" s="937"/>
      <c r="T272" s="937"/>
      <c r="U272" s="937"/>
      <c r="V272" s="937"/>
      <c r="W272" s="937"/>
      <c r="X272" s="937"/>
      <c r="Y272" s="364"/>
      <c r="Z272" s="364"/>
      <c r="AA272"/>
      <c r="AB272"/>
      <c r="AC272"/>
      <c r="AD272"/>
      <c r="AE272"/>
      <c r="AF272"/>
      <c r="AG272"/>
    </row>
    <row r="273" spans="17:33" ht="12.75" customHeight="1">
      <c r="Q273" s="597"/>
      <c r="R273" s="935" t="s">
        <v>675</v>
      </c>
      <c r="S273" s="935"/>
      <c r="T273" s="935"/>
      <c r="U273" s="930" t="s">
        <v>500</v>
      </c>
      <c r="V273" s="928" t="s">
        <v>22</v>
      </c>
      <c r="W273" s="929" t="s">
        <v>579</v>
      </c>
      <c r="X273" s="927" t="s">
        <v>21</v>
      </c>
      <c r="Y273" s="361"/>
      <c r="Z273" s="364"/>
      <c r="AA273"/>
      <c r="AB273"/>
      <c r="AC273"/>
      <c r="AD273"/>
      <c r="AE273"/>
      <c r="AF273"/>
      <c r="AG273"/>
    </row>
    <row r="274" spans="17:33" ht="12.75" customHeight="1">
      <c r="Q274" s="597"/>
      <c r="R274" s="937" t="s">
        <v>321</v>
      </c>
      <c r="S274" s="937"/>
      <c r="T274" s="937"/>
      <c r="U274" s="930"/>
      <c r="V274" s="928"/>
      <c r="W274" s="929"/>
      <c r="X274" s="927"/>
      <c r="Y274" s="361"/>
      <c r="Z274" s="364"/>
      <c r="AA274"/>
      <c r="AB274"/>
      <c r="AC274"/>
      <c r="AD274"/>
      <c r="AE274"/>
      <c r="AF274"/>
      <c r="AG274"/>
    </row>
    <row r="275" spans="17:33" ht="12.75" customHeight="1">
      <c r="Q275" s="364"/>
      <c r="R275" s="937"/>
      <c r="S275" s="935" t="s">
        <v>306</v>
      </c>
      <c r="T275" s="935"/>
      <c r="U275" s="599">
        <f>U164*$W$265</f>
        <v>309.76000000000005</v>
      </c>
      <c r="V275" s="599">
        <f>V164*$W$265</f>
        <v>25079.999999999996</v>
      </c>
      <c r="W275" s="599">
        <f>W164*$W$265</f>
        <v>21808.695652173912</v>
      </c>
      <c r="X275" s="599">
        <f>X164*$W$265</f>
        <v>17914.28571428571</v>
      </c>
      <c r="Y275" s="361"/>
      <c r="Z275" s="364"/>
      <c r="AA275"/>
      <c r="AB275"/>
      <c r="AC275"/>
      <c r="AD275"/>
      <c r="AE275"/>
      <c r="AF275"/>
      <c r="AG275"/>
    </row>
    <row r="276" spans="17:33" ht="12.75" customHeight="1">
      <c r="Q276" s="597"/>
      <c r="R276" s="937"/>
      <c r="S276" s="935" t="s">
        <v>307</v>
      </c>
      <c r="T276" s="935"/>
      <c r="U276" s="599">
        <f>U275*$V$11</f>
        <v>7124.4800000000014</v>
      </c>
      <c r="V276" s="599">
        <f>V275*$V$11</f>
        <v>576839.99999999988</v>
      </c>
      <c r="W276" s="599">
        <f>W275*$V$11</f>
        <v>501600</v>
      </c>
      <c r="X276" s="599">
        <f>X275*$V$11</f>
        <v>412028.57142857136</v>
      </c>
      <c r="Y276" s="361"/>
      <c r="Z276" s="364"/>
      <c r="AA276"/>
      <c r="AB276"/>
      <c r="AC276"/>
      <c r="AD276"/>
      <c r="AE276"/>
      <c r="AF276"/>
      <c r="AG276"/>
    </row>
    <row r="277" spans="17:33" ht="12.75" customHeight="1">
      <c r="Q277" s="364"/>
      <c r="R277" s="937"/>
      <c r="S277" s="935" t="s">
        <v>308</v>
      </c>
      <c r="T277" s="935"/>
      <c r="U277" s="599">
        <f>U276*3</f>
        <v>21373.440000000002</v>
      </c>
      <c r="V277" s="599">
        <f>V276*3</f>
        <v>1730519.9999999995</v>
      </c>
      <c r="W277" s="599">
        <f>W276*3</f>
        <v>1504800</v>
      </c>
      <c r="X277" s="599">
        <f>X276*3</f>
        <v>1236085.7142857141</v>
      </c>
      <c r="Y277" s="361"/>
      <c r="Z277" s="364"/>
      <c r="AA277"/>
      <c r="AB277"/>
      <c r="AC277"/>
      <c r="AD277"/>
      <c r="AE277"/>
      <c r="AF277"/>
      <c r="AG277"/>
    </row>
    <row r="278" spans="17:33" ht="12.75" customHeight="1">
      <c r="Q278" s="364"/>
      <c r="R278" s="937"/>
      <c r="S278" s="937"/>
      <c r="T278" s="937"/>
      <c r="U278" s="937"/>
      <c r="V278" s="937"/>
      <c r="W278" s="937"/>
      <c r="X278" s="937"/>
      <c r="Y278" s="364"/>
      <c r="Z278" s="364"/>
      <c r="AA278"/>
      <c r="AB278"/>
      <c r="AC278"/>
      <c r="AD278"/>
      <c r="AE278"/>
      <c r="AF278"/>
      <c r="AG278"/>
    </row>
    <row r="279" spans="17:33" ht="12.75" customHeight="1">
      <c r="Q279" s="364"/>
      <c r="R279" s="935" t="s">
        <v>675</v>
      </c>
      <c r="S279" s="935"/>
      <c r="T279" s="935"/>
      <c r="U279" s="930" t="s">
        <v>500</v>
      </c>
      <c r="V279" s="928" t="s">
        <v>22</v>
      </c>
      <c r="W279" s="929" t="s">
        <v>579</v>
      </c>
      <c r="X279" s="927" t="s">
        <v>21</v>
      </c>
      <c r="Y279" s="361"/>
      <c r="Z279" s="364"/>
      <c r="AA279"/>
      <c r="AB279"/>
      <c r="AC279"/>
      <c r="AD279"/>
      <c r="AE279"/>
      <c r="AF279"/>
      <c r="AG279"/>
    </row>
    <row r="280" spans="17:33" ht="12.75" customHeight="1">
      <c r="Q280" s="364"/>
      <c r="R280" s="937" t="s">
        <v>322</v>
      </c>
      <c r="S280" s="937"/>
      <c r="T280" s="937"/>
      <c r="U280" s="930"/>
      <c r="V280" s="928"/>
      <c r="W280" s="929"/>
      <c r="X280" s="927"/>
      <c r="Y280" s="361"/>
      <c r="Z280" s="364"/>
      <c r="AA280"/>
      <c r="AB280"/>
      <c r="AC280"/>
      <c r="AD280"/>
      <c r="AE280"/>
      <c r="AF280"/>
      <c r="AG280"/>
    </row>
    <row r="281" spans="17:33" ht="12.75" customHeight="1">
      <c r="Q281" s="364"/>
      <c r="R281" s="937"/>
      <c r="S281" s="935" t="s">
        <v>306</v>
      </c>
      <c r="T281" s="935"/>
      <c r="U281" s="599">
        <f>U282/$V$11</f>
        <v>211.20000000000005</v>
      </c>
      <c r="V281" s="599">
        <f>V282/$V$11</f>
        <v>17099.999999999996</v>
      </c>
      <c r="W281" s="599">
        <f>W282/$V$11</f>
        <v>14869.565217391302</v>
      </c>
      <c r="X281" s="599">
        <f>X282/$V$11</f>
        <v>12214.285714285712</v>
      </c>
      <c r="Y281" s="361"/>
      <c r="Z281" s="364"/>
      <c r="AA281"/>
      <c r="AB281"/>
      <c r="AC281"/>
      <c r="AD281"/>
      <c r="AE281"/>
      <c r="AF281"/>
      <c r="AG281"/>
    </row>
    <row r="282" spans="17:33" ht="12.75" customHeight="1">
      <c r="Q282" s="364"/>
      <c r="R282" s="937"/>
      <c r="S282" s="935" t="s">
        <v>307</v>
      </c>
      <c r="T282" s="935"/>
      <c r="U282" s="599">
        <f>U283/12</f>
        <v>4857.6000000000013</v>
      </c>
      <c r="V282" s="599">
        <f>V283/12</f>
        <v>393299.99999999994</v>
      </c>
      <c r="W282" s="599">
        <f>W283/12</f>
        <v>341999.99999999994</v>
      </c>
      <c r="X282" s="599">
        <f>X283/12</f>
        <v>280928.57142857136</v>
      </c>
      <c r="Y282" s="361"/>
      <c r="Z282" s="364"/>
      <c r="AA282"/>
      <c r="AB282"/>
      <c r="AC282"/>
      <c r="AD282"/>
      <c r="AE282"/>
      <c r="AF282"/>
      <c r="AG282"/>
    </row>
    <row r="283" spans="17:33" ht="12.75" customHeight="1">
      <c r="Q283" s="364"/>
      <c r="R283" s="937"/>
      <c r="S283" s="935" t="s">
        <v>308</v>
      </c>
      <c r="T283" s="935"/>
      <c r="U283" s="599">
        <f>U271+U277</f>
        <v>58291.200000000012</v>
      </c>
      <c r="V283" s="599">
        <f>V271+V277</f>
        <v>4719599.9999999991</v>
      </c>
      <c r="W283" s="599">
        <f>W271+W277</f>
        <v>4103999.9999999995</v>
      </c>
      <c r="X283" s="599">
        <f>X271+X277</f>
        <v>3371142.8571428563</v>
      </c>
      <c r="Y283" s="361"/>
      <c r="Z283" s="364"/>
      <c r="AA283"/>
      <c r="AB283"/>
      <c r="AC283"/>
      <c r="AD283"/>
      <c r="AE283"/>
      <c r="AF283"/>
      <c r="AG283"/>
    </row>
    <row r="284" spans="17:33" ht="12.75" customHeight="1">
      <c r="Q284" s="364"/>
      <c r="R284" s="363"/>
      <c r="S284" s="363"/>
      <c r="T284" s="577"/>
      <c r="U284" s="577"/>
      <c r="V284" s="596"/>
      <c r="W284" s="363"/>
      <c r="X284" s="363"/>
      <c r="Y284" s="363"/>
      <c r="Z284" s="363"/>
      <c r="AA284"/>
      <c r="AB284"/>
      <c r="AC284"/>
      <c r="AD284"/>
      <c r="AE284"/>
      <c r="AF284"/>
      <c r="AG284"/>
    </row>
    <row r="285" spans="17:33" ht="12.75" customHeight="1">
      <c r="Q285" s="668" t="s">
        <v>756</v>
      </c>
      <c r="R285" s="363" t="s">
        <v>758</v>
      </c>
      <c r="S285" s="363"/>
      <c r="T285" s="577"/>
      <c r="U285" s="577"/>
      <c r="V285" s="596"/>
      <c r="W285" s="363"/>
      <c r="X285" s="363"/>
      <c r="Y285" s="363"/>
      <c r="Z285" s="363"/>
      <c r="AA285"/>
      <c r="AB285"/>
      <c r="AC285"/>
      <c r="AD285"/>
      <c r="AE285"/>
      <c r="AF285"/>
      <c r="AG285"/>
    </row>
    <row r="286" spans="17:33" ht="12.75" customHeight="1">
      <c r="Q286" s="364"/>
      <c r="R286" s="935" t="s">
        <v>678</v>
      </c>
      <c r="S286" s="935"/>
      <c r="T286" s="935"/>
      <c r="U286" s="935"/>
      <c r="V286" s="936" t="s">
        <v>500</v>
      </c>
      <c r="W286" s="936" t="s">
        <v>22</v>
      </c>
      <c r="X286" s="936" t="s">
        <v>579</v>
      </c>
      <c r="Y286" s="936" t="s">
        <v>21</v>
      </c>
      <c r="Z286" s="361"/>
      <c r="AA286"/>
      <c r="AB286"/>
      <c r="AC286"/>
      <c r="AD286"/>
      <c r="AE286"/>
      <c r="AF286"/>
      <c r="AG286"/>
    </row>
    <row r="287" spans="17:33" ht="12.75" customHeight="1">
      <c r="Q287" s="364"/>
      <c r="R287" s="935"/>
      <c r="S287" s="935"/>
      <c r="T287" s="935"/>
      <c r="U287" s="935"/>
      <c r="V287" s="936"/>
      <c r="W287" s="936"/>
      <c r="X287" s="936"/>
      <c r="Y287" s="936"/>
      <c r="Z287" s="361"/>
      <c r="AA287"/>
      <c r="AB287"/>
      <c r="AC287"/>
      <c r="AD287"/>
      <c r="AE287"/>
      <c r="AF287"/>
      <c r="AG287"/>
    </row>
    <row r="288" spans="17:33" ht="12.75" customHeight="1">
      <c r="Q288" s="364"/>
      <c r="R288" s="931" t="s">
        <v>35</v>
      </c>
      <c r="S288" s="931"/>
      <c r="T288" s="931"/>
      <c r="U288" s="931"/>
      <c r="V288" s="599">
        <f>AVERAGE(U196:W196)*5%</f>
        <v>1305585.0000000005</v>
      </c>
      <c r="W288" s="599">
        <f>V202*5%</f>
        <v>1533870.0000000005</v>
      </c>
      <c r="X288" s="599">
        <f>W202*5%</f>
        <v>1518480.0000000005</v>
      </c>
      <c r="Y288" s="599">
        <f>X202*5%</f>
        <v>1500158.5714285718</v>
      </c>
      <c r="Z288" s="361"/>
      <c r="AA288"/>
      <c r="AB288"/>
      <c r="AC288"/>
      <c r="AD288"/>
      <c r="AE288"/>
      <c r="AF288"/>
      <c r="AG288"/>
    </row>
    <row r="289" spans="17:33" ht="12.75" customHeight="1">
      <c r="Q289" s="364"/>
      <c r="R289" s="931" t="s">
        <v>481</v>
      </c>
      <c r="S289" s="931"/>
      <c r="T289" s="931"/>
      <c r="U289" s="931"/>
      <c r="V289" s="600" t="s">
        <v>479</v>
      </c>
      <c r="W289" s="599">
        <f>Y289</f>
        <v>1059840</v>
      </c>
      <c r="X289" s="600" t="s">
        <v>479</v>
      </c>
      <c r="Y289" s="599">
        <f>Consumables!E23*12</f>
        <v>1059840</v>
      </c>
      <c r="Z289" s="361"/>
      <c r="AA289"/>
      <c r="AB289"/>
      <c r="AC289"/>
      <c r="AD289"/>
      <c r="AE289"/>
      <c r="AF289"/>
      <c r="AG289"/>
    </row>
    <row r="290" spans="17:33" ht="12.75" customHeight="1">
      <c r="Q290" s="364"/>
      <c r="R290" s="931" t="s">
        <v>311</v>
      </c>
      <c r="S290" s="931"/>
      <c r="T290" s="931"/>
      <c r="U290" s="931"/>
      <c r="V290" s="600" t="s">
        <v>557</v>
      </c>
      <c r="W290" s="599">
        <f>Y290</f>
        <v>416000</v>
      </c>
      <c r="X290" s="599">
        <f>W290</f>
        <v>416000</v>
      </c>
      <c r="Y290" s="599">
        <f>Consumables!E21*12</f>
        <v>416000</v>
      </c>
      <c r="Z290" s="361"/>
      <c r="AA290"/>
      <c r="AB290"/>
      <c r="AC290"/>
      <c r="AD290"/>
      <c r="AE290"/>
      <c r="AF290"/>
      <c r="AG290"/>
    </row>
    <row r="291" spans="17:33" ht="12.75" customHeight="1">
      <c r="Q291" s="364"/>
      <c r="R291" s="931" t="s">
        <v>480</v>
      </c>
      <c r="S291" s="931"/>
      <c r="T291" s="931"/>
      <c r="U291" s="931"/>
      <c r="V291" s="599">
        <f>Consumables!H21*12</f>
        <v>3865001.2800000003</v>
      </c>
      <c r="W291" s="599">
        <v>0</v>
      </c>
      <c r="X291" s="599">
        <v>0</v>
      </c>
      <c r="Y291" s="599">
        <v>0</v>
      </c>
      <c r="Z291" s="361"/>
      <c r="AA291"/>
      <c r="AB291"/>
      <c r="AC291"/>
      <c r="AD291"/>
      <c r="AE291"/>
      <c r="AF291"/>
      <c r="AG291"/>
    </row>
    <row r="292" spans="17:33" ht="12.75" customHeight="1">
      <c r="Q292" s="364"/>
      <c r="R292" s="931" t="s">
        <v>312</v>
      </c>
      <c r="S292" s="931"/>
      <c r="T292" s="931"/>
      <c r="U292" s="931"/>
      <c r="V292" s="599">
        <f>Consumables!H20*12</f>
        <v>2691993.6000000001</v>
      </c>
      <c r="W292" s="599">
        <f>Y292</f>
        <v>2331648.0000000005</v>
      </c>
      <c r="X292" s="599">
        <f>W292</f>
        <v>2331648.0000000005</v>
      </c>
      <c r="Y292" s="599">
        <f>Consumables!E20*12</f>
        <v>2331648.0000000005</v>
      </c>
      <c r="Z292" s="361"/>
      <c r="AA292"/>
      <c r="AB292"/>
      <c r="AC292"/>
      <c r="AD292"/>
      <c r="AE292"/>
      <c r="AF292"/>
      <c r="AG292"/>
    </row>
    <row r="293" spans="17:33" ht="12.75" customHeight="1">
      <c r="Q293" s="364"/>
      <c r="R293" s="931" t="s">
        <v>313</v>
      </c>
      <c r="S293" s="931"/>
      <c r="T293" s="931"/>
      <c r="U293" s="931"/>
      <c r="V293" s="599">
        <f>Consumables!H19*12</f>
        <v>1674547.2000000002</v>
      </c>
      <c r="W293" s="599">
        <f>Y293</f>
        <v>1398988.8</v>
      </c>
      <c r="X293" s="599">
        <f>W293</f>
        <v>1398988.8</v>
      </c>
      <c r="Y293" s="599">
        <f>Consumables!E19*12</f>
        <v>1398988.8</v>
      </c>
      <c r="Z293" s="361"/>
      <c r="AA293"/>
      <c r="AB293"/>
      <c r="AC293"/>
      <c r="AD293"/>
      <c r="AE293"/>
      <c r="AF293"/>
      <c r="AG293"/>
    </row>
    <row r="294" spans="17:33" ht="12.75" customHeight="1">
      <c r="Q294" s="364"/>
      <c r="R294" s="931" t="s">
        <v>190</v>
      </c>
      <c r="S294" s="931"/>
      <c r="T294" s="931"/>
      <c r="U294" s="931"/>
      <c r="V294" s="599">
        <f>Consumables!H22*12</f>
        <v>8294400</v>
      </c>
      <c r="W294" s="599">
        <v>0</v>
      </c>
      <c r="X294" s="599">
        <v>0</v>
      </c>
      <c r="Y294" s="599">
        <v>0</v>
      </c>
      <c r="Z294" s="361"/>
      <c r="AA294"/>
      <c r="AB294"/>
      <c r="AC294"/>
      <c r="AD294"/>
      <c r="AE294"/>
      <c r="AF294"/>
      <c r="AG294"/>
    </row>
    <row r="295" spans="17:33" ht="12.75" customHeight="1">
      <c r="Q295" s="364"/>
      <c r="R295" s="931" t="s">
        <v>482</v>
      </c>
      <c r="S295" s="931"/>
      <c r="T295" s="931"/>
      <c r="U295" s="931"/>
      <c r="V295" s="599">
        <v>0</v>
      </c>
      <c r="W295" s="599">
        <f>Y295</f>
        <v>199600.00000000003</v>
      </c>
      <c r="X295" s="599">
        <f>W295</f>
        <v>199600.00000000003</v>
      </c>
      <c r="Y295" s="599">
        <f>Consumables!E25*12</f>
        <v>199600.00000000003</v>
      </c>
      <c r="Z295" s="361"/>
      <c r="AA295"/>
      <c r="AB295"/>
      <c r="AC295"/>
      <c r="AD295"/>
      <c r="AE295"/>
      <c r="AF295"/>
      <c r="AG295"/>
    </row>
    <row r="296" spans="17:33" ht="12.75" customHeight="1">
      <c r="Q296" s="364"/>
      <c r="R296" s="931" t="s">
        <v>483</v>
      </c>
      <c r="S296" s="931"/>
      <c r="T296" s="931"/>
      <c r="U296" s="931"/>
      <c r="V296" s="599">
        <v>0</v>
      </c>
      <c r="W296" s="599">
        <f>Y296</f>
        <v>40600</v>
      </c>
      <c r="X296" s="599">
        <f>W296</f>
        <v>40600</v>
      </c>
      <c r="Y296" s="599">
        <f>Consumables!E24*12</f>
        <v>40600</v>
      </c>
      <c r="Z296" s="361"/>
      <c r="AA296"/>
      <c r="AB296"/>
      <c r="AC296"/>
      <c r="AD296"/>
      <c r="AE296"/>
      <c r="AF296"/>
      <c r="AG296"/>
    </row>
    <row r="297" spans="17:33" ht="12.75" customHeight="1">
      <c r="Q297" s="364"/>
      <c r="R297" s="931" t="s">
        <v>478</v>
      </c>
      <c r="S297" s="931"/>
      <c r="T297" s="931"/>
      <c r="U297" s="931"/>
      <c r="V297" s="599">
        <f>U283</f>
        <v>58291.200000000012</v>
      </c>
      <c r="W297" s="599">
        <f>V283</f>
        <v>4719599.9999999991</v>
      </c>
      <c r="X297" s="599">
        <f>W283</f>
        <v>4103999.9999999995</v>
      </c>
      <c r="Y297" s="599">
        <f>X283</f>
        <v>3371142.8571428563</v>
      </c>
      <c r="Z297" s="361"/>
      <c r="AA297"/>
      <c r="AB297"/>
      <c r="AC297"/>
      <c r="AD297"/>
      <c r="AE297"/>
      <c r="AF297"/>
      <c r="AG297"/>
    </row>
    <row r="298" spans="17:33" ht="12.75" customHeight="1">
      <c r="Q298" s="364"/>
      <c r="R298" s="931" t="s">
        <v>484</v>
      </c>
      <c r="S298" s="931"/>
      <c r="T298" s="931"/>
      <c r="U298" s="931"/>
      <c r="V298" s="599">
        <f>'NIHL Compenation Cost'!AD21</f>
        <v>1715167.5</v>
      </c>
      <c r="W298" s="599">
        <f>'NIHL Compenation Cost'!Z21</f>
        <v>989115.00000000012</v>
      </c>
      <c r="X298" s="599">
        <f>'NIHL Compenation Cost'!AB21</f>
        <v>1087325</v>
      </c>
      <c r="Y298" s="599">
        <f>'NIHL Compenation Cost'!X21</f>
        <v>596275</v>
      </c>
      <c r="Z298" s="361"/>
      <c r="AA298"/>
      <c r="AB298"/>
      <c r="AC298"/>
      <c r="AD298"/>
      <c r="AE298"/>
      <c r="AF298"/>
      <c r="AG298"/>
    </row>
    <row r="299" spans="17:33" ht="12.75" customHeight="1">
      <c r="Q299" s="364"/>
      <c r="R299" s="932" t="s">
        <v>677</v>
      </c>
      <c r="S299" s="932"/>
      <c r="T299" s="932"/>
      <c r="U299" s="932"/>
      <c r="V299" s="599">
        <f>SUM(V288:V298)</f>
        <v>19604985.780000001</v>
      </c>
      <c r="W299" s="599">
        <f>SUM(W288:W298)</f>
        <v>12689261.800000001</v>
      </c>
      <c r="X299" s="599">
        <f>SUM(X288:X298)</f>
        <v>11096641.800000001</v>
      </c>
      <c r="Y299" s="599">
        <f>SUM(Y288:Y298)</f>
        <v>10914253.22857143</v>
      </c>
      <c r="Z299" s="361"/>
      <c r="AA299"/>
      <c r="AB299"/>
      <c r="AC299"/>
      <c r="AD299"/>
      <c r="AE299"/>
      <c r="AF299"/>
      <c r="AG299"/>
    </row>
    <row r="300" spans="17:33" ht="12.75" customHeight="1">
      <c r="Q300" s="364"/>
      <c r="R300" s="591"/>
      <c r="S300" s="591"/>
      <c r="T300" s="591"/>
      <c r="U300" s="591"/>
      <c r="V300" s="718"/>
      <c r="W300" s="718"/>
      <c r="X300" s="718"/>
      <c r="Y300" s="718"/>
      <c r="Z300" s="361"/>
      <c r="AA300"/>
      <c r="AB300"/>
      <c r="AC300"/>
      <c r="AD300"/>
      <c r="AE300"/>
      <c r="AF300"/>
      <c r="AG300"/>
    </row>
    <row r="301" spans="17:33" ht="12.75" customHeight="1">
      <c r="Q301" s="364"/>
      <c r="R301" s="591"/>
      <c r="S301" s="591"/>
      <c r="T301" s="933" t="s">
        <v>812</v>
      </c>
      <c r="U301" s="933"/>
      <c r="V301" s="718">
        <f>V299-V294</f>
        <v>11310585.780000001</v>
      </c>
      <c r="W301" s="718">
        <f>W299-W294</f>
        <v>12689261.800000001</v>
      </c>
      <c r="X301" s="718">
        <f>X299-X294</f>
        <v>11096641.800000001</v>
      </c>
      <c r="Y301" s="718">
        <f>Y299-Y294</f>
        <v>10914253.22857143</v>
      </c>
      <c r="Z301" s="361"/>
      <c r="AA301"/>
      <c r="AB301"/>
      <c r="AC301"/>
      <c r="AD301"/>
      <c r="AE301"/>
      <c r="AF301"/>
      <c r="AG301"/>
    </row>
    <row r="302" spans="17:33" ht="12.75" customHeight="1">
      <c r="Q302" s="364"/>
      <c r="R302" s="364"/>
      <c r="S302" s="364"/>
      <c r="T302" s="934" t="s">
        <v>350</v>
      </c>
      <c r="U302" s="934"/>
      <c r="V302" s="682">
        <f>V294</f>
        <v>8294400</v>
      </c>
      <c r="W302" s="682"/>
      <c r="X302" s="682"/>
      <c r="Y302" s="682"/>
      <c r="Z302" s="364"/>
      <c r="AA302"/>
      <c r="AB302"/>
      <c r="AC302"/>
      <c r="AD302"/>
      <c r="AE302"/>
      <c r="AF302"/>
      <c r="AG302"/>
    </row>
    <row r="303" spans="17:33" ht="12.75" customHeight="1">
      <c r="Q303" s="364">
        <v>10.3</v>
      </c>
      <c r="R303" s="363"/>
      <c r="S303" s="364"/>
      <c r="T303" s="364"/>
      <c r="U303" s="364"/>
      <c r="V303" s="682"/>
      <c r="W303" s="364"/>
      <c r="X303" s="362"/>
      <c r="Y303" s="682"/>
      <c r="Z303" s="364"/>
      <c r="AA303"/>
      <c r="AB303"/>
      <c r="AC303"/>
      <c r="AD303"/>
      <c r="AE303"/>
      <c r="AF303"/>
      <c r="AG303"/>
    </row>
    <row r="304" spans="17:33" ht="12.75" customHeight="1">
      <c r="Q304" s="364"/>
      <c r="R304" s="364"/>
      <c r="S304" s="364"/>
      <c r="T304" s="364"/>
      <c r="U304" s="364"/>
      <c r="V304" s="364"/>
      <c r="W304" s="364"/>
      <c r="X304" s="364"/>
      <c r="Y304" s="364"/>
      <c r="Z304" s="364"/>
      <c r="AA304"/>
      <c r="AB304"/>
      <c r="AC304"/>
      <c r="AD304"/>
      <c r="AE304"/>
      <c r="AF304"/>
      <c r="AG304"/>
    </row>
    <row r="305" spans="17:33" ht="12.75" customHeight="1">
      <c r="Q305" s="364"/>
      <c r="R305" s="935" t="s">
        <v>195</v>
      </c>
      <c r="S305" s="935"/>
      <c r="T305" s="935"/>
      <c r="U305" s="935"/>
      <c r="V305" s="935"/>
      <c r="W305" s="375"/>
      <c r="X305" s="683"/>
      <c r="Y305" s="375"/>
      <c r="Z305" s="375"/>
      <c r="AA305"/>
      <c r="AB305"/>
      <c r="AC305"/>
      <c r="AD305"/>
      <c r="AE305"/>
      <c r="AF305"/>
      <c r="AG305"/>
    </row>
    <row r="306" spans="17:33" ht="12.75" customHeight="1">
      <c r="Q306" s="364"/>
      <c r="R306" s="926" t="s">
        <v>509</v>
      </c>
      <c r="S306" s="927" t="s">
        <v>21</v>
      </c>
      <c r="T306" s="928" t="s">
        <v>22</v>
      </c>
      <c r="U306" s="929" t="s">
        <v>579</v>
      </c>
      <c r="V306" s="930" t="s">
        <v>500</v>
      </c>
      <c r="W306" s="363"/>
      <c r="X306" s="684"/>
      <c r="Y306" s="363"/>
      <c r="Z306" s="364"/>
      <c r="AA306"/>
      <c r="AB306"/>
      <c r="AC306"/>
      <c r="AD306"/>
      <c r="AE306"/>
      <c r="AF306"/>
      <c r="AG306"/>
    </row>
    <row r="307" spans="17:33" ht="12.75" customHeight="1">
      <c r="Q307" s="364"/>
      <c r="R307" s="926"/>
      <c r="S307" s="927"/>
      <c r="T307" s="928"/>
      <c r="U307" s="929"/>
      <c r="V307" s="930"/>
      <c r="W307" s="363"/>
      <c r="X307" s="684"/>
      <c r="Y307" s="363"/>
      <c r="Z307" s="364"/>
      <c r="AA307"/>
      <c r="AB307"/>
      <c r="AC307"/>
      <c r="AD307"/>
      <c r="AE307"/>
      <c r="AF307"/>
      <c r="AG307"/>
    </row>
    <row r="308" spans="17:33" ht="12.75" customHeight="1">
      <c r="Q308" s="364"/>
      <c r="R308" s="667" t="s">
        <v>204</v>
      </c>
      <c r="S308" s="667" t="s">
        <v>846</v>
      </c>
      <c r="T308" s="667" t="s">
        <v>846</v>
      </c>
      <c r="U308" s="667" t="s">
        <v>846</v>
      </c>
      <c r="V308" s="667" t="s">
        <v>846</v>
      </c>
      <c r="W308" s="363"/>
      <c r="X308" s="363"/>
      <c r="Y308" s="363"/>
      <c r="Z308" s="364"/>
      <c r="AA308"/>
      <c r="AB308"/>
      <c r="AC308"/>
      <c r="AD308"/>
      <c r="AE308"/>
      <c r="AF308"/>
      <c r="AG308"/>
    </row>
    <row r="309" spans="17:33" ht="12.75" customHeight="1">
      <c r="Q309" s="364"/>
      <c r="R309" s="600">
        <v>1</v>
      </c>
      <c r="S309" s="369">
        <f>$X$69</f>
        <v>116</v>
      </c>
      <c r="T309" s="584">
        <f>$V$69</f>
        <v>108</v>
      </c>
      <c r="U309" s="685">
        <f>$W$69</f>
        <v>109</v>
      </c>
      <c r="V309" s="369">
        <f>$U$69</f>
        <v>102</v>
      </c>
      <c r="W309" s="363"/>
      <c r="X309" s="363"/>
      <c r="Y309" s="363"/>
      <c r="Z309" s="364"/>
      <c r="AA309"/>
      <c r="AB309"/>
      <c r="AC309"/>
      <c r="AD309"/>
      <c r="AE309"/>
      <c r="AF309"/>
      <c r="AG309"/>
    </row>
    <row r="310" spans="17:33" ht="12.75" customHeight="1">
      <c r="Q310" s="364"/>
      <c r="R310" s="600">
        <v>2</v>
      </c>
      <c r="S310" s="584">
        <f>(LOG((10^(S309/10))+(10^(S309/10))))*10</f>
        <v>119.01029995663983</v>
      </c>
      <c r="T310" s="584">
        <f>(LOG((10^(T309/10))+(10^(T309/10))))*10</f>
        <v>111.01029995663981</v>
      </c>
      <c r="U310" s="584">
        <f>(LOG((10^(U309/10))+(10^(U309/10))))*10</f>
        <v>112.01029995663981</v>
      </c>
      <c r="V310" s="584">
        <f>(LOG((10^(V309/10))+(10^(V309/10))))*10</f>
        <v>105.01029995663983</v>
      </c>
      <c r="W310" s="363"/>
      <c r="X310" s="363"/>
      <c r="Y310" s="363"/>
      <c r="Z310" s="364"/>
      <c r="AA310"/>
      <c r="AB310"/>
      <c r="AC310"/>
      <c r="AD310"/>
      <c r="AE310"/>
      <c r="AF310"/>
      <c r="AG310"/>
    </row>
    <row r="311" spans="17:33" ht="12.75" customHeight="1">
      <c r="Q311" s="597"/>
      <c r="R311" s="600">
        <v>3</v>
      </c>
      <c r="S311" s="584">
        <f>(LOG((10^(S309/10))+(10^(S309/10))+(10^(S309/10)))*10)</f>
        <v>120.77121254719664</v>
      </c>
      <c r="T311" s="584">
        <f>(LOG((10^(T309/10))+(10^(T309/10))+(10^(T309/10)))*10)</f>
        <v>112.77121254719663</v>
      </c>
      <c r="U311" s="584">
        <f>(LOG((10^(U309/10))+(10^(U309/10))+(10^(U309/10)))*10)</f>
        <v>113.77121254719663</v>
      </c>
      <c r="V311" s="584">
        <f>(LOG((10^(V309/10))+(10^(V309/10))+(10^(V309/10)))*10)</f>
        <v>106.77121254719664</v>
      </c>
      <c r="W311" s="363"/>
      <c r="X311" s="363"/>
      <c r="Y311" s="363"/>
      <c r="Z311" s="364"/>
      <c r="AA311"/>
      <c r="AB311"/>
      <c r="AC311"/>
      <c r="AD311"/>
      <c r="AE311"/>
      <c r="AF311"/>
      <c r="AG311"/>
    </row>
    <row r="312" spans="17:33" ht="12.75" customHeight="1">
      <c r="Q312" s="364"/>
      <c r="R312" s="600">
        <v>4</v>
      </c>
      <c r="S312" s="584">
        <f>(LOG((10^(S309/10))+(10^(S309/10))+(10^(S309/10))+(10^(S309/10))))*10</f>
        <v>122.02059991327964</v>
      </c>
      <c r="T312" s="584">
        <f>(LOG((10^(T309/10))+(10^(T309/10))+(10^(T309/10))+(10^(T309/10))))*10</f>
        <v>114.02059991327963</v>
      </c>
      <c r="U312" s="584">
        <f>(LOG((10^(U309/10))+(10^(U309/10))+(10^(U309/10))+(10^(U309/10))))*10</f>
        <v>115.02059991327963</v>
      </c>
      <c r="V312" s="584">
        <f>(LOG((10^(V309/10))+(10^(V309/10))+(10^(V309/10))+(10^(V309/10))))*10</f>
        <v>108.02059991327964</v>
      </c>
      <c r="W312" s="363"/>
      <c r="X312" s="363"/>
      <c r="Y312" s="363"/>
      <c r="Z312" s="364"/>
      <c r="AA312"/>
      <c r="AB312"/>
      <c r="AC312"/>
      <c r="AD312"/>
      <c r="AE312"/>
      <c r="AF312"/>
      <c r="AG312"/>
    </row>
    <row r="313" spans="17:33" ht="12.75" customHeight="1">
      <c r="Q313" s="364"/>
      <c r="R313" s="600">
        <v>5</v>
      </c>
      <c r="S313" s="584">
        <f>(LOG((10^(S309/10))+(10^(S309/10))+(10^(S309/10))+(10^(S309/10))+(10^(S309/10))))*10</f>
        <v>122.9897000433602</v>
      </c>
      <c r="T313" s="584">
        <f>(LOG((10^(T309/10))+(10^(T309/10))+(10^(T309/10))+(10^(T309/10))+(10^(T309/10))))*10</f>
        <v>114.98970004336019</v>
      </c>
      <c r="U313" s="584">
        <f>(LOG((10^(U309/10))+(10^(U309/10))+(10^(U309/10))+(10^(U309/10))+(10^(U309/10))))*10</f>
        <v>115.98970004336019</v>
      </c>
      <c r="V313" s="584">
        <f>(LOG((10^(V309/10))+(10^(V309/10))+(10^(V309/10))+(10^(V309/10))+(10^(V309/10))))*10</f>
        <v>108.9897000433602</v>
      </c>
      <c r="W313" s="363"/>
      <c r="X313" s="363"/>
      <c r="Y313" s="363"/>
      <c r="Z313" s="364"/>
      <c r="AA313"/>
      <c r="AB313"/>
      <c r="AC313"/>
      <c r="AD313"/>
      <c r="AE313"/>
      <c r="AF313"/>
      <c r="AG313"/>
    </row>
    <row r="314" spans="17:33" ht="12.75" customHeight="1">
      <c r="Q314" s="364"/>
      <c r="R314" s="600">
        <v>6</v>
      </c>
      <c r="S314" s="584">
        <f>(LOG((10^(S309/10))+(10^(S309/10))+(10^(S309/10))+(10^(S309/10))+(10^(S309/10))+(10^(S309/10)))*10)</f>
        <v>123.78151250383645</v>
      </c>
      <c r="T314" s="584">
        <f>(LOG((10^(T309/10))+(10^(T309/10))+(10^(T309/10))+(10^(T309/10))+(10^(T309/10))+(10^(T309/10)))*10)</f>
        <v>115.78151250383644</v>
      </c>
      <c r="U314" s="584">
        <f>(LOG((10^(U309/10))+(10^(U309/10))+(10^(U309/10))+(10^(U309/10))+(10^(U309/10))+(10^(U309/10)))*10)</f>
        <v>116.78151250383644</v>
      </c>
      <c r="V314" s="584">
        <f>(LOG((10^(V309/10))+(10^(V309/10))+(10^(V309/10))+(10^(V309/10))+(10^(V309/10))+(10^(V309/10)))*10)</f>
        <v>109.78151250383645</v>
      </c>
      <c r="W314" s="363"/>
      <c r="X314" s="363"/>
      <c r="Y314" s="363"/>
      <c r="Z314" s="364"/>
      <c r="AA314"/>
      <c r="AB314"/>
      <c r="AC314"/>
      <c r="AD314"/>
      <c r="AE314"/>
      <c r="AF314"/>
      <c r="AG314"/>
    </row>
    <row r="315" spans="17:33" ht="12.75" customHeight="1" thickBot="1">
      <c r="Q315" s="364"/>
      <c r="R315" s="364"/>
      <c r="S315" s="364"/>
      <c r="T315" s="364"/>
      <c r="U315" s="364"/>
      <c r="V315" s="364"/>
      <c r="W315" s="364"/>
      <c r="X315" s="364"/>
      <c r="Y315" s="364"/>
      <c r="Z315" s="364"/>
      <c r="AA315"/>
      <c r="AB315"/>
      <c r="AC315"/>
      <c r="AD315"/>
      <c r="AE315"/>
      <c r="AF315"/>
      <c r="AG315"/>
    </row>
    <row r="316" spans="17:33" ht="12.75" customHeight="1" thickTop="1">
      <c r="Q316" s="364"/>
      <c r="R316" s="916" t="s">
        <v>428</v>
      </c>
      <c r="S316" s="917"/>
      <c r="T316" s="917"/>
      <c r="U316" s="917"/>
      <c r="V316" s="917"/>
      <c r="W316" s="918"/>
      <c r="X316" s="364"/>
      <c r="Y316" s="364"/>
      <c r="Z316" s="364"/>
      <c r="AA316"/>
      <c r="AB316"/>
      <c r="AC316"/>
      <c r="AD316"/>
      <c r="AE316"/>
      <c r="AF316"/>
      <c r="AG316"/>
    </row>
    <row r="317" spans="17:33" ht="12.75" customHeight="1">
      <c r="Q317" s="364"/>
      <c r="R317" s="919"/>
      <c r="S317" s="920"/>
      <c r="T317" s="920"/>
      <c r="U317" s="920"/>
      <c r="V317" s="920"/>
      <c r="W317" s="921"/>
      <c r="X317" s="364"/>
      <c r="Y317" s="364"/>
      <c r="Z317" s="364"/>
      <c r="AA317"/>
      <c r="AB317"/>
      <c r="AC317"/>
      <c r="AD317"/>
      <c r="AE317"/>
      <c r="AF317"/>
      <c r="AG317"/>
    </row>
    <row r="318" spans="17:33" ht="12.75" customHeight="1" thickBot="1">
      <c r="Q318" s="364"/>
      <c r="R318" s="922"/>
      <c r="S318" s="923"/>
      <c r="T318" s="923"/>
      <c r="U318" s="923"/>
      <c r="V318" s="923"/>
      <c r="W318" s="924"/>
      <c r="X318" s="364"/>
      <c r="Y318" s="364"/>
      <c r="Z318" s="364"/>
      <c r="AA318"/>
      <c r="AB318"/>
      <c r="AC318"/>
      <c r="AD318"/>
      <c r="AE318"/>
      <c r="AF318"/>
      <c r="AG318"/>
    </row>
    <row r="319" spans="17:33" ht="12.75" customHeight="1" thickTop="1">
      <c r="Q319" s="364"/>
      <c r="R319" s="925" t="str">
        <f>S306</f>
        <v>Seco S215</v>
      </c>
      <c r="S319" s="925"/>
      <c r="T319" s="925"/>
      <c r="U319" s="925"/>
      <c r="V319" s="925"/>
      <c r="W319" s="925"/>
      <c r="X319" s="364"/>
      <c r="Y319" s="364"/>
      <c r="Z319" s="364"/>
      <c r="AA319"/>
      <c r="AB319"/>
      <c r="AC319"/>
      <c r="AD319"/>
      <c r="AE319"/>
      <c r="AF319"/>
      <c r="AG319"/>
    </row>
    <row r="320" spans="17:33" ht="12.75" customHeight="1" thickBot="1">
      <c r="Q320" s="364"/>
      <c r="R320" s="910" t="s">
        <v>205</v>
      </c>
      <c r="S320" s="911"/>
      <c r="T320" s="911"/>
      <c r="U320" s="911"/>
      <c r="V320" s="911"/>
      <c r="W320" s="912"/>
      <c r="X320" s="364"/>
      <c r="Y320" s="364"/>
      <c r="Z320" s="364"/>
      <c r="AA320"/>
      <c r="AB320"/>
      <c r="AC320"/>
      <c r="AD320"/>
      <c r="AE320"/>
      <c r="AF320"/>
      <c r="AG320"/>
    </row>
    <row r="321" spans="17:33" ht="12.75" customHeight="1" thickBot="1">
      <c r="Q321" s="364"/>
      <c r="R321" s="686" t="s">
        <v>59</v>
      </c>
      <c r="S321" s="577"/>
      <c r="T321" s="687"/>
      <c r="U321" s="687"/>
      <c r="V321" s="687"/>
      <c r="W321" s="688"/>
      <c r="X321" s="364"/>
      <c r="Y321" s="364"/>
      <c r="Z321" s="364"/>
      <c r="AA321"/>
      <c r="AB321"/>
      <c r="AC321"/>
      <c r="AD321"/>
      <c r="AE321"/>
      <c r="AF321"/>
      <c r="AG321"/>
    </row>
    <row r="322" spans="17:33" ht="12.75" customHeight="1">
      <c r="Q322" s="364"/>
      <c r="R322" s="895" t="s">
        <v>845</v>
      </c>
      <c r="S322" s="896"/>
      <c r="T322" s="900" t="s">
        <v>835</v>
      </c>
      <c r="U322" s="900" t="s">
        <v>836</v>
      </c>
      <c r="V322" s="900" t="s">
        <v>837</v>
      </c>
      <c r="W322" s="902" t="s">
        <v>838</v>
      </c>
      <c r="X322" s="364"/>
      <c r="Y322" s="364"/>
      <c r="Z322" s="364"/>
      <c r="AA322"/>
      <c r="AB322"/>
      <c r="AC322"/>
      <c r="AD322"/>
      <c r="AE322"/>
      <c r="AF322"/>
      <c r="AG322"/>
    </row>
    <row r="323" spans="17:33" ht="12.75" customHeight="1">
      <c r="Q323" s="364"/>
      <c r="R323" s="892"/>
      <c r="S323" s="897"/>
      <c r="T323" s="904"/>
      <c r="U323" s="904"/>
      <c r="V323" s="904"/>
      <c r="W323" s="905"/>
      <c r="X323" s="364"/>
      <c r="Y323" s="364"/>
      <c r="Z323" s="364"/>
      <c r="AA323"/>
      <c r="AB323"/>
      <c r="AC323"/>
      <c r="AD323"/>
      <c r="AE323"/>
      <c r="AF323"/>
      <c r="AG323"/>
    </row>
    <row r="324" spans="17:33" ht="12.75" customHeight="1">
      <c r="Q324" s="364"/>
      <c r="R324" s="892"/>
      <c r="S324" s="897"/>
      <c r="T324" s="901"/>
      <c r="U324" s="901"/>
      <c r="V324" s="901"/>
      <c r="W324" s="903"/>
      <c r="X324" s="364"/>
      <c r="Y324" s="364"/>
      <c r="Z324" s="364"/>
      <c r="AA324"/>
      <c r="AB324"/>
      <c r="AC324"/>
      <c r="AD324"/>
      <c r="AE324"/>
      <c r="AF324"/>
      <c r="AG324"/>
    </row>
    <row r="325" spans="17:33" ht="12.75" customHeight="1">
      <c r="Q325" s="364"/>
      <c r="R325" s="892"/>
      <c r="S325" s="897"/>
      <c r="T325" s="689">
        <f>X69</f>
        <v>116</v>
      </c>
      <c r="U325" s="560">
        <f>X62</f>
        <v>1.4285714285714284</v>
      </c>
      <c r="V325" s="690">
        <f>IF(T325&gt;0,W325*U325," ")</f>
        <v>22857.142857142855</v>
      </c>
      <c r="W325" s="691">
        <f>IF(T325&gt;0,(VLOOKUP(T325,'Lookup Ready-reckoner'!$B$5:$E$1207,4))," ")</f>
        <v>16000</v>
      </c>
      <c r="X325" s="364"/>
      <c r="Y325" s="364"/>
      <c r="Z325" s="364"/>
      <c r="AA325"/>
      <c r="AB325"/>
      <c r="AC325"/>
      <c r="AD325"/>
      <c r="AE325"/>
      <c r="AF325"/>
      <c r="AG325"/>
    </row>
    <row r="326" spans="17:33" ht="12.75" customHeight="1">
      <c r="Q326" s="364"/>
      <c r="R326" s="898"/>
      <c r="S326" s="899"/>
      <c r="T326" s="447"/>
      <c r="U326" s="560"/>
      <c r="V326" s="690" t="str">
        <f>IF(T326&gt;0,W326*U326," ")</f>
        <v xml:space="preserve"> </v>
      </c>
      <c r="W326" s="691" t="str">
        <f>IF(T326&gt;0,(VLOOKUP(T326,'Lookup Ready-reckoner'!$B$5:$E$1007,4))," ")</f>
        <v xml:space="preserve"> </v>
      </c>
      <c r="X326" s="364"/>
      <c r="Y326" s="364"/>
      <c r="Z326" s="364"/>
      <c r="AA326"/>
      <c r="AB326"/>
      <c r="AC326"/>
      <c r="AD326"/>
      <c r="AE326"/>
      <c r="AF326"/>
      <c r="AG326"/>
    </row>
    <row r="327" spans="17:33" ht="12.75" customHeight="1" thickBot="1">
      <c r="Q327" s="364"/>
      <c r="R327" s="692" t="s">
        <v>839</v>
      </c>
      <c r="S327" s="693"/>
      <c r="T327" s="693"/>
      <c r="U327" s="694">
        <f>IF(T325&gt;0,(VLOOKUP(V327,'Lookup Ready-reckoner'!$L$5:$M$1207,2))," ")</f>
        <v>108.5</v>
      </c>
      <c r="V327" s="695">
        <f>IF(U325&gt;0,(SUM(V325:V326))," ")</f>
        <v>22857.142857142855</v>
      </c>
      <c r="W327" s="696"/>
      <c r="X327" s="364"/>
      <c r="Y327" s="364"/>
      <c r="Z327" s="364"/>
      <c r="AA327"/>
      <c r="AB327"/>
      <c r="AC327"/>
      <c r="AD327"/>
      <c r="AE327"/>
      <c r="AF327"/>
      <c r="AG327"/>
    </row>
    <row r="328" spans="17:33" ht="12.75" customHeight="1" thickBot="1">
      <c r="Q328" s="364"/>
      <c r="R328" s="892"/>
      <c r="S328" s="893"/>
      <c r="T328" s="893"/>
      <c r="U328" s="893"/>
      <c r="V328" s="893"/>
      <c r="W328" s="894"/>
      <c r="X328" s="364"/>
      <c r="Y328" s="364"/>
      <c r="Z328" s="364"/>
      <c r="AA328"/>
      <c r="AB328"/>
      <c r="AC328"/>
      <c r="AD328"/>
      <c r="AE328"/>
      <c r="AF328"/>
      <c r="AG328"/>
    </row>
    <row r="329" spans="17:33" ht="12.75" customHeight="1">
      <c r="Q329" s="364"/>
      <c r="R329" s="895" t="s">
        <v>886</v>
      </c>
      <c r="S329" s="896"/>
      <c r="T329" s="900" t="s">
        <v>835</v>
      </c>
      <c r="U329" s="900" t="s">
        <v>836</v>
      </c>
      <c r="V329" s="900" t="s">
        <v>837</v>
      </c>
      <c r="W329" s="902" t="s">
        <v>838</v>
      </c>
      <c r="X329" s="364"/>
      <c r="Y329" s="364"/>
      <c r="Z329" s="364"/>
      <c r="AA329"/>
      <c r="AB329"/>
      <c r="AC329"/>
      <c r="AD329"/>
      <c r="AE329"/>
      <c r="AF329"/>
      <c r="AG329"/>
    </row>
    <row r="330" spans="17:33" ht="12.75" customHeight="1">
      <c r="Q330" s="364"/>
      <c r="R330" s="892"/>
      <c r="S330" s="897"/>
      <c r="T330" s="901"/>
      <c r="U330" s="901"/>
      <c r="V330" s="901"/>
      <c r="W330" s="903"/>
      <c r="X330" s="364"/>
      <c r="Y330" s="364"/>
      <c r="Z330" s="364"/>
      <c r="AA330"/>
      <c r="AB330"/>
      <c r="AC330"/>
      <c r="AD330"/>
      <c r="AE330"/>
      <c r="AF330"/>
      <c r="AG330"/>
    </row>
    <row r="331" spans="17:33" ht="12.75" customHeight="1">
      <c r="Q331" s="364"/>
      <c r="R331" s="892"/>
      <c r="S331" s="897"/>
      <c r="T331" s="689">
        <f>T325*(1-0.0178*2)</f>
        <v>111.8704</v>
      </c>
      <c r="U331" s="560">
        <f>U325</f>
        <v>1.4285714285714284</v>
      </c>
      <c r="V331" s="690">
        <f>IF(T331&gt;0,W331*U331," ")</f>
        <v>8842.8571428571413</v>
      </c>
      <c r="W331" s="691">
        <f>IF(T331&gt;0,(VLOOKUP(T331,'Lookup Ready-reckoner'!$B$5:$E$1207,4))," ")</f>
        <v>6190</v>
      </c>
      <c r="X331" s="364"/>
      <c r="Y331" s="364"/>
      <c r="Z331" s="364"/>
      <c r="AA331"/>
      <c r="AB331"/>
      <c r="AC331"/>
      <c r="AD331"/>
      <c r="AE331"/>
      <c r="AF331"/>
      <c r="AG331"/>
    </row>
    <row r="332" spans="17:33" ht="12.75" customHeight="1">
      <c r="Q332" s="364"/>
      <c r="R332" s="898"/>
      <c r="S332" s="899"/>
      <c r="T332" s="447"/>
      <c r="U332" s="560"/>
      <c r="V332" s="690" t="str">
        <f>IF(T332&gt;0,W332*U332," ")</f>
        <v xml:space="preserve"> </v>
      </c>
      <c r="W332" s="691" t="str">
        <f>IF(T332&gt;0,(VLOOKUP(T332,'Lookup Ready-reckoner'!$B$5:$E$1007,4))," ")</f>
        <v xml:space="preserve"> </v>
      </c>
      <c r="X332" s="364"/>
      <c r="Y332" s="364"/>
      <c r="Z332" s="364"/>
      <c r="AA332"/>
      <c r="AB332"/>
      <c r="AC332"/>
      <c r="AD332"/>
      <c r="AE332"/>
      <c r="AF332"/>
      <c r="AG332"/>
    </row>
    <row r="333" spans="17:33" ht="12.75" customHeight="1" thickBot="1">
      <c r="Q333" s="364"/>
      <c r="R333" s="692" t="s">
        <v>839</v>
      </c>
      <c r="S333" s="693"/>
      <c r="T333" s="693"/>
      <c r="U333" s="694">
        <f>IF(T331&gt;0,(VLOOKUP(V333,'Lookup Ready-reckoner'!$L$5:$M$1207,2))," ")</f>
        <v>104.4</v>
      </c>
      <c r="V333" s="695">
        <f>IF(U331&gt;0,(SUM(V331:V332))," ")</f>
        <v>8842.8571428571413</v>
      </c>
      <c r="W333" s="696"/>
      <c r="X333" s="364"/>
      <c r="Y333" s="364"/>
      <c r="Z333" s="364"/>
      <c r="AA333"/>
      <c r="AB333"/>
      <c r="AC333"/>
      <c r="AD333"/>
      <c r="AE333"/>
      <c r="AF333"/>
      <c r="AG333"/>
    </row>
    <row r="334" spans="17:33" ht="12.75" customHeight="1">
      <c r="Q334" s="364"/>
      <c r="R334" s="697"/>
      <c r="S334" s="687"/>
      <c r="T334" s="687"/>
      <c r="U334" s="372"/>
      <c r="V334" s="374"/>
      <c r="W334" s="688"/>
      <c r="X334" s="364"/>
      <c r="Y334" s="364"/>
      <c r="Z334" s="364"/>
      <c r="AA334"/>
      <c r="AB334"/>
      <c r="AC334"/>
      <c r="AD334"/>
      <c r="AE334"/>
      <c r="AF334"/>
      <c r="AG334"/>
    </row>
    <row r="335" spans="17:33" ht="12.75" customHeight="1" thickBot="1">
      <c r="Q335" s="364"/>
      <c r="R335" s="686" t="s">
        <v>60</v>
      </c>
      <c r="S335" s="577"/>
      <c r="T335" s="577"/>
      <c r="U335" s="577"/>
      <c r="V335" s="577"/>
      <c r="W335" s="698"/>
      <c r="X335" s="364"/>
      <c r="Y335" s="364"/>
      <c r="Z335" s="364"/>
      <c r="AA335"/>
      <c r="AB335"/>
      <c r="AC335"/>
      <c r="AD335"/>
      <c r="AE335"/>
      <c r="AF335"/>
      <c r="AG335"/>
    </row>
    <row r="336" spans="17:33" ht="12.75" customHeight="1">
      <c r="Q336" s="364"/>
      <c r="R336" s="895" t="s">
        <v>845</v>
      </c>
      <c r="S336" s="896"/>
      <c r="T336" s="900" t="s">
        <v>835</v>
      </c>
      <c r="U336" s="900" t="s">
        <v>836</v>
      </c>
      <c r="V336" s="900" t="s">
        <v>837</v>
      </c>
      <c r="W336" s="902" t="s">
        <v>838</v>
      </c>
      <c r="X336" s="364"/>
      <c r="Y336" s="364"/>
      <c r="Z336" s="364"/>
      <c r="AA336"/>
      <c r="AB336"/>
      <c r="AC336"/>
      <c r="AD336"/>
      <c r="AE336"/>
      <c r="AF336"/>
      <c r="AG336"/>
    </row>
    <row r="337" spans="17:33" ht="12.75" customHeight="1">
      <c r="Q337" s="364"/>
      <c r="R337" s="892"/>
      <c r="S337" s="897"/>
      <c r="T337" s="901"/>
      <c r="U337" s="901"/>
      <c r="V337" s="901"/>
      <c r="W337" s="903"/>
      <c r="X337" s="364"/>
      <c r="Y337" s="364"/>
      <c r="Z337" s="364"/>
      <c r="AA337"/>
      <c r="AB337"/>
      <c r="AC337"/>
      <c r="AD337"/>
      <c r="AE337"/>
      <c r="AF337"/>
      <c r="AG337"/>
    </row>
    <row r="338" spans="17:33" ht="12.75" customHeight="1">
      <c r="Q338" s="364"/>
      <c r="R338" s="892"/>
      <c r="S338" s="897"/>
      <c r="T338" s="689">
        <f>T325-PPE!$I$15</f>
        <v>103</v>
      </c>
      <c r="U338" s="560">
        <f>U331</f>
        <v>1.4285714285714284</v>
      </c>
      <c r="V338" s="690">
        <f>IF(T338&gt;0,W338*U338," ")</f>
        <v>1142.8571428571427</v>
      </c>
      <c r="W338" s="691">
        <f>IF(T338&gt;0,(VLOOKUP(T338,'Lookup Ready-reckoner'!$B$5:$E$1207,4))," ")</f>
        <v>800</v>
      </c>
      <c r="X338" s="364"/>
      <c r="Y338" s="364"/>
      <c r="Z338" s="364"/>
      <c r="AA338"/>
      <c r="AB338"/>
      <c r="AC338"/>
      <c r="AD338"/>
      <c r="AE338"/>
      <c r="AF338"/>
      <c r="AG338"/>
    </row>
    <row r="339" spans="17:33" ht="12.75" customHeight="1">
      <c r="Q339" s="364"/>
      <c r="R339" s="898"/>
      <c r="S339" s="899"/>
      <c r="T339" s="447"/>
      <c r="U339" s="560"/>
      <c r="V339" s="690" t="str">
        <f>IF(T339&gt;0,W339*U339," ")</f>
        <v xml:space="preserve"> </v>
      </c>
      <c r="W339" s="691" t="str">
        <f>IF(T339&gt;0,(VLOOKUP(T339,'Lookup Ready-reckoner'!$B$5:$E$1007,4))," ")</f>
        <v xml:space="preserve"> </v>
      </c>
      <c r="X339" s="364"/>
      <c r="Y339" s="364"/>
      <c r="Z339" s="364"/>
      <c r="AA339"/>
      <c r="AB339"/>
      <c r="AC339"/>
      <c r="AD339"/>
      <c r="AE339"/>
      <c r="AF339"/>
      <c r="AG339"/>
    </row>
    <row r="340" spans="17:33" ht="12.75" customHeight="1" thickBot="1">
      <c r="Q340" s="364"/>
      <c r="R340" s="699" t="s">
        <v>839</v>
      </c>
      <c r="S340" s="693"/>
      <c r="T340" s="693"/>
      <c r="U340" s="694">
        <f>IF(T338&gt;0,(VLOOKUP(V340,'Lookup Ready-reckoner'!$L$5:$M$1207,2))," ")</f>
        <v>95.55</v>
      </c>
      <c r="V340" s="695">
        <f>IF(U338&gt;0,(SUM(V338:V339))," ")</f>
        <v>1142.8571428571427</v>
      </c>
      <c r="W340" s="696"/>
      <c r="X340" s="364"/>
      <c r="Y340" s="364"/>
      <c r="Z340" s="364"/>
      <c r="AA340"/>
      <c r="AB340"/>
      <c r="AC340"/>
      <c r="AD340"/>
      <c r="AE340"/>
      <c r="AF340"/>
      <c r="AG340"/>
    </row>
    <row r="341" spans="17:33" ht="12.75" customHeight="1" thickBot="1">
      <c r="Q341" s="364"/>
      <c r="R341" s="892"/>
      <c r="S341" s="893"/>
      <c r="T341" s="893"/>
      <c r="U341" s="893"/>
      <c r="V341" s="893"/>
      <c r="W341" s="894"/>
      <c r="X341" s="364"/>
      <c r="Y341" s="364"/>
      <c r="Z341" s="364"/>
      <c r="AA341"/>
      <c r="AB341"/>
      <c r="AC341"/>
      <c r="AD341"/>
      <c r="AE341"/>
      <c r="AF341"/>
      <c r="AG341"/>
    </row>
    <row r="342" spans="17:33" ht="12.75" customHeight="1">
      <c r="Q342" s="364"/>
      <c r="R342" s="895" t="s">
        <v>886</v>
      </c>
      <c r="S342" s="896"/>
      <c r="T342" s="900" t="s">
        <v>835</v>
      </c>
      <c r="U342" s="900" t="s">
        <v>836</v>
      </c>
      <c r="V342" s="900" t="s">
        <v>837</v>
      </c>
      <c r="W342" s="902" t="s">
        <v>838</v>
      </c>
      <c r="X342" s="364"/>
      <c r="Y342" s="364"/>
      <c r="Z342" s="364"/>
      <c r="AA342"/>
      <c r="AB342"/>
      <c r="AC342"/>
      <c r="AD342"/>
      <c r="AE342"/>
      <c r="AF342"/>
      <c r="AG342"/>
    </row>
    <row r="343" spans="17:33" ht="12.75" customHeight="1">
      <c r="Q343" s="364"/>
      <c r="R343" s="892"/>
      <c r="S343" s="897"/>
      <c r="T343" s="901"/>
      <c r="U343" s="901"/>
      <c r="V343" s="901"/>
      <c r="W343" s="903"/>
      <c r="X343" s="364"/>
      <c r="Y343" s="364"/>
      <c r="Z343" s="364"/>
      <c r="AA343"/>
      <c r="AB343"/>
      <c r="AC343"/>
      <c r="AD343"/>
      <c r="AE343"/>
      <c r="AF343"/>
      <c r="AG343"/>
    </row>
    <row r="344" spans="17:33" ht="12.75" customHeight="1">
      <c r="Q344" s="364"/>
      <c r="R344" s="892"/>
      <c r="S344" s="897"/>
      <c r="T344" s="689">
        <f>T331-PPE!$I$15</f>
        <v>98.870400000000004</v>
      </c>
      <c r="U344" s="560">
        <f>U338</f>
        <v>1.4285714285714284</v>
      </c>
      <c r="V344" s="690">
        <f>IF(T344&gt;0,W344*U344," ")</f>
        <v>433.03571428571422</v>
      </c>
      <c r="W344" s="691">
        <f>IF(T344&gt;0,(VLOOKUP(T344,'Lookup Ready-reckoner'!$B$5:$E$1207,4))," ")</f>
        <v>303.125</v>
      </c>
      <c r="X344" s="364"/>
      <c r="Y344" s="364"/>
      <c r="Z344" s="364"/>
      <c r="AA344"/>
      <c r="AB344"/>
      <c r="AC344"/>
      <c r="AD344"/>
      <c r="AE344"/>
      <c r="AF344"/>
      <c r="AG344"/>
    </row>
    <row r="345" spans="17:33" ht="12.75" customHeight="1">
      <c r="Q345" s="364"/>
      <c r="R345" s="898"/>
      <c r="S345" s="899"/>
      <c r="T345" s="447"/>
      <c r="U345" s="560"/>
      <c r="V345" s="690" t="str">
        <f>IF(T345&gt;0,W345*U345," ")</f>
        <v xml:space="preserve"> </v>
      </c>
      <c r="W345" s="691" t="str">
        <f>IF(T345&gt;0,(VLOOKUP(T345,'Lookup Ready-reckoner'!$B$5:$E$1007,4))," ")</f>
        <v xml:space="preserve"> </v>
      </c>
      <c r="X345" s="364"/>
      <c r="Y345" s="364"/>
      <c r="Z345" s="364"/>
      <c r="AA345"/>
      <c r="AB345"/>
      <c r="AC345"/>
      <c r="AD345"/>
      <c r="AE345"/>
      <c r="AF345"/>
      <c r="AG345"/>
    </row>
    <row r="346" spans="17:33" ht="12.75" customHeight="1" thickBot="1">
      <c r="Q346" s="364"/>
      <c r="R346" s="692" t="s">
        <v>839</v>
      </c>
      <c r="S346" s="693"/>
      <c r="T346" s="693"/>
      <c r="U346" s="694">
        <f>IF(T344&gt;0,(VLOOKUP(V346,'Lookup Ready-reckoner'!$L$5:$M$1207,2))," ")</f>
        <v>91.3</v>
      </c>
      <c r="V346" s="695">
        <f>IF(U344&gt;0,(SUM(V344:V345))," ")</f>
        <v>433.03571428571422</v>
      </c>
      <c r="W346" s="696"/>
      <c r="X346" s="364"/>
      <c r="Y346" s="364"/>
      <c r="Z346" s="364"/>
      <c r="AA346"/>
      <c r="AB346"/>
      <c r="AC346"/>
      <c r="AD346"/>
      <c r="AE346"/>
      <c r="AF346"/>
      <c r="AG346"/>
    </row>
    <row r="347" spans="17:33" ht="12.75" customHeight="1">
      <c r="Q347" s="364"/>
      <c r="R347" s="363"/>
      <c r="S347" s="363"/>
      <c r="T347" s="363"/>
      <c r="U347" s="363"/>
      <c r="V347" s="363"/>
      <c r="W347" s="363"/>
      <c r="X347" s="364"/>
      <c r="Y347" s="364"/>
      <c r="Z347" s="364"/>
      <c r="AA347"/>
      <c r="AB347"/>
      <c r="AC347"/>
      <c r="AD347"/>
      <c r="AE347"/>
      <c r="AF347"/>
      <c r="AG347"/>
    </row>
    <row r="348" spans="17:33" ht="12.75" customHeight="1" thickBot="1">
      <c r="Q348" s="364"/>
      <c r="R348" s="915" t="str">
        <f>T306</f>
        <v>Seco S215 Muffled</v>
      </c>
      <c r="S348" s="915"/>
      <c r="T348" s="915"/>
      <c r="U348" s="915"/>
      <c r="V348" s="915"/>
      <c r="W348" s="915"/>
      <c r="X348" s="364"/>
      <c r="Y348" s="363"/>
      <c r="Z348" s="363"/>
      <c r="AA348"/>
      <c r="AB348"/>
      <c r="AC348"/>
      <c r="AD348"/>
      <c r="AE348"/>
      <c r="AF348"/>
      <c r="AG348"/>
    </row>
    <row r="349" spans="17:33" ht="12.75" customHeight="1" thickBot="1">
      <c r="Q349" s="364"/>
      <c r="R349" s="906" t="s">
        <v>205</v>
      </c>
      <c r="S349" s="907"/>
      <c r="T349" s="907"/>
      <c r="U349" s="907"/>
      <c r="V349" s="907"/>
      <c r="W349" s="908"/>
      <c r="X349" s="364"/>
      <c r="Y349" s="363"/>
      <c r="Z349" s="363"/>
      <c r="AA349"/>
      <c r="AB349"/>
      <c r="AC349"/>
      <c r="AD349"/>
      <c r="AE349"/>
      <c r="AF349"/>
      <c r="AG349"/>
    </row>
    <row r="350" spans="17:33" ht="12.75" customHeight="1" thickBot="1">
      <c r="Q350" s="364"/>
      <c r="R350" s="686" t="s">
        <v>59</v>
      </c>
      <c r="S350" s="577"/>
      <c r="T350" s="687"/>
      <c r="U350" s="687"/>
      <c r="V350" s="687"/>
      <c r="W350" s="688"/>
      <c r="X350" s="364"/>
      <c r="Y350" s="363"/>
      <c r="Z350" s="363"/>
      <c r="AA350"/>
      <c r="AB350"/>
      <c r="AC350"/>
      <c r="AD350"/>
      <c r="AE350"/>
      <c r="AF350"/>
      <c r="AG350"/>
    </row>
    <row r="351" spans="17:33" ht="12.75" customHeight="1">
      <c r="Q351" s="364"/>
      <c r="R351" s="895" t="s">
        <v>845</v>
      </c>
      <c r="S351" s="896"/>
      <c r="T351" s="900" t="s">
        <v>835</v>
      </c>
      <c r="U351" s="900" t="s">
        <v>836</v>
      </c>
      <c r="V351" s="900" t="s">
        <v>837</v>
      </c>
      <c r="W351" s="902" t="s">
        <v>838</v>
      </c>
      <c r="X351" s="364"/>
      <c r="Y351" s="363"/>
      <c r="Z351" s="363"/>
      <c r="AA351"/>
      <c r="AB351"/>
      <c r="AC351"/>
      <c r="AD351"/>
      <c r="AE351"/>
      <c r="AF351"/>
      <c r="AG351"/>
    </row>
    <row r="352" spans="17:33" ht="12.75" customHeight="1">
      <c r="Q352" s="364"/>
      <c r="R352" s="892"/>
      <c r="S352" s="897"/>
      <c r="T352" s="904"/>
      <c r="U352" s="904"/>
      <c r="V352" s="904"/>
      <c r="W352" s="905"/>
      <c r="X352" s="364"/>
      <c r="Y352" s="363"/>
      <c r="Z352" s="363"/>
      <c r="AA352"/>
      <c r="AB352"/>
      <c r="AC352"/>
      <c r="AD352"/>
      <c r="AE352"/>
      <c r="AF352"/>
      <c r="AG352"/>
    </row>
    <row r="353" spans="17:33" ht="12.75" customHeight="1">
      <c r="Q353" s="364"/>
      <c r="R353" s="892"/>
      <c r="S353" s="897"/>
      <c r="T353" s="901"/>
      <c r="U353" s="901"/>
      <c r="V353" s="901"/>
      <c r="W353" s="903"/>
      <c r="X353" s="364"/>
      <c r="Y353" s="363"/>
      <c r="Z353" s="363"/>
      <c r="AA353"/>
      <c r="AB353"/>
      <c r="AC353"/>
      <c r="AD353"/>
      <c r="AE353"/>
      <c r="AF353"/>
      <c r="AG353"/>
    </row>
    <row r="354" spans="17:33" ht="12.75" customHeight="1">
      <c r="Q354" s="364"/>
      <c r="R354" s="892"/>
      <c r="S354" s="897"/>
      <c r="T354" s="700">
        <f>V69</f>
        <v>108</v>
      </c>
      <c r="U354" s="560">
        <f>V62</f>
        <v>1.9999999999999996</v>
      </c>
      <c r="V354" s="690">
        <f>IF(T354&gt;0,W354*U354," ")</f>
        <v>4999.9999999999991</v>
      </c>
      <c r="W354" s="691">
        <f>IF(T354&gt;0,(VLOOKUP(T354,'Lookup Ready-reckoner'!$B$5:$E$1207,4))," ")</f>
        <v>2500</v>
      </c>
      <c r="X354" s="364"/>
      <c r="Y354" s="363"/>
      <c r="Z354" s="363"/>
      <c r="AA354"/>
      <c r="AB354"/>
      <c r="AC354"/>
      <c r="AD354"/>
      <c r="AE354"/>
      <c r="AF354"/>
      <c r="AG354"/>
    </row>
    <row r="355" spans="17:33" ht="12.75" customHeight="1">
      <c r="Q355" s="364"/>
      <c r="R355" s="898"/>
      <c r="S355" s="899"/>
      <c r="T355" s="447"/>
      <c r="U355" s="560"/>
      <c r="V355" s="690" t="str">
        <f>IF(T355&gt;0,W355*U355," ")</f>
        <v xml:space="preserve"> </v>
      </c>
      <c r="W355" s="691" t="str">
        <f>IF(T355&gt;0,(VLOOKUP(T355,'Lookup Ready-reckoner'!$B$5:$E$1007,4))," ")</f>
        <v xml:space="preserve"> </v>
      </c>
      <c r="X355" s="364"/>
      <c r="Y355" s="363"/>
      <c r="Z355" s="363"/>
      <c r="AA355"/>
      <c r="AB355"/>
      <c r="AC355"/>
      <c r="AD355"/>
      <c r="AE355"/>
      <c r="AF355"/>
      <c r="AG355"/>
    </row>
    <row r="356" spans="17:33" ht="12.75" customHeight="1" thickBot="1">
      <c r="Q356" s="364"/>
      <c r="R356" s="699" t="s">
        <v>839</v>
      </c>
      <c r="S356" s="693"/>
      <c r="T356" s="693"/>
      <c r="U356" s="701">
        <f>IF(T354&gt;0,(VLOOKUP(V356,'Lookup Ready-reckoner'!$L$5:$M$1207,2))," ")</f>
        <v>101.95</v>
      </c>
      <c r="V356" s="695">
        <f>IF(U354&gt;0,(SUM(V354:V355))," ")</f>
        <v>4999.9999999999991</v>
      </c>
      <c r="W356" s="696"/>
      <c r="X356" s="364"/>
      <c r="Y356" s="363"/>
      <c r="Z356" s="363"/>
      <c r="AA356"/>
      <c r="AB356"/>
      <c r="AC356"/>
      <c r="AD356"/>
      <c r="AE356"/>
      <c r="AF356"/>
      <c r="AG356"/>
    </row>
    <row r="357" spans="17:33" ht="12.75" customHeight="1" thickBot="1">
      <c r="Q357" s="364"/>
      <c r="R357" s="892"/>
      <c r="S357" s="893"/>
      <c r="T357" s="893"/>
      <c r="U357" s="893"/>
      <c r="V357" s="893"/>
      <c r="W357" s="894"/>
      <c r="X357" s="364"/>
      <c r="Y357" s="363"/>
      <c r="Z357" s="363"/>
      <c r="AA357"/>
      <c r="AB357"/>
      <c r="AC357"/>
      <c r="AD357"/>
      <c r="AE357"/>
      <c r="AF357"/>
      <c r="AG357"/>
    </row>
    <row r="358" spans="17:33" ht="12.75" customHeight="1">
      <c r="Q358" s="364"/>
      <c r="R358" s="895" t="s">
        <v>886</v>
      </c>
      <c r="S358" s="896"/>
      <c r="T358" s="900" t="s">
        <v>835</v>
      </c>
      <c r="U358" s="900" t="s">
        <v>836</v>
      </c>
      <c r="V358" s="900" t="s">
        <v>837</v>
      </c>
      <c r="W358" s="902" t="s">
        <v>838</v>
      </c>
      <c r="X358" s="364"/>
      <c r="Y358" s="363"/>
      <c r="Z358" s="363"/>
      <c r="AA358"/>
      <c r="AB358"/>
      <c r="AC358"/>
      <c r="AD358"/>
      <c r="AE358"/>
      <c r="AF358"/>
      <c r="AG358"/>
    </row>
    <row r="359" spans="17:33" ht="12.75" customHeight="1">
      <c r="Q359" s="364"/>
      <c r="R359" s="892"/>
      <c r="S359" s="897"/>
      <c r="T359" s="901"/>
      <c r="U359" s="901"/>
      <c r="V359" s="901"/>
      <c r="W359" s="903"/>
      <c r="X359" s="364"/>
      <c r="Y359" s="363"/>
      <c r="Z359" s="363"/>
      <c r="AA359"/>
      <c r="AB359"/>
      <c r="AC359"/>
      <c r="AD359"/>
      <c r="AE359"/>
      <c r="AF359"/>
      <c r="AG359"/>
    </row>
    <row r="360" spans="17:33" ht="12.75" customHeight="1">
      <c r="Q360" s="364"/>
      <c r="R360" s="892"/>
      <c r="S360" s="897"/>
      <c r="T360" s="700">
        <f>T354*(1-0.0178*2)</f>
        <v>104.15520000000001</v>
      </c>
      <c r="U360" s="560">
        <f>U354</f>
        <v>1.9999999999999996</v>
      </c>
      <c r="V360" s="690">
        <f>IF(T360&gt;0,W360*U360," ")</f>
        <v>2074.9999999999995</v>
      </c>
      <c r="W360" s="691">
        <f>IF(T360&gt;0,(VLOOKUP(T360,'Lookup Ready-reckoner'!$B$5:$E$1207,4))," ")</f>
        <v>1037.5</v>
      </c>
      <c r="X360" s="364"/>
      <c r="Y360" s="363"/>
      <c r="Z360" s="363"/>
      <c r="AA360"/>
      <c r="AB360"/>
      <c r="AC360"/>
      <c r="AD360"/>
      <c r="AE360"/>
      <c r="AF360"/>
      <c r="AG360"/>
    </row>
    <row r="361" spans="17:33" ht="12.75" customHeight="1">
      <c r="Q361" s="364"/>
      <c r="R361" s="898"/>
      <c r="S361" s="899"/>
      <c r="T361" s="447"/>
      <c r="U361" s="560"/>
      <c r="V361" s="690" t="str">
        <f>IF(T361&gt;0,W361*U361," ")</f>
        <v xml:space="preserve"> </v>
      </c>
      <c r="W361" s="691" t="str">
        <f>IF(T361&gt;0,(VLOOKUP(T361,'Lookup Ready-reckoner'!$B$5:$E$1007,4))," ")</f>
        <v xml:space="preserve"> </v>
      </c>
      <c r="X361" s="364"/>
      <c r="Y361" s="363"/>
      <c r="Z361" s="363"/>
      <c r="AA361"/>
      <c r="AB361"/>
      <c r="AC361"/>
      <c r="AD361"/>
      <c r="AE361"/>
      <c r="AF361"/>
      <c r="AG361"/>
    </row>
    <row r="362" spans="17:33" ht="12.75" customHeight="1" thickBot="1">
      <c r="Q362" s="364"/>
      <c r="R362" s="692" t="s">
        <v>839</v>
      </c>
      <c r="S362" s="693"/>
      <c r="T362" s="693"/>
      <c r="U362" s="701">
        <f>IF(T360&gt;0,(VLOOKUP(V362,'Lookup Ready-reckoner'!$L$5:$M$1207,2))," ")</f>
        <v>98.1</v>
      </c>
      <c r="V362" s="695">
        <f>IF(U360&gt;0,(SUM(V360:V361))," ")</f>
        <v>2074.9999999999995</v>
      </c>
      <c r="W362" s="696"/>
      <c r="X362" s="364"/>
      <c r="Y362" s="363"/>
      <c r="Z362" s="363"/>
      <c r="AA362"/>
      <c r="AB362"/>
      <c r="AC362"/>
      <c r="AD362"/>
      <c r="AE362"/>
      <c r="AF362"/>
      <c r="AG362"/>
    </row>
    <row r="363" spans="17:33" ht="12.75" customHeight="1">
      <c r="Q363" s="364"/>
      <c r="R363" s="697"/>
      <c r="S363" s="687"/>
      <c r="T363" s="687"/>
      <c r="U363" s="372"/>
      <c r="V363" s="374"/>
      <c r="W363" s="688"/>
      <c r="X363" s="364"/>
      <c r="Y363" s="363"/>
      <c r="Z363" s="363"/>
      <c r="AA363"/>
      <c r="AB363"/>
      <c r="AC363"/>
      <c r="AD363"/>
      <c r="AE363"/>
      <c r="AF363"/>
      <c r="AG363"/>
    </row>
    <row r="364" spans="17:33" ht="12.75" customHeight="1" thickBot="1">
      <c r="Q364" s="364"/>
      <c r="R364" s="686" t="s">
        <v>60</v>
      </c>
      <c r="S364" s="577"/>
      <c r="T364" s="577"/>
      <c r="U364" s="577"/>
      <c r="V364" s="577"/>
      <c r="W364" s="698"/>
      <c r="X364" s="364"/>
      <c r="Y364" s="363"/>
      <c r="Z364" s="363"/>
      <c r="AA364"/>
      <c r="AB364"/>
      <c r="AC364"/>
      <c r="AD364"/>
      <c r="AE364"/>
      <c r="AF364"/>
      <c r="AG364"/>
    </row>
    <row r="365" spans="17:33" ht="12.75" customHeight="1">
      <c r="Q365" s="364"/>
      <c r="R365" s="895" t="s">
        <v>845</v>
      </c>
      <c r="S365" s="896"/>
      <c r="T365" s="900" t="s">
        <v>835</v>
      </c>
      <c r="U365" s="900" t="s">
        <v>836</v>
      </c>
      <c r="V365" s="900" t="s">
        <v>837</v>
      </c>
      <c r="W365" s="902" t="s">
        <v>838</v>
      </c>
      <c r="X365" s="364"/>
      <c r="Y365" s="363"/>
      <c r="Z365" s="363"/>
      <c r="AA365"/>
      <c r="AB365"/>
      <c r="AC365"/>
      <c r="AD365"/>
      <c r="AE365"/>
      <c r="AF365"/>
      <c r="AG365"/>
    </row>
    <row r="366" spans="17:33" ht="12.75" customHeight="1">
      <c r="Q366" s="364"/>
      <c r="R366" s="892"/>
      <c r="S366" s="897"/>
      <c r="T366" s="901"/>
      <c r="U366" s="901"/>
      <c r="V366" s="901"/>
      <c r="W366" s="903"/>
      <c r="X366" s="364"/>
      <c r="Y366" s="363"/>
      <c r="Z366" s="363"/>
      <c r="AA366"/>
      <c r="AB366"/>
      <c r="AC366"/>
      <c r="AD366"/>
      <c r="AE366"/>
      <c r="AF366"/>
      <c r="AG366"/>
    </row>
    <row r="367" spans="17:33" ht="12.75" customHeight="1">
      <c r="Q367" s="364"/>
      <c r="R367" s="892"/>
      <c r="S367" s="897"/>
      <c r="T367" s="700">
        <f>T354-PPE!$I$15</f>
        <v>95</v>
      </c>
      <c r="U367" s="560">
        <f>U360</f>
        <v>1.9999999999999996</v>
      </c>
      <c r="V367" s="690">
        <f>IF(T367&gt;0,W367*U367," ")</f>
        <v>249.99999999999994</v>
      </c>
      <c r="W367" s="691">
        <f>IF(T367&gt;0,(VLOOKUP(T367,'Lookup Ready-reckoner'!$B$5:$E$1207,4))," ")</f>
        <v>125</v>
      </c>
      <c r="X367" s="364"/>
      <c r="Y367" s="363"/>
      <c r="Z367" s="363"/>
      <c r="AA367"/>
      <c r="AB367"/>
      <c r="AC367"/>
      <c r="AD367"/>
      <c r="AE367"/>
      <c r="AF367"/>
      <c r="AG367"/>
    </row>
    <row r="368" spans="17:33" ht="12.75" customHeight="1">
      <c r="Q368" s="364"/>
      <c r="R368" s="898"/>
      <c r="S368" s="899"/>
      <c r="T368" s="447"/>
      <c r="U368" s="560"/>
      <c r="V368" s="690" t="str">
        <f>IF(T368&gt;0,W368*U368," ")</f>
        <v xml:space="preserve"> </v>
      </c>
      <c r="W368" s="691" t="str">
        <f>IF(T368&gt;0,(VLOOKUP(T368,'Lookup Ready-reckoner'!$B$5:$E$1007,4))," ")</f>
        <v xml:space="preserve"> </v>
      </c>
      <c r="X368" s="364"/>
      <c r="Y368" s="363"/>
      <c r="Z368" s="363"/>
      <c r="AA368"/>
      <c r="AB368"/>
      <c r="AC368"/>
      <c r="AD368"/>
      <c r="AE368"/>
      <c r="AF368"/>
      <c r="AG368"/>
    </row>
    <row r="369" spans="17:33" ht="12.75" customHeight="1" thickBot="1">
      <c r="Q369" s="364"/>
      <c r="R369" s="692" t="s">
        <v>839</v>
      </c>
      <c r="S369" s="693"/>
      <c r="T369" s="693"/>
      <c r="U369" s="701">
        <f>IF(T367&gt;0,(VLOOKUP(V369,'Lookup Ready-reckoner'!$L$5:$M$1207,2))," ")</f>
        <v>88.95</v>
      </c>
      <c r="V369" s="695">
        <f>IF(U367&gt;0,(SUM(V367:V368))," ")</f>
        <v>249.99999999999994</v>
      </c>
      <c r="W369" s="696"/>
      <c r="X369" s="364"/>
      <c r="Y369" s="363"/>
      <c r="Z369" s="363"/>
      <c r="AA369"/>
      <c r="AB369"/>
      <c r="AC369"/>
      <c r="AD369"/>
      <c r="AE369"/>
      <c r="AF369"/>
      <c r="AG369"/>
    </row>
    <row r="370" spans="17:33" ht="12.75" customHeight="1" thickBot="1">
      <c r="Q370" s="364"/>
      <c r="R370" s="892"/>
      <c r="S370" s="893"/>
      <c r="T370" s="893"/>
      <c r="U370" s="893"/>
      <c r="V370" s="893"/>
      <c r="W370" s="894"/>
      <c r="X370" s="364"/>
      <c r="Y370" s="363"/>
      <c r="Z370" s="363"/>
      <c r="AA370"/>
      <c r="AB370"/>
      <c r="AC370"/>
      <c r="AD370"/>
      <c r="AE370"/>
      <c r="AF370"/>
      <c r="AG370"/>
    </row>
    <row r="371" spans="17:33" ht="12.75" customHeight="1">
      <c r="Q371" s="364"/>
      <c r="R371" s="895" t="s">
        <v>886</v>
      </c>
      <c r="S371" s="896"/>
      <c r="T371" s="900" t="s">
        <v>835</v>
      </c>
      <c r="U371" s="900" t="s">
        <v>836</v>
      </c>
      <c r="V371" s="900" t="s">
        <v>837</v>
      </c>
      <c r="W371" s="902" t="s">
        <v>838</v>
      </c>
      <c r="X371" s="364"/>
      <c r="Y371" s="363"/>
      <c r="Z371" s="363"/>
      <c r="AA371"/>
      <c r="AB371"/>
      <c r="AC371"/>
      <c r="AD371"/>
      <c r="AE371"/>
      <c r="AF371"/>
      <c r="AG371"/>
    </row>
    <row r="372" spans="17:33" ht="12.75" customHeight="1">
      <c r="Q372" s="364"/>
      <c r="R372" s="892"/>
      <c r="S372" s="897"/>
      <c r="T372" s="901"/>
      <c r="U372" s="901"/>
      <c r="V372" s="901"/>
      <c r="W372" s="903"/>
      <c r="X372" s="364"/>
      <c r="Y372" s="363"/>
      <c r="Z372" s="363"/>
      <c r="AA372"/>
      <c r="AB372"/>
      <c r="AC372"/>
      <c r="AD372"/>
      <c r="AE372"/>
      <c r="AF372"/>
      <c r="AG372"/>
    </row>
    <row r="373" spans="17:33" ht="12.75" customHeight="1">
      <c r="Q373" s="364"/>
      <c r="R373" s="892"/>
      <c r="S373" s="897"/>
      <c r="T373" s="700">
        <f>T360-PPE!$I$15</f>
        <v>91.155200000000008</v>
      </c>
      <c r="U373" s="560">
        <f>U367</f>
        <v>1.9999999999999996</v>
      </c>
      <c r="V373" s="690">
        <f>IF(T373&gt;0,W373*U373," ")</f>
        <v>103.74999999999997</v>
      </c>
      <c r="W373" s="691">
        <f>IF(T373&gt;0,(VLOOKUP(T373,'Lookup Ready-reckoner'!$B$5:$E$1207,4))," ")</f>
        <v>51.875</v>
      </c>
      <c r="X373" s="364"/>
      <c r="Y373" s="363"/>
      <c r="Z373" s="363"/>
      <c r="AA373"/>
      <c r="AB373"/>
      <c r="AC373"/>
      <c r="AD373"/>
      <c r="AE373"/>
      <c r="AF373"/>
      <c r="AG373"/>
    </row>
    <row r="374" spans="17:33" ht="12.75" customHeight="1">
      <c r="Q374" s="364"/>
      <c r="R374" s="898"/>
      <c r="S374" s="899"/>
      <c r="T374" s="447"/>
      <c r="U374" s="560"/>
      <c r="V374" s="690" t="str">
        <f>IF(T374&gt;0,W374*U374," ")</f>
        <v xml:space="preserve"> </v>
      </c>
      <c r="W374" s="691" t="str">
        <f>IF(T374&gt;0,(VLOOKUP(T374,'Lookup Ready-reckoner'!$B$5:$E$1007,4))," ")</f>
        <v xml:space="preserve"> </v>
      </c>
      <c r="X374" s="364"/>
      <c r="Y374" s="363"/>
      <c r="Z374" s="363"/>
      <c r="AA374"/>
      <c r="AB374"/>
      <c r="AC374"/>
      <c r="AD374"/>
      <c r="AE374"/>
      <c r="AF374"/>
      <c r="AG374"/>
    </row>
    <row r="375" spans="17:33" ht="12.75" customHeight="1" thickBot="1">
      <c r="Q375" s="364"/>
      <c r="R375" s="692" t="s">
        <v>839</v>
      </c>
      <c r="S375" s="693"/>
      <c r="T375" s="693"/>
      <c r="U375" s="701">
        <f>IF(T373&gt;0,(VLOOKUP(V375,'Lookup Ready-reckoner'!$L$5:$M$1207,2))," ")</f>
        <v>85.1</v>
      </c>
      <c r="V375" s="695">
        <f>IF(U373&gt;0,(SUM(V373:V374))," ")</f>
        <v>103.74999999999997</v>
      </c>
      <c r="W375" s="696"/>
      <c r="X375" s="364"/>
      <c r="Y375" s="363"/>
      <c r="Z375" s="363"/>
      <c r="AA375"/>
      <c r="AB375"/>
      <c r="AC375"/>
      <c r="AD375"/>
      <c r="AE375"/>
      <c r="AF375"/>
      <c r="AG375"/>
    </row>
    <row r="376" spans="17:33" ht="12.75" customHeight="1">
      <c r="Q376" s="364"/>
      <c r="R376" s="363"/>
      <c r="S376" s="363"/>
      <c r="T376" s="363"/>
      <c r="U376" s="363"/>
      <c r="V376" s="363"/>
      <c r="W376" s="363"/>
      <c r="X376" s="364"/>
      <c r="Y376" s="364"/>
      <c r="Z376" s="364"/>
      <c r="AA376"/>
      <c r="AB376"/>
      <c r="AC376"/>
      <c r="AD376"/>
      <c r="AE376"/>
      <c r="AF376"/>
      <c r="AG376"/>
    </row>
    <row r="377" spans="17:33" ht="12.75" customHeight="1">
      <c r="Q377" s="364"/>
      <c r="R377" s="913" t="str">
        <f>U306</f>
        <v>Sulzer ADDS</v>
      </c>
      <c r="S377" s="914"/>
      <c r="T377" s="914"/>
      <c r="U377" s="914"/>
      <c r="V377" s="914"/>
      <c r="W377" s="914"/>
      <c r="X377" s="364"/>
      <c r="Y377" s="363"/>
      <c r="Z377" s="363"/>
      <c r="AA377"/>
      <c r="AB377"/>
      <c r="AC377"/>
      <c r="AD377"/>
      <c r="AE377"/>
      <c r="AF377"/>
      <c r="AG377"/>
    </row>
    <row r="378" spans="17:33" ht="12.75" customHeight="1" thickBot="1">
      <c r="Q378" s="364"/>
      <c r="R378" s="910" t="s">
        <v>205</v>
      </c>
      <c r="S378" s="911"/>
      <c r="T378" s="911"/>
      <c r="U378" s="911"/>
      <c r="V378" s="911"/>
      <c r="W378" s="912"/>
      <c r="X378" s="364"/>
      <c r="Y378" s="363"/>
      <c r="Z378" s="363"/>
      <c r="AA378"/>
      <c r="AB378"/>
      <c r="AC378"/>
      <c r="AD378"/>
      <c r="AE378"/>
      <c r="AF378"/>
      <c r="AG378"/>
    </row>
    <row r="379" spans="17:33" ht="12.75" customHeight="1" thickBot="1">
      <c r="Q379" s="364"/>
      <c r="R379" s="686" t="s">
        <v>59</v>
      </c>
      <c r="S379" s="577"/>
      <c r="T379" s="687"/>
      <c r="U379" s="687"/>
      <c r="V379" s="687"/>
      <c r="W379" s="688"/>
      <c r="X379" s="364"/>
      <c r="Y379" s="363"/>
      <c r="Z379" s="363"/>
      <c r="AA379"/>
      <c r="AB379"/>
      <c r="AC379"/>
      <c r="AD379"/>
      <c r="AE379"/>
      <c r="AF379"/>
      <c r="AG379"/>
    </row>
    <row r="380" spans="17:33" ht="12.75" customHeight="1">
      <c r="Q380" s="364"/>
      <c r="R380" s="895" t="s">
        <v>845</v>
      </c>
      <c r="S380" s="896"/>
      <c r="T380" s="900" t="s">
        <v>835</v>
      </c>
      <c r="U380" s="900" t="s">
        <v>836</v>
      </c>
      <c r="V380" s="900" t="s">
        <v>837</v>
      </c>
      <c r="W380" s="902" t="s">
        <v>838</v>
      </c>
      <c r="X380" s="364"/>
      <c r="Y380" s="363"/>
      <c r="Z380" s="363"/>
      <c r="AA380"/>
      <c r="AB380"/>
      <c r="AC380"/>
      <c r="AD380"/>
      <c r="AE380"/>
      <c r="AF380"/>
      <c r="AG380"/>
    </row>
    <row r="381" spans="17:33" ht="12.75" customHeight="1">
      <c r="Q381" s="364"/>
      <c r="R381" s="892"/>
      <c r="S381" s="897"/>
      <c r="T381" s="904"/>
      <c r="U381" s="904"/>
      <c r="V381" s="904"/>
      <c r="W381" s="905"/>
      <c r="X381" s="364"/>
      <c r="Y381" s="363"/>
      <c r="Z381" s="363"/>
      <c r="AA381"/>
      <c r="AB381"/>
      <c r="AC381"/>
      <c r="AD381"/>
      <c r="AE381"/>
      <c r="AF381"/>
      <c r="AG381"/>
    </row>
    <row r="382" spans="17:33" ht="12.75" customHeight="1">
      <c r="Q382" s="364"/>
      <c r="R382" s="892"/>
      <c r="S382" s="897"/>
      <c r="T382" s="901"/>
      <c r="U382" s="901"/>
      <c r="V382" s="901"/>
      <c r="W382" s="903"/>
      <c r="X382" s="364"/>
      <c r="Y382" s="363"/>
      <c r="Z382" s="363"/>
      <c r="AA382"/>
      <c r="AB382"/>
      <c r="AC382"/>
      <c r="AD382"/>
      <c r="AE382"/>
      <c r="AF382"/>
      <c r="AG382"/>
    </row>
    <row r="383" spans="17:33" ht="12.75" customHeight="1">
      <c r="Q383" s="364"/>
      <c r="R383" s="892"/>
      <c r="S383" s="897"/>
      <c r="T383" s="702">
        <f>W69</f>
        <v>109</v>
      </c>
      <c r="U383" s="560">
        <f>W62</f>
        <v>1.7391304347826084</v>
      </c>
      <c r="V383" s="690">
        <f>IF(T383&gt;0,W383*U383," ")</f>
        <v>5565.2173913043471</v>
      </c>
      <c r="W383" s="691">
        <f>IF(T383&gt;0,(VLOOKUP(T383,'Lookup Ready-reckoner'!$B$5:$E$1207,4))," ")</f>
        <v>3200</v>
      </c>
      <c r="X383" s="364"/>
      <c r="Y383" s="363"/>
      <c r="Z383" s="363"/>
      <c r="AA383"/>
      <c r="AB383"/>
      <c r="AC383"/>
      <c r="AD383"/>
      <c r="AE383"/>
      <c r="AF383"/>
      <c r="AG383"/>
    </row>
    <row r="384" spans="17:33" ht="12.75" customHeight="1">
      <c r="Q384" s="364"/>
      <c r="R384" s="898"/>
      <c r="S384" s="899"/>
      <c r="T384" s="447"/>
      <c r="U384" s="560"/>
      <c r="V384" s="690" t="str">
        <f>IF(T384&gt;0,W384*U384," ")</f>
        <v xml:space="preserve"> </v>
      </c>
      <c r="W384" s="691" t="str">
        <f>IF(T384&gt;0,(VLOOKUP(T384,'Lookup Ready-reckoner'!$B$5:$E$1007,4))," ")</f>
        <v xml:space="preserve"> </v>
      </c>
      <c r="X384" s="364"/>
      <c r="Y384" s="363"/>
      <c r="Z384" s="363"/>
      <c r="AA384"/>
      <c r="AB384"/>
      <c r="AC384"/>
      <c r="AD384"/>
      <c r="AE384"/>
      <c r="AF384"/>
      <c r="AG384"/>
    </row>
    <row r="385" spans="17:33" ht="12.75" customHeight="1" thickBot="1">
      <c r="Q385" s="364"/>
      <c r="R385" s="692" t="s">
        <v>839</v>
      </c>
      <c r="S385" s="693"/>
      <c r="T385" s="693"/>
      <c r="U385" s="703">
        <f>IF(T383&gt;0,(VLOOKUP(V385,'Lookup Ready-reckoner'!$L$5:$M$1207,2))," ")</f>
        <v>102.4</v>
      </c>
      <c r="V385" s="695">
        <f>IF(U383&gt;0,(SUM(V383:V384))," ")</f>
        <v>5565.2173913043471</v>
      </c>
      <c r="W385" s="696"/>
      <c r="X385" s="364"/>
      <c r="Y385" s="363"/>
      <c r="Z385" s="363"/>
      <c r="AA385"/>
      <c r="AB385"/>
      <c r="AC385"/>
      <c r="AD385"/>
      <c r="AE385"/>
      <c r="AF385"/>
      <c r="AG385"/>
    </row>
    <row r="386" spans="17:33" ht="12.75" customHeight="1" thickBot="1">
      <c r="Q386" s="364"/>
      <c r="R386" s="892"/>
      <c r="S386" s="893"/>
      <c r="T386" s="893"/>
      <c r="U386" s="893"/>
      <c r="V386" s="893"/>
      <c r="W386" s="894"/>
      <c r="X386" s="364"/>
      <c r="Y386" s="363"/>
      <c r="Z386" s="363"/>
      <c r="AA386"/>
      <c r="AB386"/>
      <c r="AC386"/>
      <c r="AD386"/>
      <c r="AE386"/>
      <c r="AF386"/>
      <c r="AG386"/>
    </row>
    <row r="387" spans="17:33" ht="12.75" customHeight="1">
      <c r="Q387" s="364"/>
      <c r="R387" s="895" t="s">
        <v>886</v>
      </c>
      <c r="S387" s="896"/>
      <c r="T387" s="900" t="s">
        <v>835</v>
      </c>
      <c r="U387" s="900" t="s">
        <v>836</v>
      </c>
      <c r="V387" s="900" t="s">
        <v>837</v>
      </c>
      <c r="W387" s="902" t="s">
        <v>838</v>
      </c>
      <c r="X387" s="364"/>
      <c r="Y387" s="363"/>
      <c r="Z387" s="363"/>
      <c r="AA387"/>
      <c r="AB387"/>
      <c r="AC387"/>
      <c r="AD387"/>
      <c r="AE387"/>
      <c r="AF387"/>
      <c r="AG387"/>
    </row>
    <row r="388" spans="17:33" ht="12.75" customHeight="1">
      <c r="Q388" s="364"/>
      <c r="R388" s="892"/>
      <c r="S388" s="897"/>
      <c r="T388" s="901"/>
      <c r="U388" s="901"/>
      <c r="V388" s="901"/>
      <c r="W388" s="903"/>
      <c r="X388" s="364"/>
      <c r="Y388" s="363"/>
      <c r="Z388" s="363"/>
      <c r="AA388"/>
      <c r="AB388"/>
      <c r="AC388"/>
      <c r="AD388"/>
      <c r="AE388"/>
      <c r="AF388"/>
      <c r="AG388"/>
    </row>
    <row r="389" spans="17:33" ht="12.75" customHeight="1">
      <c r="Q389" s="364"/>
      <c r="R389" s="892"/>
      <c r="S389" s="897"/>
      <c r="T389" s="702">
        <f>T383*(1-0.0178*2)</f>
        <v>105.11960000000001</v>
      </c>
      <c r="U389" s="560">
        <f>U383</f>
        <v>1.7391304347826084</v>
      </c>
      <c r="V389" s="690">
        <f>IF(T389&gt;0,W389*U389," ")</f>
        <v>2234.782608695652</v>
      </c>
      <c r="W389" s="691">
        <f>IF(T389&gt;0,(VLOOKUP(T389,'Lookup Ready-reckoner'!$B$5:$E$1207,4))," ")</f>
        <v>1285</v>
      </c>
      <c r="X389" s="364"/>
      <c r="Y389" s="363"/>
      <c r="Z389" s="363"/>
      <c r="AA389"/>
      <c r="AB389"/>
      <c r="AC389"/>
      <c r="AD389"/>
      <c r="AE389"/>
      <c r="AF389"/>
      <c r="AG389"/>
    </row>
    <row r="390" spans="17:33" ht="12.75" customHeight="1">
      <c r="Q390" s="364"/>
      <c r="R390" s="898"/>
      <c r="S390" s="899"/>
      <c r="T390" s="447"/>
      <c r="U390" s="560"/>
      <c r="V390" s="690" t="str">
        <f>IF(T390&gt;0,W390*U390," ")</f>
        <v xml:space="preserve"> </v>
      </c>
      <c r="W390" s="691" t="str">
        <f>IF(T390&gt;0,(VLOOKUP(T390,'Lookup Ready-reckoner'!$B$5:$E$1007,4))," ")</f>
        <v xml:space="preserve"> </v>
      </c>
      <c r="X390" s="364"/>
      <c r="Y390" s="363"/>
      <c r="Z390" s="363"/>
      <c r="AA390"/>
      <c r="AB390"/>
      <c r="AC390"/>
      <c r="AD390"/>
      <c r="AE390"/>
      <c r="AF390"/>
      <c r="AG390"/>
    </row>
    <row r="391" spans="17:33" ht="12.75" customHeight="1" thickBot="1">
      <c r="Q391" s="364"/>
      <c r="R391" s="692" t="s">
        <v>839</v>
      </c>
      <c r="S391" s="693"/>
      <c r="T391" s="693"/>
      <c r="U391" s="703">
        <f>IF(T389&gt;0,(VLOOKUP(V391,'Lookup Ready-reckoner'!$L$5:$M$1207,2))," ")</f>
        <v>98.45</v>
      </c>
      <c r="V391" s="695">
        <f>IF(U389&gt;0,(SUM(V389:V390))," ")</f>
        <v>2234.782608695652</v>
      </c>
      <c r="W391" s="696"/>
      <c r="X391" s="364"/>
      <c r="Y391" s="363"/>
      <c r="Z391" s="363"/>
      <c r="AA391"/>
      <c r="AB391"/>
      <c r="AC391"/>
      <c r="AD391"/>
      <c r="AE391"/>
      <c r="AF391"/>
      <c r="AG391"/>
    </row>
    <row r="392" spans="17:33" ht="12.75" customHeight="1">
      <c r="Q392" s="364"/>
      <c r="R392" s="697"/>
      <c r="S392" s="687"/>
      <c r="T392" s="687"/>
      <c r="U392" s="372"/>
      <c r="V392" s="374"/>
      <c r="W392" s="688"/>
      <c r="X392" s="364"/>
      <c r="Y392" s="363"/>
      <c r="Z392" s="363"/>
      <c r="AA392"/>
      <c r="AB392"/>
      <c r="AC392"/>
      <c r="AD392"/>
      <c r="AE392"/>
      <c r="AF392"/>
      <c r="AG392"/>
    </row>
    <row r="393" spans="17:33" ht="12.75" customHeight="1" thickBot="1">
      <c r="Q393" s="364"/>
      <c r="R393" s="686" t="s">
        <v>60</v>
      </c>
      <c r="S393" s="577"/>
      <c r="T393" s="577"/>
      <c r="U393" s="577"/>
      <c r="V393" s="577"/>
      <c r="W393" s="698"/>
      <c r="X393" s="364"/>
      <c r="Y393" s="363"/>
      <c r="Z393" s="363"/>
      <c r="AA393"/>
      <c r="AB393"/>
      <c r="AC393"/>
      <c r="AD393"/>
      <c r="AE393"/>
      <c r="AF393"/>
      <c r="AG393"/>
    </row>
    <row r="394" spans="17:33" ht="12.75" customHeight="1">
      <c r="Q394" s="364"/>
      <c r="R394" s="895" t="s">
        <v>845</v>
      </c>
      <c r="S394" s="896"/>
      <c r="T394" s="900" t="s">
        <v>835</v>
      </c>
      <c r="U394" s="900" t="s">
        <v>836</v>
      </c>
      <c r="V394" s="900" t="s">
        <v>837</v>
      </c>
      <c r="W394" s="902" t="s">
        <v>838</v>
      </c>
      <c r="X394" s="364"/>
      <c r="Y394" s="363"/>
      <c r="Z394" s="363"/>
      <c r="AA394"/>
      <c r="AB394"/>
      <c r="AC394"/>
      <c r="AD394"/>
      <c r="AE394"/>
      <c r="AF394"/>
      <c r="AG394"/>
    </row>
    <row r="395" spans="17:33" ht="12.75" customHeight="1">
      <c r="Q395" s="364"/>
      <c r="R395" s="892"/>
      <c r="S395" s="897"/>
      <c r="T395" s="901"/>
      <c r="U395" s="901"/>
      <c r="V395" s="901"/>
      <c r="W395" s="903"/>
      <c r="X395" s="364"/>
      <c r="Y395" s="363"/>
      <c r="Z395" s="363"/>
      <c r="AA395"/>
      <c r="AB395"/>
      <c r="AC395"/>
      <c r="AD395"/>
      <c r="AE395"/>
      <c r="AF395"/>
      <c r="AG395"/>
    </row>
    <row r="396" spans="17:33" ht="12.75" customHeight="1">
      <c r="Q396" s="364"/>
      <c r="R396" s="892"/>
      <c r="S396" s="897"/>
      <c r="T396" s="702">
        <f>T383-PPE!$I$15</f>
        <v>96</v>
      </c>
      <c r="U396" s="560">
        <f>U389</f>
        <v>1.7391304347826084</v>
      </c>
      <c r="V396" s="690">
        <f>IF(T396&gt;0,W396*U396," ")</f>
        <v>271.73913043478257</v>
      </c>
      <c r="W396" s="691">
        <f>IF(T396&gt;0,(VLOOKUP(T396,'Lookup Ready-reckoner'!$B$5:$E$1207,4))," ")</f>
        <v>156.25</v>
      </c>
      <c r="X396" s="364"/>
      <c r="Y396" s="363"/>
      <c r="Z396" s="363"/>
      <c r="AA396"/>
      <c r="AB396"/>
      <c r="AC396"/>
      <c r="AD396"/>
      <c r="AE396"/>
      <c r="AF396"/>
      <c r="AG396"/>
    </row>
    <row r="397" spans="17:33" ht="12.75" customHeight="1">
      <c r="Q397" s="364"/>
      <c r="R397" s="898"/>
      <c r="S397" s="899"/>
      <c r="T397" s="447"/>
      <c r="U397" s="560"/>
      <c r="V397" s="690" t="str">
        <f>IF(T397&gt;0,W397*U397," ")</f>
        <v xml:space="preserve"> </v>
      </c>
      <c r="W397" s="691" t="str">
        <f>IF(T397&gt;0,(VLOOKUP(T397,'Lookup Ready-reckoner'!$B$5:$E$1007,4))," ")</f>
        <v xml:space="preserve"> </v>
      </c>
      <c r="X397" s="364"/>
      <c r="Y397" s="363"/>
      <c r="Z397" s="363"/>
      <c r="AA397"/>
      <c r="AB397"/>
      <c r="AC397"/>
      <c r="AD397"/>
      <c r="AE397"/>
      <c r="AF397"/>
      <c r="AG397"/>
    </row>
    <row r="398" spans="17:33" ht="12.75" customHeight="1" thickBot="1">
      <c r="Q398" s="364"/>
      <c r="R398" s="692" t="s">
        <v>839</v>
      </c>
      <c r="S398" s="693"/>
      <c r="T398" s="693"/>
      <c r="U398" s="703">
        <f>IF(T396&gt;0,(VLOOKUP(V398,'Lookup Ready-reckoner'!$L$5:$M$1207,2))," ")</f>
        <v>89.3</v>
      </c>
      <c r="V398" s="695">
        <f>IF(U396&gt;0,(SUM(V396:V397))," ")</f>
        <v>271.73913043478257</v>
      </c>
      <c r="W398" s="696"/>
      <c r="X398" s="364"/>
      <c r="Y398" s="363"/>
      <c r="Z398" s="363"/>
      <c r="AA398"/>
      <c r="AB398"/>
      <c r="AC398"/>
      <c r="AD398"/>
      <c r="AE398"/>
      <c r="AF398"/>
      <c r="AG398"/>
    </row>
    <row r="399" spans="17:33" ht="12.75" customHeight="1" thickBot="1">
      <c r="Q399" s="364"/>
      <c r="R399" s="892"/>
      <c r="S399" s="893"/>
      <c r="T399" s="893"/>
      <c r="U399" s="893"/>
      <c r="V399" s="893"/>
      <c r="W399" s="894"/>
      <c r="X399" s="364"/>
      <c r="Y399" s="363"/>
      <c r="Z399" s="363"/>
      <c r="AA399"/>
      <c r="AB399"/>
      <c r="AC399"/>
      <c r="AD399"/>
      <c r="AE399"/>
      <c r="AF399"/>
      <c r="AG399"/>
    </row>
    <row r="400" spans="17:33" ht="12.75" customHeight="1">
      <c r="Q400" s="364"/>
      <c r="R400" s="895" t="s">
        <v>886</v>
      </c>
      <c r="S400" s="896"/>
      <c r="T400" s="900" t="s">
        <v>835</v>
      </c>
      <c r="U400" s="900" t="s">
        <v>836</v>
      </c>
      <c r="V400" s="900" t="s">
        <v>837</v>
      </c>
      <c r="W400" s="902" t="s">
        <v>838</v>
      </c>
      <c r="X400" s="364"/>
      <c r="Y400" s="363"/>
      <c r="Z400" s="363"/>
      <c r="AA400"/>
      <c r="AB400"/>
      <c r="AC400"/>
      <c r="AD400"/>
      <c r="AE400"/>
      <c r="AF400"/>
      <c r="AG400"/>
    </row>
    <row r="401" spans="17:33" ht="12.75" customHeight="1">
      <c r="Q401" s="364"/>
      <c r="R401" s="892"/>
      <c r="S401" s="897"/>
      <c r="T401" s="901"/>
      <c r="U401" s="901"/>
      <c r="V401" s="901"/>
      <c r="W401" s="903"/>
      <c r="X401" s="364"/>
      <c r="Y401" s="363"/>
      <c r="Z401" s="363"/>
      <c r="AA401"/>
      <c r="AB401"/>
      <c r="AC401"/>
      <c r="AD401"/>
      <c r="AE401"/>
      <c r="AF401"/>
      <c r="AG401"/>
    </row>
    <row r="402" spans="17:33" ht="12.75" customHeight="1">
      <c r="Q402" s="364"/>
      <c r="R402" s="892"/>
      <c r="S402" s="897"/>
      <c r="T402" s="702">
        <f>T389-PPE!$I$15</f>
        <v>92.119600000000005</v>
      </c>
      <c r="U402" s="560">
        <f>U396</f>
        <v>1.7391304347826084</v>
      </c>
      <c r="V402" s="690">
        <f>IF(T402&gt;0,W402*U402," ")</f>
        <v>111.52173913043477</v>
      </c>
      <c r="W402" s="691">
        <f>IF(T402&gt;0,(VLOOKUP(T402,'Lookup Ready-reckoner'!$B$5:$E$1207,4))," ")</f>
        <v>64.125</v>
      </c>
      <c r="X402" s="364"/>
      <c r="Y402" s="363"/>
      <c r="Z402" s="363"/>
      <c r="AA402"/>
      <c r="AB402"/>
      <c r="AC402"/>
      <c r="AD402"/>
      <c r="AE402"/>
      <c r="AF402"/>
      <c r="AG402"/>
    </row>
    <row r="403" spans="17:33" ht="12.75" customHeight="1">
      <c r="Q403" s="364"/>
      <c r="R403" s="898"/>
      <c r="S403" s="899"/>
      <c r="T403" s="447"/>
      <c r="U403" s="560"/>
      <c r="V403" s="690" t="str">
        <f>IF(T403&gt;0,W403*U403," ")</f>
        <v xml:space="preserve"> </v>
      </c>
      <c r="W403" s="691" t="str">
        <f>IF(T403&gt;0,(VLOOKUP(T403,'Lookup Ready-reckoner'!$B$5:$E$1007,4))," ")</f>
        <v xml:space="preserve"> </v>
      </c>
      <c r="X403" s="364"/>
      <c r="Y403" s="363"/>
      <c r="Z403" s="363"/>
      <c r="AA403"/>
      <c r="AB403"/>
      <c r="AC403"/>
      <c r="AD403"/>
      <c r="AE403"/>
      <c r="AF403"/>
      <c r="AG403"/>
    </row>
    <row r="404" spans="17:33" ht="12.75" customHeight="1" thickBot="1">
      <c r="Q404" s="364"/>
      <c r="R404" s="692" t="s">
        <v>839</v>
      </c>
      <c r="S404" s="693"/>
      <c r="T404" s="693"/>
      <c r="U404" s="703">
        <f>IF(T402&gt;0,(VLOOKUP(V404,'Lookup Ready-reckoner'!$L$5:$M$1207,2))," ")</f>
        <v>85.45</v>
      </c>
      <c r="V404" s="695">
        <f>IF(U402&gt;0,(SUM(V402:V403))," ")</f>
        <v>111.52173913043477</v>
      </c>
      <c r="W404" s="696"/>
      <c r="X404" s="364"/>
      <c r="Y404" s="363"/>
      <c r="Z404" s="363"/>
      <c r="AA404"/>
      <c r="AB404"/>
      <c r="AC404"/>
      <c r="AD404"/>
      <c r="AE404"/>
      <c r="AF404"/>
      <c r="AG404"/>
    </row>
    <row r="405" spans="17:33" ht="12.75" customHeight="1">
      <c r="Q405" s="364"/>
      <c r="R405" s="363"/>
      <c r="S405" s="363"/>
      <c r="T405" s="363"/>
      <c r="U405" s="363"/>
      <c r="V405" s="363"/>
      <c r="W405" s="363"/>
      <c r="X405" s="364"/>
      <c r="Y405" s="364"/>
      <c r="Z405" s="364"/>
      <c r="AA405"/>
      <c r="AB405"/>
      <c r="AC405"/>
      <c r="AD405"/>
      <c r="AE405"/>
      <c r="AF405"/>
      <c r="AG405"/>
    </row>
    <row r="406" spans="17:33" ht="12.75" customHeight="1">
      <c r="Q406" s="364"/>
      <c r="R406" s="909" t="str">
        <f>V306</f>
        <v xml:space="preserve">Hilti TE MD20 </v>
      </c>
      <c r="S406" s="909"/>
      <c r="T406" s="909"/>
      <c r="U406" s="909"/>
      <c r="V406" s="909"/>
      <c r="W406" s="909"/>
      <c r="X406" s="364"/>
      <c r="Y406" s="364"/>
      <c r="Z406" s="364"/>
      <c r="AA406"/>
      <c r="AB406"/>
      <c r="AC406"/>
      <c r="AD406"/>
      <c r="AE406"/>
      <c r="AF406"/>
      <c r="AG406"/>
    </row>
    <row r="407" spans="17:33" ht="12.75" customHeight="1" thickBot="1">
      <c r="Q407" s="364"/>
      <c r="R407" s="910" t="s">
        <v>205</v>
      </c>
      <c r="S407" s="911"/>
      <c r="T407" s="911"/>
      <c r="U407" s="911"/>
      <c r="V407" s="911"/>
      <c r="W407" s="912"/>
      <c r="X407" s="364"/>
      <c r="Y407" s="364"/>
      <c r="Z407" s="364"/>
      <c r="AA407"/>
      <c r="AB407"/>
      <c r="AC407"/>
      <c r="AD407"/>
      <c r="AE407"/>
      <c r="AF407"/>
      <c r="AG407"/>
    </row>
    <row r="408" spans="17:33" ht="12.75" customHeight="1" thickBot="1">
      <c r="Q408" s="364"/>
      <c r="R408" s="686" t="s">
        <v>59</v>
      </c>
      <c r="S408" s="577"/>
      <c r="T408" s="687"/>
      <c r="U408" s="687"/>
      <c r="V408" s="687"/>
      <c r="W408" s="688"/>
      <c r="X408" s="364"/>
      <c r="Y408" s="364"/>
      <c r="Z408" s="364"/>
      <c r="AA408"/>
      <c r="AB408"/>
      <c r="AC408"/>
      <c r="AD408"/>
      <c r="AE408"/>
      <c r="AF408"/>
      <c r="AG408"/>
    </row>
    <row r="409" spans="17:33" ht="12.75" customHeight="1">
      <c r="Q409" s="364"/>
      <c r="R409" s="895" t="s">
        <v>845</v>
      </c>
      <c r="S409" s="896"/>
      <c r="T409" s="900" t="s">
        <v>835</v>
      </c>
      <c r="U409" s="900" t="s">
        <v>836</v>
      </c>
      <c r="V409" s="900" t="s">
        <v>837</v>
      </c>
      <c r="W409" s="902" t="s">
        <v>838</v>
      </c>
      <c r="X409" s="364"/>
      <c r="Y409" s="364"/>
      <c r="Z409" s="364"/>
      <c r="AA409"/>
      <c r="AB409"/>
      <c r="AC409"/>
      <c r="AD409"/>
      <c r="AE409"/>
      <c r="AF409"/>
      <c r="AG409"/>
    </row>
    <row r="410" spans="17:33" ht="12.75" customHeight="1">
      <c r="Q410" s="364"/>
      <c r="R410" s="892"/>
      <c r="S410" s="897"/>
      <c r="T410" s="904"/>
      <c r="U410" s="904"/>
      <c r="V410" s="904"/>
      <c r="W410" s="905"/>
      <c r="X410" s="364"/>
      <c r="Y410" s="364"/>
      <c r="Z410" s="364"/>
      <c r="AA410"/>
      <c r="AB410"/>
      <c r="AC410"/>
      <c r="AD410"/>
      <c r="AE410"/>
      <c r="AF410"/>
      <c r="AG410"/>
    </row>
    <row r="411" spans="17:33" ht="12.75" customHeight="1">
      <c r="Q411" s="364"/>
      <c r="R411" s="892"/>
      <c r="S411" s="897"/>
      <c r="T411" s="901"/>
      <c r="U411" s="901"/>
      <c r="V411" s="901"/>
      <c r="W411" s="903"/>
      <c r="X411" s="364"/>
      <c r="Y411" s="364"/>
      <c r="Z411" s="364"/>
      <c r="AA411"/>
      <c r="AB411"/>
      <c r="AC411"/>
      <c r="AD411"/>
      <c r="AE411"/>
      <c r="AF411"/>
      <c r="AG411"/>
    </row>
    <row r="412" spans="17:33" ht="12.75" customHeight="1">
      <c r="Q412" s="364"/>
      <c r="R412" s="892"/>
      <c r="S412" s="897"/>
      <c r="T412" s="704">
        <f>U69</f>
        <v>102</v>
      </c>
      <c r="U412" s="560">
        <f>U62</f>
        <v>2.6666666666666665</v>
      </c>
      <c r="V412" s="690">
        <f>IF(T412&gt;0,W412*U412," ")</f>
        <v>1666.6666666666665</v>
      </c>
      <c r="W412" s="691">
        <f>IF(T412&gt;0,(VLOOKUP(T412,'Lookup Ready-reckoner'!$B$5:$E$1207,4))," ")</f>
        <v>625</v>
      </c>
      <c r="X412" s="364"/>
      <c r="Y412" s="364"/>
      <c r="Z412" s="364"/>
      <c r="AA412"/>
      <c r="AB412"/>
      <c r="AC412"/>
      <c r="AD412"/>
      <c r="AE412"/>
      <c r="AF412"/>
      <c r="AG412"/>
    </row>
    <row r="413" spans="17:33" ht="12.75" customHeight="1">
      <c r="Q413" s="364"/>
      <c r="R413" s="898"/>
      <c r="S413" s="899"/>
      <c r="T413" s="447"/>
      <c r="U413" s="560"/>
      <c r="V413" s="690" t="str">
        <f>IF(T413&gt;0,W413*U413," ")</f>
        <v xml:space="preserve"> </v>
      </c>
      <c r="W413" s="691" t="str">
        <f>IF(T413&gt;0,(VLOOKUP(T413,'Lookup Ready-reckoner'!$B$5:$E$1007,4))," ")</f>
        <v xml:space="preserve"> </v>
      </c>
      <c r="X413" s="364"/>
      <c r="Y413" s="364"/>
      <c r="Z413" s="364"/>
      <c r="AA413"/>
      <c r="AB413"/>
      <c r="AC413"/>
      <c r="AD413"/>
      <c r="AE413"/>
      <c r="AF413"/>
      <c r="AG413"/>
    </row>
    <row r="414" spans="17:33" ht="12.75" customHeight="1" thickBot="1">
      <c r="Q414" s="364"/>
      <c r="R414" s="692" t="s">
        <v>839</v>
      </c>
      <c r="S414" s="693"/>
      <c r="T414" s="693"/>
      <c r="U414" s="705">
        <f>IF(T412&gt;0,(VLOOKUP(V414,'Lookup Ready-reckoner'!$L$5:$M$1207,2))," ")</f>
        <v>97.15</v>
      </c>
      <c r="V414" s="695">
        <f>IF(U412&gt;0,(SUM(V412:V413))," ")</f>
        <v>1666.6666666666665</v>
      </c>
      <c r="W414" s="696"/>
      <c r="X414" s="364"/>
      <c r="Y414" s="364"/>
      <c r="Z414" s="364"/>
      <c r="AA414"/>
      <c r="AB414"/>
      <c r="AC414"/>
      <c r="AD414"/>
      <c r="AE414"/>
      <c r="AF414"/>
      <c r="AG414"/>
    </row>
    <row r="415" spans="17:33" ht="12.75" customHeight="1" thickBot="1">
      <c r="Q415" s="364"/>
      <c r="R415" s="906"/>
      <c r="S415" s="907"/>
      <c r="T415" s="907"/>
      <c r="U415" s="907"/>
      <c r="V415" s="907"/>
      <c r="W415" s="908"/>
      <c r="X415" s="364"/>
      <c r="Y415" s="364"/>
      <c r="Z415" s="364"/>
      <c r="AA415"/>
      <c r="AB415"/>
      <c r="AC415"/>
      <c r="AD415"/>
      <c r="AE415"/>
      <c r="AF415"/>
      <c r="AG415"/>
    </row>
    <row r="416" spans="17:33" ht="12.75" customHeight="1">
      <c r="Q416" s="364"/>
      <c r="R416" s="895" t="s">
        <v>886</v>
      </c>
      <c r="S416" s="896"/>
      <c r="T416" s="900" t="s">
        <v>835</v>
      </c>
      <c r="U416" s="900" t="s">
        <v>836</v>
      </c>
      <c r="V416" s="900" t="s">
        <v>837</v>
      </c>
      <c r="W416" s="902" t="s">
        <v>838</v>
      </c>
      <c r="X416" s="364"/>
      <c r="Y416" s="364"/>
      <c r="Z416" s="364"/>
      <c r="AA416"/>
      <c r="AB416"/>
      <c r="AC416"/>
      <c r="AD416"/>
      <c r="AE416"/>
      <c r="AF416"/>
      <c r="AG416"/>
    </row>
    <row r="417" spans="17:33" ht="12.75" customHeight="1">
      <c r="Q417" s="364"/>
      <c r="R417" s="892"/>
      <c r="S417" s="897"/>
      <c r="T417" s="901"/>
      <c r="U417" s="901"/>
      <c r="V417" s="901"/>
      <c r="W417" s="903"/>
      <c r="X417" s="364"/>
      <c r="Y417" s="364"/>
      <c r="Z417" s="364"/>
      <c r="AA417"/>
      <c r="AB417"/>
      <c r="AC417"/>
      <c r="AD417"/>
      <c r="AE417"/>
      <c r="AF417"/>
      <c r="AG417"/>
    </row>
    <row r="418" spans="17:33" ht="12.75" customHeight="1">
      <c r="Q418" s="364"/>
      <c r="R418" s="892"/>
      <c r="S418" s="897"/>
      <c r="T418" s="704">
        <f>T412*(1-0.0178*2)</f>
        <v>98.368800000000007</v>
      </c>
      <c r="U418" s="560">
        <f>U412</f>
        <v>2.6666666666666665</v>
      </c>
      <c r="V418" s="690">
        <f>IF(T418&gt;0,W418*U418," ")</f>
        <v>725</v>
      </c>
      <c r="W418" s="691">
        <f>IF(T418&gt;0,(VLOOKUP(T418,'Lookup Ready-reckoner'!$B$5:$E$1207,4))," ")</f>
        <v>271.875</v>
      </c>
      <c r="X418" s="364"/>
      <c r="Y418" s="364"/>
      <c r="Z418" s="364"/>
      <c r="AA418"/>
      <c r="AB418"/>
      <c r="AC418"/>
      <c r="AD418"/>
      <c r="AE418"/>
      <c r="AF418"/>
      <c r="AG418"/>
    </row>
    <row r="419" spans="17:33" ht="12.75" customHeight="1">
      <c r="Q419" s="364"/>
      <c r="R419" s="898"/>
      <c r="S419" s="899"/>
      <c r="T419" s="447"/>
      <c r="U419" s="560"/>
      <c r="V419" s="690" t="str">
        <f>IF(T419&gt;0,W419*U419," ")</f>
        <v xml:space="preserve"> </v>
      </c>
      <c r="W419" s="691" t="str">
        <f>IF(T419&gt;0,(VLOOKUP(T419,'Lookup Ready-reckoner'!$B$5:$E$1007,4))," ")</f>
        <v xml:space="preserve"> </v>
      </c>
      <c r="X419" s="364"/>
      <c r="Y419" s="364"/>
      <c r="Z419" s="364"/>
      <c r="AA419"/>
      <c r="AB419"/>
      <c r="AC419"/>
      <c r="AD419"/>
      <c r="AE419"/>
      <c r="AF419"/>
      <c r="AG419"/>
    </row>
    <row r="420" spans="17:33" ht="12.75" customHeight="1" thickBot="1">
      <c r="Q420" s="364"/>
      <c r="R420" s="692" t="s">
        <v>839</v>
      </c>
      <c r="S420" s="693"/>
      <c r="T420" s="693"/>
      <c r="U420" s="705">
        <f>IF(T418&gt;0,(VLOOKUP(V420,'Lookup Ready-reckoner'!$L$5:$M$1207,2))," ")</f>
        <v>93.55</v>
      </c>
      <c r="V420" s="695">
        <f>IF(U418&gt;0,(SUM(V418:V419))," ")</f>
        <v>725</v>
      </c>
      <c r="W420" s="696"/>
      <c r="X420" s="364"/>
      <c r="Y420" s="364"/>
      <c r="Z420" s="364"/>
      <c r="AA420"/>
      <c r="AB420"/>
      <c r="AC420"/>
      <c r="AD420"/>
      <c r="AE420"/>
      <c r="AF420"/>
      <c r="AG420"/>
    </row>
    <row r="421" spans="17:33" ht="12.75" customHeight="1">
      <c r="Q421" s="364"/>
      <c r="R421" s="697"/>
      <c r="S421" s="687"/>
      <c r="T421" s="687"/>
      <c r="U421" s="372"/>
      <c r="V421" s="374"/>
      <c r="W421" s="688"/>
      <c r="X421" s="364"/>
      <c r="Y421" s="364"/>
      <c r="Z421" s="364"/>
      <c r="AA421"/>
      <c r="AB421"/>
      <c r="AC421"/>
      <c r="AD421"/>
      <c r="AE421"/>
      <c r="AF421"/>
      <c r="AG421"/>
    </row>
    <row r="422" spans="17:33" ht="12.75" customHeight="1" thickBot="1">
      <c r="Q422" s="364"/>
      <c r="R422" s="686" t="s">
        <v>60</v>
      </c>
      <c r="S422" s="577"/>
      <c r="T422" s="577"/>
      <c r="U422" s="577"/>
      <c r="V422" s="577"/>
      <c r="W422" s="698"/>
      <c r="X422" s="364"/>
      <c r="Y422" s="364"/>
      <c r="Z422" s="364"/>
      <c r="AA422"/>
      <c r="AB422"/>
      <c r="AC422"/>
      <c r="AD422"/>
      <c r="AE422"/>
      <c r="AF422"/>
      <c r="AG422"/>
    </row>
    <row r="423" spans="17:33" ht="12.75" customHeight="1">
      <c r="Q423" s="364"/>
      <c r="R423" s="895" t="s">
        <v>845</v>
      </c>
      <c r="S423" s="896"/>
      <c r="T423" s="900" t="s">
        <v>835</v>
      </c>
      <c r="U423" s="900" t="s">
        <v>836</v>
      </c>
      <c r="V423" s="900" t="s">
        <v>837</v>
      </c>
      <c r="W423" s="902" t="s">
        <v>838</v>
      </c>
      <c r="X423" s="364"/>
      <c r="Y423" s="364"/>
      <c r="Z423" s="364"/>
      <c r="AA423"/>
      <c r="AB423"/>
      <c r="AC423"/>
      <c r="AD423"/>
      <c r="AE423"/>
      <c r="AF423"/>
      <c r="AG423"/>
    </row>
    <row r="424" spans="17:33" ht="12.75" customHeight="1">
      <c r="Q424" s="364"/>
      <c r="R424" s="892"/>
      <c r="S424" s="897"/>
      <c r="T424" s="901"/>
      <c r="U424" s="901"/>
      <c r="V424" s="901"/>
      <c r="W424" s="903"/>
      <c r="X424" s="364"/>
      <c r="Y424" s="364"/>
      <c r="Z424" s="364"/>
      <c r="AA424"/>
      <c r="AB424"/>
      <c r="AC424"/>
      <c r="AD424"/>
      <c r="AE424"/>
      <c r="AF424"/>
      <c r="AG424"/>
    </row>
    <row r="425" spans="17:33" ht="12.75" customHeight="1">
      <c r="Q425" s="364"/>
      <c r="R425" s="892"/>
      <c r="S425" s="897"/>
      <c r="T425" s="704">
        <f>T412-PPE!$I$15</f>
        <v>89</v>
      </c>
      <c r="U425" s="560">
        <f>U418</f>
        <v>2.6666666666666665</v>
      </c>
      <c r="V425" s="690">
        <f>IF(T425&gt;0,W425*U425," ")</f>
        <v>83.333333333333329</v>
      </c>
      <c r="W425" s="691">
        <f>IF(T425&gt;0,(VLOOKUP(T425,'Lookup Ready-reckoner'!$B$5:$E$1207,4))," ")</f>
        <v>31.25</v>
      </c>
      <c r="X425" s="364"/>
      <c r="Y425" s="364"/>
      <c r="Z425" s="364"/>
      <c r="AA425"/>
      <c r="AB425"/>
      <c r="AC425"/>
      <c r="AD425"/>
      <c r="AE425"/>
      <c r="AF425"/>
      <c r="AG425"/>
    </row>
    <row r="426" spans="17:33" ht="12.75" customHeight="1">
      <c r="Q426" s="364"/>
      <c r="R426" s="898"/>
      <c r="S426" s="899"/>
      <c r="T426" s="447"/>
      <c r="U426" s="560"/>
      <c r="V426" s="690" t="str">
        <f>IF(T426&gt;0,W426*U426," ")</f>
        <v xml:space="preserve"> </v>
      </c>
      <c r="W426" s="691" t="str">
        <f>IF(T426&gt;0,(VLOOKUP(T426,'Lookup Ready-reckoner'!$B$5:$E$1007,4))," ")</f>
        <v xml:space="preserve"> </v>
      </c>
      <c r="X426" s="364"/>
      <c r="Y426" s="364"/>
      <c r="Z426" s="364"/>
      <c r="AA426"/>
      <c r="AB426"/>
      <c r="AC426"/>
      <c r="AD426"/>
      <c r="AE426"/>
      <c r="AF426"/>
      <c r="AG426"/>
    </row>
    <row r="427" spans="17:33" ht="12.75" customHeight="1" thickBot="1">
      <c r="Q427" s="364"/>
      <c r="R427" s="692" t="s">
        <v>839</v>
      </c>
      <c r="S427" s="693"/>
      <c r="T427" s="693"/>
      <c r="U427" s="705">
        <f>IF(T425&gt;0,(VLOOKUP(V427,'Lookup Ready-reckoner'!$L$5:$M$1207,2))," ")</f>
        <v>84.15</v>
      </c>
      <c r="V427" s="695">
        <f>IF(U425&gt;0,(SUM(V425:V426))," ")</f>
        <v>83.333333333333329</v>
      </c>
      <c r="W427" s="696"/>
      <c r="X427" s="364"/>
      <c r="Y427" s="364"/>
      <c r="Z427" s="364"/>
      <c r="AA427"/>
      <c r="AB427"/>
      <c r="AC427"/>
      <c r="AD427"/>
      <c r="AE427"/>
      <c r="AF427"/>
      <c r="AG427"/>
    </row>
    <row r="428" spans="17:33" ht="12.75" customHeight="1" thickBot="1">
      <c r="Q428" s="364"/>
      <c r="R428" s="892"/>
      <c r="S428" s="893"/>
      <c r="T428" s="893"/>
      <c r="U428" s="893"/>
      <c r="V428" s="893"/>
      <c r="W428" s="894"/>
      <c r="X428" s="364"/>
      <c r="Y428" s="364"/>
      <c r="Z428" s="364"/>
      <c r="AA428"/>
      <c r="AB428"/>
      <c r="AC428"/>
      <c r="AD428"/>
      <c r="AE428"/>
      <c r="AF428"/>
      <c r="AG428"/>
    </row>
    <row r="429" spans="17:33" ht="12.75" customHeight="1">
      <c r="Q429" s="364"/>
      <c r="R429" s="895" t="s">
        <v>886</v>
      </c>
      <c r="S429" s="896"/>
      <c r="T429" s="900" t="s">
        <v>835</v>
      </c>
      <c r="U429" s="900" t="s">
        <v>836</v>
      </c>
      <c r="V429" s="900" t="s">
        <v>837</v>
      </c>
      <c r="W429" s="902" t="s">
        <v>838</v>
      </c>
      <c r="X429" s="364"/>
      <c r="Y429" s="364"/>
      <c r="Z429" s="364"/>
      <c r="AA429"/>
      <c r="AB429"/>
      <c r="AC429"/>
      <c r="AD429"/>
      <c r="AE429"/>
      <c r="AF429"/>
      <c r="AG429"/>
    </row>
    <row r="430" spans="17:33" ht="12.75" customHeight="1">
      <c r="Q430" s="364"/>
      <c r="R430" s="892"/>
      <c r="S430" s="897"/>
      <c r="T430" s="901"/>
      <c r="U430" s="901"/>
      <c r="V430" s="901"/>
      <c r="W430" s="903"/>
      <c r="X430" s="364"/>
      <c r="Y430" s="364"/>
      <c r="Z430" s="364"/>
      <c r="AA430"/>
      <c r="AB430"/>
      <c r="AC430"/>
      <c r="AD430"/>
      <c r="AE430"/>
      <c r="AF430"/>
      <c r="AG430"/>
    </row>
    <row r="431" spans="17:33" ht="12.75" customHeight="1">
      <c r="Q431" s="364"/>
      <c r="R431" s="892"/>
      <c r="S431" s="897"/>
      <c r="T431" s="704">
        <f>T418-PPE!$I$15</f>
        <v>85.368800000000007</v>
      </c>
      <c r="U431" s="560">
        <f>U425</f>
        <v>2.6666666666666665</v>
      </c>
      <c r="V431" s="690">
        <f>IF(T431&gt;0,W431*U431," ")</f>
        <v>36.25</v>
      </c>
      <c r="W431" s="691">
        <f>IF(T431&gt;0,(VLOOKUP(T431,'Lookup Ready-reckoner'!$B$5:$E$1207,4))," ")</f>
        <v>13.59375</v>
      </c>
      <c r="X431" s="364"/>
      <c r="Y431" s="364"/>
      <c r="Z431" s="364"/>
      <c r="AA431"/>
      <c r="AB431"/>
      <c r="AC431"/>
      <c r="AD431"/>
      <c r="AE431"/>
      <c r="AF431"/>
      <c r="AG431"/>
    </row>
    <row r="432" spans="17:33" ht="12.75" customHeight="1">
      <c r="Q432" s="364"/>
      <c r="R432" s="898"/>
      <c r="S432" s="899"/>
      <c r="T432" s="447"/>
      <c r="U432" s="560"/>
      <c r="V432" s="690" t="str">
        <f>IF(T432&gt;0,W432*U432," ")</f>
        <v xml:space="preserve"> </v>
      </c>
      <c r="W432" s="691" t="str">
        <f>IF(T432&gt;0,(VLOOKUP(T432,'Lookup Ready-reckoner'!$B$5:$E$1007,4))," ")</f>
        <v xml:space="preserve"> </v>
      </c>
      <c r="X432" s="364"/>
      <c r="Y432" s="364"/>
      <c r="Z432" s="364"/>
      <c r="AA432"/>
      <c r="AB432"/>
      <c r="AC432"/>
      <c r="AD432"/>
      <c r="AE432"/>
      <c r="AF432"/>
      <c r="AG432"/>
    </row>
    <row r="433" spans="17:33" ht="12.75" customHeight="1" thickBot="1">
      <c r="Q433" s="364"/>
      <c r="R433" s="692" t="s">
        <v>839</v>
      </c>
      <c r="S433" s="693"/>
      <c r="T433" s="693"/>
      <c r="U433" s="705">
        <f>IF(T431&gt;0,(VLOOKUP(V433,'Lookup Ready-reckoner'!$L$5:$M$1207,2))," ")</f>
        <v>80.5</v>
      </c>
      <c r="V433" s="695">
        <f>IF(U431&gt;0,(SUM(V431:V432))," ")</f>
        <v>36.25</v>
      </c>
      <c r="W433" s="696"/>
      <c r="X433" s="364"/>
      <c r="Y433" s="364"/>
      <c r="Z433" s="364"/>
      <c r="AA433"/>
      <c r="AB433"/>
      <c r="AC433"/>
      <c r="AD433"/>
      <c r="AE433"/>
      <c r="AF433"/>
      <c r="AG433"/>
    </row>
    <row r="434" spans="17:33" ht="12.75" customHeight="1" thickBot="1">
      <c r="Q434" s="364"/>
      <c r="R434" s="364"/>
      <c r="S434" s="364"/>
      <c r="T434" s="364"/>
      <c r="U434" s="364"/>
      <c r="V434" s="364"/>
      <c r="W434" s="364"/>
      <c r="X434" s="364"/>
      <c r="Y434" s="364"/>
      <c r="Z434" s="364"/>
      <c r="AA434"/>
      <c r="AB434"/>
      <c r="AC434"/>
      <c r="AD434"/>
      <c r="AE434"/>
      <c r="AF434"/>
      <c r="AG434"/>
    </row>
    <row r="435" spans="17:33" ht="12.75" customHeight="1" thickTop="1">
      <c r="Q435" s="364"/>
      <c r="R435" s="916" t="s">
        <v>429</v>
      </c>
      <c r="S435" s="917"/>
      <c r="T435" s="917"/>
      <c r="U435" s="917"/>
      <c r="V435" s="917"/>
      <c r="W435" s="918"/>
      <c r="X435" s="364"/>
      <c r="Y435" s="364"/>
      <c r="Z435" s="364"/>
      <c r="AA435"/>
      <c r="AB435"/>
      <c r="AC435"/>
      <c r="AD435"/>
      <c r="AE435"/>
      <c r="AF435"/>
      <c r="AG435"/>
    </row>
    <row r="436" spans="17:33" ht="12.75" customHeight="1">
      <c r="Q436" s="364"/>
      <c r="R436" s="919"/>
      <c r="S436" s="920"/>
      <c r="T436" s="920"/>
      <c r="U436" s="920"/>
      <c r="V436" s="920"/>
      <c r="W436" s="921"/>
      <c r="X436" s="364"/>
      <c r="Y436" s="364"/>
      <c r="Z436" s="364"/>
      <c r="AA436"/>
      <c r="AB436"/>
      <c r="AC436"/>
      <c r="AD436"/>
      <c r="AE436"/>
      <c r="AF436"/>
      <c r="AG436"/>
    </row>
    <row r="437" spans="17:33" ht="12.75" customHeight="1" thickBot="1">
      <c r="Q437" s="364"/>
      <c r="R437" s="922"/>
      <c r="S437" s="923"/>
      <c r="T437" s="923"/>
      <c r="U437" s="923"/>
      <c r="V437" s="923"/>
      <c r="W437" s="924"/>
      <c r="X437" s="364"/>
      <c r="Y437" s="364"/>
      <c r="Z437" s="364"/>
      <c r="AA437"/>
      <c r="AB437"/>
      <c r="AC437"/>
      <c r="AD437"/>
      <c r="AE437"/>
      <c r="AF437"/>
      <c r="AG437"/>
    </row>
    <row r="438" spans="17:33" ht="12.75" customHeight="1" thickTop="1">
      <c r="Q438" s="364"/>
      <c r="R438" s="925" t="str">
        <f>R319</f>
        <v>Seco S215</v>
      </c>
      <c r="S438" s="925"/>
      <c r="T438" s="925"/>
      <c r="U438" s="925"/>
      <c r="V438" s="925"/>
      <c r="W438" s="925"/>
      <c r="X438" s="364"/>
      <c r="Y438" s="364"/>
      <c r="Z438" s="364"/>
      <c r="AA438"/>
      <c r="AB438"/>
      <c r="AC438"/>
      <c r="AD438"/>
      <c r="AE438"/>
      <c r="AF438"/>
      <c r="AG438"/>
    </row>
    <row r="439" spans="17:33" ht="12.75" customHeight="1" thickBot="1">
      <c r="Q439" s="364"/>
      <c r="R439" s="910" t="s">
        <v>205</v>
      </c>
      <c r="S439" s="911"/>
      <c r="T439" s="911"/>
      <c r="U439" s="911"/>
      <c r="V439" s="911"/>
      <c r="W439" s="912"/>
      <c r="X439" s="364"/>
      <c r="Y439" s="364"/>
      <c r="Z439" s="364"/>
      <c r="AA439"/>
      <c r="AB439"/>
      <c r="AC439"/>
      <c r="AD439"/>
      <c r="AE439"/>
      <c r="AF439"/>
      <c r="AG439"/>
    </row>
    <row r="440" spans="17:33" ht="12.75" customHeight="1" thickBot="1">
      <c r="Q440" s="364"/>
      <c r="R440" s="686" t="s">
        <v>59</v>
      </c>
      <c r="S440" s="577"/>
      <c r="T440" s="687"/>
      <c r="U440" s="687"/>
      <c r="V440" s="687"/>
      <c r="W440" s="688"/>
      <c r="X440" s="364"/>
      <c r="Y440" s="364"/>
      <c r="Z440" s="364"/>
      <c r="AA440"/>
      <c r="AB440"/>
      <c r="AC440"/>
      <c r="AD440"/>
      <c r="AE440"/>
      <c r="AF440"/>
      <c r="AG440"/>
    </row>
    <row r="441" spans="17:33" ht="12.75" customHeight="1">
      <c r="Q441" s="364"/>
      <c r="R441" s="895" t="s">
        <v>845</v>
      </c>
      <c r="S441" s="896"/>
      <c r="T441" s="900" t="s">
        <v>835</v>
      </c>
      <c r="U441" s="900" t="s">
        <v>836</v>
      </c>
      <c r="V441" s="900" t="s">
        <v>837</v>
      </c>
      <c r="W441" s="902" t="s">
        <v>838</v>
      </c>
      <c r="X441" s="364"/>
      <c r="Y441" s="364"/>
      <c r="Z441" s="364"/>
      <c r="AA441"/>
      <c r="AB441"/>
      <c r="AC441"/>
      <c r="AD441"/>
      <c r="AE441"/>
      <c r="AF441"/>
      <c r="AG441"/>
    </row>
    <row r="442" spans="17:33" ht="12.75" customHeight="1">
      <c r="Q442" s="364"/>
      <c r="R442" s="892"/>
      <c r="S442" s="897"/>
      <c r="T442" s="904"/>
      <c r="U442" s="904"/>
      <c r="V442" s="904"/>
      <c r="W442" s="905"/>
      <c r="X442" s="364"/>
      <c r="Y442" s="364"/>
      <c r="Z442" s="364"/>
      <c r="AA442"/>
      <c r="AB442"/>
      <c r="AC442"/>
      <c r="AD442"/>
      <c r="AE442"/>
      <c r="AF442"/>
      <c r="AG442"/>
    </row>
    <row r="443" spans="17:33" ht="12.75" customHeight="1">
      <c r="Q443" s="364"/>
      <c r="R443" s="892"/>
      <c r="S443" s="897"/>
      <c r="T443" s="901"/>
      <c r="U443" s="901"/>
      <c r="V443" s="901"/>
      <c r="W443" s="903"/>
      <c r="X443" s="364"/>
      <c r="Y443" s="364"/>
      <c r="Z443" s="364"/>
      <c r="AA443"/>
      <c r="AB443"/>
      <c r="AC443"/>
      <c r="AD443"/>
      <c r="AE443"/>
      <c r="AF443"/>
      <c r="AG443"/>
    </row>
    <row r="444" spans="17:33" ht="12.75" customHeight="1">
      <c r="Q444" s="364"/>
      <c r="R444" s="892"/>
      <c r="S444" s="897"/>
      <c r="T444" s="689">
        <f>X76</f>
        <v>122.02059991327964</v>
      </c>
      <c r="U444" s="560">
        <f>X62</f>
        <v>1.4285714285714284</v>
      </c>
      <c r="V444" s="690">
        <f>IF(T444&gt;0,W444*U444," ")</f>
        <v>79999.999999999985</v>
      </c>
      <c r="W444" s="691">
        <f>IF(T444&gt;0,(VLOOKUP(T444,'Lookup Ready-reckoner'!$B$5:$E$1207,4))," ")</f>
        <v>56000</v>
      </c>
      <c r="X444" s="364"/>
      <c r="Y444" s="364"/>
      <c r="Z444" s="364"/>
      <c r="AA444"/>
      <c r="AB444"/>
      <c r="AC444"/>
      <c r="AD444"/>
      <c r="AE444"/>
      <c r="AF444"/>
      <c r="AG444"/>
    </row>
    <row r="445" spans="17:33" ht="12.75" customHeight="1">
      <c r="Q445" s="364"/>
      <c r="R445" s="898"/>
      <c r="S445" s="899"/>
      <c r="T445" s="447"/>
      <c r="U445" s="560"/>
      <c r="V445" s="690" t="str">
        <f>IF(T445&gt;0,W445*U445," ")</f>
        <v xml:space="preserve"> </v>
      </c>
      <c r="W445" s="691" t="str">
        <f>IF(T445&gt;0,(VLOOKUP(T445,'Lookup Ready-reckoner'!$B$5:$E$1007,4))," ")</f>
        <v xml:space="preserve"> </v>
      </c>
      <c r="X445" s="364"/>
      <c r="Y445" s="364"/>
      <c r="Z445" s="364"/>
      <c r="AA445"/>
      <c r="AB445"/>
      <c r="AC445"/>
      <c r="AD445"/>
      <c r="AE445"/>
      <c r="AF445"/>
      <c r="AG445"/>
    </row>
    <row r="446" spans="17:33" ht="12.75" customHeight="1" thickBot="1">
      <c r="Q446" s="364"/>
      <c r="R446" s="692" t="s">
        <v>839</v>
      </c>
      <c r="S446" s="693"/>
      <c r="T446" s="693"/>
      <c r="U446" s="694">
        <f>IF(T444&gt;0,(VLOOKUP(V446,'Lookup Ready-reckoner'!$L$5:$M$1207,2))," ")</f>
        <v>113.95</v>
      </c>
      <c r="V446" s="695">
        <f>IF(U444&gt;0,(SUM(V444:V445))," ")</f>
        <v>79999.999999999985</v>
      </c>
      <c r="W446" s="696"/>
      <c r="X446" s="364"/>
      <c r="Y446" s="364"/>
      <c r="Z446" s="364"/>
      <c r="AA446"/>
      <c r="AB446"/>
      <c r="AC446"/>
      <c r="AD446"/>
      <c r="AE446"/>
      <c r="AF446"/>
      <c r="AG446"/>
    </row>
    <row r="447" spans="17:33" ht="12.75" customHeight="1" thickBot="1">
      <c r="Q447" s="364"/>
      <c r="R447" s="892"/>
      <c r="S447" s="893"/>
      <c r="T447" s="893"/>
      <c r="U447" s="893"/>
      <c r="V447" s="893"/>
      <c r="W447" s="894"/>
      <c r="X447" s="364"/>
      <c r="Y447" s="364"/>
      <c r="Z447" s="364"/>
      <c r="AA447"/>
      <c r="AB447"/>
      <c r="AC447"/>
      <c r="AD447"/>
      <c r="AE447"/>
      <c r="AF447"/>
      <c r="AG447"/>
    </row>
    <row r="448" spans="17:33" ht="12.75" customHeight="1">
      <c r="Q448" s="364"/>
      <c r="R448" s="895" t="s">
        <v>886</v>
      </c>
      <c r="S448" s="896"/>
      <c r="T448" s="900" t="s">
        <v>835</v>
      </c>
      <c r="U448" s="900" t="s">
        <v>836</v>
      </c>
      <c r="V448" s="900" t="s">
        <v>837</v>
      </c>
      <c r="W448" s="902" t="s">
        <v>838</v>
      </c>
      <c r="X448" s="364"/>
      <c r="Y448" s="364"/>
      <c r="Z448" s="364"/>
      <c r="AA448"/>
      <c r="AB448"/>
      <c r="AC448"/>
      <c r="AD448"/>
      <c r="AE448"/>
      <c r="AF448"/>
      <c r="AG448"/>
    </row>
    <row r="449" spans="17:33" ht="12.75" customHeight="1">
      <c r="Q449" s="364"/>
      <c r="R449" s="892"/>
      <c r="S449" s="897"/>
      <c r="T449" s="901"/>
      <c r="U449" s="901"/>
      <c r="V449" s="901"/>
      <c r="W449" s="903"/>
      <c r="X449" s="364"/>
      <c r="Y449" s="364"/>
      <c r="Z449" s="364"/>
      <c r="AA449"/>
      <c r="AB449"/>
      <c r="AC449"/>
      <c r="AD449"/>
      <c r="AE449"/>
      <c r="AF449"/>
      <c r="AG449"/>
    </row>
    <row r="450" spans="17:33" ht="12.75" customHeight="1">
      <c r="Q450" s="364"/>
      <c r="R450" s="892"/>
      <c r="S450" s="897"/>
      <c r="T450" s="689">
        <f>T444*(1-0.0178*2)</f>
        <v>117.67666655636688</v>
      </c>
      <c r="U450" s="560">
        <f>U444</f>
        <v>1.4285714285714284</v>
      </c>
      <c r="V450" s="690">
        <f>IF(T450&gt;0,W450*U450," ")</f>
        <v>33771.428571428565</v>
      </c>
      <c r="W450" s="691">
        <f>IF(T450&gt;0,(VLOOKUP(T450,'Lookup Ready-reckoner'!$B$5:$E$1207,4))," ")</f>
        <v>23640</v>
      </c>
      <c r="X450" s="364"/>
      <c r="Y450" s="364"/>
      <c r="Z450" s="364"/>
      <c r="AA450"/>
      <c r="AB450"/>
      <c r="AC450"/>
      <c r="AD450"/>
      <c r="AE450"/>
      <c r="AF450"/>
      <c r="AG450"/>
    </row>
    <row r="451" spans="17:33" ht="12.75" customHeight="1">
      <c r="Q451" s="364"/>
      <c r="R451" s="898"/>
      <c r="S451" s="899"/>
      <c r="T451" s="447"/>
      <c r="U451" s="560"/>
      <c r="V451" s="690" t="str">
        <f>IF(T451&gt;0,W451*U451," ")</f>
        <v xml:space="preserve"> </v>
      </c>
      <c r="W451" s="691" t="str">
        <f>IF(T451&gt;0,(VLOOKUP(T451,'Lookup Ready-reckoner'!$B$5:$E$1007,4))," ")</f>
        <v xml:space="preserve"> </v>
      </c>
      <c r="X451" s="364"/>
      <c r="Y451" s="364"/>
      <c r="Z451" s="364"/>
      <c r="AA451"/>
      <c r="AB451"/>
      <c r="AC451"/>
      <c r="AD451"/>
      <c r="AE451"/>
      <c r="AF451"/>
      <c r="AG451"/>
    </row>
    <row r="452" spans="17:33" ht="12.75" customHeight="1" thickBot="1">
      <c r="Q452" s="364"/>
      <c r="R452" s="692" t="s">
        <v>839</v>
      </c>
      <c r="S452" s="693"/>
      <c r="T452" s="693"/>
      <c r="U452" s="694">
        <f>IF(T450&gt;0,(VLOOKUP(V452,'Lookup Ready-reckoner'!$L$5:$M$1207,2))," ")</f>
        <v>110.2</v>
      </c>
      <c r="V452" s="695">
        <f>IF(U450&gt;0,(SUM(V450:V451))," ")</f>
        <v>33771.428571428565</v>
      </c>
      <c r="W452" s="696"/>
      <c r="X452" s="364"/>
      <c r="Y452" s="364"/>
      <c r="Z452" s="364"/>
      <c r="AA452"/>
      <c r="AB452"/>
      <c r="AC452"/>
      <c r="AD452"/>
      <c r="AE452"/>
      <c r="AF452"/>
      <c r="AG452"/>
    </row>
    <row r="453" spans="17:33" ht="12.75" customHeight="1">
      <c r="Q453" s="364"/>
      <c r="R453" s="697"/>
      <c r="S453" s="687"/>
      <c r="T453" s="687"/>
      <c r="U453" s="372"/>
      <c r="V453" s="374"/>
      <c r="W453" s="688"/>
      <c r="X453" s="364"/>
      <c r="Y453" s="364"/>
      <c r="Z453" s="364"/>
      <c r="AA453"/>
      <c r="AB453"/>
      <c r="AC453"/>
      <c r="AD453"/>
      <c r="AE453"/>
      <c r="AF453"/>
      <c r="AG453"/>
    </row>
    <row r="454" spans="17:33" ht="12.75" customHeight="1" thickBot="1">
      <c r="Q454" s="364"/>
      <c r="R454" s="686" t="s">
        <v>60</v>
      </c>
      <c r="S454" s="577"/>
      <c r="T454" s="577"/>
      <c r="U454" s="577"/>
      <c r="V454" s="577"/>
      <c r="W454" s="698"/>
      <c r="X454" s="364"/>
      <c r="Y454" s="364"/>
      <c r="Z454" s="364"/>
      <c r="AA454"/>
      <c r="AB454"/>
      <c r="AC454"/>
      <c r="AD454"/>
      <c r="AE454"/>
      <c r="AF454"/>
      <c r="AG454"/>
    </row>
    <row r="455" spans="17:33" ht="12.75" customHeight="1">
      <c r="Q455" s="364"/>
      <c r="R455" s="895" t="s">
        <v>845</v>
      </c>
      <c r="S455" s="896"/>
      <c r="T455" s="900" t="s">
        <v>835</v>
      </c>
      <c r="U455" s="900" t="s">
        <v>836</v>
      </c>
      <c r="V455" s="900" t="s">
        <v>837</v>
      </c>
      <c r="W455" s="902" t="s">
        <v>838</v>
      </c>
      <c r="X455" s="364"/>
      <c r="Y455" s="364"/>
      <c r="Z455" s="364"/>
      <c r="AA455"/>
      <c r="AB455"/>
      <c r="AC455"/>
      <c r="AD455"/>
      <c r="AE455"/>
      <c r="AF455"/>
      <c r="AG455"/>
    </row>
    <row r="456" spans="17:33" ht="12.75" customHeight="1">
      <c r="Q456" s="364"/>
      <c r="R456" s="892"/>
      <c r="S456" s="897"/>
      <c r="T456" s="901"/>
      <c r="U456" s="901"/>
      <c r="V456" s="901"/>
      <c r="W456" s="903"/>
      <c r="X456" s="364"/>
      <c r="Y456" s="364"/>
      <c r="Z456" s="364"/>
      <c r="AA456"/>
      <c r="AB456"/>
      <c r="AC456"/>
      <c r="AD456"/>
      <c r="AE456"/>
      <c r="AF456"/>
      <c r="AG456"/>
    </row>
    <row r="457" spans="17:33" ht="12.75" customHeight="1">
      <c r="Q457" s="364"/>
      <c r="R457" s="892"/>
      <c r="S457" s="897"/>
      <c r="T457" s="689">
        <f>T444-PPE!$I$15</f>
        <v>109.02059991327964</v>
      </c>
      <c r="U457" s="560">
        <f>U450</f>
        <v>1.4285714285714284</v>
      </c>
      <c r="V457" s="690">
        <f>IF(T457&gt;0,W457*U457," ")</f>
        <v>4571.4285714285706</v>
      </c>
      <c r="W457" s="691">
        <f>IF(T457&gt;0,(VLOOKUP(T457,'Lookup Ready-reckoner'!$B$5:$E$1207,4))," ")</f>
        <v>3200</v>
      </c>
      <c r="X457" s="364"/>
      <c r="Y457" s="364"/>
      <c r="Z457" s="364"/>
      <c r="AA457"/>
      <c r="AB457"/>
      <c r="AC457"/>
      <c r="AD457"/>
      <c r="AE457"/>
      <c r="AF457"/>
      <c r="AG457"/>
    </row>
    <row r="458" spans="17:33" ht="12.75" customHeight="1">
      <c r="Q458" s="364"/>
      <c r="R458" s="898"/>
      <c r="S458" s="899"/>
      <c r="T458" s="447"/>
      <c r="U458" s="560"/>
      <c r="V458" s="690" t="str">
        <f>IF(T458&gt;0,W458*U458," ")</f>
        <v xml:space="preserve"> </v>
      </c>
      <c r="W458" s="691" t="str">
        <f>IF(T458&gt;0,(VLOOKUP(T458,'Lookup Ready-reckoner'!$B$5:$E$1007,4))," ")</f>
        <v xml:space="preserve"> </v>
      </c>
      <c r="X458" s="364"/>
      <c r="Y458" s="364"/>
      <c r="Z458" s="364"/>
      <c r="AA458"/>
      <c r="AB458"/>
      <c r="AC458"/>
      <c r="AD458"/>
      <c r="AE458"/>
      <c r="AF458"/>
      <c r="AG458"/>
    </row>
    <row r="459" spans="17:33" ht="12.75" customHeight="1" thickBot="1">
      <c r="Q459" s="364"/>
      <c r="R459" s="699" t="s">
        <v>839</v>
      </c>
      <c r="S459" s="693"/>
      <c r="T459" s="693"/>
      <c r="U459" s="694">
        <f>IF(T457&gt;0,(VLOOKUP(V459,'Lookup Ready-reckoner'!$L$5:$M$1207,2))," ")</f>
        <v>101.55</v>
      </c>
      <c r="V459" s="695">
        <f>IF(U457&gt;0,(SUM(V457:V458))," ")</f>
        <v>4571.4285714285706</v>
      </c>
      <c r="W459" s="696"/>
      <c r="X459" s="364"/>
      <c r="Y459" s="364"/>
      <c r="Z459" s="364"/>
      <c r="AA459"/>
      <c r="AB459"/>
      <c r="AC459"/>
      <c r="AD459"/>
      <c r="AE459"/>
      <c r="AF459"/>
      <c r="AG459"/>
    </row>
    <row r="460" spans="17:33" ht="12.75" customHeight="1" thickBot="1">
      <c r="Q460" s="364"/>
      <c r="R460" s="892"/>
      <c r="S460" s="893"/>
      <c r="T460" s="893"/>
      <c r="U460" s="893"/>
      <c r="V460" s="893"/>
      <c r="W460" s="894"/>
      <c r="X460" s="364"/>
      <c r="Y460" s="364"/>
      <c r="Z460" s="364"/>
      <c r="AA460"/>
      <c r="AB460"/>
      <c r="AC460"/>
      <c r="AD460"/>
      <c r="AE460"/>
      <c r="AF460"/>
      <c r="AG460"/>
    </row>
    <row r="461" spans="17:33" ht="12.75" customHeight="1">
      <c r="Q461" s="364"/>
      <c r="R461" s="895" t="s">
        <v>886</v>
      </c>
      <c r="S461" s="896"/>
      <c r="T461" s="900" t="s">
        <v>835</v>
      </c>
      <c r="U461" s="900" t="s">
        <v>836</v>
      </c>
      <c r="V461" s="900" t="s">
        <v>837</v>
      </c>
      <c r="W461" s="902" t="s">
        <v>838</v>
      </c>
      <c r="X461" s="364"/>
      <c r="Y461" s="364"/>
      <c r="Z461" s="364"/>
      <c r="AA461"/>
      <c r="AB461"/>
      <c r="AC461"/>
      <c r="AD461"/>
      <c r="AE461"/>
      <c r="AF461"/>
      <c r="AG461"/>
    </row>
    <row r="462" spans="17:33" ht="12.75" customHeight="1">
      <c r="Q462" s="364"/>
      <c r="R462" s="892"/>
      <c r="S462" s="897"/>
      <c r="T462" s="901"/>
      <c r="U462" s="901"/>
      <c r="V462" s="901"/>
      <c r="W462" s="903"/>
      <c r="X462" s="364"/>
      <c r="Y462" s="364"/>
      <c r="Z462" s="364"/>
      <c r="AA462"/>
      <c r="AB462"/>
      <c r="AC462"/>
      <c r="AD462"/>
      <c r="AE462"/>
      <c r="AF462"/>
      <c r="AG462"/>
    </row>
    <row r="463" spans="17:33" ht="12.75" customHeight="1">
      <c r="Q463" s="364"/>
      <c r="R463" s="892"/>
      <c r="S463" s="897"/>
      <c r="T463" s="689">
        <f>T450-PPE!$I$15</f>
        <v>104.67666655636688</v>
      </c>
      <c r="U463" s="560">
        <f>U457</f>
        <v>1.4285714285714284</v>
      </c>
      <c r="V463" s="690">
        <f>IF(T463&gt;0,W463*U463," ")</f>
        <v>1660.7142857142856</v>
      </c>
      <c r="W463" s="691">
        <f>IF(T463&gt;0,(VLOOKUP(T463,'Lookup Ready-reckoner'!$B$5:$E$1207,4))," ")</f>
        <v>1162.5</v>
      </c>
      <c r="X463" s="364"/>
      <c r="Y463" s="364"/>
      <c r="Z463" s="364"/>
      <c r="AA463"/>
      <c r="AB463"/>
      <c r="AC463"/>
      <c r="AD463"/>
      <c r="AE463"/>
      <c r="AF463"/>
      <c r="AG463"/>
    </row>
    <row r="464" spans="17:33" ht="12.75" customHeight="1">
      <c r="Q464" s="364"/>
      <c r="R464" s="898"/>
      <c r="S464" s="899"/>
      <c r="T464" s="447"/>
      <c r="U464" s="560"/>
      <c r="V464" s="690" t="str">
        <f>IF(T464&gt;0,W464*U464," ")</f>
        <v xml:space="preserve"> </v>
      </c>
      <c r="W464" s="691" t="str">
        <f>IF(T464&gt;0,(VLOOKUP(T464,'Lookup Ready-reckoner'!$B$5:$E$1007,4))," ")</f>
        <v xml:space="preserve"> </v>
      </c>
      <c r="X464" s="364"/>
      <c r="Y464" s="364"/>
      <c r="Z464" s="364"/>
      <c r="AA464"/>
      <c r="AB464"/>
      <c r="AC464"/>
      <c r="AD464"/>
      <c r="AE464"/>
      <c r="AF464"/>
      <c r="AG464"/>
    </row>
    <row r="465" spans="17:33" ht="12.75" customHeight="1" thickBot="1">
      <c r="Q465" s="364"/>
      <c r="R465" s="692" t="s">
        <v>839</v>
      </c>
      <c r="S465" s="693"/>
      <c r="T465" s="693"/>
      <c r="U465" s="694">
        <f>IF(T463&gt;0,(VLOOKUP(V465,'Lookup Ready-reckoner'!$L$5:$M$1207,2))," ")</f>
        <v>97.15</v>
      </c>
      <c r="V465" s="695">
        <f>IF(U463&gt;0,(SUM(V463:V464))," ")</f>
        <v>1660.7142857142856</v>
      </c>
      <c r="W465" s="696"/>
      <c r="X465" s="364"/>
      <c r="Y465" s="364"/>
      <c r="Z465" s="364"/>
      <c r="AA465"/>
      <c r="AB465"/>
      <c r="AC465"/>
      <c r="AD465"/>
      <c r="AE465"/>
      <c r="AF465"/>
      <c r="AG465"/>
    </row>
    <row r="466" spans="17:33" ht="12.75" customHeight="1">
      <c r="Q466" s="364"/>
      <c r="R466" s="363"/>
      <c r="S466" s="363"/>
      <c r="T466" s="363"/>
      <c r="U466" s="363"/>
      <c r="V466" s="363"/>
      <c r="W466" s="363"/>
      <c r="X466" s="364"/>
      <c r="Y466" s="364"/>
      <c r="Z466" s="364"/>
      <c r="AA466"/>
      <c r="AB466"/>
      <c r="AC466"/>
      <c r="AD466"/>
      <c r="AE466"/>
      <c r="AF466"/>
      <c r="AG466"/>
    </row>
    <row r="467" spans="17:33" ht="12.75" customHeight="1" thickBot="1">
      <c r="Q467" s="364"/>
      <c r="R467" s="915" t="str">
        <f>R348</f>
        <v>Seco S215 Muffled</v>
      </c>
      <c r="S467" s="915"/>
      <c r="T467" s="915"/>
      <c r="U467" s="915"/>
      <c r="V467" s="915"/>
      <c r="W467" s="915"/>
      <c r="X467" s="364"/>
      <c r="Y467" s="364"/>
      <c r="Z467" s="364"/>
      <c r="AA467"/>
      <c r="AB467"/>
      <c r="AC467"/>
      <c r="AD467"/>
      <c r="AE467"/>
      <c r="AF467"/>
      <c r="AG467"/>
    </row>
    <row r="468" spans="17:33" ht="12.75" customHeight="1" thickBot="1">
      <c r="Q468" s="364"/>
      <c r="R468" s="906" t="s">
        <v>205</v>
      </c>
      <c r="S468" s="907"/>
      <c r="T468" s="907"/>
      <c r="U468" s="907"/>
      <c r="V468" s="907"/>
      <c r="W468" s="908"/>
      <c r="X468" s="364"/>
      <c r="Y468" s="364"/>
      <c r="Z468" s="364"/>
      <c r="AA468"/>
      <c r="AB468"/>
      <c r="AC468"/>
      <c r="AD468"/>
      <c r="AE468"/>
      <c r="AF468"/>
      <c r="AG468"/>
    </row>
    <row r="469" spans="17:33" ht="12.75" customHeight="1" thickBot="1">
      <c r="Q469" s="364"/>
      <c r="R469" s="686" t="s">
        <v>59</v>
      </c>
      <c r="S469" s="577"/>
      <c r="T469" s="687"/>
      <c r="U469" s="687"/>
      <c r="V469" s="687"/>
      <c r="W469" s="688"/>
      <c r="X469" s="364"/>
      <c r="Y469" s="364"/>
      <c r="Z469" s="364"/>
      <c r="AA469"/>
      <c r="AB469"/>
      <c r="AC469"/>
      <c r="AD469"/>
      <c r="AE469"/>
      <c r="AF469"/>
      <c r="AG469"/>
    </row>
    <row r="470" spans="17:33" ht="12.75" customHeight="1">
      <c r="Q470" s="364"/>
      <c r="R470" s="895" t="s">
        <v>845</v>
      </c>
      <c r="S470" s="896"/>
      <c r="T470" s="900" t="s">
        <v>835</v>
      </c>
      <c r="U470" s="900" t="s">
        <v>836</v>
      </c>
      <c r="V470" s="900" t="s">
        <v>837</v>
      </c>
      <c r="W470" s="902" t="s">
        <v>838</v>
      </c>
      <c r="X470" s="364"/>
      <c r="Y470" s="364"/>
      <c r="Z470" s="364"/>
      <c r="AA470"/>
      <c r="AB470"/>
      <c r="AC470"/>
      <c r="AD470"/>
      <c r="AE470"/>
      <c r="AF470"/>
      <c r="AG470"/>
    </row>
    <row r="471" spans="17:33" ht="12.75" customHeight="1">
      <c r="Q471" s="364"/>
      <c r="R471" s="892"/>
      <c r="S471" s="897"/>
      <c r="T471" s="904"/>
      <c r="U471" s="904"/>
      <c r="V471" s="904"/>
      <c r="W471" s="905"/>
      <c r="X471" s="364"/>
      <c r="Y471" s="364"/>
      <c r="Z471" s="364"/>
      <c r="AA471"/>
      <c r="AB471"/>
      <c r="AC471"/>
      <c r="AD471"/>
      <c r="AE471"/>
      <c r="AF471"/>
      <c r="AG471"/>
    </row>
    <row r="472" spans="17:33" ht="12.75" customHeight="1">
      <c r="Q472" s="364"/>
      <c r="R472" s="892"/>
      <c r="S472" s="897"/>
      <c r="T472" s="901"/>
      <c r="U472" s="901"/>
      <c r="V472" s="901"/>
      <c r="W472" s="903"/>
      <c r="X472" s="364"/>
      <c r="Y472" s="364"/>
      <c r="Z472" s="364"/>
      <c r="AA472"/>
      <c r="AB472"/>
      <c r="AC472"/>
      <c r="AD472"/>
      <c r="AE472"/>
      <c r="AF472"/>
      <c r="AG472"/>
    </row>
    <row r="473" spans="17:33" ht="12.75" customHeight="1">
      <c r="Q473" s="364"/>
      <c r="R473" s="892"/>
      <c r="S473" s="897"/>
      <c r="T473" s="700">
        <f>V76</f>
        <v>114.02059991327963</v>
      </c>
      <c r="U473" s="560">
        <f>V62</f>
        <v>1.9999999999999996</v>
      </c>
      <c r="V473" s="690">
        <f>IF(T473&gt;0,W473*U473," ")</f>
        <v>19999.999999999996</v>
      </c>
      <c r="W473" s="691">
        <f>IF(T473&gt;0,(VLOOKUP(T473,'Lookup Ready-reckoner'!$B$5:$E$1207,4))," ")</f>
        <v>10000</v>
      </c>
      <c r="X473" s="364"/>
      <c r="Y473" s="364"/>
      <c r="Z473" s="364"/>
      <c r="AA473"/>
      <c r="AB473"/>
      <c r="AC473"/>
      <c r="AD473"/>
      <c r="AE473"/>
      <c r="AF473"/>
      <c r="AG473"/>
    </row>
    <row r="474" spans="17:33" ht="12.75" customHeight="1">
      <c r="Q474" s="364"/>
      <c r="R474" s="898"/>
      <c r="S474" s="899"/>
      <c r="T474" s="447"/>
      <c r="U474" s="560"/>
      <c r="V474" s="690" t="str">
        <f>IF(T474&gt;0,W474*U474," ")</f>
        <v xml:space="preserve"> </v>
      </c>
      <c r="W474" s="691" t="str">
        <f>IF(T474&gt;0,(VLOOKUP(T474,'Lookup Ready-reckoner'!$B$5:$E$1007,4))," ")</f>
        <v xml:space="preserve"> </v>
      </c>
      <c r="X474" s="364"/>
      <c r="Y474" s="364"/>
      <c r="Z474" s="364"/>
      <c r="AA474"/>
      <c r="AB474"/>
      <c r="AC474"/>
      <c r="AD474"/>
      <c r="AE474"/>
      <c r="AF474"/>
      <c r="AG474"/>
    </row>
    <row r="475" spans="17:33" ht="12.75" customHeight="1" thickBot="1">
      <c r="Q475" s="364"/>
      <c r="R475" s="699" t="s">
        <v>839</v>
      </c>
      <c r="S475" s="693"/>
      <c r="T475" s="693"/>
      <c r="U475" s="701">
        <f>IF(T473&gt;0,(VLOOKUP(V475,'Lookup Ready-reckoner'!$L$5:$M$1207,2))," ")</f>
        <v>107.95</v>
      </c>
      <c r="V475" s="695">
        <f>IF(U473&gt;0,(SUM(V473:V474))," ")</f>
        <v>19999.999999999996</v>
      </c>
      <c r="W475" s="696"/>
      <c r="X475" s="364"/>
      <c r="Y475" s="364"/>
      <c r="Z475" s="364"/>
      <c r="AA475"/>
      <c r="AB475"/>
      <c r="AC475"/>
      <c r="AD475"/>
      <c r="AE475"/>
      <c r="AF475"/>
      <c r="AG475"/>
    </row>
    <row r="476" spans="17:33" ht="12.75" customHeight="1" thickBot="1">
      <c r="Q476" s="364"/>
      <c r="R476" s="892"/>
      <c r="S476" s="893"/>
      <c r="T476" s="893"/>
      <c r="U476" s="893"/>
      <c r="V476" s="893"/>
      <c r="W476" s="894"/>
      <c r="X476" s="364"/>
      <c r="Y476" s="364"/>
      <c r="Z476" s="364"/>
      <c r="AA476"/>
      <c r="AB476"/>
      <c r="AC476"/>
      <c r="AD476"/>
      <c r="AE476"/>
      <c r="AF476"/>
      <c r="AG476"/>
    </row>
    <row r="477" spans="17:33" ht="12.75" customHeight="1">
      <c r="Q477" s="364"/>
      <c r="R477" s="895" t="s">
        <v>886</v>
      </c>
      <c r="S477" s="896"/>
      <c r="T477" s="900" t="s">
        <v>835</v>
      </c>
      <c r="U477" s="900" t="s">
        <v>836</v>
      </c>
      <c r="V477" s="900" t="s">
        <v>837</v>
      </c>
      <c r="W477" s="902" t="s">
        <v>838</v>
      </c>
      <c r="X477" s="364"/>
      <c r="Y477" s="364"/>
      <c r="Z477" s="364"/>
      <c r="AA477"/>
      <c r="AB477"/>
      <c r="AC477"/>
      <c r="AD477"/>
      <c r="AE477"/>
      <c r="AF477"/>
      <c r="AG477"/>
    </row>
    <row r="478" spans="17:33" ht="12.75" customHeight="1">
      <c r="Q478" s="364"/>
      <c r="R478" s="892"/>
      <c r="S478" s="897"/>
      <c r="T478" s="901"/>
      <c r="U478" s="901"/>
      <c r="V478" s="901"/>
      <c r="W478" s="903"/>
      <c r="X478" s="364"/>
      <c r="Y478" s="364"/>
      <c r="Z478" s="364"/>
      <c r="AA478"/>
      <c r="AB478"/>
      <c r="AC478"/>
      <c r="AD478"/>
      <c r="AE478"/>
      <c r="AF478"/>
      <c r="AG478"/>
    </row>
    <row r="479" spans="17:33" ht="12.75" customHeight="1">
      <c r="Q479" s="364"/>
      <c r="R479" s="892"/>
      <c r="S479" s="897"/>
      <c r="T479" s="700">
        <f>T473*(1-0.0178*2)</f>
        <v>109.96146655636687</v>
      </c>
      <c r="U479" s="560">
        <f>U473</f>
        <v>1.9999999999999996</v>
      </c>
      <c r="V479" s="690">
        <f>IF(T479&gt;0,W479*U479," ")</f>
        <v>7919.9999999999982</v>
      </c>
      <c r="W479" s="691">
        <f>IF(T479&gt;0,(VLOOKUP(T479,'Lookup Ready-reckoner'!$B$5:$E$1207,4))," ")</f>
        <v>3960</v>
      </c>
      <c r="X479" s="364"/>
      <c r="Y479" s="364"/>
      <c r="Z479" s="364"/>
      <c r="AA479"/>
      <c r="AB479"/>
      <c r="AC479"/>
      <c r="AD479"/>
      <c r="AE479"/>
      <c r="AF479"/>
      <c r="AG479"/>
    </row>
    <row r="480" spans="17:33" ht="12.75" customHeight="1">
      <c r="Q480" s="364"/>
      <c r="R480" s="898"/>
      <c r="S480" s="899"/>
      <c r="T480" s="447"/>
      <c r="U480" s="560"/>
      <c r="V480" s="690" t="str">
        <f>IF(T480&gt;0,W480*U480," ")</f>
        <v xml:space="preserve"> </v>
      </c>
      <c r="W480" s="691" t="str">
        <f>IF(T480&gt;0,(VLOOKUP(T480,'Lookup Ready-reckoner'!$B$5:$E$1007,4))," ")</f>
        <v xml:space="preserve"> </v>
      </c>
      <c r="X480" s="364"/>
      <c r="Y480" s="364"/>
      <c r="Z480" s="364"/>
      <c r="AA480"/>
      <c r="AB480"/>
      <c r="AC480"/>
      <c r="AD480"/>
      <c r="AE480"/>
      <c r="AF480"/>
      <c r="AG480"/>
    </row>
    <row r="481" spans="17:33" ht="12.75" customHeight="1" thickBot="1">
      <c r="Q481" s="364"/>
      <c r="R481" s="692" t="s">
        <v>839</v>
      </c>
      <c r="S481" s="693"/>
      <c r="T481" s="693"/>
      <c r="U481" s="701">
        <f>IF(T479&gt;0,(VLOOKUP(V481,'Lookup Ready-reckoner'!$L$5:$M$1207,2))," ")</f>
        <v>103.9</v>
      </c>
      <c r="V481" s="695">
        <f>IF(U479&gt;0,(SUM(V479:V480))," ")</f>
        <v>7919.9999999999982</v>
      </c>
      <c r="W481" s="696"/>
      <c r="X481" s="364"/>
      <c r="Y481" s="364"/>
      <c r="Z481" s="364"/>
      <c r="AA481"/>
      <c r="AB481"/>
      <c r="AC481"/>
      <c r="AD481"/>
      <c r="AE481"/>
      <c r="AF481"/>
      <c r="AG481"/>
    </row>
    <row r="482" spans="17:33" ht="12.75" customHeight="1">
      <c r="Q482" s="364"/>
      <c r="R482" s="697"/>
      <c r="S482" s="687"/>
      <c r="T482" s="687"/>
      <c r="U482" s="372"/>
      <c r="V482" s="374"/>
      <c r="W482" s="688"/>
      <c r="X482" s="364"/>
      <c r="Y482" s="364"/>
      <c r="Z482" s="364"/>
      <c r="AA482"/>
      <c r="AB482"/>
      <c r="AC482"/>
      <c r="AD482"/>
      <c r="AE482"/>
      <c r="AF482"/>
      <c r="AG482"/>
    </row>
    <row r="483" spans="17:33" ht="12.75" customHeight="1" thickBot="1">
      <c r="Q483" s="364"/>
      <c r="R483" s="686" t="s">
        <v>60</v>
      </c>
      <c r="S483" s="577"/>
      <c r="T483" s="577"/>
      <c r="U483" s="577"/>
      <c r="V483" s="577"/>
      <c r="W483" s="698"/>
      <c r="X483" s="364"/>
      <c r="Y483" s="364"/>
      <c r="Z483" s="364"/>
      <c r="AA483"/>
      <c r="AB483"/>
      <c r="AC483"/>
      <c r="AD483"/>
      <c r="AE483"/>
      <c r="AF483"/>
      <c r="AG483"/>
    </row>
    <row r="484" spans="17:33" ht="12.75" customHeight="1">
      <c r="Q484" s="364"/>
      <c r="R484" s="895" t="s">
        <v>845</v>
      </c>
      <c r="S484" s="896"/>
      <c r="T484" s="900" t="s">
        <v>835</v>
      </c>
      <c r="U484" s="900" t="s">
        <v>836</v>
      </c>
      <c r="V484" s="900" t="s">
        <v>837</v>
      </c>
      <c r="W484" s="902" t="s">
        <v>838</v>
      </c>
      <c r="X484" s="364"/>
      <c r="Y484" s="364"/>
      <c r="Z484" s="364"/>
      <c r="AA484"/>
      <c r="AB484"/>
      <c r="AC484"/>
      <c r="AD484"/>
      <c r="AE484"/>
      <c r="AF484"/>
      <c r="AG484"/>
    </row>
    <row r="485" spans="17:33" ht="12.75" customHeight="1">
      <c r="Q485" s="364"/>
      <c r="R485" s="892"/>
      <c r="S485" s="897"/>
      <c r="T485" s="901"/>
      <c r="U485" s="901"/>
      <c r="V485" s="901"/>
      <c r="W485" s="903"/>
      <c r="X485" s="364"/>
      <c r="Y485" s="364"/>
      <c r="Z485" s="364"/>
      <c r="AA485"/>
      <c r="AB485"/>
      <c r="AC485"/>
      <c r="AD485"/>
      <c r="AE485"/>
      <c r="AF485"/>
      <c r="AG485"/>
    </row>
    <row r="486" spans="17:33" ht="12.75" customHeight="1">
      <c r="Q486" s="364"/>
      <c r="R486" s="892"/>
      <c r="S486" s="897"/>
      <c r="T486" s="700">
        <f>T473-PPE!$I$15</f>
        <v>101.02059991327963</v>
      </c>
      <c r="U486" s="560">
        <f>U479</f>
        <v>1.9999999999999996</v>
      </c>
      <c r="V486" s="690">
        <f>IF(T486&gt;0,W486*U486," ")</f>
        <v>999.99999999999977</v>
      </c>
      <c r="W486" s="691">
        <f>IF(T486&gt;0,(VLOOKUP(T486,'Lookup Ready-reckoner'!$B$5:$E$1207,4))," ")</f>
        <v>500</v>
      </c>
      <c r="X486" s="364"/>
      <c r="Y486" s="364"/>
      <c r="Z486" s="364"/>
      <c r="AA486"/>
      <c r="AB486"/>
      <c r="AC486"/>
      <c r="AD486"/>
      <c r="AE486"/>
      <c r="AF486"/>
      <c r="AG486"/>
    </row>
    <row r="487" spans="17:33" ht="12.75" customHeight="1">
      <c r="Q487" s="364"/>
      <c r="R487" s="898"/>
      <c r="S487" s="899"/>
      <c r="T487" s="447"/>
      <c r="U487" s="560"/>
      <c r="V487" s="690" t="str">
        <f>IF(T487&gt;0,W487*U487," ")</f>
        <v xml:space="preserve"> </v>
      </c>
      <c r="W487" s="691" t="str">
        <f>IF(T487&gt;0,(VLOOKUP(T487,'Lookup Ready-reckoner'!$B$5:$E$1007,4))," ")</f>
        <v xml:space="preserve"> </v>
      </c>
      <c r="X487" s="364"/>
      <c r="Y487" s="364"/>
      <c r="Z487" s="364"/>
      <c r="AA487"/>
      <c r="AB487"/>
      <c r="AC487"/>
      <c r="AD487"/>
      <c r="AE487"/>
      <c r="AF487"/>
      <c r="AG487"/>
    </row>
    <row r="488" spans="17:33" ht="12.75" customHeight="1" thickBot="1">
      <c r="Q488" s="364"/>
      <c r="R488" s="692" t="s">
        <v>839</v>
      </c>
      <c r="S488" s="693"/>
      <c r="T488" s="693"/>
      <c r="U488" s="701">
        <f>IF(T486&gt;0,(VLOOKUP(V488,'Lookup Ready-reckoner'!$L$5:$M$1207,2))," ")</f>
        <v>94.95</v>
      </c>
      <c r="V488" s="695">
        <f>IF(U486&gt;0,(SUM(V486:V487))," ")</f>
        <v>999.99999999999977</v>
      </c>
      <c r="W488" s="696"/>
      <c r="X488" s="364"/>
      <c r="Y488" s="364"/>
      <c r="Z488" s="364"/>
      <c r="AA488"/>
      <c r="AB488"/>
      <c r="AC488"/>
      <c r="AD488"/>
      <c r="AE488"/>
      <c r="AF488"/>
      <c r="AG488"/>
    </row>
    <row r="489" spans="17:33" ht="12.75" customHeight="1" thickBot="1">
      <c r="Q489" s="364"/>
      <c r="R489" s="892"/>
      <c r="S489" s="893"/>
      <c r="T489" s="893"/>
      <c r="U489" s="893"/>
      <c r="V489" s="893"/>
      <c r="W489" s="894"/>
      <c r="X489" s="364"/>
      <c r="Y489" s="364"/>
      <c r="Z489" s="364"/>
      <c r="AA489"/>
      <c r="AB489"/>
      <c r="AC489"/>
      <c r="AD489"/>
      <c r="AE489"/>
      <c r="AF489"/>
      <c r="AG489"/>
    </row>
    <row r="490" spans="17:33" ht="12.75" customHeight="1">
      <c r="Q490" s="364"/>
      <c r="R490" s="895" t="s">
        <v>886</v>
      </c>
      <c r="S490" s="896"/>
      <c r="T490" s="900" t="s">
        <v>835</v>
      </c>
      <c r="U490" s="900" t="s">
        <v>836</v>
      </c>
      <c r="V490" s="900" t="s">
        <v>837</v>
      </c>
      <c r="W490" s="902" t="s">
        <v>838</v>
      </c>
      <c r="X490" s="364"/>
      <c r="Y490" s="364"/>
      <c r="Z490" s="364"/>
      <c r="AA490"/>
      <c r="AB490"/>
      <c r="AC490"/>
      <c r="AD490"/>
      <c r="AE490"/>
      <c r="AF490"/>
      <c r="AG490"/>
    </row>
    <row r="491" spans="17:33" ht="12.75" customHeight="1">
      <c r="Q491" s="364"/>
      <c r="R491" s="892"/>
      <c r="S491" s="897"/>
      <c r="T491" s="901"/>
      <c r="U491" s="901"/>
      <c r="V491" s="901"/>
      <c r="W491" s="903"/>
      <c r="X491" s="364"/>
      <c r="Y491" s="364"/>
      <c r="Z491" s="364"/>
      <c r="AA491"/>
      <c r="AB491"/>
      <c r="AC491"/>
      <c r="AD491"/>
      <c r="AE491"/>
      <c r="AF491"/>
      <c r="AG491"/>
    </row>
    <row r="492" spans="17:33" ht="12.75" customHeight="1">
      <c r="Q492" s="364"/>
      <c r="R492" s="892"/>
      <c r="S492" s="897"/>
      <c r="T492" s="700">
        <f>T479-PPE!$I$15</f>
        <v>96.961466556366872</v>
      </c>
      <c r="U492" s="560">
        <f>U486</f>
        <v>1.9999999999999996</v>
      </c>
      <c r="V492" s="690">
        <f>IF(T492&gt;0,W492*U492," ")</f>
        <v>395.62499999999989</v>
      </c>
      <c r="W492" s="691">
        <f>IF(T492&gt;0,(VLOOKUP(T492,'Lookup Ready-reckoner'!$B$5:$E$1207,4))," ")</f>
        <v>197.8125</v>
      </c>
      <c r="X492" s="364"/>
      <c r="Y492" s="364"/>
      <c r="Z492" s="364"/>
      <c r="AA492"/>
      <c r="AB492"/>
      <c r="AC492"/>
      <c r="AD492"/>
      <c r="AE492"/>
      <c r="AF492"/>
      <c r="AG492"/>
    </row>
    <row r="493" spans="17:33" ht="12.75" customHeight="1">
      <c r="Q493" s="364"/>
      <c r="R493" s="898"/>
      <c r="S493" s="899"/>
      <c r="T493" s="447"/>
      <c r="U493" s="560"/>
      <c r="V493" s="690" t="str">
        <f>IF(T493&gt;0,W493*U493," ")</f>
        <v xml:space="preserve"> </v>
      </c>
      <c r="W493" s="691" t="str">
        <f>IF(T493&gt;0,(VLOOKUP(T493,'Lookup Ready-reckoner'!$B$5:$E$1007,4))," ")</f>
        <v xml:space="preserve"> </v>
      </c>
      <c r="X493" s="364"/>
      <c r="Y493" s="364"/>
      <c r="Z493" s="364"/>
      <c r="AA493"/>
      <c r="AB493"/>
      <c r="AC493"/>
      <c r="AD493"/>
      <c r="AE493"/>
      <c r="AF493"/>
      <c r="AG493"/>
    </row>
    <row r="494" spans="17:33" ht="12.75" customHeight="1" thickBot="1">
      <c r="Q494" s="364"/>
      <c r="R494" s="692" t="s">
        <v>839</v>
      </c>
      <c r="S494" s="693"/>
      <c r="T494" s="693"/>
      <c r="U494" s="701">
        <f>IF(T492&gt;0,(VLOOKUP(V494,'Lookup Ready-reckoner'!$L$5:$M$1207,2))," ")</f>
        <v>90.9</v>
      </c>
      <c r="V494" s="695">
        <f>IF(U492&gt;0,(SUM(V492:V493))," ")</f>
        <v>395.62499999999989</v>
      </c>
      <c r="W494" s="696"/>
      <c r="X494" s="364"/>
      <c r="Y494" s="364"/>
      <c r="Z494" s="364"/>
      <c r="AA494"/>
      <c r="AB494"/>
      <c r="AC494"/>
      <c r="AD494"/>
      <c r="AE494"/>
      <c r="AF494"/>
      <c r="AG494"/>
    </row>
    <row r="495" spans="17:33" ht="12.75" customHeight="1">
      <c r="Q495" s="364"/>
      <c r="R495" s="363"/>
      <c r="S495" s="363"/>
      <c r="T495" s="363"/>
      <c r="U495" s="363"/>
      <c r="V495" s="363"/>
      <c r="W495" s="363"/>
      <c r="X495" s="364"/>
      <c r="Y495" s="364"/>
      <c r="Z495" s="364"/>
      <c r="AA495"/>
      <c r="AB495"/>
      <c r="AC495"/>
      <c r="AD495"/>
      <c r="AE495"/>
      <c r="AF495"/>
      <c r="AG495"/>
    </row>
    <row r="496" spans="17:33" ht="12.75" customHeight="1">
      <c r="Q496" s="364"/>
      <c r="R496" s="913" t="str">
        <f>R377</f>
        <v>Sulzer ADDS</v>
      </c>
      <c r="S496" s="914"/>
      <c r="T496" s="914"/>
      <c r="U496" s="914"/>
      <c r="V496" s="914"/>
      <c r="W496" s="914"/>
      <c r="X496" s="364"/>
      <c r="Y496" s="364"/>
      <c r="Z496" s="364"/>
      <c r="AA496"/>
      <c r="AB496"/>
      <c r="AC496"/>
      <c r="AD496"/>
      <c r="AE496"/>
      <c r="AF496"/>
      <c r="AG496"/>
    </row>
    <row r="497" spans="17:33" ht="12.75" customHeight="1" thickBot="1">
      <c r="Q497" s="364"/>
      <c r="R497" s="910" t="s">
        <v>205</v>
      </c>
      <c r="S497" s="911"/>
      <c r="T497" s="911"/>
      <c r="U497" s="911"/>
      <c r="V497" s="911"/>
      <c r="W497" s="912"/>
      <c r="X497" s="364"/>
      <c r="Y497" s="364"/>
      <c r="Z497" s="364"/>
      <c r="AA497"/>
      <c r="AB497"/>
      <c r="AC497"/>
      <c r="AD497"/>
      <c r="AE497"/>
      <c r="AF497"/>
      <c r="AG497"/>
    </row>
    <row r="498" spans="17:33" ht="12.75" customHeight="1" thickBot="1">
      <c r="Q498" s="364"/>
      <c r="R498" s="686" t="s">
        <v>59</v>
      </c>
      <c r="S498" s="577"/>
      <c r="T498" s="687"/>
      <c r="U498" s="687"/>
      <c r="V498" s="687"/>
      <c r="W498" s="688"/>
      <c r="X498" s="364"/>
      <c r="Y498" s="364"/>
      <c r="Z498" s="364"/>
      <c r="AA498"/>
      <c r="AB498"/>
      <c r="AC498"/>
      <c r="AD498"/>
      <c r="AE498"/>
      <c r="AF498"/>
      <c r="AG498"/>
    </row>
    <row r="499" spans="17:33" ht="12.75" customHeight="1">
      <c r="Q499" s="364"/>
      <c r="R499" s="895" t="s">
        <v>845</v>
      </c>
      <c r="S499" s="896"/>
      <c r="T499" s="900" t="s">
        <v>835</v>
      </c>
      <c r="U499" s="900" t="s">
        <v>836</v>
      </c>
      <c r="V499" s="900" t="s">
        <v>837</v>
      </c>
      <c r="W499" s="902" t="s">
        <v>838</v>
      </c>
      <c r="X499" s="364"/>
      <c r="Y499" s="364"/>
      <c r="Z499" s="364"/>
      <c r="AA499"/>
      <c r="AB499"/>
      <c r="AC499"/>
      <c r="AD499"/>
      <c r="AE499"/>
      <c r="AF499"/>
      <c r="AG499"/>
    </row>
    <row r="500" spans="17:33" ht="12.75" customHeight="1">
      <c r="Q500" s="364"/>
      <c r="R500" s="892"/>
      <c r="S500" s="897"/>
      <c r="T500" s="904"/>
      <c r="U500" s="904"/>
      <c r="V500" s="904"/>
      <c r="W500" s="905"/>
      <c r="X500" s="364"/>
      <c r="Y500" s="364"/>
      <c r="Z500" s="364"/>
      <c r="AA500"/>
      <c r="AB500"/>
      <c r="AC500"/>
      <c r="AD500"/>
      <c r="AE500"/>
      <c r="AF500"/>
      <c r="AG500"/>
    </row>
    <row r="501" spans="17:33" ht="12.75" customHeight="1">
      <c r="Q501" s="364"/>
      <c r="R501" s="892"/>
      <c r="S501" s="897"/>
      <c r="T501" s="901"/>
      <c r="U501" s="901"/>
      <c r="V501" s="901"/>
      <c r="W501" s="903"/>
      <c r="X501" s="364"/>
      <c r="Y501" s="364"/>
      <c r="Z501" s="364"/>
      <c r="AA501"/>
      <c r="AB501"/>
      <c r="AC501"/>
      <c r="AD501"/>
      <c r="AE501"/>
      <c r="AF501"/>
      <c r="AG501"/>
    </row>
    <row r="502" spans="17:33" ht="12.75" customHeight="1">
      <c r="Q502" s="364"/>
      <c r="R502" s="892"/>
      <c r="S502" s="897"/>
      <c r="T502" s="702">
        <f>W76</f>
        <v>115.02059991327963</v>
      </c>
      <c r="U502" s="560">
        <f>W62</f>
        <v>1.7391304347826084</v>
      </c>
      <c r="V502" s="690">
        <f>IF(T502&gt;0,W502*U502," ")</f>
        <v>22260.869565217388</v>
      </c>
      <c r="W502" s="691">
        <f>IF(T502&gt;0,(VLOOKUP(T502,'Lookup Ready-reckoner'!$B$5:$E$1207,4))," ")</f>
        <v>12800</v>
      </c>
      <c r="X502" s="364"/>
      <c r="Y502" s="364"/>
      <c r="Z502" s="364"/>
      <c r="AA502"/>
      <c r="AB502"/>
      <c r="AC502"/>
      <c r="AD502"/>
      <c r="AE502"/>
      <c r="AF502"/>
      <c r="AG502"/>
    </row>
    <row r="503" spans="17:33" ht="12.75" customHeight="1">
      <c r="Q503" s="364"/>
      <c r="R503" s="898"/>
      <c r="S503" s="899"/>
      <c r="T503" s="447"/>
      <c r="U503" s="560"/>
      <c r="V503" s="690" t="str">
        <f>IF(T503&gt;0,W503*U503," ")</f>
        <v xml:space="preserve"> </v>
      </c>
      <c r="W503" s="691" t="str">
        <f>IF(T503&gt;0,(VLOOKUP(T503,'Lookup Ready-reckoner'!$B$5:$E$1007,4))," ")</f>
        <v xml:space="preserve"> </v>
      </c>
      <c r="X503" s="364"/>
      <c r="Y503" s="364"/>
      <c r="Z503" s="364"/>
      <c r="AA503"/>
      <c r="AB503"/>
      <c r="AC503"/>
      <c r="AD503"/>
      <c r="AE503"/>
      <c r="AF503"/>
      <c r="AG503"/>
    </row>
    <row r="504" spans="17:33" ht="12.75" customHeight="1" thickBot="1">
      <c r="Q504" s="364"/>
      <c r="R504" s="692" t="s">
        <v>839</v>
      </c>
      <c r="S504" s="693"/>
      <c r="T504" s="693"/>
      <c r="U504" s="703">
        <f>IF(T502&gt;0,(VLOOKUP(V504,'Lookup Ready-reckoner'!$L$5:$M$1207,2))," ")</f>
        <v>108.4</v>
      </c>
      <c r="V504" s="695">
        <f>IF(U502&gt;0,(SUM(V502:V503))," ")</f>
        <v>22260.869565217388</v>
      </c>
      <c r="W504" s="696"/>
      <c r="X504" s="364"/>
      <c r="Y504" s="364"/>
      <c r="Z504" s="364"/>
      <c r="AA504"/>
      <c r="AB504"/>
      <c r="AC504"/>
      <c r="AD504"/>
      <c r="AE504"/>
      <c r="AF504"/>
      <c r="AG504"/>
    </row>
    <row r="505" spans="17:33" ht="12.75" customHeight="1" thickBot="1">
      <c r="Q505" s="364"/>
      <c r="R505" s="892"/>
      <c r="S505" s="893"/>
      <c r="T505" s="893"/>
      <c r="U505" s="893"/>
      <c r="V505" s="893"/>
      <c r="W505" s="894"/>
      <c r="X505" s="364"/>
      <c r="Y505" s="364"/>
      <c r="Z505" s="364"/>
      <c r="AA505"/>
      <c r="AB505"/>
      <c r="AC505"/>
      <c r="AD505"/>
      <c r="AE505"/>
      <c r="AF505"/>
      <c r="AG505"/>
    </row>
    <row r="506" spans="17:33" ht="12.75" customHeight="1">
      <c r="Q506" s="364"/>
      <c r="R506" s="895" t="s">
        <v>886</v>
      </c>
      <c r="S506" s="896"/>
      <c r="T506" s="900" t="s">
        <v>835</v>
      </c>
      <c r="U506" s="900" t="s">
        <v>836</v>
      </c>
      <c r="V506" s="900" t="s">
        <v>837</v>
      </c>
      <c r="W506" s="902" t="s">
        <v>838</v>
      </c>
      <c r="X506" s="364"/>
      <c r="Y506" s="364"/>
      <c r="Z506" s="364"/>
      <c r="AA506"/>
      <c r="AB506"/>
      <c r="AC506"/>
      <c r="AD506"/>
      <c r="AE506"/>
      <c r="AF506"/>
      <c r="AG506"/>
    </row>
    <row r="507" spans="17:33" ht="12.75" customHeight="1">
      <c r="Q507" s="364"/>
      <c r="R507" s="892"/>
      <c r="S507" s="897"/>
      <c r="T507" s="901"/>
      <c r="U507" s="901"/>
      <c r="V507" s="901"/>
      <c r="W507" s="903"/>
      <c r="X507" s="364"/>
      <c r="Y507" s="364"/>
      <c r="Z507" s="364"/>
      <c r="AA507"/>
      <c r="AB507"/>
      <c r="AC507"/>
      <c r="AD507"/>
    </row>
    <row r="508" spans="17:33" ht="12.75" customHeight="1">
      <c r="Q508" s="364"/>
      <c r="R508" s="892"/>
      <c r="S508" s="897"/>
      <c r="T508" s="702">
        <f>T502*(1-0.0178*2)</f>
        <v>110.92586655636687</v>
      </c>
      <c r="U508" s="560">
        <f>U502</f>
        <v>1.7391304347826084</v>
      </c>
      <c r="V508" s="690">
        <f>IF(T508&gt;0,W508*U508," ")</f>
        <v>8521.7391304347821</v>
      </c>
      <c r="W508" s="691">
        <f>IF(T508&gt;0,(VLOOKUP(T508,'Lookup Ready-reckoner'!$B$5:$E$1207,4))," ")</f>
        <v>4900</v>
      </c>
      <c r="X508" s="364"/>
      <c r="Y508" s="364"/>
      <c r="Z508" s="364"/>
      <c r="AA508"/>
      <c r="AB508"/>
      <c r="AC508"/>
      <c r="AD508"/>
    </row>
    <row r="509" spans="17:33" ht="12.75" customHeight="1">
      <c r="Q509" s="364"/>
      <c r="R509" s="898"/>
      <c r="S509" s="899"/>
      <c r="T509" s="447"/>
      <c r="U509" s="560"/>
      <c r="V509" s="690" t="str">
        <f>IF(T509&gt;0,W509*U509," ")</f>
        <v xml:space="preserve"> </v>
      </c>
      <c r="W509" s="691" t="str">
        <f>IF(T509&gt;0,(VLOOKUP(T509,'Lookup Ready-reckoner'!$B$5:$E$1007,4))," ")</f>
        <v xml:space="preserve"> </v>
      </c>
      <c r="X509" s="364"/>
      <c r="Y509" s="364"/>
      <c r="Z509" s="364"/>
      <c r="AA509"/>
      <c r="AB509"/>
      <c r="AC509"/>
      <c r="AD509"/>
    </row>
    <row r="510" spans="17:33" ht="12.75" customHeight="1" thickBot="1">
      <c r="Q510" s="364"/>
      <c r="R510" s="692" t="s">
        <v>839</v>
      </c>
      <c r="S510" s="693"/>
      <c r="T510" s="693"/>
      <c r="U510" s="703">
        <f>IF(T508&gt;0,(VLOOKUP(V510,'Lookup Ready-reckoner'!$L$5:$M$1207,2))," ")</f>
        <v>104.25</v>
      </c>
      <c r="V510" s="695">
        <f>IF(U508&gt;0,(SUM(V508:V509))," ")</f>
        <v>8521.7391304347821</v>
      </c>
      <c r="W510" s="696"/>
      <c r="X510" s="364"/>
      <c r="Y510" s="364"/>
      <c r="Z510" s="364"/>
      <c r="AA510"/>
      <c r="AB510"/>
      <c r="AC510"/>
      <c r="AD510"/>
    </row>
    <row r="511" spans="17:33" ht="12.75" customHeight="1">
      <c r="Q511" s="364"/>
      <c r="R511" s="697"/>
      <c r="S511" s="687"/>
      <c r="T511" s="687"/>
      <c r="U511" s="372"/>
      <c r="V511" s="374"/>
      <c r="W511" s="688"/>
      <c r="X511" s="364"/>
      <c r="Y511" s="364"/>
      <c r="Z511" s="364"/>
      <c r="AA511"/>
      <c r="AB511"/>
      <c r="AC511"/>
      <c r="AD511"/>
    </row>
    <row r="512" spans="17:33" ht="12.75" customHeight="1" thickBot="1">
      <c r="Q512" s="364"/>
      <c r="R512" s="686" t="s">
        <v>60</v>
      </c>
      <c r="S512" s="577"/>
      <c r="T512" s="577"/>
      <c r="U512" s="577"/>
      <c r="V512" s="577"/>
      <c r="W512" s="698"/>
      <c r="X512" s="364"/>
      <c r="Y512" s="364"/>
      <c r="Z512" s="364"/>
      <c r="AA512"/>
      <c r="AB512"/>
      <c r="AC512"/>
      <c r="AD512"/>
    </row>
    <row r="513" spans="17:30" ht="12.75" customHeight="1">
      <c r="Q513" s="364"/>
      <c r="R513" s="895" t="s">
        <v>845</v>
      </c>
      <c r="S513" s="896"/>
      <c r="T513" s="900" t="s">
        <v>835</v>
      </c>
      <c r="U513" s="900" t="s">
        <v>836</v>
      </c>
      <c r="V513" s="900" t="s">
        <v>837</v>
      </c>
      <c r="W513" s="902" t="s">
        <v>838</v>
      </c>
      <c r="X513" s="364"/>
      <c r="Y513" s="364"/>
      <c r="Z513" s="364"/>
      <c r="AA513"/>
      <c r="AB513"/>
      <c r="AC513"/>
      <c r="AD513"/>
    </row>
    <row r="514" spans="17:30" ht="12.75" customHeight="1">
      <c r="Q514" s="364"/>
      <c r="R514" s="892"/>
      <c r="S514" s="897"/>
      <c r="T514" s="901"/>
      <c r="U514" s="901"/>
      <c r="V514" s="901"/>
      <c r="W514" s="903"/>
      <c r="X514" s="364"/>
      <c r="Y514" s="364"/>
      <c r="Z514" s="364"/>
      <c r="AA514"/>
      <c r="AB514"/>
      <c r="AC514"/>
      <c r="AD514"/>
    </row>
    <row r="515" spans="17:30" ht="12.75" customHeight="1">
      <c r="Q515" s="364"/>
      <c r="R515" s="892"/>
      <c r="S515" s="897"/>
      <c r="T515" s="702">
        <f>T502-PPE!$I$15</f>
        <v>102.02059991327963</v>
      </c>
      <c r="U515" s="560">
        <f>U508</f>
        <v>1.7391304347826084</v>
      </c>
      <c r="V515" s="690">
        <f>IF(T515&gt;0,W515*U515," ")</f>
        <v>1086.9565217391303</v>
      </c>
      <c r="W515" s="691">
        <f>IF(T515&gt;0,(VLOOKUP(T515,'Lookup Ready-reckoner'!$B$5:$E$1207,4))," ")</f>
        <v>625</v>
      </c>
      <c r="X515" s="364"/>
      <c r="Y515" s="364"/>
      <c r="Z515" s="364"/>
      <c r="AA515"/>
      <c r="AB515"/>
      <c r="AC515"/>
      <c r="AD515"/>
    </row>
    <row r="516" spans="17:30" ht="12.75" customHeight="1">
      <c r="Q516" s="364"/>
      <c r="R516" s="898"/>
      <c r="S516" s="899"/>
      <c r="T516" s="447"/>
      <c r="U516" s="560"/>
      <c r="V516" s="690" t="str">
        <f>IF(T516&gt;0,W516*U516," ")</f>
        <v xml:space="preserve"> </v>
      </c>
      <c r="W516" s="691" t="str">
        <f>IF(T516&gt;0,(VLOOKUP(T516,'Lookup Ready-reckoner'!$B$5:$E$1007,4))," ")</f>
        <v xml:space="preserve"> </v>
      </c>
      <c r="X516" s="364"/>
      <c r="Y516" s="364"/>
      <c r="Z516" s="364"/>
      <c r="AA516"/>
      <c r="AB516"/>
      <c r="AC516"/>
      <c r="AD516"/>
    </row>
    <row r="517" spans="17:30" ht="12.75" customHeight="1" thickBot="1">
      <c r="Q517" s="364"/>
      <c r="R517" s="692" t="s">
        <v>839</v>
      </c>
      <c r="S517" s="693"/>
      <c r="T517" s="693"/>
      <c r="U517" s="703">
        <f>IF(T515&gt;0,(VLOOKUP(V517,'Lookup Ready-reckoner'!$L$5:$M$1207,2))," ")</f>
        <v>95.3</v>
      </c>
      <c r="V517" s="695">
        <f>IF(U515&gt;0,(SUM(V515:V516))," ")</f>
        <v>1086.9565217391303</v>
      </c>
      <c r="W517" s="696"/>
      <c r="X517" s="364"/>
      <c r="Y517" s="364"/>
      <c r="Z517" s="364"/>
      <c r="AA517"/>
      <c r="AB517"/>
      <c r="AC517"/>
      <c r="AD517"/>
    </row>
    <row r="518" spans="17:30" ht="12.75" customHeight="1" thickBot="1">
      <c r="Q518" s="364"/>
      <c r="R518" s="892"/>
      <c r="S518" s="893"/>
      <c r="T518" s="893"/>
      <c r="U518" s="893"/>
      <c r="V518" s="893"/>
      <c r="W518" s="894"/>
      <c r="X518" s="364"/>
      <c r="Y518" s="364"/>
      <c r="Z518" s="364"/>
      <c r="AA518"/>
      <c r="AB518"/>
      <c r="AC518"/>
      <c r="AD518"/>
    </row>
    <row r="519" spans="17:30" ht="12.75" customHeight="1">
      <c r="Q519" s="364"/>
      <c r="R519" s="895" t="s">
        <v>886</v>
      </c>
      <c r="S519" s="896"/>
      <c r="T519" s="900" t="s">
        <v>835</v>
      </c>
      <c r="U519" s="900" t="s">
        <v>836</v>
      </c>
      <c r="V519" s="900" t="s">
        <v>837</v>
      </c>
      <c r="W519" s="902" t="s">
        <v>838</v>
      </c>
      <c r="X519" s="364"/>
      <c r="Y519" s="364"/>
      <c r="Z519" s="364"/>
      <c r="AA519"/>
      <c r="AB519"/>
      <c r="AC519"/>
      <c r="AD519"/>
    </row>
    <row r="520" spans="17:30" ht="12.75" customHeight="1">
      <c r="Q520" s="364"/>
      <c r="R520" s="892"/>
      <c r="S520" s="897"/>
      <c r="T520" s="901"/>
      <c r="U520" s="901"/>
      <c r="V520" s="901"/>
      <c r="W520" s="903"/>
      <c r="X520" s="364"/>
      <c r="Y520" s="364"/>
      <c r="Z520" s="364"/>
      <c r="AA520"/>
      <c r="AB520"/>
      <c r="AC520"/>
      <c r="AD520"/>
    </row>
    <row r="521" spans="17:30" ht="12.75" customHeight="1">
      <c r="Q521" s="364"/>
      <c r="R521" s="892"/>
      <c r="S521" s="897"/>
      <c r="T521" s="702">
        <f>T508-PPE!$I$15</f>
        <v>97.92586655636687</v>
      </c>
      <c r="U521" s="560">
        <f>U515</f>
        <v>1.7391304347826084</v>
      </c>
      <c r="V521" s="690">
        <f>IF(T521&gt;0,W521*U521," ")</f>
        <v>426.08695652173907</v>
      </c>
      <c r="W521" s="691">
        <f>IF(T521&gt;0,(VLOOKUP(T521,'Lookup Ready-reckoner'!$B$5:$E$1207,4))," ")</f>
        <v>245</v>
      </c>
      <c r="X521" s="364"/>
      <c r="Y521" s="364"/>
      <c r="Z521" s="364"/>
      <c r="AA521"/>
      <c r="AB521"/>
      <c r="AC521"/>
      <c r="AD521"/>
    </row>
    <row r="522" spans="17:30" ht="12.75" customHeight="1">
      <c r="Q522" s="364"/>
      <c r="R522" s="898"/>
      <c r="S522" s="899"/>
      <c r="T522" s="447"/>
      <c r="U522" s="560"/>
      <c r="V522" s="690" t="str">
        <f>IF(T522&gt;0,W522*U522," ")</f>
        <v xml:space="preserve"> </v>
      </c>
      <c r="W522" s="691" t="str">
        <f>IF(T522&gt;0,(VLOOKUP(T522,'Lookup Ready-reckoner'!$B$5:$E$1007,4))," ")</f>
        <v xml:space="preserve"> </v>
      </c>
      <c r="X522" s="364"/>
      <c r="Y522" s="364"/>
      <c r="Z522" s="364"/>
      <c r="AA522"/>
      <c r="AB522"/>
      <c r="AC522"/>
      <c r="AD522"/>
    </row>
    <row r="523" spans="17:30" ht="12.75" customHeight="1" thickBot="1">
      <c r="Q523" s="364"/>
      <c r="R523" s="692" t="s">
        <v>839</v>
      </c>
      <c r="S523" s="693"/>
      <c r="T523" s="693"/>
      <c r="U523" s="703">
        <f>IF(T521&gt;0,(VLOOKUP(V523,'Lookup Ready-reckoner'!$L$5:$M$1207,2))," ")</f>
        <v>91.25</v>
      </c>
      <c r="V523" s="695">
        <f>IF(U521&gt;0,(SUM(V521:V522))," ")</f>
        <v>426.08695652173907</v>
      </c>
      <c r="W523" s="696"/>
      <c r="X523" s="364"/>
      <c r="Y523" s="364"/>
      <c r="Z523" s="364"/>
      <c r="AA523"/>
      <c r="AB523"/>
      <c r="AC523"/>
      <c r="AD523"/>
    </row>
    <row r="524" spans="17:30" ht="12.75" customHeight="1">
      <c r="Q524" s="364"/>
      <c r="R524" s="363"/>
      <c r="S524" s="363"/>
      <c r="T524" s="363"/>
      <c r="U524" s="363"/>
      <c r="V524" s="363"/>
      <c r="W524" s="363"/>
      <c r="X524" s="364"/>
      <c r="Y524" s="364"/>
      <c r="Z524" s="364"/>
      <c r="AA524"/>
      <c r="AB524"/>
      <c r="AC524"/>
      <c r="AD524"/>
    </row>
    <row r="525" spans="17:30" ht="12.75" customHeight="1">
      <c r="Q525" s="364"/>
      <c r="R525" s="909" t="str">
        <f>R406</f>
        <v xml:space="preserve">Hilti TE MD20 </v>
      </c>
      <c r="S525" s="909"/>
      <c r="T525" s="909"/>
      <c r="U525" s="909"/>
      <c r="V525" s="909"/>
      <c r="W525" s="909"/>
      <c r="X525" s="364"/>
      <c r="Y525" s="364"/>
      <c r="Z525" s="364"/>
      <c r="AA525"/>
      <c r="AB525"/>
      <c r="AC525"/>
      <c r="AD525"/>
    </row>
    <row r="526" spans="17:30" ht="12.75" customHeight="1" thickBot="1">
      <c r="Q526" s="364"/>
      <c r="R526" s="910" t="s">
        <v>205</v>
      </c>
      <c r="S526" s="911"/>
      <c r="T526" s="911"/>
      <c r="U526" s="911"/>
      <c r="V526" s="911"/>
      <c r="W526" s="912"/>
      <c r="X526" s="364"/>
      <c r="Y526" s="364"/>
      <c r="Z526" s="364"/>
      <c r="AA526"/>
      <c r="AB526"/>
      <c r="AC526"/>
      <c r="AD526"/>
    </row>
    <row r="527" spans="17:30" ht="12.75" customHeight="1" thickBot="1">
      <c r="Q527" s="364"/>
      <c r="R527" s="686" t="s">
        <v>59</v>
      </c>
      <c r="S527" s="577"/>
      <c r="T527" s="687"/>
      <c r="U527" s="687"/>
      <c r="V527" s="687"/>
      <c r="W527" s="688"/>
      <c r="X527" s="364"/>
      <c r="Y527" s="364"/>
      <c r="Z527" s="364"/>
      <c r="AA527"/>
      <c r="AB527"/>
      <c r="AC527"/>
      <c r="AD527"/>
    </row>
    <row r="528" spans="17:30" ht="12.75" customHeight="1">
      <c r="Q528" s="364"/>
      <c r="R528" s="895" t="s">
        <v>845</v>
      </c>
      <c r="S528" s="896"/>
      <c r="T528" s="900" t="s">
        <v>835</v>
      </c>
      <c r="U528" s="900" t="s">
        <v>836</v>
      </c>
      <c r="V528" s="900" t="s">
        <v>837</v>
      </c>
      <c r="W528" s="902" t="s">
        <v>838</v>
      </c>
      <c r="X528" s="364"/>
      <c r="Y528" s="364"/>
      <c r="Z528" s="364"/>
      <c r="AA528"/>
      <c r="AB528"/>
      <c r="AC528"/>
      <c r="AD528"/>
    </row>
    <row r="529" spans="17:30" ht="12.75" customHeight="1">
      <c r="Q529" s="364"/>
      <c r="R529" s="892"/>
      <c r="S529" s="897"/>
      <c r="T529" s="904"/>
      <c r="U529" s="904"/>
      <c r="V529" s="904"/>
      <c r="W529" s="905"/>
      <c r="X529" s="364"/>
      <c r="Y529" s="364"/>
      <c r="Z529" s="364"/>
      <c r="AA529"/>
      <c r="AB529"/>
      <c r="AC529"/>
      <c r="AD529"/>
    </row>
    <row r="530" spans="17:30" ht="12.75" customHeight="1">
      <c r="Q530" s="364"/>
      <c r="R530" s="892"/>
      <c r="S530" s="897"/>
      <c r="T530" s="901"/>
      <c r="U530" s="901"/>
      <c r="V530" s="901"/>
      <c r="W530" s="903"/>
      <c r="X530" s="364"/>
      <c r="Y530" s="364"/>
      <c r="Z530" s="364"/>
      <c r="AA530"/>
      <c r="AB530"/>
      <c r="AC530"/>
      <c r="AD530"/>
    </row>
    <row r="531" spans="17:30" ht="12.75" customHeight="1">
      <c r="Q531" s="364"/>
      <c r="R531" s="892"/>
      <c r="S531" s="897"/>
      <c r="T531" s="704">
        <f>U76</f>
        <v>108.02059991327964</v>
      </c>
      <c r="U531" s="560">
        <f>U62</f>
        <v>2.6666666666666665</v>
      </c>
      <c r="V531" s="690">
        <f>IF(T531&gt;0,W531*U531," ")</f>
        <v>6666.6666666666661</v>
      </c>
      <c r="W531" s="691">
        <f>IF(T531&gt;0,(VLOOKUP(T531,'Lookup Ready-reckoner'!$B$5:$E$1207,4))," ")</f>
        <v>2500</v>
      </c>
      <c r="X531" s="364"/>
      <c r="Y531" s="364"/>
      <c r="Z531" s="364"/>
      <c r="AA531"/>
      <c r="AB531"/>
      <c r="AC531"/>
      <c r="AD531"/>
    </row>
    <row r="532" spans="17:30" ht="12.75" customHeight="1">
      <c r="Q532" s="364"/>
      <c r="R532" s="898"/>
      <c r="S532" s="899"/>
      <c r="T532" s="447"/>
      <c r="U532" s="560"/>
      <c r="V532" s="690" t="str">
        <f>IF(T532&gt;0,W532*U532," ")</f>
        <v xml:space="preserve"> </v>
      </c>
      <c r="W532" s="691" t="str">
        <f>IF(T532&gt;0,(VLOOKUP(T532,'Lookup Ready-reckoner'!$B$5:$E$1007,4))," ")</f>
        <v xml:space="preserve"> </v>
      </c>
      <c r="X532" s="364"/>
      <c r="Y532" s="364"/>
      <c r="Z532" s="364"/>
      <c r="AA532"/>
      <c r="AB532"/>
      <c r="AC532"/>
      <c r="AD532"/>
    </row>
    <row r="533" spans="17:30" ht="12.75" customHeight="1" thickBot="1">
      <c r="Q533" s="364"/>
      <c r="R533" s="692" t="s">
        <v>839</v>
      </c>
      <c r="S533" s="693"/>
      <c r="T533" s="693"/>
      <c r="U533" s="705">
        <f>IF(T531&gt;0,(VLOOKUP(V533,'Lookup Ready-reckoner'!$L$5:$M$1207,2))," ")</f>
        <v>103.15</v>
      </c>
      <c r="V533" s="695">
        <f>IF(U531&gt;0,(SUM(V531:V532))," ")</f>
        <v>6666.6666666666661</v>
      </c>
      <c r="W533" s="696"/>
      <c r="X533" s="364"/>
      <c r="Y533" s="364"/>
      <c r="Z533" s="364"/>
      <c r="AA533"/>
      <c r="AB533"/>
      <c r="AC533"/>
      <c r="AD533"/>
    </row>
    <row r="534" spans="17:30" ht="12.75" customHeight="1" thickBot="1">
      <c r="Q534" s="364"/>
      <c r="R534" s="906"/>
      <c r="S534" s="907"/>
      <c r="T534" s="907"/>
      <c r="U534" s="907"/>
      <c r="V534" s="907"/>
      <c r="W534" s="908"/>
      <c r="X534" s="364"/>
      <c r="Y534" s="364"/>
      <c r="Z534" s="364"/>
      <c r="AA534"/>
      <c r="AB534"/>
      <c r="AC534"/>
      <c r="AD534"/>
    </row>
    <row r="535" spans="17:30" ht="12.75" customHeight="1">
      <c r="Q535" s="364"/>
      <c r="R535" s="895" t="s">
        <v>886</v>
      </c>
      <c r="S535" s="896"/>
      <c r="T535" s="900" t="s">
        <v>835</v>
      </c>
      <c r="U535" s="900" t="s">
        <v>836</v>
      </c>
      <c r="V535" s="900" t="s">
        <v>837</v>
      </c>
      <c r="W535" s="902" t="s">
        <v>838</v>
      </c>
      <c r="X535" s="364"/>
      <c r="Y535" s="364"/>
      <c r="Z535" s="364"/>
      <c r="AA535"/>
      <c r="AB535"/>
      <c r="AC535"/>
      <c r="AD535"/>
    </row>
    <row r="536" spans="17:30" ht="12.75" customHeight="1">
      <c r="Q536" s="364"/>
      <c r="R536" s="892"/>
      <c r="S536" s="897"/>
      <c r="T536" s="901"/>
      <c r="U536" s="901"/>
      <c r="V536" s="901"/>
      <c r="W536" s="903"/>
      <c r="X536" s="364"/>
      <c r="Y536" s="364"/>
      <c r="Z536" s="364"/>
      <c r="AA536"/>
      <c r="AB536"/>
      <c r="AC536"/>
      <c r="AD536"/>
    </row>
    <row r="537" spans="17:30" ht="12.75" customHeight="1">
      <c r="Q537" s="364"/>
      <c r="R537" s="892"/>
      <c r="S537" s="897"/>
      <c r="T537" s="704">
        <f>T531*(1-0.0178*2)</f>
        <v>104.17506655636689</v>
      </c>
      <c r="U537" s="560">
        <f>U531</f>
        <v>2.6666666666666665</v>
      </c>
      <c r="V537" s="690">
        <f>IF(T537&gt;0,W537*U537," ")</f>
        <v>2766.6666666666665</v>
      </c>
      <c r="W537" s="691">
        <f>IF(T537&gt;0,(VLOOKUP(T537,'Lookup Ready-reckoner'!$B$5:$E$1207,4))," ")</f>
        <v>1037.5</v>
      </c>
      <c r="X537" s="364"/>
      <c r="Y537" s="364"/>
      <c r="Z537" s="364"/>
      <c r="AA537"/>
      <c r="AB537"/>
      <c r="AC537"/>
      <c r="AD537"/>
    </row>
    <row r="538" spans="17:30" ht="12.75" customHeight="1">
      <c r="Q538" s="364"/>
      <c r="R538" s="898"/>
      <c r="S538" s="899"/>
      <c r="T538" s="447"/>
      <c r="U538" s="560"/>
      <c r="V538" s="690" t="str">
        <f>IF(T538&gt;0,W538*U538," ")</f>
        <v xml:space="preserve"> </v>
      </c>
      <c r="W538" s="691" t="str">
        <f>IF(T538&gt;0,(VLOOKUP(T538,'Lookup Ready-reckoner'!$B$5:$E$1007,4))," ")</f>
        <v xml:space="preserve"> </v>
      </c>
      <c r="X538" s="364"/>
      <c r="Y538" s="364"/>
      <c r="Z538" s="364"/>
      <c r="AA538"/>
      <c r="AB538"/>
      <c r="AC538"/>
      <c r="AD538"/>
    </row>
    <row r="539" spans="17:30" ht="12.75" customHeight="1" thickBot="1">
      <c r="Q539" s="364"/>
      <c r="R539" s="692" t="s">
        <v>839</v>
      </c>
      <c r="S539" s="693"/>
      <c r="T539" s="693"/>
      <c r="U539" s="705">
        <f>IF(T537&gt;0,(VLOOKUP(V539,'Lookup Ready-reckoner'!$L$5:$M$1207,2))," ")</f>
        <v>99.35</v>
      </c>
      <c r="V539" s="695">
        <f>IF(U537&gt;0,(SUM(V537:V538))," ")</f>
        <v>2766.6666666666665</v>
      </c>
      <c r="W539" s="696"/>
      <c r="X539" s="364"/>
      <c r="Y539" s="364"/>
      <c r="Z539" s="364"/>
      <c r="AA539"/>
      <c r="AB539"/>
      <c r="AC539"/>
      <c r="AD539"/>
    </row>
    <row r="540" spans="17:30" ht="12.75" customHeight="1">
      <c r="Q540" s="364"/>
      <c r="R540" s="697"/>
      <c r="S540" s="687"/>
      <c r="T540" s="687"/>
      <c r="U540" s="372"/>
      <c r="V540" s="374"/>
      <c r="W540" s="688"/>
      <c r="X540" s="364"/>
      <c r="Y540" s="364"/>
      <c r="Z540" s="364"/>
      <c r="AA540"/>
      <c r="AB540"/>
      <c r="AC540"/>
      <c r="AD540"/>
    </row>
    <row r="541" spans="17:30" ht="12.75" customHeight="1" thickBot="1">
      <c r="Q541" s="364"/>
      <c r="R541" s="686" t="s">
        <v>60</v>
      </c>
      <c r="S541" s="577"/>
      <c r="T541" s="577"/>
      <c r="U541" s="577"/>
      <c r="V541" s="577"/>
      <c r="W541" s="698"/>
      <c r="X541" s="364"/>
      <c r="Y541" s="364"/>
      <c r="Z541" s="364"/>
      <c r="AA541"/>
      <c r="AB541"/>
      <c r="AC541"/>
      <c r="AD541"/>
    </row>
    <row r="542" spans="17:30" ht="12.75" customHeight="1">
      <c r="Q542" s="364"/>
      <c r="R542" s="895" t="s">
        <v>845</v>
      </c>
      <c r="S542" s="896"/>
      <c r="T542" s="900" t="s">
        <v>835</v>
      </c>
      <c r="U542" s="900" t="s">
        <v>836</v>
      </c>
      <c r="V542" s="900" t="s">
        <v>837</v>
      </c>
      <c r="W542" s="902" t="s">
        <v>838</v>
      </c>
      <c r="X542" s="364"/>
      <c r="Y542" s="364"/>
      <c r="Z542" s="364"/>
      <c r="AA542"/>
      <c r="AB542"/>
      <c r="AC542"/>
      <c r="AD542"/>
    </row>
    <row r="543" spans="17:30" ht="12.75" customHeight="1">
      <c r="Q543" s="364"/>
      <c r="R543" s="892"/>
      <c r="S543" s="897"/>
      <c r="T543" s="901"/>
      <c r="U543" s="901"/>
      <c r="V543" s="901"/>
      <c r="W543" s="903"/>
      <c r="X543" s="364"/>
      <c r="Y543" s="364"/>
      <c r="Z543" s="364"/>
      <c r="AA543"/>
      <c r="AB543"/>
      <c r="AC543"/>
      <c r="AD543"/>
    </row>
    <row r="544" spans="17:30" ht="12.75" customHeight="1">
      <c r="Q544" s="364"/>
      <c r="R544" s="892"/>
      <c r="S544" s="897"/>
      <c r="T544" s="704">
        <f>T531-PPE!$I$15</f>
        <v>95.020599913279639</v>
      </c>
      <c r="U544" s="560">
        <f>U537</f>
        <v>2.6666666666666665</v>
      </c>
      <c r="V544" s="690">
        <f>IF(T544&gt;0,W544*U544," ")</f>
        <v>333.33333333333331</v>
      </c>
      <c r="W544" s="691">
        <f>IF(T544&gt;0,(VLOOKUP(T544,'Lookup Ready-reckoner'!$B$5:$E$1207,4))," ")</f>
        <v>125</v>
      </c>
      <c r="X544" s="364"/>
      <c r="Y544" s="364"/>
      <c r="Z544" s="364"/>
      <c r="AA544"/>
      <c r="AB544"/>
      <c r="AC544"/>
      <c r="AD544"/>
    </row>
    <row r="545" spans="17:30" ht="12.75" customHeight="1">
      <c r="Q545" s="364"/>
      <c r="R545" s="898"/>
      <c r="S545" s="899"/>
      <c r="T545" s="447"/>
      <c r="U545" s="560"/>
      <c r="V545" s="690" t="str">
        <f>IF(T545&gt;0,W545*U545," ")</f>
        <v xml:space="preserve"> </v>
      </c>
      <c r="W545" s="691" t="str">
        <f>IF(T545&gt;0,(VLOOKUP(T545,'Lookup Ready-reckoner'!$B$5:$E$1007,4))," ")</f>
        <v xml:space="preserve"> </v>
      </c>
      <c r="X545" s="364"/>
      <c r="Y545" s="364"/>
      <c r="Z545" s="364"/>
      <c r="AA545"/>
      <c r="AB545"/>
      <c r="AC545"/>
      <c r="AD545"/>
    </row>
    <row r="546" spans="17:30" ht="12.75" customHeight="1" thickBot="1">
      <c r="Q546" s="364"/>
      <c r="R546" s="692" t="s">
        <v>839</v>
      </c>
      <c r="S546" s="693"/>
      <c r="T546" s="693"/>
      <c r="U546" s="705">
        <f>IF(T544&gt;0,(VLOOKUP(V546,'Lookup Ready-reckoner'!$L$5:$M$1207,2))," ")</f>
        <v>90.15</v>
      </c>
      <c r="V546" s="695">
        <f>IF(U544&gt;0,(SUM(V544:V545))," ")</f>
        <v>333.33333333333331</v>
      </c>
      <c r="W546" s="696"/>
      <c r="X546" s="364"/>
      <c r="Y546" s="364"/>
      <c r="Z546" s="364"/>
      <c r="AA546"/>
      <c r="AB546"/>
      <c r="AC546"/>
      <c r="AD546"/>
    </row>
    <row r="547" spans="17:30" ht="12.75" customHeight="1" thickBot="1">
      <c r="Q547" s="364"/>
      <c r="R547" s="892"/>
      <c r="S547" s="893"/>
      <c r="T547" s="893"/>
      <c r="U547" s="893"/>
      <c r="V547" s="893"/>
      <c r="W547" s="894"/>
      <c r="X547" s="364"/>
      <c r="Y547" s="364"/>
      <c r="Z547" s="364"/>
      <c r="AA547"/>
      <c r="AB547"/>
      <c r="AC547"/>
      <c r="AD547"/>
    </row>
    <row r="548" spans="17:30" ht="12.75" customHeight="1">
      <c r="Q548" s="364"/>
      <c r="R548" s="895" t="s">
        <v>886</v>
      </c>
      <c r="S548" s="896"/>
      <c r="T548" s="900" t="s">
        <v>835</v>
      </c>
      <c r="U548" s="900" t="s">
        <v>836</v>
      </c>
      <c r="V548" s="900" t="s">
        <v>837</v>
      </c>
      <c r="W548" s="902" t="s">
        <v>838</v>
      </c>
      <c r="X548" s="364"/>
      <c r="Y548" s="364"/>
      <c r="Z548" s="364"/>
      <c r="AA548"/>
      <c r="AB548"/>
      <c r="AC548"/>
      <c r="AD548"/>
    </row>
    <row r="549" spans="17:30" ht="12.75" customHeight="1">
      <c r="Q549" s="364"/>
      <c r="R549" s="892"/>
      <c r="S549" s="897"/>
      <c r="T549" s="901"/>
      <c r="U549" s="901"/>
      <c r="V549" s="901"/>
      <c r="W549" s="903"/>
      <c r="X549" s="364"/>
      <c r="Y549" s="364"/>
      <c r="Z549" s="364"/>
      <c r="AA549"/>
      <c r="AB549"/>
      <c r="AC549"/>
      <c r="AD549"/>
    </row>
    <row r="550" spans="17:30" ht="12.75" customHeight="1">
      <c r="Q550" s="364"/>
      <c r="R550" s="892"/>
      <c r="S550" s="897"/>
      <c r="T550" s="704">
        <f>T537-PPE!$I$15</f>
        <v>91.175066556366886</v>
      </c>
      <c r="U550" s="560">
        <f>U544</f>
        <v>2.6666666666666665</v>
      </c>
      <c r="V550" s="690">
        <f>IF(T550&gt;0,W550*U550," ")</f>
        <v>138.33333333333331</v>
      </c>
      <c r="W550" s="691">
        <f>IF(T550&gt;0,(VLOOKUP(T550,'Lookup Ready-reckoner'!$B$5:$E$1207,4))," ")</f>
        <v>51.875</v>
      </c>
      <c r="X550" s="364"/>
      <c r="Y550" s="364"/>
      <c r="Z550" s="364"/>
      <c r="AA550"/>
      <c r="AB550"/>
      <c r="AC550"/>
      <c r="AD550"/>
    </row>
    <row r="551" spans="17:30" ht="12.75" customHeight="1">
      <c r="Q551" s="364"/>
      <c r="R551" s="898"/>
      <c r="S551" s="899"/>
      <c r="T551" s="447"/>
      <c r="U551" s="560"/>
      <c r="V551" s="690" t="str">
        <f>IF(T551&gt;0,W551*U551," ")</f>
        <v xml:space="preserve"> </v>
      </c>
      <c r="W551" s="691" t="str">
        <f>IF(T551&gt;0,(VLOOKUP(T551,'Lookup Ready-reckoner'!$B$5:$E$1007,4))," ")</f>
        <v xml:space="preserve"> </v>
      </c>
      <c r="X551" s="364"/>
      <c r="Y551" s="364"/>
      <c r="Z551" s="364"/>
      <c r="AA551"/>
      <c r="AB551"/>
      <c r="AC551"/>
      <c r="AD551"/>
    </row>
    <row r="552" spans="17:30" ht="12.75" customHeight="1" thickBot="1">
      <c r="Q552" s="364"/>
      <c r="R552" s="692" t="s">
        <v>839</v>
      </c>
      <c r="S552" s="693"/>
      <c r="T552" s="693"/>
      <c r="U552" s="705">
        <f>IF(T550&gt;0,(VLOOKUP(V552,'Lookup Ready-reckoner'!$L$5:$M$1207,2))," ")</f>
        <v>86.35</v>
      </c>
      <c r="V552" s="695">
        <f>IF(U550&gt;0,(SUM(V550:V551))," ")</f>
        <v>138.33333333333331</v>
      </c>
      <c r="W552" s="696"/>
      <c r="X552" s="364"/>
      <c r="Y552" s="364"/>
      <c r="Z552" s="364"/>
      <c r="AA552"/>
      <c r="AB552"/>
      <c r="AC552"/>
      <c r="AD552"/>
    </row>
    <row r="553" spans="17:30" ht="12.75" customHeight="1">
      <c r="Q553" s="364"/>
      <c r="R553" s="364"/>
      <c r="S553" s="364"/>
      <c r="T553" s="364"/>
      <c r="U553" s="364"/>
      <c r="V553" s="364"/>
      <c r="W553" s="364"/>
      <c r="X553" s="364"/>
      <c r="Y553" s="364"/>
      <c r="Z553" s="364"/>
      <c r="AA553"/>
      <c r="AB553"/>
      <c r="AC553"/>
      <c r="AD553"/>
    </row>
    <row r="554" spans="17:30" ht="12.75" customHeight="1">
      <c r="Q554"/>
      <c r="R554"/>
      <c r="S554"/>
      <c r="T554"/>
      <c r="U554"/>
      <c r="V554"/>
      <c r="W554"/>
      <c r="X554"/>
      <c r="Y554"/>
      <c r="Z554"/>
      <c r="AA554"/>
      <c r="AB554"/>
      <c r="AC554"/>
      <c r="AD554"/>
    </row>
    <row r="555" spans="17:30" ht="12.75" customHeight="1">
      <c r="Q555"/>
      <c r="R555"/>
      <c r="S555"/>
      <c r="T555"/>
      <c r="U555"/>
      <c r="V555"/>
      <c r="W555"/>
      <c r="X555"/>
      <c r="Y555"/>
      <c r="Z555"/>
      <c r="AA555"/>
      <c r="AB555"/>
      <c r="AC555"/>
      <c r="AD555"/>
    </row>
    <row r="556" spans="17:30" ht="12.75" customHeight="1">
      <c r="Q556"/>
      <c r="R556"/>
      <c r="S556"/>
      <c r="T556"/>
      <c r="U556"/>
      <c r="V556"/>
      <c r="W556"/>
      <c r="X556"/>
      <c r="Y556"/>
      <c r="Z556"/>
      <c r="AA556"/>
      <c r="AB556"/>
      <c r="AC556"/>
      <c r="AD556"/>
    </row>
    <row r="557" spans="17:30" ht="12.75" customHeight="1">
      <c r="Q557"/>
      <c r="R557"/>
      <c r="S557"/>
      <c r="T557"/>
      <c r="U557"/>
      <c r="V557"/>
      <c r="W557"/>
      <c r="X557"/>
      <c r="Y557"/>
      <c r="Z557"/>
      <c r="AA557"/>
      <c r="AB557"/>
      <c r="AC557"/>
      <c r="AD557"/>
    </row>
    <row r="558" spans="17:30" ht="12.75" customHeight="1">
      <c r="Q558"/>
      <c r="R558"/>
      <c r="S558"/>
      <c r="T558"/>
      <c r="U558"/>
      <c r="V558"/>
      <c r="W558"/>
      <c r="X558"/>
      <c r="Y558"/>
      <c r="Z558"/>
      <c r="AA558"/>
      <c r="AB558"/>
      <c r="AC558"/>
      <c r="AD558"/>
    </row>
    <row r="559" spans="17:30" ht="12.75" customHeight="1">
      <c r="Q559"/>
      <c r="R559"/>
      <c r="S559"/>
      <c r="T559"/>
      <c r="U559"/>
      <c r="V559"/>
      <c r="W559"/>
      <c r="X559"/>
      <c r="Y559"/>
      <c r="Z559"/>
      <c r="AA559"/>
      <c r="AB559"/>
      <c r="AC559"/>
      <c r="AD559"/>
    </row>
    <row r="560" spans="17:30" ht="12.75" customHeight="1">
      <c r="Q560"/>
      <c r="R560"/>
      <c r="S560"/>
      <c r="T560"/>
      <c r="U560"/>
      <c r="V560"/>
      <c r="W560"/>
      <c r="X560"/>
      <c r="Y560"/>
      <c r="Z560"/>
      <c r="AA560"/>
      <c r="AB560"/>
      <c r="AC560"/>
      <c r="AD560"/>
    </row>
    <row r="561" spans="17:30" ht="12.75" customHeight="1">
      <c r="Q561"/>
      <c r="R561"/>
      <c r="S561"/>
      <c r="T561"/>
      <c r="U561"/>
      <c r="V561"/>
      <c r="W561"/>
      <c r="X561"/>
      <c r="Y561"/>
      <c r="Z561"/>
      <c r="AA561"/>
      <c r="AB561"/>
      <c r="AC561"/>
      <c r="AD561"/>
    </row>
    <row r="562" spans="17:30" ht="12.75" customHeight="1">
      <c r="Q562"/>
      <c r="R562"/>
      <c r="S562"/>
      <c r="T562"/>
      <c r="U562"/>
      <c r="V562"/>
      <c r="W562"/>
      <c r="X562"/>
      <c r="Y562"/>
      <c r="Z562"/>
      <c r="AA562"/>
      <c r="AB562"/>
      <c r="AC562"/>
      <c r="AD562"/>
    </row>
    <row r="563" spans="17:30" ht="12.75" customHeight="1">
      <c r="Q563"/>
      <c r="R563"/>
      <c r="S563"/>
      <c r="T563"/>
      <c r="U563"/>
      <c r="V563"/>
      <c r="W563"/>
      <c r="X563"/>
      <c r="Y563"/>
      <c r="Z563"/>
      <c r="AA563"/>
      <c r="AB563"/>
      <c r="AC563"/>
      <c r="AD563"/>
    </row>
    <row r="564" spans="17:30" ht="12.75" customHeight="1">
      <c r="Q564"/>
      <c r="R564"/>
      <c r="S564"/>
      <c r="T564"/>
      <c r="U564"/>
      <c r="V564"/>
      <c r="W564"/>
      <c r="X564"/>
      <c r="Y564"/>
      <c r="Z564"/>
      <c r="AA564"/>
      <c r="AB564"/>
      <c r="AC564"/>
      <c r="AD564"/>
    </row>
    <row r="565" spans="17:30" ht="12.75" customHeight="1">
      <c r="Q565"/>
      <c r="R565"/>
      <c r="S565"/>
      <c r="T565"/>
      <c r="U565"/>
      <c r="V565"/>
      <c r="W565"/>
      <c r="X565"/>
      <c r="Y565"/>
      <c r="Z565"/>
      <c r="AA565"/>
      <c r="AB565"/>
      <c r="AC565"/>
      <c r="AD565"/>
    </row>
    <row r="566" spans="17:30" ht="12.75" customHeight="1">
      <c r="Q566"/>
      <c r="R566"/>
      <c r="S566"/>
      <c r="T566"/>
      <c r="U566"/>
      <c r="V566"/>
      <c r="W566"/>
      <c r="X566"/>
      <c r="Y566"/>
      <c r="Z566"/>
      <c r="AA566"/>
      <c r="AB566"/>
      <c r="AC566"/>
      <c r="AD566"/>
    </row>
    <row r="567" spans="17:30" ht="12.75" customHeight="1">
      <c r="Q567"/>
      <c r="R567"/>
      <c r="S567"/>
      <c r="T567"/>
      <c r="U567"/>
      <c r="V567"/>
      <c r="W567"/>
      <c r="X567"/>
      <c r="Y567"/>
      <c r="Z567"/>
      <c r="AA567"/>
      <c r="AB567"/>
      <c r="AC567"/>
      <c r="AD567"/>
    </row>
    <row r="568" spans="17:30" ht="12.75" customHeight="1">
      <c r="Q568"/>
      <c r="R568"/>
      <c r="S568"/>
      <c r="T568"/>
      <c r="U568"/>
      <c r="V568"/>
      <c r="W568"/>
      <c r="X568"/>
      <c r="Y568"/>
      <c r="Z568"/>
      <c r="AA568"/>
      <c r="AB568"/>
      <c r="AC568"/>
      <c r="AD568"/>
    </row>
    <row r="569" spans="17:30" ht="12.75" customHeight="1">
      <c r="Q569"/>
      <c r="R569"/>
      <c r="S569"/>
      <c r="T569"/>
      <c r="U569"/>
      <c r="V569"/>
      <c r="W569"/>
      <c r="X569"/>
      <c r="Y569"/>
      <c r="Z569"/>
      <c r="AA569"/>
      <c r="AB569"/>
      <c r="AC569"/>
      <c r="AD569"/>
    </row>
    <row r="570" spans="17:30" ht="12.75" customHeight="1">
      <c r="Q570"/>
      <c r="R570"/>
      <c r="S570"/>
      <c r="T570"/>
      <c r="U570"/>
      <c r="V570"/>
      <c r="W570"/>
      <c r="X570"/>
      <c r="Y570"/>
      <c r="Z570"/>
      <c r="AA570"/>
      <c r="AB570"/>
      <c r="AC570"/>
      <c r="AD570"/>
    </row>
    <row r="571" spans="17:30" ht="12.75" customHeight="1">
      <c r="Q571"/>
      <c r="R571"/>
      <c r="S571"/>
      <c r="T571"/>
      <c r="U571"/>
      <c r="V571"/>
      <c r="W571"/>
      <c r="X571"/>
      <c r="Y571"/>
      <c r="Z571"/>
      <c r="AA571"/>
      <c r="AB571"/>
      <c r="AC571"/>
      <c r="AD571"/>
    </row>
    <row r="572" spans="17:30" ht="12.75" customHeight="1">
      <c r="Q572" s="23"/>
      <c r="R572" s="1"/>
      <c r="S572" s="1"/>
      <c r="T572" s="1"/>
      <c r="U572" s="1"/>
      <c r="V572" s="1"/>
      <c r="W572" s="1"/>
      <c r="X572" s="1"/>
      <c r="Y572" s="1"/>
      <c r="Z572" s="1"/>
    </row>
    <row r="573" spans="17:30" ht="12.75" customHeight="1">
      <c r="Q573" s="23"/>
      <c r="R573" s="1"/>
      <c r="S573" s="1"/>
      <c r="T573" s="1"/>
      <c r="U573" s="1"/>
      <c r="V573" s="1"/>
      <c r="W573" s="1"/>
      <c r="X573" s="1"/>
      <c r="Y573" s="1"/>
      <c r="Z573" s="1"/>
    </row>
    <row r="574" spans="17:30" ht="12.75" customHeight="1">
      <c r="Q574" s="23"/>
      <c r="R574" s="1"/>
      <c r="S574" s="1"/>
      <c r="T574" s="1"/>
      <c r="U574" s="1"/>
      <c r="V574" s="1"/>
      <c r="W574" s="1"/>
      <c r="X574" s="1"/>
      <c r="Y574" s="1"/>
      <c r="Z574" s="1"/>
    </row>
    <row r="575" spans="17:30" ht="12.75" customHeight="1">
      <c r="Q575" s="23"/>
      <c r="R575" s="1"/>
      <c r="S575" s="1"/>
      <c r="T575" s="1"/>
      <c r="U575" s="1"/>
      <c r="V575" s="1"/>
      <c r="W575" s="1"/>
      <c r="X575" s="1"/>
      <c r="Y575" s="1"/>
      <c r="Z575" s="1"/>
    </row>
    <row r="576" spans="17:30" ht="12.75" customHeight="1">
      <c r="Q576" s="23"/>
      <c r="R576" s="1"/>
      <c r="S576" s="1"/>
      <c r="T576" s="1"/>
      <c r="U576" s="1"/>
      <c r="V576" s="1"/>
      <c r="W576" s="1"/>
      <c r="X576" s="1"/>
      <c r="Y576" s="1"/>
      <c r="Z576" s="1"/>
    </row>
    <row r="577" spans="17:26" ht="12.75" customHeight="1">
      <c r="Q577" s="23"/>
      <c r="R577" s="1"/>
      <c r="S577" s="1"/>
      <c r="T577" s="1"/>
      <c r="U577" s="1"/>
      <c r="V577" s="1"/>
      <c r="W577" s="1"/>
      <c r="X577" s="1"/>
      <c r="Y577" s="1"/>
      <c r="Z577" s="1"/>
    </row>
    <row r="578" spans="17:26" ht="12.75" customHeight="1">
      <c r="Q578" s="23"/>
      <c r="R578" s="1"/>
      <c r="S578" s="1"/>
      <c r="T578" s="1"/>
      <c r="U578" s="1"/>
      <c r="V578" s="1"/>
      <c r="W578" s="1"/>
      <c r="X578" s="1"/>
      <c r="Y578" s="1"/>
      <c r="Z578" s="1"/>
    </row>
    <row r="579" spans="17:26" ht="12.75" customHeight="1">
      <c r="Q579" s="23"/>
      <c r="R579" s="1"/>
      <c r="S579" s="1"/>
      <c r="T579" s="1"/>
      <c r="U579" s="1"/>
      <c r="V579" s="1"/>
      <c r="W579" s="1"/>
      <c r="X579" s="1"/>
      <c r="Y579" s="1"/>
      <c r="Z579" s="1"/>
    </row>
    <row r="580" spans="17:26" ht="12.75" customHeight="1">
      <c r="Q580" s="23"/>
      <c r="R580" s="1"/>
      <c r="S580" s="1"/>
      <c r="T580" s="1"/>
      <c r="U580" s="1"/>
      <c r="V580" s="1"/>
      <c r="W580" s="1"/>
      <c r="X580" s="1"/>
      <c r="Y580" s="1"/>
      <c r="Z580" s="1"/>
    </row>
    <row r="581" spans="17:26" ht="12.75" customHeight="1">
      <c r="Q581" s="23"/>
      <c r="R581" s="1"/>
      <c r="S581" s="1"/>
      <c r="T581" s="1"/>
      <c r="U581" s="1"/>
      <c r="V581" s="1"/>
      <c r="W581" s="1"/>
      <c r="X581" s="1"/>
      <c r="Y581" s="1"/>
      <c r="Z581" s="1"/>
    </row>
    <row r="582" spans="17:26" ht="12.75" customHeight="1">
      <c r="Q582" s="23"/>
      <c r="R582" s="1"/>
      <c r="S582" s="1"/>
      <c r="T582" s="1"/>
      <c r="U582" s="1"/>
      <c r="V582" s="1"/>
      <c r="W582" s="1"/>
      <c r="X582" s="1"/>
      <c r="Y582" s="1"/>
      <c r="Z582" s="1"/>
    </row>
    <row r="583" spans="17:26" ht="12.75" customHeight="1">
      <c r="Q583" s="23"/>
      <c r="R583" s="1"/>
      <c r="S583" s="1"/>
      <c r="T583" s="1"/>
      <c r="U583" s="1"/>
      <c r="V583" s="1"/>
      <c r="W583" s="1"/>
      <c r="X583" s="1"/>
      <c r="Y583" s="1"/>
      <c r="Z583" s="1"/>
    </row>
    <row r="584" spans="17:26" ht="12.75" customHeight="1">
      <c r="Q584" s="23"/>
      <c r="R584" s="1"/>
      <c r="S584" s="1"/>
      <c r="T584" s="1"/>
      <c r="U584" s="1"/>
      <c r="V584" s="1"/>
      <c r="W584" s="1"/>
      <c r="X584" s="1"/>
      <c r="Y584" s="1"/>
      <c r="Z584" s="1"/>
    </row>
    <row r="585" spans="17:26" ht="12.75" customHeight="1">
      <c r="Q585" s="23"/>
      <c r="R585" s="1"/>
      <c r="S585" s="1"/>
      <c r="T585" s="1"/>
      <c r="U585" s="1"/>
      <c r="V585" s="1"/>
      <c r="W585" s="1"/>
      <c r="X585" s="1"/>
      <c r="Y585" s="1"/>
      <c r="Z585" s="1"/>
    </row>
    <row r="586" spans="17:26" ht="12.75" customHeight="1">
      <c r="Q586" s="23"/>
      <c r="R586" s="1"/>
      <c r="S586" s="1"/>
      <c r="T586" s="1"/>
      <c r="U586" s="1"/>
      <c r="V586" s="1"/>
      <c r="W586" s="1"/>
      <c r="X586" s="1"/>
      <c r="Y586" s="1"/>
      <c r="Z586" s="1"/>
    </row>
    <row r="587" spans="17:26" ht="12.75" customHeight="1">
      <c r="Q587" s="23"/>
      <c r="R587" s="1"/>
      <c r="S587" s="1"/>
      <c r="T587" s="1"/>
      <c r="U587" s="1"/>
      <c r="V587" s="1"/>
      <c r="W587" s="1"/>
      <c r="X587" s="1"/>
      <c r="Y587" s="1"/>
      <c r="Z587" s="1"/>
    </row>
    <row r="588" spans="17:26" ht="12.75" customHeight="1">
      <c r="Q588" s="23"/>
      <c r="R588" s="1"/>
      <c r="S588" s="1"/>
      <c r="T588" s="1"/>
      <c r="U588" s="1"/>
      <c r="V588" s="1"/>
      <c r="W588" s="1"/>
      <c r="X588" s="1"/>
      <c r="Y588" s="1"/>
      <c r="Z588" s="1"/>
    </row>
    <row r="589" spans="17:26" ht="12.75" customHeight="1">
      <c r="Q589" s="23"/>
      <c r="R589" s="1"/>
      <c r="S589" s="1"/>
      <c r="T589" s="1"/>
      <c r="U589" s="1"/>
      <c r="V589" s="1"/>
      <c r="W589" s="1"/>
      <c r="X589" s="1"/>
      <c r="Y589" s="1"/>
      <c r="Z589" s="1"/>
    </row>
    <row r="590" spans="17:26" ht="12.75" customHeight="1">
      <c r="Q590" s="23"/>
      <c r="R590" s="1"/>
      <c r="S590" s="1"/>
      <c r="T590" s="1"/>
      <c r="U590" s="1"/>
      <c r="V590" s="1"/>
      <c r="W590" s="1"/>
      <c r="X590" s="1"/>
      <c r="Y590" s="1"/>
      <c r="Z590" s="1"/>
    </row>
    <row r="591" spans="17:26" ht="12.75" customHeight="1">
      <c r="Q591" s="23"/>
      <c r="R591" s="1"/>
      <c r="S591" s="1"/>
      <c r="T591" s="1"/>
      <c r="U591" s="1"/>
      <c r="V591" s="1"/>
      <c r="W591" s="1"/>
      <c r="X591" s="1"/>
      <c r="Y591" s="1"/>
      <c r="Z591" s="1"/>
    </row>
    <row r="592" spans="17:26" ht="12.75" customHeight="1">
      <c r="Q592" s="23"/>
      <c r="R592" s="1"/>
      <c r="S592" s="1"/>
      <c r="T592" s="1"/>
      <c r="U592" s="1"/>
      <c r="V592" s="1"/>
      <c r="W592" s="1"/>
      <c r="X592" s="1"/>
      <c r="Y592" s="1"/>
      <c r="Z592" s="1"/>
    </row>
    <row r="593" spans="17:26" ht="12.75" customHeight="1">
      <c r="Q593" s="23"/>
      <c r="R593" s="1"/>
      <c r="S593" s="1"/>
      <c r="T593" s="1"/>
      <c r="U593" s="1"/>
      <c r="V593" s="1"/>
      <c r="W593" s="1"/>
      <c r="X593" s="1"/>
      <c r="Y593" s="1"/>
      <c r="Z593" s="1"/>
    </row>
    <row r="594" spans="17:26" ht="12.75" customHeight="1">
      <c r="Q594" s="23"/>
      <c r="R594" s="1"/>
      <c r="S594" s="1"/>
      <c r="T594" s="1"/>
      <c r="U594" s="1"/>
      <c r="V594" s="1"/>
      <c r="W594" s="1"/>
      <c r="X594" s="1"/>
      <c r="Y594" s="1"/>
      <c r="Z594" s="1"/>
    </row>
    <row r="595" spans="17:26" ht="12.75" customHeight="1">
      <c r="Q595" s="23"/>
      <c r="R595" s="1"/>
      <c r="S595" s="1"/>
      <c r="T595" s="1"/>
      <c r="U595" s="1"/>
      <c r="V595" s="1"/>
      <c r="W595" s="1"/>
      <c r="X595" s="1"/>
      <c r="Y595" s="1"/>
      <c r="Z595" s="1"/>
    </row>
    <row r="596" spans="17:26" ht="12.75" customHeight="1">
      <c r="Q596" s="23"/>
      <c r="R596" s="1"/>
      <c r="S596" s="1"/>
      <c r="T596" s="1"/>
      <c r="U596" s="1"/>
      <c r="V596" s="1"/>
      <c r="W596" s="1"/>
      <c r="X596" s="1"/>
      <c r="Y596" s="1"/>
      <c r="Z596" s="1"/>
    </row>
    <row r="597" spans="17:26" ht="12.75" customHeight="1">
      <c r="Q597" s="23"/>
      <c r="R597" s="1"/>
      <c r="S597" s="1"/>
      <c r="T597" s="1"/>
      <c r="U597" s="1"/>
      <c r="V597" s="1"/>
      <c r="W597" s="1"/>
      <c r="X597" s="1"/>
      <c r="Y597" s="1"/>
      <c r="Z597" s="1"/>
    </row>
    <row r="598" spans="17:26" ht="12.75" customHeight="1">
      <c r="Q598" s="23"/>
      <c r="R598" s="1"/>
      <c r="S598" s="1"/>
      <c r="T598" s="1"/>
      <c r="U598" s="1"/>
      <c r="V598" s="1"/>
      <c r="W598" s="1"/>
      <c r="X598" s="1"/>
      <c r="Y598" s="1"/>
      <c r="Z598" s="1"/>
    </row>
    <row r="599" spans="17:26" ht="12.75" customHeight="1">
      <c r="Q599" s="23"/>
      <c r="R599" s="1"/>
      <c r="S599" s="1"/>
      <c r="T599" s="1"/>
      <c r="U599" s="1"/>
      <c r="V599" s="1"/>
      <c r="W599" s="1"/>
      <c r="X599" s="1"/>
      <c r="Y599" s="1"/>
      <c r="Z599" s="1"/>
    </row>
    <row r="600" spans="17:26" ht="12.75" customHeight="1">
      <c r="Q600" s="23"/>
      <c r="R600" s="1"/>
      <c r="S600" s="1"/>
      <c r="T600" s="1"/>
      <c r="U600" s="1"/>
      <c r="V600" s="1"/>
      <c r="W600" s="1"/>
      <c r="X600" s="1"/>
      <c r="Y600" s="1"/>
      <c r="Z600" s="1"/>
    </row>
    <row r="601" spans="17:26" ht="12.75" customHeight="1">
      <c r="Q601" s="23"/>
      <c r="R601" s="1"/>
      <c r="S601" s="1"/>
      <c r="T601" s="1"/>
      <c r="U601" s="1"/>
      <c r="V601" s="1"/>
      <c r="W601" s="1"/>
      <c r="X601" s="1"/>
      <c r="Y601" s="1"/>
      <c r="Z601" s="1"/>
    </row>
    <row r="602" spans="17:26" ht="12.75" customHeight="1">
      <c r="Q602" s="23"/>
      <c r="R602" s="1"/>
      <c r="S602" s="1"/>
      <c r="T602" s="1"/>
      <c r="U602" s="1"/>
      <c r="V602" s="1"/>
      <c r="W602" s="1"/>
      <c r="X602" s="1"/>
      <c r="Y602" s="1"/>
      <c r="Z602" s="1"/>
    </row>
    <row r="603" spans="17:26" ht="12.75" customHeight="1">
      <c r="Q603" s="23"/>
      <c r="R603" s="1"/>
      <c r="S603" s="1"/>
      <c r="T603" s="1"/>
      <c r="U603" s="1"/>
      <c r="V603" s="1"/>
      <c r="W603" s="1"/>
      <c r="X603" s="1"/>
      <c r="Y603" s="1"/>
      <c r="Z603" s="1"/>
    </row>
    <row r="604" spans="17:26" ht="12.75" customHeight="1">
      <c r="Q604" s="23"/>
      <c r="R604" s="1"/>
      <c r="S604" s="1"/>
      <c r="T604" s="1"/>
      <c r="U604" s="1"/>
      <c r="V604" s="1"/>
      <c r="W604" s="1"/>
      <c r="X604" s="1"/>
      <c r="Y604" s="1"/>
      <c r="Z604" s="1"/>
    </row>
    <row r="605" spans="17:26" ht="12.75" customHeight="1">
      <c r="Q605" s="23"/>
      <c r="R605" s="1"/>
      <c r="S605" s="1"/>
      <c r="T605" s="1"/>
      <c r="U605" s="1"/>
      <c r="V605" s="1"/>
      <c r="W605" s="1"/>
      <c r="X605" s="1"/>
      <c r="Y605" s="1"/>
      <c r="Z605" s="1"/>
    </row>
    <row r="606" spans="17:26" ht="12.75" customHeight="1">
      <c r="Q606" s="23"/>
      <c r="R606" s="1"/>
      <c r="S606" s="1"/>
      <c r="T606" s="1"/>
      <c r="U606" s="1"/>
      <c r="V606" s="1"/>
      <c r="W606" s="1"/>
      <c r="X606" s="1"/>
      <c r="Y606" s="1"/>
      <c r="Z606" s="1"/>
    </row>
    <row r="607" spans="17:26" ht="12.75" customHeight="1">
      <c r="Q607" s="23"/>
      <c r="R607" s="1"/>
      <c r="S607" s="1"/>
      <c r="T607" s="1"/>
      <c r="U607" s="1"/>
      <c r="V607" s="1"/>
      <c r="W607" s="1"/>
      <c r="X607" s="1"/>
      <c r="Y607" s="1"/>
      <c r="Z607" s="1"/>
    </row>
    <row r="608" spans="17:26" ht="12.75" customHeight="1">
      <c r="Q608" s="23"/>
      <c r="R608" s="1"/>
      <c r="S608" s="1"/>
      <c r="T608" s="1"/>
      <c r="U608" s="1"/>
      <c r="V608" s="1"/>
      <c r="W608" s="1"/>
      <c r="X608" s="1"/>
      <c r="Y608" s="1"/>
      <c r="Z608" s="1"/>
    </row>
    <row r="609" spans="17:26" ht="12.75" customHeight="1">
      <c r="Q609" s="23"/>
      <c r="R609" s="1"/>
      <c r="S609" s="1"/>
      <c r="T609" s="1"/>
      <c r="U609" s="1"/>
      <c r="V609" s="1"/>
      <c r="W609" s="1"/>
      <c r="X609" s="1"/>
      <c r="Y609" s="1"/>
      <c r="Z609" s="1"/>
    </row>
    <row r="610" spans="17:26" ht="12.75" customHeight="1">
      <c r="Q610" s="23"/>
      <c r="R610" s="1"/>
      <c r="S610" s="1"/>
      <c r="T610" s="1"/>
      <c r="U610" s="1"/>
      <c r="V610" s="1"/>
      <c r="W610" s="1"/>
      <c r="X610" s="1"/>
      <c r="Y610" s="1"/>
      <c r="Z610" s="1"/>
    </row>
    <row r="611" spans="17:26" ht="12.75" customHeight="1">
      <c r="Q611" s="23"/>
      <c r="R611" s="1"/>
      <c r="S611" s="1"/>
      <c r="T611" s="1"/>
      <c r="U611" s="1"/>
      <c r="V611" s="1"/>
      <c r="W611" s="1"/>
      <c r="X611" s="1"/>
      <c r="Y611" s="1"/>
      <c r="Z611" s="1"/>
    </row>
    <row r="612" spans="17:26" ht="12.75" customHeight="1">
      <c r="Q612" s="23"/>
      <c r="R612" s="1"/>
      <c r="S612" s="1"/>
      <c r="T612" s="1"/>
      <c r="U612" s="1"/>
      <c r="V612" s="1"/>
      <c r="W612" s="1"/>
      <c r="X612" s="1"/>
      <c r="Y612" s="1"/>
      <c r="Z612" s="1"/>
    </row>
    <row r="613" spans="17:26" ht="12.75" customHeight="1">
      <c r="Q613" s="23"/>
      <c r="R613" s="1"/>
      <c r="S613" s="1"/>
      <c r="T613" s="1"/>
      <c r="U613" s="1"/>
      <c r="V613" s="1"/>
      <c r="W613" s="1"/>
      <c r="X613" s="1"/>
      <c r="Y613" s="1"/>
      <c r="Z613" s="1"/>
    </row>
    <row r="614" spans="17:26" ht="12.75" customHeight="1">
      <c r="Q614" s="23"/>
      <c r="R614" s="1"/>
      <c r="S614" s="1"/>
      <c r="T614" s="1"/>
      <c r="U614" s="1"/>
      <c r="V614" s="1"/>
      <c r="W614" s="1"/>
      <c r="X614" s="1"/>
      <c r="Y614" s="1"/>
      <c r="Z614" s="1"/>
    </row>
    <row r="615" spans="17:26" ht="12.75" customHeight="1">
      <c r="Q615" s="23"/>
      <c r="R615" s="1"/>
      <c r="S615" s="1"/>
      <c r="T615" s="1"/>
      <c r="U615" s="1"/>
      <c r="V615" s="1"/>
      <c r="W615" s="1"/>
      <c r="X615" s="1"/>
      <c r="Y615" s="1"/>
      <c r="Z615" s="1"/>
    </row>
    <row r="616" spans="17:26" ht="12.75" customHeight="1">
      <c r="Q616" s="23"/>
      <c r="R616" s="1"/>
      <c r="S616" s="1"/>
      <c r="T616" s="1"/>
      <c r="U616" s="1"/>
      <c r="V616" s="1"/>
      <c r="W616" s="1"/>
      <c r="X616" s="1"/>
      <c r="Y616" s="1"/>
      <c r="Z616" s="1"/>
    </row>
    <row r="617" spans="17:26" ht="12.75" customHeight="1">
      <c r="Q617" s="23"/>
      <c r="R617" s="1"/>
      <c r="S617" s="1"/>
      <c r="T617" s="1"/>
      <c r="U617" s="1"/>
      <c r="V617" s="1"/>
      <c r="W617" s="1"/>
      <c r="X617" s="1"/>
      <c r="Y617" s="1"/>
      <c r="Z617" s="1"/>
    </row>
    <row r="618" spans="17:26" ht="12.75" customHeight="1">
      <c r="Q618" s="23"/>
      <c r="R618" s="1"/>
      <c r="S618" s="1"/>
      <c r="T618" s="1"/>
      <c r="U618" s="1"/>
      <c r="V618" s="1"/>
      <c r="W618" s="1"/>
      <c r="X618" s="1"/>
      <c r="Y618" s="1"/>
      <c r="Z618" s="1"/>
    </row>
    <row r="619" spans="17:26" ht="12.75" customHeight="1">
      <c r="Q619" s="23"/>
      <c r="R619" s="1"/>
      <c r="S619" s="1"/>
      <c r="T619" s="1"/>
      <c r="U619" s="1"/>
      <c r="V619" s="1"/>
      <c r="W619" s="1"/>
      <c r="X619" s="1"/>
      <c r="Y619" s="1"/>
      <c r="Z619" s="1"/>
    </row>
    <row r="620" spans="17:26" ht="12.75" customHeight="1">
      <c r="Q620" s="23"/>
      <c r="R620" s="1"/>
      <c r="S620" s="1"/>
      <c r="T620" s="1"/>
      <c r="U620" s="1"/>
      <c r="V620" s="1"/>
      <c r="W620" s="1"/>
      <c r="X620" s="1"/>
      <c r="Y620" s="1"/>
      <c r="Z620" s="1"/>
    </row>
    <row r="621" spans="17:26" ht="12.75" customHeight="1">
      <c r="Q621" s="23"/>
      <c r="R621" s="1"/>
      <c r="S621" s="1"/>
      <c r="T621" s="1"/>
      <c r="U621" s="1"/>
      <c r="V621" s="1"/>
      <c r="W621" s="1"/>
      <c r="X621" s="1"/>
      <c r="Y621" s="1"/>
      <c r="Z621" s="1"/>
    </row>
    <row r="622" spans="17:26" ht="12.75" customHeight="1">
      <c r="Q622" s="23"/>
      <c r="R622" s="1"/>
      <c r="S622" s="1"/>
      <c r="T622" s="1"/>
      <c r="U622" s="1"/>
      <c r="V622" s="1"/>
      <c r="W622" s="1"/>
      <c r="X622" s="1"/>
      <c r="Y622" s="1"/>
      <c r="Z622" s="1"/>
    </row>
    <row r="623" spans="17:26" ht="12.75" customHeight="1">
      <c r="Q623" s="23"/>
      <c r="R623" s="1"/>
      <c r="S623" s="1"/>
      <c r="T623" s="1"/>
      <c r="U623" s="1"/>
      <c r="V623" s="1"/>
      <c r="W623" s="1"/>
      <c r="X623" s="1"/>
      <c r="Y623" s="1"/>
      <c r="Z623" s="1"/>
    </row>
    <row r="624" spans="17:26" ht="12.75" customHeight="1">
      <c r="Q624" s="23"/>
      <c r="R624" s="1"/>
      <c r="S624" s="1"/>
      <c r="T624" s="1"/>
      <c r="U624" s="1"/>
      <c r="V624" s="1"/>
      <c r="W624" s="1"/>
      <c r="X624" s="1"/>
      <c r="Y624" s="1"/>
      <c r="Z624" s="1"/>
    </row>
    <row r="625" spans="17:26" ht="12.75" customHeight="1">
      <c r="Q625" s="23"/>
      <c r="R625" s="1"/>
      <c r="S625" s="1"/>
      <c r="T625" s="1"/>
      <c r="U625" s="1"/>
      <c r="V625" s="1"/>
      <c r="W625" s="1"/>
      <c r="X625" s="1"/>
      <c r="Y625" s="1"/>
      <c r="Z625" s="1"/>
    </row>
    <row r="626" spans="17:26" ht="12.75" customHeight="1">
      <c r="Q626" s="23"/>
      <c r="R626" s="1"/>
      <c r="S626" s="1"/>
      <c r="T626" s="1"/>
      <c r="U626" s="1"/>
      <c r="V626" s="1"/>
      <c r="W626" s="1"/>
      <c r="X626" s="1"/>
      <c r="Y626" s="1"/>
      <c r="Z626" s="1"/>
    </row>
    <row r="627" spans="17:26" ht="12.75" customHeight="1">
      <c r="Q627" s="23"/>
      <c r="R627" s="1"/>
      <c r="S627" s="1"/>
      <c r="T627" s="1"/>
      <c r="U627" s="1"/>
      <c r="V627" s="1"/>
      <c r="W627" s="1"/>
      <c r="X627" s="1"/>
      <c r="Y627" s="1"/>
      <c r="Z627" s="1"/>
    </row>
    <row r="628" spans="17:26" ht="12.75" customHeight="1">
      <c r="Q628" s="23"/>
      <c r="R628" s="1"/>
      <c r="S628" s="1"/>
      <c r="T628" s="1"/>
      <c r="U628" s="1"/>
      <c r="V628" s="1"/>
      <c r="W628" s="1"/>
      <c r="X628" s="1"/>
      <c r="Y628" s="1"/>
      <c r="Z628" s="1"/>
    </row>
    <row r="629" spans="17:26" ht="12.75" customHeight="1">
      <c r="Q629" s="23"/>
      <c r="R629" s="1"/>
      <c r="S629" s="1"/>
      <c r="T629" s="1"/>
      <c r="U629" s="1"/>
      <c r="V629" s="1"/>
      <c r="W629" s="1"/>
      <c r="X629" s="1"/>
      <c r="Y629" s="1"/>
      <c r="Z629" s="1"/>
    </row>
    <row r="630" spans="17:26" ht="12.75" customHeight="1">
      <c r="Q630" s="23"/>
      <c r="R630" s="1"/>
      <c r="S630" s="1"/>
      <c r="T630" s="1"/>
      <c r="U630" s="1"/>
      <c r="V630" s="1"/>
      <c r="W630" s="1"/>
      <c r="X630" s="1"/>
      <c r="Y630" s="1"/>
      <c r="Z630" s="1"/>
    </row>
    <row r="631" spans="17:26" ht="12.75" customHeight="1">
      <c r="Q631" s="23"/>
      <c r="R631" s="1"/>
      <c r="S631" s="1"/>
      <c r="T631" s="1"/>
      <c r="U631" s="1"/>
      <c r="V631" s="1"/>
      <c r="W631" s="1"/>
      <c r="X631" s="1"/>
      <c r="Y631" s="1"/>
      <c r="Z631" s="1"/>
    </row>
    <row r="632" spans="17:26" ht="12.75" customHeight="1">
      <c r="Q632" s="23"/>
      <c r="R632" s="1"/>
      <c r="S632" s="1"/>
      <c r="T632" s="1"/>
      <c r="U632" s="1"/>
      <c r="V632" s="1"/>
      <c r="W632" s="1"/>
      <c r="X632" s="1"/>
      <c r="Y632" s="1"/>
      <c r="Z632" s="1"/>
    </row>
    <row r="633" spans="17:26" ht="12.75" customHeight="1">
      <c r="Q633" s="23"/>
      <c r="R633" s="1"/>
      <c r="S633" s="1"/>
      <c r="T633" s="1"/>
      <c r="U633" s="1"/>
      <c r="V633" s="1"/>
      <c r="W633" s="1"/>
      <c r="X633" s="1"/>
      <c r="Y633" s="1"/>
      <c r="Z633" s="1"/>
    </row>
    <row r="634" spans="17:26" ht="12.75" customHeight="1">
      <c r="Q634" s="23"/>
      <c r="R634" s="1"/>
      <c r="S634" s="1"/>
      <c r="T634" s="1"/>
      <c r="U634" s="1"/>
      <c r="V634" s="1"/>
      <c r="W634" s="1"/>
      <c r="X634" s="1"/>
      <c r="Y634" s="1"/>
      <c r="Z634" s="1"/>
    </row>
    <row r="635" spans="17:26" ht="12.75" customHeight="1">
      <c r="Q635" s="23"/>
      <c r="R635" s="1"/>
      <c r="S635" s="1"/>
      <c r="T635" s="1"/>
      <c r="U635" s="1"/>
      <c r="V635" s="1"/>
      <c r="W635" s="1"/>
      <c r="X635" s="1"/>
      <c r="Y635" s="1"/>
      <c r="Z635" s="1"/>
    </row>
    <row r="636" spans="17:26" ht="12.75" customHeight="1">
      <c r="Q636" s="23"/>
      <c r="R636" s="1"/>
      <c r="S636" s="1"/>
      <c r="T636" s="1"/>
      <c r="U636" s="1"/>
      <c r="V636" s="1"/>
      <c r="W636" s="1"/>
      <c r="X636" s="1"/>
      <c r="Y636" s="1"/>
      <c r="Z636" s="1"/>
    </row>
    <row r="637" spans="17:26" ht="12.75" customHeight="1">
      <c r="Q637" s="23"/>
      <c r="R637" s="1"/>
      <c r="S637" s="1"/>
      <c r="T637" s="1"/>
      <c r="U637" s="1"/>
      <c r="V637" s="1"/>
      <c r="W637" s="1"/>
      <c r="X637" s="1"/>
      <c r="Y637" s="1"/>
      <c r="Z637" s="1"/>
    </row>
    <row r="638" spans="17:26" ht="12.75" customHeight="1">
      <c r="Q638" s="23"/>
      <c r="R638" s="1"/>
      <c r="S638" s="1"/>
      <c r="T638" s="1"/>
      <c r="U638" s="1"/>
      <c r="V638" s="1"/>
      <c r="W638" s="1"/>
      <c r="X638" s="1"/>
      <c r="Y638" s="1"/>
      <c r="Z638" s="1"/>
    </row>
    <row r="639" spans="17:26" ht="12.75" customHeight="1">
      <c r="Q639" s="23"/>
      <c r="R639" s="1"/>
      <c r="S639" s="1"/>
      <c r="T639" s="1"/>
      <c r="U639" s="1"/>
      <c r="V639" s="1"/>
      <c r="W639" s="1"/>
      <c r="X639" s="1"/>
      <c r="Y639" s="1"/>
      <c r="Z639" s="1"/>
    </row>
    <row r="640" spans="17:26" ht="12.75" customHeight="1">
      <c r="Q640" s="23"/>
      <c r="R640" s="1"/>
      <c r="S640" s="1"/>
      <c r="T640" s="1"/>
      <c r="U640" s="1"/>
      <c r="V640" s="1"/>
      <c r="W640" s="1"/>
      <c r="X640" s="1"/>
      <c r="Y640" s="1"/>
      <c r="Z640" s="1"/>
    </row>
    <row r="641" spans="17:26" ht="12.75" customHeight="1">
      <c r="Q641" s="23"/>
      <c r="R641" s="1"/>
      <c r="S641" s="1"/>
      <c r="T641" s="1"/>
      <c r="U641" s="1"/>
      <c r="V641" s="1"/>
      <c r="W641" s="1"/>
      <c r="X641" s="1"/>
      <c r="Y641" s="1"/>
      <c r="Z641" s="1"/>
    </row>
    <row r="642" spans="17:26" ht="12.75" customHeight="1">
      <c r="Q642" s="23"/>
      <c r="R642" s="1"/>
      <c r="S642" s="1"/>
      <c r="T642" s="1"/>
      <c r="U642" s="1"/>
      <c r="V642" s="1"/>
      <c r="W642" s="1"/>
      <c r="X642" s="1"/>
      <c r="Y642" s="1"/>
      <c r="Z642" s="1"/>
    </row>
    <row r="643" spans="17:26" ht="12.75" customHeight="1">
      <c r="Q643" s="23"/>
      <c r="R643" s="1"/>
      <c r="S643" s="1"/>
      <c r="T643" s="1"/>
      <c r="U643" s="1"/>
      <c r="V643" s="1"/>
      <c r="W643" s="1"/>
      <c r="X643" s="1"/>
      <c r="Y643" s="1"/>
      <c r="Z643" s="1"/>
    </row>
    <row r="644" spans="17:26" ht="12.75" customHeight="1">
      <c r="Q644" s="23"/>
      <c r="R644" s="1"/>
      <c r="S644" s="1"/>
      <c r="T644" s="1"/>
      <c r="U644" s="1"/>
      <c r="V644" s="1"/>
      <c r="W644" s="1"/>
      <c r="X644" s="1"/>
      <c r="Y644" s="1"/>
      <c r="Z644" s="1"/>
    </row>
    <row r="645" spans="17:26" ht="12.75" customHeight="1">
      <c r="Q645" s="23"/>
      <c r="R645" s="1"/>
      <c r="S645" s="1"/>
      <c r="T645" s="1"/>
      <c r="U645" s="1"/>
      <c r="V645" s="1"/>
      <c r="W645" s="1"/>
      <c r="X645" s="1"/>
      <c r="Y645" s="1"/>
      <c r="Z645" s="1"/>
    </row>
    <row r="646" spans="17:26" ht="12.75" customHeight="1">
      <c r="Q646" s="23"/>
      <c r="R646" s="1"/>
      <c r="S646" s="1"/>
      <c r="T646" s="1"/>
      <c r="U646" s="1"/>
      <c r="V646" s="1"/>
      <c r="W646" s="1"/>
      <c r="X646" s="1"/>
      <c r="Y646" s="1"/>
      <c r="Z646" s="1"/>
    </row>
    <row r="647" spans="17:26" ht="12.75" customHeight="1">
      <c r="Q647" s="23"/>
      <c r="R647" s="1"/>
      <c r="S647" s="1"/>
      <c r="T647" s="1"/>
      <c r="U647" s="1"/>
      <c r="V647" s="1"/>
      <c r="W647" s="1"/>
      <c r="X647" s="1"/>
      <c r="Y647" s="1"/>
      <c r="Z647" s="1"/>
    </row>
    <row r="648" spans="17:26" ht="12.75" customHeight="1">
      <c r="Q648" s="23"/>
      <c r="R648" s="1"/>
      <c r="S648" s="1"/>
      <c r="T648" s="1"/>
      <c r="U648" s="1"/>
      <c r="V648" s="1"/>
      <c r="W648" s="1"/>
      <c r="X648" s="1"/>
      <c r="Y648" s="1"/>
      <c r="Z648" s="1"/>
    </row>
    <row r="649" spans="17:26" ht="12.75" customHeight="1">
      <c r="Q649" s="23"/>
      <c r="R649" s="1"/>
      <c r="S649" s="1"/>
      <c r="T649" s="1"/>
      <c r="U649" s="1"/>
      <c r="V649" s="1"/>
      <c r="W649" s="1"/>
      <c r="X649" s="1"/>
      <c r="Y649" s="1"/>
      <c r="Z649" s="1"/>
    </row>
    <row r="650" spans="17:26" ht="12.75" customHeight="1">
      <c r="Q650" s="23"/>
      <c r="R650" s="1"/>
      <c r="S650" s="1"/>
      <c r="T650" s="1"/>
      <c r="U650" s="1"/>
      <c r="V650" s="1"/>
      <c r="W650" s="1"/>
      <c r="X650" s="1"/>
      <c r="Y650" s="1"/>
      <c r="Z650" s="1"/>
    </row>
    <row r="651" spans="17:26" ht="12.75" customHeight="1">
      <c r="Q651" s="23"/>
      <c r="R651" s="1"/>
      <c r="S651" s="1"/>
      <c r="T651" s="1"/>
      <c r="U651" s="1"/>
      <c r="V651" s="1"/>
      <c r="W651" s="1"/>
      <c r="X651" s="1"/>
      <c r="Y651" s="1"/>
      <c r="Z651" s="1"/>
    </row>
    <row r="652" spans="17:26" ht="12.75" customHeight="1">
      <c r="Q652" s="23"/>
      <c r="R652" s="1"/>
      <c r="S652" s="1"/>
      <c r="T652" s="1"/>
      <c r="U652" s="1"/>
      <c r="V652" s="1"/>
      <c r="W652" s="1"/>
      <c r="X652" s="1"/>
      <c r="Y652" s="1"/>
      <c r="Z652" s="1"/>
    </row>
    <row r="653" spans="17:26" ht="12.75" customHeight="1">
      <c r="Q653" s="23"/>
      <c r="R653" s="1"/>
      <c r="S653" s="1"/>
      <c r="T653" s="1"/>
      <c r="U653" s="1"/>
      <c r="V653" s="1"/>
      <c r="W653" s="1"/>
      <c r="X653" s="1"/>
      <c r="Y653" s="1"/>
      <c r="Z653" s="1"/>
    </row>
    <row r="654" spans="17:26" ht="12.75" customHeight="1">
      <c r="Q654" s="23"/>
      <c r="R654" s="1"/>
      <c r="S654" s="1"/>
      <c r="T654" s="1"/>
      <c r="U654" s="1"/>
      <c r="V654" s="1"/>
      <c r="W654" s="1"/>
      <c r="X654" s="1"/>
      <c r="Y654" s="1"/>
      <c r="Z654" s="1"/>
    </row>
    <row r="655" spans="17:26" ht="12.75" customHeight="1">
      <c r="Q655" s="23"/>
      <c r="R655" s="1"/>
      <c r="S655" s="1"/>
      <c r="T655" s="1"/>
      <c r="U655" s="1"/>
      <c r="V655" s="1"/>
      <c r="W655" s="1"/>
      <c r="X655" s="1"/>
      <c r="Y655" s="1"/>
      <c r="Z655" s="1"/>
    </row>
    <row r="656" spans="17:26" ht="12.75" customHeight="1">
      <c r="Q656" s="23"/>
      <c r="R656" s="1"/>
      <c r="S656" s="1"/>
      <c r="T656" s="1"/>
      <c r="U656" s="1"/>
      <c r="V656" s="1"/>
      <c r="W656" s="1"/>
      <c r="X656" s="1"/>
      <c r="Y656" s="1"/>
      <c r="Z656" s="1"/>
    </row>
    <row r="657" spans="17:26" ht="12.75" customHeight="1">
      <c r="Q657" s="23"/>
      <c r="R657" s="1"/>
      <c r="S657" s="1"/>
      <c r="T657" s="1"/>
      <c r="U657" s="1"/>
      <c r="V657" s="1"/>
      <c r="W657" s="1"/>
      <c r="X657" s="1"/>
      <c r="Y657" s="1"/>
      <c r="Z657" s="1"/>
    </row>
    <row r="658" spans="17:26" ht="12.75" customHeight="1">
      <c r="Q658" s="23"/>
      <c r="R658" s="1"/>
      <c r="S658" s="1"/>
      <c r="T658" s="1"/>
      <c r="U658" s="1"/>
      <c r="V658" s="1"/>
      <c r="W658" s="1"/>
      <c r="X658" s="1"/>
      <c r="Y658" s="1"/>
      <c r="Z658" s="1"/>
    </row>
    <row r="659" spans="17:26" ht="12.75" customHeight="1">
      <c r="Q659" s="23"/>
      <c r="R659" s="1"/>
      <c r="S659" s="1"/>
      <c r="T659" s="1"/>
      <c r="U659" s="1"/>
      <c r="V659" s="1"/>
      <c r="W659" s="1"/>
      <c r="X659" s="1"/>
      <c r="Y659" s="1"/>
      <c r="Z659" s="1"/>
    </row>
    <row r="660" spans="17:26" ht="12.75" customHeight="1">
      <c r="Q660" s="23"/>
      <c r="R660" s="1"/>
      <c r="S660" s="1"/>
      <c r="T660" s="1"/>
      <c r="U660" s="1"/>
      <c r="V660" s="1"/>
      <c r="W660" s="1"/>
      <c r="X660" s="1"/>
      <c r="Y660" s="1"/>
      <c r="Z660" s="1"/>
    </row>
    <row r="661" spans="17:26" ht="12.75" customHeight="1">
      <c r="Q661" s="23"/>
      <c r="R661" s="1"/>
      <c r="S661" s="1"/>
      <c r="T661" s="1"/>
      <c r="U661" s="1"/>
      <c r="V661" s="1"/>
      <c r="W661" s="1"/>
      <c r="X661" s="1"/>
      <c r="Y661" s="1"/>
      <c r="Z661" s="1"/>
    </row>
    <row r="662" spans="17:26" ht="12.75" customHeight="1">
      <c r="Q662" s="23"/>
      <c r="R662" s="1"/>
      <c r="S662" s="1"/>
      <c r="T662" s="1"/>
      <c r="U662" s="1"/>
      <c r="V662" s="1"/>
      <c r="W662" s="1"/>
      <c r="X662" s="1"/>
      <c r="Y662" s="1"/>
      <c r="Z662" s="1"/>
    </row>
    <row r="663" spans="17:26" ht="12.75" customHeight="1">
      <c r="Q663" s="23"/>
      <c r="R663" s="1"/>
      <c r="S663" s="1"/>
      <c r="T663" s="1"/>
      <c r="U663" s="1"/>
      <c r="V663" s="1"/>
      <c r="W663" s="1"/>
      <c r="X663" s="1"/>
      <c r="Y663" s="1"/>
      <c r="Z663" s="1"/>
    </row>
    <row r="664" spans="17:26" ht="12.75" customHeight="1">
      <c r="Q664" s="23"/>
      <c r="R664" s="1"/>
      <c r="S664" s="1"/>
      <c r="T664" s="1"/>
      <c r="U664" s="1"/>
      <c r="V664" s="1"/>
      <c r="W664" s="1"/>
      <c r="X664" s="1"/>
      <c r="Y664" s="1"/>
      <c r="Z664" s="1"/>
    </row>
    <row r="665" spans="17:26" ht="12.75" customHeight="1">
      <c r="Q665" s="23"/>
      <c r="R665" s="1"/>
      <c r="S665" s="1"/>
      <c r="T665" s="1"/>
      <c r="U665" s="1"/>
      <c r="V665" s="1"/>
      <c r="W665" s="1"/>
      <c r="X665" s="1"/>
      <c r="Y665" s="1"/>
      <c r="Z665" s="1"/>
    </row>
    <row r="666" spans="17:26" ht="12.75" customHeight="1">
      <c r="Q666" s="23"/>
      <c r="R666" s="1"/>
      <c r="S666" s="1"/>
      <c r="T666" s="1"/>
      <c r="U666" s="1"/>
      <c r="V666" s="1"/>
      <c r="W666" s="1"/>
      <c r="X666" s="1"/>
      <c r="Y666" s="1"/>
      <c r="Z666" s="1"/>
    </row>
    <row r="667" spans="17:26" ht="12.75" customHeight="1">
      <c r="Q667" s="23"/>
      <c r="R667" s="1"/>
      <c r="S667" s="1"/>
      <c r="T667" s="1"/>
      <c r="U667" s="1"/>
      <c r="V667" s="1"/>
      <c r="W667" s="1"/>
      <c r="X667" s="1"/>
      <c r="Y667" s="1"/>
      <c r="Z667" s="1"/>
    </row>
    <row r="668" spans="17:26" ht="12.75" customHeight="1">
      <c r="Q668" s="23"/>
      <c r="R668" s="1"/>
      <c r="S668" s="1"/>
      <c r="T668" s="1"/>
      <c r="U668" s="1"/>
      <c r="V668" s="1"/>
      <c r="W668" s="1"/>
      <c r="X668" s="1"/>
      <c r="Y668" s="1"/>
      <c r="Z668" s="1"/>
    </row>
    <row r="669" spans="17:26" ht="12.75" customHeight="1">
      <c r="Q669" s="23"/>
      <c r="R669" s="1"/>
      <c r="S669" s="1"/>
      <c r="T669" s="1"/>
      <c r="U669" s="1"/>
      <c r="V669" s="1"/>
      <c r="W669" s="1"/>
      <c r="X669" s="1"/>
      <c r="Y669" s="1"/>
      <c r="Z669" s="1"/>
    </row>
    <row r="670" spans="17:26" ht="12.75" customHeight="1">
      <c r="Q670" s="23"/>
      <c r="R670" s="1"/>
      <c r="S670" s="1"/>
      <c r="T670" s="1"/>
      <c r="U670" s="1"/>
      <c r="V670" s="1"/>
      <c r="W670" s="1"/>
      <c r="X670" s="1"/>
      <c r="Y670" s="1"/>
      <c r="Z670" s="1"/>
    </row>
    <row r="671" spans="17:26" ht="12.75" customHeight="1">
      <c r="Q671" s="23"/>
      <c r="R671" s="1"/>
      <c r="S671" s="1"/>
      <c r="T671" s="1"/>
      <c r="U671" s="1"/>
      <c r="V671" s="1"/>
      <c r="W671" s="1"/>
      <c r="X671" s="1"/>
      <c r="Y671" s="1"/>
      <c r="Z671" s="1"/>
    </row>
    <row r="672" spans="17:26" ht="12.75" customHeight="1">
      <c r="Q672" s="23"/>
      <c r="R672" s="1"/>
      <c r="S672" s="1"/>
      <c r="T672" s="1"/>
      <c r="U672" s="1"/>
      <c r="V672" s="1"/>
      <c r="W672" s="1"/>
      <c r="X672" s="1"/>
      <c r="Y672" s="1"/>
      <c r="Z672" s="1"/>
    </row>
    <row r="673" spans="17:26" ht="12.75" customHeight="1">
      <c r="Q673" s="23"/>
      <c r="R673" s="1"/>
      <c r="S673" s="1"/>
      <c r="T673" s="1"/>
      <c r="U673" s="1"/>
      <c r="V673" s="1"/>
      <c r="W673" s="1"/>
      <c r="X673" s="1"/>
      <c r="Y673" s="1"/>
      <c r="Z673" s="1"/>
    </row>
    <row r="674" spans="17:26" ht="12.75" customHeight="1">
      <c r="Q674" s="23"/>
      <c r="R674" s="1"/>
      <c r="S674" s="1"/>
      <c r="T674" s="1"/>
      <c r="U674" s="1"/>
      <c r="V674" s="1"/>
      <c r="W674" s="1"/>
      <c r="X674" s="1"/>
      <c r="Y674" s="1"/>
      <c r="Z674" s="1"/>
    </row>
    <row r="675" spans="17:26" ht="12.75" customHeight="1">
      <c r="Q675" s="23"/>
      <c r="R675" s="1"/>
      <c r="S675" s="1"/>
      <c r="T675" s="1"/>
      <c r="U675" s="1"/>
      <c r="V675" s="1"/>
      <c r="W675" s="1"/>
      <c r="X675" s="1"/>
      <c r="Y675" s="1"/>
      <c r="Z675" s="1"/>
    </row>
    <row r="676" spans="17:26" ht="12.75" customHeight="1">
      <c r="Q676" s="23"/>
      <c r="R676" s="1"/>
      <c r="S676" s="1"/>
      <c r="T676" s="1"/>
      <c r="U676" s="1"/>
      <c r="V676" s="1"/>
      <c r="W676" s="1"/>
      <c r="X676" s="1"/>
      <c r="Y676" s="1"/>
      <c r="Z676" s="1"/>
    </row>
    <row r="677" spans="17:26" ht="12.75" customHeight="1">
      <c r="Q677" s="23"/>
      <c r="R677" s="1"/>
      <c r="S677" s="1"/>
      <c r="T677" s="1"/>
      <c r="U677" s="1"/>
      <c r="V677" s="1"/>
      <c r="W677" s="1"/>
      <c r="X677" s="1"/>
      <c r="Y677" s="1"/>
      <c r="Z677" s="1"/>
    </row>
    <row r="678" spans="17:26" ht="12.75" customHeight="1">
      <c r="Q678" s="23"/>
      <c r="R678" s="1"/>
      <c r="S678" s="1"/>
      <c r="T678" s="1"/>
      <c r="U678" s="1"/>
      <c r="V678" s="1"/>
      <c r="W678" s="1"/>
      <c r="X678" s="1"/>
      <c r="Y678" s="1"/>
      <c r="Z678" s="1"/>
    </row>
    <row r="679" spans="17:26" ht="12.75" customHeight="1">
      <c r="Q679" s="23"/>
      <c r="R679" s="1"/>
      <c r="S679" s="1"/>
      <c r="T679" s="1"/>
      <c r="U679" s="1"/>
      <c r="V679" s="1"/>
      <c r="W679" s="1"/>
      <c r="X679" s="1"/>
      <c r="Y679" s="1"/>
      <c r="Z679" s="1"/>
    </row>
    <row r="680" spans="17:26" ht="12.75" customHeight="1">
      <c r="Q680" s="23"/>
      <c r="R680" s="1"/>
      <c r="S680" s="1"/>
      <c r="T680" s="1"/>
      <c r="U680" s="1"/>
      <c r="V680" s="1"/>
      <c r="W680" s="1"/>
      <c r="X680" s="1"/>
      <c r="Y680" s="1"/>
      <c r="Z680" s="1"/>
    </row>
    <row r="681" spans="17:26" ht="12.75" customHeight="1">
      <c r="Q681" s="23"/>
      <c r="R681" s="1"/>
      <c r="S681" s="1"/>
      <c r="T681" s="1"/>
      <c r="U681" s="1"/>
      <c r="V681" s="1"/>
      <c r="W681" s="1"/>
      <c r="X681" s="1"/>
      <c r="Y681" s="1"/>
      <c r="Z681" s="1"/>
    </row>
    <row r="682" spans="17:26" ht="12.75" customHeight="1">
      <c r="Q682" s="23"/>
      <c r="R682" s="1"/>
      <c r="S682" s="1"/>
      <c r="T682" s="1"/>
      <c r="U682" s="1"/>
      <c r="V682" s="1"/>
      <c r="W682" s="1"/>
      <c r="X682" s="1"/>
      <c r="Y682" s="1"/>
      <c r="Z682" s="1"/>
    </row>
    <row r="683" spans="17:26" ht="12.75" customHeight="1">
      <c r="Q683" s="23"/>
      <c r="R683" s="1"/>
      <c r="S683" s="1"/>
      <c r="T683" s="1"/>
      <c r="U683" s="1"/>
      <c r="V683" s="1"/>
      <c r="W683" s="1"/>
      <c r="X683" s="1"/>
      <c r="Y683" s="1"/>
      <c r="Z683" s="1"/>
    </row>
    <row r="684" spans="17:26" ht="12.75" customHeight="1">
      <c r="Q684" s="23"/>
      <c r="R684" s="1"/>
      <c r="S684" s="1"/>
      <c r="T684" s="1"/>
      <c r="U684" s="1"/>
      <c r="V684" s="1"/>
      <c r="W684" s="1"/>
      <c r="X684" s="1"/>
      <c r="Y684" s="1"/>
      <c r="Z684" s="1"/>
    </row>
    <row r="685" spans="17:26" ht="12.75" customHeight="1">
      <c r="Q685" s="23"/>
      <c r="R685" s="1"/>
      <c r="S685" s="1"/>
      <c r="T685" s="1"/>
      <c r="U685" s="1"/>
      <c r="V685" s="1"/>
      <c r="W685" s="1"/>
      <c r="X685" s="1"/>
      <c r="Y685" s="1"/>
      <c r="Z685" s="1"/>
    </row>
    <row r="686" spans="17:26" ht="12.75" customHeight="1">
      <c r="Q686" s="23"/>
      <c r="R686" s="1"/>
      <c r="S686" s="1"/>
      <c r="T686" s="1"/>
      <c r="U686" s="1"/>
      <c r="V686" s="1"/>
      <c r="W686" s="1"/>
      <c r="X686" s="1"/>
      <c r="Y686" s="1"/>
      <c r="Z686" s="1"/>
    </row>
    <row r="687" spans="17:26" ht="12.75" customHeight="1">
      <c r="Q687" s="23"/>
      <c r="R687" s="1"/>
      <c r="S687" s="1"/>
      <c r="T687" s="1"/>
      <c r="U687" s="1"/>
      <c r="V687" s="1"/>
      <c r="W687" s="1"/>
      <c r="X687" s="1"/>
      <c r="Y687" s="1"/>
      <c r="Z687" s="1"/>
    </row>
    <row r="688" spans="17:26" ht="12.75" customHeight="1">
      <c r="Q688" s="23"/>
      <c r="R688" s="1"/>
      <c r="S688" s="1"/>
      <c r="T688" s="1"/>
      <c r="U688" s="1"/>
      <c r="V688" s="1"/>
      <c r="W688" s="1"/>
      <c r="X688" s="1"/>
      <c r="Y688" s="1"/>
      <c r="Z688" s="1"/>
    </row>
    <row r="689" spans="17:26" ht="12.75" customHeight="1">
      <c r="Q689" s="23"/>
      <c r="R689" s="1"/>
      <c r="S689" s="1"/>
      <c r="T689" s="1"/>
      <c r="U689" s="1"/>
      <c r="V689" s="1"/>
      <c r="W689" s="1"/>
      <c r="X689" s="1"/>
      <c r="Y689" s="1"/>
      <c r="Z689" s="1"/>
    </row>
    <row r="690" spans="17:26">
      <c r="Q690" s="23"/>
      <c r="R690" s="1"/>
      <c r="S690" s="1"/>
      <c r="T690" s="1"/>
      <c r="U690" s="1"/>
      <c r="V690" s="1"/>
      <c r="W690" s="1"/>
      <c r="X690" s="1"/>
      <c r="Y690" s="1"/>
      <c r="Z690" s="1"/>
    </row>
    <row r="691" spans="17:26">
      <c r="Q691" s="23"/>
      <c r="R691" s="1"/>
      <c r="S691" s="1"/>
      <c r="T691" s="1"/>
      <c r="U691" s="1"/>
      <c r="V691" s="1"/>
      <c r="W691" s="1"/>
      <c r="X691" s="1"/>
      <c r="Y691" s="1"/>
      <c r="Z691" s="1"/>
    </row>
    <row r="692" spans="17:26">
      <c r="Q692" s="23"/>
      <c r="R692" s="1"/>
      <c r="S692" s="1"/>
      <c r="T692" s="1"/>
      <c r="U692" s="1"/>
      <c r="V692" s="1"/>
      <c r="W692" s="1"/>
      <c r="X692" s="1"/>
      <c r="Y692" s="1"/>
      <c r="Z692" s="1"/>
    </row>
    <row r="693" spans="17:26">
      <c r="Q693" s="23"/>
      <c r="R693" s="1"/>
      <c r="S693" s="1"/>
      <c r="T693" s="1"/>
      <c r="U693" s="1"/>
      <c r="V693" s="1"/>
      <c r="W693" s="1"/>
      <c r="X693" s="1"/>
      <c r="Y693" s="1"/>
      <c r="Z693" s="1"/>
    </row>
    <row r="694" spans="17:26">
      <c r="Q694" s="23"/>
      <c r="R694" s="1"/>
      <c r="S694" s="1"/>
      <c r="T694" s="1"/>
      <c r="U694" s="1"/>
      <c r="V694" s="1"/>
      <c r="W694" s="1"/>
      <c r="X694" s="1"/>
      <c r="Y694" s="1"/>
      <c r="Z694" s="1"/>
    </row>
    <row r="695" spans="17:26">
      <c r="Q695" s="23"/>
      <c r="R695" s="1"/>
      <c r="S695" s="1"/>
      <c r="T695" s="1"/>
      <c r="U695" s="1"/>
      <c r="V695" s="1"/>
      <c r="W695" s="1"/>
      <c r="X695" s="1"/>
      <c r="Y695" s="1"/>
      <c r="Z695" s="1"/>
    </row>
    <row r="696" spans="17:26">
      <c r="Q696" s="23"/>
      <c r="R696" s="1"/>
      <c r="S696" s="1"/>
      <c r="T696" s="1"/>
      <c r="U696" s="1"/>
      <c r="V696" s="1"/>
      <c r="W696" s="1"/>
      <c r="X696" s="1"/>
      <c r="Y696" s="1"/>
      <c r="Z696" s="1"/>
    </row>
    <row r="697" spans="17:26">
      <c r="Q697" s="23"/>
      <c r="R697" s="1"/>
      <c r="S697" s="1"/>
      <c r="T697" s="1"/>
      <c r="U697" s="1"/>
      <c r="V697" s="1"/>
      <c r="W697" s="1"/>
      <c r="X697" s="1"/>
      <c r="Y697" s="1"/>
      <c r="Z697" s="1"/>
    </row>
    <row r="698" spans="17:26">
      <c r="Q698" s="23"/>
      <c r="R698" s="1"/>
      <c r="S698" s="1"/>
      <c r="T698" s="1"/>
      <c r="U698" s="1"/>
      <c r="V698" s="1"/>
      <c r="W698" s="1"/>
      <c r="X698" s="1"/>
      <c r="Y698" s="1"/>
      <c r="Z698" s="1"/>
    </row>
    <row r="699" spans="17:26">
      <c r="Q699" s="23"/>
      <c r="R699" s="1"/>
      <c r="S699" s="1"/>
      <c r="T699" s="1"/>
      <c r="U699" s="1"/>
      <c r="V699" s="1"/>
      <c r="W699" s="1"/>
      <c r="X699" s="1"/>
      <c r="Y699" s="1"/>
      <c r="Z699" s="1"/>
    </row>
    <row r="700" spans="17:26">
      <c r="Q700" s="23"/>
      <c r="R700" s="1"/>
      <c r="S700" s="1"/>
      <c r="T700" s="1"/>
      <c r="U700" s="1"/>
      <c r="V700" s="1"/>
      <c r="W700" s="1"/>
      <c r="X700" s="1"/>
      <c r="Y700" s="1"/>
      <c r="Z700" s="1"/>
    </row>
    <row r="701" spans="17:26">
      <c r="Q701" s="23"/>
      <c r="R701" s="1"/>
      <c r="S701" s="1"/>
      <c r="T701" s="1"/>
      <c r="U701" s="1"/>
      <c r="V701" s="1"/>
      <c r="W701" s="1"/>
      <c r="X701" s="1"/>
      <c r="Y701" s="1"/>
      <c r="Z701" s="1"/>
    </row>
    <row r="702" spans="17:26">
      <c r="Q702" s="23"/>
      <c r="R702" s="1"/>
      <c r="S702" s="1"/>
      <c r="T702" s="1"/>
      <c r="U702" s="1"/>
      <c r="V702" s="1"/>
      <c r="W702" s="1"/>
      <c r="X702" s="1"/>
      <c r="Y702" s="1"/>
      <c r="Z702" s="1"/>
    </row>
    <row r="703" spans="17:26">
      <c r="Q703" s="23"/>
      <c r="R703" s="1"/>
      <c r="S703" s="1"/>
      <c r="T703" s="1"/>
      <c r="U703" s="1"/>
      <c r="V703" s="1"/>
      <c r="W703" s="1"/>
      <c r="X703" s="1"/>
      <c r="Y703" s="1"/>
      <c r="Z703" s="1"/>
    </row>
    <row r="704" spans="17:26">
      <c r="Q704" s="23"/>
      <c r="R704" s="1"/>
      <c r="S704" s="1"/>
      <c r="T704" s="1"/>
      <c r="U704" s="1"/>
      <c r="V704" s="1"/>
      <c r="W704" s="1"/>
      <c r="X704" s="1"/>
      <c r="Y704" s="1"/>
      <c r="Z704" s="1"/>
    </row>
    <row r="705" spans="17:26">
      <c r="Q705" s="23"/>
      <c r="R705" s="1"/>
      <c r="S705" s="1"/>
      <c r="T705" s="1"/>
      <c r="U705" s="1"/>
      <c r="V705" s="1"/>
      <c r="W705" s="1"/>
      <c r="X705" s="1"/>
      <c r="Y705" s="1"/>
      <c r="Z705" s="1"/>
    </row>
    <row r="706" spans="17:26">
      <c r="Q706" s="23"/>
      <c r="R706" s="1"/>
      <c r="S706" s="1"/>
      <c r="T706" s="1"/>
      <c r="U706" s="1"/>
      <c r="V706" s="1"/>
      <c r="W706" s="1"/>
      <c r="X706" s="1"/>
      <c r="Y706" s="1"/>
      <c r="Z706" s="1"/>
    </row>
    <row r="707" spans="17:26">
      <c r="Q707" s="23"/>
      <c r="R707" s="1"/>
      <c r="S707" s="1"/>
      <c r="T707" s="1"/>
      <c r="U707" s="1"/>
      <c r="V707" s="1"/>
      <c r="W707" s="1"/>
      <c r="X707" s="1"/>
      <c r="Y707" s="1"/>
      <c r="Z707" s="1"/>
    </row>
    <row r="708" spans="17:26">
      <c r="Q708" s="23"/>
      <c r="R708" s="1"/>
      <c r="S708" s="1"/>
      <c r="T708" s="1"/>
      <c r="U708" s="1"/>
      <c r="V708" s="1"/>
      <c r="W708" s="1"/>
      <c r="X708" s="1"/>
      <c r="Y708" s="1"/>
      <c r="Z708" s="1"/>
    </row>
    <row r="709" spans="17:26">
      <c r="Q709" s="23"/>
      <c r="R709" s="1"/>
      <c r="S709" s="1"/>
      <c r="T709" s="1"/>
      <c r="U709" s="1"/>
      <c r="V709" s="1"/>
      <c r="W709" s="1"/>
      <c r="X709" s="1"/>
      <c r="Y709" s="1"/>
      <c r="Z709" s="1"/>
    </row>
    <row r="710" spans="17:26">
      <c r="Q710" s="23"/>
      <c r="R710" s="1"/>
      <c r="S710" s="1"/>
      <c r="T710" s="1"/>
      <c r="U710" s="1"/>
      <c r="V710" s="1"/>
      <c r="W710" s="1"/>
      <c r="X710" s="1"/>
      <c r="Y710" s="1"/>
      <c r="Z710" s="1"/>
    </row>
    <row r="711" spans="17:26">
      <c r="Q711" s="23"/>
      <c r="R711" s="1"/>
      <c r="S711" s="1"/>
      <c r="T711" s="1"/>
      <c r="U711" s="1"/>
      <c r="V711" s="1"/>
      <c r="W711" s="1"/>
      <c r="X711" s="1"/>
      <c r="Y711" s="1"/>
      <c r="Z711" s="1"/>
    </row>
    <row r="712" spans="17:26">
      <c r="Q712" s="23"/>
      <c r="R712" s="1"/>
      <c r="S712" s="1"/>
      <c r="T712" s="1"/>
      <c r="U712" s="1"/>
      <c r="V712" s="1"/>
      <c r="W712" s="1"/>
      <c r="X712" s="1"/>
      <c r="Y712" s="1"/>
      <c r="Z712" s="1"/>
    </row>
    <row r="713" spans="17:26">
      <c r="Q713" s="23"/>
      <c r="R713" s="1"/>
      <c r="S713" s="1"/>
      <c r="T713" s="1"/>
      <c r="U713" s="1"/>
      <c r="V713" s="1"/>
      <c r="W713" s="1"/>
      <c r="X713" s="1"/>
      <c r="Y713" s="1"/>
      <c r="Z713" s="1"/>
    </row>
    <row r="714" spans="17:26">
      <c r="Q714" s="23"/>
      <c r="R714" s="1"/>
      <c r="S714" s="1"/>
      <c r="T714" s="1"/>
      <c r="U714" s="1"/>
      <c r="V714" s="1"/>
      <c r="W714" s="1"/>
      <c r="X714" s="1"/>
      <c r="Y714" s="1"/>
      <c r="Z714" s="1"/>
    </row>
    <row r="715" spans="17:26">
      <c r="Q715" s="23"/>
      <c r="R715" s="1"/>
      <c r="S715" s="1"/>
      <c r="T715" s="1"/>
      <c r="U715" s="1"/>
      <c r="V715" s="1"/>
      <c r="W715" s="1"/>
      <c r="X715" s="1"/>
      <c r="Y715" s="1"/>
      <c r="Z715" s="1"/>
    </row>
    <row r="716" spans="17:26">
      <c r="Q716" s="23"/>
      <c r="R716" s="1"/>
      <c r="S716" s="1"/>
      <c r="T716" s="1"/>
      <c r="U716" s="1"/>
      <c r="V716" s="1"/>
      <c r="W716" s="1"/>
      <c r="X716" s="1"/>
      <c r="Y716" s="1"/>
      <c r="Z716" s="1"/>
    </row>
    <row r="717" spans="17:26">
      <c r="Q717" s="23"/>
      <c r="R717" s="1"/>
      <c r="S717" s="1"/>
      <c r="T717" s="1"/>
      <c r="U717" s="1"/>
      <c r="V717" s="1"/>
      <c r="W717" s="1"/>
      <c r="X717" s="1"/>
      <c r="Y717" s="1"/>
      <c r="Z717" s="1"/>
    </row>
    <row r="718" spans="17:26">
      <c r="Q718" s="23"/>
      <c r="R718" s="1"/>
      <c r="S718" s="1"/>
      <c r="T718" s="1"/>
      <c r="U718" s="1"/>
      <c r="V718" s="1"/>
      <c r="W718" s="1"/>
      <c r="X718" s="1"/>
      <c r="Y718" s="1"/>
      <c r="Z718" s="1"/>
    </row>
    <row r="719" spans="17:26">
      <c r="Q719" s="23"/>
      <c r="R719" s="1"/>
      <c r="S719" s="1"/>
      <c r="T719" s="1"/>
      <c r="U719" s="1"/>
      <c r="V719" s="1"/>
      <c r="W719" s="1"/>
      <c r="X719" s="1"/>
      <c r="Y719" s="1"/>
      <c r="Z719" s="1"/>
    </row>
    <row r="720" spans="17:26">
      <c r="Q720" s="23"/>
      <c r="R720" s="1"/>
      <c r="S720" s="1"/>
      <c r="T720" s="1"/>
      <c r="U720" s="1"/>
      <c r="V720" s="1"/>
      <c r="W720" s="1"/>
      <c r="X720" s="1"/>
      <c r="Y720" s="1"/>
      <c r="Z720" s="1"/>
    </row>
    <row r="721" spans="17:26">
      <c r="Q721" s="23"/>
      <c r="R721" s="1"/>
      <c r="S721" s="1"/>
      <c r="T721" s="1"/>
      <c r="U721" s="1"/>
      <c r="V721" s="1"/>
      <c r="W721" s="1"/>
      <c r="X721" s="1"/>
      <c r="Y721" s="1"/>
      <c r="Z721" s="1"/>
    </row>
    <row r="722" spans="17:26">
      <c r="Q722" s="23"/>
      <c r="R722" s="1"/>
      <c r="S722" s="1"/>
      <c r="T722" s="1"/>
      <c r="U722" s="1"/>
      <c r="V722" s="1"/>
      <c r="W722" s="1"/>
      <c r="X722" s="1"/>
      <c r="Y722" s="1"/>
      <c r="Z722" s="1"/>
    </row>
    <row r="723" spans="17:26">
      <c r="Q723" s="23"/>
      <c r="R723" s="1"/>
      <c r="S723" s="1"/>
      <c r="T723" s="1"/>
      <c r="U723" s="1"/>
      <c r="V723" s="1"/>
      <c r="W723" s="1"/>
      <c r="X723" s="1"/>
      <c r="Y723" s="1"/>
      <c r="Z723" s="1"/>
    </row>
    <row r="724" spans="17:26">
      <c r="Q724" s="23"/>
      <c r="R724" s="1"/>
      <c r="S724" s="1"/>
      <c r="T724" s="1"/>
      <c r="U724" s="1"/>
      <c r="V724" s="1"/>
      <c r="W724" s="1"/>
      <c r="X724" s="1"/>
      <c r="Y724" s="1"/>
      <c r="Z724" s="1"/>
    </row>
    <row r="725" spans="17:26">
      <c r="Q725" s="23"/>
      <c r="R725" s="1"/>
      <c r="S725" s="1"/>
      <c r="T725" s="1"/>
      <c r="U725" s="1"/>
      <c r="V725" s="1"/>
      <c r="W725" s="1"/>
      <c r="X725" s="1"/>
      <c r="Y725" s="1"/>
      <c r="Z725" s="1"/>
    </row>
    <row r="726" spans="17:26">
      <c r="Q726" s="23"/>
      <c r="R726" s="1"/>
      <c r="S726" s="1"/>
      <c r="T726" s="1"/>
      <c r="U726" s="1"/>
      <c r="V726" s="1"/>
      <c r="W726" s="1"/>
      <c r="X726" s="1"/>
      <c r="Y726" s="1"/>
      <c r="Z726" s="1"/>
    </row>
    <row r="727" spans="17:26">
      <c r="Q727" s="23"/>
      <c r="R727" s="1"/>
      <c r="S727" s="1"/>
      <c r="T727" s="1"/>
      <c r="U727" s="1"/>
      <c r="V727" s="1"/>
      <c r="W727" s="1"/>
      <c r="X727" s="1"/>
      <c r="Y727" s="1"/>
      <c r="Z727" s="1"/>
    </row>
    <row r="728" spans="17:26">
      <c r="Q728" s="23"/>
      <c r="R728" s="1"/>
      <c r="S728" s="1"/>
      <c r="T728" s="1"/>
      <c r="U728" s="1"/>
      <c r="V728" s="1"/>
      <c r="W728" s="1"/>
      <c r="X728" s="1"/>
      <c r="Y728" s="1"/>
      <c r="Z728" s="1"/>
    </row>
    <row r="729" spans="17:26">
      <c r="Q729" s="23"/>
      <c r="R729" s="1"/>
      <c r="S729" s="1"/>
      <c r="T729" s="1"/>
      <c r="U729" s="1"/>
      <c r="V729" s="1"/>
      <c r="W729" s="1"/>
      <c r="X729" s="1"/>
      <c r="Y729" s="1"/>
      <c r="Z729" s="1"/>
    </row>
    <row r="730" spans="17:26">
      <c r="Q730" s="23"/>
      <c r="R730" s="1"/>
      <c r="S730" s="1"/>
      <c r="T730" s="1"/>
      <c r="U730" s="1"/>
      <c r="V730" s="1"/>
      <c r="W730" s="1"/>
      <c r="X730" s="1"/>
      <c r="Y730" s="1"/>
      <c r="Z730" s="1"/>
    </row>
    <row r="731" spans="17:26">
      <c r="Q731" s="23"/>
      <c r="R731" s="1"/>
      <c r="S731" s="1"/>
      <c r="T731" s="1"/>
      <c r="U731" s="1"/>
      <c r="V731" s="1"/>
      <c r="W731" s="1"/>
      <c r="X731" s="1"/>
      <c r="Y731" s="1"/>
      <c r="Z731" s="1"/>
    </row>
    <row r="732" spans="17:26">
      <c r="Q732" s="23"/>
      <c r="R732" s="1"/>
      <c r="S732" s="1"/>
      <c r="T732" s="1"/>
      <c r="U732" s="1"/>
      <c r="V732" s="1"/>
      <c r="W732" s="1"/>
      <c r="X732" s="1"/>
      <c r="Y732" s="1"/>
      <c r="Z732" s="1"/>
    </row>
    <row r="733" spans="17:26">
      <c r="Q733" s="23"/>
      <c r="R733" s="1"/>
      <c r="S733" s="1"/>
      <c r="T733" s="1"/>
      <c r="U733" s="1"/>
      <c r="V733" s="1"/>
      <c r="W733" s="1"/>
      <c r="X733" s="1"/>
      <c r="Y733" s="1"/>
      <c r="Z733" s="1"/>
    </row>
    <row r="734" spans="17:26">
      <c r="Q734" s="23"/>
      <c r="R734" s="1"/>
      <c r="S734" s="1"/>
      <c r="T734" s="1"/>
      <c r="U734" s="1"/>
      <c r="V734" s="1"/>
      <c r="W734" s="1"/>
      <c r="X734" s="1"/>
      <c r="Y734" s="1"/>
      <c r="Z734" s="1"/>
    </row>
    <row r="735" spans="17:26">
      <c r="Q735" s="23"/>
      <c r="R735" s="1"/>
      <c r="S735" s="1"/>
      <c r="T735" s="1"/>
      <c r="U735" s="1"/>
      <c r="V735" s="1"/>
      <c r="W735" s="1"/>
      <c r="X735" s="1"/>
      <c r="Y735" s="1"/>
      <c r="Z735" s="1"/>
    </row>
    <row r="736" spans="17:26">
      <c r="Q736" s="23"/>
      <c r="R736" s="1"/>
      <c r="S736" s="1"/>
      <c r="T736" s="1"/>
      <c r="U736" s="1"/>
      <c r="V736" s="1"/>
      <c r="W736" s="1"/>
      <c r="X736" s="1"/>
      <c r="Y736" s="1"/>
      <c r="Z736" s="1"/>
    </row>
    <row r="737" spans="17:26">
      <c r="Q737" s="23"/>
      <c r="R737" s="1"/>
      <c r="S737" s="1"/>
      <c r="T737" s="1"/>
      <c r="U737" s="1"/>
      <c r="V737" s="1"/>
      <c r="W737" s="1"/>
      <c r="X737" s="1"/>
      <c r="Y737" s="1"/>
      <c r="Z737" s="1"/>
    </row>
    <row r="738" spans="17:26">
      <c r="Q738" s="23"/>
      <c r="R738" s="1"/>
      <c r="S738" s="1"/>
      <c r="T738" s="1"/>
      <c r="U738" s="1"/>
      <c r="V738" s="1"/>
      <c r="W738" s="1"/>
      <c r="X738" s="1"/>
      <c r="Y738" s="1"/>
      <c r="Z738" s="1"/>
    </row>
    <row r="739" spans="17:26">
      <c r="Q739" s="23"/>
      <c r="R739" s="1"/>
      <c r="S739" s="1"/>
      <c r="T739" s="1"/>
      <c r="U739" s="1"/>
      <c r="V739" s="1"/>
      <c r="W739" s="1"/>
      <c r="X739" s="1"/>
      <c r="Y739" s="1"/>
      <c r="Z739" s="1"/>
    </row>
    <row r="740" spans="17:26">
      <c r="Q740" s="23"/>
      <c r="R740" s="1"/>
      <c r="S740" s="1"/>
      <c r="T740" s="1"/>
      <c r="U740" s="1"/>
      <c r="V740" s="1"/>
      <c r="W740" s="1"/>
      <c r="X740" s="1"/>
      <c r="Y740" s="1"/>
      <c r="Z740" s="1"/>
    </row>
    <row r="741" spans="17:26">
      <c r="Q741" s="23"/>
      <c r="R741" s="1"/>
      <c r="S741" s="1"/>
      <c r="T741" s="1"/>
      <c r="U741" s="1"/>
      <c r="V741" s="1"/>
      <c r="W741" s="1"/>
      <c r="X741" s="1"/>
      <c r="Y741" s="1"/>
      <c r="Z741" s="1"/>
    </row>
    <row r="742" spans="17:26">
      <c r="Q742" s="23"/>
      <c r="R742" s="1"/>
      <c r="S742" s="1"/>
      <c r="T742" s="1"/>
      <c r="U742" s="1"/>
      <c r="V742" s="1"/>
      <c r="W742" s="1"/>
      <c r="X742" s="1"/>
      <c r="Y742" s="1"/>
      <c r="Z742" s="1"/>
    </row>
    <row r="743" spans="17:26">
      <c r="Q743" s="23"/>
      <c r="R743" s="1"/>
      <c r="S743" s="1"/>
      <c r="T743" s="1"/>
      <c r="U743" s="1"/>
      <c r="V743" s="1"/>
      <c r="W743" s="1"/>
      <c r="X743" s="1"/>
      <c r="Y743" s="1"/>
      <c r="Z743" s="1"/>
    </row>
    <row r="744" spans="17:26">
      <c r="Q744" s="23"/>
      <c r="R744" s="1"/>
      <c r="S744" s="1"/>
      <c r="T744" s="1"/>
      <c r="U744" s="1"/>
      <c r="V744" s="1"/>
      <c r="W744" s="1"/>
      <c r="X744" s="1"/>
      <c r="Y744" s="1"/>
      <c r="Z744" s="1"/>
    </row>
    <row r="745" spans="17:26">
      <c r="Q745" s="23"/>
      <c r="R745" s="1"/>
      <c r="S745" s="1"/>
      <c r="T745" s="1"/>
      <c r="U745" s="1"/>
      <c r="V745" s="1"/>
      <c r="W745" s="1"/>
      <c r="X745" s="1"/>
      <c r="Y745" s="1"/>
      <c r="Z745" s="1"/>
    </row>
    <row r="746" spans="17:26">
      <c r="Q746" s="23"/>
      <c r="R746" s="1"/>
      <c r="S746" s="1"/>
      <c r="T746" s="1"/>
      <c r="U746" s="1"/>
      <c r="V746" s="1"/>
      <c r="W746" s="1"/>
      <c r="X746" s="1"/>
      <c r="Y746" s="1"/>
      <c r="Z746" s="1"/>
    </row>
    <row r="747" spans="17:26">
      <c r="Q747" s="23"/>
      <c r="R747" s="1"/>
      <c r="S747" s="1"/>
      <c r="T747" s="1"/>
      <c r="U747" s="1"/>
      <c r="V747" s="1"/>
      <c r="W747" s="1"/>
      <c r="X747" s="1"/>
      <c r="Y747" s="1"/>
      <c r="Z747" s="1"/>
    </row>
    <row r="748" spans="17:26">
      <c r="Q748" s="23"/>
      <c r="R748" s="1"/>
      <c r="S748" s="1"/>
      <c r="T748" s="1"/>
      <c r="U748" s="1"/>
      <c r="V748" s="1"/>
      <c r="W748" s="1"/>
      <c r="X748" s="1"/>
      <c r="Y748" s="1"/>
      <c r="Z748" s="1"/>
    </row>
    <row r="749" spans="17:26">
      <c r="Q749" s="23"/>
      <c r="R749" s="1"/>
      <c r="S749" s="1"/>
      <c r="T749" s="1"/>
      <c r="U749" s="1"/>
      <c r="V749" s="1"/>
      <c r="W749" s="1"/>
      <c r="X749" s="1"/>
      <c r="Y749" s="1"/>
      <c r="Z749" s="1"/>
    </row>
    <row r="750" spans="17:26">
      <c r="Q750" s="23"/>
      <c r="R750" s="1"/>
      <c r="S750" s="1"/>
      <c r="T750" s="1"/>
      <c r="U750" s="1"/>
      <c r="V750" s="1"/>
      <c r="W750" s="1"/>
      <c r="X750" s="1"/>
      <c r="Y750" s="1"/>
      <c r="Z750" s="1"/>
    </row>
    <row r="751" spans="17:26">
      <c r="Q751" s="23"/>
      <c r="R751" s="1"/>
      <c r="S751" s="1"/>
      <c r="T751" s="1"/>
      <c r="U751" s="1"/>
      <c r="V751" s="1"/>
      <c r="W751" s="1"/>
      <c r="X751" s="1"/>
      <c r="Y751" s="1"/>
      <c r="Z751" s="1"/>
    </row>
    <row r="752" spans="17:26">
      <c r="Q752" s="23"/>
      <c r="R752" s="1"/>
      <c r="S752" s="1"/>
      <c r="T752" s="1"/>
      <c r="U752" s="1"/>
      <c r="V752" s="1"/>
      <c r="W752" s="1"/>
      <c r="X752" s="1"/>
      <c r="Y752" s="1"/>
      <c r="Z752" s="1"/>
    </row>
    <row r="753" spans="17:26">
      <c r="Q753" s="23"/>
      <c r="R753" s="1"/>
      <c r="S753" s="1"/>
      <c r="T753" s="1"/>
      <c r="U753" s="1"/>
      <c r="V753" s="1"/>
      <c r="W753" s="1"/>
      <c r="X753" s="1"/>
      <c r="Y753" s="1"/>
      <c r="Z753" s="1"/>
    </row>
    <row r="754" spans="17:26">
      <c r="Q754" s="23"/>
      <c r="R754" s="1"/>
      <c r="S754" s="1"/>
      <c r="T754" s="1"/>
      <c r="U754" s="1"/>
      <c r="V754" s="1"/>
      <c r="W754" s="1"/>
      <c r="X754" s="1"/>
      <c r="Y754" s="1"/>
      <c r="Z754" s="1"/>
    </row>
    <row r="755" spans="17:26">
      <c r="Q755" s="23"/>
      <c r="R755" s="1"/>
      <c r="S755" s="1"/>
      <c r="T755" s="1"/>
      <c r="U755" s="1"/>
      <c r="V755" s="1"/>
      <c r="W755" s="1"/>
      <c r="X755" s="1"/>
      <c r="Y755" s="1"/>
      <c r="Z755" s="1"/>
    </row>
    <row r="756" spans="17:26">
      <c r="Q756" s="23"/>
      <c r="R756" s="1"/>
      <c r="S756" s="1"/>
      <c r="T756" s="1"/>
      <c r="U756" s="1"/>
      <c r="V756" s="1"/>
      <c r="W756" s="1"/>
      <c r="X756" s="1"/>
      <c r="Y756" s="1"/>
      <c r="Z756" s="1"/>
    </row>
    <row r="757" spans="17:26">
      <c r="Q757" s="23"/>
      <c r="R757" s="1"/>
      <c r="S757" s="1"/>
      <c r="T757" s="1"/>
      <c r="U757" s="1"/>
      <c r="V757" s="1"/>
      <c r="W757" s="1"/>
      <c r="X757" s="1"/>
      <c r="Y757" s="1"/>
      <c r="Z757" s="1"/>
    </row>
    <row r="758" spans="17:26">
      <c r="Q758" s="23"/>
      <c r="R758" s="1"/>
      <c r="S758" s="1"/>
      <c r="T758" s="1"/>
      <c r="U758" s="1"/>
      <c r="V758" s="1"/>
      <c r="W758" s="1"/>
      <c r="X758" s="1"/>
      <c r="Y758" s="1"/>
      <c r="Z758" s="1"/>
    </row>
    <row r="759" spans="17:26">
      <c r="Q759" s="23"/>
      <c r="R759" s="1"/>
      <c r="S759" s="1"/>
      <c r="T759" s="1"/>
      <c r="U759" s="1"/>
      <c r="V759" s="1"/>
      <c r="W759" s="1"/>
      <c r="X759" s="1"/>
      <c r="Y759" s="1"/>
      <c r="Z759" s="1"/>
    </row>
    <row r="760" spans="17:26">
      <c r="Q760" s="23"/>
      <c r="R760" s="1"/>
      <c r="S760" s="1"/>
      <c r="T760" s="1"/>
      <c r="U760" s="1"/>
      <c r="V760" s="1"/>
      <c r="W760" s="1"/>
      <c r="X760" s="1"/>
      <c r="Y760" s="1"/>
      <c r="Z760" s="1"/>
    </row>
    <row r="761" spans="17:26">
      <c r="Q761" s="23"/>
      <c r="R761" s="1"/>
      <c r="S761" s="1"/>
      <c r="T761" s="1"/>
      <c r="U761" s="1"/>
      <c r="V761" s="1"/>
      <c r="W761" s="1"/>
      <c r="X761" s="1"/>
      <c r="Y761" s="1"/>
      <c r="Z761" s="1"/>
    </row>
    <row r="762" spans="17:26">
      <c r="Q762" s="23"/>
      <c r="R762" s="1"/>
      <c r="S762" s="1"/>
      <c r="T762" s="1"/>
      <c r="U762" s="1"/>
      <c r="V762" s="1"/>
      <c r="W762" s="1"/>
      <c r="X762" s="1"/>
      <c r="Y762" s="1"/>
      <c r="Z762" s="1"/>
    </row>
    <row r="763" spans="17:26">
      <c r="Q763" s="23"/>
      <c r="R763" s="1"/>
      <c r="S763" s="1"/>
      <c r="T763" s="1"/>
      <c r="U763" s="1"/>
      <c r="V763" s="1"/>
      <c r="W763" s="1"/>
      <c r="X763" s="1"/>
      <c r="Y763" s="1"/>
      <c r="Z763" s="1"/>
    </row>
    <row r="764" spans="17:26">
      <c r="Q764" s="23"/>
      <c r="R764" s="1"/>
      <c r="S764" s="1"/>
      <c r="T764" s="1"/>
      <c r="U764" s="1"/>
      <c r="V764" s="1"/>
      <c r="W764" s="1"/>
      <c r="X764" s="1"/>
      <c r="Y764" s="1"/>
      <c r="Z764" s="1"/>
    </row>
    <row r="765" spans="17:26">
      <c r="Q765" s="23"/>
      <c r="R765" s="1"/>
      <c r="S765" s="1"/>
      <c r="T765" s="1"/>
      <c r="U765" s="1"/>
      <c r="V765" s="1"/>
      <c r="W765" s="1"/>
      <c r="X765" s="1"/>
      <c r="Y765" s="1"/>
      <c r="Z765" s="1"/>
    </row>
    <row r="766" spans="17:26">
      <c r="Q766" s="23"/>
      <c r="R766" s="1"/>
      <c r="S766" s="1"/>
      <c r="T766" s="1"/>
      <c r="U766" s="1"/>
      <c r="V766" s="1"/>
      <c r="W766" s="1"/>
      <c r="X766" s="1"/>
      <c r="Y766" s="1"/>
      <c r="Z766" s="1"/>
    </row>
    <row r="767" spans="17:26">
      <c r="Q767" s="23"/>
      <c r="R767" s="1"/>
      <c r="S767" s="1"/>
      <c r="T767" s="1"/>
      <c r="U767" s="1"/>
      <c r="V767" s="1"/>
      <c r="W767" s="1"/>
      <c r="X767" s="1"/>
      <c r="Y767" s="1"/>
      <c r="Z767" s="1"/>
    </row>
    <row r="768" spans="17:26">
      <c r="Q768" s="23"/>
      <c r="R768" s="1"/>
      <c r="S768" s="1"/>
      <c r="T768" s="1"/>
      <c r="U768" s="1"/>
      <c r="V768" s="1"/>
      <c r="W768" s="1"/>
      <c r="X768" s="1"/>
      <c r="Y768" s="1"/>
      <c r="Z768" s="1"/>
    </row>
    <row r="769" spans="17:26">
      <c r="Q769" s="23"/>
      <c r="R769" s="1"/>
      <c r="S769" s="1"/>
      <c r="T769" s="1"/>
      <c r="U769" s="1"/>
      <c r="V769" s="1"/>
      <c r="W769" s="1"/>
      <c r="X769" s="1"/>
      <c r="Y769" s="1"/>
      <c r="Z769" s="1"/>
    </row>
    <row r="770" spans="17:26">
      <c r="Q770" s="23"/>
      <c r="R770" s="1"/>
      <c r="S770" s="1"/>
      <c r="T770" s="1"/>
      <c r="U770" s="1"/>
      <c r="V770" s="1"/>
      <c r="W770" s="1"/>
      <c r="X770" s="1"/>
      <c r="Y770" s="1"/>
      <c r="Z770" s="1"/>
    </row>
    <row r="771" spans="17:26">
      <c r="Q771" s="23"/>
      <c r="R771" s="1"/>
      <c r="S771" s="1"/>
      <c r="T771" s="1"/>
      <c r="U771" s="1"/>
      <c r="V771" s="1"/>
      <c r="W771" s="1"/>
      <c r="X771" s="1"/>
      <c r="Y771" s="1"/>
      <c r="Z771" s="1"/>
    </row>
    <row r="772" spans="17:26">
      <c r="Q772" s="23"/>
      <c r="R772" s="1"/>
      <c r="S772" s="1"/>
      <c r="T772" s="1"/>
      <c r="U772" s="1"/>
      <c r="V772" s="1"/>
      <c r="W772" s="1"/>
      <c r="X772" s="1"/>
      <c r="Y772" s="1"/>
      <c r="Z772" s="1"/>
    </row>
    <row r="773" spans="17:26">
      <c r="Q773" s="23"/>
      <c r="R773" s="1"/>
      <c r="S773" s="1"/>
      <c r="T773" s="1"/>
      <c r="U773" s="1"/>
      <c r="V773" s="1"/>
      <c r="W773" s="1"/>
      <c r="X773" s="1"/>
      <c r="Y773" s="1"/>
      <c r="Z773" s="1"/>
    </row>
    <row r="774" spans="17:26">
      <c r="Q774" s="23"/>
      <c r="R774" s="1"/>
      <c r="S774" s="1"/>
      <c r="T774" s="1"/>
      <c r="U774" s="1"/>
      <c r="V774" s="1"/>
      <c r="W774" s="1"/>
      <c r="X774" s="1"/>
      <c r="Y774" s="1"/>
      <c r="Z774" s="1"/>
    </row>
    <row r="775" spans="17:26">
      <c r="Q775" s="23"/>
      <c r="R775" s="1"/>
      <c r="S775" s="1"/>
      <c r="T775" s="1"/>
      <c r="U775" s="1"/>
      <c r="V775" s="1"/>
      <c r="W775" s="1"/>
      <c r="X775" s="1"/>
      <c r="Y775" s="1"/>
      <c r="Z775" s="1"/>
    </row>
    <row r="776" spans="17:26">
      <c r="Q776" s="23"/>
      <c r="R776" s="1"/>
      <c r="S776" s="1"/>
      <c r="T776" s="1"/>
      <c r="U776" s="1"/>
      <c r="V776" s="1"/>
      <c r="W776" s="1"/>
      <c r="X776" s="1"/>
      <c r="Y776" s="1"/>
      <c r="Z776" s="1"/>
    </row>
    <row r="777" spans="17:26">
      <c r="Q777" s="23"/>
      <c r="R777" s="1"/>
      <c r="S777" s="1"/>
      <c r="T777" s="1"/>
      <c r="U777" s="1"/>
      <c r="V777" s="1"/>
      <c r="W777" s="1"/>
      <c r="X777" s="1"/>
      <c r="Y777" s="1"/>
      <c r="Z777" s="1"/>
    </row>
    <row r="778" spans="17:26">
      <c r="Q778" s="23"/>
      <c r="R778" s="1"/>
      <c r="S778" s="1"/>
      <c r="T778" s="1"/>
      <c r="U778" s="1"/>
      <c r="V778" s="1"/>
      <c r="W778" s="1"/>
      <c r="X778" s="1"/>
      <c r="Y778" s="1"/>
      <c r="Z778" s="1"/>
    </row>
    <row r="779" spans="17:26">
      <c r="Q779" s="23"/>
      <c r="R779" s="1"/>
      <c r="S779" s="1"/>
      <c r="T779" s="1"/>
      <c r="U779" s="1"/>
      <c r="V779" s="1"/>
      <c r="W779" s="1"/>
      <c r="X779" s="1"/>
      <c r="Y779" s="1"/>
      <c r="Z779" s="1"/>
    </row>
    <row r="780" spans="17:26">
      <c r="Q780" s="23"/>
      <c r="R780" s="1"/>
      <c r="S780" s="1"/>
      <c r="T780" s="1"/>
      <c r="U780" s="1"/>
      <c r="V780" s="1"/>
      <c r="W780" s="1"/>
      <c r="X780" s="1"/>
      <c r="Y780" s="1"/>
      <c r="Z780" s="1"/>
    </row>
    <row r="781" spans="17:26">
      <c r="Q781" s="23"/>
      <c r="R781" s="1"/>
      <c r="S781" s="1"/>
      <c r="T781" s="1"/>
      <c r="U781" s="1"/>
      <c r="V781" s="1"/>
      <c r="W781" s="1"/>
      <c r="X781" s="1"/>
      <c r="Y781" s="1"/>
      <c r="Z781" s="1"/>
    </row>
    <row r="782" spans="17:26">
      <c r="Q782" s="23"/>
      <c r="R782" s="1"/>
      <c r="S782" s="1"/>
      <c r="T782" s="1"/>
      <c r="U782" s="1"/>
      <c r="V782" s="1"/>
      <c r="W782" s="1"/>
      <c r="X782" s="1"/>
      <c r="Y782" s="1"/>
      <c r="Z782" s="1"/>
    </row>
    <row r="783" spans="17:26">
      <c r="Q783" s="23"/>
      <c r="R783" s="1"/>
      <c r="S783" s="1"/>
      <c r="T783" s="1"/>
      <c r="U783" s="1"/>
      <c r="V783" s="1"/>
      <c r="W783" s="1"/>
      <c r="X783" s="1"/>
      <c r="Y783" s="1"/>
      <c r="Z783" s="1"/>
    </row>
    <row r="784" spans="17:26">
      <c r="Q784" s="23"/>
      <c r="R784" s="1"/>
      <c r="S784" s="1"/>
      <c r="T784" s="1"/>
      <c r="U784" s="1"/>
      <c r="V784" s="1"/>
      <c r="W784" s="1"/>
      <c r="X784" s="1"/>
      <c r="Y784" s="1"/>
      <c r="Z784" s="1"/>
    </row>
    <row r="785" spans="17:26">
      <c r="Q785" s="23"/>
      <c r="R785" s="1"/>
      <c r="S785" s="1"/>
      <c r="T785" s="1"/>
      <c r="U785" s="1"/>
      <c r="V785" s="1"/>
      <c r="W785" s="1"/>
      <c r="X785" s="1"/>
      <c r="Y785" s="1"/>
      <c r="Z785" s="1"/>
    </row>
    <row r="786" spans="17:26">
      <c r="Q786" s="23"/>
      <c r="R786" s="1"/>
      <c r="S786" s="1"/>
      <c r="T786" s="1"/>
      <c r="U786" s="1"/>
      <c r="V786" s="1"/>
      <c r="W786" s="1"/>
      <c r="X786" s="1"/>
      <c r="Y786" s="1"/>
      <c r="Z786" s="1"/>
    </row>
    <row r="787" spans="17:26">
      <c r="Q787" s="23"/>
      <c r="R787" s="1"/>
      <c r="S787" s="1"/>
      <c r="T787" s="1"/>
      <c r="U787" s="1"/>
      <c r="V787" s="1"/>
      <c r="W787" s="1"/>
      <c r="X787" s="1"/>
      <c r="Y787" s="1"/>
      <c r="Z787" s="1"/>
    </row>
    <row r="788" spans="17:26">
      <c r="Q788" s="23"/>
      <c r="R788" s="1"/>
      <c r="S788" s="1"/>
      <c r="T788" s="1"/>
      <c r="U788" s="1"/>
      <c r="V788" s="1"/>
      <c r="W788" s="1"/>
      <c r="X788" s="1"/>
      <c r="Y788" s="1"/>
      <c r="Z788" s="1"/>
    </row>
    <row r="789" spans="17:26">
      <c r="Q789" s="23"/>
      <c r="R789" s="1"/>
      <c r="S789" s="1"/>
      <c r="T789" s="1"/>
      <c r="U789" s="1"/>
      <c r="V789" s="1"/>
      <c r="W789" s="1"/>
      <c r="X789" s="1"/>
      <c r="Y789" s="1"/>
      <c r="Z789" s="1"/>
    </row>
    <row r="790" spans="17:26">
      <c r="Q790" s="23"/>
      <c r="R790" s="1"/>
      <c r="S790" s="1"/>
      <c r="T790" s="1"/>
      <c r="U790" s="1"/>
      <c r="V790" s="1"/>
      <c r="W790" s="1"/>
      <c r="X790" s="1"/>
      <c r="Y790" s="1"/>
      <c r="Z790" s="1"/>
    </row>
    <row r="791" spans="17:26">
      <c r="Q791" s="23"/>
      <c r="R791" s="1"/>
      <c r="S791" s="1"/>
      <c r="T791" s="1"/>
      <c r="U791" s="1"/>
      <c r="V791" s="1"/>
      <c r="W791" s="1"/>
      <c r="X791" s="1"/>
      <c r="Y791" s="1"/>
      <c r="Z791" s="1"/>
    </row>
    <row r="792" spans="17:26">
      <c r="Q792" s="23"/>
      <c r="R792" s="1"/>
      <c r="S792" s="1"/>
      <c r="T792" s="1"/>
      <c r="U792" s="1"/>
      <c r="V792" s="1"/>
      <c r="W792" s="1"/>
      <c r="X792" s="1"/>
      <c r="Y792" s="1"/>
      <c r="Z792" s="1"/>
    </row>
    <row r="793" spans="17:26">
      <c r="Q793" s="23"/>
      <c r="R793" s="1"/>
      <c r="S793" s="1"/>
      <c r="T793" s="1"/>
      <c r="U793" s="1"/>
      <c r="V793" s="1"/>
      <c r="W793" s="1"/>
      <c r="X793" s="1"/>
      <c r="Y793" s="1"/>
      <c r="Z793" s="1"/>
    </row>
    <row r="794" spans="17:26">
      <c r="Q794" s="23"/>
      <c r="R794" s="1"/>
      <c r="S794" s="1"/>
      <c r="T794" s="1"/>
      <c r="U794" s="1"/>
      <c r="V794" s="1"/>
      <c r="W794" s="1"/>
      <c r="X794" s="1"/>
      <c r="Y794" s="1"/>
      <c r="Z794" s="1"/>
    </row>
    <row r="795" spans="17:26">
      <c r="Q795" s="23"/>
      <c r="R795" s="1"/>
      <c r="S795" s="1"/>
      <c r="T795" s="1"/>
      <c r="U795" s="1"/>
      <c r="V795" s="1"/>
      <c r="W795" s="1"/>
      <c r="X795" s="1"/>
      <c r="Y795" s="1"/>
      <c r="Z795" s="1"/>
    </row>
    <row r="796" spans="17:26">
      <c r="Q796" s="23"/>
      <c r="R796" s="1"/>
      <c r="S796" s="1"/>
      <c r="T796" s="1"/>
      <c r="U796" s="1"/>
      <c r="V796" s="1"/>
      <c r="W796" s="1"/>
      <c r="X796" s="1"/>
      <c r="Y796" s="1"/>
      <c r="Z796" s="1"/>
    </row>
    <row r="797" spans="17:26">
      <c r="Q797" s="23"/>
      <c r="R797" s="1"/>
      <c r="S797" s="1"/>
      <c r="T797" s="1"/>
      <c r="U797" s="1"/>
      <c r="V797" s="1"/>
      <c r="W797" s="1"/>
      <c r="X797" s="1"/>
      <c r="Y797" s="1"/>
      <c r="Z797" s="1"/>
    </row>
    <row r="798" spans="17:26">
      <c r="Q798" s="23"/>
      <c r="R798" s="1"/>
      <c r="S798" s="1"/>
      <c r="T798" s="1"/>
      <c r="U798" s="1"/>
      <c r="V798" s="1"/>
      <c r="W798" s="1"/>
      <c r="X798" s="1"/>
      <c r="Y798" s="1"/>
      <c r="Z798" s="1"/>
    </row>
    <row r="799" spans="17:26">
      <c r="Q799" s="23"/>
      <c r="R799" s="1"/>
      <c r="S799" s="1"/>
      <c r="T799" s="1"/>
      <c r="U799" s="1"/>
      <c r="V799" s="1"/>
      <c r="W799" s="1"/>
      <c r="X799" s="1"/>
      <c r="Y799" s="1"/>
      <c r="Z799" s="1"/>
    </row>
    <row r="800" spans="17:26">
      <c r="Q800" s="23"/>
      <c r="R800" s="1"/>
      <c r="S800" s="1"/>
      <c r="T800" s="1"/>
      <c r="U800" s="1"/>
      <c r="V800" s="1"/>
      <c r="W800" s="1"/>
      <c r="X800" s="1"/>
      <c r="Y800" s="1"/>
      <c r="Z800" s="1"/>
    </row>
    <row r="801" spans="17:26">
      <c r="Q801" s="23"/>
      <c r="R801" s="1"/>
      <c r="S801" s="1"/>
      <c r="T801" s="1"/>
      <c r="U801" s="1"/>
      <c r="V801" s="1"/>
      <c r="W801" s="1"/>
      <c r="X801" s="1"/>
      <c r="Y801" s="1"/>
      <c r="Z801" s="1"/>
    </row>
    <row r="802" spans="17:26">
      <c r="Q802" s="23"/>
      <c r="R802" s="1"/>
      <c r="S802" s="1"/>
      <c r="T802" s="1"/>
      <c r="U802" s="1"/>
      <c r="V802" s="1"/>
      <c r="W802" s="1"/>
      <c r="X802" s="1"/>
      <c r="Y802" s="1"/>
      <c r="Z802" s="1"/>
    </row>
    <row r="803" spans="17:26">
      <c r="Q803" s="23"/>
      <c r="R803" s="1"/>
      <c r="S803" s="1"/>
      <c r="T803" s="1"/>
      <c r="U803" s="1"/>
      <c r="V803" s="1"/>
      <c r="W803" s="1"/>
      <c r="X803" s="1"/>
      <c r="Y803" s="1"/>
      <c r="Z803" s="1"/>
    </row>
    <row r="804" spans="17:26">
      <c r="Q804" s="23"/>
      <c r="R804" s="1"/>
      <c r="S804" s="1"/>
      <c r="T804" s="1"/>
      <c r="U804" s="1"/>
      <c r="V804" s="1"/>
      <c r="W804" s="1"/>
      <c r="X804" s="1"/>
      <c r="Y804" s="1"/>
      <c r="Z804" s="1"/>
    </row>
    <row r="805" spans="17:26">
      <c r="Q805" s="23"/>
      <c r="R805" s="1"/>
      <c r="S805" s="1"/>
      <c r="T805" s="1"/>
      <c r="U805" s="1"/>
      <c r="V805" s="1"/>
      <c r="W805" s="1"/>
      <c r="X805" s="1"/>
      <c r="Y805" s="1"/>
      <c r="Z805" s="1"/>
    </row>
    <row r="806" spans="17:26">
      <c r="Q806" s="23"/>
      <c r="R806" s="1"/>
      <c r="S806" s="1"/>
      <c r="T806" s="1"/>
      <c r="U806" s="1"/>
      <c r="V806" s="1"/>
      <c r="W806" s="1"/>
      <c r="X806" s="1"/>
      <c r="Y806" s="1"/>
      <c r="Z806" s="1"/>
    </row>
    <row r="807" spans="17:26">
      <c r="Q807" s="23"/>
      <c r="R807" s="1"/>
      <c r="S807" s="1"/>
      <c r="T807" s="1"/>
      <c r="U807" s="1"/>
      <c r="V807" s="1"/>
      <c r="W807" s="1"/>
      <c r="X807" s="1"/>
      <c r="Y807" s="1"/>
      <c r="Z807" s="1"/>
    </row>
    <row r="808" spans="17:26">
      <c r="Q808" s="23"/>
      <c r="R808" s="1"/>
      <c r="S808" s="1"/>
      <c r="T808" s="1"/>
      <c r="U808" s="1"/>
      <c r="V808" s="1"/>
      <c r="W808" s="1"/>
      <c r="X808" s="1"/>
      <c r="Y808" s="1"/>
      <c r="Z808" s="1"/>
    </row>
    <row r="809" spans="17:26">
      <c r="Q809" s="23"/>
      <c r="R809" s="1"/>
      <c r="S809" s="1"/>
      <c r="T809" s="1"/>
      <c r="U809" s="1"/>
      <c r="V809" s="1"/>
      <c r="W809" s="1"/>
      <c r="X809" s="1"/>
      <c r="Y809" s="1"/>
      <c r="Z809" s="1"/>
    </row>
    <row r="810" spans="17:26">
      <c r="Q810" s="23"/>
      <c r="R810" s="1"/>
      <c r="S810" s="1"/>
      <c r="T810" s="1"/>
      <c r="U810" s="1"/>
      <c r="V810" s="1"/>
      <c r="W810" s="1"/>
      <c r="X810" s="1"/>
      <c r="Y810" s="1"/>
      <c r="Z810" s="1"/>
    </row>
    <row r="811" spans="17:26">
      <c r="Q811" s="23"/>
      <c r="R811" s="1"/>
      <c r="S811" s="1"/>
      <c r="T811" s="1"/>
      <c r="U811" s="1"/>
      <c r="V811" s="1"/>
      <c r="W811" s="1"/>
      <c r="X811" s="1"/>
      <c r="Y811" s="1"/>
      <c r="Z811" s="1"/>
    </row>
    <row r="812" spans="17:26">
      <c r="Q812" s="23"/>
      <c r="R812" s="1"/>
      <c r="S812" s="1"/>
      <c r="T812" s="1"/>
      <c r="U812" s="1"/>
      <c r="V812" s="1"/>
      <c r="W812" s="1"/>
      <c r="X812" s="1"/>
      <c r="Y812" s="1"/>
      <c r="Z812" s="1"/>
    </row>
    <row r="813" spans="17:26">
      <c r="Q813" s="23"/>
      <c r="R813" s="1"/>
      <c r="S813" s="1"/>
      <c r="T813" s="1"/>
      <c r="U813" s="1"/>
      <c r="V813" s="1"/>
      <c r="W813" s="1"/>
      <c r="X813" s="1"/>
      <c r="Y813" s="1"/>
      <c r="Z813" s="1"/>
    </row>
    <row r="814" spans="17:26">
      <c r="Q814" s="23"/>
      <c r="R814" s="1"/>
      <c r="S814" s="1"/>
      <c r="T814" s="1"/>
      <c r="U814" s="1"/>
      <c r="V814" s="1"/>
      <c r="W814" s="1"/>
      <c r="X814" s="1"/>
      <c r="Y814" s="1"/>
      <c r="Z814" s="1"/>
    </row>
    <row r="815" spans="17:26">
      <c r="Q815" s="23"/>
      <c r="R815" s="1"/>
      <c r="S815" s="1"/>
      <c r="T815" s="1"/>
      <c r="U815" s="1"/>
      <c r="V815" s="1"/>
      <c r="W815" s="1"/>
      <c r="X815" s="1"/>
      <c r="Y815" s="1"/>
      <c r="Z815" s="1"/>
    </row>
    <row r="816" spans="17:26">
      <c r="Q816" s="23"/>
      <c r="R816" s="1"/>
      <c r="S816" s="1"/>
      <c r="T816" s="1"/>
      <c r="U816" s="1"/>
      <c r="V816" s="1"/>
      <c r="W816" s="1"/>
      <c r="X816" s="1"/>
      <c r="Y816" s="1"/>
      <c r="Z816" s="1"/>
    </row>
    <row r="817" spans="17:26">
      <c r="Q817" s="23"/>
      <c r="R817" s="1"/>
      <c r="S817" s="1"/>
      <c r="T817" s="1"/>
      <c r="U817" s="1"/>
      <c r="V817" s="1"/>
      <c r="W817" s="1"/>
      <c r="X817" s="1"/>
      <c r="Y817" s="1"/>
      <c r="Z817" s="1"/>
    </row>
    <row r="818" spans="17:26">
      <c r="Q818" s="23"/>
      <c r="R818" s="1"/>
      <c r="S818" s="1"/>
      <c r="T818" s="1"/>
      <c r="U818" s="1"/>
      <c r="V818" s="1"/>
      <c r="W818" s="1"/>
      <c r="X818" s="1"/>
      <c r="Y818" s="1"/>
      <c r="Z818" s="1"/>
    </row>
    <row r="819" spans="17:26">
      <c r="Q819" s="23"/>
      <c r="R819" s="1"/>
      <c r="S819" s="1"/>
      <c r="T819" s="1"/>
      <c r="U819" s="1"/>
      <c r="V819" s="1"/>
      <c r="W819" s="1"/>
      <c r="X819" s="1"/>
      <c r="Y819" s="1"/>
      <c r="Z819" s="1"/>
    </row>
    <row r="820" spans="17:26">
      <c r="Q820" s="23"/>
      <c r="R820" s="1"/>
      <c r="S820" s="1"/>
      <c r="T820" s="1"/>
      <c r="U820" s="1"/>
      <c r="V820" s="1"/>
      <c r="W820" s="1"/>
      <c r="X820" s="1"/>
      <c r="Y820" s="1"/>
      <c r="Z820" s="1"/>
    </row>
    <row r="821" spans="17:26">
      <c r="Q821" s="23"/>
      <c r="R821" s="1"/>
      <c r="S821" s="1"/>
      <c r="T821" s="1"/>
      <c r="U821" s="1"/>
      <c r="V821" s="1"/>
      <c r="W821" s="1"/>
      <c r="X821" s="1"/>
      <c r="Y821" s="1"/>
      <c r="Z821" s="1"/>
    </row>
    <row r="822" spans="17:26">
      <c r="Q822" s="23"/>
      <c r="R822" s="1"/>
      <c r="S822" s="1"/>
      <c r="T822" s="1"/>
      <c r="U822" s="1"/>
      <c r="V822" s="1"/>
      <c r="W822" s="1"/>
      <c r="X822" s="1"/>
      <c r="Y822" s="1"/>
      <c r="Z822" s="1"/>
    </row>
    <row r="823" spans="17:26">
      <c r="Q823" s="23"/>
      <c r="R823" s="1"/>
      <c r="S823" s="1"/>
      <c r="T823" s="1"/>
      <c r="U823" s="1"/>
      <c r="V823" s="1"/>
      <c r="W823" s="1"/>
      <c r="X823" s="1"/>
      <c r="Y823" s="1"/>
      <c r="Z823" s="1"/>
    </row>
    <row r="824" spans="17:26">
      <c r="Q824" s="23"/>
      <c r="R824" s="1"/>
      <c r="S824" s="1"/>
      <c r="T824" s="1"/>
      <c r="U824" s="1"/>
      <c r="V824" s="1"/>
      <c r="W824" s="1"/>
      <c r="X824" s="1"/>
      <c r="Y824" s="1"/>
      <c r="Z824" s="1"/>
    </row>
    <row r="825" spans="17:26">
      <c r="Q825" s="23"/>
      <c r="R825" s="1"/>
      <c r="S825" s="1"/>
      <c r="T825" s="1"/>
      <c r="U825" s="1"/>
      <c r="V825" s="1"/>
      <c r="W825" s="1"/>
      <c r="X825" s="1"/>
      <c r="Y825" s="1"/>
      <c r="Z825" s="1"/>
    </row>
    <row r="826" spans="17:26">
      <c r="Q826" s="23"/>
      <c r="R826" s="1"/>
      <c r="S826" s="1"/>
      <c r="T826" s="1"/>
      <c r="U826" s="1"/>
      <c r="V826" s="1"/>
      <c r="W826" s="1"/>
      <c r="X826" s="1"/>
      <c r="Y826" s="1"/>
      <c r="Z826" s="1"/>
    </row>
    <row r="827" spans="17:26">
      <c r="Q827" s="23"/>
      <c r="R827" s="1"/>
      <c r="S827" s="1"/>
      <c r="T827" s="1"/>
      <c r="U827" s="1"/>
      <c r="V827" s="1"/>
      <c r="W827" s="1"/>
      <c r="X827" s="1"/>
      <c r="Y827" s="1"/>
      <c r="Z827" s="1"/>
    </row>
    <row r="828" spans="17:26">
      <c r="Q828" s="23"/>
      <c r="R828" s="1"/>
      <c r="S828" s="1"/>
      <c r="T828" s="1"/>
      <c r="U828" s="1"/>
      <c r="V828" s="1"/>
      <c r="W828" s="1"/>
      <c r="X828" s="1"/>
      <c r="Y828" s="1"/>
      <c r="Z828" s="1"/>
    </row>
    <row r="829" spans="17:26">
      <c r="Q829" s="23"/>
      <c r="R829" s="1"/>
      <c r="S829" s="1"/>
      <c r="T829" s="1"/>
      <c r="U829" s="1"/>
      <c r="V829" s="1"/>
      <c r="W829" s="1"/>
      <c r="X829" s="1"/>
      <c r="Y829" s="1"/>
      <c r="Z829" s="1"/>
    </row>
    <row r="830" spans="17:26">
      <c r="Q830" s="23"/>
      <c r="R830" s="1"/>
      <c r="S830" s="1"/>
      <c r="T830" s="1"/>
      <c r="U830" s="1"/>
      <c r="V830" s="1"/>
      <c r="W830" s="1"/>
      <c r="X830" s="1"/>
      <c r="Y830" s="1"/>
      <c r="Z830" s="1"/>
    </row>
    <row r="831" spans="17:26">
      <c r="Q831" s="23"/>
      <c r="R831" s="1"/>
      <c r="S831" s="1"/>
      <c r="T831" s="1"/>
      <c r="U831" s="1"/>
      <c r="V831" s="1"/>
      <c r="W831" s="1"/>
      <c r="X831" s="1"/>
      <c r="Y831" s="1"/>
      <c r="Z831" s="1"/>
    </row>
    <row r="832" spans="17:26">
      <c r="Q832" s="23"/>
      <c r="R832" s="1"/>
      <c r="S832" s="1"/>
      <c r="T832" s="1"/>
      <c r="U832" s="1"/>
      <c r="V832" s="1"/>
      <c r="W832" s="1"/>
      <c r="X832" s="1"/>
      <c r="Y832" s="1"/>
      <c r="Z832" s="1"/>
    </row>
    <row r="833" spans="17:26">
      <c r="Q833" s="23"/>
      <c r="R833" s="1"/>
      <c r="S833" s="1"/>
      <c r="T833" s="1"/>
      <c r="U833" s="1"/>
      <c r="V833" s="1"/>
      <c r="W833" s="1"/>
      <c r="X833" s="1"/>
      <c r="Y833" s="1"/>
      <c r="Z833" s="1"/>
    </row>
    <row r="834" spans="17:26">
      <c r="Q834" s="23"/>
      <c r="R834" s="1"/>
      <c r="S834" s="1"/>
      <c r="T834" s="1"/>
      <c r="U834" s="1"/>
      <c r="V834" s="1"/>
      <c r="W834" s="1"/>
      <c r="X834" s="1"/>
      <c r="Y834" s="1"/>
      <c r="Z834" s="1"/>
    </row>
    <row r="835" spans="17:26">
      <c r="Q835" s="23"/>
      <c r="R835" s="1"/>
      <c r="S835" s="1"/>
      <c r="T835" s="1"/>
      <c r="U835" s="1"/>
      <c r="V835" s="1"/>
      <c r="W835" s="1"/>
      <c r="X835" s="1"/>
      <c r="Y835" s="1"/>
      <c r="Z835" s="1"/>
    </row>
    <row r="836" spans="17:26">
      <c r="Q836" s="23"/>
      <c r="R836" s="1"/>
      <c r="S836" s="1"/>
      <c r="T836" s="1"/>
      <c r="U836" s="1"/>
      <c r="V836" s="1"/>
      <c r="W836" s="1"/>
      <c r="X836" s="1"/>
      <c r="Y836" s="1"/>
      <c r="Z836" s="1"/>
    </row>
    <row r="837" spans="17:26">
      <c r="Q837" s="23"/>
      <c r="R837" s="1"/>
      <c r="S837" s="1"/>
      <c r="T837" s="1"/>
      <c r="U837" s="1"/>
      <c r="V837" s="1"/>
      <c r="W837" s="1"/>
      <c r="X837" s="1"/>
      <c r="Y837" s="1"/>
      <c r="Z837" s="1"/>
    </row>
    <row r="838" spans="17:26">
      <c r="Q838" s="23"/>
      <c r="R838" s="1"/>
      <c r="S838" s="1"/>
      <c r="T838" s="1"/>
      <c r="U838" s="1"/>
      <c r="V838" s="1"/>
      <c r="W838" s="1"/>
      <c r="X838" s="1"/>
      <c r="Y838" s="1"/>
      <c r="Z838" s="1"/>
    </row>
    <row r="839" spans="17:26">
      <c r="Q839" s="23"/>
      <c r="R839" s="1"/>
      <c r="S839" s="1"/>
      <c r="T839" s="1"/>
      <c r="U839" s="1"/>
      <c r="V839" s="1"/>
      <c r="W839" s="1"/>
      <c r="X839" s="1"/>
      <c r="Y839" s="1"/>
      <c r="Z839" s="1"/>
    </row>
    <row r="840" spans="17:26">
      <c r="Q840" s="23"/>
      <c r="R840" s="1"/>
      <c r="S840" s="1"/>
      <c r="T840" s="1"/>
      <c r="U840" s="1"/>
      <c r="V840" s="1"/>
      <c r="W840" s="1"/>
      <c r="X840" s="1"/>
      <c r="Y840" s="1"/>
      <c r="Z840" s="1"/>
    </row>
    <row r="841" spans="17:26">
      <c r="Q841" s="23"/>
      <c r="R841" s="1"/>
      <c r="S841" s="1"/>
      <c r="T841" s="1"/>
      <c r="U841" s="1"/>
      <c r="V841" s="1"/>
      <c r="W841" s="1"/>
      <c r="X841" s="1"/>
      <c r="Y841" s="1"/>
      <c r="Z841" s="1"/>
    </row>
    <row r="842" spans="17:26">
      <c r="Q842" s="23"/>
      <c r="R842" s="1"/>
      <c r="S842" s="1"/>
      <c r="T842" s="1"/>
      <c r="U842" s="1"/>
      <c r="V842" s="1"/>
      <c r="W842" s="1"/>
      <c r="X842" s="1"/>
      <c r="Y842" s="1"/>
      <c r="Z842" s="1"/>
    </row>
    <row r="843" spans="17:26">
      <c r="Q843" s="23"/>
      <c r="R843" s="1"/>
      <c r="S843" s="1"/>
      <c r="T843" s="1"/>
      <c r="U843" s="1"/>
      <c r="V843" s="1"/>
      <c r="W843" s="1"/>
      <c r="X843" s="1"/>
      <c r="Y843" s="1"/>
      <c r="Z843" s="1"/>
    </row>
    <row r="844" spans="17:26">
      <c r="Q844" s="23"/>
      <c r="R844" s="1"/>
      <c r="S844" s="1"/>
      <c r="T844" s="1"/>
      <c r="U844" s="1"/>
      <c r="V844" s="1"/>
      <c r="W844" s="1"/>
      <c r="X844" s="1"/>
      <c r="Y844" s="1"/>
      <c r="Z844" s="1"/>
    </row>
    <row r="845" spans="17:26">
      <c r="Q845" s="23"/>
      <c r="R845" s="1"/>
      <c r="S845" s="1"/>
      <c r="T845" s="1"/>
      <c r="U845" s="1"/>
      <c r="V845" s="1"/>
      <c r="W845" s="1"/>
      <c r="X845" s="1"/>
      <c r="Y845" s="1"/>
      <c r="Z845" s="1"/>
    </row>
    <row r="846" spans="17:26">
      <c r="Q846" s="23"/>
      <c r="R846" s="1"/>
      <c r="S846" s="1"/>
      <c r="T846" s="1"/>
      <c r="U846" s="1"/>
      <c r="V846" s="1"/>
      <c r="W846" s="1"/>
      <c r="X846" s="1"/>
      <c r="Y846" s="1"/>
      <c r="Z846" s="1"/>
    </row>
    <row r="847" spans="17:26">
      <c r="Q847" s="23"/>
      <c r="R847" s="1"/>
      <c r="S847" s="1"/>
      <c r="T847" s="1"/>
      <c r="U847" s="1"/>
      <c r="V847" s="1"/>
      <c r="W847" s="1"/>
      <c r="X847" s="1"/>
      <c r="Y847" s="1"/>
      <c r="Z847" s="1"/>
    </row>
    <row r="848" spans="17:26">
      <c r="Q848" s="23"/>
      <c r="R848" s="1"/>
      <c r="S848" s="1"/>
      <c r="T848" s="1"/>
      <c r="U848" s="1"/>
      <c r="V848" s="1"/>
      <c r="W848" s="1"/>
      <c r="X848" s="1"/>
      <c r="Y848" s="1"/>
      <c r="Z848" s="1"/>
    </row>
    <row r="849" spans="17:26">
      <c r="Q849" s="23"/>
      <c r="R849" s="1"/>
      <c r="S849" s="1"/>
      <c r="T849" s="1"/>
      <c r="U849" s="1"/>
      <c r="V849" s="1"/>
      <c r="W849" s="1"/>
      <c r="X849" s="1"/>
      <c r="Y849" s="1"/>
      <c r="Z849" s="1"/>
    </row>
    <row r="850" spans="17:26">
      <c r="Q850" s="23"/>
      <c r="R850" s="1"/>
      <c r="S850" s="1"/>
      <c r="T850" s="1"/>
      <c r="U850" s="1"/>
      <c r="V850" s="1"/>
      <c r="W850" s="1"/>
      <c r="X850" s="1"/>
      <c r="Y850" s="1"/>
      <c r="Z850" s="1"/>
    </row>
    <row r="851" spans="17:26">
      <c r="Q851" s="23"/>
      <c r="R851" s="1"/>
      <c r="S851" s="1"/>
      <c r="T851" s="1"/>
      <c r="U851" s="1"/>
      <c r="V851" s="1"/>
      <c r="W851" s="1"/>
      <c r="X851" s="1"/>
      <c r="Y851" s="1"/>
      <c r="Z851" s="1"/>
    </row>
    <row r="852" spans="17:26">
      <c r="Q852" s="23"/>
      <c r="R852" s="1"/>
      <c r="S852" s="1"/>
      <c r="T852" s="1"/>
      <c r="U852" s="1"/>
      <c r="V852" s="1"/>
      <c r="W852" s="1"/>
      <c r="X852" s="1"/>
      <c r="Y852" s="1"/>
      <c r="Z852" s="1"/>
    </row>
    <row r="853" spans="17:26">
      <c r="Q853" s="23"/>
      <c r="R853" s="1"/>
      <c r="S853" s="1"/>
      <c r="T853" s="1"/>
      <c r="U853" s="1"/>
      <c r="V853" s="1"/>
      <c r="W853" s="1"/>
      <c r="X853" s="1"/>
      <c r="Y853" s="1"/>
      <c r="Z853" s="1"/>
    </row>
    <row r="854" spans="17:26">
      <c r="Q854" s="23"/>
      <c r="R854" s="1"/>
      <c r="S854" s="1"/>
      <c r="T854" s="1"/>
      <c r="U854" s="1"/>
      <c r="V854" s="1"/>
      <c r="W854" s="1"/>
      <c r="X854" s="1"/>
      <c r="Y854" s="1"/>
      <c r="Z854" s="1"/>
    </row>
    <row r="855" spans="17:26">
      <c r="Q855" s="23"/>
      <c r="R855" s="1"/>
      <c r="S855" s="1"/>
      <c r="T855" s="1"/>
      <c r="U855" s="1"/>
      <c r="V855" s="1"/>
      <c r="W855" s="1"/>
      <c r="X855" s="1"/>
      <c r="Y855" s="1"/>
      <c r="Z855" s="1"/>
    </row>
    <row r="856" spans="17:26">
      <c r="Q856" s="23"/>
      <c r="R856" s="1"/>
      <c r="S856" s="1"/>
      <c r="T856" s="1"/>
      <c r="U856" s="1"/>
      <c r="V856" s="1"/>
      <c r="W856" s="1"/>
      <c r="X856" s="1"/>
      <c r="Y856" s="1"/>
      <c r="Z856" s="1"/>
    </row>
    <row r="857" spans="17:26">
      <c r="Q857" s="23"/>
      <c r="R857" s="1"/>
      <c r="S857" s="1"/>
      <c r="T857" s="1"/>
      <c r="U857" s="1"/>
      <c r="V857" s="1"/>
      <c r="W857" s="1"/>
      <c r="X857" s="1"/>
      <c r="Y857" s="1"/>
      <c r="Z857" s="1"/>
    </row>
    <row r="858" spans="17:26">
      <c r="Q858" s="23"/>
      <c r="R858" s="1"/>
      <c r="S858" s="1"/>
      <c r="T858" s="1"/>
      <c r="U858" s="1"/>
      <c r="V858" s="1"/>
      <c r="W858" s="1"/>
      <c r="X858" s="1"/>
      <c r="Y858" s="1"/>
      <c r="Z858" s="1"/>
    </row>
    <row r="859" spans="17:26">
      <c r="Q859" s="23"/>
      <c r="R859" s="1"/>
      <c r="S859" s="1"/>
      <c r="T859" s="1"/>
      <c r="U859" s="1"/>
      <c r="V859" s="1"/>
      <c r="W859" s="1"/>
      <c r="X859" s="1"/>
      <c r="Y859" s="1"/>
      <c r="Z859" s="1"/>
    </row>
    <row r="860" spans="17:26">
      <c r="Q860" s="23"/>
      <c r="R860" s="1"/>
      <c r="S860" s="1"/>
      <c r="T860" s="1"/>
      <c r="U860" s="1"/>
      <c r="V860" s="1"/>
      <c r="W860" s="1"/>
      <c r="X860" s="1"/>
      <c r="Y860" s="1"/>
      <c r="Z860" s="1"/>
    </row>
    <row r="861" spans="17:26">
      <c r="Q861" s="23"/>
      <c r="R861" s="1"/>
      <c r="S861" s="1"/>
      <c r="T861" s="1"/>
      <c r="U861" s="1"/>
      <c r="V861" s="1"/>
      <c r="W861" s="1"/>
      <c r="X861" s="1"/>
      <c r="Y861" s="1"/>
      <c r="Z861" s="1"/>
    </row>
    <row r="862" spans="17:26">
      <c r="Q862" s="23"/>
      <c r="R862" s="1"/>
      <c r="S862" s="1"/>
      <c r="T862" s="1"/>
      <c r="U862" s="1"/>
      <c r="V862" s="1"/>
      <c r="W862" s="1"/>
      <c r="X862" s="1"/>
      <c r="Y862" s="1"/>
      <c r="Z862" s="1"/>
    </row>
    <row r="863" spans="17:26">
      <c r="Q863" s="23"/>
      <c r="R863" s="1"/>
      <c r="S863" s="1"/>
      <c r="T863" s="1"/>
      <c r="U863" s="1"/>
      <c r="V863" s="1"/>
      <c r="W863" s="1"/>
      <c r="X863" s="1"/>
      <c r="Y863" s="1"/>
      <c r="Z863" s="1"/>
    </row>
    <row r="864" spans="17:26">
      <c r="Q864" s="23"/>
      <c r="R864" s="1"/>
      <c r="S864" s="1"/>
      <c r="T864" s="1"/>
      <c r="U864" s="1"/>
      <c r="V864" s="1"/>
      <c r="W864" s="1"/>
      <c r="X864" s="1"/>
      <c r="Y864" s="1"/>
      <c r="Z864" s="1"/>
    </row>
    <row r="865" spans="17:26">
      <c r="Q865" s="23"/>
      <c r="R865" s="1"/>
      <c r="S865" s="1"/>
      <c r="T865" s="1"/>
      <c r="U865" s="1"/>
      <c r="V865" s="1"/>
      <c r="W865" s="1"/>
      <c r="X865" s="1"/>
      <c r="Y865" s="1"/>
      <c r="Z865" s="1"/>
    </row>
    <row r="866" spans="17:26">
      <c r="Q866" s="23"/>
      <c r="R866" s="1"/>
      <c r="S866" s="1"/>
      <c r="T866" s="1"/>
      <c r="U866" s="1"/>
      <c r="V866" s="1"/>
      <c r="W866" s="1"/>
      <c r="X866" s="1"/>
      <c r="Y866" s="1"/>
      <c r="Z866" s="1"/>
    </row>
    <row r="867" spans="17:26">
      <c r="Q867" s="23"/>
      <c r="R867" s="1"/>
      <c r="S867" s="1"/>
      <c r="T867" s="1"/>
      <c r="U867" s="1"/>
      <c r="V867" s="1"/>
      <c r="W867" s="1"/>
      <c r="X867" s="1"/>
      <c r="Y867" s="1"/>
      <c r="Z867" s="1"/>
    </row>
    <row r="868" spans="17:26">
      <c r="Q868" s="23"/>
      <c r="R868" s="1"/>
      <c r="S868" s="1"/>
      <c r="T868" s="1"/>
      <c r="U868" s="1"/>
      <c r="V868" s="1"/>
      <c r="W868" s="1"/>
      <c r="X868" s="1"/>
      <c r="Y868" s="1"/>
      <c r="Z868" s="1"/>
    </row>
    <row r="869" spans="17:26">
      <c r="Q869" s="23"/>
      <c r="R869" s="1"/>
      <c r="S869" s="1"/>
      <c r="T869" s="1"/>
      <c r="U869" s="1"/>
      <c r="V869" s="1"/>
      <c r="W869" s="1"/>
      <c r="X869" s="1"/>
      <c r="Y869" s="1"/>
      <c r="Z869" s="1"/>
    </row>
    <row r="870" spans="17:26">
      <c r="Q870" s="23"/>
      <c r="R870" s="1"/>
      <c r="S870" s="1"/>
      <c r="T870" s="1"/>
      <c r="U870" s="1"/>
      <c r="V870" s="1"/>
      <c r="W870" s="1"/>
      <c r="X870" s="1"/>
      <c r="Y870" s="1"/>
      <c r="Z870" s="1"/>
    </row>
    <row r="871" spans="17:26">
      <c r="Q871" s="23"/>
      <c r="R871" s="1"/>
      <c r="S871" s="1"/>
      <c r="T871" s="1"/>
      <c r="U871" s="1"/>
      <c r="V871" s="1"/>
      <c r="W871" s="1"/>
      <c r="X871" s="1"/>
      <c r="Y871" s="1"/>
      <c r="Z871" s="1"/>
    </row>
    <row r="872" spans="17:26">
      <c r="Q872" s="23"/>
      <c r="R872" s="1"/>
      <c r="S872" s="1"/>
      <c r="T872" s="1"/>
      <c r="U872" s="1"/>
      <c r="V872" s="1"/>
      <c r="W872" s="1"/>
      <c r="X872" s="1"/>
      <c r="Y872" s="1"/>
      <c r="Z872" s="1"/>
    </row>
    <row r="873" spans="17:26">
      <c r="Q873" s="23"/>
      <c r="R873" s="1"/>
      <c r="S873" s="1"/>
      <c r="T873" s="1"/>
      <c r="U873" s="1"/>
      <c r="V873" s="1"/>
      <c r="W873" s="1"/>
      <c r="X873" s="1"/>
      <c r="Y873" s="1"/>
      <c r="Z873" s="1"/>
    </row>
    <row r="874" spans="17:26">
      <c r="Q874" s="23"/>
      <c r="R874" s="1"/>
      <c r="S874" s="1"/>
      <c r="T874" s="1"/>
      <c r="U874" s="1"/>
      <c r="V874" s="1"/>
      <c r="W874" s="1"/>
      <c r="X874" s="1"/>
      <c r="Y874" s="1"/>
      <c r="Z874" s="1"/>
    </row>
    <row r="875" spans="17:26">
      <c r="Q875" s="23"/>
      <c r="R875" s="1"/>
      <c r="S875" s="1"/>
      <c r="T875" s="1"/>
      <c r="U875" s="1"/>
      <c r="V875" s="1"/>
      <c r="W875" s="1"/>
      <c r="X875" s="1"/>
      <c r="Y875" s="1"/>
      <c r="Z875" s="1"/>
    </row>
    <row r="876" spans="17:26">
      <c r="Q876" s="23"/>
      <c r="R876" s="1"/>
      <c r="S876" s="1"/>
      <c r="T876" s="1"/>
      <c r="U876" s="1"/>
      <c r="V876" s="1"/>
      <c r="W876" s="1"/>
      <c r="X876" s="1"/>
      <c r="Y876" s="1"/>
      <c r="Z876" s="1"/>
    </row>
    <row r="877" spans="17:26">
      <c r="Q877" s="23"/>
      <c r="R877" s="1"/>
      <c r="S877" s="1"/>
      <c r="T877" s="1"/>
      <c r="U877" s="1"/>
      <c r="V877" s="1"/>
      <c r="W877" s="1"/>
      <c r="X877" s="1"/>
      <c r="Y877" s="1"/>
      <c r="Z877" s="1"/>
    </row>
    <row r="878" spans="17:26">
      <c r="Q878" s="23"/>
      <c r="R878" s="1"/>
      <c r="S878" s="1"/>
      <c r="T878" s="1"/>
      <c r="U878" s="1"/>
      <c r="V878" s="1"/>
      <c r="W878" s="1"/>
      <c r="X878" s="1"/>
      <c r="Y878" s="1"/>
      <c r="Z878" s="1"/>
    </row>
    <row r="879" spans="17:26">
      <c r="Q879" s="23"/>
      <c r="R879" s="1"/>
      <c r="S879" s="1"/>
      <c r="T879" s="1"/>
      <c r="U879" s="1"/>
      <c r="V879" s="1"/>
      <c r="W879" s="1"/>
      <c r="X879" s="1"/>
      <c r="Y879" s="1"/>
      <c r="Z879" s="1"/>
    </row>
    <row r="880" spans="17:26">
      <c r="Q880" s="23"/>
      <c r="R880" s="1"/>
      <c r="S880" s="1"/>
      <c r="T880" s="1"/>
      <c r="U880" s="1"/>
      <c r="V880" s="1"/>
      <c r="W880" s="1"/>
      <c r="X880" s="1"/>
      <c r="Y880" s="1"/>
      <c r="Z880" s="1"/>
    </row>
    <row r="881" spans="17:26">
      <c r="Q881" s="23"/>
      <c r="R881" s="1"/>
      <c r="S881" s="1"/>
      <c r="T881" s="1"/>
      <c r="U881" s="1"/>
      <c r="V881" s="1"/>
      <c r="W881" s="1"/>
      <c r="X881" s="1"/>
      <c r="Y881" s="1"/>
      <c r="Z881" s="1"/>
    </row>
    <row r="882" spans="17:26">
      <c r="Q882" s="23"/>
      <c r="R882" s="1"/>
      <c r="S882" s="1"/>
      <c r="T882" s="1"/>
      <c r="U882" s="1"/>
      <c r="V882" s="1"/>
      <c r="W882" s="1"/>
      <c r="X882" s="1"/>
      <c r="Y882" s="1"/>
      <c r="Z882" s="1"/>
    </row>
    <row r="883" spans="17:26">
      <c r="Q883" s="23"/>
      <c r="R883" s="1"/>
      <c r="S883" s="1"/>
      <c r="T883" s="1"/>
      <c r="U883" s="1"/>
      <c r="V883" s="1"/>
      <c r="W883" s="1"/>
      <c r="X883" s="1"/>
      <c r="Y883" s="1"/>
      <c r="Z883" s="1"/>
    </row>
    <row r="884" spans="17:26">
      <c r="Q884" s="23"/>
      <c r="R884" s="1"/>
      <c r="S884" s="1"/>
      <c r="T884" s="1"/>
      <c r="U884" s="1"/>
      <c r="V884" s="1"/>
      <c r="W884" s="1"/>
      <c r="X884" s="1"/>
      <c r="Y884" s="1"/>
      <c r="Z884" s="1"/>
    </row>
    <row r="885" spans="17:26">
      <c r="Q885" s="23"/>
      <c r="R885" s="1"/>
      <c r="S885" s="1"/>
      <c r="T885" s="1"/>
      <c r="U885" s="1"/>
      <c r="V885" s="1"/>
      <c r="W885" s="1"/>
      <c r="X885" s="1"/>
      <c r="Y885" s="1"/>
      <c r="Z885" s="1"/>
    </row>
    <row r="886" spans="17:26">
      <c r="Q886" s="23"/>
      <c r="R886" s="1"/>
      <c r="S886" s="1"/>
      <c r="T886" s="1"/>
      <c r="U886" s="1"/>
      <c r="V886" s="1"/>
      <c r="W886" s="1"/>
      <c r="X886" s="1"/>
      <c r="Y886" s="1"/>
      <c r="Z886" s="1"/>
    </row>
    <row r="887" spans="17:26">
      <c r="Q887" s="23"/>
      <c r="R887" s="1"/>
      <c r="S887" s="1"/>
      <c r="T887" s="1"/>
      <c r="U887" s="1"/>
      <c r="V887" s="1"/>
      <c r="W887" s="1"/>
      <c r="X887" s="1"/>
      <c r="Y887" s="1"/>
      <c r="Z887" s="1"/>
    </row>
    <row r="888" spans="17:26">
      <c r="Q888" s="23"/>
      <c r="R888" s="1"/>
      <c r="S888" s="1"/>
      <c r="T888" s="1"/>
      <c r="U888" s="1"/>
      <c r="V888" s="1"/>
      <c r="W888" s="1"/>
      <c r="X888" s="1"/>
      <c r="Y888" s="1"/>
      <c r="Z888" s="1"/>
    </row>
    <row r="889" spans="17:26">
      <c r="Q889" s="23"/>
      <c r="R889" s="1"/>
      <c r="S889" s="1"/>
      <c r="T889" s="1"/>
      <c r="U889" s="1"/>
      <c r="V889" s="1"/>
      <c r="W889" s="1"/>
      <c r="X889" s="1"/>
      <c r="Y889" s="1"/>
      <c r="Z889" s="1"/>
    </row>
    <row r="890" spans="17:26">
      <c r="Q890" s="23"/>
      <c r="R890" s="1"/>
      <c r="S890" s="1"/>
      <c r="T890" s="1"/>
      <c r="U890" s="1"/>
      <c r="V890" s="1"/>
      <c r="W890" s="1"/>
      <c r="X890" s="1"/>
      <c r="Y890" s="1"/>
      <c r="Z890" s="1"/>
    </row>
    <row r="891" spans="17:26">
      <c r="Q891" s="23"/>
      <c r="R891" s="1"/>
      <c r="S891" s="1"/>
      <c r="T891" s="1"/>
      <c r="U891" s="1"/>
      <c r="V891" s="1"/>
      <c r="W891" s="1"/>
      <c r="X891" s="1"/>
      <c r="Y891" s="1"/>
      <c r="Z891" s="1"/>
    </row>
    <row r="892" spans="17:26">
      <c r="Q892" s="23"/>
      <c r="R892" s="1"/>
      <c r="S892" s="1"/>
      <c r="T892" s="1"/>
      <c r="U892" s="1"/>
      <c r="V892" s="1"/>
      <c r="W892" s="1"/>
      <c r="X892" s="1"/>
      <c r="Y892" s="1"/>
      <c r="Z892" s="1"/>
    </row>
    <row r="893" spans="17:26">
      <c r="Q893" s="23"/>
      <c r="R893" s="1"/>
      <c r="S893" s="1"/>
      <c r="T893" s="1"/>
      <c r="U893" s="1"/>
      <c r="V893" s="1"/>
      <c r="W893" s="1"/>
      <c r="X893" s="1"/>
      <c r="Y893" s="1"/>
      <c r="Z893" s="1"/>
    </row>
    <row r="894" spans="17:26">
      <c r="Q894" s="23"/>
      <c r="R894" s="1"/>
      <c r="S894" s="1"/>
      <c r="T894" s="1"/>
      <c r="U894" s="1"/>
      <c r="V894" s="1"/>
      <c r="W894" s="1"/>
      <c r="X894" s="1"/>
      <c r="Y894" s="1"/>
      <c r="Z894" s="1"/>
    </row>
    <row r="895" spans="17:26">
      <c r="Q895" s="23"/>
      <c r="R895" s="1"/>
      <c r="S895" s="1"/>
      <c r="T895" s="1"/>
      <c r="U895" s="1"/>
      <c r="V895" s="1"/>
      <c r="W895" s="1"/>
      <c r="X895" s="1"/>
      <c r="Y895" s="1"/>
      <c r="Z895" s="1"/>
    </row>
    <row r="896" spans="17:26">
      <c r="Q896" s="23"/>
      <c r="R896" s="1"/>
      <c r="S896" s="1"/>
      <c r="T896" s="1"/>
      <c r="U896" s="1"/>
      <c r="V896" s="1"/>
      <c r="W896" s="1"/>
      <c r="X896" s="1"/>
      <c r="Y896" s="1"/>
      <c r="Z896" s="1"/>
    </row>
    <row r="897" spans="17:26">
      <c r="Q897" s="23"/>
      <c r="R897" s="1"/>
      <c r="S897" s="1"/>
      <c r="T897" s="1"/>
      <c r="U897" s="1"/>
      <c r="V897" s="1"/>
      <c r="W897" s="1"/>
      <c r="X897" s="1"/>
      <c r="Y897" s="1"/>
      <c r="Z897" s="1"/>
    </row>
    <row r="898" spans="17:26">
      <c r="Q898" s="23"/>
      <c r="R898" s="1"/>
      <c r="S898" s="1"/>
      <c r="T898" s="1"/>
      <c r="U898" s="1"/>
      <c r="V898" s="1"/>
      <c r="W898" s="1"/>
      <c r="X898" s="1"/>
      <c r="Y898" s="1"/>
      <c r="Z898" s="1"/>
    </row>
    <row r="899" spans="17:26">
      <c r="Q899" s="1"/>
      <c r="R899" s="1"/>
      <c r="S899" s="1"/>
      <c r="T899" s="1"/>
      <c r="U899" s="1"/>
      <c r="V899" s="1"/>
      <c r="W899" s="1"/>
      <c r="X899" s="1"/>
      <c r="Y899" s="1"/>
      <c r="Z899" s="1"/>
    </row>
    <row r="900" spans="17:26">
      <c r="Q900" s="1"/>
      <c r="R900" s="1"/>
      <c r="S900" s="1"/>
      <c r="T900" s="1"/>
      <c r="U900" s="1"/>
      <c r="V900" s="1"/>
      <c r="W900" s="1"/>
      <c r="X900" s="1"/>
      <c r="Y900" s="1"/>
      <c r="Z900" s="1"/>
    </row>
    <row r="901" spans="17:26">
      <c r="Q901" s="1"/>
      <c r="R901" s="1"/>
      <c r="S901" s="1"/>
      <c r="T901" s="1"/>
      <c r="U901" s="1"/>
      <c r="V901" s="1"/>
      <c r="W901" s="1"/>
      <c r="X901" s="1"/>
      <c r="Y901" s="1"/>
      <c r="Z901" s="1"/>
    </row>
    <row r="902" spans="17:26">
      <c r="Q902" s="1"/>
      <c r="R902" s="1"/>
      <c r="S902" s="1"/>
      <c r="T902" s="1"/>
      <c r="U902" s="1"/>
      <c r="V902" s="1"/>
      <c r="W902" s="1"/>
      <c r="X902" s="1"/>
      <c r="Y902" s="1"/>
      <c r="Z902" s="1"/>
    </row>
    <row r="903" spans="17:26">
      <c r="Q903" s="1"/>
      <c r="R903" s="1"/>
      <c r="S903" s="1"/>
      <c r="T903" s="1"/>
      <c r="U903" s="1"/>
      <c r="V903" s="1"/>
      <c r="W903" s="1"/>
      <c r="X903" s="1"/>
      <c r="Y903" s="1"/>
      <c r="Z903" s="1"/>
    </row>
    <row r="904" spans="17:26">
      <c r="Q904" s="1"/>
      <c r="R904" s="1"/>
      <c r="S904" s="1"/>
      <c r="T904" s="1"/>
      <c r="U904" s="1"/>
      <c r="V904" s="1"/>
      <c r="W904" s="1"/>
      <c r="X904" s="1"/>
      <c r="Y904" s="1"/>
      <c r="Z904" s="1"/>
    </row>
    <row r="905" spans="17:26">
      <c r="Q905" s="1"/>
      <c r="R905" s="1"/>
      <c r="S905" s="1"/>
      <c r="T905" s="1"/>
      <c r="U905" s="1"/>
      <c r="V905" s="1"/>
      <c r="W905" s="1"/>
      <c r="X905" s="1"/>
      <c r="Y905" s="1"/>
      <c r="Z905" s="1"/>
    </row>
    <row r="906" spans="17:26">
      <c r="Q906" s="1"/>
      <c r="R906" s="1"/>
      <c r="S906" s="1"/>
      <c r="T906" s="1"/>
      <c r="U906" s="1"/>
      <c r="V906" s="1"/>
      <c r="W906" s="1"/>
      <c r="X906" s="1"/>
      <c r="Y906" s="1"/>
      <c r="Z906" s="1"/>
    </row>
    <row r="907" spans="17:26">
      <c r="Q907" s="1"/>
      <c r="R907" s="1"/>
      <c r="S907" s="1"/>
      <c r="T907" s="1"/>
      <c r="U907" s="1"/>
      <c r="V907" s="1"/>
      <c r="W907" s="1"/>
      <c r="X907" s="1"/>
      <c r="Y907" s="1"/>
      <c r="Z907" s="1"/>
    </row>
  </sheetData>
  <mergeCells count="540">
    <mergeCell ref="B5:D5"/>
    <mergeCell ref="R2:Y3"/>
    <mergeCell ref="R5:U5"/>
    <mergeCell ref="R7:Y7"/>
    <mergeCell ref="B2:K3"/>
    <mergeCell ref="R10:U10"/>
    <mergeCell ref="R11:U11"/>
    <mergeCell ref="R12:U12"/>
    <mergeCell ref="R13:U13"/>
    <mergeCell ref="R14:U14"/>
    <mergeCell ref="R15:U15"/>
    <mergeCell ref="R16:U16"/>
    <mergeCell ref="R19:U19"/>
    <mergeCell ref="R20:U20"/>
    <mergeCell ref="R21:U21"/>
    <mergeCell ref="R22:U22"/>
    <mergeCell ref="R23:U23"/>
    <mergeCell ref="R24:U24"/>
    <mergeCell ref="R25:U25"/>
    <mergeCell ref="R26:U26"/>
    <mergeCell ref="R28:Y28"/>
    <mergeCell ref="X31:X32"/>
    <mergeCell ref="R33:T33"/>
    <mergeCell ref="R34:T34"/>
    <mergeCell ref="R35:T35"/>
    <mergeCell ref="R31:T32"/>
    <mergeCell ref="U31:U32"/>
    <mergeCell ref="V31:V32"/>
    <mergeCell ref="W31:W32"/>
    <mergeCell ref="R36:T36"/>
    <mergeCell ref="R39:T40"/>
    <mergeCell ref="U39:U40"/>
    <mergeCell ref="V39:V40"/>
    <mergeCell ref="W39:W40"/>
    <mergeCell ref="X39:X40"/>
    <mergeCell ref="R41:T41"/>
    <mergeCell ref="R42:T42"/>
    <mergeCell ref="R43:T43"/>
    <mergeCell ref="R44:T44"/>
    <mergeCell ref="R46:Y46"/>
    <mergeCell ref="R49:T50"/>
    <mergeCell ref="U49:U50"/>
    <mergeCell ref="V49:V50"/>
    <mergeCell ref="W49:W50"/>
    <mergeCell ref="X49:X50"/>
    <mergeCell ref="R51:T51"/>
    <mergeCell ref="R54:T55"/>
    <mergeCell ref="U54:U55"/>
    <mergeCell ref="V54:V55"/>
    <mergeCell ref="W54:W55"/>
    <mergeCell ref="X54:X55"/>
    <mergeCell ref="R56:T56"/>
    <mergeCell ref="R59:T60"/>
    <mergeCell ref="U59:U60"/>
    <mergeCell ref="V59:V60"/>
    <mergeCell ref="W59:W60"/>
    <mergeCell ref="X59:X60"/>
    <mergeCell ref="R61:T61"/>
    <mergeCell ref="R62:T62"/>
    <mergeCell ref="R64:Y64"/>
    <mergeCell ref="R67:T68"/>
    <mergeCell ref="U67:U68"/>
    <mergeCell ref="V67:V68"/>
    <mergeCell ref="W67:W68"/>
    <mergeCell ref="X67:X68"/>
    <mergeCell ref="R69:T69"/>
    <mergeCell ref="R70:T70"/>
    <mergeCell ref="R71:T71"/>
    <mergeCell ref="R74:T75"/>
    <mergeCell ref="U74:U75"/>
    <mergeCell ref="V74:V75"/>
    <mergeCell ref="W74:W75"/>
    <mergeCell ref="X74:X75"/>
    <mergeCell ref="R76:T76"/>
    <mergeCell ref="R77:T77"/>
    <mergeCell ref="R78:T78"/>
    <mergeCell ref="R80:Y80"/>
    <mergeCell ref="X83:X84"/>
    <mergeCell ref="R85:T85"/>
    <mergeCell ref="R86:T86"/>
    <mergeCell ref="R87:T87"/>
    <mergeCell ref="R83:T84"/>
    <mergeCell ref="U83:U84"/>
    <mergeCell ref="V83:V84"/>
    <mergeCell ref="W83:W84"/>
    <mergeCell ref="X90:X91"/>
    <mergeCell ref="R92:T92"/>
    <mergeCell ref="R93:T93"/>
    <mergeCell ref="R94:T94"/>
    <mergeCell ref="R90:T91"/>
    <mergeCell ref="U90:U91"/>
    <mergeCell ref="V90:V91"/>
    <mergeCell ref="W90:W91"/>
    <mergeCell ref="R96:Y96"/>
    <mergeCell ref="R100:T101"/>
    <mergeCell ref="U100:U101"/>
    <mergeCell ref="V100:V101"/>
    <mergeCell ref="W100:W101"/>
    <mergeCell ref="X100:X101"/>
    <mergeCell ref="R102:T102"/>
    <mergeCell ref="R103:T103"/>
    <mergeCell ref="R106:T107"/>
    <mergeCell ref="U106:U107"/>
    <mergeCell ref="V106:V107"/>
    <mergeCell ref="W106:W107"/>
    <mergeCell ref="X106:X107"/>
    <mergeCell ref="R108:T108"/>
    <mergeCell ref="R109:T109"/>
    <mergeCell ref="R112:T113"/>
    <mergeCell ref="U112:U113"/>
    <mergeCell ref="V112:V113"/>
    <mergeCell ref="W112:W113"/>
    <mergeCell ref="X112:X113"/>
    <mergeCell ref="R114:T114"/>
    <mergeCell ref="R115:T115"/>
    <mergeCell ref="V126:V127"/>
    <mergeCell ref="W126:W127"/>
    <mergeCell ref="X118:X119"/>
    <mergeCell ref="R120:T120"/>
    <mergeCell ref="R121:T121"/>
    <mergeCell ref="R123:Y123"/>
    <mergeCell ref="R118:T119"/>
    <mergeCell ref="U118:U119"/>
    <mergeCell ref="V118:V119"/>
    <mergeCell ref="W118:W119"/>
    <mergeCell ref="X126:X127"/>
    <mergeCell ref="R128:T128"/>
    <mergeCell ref="R130:Y130"/>
    <mergeCell ref="R132:T133"/>
    <mergeCell ref="U132:U133"/>
    <mergeCell ref="V132:V133"/>
    <mergeCell ref="W132:W133"/>
    <mergeCell ref="X132:X133"/>
    <mergeCell ref="R126:T127"/>
    <mergeCell ref="U126:U127"/>
    <mergeCell ref="R134:T134"/>
    <mergeCell ref="R135:T135"/>
    <mergeCell ref="R137:Y137"/>
    <mergeCell ref="R142:W142"/>
    <mergeCell ref="X143:X144"/>
    <mergeCell ref="R145:T145"/>
    <mergeCell ref="U145:U146"/>
    <mergeCell ref="R146:T146"/>
    <mergeCell ref="R143:T144"/>
    <mergeCell ref="U143:U144"/>
    <mergeCell ref="V143:V144"/>
    <mergeCell ref="W143:W144"/>
    <mergeCell ref="R147:T147"/>
    <mergeCell ref="R148:T148"/>
    <mergeCell ref="R149:X149"/>
    <mergeCell ref="R150:T151"/>
    <mergeCell ref="U150:U151"/>
    <mergeCell ref="V150:V151"/>
    <mergeCell ref="W150:W151"/>
    <mergeCell ref="X150:X151"/>
    <mergeCell ref="R152:T152"/>
    <mergeCell ref="U152:U154"/>
    <mergeCell ref="R153:T153"/>
    <mergeCell ref="R154:T154"/>
    <mergeCell ref="R155:X155"/>
    <mergeCell ref="R156:T157"/>
    <mergeCell ref="U156:U157"/>
    <mergeCell ref="V156:V157"/>
    <mergeCell ref="W156:W157"/>
    <mergeCell ref="X156:X157"/>
    <mergeCell ref="V162:V163"/>
    <mergeCell ref="W162:W163"/>
    <mergeCell ref="R158:T158"/>
    <mergeCell ref="U158:U160"/>
    <mergeCell ref="R159:T159"/>
    <mergeCell ref="R160:T160"/>
    <mergeCell ref="X162:X163"/>
    <mergeCell ref="R164:T164"/>
    <mergeCell ref="R165:T165"/>
    <mergeCell ref="R167:T168"/>
    <mergeCell ref="U167:U168"/>
    <mergeCell ref="V167:V168"/>
    <mergeCell ref="W167:W168"/>
    <mergeCell ref="X167:X168"/>
    <mergeCell ref="R162:T163"/>
    <mergeCell ref="U162:U163"/>
    <mergeCell ref="R174:T174"/>
    <mergeCell ref="R179:T179"/>
    <mergeCell ref="R180:T180"/>
    <mergeCell ref="R175:T175"/>
    <mergeCell ref="R177:T178"/>
    <mergeCell ref="R169:T169"/>
    <mergeCell ref="R170:T170"/>
    <mergeCell ref="R172:T173"/>
    <mergeCell ref="W177:W178"/>
    <mergeCell ref="X177:X178"/>
    <mergeCell ref="U177:U178"/>
    <mergeCell ref="V177:V178"/>
    <mergeCell ref="X183:X184"/>
    <mergeCell ref="X172:X173"/>
    <mergeCell ref="U172:U173"/>
    <mergeCell ref="V172:V173"/>
    <mergeCell ref="W172:W173"/>
    <mergeCell ref="R185:T185"/>
    <mergeCell ref="R186:T186"/>
    <mergeCell ref="R181:T181"/>
    <mergeCell ref="R183:T184"/>
    <mergeCell ref="W188:W189"/>
    <mergeCell ref="W183:W184"/>
    <mergeCell ref="V188:V189"/>
    <mergeCell ref="U183:U184"/>
    <mergeCell ref="V183:V184"/>
    <mergeCell ref="X188:X189"/>
    <mergeCell ref="V193:V194"/>
    <mergeCell ref="W193:W194"/>
    <mergeCell ref="X193:X194"/>
    <mergeCell ref="R188:T189"/>
    <mergeCell ref="U188:U189"/>
    <mergeCell ref="R190:T190"/>
    <mergeCell ref="R191:T191"/>
    <mergeCell ref="R193:T194"/>
    <mergeCell ref="U193:U194"/>
    <mergeCell ref="R195:T195"/>
    <mergeCell ref="R196:T196"/>
    <mergeCell ref="R198:T199"/>
    <mergeCell ref="U198:U199"/>
    <mergeCell ref="V198:V199"/>
    <mergeCell ref="W198:W199"/>
    <mergeCell ref="X198:X199"/>
    <mergeCell ref="R200:T200"/>
    <mergeCell ref="R201:T201"/>
    <mergeCell ref="R202:T202"/>
    <mergeCell ref="R204:Y208"/>
    <mergeCell ref="R210:W211"/>
    <mergeCell ref="X210:X211"/>
    <mergeCell ref="Y210:Y211"/>
    <mergeCell ref="Y213:Y214"/>
    <mergeCell ref="R215:U215"/>
    <mergeCell ref="R216:U216"/>
    <mergeCell ref="R217:U217"/>
    <mergeCell ref="R213:U214"/>
    <mergeCell ref="V213:V214"/>
    <mergeCell ref="W213:W214"/>
    <mergeCell ref="X213:X214"/>
    <mergeCell ref="R218:U218"/>
    <mergeCell ref="R219:U219"/>
    <mergeCell ref="R220:U220"/>
    <mergeCell ref="R221:U221"/>
    <mergeCell ref="R222:U222"/>
    <mergeCell ref="R223:U223"/>
    <mergeCell ref="R224:U224"/>
    <mergeCell ref="R225:U225"/>
    <mergeCell ref="R226:U226"/>
    <mergeCell ref="R227:U227"/>
    <mergeCell ref="R228:U228"/>
    <mergeCell ref="R229:U229"/>
    <mergeCell ref="R231:U231"/>
    <mergeCell ref="R235:T236"/>
    <mergeCell ref="U235:U236"/>
    <mergeCell ref="V235:V236"/>
    <mergeCell ref="W235:W236"/>
    <mergeCell ref="X235:X236"/>
    <mergeCell ref="R237:T237"/>
    <mergeCell ref="U237:U239"/>
    <mergeCell ref="R238:T238"/>
    <mergeCell ref="R239:T239"/>
    <mergeCell ref="X241:X242"/>
    <mergeCell ref="R243:T243"/>
    <mergeCell ref="U243:U245"/>
    <mergeCell ref="R244:T244"/>
    <mergeCell ref="R245:T245"/>
    <mergeCell ref="R241:T242"/>
    <mergeCell ref="U241:U242"/>
    <mergeCell ref="V241:V242"/>
    <mergeCell ref="W241:W242"/>
    <mergeCell ref="X247:X248"/>
    <mergeCell ref="R249:T249"/>
    <mergeCell ref="U249:U251"/>
    <mergeCell ref="R250:T250"/>
    <mergeCell ref="R251:T251"/>
    <mergeCell ref="R247:T248"/>
    <mergeCell ref="U247:U248"/>
    <mergeCell ref="V247:V248"/>
    <mergeCell ref="W247:W248"/>
    <mergeCell ref="X254:X255"/>
    <mergeCell ref="R257:T257"/>
    <mergeCell ref="R260:Y260"/>
    <mergeCell ref="R264:S265"/>
    <mergeCell ref="U264:V264"/>
    <mergeCell ref="U265:V265"/>
    <mergeCell ref="R254:T255"/>
    <mergeCell ref="U254:U255"/>
    <mergeCell ref="V254:V255"/>
    <mergeCell ref="W254:W255"/>
    <mergeCell ref="X267:X268"/>
    <mergeCell ref="R268:R271"/>
    <mergeCell ref="S268:T268"/>
    <mergeCell ref="S269:T269"/>
    <mergeCell ref="S270:T270"/>
    <mergeCell ref="S271:T271"/>
    <mergeCell ref="R267:T267"/>
    <mergeCell ref="U267:U268"/>
    <mergeCell ref="V267:V268"/>
    <mergeCell ref="W267:W268"/>
    <mergeCell ref="R272:X272"/>
    <mergeCell ref="R273:T273"/>
    <mergeCell ref="U273:U274"/>
    <mergeCell ref="V273:V274"/>
    <mergeCell ref="W273:W274"/>
    <mergeCell ref="X273:X274"/>
    <mergeCell ref="R274:R277"/>
    <mergeCell ref="S274:T274"/>
    <mergeCell ref="S275:T275"/>
    <mergeCell ref="S276:T276"/>
    <mergeCell ref="S277:T277"/>
    <mergeCell ref="R278:X278"/>
    <mergeCell ref="R279:T279"/>
    <mergeCell ref="U279:U280"/>
    <mergeCell ref="V279:V280"/>
    <mergeCell ref="W279:W280"/>
    <mergeCell ref="X279:X280"/>
    <mergeCell ref="R280:R283"/>
    <mergeCell ref="S280:T280"/>
    <mergeCell ref="S281:T281"/>
    <mergeCell ref="S282:T282"/>
    <mergeCell ref="S283:T283"/>
    <mergeCell ref="R286:U287"/>
    <mergeCell ref="V286:V287"/>
    <mergeCell ref="W286:W287"/>
    <mergeCell ref="X286:X287"/>
    <mergeCell ref="Y286:Y287"/>
    <mergeCell ref="R288:U288"/>
    <mergeCell ref="R289:U289"/>
    <mergeCell ref="R290:U290"/>
    <mergeCell ref="R291:U291"/>
    <mergeCell ref="R292:U292"/>
    <mergeCell ref="R293:U293"/>
    <mergeCell ref="R294:U294"/>
    <mergeCell ref="R295:U295"/>
    <mergeCell ref="R296:U296"/>
    <mergeCell ref="R297:U297"/>
    <mergeCell ref="R298:U298"/>
    <mergeCell ref="R299:U299"/>
    <mergeCell ref="T301:U301"/>
    <mergeCell ref="T302:U302"/>
    <mergeCell ref="R305:V305"/>
    <mergeCell ref="R306:R307"/>
    <mergeCell ref="S306:S307"/>
    <mergeCell ref="T306:T307"/>
    <mergeCell ref="U306:U307"/>
    <mergeCell ref="V306:V307"/>
    <mergeCell ref="R316:W318"/>
    <mergeCell ref="R336:S339"/>
    <mergeCell ref="T336:T337"/>
    <mergeCell ref="R319:W319"/>
    <mergeCell ref="R320:W320"/>
    <mergeCell ref="R322:S326"/>
    <mergeCell ref="T322:T324"/>
    <mergeCell ref="U322:U324"/>
    <mergeCell ref="V322:V324"/>
    <mergeCell ref="W322:W324"/>
    <mergeCell ref="R328:W328"/>
    <mergeCell ref="R329:S332"/>
    <mergeCell ref="T329:T330"/>
    <mergeCell ref="U329:U330"/>
    <mergeCell ref="V329:V330"/>
    <mergeCell ref="W329:W330"/>
    <mergeCell ref="T342:T343"/>
    <mergeCell ref="U342:U343"/>
    <mergeCell ref="V342:V343"/>
    <mergeCell ref="W342:W343"/>
    <mergeCell ref="U336:U337"/>
    <mergeCell ref="R348:W348"/>
    <mergeCell ref="R341:W341"/>
    <mergeCell ref="R342:S345"/>
    <mergeCell ref="V336:V337"/>
    <mergeCell ref="W336:W337"/>
    <mergeCell ref="R365:S368"/>
    <mergeCell ref="T365:T366"/>
    <mergeCell ref="R349:W349"/>
    <mergeCell ref="R351:S355"/>
    <mergeCell ref="T351:T353"/>
    <mergeCell ref="U351:U353"/>
    <mergeCell ref="V351:V353"/>
    <mergeCell ref="W351:W353"/>
    <mergeCell ref="R357:W357"/>
    <mergeCell ref="R358:S361"/>
    <mergeCell ref="T358:T359"/>
    <mergeCell ref="U358:U359"/>
    <mergeCell ref="V358:V359"/>
    <mergeCell ref="W358:W359"/>
    <mergeCell ref="T371:T372"/>
    <mergeCell ref="U371:U372"/>
    <mergeCell ref="V371:V372"/>
    <mergeCell ref="W371:W372"/>
    <mergeCell ref="U365:U366"/>
    <mergeCell ref="R377:W377"/>
    <mergeCell ref="R370:W370"/>
    <mergeCell ref="R371:S374"/>
    <mergeCell ref="V365:V366"/>
    <mergeCell ref="W365:W366"/>
    <mergeCell ref="R394:S397"/>
    <mergeCell ref="T394:T395"/>
    <mergeCell ref="R378:W378"/>
    <mergeCell ref="R380:S384"/>
    <mergeCell ref="T380:T382"/>
    <mergeCell ref="U380:U382"/>
    <mergeCell ref="V380:V382"/>
    <mergeCell ref="W380:W382"/>
    <mergeCell ref="R386:W386"/>
    <mergeCell ref="R387:S390"/>
    <mergeCell ref="T387:T388"/>
    <mergeCell ref="U387:U388"/>
    <mergeCell ref="V387:V388"/>
    <mergeCell ref="W387:W388"/>
    <mergeCell ref="T400:T401"/>
    <mergeCell ref="U400:U401"/>
    <mergeCell ref="V400:V401"/>
    <mergeCell ref="W400:W401"/>
    <mergeCell ref="U394:U395"/>
    <mergeCell ref="R406:W406"/>
    <mergeCell ref="R399:W399"/>
    <mergeCell ref="R400:S403"/>
    <mergeCell ref="V394:V395"/>
    <mergeCell ref="W394:W395"/>
    <mergeCell ref="R407:W407"/>
    <mergeCell ref="R409:S413"/>
    <mergeCell ref="T409:T411"/>
    <mergeCell ref="U409:U411"/>
    <mergeCell ref="V409:V411"/>
    <mergeCell ref="W409:W411"/>
    <mergeCell ref="V423:V424"/>
    <mergeCell ref="R415:W415"/>
    <mergeCell ref="R416:S419"/>
    <mergeCell ref="T416:T417"/>
    <mergeCell ref="U416:U417"/>
    <mergeCell ref="V416:V417"/>
    <mergeCell ref="W416:W417"/>
    <mergeCell ref="W423:W424"/>
    <mergeCell ref="R423:S426"/>
    <mergeCell ref="T423:T424"/>
    <mergeCell ref="U423:U424"/>
    <mergeCell ref="R435:W437"/>
    <mergeCell ref="R438:W438"/>
    <mergeCell ref="R439:W439"/>
    <mergeCell ref="R428:W428"/>
    <mergeCell ref="R429:S432"/>
    <mergeCell ref="T429:T430"/>
    <mergeCell ref="U429:U430"/>
    <mergeCell ref="V429:V430"/>
    <mergeCell ref="W429:W430"/>
    <mergeCell ref="R441:S445"/>
    <mergeCell ref="T441:T443"/>
    <mergeCell ref="U441:U443"/>
    <mergeCell ref="V441:V443"/>
    <mergeCell ref="W441:W443"/>
    <mergeCell ref="V455:V456"/>
    <mergeCell ref="R447:W447"/>
    <mergeCell ref="R448:S451"/>
    <mergeCell ref="T448:T449"/>
    <mergeCell ref="U448:U449"/>
    <mergeCell ref="V448:V449"/>
    <mergeCell ref="W448:W449"/>
    <mergeCell ref="W455:W456"/>
    <mergeCell ref="R455:S458"/>
    <mergeCell ref="T455:T456"/>
    <mergeCell ref="U455:U456"/>
    <mergeCell ref="R467:W467"/>
    <mergeCell ref="R468:W468"/>
    <mergeCell ref="R460:W460"/>
    <mergeCell ref="R461:S464"/>
    <mergeCell ref="T461:T462"/>
    <mergeCell ref="U461:U462"/>
    <mergeCell ref="V461:V462"/>
    <mergeCell ref="W461:W462"/>
    <mergeCell ref="R470:S474"/>
    <mergeCell ref="T470:T472"/>
    <mergeCell ref="U470:U472"/>
    <mergeCell ref="V470:V472"/>
    <mergeCell ref="W470:W472"/>
    <mergeCell ref="V484:V485"/>
    <mergeCell ref="R476:W476"/>
    <mergeCell ref="R477:S480"/>
    <mergeCell ref="T477:T478"/>
    <mergeCell ref="U477:U478"/>
    <mergeCell ref="V477:V478"/>
    <mergeCell ref="W477:W478"/>
    <mergeCell ref="W484:W485"/>
    <mergeCell ref="R484:S487"/>
    <mergeCell ref="T484:T485"/>
    <mergeCell ref="U484:U485"/>
    <mergeCell ref="R496:W496"/>
    <mergeCell ref="R497:W497"/>
    <mergeCell ref="R489:W489"/>
    <mergeCell ref="R490:S493"/>
    <mergeCell ref="T490:T491"/>
    <mergeCell ref="U490:U491"/>
    <mergeCell ref="V490:V491"/>
    <mergeCell ref="W490:W491"/>
    <mergeCell ref="R499:S503"/>
    <mergeCell ref="T499:T501"/>
    <mergeCell ref="U499:U501"/>
    <mergeCell ref="V499:V501"/>
    <mergeCell ref="W499:W501"/>
    <mergeCell ref="W513:W514"/>
    <mergeCell ref="R505:W505"/>
    <mergeCell ref="R506:S509"/>
    <mergeCell ref="T506:T507"/>
    <mergeCell ref="U506:U507"/>
    <mergeCell ref="V506:V507"/>
    <mergeCell ref="W506:W507"/>
    <mergeCell ref="T519:T520"/>
    <mergeCell ref="T513:T514"/>
    <mergeCell ref="U519:U520"/>
    <mergeCell ref="V519:V520"/>
    <mergeCell ref="U513:U514"/>
    <mergeCell ref="V513:V514"/>
    <mergeCell ref="R518:W518"/>
    <mergeCell ref="R513:S516"/>
    <mergeCell ref="T542:T543"/>
    <mergeCell ref="W519:W520"/>
    <mergeCell ref="R525:W525"/>
    <mergeCell ref="R526:W526"/>
    <mergeCell ref="R528:S532"/>
    <mergeCell ref="T528:T530"/>
    <mergeCell ref="U528:U530"/>
    <mergeCell ref="V528:V530"/>
    <mergeCell ref="W528:W530"/>
    <mergeCell ref="R519:S522"/>
    <mergeCell ref="R534:W534"/>
    <mergeCell ref="R535:S538"/>
    <mergeCell ref="T535:T536"/>
    <mergeCell ref="U535:U536"/>
    <mergeCell ref="V535:V536"/>
    <mergeCell ref="W535:W536"/>
    <mergeCell ref="U542:U543"/>
    <mergeCell ref="R547:W547"/>
    <mergeCell ref="R548:S551"/>
    <mergeCell ref="T548:T549"/>
    <mergeCell ref="U548:U549"/>
    <mergeCell ref="V548:V549"/>
    <mergeCell ref="W548:W549"/>
    <mergeCell ref="V542:V543"/>
    <mergeCell ref="W542:W543"/>
    <mergeCell ref="R542:S545"/>
  </mergeCells>
  <phoneticPr fontId="0" type="noConversion"/>
  <conditionalFormatting sqref="U108:X109">
    <cfRule type="cellIs" dxfId="541" priority="1" stopIfTrue="1" operator="equal">
      <formula>"yes"</formula>
    </cfRule>
    <cfRule type="cellIs" dxfId="540" priority="2" stopIfTrue="1" operator="equal">
      <formula>"no"</formula>
    </cfRule>
  </conditionalFormatting>
  <conditionalFormatting sqref="X254:X255 X106:X107 X247:X248 X49:X50 X235:X236 X54:X55 X67:X68 X74:X75 X100:X101 X112:X113 X118:X119 X132:X133 X279:X280 X126:X127 X241:X242 X59:X60 Y286:Y287 S306:S307 X143:X144 X183:X184 X177:X178 X267:X268 X273:X274 Y213:Y214 X83 X90 X156:X157 X150:X151 X198:X199 X162:X163 X167:X168 X172:X173 X188:X189 X193:X194">
    <cfRule type="cellIs" dxfId="539" priority="3" stopIfTrue="1" operator="equal">
      <formula>$U$31</formula>
    </cfRule>
    <cfRule type="cellIs" dxfId="538" priority="4" stopIfTrue="1" operator="equal">
      <formula>$W$31</formula>
    </cfRule>
    <cfRule type="cellIs" dxfId="537" priority="5" stopIfTrue="1" operator="equal">
      <formula>$Y$31</formula>
    </cfRule>
  </conditionalFormatting>
  <conditionalFormatting sqref="V106:V107 V247:V248 V49:V50 V241:V242 V54:V55 V59:V60 V67:V68 V74:V75 W286:W287 V100:V101 V112:V113 V118:V119 V126:V127 V132:V133 V279:V280 V235:V236 V254:V255 T306:T307 V143:V144 V183:V184 V177:V178 V267:V268 V273:V274 W213:W214 V83 V90 V156:V157 V150:V151 V198:V199 V162:V163 V167:V168 V172:V173 V188:V189 V193:V194">
    <cfRule type="cellIs" dxfId="536" priority="6" stopIfTrue="1" operator="equal">
      <formula>$R$6</formula>
    </cfRule>
    <cfRule type="cellIs" dxfId="535" priority="7" stopIfTrue="1" operator="equal">
      <formula>$V$33</formula>
    </cfRule>
    <cfRule type="cellIs" dxfId="534" priority="8" stopIfTrue="1" operator="equal">
      <formula>$R$8</formula>
    </cfRule>
  </conditionalFormatting>
  <conditionalFormatting sqref="W106:W107 W126:W127 W247:W248 W49:W50 W241:W242 W54:W55 W59:W60 W67:W68 W74:W75 X286:X287 W100:W101 W112:W113 W118:W119 W132:W133 W279:W280 W235:W236 W254:W255 U306:U307 W143:W144 W183:W184 W177:W178 W267:W268 W273:W274 X213:X214 W83 W90 W156:W157 W150:W151 W198:W199 W162:W163 W167:W168 W172:W173 W188:W189 W193:W194">
    <cfRule type="cellIs" dxfId="533" priority="9" stopIfTrue="1" operator="equal">
      <formula>$R$6</formula>
    </cfRule>
    <cfRule type="cellIs" dxfId="532" priority="10" stopIfTrue="1" operator="equal">
      <formula>$R$7</formula>
    </cfRule>
    <cfRule type="cellIs" dxfId="531" priority="11" stopIfTrue="1" operator="equal">
      <formula>$W$33</formula>
    </cfRule>
  </conditionalFormatting>
  <conditionalFormatting sqref="R36 R44">
    <cfRule type="cellIs" dxfId="530" priority="12" stopIfTrue="1" operator="equal">
      <formula>$AI$31</formula>
    </cfRule>
    <cfRule type="cellIs" dxfId="529" priority="13" stopIfTrue="1" operator="equal">
      <formula>$AK$31</formula>
    </cfRule>
    <cfRule type="cellIs" dxfId="528" priority="14" stopIfTrue="1" operator="equal">
      <formula>$AM$31</formula>
    </cfRule>
  </conditionalFormatting>
  <conditionalFormatting sqref="R34 R42">
    <cfRule type="cellIs" dxfId="527" priority="15" stopIfTrue="1" operator="equal">
      <formula>$AF$6</formula>
    </cfRule>
    <cfRule type="cellIs" dxfId="526" priority="16" stopIfTrue="1" operator="equal">
      <formula>$AJ$33</formula>
    </cfRule>
    <cfRule type="cellIs" dxfId="525" priority="17" stopIfTrue="1" operator="equal">
      <formula>$AF$8</formula>
    </cfRule>
  </conditionalFormatting>
  <conditionalFormatting sqref="R35 R43">
    <cfRule type="cellIs" dxfId="524" priority="18" stopIfTrue="1" operator="equal">
      <formula>$AF$6</formula>
    </cfRule>
    <cfRule type="cellIs" dxfId="523" priority="19" stopIfTrue="1" operator="equal">
      <formula>$AF$7</formula>
    </cfRule>
    <cfRule type="cellIs" dxfId="522" priority="20" stopIfTrue="1" operator="equal">
      <formula>$AK$33</formula>
    </cfRule>
  </conditionalFormatting>
  <pageMargins left="0" right="0" top="0.59055118110236227" bottom="0.39370078740157483" header="0.51181102362204722" footer="0.51181102362204722"/>
  <pageSetup paperSize="9" scale="96" fitToHeight="6" orientation="portrait"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sheetPr codeName="Sheet61">
    <pageSetUpPr fitToPage="1"/>
  </sheetPr>
  <dimension ref="A1:AJ907"/>
  <sheetViews>
    <sheetView showRowColHeaders="0" workbookViewId="0">
      <selection activeCell="B2" sqref="B2:K3"/>
    </sheetView>
  </sheetViews>
  <sheetFormatPr defaultRowHeight="12.75"/>
  <cols>
    <col min="1" max="1" width="10.7109375" style="1" customWidth="1"/>
    <col min="2" max="11" width="11.7109375" style="1" customWidth="1"/>
    <col min="12" max="16" width="10.7109375" style="1" customWidth="1"/>
    <col min="17" max="17" width="4.7109375" style="20" customWidth="1"/>
    <col min="18" max="20" width="10.7109375" style="18" customWidth="1"/>
    <col min="21" max="23" width="11.7109375" style="18" customWidth="1"/>
    <col min="24" max="26" width="10.7109375" style="18" customWidth="1"/>
    <col min="27" max="27" width="10.7109375" style="1" customWidth="1"/>
    <col min="28" max="30" width="8.7109375" style="1" customWidth="1"/>
    <col min="31" max="35" width="13.7109375" style="1" customWidth="1"/>
    <col min="36" max="37" width="10.7109375" style="1" customWidth="1"/>
    <col min="38" max="54" width="10.28515625" style="1" customWidth="1"/>
    <col min="55" max="110" width="10.7109375" style="1" customWidth="1"/>
    <col min="111" max="16384" width="9.140625" style="1"/>
  </cols>
  <sheetData>
    <row r="1" spans="1:31" ht="6" customHeight="1" thickBot="1">
      <c r="A1" s="121"/>
      <c r="B1" s="121"/>
      <c r="C1" s="121"/>
      <c r="D1" s="121"/>
      <c r="E1" s="121"/>
      <c r="F1" s="121"/>
      <c r="G1" s="121"/>
      <c r="H1" s="121"/>
      <c r="I1" s="121"/>
      <c r="J1" s="121"/>
      <c r="K1" s="121"/>
      <c r="L1" s="121"/>
      <c r="M1" s="121"/>
      <c r="N1" s="121"/>
      <c r="O1" s="121"/>
      <c r="P1" s="121"/>
      <c r="Q1" s="360"/>
      <c r="R1" s="361"/>
      <c r="S1" s="361"/>
      <c r="T1" s="361"/>
      <c r="U1" s="361"/>
      <c r="V1" s="361"/>
      <c r="W1" s="361"/>
      <c r="X1" s="361"/>
      <c r="Y1" s="361"/>
      <c r="Z1" s="361"/>
      <c r="AA1"/>
      <c r="AB1"/>
      <c r="AC1"/>
      <c r="AD1"/>
      <c r="AE1"/>
    </row>
    <row r="2" spans="1:31" ht="12.75" customHeight="1" thickTop="1">
      <c r="A2" s="121"/>
      <c r="B2" s="753" t="s">
        <v>163</v>
      </c>
      <c r="C2" s="754"/>
      <c r="D2" s="754"/>
      <c r="E2" s="754"/>
      <c r="F2" s="754"/>
      <c r="G2" s="754"/>
      <c r="H2" s="754"/>
      <c r="I2" s="754"/>
      <c r="J2" s="754"/>
      <c r="K2" s="755"/>
      <c r="L2" s="121"/>
      <c r="M2" s="121"/>
      <c r="N2" s="121"/>
      <c r="O2" s="121"/>
      <c r="P2" s="121"/>
      <c r="Q2" s="363"/>
      <c r="R2" s="1024" t="s">
        <v>396</v>
      </c>
      <c r="S2" s="1025"/>
      <c r="T2" s="1025"/>
      <c r="U2" s="1025"/>
      <c r="V2" s="1025"/>
      <c r="W2" s="1025"/>
      <c r="X2" s="1025"/>
      <c r="Y2" s="1026"/>
      <c r="Z2" s="362"/>
      <c r="AA2"/>
      <c r="AB2"/>
      <c r="AC2"/>
      <c r="AD2"/>
      <c r="AE2"/>
    </row>
    <row r="3" spans="1:31" ht="12.75" customHeight="1" thickBot="1">
      <c r="A3" s="121"/>
      <c r="B3" s="756"/>
      <c r="C3" s="757"/>
      <c r="D3" s="757"/>
      <c r="E3" s="757"/>
      <c r="F3" s="757"/>
      <c r="G3" s="757"/>
      <c r="H3" s="757"/>
      <c r="I3" s="757"/>
      <c r="J3" s="757"/>
      <c r="K3" s="758"/>
      <c r="L3" s="121"/>
      <c r="M3" s="121"/>
      <c r="N3" s="121"/>
      <c r="O3" s="121"/>
      <c r="P3" s="121"/>
      <c r="Q3" s="363"/>
      <c r="R3" s="1027"/>
      <c r="S3" s="1028"/>
      <c r="T3" s="1028"/>
      <c r="U3" s="1028"/>
      <c r="V3" s="1028"/>
      <c r="W3" s="1028"/>
      <c r="X3" s="1028"/>
      <c r="Y3" s="1029"/>
      <c r="Z3" s="362"/>
      <c r="AA3"/>
      <c r="AB3"/>
      <c r="AC3"/>
      <c r="AD3"/>
      <c r="AE3"/>
    </row>
    <row r="4" spans="1:31" ht="12.75" customHeight="1" thickTop="1">
      <c r="A4" s="121"/>
      <c r="B4" s="121"/>
      <c r="C4" s="121"/>
      <c r="D4" s="121"/>
      <c r="E4" s="121"/>
      <c r="F4" s="121"/>
      <c r="G4" s="121"/>
      <c r="H4" s="121"/>
      <c r="I4" s="121"/>
      <c r="J4" s="121"/>
      <c r="K4" s="121"/>
      <c r="L4" s="121"/>
      <c r="M4" s="121"/>
      <c r="N4" s="121"/>
      <c r="O4" s="121"/>
      <c r="P4" s="121"/>
      <c r="Q4" s="363"/>
      <c r="R4" s="361"/>
      <c r="S4" s="361"/>
      <c r="T4" s="361"/>
      <c r="U4" s="361"/>
      <c r="V4" s="361"/>
      <c r="W4" s="361"/>
      <c r="X4" s="361"/>
      <c r="Y4" s="361"/>
      <c r="Z4" s="361"/>
      <c r="AA4"/>
      <c r="AB4"/>
      <c r="AC4"/>
      <c r="AD4"/>
      <c r="AE4"/>
    </row>
    <row r="5" spans="1:31" ht="12.75" customHeight="1">
      <c r="A5" s="121"/>
      <c r="B5" s="828" t="s">
        <v>581</v>
      </c>
      <c r="C5" s="829"/>
      <c r="D5" s="830"/>
      <c r="E5" s="460">
        <v>450</v>
      </c>
      <c r="F5" s="461">
        <f>+E5</f>
        <v>450</v>
      </c>
      <c r="G5" s="121"/>
      <c r="H5" s="121"/>
      <c r="I5" s="121"/>
      <c r="J5" s="121"/>
      <c r="K5" s="121"/>
      <c r="L5" s="121"/>
      <c r="M5" s="121"/>
      <c r="N5" s="121"/>
      <c r="O5" s="121"/>
      <c r="P5" s="121"/>
      <c r="Q5" s="360"/>
      <c r="R5" s="951" t="s">
        <v>868</v>
      </c>
      <c r="S5" s="951"/>
      <c r="T5" s="951"/>
      <c r="U5" s="951"/>
      <c r="V5" s="447">
        <f>F5</f>
        <v>450</v>
      </c>
      <c r="W5" s="362"/>
      <c r="X5" s="362"/>
      <c r="Y5" s="362"/>
      <c r="Z5" s="362"/>
      <c r="AA5"/>
      <c r="AB5"/>
      <c r="AC5"/>
      <c r="AD5"/>
      <c r="AE5"/>
    </row>
    <row r="6" spans="1:31" ht="12.75" customHeight="1">
      <c r="A6" s="121"/>
      <c r="B6" s="121"/>
      <c r="C6" s="121"/>
      <c r="D6" s="121"/>
      <c r="E6" s="121"/>
      <c r="F6" s="121"/>
      <c r="G6" s="121"/>
      <c r="H6" s="121"/>
      <c r="I6" s="121"/>
      <c r="J6" s="121"/>
      <c r="K6" s="121"/>
      <c r="L6" s="121"/>
      <c r="M6" s="121"/>
      <c r="N6" s="121"/>
      <c r="O6" s="121"/>
      <c r="P6" s="121"/>
      <c r="Q6" s="360"/>
      <c r="R6" s="362"/>
      <c r="S6" s="362"/>
      <c r="T6" s="362"/>
      <c r="U6" s="362"/>
      <c r="V6" s="361"/>
      <c r="W6" s="361"/>
      <c r="X6" s="361"/>
      <c r="Y6" s="361"/>
      <c r="Z6" s="361"/>
      <c r="AA6"/>
      <c r="AB6"/>
      <c r="AC6"/>
      <c r="AD6"/>
      <c r="AE6"/>
    </row>
    <row r="7" spans="1:31" ht="12.75" customHeight="1">
      <c r="A7" s="121"/>
      <c r="B7" s="121"/>
      <c r="C7" s="121"/>
      <c r="D7" s="121"/>
      <c r="E7" s="121"/>
      <c r="F7" s="121"/>
      <c r="G7" s="121"/>
      <c r="H7" s="121"/>
      <c r="I7" s="121"/>
      <c r="J7" s="121"/>
      <c r="K7" s="121"/>
      <c r="L7" s="121"/>
      <c r="M7" s="121"/>
      <c r="N7" s="121"/>
      <c r="O7" s="121"/>
      <c r="P7" s="121"/>
      <c r="Q7" s="385">
        <v>1</v>
      </c>
      <c r="R7" s="1008" t="s">
        <v>24</v>
      </c>
      <c r="S7" s="1008"/>
      <c r="T7" s="1008"/>
      <c r="U7" s="1008"/>
      <c r="V7" s="1008"/>
      <c r="W7" s="1008"/>
      <c r="X7" s="1008"/>
      <c r="Y7" s="1008"/>
      <c r="Z7" s="536"/>
      <c r="AA7"/>
      <c r="AB7"/>
      <c r="AC7"/>
      <c r="AD7"/>
      <c r="AE7"/>
    </row>
    <row r="8" spans="1:31" ht="12.75" customHeight="1">
      <c r="A8" s="121"/>
      <c r="B8" s="121"/>
      <c r="C8" s="121"/>
      <c r="D8" s="121"/>
      <c r="E8" s="121"/>
      <c r="F8" s="121"/>
      <c r="G8" s="121"/>
      <c r="H8" s="121"/>
      <c r="I8" s="121"/>
      <c r="J8" s="121"/>
      <c r="K8" s="121"/>
      <c r="L8" s="121"/>
      <c r="M8" s="121"/>
      <c r="N8" s="121"/>
      <c r="O8" s="121"/>
      <c r="P8" s="121"/>
      <c r="Q8" s="386"/>
      <c r="R8" s="361"/>
      <c r="S8" s="361"/>
      <c r="T8" s="361"/>
      <c r="U8" s="361"/>
      <c r="V8" s="361"/>
      <c r="W8" s="361"/>
      <c r="X8" s="361"/>
      <c r="Y8" s="361"/>
      <c r="Z8" s="361"/>
      <c r="AA8"/>
      <c r="AB8"/>
      <c r="AC8"/>
      <c r="AD8"/>
      <c r="AE8"/>
    </row>
    <row r="9" spans="1:31" ht="12.75" customHeight="1">
      <c r="A9" s="121"/>
      <c r="B9" s="121"/>
      <c r="C9" s="121"/>
      <c r="D9" s="121"/>
      <c r="E9" s="121"/>
      <c r="F9" s="121"/>
      <c r="G9" s="121"/>
      <c r="H9" s="121"/>
      <c r="I9" s="121"/>
      <c r="J9" s="121"/>
      <c r="K9" s="121"/>
      <c r="L9" s="121"/>
      <c r="M9" s="121"/>
      <c r="N9" s="121"/>
      <c r="O9" s="121"/>
      <c r="P9" s="121"/>
      <c r="Q9" s="360">
        <v>1.1000000000000001</v>
      </c>
      <c r="R9" s="364" t="s">
        <v>586</v>
      </c>
      <c r="S9" s="363"/>
      <c r="T9" s="363"/>
      <c r="U9" s="363"/>
      <c r="V9" s="363"/>
      <c r="W9" s="363"/>
      <c r="X9" s="363"/>
      <c r="Y9" s="363"/>
      <c r="Z9" s="363"/>
      <c r="AA9"/>
      <c r="AB9"/>
      <c r="AC9"/>
      <c r="AD9"/>
      <c r="AE9"/>
    </row>
    <row r="10" spans="1:31" ht="12.75" customHeight="1">
      <c r="A10" s="121"/>
      <c r="B10" s="121"/>
      <c r="C10" s="121"/>
      <c r="D10" s="121"/>
      <c r="E10" s="121"/>
      <c r="F10" s="121"/>
      <c r="G10" s="121"/>
      <c r="H10" s="121"/>
      <c r="I10" s="121"/>
      <c r="J10" s="121"/>
      <c r="K10" s="121"/>
      <c r="L10" s="121"/>
      <c r="M10" s="121"/>
      <c r="N10" s="121"/>
      <c r="O10" s="121"/>
      <c r="P10" s="121"/>
      <c r="Q10" s="360"/>
      <c r="R10" s="969" t="s">
        <v>25</v>
      </c>
      <c r="S10" s="969"/>
      <c r="T10" s="969"/>
      <c r="U10" s="969"/>
      <c r="V10" s="447">
        <f>'Prod Parameters'!$F$8</f>
        <v>23</v>
      </c>
      <c r="W10" s="363"/>
      <c r="X10" s="363"/>
      <c r="Y10" s="363"/>
      <c r="Z10" s="363"/>
      <c r="AA10"/>
      <c r="AB10"/>
      <c r="AC10"/>
      <c r="AD10"/>
      <c r="AE10"/>
    </row>
    <row r="11" spans="1:31" ht="12.75" customHeight="1">
      <c r="A11" s="121"/>
      <c r="B11" s="121"/>
      <c r="C11" s="121"/>
      <c r="D11" s="121"/>
      <c r="E11" s="121"/>
      <c r="F11" s="121"/>
      <c r="G11" s="121"/>
      <c r="H11" s="121"/>
      <c r="I11" s="121"/>
      <c r="J11" s="121"/>
      <c r="K11" s="121"/>
      <c r="L11" s="121"/>
      <c r="M11" s="121"/>
      <c r="N11" s="121"/>
      <c r="O11" s="121"/>
      <c r="P11" s="121"/>
      <c r="Q11" s="360"/>
      <c r="R11" s="969" t="s">
        <v>325</v>
      </c>
      <c r="S11" s="969"/>
      <c r="T11" s="969"/>
      <c r="U11" s="969"/>
      <c r="V11" s="447">
        <f>'Prod Parameters'!$F$9</f>
        <v>23</v>
      </c>
      <c r="W11" s="363"/>
      <c r="X11" s="363"/>
      <c r="Y11" s="363"/>
      <c r="Z11" s="363"/>
      <c r="AA11"/>
      <c r="AB11"/>
      <c r="AC11"/>
      <c r="AD11"/>
      <c r="AE11"/>
    </row>
    <row r="12" spans="1:31" ht="12.75" customHeight="1">
      <c r="A12" s="121"/>
      <c r="B12" s="121"/>
      <c r="C12" s="121"/>
      <c r="D12" s="121"/>
      <c r="E12" s="121"/>
      <c r="F12" s="121"/>
      <c r="G12" s="121"/>
      <c r="H12" s="121"/>
      <c r="I12" s="121"/>
      <c r="J12" s="121"/>
      <c r="K12" s="121"/>
      <c r="L12" s="121"/>
      <c r="M12" s="121"/>
      <c r="N12" s="121"/>
      <c r="O12" s="121"/>
      <c r="P12" s="121"/>
      <c r="Q12" s="360"/>
      <c r="R12" s="1021" t="s">
        <v>26</v>
      </c>
      <c r="S12" s="1022"/>
      <c r="T12" s="1022"/>
      <c r="U12" s="1023"/>
      <c r="V12" s="447">
        <f>'Prod Parameters'!$F$10</f>
        <v>6</v>
      </c>
      <c r="W12" s="363"/>
      <c r="X12" s="363"/>
      <c r="Y12" s="363"/>
      <c r="Z12" s="363"/>
      <c r="AA12"/>
      <c r="AB12"/>
      <c r="AC12"/>
      <c r="AD12"/>
      <c r="AE12"/>
    </row>
    <row r="13" spans="1:31" ht="12.75" customHeight="1">
      <c r="A13" s="121"/>
      <c r="B13" s="121"/>
      <c r="C13" s="121"/>
      <c r="D13" s="121"/>
      <c r="E13" s="121"/>
      <c r="F13" s="121"/>
      <c r="G13" s="121"/>
      <c r="H13" s="121"/>
      <c r="I13" s="121"/>
      <c r="J13" s="121"/>
      <c r="K13" s="121"/>
      <c r="L13" s="121"/>
      <c r="M13" s="121"/>
      <c r="N13" s="121"/>
      <c r="O13" s="121"/>
      <c r="P13" s="121"/>
      <c r="Q13" s="360"/>
      <c r="R13" s="969" t="s">
        <v>27</v>
      </c>
      <c r="S13" s="969"/>
      <c r="T13" s="969"/>
      <c r="U13" s="969"/>
      <c r="V13" s="447">
        <f>'Prod Parameters'!$F$11</f>
        <v>52</v>
      </c>
      <c r="W13" s="363"/>
      <c r="X13" s="363"/>
      <c r="Y13" s="363"/>
      <c r="Z13" s="363"/>
      <c r="AA13"/>
      <c r="AB13"/>
      <c r="AC13"/>
      <c r="AD13"/>
      <c r="AE13"/>
    </row>
    <row r="14" spans="1:31" ht="12.75" customHeight="1">
      <c r="A14" s="121"/>
      <c r="B14" s="121"/>
      <c r="C14" s="121"/>
      <c r="D14" s="121"/>
      <c r="E14" s="121"/>
      <c r="F14" s="121"/>
      <c r="G14" s="121"/>
      <c r="H14" s="121"/>
      <c r="I14" s="121"/>
      <c r="J14" s="121"/>
      <c r="K14" s="121"/>
      <c r="L14" s="121"/>
      <c r="M14" s="121"/>
      <c r="N14" s="121"/>
      <c r="O14" s="121"/>
      <c r="P14" s="121"/>
      <c r="Q14" s="360"/>
      <c r="R14" s="969" t="s">
        <v>28</v>
      </c>
      <c r="S14" s="969"/>
      <c r="T14" s="969"/>
      <c r="U14" s="969"/>
      <c r="V14" s="447">
        <f>'Prod Parameters'!$F$12</f>
        <v>260</v>
      </c>
      <c r="W14" s="363"/>
      <c r="X14" s="363"/>
      <c r="Y14" s="363"/>
      <c r="Z14" s="363"/>
      <c r="AA14"/>
      <c r="AB14"/>
      <c r="AC14"/>
      <c r="AD14"/>
      <c r="AE14"/>
    </row>
    <row r="15" spans="1:31" ht="12.75" customHeight="1">
      <c r="A15" s="121"/>
      <c r="B15" s="121"/>
      <c r="C15" s="121"/>
      <c r="D15" s="121"/>
      <c r="E15" s="121"/>
      <c r="F15" s="121"/>
      <c r="G15" s="121"/>
      <c r="H15" s="121"/>
      <c r="I15" s="121"/>
      <c r="J15" s="121"/>
      <c r="K15" s="121"/>
      <c r="L15" s="121"/>
      <c r="M15" s="121"/>
      <c r="N15" s="121"/>
      <c r="O15" s="121"/>
      <c r="P15" s="121"/>
      <c r="Q15" s="360"/>
      <c r="R15" s="969" t="s">
        <v>29</v>
      </c>
      <c r="S15" s="969"/>
      <c r="T15" s="969"/>
      <c r="U15" s="969"/>
      <c r="V15" s="447">
        <f>'Prod Parameters'!$F$13</f>
        <v>30</v>
      </c>
      <c r="W15" s="363"/>
      <c r="X15" s="363"/>
      <c r="Y15" s="363"/>
      <c r="Z15" s="363"/>
      <c r="AA15"/>
      <c r="AB15"/>
      <c r="AC15"/>
      <c r="AD15"/>
      <c r="AE15"/>
    </row>
    <row r="16" spans="1:31" ht="12.75" customHeight="1">
      <c r="A16" s="121"/>
      <c r="B16" s="121"/>
      <c r="C16" s="121"/>
      <c r="D16" s="121"/>
      <c r="E16" s="121"/>
      <c r="F16" s="121"/>
      <c r="G16" s="121"/>
      <c r="H16" s="121"/>
      <c r="I16" s="121"/>
      <c r="J16" s="121"/>
      <c r="K16" s="121"/>
      <c r="L16" s="121"/>
      <c r="M16" s="121"/>
      <c r="N16" s="121"/>
      <c r="O16" s="121"/>
      <c r="P16" s="121"/>
      <c r="Q16" s="360"/>
      <c r="R16" s="968" t="s">
        <v>30</v>
      </c>
      <c r="S16" s="968"/>
      <c r="T16" s="968"/>
      <c r="U16" s="968"/>
      <c r="V16" s="447">
        <f>'Prod Parameters'!$F$14</f>
        <v>230</v>
      </c>
      <c r="W16" s="363"/>
      <c r="X16" s="363"/>
      <c r="Y16" s="363"/>
      <c r="Z16" s="363"/>
      <c r="AA16"/>
      <c r="AB16"/>
      <c r="AC16"/>
      <c r="AD16"/>
      <c r="AE16"/>
    </row>
    <row r="17" spans="1:31" ht="12.75" customHeight="1">
      <c r="A17" s="121"/>
      <c r="B17" s="121"/>
      <c r="C17" s="121"/>
      <c r="D17" s="121"/>
      <c r="E17" s="121"/>
      <c r="F17" s="121"/>
      <c r="G17" s="121"/>
      <c r="H17" s="121"/>
      <c r="I17" s="121"/>
      <c r="J17" s="121"/>
      <c r="K17" s="121"/>
      <c r="L17" s="121"/>
      <c r="M17" s="121"/>
      <c r="N17" s="121"/>
      <c r="O17" s="121"/>
      <c r="P17" s="121"/>
      <c r="Q17" s="360"/>
      <c r="R17" s="363"/>
      <c r="S17" s="363"/>
      <c r="T17" s="363"/>
      <c r="U17" s="363"/>
      <c r="V17" s="363"/>
      <c r="W17" s="363"/>
      <c r="X17" s="363"/>
      <c r="Y17" s="363"/>
      <c r="Z17" s="363"/>
      <c r="AA17"/>
      <c r="AB17"/>
      <c r="AC17"/>
      <c r="AD17"/>
      <c r="AE17"/>
    </row>
    <row r="18" spans="1:31" ht="12.75" customHeight="1">
      <c r="A18" s="121"/>
      <c r="B18" s="121"/>
      <c r="C18" s="121"/>
      <c r="D18" s="121"/>
      <c r="E18" s="121"/>
      <c r="F18" s="121"/>
      <c r="G18" s="121"/>
      <c r="H18" s="121"/>
      <c r="I18" s="121"/>
      <c r="J18" s="121"/>
      <c r="K18" s="121"/>
      <c r="L18" s="121"/>
      <c r="M18" s="121"/>
      <c r="N18" s="121"/>
      <c r="O18" s="121"/>
      <c r="P18" s="121"/>
      <c r="Q18" s="360">
        <v>1.2</v>
      </c>
      <c r="R18" s="364" t="s">
        <v>19</v>
      </c>
      <c r="S18" s="363"/>
      <c r="T18" s="363"/>
      <c r="U18" s="363"/>
      <c r="V18" s="363"/>
      <c r="W18" s="363"/>
      <c r="X18" s="363"/>
      <c r="Y18" s="363"/>
      <c r="Z18" s="363"/>
      <c r="AA18"/>
      <c r="AB18"/>
      <c r="AC18"/>
      <c r="AD18"/>
      <c r="AE18"/>
    </row>
    <row r="19" spans="1:31" ht="12.75" customHeight="1">
      <c r="A19" s="121"/>
      <c r="B19" s="121"/>
      <c r="C19" s="121"/>
      <c r="D19" s="121"/>
      <c r="E19" s="121"/>
      <c r="F19" s="121"/>
      <c r="G19" s="121"/>
      <c r="H19" s="121"/>
      <c r="I19" s="121"/>
      <c r="J19" s="121"/>
      <c r="K19" s="121"/>
      <c r="L19" s="121"/>
      <c r="M19" s="121"/>
      <c r="N19" s="121"/>
      <c r="O19" s="121"/>
      <c r="P19" s="121"/>
      <c r="Q19" s="360"/>
      <c r="R19" s="969" t="s">
        <v>314</v>
      </c>
      <c r="S19" s="969"/>
      <c r="T19" s="969"/>
      <c r="U19" s="969"/>
      <c r="V19" s="447">
        <f>'Prod Parameters'!$F$17</f>
        <v>160</v>
      </c>
      <c r="W19" s="363"/>
      <c r="X19" s="363"/>
      <c r="Y19" s="363"/>
      <c r="Z19" s="363"/>
      <c r="AA19"/>
      <c r="AB19"/>
      <c r="AC19"/>
      <c r="AD19"/>
      <c r="AE19"/>
    </row>
    <row r="20" spans="1:31" ht="12.75" customHeight="1">
      <c r="A20" s="121"/>
      <c r="B20" s="121"/>
      <c r="C20" s="121"/>
      <c r="D20" s="121"/>
      <c r="E20" s="121"/>
      <c r="F20" s="121"/>
      <c r="G20" s="121"/>
      <c r="H20" s="121"/>
      <c r="I20" s="121"/>
      <c r="J20" s="121"/>
      <c r="K20" s="121"/>
      <c r="L20" s="121"/>
      <c r="M20" s="121"/>
      <c r="N20" s="121"/>
      <c r="O20" s="121"/>
      <c r="P20" s="121"/>
      <c r="Q20" s="360"/>
      <c r="R20" s="969" t="s">
        <v>31</v>
      </c>
      <c r="S20" s="969"/>
      <c r="T20" s="969"/>
      <c r="U20" s="969"/>
      <c r="V20" s="447">
        <f>'Prod Parameters'!$F$18</f>
        <v>1.2</v>
      </c>
      <c r="W20" s="363"/>
      <c r="X20" s="363"/>
      <c r="Y20" s="363"/>
      <c r="Z20" s="363"/>
      <c r="AA20"/>
      <c r="AB20"/>
      <c r="AC20"/>
      <c r="AD20"/>
      <c r="AE20"/>
    </row>
    <row r="21" spans="1:31" ht="12.75" customHeight="1">
      <c r="A21" s="121"/>
      <c r="B21" s="121"/>
      <c r="C21" s="121"/>
      <c r="D21" s="121"/>
      <c r="E21" s="121"/>
      <c r="F21" s="121"/>
      <c r="G21" s="121"/>
      <c r="H21" s="121"/>
      <c r="I21" s="121"/>
      <c r="J21" s="121"/>
      <c r="K21" s="121"/>
      <c r="L21" s="121"/>
      <c r="M21" s="121"/>
      <c r="N21" s="121"/>
      <c r="O21" s="121"/>
      <c r="P21" s="121"/>
      <c r="Q21" s="360"/>
      <c r="R21" s="969" t="s">
        <v>199</v>
      </c>
      <c r="S21" s="969"/>
      <c r="T21" s="969"/>
      <c r="U21" s="969"/>
      <c r="V21" s="447">
        <f>'Prod Parameters'!$F$19</f>
        <v>4</v>
      </c>
      <c r="W21" s="363"/>
      <c r="X21" s="363"/>
      <c r="Y21" s="363"/>
      <c r="Z21" s="363"/>
      <c r="AA21"/>
      <c r="AB21"/>
      <c r="AC21"/>
      <c r="AD21"/>
      <c r="AE21"/>
    </row>
    <row r="22" spans="1:31" ht="12.75" customHeight="1">
      <c r="A22" s="121"/>
      <c r="B22" s="121"/>
      <c r="C22" s="121"/>
      <c r="D22" s="121"/>
      <c r="E22" s="121"/>
      <c r="F22" s="121"/>
      <c r="G22" s="121"/>
      <c r="H22" s="121"/>
      <c r="I22" s="121"/>
      <c r="J22" s="121"/>
      <c r="K22" s="121"/>
      <c r="L22" s="121"/>
      <c r="M22" s="121"/>
      <c r="N22" s="121"/>
      <c r="O22" s="121"/>
      <c r="P22" s="121"/>
      <c r="Q22" s="360"/>
      <c r="R22" s="969" t="s">
        <v>20</v>
      </c>
      <c r="S22" s="969"/>
      <c r="T22" s="969"/>
      <c r="U22" s="969"/>
      <c r="V22" s="447">
        <f>'Prod Parameters'!$F$20</f>
        <v>40</v>
      </c>
      <c r="W22" s="363"/>
      <c r="X22" s="363"/>
      <c r="Y22" s="363"/>
      <c r="Z22" s="363"/>
      <c r="AA22"/>
      <c r="AB22"/>
      <c r="AC22"/>
      <c r="AD22"/>
      <c r="AE22"/>
    </row>
    <row r="23" spans="1:31" ht="12.75" customHeight="1">
      <c r="A23" s="121"/>
      <c r="B23" s="121"/>
      <c r="C23" s="121"/>
      <c r="D23" s="121"/>
      <c r="E23" s="121"/>
      <c r="F23" s="121"/>
      <c r="G23" s="121"/>
      <c r="H23" s="121"/>
      <c r="I23" s="121"/>
      <c r="J23" s="121"/>
      <c r="K23" s="121"/>
      <c r="L23" s="121"/>
      <c r="M23" s="121"/>
      <c r="N23" s="121"/>
      <c r="O23" s="121"/>
      <c r="P23" s="121"/>
      <c r="Q23" s="360"/>
      <c r="R23" s="969" t="s">
        <v>310</v>
      </c>
      <c r="S23" s="969"/>
      <c r="T23" s="969"/>
      <c r="U23" s="969"/>
      <c r="V23" s="447">
        <f>'Prod Parameters'!$F$21</f>
        <v>160</v>
      </c>
      <c r="W23" s="363"/>
      <c r="X23" s="363"/>
      <c r="Y23" s="363"/>
      <c r="Z23" s="363"/>
      <c r="AA23"/>
      <c r="AB23"/>
      <c r="AC23"/>
      <c r="AD23"/>
      <c r="AE23"/>
    </row>
    <row r="24" spans="1:31" ht="12.75" customHeight="1">
      <c r="A24" s="121"/>
      <c r="B24" s="121"/>
      <c r="C24" s="121"/>
      <c r="D24" s="121"/>
      <c r="E24" s="121"/>
      <c r="F24" s="121"/>
      <c r="G24" s="121"/>
      <c r="H24" s="121"/>
      <c r="I24" s="121"/>
      <c r="J24" s="121"/>
      <c r="K24" s="121"/>
      <c r="L24" s="121"/>
      <c r="M24" s="121"/>
      <c r="N24" s="121"/>
      <c r="O24" s="121"/>
      <c r="P24" s="121"/>
      <c r="Q24" s="360"/>
      <c r="R24" s="969" t="s">
        <v>315</v>
      </c>
      <c r="S24" s="969"/>
      <c r="T24" s="969"/>
      <c r="U24" s="969"/>
      <c r="V24" s="549">
        <f>'Prod Parameters'!$F$22</f>
        <v>6400</v>
      </c>
      <c r="W24" s="363"/>
      <c r="X24" s="363"/>
      <c r="Y24" s="363"/>
      <c r="Z24" s="363"/>
      <c r="AA24"/>
      <c r="AB24"/>
      <c r="AC24"/>
      <c r="AD24"/>
      <c r="AE24"/>
    </row>
    <row r="25" spans="1:31" ht="12.75" customHeight="1">
      <c r="A25" s="121"/>
      <c r="B25" s="121"/>
      <c r="C25" s="121"/>
      <c r="D25" s="121"/>
      <c r="E25" s="121"/>
      <c r="F25" s="121"/>
      <c r="G25" s="121"/>
      <c r="H25" s="121"/>
      <c r="I25" s="121"/>
      <c r="J25" s="121"/>
      <c r="K25" s="121"/>
      <c r="L25" s="121"/>
      <c r="M25" s="121"/>
      <c r="N25" s="121"/>
      <c r="O25" s="121"/>
      <c r="P25" s="121"/>
      <c r="Q25" s="360"/>
      <c r="R25" s="969" t="s">
        <v>187</v>
      </c>
      <c r="S25" s="969"/>
      <c r="T25" s="969"/>
      <c r="U25" s="969"/>
      <c r="V25" s="549">
        <f>'Prod Parameters'!$F$23</f>
        <v>7680</v>
      </c>
      <c r="W25" s="363"/>
      <c r="X25" s="363"/>
      <c r="Y25" s="363"/>
      <c r="Z25" s="363"/>
      <c r="AA25"/>
      <c r="AB25"/>
      <c r="AC25"/>
      <c r="AD25"/>
      <c r="AE25"/>
    </row>
    <row r="26" spans="1:31" ht="12.75" customHeight="1">
      <c r="A26" s="121"/>
      <c r="B26" s="121"/>
      <c r="C26" s="121"/>
      <c r="D26" s="121"/>
      <c r="E26" s="121"/>
      <c r="F26" s="121"/>
      <c r="G26" s="121"/>
      <c r="H26" s="121"/>
      <c r="I26" s="121"/>
      <c r="J26" s="121"/>
      <c r="K26" s="121"/>
      <c r="L26" s="121"/>
      <c r="M26" s="121"/>
      <c r="N26" s="121"/>
      <c r="O26" s="121"/>
      <c r="P26" s="121"/>
      <c r="Q26" s="360"/>
      <c r="R26" s="969" t="s">
        <v>200</v>
      </c>
      <c r="S26" s="969"/>
      <c r="T26" s="969"/>
      <c r="U26" s="969"/>
      <c r="V26" s="549">
        <f>'Prod Parameters'!$F$24</f>
        <v>176640</v>
      </c>
      <c r="W26" s="363"/>
      <c r="X26" s="363"/>
      <c r="Y26" s="363"/>
      <c r="Z26" s="363"/>
      <c r="AA26"/>
      <c r="AB26"/>
      <c r="AC26"/>
      <c r="AD26"/>
      <c r="AE26"/>
    </row>
    <row r="27" spans="1:31" ht="12.75" customHeight="1">
      <c r="A27" s="121"/>
      <c r="B27" s="121"/>
      <c r="C27" s="121"/>
      <c r="D27" s="121"/>
      <c r="E27" s="121"/>
      <c r="F27" s="121"/>
      <c r="G27" s="121"/>
      <c r="H27" s="121"/>
      <c r="I27" s="121"/>
      <c r="J27" s="121"/>
      <c r="K27" s="121"/>
      <c r="L27" s="121"/>
      <c r="M27" s="121"/>
      <c r="N27" s="121"/>
      <c r="O27" s="121"/>
      <c r="P27" s="121"/>
      <c r="Q27" s="360"/>
      <c r="R27" s="363"/>
      <c r="S27" s="363"/>
      <c r="T27" s="363"/>
      <c r="U27" s="363"/>
      <c r="V27" s="363"/>
      <c r="W27" s="363"/>
      <c r="X27" s="363"/>
      <c r="Y27" s="363"/>
      <c r="Z27" s="363"/>
      <c r="AA27"/>
      <c r="AB27"/>
      <c r="AC27"/>
      <c r="AD27"/>
      <c r="AE27"/>
    </row>
    <row r="28" spans="1:31" ht="12.75" customHeight="1">
      <c r="A28" s="121"/>
      <c r="B28" s="121"/>
      <c r="C28" s="121"/>
      <c r="D28" s="121"/>
      <c r="E28" s="121"/>
      <c r="F28" s="121"/>
      <c r="G28" s="121"/>
      <c r="H28" s="121"/>
      <c r="I28" s="121"/>
      <c r="J28" s="121"/>
      <c r="K28" s="121"/>
      <c r="L28" s="121"/>
      <c r="M28" s="121"/>
      <c r="N28" s="121"/>
      <c r="O28" s="121"/>
      <c r="P28" s="121"/>
      <c r="Q28" s="385" t="s">
        <v>33</v>
      </c>
      <c r="R28" s="1008" t="s">
        <v>821</v>
      </c>
      <c r="S28" s="1008"/>
      <c r="T28" s="1008"/>
      <c r="U28" s="1008"/>
      <c r="V28" s="1008"/>
      <c r="W28" s="1008"/>
      <c r="X28" s="1008"/>
      <c r="Y28" s="1008"/>
      <c r="Z28" s="536"/>
      <c r="AA28"/>
      <c r="AB28"/>
      <c r="AC28"/>
      <c r="AD28"/>
      <c r="AE28"/>
    </row>
    <row r="29" spans="1:31" ht="12.75" customHeight="1">
      <c r="A29" s="121"/>
      <c r="B29" s="121"/>
      <c r="C29" s="121"/>
      <c r="D29" s="121"/>
      <c r="E29" s="121"/>
      <c r="F29" s="121"/>
      <c r="G29" s="121"/>
      <c r="H29" s="121"/>
      <c r="I29" s="121"/>
      <c r="J29" s="121"/>
      <c r="K29" s="121"/>
      <c r="L29" s="121"/>
      <c r="M29" s="121"/>
      <c r="N29" s="121"/>
      <c r="O29" s="121"/>
      <c r="P29" s="121"/>
      <c r="Q29" s="546"/>
      <c r="R29" s="363"/>
      <c r="S29" s="363"/>
      <c r="T29" s="363"/>
      <c r="U29" s="363"/>
      <c r="V29" s="363"/>
      <c r="W29" s="363"/>
      <c r="X29" s="363"/>
      <c r="Y29" s="363"/>
      <c r="Z29" s="363"/>
      <c r="AA29"/>
      <c r="AB29"/>
      <c r="AC29"/>
      <c r="AD29"/>
      <c r="AE29"/>
    </row>
    <row r="30" spans="1:31" ht="12.75" customHeight="1">
      <c r="A30" s="121"/>
      <c r="B30" s="121"/>
      <c r="C30" s="121"/>
      <c r="D30" s="121"/>
      <c r="E30" s="121"/>
      <c r="F30" s="121"/>
      <c r="G30" s="121"/>
      <c r="H30" s="121"/>
      <c r="I30" s="121"/>
      <c r="J30" s="121"/>
      <c r="K30" s="121"/>
      <c r="L30" s="121"/>
      <c r="M30" s="121"/>
      <c r="N30" s="121"/>
      <c r="O30" s="121"/>
      <c r="P30" s="121"/>
      <c r="Q30" s="546">
        <v>2.1</v>
      </c>
      <c r="R30" s="363" t="s">
        <v>831</v>
      </c>
      <c r="S30" s="363"/>
      <c r="T30" s="363"/>
      <c r="U30" s="550"/>
      <c r="V30" s="550"/>
      <c r="W30" s="550"/>
      <c r="X30" s="550"/>
      <c r="Y30" s="551"/>
      <c r="Z30" s="551"/>
      <c r="AA30"/>
      <c r="AB30"/>
      <c r="AC30"/>
      <c r="AD30"/>
      <c r="AE30"/>
    </row>
    <row r="31" spans="1:31" ht="12.75" customHeight="1">
      <c r="A31" s="121"/>
      <c r="B31" s="121"/>
      <c r="C31" s="121"/>
      <c r="D31" s="121"/>
      <c r="E31" s="121"/>
      <c r="F31" s="121"/>
      <c r="G31" s="121"/>
      <c r="H31" s="121"/>
      <c r="I31" s="121"/>
      <c r="J31" s="121"/>
      <c r="K31" s="121"/>
      <c r="L31" s="121"/>
      <c r="M31" s="121"/>
      <c r="N31" s="121"/>
      <c r="O31" s="121"/>
      <c r="P31" s="121"/>
      <c r="Q31" s="546"/>
      <c r="R31" s="998" t="s">
        <v>77</v>
      </c>
      <c r="S31" s="999"/>
      <c r="T31" s="1000"/>
      <c r="U31" s="1019" t="s">
        <v>824</v>
      </c>
      <c r="V31" s="1019" t="s">
        <v>828</v>
      </c>
      <c r="W31" s="1019" t="s">
        <v>826</v>
      </c>
      <c r="X31" s="1019" t="s">
        <v>23</v>
      </c>
      <c r="Y31" s="552"/>
      <c r="Z31" s="552"/>
      <c r="AA31"/>
      <c r="AB31"/>
      <c r="AC31"/>
      <c r="AD31"/>
      <c r="AE31"/>
    </row>
    <row r="32" spans="1:31" ht="12.75" customHeight="1">
      <c r="A32" s="121"/>
      <c r="B32" s="121"/>
      <c r="C32" s="121"/>
      <c r="D32" s="121"/>
      <c r="E32" s="121"/>
      <c r="F32" s="121"/>
      <c r="G32" s="121"/>
      <c r="H32" s="121"/>
      <c r="I32" s="121"/>
      <c r="J32" s="121"/>
      <c r="K32" s="121"/>
      <c r="L32" s="121"/>
      <c r="M32" s="121"/>
      <c r="N32" s="121"/>
      <c r="O32" s="121"/>
      <c r="P32" s="121"/>
      <c r="Q32" s="546"/>
      <c r="R32" s="1001"/>
      <c r="S32" s="1002"/>
      <c r="T32" s="1003"/>
      <c r="U32" s="1019"/>
      <c r="V32" s="1019"/>
      <c r="W32" s="1019"/>
      <c r="X32" s="1019"/>
      <c r="Y32" s="364"/>
      <c r="Z32" s="364"/>
      <c r="AA32"/>
      <c r="AB32"/>
      <c r="AC32"/>
      <c r="AD32"/>
      <c r="AE32"/>
    </row>
    <row r="33" spans="1:31" ht="12.75" customHeight="1">
      <c r="A33" s="121"/>
      <c r="B33" s="121"/>
      <c r="C33" s="121"/>
      <c r="D33" s="121"/>
      <c r="E33" s="121"/>
      <c r="F33" s="121"/>
      <c r="G33" s="121"/>
      <c r="H33" s="121"/>
      <c r="I33" s="121"/>
      <c r="J33" s="121"/>
      <c r="K33" s="121"/>
      <c r="L33" s="121"/>
      <c r="M33" s="121"/>
      <c r="N33" s="121"/>
      <c r="O33" s="121"/>
      <c r="P33" s="121"/>
      <c r="Q33" s="546"/>
      <c r="R33" s="1020" t="s">
        <v>500</v>
      </c>
      <c r="S33" s="1020"/>
      <c r="T33" s="1020"/>
      <c r="U33" s="369">
        <v>23.9</v>
      </c>
      <c r="V33" s="369">
        <f>'Lookup Properties'!$C$7</f>
        <v>15.4</v>
      </c>
      <c r="W33" s="369">
        <f>'Lookup Properties'!$D$7</f>
        <v>4.8</v>
      </c>
      <c r="X33" s="553">
        <f>SUM(U33:W33)</f>
        <v>44.099999999999994</v>
      </c>
      <c r="Y33" s="364"/>
      <c r="Z33" s="364"/>
      <c r="AA33"/>
      <c r="AB33"/>
      <c r="AC33"/>
      <c r="AD33"/>
      <c r="AE33"/>
    </row>
    <row r="34" spans="1:31" ht="12.75" customHeight="1">
      <c r="A34" s="121"/>
      <c r="B34" s="121"/>
      <c r="C34" s="121"/>
      <c r="D34" s="121"/>
      <c r="E34" s="121"/>
      <c r="F34" s="121"/>
      <c r="G34" s="121"/>
      <c r="H34" s="121"/>
      <c r="I34" s="121"/>
      <c r="J34" s="121"/>
      <c r="K34" s="121"/>
      <c r="L34" s="121"/>
      <c r="M34" s="121"/>
      <c r="N34" s="121"/>
      <c r="O34" s="121"/>
      <c r="P34" s="121"/>
      <c r="Q34" s="546"/>
      <c r="R34" s="1017" t="s">
        <v>22</v>
      </c>
      <c r="S34" s="1017"/>
      <c r="T34" s="1017"/>
      <c r="U34" s="369">
        <f>'Lookup Properties'!$B$5</f>
        <v>22.35</v>
      </c>
      <c r="V34" s="369">
        <f>'Lookup Properties'!$C$5</f>
        <v>17.399999999999999</v>
      </c>
      <c r="W34" s="369">
        <f>'Lookup Properties'!$D$5</f>
        <v>5</v>
      </c>
      <c r="X34" s="553">
        <f>SUM(U34:W34)</f>
        <v>44.75</v>
      </c>
      <c r="Y34" s="364"/>
      <c r="Z34" s="364"/>
      <c r="AA34"/>
      <c r="AB34"/>
      <c r="AC34"/>
      <c r="AD34"/>
      <c r="AE34"/>
    </row>
    <row r="35" spans="1:31" ht="12.75" customHeight="1">
      <c r="A35" s="121"/>
      <c r="B35" s="121"/>
      <c r="C35" s="121"/>
      <c r="D35" s="121"/>
      <c r="E35" s="121"/>
      <c r="F35" s="121"/>
      <c r="G35" s="121"/>
      <c r="H35" s="121"/>
      <c r="I35" s="121"/>
      <c r="J35" s="121"/>
      <c r="K35" s="121"/>
      <c r="L35" s="121"/>
      <c r="M35" s="121"/>
      <c r="N35" s="121"/>
      <c r="O35" s="121"/>
      <c r="P35" s="121"/>
      <c r="Q35" s="546"/>
      <c r="R35" s="1018" t="s">
        <v>579</v>
      </c>
      <c r="S35" s="1018"/>
      <c r="T35" s="1018"/>
      <c r="U35" s="369">
        <f>'Lookup Properties'!$B$6</f>
        <v>22.15</v>
      </c>
      <c r="V35" s="369">
        <f>'Lookup Properties'!$C$6</f>
        <v>18.149999999999999</v>
      </c>
      <c r="W35" s="369">
        <f>'Lookup Properties'!$D$6</f>
        <v>5</v>
      </c>
      <c r="X35" s="553">
        <f>SUM(U35:W35)</f>
        <v>45.3</v>
      </c>
      <c r="Y35" s="364"/>
      <c r="Z35" s="364"/>
      <c r="AA35"/>
      <c r="AB35"/>
      <c r="AC35"/>
      <c r="AD35"/>
      <c r="AE35"/>
    </row>
    <row r="36" spans="1:31" ht="12.75" customHeight="1">
      <c r="A36" s="121"/>
      <c r="B36" s="121"/>
      <c r="C36" s="121"/>
      <c r="D36" s="121"/>
      <c r="E36" s="121"/>
      <c r="F36" s="121"/>
      <c r="G36" s="121"/>
      <c r="H36" s="121"/>
      <c r="I36" s="121"/>
      <c r="J36" s="121"/>
      <c r="K36" s="121"/>
      <c r="L36" s="121"/>
      <c r="M36" s="121"/>
      <c r="N36" s="121"/>
      <c r="O36" s="121"/>
      <c r="P36" s="121"/>
      <c r="Q36" s="546"/>
      <c r="R36" s="1016" t="s">
        <v>21</v>
      </c>
      <c r="S36" s="1016"/>
      <c r="T36" s="1016"/>
      <c r="U36" s="369">
        <f>'Lookup Properties'!$B$4</f>
        <v>21.25</v>
      </c>
      <c r="V36" s="369">
        <f>'Lookup Properties'!$C$4</f>
        <v>17.399999999999999</v>
      </c>
      <c r="W36" s="369">
        <f>'Lookup Properties'!$D$4</f>
        <v>5</v>
      </c>
      <c r="X36" s="553">
        <f>SUM(U36:W36)</f>
        <v>43.65</v>
      </c>
      <c r="Y36" s="364"/>
      <c r="Z36" s="364"/>
      <c r="AA36"/>
      <c r="AB36"/>
      <c r="AC36"/>
      <c r="AD36"/>
      <c r="AE36"/>
    </row>
    <row r="37" spans="1:31" ht="12.75" customHeight="1">
      <c r="A37" s="121"/>
      <c r="B37" s="121"/>
      <c r="C37" s="121"/>
      <c r="D37" s="121"/>
      <c r="E37" s="121"/>
      <c r="F37" s="121"/>
      <c r="G37" s="121"/>
      <c r="H37" s="121"/>
      <c r="I37" s="121"/>
      <c r="J37" s="121"/>
      <c r="K37" s="121"/>
      <c r="L37" s="121"/>
      <c r="M37" s="121"/>
      <c r="N37" s="121"/>
      <c r="O37" s="121"/>
      <c r="P37" s="121"/>
      <c r="Q37" s="364"/>
      <c r="R37" s="364"/>
      <c r="S37" s="364"/>
      <c r="T37" s="364"/>
      <c r="U37" s="555"/>
      <c r="V37" s="555"/>
      <c r="W37" s="555"/>
      <c r="X37" s="555"/>
      <c r="Y37" s="555"/>
      <c r="Z37" s="364"/>
      <c r="AA37"/>
      <c r="AB37"/>
      <c r="AC37"/>
      <c r="AD37"/>
      <c r="AE37"/>
    </row>
    <row r="38" spans="1:31" ht="12.75" customHeight="1">
      <c r="A38" s="121"/>
      <c r="B38" s="121"/>
      <c r="C38" s="121"/>
      <c r="D38" s="121"/>
      <c r="E38" s="121"/>
      <c r="F38" s="121"/>
      <c r="G38" s="121"/>
      <c r="H38" s="121"/>
      <c r="I38" s="121"/>
      <c r="J38" s="121"/>
      <c r="K38" s="121"/>
      <c r="L38" s="121"/>
      <c r="M38" s="121"/>
      <c r="N38" s="121"/>
      <c r="O38" s="121"/>
      <c r="P38" s="121"/>
      <c r="Q38" s="360">
        <v>2.2000000000000002</v>
      </c>
      <c r="R38" s="363" t="s">
        <v>832</v>
      </c>
      <c r="S38" s="363"/>
      <c r="T38" s="363"/>
      <c r="U38" s="363"/>
      <c r="V38" s="363"/>
      <c r="W38" s="363"/>
      <c r="X38" s="363"/>
      <c r="Y38" s="363"/>
      <c r="Z38" s="364"/>
      <c r="AA38"/>
      <c r="AB38"/>
      <c r="AC38"/>
      <c r="AD38"/>
      <c r="AE38"/>
    </row>
    <row r="39" spans="1:31" ht="12.75" customHeight="1">
      <c r="A39" s="121"/>
      <c r="B39" s="121"/>
      <c r="C39" s="121"/>
      <c r="D39" s="121"/>
      <c r="E39" s="121"/>
      <c r="F39" s="121"/>
      <c r="G39" s="121"/>
      <c r="H39" s="121"/>
      <c r="I39" s="121"/>
      <c r="J39" s="121"/>
      <c r="K39" s="121"/>
      <c r="L39" s="121"/>
      <c r="M39" s="121"/>
      <c r="N39" s="121"/>
      <c r="O39" s="121"/>
      <c r="P39" s="121"/>
      <c r="Q39" s="360"/>
      <c r="R39" s="998" t="s">
        <v>77</v>
      </c>
      <c r="S39" s="999"/>
      <c r="T39" s="1000"/>
      <c r="U39" s="1019" t="s">
        <v>824</v>
      </c>
      <c r="V39" s="1019" t="s">
        <v>828</v>
      </c>
      <c r="W39" s="1019" t="s">
        <v>826</v>
      </c>
      <c r="X39" s="1019" t="s">
        <v>23</v>
      </c>
      <c r="Y39" s="364"/>
      <c r="Z39" s="364"/>
      <c r="AA39"/>
      <c r="AB39"/>
      <c r="AC39"/>
      <c r="AD39"/>
      <c r="AE39"/>
    </row>
    <row r="40" spans="1:31" ht="12.75" customHeight="1">
      <c r="A40" s="121"/>
      <c r="B40" s="121"/>
      <c r="C40" s="121"/>
      <c r="D40" s="121"/>
      <c r="E40" s="121"/>
      <c r="F40" s="121"/>
      <c r="G40" s="121"/>
      <c r="H40" s="121"/>
      <c r="I40" s="121"/>
      <c r="J40" s="121"/>
      <c r="K40" s="121"/>
      <c r="L40" s="121"/>
      <c r="M40" s="121"/>
      <c r="N40" s="121"/>
      <c r="O40" s="121"/>
      <c r="P40" s="121"/>
      <c r="Q40" s="360"/>
      <c r="R40" s="1001"/>
      <c r="S40" s="1002"/>
      <c r="T40" s="1003"/>
      <c r="U40" s="1019"/>
      <c r="V40" s="1019"/>
      <c r="W40" s="1019"/>
      <c r="X40" s="1019"/>
      <c r="Y40" s="364"/>
      <c r="Z40" s="364"/>
      <c r="AA40"/>
      <c r="AB40"/>
      <c r="AC40"/>
      <c r="AD40"/>
      <c r="AE40"/>
    </row>
    <row r="41" spans="1:31" ht="12.75" customHeight="1">
      <c r="A41" s="121"/>
      <c r="B41" s="121"/>
      <c r="C41" s="121"/>
      <c r="D41" s="121"/>
      <c r="E41" s="121"/>
      <c r="F41" s="121"/>
      <c r="G41" s="121"/>
      <c r="H41" s="121"/>
      <c r="I41" s="121"/>
      <c r="J41" s="121"/>
      <c r="K41" s="121"/>
      <c r="L41" s="121"/>
      <c r="M41" s="121"/>
      <c r="N41" s="121"/>
      <c r="O41" s="121"/>
      <c r="P41" s="121"/>
      <c r="Q41" s="360"/>
      <c r="R41" s="1020" t="s">
        <v>500</v>
      </c>
      <c r="S41" s="1020"/>
      <c r="T41" s="1020"/>
      <c r="U41" s="556">
        <f>'Lookup Properties'!$B$13</f>
        <v>0.74</v>
      </c>
      <c r="V41" s="556">
        <f>'Lookup Properties'!$C$13</f>
        <v>0.78</v>
      </c>
      <c r="W41" s="556">
        <f>'Lookup Properties'!$D$13</f>
        <v>1.26</v>
      </c>
      <c r="X41" s="553">
        <f>SUM(U41:W41)</f>
        <v>2.7800000000000002</v>
      </c>
      <c r="Y41" s="364"/>
      <c r="Z41" s="364"/>
      <c r="AA41"/>
      <c r="AB41"/>
      <c r="AC41"/>
      <c r="AD41"/>
      <c r="AE41"/>
    </row>
    <row r="42" spans="1:31" ht="12.75" customHeight="1">
      <c r="A42" s="121"/>
      <c r="B42" s="121"/>
      <c r="C42" s="121"/>
      <c r="D42" s="121"/>
      <c r="E42" s="121"/>
      <c r="F42" s="121"/>
      <c r="G42" s="121"/>
      <c r="H42" s="121"/>
      <c r="I42" s="121"/>
      <c r="J42" s="121"/>
      <c r="K42" s="121"/>
      <c r="L42" s="121"/>
      <c r="M42" s="121"/>
      <c r="N42" s="121"/>
      <c r="O42" s="121"/>
      <c r="P42" s="121"/>
      <c r="Q42" s="360"/>
      <c r="R42" s="1017" t="s">
        <v>22</v>
      </c>
      <c r="S42" s="1017"/>
      <c r="T42" s="1017"/>
      <c r="U42" s="557">
        <f>'Lookup Properties'!$B$11</f>
        <v>0.71499999999999997</v>
      </c>
      <c r="V42" s="557">
        <f>'Lookup Properties'!$C$11</f>
        <v>1.03</v>
      </c>
      <c r="W42" s="557">
        <f>'Lookup Properties'!$D$11</f>
        <v>1.29</v>
      </c>
      <c r="X42" s="553">
        <f>SUM(U42:W42)</f>
        <v>3.0350000000000001</v>
      </c>
      <c r="Y42" s="364"/>
      <c r="Z42" s="364"/>
      <c r="AA42"/>
      <c r="AB42"/>
      <c r="AC42"/>
      <c r="AD42"/>
      <c r="AE42"/>
    </row>
    <row r="43" spans="1:31" ht="12.75" customHeight="1">
      <c r="A43" s="121"/>
      <c r="B43" s="121"/>
      <c r="C43" s="121"/>
      <c r="D43" s="121"/>
      <c r="E43" s="121"/>
      <c r="F43" s="121"/>
      <c r="G43" s="121"/>
      <c r="H43" s="121"/>
      <c r="I43" s="121"/>
      <c r="J43" s="121"/>
      <c r="K43" s="121"/>
      <c r="L43" s="121"/>
      <c r="M43" s="121"/>
      <c r="N43" s="121"/>
      <c r="O43" s="121"/>
      <c r="P43" s="121"/>
      <c r="Q43" s="360"/>
      <c r="R43" s="1018" t="s">
        <v>579</v>
      </c>
      <c r="S43" s="1018"/>
      <c r="T43" s="1018"/>
      <c r="U43" s="557">
        <f>'Lookup Properties'!$B$12</f>
        <v>0.755</v>
      </c>
      <c r="V43" s="557">
        <f>'Lookup Properties'!$C$12</f>
        <v>1.07</v>
      </c>
      <c r="W43" s="557">
        <f>'Lookup Properties'!$D$12</f>
        <v>1.2949999999999999</v>
      </c>
      <c r="X43" s="553">
        <f>SUM(U43:W43)</f>
        <v>3.12</v>
      </c>
      <c r="Y43" s="364"/>
      <c r="Z43" s="364"/>
      <c r="AA43"/>
      <c r="AB43"/>
      <c r="AC43"/>
      <c r="AD43"/>
      <c r="AE43"/>
    </row>
    <row r="44" spans="1:31" ht="12.75" customHeight="1">
      <c r="A44" s="121"/>
      <c r="B44" s="121"/>
      <c r="C44" s="121"/>
      <c r="D44" s="121"/>
      <c r="E44" s="121"/>
      <c r="F44" s="121"/>
      <c r="G44" s="121"/>
      <c r="H44" s="121"/>
      <c r="I44" s="121"/>
      <c r="J44" s="121"/>
      <c r="K44" s="121"/>
      <c r="L44" s="121"/>
      <c r="M44" s="121"/>
      <c r="N44" s="121"/>
      <c r="O44" s="121"/>
      <c r="P44" s="121"/>
      <c r="Q44" s="360"/>
      <c r="R44" s="1016" t="s">
        <v>21</v>
      </c>
      <c r="S44" s="1016"/>
      <c r="T44" s="1016"/>
      <c r="U44" s="557">
        <f>'Lookup Properties'!$B$10</f>
        <v>0.71</v>
      </c>
      <c r="V44" s="557">
        <f>'Lookup Properties'!$C$10</f>
        <v>1.03</v>
      </c>
      <c r="W44" s="557">
        <f>'Lookup Properties'!$D$10</f>
        <v>1.29</v>
      </c>
      <c r="X44" s="553">
        <f>SUM(U44:W44)</f>
        <v>3.0300000000000002</v>
      </c>
      <c r="Y44" s="364"/>
      <c r="Z44" s="364"/>
      <c r="AA44"/>
      <c r="AB44"/>
      <c r="AC44"/>
      <c r="AD44"/>
      <c r="AE44"/>
    </row>
    <row r="45" spans="1:31" ht="12.75" customHeight="1">
      <c r="A45" s="121"/>
      <c r="B45" s="121"/>
      <c r="C45" s="121"/>
      <c r="D45" s="121"/>
      <c r="E45" s="121"/>
      <c r="F45" s="121"/>
      <c r="G45" s="121"/>
      <c r="H45" s="121"/>
      <c r="I45" s="121"/>
      <c r="J45" s="121"/>
      <c r="K45" s="121"/>
      <c r="L45" s="121"/>
      <c r="M45" s="121"/>
      <c r="N45" s="121"/>
      <c r="O45" s="121"/>
      <c r="P45" s="121"/>
      <c r="Q45" s="364"/>
      <c r="R45" s="364"/>
      <c r="S45" s="364"/>
      <c r="T45" s="364"/>
      <c r="U45" s="555"/>
      <c r="V45" s="555"/>
      <c r="W45" s="555"/>
      <c r="X45" s="555"/>
      <c r="Y45" s="555"/>
      <c r="Z45" s="364"/>
      <c r="AA45"/>
      <c r="AB45"/>
      <c r="AC45"/>
      <c r="AD45"/>
      <c r="AE45"/>
    </row>
    <row r="46" spans="1:31" ht="12.75" customHeight="1">
      <c r="A46" s="121"/>
      <c r="B46" s="121"/>
      <c r="C46" s="121"/>
      <c r="D46" s="121"/>
      <c r="E46" s="121"/>
      <c r="F46" s="121"/>
      <c r="G46" s="121"/>
      <c r="H46" s="121"/>
      <c r="I46" s="121"/>
      <c r="J46" s="121"/>
      <c r="K46" s="121"/>
      <c r="L46" s="121"/>
      <c r="M46" s="121"/>
      <c r="N46" s="121"/>
      <c r="O46" s="121"/>
      <c r="P46" s="121"/>
      <c r="Q46" s="387" t="s">
        <v>817</v>
      </c>
      <c r="R46" s="1015" t="s">
        <v>206</v>
      </c>
      <c r="S46" s="1015"/>
      <c r="T46" s="1015"/>
      <c r="U46" s="1015"/>
      <c r="V46" s="1015"/>
      <c r="W46" s="1015"/>
      <c r="X46" s="1015"/>
      <c r="Y46" s="1015"/>
      <c r="Z46" s="536"/>
      <c r="AA46"/>
      <c r="AB46"/>
      <c r="AC46"/>
      <c r="AD46"/>
      <c r="AE46"/>
    </row>
    <row r="47" spans="1:31" ht="12.75" customHeight="1">
      <c r="A47" s="121"/>
      <c r="B47" s="121"/>
      <c r="C47" s="121"/>
      <c r="D47" s="121"/>
      <c r="E47" s="121"/>
      <c r="F47" s="121"/>
      <c r="G47" s="121"/>
      <c r="H47" s="121"/>
      <c r="I47" s="121"/>
      <c r="J47" s="121"/>
      <c r="K47" s="121"/>
      <c r="L47" s="121"/>
      <c r="M47" s="121"/>
      <c r="N47" s="121"/>
      <c r="O47" s="121"/>
      <c r="P47" s="121"/>
      <c r="Q47" s="668"/>
      <c r="R47" s="364"/>
      <c r="S47" s="364"/>
      <c r="T47" s="364"/>
      <c r="U47" s="555"/>
      <c r="V47" s="555"/>
      <c r="W47" s="555"/>
      <c r="X47" s="555"/>
      <c r="Y47" s="555"/>
      <c r="Z47" s="364"/>
      <c r="AA47"/>
      <c r="AB47"/>
      <c r="AC47"/>
      <c r="AD47"/>
      <c r="AE47"/>
    </row>
    <row r="48" spans="1:31" ht="12.75" customHeight="1">
      <c r="A48" s="121"/>
      <c r="B48" s="121"/>
      <c r="C48" s="121"/>
      <c r="D48" s="121"/>
      <c r="E48" s="121"/>
      <c r="F48" s="121"/>
      <c r="G48" s="121"/>
      <c r="H48" s="121"/>
      <c r="I48" s="121"/>
      <c r="J48" s="121"/>
      <c r="K48" s="121"/>
      <c r="L48" s="121"/>
      <c r="M48" s="121"/>
      <c r="N48" s="121"/>
      <c r="O48" s="121"/>
      <c r="P48" s="121"/>
      <c r="Q48" s="668" t="s">
        <v>196</v>
      </c>
      <c r="R48" s="364" t="s">
        <v>207</v>
      </c>
      <c r="S48" s="364"/>
      <c r="T48" s="364"/>
      <c r="U48" s="555"/>
      <c r="V48" s="555"/>
      <c r="W48" s="555"/>
      <c r="X48" s="555"/>
      <c r="Y48" s="555"/>
      <c r="Z48" s="364"/>
      <c r="AA48"/>
      <c r="AB48"/>
      <c r="AC48"/>
      <c r="AD48"/>
      <c r="AE48"/>
    </row>
    <row r="49" spans="1:31" ht="12.75" customHeight="1">
      <c r="A49" s="121"/>
      <c r="B49" s="121"/>
      <c r="C49" s="121"/>
      <c r="D49" s="121"/>
      <c r="E49" s="121"/>
      <c r="F49" s="121"/>
      <c r="G49" s="121"/>
      <c r="H49" s="121"/>
      <c r="I49" s="121"/>
      <c r="J49" s="121"/>
      <c r="K49" s="121"/>
      <c r="L49" s="121"/>
      <c r="M49" s="121"/>
      <c r="N49" s="121"/>
      <c r="O49" s="121"/>
      <c r="P49" s="121"/>
      <c r="Q49" s="364"/>
      <c r="R49" s="962" t="s">
        <v>678</v>
      </c>
      <c r="S49" s="963"/>
      <c r="T49" s="964"/>
      <c r="U49" s="949" t="s">
        <v>500</v>
      </c>
      <c r="V49" s="938" t="s">
        <v>22</v>
      </c>
      <c r="W49" s="940" t="s">
        <v>579</v>
      </c>
      <c r="X49" s="942" t="s">
        <v>21</v>
      </c>
      <c r="Y49" s="361"/>
      <c r="Z49" s="364"/>
      <c r="AA49"/>
      <c r="AB49"/>
      <c r="AC49"/>
      <c r="AD49"/>
      <c r="AE49"/>
    </row>
    <row r="50" spans="1:31" ht="12.75" customHeight="1">
      <c r="A50" s="121"/>
      <c r="B50" s="121"/>
      <c r="C50" s="121"/>
      <c r="D50" s="121"/>
      <c r="E50" s="121"/>
      <c r="F50" s="121"/>
      <c r="G50" s="121"/>
      <c r="H50" s="121"/>
      <c r="I50" s="121"/>
      <c r="J50" s="121"/>
      <c r="K50" s="121"/>
      <c r="L50" s="121"/>
      <c r="M50" s="121"/>
      <c r="N50" s="121"/>
      <c r="O50" s="121"/>
      <c r="P50" s="121"/>
      <c r="Q50" s="364"/>
      <c r="R50" s="965"/>
      <c r="S50" s="966"/>
      <c r="T50" s="967"/>
      <c r="U50" s="950"/>
      <c r="V50" s="939"/>
      <c r="W50" s="941"/>
      <c r="X50" s="943"/>
      <c r="Y50" s="361"/>
      <c r="Z50" s="364"/>
      <c r="AA50"/>
      <c r="AB50"/>
      <c r="AC50"/>
      <c r="AD50"/>
      <c r="AE50"/>
    </row>
    <row r="51" spans="1:31" ht="12.75" customHeight="1">
      <c r="A51" s="121"/>
      <c r="B51" s="121"/>
      <c r="C51" s="121"/>
      <c r="D51" s="121"/>
      <c r="E51" s="121"/>
      <c r="F51" s="121"/>
      <c r="G51" s="121"/>
      <c r="H51" s="121"/>
      <c r="I51" s="121"/>
      <c r="J51" s="121"/>
      <c r="K51" s="121"/>
      <c r="L51" s="121"/>
      <c r="M51" s="121"/>
      <c r="N51" s="121"/>
      <c r="O51" s="121"/>
      <c r="P51" s="121"/>
      <c r="Q51" s="364"/>
      <c r="R51" s="969" t="s">
        <v>210</v>
      </c>
      <c r="S51" s="969"/>
      <c r="T51" s="969"/>
      <c r="U51" s="560">
        <v>0.3</v>
      </c>
      <c r="V51" s="537">
        <f>VLOOKUP($V$5,'Lookup Penetration Rate'!$B$8:$E$208,3)</f>
        <v>0.4</v>
      </c>
      <c r="W51" s="537">
        <f>VLOOKUP($V$5,'Lookup Penetration Rate'!$B$8:$E$208,4)</f>
        <v>0.46</v>
      </c>
      <c r="X51" s="537">
        <f>VLOOKUP($V$5,'Lookup Penetration Rate'!$B$8:$E$208,2)</f>
        <v>0.56000000000000005</v>
      </c>
      <c r="Y51" s="361"/>
      <c r="Z51" s="364"/>
      <c r="AA51"/>
      <c r="AB51"/>
      <c r="AC51"/>
      <c r="AD51"/>
      <c r="AE51"/>
    </row>
    <row r="52" spans="1:31" ht="12.75" customHeight="1">
      <c r="A52" s="121"/>
      <c r="B52" s="121"/>
      <c r="C52" s="121"/>
      <c r="D52" s="121"/>
      <c r="E52" s="121"/>
      <c r="F52" s="121"/>
      <c r="G52" s="121"/>
      <c r="H52" s="121"/>
      <c r="I52" s="121"/>
      <c r="J52" s="121"/>
      <c r="K52" s="121"/>
      <c r="L52" s="121"/>
      <c r="M52" s="121"/>
      <c r="N52" s="121"/>
      <c r="O52" s="121"/>
      <c r="P52" s="121"/>
      <c r="Q52" s="364"/>
      <c r="R52" s="364"/>
      <c r="S52" s="364"/>
      <c r="T52" s="364"/>
      <c r="U52" s="555"/>
      <c r="V52" s="555"/>
      <c r="W52" s="555"/>
      <c r="X52" s="555"/>
      <c r="Y52" s="555"/>
      <c r="Z52" s="364"/>
      <c r="AA52"/>
      <c r="AB52"/>
      <c r="AC52"/>
      <c r="AD52"/>
      <c r="AE52"/>
    </row>
    <row r="53" spans="1:31" ht="12.75" customHeight="1">
      <c r="A53" s="121"/>
      <c r="B53" s="121"/>
      <c r="C53" s="121"/>
      <c r="D53" s="121"/>
      <c r="E53" s="121"/>
      <c r="F53" s="121"/>
      <c r="G53" s="121"/>
      <c r="H53" s="121"/>
      <c r="I53" s="121"/>
      <c r="J53" s="121"/>
      <c r="K53" s="121"/>
      <c r="L53" s="121"/>
      <c r="M53" s="121"/>
      <c r="N53" s="121"/>
      <c r="O53" s="121"/>
      <c r="P53" s="121"/>
      <c r="Q53" s="668" t="s">
        <v>197</v>
      </c>
      <c r="R53" s="364" t="s">
        <v>208</v>
      </c>
      <c r="S53" s="364"/>
      <c r="T53" s="364"/>
      <c r="U53" s="555"/>
      <c r="V53" s="555"/>
      <c r="W53" s="555"/>
      <c r="X53" s="555"/>
      <c r="Y53" s="555"/>
      <c r="Z53" s="364"/>
      <c r="AA53"/>
      <c r="AB53"/>
      <c r="AC53"/>
      <c r="AD53"/>
      <c r="AE53"/>
    </row>
    <row r="54" spans="1:31" ht="12.75" customHeight="1">
      <c r="A54" s="121"/>
      <c r="B54" s="121"/>
      <c r="C54" s="121"/>
      <c r="D54" s="121"/>
      <c r="E54" s="121"/>
      <c r="F54" s="121"/>
      <c r="G54" s="121"/>
      <c r="H54" s="121"/>
      <c r="I54" s="121"/>
      <c r="J54" s="121"/>
      <c r="K54" s="121"/>
      <c r="L54" s="121"/>
      <c r="M54" s="121"/>
      <c r="N54" s="121"/>
      <c r="O54" s="121"/>
      <c r="P54" s="121"/>
      <c r="Q54" s="668"/>
      <c r="R54" s="962" t="s">
        <v>678</v>
      </c>
      <c r="S54" s="963"/>
      <c r="T54" s="964"/>
      <c r="U54" s="949" t="s">
        <v>500</v>
      </c>
      <c r="V54" s="938" t="s">
        <v>22</v>
      </c>
      <c r="W54" s="940" t="s">
        <v>579</v>
      </c>
      <c r="X54" s="942" t="s">
        <v>21</v>
      </c>
      <c r="Y54" s="361"/>
      <c r="Z54" s="364"/>
      <c r="AA54"/>
      <c r="AB54"/>
      <c r="AC54"/>
      <c r="AD54"/>
      <c r="AE54"/>
    </row>
    <row r="55" spans="1:31" ht="12.75" customHeight="1">
      <c r="A55" s="121"/>
      <c r="B55" s="121"/>
      <c r="C55" s="121"/>
      <c r="D55" s="121"/>
      <c r="E55" s="121"/>
      <c r="F55" s="121"/>
      <c r="G55" s="121"/>
      <c r="H55" s="121"/>
      <c r="I55" s="121"/>
      <c r="J55" s="121"/>
      <c r="K55" s="121"/>
      <c r="L55" s="121"/>
      <c r="M55" s="121"/>
      <c r="N55" s="121"/>
      <c r="O55" s="121"/>
      <c r="P55" s="121"/>
      <c r="Q55" s="668"/>
      <c r="R55" s="965"/>
      <c r="S55" s="966"/>
      <c r="T55" s="967"/>
      <c r="U55" s="950"/>
      <c r="V55" s="939"/>
      <c r="W55" s="941"/>
      <c r="X55" s="943"/>
      <c r="Y55" s="361"/>
      <c r="Z55" s="364"/>
      <c r="AA55"/>
      <c r="AB55"/>
      <c r="AC55"/>
      <c r="AD55"/>
      <c r="AE55"/>
    </row>
    <row r="56" spans="1:31" ht="12.75" customHeight="1">
      <c r="A56" s="121"/>
      <c r="B56" s="121"/>
      <c r="C56" s="121"/>
      <c r="D56" s="121"/>
      <c r="E56" s="121"/>
      <c r="F56" s="121"/>
      <c r="G56" s="121"/>
      <c r="H56" s="121"/>
      <c r="I56" s="121"/>
      <c r="J56" s="121"/>
      <c r="K56" s="121"/>
      <c r="L56" s="121"/>
      <c r="M56" s="121"/>
      <c r="N56" s="121"/>
      <c r="O56" s="121"/>
      <c r="P56" s="121"/>
      <c r="Q56" s="668"/>
      <c r="R56" s="969" t="s">
        <v>209</v>
      </c>
      <c r="S56" s="969"/>
      <c r="T56" s="969"/>
      <c r="U56" s="560">
        <f>$V$20/U51</f>
        <v>4</v>
      </c>
      <c r="V56" s="669">
        <f>$V$20/V51</f>
        <v>2.9999999999999996</v>
      </c>
      <c r="W56" s="669">
        <f>$V$20/W51</f>
        <v>2.6086956521739126</v>
      </c>
      <c r="X56" s="669">
        <f>$V$20/X51</f>
        <v>2.1428571428571428</v>
      </c>
      <c r="Y56" s="361"/>
      <c r="Z56" s="364"/>
      <c r="AA56"/>
      <c r="AB56"/>
      <c r="AC56"/>
      <c r="AD56"/>
      <c r="AE56"/>
    </row>
    <row r="57" spans="1:31" ht="12.75" customHeight="1">
      <c r="A57" s="121"/>
      <c r="B57" s="121"/>
      <c r="C57" s="121"/>
      <c r="D57" s="121"/>
      <c r="E57" s="121"/>
      <c r="F57" s="121"/>
      <c r="G57" s="121"/>
      <c r="H57" s="121"/>
      <c r="I57" s="121"/>
      <c r="J57" s="121"/>
      <c r="K57" s="121"/>
      <c r="L57" s="121"/>
      <c r="M57" s="121"/>
      <c r="N57" s="121"/>
      <c r="O57" s="121"/>
      <c r="P57" s="121"/>
      <c r="Q57" s="364"/>
      <c r="R57" s="364"/>
      <c r="S57" s="364"/>
      <c r="T57" s="364"/>
      <c r="U57" s="555"/>
      <c r="V57" s="555"/>
      <c r="W57" s="555"/>
      <c r="X57" s="555"/>
      <c r="Y57" s="555"/>
      <c r="Z57" s="364"/>
      <c r="AA57"/>
      <c r="AB57"/>
      <c r="AC57"/>
      <c r="AD57"/>
      <c r="AE57"/>
    </row>
    <row r="58" spans="1:31" ht="12.75" customHeight="1">
      <c r="A58" s="121"/>
      <c r="B58" s="121"/>
      <c r="C58" s="121"/>
      <c r="D58" s="121"/>
      <c r="E58" s="121"/>
      <c r="F58" s="121"/>
      <c r="G58" s="121"/>
      <c r="H58" s="121"/>
      <c r="I58" s="121"/>
      <c r="J58" s="121"/>
      <c r="K58" s="121"/>
      <c r="L58" s="121"/>
      <c r="M58" s="121"/>
      <c r="N58" s="121"/>
      <c r="O58" s="121"/>
      <c r="P58" s="121"/>
      <c r="Q58" s="563">
        <v>3.3</v>
      </c>
      <c r="R58" s="363" t="s">
        <v>211</v>
      </c>
      <c r="S58" s="363"/>
      <c r="T58" s="363"/>
      <c r="U58" s="363"/>
      <c r="V58" s="363"/>
      <c r="W58" s="363"/>
      <c r="X58" s="363"/>
      <c r="Y58" s="363"/>
      <c r="Z58" s="364"/>
      <c r="AA58"/>
      <c r="AB58"/>
      <c r="AC58"/>
      <c r="AD58"/>
      <c r="AE58"/>
    </row>
    <row r="59" spans="1:31" ht="12.75" customHeight="1">
      <c r="A59" s="121"/>
      <c r="B59" s="121"/>
      <c r="C59" s="121"/>
      <c r="D59" s="121"/>
      <c r="E59" s="121"/>
      <c r="F59" s="121"/>
      <c r="G59" s="121"/>
      <c r="H59" s="121"/>
      <c r="I59" s="121"/>
      <c r="J59" s="121"/>
      <c r="K59" s="121"/>
      <c r="L59" s="121"/>
      <c r="M59" s="121"/>
      <c r="N59" s="121"/>
      <c r="O59" s="121"/>
      <c r="P59" s="121"/>
      <c r="Q59" s="563"/>
      <c r="R59" s="962" t="s">
        <v>678</v>
      </c>
      <c r="S59" s="963"/>
      <c r="T59" s="964"/>
      <c r="U59" s="949" t="s">
        <v>500</v>
      </c>
      <c r="V59" s="938" t="s">
        <v>22</v>
      </c>
      <c r="W59" s="940" t="s">
        <v>579</v>
      </c>
      <c r="X59" s="942" t="s">
        <v>21</v>
      </c>
      <c r="Y59" s="361"/>
      <c r="Z59" s="364"/>
      <c r="AA59"/>
      <c r="AB59"/>
      <c r="AC59"/>
      <c r="AD59"/>
      <c r="AE59"/>
    </row>
    <row r="60" spans="1:31" ht="12.75" customHeight="1">
      <c r="A60" s="121"/>
      <c r="B60" s="121"/>
      <c r="C60" s="121"/>
      <c r="D60" s="121"/>
      <c r="E60" s="121"/>
      <c r="F60" s="121"/>
      <c r="G60" s="121"/>
      <c r="H60" s="121"/>
      <c r="I60" s="121"/>
      <c r="J60" s="121"/>
      <c r="K60" s="121"/>
      <c r="L60" s="121"/>
      <c r="M60" s="121"/>
      <c r="N60" s="121"/>
      <c r="O60" s="121"/>
      <c r="P60" s="121"/>
      <c r="Q60" s="563"/>
      <c r="R60" s="965"/>
      <c r="S60" s="966"/>
      <c r="T60" s="967"/>
      <c r="U60" s="950"/>
      <c r="V60" s="939"/>
      <c r="W60" s="941"/>
      <c r="X60" s="943"/>
      <c r="Y60" s="361"/>
      <c r="Z60" s="364"/>
      <c r="AA60"/>
      <c r="AB60"/>
      <c r="AC60"/>
      <c r="AD60"/>
      <c r="AE60"/>
    </row>
    <row r="61" spans="1:31" ht="12.75" customHeight="1">
      <c r="A61" s="121"/>
      <c r="B61" s="121"/>
      <c r="C61" s="121"/>
      <c r="D61" s="121"/>
      <c r="E61" s="121"/>
      <c r="F61" s="121"/>
      <c r="G61" s="121"/>
      <c r="H61" s="121"/>
      <c r="I61" s="121"/>
      <c r="J61" s="121"/>
      <c r="K61" s="121"/>
      <c r="L61" s="121"/>
      <c r="M61" s="121"/>
      <c r="N61" s="121"/>
      <c r="O61" s="121"/>
      <c r="P61" s="121"/>
      <c r="Q61" s="563"/>
      <c r="R61" s="969" t="s">
        <v>209</v>
      </c>
      <c r="S61" s="969"/>
      <c r="T61" s="969"/>
      <c r="U61" s="562">
        <f>(U56*$V$24)/$V$23</f>
        <v>160</v>
      </c>
      <c r="V61" s="670">
        <f>(V56*$V$24)/$V$23</f>
        <v>119.99999999999997</v>
      </c>
      <c r="W61" s="670">
        <f>(W56*$V$24)/$V$23</f>
        <v>104.3478260869565</v>
      </c>
      <c r="X61" s="670">
        <f>(X56*$V$24)/$V$23</f>
        <v>85.714285714285708</v>
      </c>
      <c r="Y61" s="361"/>
      <c r="Z61" s="364"/>
      <c r="AA61"/>
      <c r="AB61"/>
      <c r="AC61"/>
      <c r="AD61"/>
      <c r="AE61"/>
    </row>
    <row r="62" spans="1:31" ht="12.75" customHeight="1">
      <c r="A62" s="121"/>
      <c r="B62" s="121"/>
      <c r="C62" s="121"/>
      <c r="D62" s="121"/>
      <c r="E62" s="121"/>
      <c r="F62" s="121"/>
      <c r="G62" s="121"/>
      <c r="H62" s="121"/>
      <c r="I62" s="121"/>
      <c r="J62" s="121"/>
      <c r="K62" s="121"/>
      <c r="L62" s="121"/>
      <c r="M62" s="121"/>
      <c r="N62" s="121"/>
      <c r="O62" s="121"/>
      <c r="P62" s="121"/>
      <c r="Q62" s="563"/>
      <c r="R62" s="931" t="s">
        <v>212</v>
      </c>
      <c r="S62" s="931"/>
      <c r="T62" s="931"/>
      <c r="U62" s="537">
        <f>U61/60</f>
        <v>2.6666666666666665</v>
      </c>
      <c r="V62" s="557">
        <f>V61/60</f>
        <v>1.9999999999999996</v>
      </c>
      <c r="W62" s="557">
        <f>W61/60</f>
        <v>1.7391304347826084</v>
      </c>
      <c r="X62" s="557">
        <f>X61/60</f>
        <v>1.4285714285714284</v>
      </c>
      <c r="Y62" s="361"/>
      <c r="Z62" s="364"/>
      <c r="AA62"/>
      <c r="AB62"/>
      <c r="AC62"/>
      <c r="AD62"/>
      <c r="AE62"/>
    </row>
    <row r="63" spans="1:31" ht="12.75" customHeight="1">
      <c r="A63" s="121"/>
      <c r="B63" s="121"/>
      <c r="C63" s="121"/>
      <c r="D63" s="121"/>
      <c r="E63" s="121"/>
      <c r="F63" s="121"/>
      <c r="G63" s="121"/>
      <c r="H63" s="121"/>
      <c r="I63" s="121"/>
      <c r="J63" s="121"/>
      <c r="K63" s="121"/>
      <c r="L63" s="121"/>
      <c r="M63" s="121"/>
      <c r="N63" s="121"/>
      <c r="O63" s="121"/>
      <c r="P63" s="121"/>
      <c r="Q63" s="563"/>
      <c r="R63" s="363"/>
      <c r="S63" s="363"/>
      <c r="T63" s="363"/>
      <c r="U63" s="363"/>
      <c r="V63" s="363"/>
      <c r="W63" s="363"/>
      <c r="X63" s="363"/>
      <c r="Y63" s="363"/>
      <c r="Z63" s="364"/>
      <c r="AA63"/>
      <c r="AB63"/>
      <c r="AC63"/>
      <c r="AD63"/>
      <c r="AE63"/>
    </row>
    <row r="64" spans="1:31" ht="12.75" customHeight="1">
      <c r="A64" s="121"/>
      <c r="B64" s="121"/>
      <c r="C64" s="121"/>
      <c r="D64" s="121"/>
      <c r="E64" s="121"/>
      <c r="F64" s="121"/>
      <c r="G64" s="121"/>
      <c r="H64" s="121"/>
      <c r="I64" s="121"/>
      <c r="J64" s="121"/>
      <c r="K64" s="121"/>
      <c r="L64" s="121"/>
      <c r="M64" s="121"/>
      <c r="N64" s="121"/>
      <c r="O64" s="121"/>
      <c r="P64" s="121"/>
      <c r="Q64" s="388" t="s">
        <v>295</v>
      </c>
      <c r="R64" s="1015" t="s">
        <v>216</v>
      </c>
      <c r="S64" s="1015"/>
      <c r="T64" s="1015"/>
      <c r="U64" s="1015"/>
      <c r="V64" s="1015"/>
      <c r="W64" s="1015"/>
      <c r="X64" s="1015"/>
      <c r="Y64" s="1015"/>
      <c r="Z64" s="536"/>
      <c r="AA64"/>
      <c r="AB64"/>
      <c r="AC64"/>
      <c r="AD64"/>
      <c r="AE64"/>
    </row>
    <row r="65" spans="1:36" ht="12.75" customHeight="1">
      <c r="A65" s="121"/>
      <c r="B65" s="121"/>
      <c r="C65" s="121"/>
      <c r="D65" s="121"/>
      <c r="E65" s="121"/>
      <c r="F65" s="121"/>
      <c r="G65" s="121"/>
      <c r="H65" s="121"/>
      <c r="I65" s="121"/>
      <c r="J65" s="121"/>
      <c r="K65" s="121"/>
      <c r="L65" s="121"/>
      <c r="M65" s="121"/>
      <c r="N65" s="121"/>
      <c r="O65" s="121"/>
      <c r="P65" s="121"/>
      <c r="Q65" s="563"/>
      <c r="R65" s="363"/>
      <c r="S65" s="363"/>
      <c r="T65" s="363"/>
      <c r="U65" s="363"/>
      <c r="V65" s="363"/>
      <c r="W65" s="363"/>
      <c r="X65" s="363"/>
      <c r="Y65" s="363"/>
      <c r="Z65" s="364"/>
      <c r="AA65"/>
      <c r="AB65"/>
      <c r="AC65"/>
      <c r="AD65"/>
      <c r="AE65"/>
    </row>
    <row r="66" spans="1:36" ht="12.75" customHeight="1">
      <c r="A66" s="121"/>
      <c r="B66" s="121"/>
      <c r="C66" s="121"/>
      <c r="D66" s="121"/>
      <c r="E66" s="121"/>
      <c r="F66" s="121"/>
      <c r="G66" s="121"/>
      <c r="H66" s="121"/>
      <c r="I66" s="121"/>
      <c r="J66" s="121"/>
      <c r="K66" s="121"/>
      <c r="L66" s="121"/>
      <c r="M66" s="121"/>
      <c r="N66" s="121"/>
      <c r="O66" s="121"/>
      <c r="P66" s="121"/>
      <c r="Q66" s="360" t="s">
        <v>502</v>
      </c>
      <c r="R66" s="364" t="s">
        <v>527</v>
      </c>
      <c r="S66" s="364"/>
      <c r="T66" s="364"/>
      <c r="U66" s="555"/>
      <c r="V66" s="555"/>
      <c r="W66" s="555"/>
      <c r="X66" s="555"/>
      <c r="Y66" s="555"/>
      <c r="Z66" s="364"/>
      <c r="AA66"/>
      <c r="AB66"/>
      <c r="AC66"/>
      <c r="AD66"/>
      <c r="AE66"/>
      <c r="AF66" s="23"/>
      <c r="AG66" s="23"/>
      <c r="AH66" s="23"/>
      <c r="AI66" s="23"/>
    </row>
    <row r="67" spans="1:36" ht="12.75" customHeight="1">
      <c r="A67" s="121"/>
      <c r="B67" s="121"/>
      <c r="C67" s="121"/>
      <c r="D67" s="121"/>
      <c r="E67" s="121"/>
      <c r="F67" s="121"/>
      <c r="G67" s="121"/>
      <c r="H67" s="121"/>
      <c r="I67" s="121"/>
      <c r="J67" s="121"/>
      <c r="K67" s="121"/>
      <c r="L67" s="121"/>
      <c r="M67" s="121"/>
      <c r="N67" s="121"/>
      <c r="O67" s="121"/>
      <c r="P67" s="121"/>
      <c r="Q67" s="360"/>
      <c r="R67" s="962" t="s">
        <v>678</v>
      </c>
      <c r="S67" s="963"/>
      <c r="T67" s="964"/>
      <c r="U67" s="949" t="s">
        <v>500</v>
      </c>
      <c r="V67" s="938" t="s">
        <v>22</v>
      </c>
      <c r="W67" s="940" t="s">
        <v>579</v>
      </c>
      <c r="X67" s="942" t="s">
        <v>21</v>
      </c>
      <c r="Y67" s="361"/>
      <c r="Z67" s="364"/>
      <c r="AA67"/>
      <c r="AB67"/>
      <c r="AC67"/>
      <c r="AD67"/>
      <c r="AE67"/>
      <c r="AJ67" s="17"/>
    </row>
    <row r="68" spans="1:36" ht="12.75" customHeight="1">
      <c r="A68" s="121"/>
      <c r="B68" s="121"/>
      <c r="C68" s="121"/>
      <c r="D68" s="121"/>
      <c r="E68" s="121"/>
      <c r="F68" s="121"/>
      <c r="G68" s="121"/>
      <c r="H68" s="121"/>
      <c r="I68" s="121"/>
      <c r="J68" s="121"/>
      <c r="K68" s="121"/>
      <c r="L68" s="121"/>
      <c r="M68" s="121"/>
      <c r="N68" s="121"/>
      <c r="O68" s="121"/>
      <c r="P68" s="121"/>
      <c r="Q68" s="360"/>
      <c r="R68" s="965"/>
      <c r="S68" s="966"/>
      <c r="T68" s="967"/>
      <c r="U68" s="950"/>
      <c r="V68" s="939"/>
      <c r="W68" s="941"/>
      <c r="X68" s="943"/>
      <c r="Y68" s="361"/>
      <c r="Z68" s="364"/>
      <c r="AA68"/>
      <c r="AB68"/>
      <c r="AC68"/>
      <c r="AD68"/>
      <c r="AE68"/>
      <c r="AJ68" s="17"/>
    </row>
    <row r="69" spans="1:36" ht="12.75" customHeight="1">
      <c r="A69" s="121"/>
      <c r="B69" s="121"/>
      <c r="C69" s="121"/>
      <c r="D69" s="121"/>
      <c r="E69" s="121"/>
      <c r="F69" s="121"/>
      <c r="G69" s="121"/>
      <c r="H69" s="121"/>
      <c r="I69" s="121"/>
      <c r="J69" s="121"/>
      <c r="K69" s="121"/>
      <c r="L69" s="121"/>
      <c r="M69" s="121"/>
      <c r="N69" s="121"/>
      <c r="O69" s="121"/>
      <c r="P69" s="121"/>
      <c r="Q69" s="360"/>
      <c r="R69" s="969" t="s">
        <v>63</v>
      </c>
      <c r="S69" s="969"/>
      <c r="T69" s="969"/>
      <c r="U69" s="369">
        <v>102</v>
      </c>
      <c r="V69" s="369">
        <f>VLOOKUP($V$5,'Lookup dBA'!$B$8:$E$208,3)</f>
        <v>108</v>
      </c>
      <c r="W69" s="369">
        <f>VLOOKUP($V$5,'Lookup dBA'!$B$8:$E$208,4)</f>
        <v>109</v>
      </c>
      <c r="X69" s="369">
        <f>VLOOKUP($V$5,'Lookup dBA'!$B$8:$E$208,2)</f>
        <v>116</v>
      </c>
      <c r="Y69" s="361"/>
      <c r="Z69" s="364"/>
      <c r="AA69"/>
      <c r="AB69"/>
      <c r="AC69"/>
      <c r="AD69"/>
      <c r="AE69"/>
      <c r="AJ69" s="17"/>
    </row>
    <row r="70" spans="1:36" ht="12.75" customHeight="1">
      <c r="A70" s="121"/>
      <c r="B70" s="121"/>
      <c r="C70" s="121"/>
      <c r="D70" s="121"/>
      <c r="E70" s="121"/>
      <c r="F70" s="121"/>
      <c r="G70" s="121"/>
      <c r="H70" s="121"/>
      <c r="I70" s="121"/>
      <c r="J70" s="121"/>
      <c r="K70" s="121"/>
      <c r="L70" s="121"/>
      <c r="M70" s="121"/>
      <c r="N70" s="121"/>
      <c r="O70" s="121"/>
      <c r="P70" s="121"/>
      <c r="Q70" s="360"/>
      <c r="R70" s="969" t="s">
        <v>64</v>
      </c>
      <c r="S70" s="969"/>
      <c r="T70" s="969"/>
      <c r="U70" s="369">
        <f>U69-PPE!$I$15</f>
        <v>89</v>
      </c>
      <c r="V70" s="369">
        <f>V69-PPE!$I$15</f>
        <v>95</v>
      </c>
      <c r="W70" s="369">
        <f>W69-PPE!$I$15</f>
        <v>96</v>
      </c>
      <c r="X70" s="369">
        <f>X69-PPE!$I$15</f>
        <v>103</v>
      </c>
      <c r="Y70" s="361"/>
      <c r="Z70" s="364"/>
      <c r="AA70"/>
      <c r="AB70"/>
      <c r="AC70"/>
      <c r="AD70"/>
      <c r="AE70"/>
      <c r="AJ70" s="32"/>
    </row>
    <row r="71" spans="1:36" ht="12.75" customHeight="1">
      <c r="A71" s="121"/>
      <c r="B71" s="121"/>
      <c r="C71" s="121"/>
      <c r="D71" s="121"/>
      <c r="E71" s="121"/>
      <c r="F71" s="121"/>
      <c r="G71" s="121"/>
      <c r="H71" s="121"/>
      <c r="I71" s="121"/>
      <c r="J71" s="121"/>
      <c r="K71" s="121"/>
      <c r="L71" s="121"/>
      <c r="M71" s="121"/>
      <c r="N71" s="121"/>
      <c r="O71" s="121"/>
      <c r="P71" s="121"/>
      <c r="Q71" s="360"/>
      <c r="R71" s="969" t="s">
        <v>529</v>
      </c>
      <c r="S71" s="969"/>
      <c r="T71" s="969"/>
      <c r="U71" s="369">
        <v>110</v>
      </c>
      <c r="V71" s="369">
        <v>110</v>
      </c>
      <c r="W71" s="369">
        <v>110</v>
      </c>
      <c r="X71" s="369">
        <v>110</v>
      </c>
      <c r="Y71" s="361"/>
      <c r="Z71" s="364"/>
      <c r="AA71"/>
      <c r="AB71"/>
      <c r="AC71"/>
      <c r="AD71"/>
      <c r="AE71"/>
      <c r="AJ71" s="32"/>
    </row>
    <row r="72" spans="1:36" ht="12.75" customHeight="1">
      <c r="A72" s="121"/>
      <c r="B72" s="121"/>
      <c r="C72" s="121"/>
      <c r="D72" s="121"/>
      <c r="E72" s="121"/>
      <c r="F72" s="121"/>
      <c r="G72" s="121"/>
      <c r="H72" s="121"/>
      <c r="I72" s="121"/>
      <c r="J72" s="121"/>
      <c r="K72" s="121"/>
      <c r="L72" s="121"/>
      <c r="M72" s="121"/>
      <c r="N72" s="121"/>
      <c r="O72" s="121"/>
      <c r="P72" s="121"/>
      <c r="Q72" s="360"/>
      <c r="R72" s="363"/>
      <c r="S72" s="363"/>
      <c r="T72" s="363"/>
      <c r="U72" s="363"/>
      <c r="V72" s="363"/>
      <c r="W72" s="363"/>
      <c r="X72" s="363"/>
      <c r="Y72" s="555"/>
      <c r="Z72" s="364"/>
      <c r="AA72"/>
      <c r="AB72"/>
      <c r="AC72"/>
      <c r="AD72"/>
      <c r="AE72"/>
      <c r="AJ72" s="32"/>
    </row>
    <row r="73" spans="1:36" ht="12.75" customHeight="1">
      <c r="A73" s="121"/>
      <c r="B73" s="121"/>
      <c r="C73" s="121"/>
      <c r="D73" s="121"/>
      <c r="E73" s="121"/>
      <c r="F73" s="121"/>
      <c r="G73" s="121"/>
      <c r="H73" s="121"/>
      <c r="I73" s="121"/>
      <c r="J73" s="121"/>
      <c r="K73" s="121"/>
      <c r="L73" s="121"/>
      <c r="M73" s="121"/>
      <c r="N73" s="121"/>
      <c r="O73" s="121"/>
      <c r="P73" s="121"/>
      <c r="Q73" s="360" t="s">
        <v>503</v>
      </c>
      <c r="R73" s="364" t="s">
        <v>528</v>
      </c>
      <c r="S73" s="364"/>
      <c r="T73" s="364"/>
      <c r="U73" s="555"/>
      <c r="V73" s="555"/>
      <c r="W73" s="555"/>
      <c r="X73" s="555"/>
      <c r="Y73" s="555"/>
      <c r="Z73" s="364"/>
      <c r="AA73"/>
      <c r="AB73"/>
      <c r="AC73"/>
      <c r="AD73"/>
      <c r="AE73"/>
      <c r="AJ73" s="17"/>
    </row>
    <row r="74" spans="1:36" ht="12.75" customHeight="1">
      <c r="A74" s="121"/>
      <c r="B74" s="121"/>
      <c r="C74" s="121"/>
      <c r="D74" s="121"/>
      <c r="E74" s="121"/>
      <c r="F74" s="121"/>
      <c r="G74" s="121"/>
      <c r="H74" s="121"/>
      <c r="I74" s="121"/>
      <c r="J74" s="121"/>
      <c r="K74" s="121"/>
      <c r="L74" s="121"/>
      <c r="M74" s="121"/>
      <c r="N74" s="121"/>
      <c r="O74" s="121"/>
      <c r="P74" s="121"/>
      <c r="Q74" s="360"/>
      <c r="R74" s="935" t="s">
        <v>678</v>
      </c>
      <c r="S74" s="935"/>
      <c r="T74" s="935"/>
      <c r="U74" s="930" t="s">
        <v>500</v>
      </c>
      <c r="V74" s="928" t="s">
        <v>22</v>
      </c>
      <c r="W74" s="929" t="s">
        <v>579</v>
      </c>
      <c r="X74" s="927" t="s">
        <v>21</v>
      </c>
      <c r="Y74" s="361"/>
      <c r="Z74" s="364"/>
      <c r="AA74"/>
      <c r="AB74"/>
      <c r="AC74"/>
      <c r="AD74"/>
      <c r="AE74"/>
      <c r="AJ74" s="17"/>
    </row>
    <row r="75" spans="1:36" ht="12.75" customHeight="1">
      <c r="A75" s="121"/>
      <c r="B75" s="121"/>
      <c r="C75" s="121"/>
      <c r="D75" s="121"/>
      <c r="E75" s="121"/>
      <c r="F75" s="121"/>
      <c r="G75" s="121"/>
      <c r="H75" s="121"/>
      <c r="I75" s="121"/>
      <c r="J75" s="121"/>
      <c r="K75" s="121"/>
      <c r="L75" s="121"/>
      <c r="M75" s="121"/>
      <c r="N75" s="121"/>
      <c r="O75" s="121"/>
      <c r="P75" s="121"/>
      <c r="Q75" s="360"/>
      <c r="R75" s="935"/>
      <c r="S75" s="935"/>
      <c r="T75" s="935"/>
      <c r="U75" s="930"/>
      <c r="V75" s="928"/>
      <c r="W75" s="929"/>
      <c r="X75" s="927"/>
      <c r="Y75" s="361"/>
      <c r="Z75" s="364"/>
      <c r="AA75"/>
      <c r="AB75"/>
      <c r="AC75"/>
      <c r="AD75"/>
      <c r="AE75"/>
      <c r="AJ75" s="17"/>
    </row>
    <row r="76" spans="1:36" ht="12.75" customHeight="1">
      <c r="A76" s="121"/>
      <c r="B76" s="121"/>
      <c r="C76" s="121"/>
      <c r="D76" s="121"/>
      <c r="E76" s="121"/>
      <c r="F76" s="121"/>
      <c r="G76" s="121"/>
      <c r="H76" s="121"/>
      <c r="I76" s="121"/>
      <c r="J76" s="121"/>
      <c r="K76" s="121"/>
      <c r="L76" s="121"/>
      <c r="M76" s="121"/>
      <c r="N76" s="121"/>
      <c r="O76" s="121"/>
      <c r="P76" s="121"/>
      <c r="Q76" s="360"/>
      <c r="R76" s="969" t="s">
        <v>63</v>
      </c>
      <c r="S76" s="969"/>
      <c r="T76" s="969"/>
      <c r="U76" s="369">
        <f>VLOOKUP($V$21,$R$309:$Z$314,5)</f>
        <v>108.02059991327964</v>
      </c>
      <c r="V76" s="369">
        <f>VLOOKUP($V$21,$R$309:$Z$314,3)</f>
        <v>114.02059991327963</v>
      </c>
      <c r="W76" s="369">
        <f>VLOOKUP($V$21,$R$309:$Z$314,4)</f>
        <v>115.02059991327963</v>
      </c>
      <c r="X76" s="369">
        <f>VLOOKUP($V$21,$R$309:$Z$314,2)</f>
        <v>122.02059991327964</v>
      </c>
      <c r="Y76" s="361"/>
      <c r="Z76" s="364"/>
      <c r="AA76"/>
      <c r="AB76"/>
      <c r="AC76"/>
      <c r="AD76"/>
      <c r="AE76"/>
      <c r="AJ76" s="17"/>
    </row>
    <row r="77" spans="1:36" ht="12.75" customHeight="1">
      <c r="Q77" s="360"/>
      <c r="R77" s="969" t="s">
        <v>64</v>
      </c>
      <c r="S77" s="969"/>
      <c r="T77" s="969"/>
      <c r="U77" s="369">
        <f>U76-PPE!$I$15</f>
        <v>95.020599913279639</v>
      </c>
      <c r="V77" s="369">
        <f>V76-PPE!$I$15</f>
        <v>101.02059991327963</v>
      </c>
      <c r="W77" s="369">
        <f>W76-PPE!$I$15</f>
        <v>102.02059991327963</v>
      </c>
      <c r="X77" s="369">
        <f>X76-PPE!$I$15</f>
        <v>109.02059991327964</v>
      </c>
      <c r="Y77" s="361"/>
      <c r="Z77" s="364"/>
      <c r="AA77"/>
      <c r="AB77"/>
      <c r="AC77"/>
      <c r="AD77"/>
      <c r="AE77"/>
      <c r="AJ77" s="17"/>
    </row>
    <row r="78" spans="1:36" ht="12.75" customHeight="1">
      <c r="Q78" s="360"/>
      <c r="R78" s="969" t="s">
        <v>529</v>
      </c>
      <c r="S78" s="969"/>
      <c r="T78" s="969"/>
      <c r="U78" s="369">
        <v>110</v>
      </c>
      <c r="V78" s="369">
        <v>110</v>
      </c>
      <c r="W78" s="369">
        <v>110</v>
      </c>
      <c r="X78" s="369">
        <v>110</v>
      </c>
      <c r="Y78" s="361"/>
      <c r="Z78" s="364"/>
      <c r="AA78"/>
      <c r="AB78"/>
      <c r="AC78"/>
      <c r="AD78"/>
      <c r="AE78"/>
      <c r="AJ78" s="17"/>
    </row>
    <row r="79" spans="1:36" ht="12.75" customHeight="1">
      <c r="Q79" s="360"/>
      <c r="R79" s="364"/>
      <c r="S79" s="364"/>
      <c r="T79" s="364"/>
      <c r="U79" s="555"/>
      <c r="V79" s="555"/>
      <c r="W79" s="555"/>
      <c r="X79" s="555"/>
      <c r="Y79" s="555"/>
      <c r="Z79" s="364"/>
      <c r="AA79"/>
      <c r="AB79"/>
      <c r="AC79"/>
      <c r="AD79"/>
      <c r="AE79"/>
      <c r="AJ79" s="17"/>
    </row>
    <row r="80" spans="1:36" ht="12.75" customHeight="1">
      <c r="Q80" s="385" t="s">
        <v>305</v>
      </c>
      <c r="R80" s="1008" t="s">
        <v>218</v>
      </c>
      <c r="S80" s="1008"/>
      <c r="T80" s="1008"/>
      <c r="U80" s="1008"/>
      <c r="V80" s="1008"/>
      <c r="W80" s="1008"/>
      <c r="X80" s="1008"/>
      <c r="Y80" s="1008"/>
      <c r="Z80" s="536"/>
      <c r="AA80"/>
      <c r="AB80"/>
      <c r="AC80"/>
      <c r="AD80"/>
      <c r="AE80"/>
      <c r="AJ80" s="17"/>
    </row>
    <row r="81" spans="17:36" ht="12.75" customHeight="1">
      <c r="Q81" s="546"/>
      <c r="R81" s="363"/>
      <c r="S81" s="363"/>
      <c r="T81" s="363"/>
      <c r="U81" s="363"/>
      <c r="V81" s="363"/>
      <c r="W81" s="363"/>
      <c r="X81" s="363"/>
      <c r="Y81" s="363"/>
      <c r="Z81" s="364"/>
      <c r="AA81"/>
      <c r="AB81"/>
      <c r="AC81"/>
      <c r="AD81"/>
      <c r="AE81"/>
      <c r="AJ81" s="43"/>
    </row>
    <row r="82" spans="17:36" ht="12.75" customHeight="1">
      <c r="Q82" s="546"/>
      <c r="R82" s="363" t="s">
        <v>436</v>
      </c>
      <c r="S82" s="363"/>
      <c r="T82" s="363"/>
      <c r="U82" s="363"/>
      <c r="V82" s="363"/>
      <c r="W82" s="363"/>
      <c r="X82" s="363"/>
      <c r="Y82" s="363"/>
      <c r="Z82" s="364"/>
      <c r="AA82"/>
      <c r="AB82"/>
      <c r="AC82"/>
      <c r="AD82"/>
      <c r="AE82"/>
      <c r="AJ82" s="43"/>
    </row>
    <row r="83" spans="17:36" ht="12.75" customHeight="1">
      <c r="Q83" s="360"/>
      <c r="R83" s="935" t="s">
        <v>678</v>
      </c>
      <c r="S83" s="935"/>
      <c r="T83" s="935"/>
      <c r="U83" s="949" t="s">
        <v>500</v>
      </c>
      <c r="V83" s="1011" t="s">
        <v>22</v>
      </c>
      <c r="W83" s="1013" t="s">
        <v>579</v>
      </c>
      <c r="X83" s="1009" t="s">
        <v>21</v>
      </c>
      <c r="Y83" s="361"/>
      <c r="Z83" s="364"/>
      <c r="AA83"/>
      <c r="AB83"/>
      <c r="AC83"/>
      <c r="AD83"/>
      <c r="AE83"/>
      <c r="AJ83" s="43"/>
    </row>
    <row r="84" spans="17:36" ht="12.75" customHeight="1">
      <c r="Q84" s="360"/>
      <c r="R84" s="935"/>
      <c r="S84" s="935"/>
      <c r="T84" s="935"/>
      <c r="U84" s="950"/>
      <c r="V84" s="1012"/>
      <c r="W84" s="1014"/>
      <c r="X84" s="1010"/>
      <c r="Y84" s="361"/>
      <c r="Z84" s="364"/>
      <c r="AA84"/>
      <c r="AB84"/>
      <c r="AC84"/>
      <c r="AD84"/>
      <c r="AE84"/>
    </row>
    <row r="85" spans="17:36" ht="12.75" customHeight="1">
      <c r="Q85" s="360"/>
      <c r="R85" s="969" t="s">
        <v>63</v>
      </c>
      <c r="S85" s="969"/>
      <c r="T85" s="969"/>
      <c r="U85" s="369">
        <f>U414</f>
        <v>97.15</v>
      </c>
      <c r="V85" s="369">
        <f>U356</f>
        <v>101.95</v>
      </c>
      <c r="W85" s="369">
        <f>U385</f>
        <v>102.4</v>
      </c>
      <c r="X85" s="369">
        <f>U327</f>
        <v>108.5</v>
      </c>
      <c r="Y85" s="361"/>
      <c r="Z85" s="364"/>
      <c r="AA85"/>
      <c r="AB85"/>
      <c r="AC85"/>
      <c r="AD85"/>
      <c r="AE85"/>
    </row>
    <row r="86" spans="17:36" ht="12.75" customHeight="1">
      <c r="Q86" s="360"/>
      <c r="R86" s="969" t="s">
        <v>64</v>
      </c>
      <c r="S86" s="969"/>
      <c r="T86" s="969"/>
      <c r="U86" s="369">
        <f>U427</f>
        <v>84.15</v>
      </c>
      <c r="V86" s="369">
        <f>U369</f>
        <v>88.95</v>
      </c>
      <c r="W86" s="369">
        <f>U398</f>
        <v>89.3</v>
      </c>
      <c r="X86" s="369">
        <f>U340</f>
        <v>95.55</v>
      </c>
      <c r="Y86" s="361"/>
      <c r="Z86" s="364"/>
      <c r="AA86"/>
      <c r="AB86"/>
      <c r="AC86"/>
      <c r="AD86"/>
      <c r="AE86"/>
    </row>
    <row r="87" spans="17:36" ht="12.75" customHeight="1">
      <c r="Q87" s="360"/>
      <c r="R87" s="969" t="s">
        <v>530</v>
      </c>
      <c r="S87" s="969"/>
      <c r="T87" s="969"/>
      <c r="U87" s="369">
        <v>85</v>
      </c>
      <c r="V87" s="369">
        <v>85</v>
      </c>
      <c r="W87" s="369">
        <v>85</v>
      </c>
      <c r="X87" s="369">
        <v>85</v>
      </c>
      <c r="Y87" s="361"/>
      <c r="Z87" s="364"/>
      <c r="AA87"/>
      <c r="AB87"/>
      <c r="AC87"/>
      <c r="AD87"/>
      <c r="AE87"/>
    </row>
    <row r="88" spans="17:36" ht="12.75" customHeight="1">
      <c r="Q88" s="360"/>
      <c r="R88" s="363"/>
      <c r="S88" s="363"/>
      <c r="T88" s="363"/>
      <c r="U88" s="363"/>
      <c r="V88" s="363"/>
      <c r="W88" s="363"/>
      <c r="X88" s="363"/>
      <c r="Y88" s="363"/>
      <c r="Z88" s="364"/>
      <c r="AA88"/>
      <c r="AB88"/>
      <c r="AC88"/>
      <c r="AD88"/>
      <c r="AE88"/>
    </row>
    <row r="89" spans="17:36" ht="12.75" customHeight="1">
      <c r="Q89" s="360"/>
      <c r="R89" s="363" t="s">
        <v>437</v>
      </c>
      <c r="S89" s="363"/>
      <c r="T89" s="363"/>
      <c r="U89" s="363"/>
      <c r="V89" s="363"/>
      <c r="W89" s="363"/>
      <c r="X89" s="363"/>
      <c r="Y89" s="363"/>
      <c r="Z89" s="364"/>
      <c r="AA89"/>
      <c r="AB89"/>
      <c r="AC89"/>
      <c r="AD89"/>
      <c r="AE89"/>
    </row>
    <row r="90" spans="17:36" ht="12.75" customHeight="1">
      <c r="Q90" s="360"/>
      <c r="R90" s="935" t="s">
        <v>678</v>
      </c>
      <c r="S90" s="935"/>
      <c r="T90" s="935"/>
      <c r="U90" s="949" t="s">
        <v>500</v>
      </c>
      <c r="V90" s="1011" t="s">
        <v>22</v>
      </c>
      <c r="W90" s="1013" t="s">
        <v>579</v>
      </c>
      <c r="X90" s="1009" t="s">
        <v>21</v>
      </c>
      <c r="Y90" s="361"/>
      <c r="Z90" s="364"/>
      <c r="AA90"/>
      <c r="AB90"/>
      <c r="AC90"/>
      <c r="AD90"/>
      <c r="AE90"/>
    </row>
    <row r="91" spans="17:36" ht="12.75" customHeight="1">
      <c r="Q91" s="360"/>
      <c r="R91" s="935"/>
      <c r="S91" s="935"/>
      <c r="T91" s="935"/>
      <c r="U91" s="950"/>
      <c r="V91" s="1012"/>
      <c r="W91" s="1014"/>
      <c r="X91" s="1010"/>
      <c r="Y91" s="361"/>
      <c r="Z91" s="364"/>
      <c r="AA91"/>
      <c r="AB91"/>
      <c r="AC91"/>
      <c r="AD91"/>
      <c r="AE91"/>
    </row>
    <row r="92" spans="17:36" ht="12.75" customHeight="1">
      <c r="Q92" s="360"/>
      <c r="R92" s="969" t="s">
        <v>63</v>
      </c>
      <c r="S92" s="969"/>
      <c r="T92" s="969"/>
      <c r="U92" s="369">
        <f>U533</f>
        <v>103.15</v>
      </c>
      <c r="V92" s="369">
        <f>U475</f>
        <v>107.95</v>
      </c>
      <c r="W92" s="369">
        <f>U504</f>
        <v>108.4</v>
      </c>
      <c r="X92" s="369">
        <f>U446</f>
        <v>113.95</v>
      </c>
      <c r="Y92" s="361"/>
      <c r="Z92" s="364"/>
      <c r="AA92"/>
      <c r="AB92"/>
      <c r="AC92"/>
      <c r="AD92"/>
      <c r="AE92"/>
    </row>
    <row r="93" spans="17:36" ht="12.75" customHeight="1">
      <c r="Q93" s="360"/>
      <c r="R93" s="969" t="s">
        <v>64</v>
      </c>
      <c r="S93" s="969"/>
      <c r="T93" s="969"/>
      <c r="U93" s="369">
        <f>U546</f>
        <v>90.15</v>
      </c>
      <c r="V93" s="369">
        <f>U488</f>
        <v>94.95</v>
      </c>
      <c r="W93" s="369">
        <f>U517</f>
        <v>95.3</v>
      </c>
      <c r="X93" s="369">
        <f>U459</f>
        <v>101.55</v>
      </c>
      <c r="Y93" s="361"/>
      <c r="Z93" s="364"/>
      <c r="AA93"/>
      <c r="AB93"/>
      <c r="AC93"/>
      <c r="AD93"/>
      <c r="AE93"/>
    </row>
    <row r="94" spans="17:36" ht="12.75" customHeight="1">
      <c r="Q94" s="360"/>
      <c r="R94" s="969" t="s">
        <v>530</v>
      </c>
      <c r="S94" s="969"/>
      <c r="T94" s="969"/>
      <c r="U94" s="369">
        <v>85</v>
      </c>
      <c r="V94" s="369">
        <v>85</v>
      </c>
      <c r="W94" s="369">
        <v>85</v>
      </c>
      <c r="X94" s="369">
        <v>85</v>
      </c>
      <c r="Y94" s="361"/>
      <c r="Z94" s="364"/>
      <c r="AA94"/>
      <c r="AB94"/>
      <c r="AC94"/>
      <c r="AD94"/>
      <c r="AE94"/>
    </row>
    <row r="95" spans="17:36" ht="12.75" customHeight="1">
      <c r="Q95" s="360"/>
      <c r="R95" s="363"/>
      <c r="S95" s="363"/>
      <c r="T95" s="363"/>
      <c r="U95" s="363"/>
      <c r="V95" s="363"/>
      <c r="W95" s="363"/>
      <c r="X95" s="363"/>
      <c r="Y95" s="363"/>
      <c r="Z95" s="364"/>
      <c r="AA95"/>
      <c r="AB95"/>
      <c r="AC95"/>
      <c r="AD95"/>
      <c r="AE95"/>
    </row>
    <row r="96" spans="17:36" ht="12.75" customHeight="1">
      <c r="Q96" s="385" t="s">
        <v>222</v>
      </c>
      <c r="R96" s="1008" t="s">
        <v>504</v>
      </c>
      <c r="S96" s="1008"/>
      <c r="T96" s="1008"/>
      <c r="U96" s="1008"/>
      <c r="V96" s="1008"/>
      <c r="W96" s="1008"/>
      <c r="X96" s="1008"/>
      <c r="Y96" s="1008"/>
      <c r="Z96" s="547"/>
      <c r="AA96"/>
      <c r="AB96"/>
      <c r="AC96"/>
      <c r="AD96"/>
      <c r="AE96"/>
    </row>
    <row r="97" spans="17:31" s="133" customFormat="1" ht="12.75" customHeight="1">
      <c r="Q97" s="360"/>
      <c r="R97" s="363"/>
      <c r="S97" s="363"/>
      <c r="T97" s="363"/>
      <c r="U97" s="363"/>
      <c r="V97" s="363"/>
      <c r="W97" s="363"/>
      <c r="X97" s="363"/>
      <c r="Y97" s="363"/>
      <c r="Z97" s="364"/>
      <c r="AA97"/>
      <c r="AB97"/>
      <c r="AC97"/>
      <c r="AD97"/>
      <c r="AE97"/>
    </row>
    <row r="98" spans="17:31" ht="12.75" customHeight="1">
      <c r="Q98" s="360" t="s">
        <v>505</v>
      </c>
      <c r="R98" s="363" t="s">
        <v>514</v>
      </c>
      <c r="S98" s="363"/>
      <c r="T98" s="363"/>
      <c r="U98" s="363"/>
      <c r="V98" s="363"/>
      <c r="W98" s="363"/>
      <c r="X98" s="363"/>
      <c r="Y98" s="363"/>
      <c r="Z98" s="364"/>
      <c r="AA98"/>
      <c r="AB98"/>
      <c r="AC98"/>
      <c r="AD98"/>
      <c r="AE98"/>
    </row>
    <row r="99" spans="17:31" ht="12.75" customHeight="1">
      <c r="Q99" s="360"/>
      <c r="R99" s="363" t="s">
        <v>512</v>
      </c>
      <c r="S99" s="363"/>
      <c r="T99" s="363"/>
      <c r="U99" s="363"/>
      <c r="V99" s="363"/>
      <c r="W99" s="363"/>
      <c r="X99" s="363"/>
      <c r="Y99" s="363"/>
      <c r="Z99" s="364"/>
      <c r="AA99"/>
      <c r="AB99"/>
      <c r="AC99"/>
      <c r="AD99"/>
      <c r="AE99"/>
    </row>
    <row r="100" spans="17:31" ht="12.75" customHeight="1">
      <c r="Q100" s="360"/>
      <c r="R100" s="998" t="s">
        <v>191</v>
      </c>
      <c r="S100" s="999"/>
      <c r="T100" s="1000"/>
      <c r="U100" s="949" t="s">
        <v>500</v>
      </c>
      <c r="V100" s="938" t="s">
        <v>22</v>
      </c>
      <c r="W100" s="940" t="s">
        <v>579</v>
      </c>
      <c r="X100" s="942" t="s">
        <v>21</v>
      </c>
      <c r="Y100" s="361"/>
      <c r="Z100" s="364"/>
      <c r="AA100"/>
      <c r="AB100"/>
      <c r="AC100"/>
      <c r="AD100"/>
      <c r="AE100"/>
    </row>
    <row r="101" spans="17:31" ht="12.75" customHeight="1">
      <c r="Q101" s="360"/>
      <c r="R101" s="1001"/>
      <c r="S101" s="1002"/>
      <c r="T101" s="1003"/>
      <c r="U101" s="950"/>
      <c r="V101" s="939"/>
      <c r="W101" s="941"/>
      <c r="X101" s="943"/>
      <c r="Y101" s="361"/>
      <c r="Z101" s="364"/>
      <c r="AA101"/>
      <c r="AB101"/>
      <c r="AC101"/>
      <c r="AD101"/>
      <c r="AE101"/>
    </row>
    <row r="102" spans="17:31" ht="12.75" customHeight="1">
      <c r="Q102" s="360"/>
      <c r="R102" s="969" t="s">
        <v>63</v>
      </c>
      <c r="S102" s="969"/>
      <c r="T102" s="969"/>
      <c r="U102" s="537">
        <f>VLOOKUP(U69,'Lookup Exposure Time'!$B$12:$C$732,2)</f>
        <v>10</v>
      </c>
      <c r="V102" s="537">
        <f>VLOOKUP(V69,'Lookup Exposure Time'!$B$12:$C$732,2)</f>
        <v>2.5</v>
      </c>
      <c r="W102" s="537">
        <f>VLOOKUP(W69,'Lookup Exposure Time'!$B$12:$C$732,2)</f>
        <v>1.875</v>
      </c>
      <c r="X102" s="537">
        <f>VLOOKUP(X69,'Lookup Exposure Time'!$B$12:$C$732,2)</f>
        <v>0.39061999999999986</v>
      </c>
      <c r="Y102" s="361"/>
      <c r="Z102" s="364"/>
      <c r="AA102"/>
      <c r="AB102"/>
      <c r="AC102"/>
      <c r="AD102"/>
      <c r="AE102"/>
    </row>
    <row r="103" spans="17:31" ht="12.75" customHeight="1">
      <c r="Q103" s="360"/>
      <c r="R103" s="969" t="s">
        <v>64</v>
      </c>
      <c r="S103" s="969"/>
      <c r="T103" s="969"/>
      <c r="U103" s="537">
        <f>VLOOKUP(U70,'Lookup Exposure Time'!$B$12:$C$732,2)</f>
        <v>200</v>
      </c>
      <c r="V103" s="537">
        <f>VLOOKUP(V70,'Lookup Exposure Time'!$B$12:$C$732,2)</f>
        <v>50</v>
      </c>
      <c r="W103" s="537">
        <f>VLOOKUP(W70,'Lookup Exposure Time'!$B$12:$C$732,2)</f>
        <v>40</v>
      </c>
      <c r="X103" s="537">
        <f>VLOOKUP(X70,'Lookup Exposure Time'!$B$12:$C$732,2)</f>
        <v>7.5</v>
      </c>
      <c r="Y103" s="361"/>
      <c r="Z103" s="364"/>
      <c r="AA103"/>
      <c r="AB103"/>
      <c r="AC103"/>
      <c r="AD103"/>
      <c r="AE103"/>
    </row>
    <row r="104" spans="17:31" ht="12.75" customHeight="1">
      <c r="Q104" s="360"/>
      <c r="R104" s="364"/>
      <c r="S104" s="364"/>
      <c r="T104" s="364"/>
      <c r="U104" s="364"/>
      <c r="V104" s="364"/>
      <c r="W104" s="364"/>
      <c r="X104" s="364"/>
      <c r="Y104" s="363"/>
      <c r="Z104" s="364"/>
      <c r="AA104"/>
      <c r="AB104"/>
      <c r="AC104"/>
      <c r="AD104"/>
      <c r="AE104"/>
    </row>
    <row r="105" spans="17:31" ht="12.75" customHeight="1">
      <c r="Q105" s="360" t="s">
        <v>507</v>
      </c>
      <c r="R105" s="363" t="s">
        <v>513</v>
      </c>
      <c r="S105" s="363"/>
      <c r="T105" s="363"/>
      <c r="U105" s="363"/>
      <c r="V105" s="363"/>
      <c r="W105" s="363"/>
      <c r="X105" s="363"/>
      <c r="Y105" s="363"/>
      <c r="Z105" s="364"/>
      <c r="AA105"/>
      <c r="AB105"/>
      <c r="AC105"/>
      <c r="AD105"/>
      <c r="AE105"/>
    </row>
    <row r="106" spans="17:31" ht="12.75" customHeight="1">
      <c r="Q106" s="360"/>
      <c r="R106" s="998" t="s">
        <v>191</v>
      </c>
      <c r="S106" s="999"/>
      <c r="T106" s="1000"/>
      <c r="U106" s="949" t="s">
        <v>500</v>
      </c>
      <c r="V106" s="938" t="s">
        <v>22</v>
      </c>
      <c r="W106" s="940" t="s">
        <v>579</v>
      </c>
      <c r="X106" s="942" t="s">
        <v>21</v>
      </c>
      <c r="Y106" s="361"/>
      <c r="Z106" s="364"/>
      <c r="AA106"/>
      <c r="AB106"/>
      <c r="AC106"/>
      <c r="AD106"/>
      <c r="AE106"/>
    </row>
    <row r="107" spans="17:31" ht="12.75" customHeight="1">
      <c r="Q107" s="360"/>
      <c r="R107" s="1001"/>
      <c r="S107" s="1002"/>
      <c r="T107" s="1003"/>
      <c r="U107" s="950"/>
      <c r="V107" s="939"/>
      <c r="W107" s="941"/>
      <c r="X107" s="943"/>
      <c r="Y107" s="361"/>
      <c r="Z107" s="364"/>
      <c r="AA107"/>
      <c r="AB107"/>
      <c r="AC107"/>
      <c r="AD107"/>
      <c r="AE107"/>
    </row>
    <row r="108" spans="17:31" ht="12.75" customHeight="1">
      <c r="Q108" s="360"/>
      <c r="R108" s="969" t="s">
        <v>63</v>
      </c>
      <c r="S108" s="969"/>
      <c r="T108" s="969"/>
      <c r="U108" s="671">
        <f>VLOOKUP(U76,'Lookup Exposure Time'!$B$12:$C$732,2)</f>
        <v>2.5</v>
      </c>
      <c r="V108" s="671">
        <f>VLOOKUP(V76,'Lookup Exposure Time'!$B$12:$C$732,2)</f>
        <v>0.625</v>
      </c>
      <c r="W108" s="671">
        <f>VLOOKUP(W76,'Lookup Exposure Time'!$B$12:$C$732,2)</f>
        <v>0.46875</v>
      </c>
      <c r="X108" s="671">
        <f>VLOOKUP(X76,'Lookup Exposure Time'!$B$12:$C$732,2)</f>
        <v>9.765625E-2</v>
      </c>
      <c r="Y108" s="361"/>
      <c r="Z108" s="364"/>
      <c r="AA108"/>
      <c r="AB108"/>
      <c r="AC108"/>
      <c r="AD108"/>
      <c r="AE108"/>
    </row>
    <row r="109" spans="17:31" ht="12.75" customHeight="1">
      <c r="Q109" s="360"/>
      <c r="R109" s="969" t="s">
        <v>64</v>
      </c>
      <c r="S109" s="969"/>
      <c r="T109" s="969"/>
      <c r="U109" s="557">
        <f>VLOOKUP(U77,'Lookup Exposure Time'!$B$12:$C$732,2)</f>
        <v>50</v>
      </c>
      <c r="V109" s="557">
        <f>VLOOKUP(V77,'Lookup Exposure Time'!$B$12:$C$732,2)</f>
        <v>12.5</v>
      </c>
      <c r="W109" s="557">
        <f>VLOOKUP(W77,'Lookup Exposure Time'!$B$12:$C$732,2)</f>
        <v>10</v>
      </c>
      <c r="X109" s="557">
        <f>VLOOKUP(X77,'Lookup Exposure Time'!$B$12:$C$732,2)</f>
        <v>1.875</v>
      </c>
      <c r="Y109" s="361"/>
      <c r="Z109" s="364"/>
      <c r="AA109"/>
      <c r="AB109"/>
      <c r="AC109"/>
      <c r="AD109"/>
      <c r="AE109"/>
    </row>
    <row r="110" spans="17:31" ht="12.75" customHeight="1">
      <c r="Q110" s="360"/>
      <c r="R110" s="363"/>
      <c r="S110" s="363"/>
      <c r="T110" s="363"/>
      <c r="U110" s="363"/>
      <c r="V110" s="363"/>
      <c r="W110" s="363"/>
      <c r="X110" s="363"/>
      <c r="Y110" s="363"/>
      <c r="Z110" s="364"/>
      <c r="AA110"/>
      <c r="AB110"/>
      <c r="AC110"/>
      <c r="AD110"/>
      <c r="AE110"/>
    </row>
    <row r="111" spans="17:31" ht="12.75" customHeight="1">
      <c r="Q111" s="360" t="s">
        <v>508</v>
      </c>
      <c r="R111" s="363" t="s">
        <v>531</v>
      </c>
      <c r="S111" s="363"/>
      <c r="T111" s="363"/>
      <c r="U111" s="363"/>
      <c r="V111" s="363"/>
      <c r="W111" s="363"/>
      <c r="X111" s="363"/>
      <c r="Y111" s="363"/>
      <c r="Z111" s="364"/>
      <c r="AA111"/>
      <c r="AB111"/>
      <c r="AC111"/>
      <c r="AD111"/>
      <c r="AE111"/>
    </row>
    <row r="112" spans="17:31" ht="12.75" customHeight="1">
      <c r="Q112" s="360"/>
      <c r="R112" s="998" t="s">
        <v>191</v>
      </c>
      <c r="S112" s="999"/>
      <c r="T112" s="1000"/>
      <c r="U112" s="949" t="s">
        <v>500</v>
      </c>
      <c r="V112" s="938" t="s">
        <v>22</v>
      </c>
      <c r="W112" s="940" t="s">
        <v>579</v>
      </c>
      <c r="X112" s="942" t="s">
        <v>21</v>
      </c>
      <c r="Y112" s="361"/>
      <c r="Z112" s="364"/>
      <c r="AA112"/>
      <c r="AB112"/>
      <c r="AC112"/>
      <c r="AD112"/>
      <c r="AE112"/>
    </row>
    <row r="113" spans="17:31" ht="12.75" customHeight="1">
      <c r="Q113" s="360"/>
      <c r="R113" s="1001"/>
      <c r="S113" s="1002"/>
      <c r="T113" s="1003"/>
      <c r="U113" s="950"/>
      <c r="V113" s="939"/>
      <c r="W113" s="941"/>
      <c r="X113" s="943"/>
      <c r="Y113" s="361"/>
      <c r="Z113" s="364"/>
      <c r="AA113"/>
      <c r="AB113"/>
      <c r="AC113"/>
      <c r="AD113"/>
      <c r="AE113"/>
    </row>
    <row r="114" spans="17:31" ht="12.75" customHeight="1">
      <c r="Q114" s="360"/>
      <c r="R114" s="969" t="s">
        <v>63</v>
      </c>
      <c r="S114" s="969"/>
      <c r="T114" s="969"/>
      <c r="U114" s="537">
        <f t="shared" ref="U114:X115" si="0">U102/60</f>
        <v>0.16666666666666666</v>
      </c>
      <c r="V114" s="537">
        <f t="shared" si="0"/>
        <v>4.1666666666666664E-2</v>
      </c>
      <c r="W114" s="537">
        <f t="shared" si="0"/>
        <v>3.125E-2</v>
      </c>
      <c r="X114" s="537">
        <f t="shared" si="0"/>
        <v>6.5103333333333306E-3</v>
      </c>
      <c r="Y114" s="361"/>
      <c r="Z114" s="364"/>
      <c r="AA114"/>
      <c r="AB114"/>
      <c r="AC114"/>
      <c r="AD114"/>
      <c r="AE114"/>
    </row>
    <row r="115" spans="17:31" ht="12.75" customHeight="1">
      <c r="Q115" s="360"/>
      <c r="R115" s="969" t="s">
        <v>64</v>
      </c>
      <c r="S115" s="969"/>
      <c r="T115" s="969"/>
      <c r="U115" s="537">
        <f t="shared" si="0"/>
        <v>3.3333333333333335</v>
      </c>
      <c r="V115" s="537">
        <f t="shared" si="0"/>
        <v>0.83333333333333337</v>
      </c>
      <c r="W115" s="537">
        <f t="shared" si="0"/>
        <v>0.66666666666666663</v>
      </c>
      <c r="X115" s="537">
        <f t="shared" si="0"/>
        <v>0.125</v>
      </c>
      <c r="Y115" s="361"/>
      <c r="Z115" s="364"/>
      <c r="AA115"/>
      <c r="AB115"/>
      <c r="AC115"/>
      <c r="AD115"/>
      <c r="AE115"/>
    </row>
    <row r="116" spans="17:31" ht="12.75" customHeight="1">
      <c r="Q116" s="360"/>
      <c r="R116" s="364"/>
      <c r="S116" s="364"/>
      <c r="T116" s="364"/>
      <c r="U116" s="364"/>
      <c r="V116" s="364"/>
      <c r="W116" s="364"/>
      <c r="X116" s="364"/>
      <c r="Y116" s="363"/>
      <c r="Z116" s="364"/>
      <c r="AA116"/>
      <c r="AB116"/>
      <c r="AC116"/>
      <c r="AD116"/>
      <c r="AE116"/>
    </row>
    <row r="117" spans="17:31" ht="12.75" customHeight="1">
      <c r="Q117" s="360" t="s">
        <v>506</v>
      </c>
      <c r="R117" s="363" t="s">
        <v>532</v>
      </c>
      <c r="S117" s="363"/>
      <c r="T117" s="363"/>
      <c r="U117" s="363"/>
      <c r="V117" s="363"/>
      <c r="W117" s="363"/>
      <c r="X117" s="363"/>
      <c r="Y117" s="363"/>
      <c r="Z117" s="364"/>
      <c r="AA117"/>
      <c r="AB117"/>
      <c r="AC117"/>
      <c r="AD117"/>
      <c r="AE117"/>
    </row>
    <row r="118" spans="17:31" ht="12.75" customHeight="1">
      <c r="Q118" s="360"/>
      <c r="R118" s="998" t="s">
        <v>191</v>
      </c>
      <c r="S118" s="999"/>
      <c r="T118" s="1000"/>
      <c r="U118" s="949" t="s">
        <v>500</v>
      </c>
      <c r="V118" s="938" t="s">
        <v>22</v>
      </c>
      <c r="W118" s="940" t="s">
        <v>579</v>
      </c>
      <c r="X118" s="942" t="s">
        <v>21</v>
      </c>
      <c r="Y118" s="361"/>
      <c r="Z118" s="364"/>
      <c r="AA118"/>
      <c r="AB118"/>
      <c r="AC118"/>
      <c r="AD118"/>
      <c r="AE118"/>
    </row>
    <row r="119" spans="17:31" ht="12.75" customHeight="1">
      <c r="Q119" s="360"/>
      <c r="R119" s="1001"/>
      <c r="S119" s="1002"/>
      <c r="T119" s="1003"/>
      <c r="U119" s="950"/>
      <c r="V119" s="939"/>
      <c r="W119" s="941"/>
      <c r="X119" s="943"/>
      <c r="Y119" s="361"/>
      <c r="Z119" s="364"/>
      <c r="AA119"/>
      <c r="AB119"/>
      <c r="AC119"/>
      <c r="AD119"/>
      <c r="AE119"/>
    </row>
    <row r="120" spans="17:31" ht="12.75" customHeight="1">
      <c r="Q120" s="360"/>
      <c r="R120" s="969" t="s">
        <v>63</v>
      </c>
      <c r="S120" s="969"/>
      <c r="T120" s="969"/>
      <c r="U120" s="537">
        <f t="shared" ref="U120:X121" si="1">U108/60</f>
        <v>4.1666666666666664E-2</v>
      </c>
      <c r="V120" s="537">
        <f t="shared" si="1"/>
        <v>1.0416666666666666E-2</v>
      </c>
      <c r="W120" s="537">
        <f t="shared" si="1"/>
        <v>7.8125E-3</v>
      </c>
      <c r="X120" s="537">
        <f t="shared" si="1"/>
        <v>1.6276041666666667E-3</v>
      </c>
      <c r="Y120" s="361"/>
      <c r="Z120" s="364"/>
      <c r="AA120"/>
      <c r="AB120"/>
      <c r="AC120"/>
      <c r="AD120"/>
      <c r="AE120"/>
    </row>
    <row r="121" spans="17:31" ht="12.75" customHeight="1">
      <c r="Q121" s="360"/>
      <c r="R121" s="969" t="s">
        <v>64</v>
      </c>
      <c r="S121" s="969"/>
      <c r="T121" s="969"/>
      <c r="U121" s="537">
        <f t="shared" si="1"/>
        <v>0.83333333333333337</v>
      </c>
      <c r="V121" s="537">
        <f t="shared" si="1"/>
        <v>0.20833333333333334</v>
      </c>
      <c r="W121" s="537">
        <f t="shared" si="1"/>
        <v>0.16666666666666666</v>
      </c>
      <c r="X121" s="537">
        <f t="shared" si="1"/>
        <v>3.125E-2</v>
      </c>
      <c r="Y121" s="361"/>
      <c r="Z121" s="364"/>
      <c r="AA121"/>
      <c r="AB121"/>
      <c r="AC121"/>
      <c r="AD121"/>
      <c r="AE121"/>
    </row>
    <row r="122" spans="17:31" ht="12.75" customHeight="1">
      <c r="Q122" s="360"/>
      <c r="R122" s="363"/>
      <c r="S122" s="363"/>
      <c r="T122" s="363"/>
      <c r="U122" s="363"/>
      <c r="V122" s="363"/>
      <c r="W122" s="363"/>
      <c r="X122" s="363"/>
      <c r="Y122" s="363"/>
      <c r="Z122" s="364"/>
      <c r="AA122"/>
      <c r="AB122"/>
      <c r="AC122"/>
      <c r="AD122"/>
      <c r="AE122"/>
    </row>
    <row r="123" spans="17:31" ht="12.75" customHeight="1">
      <c r="Q123" s="546" t="s">
        <v>231</v>
      </c>
      <c r="R123" s="952" t="s">
        <v>232</v>
      </c>
      <c r="S123" s="952"/>
      <c r="T123" s="952"/>
      <c r="U123" s="952"/>
      <c r="V123" s="952"/>
      <c r="W123" s="952"/>
      <c r="X123" s="952"/>
      <c r="Y123" s="952"/>
      <c r="Z123" s="360"/>
      <c r="AA123"/>
      <c r="AB123"/>
      <c r="AC123"/>
      <c r="AD123"/>
      <c r="AE123"/>
    </row>
    <row r="124" spans="17:31" ht="12.75" customHeight="1">
      <c r="Q124" s="546"/>
      <c r="R124" s="360"/>
      <c r="S124" s="360"/>
      <c r="T124" s="360"/>
      <c r="U124" s="360"/>
      <c r="V124" s="360"/>
      <c r="W124" s="360"/>
      <c r="X124" s="360"/>
      <c r="Y124" s="360"/>
      <c r="Z124" s="360"/>
      <c r="AA124"/>
      <c r="AB124"/>
      <c r="AC124"/>
      <c r="AD124"/>
      <c r="AE124"/>
    </row>
    <row r="125" spans="17:31" ht="12.75" customHeight="1">
      <c r="Q125" s="546"/>
      <c r="R125" s="363" t="s">
        <v>233</v>
      </c>
      <c r="S125" s="363"/>
      <c r="T125" s="363"/>
      <c r="U125" s="363"/>
      <c r="V125" s="363"/>
      <c r="W125" s="363"/>
      <c r="X125" s="363"/>
      <c r="Y125" s="363"/>
      <c r="Z125" s="364"/>
      <c r="AA125"/>
      <c r="AB125"/>
      <c r="AC125"/>
      <c r="AD125"/>
      <c r="AE125"/>
    </row>
    <row r="126" spans="17:31" ht="12.75" customHeight="1">
      <c r="Q126" s="360"/>
      <c r="R126" s="998" t="s">
        <v>678</v>
      </c>
      <c r="S126" s="999"/>
      <c r="T126" s="1000"/>
      <c r="U126" s="949" t="s">
        <v>470</v>
      </c>
      <c r="V126" s="938" t="s">
        <v>22</v>
      </c>
      <c r="W126" s="940" t="s">
        <v>579</v>
      </c>
      <c r="X126" s="942" t="s">
        <v>21</v>
      </c>
      <c r="Y126" s="361"/>
      <c r="Z126" s="364"/>
      <c r="AA126"/>
      <c r="AB126"/>
      <c r="AC126"/>
      <c r="AD126"/>
      <c r="AE126"/>
    </row>
    <row r="127" spans="17:31" ht="12.75" customHeight="1">
      <c r="Q127" s="360"/>
      <c r="R127" s="1001"/>
      <c r="S127" s="1002"/>
      <c r="T127" s="1003"/>
      <c r="U127" s="950"/>
      <c r="V127" s="939"/>
      <c r="W127" s="941"/>
      <c r="X127" s="943"/>
      <c r="Y127" s="361"/>
      <c r="Z127" s="364"/>
      <c r="AA127"/>
      <c r="AB127"/>
      <c r="AC127"/>
      <c r="AD127"/>
      <c r="AE127"/>
    </row>
    <row r="128" spans="17:31" ht="12.75" customHeight="1">
      <c r="Q128" s="360"/>
      <c r="R128" s="969" t="s">
        <v>234</v>
      </c>
      <c r="S128" s="969"/>
      <c r="T128" s="969"/>
      <c r="U128" s="672">
        <v>8.3000000000000007</v>
      </c>
      <c r="V128" s="672">
        <f>VLOOKUP($V$5,'Lookup Vibration'!$B$8:$F$208,3)</f>
        <v>18.049999999999951</v>
      </c>
      <c r="W128" s="672">
        <f>VLOOKUP($V$5,'Lookup Vibration'!$B$8:$F$208,4)</f>
        <v>19.950000000000074</v>
      </c>
      <c r="X128" s="672">
        <f>VLOOKUP($V$5,'Lookup Vibration'!$B$8:$F$208,2)</f>
        <v>18.049999999999951</v>
      </c>
      <c r="Y128" s="361"/>
      <c r="Z128" s="364"/>
      <c r="AA128"/>
      <c r="AB128"/>
      <c r="AC128"/>
      <c r="AD128"/>
      <c r="AE128"/>
    </row>
    <row r="129" spans="17:31" ht="12.75" customHeight="1">
      <c r="Q129" s="360"/>
      <c r="R129" s="363"/>
      <c r="S129" s="363"/>
      <c r="T129" s="363"/>
      <c r="U129" s="363"/>
      <c r="V129" s="363"/>
      <c r="W129" s="363"/>
      <c r="X129" s="363"/>
      <c r="Y129" s="363"/>
      <c r="Z129" s="364"/>
      <c r="AA129"/>
      <c r="AB129"/>
      <c r="AC129"/>
      <c r="AD129"/>
      <c r="AE129"/>
    </row>
    <row r="130" spans="17:31" ht="12.75" customHeight="1">
      <c r="Q130" s="546" t="s">
        <v>235</v>
      </c>
      <c r="R130" s="952" t="s">
        <v>34</v>
      </c>
      <c r="S130" s="952"/>
      <c r="T130" s="952"/>
      <c r="U130" s="952"/>
      <c r="V130" s="952"/>
      <c r="W130" s="952"/>
      <c r="X130" s="952"/>
      <c r="Y130" s="952"/>
      <c r="Z130" s="360"/>
      <c r="AA130"/>
      <c r="AB130"/>
      <c r="AC130"/>
      <c r="AD130"/>
      <c r="AE130"/>
    </row>
    <row r="131" spans="17:31" ht="12.75" customHeight="1">
      <c r="Q131" s="546"/>
      <c r="R131" s="363"/>
      <c r="S131" s="363"/>
      <c r="T131" s="363"/>
      <c r="U131" s="363"/>
      <c r="V131" s="363"/>
      <c r="W131" s="363"/>
      <c r="X131" s="363"/>
      <c r="Y131" s="363"/>
      <c r="Z131" s="364"/>
      <c r="AA131"/>
      <c r="AB131"/>
      <c r="AC131"/>
      <c r="AD131"/>
      <c r="AE131"/>
    </row>
    <row r="132" spans="17:31" ht="12.75" customHeight="1">
      <c r="Q132" s="360"/>
      <c r="R132" s="998" t="s">
        <v>678</v>
      </c>
      <c r="S132" s="999"/>
      <c r="T132" s="1000"/>
      <c r="U132" s="949" t="s">
        <v>500</v>
      </c>
      <c r="V132" s="938" t="s">
        <v>22</v>
      </c>
      <c r="W132" s="940" t="s">
        <v>579</v>
      </c>
      <c r="X132" s="942" t="s">
        <v>21</v>
      </c>
      <c r="Y132" s="361"/>
      <c r="Z132" s="364"/>
      <c r="AA132"/>
      <c r="AB132"/>
      <c r="AC132"/>
      <c r="AD132"/>
      <c r="AE132"/>
    </row>
    <row r="133" spans="17:31" ht="12.75" customHeight="1">
      <c r="Q133" s="360"/>
      <c r="R133" s="1001"/>
      <c r="S133" s="1002"/>
      <c r="T133" s="1003"/>
      <c r="U133" s="950"/>
      <c r="V133" s="939"/>
      <c r="W133" s="941"/>
      <c r="X133" s="943"/>
      <c r="Y133" s="361"/>
      <c r="Z133" s="364"/>
      <c r="AA133"/>
      <c r="AB133"/>
      <c r="AC133"/>
      <c r="AD133"/>
      <c r="AE133"/>
    </row>
    <row r="134" spans="17:31" ht="12.75" customHeight="1">
      <c r="Q134" s="360"/>
      <c r="R134" s="1004" t="s">
        <v>298</v>
      </c>
      <c r="S134" s="1004"/>
      <c r="T134" s="1004"/>
      <c r="U134" s="673" t="s">
        <v>819</v>
      </c>
      <c r="V134" s="673" t="s">
        <v>818</v>
      </c>
      <c r="W134" s="673" t="s">
        <v>819</v>
      </c>
      <c r="X134" s="673" t="s">
        <v>818</v>
      </c>
      <c r="Y134" s="361"/>
      <c r="Z134" s="364"/>
      <c r="AA134"/>
      <c r="AB134"/>
      <c r="AC134"/>
      <c r="AD134"/>
      <c r="AE134"/>
    </row>
    <row r="135" spans="17:31" ht="12.75" customHeight="1">
      <c r="Q135" s="360"/>
      <c r="R135" s="931" t="s">
        <v>299</v>
      </c>
      <c r="S135" s="931"/>
      <c r="T135" s="931"/>
      <c r="U135" s="673" t="s">
        <v>297</v>
      </c>
      <c r="V135" s="673" t="s">
        <v>296</v>
      </c>
      <c r="W135" s="673" t="s">
        <v>296</v>
      </c>
      <c r="X135" s="673" t="s">
        <v>296</v>
      </c>
      <c r="Y135" s="361"/>
      <c r="Z135" s="364"/>
      <c r="AA135"/>
      <c r="AB135"/>
      <c r="AC135"/>
      <c r="AD135"/>
      <c r="AE135"/>
    </row>
    <row r="136" spans="17:31" ht="12.75" customHeight="1">
      <c r="Q136" s="360"/>
      <c r="R136" s="363"/>
      <c r="S136" s="363"/>
      <c r="T136" s="363"/>
      <c r="U136" s="363"/>
      <c r="V136" s="363"/>
      <c r="W136" s="363"/>
      <c r="X136" s="363"/>
      <c r="Y136" s="363"/>
      <c r="Z136" s="363"/>
      <c r="AA136"/>
      <c r="AB136"/>
      <c r="AC136"/>
      <c r="AD136"/>
      <c r="AE136"/>
    </row>
    <row r="137" spans="17:31" ht="12.75" customHeight="1">
      <c r="Q137" s="546" t="s">
        <v>236</v>
      </c>
      <c r="R137" s="952" t="s">
        <v>237</v>
      </c>
      <c r="S137" s="952"/>
      <c r="T137" s="952"/>
      <c r="U137" s="952"/>
      <c r="V137" s="952"/>
      <c r="W137" s="952"/>
      <c r="X137" s="952"/>
      <c r="Y137" s="952"/>
      <c r="Z137" s="360"/>
      <c r="AA137"/>
      <c r="AB137"/>
      <c r="AC137"/>
      <c r="AD137"/>
      <c r="AE137"/>
    </row>
    <row r="138" spans="17:31" ht="12.75" customHeight="1">
      <c r="Q138" s="360"/>
      <c r="R138" s="363"/>
      <c r="S138" s="363"/>
      <c r="T138" s="363"/>
      <c r="U138" s="363"/>
      <c r="V138" s="363"/>
      <c r="W138" s="363"/>
      <c r="X138" s="363"/>
      <c r="Y138" s="363"/>
      <c r="Z138" s="363"/>
      <c r="AA138"/>
      <c r="AB138"/>
      <c r="AC138"/>
      <c r="AD138"/>
      <c r="AE138"/>
    </row>
    <row r="139" spans="17:31" ht="12.75" customHeight="1">
      <c r="Q139" s="668" t="s">
        <v>238</v>
      </c>
      <c r="R139" s="364" t="s">
        <v>239</v>
      </c>
      <c r="S139" s="364"/>
      <c r="T139" s="364"/>
      <c r="U139" s="364"/>
      <c r="V139" s="364"/>
      <c r="W139" s="364"/>
      <c r="X139" s="364"/>
      <c r="Y139" s="364"/>
      <c r="Z139" s="364"/>
      <c r="AA139"/>
      <c r="AB139"/>
      <c r="AC139"/>
      <c r="AD139"/>
      <c r="AE139"/>
    </row>
    <row r="140" spans="17:31" ht="12.75" customHeight="1">
      <c r="Q140" s="668"/>
      <c r="R140" s="364" t="s">
        <v>469</v>
      </c>
      <c r="S140" s="364"/>
      <c r="T140" s="364"/>
      <c r="U140" s="364"/>
      <c r="V140" s="364"/>
      <c r="W140" s="364"/>
      <c r="X140" s="364"/>
      <c r="Y140" s="364"/>
      <c r="Z140" s="364"/>
      <c r="AA140"/>
      <c r="AB140"/>
      <c r="AC140"/>
      <c r="AD140"/>
      <c r="AE140"/>
    </row>
    <row r="141" spans="17:31" ht="12.75" customHeight="1">
      <c r="Q141" s="668"/>
      <c r="R141" s="364"/>
      <c r="S141" s="364"/>
      <c r="T141" s="364"/>
      <c r="U141" s="364"/>
      <c r="V141" s="364"/>
      <c r="W141" s="364"/>
      <c r="X141" s="364"/>
      <c r="Y141" s="364"/>
      <c r="Z141" s="364"/>
      <c r="AA141"/>
      <c r="AB141"/>
      <c r="AC141"/>
      <c r="AD141"/>
      <c r="AE141"/>
    </row>
    <row r="142" spans="17:31" ht="12.75" customHeight="1">
      <c r="Q142" s="668"/>
      <c r="R142" s="1005" t="s">
        <v>734</v>
      </c>
      <c r="S142" s="1006"/>
      <c r="T142" s="1006"/>
      <c r="U142" s="1006"/>
      <c r="V142" s="1006"/>
      <c r="W142" s="1007"/>
      <c r="X142" s="351">
        <f>'Compressor Input Data'!G5</f>
        <v>22800</v>
      </c>
      <c r="Y142" s="364"/>
      <c r="Z142" s="364"/>
      <c r="AA142"/>
      <c r="AB142"/>
      <c r="AC142"/>
      <c r="AD142"/>
      <c r="AE142"/>
    </row>
    <row r="143" spans="17:31" ht="12.75" customHeight="1">
      <c r="Q143" s="668"/>
      <c r="R143" s="990" t="s">
        <v>430</v>
      </c>
      <c r="S143" s="991"/>
      <c r="T143" s="992"/>
      <c r="U143" s="949" t="s">
        <v>500</v>
      </c>
      <c r="V143" s="938" t="s">
        <v>22</v>
      </c>
      <c r="W143" s="940" t="s">
        <v>579</v>
      </c>
      <c r="X143" s="942" t="s">
        <v>21</v>
      </c>
      <c r="Y143" s="361"/>
      <c r="Z143" s="364"/>
      <c r="AA143"/>
      <c r="AB143"/>
      <c r="AC143"/>
      <c r="AD143"/>
      <c r="AE143"/>
    </row>
    <row r="144" spans="17:31" ht="12.75" customHeight="1">
      <c r="Q144" s="668"/>
      <c r="R144" s="993"/>
      <c r="S144" s="994"/>
      <c r="T144" s="995"/>
      <c r="U144" s="950"/>
      <c r="V144" s="939"/>
      <c r="W144" s="941"/>
      <c r="X144" s="943"/>
      <c r="Y144" s="361"/>
      <c r="Z144" s="364"/>
      <c r="AA144"/>
      <c r="AB144"/>
      <c r="AC144"/>
      <c r="AD144"/>
      <c r="AE144"/>
    </row>
    <row r="145" spans="17:31" ht="12.75" customHeight="1">
      <c r="Q145" s="668"/>
      <c r="R145" s="973" t="s">
        <v>555</v>
      </c>
      <c r="S145" s="973"/>
      <c r="T145" s="973"/>
      <c r="U145" s="996"/>
      <c r="V145" s="544">
        <f>X145</f>
        <v>22800</v>
      </c>
      <c r="W145" s="544">
        <f>X145</f>
        <v>22800</v>
      </c>
      <c r="X145" s="544">
        <f>X142</f>
        <v>22800</v>
      </c>
      <c r="Y145" s="361"/>
      <c r="Z145" s="364"/>
      <c r="AA145"/>
      <c r="AB145"/>
      <c r="AC145"/>
      <c r="AD145"/>
      <c r="AE145"/>
    </row>
    <row r="146" spans="17:31" ht="12.75" customHeight="1">
      <c r="Q146" s="668"/>
      <c r="R146" s="973" t="s">
        <v>549</v>
      </c>
      <c r="S146" s="973"/>
      <c r="T146" s="973"/>
      <c r="U146" s="997"/>
      <c r="V146" s="544">
        <f>X146</f>
        <v>24</v>
      </c>
      <c r="W146" s="544">
        <f>V146</f>
        <v>24</v>
      </c>
      <c r="X146" s="544">
        <f>'Compressor Input Data'!J15</f>
        <v>24</v>
      </c>
      <c r="Y146" s="361"/>
      <c r="Z146" s="364"/>
      <c r="AA146"/>
      <c r="AB146"/>
      <c r="AC146"/>
      <c r="AD146"/>
      <c r="AE146"/>
    </row>
    <row r="147" spans="17:31" ht="12.75" customHeight="1">
      <c r="Q147" s="668"/>
      <c r="R147" s="970" t="s">
        <v>556</v>
      </c>
      <c r="S147" s="971"/>
      <c r="T147" s="972"/>
      <c r="U147" s="566">
        <f>U62</f>
        <v>2.6666666666666665</v>
      </c>
      <c r="V147" s="566">
        <f>V62</f>
        <v>1.9999999999999996</v>
      </c>
      <c r="W147" s="566">
        <f>W62</f>
        <v>1.7391304347826084</v>
      </c>
      <c r="X147" s="566">
        <f>X62</f>
        <v>1.4285714285714284</v>
      </c>
      <c r="Y147" s="361"/>
      <c r="Z147" s="364"/>
      <c r="AA147"/>
      <c r="AB147"/>
      <c r="AC147"/>
      <c r="AD147"/>
      <c r="AE147"/>
    </row>
    <row r="148" spans="17:31" ht="12.75" customHeight="1">
      <c r="Q148" s="668"/>
      <c r="R148" s="973" t="s">
        <v>575</v>
      </c>
      <c r="S148" s="973"/>
      <c r="T148" s="973"/>
      <c r="U148" s="531">
        <f>W148</f>
        <v>0.22500000000000001</v>
      </c>
      <c r="V148" s="531">
        <f>X148</f>
        <v>0.22500000000000001</v>
      </c>
      <c r="W148" s="531">
        <f>V148</f>
        <v>0.22500000000000001</v>
      </c>
      <c r="X148" s="531">
        <f>'Compressor Input Data'!J17</f>
        <v>0.22500000000000001</v>
      </c>
      <c r="Y148" s="361"/>
      <c r="Z148" s="364"/>
      <c r="AA148"/>
      <c r="AB148"/>
      <c r="AC148"/>
      <c r="AD148"/>
      <c r="AE148"/>
    </row>
    <row r="149" spans="17:31" ht="12.75" customHeight="1">
      <c r="Q149" s="668"/>
      <c r="R149" s="987"/>
      <c r="S149" s="988"/>
      <c r="T149" s="988"/>
      <c r="U149" s="988"/>
      <c r="V149" s="988"/>
      <c r="W149" s="988"/>
      <c r="X149" s="989"/>
      <c r="Y149" s="364"/>
      <c r="Z149" s="364"/>
      <c r="AA149"/>
      <c r="AB149"/>
      <c r="AC149"/>
      <c r="AD149"/>
      <c r="AE149"/>
    </row>
    <row r="150" spans="17:31" ht="12.75" customHeight="1">
      <c r="Q150" s="668"/>
      <c r="R150" s="990" t="s">
        <v>467</v>
      </c>
      <c r="S150" s="991"/>
      <c r="T150" s="992"/>
      <c r="U150" s="949" t="s">
        <v>500</v>
      </c>
      <c r="V150" s="938" t="s">
        <v>22</v>
      </c>
      <c r="W150" s="940" t="s">
        <v>579</v>
      </c>
      <c r="X150" s="942" t="s">
        <v>21</v>
      </c>
      <c r="Y150" s="361"/>
      <c r="Z150" s="364"/>
      <c r="AA150"/>
      <c r="AB150"/>
      <c r="AC150"/>
      <c r="AD150"/>
      <c r="AE150"/>
    </row>
    <row r="151" spans="17:31" ht="12.75" customHeight="1">
      <c r="Q151" s="668"/>
      <c r="R151" s="993"/>
      <c r="S151" s="994"/>
      <c r="T151" s="995"/>
      <c r="U151" s="950"/>
      <c r="V151" s="939"/>
      <c r="W151" s="941"/>
      <c r="X151" s="943"/>
      <c r="Y151" s="361"/>
      <c r="Z151" s="364"/>
      <c r="AA151"/>
      <c r="AB151"/>
      <c r="AC151"/>
      <c r="AD151"/>
      <c r="AE151"/>
    </row>
    <row r="152" spans="17:31" ht="12.75" customHeight="1">
      <c r="Q152" s="668"/>
      <c r="R152" s="973" t="s">
        <v>554</v>
      </c>
      <c r="S152" s="973"/>
      <c r="T152" s="973"/>
      <c r="U152" s="986"/>
      <c r="V152" s="569">
        <f>X152</f>
        <v>1</v>
      </c>
      <c r="W152" s="570">
        <f>V152</f>
        <v>1</v>
      </c>
      <c r="X152" s="570">
        <f>'Compressor Input Data'!J20</f>
        <v>1</v>
      </c>
      <c r="Y152" s="361"/>
      <c r="Z152" s="364"/>
      <c r="AA152"/>
      <c r="AB152"/>
      <c r="AC152"/>
      <c r="AD152"/>
      <c r="AE152"/>
    </row>
    <row r="153" spans="17:31" ht="12.75" customHeight="1">
      <c r="Q153" s="668"/>
      <c r="R153" s="983" t="s">
        <v>551</v>
      </c>
      <c r="S153" s="984"/>
      <c r="T153" s="985"/>
      <c r="U153" s="986"/>
      <c r="V153" s="571">
        <f>V147/V146</f>
        <v>8.3333333333333315E-2</v>
      </c>
      <c r="W153" s="571">
        <f>W147/W146</f>
        <v>7.2463768115942018E-2</v>
      </c>
      <c r="X153" s="571">
        <f>X147/X146</f>
        <v>5.9523809523809514E-2</v>
      </c>
      <c r="Y153" s="361"/>
      <c r="Z153" s="364"/>
      <c r="AA153"/>
      <c r="AB153"/>
      <c r="AC153"/>
      <c r="AD153"/>
      <c r="AE153"/>
    </row>
    <row r="154" spans="17:31" ht="12.75" customHeight="1">
      <c r="Q154" s="668"/>
      <c r="R154" s="973" t="s">
        <v>552</v>
      </c>
      <c r="S154" s="973"/>
      <c r="T154" s="973"/>
      <c r="U154" s="986"/>
      <c r="V154" s="572">
        <f>X154</f>
        <v>0.6</v>
      </c>
      <c r="W154" s="572">
        <f>V154</f>
        <v>0.6</v>
      </c>
      <c r="X154" s="572">
        <f>'Compressor Input Data'!J22</f>
        <v>0.6</v>
      </c>
      <c r="Y154" s="361"/>
      <c r="Z154" s="364"/>
      <c r="AA154"/>
      <c r="AB154"/>
      <c r="AC154"/>
      <c r="AD154"/>
      <c r="AE154"/>
    </row>
    <row r="155" spans="17:31" ht="12.75" customHeight="1">
      <c r="Q155" s="668"/>
      <c r="R155" s="987"/>
      <c r="S155" s="988"/>
      <c r="T155" s="988"/>
      <c r="U155" s="988"/>
      <c r="V155" s="988"/>
      <c r="W155" s="988"/>
      <c r="X155" s="989"/>
      <c r="Y155" s="364"/>
      <c r="Z155" s="364"/>
      <c r="AA155"/>
      <c r="AB155"/>
      <c r="AC155"/>
      <c r="AD155"/>
      <c r="AE155"/>
    </row>
    <row r="156" spans="17:31" ht="12.75" customHeight="1">
      <c r="Q156" s="668"/>
      <c r="R156" s="990" t="s">
        <v>468</v>
      </c>
      <c r="S156" s="991"/>
      <c r="T156" s="992"/>
      <c r="U156" s="949" t="s">
        <v>500</v>
      </c>
      <c r="V156" s="938" t="s">
        <v>22</v>
      </c>
      <c r="W156" s="940" t="s">
        <v>579</v>
      </c>
      <c r="X156" s="942" t="s">
        <v>21</v>
      </c>
      <c r="Y156" s="361"/>
      <c r="Z156" s="364"/>
      <c r="AA156"/>
      <c r="AB156"/>
      <c r="AC156"/>
      <c r="AD156"/>
      <c r="AE156"/>
    </row>
    <row r="157" spans="17:31" ht="12.75" customHeight="1">
      <c r="Q157" s="668"/>
      <c r="R157" s="993"/>
      <c r="S157" s="994"/>
      <c r="T157" s="995"/>
      <c r="U157" s="950"/>
      <c r="V157" s="939"/>
      <c r="W157" s="941"/>
      <c r="X157" s="943"/>
      <c r="Y157" s="361"/>
      <c r="Z157" s="364"/>
      <c r="AA157"/>
      <c r="AB157"/>
      <c r="AC157"/>
      <c r="AD157"/>
      <c r="AE157"/>
    </row>
    <row r="158" spans="17:31" ht="12.75" customHeight="1">
      <c r="Q158" s="668"/>
      <c r="R158" s="973" t="s">
        <v>554</v>
      </c>
      <c r="S158" s="973"/>
      <c r="T158" s="973"/>
      <c r="U158" s="980"/>
      <c r="V158" s="572">
        <f>X158</f>
        <v>0.5</v>
      </c>
      <c r="W158" s="572">
        <f>V158</f>
        <v>0.5</v>
      </c>
      <c r="X158" s="572">
        <f>'Compressor Input Data'!J25</f>
        <v>0.5</v>
      </c>
      <c r="Y158" s="361"/>
      <c r="Z158" s="364"/>
      <c r="AA158"/>
      <c r="AB158"/>
      <c r="AC158"/>
      <c r="AD158"/>
      <c r="AE158"/>
    </row>
    <row r="159" spans="17:31" ht="12.75" customHeight="1">
      <c r="Q159" s="668"/>
      <c r="R159" s="983" t="s">
        <v>551</v>
      </c>
      <c r="S159" s="984"/>
      <c r="T159" s="985"/>
      <c r="U159" s="981"/>
      <c r="V159" s="572">
        <f>V152-V153</f>
        <v>0.91666666666666674</v>
      </c>
      <c r="W159" s="572">
        <f>W152-W153</f>
        <v>0.92753623188405798</v>
      </c>
      <c r="X159" s="572">
        <f>X152-X153</f>
        <v>0.94047619047619047</v>
      </c>
      <c r="Y159" s="361"/>
      <c r="Z159" s="364"/>
      <c r="AA159"/>
      <c r="AB159"/>
      <c r="AC159"/>
      <c r="AD159"/>
      <c r="AE159"/>
    </row>
    <row r="160" spans="17:31" ht="12.75" customHeight="1">
      <c r="Q160" s="668"/>
      <c r="R160" s="973" t="s">
        <v>552</v>
      </c>
      <c r="S160" s="973"/>
      <c r="T160" s="973"/>
      <c r="U160" s="982"/>
      <c r="V160" s="572">
        <f>X160</f>
        <v>0.6</v>
      </c>
      <c r="W160" s="572">
        <f>V160</f>
        <v>0.6</v>
      </c>
      <c r="X160" s="572">
        <f>'Compressor Input Data'!J27</f>
        <v>0.6</v>
      </c>
      <c r="Y160" s="361"/>
      <c r="Z160" s="364"/>
      <c r="AA160"/>
      <c r="AB160"/>
      <c r="AC160"/>
      <c r="AD160"/>
      <c r="AE160"/>
    </row>
    <row r="161" spans="17:31" ht="12.75" customHeight="1">
      <c r="Q161" s="668"/>
      <c r="R161" s="567"/>
      <c r="S161" s="568"/>
      <c r="T161" s="568"/>
      <c r="U161" s="573"/>
      <c r="V161" s="573"/>
      <c r="W161" s="573"/>
      <c r="X161" s="574"/>
      <c r="Y161" s="364"/>
      <c r="Z161" s="364"/>
      <c r="AA161"/>
      <c r="AB161"/>
      <c r="AC161"/>
      <c r="AD161"/>
      <c r="AE161"/>
    </row>
    <row r="162" spans="17:31" ht="12.75" customHeight="1">
      <c r="Q162" s="668"/>
      <c r="R162" s="901" t="s">
        <v>471</v>
      </c>
      <c r="S162" s="901"/>
      <c r="T162" s="901"/>
      <c r="U162" s="930" t="s">
        <v>500</v>
      </c>
      <c r="V162" s="928" t="s">
        <v>22</v>
      </c>
      <c r="W162" s="929" t="s">
        <v>579</v>
      </c>
      <c r="X162" s="927" t="s">
        <v>21</v>
      </c>
      <c r="Y162" s="361"/>
      <c r="Z162" s="364"/>
      <c r="AA162"/>
      <c r="AB162"/>
      <c r="AC162"/>
      <c r="AD162"/>
      <c r="AE162"/>
    </row>
    <row r="163" spans="17:31" ht="12.75" customHeight="1">
      <c r="Q163" s="668"/>
      <c r="R163" s="901"/>
      <c r="S163" s="901"/>
      <c r="T163" s="901"/>
      <c r="U163" s="930"/>
      <c r="V163" s="928"/>
      <c r="W163" s="929"/>
      <c r="X163" s="927"/>
      <c r="Y163" s="361"/>
      <c r="Z163" s="364"/>
      <c r="AA163"/>
      <c r="AB163"/>
      <c r="AC163"/>
      <c r="AD163"/>
      <c r="AE163"/>
    </row>
    <row r="164" spans="17:31" ht="12.75" customHeight="1">
      <c r="Q164" s="668"/>
      <c r="R164" s="973" t="s">
        <v>472</v>
      </c>
      <c r="S164" s="973"/>
      <c r="T164" s="973"/>
      <c r="U164" s="544">
        <f>$V$224</f>
        <v>938.66666666666674</v>
      </c>
      <c r="V164" s="544">
        <f>($V$145*$V$146*$V$153*$V$152)/$V$154</f>
        <v>75999.999999999985</v>
      </c>
      <c r="W164" s="544">
        <f>($W$145*$W$146*$W$153*$W$152)/$W$154</f>
        <v>66086.956521739121</v>
      </c>
      <c r="X164" s="544">
        <f>($X$145*$X$146*$X$153*$X$152)/$X$154</f>
        <v>54285.714285714275</v>
      </c>
      <c r="Y164" s="361"/>
      <c r="Z164" s="364"/>
      <c r="AA164"/>
      <c r="AB164"/>
      <c r="AC164"/>
      <c r="AD164"/>
      <c r="AE164"/>
    </row>
    <row r="165" spans="17:31" ht="12.75" customHeight="1">
      <c r="Q165" s="668"/>
      <c r="R165" s="973" t="s">
        <v>473</v>
      </c>
      <c r="S165" s="973"/>
      <c r="T165" s="973"/>
      <c r="U165" s="543"/>
      <c r="V165" s="544">
        <f>($V$145*$V$146*$V$159*$V$158)/$V$160</f>
        <v>418000.00000000006</v>
      </c>
      <c r="W165" s="544">
        <f>($W$145*$W$146*$W$159*$W$158)/$W$160</f>
        <v>422956.52173913049</v>
      </c>
      <c r="X165" s="544">
        <f>($X$145*$X$146*$X$159*$X$158)/$X$160</f>
        <v>428857.14285714284</v>
      </c>
      <c r="Y165" s="361"/>
      <c r="Z165" s="364"/>
      <c r="AA165"/>
      <c r="AB165"/>
      <c r="AC165"/>
      <c r="AD165"/>
      <c r="AE165"/>
    </row>
    <row r="166" spans="17:31" ht="12.75" customHeight="1">
      <c r="Q166" s="668"/>
      <c r="R166" s="567"/>
      <c r="S166" s="568"/>
      <c r="T166" s="568"/>
      <c r="U166" s="573"/>
      <c r="V166" s="573"/>
      <c r="W166" s="573"/>
      <c r="X166" s="574"/>
      <c r="Y166" s="364"/>
      <c r="Z166" s="364"/>
      <c r="AA166"/>
      <c r="AB166"/>
      <c r="AC166"/>
      <c r="AD166"/>
      <c r="AE166"/>
    </row>
    <row r="167" spans="17:31" ht="12.75" customHeight="1">
      <c r="Q167" s="668"/>
      <c r="R167" s="901" t="s">
        <v>474</v>
      </c>
      <c r="S167" s="901"/>
      <c r="T167" s="901"/>
      <c r="U167" s="930" t="s">
        <v>500</v>
      </c>
      <c r="V167" s="928" t="s">
        <v>22</v>
      </c>
      <c r="W167" s="929" t="s">
        <v>579</v>
      </c>
      <c r="X167" s="927" t="s">
        <v>21</v>
      </c>
      <c r="Y167" s="361"/>
      <c r="Z167" s="364"/>
      <c r="AA167"/>
      <c r="AB167"/>
      <c r="AC167"/>
      <c r="AD167"/>
      <c r="AE167"/>
    </row>
    <row r="168" spans="17:31" ht="12.75" customHeight="1">
      <c r="Q168" s="668"/>
      <c r="R168" s="901"/>
      <c r="S168" s="901"/>
      <c r="T168" s="901"/>
      <c r="U168" s="930"/>
      <c r="V168" s="928"/>
      <c r="W168" s="929"/>
      <c r="X168" s="927"/>
      <c r="Y168" s="361"/>
      <c r="Z168" s="364"/>
      <c r="AA168"/>
      <c r="AB168"/>
      <c r="AC168"/>
      <c r="AD168"/>
      <c r="AE168"/>
    </row>
    <row r="169" spans="17:31" ht="12.75" customHeight="1">
      <c r="Q169" s="668"/>
      <c r="R169" s="973" t="s">
        <v>472</v>
      </c>
      <c r="S169" s="973"/>
      <c r="T169" s="973"/>
      <c r="U169" s="544">
        <f>U164*$V$11</f>
        <v>21589.333333333336</v>
      </c>
      <c r="V169" s="544">
        <f>V164*$V$11</f>
        <v>1747999.9999999998</v>
      </c>
      <c r="W169" s="544">
        <f>W164*$V$11</f>
        <v>1519999.9999999998</v>
      </c>
      <c r="X169" s="544">
        <f>X164*$V$11</f>
        <v>1248571.4285714284</v>
      </c>
      <c r="Y169" s="361"/>
      <c r="Z169" s="364"/>
      <c r="AA169"/>
      <c r="AB169"/>
      <c r="AC169"/>
      <c r="AD169"/>
      <c r="AE169"/>
    </row>
    <row r="170" spans="17:31" ht="12.75" customHeight="1">
      <c r="Q170" s="668"/>
      <c r="R170" s="973" t="s">
        <v>473</v>
      </c>
      <c r="S170" s="973"/>
      <c r="T170" s="973"/>
      <c r="U170" s="543"/>
      <c r="V170" s="544">
        <f>V165*$V$11</f>
        <v>9614000.0000000019</v>
      </c>
      <c r="W170" s="544">
        <f>W165*$V$11</f>
        <v>9728000.0000000019</v>
      </c>
      <c r="X170" s="544">
        <f>X165*$V$11</f>
        <v>9863714.2857142854</v>
      </c>
      <c r="Y170" s="361"/>
      <c r="Z170" s="364"/>
      <c r="AA170"/>
      <c r="AB170"/>
      <c r="AC170"/>
      <c r="AD170"/>
      <c r="AE170"/>
    </row>
    <row r="171" spans="17:31" ht="12.75" customHeight="1">
      <c r="Q171" s="668"/>
      <c r="R171" s="567"/>
      <c r="S171" s="568"/>
      <c r="T171" s="568"/>
      <c r="U171" s="573"/>
      <c r="V171" s="573"/>
      <c r="W171" s="573"/>
      <c r="X171" s="574"/>
      <c r="Y171" s="364"/>
      <c r="Z171" s="364"/>
      <c r="AA171"/>
      <c r="AB171"/>
      <c r="AC171"/>
      <c r="AD171"/>
      <c r="AE171"/>
    </row>
    <row r="172" spans="17:31" ht="12.75" customHeight="1">
      <c r="Q172" s="668"/>
      <c r="R172" s="901" t="s">
        <v>474</v>
      </c>
      <c r="S172" s="901"/>
      <c r="T172" s="901"/>
      <c r="U172" s="930" t="s">
        <v>500</v>
      </c>
      <c r="V172" s="928" t="s">
        <v>22</v>
      </c>
      <c r="W172" s="929" t="s">
        <v>579</v>
      </c>
      <c r="X172" s="927" t="s">
        <v>21</v>
      </c>
      <c r="Y172" s="361"/>
      <c r="Z172" s="364"/>
      <c r="AA172"/>
      <c r="AB172"/>
      <c r="AC172"/>
      <c r="AD172"/>
      <c r="AE172"/>
    </row>
    <row r="173" spans="17:31" ht="12.75" customHeight="1">
      <c r="Q173" s="668"/>
      <c r="R173" s="901"/>
      <c r="S173" s="901"/>
      <c r="T173" s="901"/>
      <c r="U173" s="930"/>
      <c r="V173" s="928"/>
      <c r="W173" s="929"/>
      <c r="X173" s="927"/>
      <c r="Y173" s="361"/>
      <c r="Z173" s="364"/>
      <c r="AA173"/>
      <c r="AB173"/>
      <c r="AC173"/>
      <c r="AD173"/>
      <c r="AE173"/>
    </row>
    <row r="174" spans="17:31" ht="12.75" customHeight="1">
      <c r="Q174" s="668"/>
      <c r="R174" s="973" t="s">
        <v>472</v>
      </c>
      <c r="S174" s="973"/>
      <c r="T174" s="973"/>
      <c r="U174" s="544">
        <f>U169*12</f>
        <v>259072.00000000003</v>
      </c>
      <c r="V174" s="544">
        <f>V169*12</f>
        <v>20975999.999999996</v>
      </c>
      <c r="W174" s="544">
        <f>W169*12</f>
        <v>18239999.999999996</v>
      </c>
      <c r="X174" s="544">
        <f>X169*12</f>
        <v>14982857.142857142</v>
      </c>
      <c r="Y174" s="361"/>
      <c r="Z174" s="364"/>
      <c r="AA174"/>
      <c r="AB174"/>
      <c r="AC174"/>
      <c r="AD174"/>
      <c r="AE174"/>
    </row>
    <row r="175" spans="17:31" ht="12.75" customHeight="1">
      <c r="Q175" s="668"/>
      <c r="R175" s="973" t="s">
        <v>473</v>
      </c>
      <c r="S175" s="973"/>
      <c r="T175" s="973"/>
      <c r="U175" s="543"/>
      <c r="V175" s="544">
        <f>V170*12</f>
        <v>115368000.00000003</v>
      </c>
      <c r="W175" s="544">
        <f>W170*12</f>
        <v>116736000.00000003</v>
      </c>
      <c r="X175" s="544">
        <f>X170*12</f>
        <v>118364571.42857143</v>
      </c>
      <c r="Y175" s="361"/>
      <c r="Z175" s="364"/>
      <c r="AA175"/>
      <c r="AB175"/>
      <c r="AC175"/>
      <c r="AD175"/>
      <c r="AE175"/>
    </row>
    <row r="176" spans="17:31" ht="12.75" customHeight="1">
      <c r="Q176" s="668"/>
      <c r="R176" s="381"/>
      <c r="S176" s="381"/>
      <c r="T176" s="381"/>
      <c r="U176" s="381"/>
      <c r="V176" s="381"/>
      <c r="W176" s="381"/>
      <c r="X176" s="381"/>
      <c r="Y176" s="364"/>
      <c r="Z176" s="364"/>
      <c r="AA176"/>
      <c r="AB176"/>
      <c r="AC176"/>
      <c r="AD176"/>
      <c r="AE176"/>
    </row>
    <row r="177" spans="17:31" ht="12.75" customHeight="1">
      <c r="Q177" s="668"/>
      <c r="R177" s="901" t="s">
        <v>433</v>
      </c>
      <c r="S177" s="901"/>
      <c r="T177" s="901"/>
      <c r="U177" s="949" t="s">
        <v>500</v>
      </c>
      <c r="V177" s="938" t="s">
        <v>22</v>
      </c>
      <c r="W177" s="940" t="s">
        <v>579</v>
      </c>
      <c r="X177" s="942" t="s">
        <v>21</v>
      </c>
      <c r="Y177" s="361"/>
      <c r="Z177" s="364"/>
      <c r="AA177"/>
      <c r="AB177"/>
      <c r="AC177"/>
      <c r="AD177"/>
      <c r="AE177"/>
    </row>
    <row r="178" spans="17:31" ht="12.75" customHeight="1">
      <c r="Q178" s="668"/>
      <c r="R178" s="901"/>
      <c r="S178" s="901"/>
      <c r="T178" s="901"/>
      <c r="U178" s="950"/>
      <c r="V178" s="939"/>
      <c r="W178" s="941"/>
      <c r="X178" s="943"/>
      <c r="Y178" s="361"/>
      <c r="Z178" s="364"/>
      <c r="AA178"/>
      <c r="AB178"/>
      <c r="AC178"/>
      <c r="AD178"/>
      <c r="AE178"/>
    </row>
    <row r="179" spans="17:31" ht="12.75" customHeight="1">
      <c r="Q179" s="668"/>
      <c r="R179" s="970" t="s">
        <v>459</v>
      </c>
      <c r="S179" s="971"/>
      <c r="T179" s="972"/>
      <c r="U179" s="544">
        <f>U164</f>
        <v>938.66666666666674</v>
      </c>
      <c r="V179" s="544">
        <f>V164+V165</f>
        <v>494000.00000000006</v>
      </c>
      <c r="W179" s="544">
        <f>W164+W165</f>
        <v>489043.47826086963</v>
      </c>
      <c r="X179" s="544">
        <f>X164+X165</f>
        <v>483142.8571428571</v>
      </c>
      <c r="Y179" s="361"/>
      <c r="Z179" s="364"/>
      <c r="AA179"/>
      <c r="AB179"/>
      <c r="AC179"/>
      <c r="AD179"/>
      <c r="AE179"/>
    </row>
    <row r="180" spans="17:31" ht="12.75" customHeight="1">
      <c r="Q180" s="668"/>
      <c r="R180" s="973" t="s">
        <v>307</v>
      </c>
      <c r="S180" s="973"/>
      <c r="T180" s="973"/>
      <c r="U180" s="544">
        <f>U169</f>
        <v>21589.333333333336</v>
      </c>
      <c r="V180" s="544">
        <f>V169+V170</f>
        <v>11362000.000000002</v>
      </c>
      <c r="W180" s="544">
        <f>W169+W170</f>
        <v>11248000.000000002</v>
      </c>
      <c r="X180" s="544">
        <f>X169+X170</f>
        <v>11112285.714285715</v>
      </c>
      <c r="Y180" s="361"/>
      <c r="Z180" s="364"/>
      <c r="AA180"/>
      <c r="AB180"/>
      <c r="AC180"/>
      <c r="AD180"/>
      <c r="AE180"/>
    </row>
    <row r="181" spans="17:31" ht="12.75" customHeight="1">
      <c r="Q181" s="668"/>
      <c r="R181" s="973" t="s">
        <v>308</v>
      </c>
      <c r="S181" s="973"/>
      <c r="T181" s="973"/>
      <c r="U181" s="544">
        <f>U174</f>
        <v>259072.00000000003</v>
      </c>
      <c r="V181" s="544">
        <f>V174+V175</f>
        <v>136344000.00000003</v>
      </c>
      <c r="W181" s="544">
        <f>W174+W175</f>
        <v>134976000.00000003</v>
      </c>
      <c r="X181" s="544">
        <f>X174+X175</f>
        <v>133347428.57142857</v>
      </c>
      <c r="Y181" s="361"/>
      <c r="Z181" s="364"/>
      <c r="AA181"/>
      <c r="AB181"/>
      <c r="AC181"/>
      <c r="AD181"/>
      <c r="AE181"/>
    </row>
    <row r="182" spans="17:31" ht="12.75" customHeight="1">
      <c r="Q182" s="668"/>
      <c r="R182" s="381"/>
      <c r="S182" s="381"/>
      <c r="T182" s="381"/>
      <c r="U182" s="381"/>
      <c r="V182" s="381"/>
      <c r="W182" s="381"/>
      <c r="X182" s="381"/>
      <c r="Y182" s="364"/>
      <c r="Z182" s="364"/>
      <c r="AA182"/>
      <c r="AB182"/>
      <c r="AC182"/>
      <c r="AD182"/>
      <c r="AE182"/>
    </row>
    <row r="183" spans="17:31" ht="12.75" customHeight="1">
      <c r="Q183" s="668"/>
      <c r="R183" s="901" t="s">
        <v>475</v>
      </c>
      <c r="S183" s="901"/>
      <c r="T183" s="901"/>
      <c r="U183" s="930" t="s">
        <v>500</v>
      </c>
      <c r="V183" s="928" t="s">
        <v>22</v>
      </c>
      <c r="W183" s="929" t="s">
        <v>579</v>
      </c>
      <c r="X183" s="927" t="s">
        <v>21</v>
      </c>
      <c r="Y183" s="361"/>
      <c r="Z183" s="364"/>
      <c r="AA183"/>
      <c r="AB183"/>
      <c r="AC183"/>
      <c r="AD183"/>
      <c r="AE183"/>
    </row>
    <row r="184" spans="17:31" ht="12.75" customHeight="1">
      <c r="Q184" s="668"/>
      <c r="R184" s="901"/>
      <c r="S184" s="901"/>
      <c r="T184" s="901"/>
      <c r="U184" s="930"/>
      <c r="V184" s="928"/>
      <c r="W184" s="929"/>
      <c r="X184" s="927"/>
      <c r="Y184" s="361"/>
      <c r="Z184" s="364"/>
      <c r="AA184"/>
      <c r="AB184"/>
      <c r="AC184"/>
      <c r="AD184"/>
      <c r="AE184"/>
    </row>
    <row r="185" spans="17:31" ht="12.75" customHeight="1">
      <c r="Q185" s="668"/>
      <c r="R185" s="973" t="s">
        <v>472</v>
      </c>
      <c r="S185" s="973"/>
      <c r="T185" s="973"/>
      <c r="U185" s="593">
        <f>$V$224*$U$148</f>
        <v>211.20000000000002</v>
      </c>
      <c r="V185" s="593">
        <f>($V$145*$V$146*$V$153*$V$152*$V$148)/$V$154</f>
        <v>17099.999999999996</v>
      </c>
      <c r="W185" s="593">
        <f>($W$145*$W$146*$W$153*$W$152*$W$148)/$W$154</f>
        <v>14869.565217391304</v>
      </c>
      <c r="X185" s="593">
        <f>($X$145*$X$146*$X$153*$X$152*$X$148)/$X$154</f>
        <v>12214.285714285714</v>
      </c>
      <c r="Y185" s="361"/>
      <c r="Z185" s="364"/>
      <c r="AA185"/>
      <c r="AB185"/>
      <c r="AC185"/>
      <c r="AD185"/>
      <c r="AE185"/>
    </row>
    <row r="186" spans="17:31" ht="12.75" customHeight="1">
      <c r="Q186" s="668"/>
      <c r="R186" s="973" t="s">
        <v>473</v>
      </c>
      <c r="S186" s="973"/>
      <c r="T186" s="973"/>
      <c r="U186" s="543"/>
      <c r="V186" s="593">
        <f>($V$145*$V$146*$V$159*$V$158*$V$148)/$V$160</f>
        <v>94050.000000000015</v>
      </c>
      <c r="W186" s="593">
        <f>($W$145*$W$146*$W$159*$W$158*$W$148)/$W$160</f>
        <v>95165.217391304366</v>
      </c>
      <c r="X186" s="593">
        <f>($X$145*$X$146*$X$159*$X$158*$X$148)/$X$160</f>
        <v>96492.857142857145</v>
      </c>
      <c r="Y186" s="361"/>
      <c r="Z186" s="364"/>
      <c r="AA186"/>
      <c r="AB186"/>
      <c r="AC186"/>
      <c r="AD186"/>
      <c r="AE186"/>
    </row>
    <row r="187" spans="17:31" ht="12.75" customHeight="1">
      <c r="Q187" s="668"/>
      <c r="R187" s="381"/>
      <c r="S187" s="381"/>
      <c r="T187" s="381"/>
      <c r="U187" s="381"/>
      <c r="V187" s="381"/>
      <c r="W187" s="381"/>
      <c r="X187" s="381"/>
      <c r="Y187" s="552"/>
      <c r="Z187" s="364"/>
      <c r="AA187"/>
      <c r="AB187"/>
      <c r="AC187"/>
      <c r="AD187"/>
      <c r="AE187"/>
    </row>
    <row r="188" spans="17:31" ht="12.75" customHeight="1">
      <c r="Q188" s="668"/>
      <c r="R188" s="901" t="s">
        <v>476</v>
      </c>
      <c r="S188" s="901"/>
      <c r="T188" s="901"/>
      <c r="U188" s="930" t="s">
        <v>500</v>
      </c>
      <c r="V188" s="928" t="s">
        <v>22</v>
      </c>
      <c r="W188" s="929" t="s">
        <v>579</v>
      </c>
      <c r="X188" s="927" t="s">
        <v>21</v>
      </c>
      <c r="Y188" s="361"/>
      <c r="Z188" s="364"/>
      <c r="AA188"/>
      <c r="AB188"/>
      <c r="AC188"/>
      <c r="AD188"/>
      <c r="AE188"/>
    </row>
    <row r="189" spans="17:31" ht="12.75" customHeight="1">
      <c r="Q189" s="668"/>
      <c r="R189" s="901"/>
      <c r="S189" s="901"/>
      <c r="T189" s="901"/>
      <c r="U189" s="930"/>
      <c r="V189" s="928"/>
      <c r="W189" s="929"/>
      <c r="X189" s="927"/>
      <c r="Y189" s="361"/>
      <c r="Z189" s="364"/>
      <c r="AA189"/>
      <c r="AB189"/>
      <c r="AC189"/>
      <c r="AD189"/>
      <c r="AE189"/>
    </row>
    <row r="190" spans="17:31" ht="12.75" customHeight="1">
      <c r="Q190" s="668"/>
      <c r="R190" s="973" t="s">
        <v>472</v>
      </c>
      <c r="S190" s="973"/>
      <c r="T190" s="973"/>
      <c r="U190" s="593">
        <f>U185*$V$11</f>
        <v>4857.6000000000004</v>
      </c>
      <c r="V190" s="593">
        <f>V185*$V$11</f>
        <v>393299.99999999994</v>
      </c>
      <c r="W190" s="593">
        <f>W185*$V$11</f>
        <v>342000</v>
      </c>
      <c r="X190" s="593">
        <f>X185*$V$11</f>
        <v>280928.57142857142</v>
      </c>
      <c r="Y190" s="361"/>
      <c r="Z190" s="364"/>
      <c r="AA190"/>
      <c r="AB190"/>
      <c r="AC190"/>
      <c r="AD190"/>
      <c r="AE190"/>
    </row>
    <row r="191" spans="17:31" ht="12.75" customHeight="1">
      <c r="Q191" s="668"/>
      <c r="R191" s="973" t="s">
        <v>473</v>
      </c>
      <c r="S191" s="973"/>
      <c r="T191" s="973"/>
      <c r="U191" s="543"/>
      <c r="V191" s="593">
        <f>V186*$V$11</f>
        <v>2163150.0000000005</v>
      </c>
      <c r="W191" s="593">
        <f>W186*$V$11</f>
        <v>2188800.0000000005</v>
      </c>
      <c r="X191" s="593">
        <f>X186*$V$11</f>
        <v>2219335.7142857146</v>
      </c>
      <c r="Y191" s="361"/>
      <c r="Z191" s="364"/>
      <c r="AA191"/>
      <c r="AB191"/>
      <c r="AC191"/>
      <c r="AD191"/>
      <c r="AE191"/>
    </row>
    <row r="192" spans="17:31" ht="12.75" customHeight="1">
      <c r="Q192" s="668"/>
      <c r="R192" s="367"/>
      <c r="S192" s="367"/>
      <c r="T192" s="367"/>
      <c r="U192" s="367"/>
      <c r="V192" s="367"/>
      <c r="W192" s="367"/>
      <c r="X192" s="367"/>
      <c r="Y192" s="364"/>
      <c r="Z192" s="364"/>
      <c r="AA192"/>
      <c r="AB192"/>
      <c r="AC192"/>
      <c r="AD192"/>
      <c r="AE192"/>
    </row>
    <row r="193" spans="17:31" ht="12.75" customHeight="1">
      <c r="Q193" s="668"/>
      <c r="R193" s="901" t="s">
        <v>477</v>
      </c>
      <c r="S193" s="901"/>
      <c r="T193" s="901"/>
      <c r="U193" s="930" t="s">
        <v>500</v>
      </c>
      <c r="V193" s="928" t="s">
        <v>22</v>
      </c>
      <c r="W193" s="929" t="s">
        <v>579</v>
      </c>
      <c r="X193" s="927" t="s">
        <v>21</v>
      </c>
      <c r="Y193" s="361"/>
      <c r="Z193" s="364"/>
      <c r="AA193"/>
      <c r="AB193"/>
      <c r="AC193"/>
      <c r="AD193"/>
      <c r="AE193"/>
    </row>
    <row r="194" spans="17:31" ht="12.75" customHeight="1">
      <c r="Q194" s="668"/>
      <c r="R194" s="901"/>
      <c r="S194" s="901"/>
      <c r="T194" s="901"/>
      <c r="U194" s="930"/>
      <c r="V194" s="928"/>
      <c r="W194" s="929"/>
      <c r="X194" s="927"/>
      <c r="Y194" s="361"/>
      <c r="Z194" s="364"/>
      <c r="AA194"/>
      <c r="AB194"/>
      <c r="AC194"/>
      <c r="AD194"/>
      <c r="AE194"/>
    </row>
    <row r="195" spans="17:31" ht="12.75" customHeight="1">
      <c r="Q195" s="668"/>
      <c r="R195" s="973" t="s">
        <v>472</v>
      </c>
      <c r="S195" s="973"/>
      <c r="T195" s="973"/>
      <c r="U195" s="593">
        <f>U190*12</f>
        <v>58291.200000000004</v>
      </c>
      <c r="V195" s="593">
        <f>V190*12</f>
        <v>4719599.9999999991</v>
      </c>
      <c r="W195" s="593">
        <f>W190*12</f>
        <v>4104000</v>
      </c>
      <c r="X195" s="593">
        <f>X190*12</f>
        <v>3371142.8571428573</v>
      </c>
      <c r="Y195" s="361"/>
      <c r="Z195" s="364"/>
      <c r="AA195"/>
      <c r="AB195"/>
      <c r="AC195"/>
      <c r="AD195"/>
      <c r="AE195"/>
    </row>
    <row r="196" spans="17:31" ht="12.75" customHeight="1">
      <c r="Q196" s="668"/>
      <c r="R196" s="973" t="s">
        <v>473</v>
      </c>
      <c r="S196" s="973"/>
      <c r="T196" s="973"/>
      <c r="U196" s="543"/>
      <c r="V196" s="593">
        <f>V191*12</f>
        <v>25957800.000000007</v>
      </c>
      <c r="W196" s="593">
        <f>W191*12</f>
        <v>26265600.000000007</v>
      </c>
      <c r="X196" s="593">
        <f>X191*12</f>
        <v>26632028.571428575</v>
      </c>
      <c r="Y196" s="361"/>
      <c r="Z196" s="364"/>
      <c r="AA196"/>
      <c r="AB196"/>
      <c r="AC196"/>
      <c r="AD196"/>
      <c r="AE196"/>
    </row>
    <row r="197" spans="17:31" ht="12.75" customHeight="1">
      <c r="Q197" s="668"/>
      <c r="R197" s="367"/>
      <c r="S197" s="367"/>
      <c r="T197" s="367"/>
      <c r="U197" s="367"/>
      <c r="V197" s="367"/>
      <c r="W197" s="367"/>
      <c r="X197" s="367"/>
      <c r="Y197" s="364"/>
      <c r="Z197" s="364"/>
      <c r="AA197"/>
      <c r="AB197"/>
      <c r="AC197"/>
      <c r="AD197"/>
      <c r="AE197"/>
    </row>
    <row r="198" spans="17:31" ht="12.75" customHeight="1">
      <c r="Q198" s="668"/>
      <c r="R198" s="901" t="s">
        <v>116</v>
      </c>
      <c r="S198" s="901"/>
      <c r="T198" s="901"/>
      <c r="U198" s="949" t="s">
        <v>500</v>
      </c>
      <c r="V198" s="938" t="s">
        <v>22</v>
      </c>
      <c r="W198" s="940" t="s">
        <v>579</v>
      </c>
      <c r="X198" s="942" t="s">
        <v>21</v>
      </c>
      <c r="Y198" s="361"/>
      <c r="Z198" s="364"/>
      <c r="AA198"/>
      <c r="AB198"/>
      <c r="AC198"/>
      <c r="AD198"/>
      <c r="AE198"/>
    </row>
    <row r="199" spans="17:31" ht="12.75" customHeight="1">
      <c r="Q199" s="668"/>
      <c r="R199" s="901"/>
      <c r="S199" s="901"/>
      <c r="T199" s="901"/>
      <c r="U199" s="950"/>
      <c r="V199" s="939"/>
      <c r="W199" s="941"/>
      <c r="X199" s="943"/>
      <c r="Y199" s="361"/>
      <c r="Z199" s="364"/>
      <c r="AA199"/>
      <c r="AB199"/>
      <c r="AC199"/>
      <c r="AD199"/>
      <c r="AE199"/>
    </row>
    <row r="200" spans="17:31" ht="12.75" customHeight="1">
      <c r="Q200" s="668"/>
      <c r="R200" s="970" t="s">
        <v>459</v>
      </c>
      <c r="S200" s="971"/>
      <c r="T200" s="972"/>
      <c r="U200" s="593">
        <f>U185</f>
        <v>211.20000000000002</v>
      </c>
      <c r="V200" s="593">
        <f>V185+V186</f>
        <v>111150.00000000001</v>
      </c>
      <c r="W200" s="593">
        <f>W185+W186</f>
        <v>110034.78260869568</v>
      </c>
      <c r="X200" s="593">
        <f>X185+X186</f>
        <v>108707.14285714286</v>
      </c>
      <c r="Y200" s="361"/>
      <c r="Z200" s="364"/>
      <c r="AA200"/>
      <c r="AB200"/>
      <c r="AC200"/>
      <c r="AD200"/>
      <c r="AE200"/>
    </row>
    <row r="201" spans="17:31" ht="12.75" customHeight="1">
      <c r="Q201" s="668"/>
      <c r="R201" s="973" t="s">
        <v>307</v>
      </c>
      <c r="S201" s="973"/>
      <c r="T201" s="973"/>
      <c r="U201" s="593">
        <f>U190</f>
        <v>4857.6000000000004</v>
      </c>
      <c r="V201" s="593">
        <f>V190+V191</f>
        <v>2556450.0000000005</v>
      </c>
      <c r="W201" s="593">
        <f>W190+W191</f>
        <v>2530800.0000000005</v>
      </c>
      <c r="X201" s="593">
        <f>X190+X191</f>
        <v>2500264.2857142859</v>
      </c>
      <c r="Y201" s="361"/>
      <c r="Z201" s="364"/>
      <c r="AA201"/>
      <c r="AB201"/>
      <c r="AC201"/>
      <c r="AD201"/>
      <c r="AE201"/>
    </row>
    <row r="202" spans="17:31" ht="12.75" customHeight="1">
      <c r="Q202" s="668"/>
      <c r="R202" s="973" t="s">
        <v>308</v>
      </c>
      <c r="S202" s="973"/>
      <c r="T202" s="973"/>
      <c r="U202" s="593">
        <f>U195</f>
        <v>58291.200000000004</v>
      </c>
      <c r="V202" s="593">
        <f>V195+V196</f>
        <v>30677400.000000007</v>
      </c>
      <c r="W202" s="593">
        <f>W195+W196</f>
        <v>30369600.000000007</v>
      </c>
      <c r="X202" s="593">
        <f>X195+X196</f>
        <v>30003171.428571433</v>
      </c>
      <c r="Y202" s="361"/>
      <c r="Z202" s="364"/>
      <c r="AA202"/>
      <c r="AB202"/>
      <c r="AC202"/>
      <c r="AD202"/>
      <c r="AE202"/>
    </row>
    <row r="203" spans="17:31" ht="12.75" customHeight="1">
      <c r="Q203" s="668"/>
      <c r="R203" s="575"/>
      <c r="S203" s="575"/>
      <c r="T203" s="575"/>
      <c r="U203" s="382"/>
      <c r="V203" s="382"/>
      <c r="W203" s="382"/>
      <c r="X203" s="382"/>
      <c r="Y203" s="364"/>
      <c r="Z203" s="364"/>
      <c r="AA203"/>
      <c r="AB203"/>
      <c r="AC203"/>
      <c r="AD203"/>
      <c r="AE203"/>
    </row>
    <row r="204" spans="17:31" ht="12.75" customHeight="1">
      <c r="Q204" s="668"/>
      <c r="R204" s="974" t="s">
        <v>775</v>
      </c>
      <c r="S204" s="974"/>
      <c r="T204" s="974"/>
      <c r="U204" s="974"/>
      <c r="V204" s="974"/>
      <c r="W204" s="974"/>
      <c r="X204" s="974"/>
      <c r="Y204" s="974"/>
      <c r="Z204" s="364"/>
      <c r="AA204"/>
      <c r="AB204"/>
      <c r="AC204"/>
      <c r="AD204"/>
      <c r="AE204"/>
    </row>
    <row r="205" spans="17:31" ht="12.75" customHeight="1">
      <c r="Q205" s="668"/>
      <c r="R205" s="974"/>
      <c r="S205" s="974"/>
      <c r="T205" s="974"/>
      <c r="U205" s="974"/>
      <c r="V205" s="974"/>
      <c r="W205" s="974"/>
      <c r="X205" s="974"/>
      <c r="Y205" s="974"/>
      <c r="Z205" s="576"/>
      <c r="AA205"/>
      <c r="AB205"/>
      <c r="AC205"/>
      <c r="AD205"/>
      <c r="AE205"/>
    </row>
    <row r="206" spans="17:31" ht="12.75" customHeight="1">
      <c r="Q206" s="668"/>
      <c r="R206" s="974"/>
      <c r="S206" s="974"/>
      <c r="T206" s="974"/>
      <c r="U206" s="974"/>
      <c r="V206" s="974"/>
      <c r="W206" s="974"/>
      <c r="X206" s="974"/>
      <c r="Y206" s="974"/>
      <c r="Z206" s="576"/>
      <c r="AA206"/>
      <c r="AB206"/>
      <c r="AC206"/>
      <c r="AD206"/>
      <c r="AE206"/>
    </row>
    <row r="207" spans="17:31" ht="12.75" customHeight="1">
      <c r="Q207" s="668"/>
      <c r="R207" s="974"/>
      <c r="S207" s="974"/>
      <c r="T207" s="974"/>
      <c r="U207" s="974"/>
      <c r="V207" s="974"/>
      <c r="W207" s="974"/>
      <c r="X207" s="974"/>
      <c r="Y207" s="974"/>
      <c r="Z207" s="576"/>
      <c r="AA207"/>
      <c r="AB207"/>
      <c r="AC207"/>
      <c r="AD207"/>
      <c r="AE207"/>
    </row>
    <row r="208" spans="17:31" ht="12.75" customHeight="1">
      <c r="Q208" s="668"/>
      <c r="R208" s="974"/>
      <c r="S208" s="974"/>
      <c r="T208" s="974"/>
      <c r="U208" s="974"/>
      <c r="V208" s="974"/>
      <c r="W208" s="974"/>
      <c r="X208" s="974"/>
      <c r="Y208" s="974"/>
      <c r="Z208" s="576"/>
      <c r="AA208"/>
      <c r="AB208"/>
      <c r="AC208"/>
      <c r="AD208"/>
      <c r="AE208"/>
    </row>
    <row r="209" spans="17:31" ht="12.75" customHeight="1">
      <c r="Q209" s="668"/>
      <c r="R209" s="364"/>
      <c r="S209" s="375"/>
      <c r="T209" s="375"/>
      <c r="U209" s="577"/>
      <c r="V209" s="577"/>
      <c r="W209" s="577"/>
      <c r="X209" s="577"/>
      <c r="Y209" s="551"/>
      <c r="Z209" s="363"/>
      <c r="AA209"/>
      <c r="AB209"/>
      <c r="AC209"/>
      <c r="AD209"/>
      <c r="AE209"/>
    </row>
    <row r="210" spans="17:31" ht="12.75" customHeight="1">
      <c r="Q210" s="668"/>
      <c r="R210" s="975" t="s">
        <v>667</v>
      </c>
      <c r="S210" s="976"/>
      <c r="T210" s="976"/>
      <c r="U210" s="976"/>
      <c r="V210" s="976"/>
      <c r="W210" s="976"/>
      <c r="X210" s="979">
        <f>10*V25</f>
        <v>76800</v>
      </c>
      <c r="Y210" s="935" t="s">
        <v>668</v>
      </c>
      <c r="Z210" s="364"/>
      <c r="AA210"/>
      <c r="AB210"/>
      <c r="AC210"/>
      <c r="AD210"/>
      <c r="AE210"/>
    </row>
    <row r="211" spans="17:31" ht="12.75" customHeight="1">
      <c r="Q211" s="668"/>
      <c r="R211" s="977"/>
      <c r="S211" s="978"/>
      <c r="T211" s="978"/>
      <c r="U211" s="978"/>
      <c r="V211" s="978"/>
      <c r="W211" s="978"/>
      <c r="X211" s="979"/>
      <c r="Y211" s="935"/>
      <c r="Z211" s="364"/>
      <c r="AA211"/>
      <c r="AB211"/>
      <c r="AC211"/>
      <c r="AD211"/>
      <c r="AE211"/>
    </row>
    <row r="212" spans="17:31" ht="12.75" customHeight="1">
      <c r="Q212" s="668"/>
      <c r="R212" s="578"/>
      <c r="S212" s="578"/>
      <c r="T212" s="578"/>
      <c r="U212" s="578"/>
      <c r="V212" s="578"/>
      <c r="W212" s="578"/>
      <c r="X212" s="578"/>
      <c r="Y212" s="579"/>
      <c r="Z212" s="551"/>
      <c r="AA212"/>
      <c r="AB212"/>
      <c r="AC212"/>
      <c r="AD212"/>
      <c r="AE212"/>
    </row>
    <row r="213" spans="17:31" ht="12.75" customHeight="1">
      <c r="Q213" s="668"/>
      <c r="R213" s="937" t="s">
        <v>678</v>
      </c>
      <c r="S213" s="937"/>
      <c r="T213" s="937"/>
      <c r="U213" s="937"/>
      <c r="V213" s="949" t="s">
        <v>500</v>
      </c>
      <c r="W213" s="938" t="s">
        <v>22</v>
      </c>
      <c r="X213" s="940" t="s">
        <v>579</v>
      </c>
      <c r="Y213" s="942" t="s">
        <v>21</v>
      </c>
      <c r="Z213" s="361"/>
      <c r="AA213"/>
      <c r="AB213"/>
      <c r="AC213"/>
      <c r="AD213"/>
      <c r="AE213"/>
    </row>
    <row r="214" spans="17:31" ht="12.75" customHeight="1">
      <c r="Q214" s="668"/>
      <c r="R214" s="937"/>
      <c r="S214" s="937"/>
      <c r="T214" s="937"/>
      <c r="U214" s="937"/>
      <c r="V214" s="950"/>
      <c r="W214" s="939"/>
      <c r="X214" s="941"/>
      <c r="Y214" s="943"/>
      <c r="Z214" s="361"/>
      <c r="AA214"/>
      <c r="AB214"/>
      <c r="AC214"/>
      <c r="AD214"/>
      <c r="AE214"/>
    </row>
    <row r="215" spans="17:31" ht="12.75" customHeight="1">
      <c r="Q215" s="668"/>
      <c r="R215" s="968" t="s">
        <v>533</v>
      </c>
      <c r="S215" s="968"/>
      <c r="T215" s="968"/>
      <c r="U215" s="968"/>
      <c r="V215" s="580">
        <v>0.107</v>
      </c>
      <c r="W215" s="581">
        <f>VLOOKUP($V$5,'Lookup Energy kWhm'!$B$8:$E$208,3)</f>
        <v>0.13</v>
      </c>
      <c r="X215" s="581">
        <f>VLOOKUP($V$5,'Lookup Energy kWhm'!$B$8:$E$208,4)</f>
        <v>0.14799999999999999</v>
      </c>
      <c r="Y215" s="581">
        <f>VLOOKUP($V$5,'Lookup Energy kWhm'!$B$8:$E$208,2)</f>
        <v>0.1</v>
      </c>
      <c r="Z215" s="361"/>
      <c r="AA215"/>
      <c r="AB215"/>
      <c r="AC215"/>
      <c r="AD215"/>
      <c r="AE215"/>
    </row>
    <row r="216" spans="17:31" ht="12.75" customHeight="1">
      <c r="Q216" s="668"/>
      <c r="R216" s="969" t="s">
        <v>31</v>
      </c>
      <c r="S216" s="969"/>
      <c r="T216" s="969"/>
      <c r="U216" s="969"/>
      <c r="V216" s="556">
        <f t="shared" ref="V216:W219" si="2">X216</f>
        <v>1.2</v>
      </c>
      <c r="W216" s="556">
        <f t="shared" si="2"/>
        <v>1.2</v>
      </c>
      <c r="X216" s="556">
        <f>W216</f>
        <v>1.2</v>
      </c>
      <c r="Y216" s="556">
        <f>V20</f>
        <v>1.2</v>
      </c>
      <c r="Z216" s="361"/>
      <c r="AA216"/>
      <c r="AB216"/>
      <c r="AC216"/>
      <c r="AD216"/>
      <c r="AE216"/>
    </row>
    <row r="217" spans="17:31" ht="12.75" customHeight="1">
      <c r="Q217" s="668"/>
      <c r="R217" s="969" t="s">
        <v>314</v>
      </c>
      <c r="S217" s="969"/>
      <c r="T217" s="969"/>
      <c r="U217" s="969"/>
      <c r="V217" s="556">
        <f t="shared" si="2"/>
        <v>160</v>
      </c>
      <c r="W217" s="556">
        <f t="shared" si="2"/>
        <v>160</v>
      </c>
      <c r="X217" s="556">
        <f>W217</f>
        <v>160</v>
      </c>
      <c r="Y217" s="556">
        <f>V19</f>
        <v>160</v>
      </c>
      <c r="Z217" s="361"/>
      <c r="AA217"/>
      <c r="AB217"/>
      <c r="AC217"/>
      <c r="AD217"/>
      <c r="AE217"/>
    </row>
    <row r="218" spans="17:31" ht="12.75" customHeight="1">
      <c r="Q218" s="668"/>
      <c r="R218" s="969" t="s">
        <v>20</v>
      </c>
      <c r="S218" s="969"/>
      <c r="T218" s="969"/>
      <c r="U218" s="969"/>
      <c r="V218" s="556">
        <f t="shared" si="2"/>
        <v>40</v>
      </c>
      <c r="W218" s="556">
        <f t="shared" si="2"/>
        <v>40</v>
      </c>
      <c r="X218" s="556">
        <f>W218</f>
        <v>40</v>
      </c>
      <c r="Y218" s="556">
        <f>V22</f>
        <v>40</v>
      </c>
      <c r="Z218" s="361"/>
      <c r="AA218"/>
      <c r="AB218"/>
      <c r="AC218"/>
      <c r="AD218"/>
      <c r="AE218"/>
    </row>
    <row r="219" spans="17:31" ht="12.75" customHeight="1">
      <c r="Q219" s="668"/>
      <c r="R219" s="969" t="s">
        <v>310</v>
      </c>
      <c r="S219" s="969"/>
      <c r="T219" s="969"/>
      <c r="U219" s="969"/>
      <c r="V219" s="556">
        <f t="shared" si="2"/>
        <v>160</v>
      </c>
      <c r="W219" s="556">
        <f t="shared" si="2"/>
        <v>160</v>
      </c>
      <c r="X219" s="556">
        <f>W219</f>
        <v>160</v>
      </c>
      <c r="Y219" s="556">
        <f>V23</f>
        <v>160</v>
      </c>
      <c r="Z219" s="361"/>
      <c r="AA219"/>
      <c r="AB219"/>
      <c r="AC219"/>
      <c r="AD219"/>
      <c r="AE219"/>
    </row>
    <row r="220" spans="17:31" ht="12.75" customHeight="1">
      <c r="Q220" s="668"/>
      <c r="R220" s="968" t="s">
        <v>543</v>
      </c>
      <c r="S220" s="968"/>
      <c r="T220" s="968"/>
      <c r="U220" s="968"/>
      <c r="V220" s="582">
        <f>V215*V216*V217*V218</f>
        <v>821.75999999999988</v>
      </c>
      <c r="W220" s="582">
        <f>W215*W216*W217*W218</f>
        <v>998.40000000000009</v>
      </c>
      <c r="X220" s="582">
        <f>X215*X216*X217*X218</f>
        <v>1136.6399999999999</v>
      </c>
      <c r="Y220" s="582">
        <f>Y215*Y216*Y217*Y218</f>
        <v>768</v>
      </c>
      <c r="Z220" s="361"/>
      <c r="AA220"/>
      <c r="AB220"/>
      <c r="AC220"/>
      <c r="AD220"/>
      <c r="AE220"/>
    </row>
    <row r="221" spans="17:31" ht="12.75" customHeight="1">
      <c r="Q221" s="668"/>
      <c r="R221" s="968" t="s">
        <v>542</v>
      </c>
      <c r="S221" s="968"/>
      <c r="T221" s="968"/>
      <c r="U221" s="968"/>
      <c r="V221" s="583">
        <f>V220/V219</f>
        <v>5.1359999999999992</v>
      </c>
      <c r="W221" s="583">
        <f>W220/W219</f>
        <v>6.24</v>
      </c>
      <c r="X221" s="583">
        <f>X220/X219</f>
        <v>7.1039999999999992</v>
      </c>
      <c r="Y221" s="583">
        <f>Y220/Y219</f>
        <v>4.8</v>
      </c>
      <c r="Z221" s="361"/>
      <c r="AA221"/>
      <c r="AB221"/>
      <c r="AC221"/>
      <c r="AD221"/>
      <c r="AE221"/>
    </row>
    <row r="222" spans="17:31" ht="12.75" customHeight="1">
      <c r="Q222" s="668"/>
      <c r="R222" s="968" t="s">
        <v>538</v>
      </c>
      <c r="S222" s="968"/>
      <c r="T222" s="968"/>
      <c r="U222" s="968"/>
      <c r="V222" s="537">
        <f>U62</f>
        <v>2.6666666666666665</v>
      </c>
      <c r="W222" s="537">
        <f>V62</f>
        <v>1.9999999999999996</v>
      </c>
      <c r="X222" s="537">
        <f>W62</f>
        <v>1.7391304347826084</v>
      </c>
      <c r="Y222" s="537">
        <f>X62</f>
        <v>1.4285714285714284</v>
      </c>
      <c r="Z222" s="361"/>
      <c r="AA222"/>
      <c r="AB222"/>
      <c r="AC222"/>
      <c r="AD222"/>
      <c r="AE222"/>
    </row>
    <row r="223" spans="17:31" ht="12.75" customHeight="1">
      <c r="Q223" s="668"/>
      <c r="R223" s="968" t="s">
        <v>546</v>
      </c>
      <c r="S223" s="968"/>
      <c r="T223" s="968"/>
      <c r="U223" s="968"/>
      <c r="V223" s="584">
        <f>2.2*V222</f>
        <v>5.8666666666666671</v>
      </c>
      <c r="W223" s="584">
        <f>W222/W215</f>
        <v>15.384615384615381</v>
      </c>
      <c r="X223" s="584">
        <f>X222/X215</f>
        <v>11.750881316098706</v>
      </c>
      <c r="Y223" s="584">
        <f>Y222/Y215</f>
        <v>14.285714285714283</v>
      </c>
      <c r="Z223" s="361"/>
      <c r="AA223"/>
      <c r="AB223"/>
      <c r="AC223"/>
      <c r="AD223"/>
      <c r="AE223"/>
    </row>
    <row r="224" spans="17:31" ht="12.75" customHeight="1">
      <c r="Q224" s="668"/>
      <c r="R224" s="968" t="s">
        <v>544</v>
      </c>
      <c r="S224" s="968"/>
      <c r="T224" s="968"/>
      <c r="U224" s="968"/>
      <c r="V224" s="582">
        <f>V219*V223</f>
        <v>938.66666666666674</v>
      </c>
      <c r="W224" s="582">
        <f>W219*W223</f>
        <v>2461.538461538461</v>
      </c>
      <c r="X224" s="582">
        <f>X219*X223</f>
        <v>1880.141010575793</v>
      </c>
      <c r="Y224" s="674">
        <f>Y219*Y223</f>
        <v>2285.7142857142853</v>
      </c>
      <c r="Z224" s="361"/>
      <c r="AA224"/>
      <c r="AB224"/>
      <c r="AC224"/>
      <c r="AD224"/>
      <c r="AE224"/>
    </row>
    <row r="225" spans="17:31" ht="12.75" customHeight="1">
      <c r="Q225" s="668"/>
      <c r="R225" s="969" t="s">
        <v>535</v>
      </c>
      <c r="S225" s="969"/>
      <c r="T225" s="969"/>
      <c r="U225" s="969"/>
      <c r="V225" s="556">
        <f>V217/V222</f>
        <v>60</v>
      </c>
      <c r="W225" s="556">
        <f>W217/W222</f>
        <v>80.000000000000014</v>
      </c>
      <c r="X225" s="556">
        <f>X217/X222</f>
        <v>92.000000000000014</v>
      </c>
      <c r="Y225" s="556">
        <f>Y217/Y222</f>
        <v>112.00000000000001</v>
      </c>
      <c r="Z225" s="361"/>
      <c r="AA225"/>
      <c r="AB225"/>
      <c r="AC225"/>
      <c r="AD225"/>
      <c r="AE225"/>
    </row>
    <row r="226" spans="17:31" ht="12.75" customHeight="1">
      <c r="Q226" s="668"/>
      <c r="R226" s="969" t="s">
        <v>536</v>
      </c>
      <c r="S226" s="969"/>
      <c r="T226" s="969"/>
      <c r="U226" s="969"/>
      <c r="V226" s="675">
        <f>V216*V225</f>
        <v>72</v>
      </c>
      <c r="W226" s="675">
        <f>W216*W225</f>
        <v>96.000000000000014</v>
      </c>
      <c r="X226" s="675">
        <f>X216*X225</f>
        <v>110.40000000000002</v>
      </c>
      <c r="Y226" s="675">
        <f>Y216*Y225</f>
        <v>134.4</v>
      </c>
      <c r="Z226" s="361"/>
      <c r="AA226"/>
      <c r="AB226"/>
      <c r="AC226"/>
      <c r="AD226"/>
      <c r="AE226"/>
    </row>
    <row r="227" spans="17:31" ht="12.75" customHeight="1">
      <c r="Q227" s="668"/>
      <c r="R227" s="968" t="s">
        <v>534</v>
      </c>
      <c r="S227" s="968"/>
      <c r="T227" s="968"/>
      <c r="U227" s="968"/>
      <c r="V227" s="583">
        <f>U56</f>
        <v>4</v>
      </c>
      <c r="W227" s="583">
        <f>V56</f>
        <v>2.9999999999999996</v>
      </c>
      <c r="X227" s="583">
        <f>W56</f>
        <v>2.6086956521739126</v>
      </c>
      <c r="Y227" s="583">
        <f>X56</f>
        <v>2.1428571428571428</v>
      </c>
      <c r="Z227" s="361"/>
      <c r="AA227"/>
      <c r="AB227"/>
      <c r="AC227"/>
      <c r="AD227"/>
      <c r="AE227"/>
    </row>
    <row r="228" spans="17:31" ht="12.75" customHeight="1">
      <c r="Q228" s="668"/>
      <c r="R228" s="968" t="s">
        <v>537</v>
      </c>
      <c r="S228" s="968"/>
      <c r="T228" s="968"/>
      <c r="U228" s="968"/>
      <c r="V228" s="584">
        <f>V225*V227</f>
        <v>240</v>
      </c>
      <c r="W228" s="584">
        <f>W225*W227</f>
        <v>240</v>
      </c>
      <c r="X228" s="584">
        <f>X225*X227</f>
        <v>240</v>
      </c>
      <c r="Y228" s="584">
        <f>Y225*Y227</f>
        <v>240.00000000000003</v>
      </c>
      <c r="Z228" s="361"/>
      <c r="AA228"/>
      <c r="AB228"/>
      <c r="AC228"/>
      <c r="AD228"/>
      <c r="AE228"/>
    </row>
    <row r="229" spans="17:31" ht="12.75" customHeight="1">
      <c r="Q229" s="668"/>
      <c r="R229" s="968" t="s">
        <v>545</v>
      </c>
      <c r="S229" s="968"/>
      <c r="T229" s="968"/>
      <c r="U229" s="968"/>
      <c r="V229" s="585">
        <f>V221/V223</f>
        <v>0.87545454545454526</v>
      </c>
      <c r="W229" s="585">
        <f>W221/W223</f>
        <v>0.40560000000000007</v>
      </c>
      <c r="X229" s="585">
        <f>X221/X223</f>
        <v>0.60455040000000004</v>
      </c>
      <c r="Y229" s="585">
        <f>Y221/Y223</f>
        <v>0.33600000000000008</v>
      </c>
      <c r="Z229" s="361"/>
      <c r="AA229"/>
      <c r="AB229"/>
      <c r="AC229"/>
      <c r="AD229"/>
      <c r="AE229"/>
    </row>
    <row r="230" spans="17:31" ht="12.75" customHeight="1">
      <c r="Q230" s="668"/>
      <c r="R230" s="540" t="s">
        <v>547</v>
      </c>
      <c r="S230" s="540"/>
      <c r="T230" s="540"/>
      <c r="U230" s="540"/>
      <c r="V230" s="585"/>
      <c r="W230" s="586">
        <f>10*W217*W216*W218</f>
        <v>76800</v>
      </c>
      <c r="X230" s="586">
        <f>10*X217*X216*X218</f>
        <v>76800</v>
      </c>
      <c r="Y230" s="586">
        <f>10*Y217*Y216*Y218</f>
        <v>76800</v>
      </c>
      <c r="Z230" s="361"/>
      <c r="AA230"/>
      <c r="AB230"/>
      <c r="AC230"/>
      <c r="AD230"/>
      <c r="AE230"/>
    </row>
    <row r="231" spans="17:31" ht="12.75" customHeight="1">
      <c r="Q231" s="668"/>
      <c r="R231" s="968" t="s">
        <v>548</v>
      </c>
      <c r="S231" s="968"/>
      <c r="T231" s="968"/>
      <c r="U231" s="968"/>
      <c r="V231" s="585">
        <f>V229</f>
        <v>0.87545454545454526</v>
      </c>
      <c r="W231" s="585">
        <f>W220/W230</f>
        <v>1.3000000000000001E-2</v>
      </c>
      <c r="X231" s="585">
        <f>X220/X230</f>
        <v>1.4799999999999999E-2</v>
      </c>
      <c r="Y231" s="585">
        <f>Y220/Y230</f>
        <v>0.01</v>
      </c>
      <c r="Z231" s="361"/>
      <c r="AA231"/>
      <c r="AB231"/>
      <c r="AC231"/>
      <c r="AD231"/>
      <c r="AE231"/>
    </row>
    <row r="232" spans="17:31" ht="12.75" customHeight="1">
      <c r="Q232" s="668"/>
      <c r="R232" s="587"/>
      <c r="S232" s="587"/>
      <c r="T232" s="587"/>
      <c r="U232" s="587"/>
      <c r="V232" s="588"/>
      <c r="W232" s="588"/>
      <c r="X232" s="588"/>
      <c r="Y232" s="588"/>
      <c r="Z232" s="589"/>
      <c r="AA232"/>
      <c r="AB232"/>
      <c r="AC232"/>
      <c r="AD232"/>
      <c r="AE232"/>
    </row>
    <row r="233" spans="17:31" ht="12.75" customHeight="1">
      <c r="Q233" s="668"/>
      <c r="R233" s="587"/>
      <c r="S233" s="587"/>
      <c r="T233" s="587"/>
      <c r="U233" s="587"/>
      <c r="V233" s="676"/>
      <c r="W233" s="676"/>
      <c r="X233" s="676"/>
      <c r="Y233" s="588"/>
      <c r="Z233" s="364"/>
      <c r="AA233"/>
      <c r="AB233"/>
      <c r="AC233"/>
      <c r="AD233"/>
      <c r="AE233"/>
    </row>
    <row r="234" spans="17:31" ht="12.75" customHeight="1">
      <c r="Q234" s="668" t="s">
        <v>240</v>
      </c>
      <c r="R234" s="364" t="s">
        <v>241</v>
      </c>
      <c r="S234" s="364"/>
      <c r="T234" s="364"/>
      <c r="U234" s="364"/>
      <c r="V234" s="364"/>
      <c r="W234" s="364"/>
      <c r="X234" s="364"/>
      <c r="Y234" s="364"/>
      <c r="Z234" s="364"/>
      <c r="AA234"/>
      <c r="AB234"/>
      <c r="AC234"/>
      <c r="AD234"/>
      <c r="AE234"/>
    </row>
    <row r="235" spans="17:31" ht="12.75" customHeight="1">
      <c r="Q235" s="364"/>
      <c r="R235" s="962" t="s">
        <v>301</v>
      </c>
      <c r="S235" s="963"/>
      <c r="T235" s="964"/>
      <c r="U235" s="949" t="s">
        <v>500</v>
      </c>
      <c r="V235" s="938" t="s">
        <v>22</v>
      </c>
      <c r="W235" s="940" t="s">
        <v>579</v>
      </c>
      <c r="X235" s="942" t="s">
        <v>21</v>
      </c>
      <c r="Y235" s="361"/>
      <c r="Z235" s="364"/>
      <c r="AA235"/>
      <c r="AB235"/>
      <c r="AC235"/>
      <c r="AD235"/>
      <c r="AE235"/>
    </row>
    <row r="236" spans="17:31" ht="12.75" customHeight="1">
      <c r="Q236" s="364"/>
      <c r="R236" s="965"/>
      <c r="S236" s="966"/>
      <c r="T236" s="967"/>
      <c r="U236" s="950"/>
      <c r="V236" s="939"/>
      <c r="W236" s="941"/>
      <c r="X236" s="943"/>
      <c r="Y236" s="361"/>
      <c r="Z236" s="364"/>
      <c r="AA236"/>
      <c r="AB236"/>
      <c r="AC236"/>
      <c r="AD236"/>
      <c r="AE236"/>
    </row>
    <row r="237" spans="17:31" ht="12.75" customHeight="1">
      <c r="Q237" s="364"/>
      <c r="R237" s="931" t="s">
        <v>662</v>
      </c>
      <c r="S237" s="931"/>
      <c r="T237" s="931"/>
      <c r="U237" s="901" t="s">
        <v>427</v>
      </c>
      <c r="V237" s="562">
        <f>VLOOKUP($V$5,'Lookup Air Consumption'!$B$8:$E$208,3)</f>
        <v>38</v>
      </c>
      <c r="W237" s="562">
        <f>VLOOKUP($V$5,'Lookup Air Consumption'!$B$8:$E$208,4)</f>
        <v>50</v>
      </c>
      <c r="X237" s="562">
        <f>VLOOKUP($V$5,'Lookup Air Consumption'!$B$8:$E$208,2)</f>
        <v>41</v>
      </c>
      <c r="Y237" s="361"/>
      <c r="Z237" s="364"/>
      <c r="AA237"/>
      <c r="AB237"/>
      <c r="AC237"/>
      <c r="AD237"/>
      <c r="AE237"/>
    </row>
    <row r="238" spans="17:31" ht="12.75" customHeight="1">
      <c r="Q238" s="364"/>
      <c r="R238" s="931" t="s">
        <v>663</v>
      </c>
      <c r="S238" s="931"/>
      <c r="T238" s="931"/>
      <c r="U238" s="901"/>
      <c r="V238" s="590">
        <f>V237/1000</f>
        <v>3.7999999999999999E-2</v>
      </c>
      <c r="W238" s="590">
        <f>W237/1000</f>
        <v>0.05</v>
      </c>
      <c r="X238" s="590">
        <f>X237/1000</f>
        <v>4.1000000000000002E-2</v>
      </c>
      <c r="Y238" s="361"/>
      <c r="Z238" s="364"/>
      <c r="AA238"/>
      <c r="AB238"/>
      <c r="AC238"/>
      <c r="AD238"/>
      <c r="AE238"/>
    </row>
    <row r="239" spans="17:31" ht="12.75" customHeight="1">
      <c r="Q239" s="364"/>
      <c r="R239" s="931" t="s">
        <v>664</v>
      </c>
      <c r="S239" s="931"/>
      <c r="T239" s="931"/>
      <c r="U239" s="901"/>
      <c r="V239" s="560">
        <f>V238*35.31467</f>
        <v>1.3419574599999999</v>
      </c>
      <c r="W239" s="560">
        <f>W238*35.31467</f>
        <v>1.7657335000000001</v>
      </c>
      <c r="X239" s="560">
        <f>X238*35.31467</f>
        <v>1.4479014700000001</v>
      </c>
      <c r="Y239" s="361"/>
      <c r="Z239" s="364"/>
      <c r="AA239"/>
      <c r="AB239"/>
      <c r="AC239"/>
      <c r="AD239"/>
      <c r="AE239"/>
    </row>
    <row r="240" spans="17:31" ht="12.75" customHeight="1">
      <c r="Q240" s="360"/>
      <c r="R240" s="551"/>
      <c r="S240" s="551"/>
      <c r="T240" s="551"/>
      <c r="U240" s="591"/>
      <c r="V240" s="551"/>
      <c r="W240" s="551"/>
      <c r="X240" s="551"/>
      <c r="Y240" s="361"/>
      <c r="Z240" s="364"/>
      <c r="AA240"/>
      <c r="AB240"/>
      <c r="AC240"/>
      <c r="AD240"/>
      <c r="AE240"/>
    </row>
    <row r="241" spans="17:31" ht="12.75" customHeight="1">
      <c r="Q241" s="360"/>
      <c r="R241" s="962" t="s">
        <v>302</v>
      </c>
      <c r="S241" s="963"/>
      <c r="T241" s="964"/>
      <c r="U241" s="949" t="s">
        <v>500</v>
      </c>
      <c r="V241" s="938" t="s">
        <v>22</v>
      </c>
      <c r="W241" s="940" t="s">
        <v>579</v>
      </c>
      <c r="X241" s="942" t="s">
        <v>21</v>
      </c>
      <c r="Y241" s="361"/>
      <c r="Z241" s="364"/>
      <c r="AA241"/>
      <c r="AB241"/>
      <c r="AC241"/>
      <c r="AD241"/>
      <c r="AE241"/>
    </row>
    <row r="242" spans="17:31" ht="12.75" customHeight="1">
      <c r="Q242" s="360"/>
      <c r="R242" s="965"/>
      <c r="S242" s="966"/>
      <c r="T242" s="967"/>
      <c r="U242" s="950"/>
      <c r="V242" s="939"/>
      <c r="W242" s="941"/>
      <c r="X242" s="943"/>
      <c r="Y242" s="361"/>
      <c r="Z242" s="364"/>
      <c r="AA242"/>
      <c r="AB242"/>
      <c r="AC242"/>
      <c r="AD242"/>
      <c r="AE242"/>
    </row>
    <row r="243" spans="17:31" ht="12.75" customHeight="1">
      <c r="Q243" s="360"/>
      <c r="R243" s="931" t="s">
        <v>662</v>
      </c>
      <c r="S243" s="931"/>
      <c r="T243" s="931"/>
      <c r="U243" s="901" t="s">
        <v>427</v>
      </c>
      <c r="V243" s="549">
        <f t="shared" ref="V243:W245" si="3">V237*$V$23</f>
        <v>6080</v>
      </c>
      <c r="W243" s="549">
        <f t="shared" si="3"/>
        <v>8000</v>
      </c>
      <c r="X243" s="549">
        <f>X237*$V$23</f>
        <v>6560</v>
      </c>
      <c r="Y243" s="361"/>
      <c r="Z243" s="364"/>
      <c r="AA243"/>
      <c r="AB243"/>
      <c r="AC243"/>
      <c r="AD243"/>
      <c r="AE243"/>
    </row>
    <row r="244" spans="17:31" ht="12.75" customHeight="1">
      <c r="Q244" s="360"/>
      <c r="R244" s="931" t="s">
        <v>663</v>
      </c>
      <c r="S244" s="931"/>
      <c r="T244" s="931"/>
      <c r="U244" s="901"/>
      <c r="V244" s="560">
        <f t="shared" si="3"/>
        <v>6.08</v>
      </c>
      <c r="W244" s="560">
        <f t="shared" si="3"/>
        <v>8</v>
      </c>
      <c r="X244" s="560">
        <f>X238*$V$23</f>
        <v>6.5600000000000005</v>
      </c>
      <c r="Y244" s="361"/>
      <c r="Z244" s="364"/>
      <c r="AA244"/>
      <c r="AB244"/>
      <c r="AC244"/>
      <c r="AD244"/>
      <c r="AE244"/>
    </row>
    <row r="245" spans="17:31" ht="12.75" customHeight="1">
      <c r="Q245" s="360"/>
      <c r="R245" s="931" t="s">
        <v>664</v>
      </c>
      <c r="S245" s="931"/>
      <c r="T245" s="931"/>
      <c r="U245" s="901"/>
      <c r="V245" s="560">
        <f t="shared" si="3"/>
        <v>214.71319359999998</v>
      </c>
      <c r="W245" s="560">
        <f t="shared" si="3"/>
        <v>282.51736</v>
      </c>
      <c r="X245" s="560">
        <f>X239*$V$23</f>
        <v>231.66423520000001</v>
      </c>
      <c r="Y245" s="361"/>
      <c r="Z245" s="364"/>
      <c r="AA245"/>
      <c r="AB245"/>
      <c r="AC245"/>
      <c r="AD245"/>
      <c r="AE245"/>
    </row>
    <row r="246" spans="17:31" ht="12.75" customHeight="1">
      <c r="Q246" s="360"/>
      <c r="R246" s="364"/>
      <c r="S246" s="364"/>
      <c r="T246" s="364"/>
      <c r="U246" s="364"/>
      <c r="V246" s="555"/>
      <c r="W246" s="555"/>
      <c r="X246" s="555"/>
      <c r="Y246" s="361"/>
      <c r="Z246" s="364"/>
      <c r="AA246"/>
      <c r="AB246"/>
      <c r="AC246"/>
      <c r="AD246"/>
      <c r="AE246"/>
    </row>
    <row r="247" spans="17:31" ht="12.75" customHeight="1">
      <c r="Q247" s="360"/>
      <c r="R247" s="962" t="s">
        <v>303</v>
      </c>
      <c r="S247" s="963"/>
      <c r="T247" s="964"/>
      <c r="U247" s="949" t="s">
        <v>500</v>
      </c>
      <c r="V247" s="938" t="s">
        <v>22</v>
      </c>
      <c r="W247" s="940" t="s">
        <v>579</v>
      </c>
      <c r="X247" s="942" t="s">
        <v>21</v>
      </c>
      <c r="Y247" s="361"/>
      <c r="Z247" s="364"/>
      <c r="AA247"/>
      <c r="AB247"/>
      <c r="AC247"/>
      <c r="AD247"/>
      <c r="AE247"/>
    </row>
    <row r="248" spans="17:31" ht="12.75" customHeight="1">
      <c r="Q248" s="360"/>
      <c r="R248" s="965"/>
      <c r="S248" s="966"/>
      <c r="T248" s="967"/>
      <c r="U248" s="950"/>
      <c r="V248" s="939"/>
      <c r="W248" s="941"/>
      <c r="X248" s="943"/>
      <c r="Y248" s="361"/>
      <c r="Z248" s="364"/>
      <c r="AA248"/>
      <c r="AB248"/>
      <c r="AC248"/>
      <c r="AD248"/>
      <c r="AE248"/>
    </row>
    <row r="249" spans="17:31" ht="12.75" customHeight="1">
      <c r="Q249" s="563"/>
      <c r="R249" s="951" t="s">
        <v>517</v>
      </c>
      <c r="S249" s="951"/>
      <c r="T249" s="951"/>
      <c r="U249" s="901" t="s">
        <v>427</v>
      </c>
      <c r="V249" s="549">
        <f t="shared" ref="V249:X251" si="4">($V$25/$X$51)*60*V237</f>
        <v>31268571.428571429</v>
      </c>
      <c r="W249" s="549">
        <f t="shared" si="4"/>
        <v>41142857.142857142</v>
      </c>
      <c r="X249" s="549">
        <f t="shared" si="4"/>
        <v>33737142.857142858</v>
      </c>
      <c r="Y249" s="361"/>
      <c r="Z249" s="364"/>
      <c r="AA249"/>
      <c r="AB249"/>
      <c r="AC249"/>
      <c r="AD249"/>
      <c r="AE249"/>
    </row>
    <row r="250" spans="17:31" ht="12.75" customHeight="1">
      <c r="Q250" s="364"/>
      <c r="R250" s="951" t="s">
        <v>666</v>
      </c>
      <c r="S250" s="951"/>
      <c r="T250" s="951"/>
      <c r="U250" s="901"/>
      <c r="V250" s="549">
        <f t="shared" si="4"/>
        <v>31268.571428571428</v>
      </c>
      <c r="W250" s="549">
        <f t="shared" si="4"/>
        <v>41142.857142857145</v>
      </c>
      <c r="X250" s="549">
        <f t="shared" si="4"/>
        <v>33737.142857142855</v>
      </c>
      <c r="Y250" s="361"/>
      <c r="Z250" s="364"/>
      <c r="AA250"/>
      <c r="AB250"/>
      <c r="AC250"/>
      <c r="AD250"/>
      <c r="AE250"/>
    </row>
    <row r="251" spans="17:31" ht="12.75" customHeight="1">
      <c r="Q251" s="364"/>
      <c r="R251" s="951" t="s">
        <v>583</v>
      </c>
      <c r="S251" s="951"/>
      <c r="T251" s="951"/>
      <c r="U251" s="901"/>
      <c r="V251" s="549">
        <f t="shared" si="4"/>
        <v>1104239.2813714284</v>
      </c>
      <c r="W251" s="549">
        <f t="shared" si="4"/>
        <v>1452946.422857143</v>
      </c>
      <c r="X251" s="549">
        <f t="shared" si="4"/>
        <v>1191416.0667428572</v>
      </c>
      <c r="Y251" s="361"/>
      <c r="Z251" s="364"/>
      <c r="AA251"/>
      <c r="AB251"/>
      <c r="AC251"/>
      <c r="AD251"/>
      <c r="AE251"/>
    </row>
    <row r="252" spans="17:31" ht="12.75" customHeight="1">
      <c r="Q252" s="364"/>
      <c r="R252" s="364"/>
      <c r="S252" s="364"/>
      <c r="T252" s="364"/>
      <c r="U252" s="364"/>
      <c r="V252" s="364"/>
      <c r="W252" s="364"/>
      <c r="X252" s="364"/>
      <c r="Y252" s="361"/>
      <c r="Z252" s="364"/>
      <c r="AA252"/>
      <c r="AB252"/>
      <c r="AC252"/>
      <c r="AD252"/>
      <c r="AE252"/>
    </row>
    <row r="253" spans="17:31" ht="12.75" customHeight="1">
      <c r="Q253" s="668" t="s">
        <v>753</v>
      </c>
      <c r="R253" s="364" t="s">
        <v>300</v>
      </c>
      <c r="S253" s="364"/>
      <c r="T253" s="364"/>
      <c r="U253" s="364"/>
      <c r="V253" s="364"/>
      <c r="W253" s="364"/>
      <c r="X253" s="364"/>
      <c r="Y253" s="361"/>
      <c r="Z253" s="364"/>
      <c r="AA253"/>
      <c r="AB253"/>
      <c r="AC253"/>
      <c r="AD253"/>
      <c r="AE253"/>
    </row>
    <row r="254" spans="17:31" ht="12.75" customHeight="1">
      <c r="Q254" s="364"/>
      <c r="R254" s="957" t="s">
        <v>669</v>
      </c>
      <c r="S254" s="958"/>
      <c r="T254" s="959"/>
      <c r="U254" s="949" t="s">
        <v>500</v>
      </c>
      <c r="V254" s="938" t="s">
        <v>22</v>
      </c>
      <c r="W254" s="940" t="s">
        <v>579</v>
      </c>
      <c r="X254" s="942" t="s">
        <v>21</v>
      </c>
      <c r="Y254" s="361"/>
      <c r="Z254" s="364"/>
      <c r="AA254"/>
      <c r="AB254"/>
      <c r="AC254"/>
      <c r="AD254"/>
      <c r="AE254"/>
    </row>
    <row r="255" spans="17:31" ht="12.75" customHeight="1">
      <c r="Q255" s="364"/>
      <c r="R255" s="960"/>
      <c r="S255" s="961"/>
      <c r="T255" s="899"/>
      <c r="U255" s="950"/>
      <c r="V255" s="939"/>
      <c r="W255" s="941"/>
      <c r="X255" s="943"/>
      <c r="Y255" s="361"/>
      <c r="Z255" s="364"/>
      <c r="AA255"/>
      <c r="AB255"/>
      <c r="AC255"/>
      <c r="AD255"/>
      <c r="AE255"/>
    </row>
    <row r="256" spans="17:31" ht="12.75" customHeight="1">
      <c r="Q256" s="364"/>
      <c r="R256" s="541" t="s">
        <v>80</v>
      </c>
      <c r="S256" s="559"/>
      <c r="T256" s="559"/>
      <c r="U256" s="543">
        <v>6.5</v>
      </c>
      <c r="V256" s="669">
        <f>VLOOKUP($V$5,'Lookup Water Flow'!$B$8:$E$208,3)</f>
        <v>6.9</v>
      </c>
      <c r="W256" s="669">
        <f>VLOOKUP($V$5,'Lookup Water Flow'!$B$8:$E$208,4)</f>
        <v>12.1</v>
      </c>
      <c r="X256" s="669">
        <f>VLOOKUP($V$5,'Lookup Water Flow'!$B$8:$E$208,2)</f>
        <v>12.6</v>
      </c>
      <c r="Y256" s="361"/>
      <c r="Z256" s="364"/>
      <c r="AA256"/>
      <c r="AB256"/>
      <c r="AC256"/>
      <c r="AD256"/>
      <c r="AE256"/>
    </row>
    <row r="257" spans="17:31" ht="12.75" customHeight="1">
      <c r="Q257" s="364"/>
      <c r="R257" s="951" t="s">
        <v>81</v>
      </c>
      <c r="S257" s="951"/>
      <c r="T257" s="951"/>
      <c r="U257" s="677">
        <f>U256*V23</f>
        <v>1040</v>
      </c>
      <c r="V257" s="678">
        <f>V256*$V$23</f>
        <v>1104</v>
      </c>
      <c r="W257" s="678">
        <f>W256*$V$23</f>
        <v>1936</v>
      </c>
      <c r="X257" s="678">
        <f>X256*$V$23</f>
        <v>2016</v>
      </c>
      <c r="Y257" s="361"/>
      <c r="Z257" s="364"/>
      <c r="AA257"/>
      <c r="AB257"/>
      <c r="AC257"/>
      <c r="AD257"/>
      <c r="AE257"/>
    </row>
    <row r="258" spans="17:31" ht="12.75" customHeight="1">
      <c r="Q258" s="364"/>
      <c r="R258" s="592" t="s">
        <v>670</v>
      </c>
      <c r="S258" s="559"/>
      <c r="T258" s="559"/>
      <c r="U258" s="549">
        <f>(U256*U56*V24)+(24*2*V24)</f>
        <v>473600</v>
      </c>
      <c r="V258" s="679">
        <f>V256*$X$56*$V$24</f>
        <v>94628.571428571435</v>
      </c>
      <c r="W258" s="679">
        <f>W256*$X$56*$V$24</f>
        <v>165942.85714285713</v>
      </c>
      <c r="X258" s="679">
        <f>X256*$X$56*$V$24</f>
        <v>172800</v>
      </c>
      <c r="Y258" s="361"/>
      <c r="Z258" s="364"/>
      <c r="AA258"/>
      <c r="AB258"/>
      <c r="AC258"/>
      <c r="AD258"/>
      <c r="AE258"/>
    </row>
    <row r="259" spans="17:31" ht="12.75" customHeight="1">
      <c r="Q259" s="364"/>
      <c r="R259" s="364"/>
      <c r="S259" s="364"/>
      <c r="T259" s="364"/>
      <c r="U259" s="364"/>
      <c r="V259" s="364"/>
      <c r="W259" s="364"/>
      <c r="X259" s="364"/>
      <c r="Y259" s="364"/>
      <c r="Z259" s="364"/>
      <c r="AA259"/>
      <c r="AB259"/>
      <c r="AC259"/>
      <c r="AD259"/>
      <c r="AE259"/>
    </row>
    <row r="260" spans="17:31" ht="12.75" customHeight="1">
      <c r="Q260" s="680" t="s">
        <v>754</v>
      </c>
      <c r="R260" s="952" t="s">
        <v>309</v>
      </c>
      <c r="S260" s="952"/>
      <c r="T260" s="952"/>
      <c r="U260" s="952"/>
      <c r="V260" s="952"/>
      <c r="W260" s="952"/>
      <c r="X260" s="952"/>
      <c r="Y260" s="952"/>
      <c r="Z260" s="360"/>
      <c r="AA260"/>
      <c r="AB260"/>
      <c r="AC260"/>
      <c r="AD260"/>
      <c r="AE260"/>
    </row>
    <row r="261" spans="17:31" ht="12.75" customHeight="1">
      <c r="Q261" s="364"/>
      <c r="R261" s="364"/>
      <c r="S261" s="364"/>
      <c r="T261" s="364"/>
      <c r="U261" s="364"/>
      <c r="V261" s="364"/>
      <c r="W261" s="364"/>
      <c r="X261" s="364"/>
      <c r="Y261" s="364"/>
      <c r="Z261" s="364"/>
      <c r="AA261"/>
      <c r="AB261"/>
      <c r="AC261"/>
      <c r="AD261"/>
      <c r="AE261"/>
    </row>
    <row r="262" spans="17:31" ht="12.75" customHeight="1">
      <c r="Q262" s="668" t="s">
        <v>755</v>
      </c>
      <c r="R262" s="364" t="s">
        <v>239</v>
      </c>
      <c r="S262" s="364"/>
      <c r="T262" s="364"/>
      <c r="U262" s="364"/>
      <c r="V262" s="364"/>
      <c r="W262" s="364"/>
      <c r="X262" s="364"/>
      <c r="Y262" s="364"/>
      <c r="Z262" s="364"/>
      <c r="AA262"/>
      <c r="AB262"/>
      <c r="AC262"/>
      <c r="AD262"/>
      <c r="AE262"/>
    </row>
    <row r="263" spans="17:31" ht="12.75" customHeight="1">
      <c r="Q263" s="364"/>
      <c r="R263" s="364"/>
      <c r="S263" s="364"/>
      <c r="T263" s="364"/>
      <c r="U263" s="364"/>
      <c r="V263" s="364"/>
      <c r="W263" s="364"/>
      <c r="X263" s="364"/>
      <c r="Y263" s="364"/>
      <c r="Z263" s="364"/>
      <c r="AA263"/>
      <c r="AB263"/>
      <c r="AC263"/>
      <c r="AD263"/>
      <c r="AE263"/>
    </row>
    <row r="264" spans="17:31" ht="12.75" customHeight="1">
      <c r="Q264" s="364"/>
      <c r="R264" s="953" t="s">
        <v>676</v>
      </c>
      <c r="S264" s="954"/>
      <c r="T264" s="561" t="s">
        <v>320</v>
      </c>
      <c r="U264" s="935" t="s">
        <v>318</v>
      </c>
      <c r="V264" s="935"/>
      <c r="W264" s="681">
        <f>'Compressor Input Data'!G7</f>
        <v>0.19</v>
      </c>
      <c r="X264" s="594"/>
      <c r="Y264" s="595"/>
      <c r="Z264" s="363"/>
      <c r="AA264"/>
      <c r="AB264"/>
      <c r="AC264"/>
      <c r="AD264"/>
      <c r="AE264"/>
    </row>
    <row r="265" spans="17:31" ht="12.75" customHeight="1">
      <c r="Q265" s="364"/>
      <c r="R265" s="955"/>
      <c r="S265" s="956"/>
      <c r="T265" s="561" t="s">
        <v>321</v>
      </c>
      <c r="U265" s="935" t="s">
        <v>319</v>
      </c>
      <c r="V265" s="935"/>
      <c r="W265" s="681">
        <f>'Compressor Input Data'!G8</f>
        <v>0.33</v>
      </c>
      <c r="X265" s="594"/>
      <c r="Y265" s="595"/>
      <c r="Z265" s="595"/>
      <c r="AA265"/>
      <c r="AB265"/>
      <c r="AC265"/>
      <c r="AD265"/>
      <c r="AE265"/>
    </row>
    <row r="266" spans="17:31" ht="12.75" customHeight="1">
      <c r="Q266" s="364"/>
      <c r="R266" s="363"/>
      <c r="S266" s="363"/>
      <c r="T266" s="577"/>
      <c r="U266" s="577"/>
      <c r="V266" s="596"/>
      <c r="W266" s="363"/>
      <c r="X266" s="363"/>
      <c r="Y266" s="363"/>
      <c r="Z266" s="363"/>
      <c r="AA266"/>
      <c r="AB266"/>
      <c r="AC266"/>
      <c r="AD266"/>
      <c r="AE266"/>
    </row>
    <row r="267" spans="17:31" ht="12.75" customHeight="1">
      <c r="Q267" s="364"/>
      <c r="R267" s="935" t="s">
        <v>675</v>
      </c>
      <c r="S267" s="935"/>
      <c r="T267" s="935"/>
      <c r="U267" s="949" t="s">
        <v>500</v>
      </c>
      <c r="V267" s="938" t="s">
        <v>22</v>
      </c>
      <c r="W267" s="940" t="s">
        <v>579</v>
      </c>
      <c r="X267" s="942" t="s">
        <v>21</v>
      </c>
      <c r="Y267" s="361"/>
      <c r="Z267" s="364"/>
      <c r="AA267"/>
      <c r="AB267"/>
      <c r="AC267"/>
      <c r="AD267"/>
      <c r="AE267"/>
    </row>
    <row r="268" spans="17:31" ht="12.75" customHeight="1">
      <c r="Q268" s="364"/>
      <c r="R268" s="944" t="s">
        <v>320</v>
      </c>
      <c r="S268" s="947"/>
      <c r="T268" s="948"/>
      <c r="U268" s="950"/>
      <c r="V268" s="939"/>
      <c r="W268" s="941"/>
      <c r="X268" s="943"/>
      <c r="Y268" s="361"/>
      <c r="Z268" s="364"/>
      <c r="AA268"/>
      <c r="AB268"/>
      <c r="AC268"/>
      <c r="AD268"/>
      <c r="AE268"/>
    </row>
    <row r="269" spans="17:31" ht="12.75" customHeight="1">
      <c r="Q269" s="364"/>
      <c r="R269" s="945"/>
      <c r="S269" s="935" t="s">
        <v>306</v>
      </c>
      <c r="T269" s="935"/>
      <c r="U269" s="599">
        <f>U164*$W$264</f>
        <v>178.34666666666669</v>
      </c>
      <c r="V269" s="599">
        <f>V164*$W$264</f>
        <v>14439.999999999998</v>
      </c>
      <c r="W269" s="599">
        <f>W164*$W$264</f>
        <v>12556.521739130432</v>
      </c>
      <c r="X269" s="599">
        <f>X164*$W$264</f>
        <v>10314.285714285712</v>
      </c>
      <c r="Y269" s="361"/>
      <c r="Z269" s="364"/>
      <c r="AA269"/>
      <c r="AB269"/>
      <c r="AC269"/>
      <c r="AD269"/>
      <c r="AE269"/>
    </row>
    <row r="270" spans="17:31" ht="12.75" customHeight="1">
      <c r="Q270" s="364"/>
      <c r="R270" s="945"/>
      <c r="S270" s="935" t="s">
        <v>307</v>
      </c>
      <c r="T270" s="935"/>
      <c r="U270" s="599">
        <f>U269*$V$11</f>
        <v>4101.9733333333343</v>
      </c>
      <c r="V270" s="599">
        <f>V269*$V$11</f>
        <v>332119.99999999994</v>
      </c>
      <c r="W270" s="599">
        <f>W269*$V$11</f>
        <v>288799.99999999994</v>
      </c>
      <c r="X270" s="599">
        <f>X269*$V$11</f>
        <v>237228.57142857136</v>
      </c>
      <c r="Y270" s="361"/>
      <c r="Z270" s="364"/>
      <c r="AA270"/>
      <c r="AB270"/>
      <c r="AC270"/>
      <c r="AD270"/>
      <c r="AE270"/>
    </row>
    <row r="271" spans="17:31" ht="12.75" customHeight="1">
      <c r="Q271" s="364"/>
      <c r="R271" s="946"/>
      <c r="S271" s="935" t="s">
        <v>308</v>
      </c>
      <c r="T271" s="935"/>
      <c r="U271" s="599">
        <f>U270*9</f>
        <v>36917.760000000009</v>
      </c>
      <c r="V271" s="599">
        <f>V270*9</f>
        <v>2989079.9999999995</v>
      </c>
      <c r="W271" s="599">
        <f>W270*9</f>
        <v>2599199.9999999995</v>
      </c>
      <c r="X271" s="599">
        <f>X270*9</f>
        <v>2135057.1428571423</v>
      </c>
      <c r="Y271" s="361"/>
      <c r="Z271" s="364"/>
      <c r="AA271"/>
      <c r="AB271"/>
      <c r="AC271"/>
      <c r="AD271"/>
      <c r="AE271"/>
    </row>
    <row r="272" spans="17:31" ht="12.75" customHeight="1">
      <c r="Q272" s="597"/>
      <c r="R272" s="937"/>
      <c r="S272" s="937"/>
      <c r="T272" s="937"/>
      <c r="U272" s="937"/>
      <c r="V272" s="937"/>
      <c r="W272" s="937"/>
      <c r="X272" s="937"/>
      <c r="Y272" s="364"/>
      <c r="Z272" s="364"/>
      <c r="AA272"/>
      <c r="AB272"/>
      <c r="AC272"/>
      <c r="AD272"/>
      <c r="AE272"/>
    </row>
    <row r="273" spans="17:31" ht="12.75" customHeight="1">
      <c r="Q273" s="597"/>
      <c r="R273" s="935" t="s">
        <v>675</v>
      </c>
      <c r="S273" s="935"/>
      <c r="T273" s="935"/>
      <c r="U273" s="930" t="s">
        <v>500</v>
      </c>
      <c r="V273" s="928" t="s">
        <v>22</v>
      </c>
      <c r="W273" s="929" t="s">
        <v>579</v>
      </c>
      <c r="X273" s="927" t="s">
        <v>21</v>
      </c>
      <c r="Y273" s="361"/>
      <c r="Z273" s="364"/>
      <c r="AA273"/>
      <c r="AB273"/>
      <c r="AC273"/>
      <c r="AD273"/>
      <c r="AE273"/>
    </row>
    <row r="274" spans="17:31" ht="12.75" customHeight="1">
      <c r="Q274" s="597"/>
      <c r="R274" s="937" t="s">
        <v>321</v>
      </c>
      <c r="S274" s="937"/>
      <c r="T274" s="937"/>
      <c r="U274" s="930"/>
      <c r="V274" s="928"/>
      <c r="W274" s="929"/>
      <c r="X274" s="927"/>
      <c r="Y274" s="361"/>
      <c r="Z274" s="364"/>
      <c r="AA274"/>
      <c r="AB274"/>
      <c r="AC274"/>
      <c r="AD274"/>
      <c r="AE274"/>
    </row>
    <row r="275" spans="17:31" ht="12.75" customHeight="1">
      <c r="Q275" s="364"/>
      <c r="R275" s="937"/>
      <c r="S275" s="935" t="s">
        <v>306</v>
      </c>
      <c r="T275" s="935"/>
      <c r="U275" s="599">
        <f>U164*$W$265</f>
        <v>309.76000000000005</v>
      </c>
      <c r="V275" s="599">
        <f>V164*$W$265</f>
        <v>25079.999999999996</v>
      </c>
      <c r="W275" s="599">
        <f>W164*$W$265</f>
        <v>21808.695652173912</v>
      </c>
      <c r="X275" s="599">
        <f>X164*$W$265</f>
        <v>17914.28571428571</v>
      </c>
      <c r="Y275" s="361"/>
      <c r="Z275" s="364"/>
      <c r="AA275"/>
      <c r="AB275"/>
      <c r="AC275"/>
      <c r="AD275"/>
      <c r="AE275"/>
    </row>
    <row r="276" spans="17:31" ht="12.75" customHeight="1">
      <c r="Q276" s="597"/>
      <c r="R276" s="937"/>
      <c r="S276" s="935" t="s">
        <v>307</v>
      </c>
      <c r="T276" s="935"/>
      <c r="U276" s="599">
        <f>U275*$V$11</f>
        <v>7124.4800000000014</v>
      </c>
      <c r="V276" s="599">
        <f>V275*$V$11</f>
        <v>576839.99999999988</v>
      </c>
      <c r="W276" s="599">
        <f>W275*$V$11</f>
        <v>501600</v>
      </c>
      <c r="X276" s="599">
        <f>X275*$V$11</f>
        <v>412028.57142857136</v>
      </c>
      <c r="Y276" s="361"/>
      <c r="Z276" s="364"/>
      <c r="AA276"/>
      <c r="AB276"/>
      <c r="AC276"/>
      <c r="AD276"/>
      <c r="AE276"/>
    </row>
    <row r="277" spans="17:31" ht="12.75" customHeight="1">
      <c r="Q277" s="364"/>
      <c r="R277" s="937"/>
      <c r="S277" s="935" t="s">
        <v>308</v>
      </c>
      <c r="T277" s="935"/>
      <c r="U277" s="599">
        <f>U276*3</f>
        <v>21373.440000000002</v>
      </c>
      <c r="V277" s="599">
        <f>V276*3</f>
        <v>1730519.9999999995</v>
      </c>
      <c r="W277" s="599">
        <f>W276*3</f>
        <v>1504800</v>
      </c>
      <c r="X277" s="599">
        <f>X276*3</f>
        <v>1236085.7142857141</v>
      </c>
      <c r="Y277" s="361"/>
      <c r="Z277" s="364"/>
      <c r="AA277"/>
      <c r="AB277"/>
      <c r="AC277"/>
      <c r="AD277"/>
      <c r="AE277"/>
    </row>
    <row r="278" spans="17:31" ht="12.75" customHeight="1">
      <c r="Q278" s="364"/>
      <c r="R278" s="937"/>
      <c r="S278" s="937"/>
      <c r="T278" s="937"/>
      <c r="U278" s="937"/>
      <c r="V278" s="937"/>
      <c r="W278" s="937"/>
      <c r="X278" s="937"/>
      <c r="Y278" s="364"/>
      <c r="Z278" s="364"/>
      <c r="AA278"/>
      <c r="AB278"/>
      <c r="AC278"/>
      <c r="AD278"/>
      <c r="AE278"/>
    </row>
    <row r="279" spans="17:31" ht="12.75" customHeight="1">
      <c r="Q279" s="364"/>
      <c r="R279" s="935" t="s">
        <v>675</v>
      </c>
      <c r="S279" s="935"/>
      <c r="T279" s="935"/>
      <c r="U279" s="930" t="s">
        <v>500</v>
      </c>
      <c r="V279" s="928" t="s">
        <v>22</v>
      </c>
      <c r="W279" s="929" t="s">
        <v>579</v>
      </c>
      <c r="X279" s="927" t="s">
        <v>21</v>
      </c>
      <c r="Y279" s="361"/>
      <c r="Z279" s="364"/>
      <c r="AA279"/>
      <c r="AB279"/>
      <c r="AC279"/>
      <c r="AD279"/>
      <c r="AE279"/>
    </row>
    <row r="280" spans="17:31" ht="12.75" customHeight="1">
      <c r="Q280" s="364"/>
      <c r="R280" s="937" t="s">
        <v>322</v>
      </c>
      <c r="S280" s="937"/>
      <c r="T280" s="937"/>
      <c r="U280" s="930"/>
      <c r="V280" s="928"/>
      <c r="W280" s="929"/>
      <c r="X280" s="927"/>
      <c r="Y280" s="361"/>
      <c r="Z280" s="364"/>
      <c r="AA280"/>
      <c r="AB280"/>
      <c r="AC280"/>
      <c r="AD280"/>
      <c r="AE280"/>
    </row>
    <row r="281" spans="17:31" ht="12.75" customHeight="1">
      <c r="Q281" s="364"/>
      <c r="R281" s="937"/>
      <c r="S281" s="935" t="s">
        <v>306</v>
      </c>
      <c r="T281" s="935"/>
      <c r="U281" s="599">
        <f>U282/$V$11</f>
        <v>211.20000000000005</v>
      </c>
      <c r="V281" s="599">
        <f>V282/$V$11</f>
        <v>17099.999999999996</v>
      </c>
      <c r="W281" s="599">
        <f>W282/$V$11</f>
        <v>14869.565217391302</v>
      </c>
      <c r="X281" s="599">
        <f>X282/$V$11</f>
        <v>12214.285714285712</v>
      </c>
      <c r="Y281" s="361"/>
      <c r="Z281" s="364"/>
      <c r="AA281"/>
      <c r="AB281"/>
      <c r="AC281"/>
      <c r="AD281"/>
      <c r="AE281"/>
    </row>
    <row r="282" spans="17:31" ht="12.75" customHeight="1">
      <c r="Q282" s="364"/>
      <c r="R282" s="937"/>
      <c r="S282" s="935" t="s">
        <v>307</v>
      </c>
      <c r="T282" s="935"/>
      <c r="U282" s="599">
        <f>U283/12</f>
        <v>4857.6000000000013</v>
      </c>
      <c r="V282" s="599">
        <f>V283/12</f>
        <v>393299.99999999994</v>
      </c>
      <c r="W282" s="599">
        <f>W283/12</f>
        <v>341999.99999999994</v>
      </c>
      <c r="X282" s="599">
        <f>X283/12</f>
        <v>280928.57142857136</v>
      </c>
      <c r="Y282" s="361"/>
      <c r="Z282" s="364"/>
      <c r="AA282"/>
      <c r="AB282"/>
      <c r="AC282"/>
      <c r="AD282"/>
      <c r="AE282"/>
    </row>
    <row r="283" spans="17:31" ht="12.75" customHeight="1">
      <c r="Q283" s="364"/>
      <c r="R283" s="937"/>
      <c r="S283" s="935" t="s">
        <v>308</v>
      </c>
      <c r="T283" s="935"/>
      <c r="U283" s="599">
        <f>U271+U277</f>
        <v>58291.200000000012</v>
      </c>
      <c r="V283" s="599">
        <f>V271+V277</f>
        <v>4719599.9999999991</v>
      </c>
      <c r="W283" s="599">
        <f>W271+W277</f>
        <v>4103999.9999999995</v>
      </c>
      <c r="X283" s="599">
        <f>X271+X277</f>
        <v>3371142.8571428563</v>
      </c>
      <c r="Y283" s="361"/>
      <c r="Z283" s="364"/>
      <c r="AA283"/>
      <c r="AB283"/>
      <c r="AC283"/>
      <c r="AD283"/>
      <c r="AE283"/>
    </row>
    <row r="284" spans="17:31" ht="12.75" customHeight="1">
      <c r="Q284" s="364"/>
      <c r="R284" s="363"/>
      <c r="S284" s="363"/>
      <c r="T284" s="577"/>
      <c r="U284" s="577"/>
      <c r="V284" s="596"/>
      <c r="W284" s="363"/>
      <c r="X284" s="363"/>
      <c r="Y284" s="363"/>
      <c r="Z284" s="363"/>
      <c r="AA284"/>
      <c r="AB284"/>
      <c r="AC284"/>
      <c r="AD284"/>
      <c r="AE284"/>
    </row>
    <row r="285" spans="17:31" ht="12.75" customHeight="1">
      <c r="Q285" s="668" t="s">
        <v>756</v>
      </c>
      <c r="R285" s="363" t="s">
        <v>758</v>
      </c>
      <c r="S285" s="363"/>
      <c r="T285" s="577"/>
      <c r="U285" s="577"/>
      <c r="V285" s="596"/>
      <c r="W285" s="363"/>
      <c r="X285" s="363"/>
      <c r="Y285" s="363"/>
      <c r="Z285" s="363"/>
      <c r="AA285"/>
      <c r="AB285"/>
      <c r="AC285"/>
      <c r="AD285"/>
      <c r="AE285"/>
    </row>
    <row r="286" spans="17:31" ht="12.75" customHeight="1">
      <c r="Q286" s="364"/>
      <c r="R286" s="935" t="s">
        <v>678</v>
      </c>
      <c r="S286" s="935"/>
      <c r="T286" s="935"/>
      <c r="U286" s="935"/>
      <c r="V286" s="936" t="s">
        <v>500</v>
      </c>
      <c r="W286" s="936" t="s">
        <v>22</v>
      </c>
      <c r="X286" s="936" t="s">
        <v>579</v>
      </c>
      <c r="Y286" s="936" t="s">
        <v>21</v>
      </c>
      <c r="Z286" s="361"/>
      <c r="AA286"/>
      <c r="AB286"/>
      <c r="AC286"/>
      <c r="AD286"/>
      <c r="AE286"/>
    </row>
    <row r="287" spans="17:31" ht="12.75" customHeight="1">
      <c r="Q287" s="364"/>
      <c r="R287" s="935"/>
      <c r="S287" s="935"/>
      <c r="T287" s="935"/>
      <c r="U287" s="935"/>
      <c r="V287" s="936"/>
      <c r="W287" s="936"/>
      <c r="X287" s="936"/>
      <c r="Y287" s="936"/>
      <c r="Z287" s="361"/>
      <c r="AA287"/>
      <c r="AB287"/>
      <c r="AC287"/>
      <c r="AD287"/>
      <c r="AE287"/>
    </row>
    <row r="288" spans="17:31" ht="12.75" customHeight="1">
      <c r="Q288" s="364"/>
      <c r="R288" s="931" t="s">
        <v>35</v>
      </c>
      <c r="S288" s="931"/>
      <c r="T288" s="931"/>
      <c r="U288" s="931"/>
      <c r="V288" s="599">
        <f>AVERAGE(U196:W196)*5%</f>
        <v>1305585.0000000005</v>
      </c>
      <c r="W288" s="599">
        <f>V202*5%</f>
        <v>1533870.0000000005</v>
      </c>
      <c r="X288" s="599">
        <f>W202*5%</f>
        <v>1518480.0000000005</v>
      </c>
      <c r="Y288" s="599">
        <f>X202*5%</f>
        <v>1500158.5714285718</v>
      </c>
      <c r="Z288" s="361"/>
      <c r="AA288"/>
      <c r="AB288"/>
      <c r="AC288"/>
      <c r="AD288"/>
      <c r="AE288"/>
    </row>
    <row r="289" spans="17:31" ht="12.75" customHeight="1">
      <c r="Q289" s="364"/>
      <c r="R289" s="931" t="s">
        <v>481</v>
      </c>
      <c r="S289" s="931"/>
      <c r="T289" s="931"/>
      <c r="U289" s="931"/>
      <c r="V289" s="600" t="s">
        <v>479</v>
      </c>
      <c r="W289" s="599">
        <f>Y289</f>
        <v>1059840</v>
      </c>
      <c r="X289" s="600" t="s">
        <v>479</v>
      </c>
      <c r="Y289" s="599">
        <f>Consumables!E23*12</f>
        <v>1059840</v>
      </c>
      <c r="Z289" s="361"/>
      <c r="AA289"/>
      <c r="AB289"/>
      <c r="AC289"/>
      <c r="AD289"/>
      <c r="AE289"/>
    </row>
    <row r="290" spans="17:31" ht="12.75" customHeight="1">
      <c r="Q290" s="364"/>
      <c r="R290" s="931" t="s">
        <v>311</v>
      </c>
      <c r="S290" s="931"/>
      <c r="T290" s="931"/>
      <c r="U290" s="931"/>
      <c r="V290" s="600" t="s">
        <v>557</v>
      </c>
      <c r="W290" s="599">
        <f>Y290</f>
        <v>416000</v>
      </c>
      <c r="X290" s="599">
        <f>W290</f>
        <v>416000</v>
      </c>
      <c r="Y290" s="599">
        <f>Consumables!E21*12</f>
        <v>416000</v>
      </c>
      <c r="Z290" s="361"/>
      <c r="AA290"/>
      <c r="AB290"/>
      <c r="AC290"/>
      <c r="AD290"/>
      <c r="AE290"/>
    </row>
    <row r="291" spans="17:31" ht="12.75" customHeight="1">
      <c r="Q291" s="364"/>
      <c r="R291" s="931" t="s">
        <v>480</v>
      </c>
      <c r="S291" s="931"/>
      <c r="T291" s="931"/>
      <c r="U291" s="931"/>
      <c r="V291" s="599">
        <f>Consumables!H21*12</f>
        <v>3865001.2800000003</v>
      </c>
      <c r="W291" s="599">
        <v>0</v>
      </c>
      <c r="X291" s="599">
        <v>0</v>
      </c>
      <c r="Y291" s="599">
        <v>0</v>
      </c>
      <c r="Z291" s="361"/>
      <c r="AA291"/>
      <c r="AB291"/>
      <c r="AC291"/>
      <c r="AD291"/>
      <c r="AE291"/>
    </row>
    <row r="292" spans="17:31" ht="12.75" customHeight="1">
      <c r="Q292" s="364"/>
      <c r="R292" s="931" t="s">
        <v>312</v>
      </c>
      <c r="S292" s="931"/>
      <c r="T292" s="931"/>
      <c r="U292" s="931"/>
      <c r="V292" s="599">
        <f>Consumables!H20*12</f>
        <v>2691993.6000000001</v>
      </c>
      <c r="W292" s="599">
        <f>Y292</f>
        <v>2331648.0000000005</v>
      </c>
      <c r="X292" s="599">
        <f>W292</f>
        <v>2331648.0000000005</v>
      </c>
      <c r="Y292" s="599">
        <f>Consumables!E20*12</f>
        <v>2331648.0000000005</v>
      </c>
      <c r="Z292" s="361"/>
      <c r="AA292"/>
      <c r="AB292"/>
      <c r="AC292"/>
      <c r="AD292"/>
      <c r="AE292"/>
    </row>
    <row r="293" spans="17:31" ht="12.75" customHeight="1">
      <c r="Q293" s="364"/>
      <c r="R293" s="931" t="s">
        <v>313</v>
      </c>
      <c r="S293" s="931"/>
      <c r="T293" s="931"/>
      <c r="U293" s="931"/>
      <c r="V293" s="599">
        <f>Consumables!H19*12</f>
        <v>1674547.2000000002</v>
      </c>
      <c r="W293" s="599">
        <f>Y293</f>
        <v>1398988.8</v>
      </c>
      <c r="X293" s="599">
        <f>W293</f>
        <v>1398988.8</v>
      </c>
      <c r="Y293" s="599">
        <f>Consumables!E19*12</f>
        <v>1398988.8</v>
      </c>
      <c r="Z293" s="361"/>
      <c r="AA293"/>
      <c r="AB293"/>
      <c r="AC293"/>
      <c r="AD293"/>
      <c r="AE293"/>
    </row>
    <row r="294" spans="17:31" ht="12.75" customHeight="1">
      <c r="Q294" s="364"/>
      <c r="R294" s="931" t="s">
        <v>190</v>
      </c>
      <c r="S294" s="931"/>
      <c r="T294" s="931"/>
      <c r="U294" s="931"/>
      <c r="V294" s="599">
        <f>Consumables!H22*12</f>
        <v>8294400</v>
      </c>
      <c r="W294" s="599">
        <v>0</v>
      </c>
      <c r="X294" s="599">
        <v>0</v>
      </c>
      <c r="Y294" s="599">
        <v>0</v>
      </c>
      <c r="Z294" s="361"/>
      <c r="AA294"/>
      <c r="AB294"/>
      <c r="AC294"/>
      <c r="AD294"/>
      <c r="AE294"/>
    </row>
    <row r="295" spans="17:31" ht="12.75" customHeight="1">
      <c r="Q295" s="364"/>
      <c r="R295" s="931" t="s">
        <v>482</v>
      </c>
      <c r="S295" s="931"/>
      <c r="T295" s="931"/>
      <c r="U295" s="931"/>
      <c r="V295" s="599">
        <v>0</v>
      </c>
      <c r="W295" s="599">
        <f>Y295</f>
        <v>199600.00000000003</v>
      </c>
      <c r="X295" s="599">
        <f>W295</f>
        <v>199600.00000000003</v>
      </c>
      <c r="Y295" s="599">
        <f>Consumables!E25*12</f>
        <v>199600.00000000003</v>
      </c>
      <c r="Z295" s="361"/>
      <c r="AA295"/>
      <c r="AB295"/>
      <c r="AC295"/>
      <c r="AD295"/>
      <c r="AE295"/>
    </row>
    <row r="296" spans="17:31" ht="12.75" customHeight="1">
      <c r="Q296" s="364"/>
      <c r="R296" s="931" t="s">
        <v>483</v>
      </c>
      <c r="S296" s="931"/>
      <c r="T296" s="931"/>
      <c r="U296" s="931"/>
      <c r="V296" s="599">
        <v>0</v>
      </c>
      <c r="W296" s="599">
        <f>Y296</f>
        <v>40600</v>
      </c>
      <c r="X296" s="599">
        <f>W296</f>
        <v>40600</v>
      </c>
      <c r="Y296" s="599">
        <f>Consumables!E24*12</f>
        <v>40600</v>
      </c>
      <c r="Z296" s="361"/>
      <c r="AA296"/>
      <c r="AB296"/>
      <c r="AC296"/>
      <c r="AD296"/>
      <c r="AE296"/>
    </row>
    <row r="297" spans="17:31" ht="12.75" customHeight="1">
      <c r="Q297" s="364"/>
      <c r="R297" s="931" t="s">
        <v>478</v>
      </c>
      <c r="S297" s="931"/>
      <c r="T297" s="931"/>
      <c r="U297" s="931"/>
      <c r="V297" s="599">
        <f>U283</f>
        <v>58291.200000000012</v>
      </c>
      <c r="W297" s="599">
        <f>V283</f>
        <v>4719599.9999999991</v>
      </c>
      <c r="X297" s="599">
        <f>W283</f>
        <v>4103999.9999999995</v>
      </c>
      <c r="Y297" s="599">
        <f>X283</f>
        <v>3371142.8571428563</v>
      </c>
      <c r="Z297" s="361"/>
      <c r="AA297"/>
      <c r="AB297"/>
      <c r="AC297"/>
      <c r="AD297"/>
      <c r="AE297"/>
    </row>
    <row r="298" spans="17:31" ht="12.75" customHeight="1">
      <c r="Q298" s="364"/>
      <c r="R298" s="931" t="s">
        <v>484</v>
      </c>
      <c r="S298" s="931"/>
      <c r="T298" s="931"/>
      <c r="U298" s="931"/>
      <c r="V298" s="599">
        <f>'NIHL Compenation Cost'!AD21</f>
        <v>1715167.5</v>
      </c>
      <c r="W298" s="599">
        <f>'NIHL Compenation Cost'!Z21</f>
        <v>989115.00000000012</v>
      </c>
      <c r="X298" s="599">
        <f>'NIHL Compenation Cost'!AB21</f>
        <v>1087325</v>
      </c>
      <c r="Y298" s="599">
        <f>'NIHL Compenation Cost'!X21</f>
        <v>596275</v>
      </c>
      <c r="Z298" s="361"/>
      <c r="AA298"/>
      <c r="AB298"/>
      <c r="AC298"/>
      <c r="AD298"/>
      <c r="AE298"/>
    </row>
    <row r="299" spans="17:31" ht="12.75" customHeight="1">
      <c r="Q299" s="364"/>
      <c r="R299" s="932" t="s">
        <v>677</v>
      </c>
      <c r="S299" s="932"/>
      <c r="T299" s="932"/>
      <c r="U299" s="932"/>
      <c r="V299" s="599">
        <f>SUM(V288:V298)</f>
        <v>19604985.780000001</v>
      </c>
      <c r="W299" s="599">
        <f>SUM(W288:W298)</f>
        <v>12689261.800000001</v>
      </c>
      <c r="X299" s="599">
        <f>SUM(X288:X298)</f>
        <v>11096641.800000001</v>
      </c>
      <c r="Y299" s="599">
        <f>SUM(Y288:Y298)</f>
        <v>10914253.22857143</v>
      </c>
      <c r="Z299" s="361"/>
      <c r="AA299"/>
      <c r="AB299"/>
      <c r="AC299"/>
      <c r="AD299"/>
      <c r="AE299"/>
    </row>
    <row r="300" spans="17:31" ht="12.75" customHeight="1">
      <c r="Q300" s="364"/>
      <c r="R300" s="591"/>
      <c r="S300" s="591"/>
      <c r="T300" s="591"/>
      <c r="U300" s="591"/>
      <c r="V300" s="718"/>
      <c r="W300" s="718"/>
      <c r="X300" s="718"/>
      <c r="Y300" s="718"/>
      <c r="Z300" s="361"/>
      <c r="AA300"/>
      <c r="AB300"/>
      <c r="AC300"/>
      <c r="AD300"/>
      <c r="AE300"/>
    </row>
    <row r="301" spans="17:31" ht="12.75" customHeight="1">
      <c r="Q301" s="364"/>
      <c r="R301" s="591"/>
      <c r="S301" s="591"/>
      <c r="T301" s="933" t="s">
        <v>812</v>
      </c>
      <c r="U301" s="933"/>
      <c r="V301" s="718">
        <f>V299-V294</f>
        <v>11310585.780000001</v>
      </c>
      <c r="W301" s="718">
        <f>W299-W294</f>
        <v>12689261.800000001</v>
      </c>
      <c r="X301" s="718">
        <f>X299-X294</f>
        <v>11096641.800000001</v>
      </c>
      <c r="Y301" s="718">
        <f>Y299-Y294</f>
        <v>10914253.22857143</v>
      </c>
      <c r="Z301" s="361"/>
      <c r="AA301"/>
      <c r="AB301"/>
      <c r="AC301"/>
      <c r="AD301"/>
      <c r="AE301"/>
    </row>
    <row r="302" spans="17:31" ht="12.75" customHeight="1">
      <c r="Q302" s="364"/>
      <c r="R302" s="364"/>
      <c r="S302" s="364"/>
      <c r="T302" s="934" t="s">
        <v>350</v>
      </c>
      <c r="U302" s="934"/>
      <c r="V302" s="682">
        <f>V294</f>
        <v>8294400</v>
      </c>
      <c r="W302" s="682"/>
      <c r="X302" s="682"/>
      <c r="Y302" s="682"/>
      <c r="Z302" s="364"/>
      <c r="AA302"/>
      <c r="AB302"/>
      <c r="AC302"/>
      <c r="AD302"/>
      <c r="AE302"/>
    </row>
    <row r="303" spans="17:31" ht="12.75" customHeight="1">
      <c r="Q303" s="364">
        <v>10.3</v>
      </c>
      <c r="R303" s="363"/>
      <c r="S303" s="364"/>
      <c r="T303" s="364"/>
      <c r="U303" s="364"/>
      <c r="V303" s="682"/>
      <c r="W303" s="364"/>
      <c r="X303" s="362"/>
      <c r="Y303" s="682"/>
      <c r="Z303" s="364"/>
      <c r="AA303"/>
      <c r="AB303"/>
      <c r="AC303"/>
      <c r="AD303"/>
      <c r="AE303"/>
    </row>
    <row r="304" spans="17:31" ht="12.75" customHeight="1">
      <c r="Q304" s="364"/>
      <c r="R304" s="364"/>
      <c r="S304" s="364"/>
      <c r="T304" s="364"/>
      <c r="U304" s="364"/>
      <c r="V304" s="364"/>
      <c r="W304" s="364"/>
      <c r="X304" s="364"/>
      <c r="Y304" s="364"/>
      <c r="Z304" s="364"/>
      <c r="AA304"/>
      <c r="AB304"/>
      <c r="AC304"/>
      <c r="AD304"/>
      <c r="AE304"/>
    </row>
    <row r="305" spans="17:31" ht="12.75" customHeight="1">
      <c r="Q305" s="364"/>
      <c r="R305" s="935" t="s">
        <v>195</v>
      </c>
      <c r="S305" s="935"/>
      <c r="T305" s="935"/>
      <c r="U305" s="935"/>
      <c r="V305" s="935"/>
      <c r="W305" s="375"/>
      <c r="X305" s="683"/>
      <c r="Y305" s="375"/>
      <c r="Z305" s="375"/>
      <c r="AA305"/>
      <c r="AB305"/>
      <c r="AC305"/>
      <c r="AD305"/>
      <c r="AE305"/>
    </row>
    <row r="306" spans="17:31" ht="12.75" customHeight="1">
      <c r="Q306" s="364"/>
      <c r="R306" s="926" t="s">
        <v>509</v>
      </c>
      <c r="S306" s="927" t="s">
        <v>21</v>
      </c>
      <c r="T306" s="928" t="s">
        <v>22</v>
      </c>
      <c r="U306" s="929" t="s">
        <v>579</v>
      </c>
      <c r="V306" s="930" t="s">
        <v>500</v>
      </c>
      <c r="W306" s="363"/>
      <c r="X306" s="684"/>
      <c r="Y306" s="363"/>
      <c r="Z306" s="364"/>
      <c r="AA306"/>
      <c r="AB306"/>
      <c r="AC306"/>
      <c r="AD306"/>
      <c r="AE306"/>
    </row>
    <row r="307" spans="17:31" ht="12.75" customHeight="1">
      <c r="Q307" s="364"/>
      <c r="R307" s="926"/>
      <c r="S307" s="927"/>
      <c r="T307" s="928"/>
      <c r="U307" s="929"/>
      <c r="V307" s="930"/>
      <c r="W307" s="363"/>
      <c r="X307" s="684"/>
      <c r="Y307" s="363"/>
      <c r="Z307" s="364"/>
      <c r="AA307"/>
      <c r="AB307"/>
      <c r="AC307"/>
      <c r="AD307"/>
      <c r="AE307"/>
    </row>
    <row r="308" spans="17:31" ht="12.75" customHeight="1">
      <c r="Q308" s="364"/>
      <c r="R308" s="667" t="s">
        <v>204</v>
      </c>
      <c r="S308" s="667" t="s">
        <v>846</v>
      </c>
      <c r="T308" s="667" t="s">
        <v>846</v>
      </c>
      <c r="U308" s="667" t="s">
        <v>846</v>
      </c>
      <c r="V308" s="667" t="s">
        <v>846</v>
      </c>
      <c r="W308" s="363"/>
      <c r="X308" s="363"/>
      <c r="Y308" s="363"/>
      <c r="Z308" s="364"/>
      <c r="AA308"/>
      <c r="AB308"/>
      <c r="AC308"/>
      <c r="AD308"/>
      <c r="AE308"/>
    </row>
    <row r="309" spans="17:31" ht="12.75" customHeight="1">
      <c r="Q309" s="364"/>
      <c r="R309" s="600">
        <v>1</v>
      </c>
      <c r="S309" s="369">
        <f>$X$69</f>
        <v>116</v>
      </c>
      <c r="T309" s="584">
        <f>$V$69</f>
        <v>108</v>
      </c>
      <c r="U309" s="685">
        <f>$W$69</f>
        <v>109</v>
      </c>
      <c r="V309" s="369">
        <f>$U$69</f>
        <v>102</v>
      </c>
      <c r="W309" s="363"/>
      <c r="X309" s="363"/>
      <c r="Y309" s="363"/>
      <c r="Z309" s="364"/>
      <c r="AA309"/>
      <c r="AB309"/>
      <c r="AC309"/>
      <c r="AD309"/>
      <c r="AE309"/>
    </row>
    <row r="310" spans="17:31" ht="12.75" customHeight="1">
      <c r="Q310" s="364"/>
      <c r="R310" s="600">
        <v>2</v>
      </c>
      <c r="S310" s="584">
        <f>(LOG((10^(S309/10))+(10^(S309/10))))*10</f>
        <v>119.01029995663983</v>
      </c>
      <c r="T310" s="584">
        <f>(LOG((10^(T309/10))+(10^(T309/10))))*10</f>
        <v>111.01029995663981</v>
      </c>
      <c r="U310" s="584">
        <f>(LOG((10^(U309/10))+(10^(U309/10))))*10</f>
        <v>112.01029995663981</v>
      </c>
      <c r="V310" s="584">
        <f>(LOG((10^(V309/10))+(10^(V309/10))))*10</f>
        <v>105.01029995663983</v>
      </c>
      <c r="W310" s="363"/>
      <c r="X310" s="363"/>
      <c r="Y310" s="363"/>
      <c r="Z310" s="364"/>
      <c r="AA310"/>
      <c r="AB310"/>
      <c r="AC310"/>
      <c r="AD310"/>
      <c r="AE310"/>
    </row>
    <row r="311" spans="17:31" ht="12.75" customHeight="1">
      <c r="Q311" s="597"/>
      <c r="R311" s="600">
        <v>3</v>
      </c>
      <c r="S311" s="584">
        <f>(LOG((10^(S309/10))+(10^(S309/10))+(10^(S309/10)))*10)</f>
        <v>120.77121254719664</v>
      </c>
      <c r="T311" s="584">
        <f>(LOG((10^(T309/10))+(10^(T309/10))+(10^(T309/10)))*10)</f>
        <v>112.77121254719663</v>
      </c>
      <c r="U311" s="584">
        <f>(LOG((10^(U309/10))+(10^(U309/10))+(10^(U309/10)))*10)</f>
        <v>113.77121254719663</v>
      </c>
      <c r="V311" s="584">
        <f>(LOG((10^(V309/10))+(10^(V309/10))+(10^(V309/10)))*10)</f>
        <v>106.77121254719664</v>
      </c>
      <c r="W311" s="363"/>
      <c r="X311" s="363"/>
      <c r="Y311" s="363"/>
      <c r="Z311" s="364"/>
      <c r="AA311"/>
      <c r="AB311"/>
      <c r="AC311"/>
      <c r="AD311"/>
      <c r="AE311"/>
    </row>
    <row r="312" spans="17:31" ht="12.75" customHeight="1">
      <c r="Q312" s="364"/>
      <c r="R312" s="600">
        <v>4</v>
      </c>
      <c r="S312" s="584">
        <f>(LOG((10^(S309/10))+(10^(S309/10))+(10^(S309/10))+(10^(S309/10))))*10</f>
        <v>122.02059991327964</v>
      </c>
      <c r="T312" s="584">
        <f>(LOG((10^(T309/10))+(10^(T309/10))+(10^(T309/10))+(10^(T309/10))))*10</f>
        <v>114.02059991327963</v>
      </c>
      <c r="U312" s="584">
        <f>(LOG((10^(U309/10))+(10^(U309/10))+(10^(U309/10))+(10^(U309/10))))*10</f>
        <v>115.02059991327963</v>
      </c>
      <c r="V312" s="584">
        <f>(LOG((10^(V309/10))+(10^(V309/10))+(10^(V309/10))+(10^(V309/10))))*10</f>
        <v>108.02059991327964</v>
      </c>
      <c r="W312" s="363"/>
      <c r="X312" s="363"/>
      <c r="Y312" s="363"/>
      <c r="Z312" s="364"/>
      <c r="AA312"/>
      <c r="AB312"/>
      <c r="AC312"/>
      <c r="AD312"/>
      <c r="AE312"/>
    </row>
    <row r="313" spans="17:31" ht="12.75" customHeight="1">
      <c r="Q313" s="364"/>
      <c r="R313" s="600">
        <v>5</v>
      </c>
      <c r="S313" s="584">
        <f>(LOG((10^(S309/10))+(10^(S309/10))+(10^(S309/10))+(10^(S309/10))+(10^(S309/10))))*10</f>
        <v>122.9897000433602</v>
      </c>
      <c r="T313" s="584">
        <f>(LOG((10^(T309/10))+(10^(T309/10))+(10^(T309/10))+(10^(T309/10))+(10^(T309/10))))*10</f>
        <v>114.98970004336019</v>
      </c>
      <c r="U313" s="584">
        <f>(LOG((10^(U309/10))+(10^(U309/10))+(10^(U309/10))+(10^(U309/10))+(10^(U309/10))))*10</f>
        <v>115.98970004336019</v>
      </c>
      <c r="V313" s="584">
        <f>(LOG((10^(V309/10))+(10^(V309/10))+(10^(V309/10))+(10^(V309/10))+(10^(V309/10))))*10</f>
        <v>108.9897000433602</v>
      </c>
      <c r="W313" s="363"/>
      <c r="X313" s="363"/>
      <c r="Y313" s="363"/>
      <c r="Z313" s="364"/>
      <c r="AA313"/>
      <c r="AB313"/>
      <c r="AC313"/>
      <c r="AD313"/>
      <c r="AE313"/>
    </row>
    <row r="314" spans="17:31" ht="12.75" customHeight="1">
      <c r="Q314" s="364"/>
      <c r="R314" s="600">
        <v>6</v>
      </c>
      <c r="S314" s="584">
        <f>(LOG((10^(S309/10))+(10^(S309/10))+(10^(S309/10))+(10^(S309/10))+(10^(S309/10))+(10^(S309/10)))*10)</f>
        <v>123.78151250383645</v>
      </c>
      <c r="T314" s="584">
        <f>(LOG((10^(T309/10))+(10^(T309/10))+(10^(T309/10))+(10^(T309/10))+(10^(T309/10))+(10^(T309/10)))*10)</f>
        <v>115.78151250383644</v>
      </c>
      <c r="U314" s="584">
        <f>(LOG((10^(U309/10))+(10^(U309/10))+(10^(U309/10))+(10^(U309/10))+(10^(U309/10))+(10^(U309/10)))*10)</f>
        <v>116.78151250383644</v>
      </c>
      <c r="V314" s="584">
        <f>(LOG((10^(V309/10))+(10^(V309/10))+(10^(V309/10))+(10^(V309/10))+(10^(V309/10))+(10^(V309/10)))*10)</f>
        <v>109.78151250383645</v>
      </c>
      <c r="W314" s="363"/>
      <c r="X314" s="363"/>
      <c r="Y314" s="363"/>
      <c r="Z314" s="364"/>
      <c r="AA314"/>
      <c r="AB314"/>
      <c r="AC314"/>
      <c r="AD314"/>
      <c r="AE314"/>
    </row>
    <row r="315" spans="17:31" ht="12.75" customHeight="1" thickBot="1">
      <c r="Q315" s="364"/>
      <c r="R315" s="364"/>
      <c r="S315" s="364"/>
      <c r="T315" s="364"/>
      <c r="U315" s="364"/>
      <c r="V315" s="364"/>
      <c r="W315" s="364"/>
      <c r="X315" s="364"/>
      <c r="Y315" s="364"/>
      <c r="Z315" s="364"/>
      <c r="AA315"/>
      <c r="AB315"/>
      <c r="AC315"/>
      <c r="AD315"/>
      <c r="AE315"/>
    </row>
    <row r="316" spans="17:31" ht="12.75" customHeight="1" thickTop="1">
      <c r="Q316" s="364"/>
      <c r="R316" s="916" t="s">
        <v>428</v>
      </c>
      <c r="S316" s="917"/>
      <c r="T316" s="917"/>
      <c r="U316" s="917"/>
      <c r="V316" s="917"/>
      <c r="W316" s="918"/>
      <c r="X316" s="364"/>
      <c r="Y316" s="364"/>
      <c r="Z316" s="364"/>
      <c r="AA316"/>
      <c r="AB316"/>
      <c r="AC316"/>
      <c r="AD316"/>
      <c r="AE316"/>
    </row>
    <row r="317" spans="17:31" ht="12.75" customHeight="1">
      <c r="Q317" s="364"/>
      <c r="R317" s="919"/>
      <c r="S317" s="920"/>
      <c r="T317" s="920"/>
      <c r="U317" s="920"/>
      <c r="V317" s="920"/>
      <c r="W317" s="921"/>
      <c r="X317" s="364"/>
      <c r="Y317" s="364"/>
      <c r="Z317" s="364"/>
      <c r="AA317"/>
      <c r="AB317"/>
      <c r="AC317"/>
      <c r="AD317"/>
      <c r="AE317"/>
    </row>
    <row r="318" spans="17:31" ht="12.75" customHeight="1" thickBot="1">
      <c r="Q318" s="364"/>
      <c r="R318" s="922"/>
      <c r="S318" s="923"/>
      <c r="T318" s="923"/>
      <c r="U318" s="923"/>
      <c r="V318" s="923"/>
      <c r="W318" s="924"/>
      <c r="X318" s="364"/>
      <c r="Y318" s="364"/>
      <c r="Z318" s="364"/>
      <c r="AA318"/>
      <c r="AB318"/>
      <c r="AC318"/>
      <c r="AD318"/>
      <c r="AE318"/>
    </row>
    <row r="319" spans="17:31" ht="12.75" customHeight="1" thickTop="1">
      <c r="Q319" s="364"/>
      <c r="R319" s="925" t="str">
        <f>S306</f>
        <v>Seco S215</v>
      </c>
      <c r="S319" s="925"/>
      <c r="T319" s="925"/>
      <c r="U319" s="925"/>
      <c r="V319" s="925"/>
      <c r="W319" s="925"/>
      <c r="X319" s="364"/>
      <c r="Y319" s="364"/>
      <c r="Z319" s="364"/>
      <c r="AA319"/>
      <c r="AB319"/>
      <c r="AC319"/>
      <c r="AD319"/>
      <c r="AE319"/>
    </row>
    <row r="320" spans="17:31" ht="12.75" customHeight="1" thickBot="1">
      <c r="Q320" s="364"/>
      <c r="R320" s="910" t="s">
        <v>205</v>
      </c>
      <c r="S320" s="911"/>
      <c r="T320" s="911"/>
      <c r="U320" s="911"/>
      <c r="V320" s="911"/>
      <c r="W320" s="912"/>
      <c r="X320" s="364"/>
      <c r="Y320" s="364"/>
      <c r="Z320" s="364"/>
      <c r="AA320"/>
      <c r="AB320"/>
      <c r="AC320"/>
      <c r="AD320"/>
      <c r="AE320"/>
    </row>
    <row r="321" spans="17:31" ht="12.75" customHeight="1" thickBot="1">
      <c r="Q321" s="364"/>
      <c r="R321" s="686" t="s">
        <v>59</v>
      </c>
      <c r="S321" s="577"/>
      <c r="T321" s="687"/>
      <c r="U321" s="687"/>
      <c r="V321" s="687"/>
      <c r="W321" s="688"/>
      <c r="X321" s="364"/>
      <c r="Y321" s="364"/>
      <c r="Z321" s="364"/>
      <c r="AA321"/>
      <c r="AB321"/>
      <c r="AC321"/>
      <c r="AD321"/>
      <c r="AE321"/>
    </row>
    <row r="322" spans="17:31" ht="12.75" customHeight="1">
      <c r="Q322" s="364"/>
      <c r="R322" s="895" t="s">
        <v>845</v>
      </c>
      <c r="S322" s="896"/>
      <c r="T322" s="900" t="s">
        <v>835</v>
      </c>
      <c r="U322" s="900" t="s">
        <v>836</v>
      </c>
      <c r="V322" s="900" t="s">
        <v>837</v>
      </c>
      <c r="W322" s="902" t="s">
        <v>838</v>
      </c>
      <c r="X322" s="364"/>
      <c r="Y322" s="364"/>
      <c r="Z322" s="364"/>
      <c r="AA322"/>
      <c r="AB322"/>
      <c r="AC322"/>
      <c r="AD322"/>
      <c r="AE322"/>
    </row>
    <row r="323" spans="17:31" ht="12.75" customHeight="1">
      <c r="Q323" s="364"/>
      <c r="R323" s="892"/>
      <c r="S323" s="897"/>
      <c r="T323" s="904"/>
      <c r="U323" s="904"/>
      <c r="V323" s="904"/>
      <c r="W323" s="905"/>
      <c r="X323" s="364"/>
      <c r="Y323" s="364"/>
      <c r="Z323" s="364"/>
      <c r="AA323"/>
      <c r="AB323"/>
      <c r="AC323"/>
      <c r="AD323"/>
      <c r="AE323"/>
    </row>
    <row r="324" spans="17:31" ht="12.75" customHeight="1">
      <c r="Q324" s="364"/>
      <c r="R324" s="892"/>
      <c r="S324" s="897"/>
      <c r="T324" s="901"/>
      <c r="U324" s="901"/>
      <c r="V324" s="901"/>
      <c r="W324" s="903"/>
      <c r="X324" s="364"/>
      <c r="Y324" s="364"/>
      <c r="Z324" s="364"/>
      <c r="AA324"/>
      <c r="AB324"/>
      <c r="AC324"/>
      <c r="AD324"/>
      <c r="AE324"/>
    </row>
    <row r="325" spans="17:31" ht="12.75" customHeight="1">
      <c r="Q325" s="364"/>
      <c r="R325" s="892"/>
      <c r="S325" s="897"/>
      <c r="T325" s="689">
        <f>X69</f>
        <v>116</v>
      </c>
      <c r="U325" s="560">
        <f>X62</f>
        <v>1.4285714285714284</v>
      </c>
      <c r="V325" s="690">
        <f>IF(T325&gt;0,W325*U325," ")</f>
        <v>22857.142857142855</v>
      </c>
      <c r="W325" s="691">
        <f>IF(T325&gt;0,(VLOOKUP(T325,'Lookup Ready-reckoner'!$B$5:$E$1207,4))," ")</f>
        <v>16000</v>
      </c>
      <c r="X325" s="364"/>
      <c r="Y325" s="364"/>
      <c r="Z325" s="364"/>
      <c r="AA325"/>
      <c r="AB325"/>
      <c r="AC325"/>
      <c r="AD325"/>
      <c r="AE325"/>
    </row>
    <row r="326" spans="17:31" ht="12.75" customHeight="1">
      <c r="Q326" s="364"/>
      <c r="R326" s="898"/>
      <c r="S326" s="899"/>
      <c r="T326" s="447"/>
      <c r="U326" s="560"/>
      <c r="V326" s="690" t="str">
        <f>IF(T326&gt;0,W326*U326," ")</f>
        <v xml:space="preserve"> </v>
      </c>
      <c r="W326" s="691" t="str">
        <f>IF(T326&gt;0,(VLOOKUP(T326,'Lookup Ready-reckoner'!$B$5:$E$1007,4))," ")</f>
        <v xml:space="preserve"> </v>
      </c>
      <c r="X326" s="364"/>
      <c r="Y326" s="364"/>
      <c r="Z326" s="364"/>
      <c r="AA326"/>
      <c r="AB326"/>
      <c r="AC326"/>
      <c r="AD326"/>
      <c r="AE326"/>
    </row>
    <row r="327" spans="17:31" ht="12.75" customHeight="1" thickBot="1">
      <c r="Q327" s="364"/>
      <c r="R327" s="692" t="s">
        <v>839</v>
      </c>
      <c r="S327" s="693"/>
      <c r="T327" s="693"/>
      <c r="U327" s="694">
        <f>IF(T325&gt;0,(VLOOKUP(V327,'Lookup Ready-reckoner'!$L$5:$M$1207,2))," ")</f>
        <v>108.5</v>
      </c>
      <c r="V327" s="695">
        <f>IF(U325&gt;0,(SUM(V325:V326))," ")</f>
        <v>22857.142857142855</v>
      </c>
      <c r="W327" s="696"/>
      <c r="X327" s="364"/>
      <c r="Y327" s="364"/>
      <c r="Z327" s="364"/>
      <c r="AA327"/>
      <c r="AB327"/>
      <c r="AC327"/>
      <c r="AD327"/>
      <c r="AE327"/>
    </row>
    <row r="328" spans="17:31" ht="12.75" customHeight="1" thickBot="1">
      <c r="Q328" s="364"/>
      <c r="R328" s="892"/>
      <c r="S328" s="893"/>
      <c r="T328" s="893"/>
      <c r="U328" s="893"/>
      <c r="V328" s="893"/>
      <c r="W328" s="894"/>
      <c r="X328" s="364"/>
      <c r="Y328" s="364"/>
      <c r="Z328" s="364"/>
      <c r="AA328"/>
      <c r="AB328"/>
      <c r="AC328"/>
      <c r="AD328"/>
      <c r="AE328"/>
    </row>
    <row r="329" spans="17:31" ht="12.75" customHeight="1">
      <c r="Q329" s="364"/>
      <c r="R329" s="895" t="s">
        <v>886</v>
      </c>
      <c r="S329" s="896"/>
      <c r="T329" s="900" t="s">
        <v>835</v>
      </c>
      <c r="U329" s="900" t="s">
        <v>836</v>
      </c>
      <c r="V329" s="900" t="s">
        <v>837</v>
      </c>
      <c r="W329" s="902" t="s">
        <v>838</v>
      </c>
      <c r="X329" s="364"/>
      <c r="Y329" s="364"/>
      <c r="Z329" s="364"/>
      <c r="AA329"/>
      <c r="AB329"/>
      <c r="AC329"/>
      <c r="AD329"/>
      <c r="AE329"/>
    </row>
    <row r="330" spans="17:31" ht="12.75" customHeight="1">
      <c r="Q330" s="364"/>
      <c r="R330" s="892"/>
      <c r="S330" s="897"/>
      <c r="T330" s="901"/>
      <c r="U330" s="901"/>
      <c r="V330" s="901"/>
      <c r="W330" s="903"/>
      <c r="X330" s="364"/>
      <c r="Y330" s="364"/>
      <c r="Z330" s="364"/>
      <c r="AA330"/>
      <c r="AB330"/>
      <c r="AC330"/>
      <c r="AD330"/>
      <c r="AE330"/>
    </row>
    <row r="331" spans="17:31" ht="12.75" customHeight="1">
      <c r="Q331" s="364"/>
      <c r="R331" s="892"/>
      <c r="S331" s="897"/>
      <c r="T331" s="689">
        <f>T325*(1-0.0178*2)</f>
        <v>111.8704</v>
      </c>
      <c r="U331" s="560">
        <f>U325</f>
        <v>1.4285714285714284</v>
      </c>
      <c r="V331" s="690">
        <f>IF(T331&gt;0,W331*U331," ")</f>
        <v>8842.8571428571413</v>
      </c>
      <c r="W331" s="691">
        <f>IF(T331&gt;0,(VLOOKUP(T331,'Lookup Ready-reckoner'!$B$5:$E$1207,4))," ")</f>
        <v>6190</v>
      </c>
      <c r="X331" s="364"/>
      <c r="Y331" s="364"/>
      <c r="Z331" s="364"/>
      <c r="AA331"/>
      <c r="AB331"/>
      <c r="AC331"/>
      <c r="AD331"/>
      <c r="AE331"/>
    </row>
    <row r="332" spans="17:31" ht="12.75" customHeight="1">
      <c r="Q332" s="364"/>
      <c r="R332" s="898"/>
      <c r="S332" s="899"/>
      <c r="T332" s="447"/>
      <c r="U332" s="560"/>
      <c r="V332" s="690" t="str">
        <f>IF(T332&gt;0,W332*U332," ")</f>
        <v xml:space="preserve"> </v>
      </c>
      <c r="W332" s="691" t="str">
        <f>IF(T332&gt;0,(VLOOKUP(T332,'Lookup Ready-reckoner'!$B$5:$E$1007,4))," ")</f>
        <v xml:space="preserve"> </v>
      </c>
      <c r="X332" s="364"/>
      <c r="Y332" s="364"/>
      <c r="Z332" s="364"/>
      <c r="AA332"/>
      <c r="AB332"/>
      <c r="AC332"/>
      <c r="AD332"/>
      <c r="AE332"/>
    </row>
    <row r="333" spans="17:31" ht="12.75" customHeight="1" thickBot="1">
      <c r="Q333" s="364"/>
      <c r="R333" s="692" t="s">
        <v>839</v>
      </c>
      <c r="S333" s="693"/>
      <c r="T333" s="693"/>
      <c r="U333" s="694">
        <f>IF(T331&gt;0,(VLOOKUP(V333,'Lookup Ready-reckoner'!$L$5:$M$1207,2))," ")</f>
        <v>104.4</v>
      </c>
      <c r="V333" s="695">
        <f>IF(U331&gt;0,(SUM(V331:V332))," ")</f>
        <v>8842.8571428571413</v>
      </c>
      <c r="W333" s="696"/>
      <c r="X333" s="364"/>
      <c r="Y333" s="364"/>
      <c r="Z333" s="364"/>
      <c r="AA333"/>
      <c r="AB333"/>
      <c r="AC333"/>
      <c r="AD333"/>
      <c r="AE333"/>
    </row>
    <row r="334" spans="17:31" ht="12.75" customHeight="1">
      <c r="Q334" s="364"/>
      <c r="R334" s="697"/>
      <c r="S334" s="687"/>
      <c r="T334" s="687"/>
      <c r="U334" s="372"/>
      <c r="V334" s="374"/>
      <c r="W334" s="688"/>
      <c r="X334" s="364"/>
      <c r="Y334" s="364"/>
      <c r="Z334" s="364"/>
      <c r="AA334"/>
      <c r="AB334"/>
      <c r="AC334"/>
      <c r="AD334"/>
      <c r="AE334"/>
    </row>
    <row r="335" spans="17:31" ht="12.75" customHeight="1" thickBot="1">
      <c r="Q335" s="364"/>
      <c r="R335" s="686" t="s">
        <v>60</v>
      </c>
      <c r="S335" s="577"/>
      <c r="T335" s="577"/>
      <c r="U335" s="577"/>
      <c r="V335" s="577"/>
      <c r="W335" s="698"/>
      <c r="X335" s="364"/>
      <c r="Y335" s="364"/>
      <c r="Z335" s="364"/>
      <c r="AA335"/>
      <c r="AB335"/>
      <c r="AC335"/>
      <c r="AD335"/>
      <c r="AE335"/>
    </row>
    <row r="336" spans="17:31" ht="12.75" customHeight="1">
      <c r="Q336" s="364"/>
      <c r="R336" s="895" t="s">
        <v>845</v>
      </c>
      <c r="S336" s="896"/>
      <c r="T336" s="900" t="s">
        <v>835</v>
      </c>
      <c r="U336" s="900" t="s">
        <v>836</v>
      </c>
      <c r="V336" s="900" t="s">
        <v>837</v>
      </c>
      <c r="W336" s="902" t="s">
        <v>838</v>
      </c>
      <c r="X336" s="364"/>
      <c r="Y336" s="364"/>
      <c r="Z336" s="364"/>
      <c r="AA336"/>
      <c r="AB336"/>
      <c r="AC336"/>
      <c r="AD336"/>
      <c r="AE336"/>
    </row>
    <row r="337" spans="17:31" ht="12.75" customHeight="1">
      <c r="Q337" s="364"/>
      <c r="R337" s="892"/>
      <c r="S337" s="897"/>
      <c r="T337" s="901"/>
      <c r="U337" s="901"/>
      <c r="V337" s="901"/>
      <c r="W337" s="903"/>
      <c r="X337" s="364"/>
      <c r="Y337" s="364"/>
      <c r="Z337" s="364"/>
      <c r="AA337"/>
      <c r="AB337"/>
      <c r="AC337"/>
      <c r="AD337"/>
      <c r="AE337"/>
    </row>
    <row r="338" spans="17:31" ht="12.75" customHeight="1">
      <c r="Q338" s="364"/>
      <c r="R338" s="892"/>
      <c r="S338" s="897"/>
      <c r="T338" s="689">
        <f>T325-PPE!$I$15</f>
        <v>103</v>
      </c>
      <c r="U338" s="560">
        <f>U331</f>
        <v>1.4285714285714284</v>
      </c>
      <c r="V338" s="690">
        <f>IF(T338&gt;0,W338*U338," ")</f>
        <v>1142.8571428571427</v>
      </c>
      <c r="W338" s="691">
        <f>IF(T338&gt;0,(VLOOKUP(T338,'Lookup Ready-reckoner'!$B$5:$E$1207,4))," ")</f>
        <v>800</v>
      </c>
      <c r="X338" s="364"/>
      <c r="Y338" s="364"/>
      <c r="Z338" s="364"/>
      <c r="AA338"/>
      <c r="AB338"/>
      <c r="AC338"/>
      <c r="AD338"/>
      <c r="AE338"/>
    </row>
    <row r="339" spans="17:31" ht="12.75" customHeight="1">
      <c r="Q339" s="364"/>
      <c r="R339" s="898"/>
      <c r="S339" s="899"/>
      <c r="T339" s="447"/>
      <c r="U339" s="560"/>
      <c r="V339" s="690" t="str">
        <f>IF(T339&gt;0,W339*U339," ")</f>
        <v xml:space="preserve"> </v>
      </c>
      <c r="W339" s="691" t="str">
        <f>IF(T339&gt;0,(VLOOKUP(T339,'Lookup Ready-reckoner'!$B$5:$E$1007,4))," ")</f>
        <v xml:space="preserve"> </v>
      </c>
      <c r="X339" s="364"/>
      <c r="Y339" s="364"/>
      <c r="Z339" s="364"/>
      <c r="AA339"/>
      <c r="AB339"/>
      <c r="AC339"/>
      <c r="AD339"/>
      <c r="AE339"/>
    </row>
    <row r="340" spans="17:31" ht="12.75" customHeight="1" thickBot="1">
      <c r="Q340" s="364"/>
      <c r="R340" s="699" t="s">
        <v>839</v>
      </c>
      <c r="S340" s="693"/>
      <c r="T340" s="693"/>
      <c r="U340" s="694">
        <f>IF(T338&gt;0,(VLOOKUP(V340,'Lookup Ready-reckoner'!$L$5:$M$1207,2))," ")</f>
        <v>95.55</v>
      </c>
      <c r="V340" s="695">
        <f>IF(U338&gt;0,(SUM(V338:V339))," ")</f>
        <v>1142.8571428571427</v>
      </c>
      <c r="W340" s="696"/>
      <c r="X340" s="364"/>
      <c r="Y340" s="364"/>
      <c r="Z340" s="364"/>
      <c r="AA340"/>
      <c r="AB340"/>
      <c r="AC340"/>
      <c r="AD340"/>
      <c r="AE340"/>
    </row>
    <row r="341" spans="17:31" ht="12.75" customHeight="1" thickBot="1">
      <c r="Q341" s="364"/>
      <c r="R341" s="892"/>
      <c r="S341" s="893"/>
      <c r="T341" s="893"/>
      <c r="U341" s="893"/>
      <c r="V341" s="893"/>
      <c r="W341" s="894"/>
      <c r="X341" s="364"/>
      <c r="Y341" s="364"/>
      <c r="Z341" s="364"/>
      <c r="AA341"/>
      <c r="AB341"/>
      <c r="AC341"/>
      <c r="AD341"/>
      <c r="AE341"/>
    </row>
    <row r="342" spans="17:31" ht="12.75" customHeight="1">
      <c r="Q342" s="364"/>
      <c r="R342" s="895" t="s">
        <v>886</v>
      </c>
      <c r="S342" s="896"/>
      <c r="T342" s="900" t="s">
        <v>835</v>
      </c>
      <c r="U342" s="900" t="s">
        <v>836</v>
      </c>
      <c r="V342" s="900" t="s">
        <v>837</v>
      </c>
      <c r="W342" s="902" t="s">
        <v>838</v>
      </c>
      <c r="X342" s="364"/>
      <c r="Y342" s="364"/>
      <c r="Z342" s="364"/>
      <c r="AA342"/>
      <c r="AB342"/>
      <c r="AC342"/>
      <c r="AD342"/>
      <c r="AE342"/>
    </row>
    <row r="343" spans="17:31" ht="12.75" customHeight="1">
      <c r="Q343" s="364"/>
      <c r="R343" s="892"/>
      <c r="S343" s="897"/>
      <c r="T343" s="901"/>
      <c r="U343" s="901"/>
      <c r="V343" s="901"/>
      <c r="W343" s="903"/>
      <c r="X343" s="364"/>
      <c r="Y343" s="364"/>
      <c r="Z343" s="364"/>
      <c r="AA343"/>
      <c r="AB343"/>
      <c r="AC343"/>
      <c r="AD343"/>
      <c r="AE343"/>
    </row>
    <row r="344" spans="17:31" ht="12.75" customHeight="1">
      <c r="Q344" s="364"/>
      <c r="R344" s="892"/>
      <c r="S344" s="897"/>
      <c r="T344" s="689">
        <f>T331-PPE!$I$15</f>
        <v>98.870400000000004</v>
      </c>
      <c r="U344" s="560">
        <f>U338</f>
        <v>1.4285714285714284</v>
      </c>
      <c r="V344" s="690">
        <f>IF(T344&gt;0,W344*U344," ")</f>
        <v>433.03571428571422</v>
      </c>
      <c r="W344" s="691">
        <f>IF(T344&gt;0,(VLOOKUP(T344,'Lookup Ready-reckoner'!$B$5:$E$1207,4))," ")</f>
        <v>303.125</v>
      </c>
      <c r="X344" s="364"/>
      <c r="Y344" s="364"/>
      <c r="Z344" s="364"/>
      <c r="AA344"/>
      <c r="AB344"/>
      <c r="AC344"/>
      <c r="AD344"/>
      <c r="AE344"/>
    </row>
    <row r="345" spans="17:31" ht="12.75" customHeight="1">
      <c r="Q345" s="364"/>
      <c r="R345" s="898"/>
      <c r="S345" s="899"/>
      <c r="T345" s="447"/>
      <c r="U345" s="560"/>
      <c r="V345" s="690" t="str">
        <f>IF(T345&gt;0,W345*U345," ")</f>
        <v xml:space="preserve"> </v>
      </c>
      <c r="W345" s="691" t="str">
        <f>IF(T345&gt;0,(VLOOKUP(T345,'Lookup Ready-reckoner'!$B$5:$E$1007,4))," ")</f>
        <v xml:space="preserve"> </v>
      </c>
      <c r="X345" s="364"/>
      <c r="Y345" s="364"/>
      <c r="Z345" s="364"/>
      <c r="AA345"/>
      <c r="AB345"/>
      <c r="AC345"/>
      <c r="AD345"/>
      <c r="AE345"/>
    </row>
    <row r="346" spans="17:31" ht="12.75" customHeight="1" thickBot="1">
      <c r="Q346" s="364"/>
      <c r="R346" s="692" t="s">
        <v>839</v>
      </c>
      <c r="S346" s="693"/>
      <c r="T346" s="693"/>
      <c r="U346" s="694">
        <f>IF(T344&gt;0,(VLOOKUP(V346,'Lookup Ready-reckoner'!$L$5:$M$1207,2))," ")</f>
        <v>91.3</v>
      </c>
      <c r="V346" s="695">
        <f>IF(U344&gt;0,(SUM(V344:V345))," ")</f>
        <v>433.03571428571422</v>
      </c>
      <c r="W346" s="696"/>
      <c r="X346" s="364"/>
      <c r="Y346" s="364"/>
      <c r="Z346" s="364"/>
      <c r="AA346"/>
      <c r="AB346"/>
      <c r="AC346"/>
      <c r="AD346"/>
      <c r="AE346"/>
    </row>
    <row r="347" spans="17:31" ht="12.75" customHeight="1">
      <c r="Q347" s="364"/>
      <c r="R347" s="363"/>
      <c r="S347" s="363"/>
      <c r="T347" s="363"/>
      <c r="U347" s="363"/>
      <c r="V347" s="363"/>
      <c r="W347" s="363"/>
      <c r="X347" s="364"/>
      <c r="Y347" s="364"/>
      <c r="Z347" s="364"/>
      <c r="AA347"/>
      <c r="AB347"/>
      <c r="AC347"/>
      <c r="AD347"/>
      <c r="AE347"/>
    </row>
    <row r="348" spans="17:31" ht="12.75" customHeight="1" thickBot="1">
      <c r="Q348" s="364"/>
      <c r="R348" s="915" t="str">
        <f>T306</f>
        <v>Seco S215 Muffled</v>
      </c>
      <c r="S348" s="915"/>
      <c r="T348" s="915"/>
      <c r="U348" s="915"/>
      <c r="V348" s="915"/>
      <c r="W348" s="915"/>
      <c r="X348" s="364"/>
      <c r="Y348" s="363"/>
      <c r="Z348" s="363"/>
      <c r="AA348"/>
      <c r="AB348"/>
      <c r="AC348"/>
      <c r="AD348"/>
      <c r="AE348"/>
    </row>
    <row r="349" spans="17:31" ht="12.75" customHeight="1" thickBot="1">
      <c r="Q349" s="364"/>
      <c r="R349" s="906" t="s">
        <v>205</v>
      </c>
      <c r="S349" s="907"/>
      <c r="T349" s="907"/>
      <c r="U349" s="907"/>
      <c r="V349" s="907"/>
      <c r="W349" s="908"/>
      <c r="X349" s="364"/>
      <c r="Y349" s="363"/>
      <c r="Z349" s="363"/>
      <c r="AA349"/>
      <c r="AB349"/>
      <c r="AC349"/>
      <c r="AD349"/>
      <c r="AE349"/>
    </row>
    <row r="350" spans="17:31" ht="12.75" customHeight="1" thickBot="1">
      <c r="Q350" s="364"/>
      <c r="R350" s="686" t="s">
        <v>59</v>
      </c>
      <c r="S350" s="577"/>
      <c r="T350" s="687"/>
      <c r="U350" s="687"/>
      <c r="V350" s="687"/>
      <c r="W350" s="688"/>
      <c r="X350" s="364"/>
      <c r="Y350" s="363"/>
      <c r="Z350" s="363"/>
      <c r="AA350"/>
      <c r="AB350"/>
      <c r="AC350"/>
      <c r="AD350"/>
      <c r="AE350"/>
    </row>
    <row r="351" spans="17:31" ht="12.75" customHeight="1">
      <c r="Q351" s="364"/>
      <c r="R351" s="895" t="s">
        <v>845</v>
      </c>
      <c r="S351" s="896"/>
      <c r="T351" s="900" t="s">
        <v>835</v>
      </c>
      <c r="U351" s="900" t="s">
        <v>836</v>
      </c>
      <c r="V351" s="900" t="s">
        <v>837</v>
      </c>
      <c r="W351" s="902" t="s">
        <v>838</v>
      </c>
      <c r="X351" s="364"/>
      <c r="Y351" s="363"/>
      <c r="Z351" s="363"/>
      <c r="AA351"/>
      <c r="AB351"/>
      <c r="AC351"/>
      <c r="AD351"/>
      <c r="AE351"/>
    </row>
    <row r="352" spans="17:31" ht="12.75" customHeight="1">
      <c r="Q352" s="364"/>
      <c r="R352" s="892"/>
      <c r="S352" s="897"/>
      <c r="T352" s="904"/>
      <c r="U352" s="904"/>
      <c r="V352" s="904"/>
      <c r="W352" s="905"/>
      <c r="X352" s="364"/>
      <c r="Y352" s="363"/>
      <c r="Z352" s="363"/>
      <c r="AA352"/>
      <c r="AB352"/>
      <c r="AC352"/>
      <c r="AD352"/>
      <c r="AE352"/>
    </row>
    <row r="353" spans="17:31" ht="12.75" customHeight="1">
      <c r="Q353" s="364"/>
      <c r="R353" s="892"/>
      <c r="S353" s="897"/>
      <c r="T353" s="901"/>
      <c r="U353" s="901"/>
      <c r="V353" s="901"/>
      <c r="W353" s="903"/>
      <c r="X353" s="364"/>
      <c r="Y353" s="363"/>
      <c r="Z353" s="363"/>
      <c r="AA353"/>
      <c r="AB353"/>
      <c r="AC353"/>
      <c r="AD353"/>
      <c r="AE353"/>
    </row>
    <row r="354" spans="17:31" ht="12.75" customHeight="1">
      <c r="Q354" s="364"/>
      <c r="R354" s="892"/>
      <c r="S354" s="897"/>
      <c r="T354" s="700">
        <f>V69</f>
        <v>108</v>
      </c>
      <c r="U354" s="560">
        <f>V62</f>
        <v>1.9999999999999996</v>
      </c>
      <c r="V354" s="690">
        <f>IF(T354&gt;0,W354*U354," ")</f>
        <v>4999.9999999999991</v>
      </c>
      <c r="W354" s="691">
        <f>IF(T354&gt;0,(VLOOKUP(T354,'Lookup Ready-reckoner'!$B$5:$E$1207,4))," ")</f>
        <v>2500</v>
      </c>
      <c r="X354" s="364"/>
      <c r="Y354" s="363"/>
      <c r="Z354" s="363"/>
      <c r="AA354"/>
      <c r="AB354"/>
      <c r="AC354"/>
      <c r="AD354"/>
      <c r="AE354"/>
    </row>
    <row r="355" spans="17:31" ht="12.75" customHeight="1">
      <c r="Q355" s="364"/>
      <c r="R355" s="898"/>
      <c r="S355" s="899"/>
      <c r="T355" s="447"/>
      <c r="U355" s="560"/>
      <c r="V355" s="690" t="str">
        <f>IF(T355&gt;0,W355*U355," ")</f>
        <v xml:space="preserve"> </v>
      </c>
      <c r="W355" s="691" t="str">
        <f>IF(T355&gt;0,(VLOOKUP(T355,'Lookup Ready-reckoner'!$B$5:$E$1007,4))," ")</f>
        <v xml:space="preserve"> </v>
      </c>
      <c r="X355" s="364"/>
      <c r="Y355" s="363"/>
      <c r="Z355" s="363"/>
      <c r="AA355"/>
      <c r="AB355"/>
      <c r="AC355"/>
      <c r="AD355"/>
      <c r="AE355"/>
    </row>
    <row r="356" spans="17:31" ht="12.75" customHeight="1" thickBot="1">
      <c r="Q356" s="364"/>
      <c r="R356" s="699" t="s">
        <v>839</v>
      </c>
      <c r="S356" s="693"/>
      <c r="T356" s="693"/>
      <c r="U356" s="701">
        <f>IF(T354&gt;0,(VLOOKUP(V356,'Lookup Ready-reckoner'!$L$5:$M$1207,2))," ")</f>
        <v>101.95</v>
      </c>
      <c r="V356" s="695">
        <f>IF(U354&gt;0,(SUM(V354:V355))," ")</f>
        <v>4999.9999999999991</v>
      </c>
      <c r="W356" s="696"/>
      <c r="X356" s="364"/>
      <c r="Y356" s="363"/>
      <c r="Z356" s="363"/>
      <c r="AA356"/>
      <c r="AB356"/>
      <c r="AC356"/>
      <c r="AD356"/>
      <c r="AE356"/>
    </row>
    <row r="357" spans="17:31" ht="12.75" customHeight="1" thickBot="1">
      <c r="Q357" s="364"/>
      <c r="R357" s="892"/>
      <c r="S357" s="893"/>
      <c r="T357" s="893"/>
      <c r="U357" s="893"/>
      <c r="V357" s="893"/>
      <c r="W357" s="894"/>
      <c r="X357" s="364"/>
      <c r="Y357" s="363"/>
      <c r="Z357" s="363"/>
      <c r="AA357"/>
      <c r="AB357"/>
      <c r="AC357"/>
      <c r="AD357"/>
      <c r="AE357"/>
    </row>
    <row r="358" spans="17:31" ht="12.75" customHeight="1">
      <c r="Q358" s="364"/>
      <c r="R358" s="895" t="s">
        <v>886</v>
      </c>
      <c r="S358" s="896"/>
      <c r="T358" s="900" t="s">
        <v>835</v>
      </c>
      <c r="U358" s="900" t="s">
        <v>836</v>
      </c>
      <c r="V358" s="900" t="s">
        <v>837</v>
      </c>
      <c r="W358" s="902" t="s">
        <v>838</v>
      </c>
      <c r="X358" s="364"/>
      <c r="Y358" s="363"/>
      <c r="Z358" s="363"/>
      <c r="AA358"/>
      <c r="AB358"/>
      <c r="AC358"/>
      <c r="AD358"/>
      <c r="AE358"/>
    </row>
    <row r="359" spans="17:31" ht="12.75" customHeight="1">
      <c r="Q359" s="364"/>
      <c r="R359" s="892"/>
      <c r="S359" s="897"/>
      <c r="T359" s="901"/>
      <c r="U359" s="901"/>
      <c r="V359" s="901"/>
      <c r="W359" s="903"/>
      <c r="X359" s="364"/>
      <c r="Y359" s="363"/>
      <c r="Z359" s="363"/>
      <c r="AA359"/>
      <c r="AB359"/>
      <c r="AC359"/>
      <c r="AD359"/>
      <c r="AE359"/>
    </row>
    <row r="360" spans="17:31" ht="12.75" customHeight="1">
      <c r="Q360" s="364"/>
      <c r="R360" s="892"/>
      <c r="S360" s="897"/>
      <c r="T360" s="700">
        <f>T354*(1-0.0178*2)</f>
        <v>104.15520000000001</v>
      </c>
      <c r="U360" s="560">
        <f>U354</f>
        <v>1.9999999999999996</v>
      </c>
      <c r="V360" s="690">
        <f>IF(T360&gt;0,W360*U360," ")</f>
        <v>2074.9999999999995</v>
      </c>
      <c r="W360" s="691">
        <f>IF(T360&gt;0,(VLOOKUP(T360,'Lookup Ready-reckoner'!$B$5:$E$1207,4))," ")</f>
        <v>1037.5</v>
      </c>
      <c r="X360" s="364"/>
      <c r="Y360" s="363"/>
      <c r="Z360" s="363"/>
      <c r="AA360"/>
      <c r="AB360"/>
      <c r="AC360"/>
      <c r="AD360"/>
      <c r="AE360"/>
    </row>
    <row r="361" spans="17:31" ht="12.75" customHeight="1">
      <c r="Q361" s="364"/>
      <c r="R361" s="898"/>
      <c r="S361" s="899"/>
      <c r="T361" s="447"/>
      <c r="U361" s="560"/>
      <c r="V361" s="690" t="str">
        <f>IF(T361&gt;0,W361*U361," ")</f>
        <v xml:space="preserve"> </v>
      </c>
      <c r="W361" s="691" t="str">
        <f>IF(T361&gt;0,(VLOOKUP(T361,'Lookup Ready-reckoner'!$B$5:$E$1007,4))," ")</f>
        <v xml:space="preserve"> </v>
      </c>
      <c r="X361" s="364"/>
      <c r="Y361" s="363"/>
      <c r="Z361" s="363"/>
      <c r="AA361"/>
      <c r="AB361"/>
      <c r="AC361"/>
      <c r="AD361"/>
      <c r="AE361"/>
    </row>
    <row r="362" spans="17:31" ht="12.75" customHeight="1" thickBot="1">
      <c r="Q362" s="364"/>
      <c r="R362" s="692" t="s">
        <v>839</v>
      </c>
      <c r="S362" s="693"/>
      <c r="T362" s="693"/>
      <c r="U362" s="701">
        <f>IF(T360&gt;0,(VLOOKUP(V362,'Lookup Ready-reckoner'!$L$5:$M$1207,2))," ")</f>
        <v>98.1</v>
      </c>
      <c r="V362" s="695">
        <f>IF(U360&gt;0,(SUM(V360:V361))," ")</f>
        <v>2074.9999999999995</v>
      </c>
      <c r="W362" s="696"/>
      <c r="X362" s="364"/>
      <c r="Y362" s="363"/>
      <c r="Z362" s="363"/>
      <c r="AA362"/>
      <c r="AB362"/>
      <c r="AC362"/>
      <c r="AD362"/>
      <c r="AE362"/>
    </row>
    <row r="363" spans="17:31" ht="12.75" customHeight="1">
      <c r="Q363" s="364"/>
      <c r="R363" s="697"/>
      <c r="S363" s="687"/>
      <c r="T363" s="687"/>
      <c r="U363" s="372"/>
      <c r="V363" s="374"/>
      <c r="W363" s="688"/>
      <c r="X363" s="364"/>
      <c r="Y363" s="363"/>
      <c r="Z363" s="363"/>
      <c r="AA363"/>
      <c r="AB363"/>
      <c r="AC363"/>
      <c r="AD363"/>
      <c r="AE363"/>
    </row>
    <row r="364" spans="17:31" ht="12.75" customHeight="1" thickBot="1">
      <c r="Q364" s="364"/>
      <c r="R364" s="686" t="s">
        <v>60</v>
      </c>
      <c r="S364" s="577"/>
      <c r="T364" s="577"/>
      <c r="U364" s="577"/>
      <c r="V364" s="577"/>
      <c r="W364" s="698"/>
      <c r="X364" s="364"/>
      <c r="Y364" s="363"/>
      <c r="Z364" s="363"/>
      <c r="AA364"/>
      <c r="AB364"/>
      <c r="AC364"/>
      <c r="AD364"/>
      <c r="AE364"/>
    </row>
    <row r="365" spans="17:31" ht="12.75" customHeight="1">
      <c r="Q365" s="364"/>
      <c r="R365" s="895" t="s">
        <v>845</v>
      </c>
      <c r="S365" s="896"/>
      <c r="T365" s="900" t="s">
        <v>835</v>
      </c>
      <c r="U365" s="900" t="s">
        <v>836</v>
      </c>
      <c r="V365" s="900" t="s">
        <v>837</v>
      </c>
      <c r="W365" s="902" t="s">
        <v>838</v>
      </c>
      <c r="X365" s="364"/>
      <c r="Y365" s="363"/>
      <c r="Z365" s="363"/>
      <c r="AA365"/>
      <c r="AB365"/>
      <c r="AC365"/>
      <c r="AD365"/>
      <c r="AE365"/>
    </row>
    <row r="366" spans="17:31" ht="12.75" customHeight="1">
      <c r="Q366" s="364"/>
      <c r="R366" s="892"/>
      <c r="S366" s="897"/>
      <c r="T366" s="901"/>
      <c r="U366" s="901"/>
      <c r="V366" s="901"/>
      <c r="W366" s="903"/>
      <c r="X366" s="364"/>
      <c r="Y366" s="363"/>
      <c r="Z366" s="363"/>
      <c r="AA366"/>
      <c r="AB366"/>
      <c r="AC366"/>
      <c r="AD366"/>
      <c r="AE366"/>
    </row>
    <row r="367" spans="17:31" ht="12.75" customHeight="1">
      <c r="Q367" s="364"/>
      <c r="R367" s="892"/>
      <c r="S367" s="897"/>
      <c r="T367" s="700">
        <f>T354-PPE!$I$15</f>
        <v>95</v>
      </c>
      <c r="U367" s="560">
        <f>U360</f>
        <v>1.9999999999999996</v>
      </c>
      <c r="V367" s="690">
        <f>IF(T367&gt;0,W367*U367," ")</f>
        <v>249.99999999999994</v>
      </c>
      <c r="W367" s="691">
        <f>IF(T367&gt;0,(VLOOKUP(T367,'Lookup Ready-reckoner'!$B$5:$E$1207,4))," ")</f>
        <v>125</v>
      </c>
      <c r="X367" s="364"/>
      <c r="Y367" s="363"/>
      <c r="Z367" s="363"/>
      <c r="AA367"/>
      <c r="AB367"/>
      <c r="AC367"/>
      <c r="AD367"/>
      <c r="AE367"/>
    </row>
    <row r="368" spans="17:31" ht="12.75" customHeight="1">
      <c r="Q368" s="364"/>
      <c r="R368" s="898"/>
      <c r="S368" s="899"/>
      <c r="T368" s="447"/>
      <c r="U368" s="560"/>
      <c r="V368" s="690" t="str">
        <f>IF(T368&gt;0,W368*U368," ")</f>
        <v xml:space="preserve"> </v>
      </c>
      <c r="W368" s="691" t="str">
        <f>IF(T368&gt;0,(VLOOKUP(T368,'Lookup Ready-reckoner'!$B$5:$E$1007,4))," ")</f>
        <v xml:space="preserve"> </v>
      </c>
      <c r="X368" s="364"/>
      <c r="Y368" s="363"/>
      <c r="Z368" s="363"/>
      <c r="AA368"/>
      <c r="AB368"/>
      <c r="AC368"/>
      <c r="AD368"/>
      <c r="AE368"/>
    </row>
    <row r="369" spans="17:31" ht="12.75" customHeight="1" thickBot="1">
      <c r="Q369" s="364"/>
      <c r="R369" s="692" t="s">
        <v>839</v>
      </c>
      <c r="S369" s="693"/>
      <c r="T369" s="693"/>
      <c r="U369" s="701">
        <f>IF(T367&gt;0,(VLOOKUP(V369,'Lookup Ready-reckoner'!$L$5:$M$1207,2))," ")</f>
        <v>88.95</v>
      </c>
      <c r="V369" s="695">
        <f>IF(U367&gt;0,(SUM(V367:V368))," ")</f>
        <v>249.99999999999994</v>
      </c>
      <c r="W369" s="696"/>
      <c r="X369" s="364"/>
      <c r="Y369" s="363"/>
      <c r="Z369" s="363"/>
      <c r="AA369"/>
      <c r="AB369"/>
      <c r="AC369"/>
      <c r="AD369"/>
      <c r="AE369"/>
    </row>
    <row r="370" spans="17:31" ht="12.75" customHeight="1" thickBot="1">
      <c r="Q370" s="364"/>
      <c r="R370" s="892"/>
      <c r="S370" s="893"/>
      <c r="T370" s="893"/>
      <c r="U370" s="893"/>
      <c r="V370" s="893"/>
      <c r="W370" s="894"/>
      <c r="X370" s="364"/>
      <c r="Y370" s="363"/>
      <c r="Z370" s="363"/>
      <c r="AA370"/>
      <c r="AB370"/>
      <c r="AC370"/>
      <c r="AD370"/>
      <c r="AE370"/>
    </row>
    <row r="371" spans="17:31" ht="12.75" customHeight="1">
      <c r="Q371" s="364"/>
      <c r="R371" s="895" t="s">
        <v>886</v>
      </c>
      <c r="S371" s="896"/>
      <c r="T371" s="900" t="s">
        <v>835</v>
      </c>
      <c r="U371" s="900" t="s">
        <v>836</v>
      </c>
      <c r="V371" s="900" t="s">
        <v>837</v>
      </c>
      <c r="W371" s="902" t="s">
        <v>838</v>
      </c>
      <c r="X371" s="364"/>
      <c r="Y371" s="363"/>
      <c r="Z371" s="363"/>
      <c r="AA371"/>
      <c r="AB371"/>
      <c r="AC371"/>
      <c r="AD371"/>
      <c r="AE371"/>
    </row>
    <row r="372" spans="17:31" ht="12.75" customHeight="1">
      <c r="Q372" s="364"/>
      <c r="R372" s="892"/>
      <c r="S372" s="897"/>
      <c r="T372" s="901"/>
      <c r="U372" s="901"/>
      <c r="V372" s="901"/>
      <c r="W372" s="903"/>
      <c r="X372" s="364"/>
      <c r="Y372" s="363"/>
      <c r="Z372" s="363"/>
      <c r="AA372"/>
      <c r="AB372"/>
      <c r="AC372"/>
      <c r="AD372"/>
      <c r="AE372"/>
    </row>
    <row r="373" spans="17:31" ht="12.75" customHeight="1">
      <c r="Q373" s="364"/>
      <c r="R373" s="892"/>
      <c r="S373" s="897"/>
      <c r="T373" s="700">
        <f>T360-PPE!$I$15</f>
        <v>91.155200000000008</v>
      </c>
      <c r="U373" s="560">
        <f>U367</f>
        <v>1.9999999999999996</v>
      </c>
      <c r="V373" s="690">
        <f>IF(T373&gt;0,W373*U373," ")</f>
        <v>103.74999999999997</v>
      </c>
      <c r="W373" s="691">
        <f>IF(T373&gt;0,(VLOOKUP(T373,'Lookup Ready-reckoner'!$B$5:$E$1207,4))," ")</f>
        <v>51.875</v>
      </c>
      <c r="X373" s="364"/>
      <c r="Y373" s="363"/>
      <c r="Z373" s="363"/>
      <c r="AA373"/>
      <c r="AB373"/>
      <c r="AC373"/>
      <c r="AD373"/>
      <c r="AE373"/>
    </row>
    <row r="374" spans="17:31" ht="12.75" customHeight="1">
      <c r="Q374" s="364"/>
      <c r="R374" s="898"/>
      <c r="S374" s="899"/>
      <c r="T374" s="447"/>
      <c r="U374" s="560"/>
      <c r="V374" s="690" t="str">
        <f>IF(T374&gt;0,W374*U374," ")</f>
        <v xml:space="preserve"> </v>
      </c>
      <c r="W374" s="691" t="str">
        <f>IF(T374&gt;0,(VLOOKUP(T374,'Lookup Ready-reckoner'!$B$5:$E$1007,4))," ")</f>
        <v xml:space="preserve"> </v>
      </c>
      <c r="X374" s="364"/>
      <c r="Y374" s="363"/>
      <c r="Z374" s="363"/>
      <c r="AA374"/>
      <c r="AB374"/>
      <c r="AC374"/>
      <c r="AD374"/>
      <c r="AE374"/>
    </row>
    <row r="375" spans="17:31" ht="12.75" customHeight="1" thickBot="1">
      <c r="Q375" s="364"/>
      <c r="R375" s="692" t="s">
        <v>839</v>
      </c>
      <c r="S375" s="693"/>
      <c r="T375" s="693"/>
      <c r="U375" s="701">
        <f>IF(T373&gt;0,(VLOOKUP(V375,'Lookup Ready-reckoner'!$L$5:$M$1207,2))," ")</f>
        <v>85.1</v>
      </c>
      <c r="V375" s="695">
        <f>IF(U373&gt;0,(SUM(V373:V374))," ")</f>
        <v>103.74999999999997</v>
      </c>
      <c r="W375" s="696"/>
      <c r="X375" s="364"/>
      <c r="Y375" s="363"/>
      <c r="Z375" s="363"/>
      <c r="AA375"/>
      <c r="AB375"/>
      <c r="AC375"/>
      <c r="AD375"/>
      <c r="AE375"/>
    </row>
    <row r="376" spans="17:31" ht="12.75" customHeight="1">
      <c r="Q376" s="364"/>
      <c r="R376" s="363"/>
      <c r="S376" s="363"/>
      <c r="T376" s="363"/>
      <c r="U376" s="363"/>
      <c r="V376" s="363"/>
      <c r="W376" s="363"/>
      <c r="X376" s="364"/>
      <c r="Y376" s="364"/>
      <c r="Z376" s="364"/>
      <c r="AA376"/>
      <c r="AB376"/>
      <c r="AC376"/>
      <c r="AD376"/>
      <c r="AE376"/>
    </row>
    <row r="377" spans="17:31" ht="12.75" customHeight="1">
      <c r="Q377" s="364"/>
      <c r="R377" s="913" t="str">
        <f>U306</f>
        <v>Sulzer ADDS</v>
      </c>
      <c r="S377" s="914"/>
      <c r="T377" s="914"/>
      <c r="U377" s="914"/>
      <c r="V377" s="914"/>
      <c r="W377" s="914"/>
      <c r="X377" s="364"/>
      <c r="Y377" s="363"/>
      <c r="Z377" s="363"/>
      <c r="AA377"/>
      <c r="AB377"/>
      <c r="AC377"/>
      <c r="AD377"/>
      <c r="AE377"/>
    </row>
    <row r="378" spans="17:31" ht="12.75" customHeight="1" thickBot="1">
      <c r="Q378" s="364"/>
      <c r="R378" s="910" t="s">
        <v>205</v>
      </c>
      <c r="S378" s="911"/>
      <c r="T378" s="911"/>
      <c r="U378" s="911"/>
      <c r="V378" s="911"/>
      <c r="W378" s="912"/>
      <c r="X378" s="364"/>
      <c r="Y378" s="363"/>
      <c r="Z378" s="363"/>
      <c r="AA378"/>
      <c r="AB378"/>
      <c r="AC378"/>
      <c r="AD378"/>
      <c r="AE378"/>
    </row>
    <row r="379" spans="17:31" ht="12.75" customHeight="1" thickBot="1">
      <c r="Q379" s="364"/>
      <c r="R379" s="686" t="s">
        <v>59</v>
      </c>
      <c r="S379" s="577"/>
      <c r="T379" s="687"/>
      <c r="U379" s="687"/>
      <c r="V379" s="687"/>
      <c r="W379" s="688"/>
      <c r="X379" s="364"/>
      <c r="Y379" s="363"/>
      <c r="Z379" s="363"/>
      <c r="AA379"/>
      <c r="AB379"/>
      <c r="AC379"/>
      <c r="AD379"/>
      <c r="AE379"/>
    </row>
    <row r="380" spans="17:31" ht="12.75" customHeight="1">
      <c r="Q380" s="364"/>
      <c r="R380" s="895" t="s">
        <v>845</v>
      </c>
      <c r="S380" s="896"/>
      <c r="T380" s="900" t="s">
        <v>835</v>
      </c>
      <c r="U380" s="900" t="s">
        <v>836</v>
      </c>
      <c r="V380" s="900" t="s">
        <v>837</v>
      </c>
      <c r="W380" s="902" t="s">
        <v>838</v>
      </c>
      <c r="X380" s="364"/>
      <c r="Y380" s="363"/>
      <c r="Z380" s="363"/>
      <c r="AA380"/>
      <c r="AB380"/>
      <c r="AC380"/>
      <c r="AD380"/>
      <c r="AE380"/>
    </row>
    <row r="381" spans="17:31" ht="12.75" customHeight="1">
      <c r="Q381" s="364"/>
      <c r="R381" s="892"/>
      <c r="S381" s="897"/>
      <c r="T381" s="904"/>
      <c r="U381" s="904"/>
      <c r="V381" s="904"/>
      <c r="W381" s="905"/>
      <c r="X381" s="364"/>
      <c r="Y381" s="363"/>
      <c r="Z381" s="363"/>
      <c r="AA381"/>
      <c r="AB381"/>
      <c r="AC381"/>
      <c r="AD381"/>
      <c r="AE381"/>
    </row>
    <row r="382" spans="17:31" ht="12.75" customHeight="1">
      <c r="Q382" s="364"/>
      <c r="R382" s="892"/>
      <c r="S382" s="897"/>
      <c r="T382" s="901"/>
      <c r="U382" s="901"/>
      <c r="V382" s="901"/>
      <c r="W382" s="903"/>
      <c r="X382" s="364"/>
      <c r="Y382" s="363"/>
      <c r="Z382" s="363"/>
      <c r="AA382"/>
      <c r="AB382"/>
      <c r="AC382"/>
      <c r="AD382"/>
      <c r="AE382"/>
    </row>
    <row r="383" spans="17:31" ht="12.75" customHeight="1">
      <c r="Q383" s="364"/>
      <c r="R383" s="892"/>
      <c r="S383" s="897"/>
      <c r="T383" s="702">
        <f>W69</f>
        <v>109</v>
      </c>
      <c r="U383" s="560">
        <f>W62</f>
        <v>1.7391304347826084</v>
      </c>
      <c r="V383" s="690">
        <f>IF(T383&gt;0,W383*U383," ")</f>
        <v>5565.2173913043471</v>
      </c>
      <c r="W383" s="691">
        <f>IF(T383&gt;0,(VLOOKUP(T383,'Lookup Ready-reckoner'!$B$5:$E$1207,4))," ")</f>
        <v>3200</v>
      </c>
      <c r="X383" s="364"/>
      <c r="Y383" s="363"/>
      <c r="Z383" s="363"/>
      <c r="AA383"/>
      <c r="AB383"/>
      <c r="AC383"/>
      <c r="AD383"/>
      <c r="AE383"/>
    </row>
    <row r="384" spans="17:31" ht="12.75" customHeight="1">
      <c r="Q384" s="364"/>
      <c r="R384" s="898"/>
      <c r="S384" s="899"/>
      <c r="T384" s="447"/>
      <c r="U384" s="560"/>
      <c r="V384" s="690" t="str">
        <f>IF(T384&gt;0,W384*U384," ")</f>
        <v xml:space="preserve"> </v>
      </c>
      <c r="W384" s="691" t="str">
        <f>IF(T384&gt;0,(VLOOKUP(T384,'Lookup Ready-reckoner'!$B$5:$E$1007,4))," ")</f>
        <v xml:space="preserve"> </v>
      </c>
      <c r="X384" s="364"/>
      <c r="Y384" s="363"/>
      <c r="Z384" s="363"/>
      <c r="AA384"/>
      <c r="AB384"/>
      <c r="AC384"/>
      <c r="AD384"/>
      <c r="AE384"/>
    </row>
    <row r="385" spans="17:31" ht="12.75" customHeight="1" thickBot="1">
      <c r="Q385" s="364"/>
      <c r="R385" s="692" t="s">
        <v>839</v>
      </c>
      <c r="S385" s="693"/>
      <c r="T385" s="693"/>
      <c r="U385" s="703">
        <f>IF(T383&gt;0,(VLOOKUP(V385,'Lookup Ready-reckoner'!$L$5:$M$1207,2))," ")</f>
        <v>102.4</v>
      </c>
      <c r="V385" s="695">
        <f>IF(U383&gt;0,(SUM(V383:V384))," ")</f>
        <v>5565.2173913043471</v>
      </c>
      <c r="W385" s="696"/>
      <c r="X385" s="364"/>
      <c r="Y385" s="363"/>
      <c r="Z385" s="363"/>
      <c r="AA385"/>
      <c r="AB385"/>
      <c r="AC385"/>
      <c r="AD385"/>
      <c r="AE385"/>
    </row>
    <row r="386" spans="17:31" ht="12.75" customHeight="1" thickBot="1">
      <c r="Q386" s="364"/>
      <c r="R386" s="892"/>
      <c r="S386" s="893"/>
      <c r="T386" s="893"/>
      <c r="U386" s="893"/>
      <c r="V386" s="893"/>
      <c r="W386" s="894"/>
      <c r="X386" s="364"/>
      <c r="Y386" s="363"/>
      <c r="Z386" s="363"/>
      <c r="AA386"/>
      <c r="AB386"/>
      <c r="AC386"/>
      <c r="AD386"/>
      <c r="AE386"/>
    </row>
    <row r="387" spans="17:31" ht="12.75" customHeight="1">
      <c r="Q387" s="364"/>
      <c r="R387" s="895" t="s">
        <v>886</v>
      </c>
      <c r="S387" s="896"/>
      <c r="T387" s="900" t="s">
        <v>835</v>
      </c>
      <c r="U387" s="900" t="s">
        <v>836</v>
      </c>
      <c r="V387" s="900" t="s">
        <v>837</v>
      </c>
      <c r="W387" s="902" t="s">
        <v>838</v>
      </c>
      <c r="X387" s="364"/>
      <c r="Y387" s="363"/>
      <c r="Z387" s="363"/>
      <c r="AA387"/>
      <c r="AB387"/>
      <c r="AC387"/>
      <c r="AD387"/>
      <c r="AE387"/>
    </row>
    <row r="388" spans="17:31" ht="12.75" customHeight="1">
      <c r="Q388" s="364"/>
      <c r="R388" s="892"/>
      <c r="S388" s="897"/>
      <c r="T388" s="901"/>
      <c r="U388" s="901"/>
      <c r="V388" s="901"/>
      <c r="W388" s="903"/>
      <c r="X388" s="364"/>
      <c r="Y388" s="363"/>
      <c r="Z388" s="363"/>
      <c r="AA388"/>
      <c r="AB388"/>
      <c r="AC388"/>
      <c r="AD388"/>
      <c r="AE388"/>
    </row>
    <row r="389" spans="17:31" ht="12.75" customHeight="1">
      <c r="Q389" s="364"/>
      <c r="R389" s="892"/>
      <c r="S389" s="897"/>
      <c r="T389" s="702">
        <f>T383*(1-0.0178*2)</f>
        <v>105.11960000000001</v>
      </c>
      <c r="U389" s="560">
        <f>U383</f>
        <v>1.7391304347826084</v>
      </c>
      <c r="V389" s="690">
        <f>IF(T389&gt;0,W389*U389," ")</f>
        <v>2234.782608695652</v>
      </c>
      <c r="W389" s="691">
        <f>IF(T389&gt;0,(VLOOKUP(T389,'Lookup Ready-reckoner'!$B$5:$E$1207,4))," ")</f>
        <v>1285</v>
      </c>
      <c r="X389" s="364"/>
      <c r="Y389" s="363"/>
      <c r="Z389" s="363"/>
      <c r="AA389"/>
      <c r="AB389"/>
      <c r="AC389"/>
      <c r="AD389"/>
      <c r="AE389"/>
    </row>
    <row r="390" spans="17:31" ht="12.75" customHeight="1">
      <c r="Q390" s="364"/>
      <c r="R390" s="898"/>
      <c r="S390" s="899"/>
      <c r="T390" s="447"/>
      <c r="U390" s="560"/>
      <c r="V390" s="690" t="str">
        <f>IF(T390&gt;0,W390*U390," ")</f>
        <v xml:space="preserve"> </v>
      </c>
      <c r="W390" s="691" t="str">
        <f>IF(T390&gt;0,(VLOOKUP(T390,'Lookup Ready-reckoner'!$B$5:$E$1007,4))," ")</f>
        <v xml:space="preserve"> </v>
      </c>
      <c r="X390" s="364"/>
      <c r="Y390" s="363"/>
      <c r="Z390" s="363"/>
      <c r="AA390"/>
      <c r="AB390"/>
      <c r="AC390"/>
      <c r="AD390"/>
      <c r="AE390"/>
    </row>
    <row r="391" spans="17:31" ht="12.75" customHeight="1" thickBot="1">
      <c r="Q391" s="364"/>
      <c r="R391" s="692" t="s">
        <v>839</v>
      </c>
      <c r="S391" s="693"/>
      <c r="T391" s="693"/>
      <c r="U391" s="703">
        <f>IF(T389&gt;0,(VLOOKUP(V391,'Lookup Ready-reckoner'!$L$5:$M$1207,2))," ")</f>
        <v>98.45</v>
      </c>
      <c r="V391" s="695">
        <f>IF(U389&gt;0,(SUM(V389:V390))," ")</f>
        <v>2234.782608695652</v>
      </c>
      <c r="W391" s="696"/>
      <c r="X391" s="364"/>
      <c r="Y391" s="363"/>
      <c r="Z391" s="363"/>
      <c r="AA391"/>
      <c r="AB391"/>
      <c r="AC391"/>
      <c r="AD391"/>
      <c r="AE391"/>
    </row>
    <row r="392" spans="17:31" ht="12.75" customHeight="1">
      <c r="Q392" s="364"/>
      <c r="R392" s="697"/>
      <c r="S392" s="687"/>
      <c r="T392" s="687"/>
      <c r="U392" s="372"/>
      <c r="V392" s="374"/>
      <c r="W392" s="688"/>
      <c r="X392" s="364"/>
      <c r="Y392" s="363"/>
      <c r="Z392" s="363"/>
      <c r="AA392"/>
      <c r="AB392"/>
      <c r="AC392"/>
      <c r="AD392"/>
      <c r="AE392"/>
    </row>
    <row r="393" spans="17:31" ht="12.75" customHeight="1" thickBot="1">
      <c r="Q393" s="364"/>
      <c r="R393" s="686" t="s">
        <v>60</v>
      </c>
      <c r="S393" s="577"/>
      <c r="T393" s="577"/>
      <c r="U393" s="577"/>
      <c r="V393" s="577"/>
      <c r="W393" s="698"/>
      <c r="X393" s="364"/>
      <c r="Y393" s="363"/>
      <c r="Z393" s="363"/>
      <c r="AA393"/>
      <c r="AB393"/>
      <c r="AC393"/>
      <c r="AD393"/>
      <c r="AE393"/>
    </row>
    <row r="394" spans="17:31" ht="12.75" customHeight="1">
      <c r="Q394" s="364"/>
      <c r="R394" s="895" t="s">
        <v>845</v>
      </c>
      <c r="S394" s="896"/>
      <c r="T394" s="900" t="s">
        <v>835</v>
      </c>
      <c r="U394" s="900" t="s">
        <v>836</v>
      </c>
      <c r="V394" s="900" t="s">
        <v>837</v>
      </c>
      <c r="W394" s="902" t="s">
        <v>838</v>
      </c>
      <c r="X394" s="364"/>
      <c r="Y394" s="363"/>
      <c r="Z394" s="363"/>
      <c r="AA394"/>
      <c r="AB394"/>
      <c r="AC394"/>
      <c r="AD394"/>
      <c r="AE394"/>
    </row>
    <row r="395" spans="17:31" ht="12.75" customHeight="1">
      <c r="Q395" s="364"/>
      <c r="R395" s="892"/>
      <c r="S395" s="897"/>
      <c r="T395" s="901"/>
      <c r="U395" s="901"/>
      <c r="V395" s="901"/>
      <c r="W395" s="903"/>
      <c r="X395" s="364"/>
      <c r="Y395" s="363"/>
      <c r="Z395" s="363"/>
      <c r="AA395"/>
      <c r="AB395"/>
      <c r="AC395"/>
      <c r="AD395"/>
      <c r="AE395"/>
    </row>
    <row r="396" spans="17:31" ht="12.75" customHeight="1">
      <c r="Q396" s="364"/>
      <c r="R396" s="892"/>
      <c r="S396" s="897"/>
      <c r="T396" s="702">
        <f>T383-PPE!$I$15</f>
        <v>96</v>
      </c>
      <c r="U396" s="560">
        <f>U389</f>
        <v>1.7391304347826084</v>
      </c>
      <c r="V396" s="690">
        <f>IF(T396&gt;0,W396*U396," ")</f>
        <v>271.73913043478257</v>
      </c>
      <c r="W396" s="691">
        <f>IF(T396&gt;0,(VLOOKUP(T396,'Lookup Ready-reckoner'!$B$5:$E$1207,4))," ")</f>
        <v>156.25</v>
      </c>
      <c r="X396" s="364"/>
      <c r="Y396" s="363"/>
      <c r="Z396" s="363"/>
      <c r="AA396"/>
      <c r="AB396"/>
      <c r="AC396"/>
      <c r="AD396"/>
      <c r="AE396"/>
    </row>
    <row r="397" spans="17:31" ht="12.75" customHeight="1">
      <c r="Q397" s="364"/>
      <c r="R397" s="898"/>
      <c r="S397" s="899"/>
      <c r="T397" s="447"/>
      <c r="U397" s="560"/>
      <c r="V397" s="690" t="str">
        <f>IF(T397&gt;0,W397*U397," ")</f>
        <v xml:space="preserve"> </v>
      </c>
      <c r="W397" s="691" t="str">
        <f>IF(T397&gt;0,(VLOOKUP(T397,'Lookup Ready-reckoner'!$B$5:$E$1007,4))," ")</f>
        <v xml:space="preserve"> </v>
      </c>
      <c r="X397" s="364"/>
      <c r="Y397" s="363"/>
      <c r="Z397" s="363"/>
      <c r="AA397"/>
      <c r="AB397"/>
      <c r="AC397"/>
      <c r="AD397"/>
      <c r="AE397"/>
    </row>
    <row r="398" spans="17:31" ht="12.75" customHeight="1" thickBot="1">
      <c r="Q398" s="364"/>
      <c r="R398" s="692" t="s">
        <v>839</v>
      </c>
      <c r="S398" s="693"/>
      <c r="T398" s="693"/>
      <c r="U398" s="703">
        <f>IF(T396&gt;0,(VLOOKUP(V398,'Lookup Ready-reckoner'!$L$5:$M$1207,2))," ")</f>
        <v>89.3</v>
      </c>
      <c r="V398" s="695">
        <f>IF(U396&gt;0,(SUM(V396:V397))," ")</f>
        <v>271.73913043478257</v>
      </c>
      <c r="W398" s="696"/>
      <c r="X398" s="364"/>
      <c r="Y398" s="363"/>
      <c r="Z398" s="363"/>
      <c r="AA398"/>
      <c r="AB398"/>
      <c r="AC398"/>
      <c r="AD398"/>
      <c r="AE398"/>
    </row>
    <row r="399" spans="17:31" ht="12.75" customHeight="1" thickBot="1">
      <c r="Q399" s="364"/>
      <c r="R399" s="892"/>
      <c r="S399" s="893"/>
      <c r="T399" s="893"/>
      <c r="U399" s="893"/>
      <c r="V399" s="893"/>
      <c r="W399" s="894"/>
      <c r="X399" s="364"/>
      <c r="Y399" s="363"/>
      <c r="Z399" s="363"/>
      <c r="AA399"/>
      <c r="AB399"/>
      <c r="AC399"/>
      <c r="AD399"/>
      <c r="AE399"/>
    </row>
    <row r="400" spans="17:31" ht="12.75" customHeight="1">
      <c r="Q400" s="364"/>
      <c r="R400" s="895" t="s">
        <v>886</v>
      </c>
      <c r="S400" s="896"/>
      <c r="T400" s="900" t="s">
        <v>835</v>
      </c>
      <c r="U400" s="900" t="s">
        <v>836</v>
      </c>
      <c r="V400" s="900" t="s">
        <v>837</v>
      </c>
      <c r="W400" s="902" t="s">
        <v>838</v>
      </c>
      <c r="X400" s="364"/>
      <c r="Y400" s="363"/>
      <c r="Z400" s="363"/>
      <c r="AA400"/>
      <c r="AB400"/>
      <c r="AC400"/>
      <c r="AD400"/>
      <c r="AE400"/>
    </row>
    <row r="401" spans="17:31" ht="12.75" customHeight="1">
      <c r="Q401" s="364"/>
      <c r="R401" s="892"/>
      <c r="S401" s="897"/>
      <c r="T401" s="901"/>
      <c r="U401" s="901"/>
      <c r="V401" s="901"/>
      <c r="W401" s="903"/>
      <c r="X401" s="364"/>
      <c r="Y401" s="363"/>
      <c r="Z401" s="363"/>
      <c r="AA401"/>
      <c r="AB401"/>
      <c r="AC401"/>
      <c r="AD401"/>
      <c r="AE401"/>
    </row>
    <row r="402" spans="17:31" ht="12.75" customHeight="1">
      <c r="Q402" s="364"/>
      <c r="R402" s="892"/>
      <c r="S402" s="897"/>
      <c r="T402" s="702">
        <f>T389-PPE!$I$15</f>
        <v>92.119600000000005</v>
      </c>
      <c r="U402" s="560">
        <f>U396</f>
        <v>1.7391304347826084</v>
      </c>
      <c r="V402" s="690">
        <f>IF(T402&gt;0,W402*U402," ")</f>
        <v>111.52173913043477</v>
      </c>
      <c r="W402" s="691">
        <f>IF(T402&gt;0,(VLOOKUP(T402,'Lookup Ready-reckoner'!$B$5:$E$1207,4))," ")</f>
        <v>64.125</v>
      </c>
      <c r="X402" s="364"/>
      <c r="Y402" s="363"/>
      <c r="Z402" s="363"/>
      <c r="AA402"/>
      <c r="AB402"/>
      <c r="AC402"/>
      <c r="AD402"/>
      <c r="AE402"/>
    </row>
    <row r="403" spans="17:31" ht="12.75" customHeight="1">
      <c r="Q403" s="364"/>
      <c r="R403" s="898"/>
      <c r="S403" s="899"/>
      <c r="T403" s="447"/>
      <c r="U403" s="560"/>
      <c r="V403" s="690" t="str">
        <f>IF(T403&gt;0,W403*U403," ")</f>
        <v xml:space="preserve"> </v>
      </c>
      <c r="W403" s="691" t="str">
        <f>IF(T403&gt;0,(VLOOKUP(T403,'Lookup Ready-reckoner'!$B$5:$E$1007,4))," ")</f>
        <v xml:space="preserve"> </v>
      </c>
      <c r="X403" s="364"/>
      <c r="Y403" s="363"/>
      <c r="Z403" s="363"/>
      <c r="AA403"/>
      <c r="AB403"/>
      <c r="AC403"/>
      <c r="AD403"/>
      <c r="AE403"/>
    </row>
    <row r="404" spans="17:31" ht="12.75" customHeight="1" thickBot="1">
      <c r="Q404" s="364"/>
      <c r="R404" s="692" t="s">
        <v>839</v>
      </c>
      <c r="S404" s="693"/>
      <c r="T404" s="693"/>
      <c r="U404" s="703">
        <f>IF(T402&gt;0,(VLOOKUP(V404,'Lookup Ready-reckoner'!$L$5:$M$1207,2))," ")</f>
        <v>85.45</v>
      </c>
      <c r="V404" s="695">
        <f>IF(U402&gt;0,(SUM(V402:V403))," ")</f>
        <v>111.52173913043477</v>
      </c>
      <c r="W404" s="696"/>
      <c r="X404" s="364"/>
      <c r="Y404" s="363"/>
      <c r="Z404" s="363"/>
      <c r="AA404"/>
      <c r="AB404"/>
      <c r="AC404"/>
      <c r="AD404"/>
      <c r="AE404"/>
    </row>
    <row r="405" spans="17:31" ht="12.75" customHeight="1">
      <c r="Q405" s="364"/>
      <c r="R405" s="363"/>
      <c r="S405" s="363"/>
      <c r="T405" s="363"/>
      <c r="U405" s="363"/>
      <c r="V405" s="363"/>
      <c r="W405" s="363"/>
      <c r="X405" s="364"/>
      <c r="Y405" s="364"/>
      <c r="Z405" s="364"/>
      <c r="AA405"/>
      <c r="AB405"/>
      <c r="AC405"/>
      <c r="AD405"/>
      <c r="AE405"/>
    </row>
    <row r="406" spans="17:31" ht="12.75" customHeight="1">
      <c r="Q406" s="364"/>
      <c r="R406" s="909" t="str">
        <f>V306</f>
        <v xml:space="preserve">Hilti TE MD20 </v>
      </c>
      <c r="S406" s="909"/>
      <c r="T406" s="909"/>
      <c r="U406" s="909"/>
      <c r="V406" s="909"/>
      <c r="W406" s="909"/>
      <c r="X406" s="364"/>
      <c r="Y406" s="364"/>
      <c r="Z406" s="364"/>
      <c r="AA406"/>
      <c r="AB406"/>
      <c r="AC406"/>
      <c r="AD406"/>
      <c r="AE406"/>
    </row>
    <row r="407" spans="17:31" ht="12.75" customHeight="1" thickBot="1">
      <c r="Q407" s="364"/>
      <c r="R407" s="910" t="s">
        <v>205</v>
      </c>
      <c r="S407" s="911"/>
      <c r="T407" s="911"/>
      <c r="U407" s="911"/>
      <c r="V407" s="911"/>
      <c r="W407" s="912"/>
      <c r="X407" s="364"/>
      <c r="Y407" s="364"/>
      <c r="Z407" s="364"/>
      <c r="AA407"/>
      <c r="AB407"/>
      <c r="AC407"/>
      <c r="AD407"/>
      <c r="AE407"/>
    </row>
    <row r="408" spans="17:31" ht="12.75" customHeight="1" thickBot="1">
      <c r="Q408" s="364"/>
      <c r="R408" s="686" t="s">
        <v>59</v>
      </c>
      <c r="S408" s="577"/>
      <c r="T408" s="687"/>
      <c r="U408" s="687"/>
      <c r="V408" s="687"/>
      <c r="W408" s="688"/>
      <c r="X408" s="364"/>
      <c r="Y408" s="364"/>
      <c r="Z408" s="364"/>
      <c r="AA408"/>
      <c r="AB408"/>
      <c r="AC408"/>
      <c r="AD408"/>
      <c r="AE408"/>
    </row>
    <row r="409" spans="17:31" ht="12.75" customHeight="1">
      <c r="Q409" s="364"/>
      <c r="R409" s="895" t="s">
        <v>845</v>
      </c>
      <c r="S409" s="896"/>
      <c r="T409" s="900" t="s">
        <v>835</v>
      </c>
      <c r="U409" s="900" t="s">
        <v>836</v>
      </c>
      <c r="V409" s="900" t="s">
        <v>837</v>
      </c>
      <c r="W409" s="902" t="s">
        <v>838</v>
      </c>
      <c r="X409" s="364"/>
      <c r="Y409" s="364"/>
      <c r="Z409" s="364"/>
      <c r="AA409"/>
      <c r="AB409"/>
      <c r="AC409"/>
      <c r="AD409"/>
      <c r="AE409"/>
    </row>
    <row r="410" spans="17:31" ht="12.75" customHeight="1">
      <c r="Q410" s="364"/>
      <c r="R410" s="892"/>
      <c r="S410" s="897"/>
      <c r="T410" s="904"/>
      <c r="U410" s="904"/>
      <c r="V410" s="904"/>
      <c r="W410" s="905"/>
      <c r="X410" s="364"/>
      <c r="Y410" s="364"/>
      <c r="Z410" s="364"/>
      <c r="AA410"/>
      <c r="AB410"/>
      <c r="AC410"/>
      <c r="AD410"/>
      <c r="AE410"/>
    </row>
    <row r="411" spans="17:31" ht="12.75" customHeight="1">
      <c r="Q411" s="364"/>
      <c r="R411" s="892"/>
      <c r="S411" s="897"/>
      <c r="T411" s="901"/>
      <c r="U411" s="901"/>
      <c r="V411" s="901"/>
      <c r="W411" s="903"/>
      <c r="X411" s="364"/>
      <c r="Y411" s="364"/>
      <c r="Z411" s="364"/>
      <c r="AA411"/>
      <c r="AB411"/>
      <c r="AC411"/>
      <c r="AD411"/>
      <c r="AE411"/>
    </row>
    <row r="412" spans="17:31" ht="12.75" customHeight="1">
      <c r="Q412" s="364"/>
      <c r="R412" s="892"/>
      <c r="S412" s="897"/>
      <c r="T412" s="704">
        <f>U69</f>
        <v>102</v>
      </c>
      <c r="U412" s="560">
        <f>U62</f>
        <v>2.6666666666666665</v>
      </c>
      <c r="V412" s="690">
        <f>IF(T412&gt;0,W412*U412," ")</f>
        <v>1666.6666666666665</v>
      </c>
      <c r="W412" s="691">
        <f>IF(T412&gt;0,(VLOOKUP(T412,'Lookup Ready-reckoner'!$B$5:$E$1207,4))," ")</f>
        <v>625</v>
      </c>
      <c r="X412" s="364"/>
      <c r="Y412" s="364"/>
      <c r="Z412" s="364"/>
      <c r="AA412"/>
      <c r="AB412"/>
      <c r="AC412"/>
      <c r="AD412"/>
      <c r="AE412"/>
    </row>
    <row r="413" spans="17:31" ht="12.75" customHeight="1">
      <c r="Q413" s="364"/>
      <c r="R413" s="898"/>
      <c r="S413" s="899"/>
      <c r="T413" s="447"/>
      <c r="U413" s="560"/>
      <c r="V413" s="690" t="str">
        <f>IF(T413&gt;0,W413*U413," ")</f>
        <v xml:space="preserve"> </v>
      </c>
      <c r="W413" s="691" t="str">
        <f>IF(T413&gt;0,(VLOOKUP(T413,'Lookup Ready-reckoner'!$B$5:$E$1007,4))," ")</f>
        <v xml:space="preserve"> </v>
      </c>
      <c r="X413" s="364"/>
      <c r="Y413" s="364"/>
      <c r="Z413" s="364"/>
      <c r="AA413"/>
      <c r="AB413"/>
      <c r="AC413"/>
      <c r="AD413"/>
      <c r="AE413"/>
    </row>
    <row r="414" spans="17:31" ht="12.75" customHeight="1" thickBot="1">
      <c r="Q414" s="364"/>
      <c r="R414" s="692" t="s">
        <v>839</v>
      </c>
      <c r="S414" s="693"/>
      <c r="T414" s="693"/>
      <c r="U414" s="705">
        <f>IF(T412&gt;0,(VLOOKUP(V414,'Lookup Ready-reckoner'!$L$5:$M$1207,2))," ")</f>
        <v>97.15</v>
      </c>
      <c r="V414" s="695">
        <f>IF(U412&gt;0,(SUM(V412:V413))," ")</f>
        <v>1666.6666666666665</v>
      </c>
      <c r="W414" s="696"/>
      <c r="X414" s="364"/>
      <c r="Y414" s="364"/>
      <c r="Z414" s="364"/>
      <c r="AA414"/>
      <c r="AB414"/>
      <c r="AC414"/>
      <c r="AD414"/>
      <c r="AE414"/>
    </row>
    <row r="415" spans="17:31" ht="12.75" customHeight="1" thickBot="1">
      <c r="Q415" s="364"/>
      <c r="R415" s="906"/>
      <c r="S415" s="907"/>
      <c r="T415" s="907"/>
      <c r="U415" s="907"/>
      <c r="V415" s="907"/>
      <c r="W415" s="908"/>
      <c r="X415" s="364"/>
      <c r="Y415" s="364"/>
      <c r="Z415" s="364"/>
      <c r="AA415"/>
      <c r="AB415"/>
      <c r="AC415"/>
      <c r="AD415"/>
      <c r="AE415"/>
    </row>
    <row r="416" spans="17:31" ht="12.75" customHeight="1">
      <c r="Q416" s="364"/>
      <c r="R416" s="895" t="s">
        <v>886</v>
      </c>
      <c r="S416" s="896"/>
      <c r="T416" s="900" t="s">
        <v>835</v>
      </c>
      <c r="U416" s="900" t="s">
        <v>836</v>
      </c>
      <c r="V416" s="900" t="s">
        <v>837</v>
      </c>
      <c r="W416" s="902" t="s">
        <v>838</v>
      </c>
      <c r="X416" s="364"/>
      <c r="Y416" s="364"/>
      <c r="Z416" s="364"/>
      <c r="AA416"/>
      <c r="AB416"/>
      <c r="AC416"/>
      <c r="AD416"/>
      <c r="AE416"/>
    </row>
    <row r="417" spans="17:31" ht="12.75" customHeight="1">
      <c r="Q417" s="364"/>
      <c r="R417" s="892"/>
      <c r="S417" s="897"/>
      <c r="T417" s="901"/>
      <c r="U417" s="901"/>
      <c r="V417" s="901"/>
      <c r="W417" s="903"/>
      <c r="X417" s="364"/>
      <c r="Y417" s="364"/>
      <c r="Z417" s="364"/>
      <c r="AA417"/>
      <c r="AB417"/>
      <c r="AC417"/>
      <c r="AD417"/>
      <c r="AE417"/>
    </row>
    <row r="418" spans="17:31" ht="12.75" customHeight="1">
      <c r="Q418" s="364"/>
      <c r="R418" s="892"/>
      <c r="S418" s="897"/>
      <c r="T418" s="704">
        <f>T412*(1-0.0178*2)</f>
        <v>98.368800000000007</v>
      </c>
      <c r="U418" s="560">
        <f>U412</f>
        <v>2.6666666666666665</v>
      </c>
      <c r="V418" s="690">
        <f>IF(T418&gt;0,W418*U418," ")</f>
        <v>725</v>
      </c>
      <c r="W418" s="691">
        <f>IF(T418&gt;0,(VLOOKUP(T418,'Lookup Ready-reckoner'!$B$5:$E$1207,4))," ")</f>
        <v>271.875</v>
      </c>
      <c r="X418" s="364"/>
      <c r="Y418" s="364"/>
      <c r="Z418" s="364"/>
      <c r="AA418"/>
      <c r="AB418"/>
      <c r="AC418"/>
      <c r="AD418"/>
      <c r="AE418"/>
    </row>
    <row r="419" spans="17:31" ht="12.75" customHeight="1">
      <c r="Q419" s="364"/>
      <c r="R419" s="898"/>
      <c r="S419" s="899"/>
      <c r="T419" s="447"/>
      <c r="U419" s="560"/>
      <c r="V419" s="690" t="str">
        <f>IF(T419&gt;0,W419*U419," ")</f>
        <v xml:space="preserve"> </v>
      </c>
      <c r="W419" s="691" t="str">
        <f>IF(T419&gt;0,(VLOOKUP(T419,'Lookup Ready-reckoner'!$B$5:$E$1007,4))," ")</f>
        <v xml:space="preserve"> </v>
      </c>
      <c r="X419" s="364"/>
      <c r="Y419" s="364"/>
      <c r="Z419" s="364"/>
      <c r="AA419"/>
      <c r="AB419"/>
      <c r="AC419"/>
      <c r="AD419"/>
      <c r="AE419"/>
    </row>
    <row r="420" spans="17:31" ht="12.75" customHeight="1" thickBot="1">
      <c r="Q420" s="364"/>
      <c r="R420" s="692" t="s">
        <v>839</v>
      </c>
      <c r="S420" s="693"/>
      <c r="T420" s="693"/>
      <c r="U420" s="705">
        <f>IF(T418&gt;0,(VLOOKUP(V420,'Lookup Ready-reckoner'!$L$5:$M$1207,2))," ")</f>
        <v>93.55</v>
      </c>
      <c r="V420" s="695">
        <f>IF(U418&gt;0,(SUM(V418:V419))," ")</f>
        <v>725</v>
      </c>
      <c r="W420" s="696"/>
      <c r="X420" s="364"/>
      <c r="Y420" s="364"/>
      <c r="Z420" s="364"/>
      <c r="AA420"/>
      <c r="AB420"/>
      <c r="AC420"/>
      <c r="AD420"/>
      <c r="AE420"/>
    </row>
    <row r="421" spans="17:31" ht="12.75" customHeight="1">
      <c r="Q421" s="364"/>
      <c r="R421" s="697"/>
      <c r="S421" s="687"/>
      <c r="T421" s="687"/>
      <c r="U421" s="372"/>
      <c r="V421" s="374"/>
      <c r="W421" s="688"/>
      <c r="X421" s="364"/>
      <c r="Y421" s="364"/>
      <c r="Z421" s="364"/>
      <c r="AA421"/>
      <c r="AB421"/>
      <c r="AC421"/>
      <c r="AD421"/>
      <c r="AE421"/>
    </row>
    <row r="422" spans="17:31" ht="12.75" customHeight="1" thickBot="1">
      <c r="Q422" s="364"/>
      <c r="R422" s="686" t="s">
        <v>60</v>
      </c>
      <c r="S422" s="577"/>
      <c r="T422" s="577"/>
      <c r="U422" s="577"/>
      <c r="V422" s="577"/>
      <c r="W422" s="698"/>
      <c r="X422" s="364"/>
      <c r="Y422" s="364"/>
      <c r="Z422" s="364"/>
      <c r="AA422"/>
      <c r="AB422"/>
      <c r="AC422"/>
      <c r="AD422"/>
      <c r="AE422"/>
    </row>
    <row r="423" spans="17:31" ht="12.75" customHeight="1">
      <c r="Q423" s="364"/>
      <c r="R423" s="895" t="s">
        <v>845</v>
      </c>
      <c r="S423" s="896"/>
      <c r="T423" s="900" t="s">
        <v>835</v>
      </c>
      <c r="U423" s="900" t="s">
        <v>836</v>
      </c>
      <c r="V423" s="900" t="s">
        <v>837</v>
      </c>
      <c r="W423" s="902" t="s">
        <v>838</v>
      </c>
      <c r="X423" s="364"/>
      <c r="Y423" s="364"/>
      <c r="Z423" s="364"/>
      <c r="AA423"/>
      <c r="AB423"/>
      <c r="AC423"/>
      <c r="AD423"/>
      <c r="AE423"/>
    </row>
    <row r="424" spans="17:31" ht="12.75" customHeight="1">
      <c r="Q424" s="364"/>
      <c r="R424" s="892"/>
      <c r="S424" s="897"/>
      <c r="T424" s="901"/>
      <c r="U424" s="901"/>
      <c r="V424" s="901"/>
      <c r="W424" s="903"/>
      <c r="X424" s="364"/>
      <c r="Y424" s="364"/>
      <c r="Z424" s="364"/>
      <c r="AA424"/>
      <c r="AB424"/>
      <c r="AC424"/>
      <c r="AD424"/>
      <c r="AE424"/>
    </row>
    <row r="425" spans="17:31" ht="12.75" customHeight="1">
      <c r="Q425" s="364"/>
      <c r="R425" s="892"/>
      <c r="S425" s="897"/>
      <c r="T425" s="704">
        <f>T412-PPE!$I$15</f>
        <v>89</v>
      </c>
      <c r="U425" s="560">
        <f>U418</f>
        <v>2.6666666666666665</v>
      </c>
      <c r="V425" s="690">
        <f>IF(T425&gt;0,W425*U425," ")</f>
        <v>83.333333333333329</v>
      </c>
      <c r="W425" s="691">
        <f>IF(T425&gt;0,(VLOOKUP(T425,'Lookup Ready-reckoner'!$B$5:$E$1207,4))," ")</f>
        <v>31.25</v>
      </c>
      <c r="X425" s="364"/>
      <c r="Y425" s="364"/>
      <c r="Z425" s="364"/>
      <c r="AA425"/>
      <c r="AB425"/>
      <c r="AC425"/>
      <c r="AD425"/>
      <c r="AE425"/>
    </row>
    <row r="426" spans="17:31" ht="12.75" customHeight="1">
      <c r="Q426" s="364"/>
      <c r="R426" s="898"/>
      <c r="S426" s="899"/>
      <c r="T426" s="447"/>
      <c r="U426" s="560"/>
      <c r="V426" s="690" t="str">
        <f>IF(T426&gt;0,W426*U426," ")</f>
        <v xml:space="preserve"> </v>
      </c>
      <c r="W426" s="691" t="str">
        <f>IF(T426&gt;0,(VLOOKUP(T426,'Lookup Ready-reckoner'!$B$5:$E$1007,4))," ")</f>
        <v xml:space="preserve"> </v>
      </c>
      <c r="X426" s="364"/>
      <c r="Y426" s="364"/>
      <c r="Z426" s="364"/>
      <c r="AA426"/>
      <c r="AB426"/>
      <c r="AC426"/>
      <c r="AD426"/>
      <c r="AE426"/>
    </row>
    <row r="427" spans="17:31" ht="12.75" customHeight="1" thickBot="1">
      <c r="Q427" s="364"/>
      <c r="R427" s="692" t="s">
        <v>839</v>
      </c>
      <c r="S427" s="693"/>
      <c r="T427" s="693"/>
      <c r="U427" s="705">
        <f>IF(T425&gt;0,(VLOOKUP(V427,'Lookup Ready-reckoner'!$L$5:$M$1207,2))," ")</f>
        <v>84.15</v>
      </c>
      <c r="V427" s="695">
        <f>IF(U425&gt;0,(SUM(V425:V426))," ")</f>
        <v>83.333333333333329</v>
      </c>
      <c r="W427" s="696"/>
      <c r="X427" s="364"/>
      <c r="Y427" s="364"/>
      <c r="Z427" s="364"/>
      <c r="AA427"/>
      <c r="AB427"/>
      <c r="AC427"/>
      <c r="AD427"/>
      <c r="AE427"/>
    </row>
    <row r="428" spans="17:31" ht="12.75" customHeight="1" thickBot="1">
      <c r="Q428" s="364"/>
      <c r="R428" s="892"/>
      <c r="S428" s="893"/>
      <c r="T428" s="893"/>
      <c r="U428" s="893"/>
      <c r="V428" s="893"/>
      <c r="W428" s="894"/>
      <c r="X428" s="364"/>
      <c r="Y428" s="364"/>
      <c r="Z428" s="364"/>
      <c r="AA428"/>
      <c r="AB428"/>
      <c r="AC428"/>
      <c r="AD428"/>
      <c r="AE428"/>
    </row>
    <row r="429" spans="17:31" ht="12.75" customHeight="1">
      <c r="Q429" s="364"/>
      <c r="R429" s="895" t="s">
        <v>886</v>
      </c>
      <c r="S429" s="896"/>
      <c r="T429" s="900" t="s">
        <v>835</v>
      </c>
      <c r="U429" s="900" t="s">
        <v>836</v>
      </c>
      <c r="V429" s="900" t="s">
        <v>837</v>
      </c>
      <c r="W429" s="902" t="s">
        <v>838</v>
      </c>
      <c r="X429" s="364"/>
      <c r="Y429" s="364"/>
      <c r="Z429" s="364"/>
      <c r="AA429"/>
      <c r="AB429"/>
      <c r="AC429"/>
      <c r="AD429"/>
      <c r="AE429"/>
    </row>
    <row r="430" spans="17:31" ht="12.75" customHeight="1">
      <c r="Q430" s="364"/>
      <c r="R430" s="892"/>
      <c r="S430" s="897"/>
      <c r="T430" s="901"/>
      <c r="U430" s="901"/>
      <c r="V430" s="901"/>
      <c r="W430" s="903"/>
      <c r="X430" s="364"/>
      <c r="Y430" s="364"/>
      <c r="Z430" s="364"/>
      <c r="AA430"/>
      <c r="AB430"/>
      <c r="AC430"/>
      <c r="AD430"/>
      <c r="AE430"/>
    </row>
    <row r="431" spans="17:31" ht="12.75" customHeight="1">
      <c r="Q431" s="364"/>
      <c r="R431" s="892"/>
      <c r="S431" s="897"/>
      <c r="T431" s="704">
        <f>T418-PPE!$I$15</f>
        <v>85.368800000000007</v>
      </c>
      <c r="U431" s="560">
        <f>U425</f>
        <v>2.6666666666666665</v>
      </c>
      <c r="V431" s="690">
        <f>IF(T431&gt;0,W431*U431," ")</f>
        <v>36.25</v>
      </c>
      <c r="W431" s="691">
        <f>IF(T431&gt;0,(VLOOKUP(T431,'Lookup Ready-reckoner'!$B$5:$E$1207,4))," ")</f>
        <v>13.59375</v>
      </c>
      <c r="X431" s="364"/>
      <c r="Y431" s="364"/>
      <c r="Z431" s="364"/>
      <c r="AA431"/>
      <c r="AB431"/>
      <c r="AC431"/>
      <c r="AD431"/>
      <c r="AE431"/>
    </row>
    <row r="432" spans="17:31" ht="12.75" customHeight="1">
      <c r="Q432" s="364"/>
      <c r="R432" s="898"/>
      <c r="S432" s="899"/>
      <c r="T432" s="447"/>
      <c r="U432" s="560"/>
      <c r="V432" s="690" t="str">
        <f>IF(T432&gt;0,W432*U432," ")</f>
        <v xml:space="preserve"> </v>
      </c>
      <c r="W432" s="691" t="str">
        <f>IF(T432&gt;0,(VLOOKUP(T432,'Lookup Ready-reckoner'!$B$5:$E$1007,4))," ")</f>
        <v xml:space="preserve"> </v>
      </c>
      <c r="X432" s="364"/>
      <c r="Y432" s="364"/>
      <c r="Z432" s="364"/>
      <c r="AA432"/>
      <c r="AB432"/>
      <c r="AC432"/>
      <c r="AD432"/>
      <c r="AE432"/>
    </row>
    <row r="433" spans="17:31" ht="12.75" customHeight="1" thickBot="1">
      <c r="Q433" s="364"/>
      <c r="R433" s="692" t="s">
        <v>839</v>
      </c>
      <c r="S433" s="693"/>
      <c r="T433" s="693"/>
      <c r="U433" s="705">
        <f>IF(T431&gt;0,(VLOOKUP(V433,'Lookup Ready-reckoner'!$L$5:$M$1207,2))," ")</f>
        <v>80.5</v>
      </c>
      <c r="V433" s="695">
        <f>IF(U431&gt;0,(SUM(V431:V432))," ")</f>
        <v>36.25</v>
      </c>
      <c r="W433" s="696"/>
      <c r="X433" s="364"/>
      <c r="Y433" s="364"/>
      <c r="Z433" s="364"/>
      <c r="AA433"/>
      <c r="AB433"/>
      <c r="AC433"/>
      <c r="AD433"/>
      <c r="AE433"/>
    </row>
    <row r="434" spans="17:31" ht="12.75" customHeight="1" thickBot="1">
      <c r="Q434" s="364"/>
      <c r="R434" s="364"/>
      <c r="S434" s="364"/>
      <c r="T434" s="364"/>
      <c r="U434" s="364"/>
      <c r="V434" s="364"/>
      <c r="W434" s="364"/>
      <c r="X434" s="364"/>
      <c r="Y434" s="364"/>
      <c r="Z434" s="364"/>
      <c r="AA434"/>
      <c r="AB434"/>
      <c r="AC434"/>
      <c r="AD434"/>
      <c r="AE434"/>
    </row>
    <row r="435" spans="17:31" ht="12.75" customHeight="1" thickTop="1">
      <c r="Q435" s="364"/>
      <c r="R435" s="916" t="s">
        <v>429</v>
      </c>
      <c r="S435" s="917"/>
      <c r="T435" s="917"/>
      <c r="U435" s="917"/>
      <c r="V435" s="917"/>
      <c r="W435" s="918"/>
      <c r="X435" s="364"/>
      <c r="Y435" s="364"/>
      <c r="Z435" s="364"/>
      <c r="AA435"/>
      <c r="AB435"/>
      <c r="AC435"/>
      <c r="AD435"/>
      <c r="AE435"/>
    </row>
    <row r="436" spans="17:31" ht="12.75" customHeight="1">
      <c r="Q436" s="364"/>
      <c r="R436" s="919"/>
      <c r="S436" s="920"/>
      <c r="T436" s="920"/>
      <c r="U436" s="920"/>
      <c r="V436" s="920"/>
      <c r="W436" s="921"/>
      <c r="X436" s="364"/>
      <c r="Y436" s="364"/>
      <c r="Z436" s="364"/>
      <c r="AA436"/>
      <c r="AB436"/>
      <c r="AC436"/>
      <c r="AD436"/>
      <c r="AE436"/>
    </row>
    <row r="437" spans="17:31" ht="12.75" customHeight="1" thickBot="1">
      <c r="Q437" s="364"/>
      <c r="R437" s="922"/>
      <c r="S437" s="923"/>
      <c r="T437" s="923"/>
      <c r="U437" s="923"/>
      <c r="V437" s="923"/>
      <c r="W437" s="924"/>
      <c r="X437" s="364"/>
      <c r="Y437" s="364"/>
      <c r="Z437" s="364"/>
      <c r="AA437"/>
      <c r="AB437"/>
      <c r="AC437"/>
      <c r="AD437"/>
      <c r="AE437"/>
    </row>
    <row r="438" spans="17:31" ht="12.75" customHeight="1" thickTop="1">
      <c r="Q438" s="364"/>
      <c r="R438" s="925" t="str">
        <f>R319</f>
        <v>Seco S215</v>
      </c>
      <c r="S438" s="925"/>
      <c r="T438" s="925"/>
      <c r="U438" s="925"/>
      <c r="V438" s="925"/>
      <c r="W438" s="925"/>
      <c r="X438" s="364"/>
      <c r="Y438" s="364"/>
      <c r="Z438" s="364"/>
      <c r="AA438"/>
      <c r="AB438"/>
      <c r="AC438"/>
      <c r="AD438"/>
      <c r="AE438"/>
    </row>
    <row r="439" spans="17:31" ht="12.75" customHeight="1" thickBot="1">
      <c r="Q439" s="364"/>
      <c r="R439" s="910" t="s">
        <v>205</v>
      </c>
      <c r="S439" s="911"/>
      <c r="T439" s="911"/>
      <c r="U439" s="911"/>
      <c r="V439" s="911"/>
      <c r="W439" s="912"/>
      <c r="X439" s="364"/>
      <c r="Y439" s="364"/>
      <c r="Z439" s="364"/>
      <c r="AA439"/>
      <c r="AB439"/>
      <c r="AC439"/>
      <c r="AD439"/>
      <c r="AE439"/>
    </row>
    <row r="440" spans="17:31" ht="12.75" customHeight="1" thickBot="1">
      <c r="Q440" s="364"/>
      <c r="R440" s="686" t="s">
        <v>59</v>
      </c>
      <c r="S440" s="577"/>
      <c r="T440" s="687"/>
      <c r="U440" s="687"/>
      <c r="V440" s="687"/>
      <c r="W440" s="688"/>
      <c r="X440" s="364"/>
      <c r="Y440" s="364"/>
      <c r="Z440" s="364"/>
      <c r="AA440"/>
      <c r="AB440"/>
      <c r="AC440"/>
      <c r="AD440"/>
      <c r="AE440"/>
    </row>
    <row r="441" spans="17:31" ht="12.75" customHeight="1">
      <c r="Q441" s="364"/>
      <c r="R441" s="895" t="s">
        <v>845</v>
      </c>
      <c r="S441" s="896"/>
      <c r="T441" s="900" t="s">
        <v>835</v>
      </c>
      <c r="U441" s="900" t="s">
        <v>836</v>
      </c>
      <c r="V441" s="900" t="s">
        <v>837</v>
      </c>
      <c r="W441" s="902" t="s">
        <v>838</v>
      </c>
      <c r="X441" s="364"/>
      <c r="Y441" s="364"/>
      <c r="Z441" s="364"/>
      <c r="AA441"/>
      <c r="AB441"/>
      <c r="AC441"/>
      <c r="AD441"/>
      <c r="AE441"/>
    </row>
    <row r="442" spans="17:31" ht="12.75" customHeight="1">
      <c r="Q442" s="364"/>
      <c r="R442" s="892"/>
      <c r="S442" s="897"/>
      <c r="T442" s="904"/>
      <c r="U442" s="904"/>
      <c r="V442" s="904"/>
      <c r="W442" s="905"/>
      <c r="X442" s="364"/>
      <c r="Y442" s="364"/>
      <c r="Z442" s="364"/>
      <c r="AA442"/>
      <c r="AB442"/>
      <c r="AC442"/>
      <c r="AD442"/>
      <c r="AE442"/>
    </row>
    <row r="443" spans="17:31" ht="12.75" customHeight="1">
      <c r="Q443" s="364"/>
      <c r="R443" s="892"/>
      <c r="S443" s="897"/>
      <c r="T443" s="901"/>
      <c r="U443" s="901"/>
      <c r="V443" s="901"/>
      <c r="W443" s="903"/>
      <c r="X443" s="364"/>
      <c r="Y443" s="364"/>
      <c r="Z443" s="364"/>
      <c r="AA443"/>
      <c r="AB443"/>
      <c r="AC443"/>
      <c r="AD443"/>
      <c r="AE443"/>
    </row>
    <row r="444" spans="17:31" ht="12.75" customHeight="1">
      <c r="Q444" s="364"/>
      <c r="R444" s="892"/>
      <c r="S444" s="897"/>
      <c r="T444" s="689">
        <f>X76</f>
        <v>122.02059991327964</v>
      </c>
      <c r="U444" s="560">
        <f>X62</f>
        <v>1.4285714285714284</v>
      </c>
      <c r="V444" s="690">
        <f>IF(T444&gt;0,W444*U444," ")</f>
        <v>79999.999999999985</v>
      </c>
      <c r="W444" s="691">
        <f>IF(T444&gt;0,(VLOOKUP(T444,'Lookup Ready-reckoner'!$B$5:$E$1207,4))," ")</f>
        <v>56000</v>
      </c>
      <c r="X444" s="364"/>
      <c r="Y444" s="364"/>
      <c r="Z444" s="364"/>
      <c r="AA444"/>
      <c r="AB444"/>
      <c r="AC444"/>
      <c r="AD444"/>
      <c r="AE444"/>
    </row>
    <row r="445" spans="17:31" ht="12.75" customHeight="1">
      <c r="Q445" s="364"/>
      <c r="R445" s="898"/>
      <c r="S445" s="899"/>
      <c r="T445" s="447"/>
      <c r="U445" s="560"/>
      <c r="V445" s="690" t="str">
        <f>IF(T445&gt;0,W445*U445," ")</f>
        <v xml:space="preserve"> </v>
      </c>
      <c r="W445" s="691" t="str">
        <f>IF(T445&gt;0,(VLOOKUP(T445,'Lookup Ready-reckoner'!$B$5:$E$1007,4))," ")</f>
        <v xml:space="preserve"> </v>
      </c>
      <c r="X445" s="364"/>
      <c r="Y445" s="364"/>
      <c r="Z445" s="364"/>
      <c r="AA445"/>
      <c r="AB445"/>
      <c r="AC445"/>
      <c r="AD445"/>
      <c r="AE445"/>
    </row>
    <row r="446" spans="17:31" ht="12.75" customHeight="1" thickBot="1">
      <c r="Q446" s="364"/>
      <c r="R446" s="692" t="s">
        <v>839</v>
      </c>
      <c r="S446" s="693"/>
      <c r="T446" s="693"/>
      <c r="U446" s="694">
        <f>IF(T444&gt;0,(VLOOKUP(V446,'Lookup Ready-reckoner'!$L$5:$M$1207,2))," ")</f>
        <v>113.95</v>
      </c>
      <c r="V446" s="695">
        <f>IF(U444&gt;0,(SUM(V444:V445))," ")</f>
        <v>79999.999999999985</v>
      </c>
      <c r="W446" s="696"/>
      <c r="X446" s="364"/>
      <c r="Y446" s="364"/>
      <c r="Z446" s="364"/>
      <c r="AA446"/>
      <c r="AB446"/>
      <c r="AC446"/>
      <c r="AD446"/>
      <c r="AE446"/>
    </row>
    <row r="447" spans="17:31" ht="12.75" customHeight="1" thickBot="1">
      <c r="Q447" s="364"/>
      <c r="R447" s="892"/>
      <c r="S447" s="893"/>
      <c r="T447" s="893"/>
      <c r="U447" s="893"/>
      <c r="V447" s="893"/>
      <c r="W447" s="894"/>
      <c r="X447" s="364"/>
      <c r="Y447" s="364"/>
      <c r="Z447" s="364"/>
      <c r="AA447"/>
      <c r="AB447"/>
      <c r="AC447"/>
      <c r="AD447"/>
      <c r="AE447"/>
    </row>
    <row r="448" spans="17:31" ht="12.75" customHeight="1">
      <c r="Q448" s="364"/>
      <c r="R448" s="895" t="s">
        <v>886</v>
      </c>
      <c r="S448" s="896"/>
      <c r="T448" s="900" t="s">
        <v>835</v>
      </c>
      <c r="U448" s="900" t="s">
        <v>836</v>
      </c>
      <c r="V448" s="900" t="s">
        <v>837</v>
      </c>
      <c r="W448" s="902" t="s">
        <v>838</v>
      </c>
      <c r="X448" s="364"/>
      <c r="Y448" s="364"/>
      <c r="Z448" s="364"/>
      <c r="AA448"/>
      <c r="AB448"/>
      <c r="AC448"/>
      <c r="AD448"/>
      <c r="AE448"/>
    </row>
    <row r="449" spans="17:31" ht="12.75" customHeight="1">
      <c r="Q449" s="364"/>
      <c r="R449" s="892"/>
      <c r="S449" s="897"/>
      <c r="T449" s="901"/>
      <c r="U449" s="901"/>
      <c r="V449" s="901"/>
      <c r="W449" s="903"/>
      <c r="X449" s="364"/>
      <c r="Y449" s="364"/>
      <c r="Z449" s="364"/>
      <c r="AA449"/>
      <c r="AB449"/>
      <c r="AC449"/>
      <c r="AD449"/>
      <c r="AE449"/>
    </row>
    <row r="450" spans="17:31" ht="12.75" customHeight="1">
      <c r="Q450" s="364"/>
      <c r="R450" s="892"/>
      <c r="S450" s="897"/>
      <c r="T450" s="689">
        <f>T444*(1-0.0178*2)</f>
        <v>117.67666655636688</v>
      </c>
      <c r="U450" s="560">
        <f>U444</f>
        <v>1.4285714285714284</v>
      </c>
      <c r="V450" s="690">
        <f>IF(T450&gt;0,W450*U450," ")</f>
        <v>33771.428571428565</v>
      </c>
      <c r="W450" s="691">
        <f>IF(T450&gt;0,(VLOOKUP(T450,'Lookup Ready-reckoner'!$B$5:$E$1207,4))," ")</f>
        <v>23640</v>
      </c>
      <c r="X450" s="364"/>
      <c r="Y450" s="364"/>
      <c r="Z450" s="364"/>
      <c r="AA450"/>
      <c r="AB450"/>
      <c r="AC450"/>
      <c r="AD450"/>
      <c r="AE450"/>
    </row>
    <row r="451" spans="17:31" ht="12.75" customHeight="1">
      <c r="Q451" s="364"/>
      <c r="R451" s="898"/>
      <c r="S451" s="899"/>
      <c r="T451" s="447"/>
      <c r="U451" s="560"/>
      <c r="V451" s="690" t="str">
        <f>IF(T451&gt;0,W451*U451," ")</f>
        <v xml:space="preserve"> </v>
      </c>
      <c r="W451" s="691" t="str">
        <f>IF(T451&gt;0,(VLOOKUP(T451,'Lookup Ready-reckoner'!$B$5:$E$1007,4))," ")</f>
        <v xml:space="preserve"> </v>
      </c>
      <c r="X451" s="364"/>
      <c r="Y451" s="364"/>
      <c r="Z451" s="364"/>
      <c r="AA451"/>
      <c r="AB451"/>
      <c r="AC451"/>
      <c r="AD451"/>
      <c r="AE451"/>
    </row>
    <row r="452" spans="17:31" ht="12.75" customHeight="1" thickBot="1">
      <c r="Q452" s="364"/>
      <c r="R452" s="692" t="s">
        <v>839</v>
      </c>
      <c r="S452" s="693"/>
      <c r="T452" s="693"/>
      <c r="U452" s="694">
        <f>IF(T450&gt;0,(VLOOKUP(V452,'Lookup Ready-reckoner'!$L$5:$M$1207,2))," ")</f>
        <v>110.2</v>
      </c>
      <c r="V452" s="695">
        <f>IF(U450&gt;0,(SUM(V450:V451))," ")</f>
        <v>33771.428571428565</v>
      </c>
      <c r="W452" s="696"/>
      <c r="X452" s="364"/>
      <c r="Y452" s="364"/>
      <c r="Z452" s="364"/>
      <c r="AA452"/>
      <c r="AB452"/>
      <c r="AC452"/>
      <c r="AD452"/>
      <c r="AE452"/>
    </row>
    <row r="453" spans="17:31" ht="12.75" customHeight="1">
      <c r="Q453" s="364"/>
      <c r="R453" s="697"/>
      <c r="S453" s="687"/>
      <c r="T453" s="687"/>
      <c r="U453" s="372"/>
      <c r="V453" s="374"/>
      <c r="W453" s="688"/>
      <c r="X453" s="364"/>
      <c r="Y453" s="364"/>
      <c r="Z453" s="364"/>
      <c r="AA453"/>
      <c r="AB453"/>
      <c r="AC453"/>
      <c r="AD453"/>
      <c r="AE453"/>
    </row>
    <row r="454" spans="17:31" ht="12.75" customHeight="1" thickBot="1">
      <c r="Q454" s="364"/>
      <c r="R454" s="686" t="s">
        <v>60</v>
      </c>
      <c r="S454" s="577"/>
      <c r="T454" s="577"/>
      <c r="U454" s="577"/>
      <c r="V454" s="577"/>
      <c r="W454" s="698"/>
      <c r="X454" s="364"/>
      <c r="Y454" s="364"/>
      <c r="Z454" s="364"/>
      <c r="AA454"/>
      <c r="AB454"/>
      <c r="AC454"/>
      <c r="AD454"/>
      <c r="AE454"/>
    </row>
    <row r="455" spans="17:31" ht="12.75" customHeight="1">
      <c r="Q455" s="364"/>
      <c r="R455" s="895" t="s">
        <v>845</v>
      </c>
      <c r="S455" s="896"/>
      <c r="T455" s="900" t="s">
        <v>835</v>
      </c>
      <c r="U455" s="900" t="s">
        <v>836</v>
      </c>
      <c r="V455" s="900" t="s">
        <v>837</v>
      </c>
      <c r="W455" s="902" t="s">
        <v>838</v>
      </c>
      <c r="X455" s="364"/>
      <c r="Y455" s="364"/>
      <c r="Z455" s="364"/>
      <c r="AA455"/>
      <c r="AB455"/>
      <c r="AC455"/>
      <c r="AD455"/>
      <c r="AE455"/>
    </row>
    <row r="456" spans="17:31" ht="12.75" customHeight="1">
      <c r="Q456" s="364"/>
      <c r="R456" s="892"/>
      <c r="S456" s="897"/>
      <c r="T456" s="901"/>
      <c r="U456" s="901"/>
      <c r="V456" s="901"/>
      <c r="W456" s="903"/>
      <c r="X456" s="364"/>
      <c r="Y456" s="364"/>
      <c r="Z456" s="364"/>
      <c r="AA456"/>
      <c r="AB456"/>
      <c r="AC456"/>
      <c r="AD456"/>
      <c r="AE456"/>
    </row>
    <row r="457" spans="17:31" ht="12.75" customHeight="1">
      <c r="Q457" s="364"/>
      <c r="R457" s="892"/>
      <c r="S457" s="897"/>
      <c r="T457" s="689">
        <f>T444-PPE!$I$15</f>
        <v>109.02059991327964</v>
      </c>
      <c r="U457" s="560">
        <f>U450</f>
        <v>1.4285714285714284</v>
      </c>
      <c r="V457" s="690">
        <f>IF(T457&gt;0,W457*U457," ")</f>
        <v>4571.4285714285706</v>
      </c>
      <c r="W457" s="691">
        <f>IF(T457&gt;0,(VLOOKUP(T457,'Lookup Ready-reckoner'!$B$5:$E$1207,4))," ")</f>
        <v>3200</v>
      </c>
      <c r="X457" s="364"/>
      <c r="Y457" s="364"/>
      <c r="Z457" s="364"/>
      <c r="AA457"/>
      <c r="AB457"/>
      <c r="AC457"/>
      <c r="AD457"/>
      <c r="AE457"/>
    </row>
    <row r="458" spans="17:31" ht="12.75" customHeight="1">
      <c r="Q458" s="364"/>
      <c r="R458" s="898"/>
      <c r="S458" s="899"/>
      <c r="T458" s="447"/>
      <c r="U458" s="560"/>
      <c r="V458" s="690" t="str">
        <f>IF(T458&gt;0,W458*U458," ")</f>
        <v xml:space="preserve"> </v>
      </c>
      <c r="W458" s="691" t="str">
        <f>IF(T458&gt;0,(VLOOKUP(T458,'Lookup Ready-reckoner'!$B$5:$E$1007,4))," ")</f>
        <v xml:space="preserve"> </v>
      </c>
      <c r="X458" s="364"/>
      <c r="Y458" s="364"/>
      <c r="Z458" s="364"/>
      <c r="AA458"/>
      <c r="AB458"/>
      <c r="AC458"/>
      <c r="AD458"/>
      <c r="AE458"/>
    </row>
    <row r="459" spans="17:31" ht="12.75" customHeight="1" thickBot="1">
      <c r="Q459" s="364"/>
      <c r="R459" s="699" t="s">
        <v>839</v>
      </c>
      <c r="S459" s="693"/>
      <c r="T459" s="693"/>
      <c r="U459" s="694">
        <f>IF(T457&gt;0,(VLOOKUP(V459,'Lookup Ready-reckoner'!$L$5:$M$1207,2))," ")</f>
        <v>101.55</v>
      </c>
      <c r="V459" s="695">
        <f>IF(U457&gt;0,(SUM(V457:V458))," ")</f>
        <v>4571.4285714285706</v>
      </c>
      <c r="W459" s="696"/>
      <c r="X459" s="364"/>
      <c r="Y459" s="364"/>
      <c r="Z459" s="364"/>
      <c r="AA459"/>
      <c r="AB459"/>
      <c r="AC459"/>
      <c r="AD459"/>
      <c r="AE459"/>
    </row>
    <row r="460" spans="17:31" ht="12.75" customHeight="1" thickBot="1">
      <c r="Q460" s="364"/>
      <c r="R460" s="892"/>
      <c r="S460" s="893"/>
      <c r="T460" s="893"/>
      <c r="U460" s="893"/>
      <c r="V460" s="893"/>
      <c r="W460" s="894"/>
      <c r="X460" s="364"/>
      <c r="Y460" s="364"/>
      <c r="Z460" s="364"/>
      <c r="AA460"/>
      <c r="AB460"/>
      <c r="AC460"/>
      <c r="AD460"/>
      <c r="AE460"/>
    </row>
    <row r="461" spans="17:31" ht="12.75" customHeight="1">
      <c r="Q461" s="364"/>
      <c r="R461" s="895" t="s">
        <v>886</v>
      </c>
      <c r="S461" s="896"/>
      <c r="T461" s="900" t="s">
        <v>835</v>
      </c>
      <c r="U461" s="900" t="s">
        <v>836</v>
      </c>
      <c r="V461" s="900" t="s">
        <v>837</v>
      </c>
      <c r="W461" s="902" t="s">
        <v>838</v>
      </c>
      <c r="X461" s="364"/>
      <c r="Y461" s="364"/>
      <c r="Z461" s="364"/>
      <c r="AA461"/>
      <c r="AB461"/>
      <c r="AC461"/>
      <c r="AD461"/>
      <c r="AE461"/>
    </row>
    <row r="462" spans="17:31" ht="12.75" customHeight="1">
      <c r="Q462" s="364"/>
      <c r="R462" s="892"/>
      <c r="S462" s="897"/>
      <c r="T462" s="901"/>
      <c r="U462" s="901"/>
      <c r="V462" s="901"/>
      <c r="W462" s="903"/>
      <c r="X462" s="364"/>
      <c r="Y462" s="364"/>
      <c r="Z462" s="364"/>
      <c r="AA462"/>
      <c r="AB462"/>
      <c r="AC462"/>
      <c r="AD462"/>
      <c r="AE462"/>
    </row>
    <row r="463" spans="17:31" ht="12.75" customHeight="1">
      <c r="Q463" s="364"/>
      <c r="R463" s="892"/>
      <c r="S463" s="897"/>
      <c r="T463" s="689">
        <f>T450-PPE!$I$15</f>
        <v>104.67666655636688</v>
      </c>
      <c r="U463" s="560">
        <f>U457</f>
        <v>1.4285714285714284</v>
      </c>
      <c r="V463" s="690">
        <f>IF(T463&gt;0,W463*U463," ")</f>
        <v>1660.7142857142856</v>
      </c>
      <c r="W463" s="691">
        <f>IF(T463&gt;0,(VLOOKUP(T463,'Lookup Ready-reckoner'!$B$5:$E$1207,4))," ")</f>
        <v>1162.5</v>
      </c>
      <c r="X463" s="364"/>
      <c r="Y463" s="364"/>
      <c r="Z463" s="364"/>
      <c r="AA463"/>
      <c r="AB463"/>
      <c r="AC463"/>
      <c r="AD463"/>
      <c r="AE463"/>
    </row>
    <row r="464" spans="17:31" ht="12.75" customHeight="1">
      <c r="Q464" s="364"/>
      <c r="R464" s="898"/>
      <c r="S464" s="899"/>
      <c r="T464" s="447"/>
      <c r="U464" s="560"/>
      <c r="V464" s="690" t="str">
        <f>IF(T464&gt;0,W464*U464," ")</f>
        <v xml:space="preserve"> </v>
      </c>
      <c r="W464" s="691" t="str">
        <f>IF(T464&gt;0,(VLOOKUP(T464,'Lookup Ready-reckoner'!$B$5:$E$1007,4))," ")</f>
        <v xml:space="preserve"> </v>
      </c>
      <c r="X464" s="364"/>
      <c r="Y464" s="364"/>
      <c r="Z464" s="364"/>
      <c r="AA464"/>
      <c r="AB464"/>
      <c r="AC464"/>
      <c r="AD464"/>
      <c r="AE464"/>
    </row>
    <row r="465" spans="17:31" ht="12.75" customHeight="1" thickBot="1">
      <c r="Q465" s="364"/>
      <c r="R465" s="692" t="s">
        <v>839</v>
      </c>
      <c r="S465" s="693"/>
      <c r="T465" s="693"/>
      <c r="U465" s="694">
        <f>IF(T463&gt;0,(VLOOKUP(V465,'Lookup Ready-reckoner'!$L$5:$M$1207,2))," ")</f>
        <v>97.15</v>
      </c>
      <c r="V465" s="695">
        <f>IF(U463&gt;0,(SUM(V463:V464))," ")</f>
        <v>1660.7142857142856</v>
      </c>
      <c r="W465" s="696"/>
      <c r="X465" s="364"/>
      <c r="Y465" s="364"/>
      <c r="Z465" s="364"/>
      <c r="AA465"/>
      <c r="AB465"/>
      <c r="AC465"/>
      <c r="AD465"/>
      <c r="AE465"/>
    </row>
    <row r="466" spans="17:31" ht="12.75" customHeight="1">
      <c r="Q466" s="364"/>
      <c r="R466" s="363"/>
      <c r="S466" s="363"/>
      <c r="T466" s="363"/>
      <c r="U466" s="363"/>
      <c r="V466" s="363"/>
      <c r="W466" s="363"/>
      <c r="X466" s="364"/>
      <c r="Y466" s="364"/>
      <c r="Z466" s="364"/>
      <c r="AA466"/>
      <c r="AB466"/>
      <c r="AC466"/>
      <c r="AD466"/>
      <c r="AE466"/>
    </row>
    <row r="467" spans="17:31" ht="12.75" customHeight="1" thickBot="1">
      <c r="Q467" s="364"/>
      <c r="R467" s="915" t="str">
        <f>R348</f>
        <v>Seco S215 Muffled</v>
      </c>
      <c r="S467" s="915"/>
      <c r="T467" s="915"/>
      <c r="U467" s="915"/>
      <c r="V467" s="915"/>
      <c r="W467" s="915"/>
      <c r="X467" s="364"/>
      <c r="Y467" s="364"/>
      <c r="Z467" s="364"/>
      <c r="AA467"/>
      <c r="AB467"/>
      <c r="AC467"/>
      <c r="AD467"/>
      <c r="AE467"/>
    </row>
    <row r="468" spans="17:31" ht="12.75" customHeight="1" thickBot="1">
      <c r="Q468" s="364"/>
      <c r="R468" s="906" t="s">
        <v>205</v>
      </c>
      <c r="S468" s="907"/>
      <c r="T468" s="907"/>
      <c r="U468" s="907"/>
      <c r="V468" s="907"/>
      <c r="W468" s="908"/>
      <c r="X468" s="364"/>
      <c r="Y468" s="364"/>
      <c r="Z468" s="364"/>
      <c r="AA468"/>
      <c r="AB468"/>
      <c r="AC468"/>
      <c r="AD468"/>
      <c r="AE468"/>
    </row>
    <row r="469" spans="17:31" ht="12.75" customHeight="1" thickBot="1">
      <c r="Q469" s="364"/>
      <c r="R469" s="686" t="s">
        <v>59</v>
      </c>
      <c r="S469" s="577"/>
      <c r="T469" s="687"/>
      <c r="U469" s="687"/>
      <c r="V469" s="687"/>
      <c r="W469" s="688"/>
      <c r="X469" s="364"/>
      <c r="Y469" s="364"/>
      <c r="Z469" s="364"/>
      <c r="AA469"/>
      <c r="AB469"/>
      <c r="AC469"/>
      <c r="AD469"/>
      <c r="AE469"/>
    </row>
    <row r="470" spans="17:31" ht="12.75" customHeight="1">
      <c r="Q470" s="364"/>
      <c r="R470" s="895" t="s">
        <v>845</v>
      </c>
      <c r="S470" s="896"/>
      <c r="T470" s="900" t="s">
        <v>835</v>
      </c>
      <c r="U470" s="900" t="s">
        <v>836</v>
      </c>
      <c r="V470" s="900" t="s">
        <v>837</v>
      </c>
      <c r="W470" s="902" t="s">
        <v>838</v>
      </c>
      <c r="X470" s="364"/>
      <c r="Y470" s="364"/>
      <c r="Z470" s="364"/>
      <c r="AA470"/>
      <c r="AB470"/>
      <c r="AC470"/>
      <c r="AD470"/>
      <c r="AE470"/>
    </row>
    <row r="471" spans="17:31" ht="12.75" customHeight="1">
      <c r="Q471" s="364"/>
      <c r="R471" s="892"/>
      <c r="S471" s="897"/>
      <c r="T471" s="904"/>
      <c r="U471" s="904"/>
      <c r="V471" s="904"/>
      <c r="W471" s="905"/>
      <c r="X471" s="364"/>
      <c r="Y471" s="364"/>
      <c r="Z471" s="364"/>
      <c r="AA471"/>
      <c r="AB471"/>
      <c r="AC471"/>
      <c r="AD471"/>
      <c r="AE471"/>
    </row>
    <row r="472" spans="17:31" ht="12.75" customHeight="1">
      <c r="Q472" s="364"/>
      <c r="R472" s="892"/>
      <c r="S472" s="897"/>
      <c r="T472" s="901"/>
      <c r="U472" s="901"/>
      <c r="V472" s="901"/>
      <c r="W472" s="903"/>
      <c r="X472" s="364"/>
      <c r="Y472" s="364"/>
      <c r="Z472" s="364"/>
      <c r="AA472"/>
      <c r="AB472"/>
      <c r="AC472"/>
      <c r="AD472"/>
      <c r="AE472"/>
    </row>
    <row r="473" spans="17:31" ht="12.75" customHeight="1">
      <c r="Q473" s="364"/>
      <c r="R473" s="892"/>
      <c r="S473" s="897"/>
      <c r="T473" s="700">
        <f>V76</f>
        <v>114.02059991327963</v>
      </c>
      <c r="U473" s="560">
        <f>V62</f>
        <v>1.9999999999999996</v>
      </c>
      <c r="V473" s="690">
        <f>IF(T473&gt;0,W473*U473," ")</f>
        <v>19999.999999999996</v>
      </c>
      <c r="W473" s="691">
        <f>IF(T473&gt;0,(VLOOKUP(T473,'Lookup Ready-reckoner'!$B$5:$E$1207,4))," ")</f>
        <v>10000</v>
      </c>
      <c r="X473" s="364"/>
      <c r="Y473" s="364"/>
      <c r="Z473" s="364"/>
      <c r="AA473"/>
      <c r="AB473"/>
      <c r="AC473"/>
      <c r="AD473"/>
      <c r="AE473"/>
    </row>
    <row r="474" spans="17:31" ht="12.75" customHeight="1">
      <c r="Q474" s="364"/>
      <c r="R474" s="898"/>
      <c r="S474" s="899"/>
      <c r="T474" s="447"/>
      <c r="U474" s="560"/>
      <c r="V474" s="690" t="str">
        <f>IF(T474&gt;0,W474*U474," ")</f>
        <v xml:space="preserve"> </v>
      </c>
      <c r="W474" s="691" t="str">
        <f>IF(T474&gt;0,(VLOOKUP(T474,'Lookup Ready-reckoner'!$B$5:$E$1007,4))," ")</f>
        <v xml:space="preserve"> </v>
      </c>
      <c r="X474" s="364"/>
      <c r="Y474" s="364"/>
      <c r="Z474" s="364"/>
      <c r="AA474"/>
      <c r="AB474"/>
      <c r="AC474"/>
      <c r="AD474"/>
      <c r="AE474"/>
    </row>
    <row r="475" spans="17:31" ht="12.75" customHeight="1" thickBot="1">
      <c r="Q475" s="364"/>
      <c r="R475" s="699" t="s">
        <v>839</v>
      </c>
      <c r="S475" s="693"/>
      <c r="T475" s="693"/>
      <c r="U475" s="701">
        <f>IF(T473&gt;0,(VLOOKUP(V475,'Lookup Ready-reckoner'!$L$5:$M$1207,2))," ")</f>
        <v>107.95</v>
      </c>
      <c r="V475" s="695">
        <f>IF(U473&gt;0,(SUM(V473:V474))," ")</f>
        <v>19999.999999999996</v>
      </c>
      <c r="W475" s="696"/>
      <c r="X475" s="364"/>
      <c r="Y475" s="364"/>
      <c r="Z475" s="364"/>
      <c r="AA475"/>
      <c r="AB475"/>
      <c r="AC475"/>
      <c r="AD475"/>
      <c r="AE475"/>
    </row>
    <row r="476" spans="17:31" ht="12.75" customHeight="1" thickBot="1">
      <c r="Q476" s="364"/>
      <c r="R476" s="892"/>
      <c r="S476" s="893"/>
      <c r="T476" s="893"/>
      <c r="U476" s="893"/>
      <c r="V476" s="893"/>
      <c r="W476" s="894"/>
      <c r="X476" s="364"/>
      <c r="Y476" s="364"/>
      <c r="Z476" s="364"/>
      <c r="AA476"/>
      <c r="AB476"/>
      <c r="AC476"/>
      <c r="AD476"/>
      <c r="AE476"/>
    </row>
    <row r="477" spans="17:31" ht="12.75" customHeight="1">
      <c r="Q477" s="364"/>
      <c r="R477" s="895" t="s">
        <v>886</v>
      </c>
      <c r="S477" s="896"/>
      <c r="T477" s="900" t="s">
        <v>835</v>
      </c>
      <c r="U477" s="900" t="s">
        <v>836</v>
      </c>
      <c r="V477" s="900" t="s">
        <v>837</v>
      </c>
      <c r="W477" s="902" t="s">
        <v>838</v>
      </c>
      <c r="X477" s="364"/>
      <c r="Y477" s="364"/>
      <c r="Z477" s="364"/>
      <c r="AA477"/>
      <c r="AB477"/>
      <c r="AC477"/>
      <c r="AD477"/>
      <c r="AE477"/>
    </row>
    <row r="478" spans="17:31" ht="12.75" customHeight="1">
      <c r="Q478" s="364"/>
      <c r="R478" s="892"/>
      <c r="S478" s="897"/>
      <c r="T478" s="901"/>
      <c r="U478" s="901"/>
      <c r="V478" s="901"/>
      <c r="W478" s="903"/>
      <c r="X478" s="364"/>
      <c r="Y478" s="364"/>
      <c r="Z478" s="364"/>
      <c r="AA478"/>
      <c r="AB478"/>
      <c r="AC478"/>
      <c r="AD478"/>
      <c r="AE478"/>
    </row>
    <row r="479" spans="17:31" ht="12.75" customHeight="1">
      <c r="Q479" s="364"/>
      <c r="R479" s="892"/>
      <c r="S479" s="897"/>
      <c r="T479" s="700">
        <f>T473*(1-0.0178*2)</f>
        <v>109.96146655636687</v>
      </c>
      <c r="U479" s="560">
        <f>U473</f>
        <v>1.9999999999999996</v>
      </c>
      <c r="V479" s="690">
        <f>IF(T479&gt;0,W479*U479," ")</f>
        <v>7919.9999999999982</v>
      </c>
      <c r="W479" s="691">
        <f>IF(T479&gt;0,(VLOOKUP(T479,'Lookup Ready-reckoner'!$B$5:$E$1207,4))," ")</f>
        <v>3960</v>
      </c>
      <c r="X479" s="364"/>
      <c r="Y479" s="364"/>
      <c r="Z479" s="364"/>
      <c r="AA479"/>
      <c r="AB479"/>
      <c r="AC479"/>
      <c r="AD479"/>
      <c r="AE479"/>
    </row>
    <row r="480" spans="17:31" ht="12.75" customHeight="1">
      <c r="Q480" s="364"/>
      <c r="R480" s="898"/>
      <c r="S480" s="899"/>
      <c r="T480" s="447"/>
      <c r="U480" s="560"/>
      <c r="V480" s="690" t="str">
        <f>IF(T480&gt;0,W480*U480," ")</f>
        <v xml:space="preserve"> </v>
      </c>
      <c r="W480" s="691" t="str">
        <f>IF(T480&gt;0,(VLOOKUP(T480,'Lookup Ready-reckoner'!$B$5:$E$1007,4))," ")</f>
        <v xml:space="preserve"> </v>
      </c>
      <c r="X480" s="364"/>
      <c r="Y480" s="364"/>
      <c r="Z480" s="364"/>
      <c r="AA480"/>
      <c r="AB480"/>
      <c r="AC480"/>
      <c r="AD480"/>
      <c r="AE480"/>
    </row>
    <row r="481" spans="17:31" ht="12.75" customHeight="1" thickBot="1">
      <c r="Q481" s="364"/>
      <c r="R481" s="692" t="s">
        <v>839</v>
      </c>
      <c r="S481" s="693"/>
      <c r="T481" s="693"/>
      <c r="U481" s="701">
        <f>IF(T479&gt;0,(VLOOKUP(V481,'Lookup Ready-reckoner'!$L$5:$M$1207,2))," ")</f>
        <v>103.9</v>
      </c>
      <c r="V481" s="695">
        <f>IF(U479&gt;0,(SUM(V479:V480))," ")</f>
        <v>7919.9999999999982</v>
      </c>
      <c r="W481" s="696"/>
      <c r="X481" s="364"/>
      <c r="Y481" s="364"/>
      <c r="Z481" s="364"/>
      <c r="AA481"/>
      <c r="AB481"/>
      <c r="AC481"/>
      <c r="AD481"/>
      <c r="AE481"/>
    </row>
    <row r="482" spans="17:31" ht="12.75" customHeight="1">
      <c r="Q482" s="364"/>
      <c r="R482" s="697"/>
      <c r="S482" s="687"/>
      <c r="T482" s="687"/>
      <c r="U482" s="372"/>
      <c r="V482" s="374"/>
      <c r="W482" s="688"/>
      <c r="X482" s="364"/>
      <c r="Y482" s="364"/>
      <c r="Z482" s="364"/>
      <c r="AA482"/>
      <c r="AB482"/>
      <c r="AC482"/>
      <c r="AD482"/>
      <c r="AE482"/>
    </row>
    <row r="483" spans="17:31" ht="12.75" customHeight="1" thickBot="1">
      <c r="Q483" s="364"/>
      <c r="R483" s="686" t="s">
        <v>60</v>
      </c>
      <c r="S483" s="577"/>
      <c r="T483" s="577"/>
      <c r="U483" s="577"/>
      <c r="V483" s="577"/>
      <c r="W483" s="698"/>
      <c r="X483" s="364"/>
      <c r="Y483" s="364"/>
      <c r="Z483" s="364"/>
      <c r="AA483"/>
      <c r="AB483"/>
      <c r="AC483"/>
      <c r="AD483"/>
      <c r="AE483"/>
    </row>
    <row r="484" spans="17:31" ht="12.75" customHeight="1">
      <c r="Q484" s="364"/>
      <c r="R484" s="895" t="s">
        <v>845</v>
      </c>
      <c r="S484" s="896"/>
      <c r="T484" s="900" t="s">
        <v>835</v>
      </c>
      <c r="U484" s="900" t="s">
        <v>836</v>
      </c>
      <c r="V484" s="900" t="s">
        <v>837</v>
      </c>
      <c r="W484" s="902" t="s">
        <v>838</v>
      </c>
      <c r="X484" s="364"/>
      <c r="Y484" s="364"/>
      <c r="Z484" s="364"/>
      <c r="AA484"/>
      <c r="AB484"/>
      <c r="AC484"/>
      <c r="AD484"/>
      <c r="AE484"/>
    </row>
    <row r="485" spans="17:31" ht="12.75" customHeight="1">
      <c r="Q485" s="364"/>
      <c r="R485" s="892"/>
      <c r="S485" s="897"/>
      <c r="T485" s="901"/>
      <c r="U485" s="901"/>
      <c r="V485" s="901"/>
      <c r="W485" s="903"/>
      <c r="X485" s="364"/>
      <c r="Y485" s="364"/>
      <c r="Z485" s="364"/>
      <c r="AA485"/>
      <c r="AB485"/>
      <c r="AC485"/>
      <c r="AD485"/>
      <c r="AE485"/>
    </row>
    <row r="486" spans="17:31" ht="12.75" customHeight="1">
      <c r="Q486" s="364"/>
      <c r="R486" s="892"/>
      <c r="S486" s="897"/>
      <c r="T486" s="700">
        <f>T473-PPE!$I$15</f>
        <v>101.02059991327963</v>
      </c>
      <c r="U486" s="560">
        <f>U479</f>
        <v>1.9999999999999996</v>
      </c>
      <c r="V486" s="690">
        <f>IF(T486&gt;0,W486*U486," ")</f>
        <v>999.99999999999977</v>
      </c>
      <c r="W486" s="691">
        <f>IF(T486&gt;0,(VLOOKUP(T486,'Lookup Ready-reckoner'!$B$5:$E$1207,4))," ")</f>
        <v>500</v>
      </c>
      <c r="X486" s="364"/>
      <c r="Y486" s="364"/>
      <c r="Z486" s="364"/>
      <c r="AA486"/>
      <c r="AB486"/>
      <c r="AC486"/>
      <c r="AD486"/>
      <c r="AE486"/>
    </row>
    <row r="487" spans="17:31" ht="12.75" customHeight="1">
      <c r="Q487" s="364"/>
      <c r="R487" s="898"/>
      <c r="S487" s="899"/>
      <c r="T487" s="447"/>
      <c r="U487" s="560"/>
      <c r="V487" s="690" t="str">
        <f>IF(T487&gt;0,W487*U487," ")</f>
        <v xml:space="preserve"> </v>
      </c>
      <c r="W487" s="691" t="str">
        <f>IF(T487&gt;0,(VLOOKUP(T487,'Lookup Ready-reckoner'!$B$5:$E$1007,4))," ")</f>
        <v xml:space="preserve"> </v>
      </c>
      <c r="X487" s="364"/>
      <c r="Y487" s="364"/>
      <c r="Z487" s="364"/>
      <c r="AA487"/>
      <c r="AB487"/>
      <c r="AC487"/>
      <c r="AD487"/>
      <c r="AE487"/>
    </row>
    <row r="488" spans="17:31" ht="12.75" customHeight="1" thickBot="1">
      <c r="Q488" s="364"/>
      <c r="R488" s="692" t="s">
        <v>839</v>
      </c>
      <c r="S488" s="693"/>
      <c r="T488" s="693"/>
      <c r="U488" s="701">
        <f>IF(T486&gt;0,(VLOOKUP(V488,'Lookup Ready-reckoner'!$L$5:$M$1207,2))," ")</f>
        <v>94.95</v>
      </c>
      <c r="V488" s="695">
        <f>IF(U486&gt;0,(SUM(V486:V487))," ")</f>
        <v>999.99999999999977</v>
      </c>
      <c r="W488" s="696"/>
      <c r="X488" s="364"/>
      <c r="Y488" s="364"/>
      <c r="Z488" s="364"/>
      <c r="AA488"/>
      <c r="AB488"/>
      <c r="AC488"/>
      <c r="AD488"/>
      <c r="AE488"/>
    </row>
    <row r="489" spans="17:31" ht="12.75" customHeight="1" thickBot="1">
      <c r="Q489" s="364"/>
      <c r="R489" s="892"/>
      <c r="S489" s="893"/>
      <c r="T489" s="893"/>
      <c r="U489" s="893"/>
      <c r="V489" s="893"/>
      <c r="W489" s="894"/>
      <c r="X489" s="364"/>
      <c r="Y489" s="364"/>
      <c r="Z489" s="364"/>
      <c r="AA489"/>
      <c r="AB489"/>
      <c r="AC489"/>
      <c r="AD489"/>
      <c r="AE489"/>
    </row>
    <row r="490" spans="17:31" ht="12.75" customHeight="1">
      <c r="Q490" s="364"/>
      <c r="R490" s="895" t="s">
        <v>886</v>
      </c>
      <c r="S490" s="896"/>
      <c r="T490" s="900" t="s">
        <v>835</v>
      </c>
      <c r="U490" s="900" t="s">
        <v>836</v>
      </c>
      <c r="V490" s="900" t="s">
        <v>837</v>
      </c>
      <c r="W490" s="902" t="s">
        <v>838</v>
      </c>
      <c r="X490" s="364"/>
      <c r="Y490" s="364"/>
      <c r="Z490" s="364"/>
      <c r="AA490"/>
      <c r="AB490"/>
      <c r="AC490"/>
      <c r="AD490"/>
      <c r="AE490"/>
    </row>
    <row r="491" spans="17:31" ht="12.75" customHeight="1">
      <c r="Q491" s="364"/>
      <c r="R491" s="892"/>
      <c r="S491" s="897"/>
      <c r="T491" s="901"/>
      <c r="U491" s="901"/>
      <c r="V491" s="901"/>
      <c r="W491" s="903"/>
      <c r="X491" s="364"/>
      <c r="Y491" s="364"/>
      <c r="Z491" s="364"/>
      <c r="AA491"/>
      <c r="AB491"/>
      <c r="AC491"/>
      <c r="AD491"/>
      <c r="AE491"/>
    </row>
    <row r="492" spans="17:31" ht="12.75" customHeight="1">
      <c r="Q492" s="364"/>
      <c r="R492" s="892"/>
      <c r="S492" s="897"/>
      <c r="T492" s="700">
        <f>T479-PPE!$I$15</f>
        <v>96.961466556366872</v>
      </c>
      <c r="U492" s="560">
        <f>U486</f>
        <v>1.9999999999999996</v>
      </c>
      <c r="V492" s="690">
        <f>IF(T492&gt;0,W492*U492," ")</f>
        <v>395.62499999999989</v>
      </c>
      <c r="W492" s="691">
        <f>IF(T492&gt;0,(VLOOKUP(T492,'Lookup Ready-reckoner'!$B$5:$E$1207,4))," ")</f>
        <v>197.8125</v>
      </c>
      <c r="X492" s="364"/>
      <c r="Y492" s="364"/>
      <c r="Z492" s="364"/>
      <c r="AA492"/>
      <c r="AB492"/>
      <c r="AC492"/>
      <c r="AD492"/>
      <c r="AE492"/>
    </row>
    <row r="493" spans="17:31" ht="12.75" customHeight="1">
      <c r="Q493" s="364"/>
      <c r="R493" s="898"/>
      <c r="S493" s="899"/>
      <c r="T493" s="447"/>
      <c r="U493" s="560"/>
      <c r="V493" s="690" t="str">
        <f>IF(T493&gt;0,W493*U493," ")</f>
        <v xml:space="preserve"> </v>
      </c>
      <c r="W493" s="691" t="str">
        <f>IF(T493&gt;0,(VLOOKUP(T493,'Lookup Ready-reckoner'!$B$5:$E$1007,4))," ")</f>
        <v xml:space="preserve"> </v>
      </c>
      <c r="X493" s="364"/>
      <c r="Y493" s="364"/>
      <c r="Z493" s="364"/>
      <c r="AA493"/>
      <c r="AB493"/>
      <c r="AC493"/>
      <c r="AD493"/>
      <c r="AE493"/>
    </row>
    <row r="494" spans="17:31" ht="12.75" customHeight="1" thickBot="1">
      <c r="Q494" s="364"/>
      <c r="R494" s="692" t="s">
        <v>839</v>
      </c>
      <c r="S494" s="693"/>
      <c r="T494" s="693"/>
      <c r="U494" s="701">
        <f>IF(T492&gt;0,(VLOOKUP(V494,'Lookup Ready-reckoner'!$L$5:$M$1207,2))," ")</f>
        <v>90.9</v>
      </c>
      <c r="V494" s="695">
        <f>IF(U492&gt;0,(SUM(V492:V493))," ")</f>
        <v>395.62499999999989</v>
      </c>
      <c r="W494" s="696"/>
      <c r="X494" s="364"/>
      <c r="Y494" s="364"/>
      <c r="Z494" s="364"/>
      <c r="AA494"/>
      <c r="AB494"/>
      <c r="AC494"/>
      <c r="AD494"/>
      <c r="AE494"/>
    </row>
    <row r="495" spans="17:31" ht="12.75" customHeight="1">
      <c r="Q495" s="364"/>
      <c r="R495" s="363"/>
      <c r="S495" s="363"/>
      <c r="T495" s="363"/>
      <c r="U495" s="363"/>
      <c r="V495" s="363"/>
      <c r="W495" s="363"/>
      <c r="X495" s="364"/>
      <c r="Y495" s="364"/>
      <c r="Z495" s="364"/>
      <c r="AA495"/>
      <c r="AB495"/>
      <c r="AC495"/>
      <c r="AD495"/>
      <c r="AE495"/>
    </row>
    <row r="496" spans="17:31" ht="12.75" customHeight="1">
      <c r="Q496" s="364"/>
      <c r="R496" s="913" t="str">
        <f>R377</f>
        <v>Sulzer ADDS</v>
      </c>
      <c r="S496" s="914"/>
      <c r="T496" s="914"/>
      <c r="U496" s="914"/>
      <c r="V496" s="914"/>
      <c r="W496" s="914"/>
      <c r="X496" s="364"/>
      <c r="Y496" s="364"/>
      <c r="Z496" s="364"/>
      <c r="AA496"/>
      <c r="AB496"/>
      <c r="AC496"/>
      <c r="AD496"/>
      <c r="AE496"/>
    </row>
    <row r="497" spans="17:31" ht="12.75" customHeight="1" thickBot="1">
      <c r="Q497" s="364"/>
      <c r="R497" s="910" t="s">
        <v>205</v>
      </c>
      <c r="S497" s="911"/>
      <c r="T497" s="911"/>
      <c r="U497" s="911"/>
      <c r="V497" s="911"/>
      <c r="W497" s="912"/>
      <c r="X497" s="364"/>
      <c r="Y497" s="364"/>
      <c r="Z497" s="364"/>
      <c r="AA497"/>
      <c r="AB497"/>
      <c r="AC497"/>
      <c r="AD497"/>
      <c r="AE497"/>
    </row>
    <row r="498" spans="17:31" ht="12.75" customHeight="1" thickBot="1">
      <c r="Q498" s="364"/>
      <c r="R498" s="686" t="s">
        <v>59</v>
      </c>
      <c r="S498" s="577"/>
      <c r="T498" s="687"/>
      <c r="U498" s="687"/>
      <c r="V498" s="687"/>
      <c r="W498" s="688"/>
      <c r="X498" s="364"/>
      <c r="Y498" s="364"/>
      <c r="Z498" s="364"/>
      <c r="AA498"/>
      <c r="AB498"/>
      <c r="AC498"/>
      <c r="AD498"/>
      <c r="AE498"/>
    </row>
    <row r="499" spans="17:31" ht="12.75" customHeight="1">
      <c r="Q499" s="364"/>
      <c r="R499" s="895" t="s">
        <v>845</v>
      </c>
      <c r="S499" s="896"/>
      <c r="T499" s="900" t="s">
        <v>835</v>
      </c>
      <c r="U499" s="900" t="s">
        <v>836</v>
      </c>
      <c r="V499" s="900" t="s">
        <v>837</v>
      </c>
      <c r="W499" s="902" t="s">
        <v>838</v>
      </c>
      <c r="X499" s="364"/>
      <c r="Y499" s="364"/>
      <c r="Z499" s="364"/>
      <c r="AA499"/>
      <c r="AB499"/>
      <c r="AC499"/>
      <c r="AD499"/>
      <c r="AE499"/>
    </row>
    <row r="500" spans="17:31" ht="12.75" customHeight="1">
      <c r="Q500" s="364"/>
      <c r="R500" s="892"/>
      <c r="S500" s="897"/>
      <c r="T500" s="904"/>
      <c r="U500" s="904"/>
      <c r="V500" s="904"/>
      <c r="W500" s="905"/>
      <c r="X500" s="364"/>
      <c r="Y500" s="364"/>
      <c r="Z500" s="364"/>
      <c r="AA500"/>
      <c r="AB500"/>
      <c r="AC500"/>
      <c r="AD500"/>
      <c r="AE500"/>
    </row>
    <row r="501" spans="17:31" ht="12.75" customHeight="1">
      <c r="Q501" s="364"/>
      <c r="R501" s="892"/>
      <c r="S501" s="897"/>
      <c r="T501" s="901"/>
      <c r="U501" s="901"/>
      <c r="V501" s="901"/>
      <c r="W501" s="903"/>
      <c r="X501" s="364"/>
      <c r="Y501" s="364"/>
      <c r="Z501" s="364"/>
      <c r="AA501"/>
      <c r="AB501"/>
      <c r="AC501"/>
      <c r="AD501"/>
      <c r="AE501"/>
    </row>
    <row r="502" spans="17:31" ht="12.75" customHeight="1">
      <c r="Q502" s="364"/>
      <c r="R502" s="892"/>
      <c r="S502" s="897"/>
      <c r="T502" s="702">
        <f>W76</f>
        <v>115.02059991327963</v>
      </c>
      <c r="U502" s="560">
        <f>W62</f>
        <v>1.7391304347826084</v>
      </c>
      <c r="V502" s="690">
        <f>IF(T502&gt;0,W502*U502," ")</f>
        <v>22260.869565217388</v>
      </c>
      <c r="W502" s="691">
        <f>IF(T502&gt;0,(VLOOKUP(T502,'Lookup Ready-reckoner'!$B$5:$E$1207,4))," ")</f>
        <v>12800</v>
      </c>
      <c r="X502" s="364"/>
      <c r="Y502" s="364"/>
      <c r="Z502" s="364"/>
      <c r="AA502"/>
      <c r="AB502"/>
      <c r="AC502"/>
      <c r="AD502"/>
      <c r="AE502"/>
    </row>
    <row r="503" spans="17:31" ht="12.75" customHeight="1">
      <c r="Q503" s="364"/>
      <c r="R503" s="898"/>
      <c r="S503" s="899"/>
      <c r="T503" s="447"/>
      <c r="U503" s="560"/>
      <c r="V503" s="690" t="str">
        <f>IF(T503&gt;0,W503*U503," ")</f>
        <v xml:space="preserve"> </v>
      </c>
      <c r="W503" s="691" t="str">
        <f>IF(T503&gt;0,(VLOOKUP(T503,'Lookup Ready-reckoner'!$B$5:$E$1007,4))," ")</f>
        <v xml:space="preserve"> </v>
      </c>
      <c r="X503" s="364"/>
      <c r="Y503" s="364"/>
      <c r="Z503" s="364"/>
      <c r="AA503"/>
      <c r="AB503"/>
      <c r="AC503"/>
      <c r="AD503"/>
      <c r="AE503"/>
    </row>
    <row r="504" spans="17:31" ht="12.75" customHeight="1" thickBot="1">
      <c r="Q504" s="364"/>
      <c r="R504" s="692" t="s">
        <v>839</v>
      </c>
      <c r="S504" s="693"/>
      <c r="T504" s="693"/>
      <c r="U504" s="703">
        <f>IF(T502&gt;0,(VLOOKUP(V504,'Lookup Ready-reckoner'!$L$5:$M$1207,2))," ")</f>
        <v>108.4</v>
      </c>
      <c r="V504" s="695">
        <f>IF(U502&gt;0,(SUM(V502:V503))," ")</f>
        <v>22260.869565217388</v>
      </c>
      <c r="W504" s="696"/>
      <c r="X504" s="364"/>
      <c r="Y504" s="364"/>
      <c r="Z504" s="364"/>
      <c r="AA504"/>
      <c r="AB504"/>
      <c r="AC504"/>
      <c r="AD504"/>
      <c r="AE504"/>
    </row>
    <row r="505" spans="17:31" ht="12.75" customHeight="1" thickBot="1">
      <c r="Q505" s="364"/>
      <c r="R505" s="892"/>
      <c r="S505" s="893"/>
      <c r="T505" s="893"/>
      <c r="U505" s="893"/>
      <c r="V505" s="893"/>
      <c r="W505" s="894"/>
      <c r="X505" s="364"/>
      <c r="Y505" s="364"/>
      <c r="Z505" s="364"/>
      <c r="AA505"/>
      <c r="AB505"/>
      <c r="AC505"/>
      <c r="AD505"/>
      <c r="AE505"/>
    </row>
    <row r="506" spans="17:31" ht="12.75" customHeight="1">
      <c r="Q506" s="364"/>
      <c r="R506" s="895" t="s">
        <v>886</v>
      </c>
      <c r="S506" s="896"/>
      <c r="T506" s="900" t="s">
        <v>835</v>
      </c>
      <c r="U506" s="900" t="s">
        <v>836</v>
      </c>
      <c r="V506" s="900" t="s">
        <v>837</v>
      </c>
      <c r="W506" s="902" t="s">
        <v>838</v>
      </c>
      <c r="X506" s="364"/>
      <c r="Y506" s="364"/>
      <c r="Z506" s="364"/>
      <c r="AA506"/>
      <c r="AB506"/>
      <c r="AC506"/>
      <c r="AD506"/>
      <c r="AE506"/>
    </row>
    <row r="507" spans="17:31" ht="12.75" customHeight="1">
      <c r="Q507" s="364"/>
      <c r="R507" s="892"/>
      <c r="S507" s="897"/>
      <c r="T507" s="901"/>
      <c r="U507" s="901"/>
      <c r="V507" s="901"/>
      <c r="W507" s="903"/>
      <c r="X507" s="364"/>
      <c r="Y507" s="364"/>
      <c r="Z507" s="364"/>
      <c r="AA507"/>
      <c r="AB507"/>
      <c r="AC507"/>
      <c r="AD507"/>
      <c r="AE507"/>
    </row>
    <row r="508" spans="17:31" ht="12.75" customHeight="1">
      <c r="Q508" s="364"/>
      <c r="R508" s="892"/>
      <c r="S508" s="897"/>
      <c r="T508" s="702">
        <f>T502*(1-0.0178*2)</f>
        <v>110.92586655636687</v>
      </c>
      <c r="U508" s="560">
        <f>U502</f>
        <v>1.7391304347826084</v>
      </c>
      <c r="V508" s="690">
        <f>IF(T508&gt;0,W508*U508," ")</f>
        <v>8521.7391304347821</v>
      </c>
      <c r="W508" s="691">
        <f>IF(T508&gt;0,(VLOOKUP(T508,'Lookup Ready-reckoner'!$B$5:$E$1207,4))," ")</f>
        <v>4900</v>
      </c>
      <c r="X508" s="364"/>
      <c r="Y508" s="364"/>
      <c r="Z508" s="364"/>
      <c r="AA508"/>
      <c r="AB508"/>
      <c r="AC508"/>
      <c r="AD508"/>
      <c r="AE508"/>
    </row>
    <row r="509" spans="17:31" ht="12.75" customHeight="1">
      <c r="Q509" s="364"/>
      <c r="R509" s="898"/>
      <c r="S509" s="899"/>
      <c r="T509" s="447"/>
      <c r="U509" s="560"/>
      <c r="V509" s="690" t="str">
        <f>IF(T509&gt;0,W509*U509," ")</f>
        <v xml:space="preserve"> </v>
      </c>
      <c r="W509" s="691" t="str">
        <f>IF(T509&gt;0,(VLOOKUP(T509,'Lookup Ready-reckoner'!$B$5:$E$1007,4))," ")</f>
        <v xml:space="preserve"> </v>
      </c>
      <c r="X509" s="364"/>
      <c r="Y509" s="364"/>
      <c r="Z509" s="364"/>
      <c r="AA509"/>
      <c r="AB509"/>
      <c r="AC509"/>
      <c r="AD509"/>
      <c r="AE509"/>
    </row>
    <row r="510" spans="17:31" ht="12.75" customHeight="1" thickBot="1">
      <c r="Q510" s="364"/>
      <c r="R510" s="692" t="s">
        <v>839</v>
      </c>
      <c r="S510" s="693"/>
      <c r="T510" s="693"/>
      <c r="U510" s="703">
        <f>IF(T508&gt;0,(VLOOKUP(V510,'Lookup Ready-reckoner'!$L$5:$M$1207,2))," ")</f>
        <v>104.25</v>
      </c>
      <c r="V510" s="695">
        <f>IF(U508&gt;0,(SUM(V508:V509))," ")</f>
        <v>8521.7391304347821</v>
      </c>
      <c r="W510" s="696"/>
      <c r="X510" s="364"/>
      <c r="Y510" s="364"/>
      <c r="Z510" s="364"/>
      <c r="AA510"/>
      <c r="AB510"/>
      <c r="AC510"/>
      <c r="AD510"/>
      <c r="AE510"/>
    </row>
    <row r="511" spans="17:31" ht="12.75" customHeight="1">
      <c r="Q511" s="364"/>
      <c r="R511" s="697"/>
      <c r="S511" s="687"/>
      <c r="T511" s="687"/>
      <c r="U511" s="372"/>
      <c r="V511" s="374"/>
      <c r="W511" s="688"/>
      <c r="X511" s="364"/>
      <c r="Y511" s="364"/>
      <c r="Z511" s="364"/>
      <c r="AA511"/>
      <c r="AB511"/>
      <c r="AC511"/>
      <c r="AD511"/>
      <c r="AE511"/>
    </row>
    <row r="512" spans="17:31" ht="12.75" customHeight="1" thickBot="1">
      <c r="Q512" s="364"/>
      <c r="R512" s="686" t="s">
        <v>60</v>
      </c>
      <c r="S512" s="577"/>
      <c r="T512" s="577"/>
      <c r="U512" s="577"/>
      <c r="V512" s="577"/>
      <c r="W512" s="698"/>
      <c r="X512" s="364"/>
      <c r="Y512" s="364"/>
      <c r="Z512" s="364"/>
      <c r="AA512"/>
      <c r="AB512"/>
      <c r="AC512"/>
      <c r="AD512"/>
      <c r="AE512"/>
    </row>
    <row r="513" spans="17:31" ht="12.75" customHeight="1">
      <c r="Q513" s="364"/>
      <c r="R513" s="895" t="s">
        <v>845</v>
      </c>
      <c r="S513" s="896"/>
      <c r="T513" s="900" t="s">
        <v>835</v>
      </c>
      <c r="U513" s="900" t="s">
        <v>836</v>
      </c>
      <c r="V513" s="900" t="s">
        <v>837</v>
      </c>
      <c r="W513" s="902" t="s">
        <v>838</v>
      </c>
      <c r="X513" s="364"/>
      <c r="Y513" s="364"/>
      <c r="Z513" s="364"/>
      <c r="AA513"/>
      <c r="AB513"/>
      <c r="AC513"/>
      <c r="AD513"/>
      <c r="AE513"/>
    </row>
    <row r="514" spans="17:31" ht="12.75" customHeight="1">
      <c r="Q514" s="364"/>
      <c r="R514" s="892"/>
      <c r="S514" s="897"/>
      <c r="T514" s="901"/>
      <c r="U514" s="901"/>
      <c r="V514" s="901"/>
      <c r="W514" s="903"/>
      <c r="X514" s="364"/>
      <c r="Y514" s="364"/>
      <c r="Z514" s="364"/>
      <c r="AA514"/>
      <c r="AB514"/>
      <c r="AC514"/>
      <c r="AD514"/>
      <c r="AE514"/>
    </row>
    <row r="515" spans="17:31" ht="12.75" customHeight="1">
      <c r="Q515" s="364"/>
      <c r="R515" s="892"/>
      <c r="S515" s="897"/>
      <c r="T515" s="702">
        <f>T502-PPE!$I$15</f>
        <v>102.02059991327963</v>
      </c>
      <c r="U515" s="560">
        <f>U508</f>
        <v>1.7391304347826084</v>
      </c>
      <c r="V515" s="690">
        <f>IF(T515&gt;0,W515*U515," ")</f>
        <v>1086.9565217391303</v>
      </c>
      <c r="W515" s="691">
        <f>IF(T515&gt;0,(VLOOKUP(T515,'Lookup Ready-reckoner'!$B$5:$E$1207,4))," ")</f>
        <v>625</v>
      </c>
      <c r="X515" s="364"/>
      <c r="Y515" s="364"/>
      <c r="Z515" s="364"/>
      <c r="AA515"/>
      <c r="AB515"/>
      <c r="AC515"/>
      <c r="AD515"/>
      <c r="AE515"/>
    </row>
    <row r="516" spans="17:31" ht="12.75" customHeight="1">
      <c r="Q516" s="364"/>
      <c r="R516" s="898"/>
      <c r="S516" s="899"/>
      <c r="T516" s="447"/>
      <c r="U516" s="560"/>
      <c r="V516" s="690" t="str">
        <f>IF(T516&gt;0,W516*U516," ")</f>
        <v xml:space="preserve"> </v>
      </c>
      <c r="W516" s="691" t="str">
        <f>IF(T516&gt;0,(VLOOKUP(T516,'Lookup Ready-reckoner'!$B$5:$E$1007,4))," ")</f>
        <v xml:space="preserve"> </v>
      </c>
      <c r="X516" s="364"/>
      <c r="Y516" s="364"/>
      <c r="Z516" s="364"/>
      <c r="AA516"/>
      <c r="AB516"/>
      <c r="AC516"/>
      <c r="AD516"/>
      <c r="AE516"/>
    </row>
    <row r="517" spans="17:31" ht="12.75" customHeight="1" thickBot="1">
      <c r="Q517" s="364"/>
      <c r="R517" s="692" t="s">
        <v>839</v>
      </c>
      <c r="S517" s="693"/>
      <c r="T517" s="693"/>
      <c r="U517" s="703">
        <f>IF(T515&gt;0,(VLOOKUP(V517,'Lookup Ready-reckoner'!$L$5:$M$1207,2))," ")</f>
        <v>95.3</v>
      </c>
      <c r="V517" s="695">
        <f>IF(U515&gt;0,(SUM(V515:V516))," ")</f>
        <v>1086.9565217391303</v>
      </c>
      <c r="W517" s="696"/>
      <c r="X517" s="364"/>
      <c r="Y517" s="364"/>
      <c r="Z517" s="364"/>
      <c r="AA517"/>
      <c r="AB517"/>
      <c r="AC517"/>
      <c r="AD517"/>
      <c r="AE517"/>
    </row>
    <row r="518" spans="17:31" ht="12.75" customHeight="1" thickBot="1">
      <c r="Q518" s="364"/>
      <c r="R518" s="892"/>
      <c r="S518" s="893"/>
      <c r="T518" s="893"/>
      <c r="U518" s="893"/>
      <c r="V518" s="893"/>
      <c r="W518" s="894"/>
      <c r="X518" s="364"/>
      <c r="Y518" s="364"/>
      <c r="Z518" s="364"/>
      <c r="AA518"/>
      <c r="AB518"/>
      <c r="AC518"/>
      <c r="AD518"/>
      <c r="AE518"/>
    </row>
    <row r="519" spans="17:31" ht="12.75" customHeight="1">
      <c r="Q519" s="364"/>
      <c r="R519" s="895" t="s">
        <v>886</v>
      </c>
      <c r="S519" s="896"/>
      <c r="T519" s="900" t="s">
        <v>835</v>
      </c>
      <c r="U519" s="900" t="s">
        <v>836</v>
      </c>
      <c r="V519" s="900" t="s">
        <v>837</v>
      </c>
      <c r="W519" s="902" t="s">
        <v>838</v>
      </c>
      <c r="X519" s="364"/>
      <c r="Y519" s="364"/>
      <c r="Z519" s="364"/>
      <c r="AA519"/>
      <c r="AB519"/>
      <c r="AC519"/>
      <c r="AD519"/>
      <c r="AE519"/>
    </row>
    <row r="520" spans="17:31" ht="12.75" customHeight="1">
      <c r="Q520" s="364"/>
      <c r="R520" s="892"/>
      <c r="S520" s="897"/>
      <c r="T520" s="901"/>
      <c r="U520" s="901"/>
      <c r="V520" s="901"/>
      <c r="W520" s="903"/>
      <c r="X520" s="364"/>
      <c r="Y520" s="364"/>
      <c r="Z520" s="364"/>
      <c r="AA520"/>
      <c r="AB520"/>
      <c r="AC520"/>
      <c r="AD520"/>
      <c r="AE520"/>
    </row>
    <row r="521" spans="17:31" ht="12.75" customHeight="1">
      <c r="Q521" s="364"/>
      <c r="R521" s="892"/>
      <c r="S521" s="897"/>
      <c r="T521" s="702">
        <f>T508-PPE!$I$15</f>
        <v>97.92586655636687</v>
      </c>
      <c r="U521" s="560">
        <f>U515</f>
        <v>1.7391304347826084</v>
      </c>
      <c r="V521" s="690">
        <f>IF(T521&gt;0,W521*U521," ")</f>
        <v>426.08695652173907</v>
      </c>
      <c r="W521" s="691">
        <f>IF(T521&gt;0,(VLOOKUP(T521,'Lookup Ready-reckoner'!$B$5:$E$1207,4))," ")</f>
        <v>245</v>
      </c>
      <c r="X521" s="364"/>
      <c r="Y521" s="364"/>
      <c r="Z521" s="364"/>
      <c r="AA521"/>
      <c r="AB521"/>
      <c r="AC521"/>
      <c r="AD521"/>
      <c r="AE521"/>
    </row>
    <row r="522" spans="17:31" ht="12.75" customHeight="1">
      <c r="Q522" s="364"/>
      <c r="R522" s="898"/>
      <c r="S522" s="899"/>
      <c r="T522" s="447"/>
      <c r="U522" s="560"/>
      <c r="V522" s="690" t="str">
        <f>IF(T522&gt;0,W522*U522," ")</f>
        <v xml:space="preserve"> </v>
      </c>
      <c r="W522" s="691" t="str">
        <f>IF(T522&gt;0,(VLOOKUP(T522,'Lookup Ready-reckoner'!$B$5:$E$1007,4))," ")</f>
        <v xml:space="preserve"> </v>
      </c>
      <c r="X522" s="364"/>
      <c r="Y522" s="364"/>
      <c r="Z522" s="364"/>
      <c r="AA522"/>
      <c r="AB522"/>
      <c r="AC522"/>
      <c r="AD522"/>
      <c r="AE522"/>
    </row>
    <row r="523" spans="17:31" ht="12.75" customHeight="1" thickBot="1">
      <c r="Q523" s="364"/>
      <c r="R523" s="692" t="s">
        <v>839</v>
      </c>
      <c r="S523" s="693"/>
      <c r="T523" s="693"/>
      <c r="U523" s="703">
        <f>IF(T521&gt;0,(VLOOKUP(V523,'Lookup Ready-reckoner'!$L$5:$M$1207,2))," ")</f>
        <v>91.25</v>
      </c>
      <c r="V523" s="695">
        <f>IF(U521&gt;0,(SUM(V521:V522))," ")</f>
        <v>426.08695652173907</v>
      </c>
      <c r="W523" s="696"/>
      <c r="X523" s="364"/>
      <c r="Y523" s="364"/>
      <c r="Z523" s="364"/>
      <c r="AA523"/>
      <c r="AB523"/>
      <c r="AC523"/>
      <c r="AD523"/>
      <c r="AE523"/>
    </row>
    <row r="524" spans="17:31" ht="12.75" customHeight="1">
      <c r="Q524" s="364"/>
      <c r="R524" s="363"/>
      <c r="S524" s="363"/>
      <c r="T524" s="363"/>
      <c r="U524" s="363"/>
      <c r="V524" s="363"/>
      <c r="W524" s="363"/>
      <c r="X524" s="364"/>
      <c r="Y524" s="364"/>
      <c r="Z524" s="364"/>
      <c r="AA524"/>
      <c r="AB524"/>
      <c r="AC524"/>
      <c r="AD524"/>
      <c r="AE524"/>
    </row>
    <row r="525" spans="17:31" ht="12.75" customHeight="1">
      <c r="Q525" s="364"/>
      <c r="R525" s="909" t="str">
        <f>R406</f>
        <v xml:space="preserve">Hilti TE MD20 </v>
      </c>
      <c r="S525" s="909"/>
      <c r="T525" s="909"/>
      <c r="U525" s="909"/>
      <c r="V525" s="909"/>
      <c r="W525" s="909"/>
      <c r="X525" s="364"/>
      <c r="Y525" s="364"/>
      <c r="Z525" s="364"/>
      <c r="AA525"/>
      <c r="AB525"/>
      <c r="AC525"/>
      <c r="AD525"/>
      <c r="AE525"/>
    </row>
    <row r="526" spans="17:31" ht="12.75" customHeight="1" thickBot="1">
      <c r="Q526" s="364"/>
      <c r="R526" s="910" t="s">
        <v>205</v>
      </c>
      <c r="S526" s="911"/>
      <c r="T526" s="911"/>
      <c r="U526" s="911"/>
      <c r="V526" s="911"/>
      <c r="W526" s="912"/>
      <c r="X526" s="364"/>
      <c r="Y526" s="364"/>
      <c r="Z526" s="364"/>
      <c r="AA526"/>
      <c r="AB526"/>
      <c r="AC526"/>
      <c r="AD526"/>
      <c r="AE526"/>
    </row>
    <row r="527" spans="17:31" ht="12.75" customHeight="1" thickBot="1">
      <c r="Q527" s="364"/>
      <c r="R527" s="686" t="s">
        <v>59</v>
      </c>
      <c r="S527" s="577"/>
      <c r="T527" s="687"/>
      <c r="U527" s="687"/>
      <c r="V527" s="687"/>
      <c r="W527" s="688"/>
      <c r="X527" s="364"/>
      <c r="Y527" s="364"/>
      <c r="Z527" s="364"/>
      <c r="AA527"/>
      <c r="AB527"/>
      <c r="AC527"/>
      <c r="AD527"/>
      <c r="AE527"/>
    </row>
    <row r="528" spans="17:31" ht="12.75" customHeight="1">
      <c r="Q528" s="364"/>
      <c r="R528" s="895" t="s">
        <v>845</v>
      </c>
      <c r="S528" s="896"/>
      <c r="T528" s="900" t="s">
        <v>835</v>
      </c>
      <c r="U528" s="900" t="s">
        <v>836</v>
      </c>
      <c r="V528" s="900" t="s">
        <v>837</v>
      </c>
      <c r="W528" s="902" t="s">
        <v>838</v>
      </c>
      <c r="X528" s="364"/>
      <c r="Y528" s="364"/>
      <c r="Z528" s="364"/>
      <c r="AA528"/>
      <c r="AB528"/>
      <c r="AC528"/>
      <c r="AD528"/>
      <c r="AE528"/>
    </row>
    <row r="529" spans="17:31" ht="12.75" customHeight="1">
      <c r="Q529" s="364"/>
      <c r="R529" s="892"/>
      <c r="S529" s="897"/>
      <c r="T529" s="904"/>
      <c r="U529" s="904"/>
      <c r="V529" s="904"/>
      <c r="W529" s="905"/>
      <c r="X529" s="364"/>
      <c r="Y529" s="364"/>
      <c r="Z529" s="364"/>
      <c r="AA529"/>
      <c r="AB529"/>
      <c r="AC529"/>
      <c r="AD529"/>
      <c r="AE529"/>
    </row>
    <row r="530" spans="17:31" ht="12.75" customHeight="1">
      <c r="Q530" s="364"/>
      <c r="R530" s="892"/>
      <c r="S530" s="897"/>
      <c r="T530" s="901"/>
      <c r="U530" s="901"/>
      <c r="V530" s="901"/>
      <c r="W530" s="903"/>
      <c r="X530" s="364"/>
      <c r="Y530" s="364"/>
      <c r="Z530" s="364"/>
      <c r="AA530"/>
      <c r="AB530"/>
      <c r="AC530"/>
      <c r="AD530"/>
      <c r="AE530"/>
    </row>
    <row r="531" spans="17:31" ht="12.75" customHeight="1">
      <c r="Q531" s="364"/>
      <c r="R531" s="892"/>
      <c r="S531" s="897"/>
      <c r="T531" s="704">
        <f>U76</f>
        <v>108.02059991327964</v>
      </c>
      <c r="U531" s="560">
        <f>U62</f>
        <v>2.6666666666666665</v>
      </c>
      <c r="V531" s="690">
        <f>IF(T531&gt;0,W531*U531," ")</f>
        <v>6666.6666666666661</v>
      </c>
      <c r="W531" s="691">
        <f>IF(T531&gt;0,(VLOOKUP(T531,'Lookup Ready-reckoner'!$B$5:$E$1207,4))," ")</f>
        <v>2500</v>
      </c>
      <c r="X531" s="364"/>
      <c r="Y531" s="364"/>
      <c r="Z531" s="364"/>
      <c r="AA531"/>
      <c r="AB531"/>
      <c r="AC531"/>
      <c r="AD531"/>
      <c r="AE531"/>
    </row>
    <row r="532" spans="17:31" ht="12.75" customHeight="1">
      <c r="Q532" s="364"/>
      <c r="R532" s="898"/>
      <c r="S532" s="899"/>
      <c r="T532" s="447"/>
      <c r="U532" s="560"/>
      <c r="V532" s="690" t="str">
        <f>IF(T532&gt;0,W532*U532," ")</f>
        <v xml:space="preserve"> </v>
      </c>
      <c r="W532" s="691" t="str">
        <f>IF(T532&gt;0,(VLOOKUP(T532,'Lookup Ready-reckoner'!$B$5:$E$1007,4))," ")</f>
        <v xml:space="preserve"> </v>
      </c>
      <c r="X532" s="364"/>
      <c r="Y532" s="364"/>
      <c r="Z532" s="364"/>
      <c r="AA532"/>
      <c r="AB532"/>
      <c r="AC532"/>
      <c r="AD532"/>
      <c r="AE532"/>
    </row>
    <row r="533" spans="17:31" ht="12.75" customHeight="1" thickBot="1">
      <c r="Q533" s="364"/>
      <c r="R533" s="692" t="s">
        <v>839</v>
      </c>
      <c r="S533" s="693"/>
      <c r="T533" s="693"/>
      <c r="U533" s="705">
        <f>IF(T531&gt;0,(VLOOKUP(V533,'Lookup Ready-reckoner'!$L$5:$M$1207,2))," ")</f>
        <v>103.15</v>
      </c>
      <c r="V533" s="695">
        <f>IF(U531&gt;0,(SUM(V531:V532))," ")</f>
        <v>6666.6666666666661</v>
      </c>
      <c r="W533" s="696"/>
      <c r="X533" s="364"/>
      <c r="Y533" s="364"/>
      <c r="Z533" s="364"/>
      <c r="AA533"/>
      <c r="AB533"/>
      <c r="AC533"/>
      <c r="AD533"/>
      <c r="AE533"/>
    </row>
    <row r="534" spans="17:31" ht="12.75" customHeight="1" thickBot="1">
      <c r="Q534" s="364"/>
      <c r="R534" s="906"/>
      <c r="S534" s="907"/>
      <c r="T534" s="907"/>
      <c r="U534" s="907"/>
      <c r="V534" s="907"/>
      <c r="W534" s="908"/>
      <c r="X534" s="364"/>
      <c r="Y534" s="364"/>
      <c r="Z534" s="364"/>
      <c r="AA534"/>
      <c r="AB534"/>
      <c r="AC534"/>
      <c r="AD534"/>
      <c r="AE534"/>
    </row>
    <row r="535" spans="17:31" ht="12.75" customHeight="1">
      <c r="Q535" s="364"/>
      <c r="R535" s="895" t="s">
        <v>886</v>
      </c>
      <c r="S535" s="896"/>
      <c r="T535" s="900" t="s">
        <v>835</v>
      </c>
      <c r="U535" s="900" t="s">
        <v>836</v>
      </c>
      <c r="V535" s="900" t="s">
        <v>837</v>
      </c>
      <c r="W535" s="902" t="s">
        <v>838</v>
      </c>
      <c r="X535" s="364"/>
      <c r="Y535" s="364"/>
      <c r="Z535" s="364"/>
      <c r="AA535"/>
      <c r="AB535"/>
      <c r="AC535"/>
      <c r="AD535"/>
      <c r="AE535"/>
    </row>
    <row r="536" spans="17:31" ht="12.75" customHeight="1">
      <c r="Q536" s="364"/>
      <c r="R536" s="892"/>
      <c r="S536" s="897"/>
      <c r="T536" s="901"/>
      <c r="U536" s="901"/>
      <c r="V536" s="901"/>
      <c r="W536" s="903"/>
      <c r="X536" s="364"/>
      <c r="Y536" s="364"/>
      <c r="Z536" s="364"/>
      <c r="AA536"/>
      <c r="AB536"/>
      <c r="AC536"/>
      <c r="AD536"/>
      <c r="AE536"/>
    </row>
    <row r="537" spans="17:31" ht="12.75" customHeight="1">
      <c r="Q537" s="364"/>
      <c r="R537" s="892"/>
      <c r="S537" s="897"/>
      <c r="T537" s="704">
        <f>T531*(1-0.0178*2)</f>
        <v>104.17506655636689</v>
      </c>
      <c r="U537" s="560">
        <f>U531</f>
        <v>2.6666666666666665</v>
      </c>
      <c r="V537" s="690">
        <f>IF(T537&gt;0,W537*U537," ")</f>
        <v>2766.6666666666665</v>
      </c>
      <c r="W537" s="691">
        <f>IF(T537&gt;0,(VLOOKUP(T537,'Lookup Ready-reckoner'!$B$5:$E$1207,4))," ")</f>
        <v>1037.5</v>
      </c>
      <c r="X537" s="364"/>
      <c r="Y537" s="364"/>
      <c r="Z537" s="364"/>
      <c r="AA537"/>
      <c r="AB537"/>
      <c r="AC537"/>
      <c r="AD537"/>
      <c r="AE537"/>
    </row>
    <row r="538" spans="17:31" ht="12.75" customHeight="1">
      <c r="Q538" s="364"/>
      <c r="R538" s="898"/>
      <c r="S538" s="899"/>
      <c r="T538" s="447"/>
      <c r="U538" s="560"/>
      <c r="V538" s="690" t="str">
        <f>IF(T538&gt;0,W538*U538," ")</f>
        <v xml:space="preserve"> </v>
      </c>
      <c r="W538" s="691" t="str">
        <f>IF(T538&gt;0,(VLOOKUP(T538,'Lookup Ready-reckoner'!$B$5:$E$1007,4))," ")</f>
        <v xml:space="preserve"> </v>
      </c>
      <c r="X538" s="364"/>
      <c r="Y538" s="364"/>
      <c r="Z538" s="364"/>
      <c r="AA538"/>
      <c r="AB538"/>
      <c r="AC538"/>
      <c r="AD538"/>
      <c r="AE538"/>
    </row>
    <row r="539" spans="17:31" ht="12.75" customHeight="1" thickBot="1">
      <c r="Q539" s="364"/>
      <c r="R539" s="692" t="s">
        <v>839</v>
      </c>
      <c r="S539" s="693"/>
      <c r="T539" s="693"/>
      <c r="U539" s="705">
        <f>IF(T537&gt;0,(VLOOKUP(V539,'Lookup Ready-reckoner'!$L$5:$M$1207,2))," ")</f>
        <v>99.35</v>
      </c>
      <c r="V539" s="695">
        <f>IF(U537&gt;0,(SUM(V537:V538))," ")</f>
        <v>2766.6666666666665</v>
      </c>
      <c r="W539" s="696"/>
      <c r="X539" s="364"/>
      <c r="Y539" s="364"/>
      <c r="Z539" s="364"/>
      <c r="AA539"/>
      <c r="AB539"/>
      <c r="AC539"/>
      <c r="AD539"/>
      <c r="AE539"/>
    </row>
    <row r="540" spans="17:31" ht="12.75" customHeight="1">
      <c r="Q540" s="364"/>
      <c r="R540" s="697"/>
      <c r="S540" s="687"/>
      <c r="T540" s="687"/>
      <c r="U540" s="372"/>
      <c r="V540" s="374"/>
      <c r="W540" s="688"/>
      <c r="X540" s="364"/>
      <c r="Y540" s="364"/>
      <c r="Z540" s="364"/>
      <c r="AA540"/>
      <c r="AB540"/>
      <c r="AC540"/>
      <c r="AD540"/>
      <c r="AE540"/>
    </row>
    <row r="541" spans="17:31" ht="12.75" customHeight="1" thickBot="1">
      <c r="Q541" s="364"/>
      <c r="R541" s="686" t="s">
        <v>60</v>
      </c>
      <c r="S541" s="577"/>
      <c r="T541" s="577"/>
      <c r="U541" s="577"/>
      <c r="V541" s="577"/>
      <c r="W541" s="698"/>
      <c r="X541" s="364"/>
      <c r="Y541" s="364"/>
      <c r="Z541" s="364"/>
      <c r="AA541"/>
      <c r="AB541"/>
      <c r="AC541"/>
      <c r="AD541"/>
      <c r="AE541"/>
    </row>
    <row r="542" spans="17:31" ht="12.75" customHeight="1">
      <c r="Q542" s="364"/>
      <c r="R542" s="895" t="s">
        <v>845</v>
      </c>
      <c r="S542" s="896"/>
      <c r="T542" s="900" t="s">
        <v>835</v>
      </c>
      <c r="U542" s="900" t="s">
        <v>836</v>
      </c>
      <c r="V542" s="900" t="s">
        <v>837</v>
      </c>
      <c r="W542" s="902" t="s">
        <v>838</v>
      </c>
      <c r="X542" s="364"/>
      <c r="Y542" s="364"/>
      <c r="Z542" s="364"/>
      <c r="AA542"/>
      <c r="AB542"/>
      <c r="AC542"/>
      <c r="AD542"/>
      <c r="AE542"/>
    </row>
    <row r="543" spans="17:31" ht="12.75" customHeight="1">
      <c r="Q543" s="364"/>
      <c r="R543" s="892"/>
      <c r="S543" s="897"/>
      <c r="T543" s="901"/>
      <c r="U543" s="901"/>
      <c r="V543" s="901"/>
      <c r="W543" s="903"/>
      <c r="X543" s="364"/>
      <c r="Y543" s="364"/>
      <c r="Z543" s="364"/>
      <c r="AA543"/>
      <c r="AB543"/>
      <c r="AC543"/>
      <c r="AD543"/>
      <c r="AE543"/>
    </row>
    <row r="544" spans="17:31" ht="12.75" customHeight="1">
      <c r="Q544" s="364"/>
      <c r="R544" s="892"/>
      <c r="S544" s="897"/>
      <c r="T544" s="704">
        <f>T531-PPE!$I$15</f>
        <v>95.020599913279639</v>
      </c>
      <c r="U544" s="560">
        <f>U537</f>
        <v>2.6666666666666665</v>
      </c>
      <c r="V544" s="690">
        <f>IF(T544&gt;0,W544*U544," ")</f>
        <v>333.33333333333331</v>
      </c>
      <c r="W544" s="691">
        <f>IF(T544&gt;0,(VLOOKUP(T544,'Lookup Ready-reckoner'!$B$5:$E$1207,4))," ")</f>
        <v>125</v>
      </c>
      <c r="X544" s="364"/>
      <c r="Y544" s="364"/>
      <c r="Z544" s="364"/>
      <c r="AA544"/>
      <c r="AB544"/>
      <c r="AC544"/>
      <c r="AD544"/>
      <c r="AE544"/>
    </row>
    <row r="545" spans="17:31" ht="12.75" customHeight="1">
      <c r="Q545" s="364"/>
      <c r="R545" s="898"/>
      <c r="S545" s="899"/>
      <c r="T545" s="447"/>
      <c r="U545" s="560"/>
      <c r="V545" s="690" t="str">
        <f>IF(T545&gt;0,W545*U545," ")</f>
        <v xml:space="preserve"> </v>
      </c>
      <c r="W545" s="691" t="str">
        <f>IF(T545&gt;0,(VLOOKUP(T545,'Lookup Ready-reckoner'!$B$5:$E$1007,4))," ")</f>
        <v xml:space="preserve"> </v>
      </c>
      <c r="X545" s="364"/>
      <c r="Y545" s="364"/>
      <c r="Z545" s="364"/>
      <c r="AA545"/>
      <c r="AB545"/>
      <c r="AC545"/>
      <c r="AD545"/>
      <c r="AE545"/>
    </row>
    <row r="546" spans="17:31" ht="12.75" customHeight="1" thickBot="1">
      <c r="Q546" s="364"/>
      <c r="R546" s="692" t="s">
        <v>839</v>
      </c>
      <c r="S546" s="693"/>
      <c r="T546" s="693"/>
      <c r="U546" s="705">
        <f>IF(T544&gt;0,(VLOOKUP(V546,'Lookup Ready-reckoner'!$L$5:$M$1207,2))," ")</f>
        <v>90.15</v>
      </c>
      <c r="V546" s="695">
        <f>IF(U544&gt;0,(SUM(V544:V545))," ")</f>
        <v>333.33333333333331</v>
      </c>
      <c r="W546" s="696"/>
      <c r="X546" s="364"/>
      <c r="Y546" s="364"/>
      <c r="Z546" s="364"/>
      <c r="AA546"/>
      <c r="AB546"/>
      <c r="AC546"/>
      <c r="AD546"/>
      <c r="AE546"/>
    </row>
    <row r="547" spans="17:31" ht="12.75" customHeight="1" thickBot="1">
      <c r="Q547" s="364"/>
      <c r="R547" s="892"/>
      <c r="S547" s="893"/>
      <c r="T547" s="893"/>
      <c r="U547" s="893"/>
      <c r="V547" s="893"/>
      <c r="W547" s="894"/>
      <c r="X547" s="364"/>
      <c r="Y547" s="364"/>
      <c r="Z547" s="364"/>
      <c r="AA547"/>
      <c r="AB547"/>
      <c r="AC547"/>
      <c r="AD547"/>
      <c r="AE547"/>
    </row>
    <row r="548" spans="17:31" ht="12.75" customHeight="1">
      <c r="Q548" s="364"/>
      <c r="R548" s="895" t="s">
        <v>886</v>
      </c>
      <c r="S548" s="896"/>
      <c r="T548" s="900" t="s">
        <v>835</v>
      </c>
      <c r="U548" s="900" t="s">
        <v>836</v>
      </c>
      <c r="V548" s="900" t="s">
        <v>837</v>
      </c>
      <c r="W548" s="902" t="s">
        <v>838</v>
      </c>
      <c r="X548" s="364"/>
      <c r="Y548" s="364"/>
      <c r="Z548" s="364"/>
      <c r="AA548"/>
      <c r="AB548"/>
      <c r="AC548"/>
      <c r="AD548"/>
      <c r="AE548"/>
    </row>
    <row r="549" spans="17:31" ht="12.75" customHeight="1">
      <c r="Q549" s="364"/>
      <c r="R549" s="892"/>
      <c r="S549" s="897"/>
      <c r="T549" s="901"/>
      <c r="U549" s="901"/>
      <c r="V549" s="901"/>
      <c r="W549" s="903"/>
      <c r="X549" s="364"/>
      <c r="Y549" s="364"/>
      <c r="Z549" s="364"/>
      <c r="AA549"/>
      <c r="AB549"/>
      <c r="AC549"/>
      <c r="AD549"/>
      <c r="AE549"/>
    </row>
    <row r="550" spans="17:31" ht="12.75" customHeight="1">
      <c r="Q550" s="364"/>
      <c r="R550" s="892"/>
      <c r="S550" s="897"/>
      <c r="T550" s="704">
        <f>T537-PPE!$I$15</f>
        <v>91.175066556366886</v>
      </c>
      <c r="U550" s="560">
        <f>U544</f>
        <v>2.6666666666666665</v>
      </c>
      <c r="V550" s="690">
        <f>IF(T550&gt;0,W550*U550," ")</f>
        <v>138.33333333333331</v>
      </c>
      <c r="W550" s="691">
        <f>IF(T550&gt;0,(VLOOKUP(T550,'Lookup Ready-reckoner'!$B$5:$E$1207,4))," ")</f>
        <v>51.875</v>
      </c>
      <c r="X550" s="364"/>
      <c r="Y550" s="364"/>
      <c r="Z550" s="364"/>
      <c r="AA550"/>
      <c r="AB550"/>
      <c r="AC550"/>
      <c r="AD550"/>
      <c r="AE550"/>
    </row>
    <row r="551" spans="17:31" ht="12.75" customHeight="1">
      <c r="Q551" s="364"/>
      <c r="R551" s="898"/>
      <c r="S551" s="899"/>
      <c r="T551" s="447"/>
      <c r="U551" s="560"/>
      <c r="V551" s="690" t="str">
        <f>IF(T551&gt;0,W551*U551," ")</f>
        <v xml:space="preserve"> </v>
      </c>
      <c r="W551" s="691" t="str">
        <f>IF(T551&gt;0,(VLOOKUP(T551,'Lookup Ready-reckoner'!$B$5:$E$1007,4))," ")</f>
        <v xml:space="preserve"> </v>
      </c>
      <c r="X551" s="364"/>
      <c r="Y551" s="364"/>
      <c r="Z551" s="364"/>
      <c r="AA551"/>
      <c r="AB551"/>
      <c r="AC551"/>
      <c r="AD551"/>
      <c r="AE551"/>
    </row>
    <row r="552" spans="17:31" ht="12.75" customHeight="1" thickBot="1">
      <c r="Q552" s="364"/>
      <c r="R552" s="692" t="s">
        <v>839</v>
      </c>
      <c r="S552" s="693"/>
      <c r="T552" s="693"/>
      <c r="U552" s="705">
        <f>IF(T550&gt;0,(VLOOKUP(V552,'Lookup Ready-reckoner'!$L$5:$M$1207,2))," ")</f>
        <v>86.35</v>
      </c>
      <c r="V552" s="695">
        <f>IF(U550&gt;0,(SUM(V550:V551))," ")</f>
        <v>138.33333333333331</v>
      </c>
      <c r="W552" s="696"/>
      <c r="X552" s="364"/>
      <c r="Y552" s="364"/>
      <c r="Z552" s="364"/>
      <c r="AA552"/>
      <c r="AB552"/>
      <c r="AC552"/>
      <c r="AD552"/>
      <c r="AE552"/>
    </row>
    <row r="553" spans="17:31" ht="12.75" customHeight="1">
      <c r="Q553" s="364"/>
      <c r="R553" s="364"/>
      <c r="S553" s="364"/>
      <c r="T553" s="364"/>
      <c r="U553" s="364"/>
      <c r="V553" s="364"/>
      <c r="W553" s="364"/>
      <c r="X553" s="364"/>
      <c r="Y553" s="364"/>
      <c r="Z553" s="364"/>
      <c r="AA553"/>
      <c r="AB553"/>
      <c r="AC553"/>
      <c r="AD553"/>
      <c r="AE553"/>
    </row>
    <row r="554" spans="17:31" ht="12.75" customHeight="1">
      <c r="Q554"/>
      <c r="R554"/>
      <c r="S554"/>
      <c r="T554"/>
      <c r="U554"/>
      <c r="V554"/>
      <c r="W554"/>
      <c r="X554"/>
      <c r="Y554"/>
      <c r="Z554"/>
      <c r="AA554"/>
      <c r="AB554"/>
      <c r="AC554"/>
      <c r="AD554"/>
      <c r="AE554"/>
    </row>
    <row r="555" spans="17:31" ht="12.75" customHeight="1">
      <c r="Q555"/>
      <c r="R555"/>
      <c r="S555"/>
      <c r="T555"/>
      <c r="U555"/>
      <c r="V555"/>
      <c r="W555"/>
      <c r="X555"/>
      <c r="Y555"/>
      <c r="Z555"/>
      <c r="AA555"/>
      <c r="AB555"/>
      <c r="AC555"/>
      <c r="AD555"/>
      <c r="AE555"/>
    </row>
    <row r="556" spans="17:31" ht="12.75" customHeight="1">
      <c r="Q556"/>
      <c r="R556"/>
      <c r="S556"/>
      <c r="T556"/>
      <c r="U556"/>
      <c r="V556"/>
      <c r="W556"/>
      <c r="X556"/>
      <c r="Y556"/>
      <c r="Z556"/>
      <c r="AA556"/>
      <c r="AB556"/>
      <c r="AC556"/>
      <c r="AD556"/>
      <c r="AE556"/>
    </row>
    <row r="557" spans="17:31" ht="12.75" customHeight="1">
      <c r="Q557"/>
      <c r="R557"/>
      <c r="S557"/>
      <c r="T557"/>
      <c r="U557"/>
      <c r="V557"/>
      <c r="W557"/>
      <c r="X557"/>
      <c r="Y557"/>
      <c r="Z557"/>
      <c r="AA557"/>
      <c r="AB557"/>
      <c r="AC557"/>
      <c r="AD557"/>
      <c r="AE557"/>
    </row>
    <row r="558" spans="17:31" ht="12.75" customHeight="1">
      <c r="Q558"/>
      <c r="R558"/>
      <c r="S558"/>
      <c r="T558"/>
      <c r="U558"/>
      <c r="V558"/>
      <c r="W558"/>
      <c r="X558"/>
      <c r="Y558"/>
      <c r="Z558"/>
      <c r="AA558"/>
      <c r="AB558"/>
      <c r="AC558"/>
      <c r="AD558"/>
      <c r="AE558"/>
    </row>
    <row r="559" spans="17:31" ht="12.75" customHeight="1">
      <c r="Q559"/>
      <c r="R559"/>
      <c r="S559"/>
      <c r="T559"/>
      <c r="U559"/>
      <c r="V559"/>
      <c r="W559"/>
      <c r="X559"/>
      <c r="Y559"/>
      <c r="Z559"/>
      <c r="AA559"/>
      <c r="AB559"/>
      <c r="AC559"/>
      <c r="AD559"/>
      <c r="AE559"/>
    </row>
    <row r="560" spans="17:31" ht="12.75" customHeight="1">
      <c r="Q560"/>
      <c r="R560"/>
      <c r="S560"/>
      <c r="T560"/>
      <c r="U560"/>
      <c r="V560"/>
      <c r="W560"/>
      <c r="X560"/>
      <c r="Y560"/>
      <c r="Z560"/>
      <c r="AA560"/>
      <c r="AB560"/>
      <c r="AC560"/>
      <c r="AD560"/>
      <c r="AE560"/>
    </row>
    <row r="561" spans="17:31" ht="12.75" customHeight="1">
      <c r="Q561"/>
      <c r="R561"/>
      <c r="S561"/>
      <c r="T561"/>
      <c r="U561"/>
      <c r="V561"/>
      <c r="W561"/>
      <c r="X561"/>
      <c r="Y561"/>
      <c r="Z561"/>
      <c r="AA561"/>
      <c r="AB561"/>
      <c r="AC561"/>
      <c r="AD561"/>
      <c r="AE561"/>
    </row>
    <row r="562" spans="17:31" ht="12.75" customHeight="1">
      <c r="Q562"/>
      <c r="R562"/>
      <c r="S562"/>
      <c r="T562"/>
      <c r="U562"/>
      <c r="V562"/>
      <c r="W562"/>
      <c r="X562"/>
      <c r="Y562"/>
      <c r="Z562"/>
      <c r="AA562"/>
      <c r="AB562"/>
      <c r="AC562"/>
      <c r="AD562"/>
      <c r="AE562"/>
    </row>
    <row r="563" spans="17:31" ht="12.75" customHeight="1">
      <c r="Q563"/>
      <c r="R563"/>
      <c r="S563"/>
      <c r="T563"/>
      <c r="U563"/>
      <c r="V563"/>
      <c r="W563"/>
      <c r="X563"/>
      <c r="Y563"/>
      <c r="Z563"/>
      <c r="AA563"/>
      <c r="AB563"/>
      <c r="AC563"/>
      <c r="AD563"/>
      <c r="AE563"/>
    </row>
    <row r="564" spans="17:31" ht="12.75" customHeight="1">
      <c r="Q564"/>
      <c r="R564"/>
      <c r="S564"/>
      <c r="T564"/>
      <c r="U564"/>
      <c r="V564"/>
      <c r="W564"/>
      <c r="X564"/>
      <c r="Y564"/>
      <c r="Z564"/>
      <c r="AA564"/>
      <c r="AB564"/>
      <c r="AC564"/>
      <c r="AD564"/>
      <c r="AE564"/>
    </row>
    <row r="565" spans="17:31" ht="12.75" customHeight="1">
      <c r="Q565"/>
      <c r="R565"/>
      <c r="S565"/>
      <c r="T565"/>
      <c r="U565"/>
      <c r="V565"/>
      <c r="W565"/>
      <c r="X565"/>
      <c r="Y565"/>
      <c r="Z565"/>
      <c r="AA565"/>
      <c r="AB565"/>
      <c r="AC565"/>
      <c r="AD565"/>
      <c r="AE565"/>
    </row>
    <row r="566" spans="17:31" ht="12.75" customHeight="1">
      <c r="Q566"/>
      <c r="R566"/>
      <c r="S566"/>
      <c r="T566"/>
      <c r="U566"/>
      <c r="V566"/>
      <c r="W566"/>
      <c r="X566"/>
      <c r="Y566"/>
      <c r="Z566"/>
      <c r="AA566"/>
      <c r="AB566"/>
      <c r="AC566"/>
      <c r="AD566"/>
      <c r="AE566"/>
    </row>
    <row r="567" spans="17:31" ht="12.75" customHeight="1">
      <c r="Q567"/>
      <c r="R567"/>
      <c r="S567"/>
      <c r="T567"/>
      <c r="U567"/>
      <c r="V567"/>
      <c r="W567"/>
      <c r="X567"/>
      <c r="Y567"/>
      <c r="Z567"/>
      <c r="AA567"/>
      <c r="AB567"/>
      <c r="AC567"/>
      <c r="AD567"/>
      <c r="AE567"/>
    </row>
    <row r="568" spans="17:31" ht="12.75" customHeight="1">
      <c r="Q568"/>
      <c r="R568"/>
      <c r="S568"/>
      <c r="T568"/>
      <c r="U568"/>
      <c r="V568"/>
      <c r="W568"/>
      <c r="X568"/>
      <c r="Y568"/>
      <c r="Z568"/>
      <c r="AA568"/>
      <c r="AB568"/>
      <c r="AC568"/>
      <c r="AD568"/>
      <c r="AE568"/>
    </row>
    <row r="569" spans="17:31" ht="12.75" customHeight="1">
      <c r="Q569"/>
      <c r="R569"/>
      <c r="S569"/>
      <c r="T569"/>
      <c r="U569"/>
      <c r="V569"/>
      <c r="W569"/>
      <c r="X569"/>
      <c r="Y569"/>
      <c r="Z569"/>
      <c r="AA569"/>
      <c r="AB569"/>
      <c r="AC569"/>
      <c r="AD569"/>
      <c r="AE569"/>
    </row>
    <row r="570" spans="17:31" ht="12.75" customHeight="1">
      <c r="Q570"/>
      <c r="R570"/>
      <c r="S570"/>
      <c r="T570"/>
      <c r="U570"/>
      <c r="V570"/>
      <c r="W570"/>
      <c r="X570"/>
      <c r="Y570"/>
      <c r="Z570"/>
      <c r="AA570"/>
      <c r="AB570"/>
      <c r="AC570"/>
      <c r="AD570"/>
      <c r="AE570"/>
    </row>
    <row r="571" spans="17:31" ht="12.75" customHeight="1">
      <c r="Q571"/>
      <c r="R571"/>
      <c r="S571"/>
      <c r="T571"/>
      <c r="U571"/>
      <c r="V571"/>
      <c r="W571"/>
      <c r="X571"/>
      <c r="Y571"/>
      <c r="Z571"/>
      <c r="AA571"/>
      <c r="AB571"/>
      <c r="AC571"/>
      <c r="AD571"/>
      <c r="AE571"/>
    </row>
    <row r="572" spans="17:31" ht="12.75" customHeight="1">
      <c r="Q572"/>
      <c r="R572"/>
      <c r="S572"/>
      <c r="T572"/>
      <c r="U572"/>
      <c r="V572"/>
      <c r="W572"/>
      <c r="X572"/>
      <c r="Y572"/>
      <c r="Z572"/>
      <c r="AA572"/>
      <c r="AB572"/>
      <c r="AC572"/>
      <c r="AD572"/>
      <c r="AE572"/>
    </row>
    <row r="573" spans="17:31" ht="12.75" customHeight="1">
      <c r="Q573"/>
      <c r="R573"/>
      <c r="S573"/>
      <c r="T573"/>
      <c r="U573"/>
      <c r="V573"/>
      <c r="W573"/>
      <c r="X573"/>
      <c r="Y573"/>
      <c r="Z573"/>
      <c r="AA573"/>
      <c r="AB573"/>
      <c r="AC573"/>
      <c r="AD573"/>
      <c r="AE573"/>
    </row>
    <row r="574" spans="17:31" ht="12.75" customHeight="1">
      <c r="Q574"/>
      <c r="R574"/>
      <c r="S574"/>
      <c r="T574"/>
      <c r="U574"/>
      <c r="V574"/>
      <c r="W574"/>
      <c r="X574"/>
      <c r="Y574"/>
      <c r="Z574"/>
      <c r="AA574"/>
      <c r="AB574"/>
      <c r="AC574"/>
      <c r="AD574"/>
      <c r="AE574"/>
    </row>
    <row r="575" spans="17:31" ht="12.75" customHeight="1">
      <c r="Q575"/>
      <c r="R575"/>
      <c r="S575"/>
      <c r="T575"/>
      <c r="U575"/>
      <c r="V575"/>
      <c r="W575"/>
      <c r="X575"/>
      <c r="Y575"/>
      <c r="Z575"/>
      <c r="AA575"/>
      <c r="AB575"/>
      <c r="AC575"/>
      <c r="AD575"/>
      <c r="AE575"/>
    </row>
    <row r="576" spans="17:31" ht="12.75" customHeight="1">
      <c r="Q576"/>
      <c r="R576"/>
      <c r="S576"/>
      <c r="T576"/>
      <c r="U576"/>
      <c r="V576"/>
      <c r="W576"/>
      <c r="X576"/>
      <c r="Y576"/>
      <c r="Z576"/>
      <c r="AA576"/>
      <c r="AB576"/>
      <c r="AC576"/>
      <c r="AD576"/>
      <c r="AE576"/>
    </row>
    <row r="577" spans="17:31" ht="12.75" customHeight="1">
      <c r="Q577"/>
      <c r="R577"/>
      <c r="S577"/>
      <c r="T577"/>
      <c r="U577"/>
      <c r="V577"/>
      <c r="W577"/>
      <c r="X577"/>
      <c r="Y577"/>
      <c r="Z577"/>
      <c r="AA577"/>
      <c r="AB577"/>
      <c r="AC577"/>
      <c r="AD577"/>
      <c r="AE577"/>
    </row>
    <row r="578" spans="17:31" ht="12.75" customHeight="1">
      <c r="Q578"/>
      <c r="R578"/>
      <c r="S578"/>
      <c r="T578"/>
      <c r="U578"/>
      <c r="V578"/>
      <c r="W578"/>
      <c r="X578"/>
      <c r="Y578"/>
      <c r="Z578"/>
      <c r="AA578"/>
      <c r="AB578"/>
      <c r="AC578"/>
      <c r="AD578"/>
      <c r="AE578"/>
    </row>
    <row r="579" spans="17:31" ht="12.75" customHeight="1">
      <c r="Q579"/>
      <c r="R579"/>
      <c r="S579"/>
      <c r="T579"/>
      <c r="U579"/>
      <c r="V579"/>
      <c r="W579"/>
      <c r="X579"/>
      <c r="Y579"/>
      <c r="Z579"/>
      <c r="AA579"/>
      <c r="AB579"/>
      <c r="AC579"/>
      <c r="AD579"/>
      <c r="AE579"/>
    </row>
    <row r="580" spans="17:31" ht="12.75" customHeight="1">
      <c r="Q580"/>
      <c r="R580"/>
      <c r="S580"/>
      <c r="T580"/>
      <c r="U580"/>
      <c r="V580"/>
      <c r="W580"/>
      <c r="X580"/>
      <c r="Y580"/>
      <c r="Z580"/>
      <c r="AA580"/>
      <c r="AB580"/>
      <c r="AC580"/>
      <c r="AD580"/>
      <c r="AE580"/>
    </row>
    <row r="581" spans="17:31" ht="12.75" customHeight="1">
      <c r="Q581"/>
      <c r="R581"/>
      <c r="S581"/>
      <c r="T581"/>
      <c r="U581"/>
      <c r="V581"/>
      <c r="W581"/>
      <c r="X581"/>
      <c r="Y581"/>
      <c r="Z581"/>
      <c r="AA581"/>
      <c r="AB581"/>
      <c r="AC581"/>
      <c r="AD581"/>
      <c r="AE581"/>
    </row>
    <row r="582" spans="17:31" ht="12.75" customHeight="1">
      <c r="Q582"/>
      <c r="R582"/>
      <c r="S582"/>
      <c r="T582"/>
      <c r="U582"/>
      <c r="V582"/>
      <c r="W582"/>
      <c r="X582"/>
      <c r="Y582"/>
      <c r="Z582"/>
      <c r="AA582"/>
      <c r="AB582"/>
      <c r="AC582"/>
      <c r="AD582"/>
      <c r="AE582"/>
    </row>
    <row r="583" spans="17:31" ht="12.75" customHeight="1">
      <c r="Q583"/>
      <c r="R583"/>
      <c r="S583"/>
      <c r="T583"/>
      <c r="U583"/>
      <c r="V583"/>
      <c r="W583"/>
      <c r="X583"/>
      <c r="Y583"/>
      <c r="Z583"/>
      <c r="AA583"/>
      <c r="AB583"/>
      <c r="AC583"/>
      <c r="AD583"/>
      <c r="AE583"/>
    </row>
    <row r="584" spans="17:31" ht="12.75" customHeight="1">
      <c r="Q584"/>
      <c r="R584"/>
      <c r="S584"/>
      <c r="T584"/>
      <c r="U584"/>
      <c r="V584"/>
      <c r="W584"/>
      <c r="X584"/>
      <c r="Y584"/>
      <c r="Z584"/>
      <c r="AA584"/>
      <c r="AB584"/>
      <c r="AC584"/>
      <c r="AD584"/>
      <c r="AE584"/>
    </row>
    <row r="585" spans="17:31" ht="12.75" customHeight="1">
      <c r="Q585"/>
      <c r="R585"/>
      <c r="S585"/>
      <c r="T585"/>
      <c r="U585"/>
      <c r="V585"/>
      <c r="W585"/>
      <c r="X585"/>
      <c r="Y585"/>
      <c r="Z585"/>
      <c r="AA585"/>
      <c r="AB585"/>
      <c r="AC585"/>
      <c r="AD585"/>
      <c r="AE585"/>
    </row>
    <row r="586" spans="17:31" ht="12.75" customHeight="1">
      <c r="Q586"/>
      <c r="R586"/>
      <c r="S586"/>
      <c r="T586"/>
      <c r="U586"/>
      <c r="V586"/>
      <c r="W586"/>
      <c r="X586"/>
      <c r="Y586"/>
      <c r="Z586"/>
      <c r="AA586"/>
      <c r="AB586"/>
      <c r="AC586"/>
      <c r="AD586"/>
      <c r="AE586"/>
    </row>
    <row r="587" spans="17:31" ht="12.75" customHeight="1">
      <c r="Q587"/>
      <c r="R587"/>
      <c r="S587"/>
      <c r="T587"/>
      <c r="U587"/>
      <c r="V587"/>
      <c r="W587"/>
      <c r="X587"/>
      <c r="Y587"/>
      <c r="Z587"/>
      <c r="AA587"/>
      <c r="AB587"/>
      <c r="AC587"/>
      <c r="AD587"/>
      <c r="AE587"/>
    </row>
    <row r="588" spans="17:31" ht="12.75" customHeight="1">
      <c r="Q588"/>
      <c r="R588"/>
      <c r="S588"/>
      <c r="T588"/>
      <c r="U588"/>
      <c r="V588"/>
      <c r="W588"/>
      <c r="X588"/>
      <c r="Y588"/>
      <c r="Z588"/>
      <c r="AA588"/>
      <c r="AB588"/>
      <c r="AC588"/>
      <c r="AD588"/>
      <c r="AE588"/>
    </row>
    <row r="589" spans="17:31" ht="12.75" customHeight="1">
      <c r="Q589"/>
      <c r="R589"/>
      <c r="S589"/>
      <c r="T589"/>
      <c r="U589"/>
      <c r="V589"/>
      <c r="W589"/>
      <c r="X589"/>
      <c r="Y589"/>
      <c r="Z589"/>
      <c r="AA589"/>
      <c r="AB589"/>
      <c r="AC589"/>
      <c r="AD589"/>
      <c r="AE589"/>
    </row>
    <row r="590" spans="17:31" ht="12.75" customHeight="1">
      <c r="Q590"/>
      <c r="R590"/>
      <c r="S590"/>
      <c r="T590"/>
      <c r="U590"/>
      <c r="V590"/>
      <c r="W590"/>
      <c r="X590"/>
      <c r="Y590"/>
      <c r="Z590"/>
      <c r="AA590"/>
      <c r="AB590"/>
      <c r="AC590"/>
      <c r="AD590"/>
      <c r="AE590"/>
    </row>
    <row r="591" spans="17:31" ht="12.75" customHeight="1">
      <c r="Q591"/>
      <c r="R591"/>
      <c r="S591"/>
      <c r="T591"/>
      <c r="U591"/>
      <c r="V591"/>
      <c r="W591"/>
      <c r="X591"/>
      <c r="Y591"/>
      <c r="Z591"/>
      <c r="AA591"/>
      <c r="AB591"/>
      <c r="AC591"/>
      <c r="AD591"/>
      <c r="AE591"/>
    </row>
    <row r="592" spans="17:31" ht="12.75" customHeight="1">
      <c r="Q592"/>
      <c r="R592"/>
      <c r="S592"/>
      <c r="T592"/>
      <c r="U592"/>
      <c r="V592"/>
      <c r="W592"/>
      <c r="X592"/>
      <c r="Y592"/>
      <c r="Z592"/>
      <c r="AA592"/>
      <c r="AB592"/>
      <c r="AC592"/>
      <c r="AD592"/>
      <c r="AE592"/>
    </row>
    <row r="593" spans="17:31" ht="12.75" customHeight="1">
      <c r="Q593"/>
      <c r="R593"/>
      <c r="S593"/>
      <c r="T593"/>
      <c r="U593"/>
      <c r="V593"/>
      <c r="W593"/>
      <c r="X593"/>
      <c r="Y593"/>
      <c r="Z593"/>
      <c r="AA593"/>
      <c r="AB593"/>
      <c r="AC593"/>
      <c r="AD593"/>
      <c r="AE593"/>
    </row>
    <row r="594" spans="17:31" ht="12.75" customHeight="1">
      <c r="Q594"/>
      <c r="R594"/>
      <c r="S594"/>
      <c r="T594"/>
      <c r="U594"/>
      <c r="V594"/>
      <c r="W594"/>
      <c r="X594"/>
      <c r="Y594"/>
      <c r="Z594"/>
      <c r="AA594"/>
      <c r="AB594"/>
      <c r="AC594"/>
      <c r="AD594"/>
      <c r="AE594"/>
    </row>
    <row r="595" spans="17:31" ht="12.75" customHeight="1">
      <c r="Q595"/>
      <c r="R595"/>
      <c r="S595"/>
      <c r="T595"/>
      <c r="U595"/>
      <c r="V595"/>
      <c r="W595"/>
      <c r="X595"/>
      <c r="Y595"/>
      <c r="Z595"/>
      <c r="AA595"/>
      <c r="AB595"/>
      <c r="AC595"/>
      <c r="AD595"/>
      <c r="AE595"/>
    </row>
    <row r="596" spans="17:31" ht="12.75" customHeight="1">
      <c r="Q596"/>
      <c r="R596"/>
      <c r="S596"/>
      <c r="T596"/>
      <c r="U596"/>
      <c r="V596"/>
      <c r="W596"/>
      <c r="X596"/>
      <c r="Y596"/>
      <c r="Z596"/>
      <c r="AA596"/>
      <c r="AB596"/>
      <c r="AC596"/>
      <c r="AD596"/>
      <c r="AE596"/>
    </row>
    <row r="597" spans="17:31" ht="12.75" customHeight="1">
      <c r="Q597"/>
      <c r="R597"/>
      <c r="S597"/>
      <c r="T597"/>
      <c r="U597"/>
      <c r="V597"/>
      <c r="W597"/>
      <c r="X597"/>
      <c r="Y597"/>
      <c r="Z597"/>
      <c r="AA597"/>
      <c r="AB597"/>
      <c r="AC597"/>
      <c r="AD597"/>
      <c r="AE597"/>
    </row>
    <row r="598" spans="17:31" ht="12.75" customHeight="1">
      <c r="Q598"/>
      <c r="R598"/>
      <c r="S598"/>
      <c r="T598"/>
      <c r="U598"/>
      <c r="V598"/>
      <c r="W598"/>
      <c r="X598"/>
      <c r="Y598"/>
      <c r="Z598"/>
      <c r="AA598"/>
      <c r="AB598"/>
      <c r="AC598"/>
      <c r="AD598"/>
      <c r="AE598"/>
    </row>
    <row r="599" spans="17:31" ht="12.75" customHeight="1">
      <c r="Q599"/>
      <c r="R599"/>
      <c r="S599"/>
      <c r="T599"/>
      <c r="U599"/>
      <c r="V599"/>
      <c r="W599"/>
      <c r="X599"/>
      <c r="Y599"/>
      <c r="Z599"/>
      <c r="AA599"/>
      <c r="AB599"/>
      <c r="AC599"/>
      <c r="AD599"/>
      <c r="AE599"/>
    </row>
    <row r="600" spans="17:31" ht="12.75" customHeight="1">
      <c r="Q600"/>
      <c r="R600"/>
      <c r="S600"/>
      <c r="T600"/>
      <c r="U600"/>
      <c r="V600"/>
      <c r="W600"/>
      <c r="X600"/>
      <c r="Y600"/>
      <c r="Z600"/>
      <c r="AA600"/>
      <c r="AB600"/>
      <c r="AC600"/>
      <c r="AD600"/>
      <c r="AE600"/>
    </row>
    <row r="601" spans="17:31" ht="12.75" customHeight="1">
      <c r="Q601"/>
      <c r="R601"/>
      <c r="S601"/>
      <c r="T601"/>
      <c r="U601"/>
      <c r="V601"/>
      <c r="W601"/>
      <c r="X601"/>
      <c r="Y601"/>
      <c r="Z601"/>
      <c r="AA601"/>
      <c r="AB601"/>
      <c r="AC601"/>
      <c r="AD601"/>
      <c r="AE601"/>
    </row>
    <row r="602" spans="17:31" ht="12.75" customHeight="1">
      <c r="Q602"/>
      <c r="R602"/>
      <c r="S602"/>
      <c r="T602"/>
      <c r="U602"/>
      <c r="V602"/>
      <c r="W602"/>
      <c r="X602"/>
      <c r="Y602"/>
      <c r="Z602"/>
      <c r="AA602"/>
      <c r="AB602"/>
      <c r="AC602"/>
      <c r="AD602"/>
      <c r="AE602"/>
    </row>
    <row r="603" spans="17:31" ht="12.75" customHeight="1">
      <c r="Q603"/>
      <c r="R603"/>
      <c r="S603"/>
      <c r="T603"/>
      <c r="U603"/>
      <c r="V603"/>
      <c r="W603"/>
      <c r="X603"/>
      <c r="Y603"/>
      <c r="Z603"/>
      <c r="AA603"/>
      <c r="AB603"/>
      <c r="AC603"/>
      <c r="AD603"/>
      <c r="AE603"/>
    </row>
    <row r="604" spans="17:31" ht="12.75" customHeight="1">
      <c r="Q604"/>
      <c r="R604"/>
      <c r="S604"/>
      <c r="T604"/>
      <c r="U604"/>
      <c r="V604"/>
      <c r="W604"/>
      <c r="X604"/>
      <c r="Y604"/>
      <c r="Z604"/>
      <c r="AA604"/>
      <c r="AB604"/>
      <c r="AC604"/>
      <c r="AD604"/>
      <c r="AE604"/>
    </row>
    <row r="605" spans="17:31" ht="12.75" customHeight="1">
      <c r="Q605"/>
      <c r="R605"/>
      <c r="S605"/>
      <c r="T605"/>
      <c r="U605"/>
      <c r="V605"/>
      <c r="W605"/>
      <c r="X605"/>
      <c r="Y605"/>
      <c r="Z605"/>
      <c r="AA605"/>
      <c r="AB605"/>
      <c r="AC605"/>
      <c r="AD605"/>
      <c r="AE605"/>
    </row>
    <row r="606" spans="17:31" ht="12.75" customHeight="1">
      <c r="Q606"/>
      <c r="R606"/>
      <c r="S606"/>
      <c r="T606"/>
      <c r="U606"/>
      <c r="V606"/>
      <c r="W606"/>
      <c r="X606"/>
      <c r="Y606"/>
      <c r="Z606"/>
      <c r="AA606"/>
      <c r="AB606"/>
      <c r="AC606"/>
      <c r="AD606"/>
      <c r="AE606"/>
    </row>
    <row r="607" spans="17:31" ht="12.75" customHeight="1">
      <c r="Q607"/>
      <c r="R607"/>
      <c r="S607"/>
      <c r="T607"/>
      <c r="U607"/>
      <c r="V607"/>
      <c r="W607"/>
      <c r="X607"/>
      <c r="Y607"/>
      <c r="Z607"/>
      <c r="AA607"/>
      <c r="AB607"/>
      <c r="AC607"/>
      <c r="AD607"/>
      <c r="AE607"/>
    </row>
    <row r="608" spans="17:31" ht="12.75" customHeight="1">
      <c r="Q608"/>
      <c r="R608"/>
      <c r="S608"/>
      <c r="T608"/>
      <c r="U608"/>
      <c r="V608"/>
      <c r="W608"/>
      <c r="X608"/>
      <c r="Y608"/>
      <c r="Z608"/>
      <c r="AA608"/>
      <c r="AB608"/>
      <c r="AC608"/>
      <c r="AD608"/>
      <c r="AE608"/>
    </row>
    <row r="609" spans="17:31" ht="12.75" customHeight="1">
      <c r="Q609"/>
      <c r="R609"/>
      <c r="S609"/>
      <c r="T609"/>
      <c r="U609"/>
      <c r="V609"/>
      <c r="W609"/>
      <c r="X609"/>
      <c r="Y609"/>
      <c r="Z609"/>
      <c r="AA609"/>
      <c r="AB609"/>
      <c r="AC609"/>
      <c r="AD609"/>
      <c r="AE609"/>
    </row>
    <row r="610" spans="17:31" ht="12.75" customHeight="1">
      <c r="Q610"/>
      <c r="R610"/>
      <c r="S610"/>
      <c r="T610"/>
      <c r="U610"/>
      <c r="V610"/>
      <c r="W610"/>
      <c r="X610"/>
      <c r="Y610"/>
      <c r="Z610"/>
      <c r="AA610"/>
      <c r="AB610"/>
      <c r="AC610"/>
      <c r="AD610"/>
      <c r="AE610"/>
    </row>
    <row r="611" spans="17:31" ht="12.75" customHeight="1">
      <c r="Q611"/>
      <c r="R611"/>
      <c r="S611"/>
      <c r="T611"/>
      <c r="U611"/>
      <c r="V611"/>
      <c r="W611"/>
      <c r="X611"/>
      <c r="Y611"/>
      <c r="Z611"/>
      <c r="AA611"/>
      <c r="AB611"/>
      <c r="AC611"/>
      <c r="AD611"/>
      <c r="AE611"/>
    </row>
    <row r="612" spans="17:31" ht="12.75" customHeight="1">
      <c r="Q612"/>
      <c r="R612"/>
      <c r="S612"/>
      <c r="T612"/>
      <c r="U612"/>
      <c r="V612"/>
      <c r="W612"/>
      <c r="X612"/>
      <c r="Y612"/>
      <c r="Z612"/>
      <c r="AA612"/>
      <c r="AB612"/>
      <c r="AC612"/>
      <c r="AD612"/>
      <c r="AE612"/>
    </row>
    <row r="613" spans="17:31" ht="12.75" customHeight="1">
      <c r="Q613"/>
      <c r="R613"/>
      <c r="S613"/>
      <c r="T613"/>
      <c r="U613"/>
      <c r="V613"/>
      <c r="W613"/>
      <c r="X613"/>
      <c r="Y613"/>
      <c r="Z613"/>
      <c r="AA613"/>
      <c r="AB613"/>
      <c r="AC613"/>
      <c r="AD613"/>
      <c r="AE613"/>
    </row>
    <row r="614" spans="17:31" ht="12.75" customHeight="1">
      <c r="Q614"/>
      <c r="R614"/>
      <c r="S614"/>
      <c r="T614"/>
      <c r="U614"/>
      <c r="V614"/>
      <c r="W614"/>
      <c r="X614"/>
      <c r="Y614"/>
      <c r="Z614"/>
      <c r="AA614"/>
      <c r="AB614"/>
      <c r="AC614"/>
      <c r="AD614"/>
      <c r="AE614"/>
    </row>
    <row r="615" spans="17:31" ht="12.75" customHeight="1">
      <c r="Q615"/>
      <c r="R615"/>
      <c r="S615"/>
      <c r="T615"/>
      <c r="U615"/>
      <c r="V615"/>
      <c r="W615"/>
      <c r="X615"/>
      <c r="Y615"/>
      <c r="Z615"/>
      <c r="AA615"/>
      <c r="AB615"/>
      <c r="AC615"/>
      <c r="AD615"/>
      <c r="AE615"/>
    </row>
    <row r="616" spans="17:31" ht="12.75" customHeight="1">
      <c r="Q616"/>
      <c r="R616"/>
      <c r="S616"/>
      <c r="T616"/>
      <c r="U616"/>
      <c r="V616"/>
      <c r="W616"/>
      <c r="X616"/>
      <c r="Y616"/>
      <c r="Z616"/>
      <c r="AA616"/>
      <c r="AB616"/>
      <c r="AC616"/>
      <c r="AD616"/>
      <c r="AE616"/>
    </row>
    <row r="617" spans="17:31" ht="12.75" customHeight="1">
      <c r="Q617"/>
      <c r="R617"/>
      <c r="S617"/>
      <c r="T617"/>
      <c r="U617"/>
      <c r="V617"/>
      <c r="W617"/>
      <c r="X617"/>
      <c r="Y617"/>
      <c r="Z617"/>
      <c r="AA617"/>
      <c r="AB617"/>
      <c r="AC617"/>
      <c r="AD617"/>
      <c r="AE617"/>
    </row>
    <row r="618" spans="17:31" ht="12.75" customHeight="1">
      <c r="Q618"/>
      <c r="R618"/>
      <c r="S618"/>
      <c r="T618"/>
      <c r="U618"/>
      <c r="V618"/>
      <c r="W618"/>
      <c r="X618"/>
      <c r="Y618"/>
      <c r="Z618"/>
      <c r="AA618"/>
      <c r="AB618"/>
      <c r="AC618"/>
      <c r="AD618"/>
      <c r="AE618"/>
    </row>
    <row r="619" spans="17:31" ht="12.75" customHeight="1">
      <c r="Q619"/>
      <c r="R619"/>
      <c r="S619"/>
      <c r="T619"/>
      <c r="U619"/>
      <c r="V619"/>
      <c r="W619"/>
      <c r="X619"/>
      <c r="Y619"/>
      <c r="Z619"/>
      <c r="AA619"/>
      <c r="AB619"/>
      <c r="AC619"/>
      <c r="AD619"/>
      <c r="AE619"/>
    </row>
    <row r="620" spans="17:31" ht="12.75" customHeight="1">
      <c r="Q620"/>
      <c r="R620"/>
      <c r="S620"/>
      <c r="T620"/>
      <c r="U620"/>
      <c r="V620"/>
      <c r="W620"/>
      <c r="X620"/>
      <c r="Y620"/>
      <c r="Z620"/>
      <c r="AA620"/>
      <c r="AB620"/>
      <c r="AC620"/>
      <c r="AD620"/>
      <c r="AE620"/>
    </row>
    <row r="621" spans="17:31" ht="12.75" customHeight="1">
      <c r="Q621"/>
      <c r="R621"/>
      <c r="S621"/>
      <c r="T621"/>
      <c r="U621"/>
      <c r="V621"/>
      <c r="W621"/>
      <c r="X621"/>
      <c r="Y621"/>
      <c r="Z621"/>
      <c r="AA621"/>
      <c r="AB621"/>
      <c r="AC621"/>
      <c r="AD621"/>
      <c r="AE621"/>
    </row>
    <row r="622" spans="17:31" ht="12.75" customHeight="1">
      <c r="Q622"/>
      <c r="R622"/>
      <c r="S622"/>
      <c r="T622"/>
      <c r="U622"/>
      <c r="V622"/>
      <c r="W622"/>
      <c r="X622"/>
      <c r="Y622"/>
      <c r="Z622"/>
      <c r="AA622"/>
      <c r="AB622"/>
      <c r="AC622"/>
      <c r="AD622"/>
      <c r="AE622"/>
    </row>
    <row r="623" spans="17:31" ht="12.75" customHeight="1">
      <c r="Q623"/>
      <c r="R623"/>
      <c r="S623"/>
      <c r="T623"/>
      <c r="U623"/>
      <c r="V623"/>
      <c r="W623"/>
      <c r="X623"/>
      <c r="Y623"/>
      <c r="Z623"/>
      <c r="AA623"/>
      <c r="AB623"/>
      <c r="AC623"/>
      <c r="AD623"/>
      <c r="AE623"/>
    </row>
    <row r="624" spans="17:31" ht="12.75" customHeight="1">
      <c r="Q624"/>
      <c r="R624"/>
      <c r="S624"/>
      <c r="T624"/>
      <c r="U624"/>
      <c r="V624"/>
      <c r="W624"/>
      <c r="X624"/>
      <c r="Y624"/>
      <c r="Z624"/>
      <c r="AA624"/>
      <c r="AB624"/>
      <c r="AC624"/>
      <c r="AD624"/>
      <c r="AE624"/>
    </row>
    <row r="625" spans="17:31" ht="12.75" customHeight="1">
      <c r="Q625"/>
      <c r="R625"/>
      <c r="S625"/>
      <c r="T625"/>
      <c r="U625"/>
      <c r="V625"/>
      <c r="W625"/>
      <c r="X625"/>
      <c r="Y625"/>
      <c r="Z625"/>
      <c r="AA625"/>
      <c r="AB625"/>
      <c r="AC625"/>
      <c r="AD625"/>
      <c r="AE625"/>
    </row>
    <row r="626" spans="17:31" ht="12.75" customHeight="1">
      <c r="Q626"/>
      <c r="R626"/>
      <c r="S626"/>
      <c r="T626"/>
      <c r="U626"/>
      <c r="V626"/>
      <c r="W626"/>
      <c r="X626"/>
      <c r="Y626"/>
      <c r="Z626"/>
      <c r="AA626"/>
      <c r="AB626"/>
      <c r="AC626"/>
      <c r="AD626"/>
      <c r="AE626"/>
    </row>
    <row r="627" spans="17:31" ht="12.75" customHeight="1">
      <c r="Q627"/>
      <c r="R627"/>
      <c r="S627"/>
      <c r="T627"/>
      <c r="U627"/>
      <c r="V627"/>
      <c r="W627"/>
      <c r="X627"/>
      <c r="Y627"/>
      <c r="Z627"/>
      <c r="AA627"/>
      <c r="AB627"/>
      <c r="AC627"/>
      <c r="AD627"/>
      <c r="AE627"/>
    </row>
    <row r="628" spans="17:31" ht="12.75" customHeight="1">
      <c r="Q628"/>
      <c r="R628"/>
      <c r="S628"/>
      <c r="T628"/>
      <c r="U628"/>
      <c r="V628"/>
      <c r="W628"/>
      <c r="X628"/>
      <c r="Y628"/>
      <c r="Z628"/>
      <c r="AA628"/>
      <c r="AB628"/>
      <c r="AC628"/>
      <c r="AD628"/>
      <c r="AE628"/>
    </row>
    <row r="629" spans="17:31" ht="12.75" customHeight="1">
      <c r="Q629"/>
      <c r="R629"/>
      <c r="S629"/>
      <c r="T629"/>
      <c r="U629"/>
      <c r="V629"/>
      <c r="W629"/>
      <c r="X629"/>
      <c r="Y629"/>
      <c r="Z629"/>
      <c r="AA629"/>
      <c r="AB629"/>
      <c r="AC629"/>
      <c r="AD629"/>
      <c r="AE629"/>
    </row>
    <row r="630" spans="17:31" ht="12.75" customHeight="1">
      <c r="Q630"/>
      <c r="R630"/>
      <c r="S630"/>
      <c r="T630"/>
      <c r="U630"/>
      <c r="V630"/>
      <c r="W630"/>
      <c r="X630"/>
      <c r="Y630"/>
      <c r="Z630"/>
      <c r="AA630"/>
      <c r="AB630"/>
      <c r="AC630"/>
      <c r="AD630"/>
      <c r="AE630"/>
    </row>
    <row r="631" spans="17:31" ht="12.75" customHeight="1">
      <c r="Q631"/>
      <c r="R631"/>
      <c r="S631"/>
      <c r="T631"/>
      <c r="U631"/>
      <c r="V631"/>
      <c r="W631"/>
      <c r="X631"/>
      <c r="Y631"/>
      <c r="Z631"/>
      <c r="AA631"/>
      <c r="AB631"/>
      <c r="AC631"/>
      <c r="AD631"/>
      <c r="AE631"/>
    </row>
    <row r="632" spans="17:31" ht="12.75" customHeight="1">
      <c r="Q632"/>
      <c r="R632"/>
      <c r="S632"/>
      <c r="T632"/>
      <c r="U632"/>
      <c r="V632"/>
      <c r="W632"/>
      <c r="X632"/>
      <c r="Y632"/>
      <c r="Z632"/>
      <c r="AA632"/>
      <c r="AB632"/>
      <c r="AC632"/>
      <c r="AD632"/>
      <c r="AE632"/>
    </row>
    <row r="633" spans="17:31" ht="12.75" customHeight="1">
      <c r="Q633"/>
      <c r="R633"/>
      <c r="S633"/>
      <c r="T633"/>
      <c r="U633"/>
      <c r="V633"/>
      <c r="W633"/>
      <c r="X633"/>
      <c r="Y633"/>
      <c r="Z633"/>
      <c r="AA633"/>
      <c r="AB633"/>
      <c r="AC633"/>
      <c r="AD633"/>
      <c r="AE633"/>
    </row>
    <row r="634" spans="17:31" ht="12.75" customHeight="1">
      <c r="Q634"/>
      <c r="R634"/>
      <c r="S634"/>
      <c r="T634"/>
      <c r="U634"/>
      <c r="V634"/>
      <c r="W634"/>
      <c r="X634"/>
      <c r="Y634"/>
      <c r="Z634"/>
      <c r="AA634"/>
      <c r="AB634"/>
      <c r="AC634"/>
      <c r="AD634"/>
      <c r="AE634"/>
    </row>
    <row r="635" spans="17:31" ht="12.75" customHeight="1">
      <c r="Q635"/>
      <c r="R635"/>
      <c r="S635"/>
      <c r="T635"/>
      <c r="U635"/>
      <c r="V635"/>
      <c r="W635"/>
      <c r="X635"/>
      <c r="Y635"/>
      <c r="Z635"/>
      <c r="AA635"/>
      <c r="AB635"/>
      <c r="AC635"/>
      <c r="AD635"/>
      <c r="AE635"/>
    </row>
    <row r="636" spans="17:31" ht="12.75" customHeight="1">
      <c r="Q636"/>
      <c r="R636"/>
      <c r="S636"/>
      <c r="T636"/>
      <c r="U636"/>
      <c r="V636"/>
      <c r="W636"/>
      <c r="X636"/>
      <c r="Y636"/>
      <c r="Z636"/>
      <c r="AA636"/>
      <c r="AB636"/>
      <c r="AC636"/>
      <c r="AD636"/>
      <c r="AE636"/>
    </row>
    <row r="637" spans="17:31" ht="12.75" customHeight="1">
      <c r="Q637"/>
      <c r="R637"/>
      <c r="S637"/>
      <c r="T637"/>
      <c r="U637"/>
      <c r="V637"/>
      <c r="W637"/>
      <c r="X637"/>
      <c r="Y637"/>
      <c r="Z637"/>
      <c r="AA637"/>
      <c r="AB637"/>
      <c r="AC637"/>
      <c r="AD637"/>
      <c r="AE637"/>
    </row>
    <row r="638" spans="17:31" ht="12.75" customHeight="1">
      <c r="Q638"/>
      <c r="R638"/>
      <c r="S638"/>
      <c r="T638"/>
      <c r="U638"/>
      <c r="V638"/>
      <c r="W638"/>
      <c r="X638"/>
      <c r="Y638"/>
      <c r="Z638"/>
      <c r="AA638"/>
      <c r="AB638"/>
      <c r="AC638"/>
      <c r="AD638"/>
      <c r="AE638"/>
    </row>
    <row r="639" spans="17:31" ht="12.75" customHeight="1">
      <c r="Q639"/>
      <c r="R639"/>
      <c r="S639"/>
      <c r="T639"/>
      <c r="U639"/>
      <c r="V639"/>
      <c r="W639"/>
      <c r="X639"/>
      <c r="Y639"/>
      <c r="Z639"/>
      <c r="AA639"/>
      <c r="AB639"/>
      <c r="AC639"/>
      <c r="AD639"/>
      <c r="AE639"/>
    </row>
    <row r="640" spans="17:31" ht="12.75" customHeight="1">
      <c r="Q640"/>
      <c r="R640"/>
      <c r="S640"/>
      <c r="T640"/>
      <c r="U640"/>
      <c r="V640"/>
      <c r="W640"/>
      <c r="X640"/>
      <c r="Y640"/>
      <c r="Z640"/>
      <c r="AA640"/>
      <c r="AB640"/>
      <c r="AC640"/>
      <c r="AD640"/>
      <c r="AE640"/>
    </row>
    <row r="641" spans="17:31" ht="12.75" customHeight="1">
      <c r="Q641"/>
      <c r="R641"/>
      <c r="S641"/>
      <c r="T641"/>
      <c r="U641"/>
      <c r="V641"/>
      <c r="W641"/>
      <c r="X641"/>
      <c r="Y641"/>
      <c r="Z641"/>
      <c r="AA641"/>
      <c r="AB641"/>
      <c r="AC641"/>
      <c r="AD641"/>
      <c r="AE641"/>
    </row>
    <row r="642" spans="17:31" ht="12.75" customHeight="1">
      <c r="Q642"/>
      <c r="R642"/>
      <c r="S642"/>
      <c r="T642"/>
      <c r="U642"/>
      <c r="V642"/>
      <c r="W642"/>
      <c r="X642"/>
      <c r="Y642"/>
      <c r="Z642"/>
      <c r="AA642"/>
      <c r="AB642"/>
      <c r="AC642"/>
      <c r="AD642"/>
      <c r="AE642"/>
    </row>
    <row r="643" spans="17:31" ht="12.75" customHeight="1">
      <c r="Q643"/>
      <c r="R643"/>
      <c r="S643"/>
      <c r="T643"/>
      <c r="U643"/>
      <c r="V643"/>
      <c r="W643"/>
      <c r="X643"/>
      <c r="Y643"/>
      <c r="Z643"/>
      <c r="AA643"/>
      <c r="AB643"/>
      <c r="AC643"/>
      <c r="AD643"/>
      <c r="AE643"/>
    </row>
    <row r="644" spans="17:31" ht="12.75" customHeight="1">
      <c r="Q644"/>
      <c r="R644"/>
      <c r="S644"/>
      <c r="T644"/>
      <c r="U644"/>
      <c r="V644"/>
      <c r="W644"/>
      <c r="X644"/>
      <c r="Y644"/>
      <c r="Z644"/>
      <c r="AA644"/>
      <c r="AB644"/>
      <c r="AC644"/>
      <c r="AD644"/>
      <c r="AE644"/>
    </row>
    <row r="645" spans="17:31" ht="12.75" customHeight="1">
      <c r="Q645"/>
      <c r="R645"/>
      <c r="S645"/>
      <c r="T645"/>
      <c r="U645"/>
      <c r="V645"/>
      <c r="W645"/>
      <c r="X645"/>
      <c r="Y645"/>
      <c r="Z645"/>
      <c r="AA645"/>
      <c r="AB645"/>
      <c r="AC645"/>
      <c r="AD645"/>
      <c r="AE645"/>
    </row>
    <row r="646" spans="17:31" ht="12.75" customHeight="1">
      <c r="Q646"/>
      <c r="R646"/>
      <c r="S646"/>
      <c r="T646"/>
      <c r="U646"/>
      <c r="V646"/>
      <c r="W646"/>
      <c r="X646"/>
      <c r="Y646"/>
      <c r="Z646"/>
      <c r="AA646"/>
      <c r="AB646"/>
      <c r="AC646"/>
      <c r="AD646"/>
      <c r="AE646"/>
    </row>
    <row r="647" spans="17:31" ht="12.75" customHeight="1">
      <c r="Q647"/>
      <c r="R647"/>
      <c r="S647"/>
      <c r="T647"/>
      <c r="U647"/>
      <c r="V647"/>
      <c r="W647"/>
      <c r="X647"/>
      <c r="Y647"/>
      <c r="Z647"/>
      <c r="AA647"/>
      <c r="AB647"/>
      <c r="AC647"/>
      <c r="AD647"/>
      <c r="AE647"/>
    </row>
    <row r="648" spans="17:31" ht="12.75" customHeight="1">
      <c r="Q648"/>
      <c r="R648"/>
      <c r="S648"/>
      <c r="T648"/>
      <c r="U648"/>
      <c r="V648"/>
      <c r="W648"/>
      <c r="X648"/>
      <c r="Y648"/>
      <c r="Z648"/>
      <c r="AA648"/>
      <c r="AB648"/>
      <c r="AC648"/>
      <c r="AD648"/>
      <c r="AE648"/>
    </row>
    <row r="649" spans="17:31" ht="12.75" customHeight="1">
      <c r="Q649"/>
      <c r="R649"/>
      <c r="S649"/>
      <c r="T649"/>
      <c r="U649"/>
      <c r="V649"/>
      <c r="W649"/>
      <c r="X649"/>
      <c r="Y649"/>
      <c r="Z649"/>
      <c r="AA649"/>
      <c r="AB649"/>
      <c r="AC649"/>
      <c r="AD649"/>
      <c r="AE649"/>
    </row>
    <row r="650" spans="17:31" ht="12.75" customHeight="1">
      <c r="Q650"/>
      <c r="R650"/>
      <c r="S650"/>
      <c r="T650"/>
      <c r="U650"/>
      <c r="V650"/>
      <c r="W650"/>
      <c r="X650"/>
      <c r="Y650"/>
      <c r="Z650"/>
      <c r="AA650"/>
      <c r="AB650"/>
      <c r="AC650"/>
      <c r="AD650"/>
      <c r="AE650"/>
    </row>
    <row r="651" spans="17:31" ht="12.75" customHeight="1">
      <c r="Q651"/>
      <c r="R651"/>
      <c r="S651"/>
      <c r="T651"/>
      <c r="U651"/>
      <c r="V651"/>
      <c r="W651"/>
      <c r="X651"/>
      <c r="Y651"/>
      <c r="Z651"/>
      <c r="AA651"/>
      <c r="AB651"/>
      <c r="AC651"/>
      <c r="AD651"/>
      <c r="AE651"/>
    </row>
    <row r="652" spans="17:31" ht="12.75" customHeight="1">
      <c r="Q652"/>
      <c r="R652"/>
      <c r="S652"/>
      <c r="T652"/>
      <c r="U652"/>
      <c r="V652"/>
      <c r="W652"/>
      <c r="X652"/>
      <c r="Y652"/>
      <c r="Z652"/>
      <c r="AA652"/>
      <c r="AB652"/>
      <c r="AC652"/>
      <c r="AD652"/>
      <c r="AE652"/>
    </row>
    <row r="653" spans="17:31" ht="12.75" customHeight="1">
      <c r="Q653"/>
      <c r="R653"/>
      <c r="S653"/>
      <c r="T653"/>
      <c r="U653"/>
      <c r="V653"/>
      <c r="W653"/>
      <c r="X653"/>
      <c r="Y653"/>
      <c r="Z653"/>
      <c r="AA653"/>
      <c r="AB653"/>
      <c r="AC653"/>
      <c r="AD653"/>
      <c r="AE653"/>
    </row>
    <row r="654" spans="17:31" ht="12.75" customHeight="1">
      <c r="Q654"/>
      <c r="R654"/>
      <c r="S654"/>
      <c r="T654"/>
      <c r="U654"/>
      <c r="V654"/>
      <c r="W654"/>
      <c r="X654"/>
      <c r="Y654"/>
      <c r="Z654"/>
      <c r="AA654"/>
      <c r="AB654"/>
      <c r="AC654"/>
      <c r="AD654"/>
      <c r="AE654"/>
    </row>
    <row r="655" spans="17:31" ht="12.75" customHeight="1">
      <c r="Q655"/>
      <c r="R655"/>
      <c r="S655"/>
      <c r="T655"/>
      <c r="U655"/>
      <c r="V655"/>
      <c r="W655"/>
      <c r="X655"/>
      <c r="Y655"/>
      <c r="Z655"/>
      <c r="AA655"/>
      <c r="AB655"/>
      <c r="AC655"/>
      <c r="AD655"/>
      <c r="AE655"/>
    </row>
    <row r="656" spans="17:31" ht="12.75" customHeight="1">
      <c r="Q656"/>
      <c r="R656"/>
      <c r="S656"/>
      <c r="T656"/>
      <c r="U656"/>
      <c r="V656"/>
      <c r="W656"/>
      <c r="X656"/>
      <c r="Y656"/>
      <c r="Z656"/>
      <c r="AA656"/>
      <c r="AB656"/>
      <c r="AC656"/>
      <c r="AD656"/>
      <c r="AE656"/>
    </row>
    <row r="657" spans="17:31" ht="12.75" customHeight="1">
      <c r="Q657"/>
      <c r="R657"/>
      <c r="S657"/>
      <c r="T657"/>
      <c r="U657"/>
      <c r="V657"/>
      <c r="W657"/>
      <c r="X657"/>
      <c r="Y657"/>
      <c r="Z657"/>
      <c r="AA657"/>
      <c r="AB657"/>
      <c r="AC657"/>
      <c r="AD657"/>
      <c r="AE657"/>
    </row>
    <row r="658" spans="17:31" ht="12.75" customHeight="1">
      <c r="Q658"/>
      <c r="R658"/>
      <c r="S658"/>
      <c r="T658"/>
      <c r="U658"/>
      <c r="V658"/>
      <c r="W658"/>
      <c r="X658"/>
      <c r="Y658"/>
      <c r="Z658"/>
      <c r="AA658"/>
      <c r="AB658"/>
      <c r="AC658"/>
      <c r="AD658"/>
      <c r="AE658"/>
    </row>
    <row r="659" spans="17:31" ht="12.75" customHeight="1">
      <c r="Q659"/>
      <c r="R659"/>
      <c r="S659"/>
      <c r="T659"/>
      <c r="U659"/>
      <c r="V659"/>
      <c r="W659"/>
      <c r="X659"/>
      <c r="Y659"/>
      <c r="Z659"/>
      <c r="AA659"/>
      <c r="AB659"/>
      <c r="AC659"/>
      <c r="AD659"/>
      <c r="AE659"/>
    </row>
    <row r="660" spans="17:31" ht="12.75" customHeight="1">
      <c r="Q660"/>
      <c r="R660"/>
      <c r="S660"/>
      <c r="T660"/>
      <c r="U660"/>
      <c r="V660"/>
      <c r="W660"/>
      <c r="X660"/>
      <c r="Y660"/>
      <c r="Z660"/>
      <c r="AA660"/>
      <c r="AB660"/>
      <c r="AC660"/>
      <c r="AD660"/>
      <c r="AE660"/>
    </row>
    <row r="661" spans="17:31" ht="12.75" customHeight="1">
      <c r="Q661"/>
      <c r="R661"/>
      <c r="S661"/>
      <c r="T661"/>
      <c r="U661"/>
      <c r="V661"/>
      <c r="W661"/>
      <c r="X661"/>
      <c r="Y661"/>
      <c r="Z661"/>
      <c r="AA661"/>
      <c r="AB661"/>
      <c r="AC661"/>
      <c r="AD661"/>
      <c r="AE661"/>
    </row>
    <row r="662" spans="17:31" ht="12.75" customHeight="1">
      <c r="Q662"/>
      <c r="R662"/>
      <c r="S662"/>
      <c r="T662"/>
      <c r="U662"/>
      <c r="V662"/>
      <c r="W662"/>
      <c r="X662"/>
      <c r="Y662"/>
      <c r="Z662"/>
      <c r="AA662"/>
      <c r="AB662"/>
      <c r="AC662"/>
      <c r="AD662"/>
      <c r="AE662"/>
    </row>
    <row r="663" spans="17:31" ht="12.75" customHeight="1">
      <c r="Q663"/>
      <c r="R663"/>
      <c r="S663"/>
      <c r="T663"/>
      <c r="U663"/>
      <c r="V663"/>
      <c r="W663"/>
      <c r="X663"/>
      <c r="Y663"/>
      <c r="Z663"/>
      <c r="AA663"/>
      <c r="AB663"/>
      <c r="AC663"/>
      <c r="AD663"/>
      <c r="AE663"/>
    </row>
    <row r="664" spans="17:31" ht="12.75" customHeight="1">
      <c r="Q664"/>
      <c r="R664"/>
      <c r="S664"/>
      <c r="T664"/>
      <c r="U664"/>
      <c r="V664"/>
      <c r="W664"/>
      <c r="X664"/>
      <c r="Y664"/>
      <c r="Z664"/>
      <c r="AA664"/>
      <c r="AB664"/>
      <c r="AC664"/>
      <c r="AD664"/>
      <c r="AE664"/>
    </row>
    <row r="665" spans="17:31" ht="12.75" customHeight="1">
      <c r="Q665"/>
      <c r="R665"/>
      <c r="S665"/>
      <c r="T665"/>
      <c r="U665"/>
      <c r="V665"/>
      <c r="W665"/>
      <c r="X665"/>
      <c r="Y665"/>
      <c r="Z665"/>
      <c r="AA665"/>
      <c r="AB665"/>
      <c r="AC665"/>
      <c r="AD665"/>
      <c r="AE665"/>
    </row>
    <row r="666" spans="17:31" ht="12.75" customHeight="1">
      <c r="Q666"/>
      <c r="R666"/>
      <c r="S666"/>
      <c r="T666"/>
      <c r="U666"/>
      <c r="V666"/>
      <c r="W666"/>
      <c r="X666"/>
      <c r="Y666"/>
      <c r="Z666"/>
      <c r="AA666"/>
      <c r="AB666"/>
      <c r="AC666"/>
      <c r="AD666"/>
      <c r="AE666"/>
    </row>
    <row r="667" spans="17:31" ht="12.75" customHeight="1">
      <c r="Q667"/>
      <c r="R667"/>
      <c r="S667"/>
      <c r="T667"/>
      <c r="U667"/>
      <c r="V667"/>
      <c r="W667"/>
      <c r="X667"/>
      <c r="Y667"/>
      <c r="Z667"/>
      <c r="AA667"/>
      <c r="AB667"/>
      <c r="AC667"/>
      <c r="AD667"/>
      <c r="AE667"/>
    </row>
    <row r="668" spans="17:31" ht="12.75" customHeight="1">
      <c r="Q668"/>
      <c r="R668"/>
      <c r="S668"/>
      <c r="T668"/>
      <c r="U668"/>
      <c r="V668"/>
      <c r="W668"/>
      <c r="X668"/>
      <c r="Y668"/>
      <c r="Z668"/>
      <c r="AA668"/>
      <c r="AB668"/>
      <c r="AC668"/>
      <c r="AD668"/>
      <c r="AE668"/>
    </row>
    <row r="669" spans="17:31" ht="12.75" customHeight="1">
      <c r="Q669"/>
      <c r="R669"/>
      <c r="S669"/>
      <c r="T669"/>
      <c r="U669"/>
      <c r="V669"/>
      <c r="W669"/>
      <c r="X669"/>
      <c r="Y669"/>
      <c r="Z669"/>
      <c r="AA669"/>
      <c r="AB669"/>
      <c r="AC669"/>
      <c r="AD669"/>
      <c r="AE669"/>
    </row>
    <row r="670" spans="17:31" ht="12.75" customHeight="1">
      <c r="Q670"/>
      <c r="R670"/>
      <c r="S670"/>
      <c r="T670"/>
      <c r="U670"/>
      <c r="V670"/>
      <c r="W670"/>
      <c r="X670"/>
      <c r="Y670"/>
      <c r="Z670"/>
      <c r="AA670"/>
      <c r="AB670"/>
      <c r="AC670"/>
      <c r="AD670"/>
      <c r="AE670"/>
    </row>
    <row r="671" spans="17:31" ht="12.75" customHeight="1">
      <c r="Q671"/>
      <c r="R671"/>
      <c r="S671"/>
      <c r="T671"/>
      <c r="U671"/>
      <c r="V671"/>
      <c r="W671"/>
      <c r="X671"/>
      <c r="Y671"/>
      <c r="Z671"/>
      <c r="AA671"/>
      <c r="AB671"/>
      <c r="AC671"/>
      <c r="AD671"/>
      <c r="AE671"/>
    </row>
    <row r="672" spans="17:31" ht="12.75" customHeight="1">
      <c r="Q672"/>
      <c r="R672"/>
      <c r="S672"/>
      <c r="T672"/>
      <c r="U672"/>
      <c r="V672"/>
      <c r="W672"/>
      <c r="X672"/>
      <c r="Y672"/>
      <c r="Z672"/>
      <c r="AA672"/>
      <c r="AB672"/>
      <c r="AC672"/>
      <c r="AD672"/>
      <c r="AE672"/>
    </row>
    <row r="673" spans="17:31" ht="12.75" customHeight="1">
      <c r="Q673"/>
      <c r="R673"/>
      <c r="S673"/>
      <c r="T673"/>
      <c r="U673"/>
      <c r="V673"/>
      <c r="W673"/>
      <c r="X673"/>
      <c r="Y673"/>
      <c r="Z673"/>
      <c r="AA673"/>
      <c r="AB673"/>
      <c r="AC673"/>
      <c r="AD673"/>
      <c r="AE673"/>
    </row>
    <row r="674" spans="17:31" ht="12.75" customHeight="1">
      <c r="Q674"/>
      <c r="R674"/>
      <c r="S674"/>
      <c r="T674"/>
      <c r="U674"/>
      <c r="V674"/>
      <c r="W674"/>
      <c r="X674"/>
      <c r="Y674"/>
      <c r="Z674"/>
      <c r="AA674"/>
      <c r="AB674"/>
      <c r="AC674"/>
      <c r="AD674"/>
      <c r="AE674"/>
    </row>
    <row r="675" spans="17:31" ht="12.75" customHeight="1">
      <c r="Q675"/>
      <c r="R675"/>
      <c r="S675"/>
      <c r="T675"/>
      <c r="U675"/>
      <c r="V675"/>
      <c r="W675"/>
      <c r="X675"/>
      <c r="Y675"/>
      <c r="Z675"/>
      <c r="AA675"/>
      <c r="AB675"/>
      <c r="AC675"/>
      <c r="AD675"/>
      <c r="AE675"/>
    </row>
    <row r="676" spans="17:31" ht="12.75" customHeight="1">
      <c r="Q676"/>
      <c r="R676"/>
      <c r="S676"/>
      <c r="T676"/>
      <c r="U676"/>
      <c r="V676"/>
      <c r="W676"/>
      <c r="X676"/>
      <c r="Y676"/>
      <c r="Z676"/>
      <c r="AA676"/>
      <c r="AB676"/>
      <c r="AC676"/>
      <c r="AD676"/>
      <c r="AE676"/>
    </row>
    <row r="677" spans="17:31" ht="12.75" customHeight="1">
      <c r="Q677"/>
      <c r="R677"/>
      <c r="S677"/>
      <c r="T677"/>
      <c r="U677"/>
      <c r="V677"/>
      <c r="W677"/>
      <c r="X677"/>
      <c r="Y677"/>
      <c r="Z677"/>
      <c r="AA677"/>
      <c r="AB677"/>
      <c r="AC677"/>
      <c r="AD677"/>
      <c r="AE677"/>
    </row>
    <row r="678" spans="17:31" ht="12.75" customHeight="1">
      <c r="Q678"/>
      <c r="R678"/>
      <c r="S678"/>
      <c r="T678"/>
      <c r="U678"/>
      <c r="V678"/>
      <c r="W678"/>
      <c r="X678"/>
      <c r="Y678"/>
      <c r="Z678"/>
      <c r="AA678"/>
      <c r="AB678"/>
      <c r="AC678"/>
      <c r="AD678"/>
      <c r="AE678"/>
    </row>
    <row r="679" spans="17:31" ht="12.75" customHeight="1">
      <c r="Q679"/>
      <c r="R679"/>
      <c r="S679"/>
      <c r="T679"/>
      <c r="U679"/>
      <c r="V679"/>
      <c r="W679"/>
      <c r="X679"/>
      <c r="Y679"/>
      <c r="Z679"/>
      <c r="AA679"/>
      <c r="AB679"/>
      <c r="AC679"/>
      <c r="AD679"/>
      <c r="AE679"/>
    </row>
    <row r="680" spans="17:31" ht="12.75" customHeight="1">
      <c r="Q680"/>
      <c r="R680"/>
      <c r="S680"/>
      <c r="T680"/>
      <c r="U680"/>
      <c r="V680"/>
      <c r="W680"/>
      <c r="X680"/>
      <c r="Y680"/>
      <c r="Z680"/>
      <c r="AA680"/>
      <c r="AB680"/>
      <c r="AC680"/>
      <c r="AD680"/>
      <c r="AE680"/>
    </row>
    <row r="681" spans="17:31" ht="12.75" customHeight="1">
      <c r="Q681"/>
      <c r="R681"/>
      <c r="S681"/>
      <c r="T681"/>
      <c r="U681"/>
      <c r="V681"/>
      <c r="W681"/>
      <c r="X681"/>
      <c r="Y681"/>
      <c r="Z681"/>
      <c r="AA681"/>
      <c r="AB681"/>
      <c r="AC681"/>
      <c r="AD681"/>
      <c r="AE681"/>
    </row>
    <row r="682" spans="17:31" ht="12.75" customHeight="1">
      <c r="Q682"/>
      <c r="R682"/>
      <c r="S682"/>
      <c r="T682"/>
      <c r="U682"/>
      <c r="V682"/>
      <c r="W682"/>
      <c r="X682"/>
      <c r="Y682"/>
      <c r="Z682"/>
      <c r="AA682"/>
      <c r="AB682"/>
      <c r="AC682"/>
      <c r="AD682"/>
      <c r="AE682"/>
    </row>
    <row r="683" spans="17:31" ht="12.75" customHeight="1">
      <c r="Q683"/>
      <c r="R683"/>
      <c r="S683"/>
      <c r="T683"/>
      <c r="U683"/>
      <c r="V683"/>
      <c r="W683"/>
      <c r="X683"/>
      <c r="Y683"/>
      <c r="Z683"/>
      <c r="AA683"/>
      <c r="AB683"/>
      <c r="AC683"/>
      <c r="AD683"/>
      <c r="AE683"/>
    </row>
    <row r="684" spans="17:31" ht="12.75" customHeight="1">
      <c r="Q684"/>
      <c r="R684"/>
      <c r="S684"/>
      <c r="T684"/>
      <c r="U684"/>
      <c r="V684"/>
      <c r="W684"/>
      <c r="X684"/>
      <c r="Y684"/>
      <c r="Z684"/>
      <c r="AA684"/>
      <c r="AB684"/>
      <c r="AC684"/>
      <c r="AD684"/>
      <c r="AE684"/>
    </row>
    <row r="685" spans="17:31" ht="12.75" customHeight="1">
      <c r="Q685"/>
      <c r="R685"/>
      <c r="S685"/>
      <c r="T685"/>
      <c r="U685"/>
      <c r="V685"/>
      <c r="W685"/>
      <c r="X685"/>
      <c r="Y685"/>
      <c r="Z685"/>
      <c r="AA685"/>
      <c r="AB685"/>
      <c r="AC685"/>
      <c r="AD685"/>
      <c r="AE685"/>
    </row>
    <row r="686" spans="17:31" ht="12.75" customHeight="1">
      <c r="Q686"/>
      <c r="R686"/>
      <c r="S686"/>
      <c r="T686"/>
      <c r="U686"/>
      <c r="V686"/>
      <c r="W686"/>
      <c r="X686"/>
      <c r="Y686"/>
      <c r="Z686"/>
      <c r="AA686"/>
      <c r="AB686"/>
      <c r="AC686"/>
      <c r="AD686"/>
      <c r="AE686"/>
    </row>
    <row r="687" spans="17:31" ht="12.75" customHeight="1">
      <c r="Q687"/>
      <c r="R687"/>
      <c r="S687"/>
      <c r="T687"/>
      <c r="U687"/>
      <c r="V687"/>
      <c r="W687"/>
      <c r="X687"/>
      <c r="Y687"/>
      <c r="Z687"/>
      <c r="AA687"/>
      <c r="AB687"/>
      <c r="AC687"/>
      <c r="AD687"/>
      <c r="AE687"/>
    </row>
    <row r="688" spans="17:31" ht="12.75" customHeight="1">
      <c r="Q688"/>
      <c r="R688"/>
      <c r="S688"/>
      <c r="T688"/>
      <c r="U688"/>
      <c r="V688"/>
      <c r="W688"/>
      <c r="X688"/>
      <c r="Y688"/>
      <c r="Z688"/>
      <c r="AA688"/>
      <c r="AB688"/>
      <c r="AC688"/>
      <c r="AD688"/>
      <c r="AE688"/>
    </row>
    <row r="689" spans="17:31" ht="12.75" customHeight="1">
      <c r="Q689"/>
      <c r="R689"/>
      <c r="S689"/>
      <c r="T689"/>
      <c r="U689"/>
      <c r="V689"/>
      <c r="W689"/>
      <c r="X689"/>
      <c r="Y689"/>
      <c r="Z689"/>
      <c r="AA689"/>
      <c r="AB689"/>
      <c r="AC689"/>
      <c r="AD689"/>
      <c r="AE689"/>
    </row>
    <row r="690" spans="17:31">
      <c r="Q690"/>
      <c r="R690"/>
      <c r="S690"/>
      <c r="T690"/>
      <c r="U690"/>
      <c r="V690"/>
      <c r="W690"/>
      <c r="X690"/>
      <c r="Y690"/>
      <c r="Z690"/>
      <c r="AA690"/>
      <c r="AB690"/>
      <c r="AC690"/>
      <c r="AD690"/>
      <c r="AE690"/>
    </row>
    <row r="691" spans="17:31">
      <c r="Q691"/>
      <c r="R691"/>
      <c r="S691"/>
      <c r="T691"/>
      <c r="U691"/>
      <c r="V691"/>
      <c r="W691"/>
      <c r="X691"/>
      <c r="Y691"/>
      <c r="Z691"/>
      <c r="AA691"/>
      <c r="AB691"/>
      <c r="AC691"/>
      <c r="AD691"/>
      <c r="AE691"/>
    </row>
    <row r="692" spans="17:31">
      <c r="Q692"/>
      <c r="R692"/>
      <c r="S692"/>
      <c r="T692"/>
      <c r="U692"/>
      <c r="V692"/>
      <c r="W692"/>
      <c r="X692"/>
      <c r="Y692"/>
      <c r="Z692"/>
      <c r="AA692"/>
      <c r="AB692"/>
      <c r="AC692"/>
      <c r="AD692"/>
      <c r="AE692"/>
    </row>
    <row r="693" spans="17:31">
      <c r="Q693"/>
      <c r="R693"/>
      <c r="S693"/>
      <c r="T693"/>
      <c r="U693"/>
      <c r="V693"/>
      <c r="W693"/>
      <c r="X693"/>
      <c r="Y693"/>
      <c r="Z693"/>
      <c r="AA693"/>
      <c r="AB693"/>
      <c r="AC693"/>
      <c r="AD693"/>
      <c r="AE693"/>
    </row>
    <row r="694" spans="17:31">
      <c r="Q694"/>
      <c r="R694"/>
      <c r="S694"/>
      <c r="T694"/>
      <c r="U694"/>
      <c r="V694"/>
      <c r="W694"/>
      <c r="X694"/>
      <c r="Y694"/>
      <c r="Z694"/>
      <c r="AA694"/>
      <c r="AB694"/>
      <c r="AC694"/>
      <c r="AD694"/>
      <c r="AE694"/>
    </row>
    <row r="695" spans="17:31">
      <c r="Q695"/>
      <c r="R695"/>
      <c r="S695"/>
      <c r="T695"/>
      <c r="U695"/>
      <c r="V695"/>
      <c r="W695"/>
      <c r="X695"/>
      <c r="Y695"/>
      <c r="Z695"/>
      <c r="AA695"/>
      <c r="AB695"/>
      <c r="AC695"/>
      <c r="AD695"/>
      <c r="AE695"/>
    </row>
    <row r="696" spans="17:31">
      <c r="Q696"/>
      <c r="R696"/>
      <c r="S696"/>
      <c r="T696"/>
      <c r="U696"/>
      <c r="V696"/>
      <c r="W696"/>
      <c r="X696"/>
      <c r="Y696"/>
      <c r="Z696"/>
      <c r="AA696"/>
      <c r="AB696"/>
      <c r="AC696"/>
      <c r="AD696"/>
      <c r="AE696"/>
    </row>
    <row r="697" spans="17:31">
      <c r="Q697"/>
      <c r="R697"/>
      <c r="S697"/>
      <c r="T697"/>
      <c r="U697"/>
      <c r="V697"/>
      <c r="W697"/>
      <c r="X697"/>
      <c r="Y697"/>
      <c r="Z697"/>
      <c r="AA697"/>
      <c r="AB697"/>
      <c r="AC697"/>
      <c r="AD697"/>
      <c r="AE697"/>
    </row>
    <row r="698" spans="17:31">
      <c r="Q698"/>
      <c r="R698"/>
      <c r="S698"/>
      <c r="T698"/>
      <c r="U698"/>
      <c r="V698"/>
      <c r="W698"/>
      <c r="X698"/>
      <c r="Y698"/>
      <c r="Z698"/>
      <c r="AA698"/>
      <c r="AB698"/>
      <c r="AC698"/>
      <c r="AD698"/>
      <c r="AE698"/>
    </row>
    <row r="699" spans="17:31">
      <c r="Q699"/>
      <c r="R699"/>
      <c r="S699"/>
      <c r="T699"/>
      <c r="U699"/>
      <c r="V699"/>
      <c r="W699"/>
      <c r="X699"/>
      <c r="Y699"/>
      <c r="Z699"/>
      <c r="AA699"/>
      <c r="AB699"/>
      <c r="AC699"/>
      <c r="AD699"/>
      <c r="AE699"/>
    </row>
    <row r="700" spans="17:31">
      <c r="Q700"/>
      <c r="R700"/>
      <c r="S700"/>
      <c r="T700"/>
      <c r="U700"/>
      <c r="V700"/>
      <c r="W700"/>
      <c r="X700"/>
      <c r="Y700"/>
      <c r="Z700"/>
      <c r="AA700"/>
      <c r="AB700"/>
      <c r="AC700"/>
      <c r="AD700"/>
      <c r="AE700"/>
    </row>
    <row r="701" spans="17:31">
      <c r="Q701"/>
      <c r="R701"/>
      <c r="S701"/>
      <c r="T701"/>
      <c r="U701"/>
      <c r="V701"/>
      <c r="W701"/>
      <c r="X701"/>
      <c r="Y701"/>
      <c r="Z701"/>
      <c r="AA701"/>
      <c r="AB701"/>
      <c r="AC701"/>
      <c r="AD701"/>
      <c r="AE701"/>
    </row>
    <row r="702" spans="17:31">
      <c r="Q702"/>
      <c r="R702"/>
      <c r="S702"/>
      <c r="T702"/>
      <c r="U702"/>
      <c r="V702"/>
      <c r="W702"/>
      <c r="X702"/>
      <c r="Y702"/>
      <c r="Z702"/>
      <c r="AA702"/>
      <c r="AB702"/>
      <c r="AC702"/>
      <c r="AD702"/>
      <c r="AE702"/>
    </row>
    <row r="703" spans="17:31">
      <c r="Q703"/>
      <c r="R703"/>
      <c r="S703"/>
      <c r="T703"/>
      <c r="U703"/>
      <c r="V703"/>
      <c r="W703"/>
      <c r="X703"/>
      <c r="Y703"/>
      <c r="Z703"/>
      <c r="AA703"/>
      <c r="AB703"/>
      <c r="AC703"/>
      <c r="AD703"/>
      <c r="AE703"/>
    </row>
    <row r="704" spans="17:31">
      <c r="Q704"/>
      <c r="R704"/>
      <c r="S704"/>
      <c r="T704"/>
      <c r="U704"/>
      <c r="V704"/>
      <c r="W704"/>
      <c r="X704"/>
      <c r="Y704"/>
      <c r="Z704"/>
      <c r="AA704"/>
      <c r="AB704"/>
      <c r="AC704"/>
      <c r="AD704"/>
      <c r="AE704"/>
    </row>
    <row r="705" spans="17:31">
      <c r="Q705"/>
      <c r="R705"/>
      <c r="S705"/>
      <c r="T705"/>
      <c r="U705"/>
      <c r="V705"/>
      <c r="W705"/>
      <c r="X705"/>
      <c r="Y705"/>
      <c r="Z705"/>
      <c r="AA705"/>
      <c r="AB705"/>
      <c r="AC705"/>
      <c r="AD705"/>
      <c r="AE705"/>
    </row>
    <row r="706" spans="17:31">
      <c r="Q706"/>
      <c r="R706"/>
      <c r="S706"/>
      <c r="T706"/>
      <c r="U706"/>
      <c r="V706"/>
      <c r="W706"/>
      <c r="X706"/>
      <c r="Y706"/>
      <c r="Z706"/>
      <c r="AA706"/>
      <c r="AB706"/>
      <c r="AC706"/>
      <c r="AD706"/>
      <c r="AE706"/>
    </row>
    <row r="707" spans="17:31">
      <c r="Q707"/>
      <c r="R707"/>
      <c r="S707"/>
      <c r="T707"/>
      <c r="U707"/>
      <c r="V707"/>
      <c r="W707"/>
      <c r="X707"/>
      <c r="Y707"/>
      <c r="Z707"/>
      <c r="AA707"/>
      <c r="AB707"/>
      <c r="AC707"/>
      <c r="AD707"/>
      <c r="AE707"/>
    </row>
    <row r="708" spans="17:31">
      <c r="Q708"/>
      <c r="R708"/>
      <c r="S708"/>
      <c r="T708"/>
      <c r="U708"/>
      <c r="V708"/>
      <c r="W708"/>
      <c r="X708"/>
      <c r="Y708"/>
      <c r="Z708"/>
      <c r="AA708"/>
      <c r="AB708"/>
      <c r="AC708"/>
      <c r="AD708"/>
      <c r="AE708"/>
    </row>
    <row r="709" spans="17:31">
      <c r="Q709"/>
      <c r="R709"/>
      <c r="S709"/>
      <c r="T709"/>
      <c r="U709"/>
      <c r="V709"/>
      <c r="W709"/>
      <c r="X709"/>
      <c r="Y709"/>
      <c r="Z709"/>
      <c r="AA709"/>
      <c r="AB709"/>
      <c r="AC709"/>
      <c r="AD709"/>
      <c r="AE709"/>
    </row>
    <row r="710" spans="17:31">
      <c r="Q710"/>
      <c r="R710"/>
      <c r="S710"/>
      <c r="T710"/>
      <c r="U710"/>
      <c r="V710"/>
      <c r="W710"/>
      <c r="X710"/>
      <c r="Y710"/>
      <c r="Z710"/>
      <c r="AA710"/>
      <c r="AB710"/>
      <c r="AC710"/>
      <c r="AD710"/>
      <c r="AE710"/>
    </row>
    <row r="711" spans="17:31">
      <c r="Q711"/>
      <c r="R711"/>
      <c r="S711"/>
      <c r="T711"/>
      <c r="U711"/>
      <c r="V711"/>
      <c r="W711"/>
      <c r="X711"/>
      <c r="Y711"/>
      <c r="Z711"/>
      <c r="AA711"/>
      <c r="AB711"/>
      <c r="AC711"/>
      <c r="AD711"/>
      <c r="AE711"/>
    </row>
    <row r="712" spans="17:31">
      <c r="Q712"/>
      <c r="R712"/>
      <c r="S712"/>
      <c r="T712"/>
      <c r="U712"/>
      <c r="V712"/>
      <c r="W712"/>
      <c r="X712"/>
      <c r="Y712"/>
      <c r="Z712"/>
      <c r="AA712"/>
      <c r="AB712"/>
      <c r="AC712"/>
      <c r="AD712"/>
      <c r="AE712"/>
    </row>
    <row r="713" spans="17:31">
      <c r="Q713"/>
      <c r="R713"/>
      <c r="S713"/>
      <c r="T713"/>
      <c r="U713"/>
      <c r="V713"/>
      <c r="W713"/>
      <c r="X713"/>
      <c r="Y713"/>
      <c r="Z713"/>
      <c r="AA713"/>
      <c r="AB713"/>
      <c r="AC713"/>
      <c r="AD713"/>
      <c r="AE713"/>
    </row>
    <row r="714" spans="17:31">
      <c r="Q714"/>
      <c r="R714"/>
      <c r="S714"/>
      <c r="T714"/>
      <c r="U714"/>
      <c r="V714"/>
      <c r="W714"/>
      <c r="X714"/>
      <c r="Y714"/>
      <c r="Z714"/>
      <c r="AA714"/>
      <c r="AB714"/>
      <c r="AC714"/>
      <c r="AD714"/>
      <c r="AE714"/>
    </row>
    <row r="715" spans="17:31">
      <c r="Q715"/>
      <c r="R715"/>
      <c r="S715"/>
      <c r="T715"/>
      <c r="U715"/>
      <c r="V715"/>
      <c r="W715"/>
      <c r="X715"/>
      <c r="Y715"/>
      <c r="Z715"/>
      <c r="AA715"/>
      <c r="AB715"/>
      <c r="AC715"/>
      <c r="AD715"/>
      <c r="AE715"/>
    </row>
    <row r="716" spans="17:31">
      <c r="Q716"/>
      <c r="R716"/>
      <c r="S716"/>
      <c r="T716"/>
      <c r="U716"/>
      <c r="V716"/>
      <c r="W716"/>
      <c r="X716"/>
      <c r="Y716"/>
      <c r="Z716"/>
      <c r="AA716"/>
      <c r="AB716"/>
      <c r="AC716"/>
      <c r="AD716"/>
      <c r="AE716"/>
    </row>
    <row r="717" spans="17:31">
      <c r="Q717"/>
      <c r="R717"/>
      <c r="S717"/>
      <c r="T717"/>
      <c r="U717"/>
      <c r="V717"/>
      <c r="W717"/>
      <c r="X717"/>
      <c r="Y717"/>
      <c r="Z717"/>
      <c r="AA717"/>
      <c r="AB717"/>
      <c r="AC717"/>
      <c r="AD717"/>
      <c r="AE717"/>
    </row>
    <row r="718" spans="17:31">
      <c r="Q718"/>
      <c r="R718"/>
      <c r="S718"/>
      <c r="T718"/>
      <c r="U718"/>
      <c r="V718"/>
      <c r="W718"/>
      <c r="X718"/>
      <c r="Y718"/>
      <c r="Z718"/>
      <c r="AA718"/>
      <c r="AB718"/>
      <c r="AC718"/>
      <c r="AD718"/>
      <c r="AE718"/>
    </row>
    <row r="719" spans="17:31">
      <c r="Q719"/>
      <c r="R719"/>
      <c r="S719"/>
      <c r="T719"/>
      <c r="U719"/>
      <c r="V719"/>
      <c r="W719"/>
      <c r="X719"/>
      <c r="Y719"/>
      <c r="Z719"/>
      <c r="AA719"/>
      <c r="AB719"/>
      <c r="AC719"/>
      <c r="AD719"/>
      <c r="AE719"/>
    </row>
    <row r="720" spans="17:31">
      <c r="Q720"/>
      <c r="R720"/>
      <c r="S720"/>
      <c r="T720"/>
      <c r="U720"/>
      <c r="V720"/>
      <c r="W720"/>
      <c r="X720"/>
      <c r="Y720"/>
      <c r="Z720"/>
      <c r="AA720"/>
      <c r="AB720"/>
      <c r="AC720"/>
      <c r="AD720"/>
      <c r="AE720"/>
    </row>
    <row r="721" spans="17:31">
      <c r="Q721"/>
      <c r="R721"/>
      <c r="S721"/>
      <c r="T721"/>
      <c r="U721"/>
      <c r="V721"/>
      <c r="W721"/>
      <c r="X721"/>
      <c r="Y721"/>
      <c r="Z721"/>
      <c r="AA721"/>
      <c r="AB721"/>
      <c r="AC721"/>
      <c r="AD721"/>
      <c r="AE721"/>
    </row>
    <row r="722" spans="17:31">
      <c r="Q722"/>
      <c r="R722"/>
      <c r="S722"/>
      <c r="T722"/>
      <c r="U722"/>
      <c r="V722"/>
      <c r="W722"/>
      <c r="X722"/>
      <c r="Y722"/>
      <c r="Z722"/>
      <c r="AA722"/>
      <c r="AB722"/>
      <c r="AC722"/>
      <c r="AD722"/>
      <c r="AE722"/>
    </row>
    <row r="723" spans="17:31">
      <c r="Q723"/>
      <c r="R723"/>
      <c r="S723"/>
      <c r="T723"/>
      <c r="U723"/>
      <c r="V723"/>
      <c r="W723"/>
      <c r="X723"/>
      <c r="Y723"/>
      <c r="Z723"/>
      <c r="AA723"/>
      <c r="AB723"/>
      <c r="AC723"/>
      <c r="AD723"/>
      <c r="AE723"/>
    </row>
    <row r="724" spans="17:31">
      <c r="Q724"/>
      <c r="R724"/>
      <c r="S724"/>
      <c r="T724"/>
      <c r="U724"/>
      <c r="V724"/>
      <c r="W724"/>
      <c r="X724"/>
      <c r="Y724"/>
      <c r="Z724"/>
      <c r="AA724"/>
      <c r="AB724"/>
      <c r="AC724"/>
      <c r="AD724"/>
      <c r="AE724"/>
    </row>
    <row r="725" spans="17:31">
      <c r="Q725"/>
      <c r="R725"/>
      <c r="S725"/>
      <c r="T725"/>
      <c r="U725"/>
      <c r="V725"/>
      <c r="W725"/>
      <c r="X725"/>
      <c r="Y725"/>
      <c r="Z725"/>
      <c r="AA725"/>
      <c r="AB725"/>
      <c r="AC725"/>
      <c r="AD725"/>
      <c r="AE725"/>
    </row>
    <row r="726" spans="17:31">
      <c r="Q726"/>
      <c r="R726"/>
      <c r="S726"/>
      <c r="T726"/>
      <c r="U726"/>
      <c r="V726"/>
      <c r="W726"/>
      <c r="X726"/>
      <c r="Y726"/>
      <c r="Z726"/>
      <c r="AA726"/>
      <c r="AB726"/>
      <c r="AC726"/>
      <c r="AD726"/>
      <c r="AE726"/>
    </row>
    <row r="727" spans="17:31">
      <c r="Q727"/>
      <c r="R727"/>
      <c r="S727"/>
      <c r="T727"/>
      <c r="U727"/>
      <c r="V727"/>
      <c r="W727"/>
      <c r="X727"/>
      <c r="Y727"/>
      <c r="Z727"/>
      <c r="AA727"/>
      <c r="AB727"/>
      <c r="AC727"/>
      <c r="AD727"/>
      <c r="AE727"/>
    </row>
    <row r="728" spans="17:31">
      <c r="Q728"/>
      <c r="R728"/>
      <c r="S728"/>
      <c r="T728"/>
      <c r="U728"/>
      <c r="V728"/>
      <c r="W728"/>
      <c r="X728"/>
      <c r="Y728"/>
      <c r="Z728"/>
      <c r="AA728"/>
      <c r="AB728"/>
      <c r="AC728"/>
      <c r="AD728"/>
      <c r="AE728"/>
    </row>
    <row r="729" spans="17:31">
      <c r="Q729"/>
      <c r="R729"/>
      <c r="S729"/>
      <c r="T729"/>
      <c r="U729"/>
      <c r="V729"/>
      <c r="W729"/>
      <c r="X729"/>
      <c r="Y729"/>
      <c r="Z729"/>
      <c r="AA729"/>
      <c r="AB729"/>
      <c r="AC729"/>
      <c r="AD729"/>
      <c r="AE729"/>
    </row>
    <row r="730" spans="17:31">
      <c r="Q730"/>
      <c r="R730"/>
      <c r="S730"/>
      <c r="T730"/>
      <c r="U730"/>
      <c r="V730"/>
      <c r="W730"/>
      <c r="X730"/>
      <c r="Y730"/>
      <c r="Z730"/>
      <c r="AA730"/>
      <c r="AB730"/>
      <c r="AC730"/>
      <c r="AD730"/>
      <c r="AE730"/>
    </row>
    <row r="731" spans="17:31">
      <c r="Q731"/>
      <c r="R731"/>
      <c r="S731"/>
      <c r="T731"/>
      <c r="U731"/>
      <c r="V731"/>
      <c r="W731"/>
      <c r="X731"/>
      <c r="Y731"/>
      <c r="Z731"/>
      <c r="AA731"/>
      <c r="AB731"/>
      <c r="AC731"/>
      <c r="AD731"/>
      <c r="AE731"/>
    </row>
    <row r="732" spans="17:31">
      <c r="Q732"/>
      <c r="R732"/>
      <c r="S732"/>
      <c r="T732"/>
      <c r="U732"/>
      <c r="V732"/>
      <c r="W732"/>
      <c r="X732"/>
      <c r="Y732"/>
      <c r="Z732"/>
      <c r="AA732"/>
      <c r="AB732"/>
      <c r="AC732"/>
      <c r="AD732"/>
      <c r="AE732"/>
    </row>
    <row r="733" spans="17:31">
      <c r="Q733"/>
      <c r="R733"/>
      <c r="S733"/>
      <c r="T733"/>
      <c r="U733"/>
      <c r="V733"/>
      <c r="W733"/>
      <c r="X733"/>
      <c r="Y733"/>
      <c r="Z733"/>
      <c r="AA733"/>
      <c r="AB733"/>
      <c r="AC733"/>
      <c r="AD733"/>
      <c r="AE733"/>
    </row>
    <row r="734" spans="17:31">
      <c r="Q734"/>
      <c r="R734"/>
      <c r="S734"/>
      <c r="T734"/>
      <c r="U734"/>
      <c r="V734"/>
      <c r="W734"/>
      <c r="X734"/>
      <c r="Y734"/>
      <c r="Z734"/>
      <c r="AA734"/>
      <c r="AB734"/>
      <c r="AC734"/>
      <c r="AD734"/>
      <c r="AE734"/>
    </row>
    <row r="735" spans="17:31">
      <c r="Q735"/>
      <c r="R735"/>
      <c r="S735"/>
      <c r="T735"/>
      <c r="U735"/>
      <c r="V735"/>
      <c r="W735"/>
      <c r="X735"/>
      <c r="Y735"/>
      <c r="Z735"/>
      <c r="AA735"/>
      <c r="AB735"/>
      <c r="AC735"/>
      <c r="AD735"/>
      <c r="AE735"/>
    </row>
    <row r="736" spans="17:31">
      <c r="Q736"/>
      <c r="R736"/>
      <c r="S736"/>
      <c r="T736"/>
      <c r="U736"/>
      <c r="V736"/>
      <c r="W736"/>
      <c r="X736"/>
      <c r="Y736"/>
      <c r="Z736"/>
      <c r="AA736"/>
      <c r="AB736"/>
      <c r="AC736"/>
      <c r="AD736"/>
      <c r="AE736"/>
    </row>
    <row r="737" spans="17:31">
      <c r="Q737"/>
      <c r="R737"/>
      <c r="S737"/>
      <c r="T737"/>
      <c r="U737"/>
      <c r="V737"/>
      <c r="W737"/>
      <c r="X737"/>
      <c r="Y737"/>
      <c r="Z737"/>
      <c r="AA737"/>
      <c r="AB737"/>
      <c r="AC737"/>
      <c r="AD737"/>
      <c r="AE737"/>
    </row>
    <row r="738" spans="17:31">
      <c r="Q738"/>
      <c r="R738"/>
      <c r="S738"/>
      <c r="T738"/>
      <c r="U738"/>
      <c r="V738"/>
      <c r="W738"/>
      <c r="X738"/>
      <c r="Y738"/>
      <c r="Z738"/>
      <c r="AA738"/>
      <c r="AB738"/>
      <c r="AC738"/>
      <c r="AD738"/>
      <c r="AE738"/>
    </row>
    <row r="739" spans="17:31">
      <c r="Q739"/>
      <c r="R739"/>
      <c r="S739"/>
      <c r="T739"/>
      <c r="U739"/>
      <c r="V739"/>
      <c r="W739"/>
      <c r="X739"/>
      <c r="Y739"/>
      <c r="Z739"/>
      <c r="AA739"/>
      <c r="AB739"/>
      <c r="AC739"/>
      <c r="AD739"/>
      <c r="AE739"/>
    </row>
    <row r="740" spans="17:31">
      <c r="Q740"/>
      <c r="R740"/>
      <c r="S740"/>
      <c r="T740"/>
      <c r="U740"/>
      <c r="V740"/>
      <c r="W740"/>
      <c r="X740"/>
      <c r="Y740"/>
      <c r="Z740"/>
      <c r="AA740"/>
      <c r="AB740"/>
      <c r="AC740"/>
      <c r="AD740"/>
      <c r="AE740"/>
    </row>
    <row r="741" spans="17:31">
      <c r="Q741"/>
      <c r="R741"/>
      <c r="S741"/>
      <c r="T741"/>
      <c r="U741"/>
      <c r="V741"/>
      <c r="W741"/>
      <c r="X741"/>
      <c r="Y741"/>
      <c r="Z741"/>
      <c r="AA741"/>
      <c r="AB741"/>
      <c r="AC741"/>
      <c r="AD741"/>
      <c r="AE741"/>
    </row>
    <row r="742" spans="17:31">
      <c r="Q742"/>
      <c r="R742"/>
      <c r="S742"/>
      <c r="T742"/>
      <c r="U742"/>
      <c r="V742"/>
      <c r="W742"/>
      <c r="X742"/>
      <c r="Y742"/>
      <c r="Z742"/>
      <c r="AA742"/>
      <c r="AB742"/>
      <c r="AC742"/>
      <c r="AD742"/>
      <c r="AE742"/>
    </row>
    <row r="743" spans="17:31">
      <c r="Q743"/>
      <c r="R743"/>
      <c r="S743"/>
      <c r="T743"/>
      <c r="U743"/>
      <c r="V743"/>
      <c r="W743"/>
      <c r="X743"/>
      <c r="Y743"/>
      <c r="Z743"/>
      <c r="AA743"/>
      <c r="AB743"/>
      <c r="AC743"/>
      <c r="AD743"/>
      <c r="AE743"/>
    </row>
    <row r="744" spans="17:31">
      <c r="Q744"/>
      <c r="R744"/>
      <c r="S744"/>
      <c r="T744"/>
      <c r="U744"/>
      <c r="V744"/>
      <c r="W744"/>
      <c r="X744"/>
      <c r="Y744"/>
      <c r="Z744"/>
      <c r="AA744"/>
      <c r="AB744"/>
      <c r="AC744"/>
      <c r="AD744"/>
      <c r="AE744"/>
    </row>
    <row r="745" spans="17:31">
      <c r="Q745"/>
      <c r="R745"/>
      <c r="S745"/>
      <c r="T745"/>
      <c r="U745"/>
      <c r="V745"/>
      <c r="W745"/>
      <c r="X745"/>
      <c r="Y745"/>
      <c r="Z745"/>
      <c r="AA745"/>
      <c r="AB745"/>
      <c r="AC745"/>
      <c r="AD745"/>
      <c r="AE745"/>
    </row>
    <row r="746" spans="17:31">
      <c r="Q746"/>
      <c r="R746"/>
      <c r="S746"/>
      <c r="T746"/>
      <c r="U746"/>
      <c r="V746"/>
      <c r="W746"/>
      <c r="X746"/>
      <c r="Y746"/>
      <c r="Z746"/>
      <c r="AA746"/>
      <c r="AB746"/>
      <c r="AC746"/>
      <c r="AD746"/>
      <c r="AE746"/>
    </row>
    <row r="747" spans="17:31">
      <c r="Q747"/>
      <c r="R747"/>
      <c r="S747"/>
      <c r="T747"/>
      <c r="U747"/>
      <c r="V747"/>
      <c r="W747"/>
      <c r="X747"/>
      <c r="Y747"/>
      <c r="Z747"/>
      <c r="AA747"/>
      <c r="AB747"/>
      <c r="AC747"/>
      <c r="AD747"/>
      <c r="AE747"/>
    </row>
    <row r="748" spans="17:31">
      <c r="Q748"/>
      <c r="R748"/>
      <c r="S748"/>
      <c r="T748"/>
      <c r="U748"/>
      <c r="V748"/>
      <c r="W748"/>
      <c r="X748"/>
      <c r="Y748"/>
      <c r="Z748"/>
      <c r="AA748"/>
      <c r="AB748"/>
      <c r="AC748"/>
      <c r="AD748"/>
      <c r="AE748"/>
    </row>
    <row r="749" spans="17:31">
      <c r="Q749"/>
      <c r="R749"/>
      <c r="S749"/>
      <c r="T749"/>
      <c r="U749"/>
      <c r="V749"/>
      <c r="W749"/>
      <c r="X749"/>
      <c r="Y749"/>
      <c r="Z749"/>
      <c r="AA749"/>
      <c r="AB749"/>
      <c r="AC749"/>
      <c r="AD749"/>
      <c r="AE749"/>
    </row>
    <row r="750" spans="17:31">
      <c r="Q750"/>
      <c r="R750"/>
      <c r="S750"/>
      <c r="T750"/>
      <c r="U750"/>
      <c r="V750"/>
      <c r="W750"/>
      <c r="X750"/>
      <c r="Y750"/>
      <c r="Z750"/>
      <c r="AA750"/>
      <c r="AB750"/>
      <c r="AC750"/>
      <c r="AD750"/>
      <c r="AE750"/>
    </row>
    <row r="751" spans="17:31">
      <c r="Q751"/>
      <c r="R751"/>
      <c r="S751"/>
      <c r="T751"/>
      <c r="U751"/>
      <c r="V751"/>
      <c r="W751"/>
      <c r="X751"/>
      <c r="Y751"/>
      <c r="Z751"/>
      <c r="AA751"/>
      <c r="AB751"/>
      <c r="AC751"/>
      <c r="AD751"/>
      <c r="AE751"/>
    </row>
    <row r="752" spans="17:31">
      <c r="Q752"/>
      <c r="R752"/>
      <c r="S752"/>
      <c r="T752"/>
      <c r="U752"/>
      <c r="V752"/>
      <c r="W752"/>
      <c r="X752"/>
      <c r="Y752"/>
      <c r="Z752"/>
      <c r="AA752"/>
      <c r="AB752"/>
      <c r="AC752"/>
      <c r="AD752"/>
      <c r="AE752"/>
    </row>
    <row r="753" spans="17:31">
      <c r="Q753"/>
      <c r="R753"/>
      <c r="S753"/>
      <c r="T753"/>
      <c r="U753"/>
      <c r="V753"/>
      <c r="W753"/>
      <c r="X753"/>
      <c r="Y753"/>
      <c r="Z753"/>
      <c r="AA753"/>
      <c r="AB753"/>
      <c r="AC753"/>
      <c r="AD753"/>
      <c r="AE753"/>
    </row>
    <row r="754" spans="17:31">
      <c r="Q754"/>
      <c r="R754"/>
      <c r="S754"/>
      <c r="T754"/>
      <c r="U754"/>
      <c r="V754"/>
      <c r="W754"/>
      <c r="X754"/>
      <c r="Y754"/>
      <c r="Z754"/>
      <c r="AA754"/>
      <c r="AB754"/>
      <c r="AC754"/>
      <c r="AD754"/>
      <c r="AE754"/>
    </row>
    <row r="755" spans="17:31">
      <c r="Q755"/>
      <c r="R755"/>
      <c r="S755"/>
      <c r="T755"/>
      <c r="U755"/>
      <c r="V755"/>
      <c r="W755"/>
      <c r="X755"/>
      <c r="Y755"/>
      <c r="Z755"/>
      <c r="AA755"/>
      <c r="AB755"/>
      <c r="AC755"/>
      <c r="AD755"/>
      <c r="AE755"/>
    </row>
    <row r="756" spans="17:31">
      <c r="Q756"/>
      <c r="R756"/>
      <c r="S756"/>
      <c r="T756"/>
      <c r="U756"/>
      <c r="V756"/>
      <c r="W756"/>
      <c r="X756"/>
      <c r="Y756"/>
      <c r="Z756"/>
      <c r="AA756"/>
      <c r="AB756"/>
      <c r="AC756"/>
      <c r="AD756"/>
      <c r="AE756"/>
    </row>
    <row r="757" spans="17:31">
      <c r="Q757"/>
      <c r="R757"/>
      <c r="S757"/>
      <c r="T757"/>
      <c r="U757"/>
      <c r="V757"/>
      <c r="W757"/>
      <c r="X757"/>
      <c r="Y757"/>
      <c r="Z757"/>
      <c r="AA757"/>
      <c r="AB757"/>
      <c r="AC757"/>
      <c r="AD757"/>
      <c r="AE757"/>
    </row>
    <row r="758" spans="17:31">
      <c r="Q758"/>
      <c r="R758"/>
      <c r="S758"/>
      <c r="T758"/>
      <c r="U758"/>
      <c r="V758"/>
      <c r="W758"/>
      <c r="X758"/>
      <c r="Y758"/>
      <c r="Z758"/>
      <c r="AA758"/>
      <c r="AB758"/>
      <c r="AC758"/>
      <c r="AD758"/>
      <c r="AE758"/>
    </row>
    <row r="759" spans="17:31">
      <c r="Q759"/>
      <c r="R759"/>
      <c r="S759"/>
      <c r="T759"/>
      <c r="U759"/>
      <c r="V759"/>
      <c r="W759"/>
      <c r="X759"/>
      <c r="Y759"/>
      <c r="Z759"/>
      <c r="AA759"/>
      <c r="AB759"/>
      <c r="AC759"/>
      <c r="AD759"/>
      <c r="AE759"/>
    </row>
    <row r="760" spans="17:31">
      <c r="Q760"/>
      <c r="R760"/>
      <c r="S760"/>
      <c r="T760"/>
      <c r="U760"/>
      <c r="V760"/>
      <c r="W760"/>
      <c r="X760"/>
      <c r="Y760"/>
      <c r="Z760"/>
      <c r="AA760"/>
      <c r="AB760"/>
      <c r="AC760"/>
      <c r="AD760"/>
      <c r="AE760"/>
    </row>
    <row r="761" spans="17:31">
      <c r="Q761"/>
      <c r="R761"/>
      <c r="S761"/>
      <c r="T761"/>
      <c r="U761"/>
      <c r="V761"/>
      <c r="W761"/>
      <c r="X761"/>
      <c r="Y761"/>
      <c r="Z761"/>
      <c r="AA761"/>
      <c r="AB761"/>
      <c r="AC761"/>
      <c r="AD761"/>
      <c r="AE761"/>
    </row>
    <row r="762" spans="17:31">
      <c r="Q762"/>
      <c r="R762"/>
      <c r="S762"/>
      <c r="T762"/>
      <c r="U762"/>
      <c r="V762"/>
      <c r="W762"/>
      <c r="X762"/>
      <c r="Y762"/>
      <c r="Z762"/>
      <c r="AA762"/>
      <c r="AB762"/>
      <c r="AC762"/>
      <c r="AD762"/>
      <c r="AE762"/>
    </row>
    <row r="763" spans="17:31">
      <c r="Q763"/>
      <c r="R763"/>
      <c r="S763"/>
      <c r="T763"/>
      <c r="U763"/>
      <c r="V763"/>
      <c r="W763"/>
      <c r="X763"/>
      <c r="Y763"/>
      <c r="Z763"/>
      <c r="AA763"/>
      <c r="AB763"/>
      <c r="AC763"/>
      <c r="AD763"/>
      <c r="AE763"/>
    </row>
    <row r="764" spans="17:31">
      <c r="Q764"/>
      <c r="R764"/>
      <c r="S764"/>
      <c r="T764"/>
      <c r="U764"/>
      <c r="V764"/>
      <c r="W764"/>
      <c r="X764"/>
      <c r="Y764"/>
      <c r="Z764"/>
      <c r="AA764"/>
      <c r="AB764"/>
      <c r="AC764"/>
      <c r="AD764"/>
      <c r="AE764"/>
    </row>
    <row r="765" spans="17:31">
      <c r="Q765"/>
      <c r="R765"/>
      <c r="S765"/>
      <c r="T765"/>
      <c r="U765"/>
      <c r="V765"/>
      <c r="W765"/>
      <c r="X765"/>
      <c r="Y765"/>
      <c r="Z765"/>
      <c r="AA765"/>
      <c r="AB765"/>
      <c r="AC765"/>
      <c r="AD765"/>
      <c r="AE765"/>
    </row>
    <row r="766" spans="17:31">
      <c r="Q766"/>
      <c r="R766"/>
      <c r="S766"/>
      <c r="T766"/>
      <c r="U766"/>
      <c r="V766"/>
      <c r="W766"/>
      <c r="X766"/>
      <c r="Y766"/>
      <c r="Z766"/>
      <c r="AA766"/>
      <c r="AB766"/>
      <c r="AC766"/>
      <c r="AD766"/>
      <c r="AE766"/>
    </row>
    <row r="767" spans="17:31">
      <c r="Q767"/>
      <c r="R767"/>
      <c r="S767"/>
      <c r="T767"/>
      <c r="U767"/>
      <c r="V767"/>
      <c r="W767"/>
      <c r="X767"/>
      <c r="Y767"/>
      <c r="Z767"/>
      <c r="AA767"/>
      <c r="AB767"/>
      <c r="AC767"/>
      <c r="AD767"/>
      <c r="AE767"/>
    </row>
    <row r="768" spans="17:31">
      <c r="Q768"/>
      <c r="R768"/>
      <c r="S768"/>
      <c r="T768"/>
      <c r="U768"/>
      <c r="V768"/>
      <c r="W768"/>
      <c r="X768"/>
      <c r="Y768"/>
      <c r="Z768"/>
      <c r="AA768"/>
      <c r="AB768"/>
      <c r="AC768"/>
      <c r="AD768"/>
      <c r="AE768"/>
    </row>
    <row r="769" spans="17:31">
      <c r="Q769"/>
      <c r="R769"/>
      <c r="S769"/>
      <c r="T769"/>
      <c r="U769"/>
      <c r="V769"/>
      <c r="W769"/>
      <c r="X769"/>
      <c r="Y769"/>
      <c r="Z769"/>
      <c r="AA769"/>
      <c r="AB769"/>
      <c r="AC769"/>
      <c r="AD769"/>
      <c r="AE769"/>
    </row>
    <row r="770" spans="17:31">
      <c r="Q770"/>
      <c r="R770"/>
      <c r="S770"/>
      <c r="T770"/>
      <c r="U770"/>
      <c r="V770"/>
      <c r="W770"/>
      <c r="X770"/>
      <c r="Y770"/>
      <c r="Z770"/>
      <c r="AA770"/>
      <c r="AB770"/>
      <c r="AC770"/>
      <c r="AD770"/>
      <c r="AE770"/>
    </row>
    <row r="771" spans="17:31">
      <c r="Q771"/>
      <c r="R771"/>
      <c r="S771"/>
      <c r="T771"/>
      <c r="U771"/>
      <c r="V771"/>
      <c r="W771"/>
      <c r="X771"/>
      <c r="Y771"/>
      <c r="Z771"/>
      <c r="AA771"/>
      <c r="AB771"/>
      <c r="AC771"/>
      <c r="AD771"/>
      <c r="AE771"/>
    </row>
    <row r="772" spans="17:31">
      <c r="Q772"/>
      <c r="R772"/>
      <c r="S772"/>
      <c r="T772"/>
      <c r="U772"/>
      <c r="V772"/>
      <c r="W772"/>
      <c r="X772"/>
      <c r="Y772"/>
      <c r="Z772"/>
      <c r="AA772"/>
      <c r="AB772"/>
      <c r="AC772"/>
      <c r="AD772"/>
      <c r="AE772"/>
    </row>
    <row r="773" spans="17:31">
      <c r="Q773"/>
      <c r="R773"/>
      <c r="S773"/>
      <c r="T773"/>
      <c r="U773"/>
      <c r="V773"/>
      <c r="W773"/>
      <c r="X773"/>
      <c r="Y773"/>
      <c r="Z773"/>
      <c r="AA773"/>
      <c r="AB773"/>
      <c r="AC773"/>
      <c r="AD773"/>
      <c r="AE773"/>
    </row>
    <row r="774" spans="17:31">
      <c r="Q774"/>
      <c r="R774"/>
      <c r="S774"/>
      <c r="T774"/>
      <c r="U774"/>
      <c r="V774"/>
      <c r="W774"/>
      <c r="X774"/>
      <c r="Y774"/>
      <c r="Z774"/>
      <c r="AA774"/>
      <c r="AB774"/>
      <c r="AC774"/>
      <c r="AD774"/>
      <c r="AE774"/>
    </row>
    <row r="775" spans="17:31">
      <c r="Q775"/>
      <c r="R775"/>
      <c r="S775"/>
      <c r="T775"/>
      <c r="U775"/>
      <c r="V775"/>
      <c r="W775"/>
      <c r="X775"/>
      <c r="Y775"/>
      <c r="Z775"/>
      <c r="AA775"/>
      <c r="AB775"/>
      <c r="AC775"/>
      <c r="AD775"/>
      <c r="AE775"/>
    </row>
    <row r="776" spans="17:31">
      <c r="Q776"/>
      <c r="R776"/>
      <c r="S776"/>
      <c r="T776"/>
      <c r="U776"/>
      <c r="V776"/>
      <c r="W776"/>
      <c r="X776"/>
      <c r="Y776"/>
      <c r="Z776"/>
      <c r="AA776"/>
      <c r="AB776"/>
      <c r="AC776"/>
      <c r="AD776"/>
      <c r="AE776"/>
    </row>
    <row r="777" spans="17:31">
      <c r="Q777"/>
      <c r="R777"/>
      <c r="S777"/>
      <c r="T777"/>
      <c r="U777"/>
      <c r="V777"/>
      <c r="W777"/>
      <c r="X777"/>
      <c r="Y777"/>
      <c r="Z777"/>
      <c r="AA777"/>
      <c r="AB777"/>
      <c r="AC777"/>
      <c r="AD777"/>
      <c r="AE777"/>
    </row>
    <row r="778" spans="17:31">
      <c r="Q778"/>
      <c r="R778"/>
      <c r="S778"/>
      <c r="T778"/>
      <c r="U778"/>
      <c r="V778"/>
      <c r="W778"/>
      <c r="X778"/>
      <c r="Y778"/>
      <c r="Z778"/>
      <c r="AA778"/>
      <c r="AB778"/>
      <c r="AC778"/>
      <c r="AD778"/>
      <c r="AE778"/>
    </row>
    <row r="779" spans="17:31">
      <c r="Q779"/>
      <c r="R779"/>
      <c r="S779"/>
      <c r="T779"/>
      <c r="U779"/>
      <c r="V779"/>
      <c r="W779"/>
      <c r="X779"/>
      <c r="Y779"/>
      <c r="Z779"/>
      <c r="AA779"/>
      <c r="AB779"/>
      <c r="AC779"/>
      <c r="AD779"/>
      <c r="AE779"/>
    </row>
    <row r="780" spans="17:31">
      <c r="Q780"/>
      <c r="R780"/>
      <c r="S780"/>
      <c r="T780"/>
      <c r="U780"/>
      <c r="V780"/>
      <c r="W780"/>
      <c r="X780"/>
      <c r="Y780"/>
      <c r="Z780"/>
      <c r="AA780"/>
      <c r="AB780"/>
      <c r="AC780"/>
      <c r="AD780"/>
      <c r="AE780"/>
    </row>
    <row r="781" spans="17:31">
      <c r="Q781"/>
      <c r="R781"/>
      <c r="S781"/>
      <c r="T781"/>
      <c r="U781"/>
      <c r="V781"/>
      <c r="W781"/>
      <c r="X781"/>
      <c r="Y781"/>
      <c r="Z781"/>
      <c r="AA781"/>
      <c r="AB781"/>
      <c r="AC781"/>
      <c r="AD781"/>
      <c r="AE781"/>
    </row>
    <row r="782" spans="17:31">
      <c r="Q782"/>
      <c r="R782"/>
      <c r="S782"/>
      <c r="T782"/>
      <c r="U782"/>
      <c r="V782"/>
      <c r="W782"/>
      <c r="X782"/>
      <c r="Y782"/>
      <c r="Z782"/>
      <c r="AA782"/>
      <c r="AB782"/>
      <c r="AC782"/>
      <c r="AD782"/>
      <c r="AE782"/>
    </row>
    <row r="783" spans="17:31">
      <c r="Q783"/>
      <c r="R783"/>
      <c r="S783"/>
      <c r="T783"/>
      <c r="U783"/>
      <c r="V783"/>
      <c r="W783"/>
      <c r="X783"/>
      <c r="Y783"/>
      <c r="Z783"/>
      <c r="AA783"/>
      <c r="AB783"/>
      <c r="AC783"/>
      <c r="AD783"/>
      <c r="AE783"/>
    </row>
    <row r="784" spans="17:31">
      <c r="Q784"/>
      <c r="R784"/>
      <c r="S784"/>
      <c r="T784"/>
      <c r="U784"/>
      <c r="V784"/>
      <c r="W784"/>
      <c r="X784"/>
      <c r="Y784"/>
      <c r="Z784"/>
      <c r="AA784"/>
      <c r="AB784"/>
      <c r="AC784"/>
      <c r="AD784"/>
      <c r="AE784"/>
    </row>
    <row r="785" spans="17:31">
      <c r="Q785"/>
      <c r="R785"/>
      <c r="S785"/>
      <c r="T785"/>
      <c r="U785"/>
      <c r="V785"/>
      <c r="W785"/>
      <c r="X785"/>
      <c r="Y785"/>
      <c r="Z785"/>
      <c r="AA785"/>
      <c r="AB785"/>
      <c r="AC785"/>
      <c r="AD785"/>
      <c r="AE785"/>
    </row>
    <row r="786" spans="17:31">
      <c r="Q786"/>
      <c r="R786"/>
      <c r="S786"/>
      <c r="T786"/>
      <c r="U786"/>
      <c r="V786"/>
      <c r="W786"/>
      <c r="X786"/>
      <c r="Y786"/>
      <c r="Z786"/>
      <c r="AA786"/>
      <c r="AB786"/>
      <c r="AC786"/>
      <c r="AD786"/>
      <c r="AE786"/>
    </row>
    <row r="787" spans="17:31">
      <c r="Q787"/>
      <c r="R787"/>
      <c r="S787"/>
      <c r="T787"/>
      <c r="U787"/>
      <c r="V787"/>
      <c r="W787"/>
      <c r="X787"/>
      <c r="Y787"/>
      <c r="Z787"/>
      <c r="AA787"/>
      <c r="AB787"/>
      <c r="AC787"/>
      <c r="AD787"/>
      <c r="AE787"/>
    </row>
    <row r="788" spans="17:31">
      <c r="Q788"/>
      <c r="R788"/>
      <c r="S788"/>
      <c r="T788"/>
      <c r="U788"/>
      <c r="V788"/>
      <c r="W788"/>
      <c r="X788"/>
      <c r="Y788"/>
      <c r="Z788"/>
      <c r="AA788"/>
      <c r="AB788"/>
      <c r="AC788"/>
      <c r="AD788"/>
      <c r="AE788"/>
    </row>
    <row r="789" spans="17:31">
      <c r="Q789"/>
      <c r="R789"/>
      <c r="S789"/>
      <c r="T789"/>
      <c r="U789"/>
      <c r="V789"/>
      <c r="W789"/>
      <c r="X789"/>
      <c r="Y789"/>
      <c r="Z789"/>
      <c r="AA789"/>
      <c r="AB789"/>
      <c r="AC789"/>
      <c r="AD789"/>
      <c r="AE789"/>
    </row>
    <row r="790" spans="17:31">
      <c r="Q790"/>
      <c r="R790"/>
      <c r="S790"/>
      <c r="T790"/>
      <c r="U790"/>
      <c r="V790"/>
      <c r="W790"/>
      <c r="X790"/>
      <c r="Y790"/>
      <c r="Z790"/>
      <c r="AA790"/>
      <c r="AB790"/>
      <c r="AC790"/>
      <c r="AD790"/>
      <c r="AE790"/>
    </row>
    <row r="791" spans="17:31">
      <c r="Q791"/>
      <c r="R791"/>
      <c r="S791"/>
      <c r="T791"/>
      <c r="U791"/>
      <c r="V791"/>
      <c r="W791"/>
      <c r="X791"/>
      <c r="Y791"/>
      <c r="Z791"/>
      <c r="AA791"/>
      <c r="AB791"/>
      <c r="AC791"/>
      <c r="AD791"/>
      <c r="AE791"/>
    </row>
    <row r="792" spans="17:31">
      <c r="Q792"/>
      <c r="R792"/>
      <c r="S792"/>
      <c r="T792"/>
      <c r="U792"/>
      <c r="V792"/>
      <c r="W792"/>
      <c r="X792"/>
      <c r="Y792"/>
      <c r="Z792"/>
      <c r="AA792"/>
      <c r="AB792"/>
      <c r="AC792"/>
      <c r="AD792"/>
      <c r="AE792"/>
    </row>
    <row r="793" spans="17:31">
      <c r="Q793"/>
      <c r="R793"/>
      <c r="S793"/>
      <c r="T793"/>
      <c r="U793"/>
      <c r="V793"/>
      <c r="W793"/>
      <c r="X793"/>
      <c r="Y793"/>
      <c r="Z793"/>
      <c r="AA793"/>
      <c r="AB793"/>
      <c r="AC793"/>
      <c r="AD793"/>
      <c r="AE793"/>
    </row>
    <row r="794" spans="17:31">
      <c r="Q794"/>
      <c r="R794"/>
      <c r="S794"/>
      <c r="T794"/>
      <c r="U794"/>
      <c r="V794"/>
      <c r="W794"/>
      <c r="X794"/>
      <c r="Y794"/>
      <c r="Z794"/>
      <c r="AA794"/>
      <c r="AB794"/>
      <c r="AC794"/>
      <c r="AD794"/>
      <c r="AE794"/>
    </row>
    <row r="795" spans="17:31">
      <c r="Q795"/>
      <c r="R795"/>
      <c r="S795"/>
      <c r="T795"/>
      <c r="U795"/>
      <c r="V795"/>
      <c r="W795"/>
      <c r="X795"/>
      <c r="Y795"/>
      <c r="Z795"/>
      <c r="AA795"/>
      <c r="AB795"/>
      <c r="AC795"/>
      <c r="AD795"/>
      <c r="AE795"/>
    </row>
    <row r="796" spans="17:31">
      <c r="Q796"/>
      <c r="R796"/>
      <c r="S796"/>
      <c r="T796"/>
      <c r="U796"/>
      <c r="V796"/>
      <c r="W796"/>
      <c r="X796"/>
      <c r="Y796"/>
      <c r="Z796"/>
      <c r="AA796"/>
      <c r="AB796"/>
      <c r="AC796"/>
      <c r="AD796"/>
      <c r="AE796"/>
    </row>
    <row r="797" spans="17:31">
      <c r="Q797"/>
      <c r="R797"/>
      <c r="S797"/>
      <c r="T797"/>
      <c r="U797"/>
      <c r="V797"/>
      <c r="W797"/>
      <c r="X797"/>
      <c r="Y797"/>
      <c r="Z797"/>
      <c r="AA797"/>
      <c r="AB797"/>
      <c r="AC797"/>
      <c r="AD797"/>
      <c r="AE797"/>
    </row>
    <row r="798" spans="17:31">
      <c r="Q798"/>
      <c r="R798"/>
      <c r="S798"/>
      <c r="T798"/>
      <c r="U798"/>
      <c r="V798"/>
      <c r="W798"/>
      <c r="X798"/>
      <c r="Y798"/>
      <c r="Z798"/>
      <c r="AA798"/>
      <c r="AB798"/>
      <c r="AC798"/>
      <c r="AD798"/>
      <c r="AE798"/>
    </row>
    <row r="799" spans="17:31">
      <c r="Q799"/>
      <c r="R799"/>
      <c r="S799"/>
      <c r="T799"/>
      <c r="U799"/>
      <c r="V799"/>
      <c r="W799"/>
      <c r="X799"/>
      <c r="Y799"/>
      <c r="Z799"/>
      <c r="AA799"/>
      <c r="AB799"/>
      <c r="AC799"/>
      <c r="AD799"/>
      <c r="AE799"/>
    </row>
    <row r="800" spans="17:31">
      <c r="Q800"/>
      <c r="R800"/>
      <c r="S800"/>
      <c r="T800"/>
      <c r="U800"/>
      <c r="V800"/>
      <c r="W800"/>
      <c r="X800"/>
      <c r="Y800"/>
      <c r="Z800"/>
      <c r="AA800"/>
      <c r="AB800"/>
      <c r="AC800"/>
      <c r="AD800"/>
      <c r="AE800"/>
    </row>
    <row r="801" spans="17:31">
      <c r="Q801"/>
      <c r="R801"/>
      <c r="S801"/>
      <c r="T801"/>
      <c r="U801"/>
      <c r="V801"/>
      <c r="W801"/>
      <c r="X801"/>
      <c r="Y801"/>
      <c r="Z801"/>
      <c r="AA801"/>
      <c r="AB801"/>
      <c r="AC801"/>
      <c r="AD801"/>
      <c r="AE801"/>
    </row>
    <row r="802" spans="17:31">
      <c r="Q802"/>
      <c r="R802"/>
      <c r="S802"/>
      <c r="T802"/>
      <c r="U802"/>
      <c r="V802"/>
      <c r="W802"/>
      <c r="X802"/>
      <c r="Y802"/>
      <c r="Z802"/>
      <c r="AA802"/>
      <c r="AB802"/>
      <c r="AC802"/>
      <c r="AD802"/>
      <c r="AE802"/>
    </row>
    <row r="803" spans="17:31">
      <c r="Q803"/>
      <c r="R803"/>
      <c r="S803"/>
      <c r="T803"/>
      <c r="U803"/>
      <c r="V803"/>
      <c r="W803"/>
      <c r="X803"/>
      <c r="Y803"/>
      <c r="Z803"/>
      <c r="AA803"/>
      <c r="AB803"/>
      <c r="AC803"/>
      <c r="AD803"/>
      <c r="AE803"/>
    </row>
    <row r="804" spans="17:31">
      <c r="Q804" s="23"/>
      <c r="R804" s="1"/>
      <c r="S804" s="1"/>
      <c r="T804" s="1"/>
      <c r="U804" s="1"/>
      <c r="V804" s="1"/>
      <c r="W804" s="1"/>
      <c r="X804" s="1"/>
      <c r="Y804" s="1"/>
      <c r="Z804" s="1"/>
    </row>
    <row r="805" spans="17:31">
      <c r="Q805" s="23"/>
      <c r="R805" s="1"/>
      <c r="S805" s="1"/>
      <c r="T805" s="1"/>
      <c r="U805" s="1"/>
      <c r="V805" s="1"/>
      <c r="W805" s="1"/>
      <c r="X805" s="1"/>
      <c r="Y805" s="1"/>
      <c r="Z805" s="1"/>
    </row>
    <row r="806" spans="17:31">
      <c r="Q806" s="23"/>
      <c r="R806" s="1"/>
      <c r="S806" s="1"/>
      <c r="T806" s="1"/>
      <c r="U806" s="1"/>
      <c r="V806" s="1"/>
      <c r="W806" s="1"/>
      <c r="X806" s="1"/>
      <c r="Y806" s="1"/>
      <c r="Z806" s="1"/>
    </row>
    <row r="807" spans="17:31">
      <c r="Q807" s="23"/>
      <c r="R807" s="1"/>
      <c r="S807" s="1"/>
      <c r="T807" s="1"/>
      <c r="U807" s="1"/>
      <c r="V807" s="1"/>
      <c r="W807" s="1"/>
      <c r="X807" s="1"/>
      <c r="Y807" s="1"/>
      <c r="Z807" s="1"/>
    </row>
    <row r="808" spans="17:31">
      <c r="Q808" s="23"/>
      <c r="R808" s="1"/>
      <c r="S808" s="1"/>
      <c r="T808" s="1"/>
      <c r="U808" s="1"/>
      <c r="V808" s="1"/>
      <c r="W808" s="1"/>
      <c r="X808" s="1"/>
      <c r="Y808" s="1"/>
      <c r="Z808" s="1"/>
    </row>
    <row r="809" spans="17:31">
      <c r="Q809" s="23"/>
      <c r="R809" s="1"/>
      <c r="S809" s="1"/>
      <c r="T809" s="1"/>
      <c r="U809" s="1"/>
      <c r="V809" s="1"/>
      <c r="W809" s="1"/>
      <c r="X809" s="1"/>
      <c r="Y809" s="1"/>
      <c r="Z809" s="1"/>
    </row>
    <row r="810" spans="17:31">
      <c r="Q810" s="23"/>
      <c r="R810" s="1"/>
      <c r="S810" s="1"/>
      <c r="T810" s="1"/>
      <c r="U810" s="1"/>
      <c r="V810" s="1"/>
      <c r="W810" s="1"/>
      <c r="X810" s="1"/>
      <c r="Y810" s="1"/>
      <c r="Z810" s="1"/>
    </row>
    <row r="811" spans="17:31">
      <c r="Q811" s="23"/>
      <c r="R811" s="1"/>
      <c r="S811" s="1"/>
      <c r="T811" s="1"/>
      <c r="U811" s="1"/>
      <c r="V811" s="1"/>
      <c r="W811" s="1"/>
      <c r="X811" s="1"/>
      <c r="Y811" s="1"/>
      <c r="Z811" s="1"/>
    </row>
    <row r="812" spans="17:31">
      <c r="Q812" s="23"/>
      <c r="R812" s="1"/>
      <c r="S812" s="1"/>
      <c r="T812" s="1"/>
      <c r="U812" s="1"/>
      <c r="V812" s="1"/>
      <c r="W812" s="1"/>
      <c r="X812" s="1"/>
      <c r="Y812" s="1"/>
      <c r="Z812" s="1"/>
    </row>
    <row r="813" spans="17:31">
      <c r="Q813" s="23"/>
      <c r="R813" s="1"/>
      <c r="S813" s="1"/>
      <c r="T813" s="1"/>
      <c r="U813" s="1"/>
      <c r="V813" s="1"/>
      <c r="W813" s="1"/>
      <c r="X813" s="1"/>
      <c r="Y813" s="1"/>
      <c r="Z813" s="1"/>
    </row>
    <row r="814" spans="17:31">
      <c r="Q814" s="23"/>
      <c r="R814" s="1"/>
      <c r="S814" s="1"/>
      <c r="T814" s="1"/>
      <c r="U814" s="1"/>
      <c r="V814" s="1"/>
      <c r="W814" s="1"/>
      <c r="X814" s="1"/>
      <c r="Y814" s="1"/>
      <c r="Z814" s="1"/>
    </row>
    <row r="815" spans="17:31">
      <c r="Q815" s="23"/>
      <c r="R815" s="1"/>
      <c r="S815" s="1"/>
      <c r="T815" s="1"/>
      <c r="U815" s="1"/>
      <c r="V815" s="1"/>
      <c r="W815" s="1"/>
      <c r="X815" s="1"/>
      <c r="Y815" s="1"/>
      <c r="Z815" s="1"/>
    </row>
    <row r="816" spans="17:31">
      <c r="Q816" s="23"/>
      <c r="R816" s="1"/>
      <c r="S816" s="1"/>
      <c r="T816" s="1"/>
      <c r="U816" s="1"/>
      <c r="V816" s="1"/>
      <c r="W816" s="1"/>
      <c r="X816" s="1"/>
      <c r="Y816" s="1"/>
      <c r="Z816" s="1"/>
    </row>
    <row r="817" spans="17:26">
      <c r="Q817" s="23"/>
      <c r="R817" s="1"/>
      <c r="S817" s="1"/>
      <c r="T817" s="1"/>
      <c r="U817" s="1"/>
      <c r="V817" s="1"/>
      <c r="W817" s="1"/>
      <c r="X817" s="1"/>
      <c r="Y817" s="1"/>
      <c r="Z817" s="1"/>
    </row>
    <row r="818" spans="17:26">
      <c r="Q818" s="23"/>
      <c r="R818" s="1"/>
      <c r="S818" s="1"/>
      <c r="T818" s="1"/>
      <c r="U818" s="1"/>
      <c r="V818" s="1"/>
      <c r="W818" s="1"/>
      <c r="X818" s="1"/>
      <c r="Y818" s="1"/>
      <c r="Z818" s="1"/>
    </row>
    <row r="819" spans="17:26">
      <c r="Q819" s="23"/>
      <c r="R819" s="1"/>
      <c r="S819" s="1"/>
      <c r="T819" s="1"/>
      <c r="U819" s="1"/>
      <c r="V819" s="1"/>
      <c r="W819" s="1"/>
      <c r="X819" s="1"/>
      <c r="Y819" s="1"/>
      <c r="Z819" s="1"/>
    </row>
    <row r="820" spans="17:26">
      <c r="Q820" s="23"/>
      <c r="R820" s="1"/>
      <c r="S820" s="1"/>
      <c r="T820" s="1"/>
      <c r="U820" s="1"/>
      <c r="V820" s="1"/>
      <c r="W820" s="1"/>
      <c r="X820" s="1"/>
      <c r="Y820" s="1"/>
      <c r="Z820" s="1"/>
    </row>
    <row r="821" spans="17:26">
      <c r="Q821" s="23"/>
      <c r="R821" s="1"/>
      <c r="S821" s="1"/>
      <c r="T821" s="1"/>
      <c r="U821" s="1"/>
      <c r="V821" s="1"/>
      <c r="W821" s="1"/>
      <c r="X821" s="1"/>
      <c r="Y821" s="1"/>
      <c r="Z821" s="1"/>
    </row>
    <row r="822" spans="17:26">
      <c r="Q822" s="23"/>
      <c r="R822" s="1"/>
      <c r="S822" s="1"/>
      <c r="T822" s="1"/>
      <c r="U822" s="1"/>
      <c r="V822" s="1"/>
      <c r="W822" s="1"/>
      <c r="X822" s="1"/>
      <c r="Y822" s="1"/>
      <c r="Z822" s="1"/>
    </row>
    <row r="823" spans="17:26">
      <c r="Q823" s="23"/>
      <c r="R823" s="1"/>
      <c r="S823" s="1"/>
      <c r="T823" s="1"/>
      <c r="U823" s="1"/>
      <c r="V823" s="1"/>
      <c r="W823" s="1"/>
      <c r="X823" s="1"/>
      <c r="Y823" s="1"/>
      <c r="Z823" s="1"/>
    </row>
    <row r="824" spans="17:26">
      <c r="Q824" s="23"/>
      <c r="R824" s="1"/>
      <c r="S824" s="1"/>
      <c r="T824" s="1"/>
      <c r="U824" s="1"/>
      <c r="V824" s="1"/>
      <c r="W824" s="1"/>
      <c r="X824" s="1"/>
      <c r="Y824" s="1"/>
      <c r="Z824" s="1"/>
    </row>
    <row r="825" spans="17:26">
      <c r="Q825" s="23"/>
      <c r="R825" s="1"/>
      <c r="S825" s="1"/>
      <c r="T825" s="1"/>
      <c r="U825" s="1"/>
      <c r="V825" s="1"/>
      <c r="W825" s="1"/>
      <c r="X825" s="1"/>
      <c r="Y825" s="1"/>
      <c r="Z825" s="1"/>
    </row>
    <row r="826" spans="17:26">
      <c r="Q826" s="23"/>
      <c r="R826" s="1"/>
      <c r="S826" s="1"/>
      <c r="T826" s="1"/>
      <c r="U826" s="1"/>
      <c r="V826" s="1"/>
      <c r="W826" s="1"/>
      <c r="X826" s="1"/>
      <c r="Y826" s="1"/>
      <c r="Z826" s="1"/>
    </row>
    <row r="827" spans="17:26">
      <c r="Q827" s="23"/>
      <c r="R827" s="1"/>
      <c r="S827" s="1"/>
      <c r="T827" s="1"/>
      <c r="U827" s="1"/>
      <c r="V827" s="1"/>
      <c r="W827" s="1"/>
      <c r="X827" s="1"/>
      <c r="Y827" s="1"/>
      <c r="Z827" s="1"/>
    </row>
    <row r="828" spans="17:26">
      <c r="Q828" s="23"/>
      <c r="R828" s="1"/>
      <c r="S828" s="1"/>
      <c r="T828" s="1"/>
      <c r="U828" s="1"/>
      <c r="V828" s="1"/>
      <c r="W828" s="1"/>
      <c r="X828" s="1"/>
      <c r="Y828" s="1"/>
      <c r="Z828" s="1"/>
    </row>
    <row r="829" spans="17:26">
      <c r="Q829" s="23"/>
      <c r="R829" s="1"/>
      <c r="S829" s="1"/>
      <c r="T829" s="1"/>
      <c r="U829" s="1"/>
      <c r="V829" s="1"/>
      <c r="W829" s="1"/>
      <c r="X829" s="1"/>
      <c r="Y829" s="1"/>
      <c r="Z829" s="1"/>
    </row>
    <row r="830" spans="17:26">
      <c r="Q830" s="23"/>
      <c r="R830" s="1"/>
      <c r="S830" s="1"/>
      <c r="T830" s="1"/>
      <c r="U830" s="1"/>
      <c r="V830" s="1"/>
      <c r="W830" s="1"/>
      <c r="X830" s="1"/>
      <c r="Y830" s="1"/>
      <c r="Z830" s="1"/>
    </row>
    <row r="831" spans="17:26">
      <c r="Q831" s="23"/>
      <c r="R831" s="1"/>
      <c r="S831" s="1"/>
      <c r="T831" s="1"/>
      <c r="U831" s="1"/>
      <c r="V831" s="1"/>
      <c r="W831" s="1"/>
      <c r="X831" s="1"/>
      <c r="Y831" s="1"/>
      <c r="Z831" s="1"/>
    </row>
    <row r="832" spans="17:26">
      <c r="Q832" s="23"/>
      <c r="R832" s="1"/>
      <c r="S832" s="1"/>
      <c r="T832" s="1"/>
      <c r="U832" s="1"/>
      <c r="V832" s="1"/>
      <c r="W832" s="1"/>
      <c r="X832" s="1"/>
      <c r="Y832" s="1"/>
      <c r="Z832" s="1"/>
    </row>
    <row r="833" spans="17:26">
      <c r="Q833" s="23"/>
      <c r="R833" s="1"/>
      <c r="S833" s="1"/>
      <c r="T833" s="1"/>
      <c r="U833" s="1"/>
      <c r="V833" s="1"/>
      <c r="W833" s="1"/>
      <c r="X833" s="1"/>
      <c r="Y833" s="1"/>
      <c r="Z833" s="1"/>
    </row>
    <row r="834" spans="17:26">
      <c r="Q834" s="23"/>
      <c r="R834" s="1"/>
      <c r="S834" s="1"/>
      <c r="T834" s="1"/>
      <c r="U834" s="1"/>
      <c r="V834" s="1"/>
      <c r="W834" s="1"/>
      <c r="X834" s="1"/>
      <c r="Y834" s="1"/>
      <c r="Z834" s="1"/>
    </row>
    <row r="835" spans="17:26">
      <c r="Q835" s="23"/>
      <c r="R835" s="1"/>
      <c r="S835" s="1"/>
      <c r="T835" s="1"/>
      <c r="U835" s="1"/>
      <c r="V835" s="1"/>
      <c r="W835" s="1"/>
      <c r="X835" s="1"/>
      <c r="Y835" s="1"/>
      <c r="Z835" s="1"/>
    </row>
    <row r="836" spans="17:26">
      <c r="Q836" s="23"/>
      <c r="R836" s="1"/>
      <c r="S836" s="1"/>
      <c r="T836" s="1"/>
      <c r="U836" s="1"/>
      <c r="V836" s="1"/>
      <c r="W836" s="1"/>
      <c r="X836" s="1"/>
      <c r="Y836" s="1"/>
      <c r="Z836" s="1"/>
    </row>
    <row r="837" spans="17:26">
      <c r="Q837" s="23"/>
      <c r="R837" s="1"/>
      <c r="S837" s="1"/>
      <c r="T837" s="1"/>
      <c r="U837" s="1"/>
      <c r="V837" s="1"/>
      <c r="W837" s="1"/>
      <c r="X837" s="1"/>
      <c r="Y837" s="1"/>
      <c r="Z837" s="1"/>
    </row>
    <row r="838" spans="17:26">
      <c r="Q838" s="23"/>
      <c r="R838" s="1"/>
      <c r="S838" s="1"/>
      <c r="T838" s="1"/>
      <c r="U838" s="1"/>
      <c r="V838" s="1"/>
      <c r="W838" s="1"/>
      <c r="X838" s="1"/>
      <c r="Y838" s="1"/>
      <c r="Z838" s="1"/>
    </row>
    <row r="839" spans="17:26">
      <c r="Q839" s="23"/>
      <c r="R839" s="1"/>
      <c r="S839" s="1"/>
      <c r="T839" s="1"/>
      <c r="U839" s="1"/>
      <c r="V839" s="1"/>
      <c r="W839" s="1"/>
      <c r="X839" s="1"/>
      <c r="Y839" s="1"/>
      <c r="Z839" s="1"/>
    </row>
    <row r="840" spans="17:26">
      <c r="Q840" s="23"/>
      <c r="R840" s="1"/>
      <c r="S840" s="1"/>
      <c r="T840" s="1"/>
      <c r="U840" s="1"/>
      <c r="V840" s="1"/>
      <c r="W840" s="1"/>
      <c r="X840" s="1"/>
      <c r="Y840" s="1"/>
      <c r="Z840" s="1"/>
    </row>
    <row r="841" spans="17:26">
      <c r="Q841" s="23"/>
      <c r="R841" s="1"/>
      <c r="S841" s="1"/>
      <c r="T841" s="1"/>
      <c r="U841" s="1"/>
      <c r="V841" s="1"/>
      <c r="W841" s="1"/>
      <c r="X841" s="1"/>
      <c r="Y841" s="1"/>
      <c r="Z841" s="1"/>
    </row>
    <row r="842" spans="17:26">
      <c r="Q842" s="23"/>
      <c r="R842" s="1"/>
      <c r="S842" s="1"/>
      <c r="T842" s="1"/>
      <c r="U842" s="1"/>
      <c r="V842" s="1"/>
      <c r="W842" s="1"/>
      <c r="X842" s="1"/>
      <c r="Y842" s="1"/>
      <c r="Z842" s="1"/>
    </row>
    <row r="843" spans="17:26">
      <c r="Q843" s="23"/>
      <c r="R843" s="1"/>
      <c r="S843" s="1"/>
      <c r="T843" s="1"/>
      <c r="U843" s="1"/>
      <c r="V843" s="1"/>
      <c r="W843" s="1"/>
      <c r="X843" s="1"/>
      <c r="Y843" s="1"/>
      <c r="Z843" s="1"/>
    </row>
    <row r="844" spans="17:26">
      <c r="Q844" s="23"/>
      <c r="R844" s="1"/>
      <c r="S844" s="1"/>
      <c r="T844" s="1"/>
      <c r="U844" s="1"/>
      <c r="V844" s="1"/>
      <c r="W844" s="1"/>
      <c r="X844" s="1"/>
      <c r="Y844" s="1"/>
      <c r="Z844" s="1"/>
    </row>
    <row r="845" spans="17:26">
      <c r="Q845" s="23"/>
      <c r="R845" s="1"/>
      <c r="S845" s="1"/>
      <c r="T845" s="1"/>
      <c r="U845" s="1"/>
      <c r="V845" s="1"/>
      <c r="W845" s="1"/>
      <c r="X845" s="1"/>
      <c r="Y845" s="1"/>
      <c r="Z845" s="1"/>
    </row>
    <row r="846" spans="17:26">
      <c r="Q846" s="23"/>
      <c r="R846" s="1"/>
      <c r="S846" s="1"/>
      <c r="T846" s="1"/>
      <c r="U846" s="1"/>
      <c r="V846" s="1"/>
      <c r="W846" s="1"/>
      <c r="X846" s="1"/>
      <c r="Y846" s="1"/>
      <c r="Z846" s="1"/>
    </row>
    <row r="847" spans="17:26">
      <c r="Q847" s="23"/>
      <c r="R847" s="1"/>
      <c r="S847" s="1"/>
      <c r="T847" s="1"/>
      <c r="U847" s="1"/>
      <c r="V847" s="1"/>
      <c r="W847" s="1"/>
      <c r="X847" s="1"/>
      <c r="Y847" s="1"/>
      <c r="Z847" s="1"/>
    </row>
    <row r="848" spans="17:26">
      <c r="Q848" s="23"/>
      <c r="R848" s="1"/>
      <c r="S848" s="1"/>
      <c r="T848" s="1"/>
      <c r="U848" s="1"/>
      <c r="V848" s="1"/>
      <c r="W848" s="1"/>
      <c r="X848" s="1"/>
      <c r="Y848" s="1"/>
      <c r="Z848" s="1"/>
    </row>
    <row r="849" spans="17:26">
      <c r="Q849" s="23"/>
      <c r="R849" s="1"/>
      <c r="S849" s="1"/>
      <c r="T849" s="1"/>
      <c r="U849" s="1"/>
      <c r="V849" s="1"/>
      <c r="W849" s="1"/>
      <c r="X849" s="1"/>
      <c r="Y849" s="1"/>
      <c r="Z849" s="1"/>
    </row>
    <row r="850" spans="17:26">
      <c r="Q850" s="23"/>
      <c r="R850" s="1"/>
      <c r="S850" s="1"/>
      <c r="T850" s="1"/>
      <c r="U850" s="1"/>
      <c r="V850" s="1"/>
      <c r="W850" s="1"/>
      <c r="X850" s="1"/>
      <c r="Y850" s="1"/>
      <c r="Z850" s="1"/>
    </row>
    <row r="851" spans="17:26">
      <c r="Q851" s="23"/>
      <c r="R851" s="1"/>
      <c r="S851" s="1"/>
      <c r="T851" s="1"/>
      <c r="U851" s="1"/>
      <c r="V851" s="1"/>
      <c r="W851" s="1"/>
      <c r="X851" s="1"/>
      <c r="Y851" s="1"/>
      <c r="Z851" s="1"/>
    </row>
    <row r="852" spans="17:26">
      <c r="Q852" s="23"/>
      <c r="R852" s="1"/>
      <c r="S852" s="1"/>
      <c r="T852" s="1"/>
      <c r="U852" s="1"/>
      <c r="V852" s="1"/>
      <c r="W852" s="1"/>
      <c r="X852" s="1"/>
      <c r="Y852" s="1"/>
      <c r="Z852" s="1"/>
    </row>
    <row r="853" spans="17:26">
      <c r="Q853" s="23"/>
      <c r="R853" s="1"/>
      <c r="S853" s="1"/>
      <c r="T853" s="1"/>
      <c r="U853" s="1"/>
      <c r="V853" s="1"/>
      <c r="W853" s="1"/>
      <c r="X853" s="1"/>
      <c r="Y853" s="1"/>
      <c r="Z853" s="1"/>
    </row>
    <row r="854" spans="17:26">
      <c r="Q854" s="23"/>
      <c r="R854" s="1"/>
      <c r="S854" s="1"/>
      <c r="T854" s="1"/>
      <c r="U854" s="1"/>
      <c r="V854" s="1"/>
      <c r="W854" s="1"/>
      <c r="X854" s="1"/>
      <c r="Y854" s="1"/>
      <c r="Z854" s="1"/>
    </row>
    <row r="855" spans="17:26">
      <c r="Q855" s="23"/>
      <c r="R855" s="1"/>
      <c r="S855" s="1"/>
      <c r="T855" s="1"/>
      <c r="U855" s="1"/>
      <c r="V855" s="1"/>
      <c r="W855" s="1"/>
      <c r="X855" s="1"/>
      <c r="Y855" s="1"/>
      <c r="Z855" s="1"/>
    </row>
    <row r="856" spans="17:26">
      <c r="Q856" s="23"/>
      <c r="R856" s="1"/>
      <c r="S856" s="1"/>
      <c r="T856" s="1"/>
      <c r="U856" s="1"/>
      <c r="V856" s="1"/>
      <c r="W856" s="1"/>
      <c r="X856" s="1"/>
      <c r="Y856" s="1"/>
      <c r="Z856" s="1"/>
    </row>
    <row r="857" spans="17:26">
      <c r="Q857" s="23"/>
      <c r="R857" s="1"/>
      <c r="S857" s="1"/>
      <c r="T857" s="1"/>
      <c r="U857" s="1"/>
      <c r="V857" s="1"/>
      <c r="W857" s="1"/>
      <c r="X857" s="1"/>
      <c r="Y857" s="1"/>
      <c r="Z857" s="1"/>
    </row>
    <row r="858" spans="17:26">
      <c r="Q858" s="23"/>
      <c r="R858" s="1"/>
      <c r="S858" s="1"/>
      <c r="T858" s="1"/>
      <c r="U858" s="1"/>
      <c r="V858" s="1"/>
      <c r="W858" s="1"/>
      <c r="X858" s="1"/>
      <c r="Y858" s="1"/>
      <c r="Z858" s="1"/>
    </row>
    <row r="859" spans="17:26">
      <c r="Q859" s="23"/>
      <c r="R859" s="1"/>
      <c r="S859" s="1"/>
      <c r="T859" s="1"/>
      <c r="U859" s="1"/>
      <c r="V859" s="1"/>
      <c r="W859" s="1"/>
      <c r="X859" s="1"/>
      <c r="Y859" s="1"/>
      <c r="Z859" s="1"/>
    </row>
    <row r="860" spans="17:26">
      <c r="Q860" s="23"/>
      <c r="R860" s="1"/>
      <c r="S860" s="1"/>
      <c r="T860" s="1"/>
      <c r="U860" s="1"/>
      <c r="V860" s="1"/>
      <c r="W860" s="1"/>
      <c r="X860" s="1"/>
      <c r="Y860" s="1"/>
      <c r="Z860" s="1"/>
    </row>
    <row r="861" spans="17:26">
      <c r="Q861" s="23"/>
      <c r="R861" s="1"/>
      <c r="S861" s="1"/>
      <c r="T861" s="1"/>
      <c r="U861" s="1"/>
      <c r="V861" s="1"/>
      <c r="W861" s="1"/>
      <c r="X861" s="1"/>
      <c r="Y861" s="1"/>
      <c r="Z861" s="1"/>
    </row>
    <row r="862" spans="17:26">
      <c r="Q862" s="23"/>
      <c r="R862" s="1"/>
      <c r="S862" s="1"/>
      <c r="T862" s="1"/>
      <c r="U862" s="1"/>
      <c r="V862" s="1"/>
      <c r="W862" s="1"/>
      <c r="X862" s="1"/>
      <c r="Y862" s="1"/>
      <c r="Z862" s="1"/>
    </row>
    <row r="863" spans="17:26">
      <c r="Q863" s="23"/>
      <c r="R863" s="1"/>
      <c r="S863" s="1"/>
      <c r="T863" s="1"/>
      <c r="U863" s="1"/>
      <c r="V863" s="1"/>
      <c r="W863" s="1"/>
      <c r="X863" s="1"/>
      <c r="Y863" s="1"/>
      <c r="Z863" s="1"/>
    </row>
    <row r="864" spans="17:26">
      <c r="Q864" s="23"/>
      <c r="R864" s="1"/>
      <c r="S864" s="1"/>
      <c r="T864" s="1"/>
      <c r="U864" s="1"/>
      <c r="V864" s="1"/>
      <c r="W864" s="1"/>
      <c r="X864" s="1"/>
      <c r="Y864" s="1"/>
      <c r="Z864" s="1"/>
    </row>
    <row r="865" spans="17:26">
      <c r="Q865" s="23"/>
      <c r="R865" s="1"/>
      <c r="S865" s="1"/>
      <c r="T865" s="1"/>
      <c r="U865" s="1"/>
      <c r="V865" s="1"/>
      <c r="W865" s="1"/>
      <c r="X865" s="1"/>
      <c r="Y865" s="1"/>
      <c r="Z865" s="1"/>
    </row>
    <row r="866" spans="17:26">
      <c r="Q866" s="23"/>
      <c r="R866" s="1"/>
      <c r="S866" s="1"/>
      <c r="T866" s="1"/>
      <c r="U866" s="1"/>
      <c r="V866" s="1"/>
      <c r="W866" s="1"/>
      <c r="X866" s="1"/>
      <c r="Y866" s="1"/>
      <c r="Z866" s="1"/>
    </row>
    <row r="867" spans="17:26">
      <c r="Q867" s="23"/>
      <c r="R867" s="1"/>
      <c r="S867" s="1"/>
      <c r="T867" s="1"/>
      <c r="U867" s="1"/>
      <c r="V867" s="1"/>
      <c r="W867" s="1"/>
      <c r="X867" s="1"/>
      <c r="Y867" s="1"/>
      <c r="Z867" s="1"/>
    </row>
    <row r="868" spans="17:26">
      <c r="Q868" s="23"/>
      <c r="R868" s="1"/>
      <c r="S868" s="1"/>
      <c r="T868" s="1"/>
      <c r="U868" s="1"/>
      <c r="V868" s="1"/>
      <c r="W868" s="1"/>
      <c r="X868" s="1"/>
      <c r="Y868" s="1"/>
      <c r="Z868" s="1"/>
    </row>
    <row r="869" spans="17:26">
      <c r="Q869" s="23"/>
      <c r="R869" s="1"/>
      <c r="S869" s="1"/>
      <c r="T869" s="1"/>
      <c r="U869" s="1"/>
      <c r="V869" s="1"/>
      <c r="W869" s="1"/>
      <c r="X869" s="1"/>
      <c r="Y869" s="1"/>
      <c r="Z869" s="1"/>
    </row>
    <row r="870" spans="17:26">
      <c r="Q870" s="23"/>
      <c r="R870" s="1"/>
      <c r="S870" s="1"/>
      <c r="T870" s="1"/>
      <c r="U870" s="1"/>
      <c r="V870" s="1"/>
      <c r="W870" s="1"/>
      <c r="X870" s="1"/>
      <c r="Y870" s="1"/>
      <c r="Z870" s="1"/>
    </row>
    <row r="871" spans="17:26">
      <c r="Q871" s="23"/>
      <c r="R871" s="1"/>
      <c r="S871" s="1"/>
      <c r="T871" s="1"/>
      <c r="U871" s="1"/>
      <c r="V871" s="1"/>
      <c r="W871" s="1"/>
      <c r="X871" s="1"/>
      <c r="Y871" s="1"/>
      <c r="Z871" s="1"/>
    </row>
    <row r="872" spans="17:26">
      <c r="Q872" s="23"/>
      <c r="R872" s="1"/>
      <c r="S872" s="1"/>
      <c r="T872" s="1"/>
      <c r="U872" s="1"/>
      <c r="V872" s="1"/>
      <c r="W872" s="1"/>
      <c r="X872" s="1"/>
      <c r="Y872" s="1"/>
      <c r="Z872" s="1"/>
    </row>
    <row r="873" spans="17:26">
      <c r="Q873" s="23"/>
      <c r="R873" s="1"/>
      <c r="S873" s="1"/>
      <c r="T873" s="1"/>
      <c r="U873" s="1"/>
      <c r="V873" s="1"/>
      <c r="W873" s="1"/>
      <c r="X873" s="1"/>
      <c r="Y873" s="1"/>
      <c r="Z873" s="1"/>
    </row>
    <row r="874" spans="17:26">
      <c r="Q874" s="23"/>
      <c r="R874" s="1"/>
      <c r="S874" s="1"/>
      <c r="T874" s="1"/>
      <c r="U874" s="1"/>
      <c r="V874" s="1"/>
      <c r="W874" s="1"/>
      <c r="X874" s="1"/>
      <c r="Y874" s="1"/>
      <c r="Z874" s="1"/>
    </row>
    <row r="875" spans="17:26">
      <c r="Q875" s="23"/>
      <c r="R875" s="1"/>
      <c r="S875" s="1"/>
      <c r="T875" s="1"/>
      <c r="U875" s="1"/>
      <c r="V875" s="1"/>
      <c r="W875" s="1"/>
      <c r="X875" s="1"/>
      <c r="Y875" s="1"/>
      <c r="Z875" s="1"/>
    </row>
    <row r="876" spans="17:26">
      <c r="Q876" s="23"/>
      <c r="R876" s="1"/>
      <c r="S876" s="1"/>
      <c r="T876" s="1"/>
      <c r="U876" s="1"/>
      <c r="V876" s="1"/>
      <c r="W876" s="1"/>
      <c r="X876" s="1"/>
      <c r="Y876" s="1"/>
      <c r="Z876" s="1"/>
    </row>
    <row r="877" spans="17:26">
      <c r="Q877" s="23"/>
      <c r="R877" s="1"/>
      <c r="S877" s="1"/>
      <c r="T877" s="1"/>
      <c r="U877" s="1"/>
      <c r="V877" s="1"/>
      <c r="W877" s="1"/>
      <c r="X877" s="1"/>
      <c r="Y877" s="1"/>
      <c r="Z877" s="1"/>
    </row>
    <row r="878" spans="17:26">
      <c r="Q878" s="23"/>
      <c r="R878" s="1"/>
      <c r="S878" s="1"/>
      <c r="T878" s="1"/>
      <c r="U878" s="1"/>
      <c r="V878" s="1"/>
      <c r="W878" s="1"/>
      <c r="X878" s="1"/>
      <c r="Y878" s="1"/>
      <c r="Z878" s="1"/>
    </row>
    <row r="879" spans="17:26">
      <c r="Q879" s="23"/>
      <c r="R879" s="1"/>
      <c r="S879" s="1"/>
      <c r="T879" s="1"/>
      <c r="U879" s="1"/>
      <c r="V879" s="1"/>
      <c r="W879" s="1"/>
      <c r="X879" s="1"/>
      <c r="Y879" s="1"/>
      <c r="Z879" s="1"/>
    </row>
    <row r="880" spans="17:26">
      <c r="Q880" s="23"/>
      <c r="R880" s="1"/>
      <c r="S880" s="1"/>
      <c r="T880" s="1"/>
      <c r="U880" s="1"/>
      <c r="V880" s="1"/>
      <c r="W880" s="1"/>
      <c r="X880" s="1"/>
      <c r="Y880" s="1"/>
      <c r="Z880" s="1"/>
    </row>
    <row r="881" spans="17:26">
      <c r="Q881" s="23"/>
      <c r="R881" s="1"/>
      <c r="S881" s="1"/>
      <c r="T881" s="1"/>
      <c r="U881" s="1"/>
      <c r="V881" s="1"/>
      <c r="W881" s="1"/>
      <c r="X881" s="1"/>
      <c r="Y881" s="1"/>
      <c r="Z881" s="1"/>
    </row>
    <row r="882" spans="17:26">
      <c r="Q882" s="23"/>
      <c r="R882" s="1"/>
      <c r="S882" s="1"/>
      <c r="T882" s="1"/>
      <c r="U882" s="1"/>
      <c r="V882" s="1"/>
      <c r="W882" s="1"/>
      <c r="X882" s="1"/>
      <c r="Y882" s="1"/>
      <c r="Z882" s="1"/>
    </row>
    <row r="883" spans="17:26">
      <c r="Q883" s="23"/>
      <c r="R883" s="1"/>
      <c r="S883" s="1"/>
      <c r="T883" s="1"/>
      <c r="U883" s="1"/>
      <c r="V883" s="1"/>
      <c r="W883" s="1"/>
      <c r="X883" s="1"/>
      <c r="Y883" s="1"/>
      <c r="Z883" s="1"/>
    </row>
    <row r="884" spans="17:26">
      <c r="Q884" s="23"/>
      <c r="R884" s="1"/>
      <c r="S884" s="1"/>
      <c r="T884" s="1"/>
      <c r="U884" s="1"/>
      <c r="V884" s="1"/>
      <c r="W884" s="1"/>
      <c r="X884" s="1"/>
      <c r="Y884" s="1"/>
      <c r="Z884" s="1"/>
    </row>
    <row r="885" spans="17:26">
      <c r="Q885" s="23"/>
      <c r="R885" s="1"/>
      <c r="S885" s="1"/>
      <c r="T885" s="1"/>
      <c r="U885" s="1"/>
      <c r="V885" s="1"/>
      <c r="W885" s="1"/>
      <c r="X885" s="1"/>
      <c r="Y885" s="1"/>
      <c r="Z885" s="1"/>
    </row>
    <row r="886" spans="17:26">
      <c r="Q886" s="23"/>
      <c r="R886" s="1"/>
      <c r="S886" s="1"/>
      <c r="T886" s="1"/>
      <c r="U886" s="1"/>
      <c r="V886" s="1"/>
      <c r="W886" s="1"/>
      <c r="X886" s="1"/>
      <c r="Y886" s="1"/>
      <c r="Z886" s="1"/>
    </row>
    <row r="887" spans="17:26">
      <c r="Q887" s="23"/>
      <c r="R887" s="1"/>
      <c r="S887" s="1"/>
      <c r="T887" s="1"/>
      <c r="U887" s="1"/>
      <c r="V887" s="1"/>
      <c r="W887" s="1"/>
      <c r="X887" s="1"/>
      <c r="Y887" s="1"/>
      <c r="Z887" s="1"/>
    </row>
    <row r="888" spans="17:26">
      <c r="Q888" s="23"/>
      <c r="R888" s="1"/>
      <c r="S888" s="1"/>
      <c r="T888" s="1"/>
      <c r="U888" s="1"/>
      <c r="V888" s="1"/>
      <c r="W888" s="1"/>
      <c r="X888" s="1"/>
      <c r="Y888" s="1"/>
      <c r="Z888" s="1"/>
    </row>
    <row r="889" spans="17:26">
      <c r="Q889" s="23"/>
      <c r="R889" s="1"/>
      <c r="S889" s="1"/>
      <c r="T889" s="1"/>
      <c r="U889" s="1"/>
      <c r="V889" s="1"/>
      <c r="W889" s="1"/>
      <c r="X889" s="1"/>
      <c r="Y889" s="1"/>
      <c r="Z889" s="1"/>
    </row>
    <row r="890" spans="17:26">
      <c r="Q890" s="23"/>
      <c r="R890" s="1"/>
      <c r="S890" s="1"/>
      <c r="T890" s="1"/>
      <c r="U890" s="1"/>
      <c r="V890" s="1"/>
      <c r="W890" s="1"/>
      <c r="X890" s="1"/>
      <c r="Y890" s="1"/>
      <c r="Z890" s="1"/>
    </row>
    <row r="891" spans="17:26">
      <c r="Q891" s="23"/>
      <c r="R891" s="1"/>
      <c r="S891" s="1"/>
      <c r="T891" s="1"/>
      <c r="U891" s="1"/>
      <c r="V891" s="1"/>
      <c r="W891" s="1"/>
      <c r="X891" s="1"/>
      <c r="Y891" s="1"/>
      <c r="Z891" s="1"/>
    </row>
    <row r="892" spans="17:26">
      <c r="Q892" s="23"/>
      <c r="R892" s="1"/>
      <c r="S892" s="1"/>
      <c r="T892" s="1"/>
      <c r="U892" s="1"/>
      <c r="V892" s="1"/>
      <c r="W892" s="1"/>
      <c r="X892" s="1"/>
      <c r="Y892" s="1"/>
      <c r="Z892" s="1"/>
    </row>
    <row r="893" spans="17:26">
      <c r="Q893" s="23"/>
      <c r="R893" s="1"/>
      <c r="S893" s="1"/>
      <c r="T893" s="1"/>
      <c r="U893" s="1"/>
      <c r="V893" s="1"/>
      <c r="W893" s="1"/>
      <c r="X893" s="1"/>
      <c r="Y893" s="1"/>
      <c r="Z893" s="1"/>
    </row>
    <row r="894" spans="17:26">
      <c r="Q894" s="23"/>
      <c r="R894" s="1"/>
      <c r="S894" s="1"/>
      <c r="T894" s="1"/>
      <c r="U894" s="1"/>
      <c r="V894" s="1"/>
      <c r="W894" s="1"/>
      <c r="X894" s="1"/>
      <c r="Y894" s="1"/>
      <c r="Z894" s="1"/>
    </row>
    <row r="895" spans="17:26">
      <c r="Q895" s="23"/>
      <c r="R895" s="1"/>
      <c r="S895" s="1"/>
      <c r="T895" s="1"/>
      <c r="U895" s="1"/>
      <c r="V895" s="1"/>
      <c r="W895" s="1"/>
      <c r="X895" s="1"/>
      <c r="Y895" s="1"/>
      <c r="Z895" s="1"/>
    </row>
    <row r="896" spans="17:26">
      <c r="Q896" s="23"/>
      <c r="R896" s="1"/>
      <c r="S896" s="1"/>
      <c r="T896" s="1"/>
      <c r="U896" s="1"/>
      <c r="V896" s="1"/>
      <c r="W896" s="1"/>
      <c r="X896" s="1"/>
      <c r="Y896" s="1"/>
      <c r="Z896" s="1"/>
    </row>
    <row r="897" spans="17:26">
      <c r="Q897" s="23"/>
      <c r="R897" s="1"/>
      <c r="S897" s="1"/>
      <c r="T897" s="1"/>
      <c r="U897" s="1"/>
      <c r="V897" s="1"/>
      <c r="W897" s="1"/>
      <c r="X897" s="1"/>
      <c r="Y897" s="1"/>
      <c r="Z897" s="1"/>
    </row>
    <row r="898" spans="17:26">
      <c r="Q898" s="23"/>
      <c r="R898" s="1"/>
      <c r="S898" s="1"/>
      <c r="T898" s="1"/>
      <c r="U898" s="1"/>
      <c r="V898" s="1"/>
      <c r="W898" s="1"/>
      <c r="X898" s="1"/>
      <c r="Y898" s="1"/>
      <c r="Z898" s="1"/>
    </row>
    <row r="899" spans="17:26">
      <c r="Q899" s="1"/>
      <c r="R899" s="1"/>
      <c r="S899" s="1"/>
      <c r="T899" s="1"/>
      <c r="U899" s="1"/>
      <c r="V899" s="1"/>
      <c r="W899" s="1"/>
      <c r="X899" s="1"/>
      <c r="Y899" s="1"/>
      <c r="Z899" s="1"/>
    </row>
    <row r="900" spans="17:26">
      <c r="Q900" s="1"/>
      <c r="R900" s="1"/>
      <c r="S900" s="1"/>
      <c r="T900" s="1"/>
      <c r="U900" s="1"/>
      <c r="V900" s="1"/>
      <c r="W900" s="1"/>
      <c r="X900" s="1"/>
      <c r="Y900" s="1"/>
      <c r="Z900" s="1"/>
    </row>
    <row r="901" spans="17:26">
      <c r="Q901" s="1"/>
      <c r="R901" s="1"/>
      <c r="S901" s="1"/>
      <c r="T901" s="1"/>
      <c r="U901" s="1"/>
      <c r="V901" s="1"/>
      <c r="W901" s="1"/>
      <c r="X901" s="1"/>
      <c r="Y901" s="1"/>
      <c r="Z901" s="1"/>
    </row>
    <row r="902" spans="17:26">
      <c r="Q902" s="1"/>
      <c r="R902" s="1"/>
      <c r="S902" s="1"/>
      <c r="T902" s="1"/>
      <c r="U902" s="1"/>
      <c r="V902" s="1"/>
      <c r="W902" s="1"/>
      <c r="X902" s="1"/>
      <c r="Y902" s="1"/>
      <c r="Z902" s="1"/>
    </row>
    <row r="903" spans="17:26">
      <c r="Q903" s="1"/>
      <c r="R903" s="1"/>
      <c r="S903" s="1"/>
      <c r="T903" s="1"/>
      <c r="U903" s="1"/>
      <c r="V903" s="1"/>
      <c r="W903" s="1"/>
      <c r="X903" s="1"/>
      <c r="Y903" s="1"/>
      <c r="Z903" s="1"/>
    </row>
    <row r="904" spans="17:26">
      <c r="Q904" s="1"/>
      <c r="R904" s="1"/>
      <c r="S904" s="1"/>
      <c r="T904" s="1"/>
      <c r="U904" s="1"/>
      <c r="V904" s="1"/>
      <c r="W904" s="1"/>
      <c r="X904" s="1"/>
      <c r="Y904" s="1"/>
      <c r="Z904" s="1"/>
    </row>
    <row r="905" spans="17:26">
      <c r="Q905" s="1"/>
      <c r="R905" s="1"/>
      <c r="S905" s="1"/>
      <c r="T905" s="1"/>
      <c r="U905" s="1"/>
      <c r="V905" s="1"/>
      <c r="W905" s="1"/>
      <c r="X905" s="1"/>
      <c r="Y905" s="1"/>
      <c r="Z905" s="1"/>
    </row>
    <row r="906" spans="17:26">
      <c r="Q906" s="1"/>
      <c r="R906" s="1"/>
      <c r="S906" s="1"/>
      <c r="T906" s="1"/>
      <c r="U906" s="1"/>
      <c r="V906" s="1"/>
      <c r="W906" s="1"/>
      <c r="X906" s="1"/>
      <c r="Y906" s="1"/>
      <c r="Z906" s="1"/>
    </row>
    <row r="907" spans="17:26">
      <c r="Q907" s="1"/>
      <c r="R907" s="1"/>
      <c r="S907" s="1"/>
      <c r="T907" s="1"/>
      <c r="U907" s="1"/>
      <c r="V907" s="1"/>
      <c r="W907" s="1"/>
      <c r="X907" s="1"/>
      <c r="Y907" s="1"/>
      <c r="Z907" s="1"/>
    </row>
  </sheetData>
  <mergeCells count="540">
    <mergeCell ref="B2:K3"/>
    <mergeCell ref="B5:D5"/>
    <mergeCell ref="R2:Y3"/>
    <mergeCell ref="R5:U5"/>
    <mergeCell ref="R7:Y7"/>
    <mergeCell ref="R10:U10"/>
    <mergeCell ref="R11:U11"/>
    <mergeCell ref="R12:U12"/>
    <mergeCell ref="R13:U13"/>
    <mergeCell ref="R14:U14"/>
    <mergeCell ref="R15:U15"/>
    <mergeCell ref="R16:U16"/>
    <mergeCell ref="R19:U19"/>
    <mergeCell ref="R20:U20"/>
    <mergeCell ref="R21:U21"/>
    <mergeCell ref="R22:U22"/>
    <mergeCell ref="R23:U23"/>
    <mergeCell ref="R24:U24"/>
    <mergeCell ref="R25:U25"/>
    <mergeCell ref="R26:U26"/>
    <mergeCell ref="R28:Y28"/>
    <mergeCell ref="R31:T32"/>
    <mergeCell ref="U31:U32"/>
    <mergeCell ref="V31:V32"/>
    <mergeCell ref="W31:W32"/>
    <mergeCell ref="X31:X32"/>
    <mergeCell ref="R33:T33"/>
    <mergeCell ref="R34:T34"/>
    <mergeCell ref="R35:T35"/>
    <mergeCell ref="R36:T36"/>
    <mergeCell ref="X39:X40"/>
    <mergeCell ref="R41:T41"/>
    <mergeCell ref="R42:T42"/>
    <mergeCell ref="R43:T43"/>
    <mergeCell ref="R39:T40"/>
    <mergeCell ref="U39:U40"/>
    <mergeCell ref="V39:V40"/>
    <mergeCell ref="W39:W40"/>
    <mergeCell ref="R44:T44"/>
    <mergeCell ref="R46:Y46"/>
    <mergeCell ref="R49:T50"/>
    <mergeCell ref="U49:U50"/>
    <mergeCell ref="V49:V50"/>
    <mergeCell ref="W49:W50"/>
    <mergeCell ref="X49:X50"/>
    <mergeCell ref="R51:T51"/>
    <mergeCell ref="R54:T55"/>
    <mergeCell ref="U54:U55"/>
    <mergeCell ref="V54:V55"/>
    <mergeCell ref="W54:W55"/>
    <mergeCell ref="X54:X55"/>
    <mergeCell ref="R56:T56"/>
    <mergeCell ref="R59:T60"/>
    <mergeCell ref="U59:U60"/>
    <mergeCell ref="V59:V60"/>
    <mergeCell ref="W59:W60"/>
    <mergeCell ref="X59:X60"/>
    <mergeCell ref="R61:T61"/>
    <mergeCell ref="R62:T62"/>
    <mergeCell ref="R64:Y64"/>
    <mergeCell ref="R67:T68"/>
    <mergeCell ref="U67:U68"/>
    <mergeCell ref="V67:V68"/>
    <mergeCell ref="W67:W68"/>
    <mergeCell ref="X67:X68"/>
    <mergeCell ref="R69:T69"/>
    <mergeCell ref="R70:T70"/>
    <mergeCell ref="R71:T71"/>
    <mergeCell ref="R74:T75"/>
    <mergeCell ref="U74:U75"/>
    <mergeCell ref="V74:V75"/>
    <mergeCell ref="W74:W75"/>
    <mergeCell ref="X74:X75"/>
    <mergeCell ref="R76:T76"/>
    <mergeCell ref="R77:T77"/>
    <mergeCell ref="R78:T78"/>
    <mergeCell ref="R80:Y80"/>
    <mergeCell ref="X83:X84"/>
    <mergeCell ref="R85:T85"/>
    <mergeCell ref="R86:T86"/>
    <mergeCell ref="R87:T87"/>
    <mergeCell ref="R83:T84"/>
    <mergeCell ref="U83:U84"/>
    <mergeCell ref="V83:V84"/>
    <mergeCell ref="W83:W84"/>
    <mergeCell ref="X90:X91"/>
    <mergeCell ref="R92:T92"/>
    <mergeCell ref="R93:T93"/>
    <mergeCell ref="R94:T94"/>
    <mergeCell ref="R90:T91"/>
    <mergeCell ref="U90:U91"/>
    <mergeCell ref="V90:V91"/>
    <mergeCell ref="W90:W91"/>
    <mergeCell ref="R96:Y96"/>
    <mergeCell ref="R100:T101"/>
    <mergeCell ref="U100:U101"/>
    <mergeCell ref="V100:V101"/>
    <mergeCell ref="W100:W101"/>
    <mergeCell ref="X100:X101"/>
    <mergeCell ref="R102:T102"/>
    <mergeCell ref="R103:T103"/>
    <mergeCell ref="R106:T107"/>
    <mergeCell ref="U106:U107"/>
    <mergeCell ref="V106:V107"/>
    <mergeCell ref="W106:W107"/>
    <mergeCell ref="X106:X107"/>
    <mergeCell ref="R108:T108"/>
    <mergeCell ref="R109:T109"/>
    <mergeCell ref="R112:T113"/>
    <mergeCell ref="U112:U113"/>
    <mergeCell ref="V112:V113"/>
    <mergeCell ref="W112:W113"/>
    <mergeCell ref="X112:X113"/>
    <mergeCell ref="R114:T114"/>
    <mergeCell ref="R115:T115"/>
    <mergeCell ref="V126:V127"/>
    <mergeCell ref="W126:W127"/>
    <mergeCell ref="X118:X119"/>
    <mergeCell ref="R120:T120"/>
    <mergeCell ref="R121:T121"/>
    <mergeCell ref="R123:Y123"/>
    <mergeCell ref="R118:T119"/>
    <mergeCell ref="U118:U119"/>
    <mergeCell ref="V118:V119"/>
    <mergeCell ref="W118:W119"/>
    <mergeCell ref="X126:X127"/>
    <mergeCell ref="R128:T128"/>
    <mergeCell ref="R130:Y130"/>
    <mergeCell ref="R132:T133"/>
    <mergeCell ref="U132:U133"/>
    <mergeCell ref="V132:V133"/>
    <mergeCell ref="W132:W133"/>
    <mergeCell ref="X132:X133"/>
    <mergeCell ref="R126:T127"/>
    <mergeCell ref="U126:U127"/>
    <mergeCell ref="R134:T134"/>
    <mergeCell ref="R135:T135"/>
    <mergeCell ref="R137:Y137"/>
    <mergeCell ref="R142:W142"/>
    <mergeCell ref="X143:X144"/>
    <mergeCell ref="R145:T145"/>
    <mergeCell ref="U145:U146"/>
    <mergeCell ref="R146:T146"/>
    <mergeCell ref="R143:T144"/>
    <mergeCell ref="U143:U144"/>
    <mergeCell ref="V143:V144"/>
    <mergeCell ref="W143:W144"/>
    <mergeCell ref="R147:T147"/>
    <mergeCell ref="R148:T148"/>
    <mergeCell ref="R149:X149"/>
    <mergeCell ref="R150:T151"/>
    <mergeCell ref="U150:U151"/>
    <mergeCell ref="V150:V151"/>
    <mergeCell ref="W150:W151"/>
    <mergeCell ref="X150:X151"/>
    <mergeCell ref="R152:T152"/>
    <mergeCell ref="U152:U154"/>
    <mergeCell ref="R153:T153"/>
    <mergeCell ref="R154:T154"/>
    <mergeCell ref="R155:X155"/>
    <mergeCell ref="R156:T157"/>
    <mergeCell ref="U156:U157"/>
    <mergeCell ref="V156:V157"/>
    <mergeCell ref="W156:W157"/>
    <mergeCell ref="X156:X157"/>
    <mergeCell ref="V162:V163"/>
    <mergeCell ref="W162:W163"/>
    <mergeCell ref="R158:T158"/>
    <mergeCell ref="U158:U160"/>
    <mergeCell ref="R159:T159"/>
    <mergeCell ref="R160:T160"/>
    <mergeCell ref="X162:X163"/>
    <mergeCell ref="R164:T164"/>
    <mergeCell ref="R165:T165"/>
    <mergeCell ref="R167:T168"/>
    <mergeCell ref="U167:U168"/>
    <mergeCell ref="V167:V168"/>
    <mergeCell ref="W167:W168"/>
    <mergeCell ref="X167:X168"/>
    <mergeCell ref="R162:T163"/>
    <mergeCell ref="U162:U163"/>
    <mergeCell ref="R174:T174"/>
    <mergeCell ref="R179:T179"/>
    <mergeCell ref="R180:T180"/>
    <mergeCell ref="R175:T175"/>
    <mergeCell ref="R177:T178"/>
    <mergeCell ref="R169:T169"/>
    <mergeCell ref="R170:T170"/>
    <mergeCell ref="R172:T173"/>
    <mergeCell ref="W177:W178"/>
    <mergeCell ref="X177:X178"/>
    <mergeCell ref="U177:U178"/>
    <mergeCell ref="V177:V178"/>
    <mergeCell ref="X183:X184"/>
    <mergeCell ref="X172:X173"/>
    <mergeCell ref="U172:U173"/>
    <mergeCell ref="V172:V173"/>
    <mergeCell ref="W172:W173"/>
    <mergeCell ref="R185:T185"/>
    <mergeCell ref="R186:T186"/>
    <mergeCell ref="R181:T181"/>
    <mergeCell ref="R183:T184"/>
    <mergeCell ref="W188:W189"/>
    <mergeCell ref="W183:W184"/>
    <mergeCell ref="V188:V189"/>
    <mergeCell ref="U183:U184"/>
    <mergeCell ref="V183:V184"/>
    <mergeCell ref="X188:X189"/>
    <mergeCell ref="V193:V194"/>
    <mergeCell ref="W193:W194"/>
    <mergeCell ref="X193:X194"/>
    <mergeCell ref="R188:T189"/>
    <mergeCell ref="U188:U189"/>
    <mergeCell ref="R190:T190"/>
    <mergeCell ref="R191:T191"/>
    <mergeCell ref="R193:T194"/>
    <mergeCell ref="U193:U194"/>
    <mergeCell ref="R195:T195"/>
    <mergeCell ref="R196:T196"/>
    <mergeCell ref="R198:T199"/>
    <mergeCell ref="U198:U199"/>
    <mergeCell ref="V198:V199"/>
    <mergeCell ref="W198:W199"/>
    <mergeCell ref="X198:X199"/>
    <mergeCell ref="R200:T200"/>
    <mergeCell ref="R201:T201"/>
    <mergeCell ref="R202:T202"/>
    <mergeCell ref="R204:Y208"/>
    <mergeCell ref="R210:W211"/>
    <mergeCell ref="X210:X211"/>
    <mergeCell ref="Y210:Y211"/>
    <mergeCell ref="Y213:Y214"/>
    <mergeCell ref="R215:U215"/>
    <mergeCell ref="R216:U216"/>
    <mergeCell ref="R217:U217"/>
    <mergeCell ref="R213:U214"/>
    <mergeCell ref="V213:V214"/>
    <mergeCell ref="W213:W214"/>
    <mergeCell ref="X213:X214"/>
    <mergeCell ref="R218:U218"/>
    <mergeCell ref="R219:U219"/>
    <mergeCell ref="R220:U220"/>
    <mergeCell ref="R221:U221"/>
    <mergeCell ref="R222:U222"/>
    <mergeCell ref="R223:U223"/>
    <mergeCell ref="R224:U224"/>
    <mergeCell ref="R225:U225"/>
    <mergeCell ref="R226:U226"/>
    <mergeCell ref="R227:U227"/>
    <mergeCell ref="R228:U228"/>
    <mergeCell ref="R229:U229"/>
    <mergeCell ref="R231:U231"/>
    <mergeCell ref="R235:T236"/>
    <mergeCell ref="U235:U236"/>
    <mergeCell ref="V235:V236"/>
    <mergeCell ref="W235:W236"/>
    <mergeCell ref="X235:X236"/>
    <mergeCell ref="R237:T237"/>
    <mergeCell ref="U237:U239"/>
    <mergeCell ref="R238:T238"/>
    <mergeCell ref="R239:T239"/>
    <mergeCell ref="X241:X242"/>
    <mergeCell ref="R243:T243"/>
    <mergeCell ref="U243:U245"/>
    <mergeCell ref="R244:T244"/>
    <mergeCell ref="R245:T245"/>
    <mergeCell ref="R241:T242"/>
    <mergeCell ref="U241:U242"/>
    <mergeCell ref="V241:V242"/>
    <mergeCell ref="W241:W242"/>
    <mergeCell ref="X247:X248"/>
    <mergeCell ref="R249:T249"/>
    <mergeCell ref="U249:U251"/>
    <mergeCell ref="R250:T250"/>
    <mergeCell ref="R251:T251"/>
    <mergeCell ref="R247:T248"/>
    <mergeCell ref="U247:U248"/>
    <mergeCell ref="V247:V248"/>
    <mergeCell ref="W247:W248"/>
    <mergeCell ref="X254:X255"/>
    <mergeCell ref="R257:T257"/>
    <mergeCell ref="R260:Y260"/>
    <mergeCell ref="R264:S265"/>
    <mergeCell ref="U264:V264"/>
    <mergeCell ref="U265:V265"/>
    <mergeCell ref="R254:T255"/>
    <mergeCell ref="U254:U255"/>
    <mergeCell ref="V254:V255"/>
    <mergeCell ref="W254:W255"/>
    <mergeCell ref="X267:X268"/>
    <mergeCell ref="R268:R271"/>
    <mergeCell ref="S268:T268"/>
    <mergeCell ref="S269:T269"/>
    <mergeCell ref="S270:T270"/>
    <mergeCell ref="S271:T271"/>
    <mergeCell ref="R267:T267"/>
    <mergeCell ref="U267:U268"/>
    <mergeCell ref="V267:V268"/>
    <mergeCell ref="W267:W268"/>
    <mergeCell ref="R272:X272"/>
    <mergeCell ref="R273:T273"/>
    <mergeCell ref="U273:U274"/>
    <mergeCell ref="V273:V274"/>
    <mergeCell ref="W273:W274"/>
    <mergeCell ref="X273:X274"/>
    <mergeCell ref="R274:R277"/>
    <mergeCell ref="S274:T274"/>
    <mergeCell ref="S275:T275"/>
    <mergeCell ref="S276:T276"/>
    <mergeCell ref="S277:T277"/>
    <mergeCell ref="R278:X278"/>
    <mergeCell ref="R279:T279"/>
    <mergeCell ref="U279:U280"/>
    <mergeCell ref="V279:V280"/>
    <mergeCell ref="W279:W280"/>
    <mergeCell ref="X279:X280"/>
    <mergeCell ref="R280:R283"/>
    <mergeCell ref="S280:T280"/>
    <mergeCell ref="S281:T281"/>
    <mergeCell ref="S282:T282"/>
    <mergeCell ref="S283:T283"/>
    <mergeCell ref="R286:U287"/>
    <mergeCell ref="V286:V287"/>
    <mergeCell ref="W286:W287"/>
    <mergeCell ref="X286:X287"/>
    <mergeCell ref="Y286:Y287"/>
    <mergeCell ref="R288:U288"/>
    <mergeCell ref="R289:U289"/>
    <mergeCell ref="R290:U290"/>
    <mergeCell ref="R291:U291"/>
    <mergeCell ref="R292:U292"/>
    <mergeCell ref="R293:U293"/>
    <mergeCell ref="R294:U294"/>
    <mergeCell ref="R295:U295"/>
    <mergeCell ref="R296:U296"/>
    <mergeCell ref="R297:U297"/>
    <mergeCell ref="R298:U298"/>
    <mergeCell ref="R299:U299"/>
    <mergeCell ref="T301:U301"/>
    <mergeCell ref="T302:U302"/>
    <mergeCell ref="R305:V305"/>
    <mergeCell ref="R306:R307"/>
    <mergeCell ref="S306:S307"/>
    <mergeCell ref="T306:T307"/>
    <mergeCell ref="U306:U307"/>
    <mergeCell ref="V306:V307"/>
    <mergeCell ref="R316:W318"/>
    <mergeCell ref="R336:S339"/>
    <mergeCell ref="T336:T337"/>
    <mergeCell ref="R319:W319"/>
    <mergeCell ref="R320:W320"/>
    <mergeCell ref="R322:S326"/>
    <mergeCell ref="T322:T324"/>
    <mergeCell ref="U322:U324"/>
    <mergeCell ref="V322:V324"/>
    <mergeCell ref="W322:W324"/>
    <mergeCell ref="R328:W328"/>
    <mergeCell ref="R329:S332"/>
    <mergeCell ref="T329:T330"/>
    <mergeCell ref="U329:U330"/>
    <mergeCell ref="V329:V330"/>
    <mergeCell ref="W329:W330"/>
    <mergeCell ref="T342:T343"/>
    <mergeCell ref="U342:U343"/>
    <mergeCell ref="V342:V343"/>
    <mergeCell ref="W342:W343"/>
    <mergeCell ref="U336:U337"/>
    <mergeCell ref="R348:W348"/>
    <mergeCell ref="R341:W341"/>
    <mergeCell ref="R342:S345"/>
    <mergeCell ref="V336:V337"/>
    <mergeCell ref="W336:W337"/>
    <mergeCell ref="R365:S368"/>
    <mergeCell ref="T365:T366"/>
    <mergeCell ref="R349:W349"/>
    <mergeCell ref="R351:S355"/>
    <mergeCell ref="T351:T353"/>
    <mergeCell ref="U351:U353"/>
    <mergeCell ref="V351:V353"/>
    <mergeCell ref="W351:W353"/>
    <mergeCell ref="R357:W357"/>
    <mergeCell ref="R358:S361"/>
    <mergeCell ref="T358:T359"/>
    <mergeCell ref="U358:U359"/>
    <mergeCell ref="V358:V359"/>
    <mergeCell ref="W358:W359"/>
    <mergeCell ref="T371:T372"/>
    <mergeCell ref="U371:U372"/>
    <mergeCell ref="V371:V372"/>
    <mergeCell ref="W371:W372"/>
    <mergeCell ref="U365:U366"/>
    <mergeCell ref="R377:W377"/>
    <mergeCell ref="R370:W370"/>
    <mergeCell ref="R371:S374"/>
    <mergeCell ref="V365:V366"/>
    <mergeCell ref="W365:W366"/>
    <mergeCell ref="R394:S397"/>
    <mergeCell ref="T394:T395"/>
    <mergeCell ref="R378:W378"/>
    <mergeCell ref="R380:S384"/>
    <mergeCell ref="T380:T382"/>
    <mergeCell ref="U380:U382"/>
    <mergeCell ref="V380:V382"/>
    <mergeCell ref="W380:W382"/>
    <mergeCell ref="R386:W386"/>
    <mergeCell ref="R387:S390"/>
    <mergeCell ref="T387:T388"/>
    <mergeCell ref="U387:U388"/>
    <mergeCell ref="V387:V388"/>
    <mergeCell ref="W387:W388"/>
    <mergeCell ref="T400:T401"/>
    <mergeCell ref="U400:U401"/>
    <mergeCell ref="V400:V401"/>
    <mergeCell ref="W400:W401"/>
    <mergeCell ref="U394:U395"/>
    <mergeCell ref="R406:W406"/>
    <mergeCell ref="R399:W399"/>
    <mergeCell ref="R400:S403"/>
    <mergeCell ref="V394:V395"/>
    <mergeCell ref="W394:W395"/>
    <mergeCell ref="R407:W407"/>
    <mergeCell ref="R409:S413"/>
    <mergeCell ref="T409:T411"/>
    <mergeCell ref="U409:U411"/>
    <mergeCell ref="V409:V411"/>
    <mergeCell ref="W409:W411"/>
    <mergeCell ref="V423:V424"/>
    <mergeCell ref="R415:W415"/>
    <mergeCell ref="R416:S419"/>
    <mergeCell ref="T416:T417"/>
    <mergeCell ref="U416:U417"/>
    <mergeCell ref="V416:V417"/>
    <mergeCell ref="W416:W417"/>
    <mergeCell ref="W423:W424"/>
    <mergeCell ref="R423:S426"/>
    <mergeCell ref="T423:T424"/>
    <mergeCell ref="U423:U424"/>
    <mergeCell ref="R435:W437"/>
    <mergeCell ref="R438:W438"/>
    <mergeCell ref="R439:W439"/>
    <mergeCell ref="R428:W428"/>
    <mergeCell ref="R429:S432"/>
    <mergeCell ref="T429:T430"/>
    <mergeCell ref="U429:U430"/>
    <mergeCell ref="V429:V430"/>
    <mergeCell ref="W429:W430"/>
    <mergeCell ref="R441:S445"/>
    <mergeCell ref="T441:T443"/>
    <mergeCell ref="U441:U443"/>
    <mergeCell ref="V441:V443"/>
    <mergeCell ref="W441:W443"/>
    <mergeCell ref="V455:V456"/>
    <mergeCell ref="R447:W447"/>
    <mergeCell ref="R448:S451"/>
    <mergeCell ref="T448:T449"/>
    <mergeCell ref="U448:U449"/>
    <mergeCell ref="V448:V449"/>
    <mergeCell ref="W448:W449"/>
    <mergeCell ref="W455:W456"/>
    <mergeCell ref="R455:S458"/>
    <mergeCell ref="T455:T456"/>
    <mergeCell ref="U455:U456"/>
    <mergeCell ref="R467:W467"/>
    <mergeCell ref="R468:W468"/>
    <mergeCell ref="R460:W460"/>
    <mergeCell ref="R461:S464"/>
    <mergeCell ref="T461:T462"/>
    <mergeCell ref="U461:U462"/>
    <mergeCell ref="V461:V462"/>
    <mergeCell ref="W461:W462"/>
    <mergeCell ref="R470:S474"/>
    <mergeCell ref="T470:T472"/>
    <mergeCell ref="U470:U472"/>
    <mergeCell ref="V470:V472"/>
    <mergeCell ref="W470:W472"/>
    <mergeCell ref="V484:V485"/>
    <mergeCell ref="R476:W476"/>
    <mergeCell ref="R477:S480"/>
    <mergeCell ref="T477:T478"/>
    <mergeCell ref="U477:U478"/>
    <mergeCell ref="V477:V478"/>
    <mergeCell ref="W477:W478"/>
    <mergeCell ref="W484:W485"/>
    <mergeCell ref="R484:S487"/>
    <mergeCell ref="T484:T485"/>
    <mergeCell ref="U484:U485"/>
    <mergeCell ref="R496:W496"/>
    <mergeCell ref="R497:W497"/>
    <mergeCell ref="R489:W489"/>
    <mergeCell ref="R490:S493"/>
    <mergeCell ref="T490:T491"/>
    <mergeCell ref="U490:U491"/>
    <mergeCell ref="V490:V491"/>
    <mergeCell ref="W490:W491"/>
    <mergeCell ref="R499:S503"/>
    <mergeCell ref="T499:T501"/>
    <mergeCell ref="U499:U501"/>
    <mergeCell ref="V499:V501"/>
    <mergeCell ref="W499:W501"/>
    <mergeCell ref="V513:V514"/>
    <mergeCell ref="R505:W505"/>
    <mergeCell ref="R506:S509"/>
    <mergeCell ref="T506:T507"/>
    <mergeCell ref="U506:U507"/>
    <mergeCell ref="V506:V507"/>
    <mergeCell ref="W506:W507"/>
    <mergeCell ref="W513:W514"/>
    <mergeCell ref="R513:S516"/>
    <mergeCell ref="T513:T514"/>
    <mergeCell ref="U513:U514"/>
    <mergeCell ref="R525:W525"/>
    <mergeCell ref="R526:W526"/>
    <mergeCell ref="R518:W518"/>
    <mergeCell ref="R519:S522"/>
    <mergeCell ref="T519:T520"/>
    <mergeCell ref="U519:U520"/>
    <mergeCell ref="V519:V520"/>
    <mergeCell ref="W519:W520"/>
    <mergeCell ref="R528:S532"/>
    <mergeCell ref="T528:T530"/>
    <mergeCell ref="U528:U530"/>
    <mergeCell ref="V528:V530"/>
    <mergeCell ref="W528:W530"/>
    <mergeCell ref="V542:V543"/>
    <mergeCell ref="R534:W534"/>
    <mergeCell ref="R535:S538"/>
    <mergeCell ref="T535:T536"/>
    <mergeCell ref="U535:U536"/>
    <mergeCell ref="V535:V536"/>
    <mergeCell ref="W535:W536"/>
    <mergeCell ref="W542:W543"/>
    <mergeCell ref="R542:S545"/>
    <mergeCell ref="T542:T543"/>
    <mergeCell ref="U542:U543"/>
    <mergeCell ref="R547:W547"/>
    <mergeCell ref="R548:S551"/>
    <mergeCell ref="T548:T549"/>
    <mergeCell ref="U548:U549"/>
    <mergeCell ref="V548:V549"/>
    <mergeCell ref="W548:W549"/>
  </mergeCells>
  <phoneticPr fontId="0" type="noConversion"/>
  <conditionalFormatting sqref="U108:X109">
    <cfRule type="cellIs" dxfId="521" priority="1" stopIfTrue="1" operator="equal">
      <formula>"yes"</formula>
    </cfRule>
    <cfRule type="cellIs" dxfId="520" priority="2" stopIfTrue="1" operator="equal">
      <formula>"no"</formula>
    </cfRule>
  </conditionalFormatting>
  <conditionalFormatting sqref="X254:X255 X106:X107 X247:X248 X49:X50 X235:X236 X54:X55 X67:X68 X74:X75 X100:X101 X112:X113 X118:X119 X132:X133 X279:X280 X126:X127 X241:X242 X59:X60 Y286:Y287 S306:S307 X143:X144 X183:X184 X177:X178 X267:X268 X273:X274 Y213:Y214 X83 X90 X156:X157 X150:X151 X198:X199 X162:X163 X167:X168 X172:X173 X188:X189 X193:X194">
    <cfRule type="cellIs" dxfId="519" priority="3" stopIfTrue="1" operator="equal">
      <formula>$U$31</formula>
    </cfRule>
    <cfRule type="cellIs" dxfId="518" priority="4" stopIfTrue="1" operator="equal">
      <formula>$W$31</formula>
    </cfRule>
    <cfRule type="cellIs" dxfId="517" priority="5" stopIfTrue="1" operator="equal">
      <formula>$Y$31</formula>
    </cfRule>
  </conditionalFormatting>
  <conditionalFormatting sqref="V106:V107 V247:V248 V49:V50 V241:V242 V54:V55 V59:V60 V67:V68 V74:V75 W286:W287 V100:V101 V112:V113 V118:V119 V126:V127 V132:V133 V279:V280 V235:V236 V254:V255 T306:T307 V143:V144 V183:V184 V177:V178 V267:V268 V273:V274 W213:W214 V83 V90 V156:V157 V150:V151 V198:V199 V162:V163 V167:V168 V172:V173 V188:V189 V193:V194">
    <cfRule type="cellIs" dxfId="516" priority="6" stopIfTrue="1" operator="equal">
      <formula>$R$6</formula>
    </cfRule>
    <cfRule type="cellIs" dxfId="515" priority="7" stopIfTrue="1" operator="equal">
      <formula>$V$33</formula>
    </cfRule>
    <cfRule type="cellIs" dxfId="514" priority="8" stopIfTrue="1" operator="equal">
      <formula>$R$8</formula>
    </cfRule>
  </conditionalFormatting>
  <conditionalFormatting sqref="W106:W107 W126:W127 W247:W248 W49:W50 W241:W242 W54:W55 W59:W60 W67:W68 W74:W75 X286:X287 W100:W101 W112:W113 W118:W119 W132:W133 W279:W280 W235:W236 W254:W255 U306:U307 W143:W144 W183:W184 W177:W178 W267:W268 W273:W274 X213:X214 W83 W90 W156:W157 W150:W151 W198:W199 W162:W163 W167:W168 W172:W173 W188:W189 W193:W194">
    <cfRule type="cellIs" dxfId="513" priority="9" stopIfTrue="1" operator="equal">
      <formula>$R$6</formula>
    </cfRule>
    <cfRule type="cellIs" dxfId="512" priority="10" stopIfTrue="1" operator="equal">
      <formula>$R$7</formula>
    </cfRule>
    <cfRule type="cellIs" dxfId="511" priority="11" stopIfTrue="1" operator="equal">
      <formula>$W$33</formula>
    </cfRule>
  </conditionalFormatting>
  <conditionalFormatting sqref="R36 R44">
    <cfRule type="cellIs" dxfId="510" priority="12" stopIfTrue="1" operator="equal">
      <formula>$AI$31</formula>
    </cfRule>
    <cfRule type="cellIs" dxfId="509" priority="13" stopIfTrue="1" operator="equal">
      <formula>$AK$31</formula>
    </cfRule>
    <cfRule type="cellIs" dxfId="508" priority="14" stopIfTrue="1" operator="equal">
      <formula>$AM$31</formula>
    </cfRule>
  </conditionalFormatting>
  <conditionalFormatting sqref="R34 R42">
    <cfRule type="cellIs" dxfId="507" priority="15" stopIfTrue="1" operator="equal">
      <formula>$AF$6</formula>
    </cfRule>
    <cfRule type="cellIs" dxfId="506" priority="16" stopIfTrue="1" operator="equal">
      <formula>$AJ$33</formula>
    </cfRule>
    <cfRule type="cellIs" dxfId="505" priority="17" stopIfTrue="1" operator="equal">
      <formula>$AF$8</formula>
    </cfRule>
  </conditionalFormatting>
  <conditionalFormatting sqref="R35 R43">
    <cfRule type="cellIs" dxfId="504" priority="18" stopIfTrue="1" operator="equal">
      <formula>$AF$6</formula>
    </cfRule>
    <cfRule type="cellIs" dxfId="503" priority="19" stopIfTrue="1" operator="equal">
      <formula>$AF$7</formula>
    </cfRule>
    <cfRule type="cellIs" dxfId="502" priority="20" stopIfTrue="1" operator="equal">
      <formula>$AK$33</formula>
    </cfRule>
  </conditionalFormatting>
  <pageMargins left="0" right="0" top="0.59055118110236227" bottom="0.39370078740157483" header="0.51181102362204722" footer="0.51181102362204722"/>
  <pageSetup paperSize="9" scale="96" fitToHeight="6"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sheetPr codeName="Sheet1">
    <pageSetUpPr autoPageBreaks="0" fitToPage="1"/>
  </sheetPr>
  <dimension ref="A1:N200"/>
  <sheetViews>
    <sheetView showRowColHeaders="0" topLeftCell="A22" workbookViewId="0">
      <selection activeCell="E53" sqref="E53"/>
    </sheetView>
  </sheetViews>
  <sheetFormatPr defaultRowHeight="12.75"/>
  <cols>
    <col min="1" max="1" width="10.7109375" customWidth="1"/>
    <col min="2" max="11" width="12.7109375" customWidth="1"/>
    <col min="12" max="23" width="10.7109375" customWidth="1"/>
  </cols>
  <sheetData>
    <row r="1" spans="1:14" ht="13.5" thickBot="1">
      <c r="A1" s="114"/>
      <c r="B1" s="114"/>
      <c r="C1" s="114"/>
      <c r="D1" s="114"/>
      <c r="E1" s="114"/>
      <c r="F1" s="114"/>
      <c r="G1" s="114"/>
      <c r="H1" s="114"/>
      <c r="I1" s="114"/>
      <c r="J1" s="114"/>
      <c r="K1" s="114"/>
      <c r="L1" s="114"/>
      <c r="M1" s="114"/>
      <c r="N1" s="114"/>
    </row>
    <row r="2" spans="1:14" ht="13.5" thickTop="1">
      <c r="A2" s="114"/>
      <c r="B2" s="753" t="s">
        <v>463</v>
      </c>
      <c r="C2" s="754"/>
      <c r="D2" s="754"/>
      <c r="E2" s="754"/>
      <c r="F2" s="754"/>
      <c r="G2" s="754"/>
      <c r="H2" s="754"/>
      <c r="I2" s="754"/>
      <c r="J2" s="754"/>
      <c r="K2" s="755"/>
      <c r="L2" s="114"/>
      <c r="M2" s="114"/>
      <c r="N2" s="114"/>
    </row>
    <row r="3" spans="1:14" ht="13.5" thickBot="1">
      <c r="A3" s="114"/>
      <c r="B3" s="756"/>
      <c r="C3" s="757"/>
      <c r="D3" s="757"/>
      <c r="E3" s="757"/>
      <c r="F3" s="757"/>
      <c r="G3" s="757"/>
      <c r="H3" s="757"/>
      <c r="I3" s="757"/>
      <c r="J3" s="757"/>
      <c r="K3" s="758"/>
      <c r="L3" s="114"/>
      <c r="M3" s="114"/>
      <c r="N3" s="114"/>
    </row>
    <row r="4" spans="1:14" ht="13.5" thickTop="1">
      <c r="A4" s="114"/>
      <c r="B4" s="114"/>
      <c r="C4" s="114"/>
      <c r="D4" s="114"/>
      <c r="E4" s="114"/>
      <c r="F4" s="114"/>
      <c r="G4" s="114"/>
      <c r="H4" s="114"/>
      <c r="I4" s="114"/>
      <c r="J4" s="114"/>
      <c r="K4" s="114"/>
      <c r="L4" s="114"/>
      <c r="M4" s="114"/>
      <c r="N4" s="114"/>
    </row>
    <row r="5" spans="1:14">
      <c r="A5" s="114"/>
      <c r="B5" s="750" t="s">
        <v>346</v>
      </c>
      <c r="C5" s="750"/>
      <c r="D5" s="750"/>
      <c r="E5" s="750"/>
      <c r="F5" s="750"/>
      <c r="G5" s="750"/>
      <c r="H5" s="750"/>
      <c r="I5" s="750"/>
      <c r="J5" s="750"/>
      <c r="K5" s="750"/>
      <c r="L5" s="114"/>
      <c r="M5" s="114"/>
      <c r="N5" s="114"/>
    </row>
    <row r="6" spans="1:14">
      <c r="A6" s="114"/>
      <c r="B6" s="750"/>
      <c r="C6" s="750"/>
      <c r="D6" s="750"/>
      <c r="E6" s="750"/>
      <c r="F6" s="750"/>
      <c r="G6" s="750"/>
      <c r="H6" s="750"/>
      <c r="I6" s="750"/>
      <c r="J6" s="750"/>
      <c r="K6" s="750"/>
      <c r="L6" s="114"/>
      <c r="M6" s="114"/>
      <c r="N6" s="114"/>
    </row>
    <row r="7" spans="1:14">
      <c r="A7" s="114"/>
      <c r="B7" s="750"/>
      <c r="C7" s="750"/>
      <c r="D7" s="750"/>
      <c r="E7" s="750"/>
      <c r="F7" s="750"/>
      <c r="G7" s="750"/>
      <c r="H7" s="750"/>
      <c r="I7" s="750"/>
      <c r="J7" s="750"/>
      <c r="K7" s="750"/>
      <c r="L7" s="114"/>
      <c r="M7" s="114"/>
      <c r="N7" s="114"/>
    </row>
    <row r="8" spans="1:14">
      <c r="A8" s="114"/>
      <c r="B8" s="750"/>
      <c r="C8" s="750"/>
      <c r="D8" s="750"/>
      <c r="E8" s="750"/>
      <c r="F8" s="750"/>
      <c r="G8" s="750"/>
      <c r="H8" s="750"/>
      <c r="I8" s="750"/>
      <c r="J8" s="750"/>
      <c r="K8" s="750"/>
      <c r="L8" s="114"/>
      <c r="M8" s="114"/>
      <c r="N8" s="114"/>
    </row>
    <row r="9" spans="1:14">
      <c r="A9" s="114"/>
      <c r="B9" s="114"/>
      <c r="C9" s="114"/>
      <c r="D9" s="114"/>
      <c r="E9" s="114"/>
      <c r="F9" s="114"/>
      <c r="G9" s="114"/>
      <c r="H9" s="114"/>
      <c r="I9" s="114"/>
      <c r="J9" s="114"/>
      <c r="K9" s="114"/>
      <c r="L9" s="114"/>
      <c r="M9" s="114"/>
      <c r="N9" s="114"/>
    </row>
    <row r="10" spans="1:14">
      <c r="A10" s="114"/>
      <c r="B10" s="750" t="s">
        <v>10</v>
      </c>
      <c r="C10" s="750"/>
      <c r="D10" s="750"/>
      <c r="E10" s="750"/>
      <c r="F10" s="750"/>
      <c r="G10" s="750"/>
      <c r="H10" s="750"/>
      <c r="I10" s="750"/>
      <c r="J10" s="750"/>
      <c r="K10" s="750"/>
      <c r="L10" s="114"/>
      <c r="M10" s="114"/>
      <c r="N10" s="114"/>
    </row>
    <row r="11" spans="1:14">
      <c r="A11" s="114"/>
      <c r="B11" s="750"/>
      <c r="C11" s="750"/>
      <c r="D11" s="750"/>
      <c r="E11" s="750"/>
      <c r="F11" s="750"/>
      <c r="G11" s="750"/>
      <c r="H11" s="750"/>
      <c r="I11" s="750"/>
      <c r="J11" s="750"/>
      <c r="K11" s="750"/>
      <c r="L11" s="114"/>
      <c r="M11" s="114"/>
      <c r="N11" s="114"/>
    </row>
    <row r="12" spans="1:14">
      <c r="A12" s="114"/>
      <c r="B12" s="750"/>
      <c r="C12" s="750"/>
      <c r="D12" s="750"/>
      <c r="E12" s="750"/>
      <c r="F12" s="750"/>
      <c r="G12" s="750"/>
      <c r="H12" s="750"/>
      <c r="I12" s="750"/>
      <c r="J12" s="750"/>
      <c r="K12" s="750"/>
      <c r="L12" s="114"/>
      <c r="M12" s="114"/>
      <c r="N12" s="114"/>
    </row>
    <row r="13" spans="1:14">
      <c r="A13" s="114"/>
      <c r="B13" s="114"/>
      <c r="C13" s="114"/>
      <c r="D13" s="114"/>
      <c r="E13" s="114"/>
      <c r="F13" s="114"/>
      <c r="G13" s="114"/>
      <c r="H13" s="114"/>
      <c r="I13" s="114"/>
      <c r="J13" s="114"/>
      <c r="K13" s="114"/>
      <c r="L13" s="114"/>
      <c r="M13" s="114"/>
      <c r="N13" s="114"/>
    </row>
    <row r="14" spans="1:14">
      <c r="A14" s="114"/>
      <c r="B14" s="751" t="s">
        <v>399</v>
      </c>
      <c r="C14" s="751"/>
      <c r="D14" s="751"/>
      <c r="E14" s="751"/>
      <c r="F14" s="751"/>
      <c r="G14" s="751"/>
      <c r="H14" s="751"/>
      <c r="I14" s="751"/>
      <c r="J14" s="751"/>
      <c r="K14" s="751"/>
      <c r="L14" s="114"/>
      <c r="M14" s="114"/>
      <c r="N14" s="114"/>
    </row>
    <row r="15" spans="1:14">
      <c r="A15" s="114"/>
      <c r="B15" s="751"/>
      <c r="C15" s="751"/>
      <c r="D15" s="751"/>
      <c r="E15" s="751"/>
      <c r="F15" s="751"/>
      <c r="G15" s="751"/>
      <c r="H15" s="751"/>
      <c r="I15" s="751"/>
      <c r="J15" s="751"/>
      <c r="K15" s="751"/>
      <c r="L15" s="114"/>
      <c r="M15" s="114"/>
      <c r="N15" s="114"/>
    </row>
    <row r="16" spans="1:14">
      <c r="A16" s="114"/>
      <c r="B16" s="751"/>
      <c r="C16" s="751"/>
      <c r="D16" s="751"/>
      <c r="E16" s="751"/>
      <c r="F16" s="751"/>
      <c r="G16" s="751"/>
      <c r="H16" s="751"/>
      <c r="I16" s="751"/>
      <c r="J16" s="751"/>
      <c r="K16" s="751"/>
      <c r="L16" s="114"/>
      <c r="M16" s="114"/>
      <c r="N16" s="114"/>
    </row>
    <row r="17" spans="1:14">
      <c r="A17" s="114"/>
      <c r="B17" s="121"/>
      <c r="C17" s="114"/>
      <c r="D17" s="114"/>
      <c r="E17" s="114"/>
      <c r="F17" s="114"/>
      <c r="G17" s="114"/>
      <c r="H17" s="114"/>
      <c r="I17" s="114"/>
      <c r="J17" s="114"/>
      <c r="K17" s="114"/>
      <c r="L17" s="114"/>
      <c r="M17" s="114"/>
      <c r="N17" s="114"/>
    </row>
    <row r="18" spans="1:14">
      <c r="A18" s="114"/>
      <c r="B18" s="759" t="s">
        <v>400</v>
      </c>
      <c r="C18" s="759"/>
      <c r="D18" s="759"/>
      <c r="E18" s="759"/>
      <c r="F18" s="759"/>
      <c r="G18" s="759"/>
      <c r="H18" s="759"/>
      <c r="I18" s="759"/>
      <c r="J18" s="759"/>
      <c r="K18" s="759"/>
      <c r="L18" s="114"/>
      <c r="M18" s="114"/>
      <c r="N18" s="114"/>
    </row>
    <row r="19" spans="1:14">
      <c r="A19" s="114"/>
      <c r="B19" s="759"/>
      <c r="C19" s="759"/>
      <c r="D19" s="759"/>
      <c r="E19" s="759"/>
      <c r="F19" s="759"/>
      <c r="G19" s="759"/>
      <c r="H19" s="759"/>
      <c r="I19" s="759"/>
      <c r="J19" s="759"/>
      <c r="K19" s="759"/>
      <c r="L19" s="114"/>
      <c r="M19" s="114"/>
      <c r="N19" s="114"/>
    </row>
    <row r="20" spans="1:14">
      <c r="A20" s="114"/>
      <c r="B20" s="270"/>
      <c r="C20" s="114"/>
      <c r="D20" s="114"/>
      <c r="E20" s="114"/>
      <c r="F20" s="114"/>
      <c r="G20" s="114"/>
      <c r="H20" s="114"/>
      <c r="I20" s="114"/>
      <c r="J20" s="114"/>
      <c r="K20" s="114"/>
      <c r="L20" s="114"/>
      <c r="M20" s="114"/>
      <c r="N20" s="114"/>
    </row>
    <row r="21" spans="1:14">
      <c r="A21" s="114"/>
      <c r="B21" s="759" t="s">
        <v>401</v>
      </c>
      <c r="C21" s="759"/>
      <c r="D21" s="759"/>
      <c r="E21" s="759"/>
      <c r="F21" s="759"/>
      <c r="G21" s="759"/>
      <c r="H21" s="759"/>
      <c r="I21" s="759"/>
      <c r="J21" s="759"/>
      <c r="K21" s="759"/>
      <c r="L21" s="114"/>
      <c r="M21" s="114"/>
      <c r="N21" s="114"/>
    </row>
    <row r="22" spans="1:14">
      <c r="A22" s="114"/>
      <c r="B22" s="759"/>
      <c r="C22" s="759"/>
      <c r="D22" s="759"/>
      <c r="E22" s="759"/>
      <c r="F22" s="759"/>
      <c r="G22" s="759"/>
      <c r="H22" s="759"/>
      <c r="I22" s="759"/>
      <c r="J22" s="759"/>
      <c r="K22" s="759"/>
      <c r="L22" s="114"/>
      <c r="M22" s="114"/>
      <c r="N22" s="114"/>
    </row>
    <row r="23" spans="1:14">
      <c r="A23" s="114"/>
      <c r="B23" s="121"/>
      <c r="C23" s="114"/>
      <c r="D23" s="114"/>
      <c r="E23" s="114"/>
      <c r="F23" s="114"/>
      <c r="G23" s="114"/>
      <c r="H23" s="114"/>
      <c r="I23" s="114"/>
      <c r="J23" s="114"/>
      <c r="K23" s="114"/>
      <c r="L23" s="114"/>
      <c r="M23" s="114"/>
      <c r="N23" s="114"/>
    </row>
    <row r="24" spans="1:14">
      <c r="A24" s="114"/>
      <c r="B24" s="751" t="s">
        <v>402</v>
      </c>
      <c r="C24" s="751"/>
      <c r="D24" s="751"/>
      <c r="E24" s="751"/>
      <c r="F24" s="751"/>
      <c r="G24" s="751"/>
      <c r="H24" s="751"/>
      <c r="I24" s="751"/>
      <c r="J24" s="751"/>
      <c r="K24" s="751"/>
      <c r="L24" s="114"/>
      <c r="M24" s="114"/>
      <c r="N24" s="114"/>
    </row>
    <row r="25" spans="1:14">
      <c r="A25" s="114"/>
      <c r="B25" s="751"/>
      <c r="C25" s="751"/>
      <c r="D25" s="751"/>
      <c r="E25" s="751"/>
      <c r="F25" s="751"/>
      <c r="G25" s="751"/>
      <c r="H25" s="751"/>
      <c r="I25" s="751"/>
      <c r="J25" s="751"/>
      <c r="K25" s="751"/>
      <c r="L25" s="114"/>
      <c r="M25" s="114"/>
      <c r="N25" s="114"/>
    </row>
    <row r="26" spans="1:14">
      <c r="A26" s="114"/>
      <c r="B26" s="751"/>
      <c r="C26" s="751"/>
      <c r="D26" s="751"/>
      <c r="E26" s="751"/>
      <c r="F26" s="751"/>
      <c r="G26" s="751"/>
      <c r="H26" s="751"/>
      <c r="I26" s="751"/>
      <c r="J26" s="751"/>
      <c r="K26" s="751"/>
      <c r="L26" s="114"/>
      <c r="M26" s="114"/>
      <c r="N26" s="114"/>
    </row>
    <row r="27" spans="1:14">
      <c r="A27" s="114"/>
      <c r="B27" s="114"/>
      <c r="C27" s="114"/>
      <c r="D27" s="114"/>
      <c r="E27" s="114"/>
      <c r="F27" s="114"/>
      <c r="G27" s="114"/>
      <c r="H27" s="114"/>
      <c r="I27" s="114"/>
      <c r="J27" s="114"/>
      <c r="K27" s="114"/>
      <c r="L27" s="114"/>
      <c r="M27" s="114"/>
      <c r="N27" s="114"/>
    </row>
    <row r="28" spans="1:14">
      <c r="A28" s="114"/>
      <c r="B28" s="751" t="s">
        <v>11</v>
      </c>
      <c r="C28" s="751"/>
      <c r="D28" s="751"/>
      <c r="E28" s="751"/>
      <c r="F28" s="751"/>
      <c r="G28" s="751"/>
      <c r="H28" s="751"/>
      <c r="I28" s="751"/>
      <c r="J28" s="751"/>
      <c r="K28" s="751"/>
      <c r="L28" s="114"/>
      <c r="M28" s="114"/>
      <c r="N28" s="114"/>
    </row>
    <row r="29" spans="1:14">
      <c r="A29" s="114"/>
      <c r="B29" s="751"/>
      <c r="C29" s="751"/>
      <c r="D29" s="751"/>
      <c r="E29" s="751"/>
      <c r="F29" s="751"/>
      <c r="G29" s="751"/>
      <c r="H29" s="751"/>
      <c r="I29" s="751"/>
      <c r="J29" s="751"/>
      <c r="K29" s="751"/>
      <c r="L29" s="114"/>
      <c r="M29" s="114"/>
      <c r="N29" s="114"/>
    </row>
    <row r="30" spans="1:14">
      <c r="A30" s="114"/>
      <c r="B30" s="751"/>
      <c r="C30" s="751"/>
      <c r="D30" s="751"/>
      <c r="E30" s="751"/>
      <c r="F30" s="751"/>
      <c r="G30" s="751"/>
      <c r="H30" s="751"/>
      <c r="I30" s="751"/>
      <c r="J30" s="751"/>
      <c r="K30" s="751"/>
      <c r="L30" s="114"/>
      <c r="M30" s="114"/>
      <c r="N30" s="114"/>
    </row>
    <row r="31" spans="1:14">
      <c r="A31" s="114"/>
      <c r="B31" s="114"/>
      <c r="C31" s="114"/>
      <c r="D31" s="114"/>
      <c r="E31" s="114"/>
      <c r="F31" s="114"/>
      <c r="G31" s="114"/>
      <c r="H31" s="114"/>
      <c r="I31" s="114"/>
      <c r="J31" s="114"/>
      <c r="K31" s="114"/>
      <c r="L31" s="114"/>
      <c r="M31" s="114"/>
      <c r="N31" s="114"/>
    </row>
    <row r="32" spans="1:14">
      <c r="A32" s="114"/>
      <c r="B32" s="751" t="s">
        <v>587</v>
      </c>
      <c r="C32" s="751"/>
      <c r="D32" s="751"/>
      <c r="E32" s="751"/>
      <c r="F32" s="751"/>
      <c r="G32" s="751"/>
      <c r="H32" s="751"/>
      <c r="I32" s="751"/>
      <c r="J32" s="751"/>
      <c r="K32" s="751"/>
      <c r="L32" s="114"/>
      <c r="M32" s="114"/>
      <c r="N32" s="114"/>
    </row>
    <row r="33" spans="1:14">
      <c r="A33" s="114"/>
      <c r="B33" s="751"/>
      <c r="C33" s="751"/>
      <c r="D33" s="751"/>
      <c r="E33" s="751"/>
      <c r="F33" s="751"/>
      <c r="G33" s="751"/>
      <c r="H33" s="751"/>
      <c r="I33" s="751"/>
      <c r="J33" s="751"/>
      <c r="K33" s="751"/>
      <c r="L33" s="114"/>
      <c r="M33" s="114"/>
      <c r="N33" s="114"/>
    </row>
    <row r="34" spans="1:14">
      <c r="A34" s="114"/>
      <c r="B34" s="751"/>
      <c r="C34" s="751"/>
      <c r="D34" s="751"/>
      <c r="E34" s="751"/>
      <c r="F34" s="751"/>
      <c r="G34" s="751"/>
      <c r="H34" s="751"/>
      <c r="I34" s="751"/>
      <c r="J34" s="751"/>
      <c r="K34" s="751"/>
      <c r="L34" s="114"/>
      <c r="M34" s="114"/>
      <c r="N34" s="114"/>
    </row>
    <row r="35" spans="1:14">
      <c r="A35" s="114"/>
      <c r="B35" s="751"/>
      <c r="C35" s="751"/>
      <c r="D35" s="751"/>
      <c r="E35" s="751"/>
      <c r="F35" s="751"/>
      <c r="G35" s="751"/>
      <c r="H35" s="751"/>
      <c r="I35" s="751"/>
      <c r="J35" s="751"/>
      <c r="K35" s="751"/>
      <c r="L35" s="114"/>
      <c r="M35" s="114"/>
      <c r="N35" s="114"/>
    </row>
    <row r="36" spans="1:14">
      <c r="A36" s="114"/>
      <c r="B36" s="751"/>
      <c r="C36" s="751"/>
      <c r="D36" s="751"/>
      <c r="E36" s="751"/>
      <c r="F36" s="751"/>
      <c r="G36" s="751"/>
      <c r="H36" s="751"/>
      <c r="I36" s="751"/>
      <c r="J36" s="751"/>
      <c r="K36" s="751"/>
      <c r="L36" s="114"/>
      <c r="M36" s="114"/>
      <c r="N36" s="114"/>
    </row>
    <row r="37" spans="1:14">
      <c r="A37" s="114"/>
      <c r="B37" s="751"/>
      <c r="C37" s="751"/>
      <c r="D37" s="751"/>
      <c r="E37" s="751"/>
      <c r="F37" s="751"/>
      <c r="G37" s="751"/>
      <c r="H37" s="751"/>
      <c r="I37" s="751"/>
      <c r="J37" s="751"/>
      <c r="K37" s="751"/>
      <c r="L37" s="114"/>
      <c r="M37" s="114"/>
      <c r="N37" s="114"/>
    </row>
    <row r="38" spans="1:14">
      <c r="A38" s="114"/>
      <c r="B38" s="751"/>
      <c r="C38" s="751"/>
      <c r="D38" s="751"/>
      <c r="E38" s="751"/>
      <c r="F38" s="751"/>
      <c r="G38" s="751"/>
      <c r="H38" s="751"/>
      <c r="I38" s="751"/>
      <c r="J38" s="751"/>
      <c r="K38" s="751"/>
      <c r="L38" s="114"/>
      <c r="M38" s="114"/>
      <c r="N38" s="114"/>
    </row>
    <row r="39" spans="1:14">
      <c r="A39" s="114"/>
      <c r="B39" s="114"/>
      <c r="C39" s="114"/>
      <c r="D39" s="114"/>
      <c r="E39" s="114"/>
      <c r="F39" s="114"/>
      <c r="G39" s="114"/>
      <c r="H39" s="114"/>
      <c r="I39" s="114"/>
      <c r="J39" s="114"/>
      <c r="K39" s="114"/>
      <c r="L39" s="114"/>
      <c r="M39" s="114"/>
      <c r="N39" s="114"/>
    </row>
    <row r="40" spans="1:14">
      <c r="A40" s="114"/>
      <c r="B40" s="752" t="s">
        <v>156</v>
      </c>
      <c r="C40" s="752"/>
      <c r="D40" s="752"/>
      <c r="E40" s="752"/>
      <c r="F40" s="752"/>
      <c r="G40" s="752"/>
      <c r="H40" s="752"/>
      <c r="I40" s="752"/>
      <c r="J40" s="752"/>
      <c r="K40" s="752"/>
      <c r="L40" s="114"/>
      <c r="M40" s="114"/>
      <c r="N40" s="114"/>
    </row>
    <row r="41" spans="1:14">
      <c r="A41" s="114"/>
      <c r="B41" s="752"/>
      <c r="C41" s="752"/>
      <c r="D41" s="752"/>
      <c r="E41" s="752"/>
      <c r="F41" s="752"/>
      <c r="G41" s="752"/>
      <c r="H41" s="752"/>
      <c r="I41" s="752"/>
      <c r="J41" s="752"/>
      <c r="K41" s="752"/>
      <c r="L41" s="114"/>
      <c r="M41" s="114"/>
      <c r="N41" s="114"/>
    </row>
    <row r="42" spans="1:14">
      <c r="A42" s="114"/>
      <c r="B42" s="752"/>
      <c r="C42" s="752"/>
      <c r="D42" s="752"/>
      <c r="E42" s="752"/>
      <c r="F42" s="752"/>
      <c r="G42" s="752"/>
      <c r="H42" s="752"/>
      <c r="I42" s="752"/>
      <c r="J42" s="752"/>
      <c r="K42" s="752"/>
      <c r="L42" s="114"/>
      <c r="M42" s="114"/>
      <c r="N42" s="114"/>
    </row>
    <row r="43" spans="1:14">
      <c r="A43" s="114"/>
      <c r="B43" s="114"/>
      <c r="C43" s="114"/>
      <c r="D43" s="114"/>
      <c r="E43" s="114"/>
      <c r="F43" s="114"/>
      <c r="G43" s="114"/>
      <c r="H43" s="114"/>
      <c r="I43" s="114"/>
      <c r="J43" s="114"/>
      <c r="K43" s="114"/>
      <c r="L43" s="114"/>
      <c r="M43" s="114"/>
      <c r="N43" s="114"/>
    </row>
    <row r="44" spans="1:14">
      <c r="A44" s="114"/>
      <c r="B44" s="751" t="s">
        <v>157</v>
      </c>
      <c r="C44" s="751"/>
      <c r="D44" s="751"/>
      <c r="E44" s="751"/>
      <c r="F44" s="751"/>
      <c r="G44" s="751"/>
      <c r="H44" s="751"/>
      <c r="I44" s="751"/>
      <c r="J44" s="751"/>
      <c r="K44" s="751"/>
      <c r="L44" s="114"/>
      <c r="M44" s="114"/>
      <c r="N44" s="114"/>
    </row>
    <row r="45" spans="1:14">
      <c r="A45" s="114"/>
      <c r="B45" s="751"/>
      <c r="C45" s="751"/>
      <c r="D45" s="751"/>
      <c r="E45" s="751"/>
      <c r="F45" s="751"/>
      <c r="G45" s="751"/>
      <c r="H45" s="751"/>
      <c r="I45" s="751"/>
      <c r="J45" s="751"/>
      <c r="K45" s="751"/>
      <c r="L45" s="114"/>
      <c r="M45" s="114"/>
      <c r="N45" s="114"/>
    </row>
    <row r="46" spans="1:14">
      <c r="A46" s="114"/>
      <c r="B46" s="751"/>
      <c r="C46" s="751"/>
      <c r="D46" s="751"/>
      <c r="E46" s="751"/>
      <c r="F46" s="751"/>
      <c r="G46" s="751"/>
      <c r="H46" s="751"/>
      <c r="I46" s="751"/>
      <c r="J46" s="751"/>
      <c r="K46" s="751"/>
      <c r="L46" s="114"/>
      <c r="M46" s="114"/>
      <c r="N46" s="114"/>
    </row>
    <row r="47" spans="1:14">
      <c r="A47" s="114"/>
      <c r="B47" s="751"/>
      <c r="C47" s="751"/>
      <c r="D47" s="751"/>
      <c r="E47" s="751"/>
      <c r="F47" s="751"/>
      <c r="G47" s="751"/>
      <c r="H47" s="751"/>
      <c r="I47" s="751"/>
      <c r="J47" s="751"/>
      <c r="K47" s="751"/>
      <c r="L47" s="114"/>
      <c r="M47" s="114"/>
      <c r="N47" s="114"/>
    </row>
    <row r="48" spans="1:14">
      <c r="A48" s="114"/>
      <c r="B48" s="751"/>
      <c r="C48" s="751"/>
      <c r="D48" s="751"/>
      <c r="E48" s="751"/>
      <c r="F48" s="751"/>
      <c r="G48" s="751"/>
      <c r="H48" s="751"/>
      <c r="I48" s="751"/>
      <c r="J48" s="751"/>
      <c r="K48" s="751"/>
      <c r="L48" s="114"/>
      <c r="M48" s="114"/>
      <c r="N48" s="114"/>
    </row>
    <row r="49" spans="1:14">
      <c r="A49" s="114"/>
      <c r="B49" s="114"/>
      <c r="C49" s="114"/>
      <c r="D49" s="114"/>
      <c r="E49" s="114"/>
      <c r="F49" s="114"/>
      <c r="G49" s="114"/>
      <c r="H49" s="114"/>
      <c r="I49" s="114"/>
      <c r="J49" s="114"/>
      <c r="K49" s="114"/>
      <c r="L49" s="114"/>
      <c r="M49" s="114"/>
      <c r="N49" s="114"/>
    </row>
    <row r="50" spans="1:14">
      <c r="A50" s="114"/>
      <c r="B50" s="114"/>
      <c r="C50" s="114"/>
      <c r="D50" s="114"/>
      <c r="E50" s="114"/>
      <c r="F50" s="114"/>
      <c r="G50" s="114"/>
      <c r="H50" s="114"/>
      <c r="I50" s="114"/>
      <c r="J50" s="114"/>
      <c r="K50" s="114"/>
      <c r="L50" s="114"/>
      <c r="M50" s="114"/>
      <c r="N50" s="114"/>
    </row>
    <row r="51" spans="1:14">
      <c r="A51" s="114"/>
      <c r="B51" s="114"/>
      <c r="C51" s="114"/>
      <c r="D51" s="114"/>
      <c r="E51" s="114"/>
      <c r="F51" s="114"/>
      <c r="G51" s="114"/>
      <c r="H51" s="114"/>
      <c r="I51" s="114"/>
      <c r="J51" s="114"/>
      <c r="K51" s="114"/>
      <c r="L51" s="114"/>
      <c r="M51" s="114"/>
      <c r="N51" s="114"/>
    </row>
    <row r="52" spans="1:14">
      <c r="A52" s="114"/>
      <c r="B52" s="114"/>
      <c r="C52" s="114"/>
      <c r="D52" s="114"/>
      <c r="E52" s="114"/>
      <c r="F52" s="114"/>
      <c r="G52" s="114"/>
      <c r="H52" s="114"/>
      <c r="I52" s="114"/>
      <c r="J52" s="114"/>
      <c r="K52" s="114"/>
      <c r="L52" s="114"/>
      <c r="M52" s="114"/>
      <c r="N52" s="114"/>
    </row>
    <row r="53" spans="1:14">
      <c r="A53" s="114"/>
      <c r="B53" s="114"/>
      <c r="C53" s="114"/>
      <c r="D53" s="114"/>
      <c r="E53" s="114"/>
      <c r="F53" s="114"/>
      <c r="G53" s="114"/>
      <c r="H53" s="114"/>
      <c r="I53" s="114"/>
      <c r="J53" s="114"/>
      <c r="K53" s="114"/>
      <c r="L53" s="114"/>
      <c r="M53" s="114"/>
      <c r="N53" s="114"/>
    </row>
    <row r="54" spans="1:14">
      <c r="A54" s="114"/>
      <c r="B54" s="114"/>
      <c r="C54" s="114"/>
      <c r="D54" s="114"/>
      <c r="E54" s="114"/>
      <c r="F54" s="114"/>
      <c r="G54" s="114"/>
      <c r="H54" s="114"/>
      <c r="I54" s="114"/>
      <c r="J54" s="114"/>
      <c r="K54" s="114"/>
      <c r="L54" s="114"/>
      <c r="M54" s="114"/>
      <c r="N54" s="114"/>
    </row>
    <row r="55" spans="1:14">
      <c r="A55" s="114"/>
      <c r="B55" s="114"/>
      <c r="C55" s="114"/>
      <c r="D55" s="114"/>
      <c r="E55" s="114"/>
      <c r="F55" s="114"/>
      <c r="G55" s="114"/>
      <c r="H55" s="114"/>
      <c r="I55" s="114"/>
      <c r="J55" s="114"/>
      <c r="K55" s="114"/>
      <c r="L55" s="114"/>
      <c r="M55" s="114"/>
      <c r="N55" s="114"/>
    </row>
    <row r="56" spans="1:14">
      <c r="A56" s="114"/>
      <c r="B56" s="114"/>
      <c r="C56" s="114"/>
      <c r="D56" s="114"/>
      <c r="E56" s="114"/>
      <c r="F56" s="114"/>
      <c r="G56" s="114"/>
      <c r="H56" s="114"/>
      <c r="I56" s="114"/>
      <c r="J56" s="114"/>
      <c r="K56" s="114"/>
      <c r="L56" s="114"/>
      <c r="M56" s="114"/>
      <c r="N56" s="114"/>
    </row>
    <row r="57" spans="1:14">
      <c r="A57" s="114"/>
      <c r="B57" s="114"/>
      <c r="C57" s="114"/>
      <c r="D57" s="114"/>
      <c r="E57" s="114"/>
      <c r="F57" s="114"/>
      <c r="G57" s="114"/>
      <c r="H57" s="114"/>
      <c r="I57" s="114"/>
      <c r="J57" s="114"/>
      <c r="K57" s="114"/>
      <c r="L57" s="114"/>
      <c r="M57" s="114"/>
      <c r="N57" s="114"/>
    </row>
    <row r="58" spans="1:14">
      <c r="A58" s="114"/>
      <c r="B58" s="114"/>
      <c r="C58" s="114"/>
      <c r="D58" s="114"/>
      <c r="E58" s="114"/>
      <c r="F58" s="114"/>
      <c r="G58" s="114"/>
      <c r="H58" s="114"/>
      <c r="I58" s="114"/>
      <c r="J58" s="114"/>
      <c r="K58" s="114"/>
      <c r="L58" s="114"/>
      <c r="M58" s="114"/>
      <c r="N58" s="114"/>
    </row>
    <row r="59" spans="1:14">
      <c r="A59" s="114"/>
      <c r="B59" s="114"/>
      <c r="C59" s="114"/>
      <c r="D59" s="114"/>
      <c r="E59" s="114"/>
      <c r="F59" s="114"/>
      <c r="G59" s="114"/>
      <c r="H59" s="114"/>
      <c r="I59" s="114"/>
      <c r="J59" s="114"/>
      <c r="K59" s="114"/>
      <c r="L59" s="114"/>
      <c r="M59" s="114"/>
      <c r="N59" s="114"/>
    </row>
    <row r="60" spans="1:14">
      <c r="A60" s="114"/>
      <c r="B60" s="114"/>
      <c r="C60" s="114"/>
      <c r="D60" s="114"/>
      <c r="E60" s="114"/>
      <c r="F60" s="114"/>
      <c r="G60" s="114"/>
      <c r="H60" s="114"/>
      <c r="I60" s="114"/>
      <c r="J60" s="114"/>
      <c r="K60" s="114"/>
      <c r="L60" s="114"/>
      <c r="M60" s="114"/>
      <c r="N60" s="114"/>
    </row>
    <row r="61" spans="1:14">
      <c r="A61" s="114"/>
      <c r="B61" s="114"/>
      <c r="C61" s="114"/>
      <c r="D61" s="114"/>
      <c r="E61" s="114"/>
      <c r="F61" s="114"/>
      <c r="G61" s="114"/>
      <c r="H61" s="114"/>
      <c r="I61" s="114"/>
      <c r="J61" s="114"/>
      <c r="K61" s="114"/>
      <c r="L61" s="114"/>
      <c r="M61" s="114"/>
      <c r="N61" s="114"/>
    </row>
    <row r="62" spans="1:14">
      <c r="A62" s="114"/>
      <c r="B62" s="114"/>
      <c r="C62" s="114"/>
      <c r="D62" s="114"/>
      <c r="E62" s="114"/>
      <c r="F62" s="114"/>
      <c r="G62" s="114"/>
      <c r="H62" s="114"/>
      <c r="I62" s="114"/>
      <c r="J62" s="114"/>
      <c r="K62" s="114"/>
      <c r="L62" s="114"/>
      <c r="M62" s="114"/>
      <c r="N62" s="114"/>
    </row>
    <row r="63" spans="1:14">
      <c r="A63" s="114"/>
      <c r="B63" s="114"/>
      <c r="C63" s="114"/>
      <c r="D63" s="114"/>
      <c r="E63" s="114"/>
      <c r="F63" s="114"/>
      <c r="G63" s="114"/>
      <c r="H63" s="114"/>
      <c r="I63" s="114"/>
      <c r="J63" s="114"/>
      <c r="K63" s="114"/>
      <c r="L63" s="114"/>
      <c r="M63" s="114"/>
      <c r="N63" s="114"/>
    </row>
    <row r="64" spans="1:14">
      <c r="A64" s="114"/>
      <c r="B64" s="114"/>
      <c r="C64" s="114"/>
      <c r="D64" s="114"/>
      <c r="E64" s="114"/>
      <c r="F64" s="114"/>
      <c r="G64" s="114"/>
      <c r="H64" s="114"/>
      <c r="I64" s="114"/>
      <c r="J64" s="114"/>
      <c r="K64" s="114"/>
      <c r="L64" s="114"/>
      <c r="M64" s="114"/>
      <c r="N64" s="114"/>
    </row>
    <row r="65" spans="1:14">
      <c r="A65" s="114"/>
      <c r="B65" s="114"/>
      <c r="C65" s="114"/>
      <c r="D65" s="114"/>
      <c r="E65" s="114"/>
      <c r="F65" s="114"/>
      <c r="G65" s="114"/>
      <c r="H65" s="114"/>
      <c r="I65" s="114"/>
      <c r="J65" s="114"/>
      <c r="K65" s="114"/>
      <c r="L65" s="114"/>
      <c r="M65" s="114"/>
      <c r="N65" s="114"/>
    </row>
    <row r="66" spans="1:14">
      <c r="A66" s="114"/>
      <c r="B66" s="114"/>
      <c r="C66" s="114"/>
      <c r="D66" s="114"/>
      <c r="E66" s="114"/>
      <c r="F66" s="114"/>
      <c r="G66" s="114"/>
      <c r="H66" s="114"/>
      <c r="I66" s="114"/>
      <c r="J66" s="114"/>
      <c r="K66" s="114"/>
      <c r="L66" s="114"/>
      <c r="M66" s="114"/>
      <c r="N66" s="114"/>
    </row>
    <row r="67" spans="1:14">
      <c r="A67" s="114"/>
      <c r="B67" s="114"/>
      <c r="C67" s="114"/>
      <c r="D67" s="114"/>
      <c r="E67" s="114"/>
      <c r="F67" s="114"/>
      <c r="G67" s="114"/>
      <c r="H67" s="114"/>
      <c r="I67" s="114"/>
      <c r="J67" s="114"/>
      <c r="K67" s="114"/>
      <c r="L67" s="114"/>
      <c r="M67" s="114"/>
      <c r="N67" s="114"/>
    </row>
    <row r="68" spans="1:14">
      <c r="A68" s="114"/>
      <c r="B68" s="114"/>
      <c r="C68" s="114"/>
      <c r="D68" s="114"/>
      <c r="E68" s="114"/>
      <c r="F68" s="114"/>
      <c r="G68" s="114"/>
      <c r="H68" s="114"/>
      <c r="I68" s="114"/>
      <c r="J68" s="114"/>
      <c r="K68" s="114"/>
      <c r="L68" s="114"/>
      <c r="M68" s="114"/>
      <c r="N68" s="114"/>
    </row>
    <row r="69" spans="1:14">
      <c r="A69" s="114"/>
      <c r="B69" s="114"/>
      <c r="C69" s="114"/>
      <c r="D69" s="114"/>
      <c r="E69" s="114"/>
      <c r="F69" s="114"/>
      <c r="G69" s="114"/>
      <c r="H69" s="114"/>
      <c r="I69" s="114"/>
      <c r="J69" s="114"/>
      <c r="K69" s="114"/>
      <c r="L69" s="114"/>
      <c r="M69" s="114"/>
      <c r="N69" s="114"/>
    </row>
    <row r="70" spans="1:14">
      <c r="A70" s="114"/>
      <c r="B70" s="114"/>
      <c r="C70" s="114"/>
      <c r="D70" s="114"/>
      <c r="E70" s="114"/>
      <c r="F70" s="114"/>
      <c r="G70" s="114"/>
      <c r="H70" s="114"/>
      <c r="I70" s="114"/>
      <c r="J70" s="114"/>
      <c r="K70" s="114"/>
      <c r="L70" s="114"/>
      <c r="M70" s="114"/>
      <c r="N70" s="114"/>
    </row>
    <row r="71" spans="1:14">
      <c r="A71" s="114"/>
      <c r="B71" s="114"/>
      <c r="C71" s="114"/>
      <c r="D71" s="114"/>
      <c r="E71" s="114"/>
      <c r="F71" s="114"/>
      <c r="G71" s="114"/>
      <c r="H71" s="114"/>
      <c r="I71" s="114"/>
      <c r="J71" s="114"/>
      <c r="K71" s="114"/>
      <c r="L71" s="114"/>
      <c r="M71" s="114"/>
      <c r="N71" s="114"/>
    </row>
    <row r="72" spans="1:14">
      <c r="A72" s="114"/>
      <c r="B72" s="114"/>
      <c r="C72" s="114"/>
      <c r="D72" s="114"/>
      <c r="E72" s="114"/>
      <c r="F72" s="114"/>
      <c r="G72" s="114"/>
      <c r="H72" s="114"/>
      <c r="I72" s="114"/>
      <c r="J72" s="114"/>
      <c r="K72" s="114"/>
      <c r="L72" s="114"/>
      <c r="M72" s="114"/>
      <c r="N72" s="114"/>
    </row>
    <row r="73" spans="1:14">
      <c r="A73" s="114"/>
      <c r="B73" s="114"/>
      <c r="C73" s="114"/>
      <c r="D73" s="114"/>
      <c r="E73" s="114"/>
      <c r="F73" s="114"/>
      <c r="G73" s="114"/>
      <c r="H73" s="114"/>
      <c r="I73" s="114"/>
      <c r="J73" s="114"/>
      <c r="K73" s="114"/>
      <c r="L73" s="114"/>
      <c r="M73" s="114"/>
      <c r="N73" s="114"/>
    </row>
    <row r="74" spans="1:14">
      <c r="A74" s="114"/>
      <c r="B74" s="114"/>
      <c r="C74" s="114"/>
      <c r="D74" s="114"/>
      <c r="E74" s="114"/>
      <c r="F74" s="114"/>
      <c r="G74" s="114"/>
      <c r="H74" s="114"/>
      <c r="I74" s="114"/>
      <c r="J74" s="114"/>
      <c r="K74" s="114"/>
      <c r="L74" s="114"/>
      <c r="M74" s="114"/>
      <c r="N74" s="114"/>
    </row>
    <row r="75" spans="1:14">
      <c r="A75" s="114"/>
      <c r="B75" s="114"/>
      <c r="C75" s="114"/>
      <c r="D75" s="114"/>
      <c r="E75" s="114"/>
      <c r="F75" s="114"/>
      <c r="G75" s="114"/>
      <c r="H75" s="114"/>
      <c r="I75" s="114"/>
      <c r="J75" s="114"/>
      <c r="K75" s="114"/>
      <c r="L75" s="114"/>
      <c r="M75" s="114"/>
      <c r="N75" s="114"/>
    </row>
    <row r="76" spans="1:14">
      <c r="A76" s="114"/>
      <c r="B76" s="114"/>
      <c r="C76" s="114"/>
      <c r="D76" s="114"/>
      <c r="E76" s="114"/>
      <c r="F76" s="114"/>
      <c r="G76" s="114"/>
      <c r="H76" s="114"/>
      <c r="I76" s="114"/>
      <c r="J76" s="114"/>
      <c r="K76" s="114"/>
      <c r="L76" s="114"/>
      <c r="M76" s="114"/>
      <c r="N76" s="114"/>
    </row>
    <row r="77" spans="1:14">
      <c r="A77" s="114"/>
      <c r="B77" s="114"/>
      <c r="C77" s="114"/>
      <c r="D77" s="114"/>
      <c r="E77" s="114"/>
      <c r="F77" s="114"/>
      <c r="G77" s="114"/>
      <c r="H77" s="114"/>
      <c r="I77" s="114"/>
      <c r="J77" s="114"/>
      <c r="K77" s="114"/>
      <c r="L77" s="114"/>
      <c r="M77" s="114"/>
      <c r="N77" s="114"/>
    </row>
    <row r="78" spans="1:14">
      <c r="A78" s="114"/>
      <c r="B78" s="114"/>
      <c r="C78" s="114"/>
      <c r="D78" s="114"/>
      <c r="E78" s="114"/>
      <c r="F78" s="114"/>
      <c r="G78" s="114"/>
      <c r="H78" s="114"/>
      <c r="I78" s="114"/>
      <c r="J78" s="114"/>
      <c r="K78" s="114"/>
      <c r="L78" s="114"/>
      <c r="M78" s="114"/>
      <c r="N78" s="114"/>
    </row>
    <row r="79" spans="1:14">
      <c r="A79" s="114"/>
      <c r="B79" s="114"/>
      <c r="C79" s="114"/>
      <c r="D79" s="114"/>
      <c r="E79" s="114"/>
      <c r="F79" s="114"/>
      <c r="G79" s="114"/>
      <c r="H79" s="114"/>
      <c r="I79" s="114"/>
      <c r="J79" s="114"/>
      <c r="K79" s="114"/>
      <c r="L79" s="114"/>
      <c r="M79" s="114"/>
      <c r="N79" s="114"/>
    </row>
    <row r="80" spans="1:14">
      <c r="A80" s="114"/>
      <c r="B80" s="114"/>
      <c r="C80" s="114"/>
      <c r="D80" s="114"/>
      <c r="E80" s="114"/>
      <c r="F80" s="114"/>
      <c r="G80" s="114"/>
      <c r="H80" s="114"/>
      <c r="I80" s="114"/>
      <c r="J80" s="114"/>
      <c r="K80" s="114"/>
      <c r="L80" s="114"/>
      <c r="M80" s="114"/>
      <c r="N80" s="114"/>
    </row>
    <row r="81" spans="1:14">
      <c r="A81" s="114"/>
      <c r="B81" s="114"/>
      <c r="C81" s="114"/>
      <c r="D81" s="114"/>
      <c r="E81" s="114"/>
      <c r="F81" s="114"/>
      <c r="G81" s="114"/>
      <c r="H81" s="114"/>
      <c r="I81" s="114"/>
      <c r="J81" s="114"/>
      <c r="K81" s="114"/>
      <c r="L81" s="114"/>
      <c r="M81" s="114"/>
      <c r="N81" s="114"/>
    </row>
    <row r="82" spans="1:14">
      <c r="A82" s="114"/>
      <c r="B82" s="114"/>
      <c r="C82" s="114"/>
      <c r="D82" s="114"/>
      <c r="E82" s="114"/>
      <c r="F82" s="114"/>
      <c r="G82" s="114"/>
      <c r="H82" s="114"/>
      <c r="I82" s="114"/>
      <c r="J82" s="114"/>
      <c r="K82" s="114"/>
      <c r="L82" s="114"/>
      <c r="M82" s="114"/>
      <c r="N82" s="114"/>
    </row>
    <row r="83" spans="1:14">
      <c r="A83" s="114"/>
      <c r="B83" s="114"/>
      <c r="C83" s="114"/>
      <c r="D83" s="114"/>
      <c r="E83" s="114"/>
      <c r="F83" s="114"/>
      <c r="G83" s="114"/>
      <c r="H83" s="114"/>
      <c r="I83" s="114"/>
      <c r="J83" s="114"/>
      <c r="K83" s="114"/>
      <c r="L83" s="114"/>
      <c r="M83" s="114"/>
      <c r="N83" s="114"/>
    </row>
    <row r="84" spans="1:14">
      <c r="A84" s="114"/>
      <c r="B84" s="114"/>
      <c r="C84" s="114"/>
      <c r="D84" s="114"/>
      <c r="E84" s="114"/>
      <c r="F84" s="114"/>
      <c r="G84" s="114"/>
      <c r="H84" s="114"/>
      <c r="I84" s="114"/>
      <c r="J84" s="114"/>
      <c r="K84" s="114"/>
      <c r="L84" s="114"/>
      <c r="M84" s="114"/>
      <c r="N84" s="114"/>
    </row>
    <row r="85" spans="1:14">
      <c r="A85" s="114"/>
      <c r="B85" s="114"/>
      <c r="C85" s="114"/>
      <c r="D85" s="114"/>
      <c r="E85" s="114"/>
      <c r="F85" s="114"/>
      <c r="G85" s="114"/>
      <c r="H85" s="114"/>
      <c r="I85" s="114"/>
      <c r="J85" s="114"/>
      <c r="K85" s="114"/>
      <c r="L85" s="114"/>
      <c r="M85" s="114"/>
      <c r="N85" s="114"/>
    </row>
    <row r="86" spans="1:14">
      <c r="A86" s="114"/>
      <c r="B86" s="114"/>
      <c r="C86" s="114"/>
      <c r="D86" s="114"/>
      <c r="E86" s="114"/>
      <c r="F86" s="114"/>
      <c r="G86" s="114"/>
      <c r="H86" s="114"/>
      <c r="I86" s="114"/>
      <c r="J86" s="114"/>
      <c r="K86" s="114"/>
      <c r="L86" s="114"/>
      <c r="M86" s="114"/>
      <c r="N86" s="114"/>
    </row>
    <row r="87" spans="1:14">
      <c r="A87" s="114"/>
      <c r="B87" s="114"/>
      <c r="C87" s="114"/>
      <c r="D87" s="114"/>
      <c r="E87" s="114"/>
      <c r="F87" s="114"/>
      <c r="G87" s="114"/>
      <c r="H87" s="114"/>
      <c r="I87" s="114"/>
      <c r="J87" s="114"/>
      <c r="K87" s="114"/>
      <c r="L87" s="114"/>
      <c r="M87" s="114"/>
      <c r="N87" s="114"/>
    </row>
    <row r="88" spans="1:14">
      <c r="A88" s="114"/>
      <c r="B88" s="114"/>
      <c r="C88" s="114"/>
      <c r="D88" s="114"/>
      <c r="E88" s="114"/>
      <c r="F88" s="114"/>
      <c r="G88" s="114"/>
      <c r="H88" s="114"/>
      <c r="I88" s="114"/>
      <c r="J88" s="114"/>
      <c r="K88" s="114"/>
      <c r="L88" s="114"/>
      <c r="M88" s="114"/>
      <c r="N88" s="114"/>
    </row>
    <row r="89" spans="1:14">
      <c r="A89" s="114"/>
      <c r="B89" s="114"/>
      <c r="C89" s="114"/>
      <c r="D89" s="114"/>
      <c r="E89" s="114"/>
      <c r="F89" s="114"/>
      <c r="G89" s="114"/>
      <c r="H89" s="114"/>
      <c r="I89" s="114"/>
      <c r="J89" s="114"/>
      <c r="K89" s="114"/>
      <c r="L89" s="114"/>
      <c r="M89" s="114"/>
      <c r="N89" s="114"/>
    </row>
    <row r="90" spans="1:14">
      <c r="A90" s="114"/>
      <c r="B90" s="114"/>
      <c r="C90" s="114"/>
      <c r="D90" s="114"/>
      <c r="E90" s="114"/>
      <c r="F90" s="114"/>
      <c r="G90" s="114"/>
      <c r="H90" s="114"/>
      <c r="I90" s="114"/>
      <c r="J90" s="114"/>
      <c r="K90" s="114"/>
      <c r="L90" s="114"/>
      <c r="M90" s="114"/>
      <c r="N90" s="114"/>
    </row>
    <row r="91" spans="1:14">
      <c r="A91" s="114"/>
      <c r="B91" s="114"/>
      <c r="C91" s="114"/>
      <c r="D91" s="114"/>
      <c r="E91" s="114"/>
      <c r="F91" s="114"/>
      <c r="G91" s="114"/>
      <c r="H91" s="114"/>
      <c r="I91" s="114"/>
      <c r="J91" s="114"/>
      <c r="K91" s="114"/>
      <c r="L91" s="114"/>
      <c r="M91" s="114"/>
      <c r="N91" s="114"/>
    </row>
    <row r="92" spans="1:14">
      <c r="A92" s="114"/>
      <c r="B92" s="114"/>
      <c r="C92" s="114"/>
      <c r="D92" s="114"/>
      <c r="E92" s="114"/>
      <c r="F92" s="114"/>
      <c r="G92" s="114"/>
      <c r="H92" s="114"/>
      <c r="I92" s="114"/>
      <c r="J92" s="114"/>
      <c r="K92" s="114"/>
      <c r="L92" s="114"/>
      <c r="M92" s="114"/>
      <c r="N92" s="114"/>
    </row>
    <row r="93" spans="1:14">
      <c r="A93" s="114"/>
      <c r="B93" s="114"/>
      <c r="C93" s="114"/>
      <c r="D93" s="114"/>
      <c r="E93" s="114"/>
      <c r="F93" s="114"/>
      <c r="G93" s="114"/>
      <c r="H93" s="114"/>
      <c r="I93" s="114"/>
      <c r="J93" s="114"/>
      <c r="K93" s="114"/>
      <c r="L93" s="114"/>
      <c r="M93" s="114"/>
      <c r="N93" s="114"/>
    </row>
    <row r="94" spans="1:14">
      <c r="A94" s="114"/>
      <c r="B94" s="114"/>
      <c r="C94" s="114"/>
      <c r="D94" s="114"/>
      <c r="E94" s="114"/>
      <c r="F94" s="114"/>
      <c r="G94" s="114"/>
      <c r="H94" s="114"/>
      <c r="I94" s="114"/>
      <c r="J94" s="114"/>
      <c r="K94" s="114"/>
      <c r="L94" s="114"/>
      <c r="M94" s="114"/>
      <c r="N94" s="114"/>
    </row>
    <row r="95" spans="1:14">
      <c r="A95" s="114"/>
      <c r="B95" s="114"/>
      <c r="C95" s="114"/>
      <c r="D95" s="114"/>
      <c r="E95" s="114"/>
      <c r="F95" s="114"/>
      <c r="G95" s="114"/>
      <c r="H95" s="114"/>
      <c r="I95" s="114"/>
      <c r="J95" s="114"/>
      <c r="K95" s="114"/>
      <c r="L95" s="114"/>
      <c r="M95" s="114"/>
      <c r="N95" s="114"/>
    </row>
    <row r="96" spans="1:14">
      <c r="A96" s="114"/>
      <c r="B96" s="114"/>
      <c r="C96" s="114"/>
      <c r="D96" s="114"/>
      <c r="E96" s="114"/>
      <c r="F96" s="114"/>
      <c r="G96" s="114"/>
      <c r="H96" s="114"/>
      <c r="I96" s="114"/>
      <c r="J96" s="114"/>
      <c r="K96" s="114"/>
      <c r="L96" s="114"/>
      <c r="M96" s="114"/>
      <c r="N96" s="114"/>
    </row>
    <row r="97" spans="1:14">
      <c r="A97" s="114"/>
      <c r="B97" s="114"/>
      <c r="C97" s="114"/>
      <c r="D97" s="114"/>
      <c r="E97" s="114"/>
      <c r="F97" s="114"/>
      <c r="G97" s="114"/>
      <c r="H97" s="114"/>
      <c r="I97" s="114"/>
      <c r="J97" s="114"/>
      <c r="K97" s="114"/>
      <c r="L97" s="114"/>
      <c r="M97" s="114"/>
      <c r="N97" s="114"/>
    </row>
    <row r="98" spans="1:14">
      <c r="A98" s="114"/>
      <c r="B98" s="114"/>
      <c r="C98" s="114"/>
      <c r="D98" s="114"/>
      <c r="E98" s="114"/>
      <c r="F98" s="114"/>
      <c r="G98" s="114"/>
      <c r="H98" s="114"/>
      <c r="I98" s="114"/>
      <c r="J98" s="114"/>
      <c r="K98" s="114"/>
      <c r="L98" s="114"/>
      <c r="M98" s="114"/>
      <c r="N98" s="114"/>
    </row>
    <row r="99" spans="1:14">
      <c r="A99" s="114"/>
      <c r="B99" s="114"/>
      <c r="C99" s="114"/>
      <c r="D99" s="114"/>
      <c r="E99" s="114"/>
      <c r="F99" s="114"/>
      <c r="G99" s="114"/>
      <c r="H99" s="114"/>
      <c r="I99" s="114"/>
      <c r="J99" s="114"/>
      <c r="K99" s="114"/>
      <c r="L99" s="114"/>
      <c r="M99" s="114"/>
      <c r="N99" s="114"/>
    </row>
    <row r="100" spans="1:14">
      <c r="A100" s="114"/>
      <c r="B100" s="114"/>
      <c r="C100" s="114"/>
      <c r="D100" s="114"/>
      <c r="E100" s="114"/>
      <c r="F100" s="114"/>
      <c r="G100" s="114"/>
      <c r="H100" s="114"/>
      <c r="I100" s="114"/>
      <c r="J100" s="114"/>
      <c r="K100" s="114"/>
      <c r="L100" s="114"/>
      <c r="M100" s="114"/>
      <c r="N100" s="114"/>
    </row>
    <row r="101" spans="1:14">
      <c r="A101" s="114"/>
      <c r="B101" s="114"/>
      <c r="C101" s="114"/>
      <c r="D101" s="114"/>
      <c r="E101" s="114"/>
      <c r="F101" s="114"/>
      <c r="G101" s="114"/>
      <c r="H101" s="114"/>
      <c r="I101" s="114"/>
      <c r="J101" s="114"/>
      <c r="K101" s="114"/>
      <c r="L101" s="114"/>
      <c r="M101" s="114"/>
      <c r="N101" s="114"/>
    </row>
    <row r="102" spans="1:14">
      <c r="A102" s="114"/>
      <c r="B102" s="114"/>
      <c r="C102" s="114"/>
      <c r="D102" s="114"/>
      <c r="E102" s="114"/>
      <c r="F102" s="114"/>
      <c r="G102" s="114"/>
      <c r="H102" s="114"/>
      <c r="I102" s="114"/>
      <c r="J102" s="114"/>
      <c r="K102" s="114"/>
      <c r="L102" s="114"/>
      <c r="M102" s="114"/>
      <c r="N102" s="114"/>
    </row>
    <row r="103" spans="1:14">
      <c r="A103" s="114"/>
      <c r="B103" s="114"/>
      <c r="C103" s="114"/>
      <c r="D103" s="114"/>
      <c r="E103" s="114"/>
      <c r="F103" s="114"/>
      <c r="G103" s="114"/>
      <c r="H103" s="114"/>
      <c r="I103" s="114"/>
      <c r="J103" s="114"/>
      <c r="K103" s="114"/>
      <c r="L103" s="114"/>
      <c r="M103" s="114"/>
      <c r="N103" s="114"/>
    </row>
    <row r="104" spans="1:14">
      <c r="A104" s="114"/>
      <c r="B104" s="114"/>
      <c r="C104" s="114"/>
      <c r="D104" s="114"/>
      <c r="E104" s="114"/>
      <c r="F104" s="114"/>
      <c r="G104" s="114"/>
      <c r="H104" s="114"/>
      <c r="I104" s="114"/>
      <c r="J104" s="114"/>
      <c r="K104" s="114"/>
      <c r="L104" s="114"/>
      <c r="M104" s="114"/>
      <c r="N104" s="114"/>
    </row>
    <row r="105" spans="1:14">
      <c r="A105" s="114"/>
      <c r="B105" s="114"/>
      <c r="C105" s="114"/>
      <c r="D105" s="114"/>
      <c r="E105" s="114"/>
      <c r="F105" s="114"/>
      <c r="G105" s="114"/>
      <c r="H105" s="114"/>
      <c r="I105" s="114"/>
      <c r="J105" s="114"/>
      <c r="K105" s="114"/>
      <c r="L105" s="114"/>
      <c r="M105" s="114"/>
      <c r="N105" s="114"/>
    </row>
    <row r="106" spans="1:14">
      <c r="A106" s="114"/>
      <c r="B106" s="114"/>
      <c r="C106" s="114"/>
      <c r="D106" s="114"/>
      <c r="E106" s="114"/>
      <c r="F106" s="114"/>
      <c r="G106" s="114"/>
      <c r="H106" s="114"/>
      <c r="I106" s="114"/>
      <c r="J106" s="114"/>
      <c r="K106" s="114"/>
      <c r="L106" s="114"/>
      <c r="M106" s="114"/>
      <c r="N106" s="114"/>
    </row>
    <row r="107" spans="1:14">
      <c r="A107" s="114"/>
      <c r="B107" s="114"/>
      <c r="C107" s="114"/>
      <c r="D107" s="114"/>
      <c r="E107" s="114"/>
      <c r="F107" s="114"/>
      <c r="G107" s="114"/>
      <c r="H107" s="114"/>
      <c r="I107" s="114"/>
      <c r="J107" s="114"/>
      <c r="K107" s="114"/>
      <c r="L107" s="114"/>
      <c r="M107" s="114"/>
      <c r="N107" s="114"/>
    </row>
    <row r="108" spans="1:14">
      <c r="A108" s="114"/>
      <c r="B108" s="114"/>
      <c r="C108" s="114"/>
      <c r="D108" s="114"/>
      <c r="E108" s="114"/>
      <c r="F108" s="114"/>
      <c r="G108" s="114"/>
      <c r="H108" s="114"/>
      <c r="I108" s="114"/>
      <c r="J108" s="114"/>
      <c r="K108" s="114"/>
      <c r="L108" s="114"/>
      <c r="M108" s="114"/>
      <c r="N108" s="114"/>
    </row>
    <row r="109" spans="1:14">
      <c r="A109" s="114"/>
      <c r="B109" s="114"/>
      <c r="C109" s="114"/>
      <c r="D109" s="114"/>
      <c r="E109" s="114"/>
      <c r="F109" s="114"/>
      <c r="G109" s="114"/>
      <c r="H109" s="114"/>
      <c r="I109" s="114"/>
      <c r="J109" s="114"/>
      <c r="K109" s="114"/>
      <c r="L109" s="114"/>
      <c r="M109" s="114"/>
      <c r="N109" s="114"/>
    </row>
    <row r="110" spans="1:14">
      <c r="A110" s="114"/>
      <c r="B110" s="114"/>
      <c r="C110" s="114"/>
      <c r="D110" s="114"/>
      <c r="E110" s="114"/>
      <c r="F110" s="114"/>
      <c r="G110" s="114"/>
      <c r="H110" s="114"/>
      <c r="I110" s="114"/>
      <c r="J110" s="114"/>
      <c r="K110" s="114"/>
      <c r="L110" s="114"/>
      <c r="M110" s="114"/>
      <c r="N110" s="114"/>
    </row>
    <row r="111" spans="1:14">
      <c r="A111" s="114"/>
      <c r="B111" s="114"/>
      <c r="C111" s="114"/>
      <c r="D111" s="114"/>
      <c r="E111" s="114"/>
      <c r="F111" s="114"/>
      <c r="G111" s="114"/>
      <c r="H111" s="114"/>
      <c r="I111" s="114"/>
      <c r="J111" s="114"/>
      <c r="K111" s="114"/>
      <c r="L111" s="114"/>
      <c r="M111" s="114"/>
      <c r="N111" s="114"/>
    </row>
    <row r="112" spans="1:14">
      <c r="A112" s="114"/>
      <c r="B112" s="114"/>
      <c r="C112" s="114"/>
      <c r="D112" s="114"/>
      <c r="E112" s="114"/>
      <c r="F112" s="114"/>
      <c r="G112" s="114"/>
      <c r="H112" s="114"/>
      <c r="I112" s="114"/>
      <c r="J112" s="114"/>
      <c r="K112" s="114"/>
      <c r="L112" s="114"/>
      <c r="M112" s="114"/>
      <c r="N112" s="114"/>
    </row>
    <row r="113" spans="1:14">
      <c r="A113" s="114"/>
      <c r="B113" s="114"/>
      <c r="C113" s="114"/>
      <c r="D113" s="114"/>
      <c r="E113" s="114"/>
      <c r="F113" s="114"/>
      <c r="G113" s="114"/>
      <c r="H113" s="114"/>
      <c r="I113" s="114"/>
      <c r="J113" s="114"/>
      <c r="K113" s="114"/>
      <c r="L113" s="114"/>
      <c r="M113" s="114"/>
      <c r="N113" s="114"/>
    </row>
    <row r="114" spans="1:14">
      <c r="A114" s="114"/>
      <c r="B114" s="114"/>
      <c r="C114" s="114"/>
      <c r="D114" s="114"/>
      <c r="E114" s="114"/>
      <c r="F114" s="114"/>
      <c r="G114" s="114"/>
      <c r="H114" s="114"/>
      <c r="I114" s="114"/>
      <c r="J114" s="114"/>
      <c r="K114" s="114"/>
      <c r="L114" s="114"/>
      <c r="M114" s="114"/>
      <c r="N114" s="114"/>
    </row>
    <row r="115" spans="1:14">
      <c r="A115" s="114"/>
      <c r="B115" s="114"/>
      <c r="C115" s="114"/>
      <c r="D115" s="114"/>
      <c r="E115" s="114"/>
      <c r="F115" s="114"/>
      <c r="G115" s="114"/>
      <c r="H115" s="114"/>
      <c r="I115" s="114"/>
      <c r="J115" s="114"/>
      <c r="K115" s="114"/>
      <c r="L115" s="114"/>
      <c r="M115" s="114"/>
      <c r="N115" s="114"/>
    </row>
    <row r="116" spans="1:14">
      <c r="A116" s="114"/>
      <c r="B116" s="114"/>
      <c r="C116" s="114"/>
      <c r="D116" s="114"/>
      <c r="E116" s="114"/>
      <c r="F116" s="114"/>
      <c r="G116" s="114"/>
      <c r="H116" s="114"/>
      <c r="I116" s="114"/>
      <c r="J116" s="114"/>
      <c r="K116" s="114"/>
      <c r="L116" s="114"/>
      <c r="M116" s="114"/>
      <c r="N116" s="114"/>
    </row>
    <row r="117" spans="1:14">
      <c r="A117" s="10"/>
      <c r="B117" s="10"/>
      <c r="C117" s="10"/>
      <c r="D117" s="10"/>
      <c r="E117" s="10"/>
      <c r="F117" s="10"/>
      <c r="G117" s="10"/>
      <c r="H117" s="10"/>
      <c r="I117" s="10"/>
      <c r="J117" s="10"/>
      <c r="K117" s="10"/>
      <c r="L117" s="10"/>
    </row>
    <row r="118" spans="1:14">
      <c r="A118" s="10"/>
      <c r="B118" s="10"/>
      <c r="C118" s="10"/>
      <c r="D118" s="10"/>
      <c r="E118" s="10"/>
      <c r="F118" s="10"/>
      <c r="G118" s="10"/>
      <c r="H118" s="10"/>
      <c r="I118" s="10"/>
      <c r="J118" s="10"/>
      <c r="K118" s="10"/>
      <c r="L118" s="10"/>
    </row>
    <row r="119" spans="1:14">
      <c r="A119" s="10"/>
      <c r="B119" s="10"/>
      <c r="C119" s="10"/>
      <c r="D119" s="10"/>
      <c r="E119" s="10"/>
      <c r="F119" s="10"/>
      <c r="G119" s="10"/>
      <c r="H119" s="10"/>
      <c r="I119" s="10"/>
      <c r="J119" s="10"/>
      <c r="K119" s="10"/>
      <c r="L119" s="10"/>
    </row>
    <row r="120" spans="1:14">
      <c r="A120" s="10"/>
      <c r="B120" s="10"/>
      <c r="C120" s="10"/>
      <c r="D120" s="10"/>
      <c r="E120" s="10"/>
      <c r="F120" s="10"/>
      <c r="G120" s="10"/>
      <c r="H120" s="10"/>
      <c r="I120" s="10"/>
      <c r="J120" s="10"/>
      <c r="K120" s="10"/>
      <c r="L120" s="10"/>
    </row>
    <row r="121" spans="1:14">
      <c r="A121" s="10"/>
      <c r="B121" s="10"/>
      <c r="C121" s="10"/>
      <c r="D121" s="10"/>
      <c r="E121" s="10"/>
      <c r="F121" s="10"/>
      <c r="G121" s="10"/>
      <c r="H121" s="10"/>
      <c r="I121" s="10"/>
      <c r="J121" s="10"/>
      <c r="K121" s="10"/>
      <c r="L121" s="10"/>
    </row>
    <row r="122" spans="1:14">
      <c r="A122" s="10"/>
      <c r="B122" s="10"/>
      <c r="C122" s="10"/>
      <c r="D122" s="10"/>
      <c r="E122" s="10"/>
      <c r="F122" s="10"/>
      <c r="G122" s="10"/>
      <c r="H122" s="10"/>
      <c r="I122" s="10"/>
      <c r="J122" s="10"/>
      <c r="K122" s="10"/>
      <c r="L122" s="10"/>
    </row>
    <row r="123" spans="1:14">
      <c r="A123" s="10"/>
      <c r="B123" s="10"/>
      <c r="C123" s="10"/>
      <c r="D123" s="10"/>
      <c r="E123" s="10"/>
      <c r="F123" s="10"/>
      <c r="G123" s="10"/>
      <c r="H123" s="10"/>
      <c r="I123" s="10"/>
      <c r="J123" s="10"/>
      <c r="K123" s="10"/>
      <c r="L123" s="10"/>
    </row>
    <row r="124" spans="1:14">
      <c r="A124" s="10"/>
      <c r="B124" s="10"/>
      <c r="C124" s="10"/>
      <c r="D124" s="10"/>
      <c r="E124" s="10"/>
      <c r="F124" s="10"/>
      <c r="G124" s="10"/>
      <c r="H124" s="10"/>
      <c r="I124" s="10"/>
      <c r="J124" s="10"/>
      <c r="K124" s="10"/>
      <c r="L124" s="10"/>
    </row>
    <row r="125" spans="1:14">
      <c r="A125" s="10"/>
      <c r="B125" s="10"/>
      <c r="C125" s="10"/>
      <c r="D125" s="10"/>
      <c r="E125" s="10"/>
      <c r="F125" s="10"/>
      <c r="G125" s="10"/>
      <c r="H125" s="10"/>
      <c r="I125" s="10"/>
      <c r="J125" s="10"/>
      <c r="K125" s="10"/>
      <c r="L125" s="10"/>
    </row>
    <row r="126" spans="1:14">
      <c r="A126" s="10"/>
      <c r="B126" s="10"/>
      <c r="C126" s="10"/>
      <c r="D126" s="10"/>
      <c r="E126" s="10"/>
      <c r="F126" s="10"/>
      <c r="G126" s="10"/>
      <c r="H126" s="10"/>
      <c r="I126" s="10"/>
      <c r="J126" s="10"/>
      <c r="K126" s="10"/>
      <c r="L126" s="10"/>
    </row>
    <row r="127" spans="1:14">
      <c r="A127" s="10"/>
      <c r="B127" s="10"/>
      <c r="C127" s="10"/>
      <c r="D127" s="10"/>
      <c r="E127" s="10"/>
      <c r="F127" s="10"/>
      <c r="G127" s="10"/>
      <c r="H127" s="10"/>
      <c r="I127" s="10"/>
      <c r="J127" s="10"/>
      <c r="K127" s="10"/>
      <c r="L127" s="10"/>
    </row>
    <row r="128" spans="1:14">
      <c r="A128" s="10"/>
      <c r="B128" s="10"/>
      <c r="C128" s="10"/>
      <c r="D128" s="10"/>
      <c r="E128" s="10"/>
      <c r="F128" s="10"/>
      <c r="G128" s="10"/>
      <c r="H128" s="10"/>
      <c r="I128" s="10"/>
      <c r="J128" s="10"/>
      <c r="K128" s="10"/>
      <c r="L128" s="10"/>
    </row>
    <row r="129" spans="1:12">
      <c r="A129" s="10"/>
      <c r="B129" s="10"/>
      <c r="C129" s="10"/>
      <c r="D129" s="10"/>
      <c r="E129" s="10"/>
      <c r="F129" s="10"/>
      <c r="G129" s="10"/>
      <c r="H129" s="10"/>
      <c r="I129" s="10"/>
      <c r="J129" s="10"/>
      <c r="K129" s="10"/>
      <c r="L129" s="10"/>
    </row>
    <row r="130" spans="1:12">
      <c r="A130" s="10"/>
      <c r="B130" s="10"/>
      <c r="C130" s="10"/>
      <c r="D130" s="10"/>
      <c r="E130" s="10"/>
      <c r="F130" s="10"/>
      <c r="G130" s="10"/>
      <c r="H130" s="10"/>
      <c r="I130" s="10"/>
      <c r="J130" s="10"/>
      <c r="K130" s="10"/>
      <c r="L130" s="10"/>
    </row>
    <row r="131" spans="1:12">
      <c r="A131" s="10"/>
      <c r="B131" s="10"/>
      <c r="C131" s="10"/>
      <c r="D131" s="10"/>
      <c r="E131" s="10"/>
      <c r="F131" s="10"/>
      <c r="G131" s="10"/>
      <c r="H131" s="10"/>
      <c r="I131" s="10"/>
      <c r="J131" s="10"/>
      <c r="K131" s="10"/>
      <c r="L131" s="10"/>
    </row>
    <row r="132" spans="1:12">
      <c r="A132" s="10"/>
      <c r="B132" s="10"/>
      <c r="C132" s="10"/>
      <c r="D132" s="10"/>
      <c r="E132" s="10"/>
      <c r="F132" s="10"/>
      <c r="G132" s="10"/>
      <c r="H132" s="10"/>
      <c r="I132" s="10"/>
      <c r="J132" s="10"/>
      <c r="K132" s="10"/>
      <c r="L132" s="10"/>
    </row>
    <row r="133" spans="1:12">
      <c r="A133" s="10"/>
      <c r="B133" s="10"/>
      <c r="C133" s="10"/>
      <c r="D133" s="10"/>
      <c r="E133" s="10"/>
      <c r="F133" s="10"/>
      <c r="G133" s="10"/>
      <c r="H133" s="10"/>
      <c r="I133" s="10"/>
      <c r="J133" s="10"/>
      <c r="K133" s="10"/>
      <c r="L133" s="10"/>
    </row>
    <row r="134" spans="1:12">
      <c r="A134" s="10"/>
      <c r="B134" s="10"/>
      <c r="C134" s="10"/>
      <c r="D134" s="10"/>
      <c r="E134" s="10"/>
      <c r="F134" s="10"/>
      <c r="G134" s="10"/>
      <c r="H134" s="10"/>
      <c r="I134" s="10"/>
      <c r="J134" s="10"/>
      <c r="K134" s="10"/>
      <c r="L134" s="10"/>
    </row>
    <row r="135" spans="1:12">
      <c r="A135" s="10"/>
      <c r="B135" s="10"/>
      <c r="C135" s="10"/>
      <c r="D135" s="10"/>
      <c r="E135" s="10"/>
      <c r="F135" s="10"/>
      <c r="G135" s="10"/>
      <c r="H135" s="10"/>
      <c r="I135" s="10"/>
      <c r="J135" s="10"/>
      <c r="K135" s="10"/>
      <c r="L135" s="10"/>
    </row>
    <row r="136" spans="1:12">
      <c r="A136" s="10"/>
      <c r="B136" s="10"/>
      <c r="C136" s="10"/>
      <c r="D136" s="10"/>
      <c r="E136" s="10"/>
      <c r="F136" s="10"/>
      <c r="G136" s="10"/>
      <c r="H136" s="10"/>
      <c r="I136" s="10"/>
      <c r="J136" s="10"/>
      <c r="K136" s="10"/>
      <c r="L136" s="10"/>
    </row>
    <row r="137" spans="1:12">
      <c r="A137" s="10"/>
      <c r="B137" s="10"/>
      <c r="C137" s="10"/>
      <c r="D137" s="10"/>
      <c r="E137" s="10"/>
      <c r="F137" s="10"/>
      <c r="G137" s="10"/>
      <c r="H137" s="10"/>
      <c r="I137" s="10"/>
      <c r="J137" s="10"/>
      <c r="K137" s="10"/>
      <c r="L137" s="10"/>
    </row>
    <row r="138" spans="1:12">
      <c r="A138" s="10"/>
      <c r="B138" s="10"/>
      <c r="C138" s="10"/>
      <c r="D138" s="10"/>
      <c r="E138" s="10"/>
      <c r="F138" s="10"/>
      <c r="G138" s="10"/>
      <c r="H138" s="10"/>
      <c r="I138" s="10"/>
      <c r="J138" s="10"/>
      <c r="K138" s="10"/>
      <c r="L138" s="10"/>
    </row>
    <row r="139" spans="1:12">
      <c r="A139" s="10"/>
      <c r="B139" s="10"/>
      <c r="C139" s="10"/>
      <c r="D139" s="10"/>
      <c r="E139" s="10"/>
      <c r="F139" s="10"/>
      <c r="G139" s="10"/>
      <c r="H139" s="10"/>
      <c r="I139" s="10"/>
      <c r="J139" s="10"/>
      <c r="K139" s="10"/>
      <c r="L139" s="10"/>
    </row>
    <row r="140" spans="1:12">
      <c r="A140" s="10"/>
      <c r="B140" s="10"/>
      <c r="C140" s="10"/>
      <c r="D140" s="10"/>
      <c r="E140" s="10"/>
      <c r="F140" s="10"/>
      <c r="G140" s="10"/>
      <c r="H140" s="10"/>
      <c r="I140" s="10"/>
      <c r="J140" s="10"/>
      <c r="K140" s="10"/>
      <c r="L140" s="10"/>
    </row>
    <row r="141" spans="1:12">
      <c r="A141" s="10"/>
      <c r="B141" s="10"/>
      <c r="C141" s="10"/>
      <c r="D141" s="10"/>
      <c r="E141" s="10"/>
      <c r="F141" s="10"/>
      <c r="G141" s="10"/>
      <c r="H141" s="10"/>
      <c r="I141" s="10"/>
      <c r="J141" s="10"/>
      <c r="K141" s="10"/>
      <c r="L141" s="10"/>
    </row>
    <row r="142" spans="1:12">
      <c r="A142" s="10"/>
      <c r="B142" s="10"/>
      <c r="C142" s="10"/>
      <c r="D142" s="10"/>
      <c r="E142" s="10"/>
      <c r="F142" s="10"/>
      <c r="G142" s="10"/>
      <c r="H142" s="10"/>
      <c r="I142" s="10"/>
      <c r="J142" s="10"/>
      <c r="K142" s="10"/>
      <c r="L142" s="10"/>
    </row>
    <row r="143" spans="1:12">
      <c r="A143" s="10"/>
      <c r="B143" s="10"/>
      <c r="C143" s="10"/>
      <c r="D143" s="10"/>
      <c r="E143" s="10"/>
      <c r="F143" s="10"/>
      <c r="G143" s="10"/>
      <c r="H143" s="10"/>
      <c r="I143" s="10"/>
      <c r="J143" s="10"/>
      <c r="K143" s="10"/>
      <c r="L143" s="10"/>
    </row>
    <row r="144" spans="1:12">
      <c r="A144" s="10"/>
      <c r="B144" s="10"/>
      <c r="C144" s="10"/>
      <c r="D144" s="10"/>
      <c r="E144" s="10"/>
      <c r="F144" s="10"/>
      <c r="G144" s="10"/>
      <c r="H144" s="10"/>
      <c r="I144" s="10"/>
      <c r="J144" s="10"/>
      <c r="K144" s="10"/>
      <c r="L144" s="10"/>
    </row>
    <row r="145" spans="1:12">
      <c r="A145" s="10"/>
      <c r="B145" s="10"/>
      <c r="C145" s="10"/>
      <c r="D145" s="10"/>
      <c r="E145" s="10"/>
      <c r="F145" s="10"/>
      <c r="G145" s="10"/>
      <c r="H145" s="10"/>
      <c r="I145" s="10"/>
      <c r="J145" s="10"/>
      <c r="K145" s="10"/>
      <c r="L145" s="10"/>
    </row>
    <row r="146" spans="1:12">
      <c r="A146" s="10"/>
      <c r="B146" s="10"/>
      <c r="C146" s="10"/>
      <c r="D146" s="10"/>
      <c r="E146" s="10"/>
      <c r="F146" s="10"/>
      <c r="G146" s="10"/>
      <c r="H146" s="10"/>
      <c r="I146" s="10"/>
      <c r="J146" s="10"/>
      <c r="K146" s="10"/>
      <c r="L146" s="10"/>
    </row>
    <row r="147" spans="1:12">
      <c r="A147" s="10"/>
      <c r="B147" s="10"/>
      <c r="C147" s="10"/>
      <c r="D147" s="10"/>
      <c r="E147" s="10"/>
      <c r="F147" s="10"/>
      <c r="G147" s="10"/>
      <c r="H147" s="10"/>
      <c r="I147" s="10"/>
      <c r="J147" s="10"/>
      <c r="K147" s="10"/>
      <c r="L147" s="10"/>
    </row>
    <row r="148" spans="1:12">
      <c r="A148" s="10"/>
      <c r="B148" s="10"/>
      <c r="C148" s="10"/>
      <c r="D148" s="10"/>
      <c r="E148" s="10"/>
      <c r="F148" s="10"/>
      <c r="G148" s="10"/>
      <c r="H148" s="10"/>
      <c r="I148" s="10"/>
      <c r="J148" s="10"/>
      <c r="K148" s="10"/>
      <c r="L148" s="10"/>
    </row>
    <row r="149" spans="1:12">
      <c r="A149" s="10"/>
      <c r="B149" s="10"/>
      <c r="C149" s="10"/>
      <c r="D149" s="10"/>
      <c r="E149" s="10"/>
      <c r="F149" s="10"/>
      <c r="G149" s="10"/>
      <c r="H149" s="10"/>
      <c r="I149" s="10"/>
      <c r="J149" s="10"/>
      <c r="K149" s="10"/>
      <c r="L149" s="10"/>
    </row>
    <row r="150" spans="1:12">
      <c r="A150" s="10"/>
      <c r="B150" s="10"/>
      <c r="C150" s="10"/>
      <c r="D150" s="10"/>
      <c r="E150" s="10"/>
      <c r="F150" s="10"/>
      <c r="G150" s="10"/>
      <c r="H150" s="10"/>
      <c r="I150" s="10"/>
      <c r="J150" s="10"/>
      <c r="K150" s="10"/>
      <c r="L150" s="10"/>
    </row>
    <row r="151" spans="1:12">
      <c r="A151" s="10"/>
      <c r="B151" s="10"/>
      <c r="C151" s="10"/>
      <c r="D151" s="10"/>
      <c r="E151" s="10"/>
      <c r="F151" s="10"/>
      <c r="G151" s="10"/>
      <c r="H151" s="10"/>
      <c r="I151" s="10"/>
      <c r="J151" s="10"/>
      <c r="K151" s="10"/>
      <c r="L151" s="10"/>
    </row>
    <row r="152" spans="1:12">
      <c r="A152" s="10"/>
      <c r="B152" s="10"/>
      <c r="C152" s="10"/>
      <c r="D152" s="10"/>
      <c r="E152" s="10"/>
      <c r="F152" s="10"/>
      <c r="G152" s="10"/>
      <c r="H152" s="10"/>
      <c r="I152" s="10"/>
      <c r="J152" s="10"/>
      <c r="K152" s="10"/>
      <c r="L152" s="10"/>
    </row>
    <row r="153" spans="1:12">
      <c r="A153" s="10"/>
      <c r="B153" s="10"/>
      <c r="C153" s="10"/>
      <c r="D153" s="10"/>
      <c r="E153" s="10"/>
      <c r="F153" s="10"/>
      <c r="G153" s="10"/>
      <c r="H153" s="10"/>
      <c r="I153" s="10"/>
      <c r="J153" s="10"/>
      <c r="K153" s="10"/>
      <c r="L153" s="10"/>
    </row>
    <row r="154" spans="1:12">
      <c r="A154" s="10"/>
      <c r="B154" s="10"/>
      <c r="C154" s="10"/>
      <c r="D154" s="10"/>
      <c r="E154" s="10"/>
      <c r="F154" s="10"/>
      <c r="G154" s="10"/>
      <c r="H154" s="10"/>
      <c r="I154" s="10"/>
      <c r="J154" s="10"/>
      <c r="K154" s="10"/>
      <c r="L154" s="10"/>
    </row>
    <row r="155" spans="1:12">
      <c r="A155" s="10"/>
      <c r="B155" s="10"/>
      <c r="C155" s="10"/>
      <c r="D155" s="10"/>
      <c r="E155" s="10"/>
      <c r="F155" s="10"/>
      <c r="G155" s="10"/>
      <c r="H155" s="10"/>
      <c r="I155" s="10"/>
      <c r="J155" s="10"/>
      <c r="K155" s="10"/>
      <c r="L155" s="10"/>
    </row>
    <row r="156" spans="1:12">
      <c r="A156" s="10"/>
      <c r="B156" s="10"/>
      <c r="C156" s="10"/>
      <c r="D156" s="10"/>
      <c r="E156" s="10"/>
      <c r="F156" s="10"/>
      <c r="G156" s="10"/>
      <c r="H156" s="10"/>
      <c r="I156" s="10"/>
      <c r="J156" s="10"/>
      <c r="K156" s="10"/>
      <c r="L156" s="10"/>
    </row>
    <row r="157" spans="1:12">
      <c r="A157" s="10"/>
      <c r="B157" s="10"/>
      <c r="C157" s="10"/>
      <c r="D157" s="10"/>
      <c r="E157" s="10"/>
      <c r="F157" s="10"/>
      <c r="G157" s="10"/>
      <c r="H157" s="10"/>
      <c r="I157" s="10"/>
      <c r="J157" s="10"/>
      <c r="K157" s="10"/>
      <c r="L157" s="10"/>
    </row>
    <row r="158" spans="1:12">
      <c r="A158" s="10"/>
      <c r="B158" s="10"/>
      <c r="C158" s="10"/>
      <c r="D158" s="10"/>
      <c r="E158" s="10"/>
      <c r="F158" s="10"/>
      <c r="G158" s="10"/>
      <c r="H158" s="10"/>
      <c r="I158" s="10"/>
      <c r="J158" s="10"/>
      <c r="K158" s="10"/>
      <c r="L158" s="10"/>
    </row>
    <row r="159" spans="1:12">
      <c r="A159" s="10"/>
      <c r="B159" s="10"/>
      <c r="C159" s="10"/>
      <c r="D159" s="10"/>
      <c r="E159" s="10"/>
      <c r="F159" s="10"/>
      <c r="G159" s="10"/>
      <c r="H159" s="10"/>
      <c r="I159" s="10"/>
      <c r="J159" s="10"/>
      <c r="K159" s="10"/>
      <c r="L159" s="10"/>
    </row>
    <row r="160" spans="1:12">
      <c r="A160" s="10"/>
      <c r="B160" s="10"/>
      <c r="C160" s="10"/>
      <c r="D160" s="10"/>
      <c r="E160" s="10"/>
      <c r="F160" s="10"/>
      <c r="G160" s="10"/>
      <c r="H160" s="10"/>
      <c r="I160" s="10"/>
      <c r="J160" s="10"/>
      <c r="K160" s="10"/>
      <c r="L160" s="10"/>
    </row>
    <row r="161" spans="1:12">
      <c r="A161" s="10"/>
      <c r="B161" s="10"/>
      <c r="C161" s="10"/>
      <c r="D161" s="10"/>
      <c r="E161" s="10"/>
      <c r="F161" s="10"/>
      <c r="G161" s="10"/>
      <c r="H161" s="10"/>
      <c r="I161" s="10"/>
      <c r="J161" s="10"/>
      <c r="K161" s="10"/>
      <c r="L161" s="10"/>
    </row>
    <row r="162" spans="1:12">
      <c r="A162" s="10"/>
      <c r="B162" s="10"/>
      <c r="C162" s="10"/>
      <c r="D162" s="10"/>
      <c r="E162" s="10"/>
      <c r="F162" s="10"/>
      <c r="G162" s="10"/>
      <c r="H162" s="10"/>
      <c r="I162" s="10"/>
      <c r="J162" s="10"/>
      <c r="K162" s="10"/>
      <c r="L162" s="10"/>
    </row>
    <row r="163" spans="1:12">
      <c r="A163" s="10"/>
      <c r="B163" s="10"/>
      <c r="C163" s="10"/>
      <c r="D163" s="10"/>
      <c r="E163" s="10"/>
      <c r="F163" s="10"/>
      <c r="G163" s="10"/>
      <c r="H163" s="10"/>
      <c r="I163" s="10"/>
      <c r="J163" s="10"/>
      <c r="K163" s="10"/>
      <c r="L163" s="10"/>
    </row>
    <row r="164" spans="1:12">
      <c r="A164" s="10"/>
      <c r="B164" s="10"/>
      <c r="C164" s="10"/>
      <c r="D164" s="10"/>
      <c r="E164" s="10"/>
      <c r="F164" s="10"/>
      <c r="G164" s="10"/>
      <c r="H164" s="10"/>
      <c r="I164" s="10"/>
      <c r="J164" s="10"/>
      <c r="K164" s="10"/>
      <c r="L164" s="10"/>
    </row>
    <row r="165" spans="1:12">
      <c r="A165" s="10"/>
      <c r="B165" s="10"/>
      <c r="C165" s="10"/>
      <c r="D165" s="10"/>
      <c r="E165" s="10"/>
      <c r="F165" s="10"/>
      <c r="G165" s="10"/>
      <c r="H165" s="10"/>
      <c r="I165" s="10"/>
      <c r="J165" s="10"/>
      <c r="K165" s="10"/>
      <c r="L165" s="10"/>
    </row>
    <row r="166" spans="1:12">
      <c r="A166" s="10"/>
      <c r="B166" s="10"/>
      <c r="C166" s="10"/>
      <c r="D166" s="10"/>
      <c r="E166" s="10"/>
      <c r="F166" s="10"/>
      <c r="G166" s="10"/>
      <c r="H166" s="10"/>
      <c r="I166" s="10"/>
      <c r="J166" s="10"/>
      <c r="K166" s="10"/>
      <c r="L166" s="10"/>
    </row>
    <row r="167" spans="1:12">
      <c r="A167" s="10"/>
      <c r="B167" s="10"/>
      <c r="C167" s="10"/>
      <c r="D167" s="10"/>
      <c r="E167" s="10"/>
      <c r="F167" s="10"/>
      <c r="G167" s="10"/>
      <c r="H167" s="10"/>
      <c r="I167" s="10"/>
      <c r="J167" s="10"/>
      <c r="K167" s="10"/>
      <c r="L167" s="10"/>
    </row>
    <row r="168" spans="1:12">
      <c r="A168" s="10"/>
      <c r="B168" s="10"/>
      <c r="C168" s="10"/>
      <c r="D168" s="10"/>
      <c r="E168" s="10"/>
      <c r="F168" s="10"/>
      <c r="G168" s="10"/>
      <c r="H168" s="10"/>
      <c r="I168" s="10"/>
      <c r="J168" s="10"/>
      <c r="K168" s="10"/>
      <c r="L168" s="10"/>
    </row>
    <row r="169" spans="1:12">
      <c r="A169" s="10"/>
      <c r="B169" s="10"/>
      <c r="C169" s="10"/>
      <c r="D169" s="10"/>
      <c r="E169" s="10"/>
      <c r="F169" s="10"/>
      <c r="G169" s="10"/>
      <c r="H169" s="10"/>
      <c r="I169" s="10"/>
      <c r="J169" s="10"/>
      <c r="K169" s="10"/>
      <c r="L169" s="10"/>
    </row>
    <row r="170" spans="1:12">
      <c r="A170" s="10"/>
      <c r="B170" s="10"/>
      <c r="C170" s="10"/>
      <c r="D170" s="10"/>
      <c r="E170" s="10"/>
      <c r="F170" s="10"/>
      <c r="G170" s="10"/>
      <c r="H170" s="10"/>
      <c r="I170" s="10"/>
      <c r="J170" s="10"/>
      <c r="K170" s="10"/>
      <c r="L170" s="10"/>
    </row>
    <row r="171" spans="1:12">
      <c r="A171" s="10"/>
      <c r="B171" s="10"/>
      <c r="C171" s="10"/>
      <c r="D171" s="10"/>
      <c r="E171" s="10"/>
      <c r="F171" s="10"/>
      <c r="G171" s="10"/>
      <c r="H171" s="10"/>
      <c r="I171" s="10"/>
      <c r="J171" s="10"/>
      <c r="K171" s="10"/>
      <c r="L171" s="10"/>
    </row>
    <row r="172" spans="1:12">
      <c r="A172" s="10"/>
      <c r="B172" s="10"/>
      <c r="C172" s="10"/>
      <c r="D172" s="10"/>
      <c r="E172" s="10"/>
      <c r="F172" s="10"/>
      <c r="G172" s="10"/>
      <c r="H172" s="10"/>
      <c r="I172" s="10"/>
      <c r="J172" s="10"/>
      <c r="K172" s="10"/>
      <c r="L172" s="10"/>
    </row>
    <row r="173" spans="1:12">
      <c r="A173" s="10"/>
      <c r="B173" s="10"/>
      <c r="C173" s="10"/>
      <c r="D173" s="10"/>
      <c r="E173" s="10"/>
      <c r="F173" s="10"/>
      <c r="G173" s="10"/>
      <c r="H173" s="10"/>
      <c r="I173" s="10"/>
      <c r="J173" s="10"/>
      <c r="K173" s="10"/>
      <c r="L173" s="10"/>
    </row>
    <row r="174" spans="1:12">
      <c r="A174" s="10"/>
      <c r="B174" s="10"/>
      <c r="C174" s="10"/>
      <c r="D174" s="10"/>
      <c r="E174" s="10"/>
      <c r="F174" s="10"/>
      <c r="G174" s="10"/>
      <c r="H174" s="10"/>
      <c r="I174" s="10"/>
      <c r="J174" s="10"/>
      <c r="K174" s="10"/>
      <c r="L174" s="10"/>
    </row>
    <row r="175" spans="1:12">
      <c r="A175" s="10"/>
      <c r="B175" s="10"/>
      <c r="C175" s="10"/>
      <c r="D175" s="10"/>
      <c r="E175" s="10"/>
      <c r="F175" s="10"/>
      <c r="G175" s="10"/>
      <c r="H175" s="10"/>
      <c r="I175" s="10"/>
      <c r="J175" s="10"/>
      <c r="K175" s="10"/>
      <c r="L175" s="10"/>
    </row>
    <row r="176" spans="1:12">
      <c r="A176" s="10"/>
      <c r="B176" s="10"/>
      <c r="C176" s="10"/>
      <c r="D176" s="10"/>
      <c r="E176" s="10"/>
      <c r="F176" s="10"/>
      <c r="G176" s="10"/>
      <c r="H176" s="10"/>
      <c r="I176" s="10"/>
      <c r="J176" s="10"/>
      <c r="K176" s="10"/>
      <c r="L176" s="10"/>
    </row>
    <row r="177" spans="1:12">
      <c r="A177" s="10"/>
      <c r="B177" s="10"/>
      <c r="C177" s="10"/>
      <c r="D177" s="10"/>
      <c r="E177" s="10"/>
      <c r="F177" s="10"/>
      <c r="G177" s="10"/>
      <c r="H177" s="10"/>
      <c r="I177" s="10"/>
      <c r="J177" s="10"/>
      <c r="K177" s="10"/>
      <c r="L177" s="10"/>
    </row>
    <row r="178" spans="1:12">
      <c r="A178" s="10"/>
      <c r="B178" s="10"/>
      <c r="C178" s="10"/>
      <c r="D178" s="10"/>
      <c r="E178" s="10"/>
      <c r="F178" s="10"/>
      <c r="G178" s="10"/>
      <c r="H178" s="10"/>
      <c r="I178" s="10"/>
      <c r="J178" s="10"/>
      <c r="K178" s="10"/>
      <c r="L178" s="10"/>
    </row>
    <row r="179" spans="1:12">
      <c r="A179" s="10"/>
      <c r="B179" s="10"/>
      <c r="C179" s="10"/>
      <c r="D179" s="10"/>
      <c r="E179" s="10"/>
      <c r="F179" s="10"/>
      <c r="G179" s="10"/>
      <c r="H179" s="10"/>
      <c r="I179" s="10"/>
      <c r="J179" s="10"/>
      <c r="K179" s="10"/>
      <c r="L179" s="10"/>
    </row>
    <row r="180" spans="1:12">
      <c r="A180" s="10"/>
      <c r="B180" s="10"/>
      <c r="C180" s="10"/>
      <c r="D180" s="10"/>
      <c r="E180" s="10"/>
      <c r="F180" s="10"/>
      <c r="G180" s="10"/>
      <c r="H180" s="10"/>
      <c r="I180" s="10"/>
      <c r="J180" s="10"/>
      <c r="K180" s="10"/>
      <c r="L180" s="10"/>
    </row>
    <row r="181" spans="1:12">
      <c r="A181" s="10"/>
      <c r="B181" s="10"/>
      <c r="C181" s="10"/>
      <c r="D181" s="10"/>
      <c r="E181" s="10"/>
      <c r="F181" s="10"/>
      <c r="G181" s="10"/>
      <c r="H181" s="10"/>
      <c r="I181" s="10"/>
      <c r="J181" s="10"/>
      <c r="K181" s="10"/>
      <c r="L181" s="10"/>
    </row>
    <row r="182" spans="1:12">
      <c r="A182" s="10"/>
      <c r="B182" s="10"/>
      <c r="C182" s="10"/>
      <c r="D182" s="10"/>
      <c r="E182" s="10"/>
      <c r="F182" s="10"/>
      <c r="G182" s="10"/>
      <c r="H182" s="10"/>
      <c r="I182" s="10"/>
      <c r="J182" s="10"/>
      <c r="K182" s="10"/>
      <c r="L182" s="10"/>
    </row>
    <row r="183" spans="1:12">
      <c r="A183" s="10"/>
      <c r="B183" s="10"/>
      <c r="C183" s="10"/>
      <c r="D183" s="10"/>
      <c r="E183" s="10"/>
      <c r="F183" s="10"/>
      <c r="G183" s="10"/>
      <c r="H183" s="10"/>
      <c r="I183" s="10"/>
      <c r="J183" s="10"/>
      <c r="K183" s="10"/>
      <c r="L183" s="10"/>
    </row>
    <row r="184" spans="1:12">
      <c r="A184" s="10"/>
      <c r="B184" s="10"/>
      <c r="C184" s="10"/>
      <c r="D184" s="10"/>
      <c r="E184" s="10"/>
      <c r="F184" s="10"/>
      <c r="G184" s="10"/>
      <c r="H184" s="10"/>
      <c r="I184" s="10"/>
      <c r="J184" s="10"/>
      <c r="K184" s="10"/>
      <c r="L184" s="10"/>
    </row>
    <row r="185" spans="1:12">
      <c r="A185" s="10"/>
      <c r="B185" s="10"/>
      <c r="C185" s="10"/>
      <c r="D185" s="10"/>
      <c r="E185" s="10"/>
      <c r="F185" s="10"/>
      <c r="G185" s="10"/>
      <c r="H185" s="10"/>
      <c r="I185" s="10"/>
      <c r="J185" s="10"/>
      <c r="K185" s="10"/>
      <c r="L185" s="10"/>
    </row>
    <row r="186" spans="1:12">
      <c r="A186" s="10"/>
      <c r="B186" s="10"/>
      <c r="C186" s="10"/>
      <c r="D186" s="10"/>
      <c r="E186" s="10"/>
      <c r="F186" s="10"/>
      <c r="G186" s="10"/>
      <c r="H186" s="10"/>
      <c r="I186" s="10"/>
      <c r="J186" s="10"/>
      <c r="K186" s="10"/>
      <c r="L186" s="10"/>
    </row>
    <row r="187" spans="1:12">
      <c r="A187" s="10"/>
      <c r="B187" s="10"/>
      <c r="C187" s="10"/>
      <c r="D187" s="10"/>
      <c r="E187" s="10"/>
      <c r="F187" s="10"/>
      <c r="G187" s="10"/>
      <c r="H187" s="10"/>
      <c r="I187" s="10"/>
      <c r="J187" s="10"/>
      <c r="K187" s="10"/>
      <c r="L187" s="10"/>
    </row>
    <row r="188" spans="1:12">
      <c r="A188" s="10"/>
      <c r="B188" s="10"/>
      <c r="C188" s="10"/>
      <c r="D188" s="10"/>
      <c r="E188" s="10"/>
      <c r="F188" s="10"/>
      <c r="G188" s="10"/>
      <c r="H188" s="10"/>
      <c r="I188" s="10"/>
      <c r="J188" s="10"/>
      <c r="K188" s="10"/>
      <c r="L188" s="10"/>
    </row>
    <row r="189" spans="1:12">
      <c r="A189" s="10"/>
      <c r="B189" s="10"/>
      <c r="C189" s="10"/>
      <c r="D189" s="10"/>
      <c r="E189" s="10"/>
      <c r="F189" s="10"/>
      <c r="G189" s="10"/>
      <c r="H189" s="10"/>
      <c r="I189" s="10"/>
      <c r="J189" s="10"/>
      <c r="K189" s="10"/>
      <c r="L189" s="10"/>
    </row>
    <row r="190" spans="1:12">
      <c r="A190" s="10"/>
      <c r="B190" s="10"/>
      <c r="C190" s="10"/>
      <c r="D190" s="10"/>
      <c r="E190" s="10"/>
      <c r="F190" s="10"/>
      <c r="G190" s="10"/>
      <c r="H190" s="10"/>
      <c r="I190" s="10"/>
      <c r="J190" s="10"/>
      <c r="K190" s="10"/>
      <c r="L190" s="10"/>
    </row>
    <row r="191" spans="1:12">
      <c r="A191" s="10"/>
      <c r="B191" s="10"/>
      <c r="C191" s="10"/>
      <c r="D191" s="10"/>
      <c r="E191" s="10"/>
      <c r="F191" s="10"/>
      <c r="G191" s="10"/>
      <c r="H191" s="10"/>
      <c r="I191" s="10"/>
      <c r="J191" s="10"/>
      <c r="K191" s="10"/>
      <c r="L191" s="10"/>
    </row>
    <row r="192" spans="1:12">
      <c r="A192" s="10"/>
      <c r="B192" s="10"/>
      <c r="C192" s="10"/>
      <c r="D192" s="10"/>
      <c r="E192" s="10"/>
      <c r="F192" s="10"/>
      <c r="G192" s="10"/>
      <c r="H192" s="10"/>
      <c r="I192" s="10"/>
      <c r="J192" s="10"/>
      <c r="K192" s="10"/>
      <c r="L192" s="10"/>
    </row>
    <row r="193" spans="1:12">
      <c r="A193" s="10"/>
      <c r="B193" s="10"/>
      <c r="C193" s="10"/>
      <c r="D193" s="10"/>
      <c r="E193" s="10"/>
      <c r="F193" s="10"/>
      <c r="G193" s="10"/>
      <c r="H193" s="10"/>
      <c r="I193" s="10"/>
      <c r="J193" s="10"/>
      <c r="K193" s="10"/>
      <c r="L193" s="10"/>
    </row>
    <row r="194" spans="1:12">
      <c r="A194" s="10"/>
      <c r="B194" s="10"/>
      <c r="C194" s="10"/>
      <c r="D194" s="10"/>
      <c r="E194" s="10"/>
      <c r="F194" s="10"/>
      <c r="G194" s="10"/>
      <c r="H194" s="10"/>
      <c r="I194" s="10"/>
      <c r="J194" s="10"/>
      <c r="K194" s="10"/>
      <c r="L194" s="10"/>
    </row>
    <row r="195" spans="1:12">
      <c r="A195" s="10"/>
      <c r="B195" s="10"/>
      <c r="C195" s="10"/>
      <c r="D195" s="10"/>
      <c r="E195" s="10"/>
      <c r="F195" s="10"/>
      <c r="G195" s="10"/>
      <c r="H195" s="10"/>
      <c r="I195" s="10"/>
      <c r="J195" s="10"/>
      <c r="K195" s="10"/>
      <c r="L195" s="10"/>
    </row>
    <row r="196" spans="1:12">
      <c r="A196" s="10"/>
      <c r="B196" s="10"/>
      <c r="C196" s="10"/>
      <c r="D196" s="10"/>
      <c r="E196" s="10"/>
      <c r="F196" s="10"/>
      <c r="G196" s="10"/>
      <c r="H196" s="10"/>
      <c r="I196" s="10"/>
      <c r="J196" s="10"/>
      <c r="K196" s="10"/>
      <c r="L196" s="10"/>
    </row>
    <row r="197" spans="1:12">
      <c r="A197" s="10"/>
      <c r="B197" s="10"/>
      <c r="C197" s="10"/>
      <c r="D197" s="10"/>
      <c r="E197" s="10"/>
      <c r="F197" s="10"/>
      <c r="G197" s="10"/>
      <c r="H197" s="10"/>
      <c r="I197" s="10"/>
      <c r="J197" s="10"/>
      <c r="K197" s="10"/>
      <c r="L197" s="10"/>
    </row>
    <row r="198" spans="1:12">
      <c r="A198" s="10"/>
      <c r="B198" s="10"/>
      <c r="C198" s="10"/>
      <c r="D198" s="10"/>
      <c r="E198" s="10"/>
      <c r="F198" s="10"/>
      <c r="G198" s="10"/>
      <c r="H198" s="10"/>
      <c r="I198" s="10"/>
      <c r="J198" s="10"/>
      <c r="K198" s="10"/>
      <c r="L198" s="10"/>
    </row>
    <row r="199" spans="1:12">
      <c r="A199" s="10"/>
      <c r="B199" s="10"/>
      <c r="C199" s="10"/>
      <c r="D199" s="10"/>
      <c r="E199" s="10"/>
      <c r="F199" s="10"/>
      <c r="G199" s="10"/>
      <c r="H199" s="10"/>
      <c r="I199" s="10"/>
      <c r="J199" s="10"/>
      <c r="K199" s="10"/>
      <c r="L199" s="10"/>
    </row>
    <row r="200" spans="1:12">
      <c r="A200" s="10"/>
      <c r="B200" s="10"/>
      <c r="C200" s="10"/>
      <c r="D200" s="10"/>
      <c r="E200" s="10"/>
      <c r="F200" s="10"/>
      <c r="G200" s="10"/>
      <c r="H200" s="10"/>
      <c r="I200" s="10"/>
      <c r="J200" s="10"/>
      <c r="K200" s="10"/>
      <c r="L200" s="10"/>
    </row>
  </sheetData>
  <mergeCells count="11">
    <mergeCell ref="B2:K3"/>
    <mergeCell ref="B14:K16"/>
    <mergeCell ref="B18:K19"/>
    <mergeCell ref="B21:K22"/>
    <mergeCell ref="B5:K8"/>
    <mergeCell ref="B10:K12"/>
    <mergeCell ref="B44:K48"/>
    <mergeCell ref="B24:K26"/>
    <mergeCell ref="B28:K30"/>
    <mergeCell ref="B32:K38"/>
    <mergeCell ref="B40:K42"/>
  </mergeCells>
  <phoneticPr fontId="0" type="noConversion"/>
  <pageMargins left="0.75" right="0.75" top="1" bottom="1" header="0.5" footer="0.5"/>
  <pageSetup paperSize="9" scale="82" fitToHeight="2"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sheetPr codeName="Sheet66">
    <pageSetUpPr fitToPage="1"/>
  </sheetPr>
  <dimension ref="A1:AJ907"/>
  <sheetViews>
    <sheetView showRowColHeaders="0" workbookViewId="0">
      <selection activeCell="B2" sqref="B2:K3"/>
    </sheetView>
  </sheetViews>
  <sheetFormatPr defaultRowHeight="12.75"/>
  <cols>
    <col min="1" max="1" width="10.7109375" style="1" customWidth="1"/>
    <col min="2" max="11" width="11.7109375" style="1" customWidth="1"/>
    <col min="12" max="16" width="10.7109375" style="1" customWidth="1"/>
    <col min="17" max="17" width="4.7109375" style="20" customWidth="1"/>
    <col min="18" max="20" width="10.7109375" style="18" customWidth="1"/>
    <col min="21" max="23" width="11.7109375" style="18" customWidth="1"/>
    <col min="24" max="26" width="10.7109375" style="18" customWidth="1"/>
    <col min="27" max="27" width="10.7109375" style="1" customWidth="1"/>
    <col min="28" max="30" width="8.7109375" style="1" customWidth="1"/>
    <col min="31" max="35" width="13.7109375" style="1" customWidth="1"/>
    <col min="36" max="37" width="10.7109375" style="1" customWidth="1"/>
    <col min="38" max="54" width="10.28515625" style="1" customWidth="1"/>
    <col min="55" max="110" width="10.7109375" style="1" customWidth="1"/>
    <col min="111" max="16384" width="9.140625" style="1"/>
  </cols>
  <sheetData>
    <row r="1" spans="1:33" ht="6" customHeight="1" thickBot="1">
      <c r="A1" s="121"/>
      <c r="B1" s="121"/>
      <c r="C1" s="121"/>
      <c r="D1" s="121"/>
      <c r="E1" s="121"/>
      <c r="F1" s="121"/>
      <c r="G1" s="121"/>
      <c r="H1" s="121"/>
      <c r="I1" s="121"/>
      <c r="J1" s="121"/>
      <c r="K1" s="121"/>
      <c r="L1" s="121"/>
      <c r="M1" s="121"/>
      <c r="N1" s="121"/>
      <c r="O1" s="121"/>
      <c r="P1" s="121"/>
      <c r="Q1" s="360"/>
      <c r="R1" s="361"/>
      <c r="S1" s="361"/>
      <c r="T1" s="361"/>
      <c r="U1" s="361"/>
      <c r="V1" s="361"/>
      <c r="W1" s="361"/>
      <c r="X1" s="361"/>
      <c r="Y1" s="361"/>
      <c r="Z1" s="361"/>
      <c r="AA1"/>
      <c r="AB1"/>
      <c r="AC1"/>
      <c r="AD1"/>
      <c r="AE1"/>
      <c r="AF1"/>
      <c r="AG1"/>
    </row>
    <row r="2" spans="1:33" ht="12.75" customHeight="1" thickTop="1">
      <c r="A2" s="121"/>
      <c r="B2" s="753" t="s">
        <v>510</v>
      </c>
      <c r="C2" s="754"/>
      <c r="D2" s="754"/>
      <c r="E2" s="754"/>
      <c r="F2" s="754"/>
      <c r="G2" s="754"/>
      <c r="H2" s="754"/>
      <c r="I2" s="754"/>
      <c r="J2" s="754"/>
      <c r="K2" s="755"/>
      <c r="L2" s="121"/>
      <c r="M2" s="121"/>
      <c r="N2" s="121"/>
      <c r="O2" s="121"/>
      <c r="P2" s="121"/>
      <c r="Q2" s="363"/>
      <c r="R2" s="1024" t="s">
        <v>396</v>
      </c>
      <c r="S2" s="1025"/>
      <c r="T2" s="1025"/>
      <c r="U2" s="1025"/>
      <c r="V2" s="1025"/>
      <c r="W2" s="1025"/>
      <c r="X2" s="1025"/>
      <c r="Y2" s="1026"/>
      <c r="Z2" s="362"/>
      <c r="AA2"/>
      <c r="AB2"/>
      <c r="AC2"/>
      <c r="AD2"/>
      <c r="AE2"/>
      <c r="AF2"/>
      <c r="AG2"/>
    </row>
    <row r="3" spans="1:33" ht="12.75" customHeight="1" thickBot="1">
      <c r="A3" s="121"/>
      <c r="B3" s="756"/>
      <c r="C3" s="757"/>
      <c r="D3" s="757"/>
      <c r="E3" s="757"/>
      <c r="F3" s="757"/>
      <c r="G3" s="757"/>
      <c r="H3" s="757"/>
      <c r="I3" s="757"/>
      <c r="J3" s="757"/>
      <c r="K3" s="758"/>
      <c r="L3" s="121"/>
      <c r="M3" s="121"/>
      <c r="N3" s="121"/>
      <c r="O3" s="121"/>
      <c r="P3" s="121"/>
      <c r="Q3" s="363"/>
      <c r="R3" s="1027"/>
      <c r="S3" s="1028"/>
      <c r="T3" s="1028"/>
      <c r="U3" s="1028"/>
      <c r="V3" s="1028"/>
      <c r="W3" s="1028"/>
      <c r="X3" s="1028"/>
      <c r="Y3" s="1029"/>
      <c r="Z3" s="362"/>
      <c r="AA3"/>
      <c r="AB3"/>
      <c r="AC3"/>
      <c r="AD3"/>
      <c r="AE3"/>
      <c r="AF3"/>
      <c r="AG3"/>
    </row>
    <row r="4" spans="1:33" ht="12.75" customHeight="1" thickTop="1">
      <c r="A4" s="121"/>
      <c r="B4" s="121"/>
      <c r="C4" s="121"/>
      <c r="D4" s="121"/>
      <c r="E4" s="121"/>
      <c r="F4" s="121"/>
      <c r="G4" s="121"/>
      <c r="H4" s="121"/>
      <c r="I4" s="121"/>
      <c r="J4" s="121"/>
      <c r="K4" s="121"/>
      <c r="L4" s="121"/>
      <c r="M4" s="121"/>
      <c r="N4" s="121"/>
      <c r="O4" s="121"/>
      <c r="P4" s="121"/>
      <c r="Q4" s="363"/>
      <c r="R4" s="361"/>
      <c r="S4" s="361"/>
      <c r="T4" s="361"/>
      <c r="U4" s="361"/>
      <c r="V4" s="361"/>
      <c r="W4" s="361"/>
      <c r="X4" s="361"/>
      <c r="Y4" s="361"/>
      <c r="Z4" s="361"/>
      <c r="AA4"/>
      <c r="AB4"/>
      <c r="AC4"/>
      <c r="AD4"/>
      <c r="AE4"/>
      <c r="AF4"/>
      <c r="AG4"/>
    </row>
    <row r="5" spans="1:33" ht="12.75" customHeight="1">
      <c r="A5" s="121"/>
      <c r="B5" s="828" t="s">
        <v>581</v>
      </c>
      <c r="C5" s="829"/>
      <c r="D5" s="830"/>
      <c r="E5" s="460">
        <v>450</v>
      </c>
      <c r="F5" s="461">
        <f>+E5</f>
        <v>450</v>
      </c>
      <c r="G5" s="121"/>
      <c r="H5" s="121"/>
      <c r="I5" s="121"/>
      <c r="J5" s="121"/>
      <c r="K5" s="121"/>
      <c r="L5" s="121"/>
      <c r="M5" s="121"/>
      <c r="N5" s="121"/>
      <c r="O5" s="121"/>
      <c r="P5" s="121"/>
      <c r="Q5" s="360"/>
      <c r="R5" s="951" t="s">
        <v>868</v>
      </c>
      <c r="S5" s="951"/>
      <c r="T5" s="951"/>
      <c r="U5" s="951"/>
      <c r="V5" s="447">
        <f>F5</f>
        <v>450</v>
      </c>
      <c r="W5" s="362"/>
      <c r="X5" s="362"/>
      <c r="Y5" s="362"/>
      <c r="Z5" s="362"/>
      <c r="AA5"/>
      <c r="AB5"/>
      <c r="AC5"/>
      <c r="AD5"/>
      <c r="AE5"/>
      <c r="AF5"/>
      <c r="AG5"/>
    </row>
    <row r="6" spans="1:33" ht="12.75" customHeight="1">
      <c r="A6" s="121"/>
      <c r="B6" s="121"/>
      <c r="C6" s="121"/>
      <c r="D6" s="121"/>
      <c r="E6" s="121"/>
      <c r="F6" s="121"/>
      <c r="G6" s="121"/>
      <c r="H6" s="121"/>
      <c r="I6" s="121"/>
      <c r="J6" s="121"/>
      <c r="K6" s="121"/>
      <c r="L6" s="121"/>
      <c r="M6" s="121"/>
      <c r="N6" s="121"/>
      <c r="O6" s="121"/>
      <c r="P6" s="121"/>
      <c r="Q6" s="360"/>
      <c r="R6" s="362"/>
      <c r="S6" s="362"/>
      <c r="T6" s="362"/>
      <c r="U6" s="362"/>
      <c r="V6" s="361"/>
      <c r="W6" s="361"/>
      <c r="X6" s="361"/>
      <c r="Y6" s="361"/>
      <c r="Z6" s="361"/>
      <c r="AA6"/>
      <c r="AB6"/>
      <c r="AC6"/>
      <c r="AD6"/>
      <c r="AE6"/>
      <c r="AF6"/>
      <c r="AG6"/>
    </row>
    <row r="7" spans="1:33" ht="12.75" customHeight="1">
      <c r="A7" s="121"/>
      <c r="B7" s="121"/>
      <c r="C7" s="121"/>
      <c r="D7" s="121"/>
      <c r="E7" s="121"/>
      <c r="F7" s="121"/>
      <c r="G7" s="121"/>
      <c r="H7" s="121"/>
      <c r="I7" s="121"/>
      <c r="J7" s="121"/>
      <c r="K7" s="121"/>
      <c r="L7" s="121"/>
      <c r="M7" s="121"/>
      <c r="N7" s="121"/>
      <c r="O7" s="121"/>
      <c r="P7" s="121"/>
      <c r="Q7" s="385">
        <v>1</v>
      </c>
      <c r="R7" s="1008" t="s">
        <v>24</v>
      </c>
      <c r="S7" s="1008"/>
      <c r="T7" s="1008"/>
      <c r="U7" s="1008"/>
      <c r="V7" s="1008"/>
      <c r="W7" s="1008"/>
      <c r="X7" s="1008"/>
      <c r="Y7" s="1008"/>
      <c r="Z7" s="536"/>
      <c r="AA7"/>
      <c r="AB7"/>
      <c r="AC7"/>
      <c r="AD7"/>
      <c r="AE7"/>
      <c r="AF7"/>
      <c r="AG7"/>
    </row>
    <row r="8" spans="1:33" ht="12.75" customHeight="1">
      <c r="A8" s="121"/>
      <c r="B8" s="121"/>
      <c r="C8" s="121"/>
      <c r="D8" s="121"/>
      <c r="E8" s="121"/>
      <c r="F8" s="121"/>
      <c r="G8" s="121"/>
      <c r="H8" s="121"/>
      <c r="I8" s="121"/>
      <c r="J8" s="121"/>
      <c r="K8" s="121"/>
      <c r="L8" s="121"/>
      <c r="M8" s="121"/>
      <c r="N8" s="121"/>
      <c r="O8" s="121"/>
      <c r="P8" s="121"/>
      <c r="Q8" s="386"/>
      <c r="R8" s="361"/>
      <c r="S8" s="361"/>
      <c r="T8" s="361"/>
      <c r="U8" s="361"/>
      <c r="V8" s="361"/>
      <c r="W8" s="361"/>
      <c r="X8" s="361"/>
      <c r="Y8" s="361"/>
      <c r="Z8" s="361"/>
      <c r="AA8"/>
      <c r="AB8"/>
      <c r="AC8"/>
      <c r="AD8"/>
      <c r="AE8"/>
      <c r="AF8"/>
      <c r="AG8"/>
    </row>
    <row r="9" spans="1:33" ht="12.75" customHeight="1">
      <c r="A9" s="121"/>
      <c r="B9" s="121"/>
      <c r="C9" s="121"/>
      <c r="D9" s="121"/>
      <c r="E9" s="121"/>
      <c r="F9" s="121"/>
      <c r="G9" s="121"/>
      <c r="H9" s="121"/>
      <c r="I9" s="121"/>
      <c r="J9" s="121"/>
      <c r="K9" s="121"/>
      <c r="L9" s="121"/>
      <c r="M9" s="121"/>
      <c r="N9" s="121"/>
      <c r="O9" s="121"/>
      <c r="P9" s="121"/>
      <c r="Q9" s="360">
        <v>1.1000000000000001</v>
      </c>
      <c r="R9" s="364" t="s">
        <v>586</v>
      </c>
      <c r="S9" s="363"/>
      <c r="T9" s="363"/>
      <c r="U9" s="363"/>
      <c r="V9" s="363"/>
      <c r="W9" s="363"/>
      <c r="X9" s="363"/>
      <c r="Y9" s="363"/>
      <c r="Z9" s="363"/>
      <c r="AA9"/>
      <c r="AB9"/>
      <c r="AC9"/>
      <c r="AD9"/>
      <c r="AE9"/>
      <c r="AF9"/>
      <c r="AG9"/>
    </row>
    <row r="10" spans="1:33" ht="12.75" customHeight="1">
      <c r="A10" s="121"/>
      <c r="B10" s="121"/>
      <c r="C10" s="121"/>
      <c r="D10" s="121"/>
      <c r="E10" s="121"/>
      <c r="F10" s="121"/>
      <c r="G10" s="121"/>
      <c r="H10" s="121"/>
      <c r="I10" s="121"/>
      <c r="J10" s="121"/>
      <c r="K10" s="121"/>
      <c r="L10" s="121"/>
      <c r="M10" s="121"/>
      <c r="N10" s="121"/>
      <c r="O10" s="121"/>
      <c r="P10" s="121"/>
      <c r="Q10" s="360"/>
      <c r="R10" s="969" t="s">
        <v>25</v>
      </c>
      <c r="S10" s="969"/>
      <c r="T10" s="969"/>
      <c r="U10" s="969"/>
      <c r="V10" s="447">
        <f>'Prod Parameters'!$F$8</f>
        <v>23</v>
      </c>
      <c r="W10" s="363"/>
      <c r="X10" s="363"/>
      <c r="Y10" s="363"/>
      <c r="Z10" s="363"/>
      <c r="AA10"/>
      <c r="AB10"/>
      <c r="AC10"/>
      <c r="AD10"/>
      <c r="AE10"/>
      <c r="AF10"/>
      <c r="AG10"/>
    </row>
    <row r="11" spans="1:33" ht="12.75" customHeight="1">
      <c r="A11" s="121"/>
      <c r="B11" s="121"/>
      <c r="C11" s="121"/>
      <c r="D11" s="121"/>
      <c r="E11" s="121"/>
      <c r="F11" s="121"/>
      <c r="G11" s="121"/>
      <c r="H11" s="121"/>
      <c r="I11" s="121"/>
      <c r="J11" s="121"/>
      <c r="K11" s="121"/>
      <c r="L11" s="121"/>
      <c r="M11" s="121"/>
      <c r="N11" s="121"/>
      <c r="O11" s="121"/>
      <c r="P11" s="121"/>
      <c r="Q11" s="360"/>
      <c r="R11" s="969" t="s">
        <v>325</v>
      </c>
      <c r="S11" s="969"/>
      <c r="T11" s="969"/>
      <c r="U11" s="969"/>
      <c r="V11" s="447">
        <f>'Prod Parameters'!$F$9</f>
        <v>23</v>
      </c>
      <c r="W11" s="363"/>
      <c r="X11" s="363"/>
      <c r="Y11" s="363"/>
      <c r="Z11" s="363"/>
      <c r="AA11"/>
      <c r="AB11"/>
      <c r="AC11"/>
      <c r="AD11"/>
      <c r="AE11"/>
      <c r="AF11"/>
      <c r="AG11"/>
    </row>
    <row r="12" spans="1:33" ht="12.75" customHeight="1">
      <c r="A12" s="121"/>
      <c r="B12" s="121"/>
      <c r="C12" s="121"/>
      <c r="D12" s="121"/>
      <c r="E12" s="121"/>
      <c r="F12" s="121"/>
      <c r="G12" s="121"/>
      <c r="H12" s="121"/>
      <c r="I12" s="121"/>
      <c r="J12" s="121"/>
      <c r="K12" s="121"/>
      <c r="L12" s="121"/>
      <c r="M12" s="121"/>
      <c r="N12" s="121"/>
      <c r="O12" s="121"/>
      <c r="P12" s="121"/>
      <c r="Q12" s="360"/>
      <c r="R12" s="1021" t="s">
        <v>26</v>
      </c>
      <c r="S12" s="1022"/>
      <c r="T12" s="1022"/>
      <c r="U12" s="1023"/>
      <c r="V12" s="447">
        <f>'Prod Parameters'!$F$10</f>
        <v>6</v>
      </c>
      <c r="W12" s="363"/>
      <c r="X12" s="363"/>
      <c r="Y12" s="363"/>
      <c r="Z12" s="363"/>
      <c r="AA12"/>
      <c r="AB12"/>
      <c r="AC12"/>
      <c r="AD12"/>
      <c r="AE12"/>
      <c r="AF12"/>
      <c r="AG12"/>
    </row>
    <row r="13" spans="1:33" ht="12.75" customHeight="1">
      <c r="A13" s="121"/>
      <c r="B13" s="121"/>
      <c r="C13" s="121"/>
      <c r="D13" s="121"/>
      <c r="E13" s="121"/>
      <c r="F13" s="121"/>
      <c r="G13" s="121"/>
      <c r="H13" s="121"/>
      <c r="I13" s="121"/>
      <c r="J13" s="121"/>
      <c r="K13" s="121"/>
      <c r="L13" s="121"/>
      <c r="M13" s="121"/>
      <c r="N13" s="121"/>
      <c r="O13" s="121"/>
      <c r="P13" s="121"/>
      <c r="Q13" s="360"/>
      <c r="R13" s="969" t="s">
        <v>27</v>
      </c>
      <c r="S13" s="969"/>
      <c r="T13" s="969"/>
      <c r="U13" s="969"/>
      <c r="V13" s="447">
        <f>'Prod Parameters'!$F$11</f>
        <v>52</v>
      </c>
      <c r="W13" s="363"/>
      <c r="X13" s="363"/>
      <c r="Y13" s="363"/>
      <c r="Z13" s="363"/>
      <c r="AA13"/>
      <c r="AB13"/>
      <c r="AC13"/>
      <c r="AD13"/>
      <c r="AE13"/>
      <c r="AF13"/>
      <c r="AG13"/>
    </row>
    <row r="14" spans="1:33" ht="12.75" customHeight="1">
      <c r="A14" s="121"/>
      <c r="B14" s="121"/>
      <c r="C14" s="121"/>
      <c r="D14" s="121"/>
      <c r="E14" s="121"/>
      <c r="F14" s="121"/>
      <c r="G14" s="121"/>
      <c r="H14" s="121"/>
      <c r="I14" s="121"/>
      <c r="J14" s="121"/>
      <c r="K14" s="121"/>
      <c r="L14" s="121"/>
      <c r="M14" s="121"/>
      <c r="N14" s="121"/>
      <c r="O14" s="121"/>
      <c r="P14" s="121"/>
      <c r="Q14" s="360"/>
      <c r="R14" s="969" t="s">
        <v>28</v>
      </c>
      <c r="S14" s="969"/>
      <c r="T14" s="969"/>
      <c r="U14" s="969"/>
      <c r="V14" s="447">
        <f>'Prod Parameters'!$F$12</f>
        <v>260</v>
      </c>
      <c r="W14" s="363"/>
      <c r="X14" s="363"/>
      <c r="Y14" s="363"/>
      <c r="Z14" s="363"/>
      <c r="AA14"/>
      <c r="AB14"/>
      <c r="AC14"/>
      <c r="AD14"/>
      <c r="AE14"/>
      <c r="AF14"/>
      <c r="AG14"/>
    </row>
    <row r="15" spans="1:33" ht="12.75" customHeight="1">
      <c r="A15" s="121"/>
      <c r="B15" s="121"/>
      <c r="C15" s="121"/>
      <c r="D15" s="121"/>
      <c r="E15" s="121"/>
      <c r="F15" s="121"/>
      <c r="G15" s="121"/>
      <c r="H15" s="121"/>
      <c r="I15" s="121"/>
      <c r="J15" s="121"/>
      <c r="K15" s="121"/>
      <c r="L15" s="121"/>
      <c r="M15" s="121"/>
      <c r="N15" s="121"/>
      <c r="O15" s="121"/>
      <c r="P15" s="121"/>
      <c r="Q15" s="360"/>
      <c r="R15" s="969" t="s">
        <v>29</v>
      </c>
      <c r="S15" s="969"/>
      <c r="T15" s="969"/>
      <c r="U15" s="969"/>
      <c r="V15" s="447">
        <f>'Prod Parameters'!$F$13</f>
        <v>30</v>
      </c>
      <c r="W15" s="363"/>
      <c r="X15" s="363"/>
      <c r="Y15" s="363"/>
      <c r="Z15" s="363"/>
      <c r="AA15"/>
      <c r="AB15"/>
      <c r="AC15"/>
      <c r="AD15"/>
      <c r="AE15"/>
      <c r="AF15"/>
      <c r="AG15"/>
    </row>
    <row r="16" spans="1:33" ht="12.75" customHeight="1">
      <c r="A16" s="121"/>
      <c r="B16" s="121"/>
      <c r="C16" s="121"/>
      <c r="D16" s="121"/>
      <c r="E16" s="121"/>
      <c r="F16" s="121"/>
      <c r="G16" s="121"/>
      <c r="H16" s="121"/>
      <c r="I16" s="121"/>
      <c r="J16" s="121"/>
      <c r="K16" s="121"/>
      <c r="L16" s="121"/>
      <c r="M16" s="121"/>
      <c r="N16" s="121"/>
      <c r="O16" s="121"/>
      <c r="P16" s="121"/>
      <c r="Q16" s="360"/>
      <c r="R16" s="968" t="s">
        <v>30</v>
      </c>
      <c r="S16" s="968"/>
      <c r="T16" s="968"/>
      <c r="U16" s="968"/>
      <c r="V16" s="447">
        <f>'Prod Parameters'!$F$14</f>
        <v>230</v>
      </c>
      <c r="W16" s="363"/>
      <c r="X16" s="363"/>
      <c r="Y16" s="363"/>
      <c r="Z16" s="363"/>
      <c r="AA16"/>
      <c r="AB16"/>
      <c r="AC16"/>
      <c r="AD16"/>
      <c r="AE16"/>
      <c r="AF16"/>
      <c r="AG16"/>
    </row>
    <row r="17" spans="1:33" ht="12.75" customHeight="1">
      <c r="A17" s="121"/>
      <c r="B17" s="121"/>
      <c r="C17" s="121"/>
      <c r="D17" s="121"/>
      <c r="E17" s="121"/>
      <c r="F17" s="121"/>
      <c r="G17" s="121"/>
      <c r="H17" s="121"/>
      <c r="I17" s="121"/>
      <c r="J17" s="121"/>
      <c r="K17" s="121"/>
      <c r="L17" s="121"/>
      <c r="M17" s="121"/>
      <c r="N17" s="121"/>
      <c r="O17" s="121"/>
      <c r="P17" s="121"/>
      <c r="Q17" s="360"/>
      <c r="R17" s="363"/>
      <c r="S17" s="363"/>
      <c r="T17" s="363"/>
      <c r="U17" s="363"/>
      <c r="V17" s="363"/>
      <c r="W17" s="363"/>
      <c r="X17" s="363"/>
      <c r="Y17" s="363"/>
      <c r="Z17" s="363"/>
      <c r="AA17"/>
      <c r="AB17"/>
      <c r="AC17"/>
      <c r="AD17"/>
      <c r="AE17"/>
      <c r="AF17"/>
      <c r="AG17"/>
    </row>
    <row r="18" spans="1:33" ht="12.75" customHeight="1">
      <c r="A18" s="121"/>
      <c r="B18" s="121"/>
      <c r="C18" s="121"/>
      <c r="D18" s="121"/>
      <c r="E18" s="121"/>
      <c r="F18" s="121"/>
      <c r="G18" s="121"/>
      <c r="H18" s="121"/>
      <c r="I18" s="121"/>
      <c r="J18" s="121"/>
      <c r="K18" s="121"/>
      <c r="L18" s="121"/>
      <c r="M18" s="121"/>
      <c r="N18" s="121"/>
      <c r="O18" s="121"/>
      <c r="P18" s="121"/>
      <c r="Q18" s="360">
        <v>1.2</v>
      </c>
      <c r="R18" s="364" t="s">
        <v>19</v>
      </c>
      <c r="S18" s="363"/>
      <c r="T18" s="363"/>
      <c r="U18" s="363"/>
      <c r="V18" s="363"/>
      <c r="W18" s="363"/>
      <c r="X18" s="363"/>
      <c r="Y18" s="363"/>
      <c r="Z18" s="363"/>
      <c r="AA18"/>
      <c r="AB18"/>
      <c r="AC18"/>
      <c r="AD18"/>
      <c r="AE18"/>
      <c r="AF18"/>
      <c r="AG18"/>
    </row>
    <row r="19" spans="1:33" ht="12.75" customHeight="1">
      <c r="A19" s="121"/>
      <c r="B19" s="121"/>
      <c r="C19" s="121"/>
      <c r="D19" s="121"/>
      <c r="E19" s="121"/>
      <c r="F19" s="121"/>
      <c r="G19" s="121"/>
      <c r="H19" s="121"/>
      <c r="I19" s="121"/>
      <c r="J19" s="121"/>
      <c r="K19" s="121"/>
      <c r="L19" s="121"/>
      <c r="M19" s="121"/>
      <c r="N19" s="121"/>
      <c r="O19" s="121"/>
      <c r="P19" s="121"/>
      <c r="Q19" s="360"/>
      <c r="R19" s="969" t="s">
        <v>314</v>
      </c>
      <c r="S19" s="969"/>
      <c r="T19" s="969"/>
      <c r="U19" s="969"/>
      <c r="V19" s="447">
        <f>'Prod Parameters'!$F$17</f>
        <v>160</v>
      </c>
      <c r="W19" s="363"/>
      <c r="X19" s="363"/>
      <c r="Y19" s="363"/>
      <c r="Z19" s="363"/>
      <c r="AA19"/>
      <c r="AB19"/>
      <c r="AC19"/>
      <c r="AD19"/>
      <c r="AE19"/>
      <c r="AF19"/>
      <c r="AG19"/>
    </row>
    <row r="20" spans="1:33" ht="12.75" customHeight="1">
      <c r="A20" s="121"/>
      <c r="B20" s="121"/>
      <c r="C20" s="121"/>
      <c r="D20" s="121"/>
      <c r="E20" s="121"/>
      <c r="F20" s="121"/>
      <c r="G20" s="121"/>
      <c r="H20" s="121"/>
      <c r="I20" s="121"/>
      <c r="J20" s="121"/>
      <c r="K20" s="121"/>
      <c r="L20" s="121"/>
      <c r="M20" s="121"/>
      <c r="N20" s="121"/>
      <c r="O20" s="121"/>
      <c r="P20" s="121"/>
      <c r="Q20" s="360"/>
      <c r="R20" s="969" t="s">
        <v>31</v>
      </c>
      <c r="S20" s="969"/>
      <c r="T20" s="969"/>
      <c r="U20" s="969"/>
      <c r="V20" s="447">
        <f>'Prod Parameters'!$F$18</f>
        <v>1.2</v>
      </c>
      <c r="W20" s="363"/>
      <c r="X20" s="363"/>
      <c r="Y20" s="363"/>
      <c r="Z20" s="363"/>
      <c r="AA20"/>
      <c r="AB20"/>
      <c r="AC20"/>
      <c r="AD20"/>
      <c r="AE20"/>
      <c r="AF20"/>
      <c r="AG20"/>
    </row>
    <row r="21" spans="1:33" ht="12.75" customHeight="1">
      <c r="A21" s="121"/>
      <c r="B21" s="121"/>
      <c r="C21" s="121"/>
      <c r="D21" s="121"/>
      <c r="E21" s="121"/>
      <c r="F21" s="121"/>
      <c r="G21" s="121"/>
      <c r="H21" s="121"/>
      <c r="I21" s="121"/>
      <c r="J21" s="121"/>
      <c r="K21" s="121"/>
      <c r="L21" s="121"/>
      <c r="M21" s="121"/>
      <c r="N21" s="121"/>
      <c r="O21" s="121"/>
      <c r="P21" s="121"/>
      <c r="Q21" s="360"/>
      <c r="R21" s="969" t="s">
        <v>199</v>
      </c>
      <c r="S21" s="969"/>
      <c r="T21" s="969"/>
      <c r="U21" s="969"/>
      <c r="V21" s="447">
        <f>'Prod Parameters'!$F$19</f>
        <v>4</v>
      </c>
      <c r="W21" s="363"/>
      <c r="X21" s="363"/>
      <c r="Y21" s="363"/>
      <c r="Z21" s="363"/>
      <c r="AA21"/>
      <c r="AB21"/>
      <c r="AC21"/>
      <c r="AD21"/>
      <c r="AE21"/>
      <c r="AF21"/>
      <c r="AG21"/>
    </row>
    <row r="22" spans="1:33" ht="12.75" customHeight="1">
      <c r="A22" s="121"/>
      <c r="B22" s="121"/>
      <c r="C22" s="121"/>
      <c r="D22" s="121"/>
      <c r="E22" s="121"/>
      <c r="F22" s="121"/>
      <c r="G22" s="121"/>
      <c r="H22" s="121"/>
      <c r="I22" s="121"/>
      <c r="J22" s="121"/>
      <c r="K22" s="121"/>
      <c r="L22" s="121"/>
      <c r="M22" s="121"/>
      <c r="N22" s="121"/>
      <c r="O22" s="121"/>
      <c r="P22" s="121"/>
      <c r="Q22" s="360"/>
      <c r="R22" s="969" t="s">
        <v>20</v>
      </c>
      <c r="S22" s="969"/>
      <c r="T22" s="969"/>
      <c r="U22" s="969"/>
      <c r="V22" s="447">
        <f>'Prod Parameters'!$F$20</f>
        <v>40</v>
      </c>
      <c r="W22" s="363"/>
      <c r="X22" s="363"/>
      <c r="Y22" s="363"/>
      <c r="Z22" s="363"/>
      <c r="AA22"/>
      <c r="AB22"/>
      <c r="AC22"/>
      <c r="AD22"/>
      <c r="AE22"/>
      <c r="AF22"/>
      <c r="AG22"/>
    </row>
    <row r="23" spans="1:33" ht="12.75" customHeight="1">
      <c r="A23" s="121"/>
      <c r="B23" s="121"/>
      <c r="C23" s="121"/>
      <c r="D23" s="121"/>
      <c r="E23" s="121"/>
      <c r="F23" s="121"/>
      <c r="G23" s="121"/>
      <c r="H23" s="121"/>
      <c r="I23" s="121"/>
      <c r="J23" s="121"/>
      <c r="K23" s="121"/>
      <c r="L23" s="121"/>
      <c r="M23" s="121"/>
      <c r="N23" s="121"/>
      <c r="O23" s="121"/>
      <c r="P23" s="121"/>
      <c r="Q23" s="360"/>
      <c r="R23" s="969" t="s">
        <v>310</v>
      </c>
      <c r="S23" s="969"/>
      <c r="T23" s="969"/>
      <c r="U23" s="969"/>
      <c r="V23" s="447">
        <f>'Prod Parameters'!$F$21</f>
        <v>160</v>
      </c>
      <c r="W23" s="363"/>
      <c r="X23" s="363"/>
      <c r="Y23" s="363"/>
      <c r="Z23" s="363"/>
      <c r="AA23"/>
      <c r="AB23"/>
      <c r="AC23"/>
      <c r="AD23"/>
      <c r="AE23"/>
      <c r="AF23"/>
      <c r="AG23"/>
    </row>
    <row r="24" spans="1:33" ht="12.75" customHeight="1">
      <c r="A24" s="121"/>
      <c r="B24" s="121"/>
      <c r="C24" s="121"/>
      <c r="D24" s="121"/>
      <c r="E24" s="121"/>
      <c r="F24" s="121"/>
      <c r="G24" s="121"/>
      <c r="H24" s="121"/>
      <c r="I24" s="121"/>
      <c r="J24" s="121"/>
      <c r="K24" s="121"/>
      <c r="L24" s="121"/>
      <c r="M24" s="121"/>
      <c r="N24" s="121"/>
      <c r="O24" s="121"/>
      <c r="P24" s="121"/>
      <c r="Q24" s="360"/>
      <c r="R24" s="969" t="s">
        <v>315</v>
      </c>
      <c r="S24" s="969"/>
      <c r="T24" s="969"/>
      <c r="U24" s="969"/>
      <c r="V24" s="549">
        <f>'Prod Parameters'!$F$22</f>
        <v>6400</v>
      </c>
      <c r="W24" s="363"/>
      <c r="X24" s="363"/>
      <c r="Y24" s="363"/>
      <c r="Z24" s="363"/>
      <c r="AA24"/>
      <c r="AB24"/>
      <c r="AC24"/>
      <c r="AD24"/>
      <c r="AE24"/>
      <c r="AF24"/>
      <c r="AG24"/>
    </row>
    <row r="25" spans="1:33" ht="12.75" customHeight="1">
      <c r="A25" s="121"/>
      <c r="B25" s="121"/>
      <c r="C25" s="121"/>
      <c r="D25" s="121"/>
      <c r="E25" s="121"/>
      <c r="F25" s="121"/>
      <c r="G25" s="121"/>
      <c r="H25" s="121"/>
      <c r="I25" s="121"/>
      <c r="J25" s="121"/>
      <c r="K25" s="121"/>
      <c r="L25" s="121"/>
      <c r="M25" s="121"/>
      <c r="N25" s="121"/>
      <c r="O25" s="121"/>
      <c r="P25" s="121"/>
      <c r="Q25" s="360"/>
      <c r="R25" s="969" t="s">
        <v>187</v>
      </c>
      <c r="S25" s="969"/>
      <c r="T25" s="969"/>
      <c r="U25" s="969"/>
      <c r="V25" s="549">
        <f>'Prod Parameters'!$F$23</f>
        <v>7680</v>
      </c>
      <c r="W25" s="363"/>
      <c r="X25" s="363"/>
      <c r="Y25" s="363"/>
      <c r="Z25" s="363"/>
      <c r="AA25"/>
      <c r="AB25"/>
      <c r="AC25"/>
      <c r="AD25"/>
      <c r="AE25"/>
      <c r="AF25"/>
      <c r="AG25"/>
    </row>
    <row r="26" spans="1:33" ht="12.75" customHeight="1">
      <c r="A26" s="121"/>
      <c r="B26" s="121"/>
      <c r="C26" s="121"/>
      <c r="D26" s="121"/>
      <c r="E26" s="121"/>
      <c r="F26" s="121"/>
      <c r="G26" s="121"/>
      <c r="H26" s="121"/>
      <c r="I26" s="121"/>
      <c r="J26" s="121"/>
      <c r="K26" s="121"/>
      <c r="L26" s="121"/>
      <c r="M26" s="121"/>
      <c r="N26" s="121"/>
      <c r="O26" s="121"/>
      <c r="P26" s="121"/>
      <c r="Q26" s="360"/>
      <c r="R26" s="969" t="s">
        <v>200</v>
      </c>
      <c r="S26" s="969"/>
      <c r="T26" s="969"/>
      <c r="U26" s="969"/>
      <c r="V26" s="549">
        <f>'Prod Parameters'!$F$24</f>
        <v>176640</v>
      </c>
      <c r="W26" s="363"/>
      <c r="X26" s="363"/>
      <c r="Y26" s="363"/>
      <c r="Z26" s="363"/>
      <c r="AA26"/>
      <c r="AB26"/>
      <c r="AC26"/>
      <c r="AD26"/>
      <c r="AE26"/>
      <c r="AF26"/>
      <c r="AG26"/>
    </row>
    <row r="27" spans="1:33" ht="12.75" customHeight="1">
      <c r="A27" s="121"/>
      <c r="B27" s="121"/>
      <c r="C27" s="121"/>
      <c r="D27" s="121"/>
      <c r="E27" s="121"/>
      <c r="F27" s="121"/>
      <c r="G27" s="121"/>
      <c r="H27" s="121"/>
      <c r="I27" s="121"/>
      <c r="J27" s="121"/>
      <c r="K27" s="121"/>
      <c r="L27" s="121"/>
      <c r="M27" s="121"/>
      <c r="N27" s="121"/>
      <c r="O27" s="121"/>
      <c r="P27" s="121"/>
      <c r="Q27" s="360"/>
      <c r="R27" s="363"/>
      <c r="S27" s="363"/>
      <c r="T27" s="363"/>
      <c r="U27" s="363"/>
      <c r="V27" s="363"/>
      <c r="W27" s="363"/>
      <c r="X27" s="363"/>
      <c r="Y27" s="363"/>
      <c r="Z27" s="363"/>
      <c r="AA27"/>
      <c r="AB27"/>
      <c r="AC27"/>
      <c r="AD27"/>
      <c r="AE27"/>
      <c r="AF27"/>
      <c r="AG27"/>
    </row>
    <row r="28" spans="1:33" ht="12.75" customHeight="1">
      <c r="A28" s="121"/>
      <c r="B28" s="121"/>
      <c r="C28" s="121"/>
      <c r="D28" s="121"/>
      <c r="E28" s="121"/>
      <c r="F28" s="121"/>
      <c r="G28" s="121"/>
      <c r="H28" s="121"/>
      <c r="I28" s="121"/>
      <c r="J28" s="121"/>
      <c r="K28" s="121"/>
      <c r="L28" s="121"/>
      <c r="M28" s="121"/>
      <c r="N28" s="121"/>
      <c r="O28" s="121"/>
      <c r="P28" s="121"/>
      <c r="Q28" s="385" t="s">
        <v>33</v>
      </c>
      <c r="R28" s="1008" t="s">
        <v>821</v>
      </c>
      <c r="S28" s="1008"/>
      <c r="T28" s="1008"/>
      <c r="U28" s="1008"/>
      <c r="V28" s="1008"/>
      <c r="W28" s="1008"/>
      <c r="X28" s="1008"/>
      <c r="Y28" s="1008"/>
      <c r="Z28" s="536"/>
      <c r="AA28"/>
      <c r="AB28"/>
      <c r="AC28"/>
      <c r="AD28"/>
      <c r="AE28"/>
      <c r="AF28"/>
      <c r="AG28"/>
    </row>
    <row r="29" spans="1:33" ht="12.75" customHeight="1">
      <c r="A29" s="121"/>
      <c r="B29" s="121"/>
      <c r="C29" s="121"/>
      <c r="D29" s="121"/>
      <c r="E29" s="121"/>
      <c r="F29" s="121"/>
      <c r="G29" s="121"/>
      <c r="H29" s="121"/>
      <c r="I29" s="121"/>
      <c r="J29" s="121"/>
      <c r="K29" s="121"/>
      <c r="L29" s="121"/>
      <c r="M29" s="121"/>
      <c r="N29" s="121"/>
      <c r="O29" s="121"/>
      <c r="P29" s="121"/>
      <c r="Q29" s="546"/>
      <c r="R29" s="363"/>
      <c r="S29" s="363"/>
      <c r="T29" s="363"/>
      <c r="U29" s="363"/>
      <c r="V29" s="363"/>
      <c r="W29" s="363"/>
      <c r="X29" s="363"/>
      <c r="Y29" s="363"/>
      <c r="Z29" s="363"/>
      <c r="AA29"/>
      <c r="AB29"/>
      <c r="AC29"/>
      <c r="AD29"/>
      <c r="AE29"/>
      <c r="AF29"/>
      <c r="AG29"/>
    </row>
    <row r="30" spans="1:33" ht="12.75" customHeight="1">
      <c r="A30" s="121"/>
      <c r="B30" s="121"/>
      <c r="C30" s="121"/>
      <c r="D30" s="121"/>
      <c r="E30" s="121"/>
      <c r="F30" s="121"/>
      <c r="G30" s="121"/>
      <c r="H30" s="121"/>
      <c r="I30" s="121"/>
      <c r="J30" s="121"/>
      <c r="K30" s="121"/>
      <c r="L30" s="121"/>
      <c r="M30" s="121"/>
      <c r="N30" s="121"/>
      <c r="O30" s="121"/>
      <c r="P30" s="121"/>
      <c r="Q30" s="546">
        <v>2.1</v>
      </c>
      <c r="R30" s="363" t="s">
        <v>831</v>
      </c>
      <c r="S30" s="363"/>
      <c r="T30" s="363"/>
      <c r="U30" s="550"/>
      <c r="V30" s="550"/>
      <c r="W30" s="550"/>
      <c r="X30" s="550"/>
      <c r="Y30" s="551"/>
      <c r="Z30" s="551"/>
      <c r="AA30"/>
      <c r="AB30"/>
      <c r="AC30"/>
      <c r="AD30"/>
      <c r="AE30"/>
      <c r="AF30"/>
      <c r="AG30"/>
    </row>
    <row r="31" spans="1:33" ht="12.75" customHeight="1">
      <c r="A31" s="121"/>
      <c r="B31" s="121"/>
      <c r="C31" s="121"/>
      <c r="D31" s="121"/>
      <c r="E31" s="121"/>
      <c r="F31" s="121"/>
      <c r="G31" s="121"/>
      <c r="H31" s="121"/>
      <c r="I31" s="121"/>
      <c r="J31" s="121"/>
      <c r="K31" s="121"/>
      <c r="L31" s="121"/>
      <c r="M31" s="121"/>
      <c r="N31" s="121"/>
      <c r="O31" s="121"/>
      <c r="P31" s="121"/>
      <c r="Q31" s="546"/>
      <c r="R31" s="998" t="s">
        <v>77</v>
      </c>
      <c r="S31" s="999"/>
      <c r="T31" s="1000"/>
      <c r="U31" s="1019" t="s">
        <v>824</v>
      </c>
      <c r="V31" s="1019" t="s">
        <v>828</v>
      </c>
      <c r="W31" s="1019" t="s">
        <v>826</v>
      </c>
      <c r="X31" s="1019" t="s">
        <v>23</v>
      </c>
      <c r="Y31" s="552"/>
      <c r="Z31" s="552"/>
      <c r="AA31"/>
      <c r="AB31"/>
      <c r="AC31"/>
      <c r="AD31"/>
      <c r="AE31"/>
      <c r="AF31"/>
      <c r="AG31"/>
    </row>
    <row r="32" spans="1:33" ht="12.75" customHeight="1">
      <c r="A32" s="121"/>
      <c r="B32" s="121"/>
      <c r="C32" s="121"/>
      <c r="D32" s="121"/>
      <c r="E32" s="121"/>
      <c r="F32" s="121"/>
      <c r="G32" s="121"/>
      <c r="H32" s="121"/>
      <c r="I32" s="121"/>
      <c r="J32" s="121"/>
      <c r="K32" s="121"/>
      <c r="L32" s="121"/>
      <c r="M32" s="121"/>
      <c r="N32" s="121"/>
      <c r="O32" s="121"/>
      <c r="P32" s="121"/>
      <c r="Q32" s="546"/>
      <c r="R32" s="1001"/>
      <c r="S32" s="1002"/>
      <c r="T32" s="1003"/>
      <c r="U32" s="1019"/>
      <c r="V32" s="1019"/>
      <c r="W32" s="1019"/>
      <c r="X32" s="1019"/>
      <c r="Y32" s="364"/>
      <c r="Z32" s="364"/>
      <c r="AA32"/>
      <c r="AB32"/>
      <c r="AC32"/>
      <c r="AD32"/>
      <c r="AE32"/>
      <c r="AF32"/>
      <c r="AG32"/>
    </row>
    <row r="33" spans="1:33" ht="12.75" customHeight="1">
      <c r="A33" s="121"/>
      <c r="B33" s="121"/>
      <c r="C33" s="121"/>
      <c r="D33" s="121"/>
      <c r="E33" s="121"/>
      <c r="F33" s="121"/>
      <c r="G33" s="121"/>
      <c r="H33" s="121"/>
      <c r="I33" s="121"/>
      <c r="J33" s="121"/>
      <c r="K33" s="121"/>
      <c r="L33" s="121"/>
      <c r="M33" s="121"/>
      <c r="N33" s="121"/>
      <c r="O33" s="121"/>
      <c r="P33" s="121"/>
      <c r="Q33" s="546"/>
      <c r="R33" s="1020" t="s">
        <v>500</v>
      </c>
      <c r="S33" s="1020"/>
      <c r="T33" s="1020"/>
      <c r="U33" s="369">
        <v>23.9</v>
      </c>
      <c r="V33" s="369">
        <f>'Lookup Properties'!$C$7</f>
        <v>15.4</v>
      </c>
      <c r="W33" s="369">
        <f>'Lookup Properties'!$D$7</f>
        <v>4.8</v>
      </c>
      <c r="X33" s="553">
        <f>SUM(U33:W33)</f>
        <v>44.099999999999994</v>
      </c>
      <c r="Y33" s="364"/>
      <c r="Z33" s="364"/>
      <c r="AA33"/>
      <c r="AB33"/>
      <c r="AC33"/>
      <c r="AD33"/>
      <c r="AE33"/>
      <c r="AF33"/>
      <c r="AG33"/>
    </row>
    <row r="34" spans="1:33" ht="12.75" customHeight="1">
      <c r="A34" s="121"/>
      <c r="B34" s="121"/>
      <c r="C34" s="121"/>
      <c r="D34" s="121"/>
      <c r="E34" s="121"/>
      <c r="F34" s="121"/>
      <c r="G34" s="121"/>
      <c r="H34" s="121"/>
      <c r="I34" s="121"/>
      <c r="J34" s="121"/>
      <c r="K34" s="121"/>
      <c r="L34" s="121"/>
      <c r="M34" s="121"/>
      <c r="N34" s="121"/>
      <c r="O34" s="121"/>
      <c r="P34" s="121"/>
      <c r="Q34" s="546"/>
      <c r="R34" s="1017" t="s">
        <v>22</v>
      </c>
      <c r="S34" s="1017"/>
      <c r="T34" s="1017"/>
      <c r="U34" s="369">
        <f>'Lookup Properties'!$B$5</f>
        <v>22.35</v>
      </c>
      <c r="V34" s="369">
        <f>'Lookup Properties'!$C$5</f>
        <v>17.399999999999999</v>
      </c>
      <c r="W34" s="369">
        <f>'Lookup Properties'!$D$5</f>
        <v>5</v>
      </c>
      <c r="X34" s="553">
        <f>SUM(U34:W34)</f>
        <v>44.75</v>
      </c>
      <c r="Y34" s="364"/>
      <c r="Z34" s="364"/>
      <c r="AA34"/>
      <c r="AB34"/>
      <c r="AC34"/>
      <c r="AD34"/>
      <c r="AE34"/>
      <c r="AF34"/>
      <c r="AG34"/>
    </row>
    <row r="35" spans="1:33" ht="12.75" customHeight="1">
      <c r="A35" s="121"/>
      <c r="B35" s="121"/>
      <c r="C35" s="121"/>
      <c r="D35" s="121"/>
      <c r="E35" s="121"/>
      <c r="F35" s="121"/>
      <c r="G35" s="121"/>
      <c r="H35" s="121"/>
      <c r="I35" s="121"/>
      <c r="J35" s="121"/>
      <c r="K35" s="121"/>
      <c r="L35" s="121"/>
      <c r="M35" s="121"/>
      <c r="N35" s="121"/>
      <c r="O35" s="121"/>
      <c r="P35" s="121"/>
      <c r="Q35" s="546"/>
      <c r="R35" s="1018" t="s">
        <v>579</v>
      </c>
      <c r="S35" s="1018"/>
      <c r="T35" s="1018"/>
      <c r="U35" s="369">
        <f>'Lookup Properties'!$B$6</f>
        <v>22.15</v>
      </c>
      <c r="V35" s="369">
        <f>'Lookup Properties'!$C$6</f>
        <v>18.149999999999999</v>
      </c>
      <c r="W35" s="369">
        <f>'Lookup Properties'!$D$6</f>
        <v>5</v>
      </c>
      <c r="X35" s="553">
        <f>SUM(U35:W35)</f>
        <v>45.3</v>
      </c>
      <c r="Y35" s="364"/>
      <c r="Z35" s="364"/>
      <c r="AA35"/>
      <c r="AB35"/>
      <c r="AC35"/>
      <c r="AD35"/>
      <c r="AE35"/>
      <c r="AF35"/>
      <c r="AG35"/>
    </row>
    <row r="36" spans="1:33" ht="12.75" customHeight="1">
      <c r="A36" s="121"/>
      <c r="B36" s="121"/>
      <c r="C36" s="121"/>
      <c r="D36" s="121"/>
      <c r="E36" s="121"/>
      <c r="F36" s="121"/>
      <c r="G36" s="121"/>
      <c r="H36" s="121"/>
      <c r="I36" s="121"/>
      <c r="J36" s="121"/>
      <c r="K36" s="121"/>
      <c r="L36" s="121"/>
      <c r="M36" s="121"/>
      <c r="N36" s="121"/>
      <c r="O36" s="121"/>
      <c r="P36" s="121"/>
      <c r="Q36" s="546"/>
      <c r="R36" s="1016" t="s">
        <v>21</v>
      </c>
      <c r="S36" s="1016"/>
      <c r="T36" s="1016"/>
      <c r="U36" s="369">
        <f>'Lookup Properties'!$B$4</f>
        <v>21.25</v>
      </c>
      <c r="V36" s="369">
        <f>'Lookup Properties'!$C$4</f>
        <v>17.399999999999999</v>
      </c>
      <c r="W36" s="369">
        <f>'Lookup Properties'!$D$4</f>
        <v>5</v>
      </c>
      <c r="X36" s="553">
        <f>SUM(U36:W36)</f>
        <v>43.65</v>
      </c>
      <c r="Y36" s="364"/>
      <c r="Z36" s="364"/>
      <c r="AA36"/>
      <c r="AB36"/>
      <c r="AC36"/>
      <c r="AD36"/>
      <c r="AE36"/>
      <c r="AF36"/>
      <c r="AG36"/>
    </row>
    <row r="37" spans="1:33" ht="12.75" customHeight="1">
      <c r="A37" s="121"/>
      <c r="B37" s="121"/>
      <c r="C37" s="121"/>
      <c r="D37" s="121"/>
      <c r="E37" s="121"/>
      <c r="F37" s="121"/>
      <c r="G37" s="121"/>
      <c r="H37" s="121"/>
      <c r="I37" s="121"/>
      <c r="J37" s="121"/>
      <c r="K37" s="121"/>
      <c r="L37" s="121"/>
      <c r="M37" s="121"/>
      <c r="N37" s="121"/>
      <c r="O37" s="121"/>
      <c r="P37" s="121"/>
      <c r="Q37" s="364"/>
      <c r="R37" s="364"/>
      <c r="S37" s="364"/>
      <c r="T37" s="364"/>
      <c r="U37" s="555"/>
      <c r="V37" s="555"/>
      <c r="W37" s="555"/>
      <c r="X37" s="555"/>
      <c r="Y37" s="555"/>
      <c r="Z37" s="364"/>
      <c r="AA37"/>
      <c r="AB37"/>
      <c r="AC37"/>
      <c r="AD37"/>
      <c r="AE37"/>
      <c r="AF37"/>
      <c r="AG37"/>
    </row>
    <row r="38" spans="1:33" ht="12.75" customHeight="1">
      <c r="A38" s="121"/>
      <c r="B38" s="121"/>
      <c r="C38" s="121"/>
      <c r="D38" s="121"/>
      <c r="E38" s="121"/>
      <c r="F38" s="121"/>
      <c r="G38" s="121"/>
      <c r="H38" s="121"/>
      <c r="I38" s="121"/>
      <c r="J38" s="121"/>
      <c r="K38" s="121"/>
      <c r="L38" s="121"/>
      <c r="M38" s="121"/>
      <c r="N38" s="121"/>
      <c r="O38" s="121"/>
      <c r="P38" s="121"/>
      <c r="Q38" s="360">
        <v>2.2000000000000002</v>
      </c>
      <c r="R38" s="363" t="s">
        <v>832</v>
      </c>
      <c r="S38" s="363"/>
      <c r="T38" s="363"/>
      <c r="U38" s="363"/>
      <c r="V38" s="363"/>
      <c r="W38" s="363"/>
      <c r="X38" s="363"/>
      <c r="Y38" s="363"/>
      <c r="Z38" s="364"/>
      <c r="AA38"/>
      <c r="AB38"/>
      <c r="AC38"/>
      <c r="AD38"/>
      <c r="AE38"/>
      <c r="AF38"/>
      <c r="AG38"/>
    </row>
    <row r="39" spans="1:33" ht="12.75" customHeight="1">
      <c r="A39" s="121"/>
      <c r="B39" s="121"/>
      <c r="C39" s="121"/>
      <c r="D39" s="121"/>
      <c r="E39" s="121"/>
      <c r="F39" s="121"/>
      <c r="G39" s="121"/>
      <c r="H39" s="121"/>
      <c r="I39" s="121"/>
      <c r="J39" s="121"/>
      <c r="K39" s="121"/>
      <c r="L39" s="121"/>
      <c r="M39" s="121"/>
      <c r="N39" s="121"/>
      <c r="O39" s="121"/>
      <c r="P39" s="121"/>
      <c r="Q39" s="360"/>
      <c r="R39" s="998" t="s">
        <v>77</v>
      </c>
      <c r="S39" s="999"/>
      <c r="T39" s="1000"/>
      <c r="U39" s="1019" t="s">
        <v>824</v>
      </c>
      <c r="V39" s="1019" t="s">
        <v>828</v>
      </c>
      <c r="W39" s="1019" t="s">
        <v>826</v>
      </c>
      <c r="X39" s="1019" t="s">
        <v>23</v>
      </c>
      <c r="Y39" s="364"/>
      <c r="Z39" s="364"/>
      <c r="AA39"/>
      <c r="AB39"/>
      <c r="AC39"/>
      <c r="AD39"/>
      <c r="AE39"/>
      <c r="AF39"/>
      <c r="AG39"/>
    </row>
    <row r="40" spans="1:33" ht="12.75" customHeight="1">
      <c r="A40" s="121"/>
      <c r="B40" s="121"/>
      <c r="C40" s="121"/>
      <c r="D40" s="121"/>
      <c r="E40" s="121"/>
      <c r="F40" s="121"/>
      <c r="G40" s="121"/>
      <c r="H40" s="121"/>
      <c r="I40" s="121"/>
      <c r="J40" s="121"/>
      <c r="K40" s="121"/>
      <c r="L40" s="121"/>
      <c r="M40" s="121"/>
      <c r="N40" s="121"/>
      <c r="O40" s="121"/>
      <c r="P40" s="121"/>
      <c r="Q40" s="360"/>
      <c r="R40" s="1001"/>
      <c r="S40" s="1002"/>
      <c r="T40" s="1003"/>
      <c r="U40" s="1019"/>
      <c r="V40" s="1019"/>
      <c r="W40" s="1019"/>
      <c r="X40" s="1019"/>
      <c r="Y40" s="364"/>
      <c r="Z40" s="364"/>
      <c r="AA40"/>
      <c r="AB40"/>
      <c r="AC40"/>
      <c r="AD40"/>
      <c r="AE40"/>
      <c r="AF40"/>
      <c r="AG40"/>
    </row>
    <row r="41" spans="1:33" ht="12.75" customHeight="1">
      <c r="A41" s="121"/>
      <c r="B41" s="121"/>
      <c r="C41" s="121"/>
      <c r="D41" s="121"/>
      <c r="E41" s="121"/>
      <c r="F41" s="121"/>
      <c r="G41" s="121"/>
      <c r="H41" s="121"/>
      <c r="I41" s="121"/>
      <c r="J41" s="121"/>
      <c r="K41" s="121"/>
      <c r="L41" s="121"/>
      <c r="M41" s="121"/>
      <c r="N41" s="121"/>
      <c r="O41" s="121"/>
      <c r="P41" s="121"/>
      <c r="Q41" s="360"/>
      <c r="R41" s="1020" t="s">
        <v>500</v>
      </c>
      <c r="S41" s="1020"/>
      <c r="T41" s="1020"/>
      <c r="U41" s="556">
        <f>'Lookup Properties'!$B$13</f>
        <v>0.74</v>
      </c>
      <c r="V41" s="556">
        <f>'Lookup Properties'!$C$13</f>
        <v>0.78</v>
      </c>
      <c r="W41" s="556">
        <f>'Lookup Properties'!$D$13</f>
        <v>1.26</v>
      </c>
      <c r="X41" s="553">
        <f>SUM(U41:W41)</f>
        <v>2.7800000000000002</v>
      </c>
      <c r="Y41" s="364"/>
      <c r="Z41" s="364"/>
      <c r="AA41"/>
      <c r="AB41"/>
      <c r="AC41"/>
      <c r="AD41"/>
      <c r="AE41"/>
      <c r="AF41"/>
      <c r="AG41"/>
    </row>
    <row r="42" spans="1:33" ht="12.75" customHeight="1">
      <c r="A42" s="121"/>
      <c r="B42" s="121"/>
      <c r="C42" s="121"/>
      <c r="D42" s="121"/>
      <c r="E42" s="121"/>
      <c r="F42" s="121"/>
      <c r="G42" s="121"/>
      <c r="H42" s="121"/>
      <c r="I42" s="121"/>
      <c r="J42" s="121"/>
      <c r="K42" s="121"/>
      <c r="L42" s="121"/>
      <c r="M42" s="121"/>
      <c r="N42" s="121"/>
      <c r="O42" s="121"/>
      <c r="P42" s="121"/>
      <c r="Q42" s="360"/>
      <c r="R42" s="1017" t="s">
        <v>22</v>
      </c>
      <c r="S42" s="1017"/>
      <c r="T42" s="1017"/>
      <c r="U42" s="557">
        <f>'Lookup Properties'!$B$11</f>
        <v>0.71499999999999997</v>
      </c>
      <c r="V42" s="557">
        <f>'Lookup Properties'!$C$11</f>
        <v>1.03</v>
      </c>
      <c r="W42" s="557">
        <f>'Lookup Properties'!$D$11</f>
        <v>1.29</v>
      </c>
      <c r="X42" s="553">
        <f>SUM(U42:W42)</f>
        <v>3.0350000000000001</v>
      </c>
      <c r="Y42" s="364"/>
      <c r="Z42" s="364"/>
      <c r="AA42"/>
      <c r="AB42"/>
      <c r="AC42"/>
      <c r="AD42"/>
      <c r="AE42"/>
      <c r="AF42"/>
      <c r="AG42"/>
    </row>
    <row r="43" spans="1:33" ht="12.75" customHeight="1">
      <c r="A43" s="121"/>
      <c r="B43" s="121"/>
      <c r="C43" s="121"/>
      <c r="D43" s="121"/>
      <c r="E43" s="121"/>
      <c r="F43" s="121"/>
      <c r="G43" s="121"/>
      <c r="H43" s="121"/>
      <c r="I43" s="121"/>
      <c r="J43" s="121"/>
      <c r="K43" s="121"/>
      <c r="L43" s="121"/>
      <c r="M43" s="121"/>
      <c r="N43" s="121"/>
      <c r="O43" s="121"/>
      <c r="P43" s="121"/>
      <c r="Q43" s="360"/>
      <c r="R43" s="1018" t="s">
        <v>579</v>
      </c>
      <c r="S43" s="1018"/>
      <c r="T43" s="1018"/>
      <c r="U43" s="557">
        <f>'Lookup Properties'!$B$12</f>
        <v>0.755</v>
      </c>
      <c r="V43" s="557">
        <f>'Lookup Properties'!$C$12</f>
        <v>1.07</v>
      </c>
      <c r="W43" s="557">
        <f>'Lookup Properties'!$D$12</f>
        <v>1.2949999999999999</v>
      </c>
      <c r="X43" s="553">
        <f>SUM(U43:W43)</f>
        <v>3.12</v>
      </c>
      <c r="Y43" s="364"/>
      <c r="Z43" s="364"/>
      <c r="AA43"/>
      <c r="AB43"/>
      <c r="AC43"/>
      <c r="AD43"/>
      <c r="AE43"/>
      <c r="AF43"/>
      <c r="AG43"/>
    </row>
    <row r="44" spans="1:33" ht="12.75" customHeight="1">
      <c r="A44" s="121"/>
      <c r="B44" s="121"/>
      <c r="C44" s="121"/>
      <c r="D44" s="121"/>
      <c r="E44" s="121"/>
      <c r="F44" s="121"/>
      <c r="G44" s="121"/>
      <c r="H44" s="121"/>
      <c r="I44" s="121"/>
      <c r="J44" s="121"/>
      <c r="K44" s="121"/>
      <c r="L44" s="121"/>
      <c r="M44" s="121"/>
      <c r="N44" s="121"/>
      <c r="O44" s="121"/>
      <c r="P44" s="121"/>
      <c r="Q44" s="360"/>
      <c r="R44" s="1016" t="s">
        <v>21</v>
      </c>
      <c r="S44" s="1016"/>
      <c r="T44" s="1016"/>
      <c r="U44" s="557">
        <f>'Lookup Properties'!$B$10</f>
        <v>0.71</v>
      </c>
      <c r="V44" s="557">
        <f>'Lookup Properties'!$C$10</f>
        <v>1.03</v>
      </c>
      <c r="W44" s="557">
        <f>'Lookup Properties'!$D$10</f>
        <v>1.29</v>
      </c>
      <c r="X44" s="553">
        <f>SUM(U44:W44)</f>
        <v>3.0300000000000002</v>
      </c>
      <c r="Y44" s="364"/>
      <c r="Z44" s="364"/>
      <c r="AA44"/>
      <c r="AB44"/>
      <c r="AC44"/>
      <c r="AD44"/>
      <c r="AE44"/>
      <c r="AF44"/>
      <c r="AG44"/>
    </row>
    <row r="45" spans="1:33" ht="12.75" customHeight="1">
      <c r="A45" s="121"/>
      <c r="B45" s="121"/>
      <c r="C45" s="121"/>
      <c r="D45" s="121"/>
      <c r="E45" s="121"/>
      <c r="F45" s="121"/>
      <c r="G45" s="121"/>
      <c r="H45" s="121"/>
      <c r="I45" s="121"/>
      <c r="J45" s="121"/>
      <c r="K45" s="121"/>
      <c r="L45" s="121"/>
      <c r="M45" s="121"/>
      <c r="N45" s="121"/>
      <c r="O45" s="121"/>
      <c r="P45" s="121"/>
      <c r="Q45" s="364"/>
      <c r="R45" s="364"/>
      <c r="S45" s="364"/>
      <c r="T45" s="364"/>
      <c r="U45" s="555"/>
      <c r="V45" s="555"/>
      <c r="W45" s="555"/>
      <c r="X45" s="555"/>
      <c r="Y45" s="555"/>
      <c r="Z45" s="364"/>
      <c r="AA45"/>
      <c r="AB45"/>
      <c r="AC45"/>
      <c r="AD45"/>
      <c r="AE45"/>
      <c r="AF45"/>
      <c r="AG45"/>
    </row>
    <row r="46" spans="1:33" ht="12.75" customHeight="1">
      <c r="A46" s="121"/>
      <c r="B46" s="121"/>
      <c r="C46" s="121"/>
      <c r="D46" s="121"/>
      <c r="E46" s="121"/>
      <c r="F46" s="121"/>
      <c r="G46" s="121"/>
      <c r="H46" s="121"/>
      <c r="I46" s="121"/>
      <c r="J46" s="121"/>
      <c r="K46" s="121"/>
      <c r="L46" s="121"/>
      <c r="M46" s="121"/>
      <c r="N46" s="121"/>
      <c r="O46" s="121"/>
      <c r="P46" s="121"/>
      <c r="Q46" s="387" t="s">
        <v>817</v>
      </c>
      <c r="R46" s="1015" t="s">
        <v>206</v>
      </c>
      <c r="S46" s="1015"/>
      <c r="T46" s="1015"/>
      <c r="U46" s="1015"/>
      <c r="V46" s="1015"/>
      <c r="W46" s="1015"/>
      <c r="X46" s="1015"/>
      <c r="Y46" s="1015"/>
      <c r="Z46" s="536"/>
      <c r="AA46"/>
      <c r="AB46"/>
      <c r="AC46"/>
      <c r="AD46"/>
      <c r="AE46"/>
      <c r="AF46"/>
      <c r="AG46"/>
    </row>
    <row r="47" spans="1:33" ht="12.75" customHeight="1">
      <c r="A47" s="121"/>
      <c r="B47" s="121"/>
      <c r="C47" s="121"/>
      <c r="D47" s="121"/>
      <c r="E47" s="121"/>
      <c r="F47" s="121"/>
      <c r="G47" s="121"/>
      <c r="H47" s="121"/>
      <c r="I47" s="121"/>
      <c r="J47" s="121"/>
      <c r="K47" s="121"/>
      <c r="L47" s="121"/>
      <c r="M47" s="121"/>
      <c r="N47" s="121"/>
      <c r="O47" s="121"/>
      <c r="P47" s="121"/>
      <c r="Q47" s="668"/>
      <c r="R47" s="364"/>
      <c r="S47" s="364"/>
      <c r="T47" s="364"/>
      <c r="U47" s="555"/>
      <c r="V47" s="555"/>
      <c r="W47" s="555"/>
      <c r="X47" s="555"/>
      <c r="Y47" s="555"/>
      <c r="Z47" s="364"/>
      <c r="AA47"/>
      <c r="AB47"/>
      <c r="AC47"/>
      <c r="AD47"/>
      <c r="AE47"/>
      <c r="AF47"/>
      <c r="AG47"/>
    </row>
    <row r="48" spans="1:33" ht="12.75" customHeight="1">
      <c r="A48" s="121"/>
      <c r="B48" s="121"/>
      <c r="C48" s="121"/>
      <c r="D48" s="121"/>
      <c r="E48" s="121"/>
      <c r="F48" s="121"/>
      <c r="G48" s="121"/>
      <c r="H48" s="121"/>
      <c r="I48" s="121"/>
      <c r="J48" s="121"/>
      <c r="K48" s="121"/>
      <c r="L48" s="121"/>
      <c r="M48" s="121"/>
      <c r="N48" s="121"/>
      <c r="O48" s="121"/>
      <c r="P48" s="121"/>
      <c r="Q48" s="668" t="s">
        <v>196</v>
      </c>
      <c r="R48" s="364" t="s">
        <v>207</v>
      </c>
      <c r="S48" s="364"/>
      <c r="T48" s="364"/>
      <c r="U48" s="555"/>
      <c r="V48" s="555"/>
      <c r="W48" s="555"/>
      <c r="X48" s="555"/>
      <c r="Y48" s="555"/>
      <c r="Z48" s="364"/>
      <c r="AA48"/>
      <c r="AB48"/>
      <c r="AC48"/>
      <c r="AD48"/>
      <c r="AE48"/>
      <c r="AF48"/>
      <c r="AG48"/>
    </row>
    <row r="49" spans="1:33" ht="12.75" customHeight="1">
      <c r="A49" s="121"/>
      <c r="B49" s="121"/>
      <c r="C49" s="121"/>
      <c r="D49" s="121"/>
      <c r="E49" s="121"/>
      <c r="F49" s="121"/>
      <c r="G49" s="121"/>
      <c r="H49" s="121"/>
      <c r="I49" s="121"/>
      <c r="J49" s="121"/>
      <c r="K49" s="121"/>
      <c r="L49" s="121"/>
      <c r="M49" s="121"/>
      <c r="N49" s="121"/>
      <c r="O49" s="121"/>
      <c r="P49" s="121"/>
      <c r="Q49" s="364"/>
      <c r="R49" s="962" t="s">
        <v>678</v>
      </c>
      <c r="S49" s="963"/>
      <c r="T49" s="964"/>
      <c r="U49" s="949" t="s">
        <v>500</v>
      </c>
      <c r="V49" s="938" t="s">
        <v>22</v>
      </c>
      <c r="W49" s="940" t="s">
        <v>579</v>
      </c>
      <c r="X49" s="942" t="s">
        <v>21</v>
      </c>
      <c r="Y49" s="361"/>
      <c r="Z49" s="364"/>
      <c r="AA49"/>
      <c r="AB49"/>
      <c r="AC49"/>
      <c r="AD49"/>
      <c r="AE49"/>
      <c r="AF49"/>
      <c r="AG49"/>
    </row>
    <row r="50" spans="1:33" ht="12.75" customHeight="1">
      <c r="A50" s="121"/>
      <c r="B50" s="121"/>
      <c r="C50" s="121"/>
      <c r="D50" s="121"/>
      <c r="E50" s="121"/>
      <c r="F50" s="121"/>
      <c r="G50" s="121"/>
      <c r="H50" s="121"/>
      <c r="I50" s="121"/>
      <c r="J50" s="121"/>
      <c r="K50" s="121"/>
      <c r="L50" s="121"/>
      <c r="M50" s="121"/>
      <c r="N50" s="121"/>
      <c r="O50" s="121"/>
      <c r="P50" s="121"/>
      <c r="Q50" s="364"/>
      <c r="R50" s="965"/>
      <c r="S50" s="966"/>
      <c r="T50" s="967"/>
      <c r="U50" s="950"/>
      <c r="V50" s="939"/>
      <c r="W50" s="941"/>
      <c r="X50" s="943"/>
      <c r="Y50" s="361"/>
      <c r="Z50" s="364"/>
      <c r="AA50"/>
      <c r="AB50"/>
      <c r="AC50"/>
      <c r="AD50"/>
      <c r="AE50"/>
      <c r="AF50"/>
      <c r="AG50"/>
    </row>
    <row r="51" spans="1:33" ht="12.75" customHeight="1">
      <c r="A51" s="121"/>
      <c r="B51" s="121"/>
      <c r="C51" s="121"/>
      <c r="D51" s="121"/>
      <c r="E51" s="121"/>
      <c r="F51" s="121"/>
      <c r="G51" s="121"/>
      <c r="H51" s="121"/>
      <c r="I51" s="121"/>
      <c r="J51" s="121"/>
      <c r="K51" s="121"/>
      <c r="L51" s="121"/>
      <c r="M51" s="121"/>
      <c r="N51" s="121"/>
      <c r="O51" s="121"/>
      <c r="P51" s="121"/>
      <c r="Q51" s="364"/>
      <c r="R51" s="969" t="s">
        <v>210</v>
      </c>
      <c r="S51" s="969"/>
      <c r="T51" s="969"/>
      <c r="U51" s="560">
        <v>0.3</v>
      </c>
      <c r="V51" s="537">
        <f>VLOOKUP($V$5,'Lookup Penetration Rate'!$B$8:$E$208,3)</f>
        <v>0.4</v>
      </c>
      <c r="W51" s="537">
        <f>VLOOKUP($V$5,'Lookup Penetration Rate'!$B$8:$E$208,4)</f>
        <v>0.46</v>
      </c>
      <c r="X51" s="537">
        <f>VLOOKUP($V$5,'Lookup Penetration Rate'!$B$8:$E$208,2)</f>
        <v>0.56000000000000005</v>
      </c>
      <c r="Y51" s="361"/>
      <c r="Z51" s="364"/>
      <c r="AA51"/>
      <c r="AB51"/>
      <c r="AC51"/>
      <c r="AD51"/>
      <c r="AE51"/>
      <c r="AF51"/>
      <c r="AG51"/>
    </row>
    <row r="52" spans="1:33" ht="12.75" customHeight="1">
      <c r="A52" s="121"/>
      <c r="B52" s="121"/>
      <c r="C52" s="121"/>
      <c r="D52" s="121"/>
      <c r="E52" s="121"/>
      <c r="F52" s="121"/>
      <c r="G52" s="121"/>
      <c r="H52" s="121"/>
      <c r="I52" s="121"/>
      <c r="J52" s="121"/>
      <c r="K52" s="121"/>
      <c r="L52" s="121"/>
      <c r="M52" s="121"/>
      <c r="N52" s="121"/>
      <c r="O52" s="121"/>
      <c r="P52" s="121"/>
      <c r="Q52" s="364"/>
      <c r="R52" s="364"/>
      <c r="S52" s="364"/>
      <c r="T52" s="364"/>
      <c r="U52" s="555"/>
      <c r="V52" s="555"/>
      <c r="W52" s="555"/>
      <c r="X52" s="555"/>
      <c r="Y52" s="555"/>
      <c r="Z52" s="364"/>
      <c r="AA52"/>
      <c r="AB52"/>
      <c r="AC52"/>
      <c r="AD52"/>
      <c r="AE52"/>
      <c r="AF52"/>
      <c r="AG52"/>
    </row>
    <row r="53" spans="1:33" ht="12.75" customHeight="1">
      <c r="A53" s="121"/>
      <c r="B53" s="121"/>
      <c r="C53" s="121"/>
      <c r="D53" s="121"/>
      <c r="E53" s="121"/>
      <c r="F53" s="121"/>
      <c r="G53" s="121"/>
      <c r="H53" s="121"/>
      <c r="I53" s="121"/>
      <c r="J53" s="121"/>
      <c r="K53" s="121"/>
      <c r="L53" s="121"/>
      <c r="M53" s="121"/>
      <c r="N53" s="121"/>
      <c r="O53" s="121"/>
      <c r="P53" s="121"/>
      <c r="Q53" s="668" t="s">
        <v>197</v>
      </c>
      <c r="R53" s="364" t="s">
        <v>208</v>
      </c>
      <c r="S53" s="364"/>
      <c r="T53" s="364"/>
      <c r="U53" s="555"/>
      <c r="V53" s="555"/>
      <c r="W53" s="555"/>
      <c r="X53" s="555"/>
      <c r="Y53" s="555"/>
      <c r="Z53" s="364"/>
      <c r="AA53"/>
      <c r="AB53"/>
      <c r="AC53"/>
      <c r="AD53"/>
      <c r="AE53"/>
      <c r="AF53"/>
      <c r="AG53"/>
    </row>
    <row r="54" spans="1:33" ht="12.75" customHeight="1">
      <c r="A54" s="121"/>
      <c r="B54" s="121"/>
      <c r="C54" s="121"/>
      <c r="D54" s="121"/>
      <c r="E54" s="121"/>
      <c r="F54" s="121"/>
      <c r="G54" s="121"/>
      <c r="H54" s="121"/>
      <c r="I54" s="121"/>
      <c r="J54" s="121"/>
      <c r="K54" s="121"/>
      <c r="L54" s="121"/>
      <c r="M54" s="121"/>
      <c r="N54" s="121"/>
      <c r="O54" s="121"/>
      <c r="P54" s="121"/>
      <c r="Q54" s="668"/>
      <c r="R54" s="962" t="s">
        <v>678</v>
      </c>
      <c r="S54" s="963"/>
      <c r="T54" s="964"/>
      <c r="U54" s="949" t="s">
        <v>500</v>
      </c>
      <c r="V54" s="938" t="s">
        <v>22</v>
      </c>
      <c r="W54" s="940" t="s">
        <v>579</v>
      </c>
      <c r="X54" s="942" t="s">
        <v>21</v>
      </c>
      <c r="Y54" s="361"/>
      <c r="Z54" s="364"/>
      <c r="AA54"/>
      <c r="AB54"/>
      <c r="AC54"/>
      <c r="AD54"/>
      <c r="AE54"/>
      <c r="AF54"/>
      <c r="AG54"/>
    </row>
    <row r="55" spans="1:33" ht="12.75" customHeight="1">
      <c r="A55" s="121"/>
      <c r="B55" s="121"/>
      <c r="C55" s="121"/>
      <c r="D55" s="121"/>
      <c r="E55" s="121"/>
      <c r="F55" s="121"/>
      <c r="G55" s="121"/>
      <c r="H55" s="121"/>
      <c r="I55" s="121"/>
      <c r="J55" s="121"/>
      <c r="K55" s="121"/>
      <c r="L55" s="121"/>
      <c r="M55" s="121"/>
      <c r="N55" s="121"/>
      <c r="O55" s="121"/>
      <c r="P55" s="121"/>
      <c r="Q55" s="668"/>
      <c r="R55" s="965"/>
      <c r="S55" s="966"/>
      <c r="T55" s="967"/>
      <c r="U55" s="950"/>
      <c r="V55" s="939"/>
      <c r="W55" s="941"/>
      <c r="X55" s="943"/>
      <c r="Y55" s="361"/>
      <c r="Z55" s="364"/>
      <c r="AA55"/>
      <c r="AB55"/>
      <c r="AC55"/>
      <c r="AD55"/>
      <c r="AE55"/>
      <c r="AF55"/>
      <c r="AG55"/>
    </row>
    <row r="56" spans="1:33" ht="12.75" customHeight="1">
      <c r="A56" s="121"/>
      <c r="B56" s="121"/>
      <c r="C56" s="121"/>
      <c r="D56" s="121"/>
      <c r="E56" s="121"/>
      <c r="F56" s="121"/>
      <c r="G56" s="121"/>
      <c r="H56" s="121"/>
      <c r="I56" s="121"/>
      <c r="J56" s="121"/>
      <c r="K56" s="121"/>
      <c r="L56" s="121"/>
      <c r="M56" s="121"/>
      <c r="N56" s="121"/>
      <c r="O56" s="121"/>
      <c r="P56" s="121"/>
      <c r="Q56" s="668"/>
      <c r="R56" s="969" t="s">
        <v>209</v>
      </c>
      <c r="S56" s="969"/>
      <c r="T56" s="969"/>
      <c r="U56" s="560">
        <f>$V$20/U51</f>
        <v>4</v>
      </c>
      <c r="V56" s="669">
        <f>$V$20/V51</f>
        <v>2.9999999999999996</v>
      </c>
      <c r="W56" s="669">
        <f>$V$20/W51</f>
        <v>2.6086956521739126</v>
      </c>
      <c r="X56" s="669">
        <f>$V$20/X51</f>
        <v>2.1428571428571428</v>
      </c>
      <c r="Y56" s="361"/>
      <c r="Z56" s="364"/>
      <c r="AA56"/>
      <c r="AB56"/>
      <c r="AC56"/>
      <c r="AD56"/>
      <c r="AE56"/>
      <c r="AF56"/>
      <c r="AG56"/>
    </row>
    <row r="57" spans="1:33" ht="12.75" customHeight="1">
      <c r="A57" s="121"/>
      <c r="B57" s="121"/>
      <c r="C57" s="121"/>
      <c r="D57" s="121"/>
      <c r="E57" s="121"/>
      <c r="F57" s="121"/>
      <c r="G57" s="121"/>
      <c r="H57" s="121"/>
      <c r="I57" s="121"/>
      <c r="J57" s="121"/>
      <c r="K57" s="121"/>
      <c r="L57" s="121"/>
      <c r="M57" s="121"/>
      <c r="N57" s="121"/>
      <c r="O57" s="121"/>
      <c r="P57" s="121"/>
      <c r="Q57" s="364"/>
      <c r="R57" s="364"/>
      <c r="S57" s="364"/>
      <c r="T57" s="364"/>
      <c r="U57" s="555"/>
      <c r="V57" s="555"/>
      <c r="W57" s="555"/>
      <c r="X57" s="555"/>
      <c r="Y57" s="555"/>
      <c r="Z57" s="364"/>
      <c r="AA57"/>
      <c r="AB57"/>
      <c r="AC57"/>
      <c r="AD57"/>
      <c r="AE57"/>
      <c r="AF57"/>
      <c r="AG57"/>
    </row>
    <row r="58" spans="1:33" ht="12.75" customHeight="1">
      <c r="A58" s="121"/>
      <c r="B58" s="121"/>
      <c r="C58" s="121"/>
      <c r="D58" s="121"/>
      <c r="E58" s="121"/>
      <c r="F58" s="121"/>
      <c r="G58" s="121"/>
      <c r="H58" s="121"/>
      <c r="I58" s="121"/>
      <c r="J58" s="121"/>
      <c r="K58" s="121"/>
      <c r="L58" s="121"/>
      <c r="M58" s="121"/>
      <c r="N58" s="121"/>
      <c r="O58" s="121"/>
      <c r="P58" s="121"/>
      <c r="Q58" s="563">
        <v>3.3</v>
      </c>
      <c r="R58" s="363" t="s">
        <v>211</v>
      </c>
      <c r="S58" s="363"/>
      <c r="T58" s="363"/>
      <c r="U58" s="363"/>
      <c r="V58" s="363"/>
      <c r="W58" s="363"/>
      <c r="X58" s="363"/>
      <c r="Y58" s="363"/>
      <c r="Z58" s="364"/>
      <c r="AA58"/>
      <c r="AB58"/>
      <c r="AC58"/>
      <c r="AD58"/>
      <c r="AE58"/>
      <c r="AF58"/>
      <c r="AG58"/>
    </row>
    <row r="59" spans="1:33" ht="12.75" customHeight="1">
      <c r="A59" s="121"/>
      <c r="B59" s="121"/>
      <c r="C59" s="121"/>
      <c r="D59" s="121"/>
      <c r="E59" s="121"/>
      <c r="F59" s="121"/>
      <c r="G59" s="121"/>
      <c r="H59" s="121"/>
      <c r="I59" s="121"/>
      <c r="J59" s="121"/>
      <c r="K59" s="121"/>
      <c r="L59" s="121"/>
      <c r="M59" s="121"/>
      <c r="N59" s="121"/>
      <c r="O59" s="121"/>
      <c r="P59" s="121"/>
      <c r="Q59" s="563"/>
      <c r="R59" s="962" t="s">
        <v>678</v>
      </c>
      <c r="S59" s="963"/>
      <c r="T59" s="964"/>
      <c r="U59" s="949" t="s">
        <v>500</v>
      </c>
      <c r="V59" s="938" t="s">
        <v>22</v>
      </c>
      <c r="W59" s="940" t="s">
        <v>579</v>
      </c>
      <c r="X59" s="942" t="s">
        <v>21</v>
      </c>
      <c r="Y59" s="361"/>
      <c r="Z59" s="364"/>
      <c r="AA59"/>
      <c r="AB59"/>
      <c r="AC59"/>
      <c r="AD59"/>
      <c r="AE59"/>
      <c r="AF59"/>
      <c r="AG59"/>
    </row>
    <row r="60" spans="1:33" ht="12.75" customHeight="1">
      <c r="A60" s="121"/>
      <c r="B60" s="121"/>
      <c r="C60" s="121"/>
      <c r="D60" s="121"/>
      <c r="E60" s="121"/>
      <c r="F60" s="121"/>
      <c r="G60" s="121"/>
      <c r="H60" s="121"/>
      <c r="I60" s="121"/>
      <c r="J60" s="121"/>
      <c r="K60" s="121"/>
      <c r="L60" s="121"/>
      <c r="M60" s="121"/>
      <c r="N60" s="121"/>
      <c r="O60" s="121"/>
      <c r="P60" s="121"/>
      <c r="Q60" s="563"/>
      <c r="R60" s="965"/>
      <c r="S60" s="966"/>
      <c r="T60" s="967"/>
      <c r="U60" s="950"/>
      <c r="V60" s="939"/>
      <c r="W60" s="941"/>
      <c r="X60" s="943"/>
      <c r="Y60" s="361"/>
      <c r="Z60" s="364"/>
      <c r="AA60"/>
      <c r="AB60"/>
      <c r="AC60"/>
      <c r="AD60"/>
      <c r="AE60"/>
      <c r="AF60"/>
      <c r="AG60"/>
    </row>
    <row r="61" spans="1:33" ht="12.75" customHeight="1">
      <c r="A61" s="121"/>
      <c r="B61" s="121"/>
      <c r="C61" s="121"/>
      <c r="D61" s="121"/>
      <c r="E61" s="121"/>
      <c r="F61" s="121"/>
      <c r="G61" s="121"/>
      <c r="H61" s="121"/>
      <c r="I61" s="121"/>
      <c r="J61" s="121"/>
      <c r="K61" s="121"/>
      <c r="L61" s="121"/>
      <c r="M61" s="121"/>
      <c r="N61" s="121"/>
      <c r="O61" s="121"/>
      <c r="P61" s="121"/>
      <c r="Q61" s="563"/>
      <c r="R61" s="969" t="s">
        <v>209</v>
      </c>
      <c r="S61" s="969"/>
      <c r="T61" s="969"/>
      <c r="U61" s="562">
        <f>(U56*$V$24)/$V$23</f>
        <v>160</v>
      </c>
      <c r="V61" s="670">
        <f>(V56*$V$24)/$V$23</f>
        <v>119.99999999999997</v>
      </c>
      <c r="W61" s="670">
        <f>(W56*$V$24)/$V$23</f>
        <v>104.3478260869565</v>
      </c>
      <c r="X61" s="670">
        <f>(X56*$V$24)/$V$23</f>
        <v>85.714285714285708</v>
      </c>
      <c r="Y61" s="361"/>
      <c r="Z61" s="364"/>
      <c r="AA61"/>
      <c r="AB61"/>
      <c r="AC61"/>
      <c r="AD61"/>
      <c r="AE61"/>
      <c r="AF61"/>
      <c r="AG61"/>
    </row>
    <row r="62" spans="1:33" ht="12.75" customHeight="1">
      <c r="A62" s="121"/>
      <c r="B62" s="121"/>
      <c r="C62" s="121"/>
      <c r="D62" s="121"/>
      <c r="E62" s="121"/>
      <c r="F62" s="121"/>
      <c r="G62" s="121"/>
      <c r="H62" s="121"/>
      <c r="I62" s="121"/>
      <c r="J62" s="121"/>
      <c r="K62" s="121"/>
      <c r="L62" s="121"/>
      <c r="M62" s="121"/>
      <c r="N62" s="121"/>
      <c r="O62" s="121"/>
      <c r="P62" s="121"/>
      <c r="Q62" s="563"/>
      <c r="R62" s="931" t="s">
        <v>212</v>
      </c>
      <c r="S62" s="931"/>
      <c r="T62" s="931"/>
      <c r="U62" s="537">
        <f>U61/60</f>
        <v>2.6666666666666665</v>
      </c>
      <c r="V62" s="557">
        <f>V61/60</f>
        <v>1.9999999999999996</v>
      </c>
      <c r="W62" s="557">
        <f>W61/60</f>
        <v>1.7391304347826084</v>
      </c>
      <c r="X62" s="557">
        <f>X61/60</f>
        <v>1.4285714285714284</v>
      </c>
      <c r="Y62" s="361"/>
      <c r="Z62" s="364"/>
      <c r="AA62"/>
      <c r="AB62"/>
      <c r="AC62"/>
      <c r="AD62"/>
      <c r="AE62"/>
      <c r="AF62"/>
      <c r="AG62"/>
    </row>
    <row r="63" spans="1:33" ht="12.75" customHeight="1">
      <c r="A63" s="121"/>
      <c r="B63" s="121"/>
      <c r="C63" s="121"/>
      <c r="D63" s="121"/>
      <c r="E63" s="121"/>
      <c r="F63" s="121"/>
      <c r="G63" s="121"/>
      <c r="H63" s="121"/>
      <c r="I63" s="121"/>
      <c r="J63" s="121"/>
      <c r="K63" s="121"/>
      <c r="L63" s="121"/>
      <c r="M63" s="121"/>
      <c r="N63" s="121"/>
      <c r="O63" s="121"/>
      <c r="P63" s="121"/>
      <c r="Q63" s="563"/>
      <c r="R63" s="363"/>
      <c r="S63" s="363"/>
      <c r="T63" s="363"/>
      <c r="U63" s="363"/>
      <c r="V63" s="363"/>
      <c r="W63" s="363"/>
      <c r="X63" s="363"/>
      <c r="Y63" s="363"/>
      <c r="Z63" s="364"/>
      <c r="AA63"/>
      <c r="AB63"/>
      <c r="AC63"/>
      <c r="AD63"/>
      <c r="AE63"/>
      <c r="AF63"/>
      <c r="AG63"/>
    </row>
    <row r="64" spans="1:33" ht="12.75" customHeight="1">
      <c r="A64" s="121"/>
      <c r="B64" s="121"/>
      <c r="C64" s="121"/>
      <c r="D64" s="121"/>
      <c r="E64" s="121"/>
      <c r="F64" s="121"/>
      <c r="G64" s="121"/>
      <c r="H64" s="121"/>
      <c r="I64" s="121"/>
      <c r="J64" s="121"/>
      <c r="K64" s="121"/>
      <c r="L64" s="121"/>
      <c r="M64" s="121"/>
      <c r="N64" s="121"/>
      <c r="O64" s="121"/>
      <c r="P64" s="121"/>
      <c r="Q64" s="388" t="s">
        <v>295</v>
      </c>
      <c r="R64" s="1015" t="s">
        <v>216</v>
      </c>
      <c r="S64" s="1015"/>
      <c r="T64" s="1015"/>
      <c r="U64" s="1015"/>
      <c r="V64" s="1015"/>
      <c r="W64" s="1015"/>
      <c r="X64" s="1015"/>
      <c r="Y64" s="1015"/>
      <c r="Z64" s="536"/>
      <c r="AA64"/>
      <c r="AB64"/>
      <c r="AC64"/>
      <c r="AD64"/>
      <c r="AE64"/>
      <c r="AF64"/>
      <c r="AG64"/>
    </row>
    <row r="65" spans="1:36" ht="12.75" customHeight="1">
      <c r="A65" s="121"/>
      <c r="B65" s="121"/>
      <c r="C65" s="121"/>
      <c r="D65" s="121"/>
      <c r="E65" s="121"/>
      <c r="F65" s="121"/>
      <c r="G65" s="121"/>
      <c r="H65" s="121"/>
      <c r="I65" s="121"/>
      <c r="J65" s="121"/>
      <c r="K65" s="121"/>
      <c r="L65" s="121"/>
      <c r="M65" s="121"/>
      <c r="N65" s="121"/>
      <c r="O65" s="121"/>
      <c r="P65" s="121"/>
      <c r="Q65" s="563"/>
      <c r="R65" s="363"/>
      <c r="S65" s="363"/>
      <c r="T65" s="363"/>
      <c r="U65" s="363"/>
      <c r="V65" s="363"/>
      <c r="W65" s="363"/>
      <c r="X65" s="363"/>
      <c r="Y65" s="363"/>
      <c r="Z65" s="364"/>
      <c r="AA65"/>
      <c r="AB65"/>
      <c r="AC65"/>
      <c r="AD65"/>
      <c r="AE65"/>
      <c r="AF65"/>
      <c r="AG65"/>
    </row>
    <row r="66" spans="1:36" ht="12.75" customHeight="1">
      <c r="A66" s="121"/>
      <c r="B66" s="121"/>
      <c r="C66" s="121"/>
      <c r="D66" s="121"/>
      <c r="E66" s="121"/>
      <c r="F66" s="121"/>
      <c r="G66" s="121"/>
      <c r="H66" s="121"/>
      <c r="I66" s="121"/>
      <c r="J66" s="121"/>
      <c r="K66" s="121"/>
      <c r="L66" s="121"/>
      <c r="M66" s="121"/>
      <c r="N66" s="121"/>
      <c r="O66" s="121"/>
      <c r="P66" s="121"/>
      <c r="Q66" s="360" t="s">
        <v>502</v>
      </c>
      <c r="R66" s="364" t="s">
        <v>527</v>
      </c>
      <c r="S66" s="364"/>
      <c r="T66" s="364"/>
      <c r="U66" s="555"/>
      <c r="V66" s="555"/>
      <c r="W66" s="555"/>
      <c r="X66" s="555"/>
      <c r="Y66" s="555"/>
      <c r="Z66" s="364"/>
      <c r="AA66"/>
      <c r="AB66"/>
      <c r="AC66"/>
      <c r="AD66"/>
      <c r="AE66"/>
      <c r="AF66"/>
      <c r="AG66"/>
      <c r="AH66" s="23"/>
      <c r="AI66" s="23"/>
    </row>
    <row r="67" spans="1:36" ht="12.75" customHeight="1">
      <c r="A67" s="121"/>
      <c r="B67" s="121"/>
      <c r="C67" s="121"/>
      <c r="D67" s="121"/>
      <c r="E67" s="121"/>
      <c r="F67" s="121"/>
      <c r="G67" s="121"/>
      <c r="H67" s="121"/>
      <c r="I67" s="121"/>
      <c r="J67" s="121"/>
      <c r="K67" s="121"/>
      <c r="L67" s="121"/>
      <c r="M67" s="121"/>
      <c r="N67" s="121"/>
      <c r="O67" s="121"/>
      <c r="P67" s="121"/>
      <c r="Q67" s="360"/>
      <c r="R67" s="962" t="s">
        <v>678</v>
      </c>
      <c r="S67" s="963"/>
      <c r="T67" s="964"/>
      <c r="U67" s="949" t="s">
        <v>500</v>
      </c>
      <c r="V67" s="938" t="s">
        <v>22</v>
      </c>
      <c r="W67" s="940" t="s">
        <v>579</v>
      </c>
      <c r="X67" s="942" t="s">
        <v>21</v>
      </c>
      <c r="Y67" s="361"/>
      <c r="Z67" s="364"/>
      <c r="AA67"/>
      <c r="AB67"/>
      <c r="AC67"/>
      <c r="AD67"/>
      <c r="AE67"/>
      <c r="AF67"/>
      <c r="AG67"/>
      <c r="AJ67" s="17"/>
    </row>
    <row r="68" spans="1:36" ht="12.75" customHeight="1">
      <c r="A68" s="121"/>
      <c r="B68" s="121"/>
      <c r="C68" s="121"/>
      <c r="D68" s="121"/>
      <c r="E68" s="121"/>
      <c r="F68" s="121"/>
      <c r="G68" s="121"/>
      <c r="H68" s="121"/>
      <c r="I68" s="121"/>
      <c r="J68" s="121"/>
      <c r="K68" s="121"/>
      <c r="L68" s="121"/>
      <c r="M68" s="121"/>
      <c r="N68" s="121"/>
      <c r="O68" s="121"/>
      <c r="P68" s="121"/>
      <c r="Q68" s="360"/>
      <c r="R68" s="965"/>
      <c r="S68" s="966"/>
      <c r="T68" s="967"/>
      <c r="U68" s="950"/>
      <c r="V68" s="939"/>
      <c r="W68" s="941"/>
      <c r="X68" s="943"/>
      <c r="Y68" s="361"/>
      <c r="Z68" s="364"/>
      <c r="AA68"/>
      <c r="AB68"/>
      <c r="AC68"/>
      <c r="AD68"/>
      <c r="AE68"/>
      <c r="AF68"/>
      <c r="AG68"/>
      <c r="AJ68" s="17"/>
    </row>
    <row r="69" spans="1:36" ht="12.75" customHeight="1">
      <c r="A69" s="121"/>
      <c r="B69" s="121"/>
      <c r="C69" s="121"/>
      <c r="D69" s="121"/>
      <c r="E69" s="121"/>
      <c r="F69" s="121"/>
      <c r="G69" s="121"/>
      <c r="H69" s="121"/>
      <c r="I69" s="121"/>
      <c r="J69" s="121"/>
      <c r="K69" s="121"/>
      <c r="L69" s="121"/>
      <c r="M69" s="121"/>
      <c r="N69" s="121"/>
      <c r="O69" s="121"/>
      <c r="P69" s="121"/>
      <c r="Q69" s="360"/>
      <c r="R69" s="969" t="s">
        <v>63</v>
      </c>
      <c r="S69" s="969"/>
      <c r="T69" s="969"/>
      <c r="U69" s="369">
        <v>102</v>
      </c>
      <c r="V69" s="369">
        <f>VLOOKUP($V$5,'Lookup dBA'!$B$8:$E$208,3)</f>
        <v>108</v>
      </c>
      <c r="W69" s="369">
        <f>VLOOKUP($V$5,'Lookup dBA'!$B$8:$E$208,4)</f>
        <v>109</v>
      </c>
      <c r="X69" s="369">
        <f>VLOOKUP($V$5,'Lookup dBA'!$B$8:$E$208,2)</f>
        <v>116</v>
      </c>
      <c r="Y69" s="361"/>
      <c r="Z69" s="364"/>
      <c r="AA69"/>
      <c r="AB69"/>
      <c r="AC69"/>
      <c r="AD69"/>
      <c r="AE69"/>
      <c r="AF69"/>
      <c r="AG69"/>
      <c r="AJ69" s="17"/>
    </row>
    <row r="70" spans="1:36" ht="12.75" customHeight="1">
      <c r="A70" s="121"/>
      <c r="B70" s="121"/>
      <c r="C70" s="121"/>
      <c r="D70" s="121"/>
      <c r="E70" s="121"/>
      <c r="F70" s="121"/>
      <c r="G70" s="121"/>
      <c r="H70" s="121"/>
      <c r="I70" s="121"/>
      <c r="J70" s="121"/>
      <c r="K70" s="121"/>
      <c r="L70" s="121"/>
      <c r="M70" s="121"/>
      <c r="N70" s="121"/>
      <c r="O70" s="121"/>
      <c r="P70" s="121"/>
      <c r="Q70" s="360"/>
      <c r="R70" s="969" t="s">
        <v>64</v>
      </c>
      <c r="S70" s="969"/>
      <c r="T70" s="969"/>
      <c r="U70" s="369">
        <f>U69-PPE!$I$15</f>
        <v>89</v>
      </c>
      <c r="V70" s="369">
        <f>V69-PPE!$I$15</f>
        <v>95</v>
      </c>
      <c r="W70" s="369">
        <f>W69-PPE!$I$15</f>
        <v>96</v>
      </c>
      <c r="X70" s="369">
        <f>X69-PPE!$I$15</f>
        <v>103</v>
      </c>
      <c r="Y70" s="361"/>
      <c r="Z70" s="364"/>
      <c r="AA70"/>
      <c r="AB70"/>
      <c r="AC70"/>
      <c r="AD70"/>
      <c r="AE70"/>
      <c r="AF70"/>
      <c r="AG70"/>
      <c r="AJ70" s="32"/>
    </row>
    <row r="71" spans="1:36" ht="12.75" customHeight="1">
      <c r="A71" s="121"/>
      <c r="B71" s="121"/>
      <c r="C71" s="121"/>
      <c r="D71" s="121"/>
      <c r="E71" s="121"/>
      <c r="F71" s="121"/>
      <c r="G71" s="121"/>
      <c r="H71" s="121"/>
      <c r="I71" s="121"/>
      <c r="J71" s="121"/>
      <c r="K71" s="121"/>
      <c r="L71" s="121"/>
      <c r="M71" s="121"/>
      <c r="N71" s="121"/>
      <c r="O71" s="121"/>
      <c r="P71" s="121"/>
      <c r="Q71" s="360"/>
      <c r="R71" s="969" t="s">
        <v>529</v>
      </c>
      <c r="S71" s="969"/>
      <c r="T71" s="969"/>
      <c r="U71" s="369">
        <v>110</v>
      </c>
      <c r="V71" s="369">
        <v>110</v>
      </c>
      <c r="W71" s="369">
        <v>110</v>
      </c>
      <c r="X71" s="369">
        <v>110</v>
      </c>
      <c r="Y71" s="361"/>
      <c r="Z71" s="364"/>
      <c r="AA71"/>
      <c r="AB71"/>
      <c r="AC71"/>
      <c r="AD71"/>
      <c r="AE71"/>
      <c r="AF71"/>
      <c r="AG71"/>
      <c r="AJ71" s="32"/>
    </row>
    <row r="72" spans="1:36" ht="12.75" customHeight="1">
      <c r="A72" s="121"/>
      <c r="B72" s="121"/>
      <c r="C72" s="121"/>
      <c r="D72" s="121"/>
      <c r="E72" s="121"/>
      <c r="F72" s="121"/>
      <c r="G72" s="121"/>
      <c r="H72" s="121"/>
      <c r="I72" s="121"/>
      <c r="J72" s="121"/>
      <c r="K72" s="121"/>
      <c r="L72" s="121"/>
      <c r="M72" s="121"/>
      <c r="N72" s="121"/>
      <c r="O72" s="121"/>
      <c r="P72" s="121"/>
      <c r="Q72" s="360"/>
      <c r="R72" s="363"/>
      <c r="S72" s="363"/>
      <c r="T72" s="363"/>
      <c r="U72" s="363"/>
      <c r="V72" s="363"/>
      <c r="W72" s="363"/>
      <c r="X72" s="363"/>
      <c r="Y72" s="555"/>
      <c r="Z72" s="364"/>
      <c r="AA72"/>
      <c r="AB72"/>
      <c r="AC72"/>
      <c r="AD72"/>
      <c r="AE72"/>
      <c r="AF72"/>
      <c r="AG72"/>
      <c r="AJ72" s="32"/>
    </row>
    <row r="73" spans="1:36" ht="12.75" customHeight="1">
      <c r="A73" s="121"/>
      <c r="B73" s="121"/>
      <c r="C73" s="121"/>
      <c r="D73" s="121"/>
      <c r="E73" s="121"/>
      <c r="F73" s="121"/>
      <c r="G73" s="121"/>
      <c r="H73" s="121"/>
      <c r="I73" s="121"/>
      <c r="J73" s="121"/>
      <c r="K73" s="121"/>
      <c r="L73" s="121"/>
      <c r="M73" s="121"/>
      <c r="N73" s="121"/>
      <c r="O73" s="121"/>
      <c r="P73" s="121"/>
      <c r="Q73" s="360" t="s">
        <v>503</v>
      </c>
      <c r="R73" s="364" t="s">
        <v>528</v>
      </c>
      <c r="S73" s="364"/>
      <c r="T73" s="364"/>
      <c r="U73" s="555"/>
      <c r="V73" s="555"/>
      <c r="W73" s="555"/>
      <c r="X73" s="555"/>
      <c r="Y73" s="555"/>
      <c r="Z73" s="364"/>
      <c r="AA73"/>
      <c r="AB73"/>
      <c r="AC73"/>
      <c r="AD73"/>
      <c r="AE73"/>
      <c r="AF73"/>
      <c r="AG73"/>
      <c r="AJ73" s="17"/>
    </row>
    <row r="74" spans="1:36" ht="12.75" customHeight="1">
      <c r="A74" s="121"/>
      <c r="B74" s="121"/>
      <c r="C74" s="121"/>
      <c r="D74" s="121"/>
      <c r="E74" s="121"/>
      <c r="F74" s="121"/>
      <c r="G74" s="121"/>
      <c r="H74" s="121"/>
      <c r="I74" s="121"/>
      <c r="J74" s="121"/>
      <c r="K74" s="121"/>
      <c r="L74" s="121"/>
      <c r="M74" s="121"/>
      <c r="N74" s="121"/>
      <c r="O74" s="121"/>
      <c r="P74" s="121"/>
      <c r="Q74" s="360"/>
      <c r="R74" s="935" t="s">
        <v>678</v>
      </c>
      <c r="S74" s="935"/>
      <c r="T74" s="935"/>
      <c r="U74" s="930" t="s">
        <v>500</v>
      </c>
      <c r="V74" s="928" t="s">
        <v>22</v>
      </c>
      <c r="W74" s="929" t="s">
        <v>579</v>
      </c>
      <c r="X74" s="927" t="s">
        <v>21</v>
      </c>
      <c r="Y74" s="361"/>
      <c r="Z74" s="364"/>
      <c r="AA74"/>
      <c r="AB74"/>
      <c r="AC74"/>
      <c r="AD74"/>
      <c r="AE74"/>
      <c r="AF74"/>
      <c r="AG74"/>
      <c r="AJ74" s="17"/>
    </row>
    <row r="75" spans="1:36" ht="12.75" customHeight="1">
      <c r="A75" s="121"/>
      <c r="B75" s="121"/>
      <c r="C75" s="121"/>
      <c r="D75" s="121"/>
      <c r="E75" s="121"/>
      <c r="F75" s="121"/>
      <c r="G75" s="121"/>
      <c r="H75" s="121"/>
      <c r="I75" s="121"/>
      <c r="J75" s="121"/>
      <c r="K75" s="121"/>
      <c r="L75" s="121"/>
      <c r="M75" s="121"/>
      <c r="N75" s="121"/>
      <c r="O75" s="121"/>
      <c r="P75" s="121"/>
      <c r="Q75" s="360"/>
      <c r="R75" s="935"/>
      <c r="S75" s="935"/>
      <c r="T75" s="935"/>
      <c r="U75" s="930"/>
      <c r="V75" s="928"/>
      <c r="W75" s="929"/>
      <c r="X75" s="927"/>
      <c r="Y75" s="361"/>
      <c r="Z75" s="364"/>
      <c r="AA75"/>
      <c r="AB75"/>
      <c r="AC75"/>
      <c r="AD75"/>
      <c r="AE75"/>
      <c r="AF75"/>
      <c r="AG75"/>
      <c r="AJ75" s="17"/>
    </row>
    <row r="76" spans="1:36" ht="12.75" customHeight="1">
      <c r="A76" s="121"/>
      <c r="B76" s="121"/>
      <c r="C76" s="121"/>
      <c r="D76" s="121"/>
      <c r="E76" s="121"/>
      <c r="F76" s="121"/>
      <c r="G76" s="121"/>
      <c r="H76" s="121"/>
      <c r="I76" s="121"/>
      <c r="J76" s="121"/>
      <c r="K76" s="121"/>
      <c r="L76" s="121"/>
      <c r="M76" s="121"/>
      <c r="N76" s="121"/>
      <c r="O76" s="121"/>
      <c r="P76" s="121"/>
      <c r="Q76" s="360"/>
      <c r="R76" s="969" t="s">
        <v>63</v>
      </c>
      <c r="S76" s="969"/>
      <c r="T76" s="969"/>
      <c r="U76" s="369">
        <f>VLOOKUP($V$21,$R$309:$Z$314,5)</f>
        <v>108.02059991327964</v>
      </c>
      <c r="V76" s="369">
        <f>VLOOKUP($V$21,$R$309:$Z$314,3)</f>
        <v>114.02059991327963</v>
      </c>
      <c r="W76" s="369">
        <f>VLOOKUP($V$21,$R$309:$Z$314,4)</f>
        <v>115.02059991327963</v>
      </c>
      <c r="X76" s="369">
        <f>VLOOKUP($V$21,$R$309:$Z$314,2)</f>
        <v>122.02059991327964</v>
      </c>
      <c r="Y76" s="361"/>
      <c r="Z76" s="364"/>
      <c r="AA76"/>
      <c r="AB76"/>
      <c r="AC76"/>
      <c r="AD76"/>
      <c r="AE76"/>
      <c r="AF76"/>
      <c r="AG76"/>
      <c r="AJ76" s="17"/>
    </row>
    <row r="77" spans="1:36" ht="12.75" customHeight="1">
      <c r="Q77" s="360"/>
      <c r="R77" s="969" t="s">
        <v>64</v>
      </c>
      <c r="S77" s="969"/>
      <c r="T77" s="969"/>
      <c r="U77" s="369">
        <f>U76-PPE!$I$15</f>
        <v>95.020599913279639</v>
      </c>
      <c r="V77" s="369">
        <f>V76-PPE!$I$15</f>
        <v>101.02059991327963</v>
      </c>
      <c r="W77" s="369">
        <f>W76-PPE!$I$15</f>
        <v>102.02059991327963</v>
      </c>
      <c r="X77" s="369">
        <f>X76-PPE!$I$15</f>
        <v>109.02059991327964</v>
      </c>
      <c r="Y77" s="361"/>
      <c r="Z77" s="364"/>
      <c r="AA77"/>
      <c r="AB77"/>
      <c r="AC77"/>
      <c r="AD77"/>
      <c r="AE77"/>
      <c r="AF77"/>
      <c r="AG77"/>
      <c r="AJ77" s="17"/>
    </row>
    <row r="78" spans="1:36" ht="12.75" customHeight="1">
      <c r="Q78" s="360"/>
      <c r="R78" s="969" t="s">
        <v>529</v>
      </c>
      <c r="S78" s="969"/>
      <c r="T78" s="969"/>
      <c r="U78" s="369">
        <v>110</v>
      </c>
      <c r="V78" s="369">
        <v>110</v>
      </c>
      <c r="W78" s="369">
        <v>110</v>
      </c>
      <c r="X78" s="369">
        <v>110</v>
      </c>
      <c r="Y78" s="361"/>
      <c r="Z78" s="364"/>
      <c r="AA78"/>
      <c r="AB78"/>
      <c r="AC78"/>
      <c r="AD78"/>
      <c r="AE78"/>
      <c r="AF78"/>
      <c r="AG78"/>
      <c r="AJ78" s="17"/>
    </row>
    <row r="79" spans="1:36" ht="12.75" customHeight="1">
      <c r="Q79" s="360"/>
      <c r="R79" s="364"/>
      <c r="S79" s="364"/>
      <c r="T79" s="364"/>
      <c r="U79" s="555"/>
      <c r="V79" s="555"/>
      <c r="W79" s="555"/>
      <c r="X79" s="555"/>
      <c r="Y79" s="555"/>
      <c r="Z79" s="364"/>
      <c r="AA79"/>
      <c r="AB79"/>
      <c r="AC79"/>
      <c r="AD79"/>
      <c r="AE79"/>
      <c r="AF79"/>
      <c r="AG79"/>
      <c r="AJ79" s="17"/>
    </row>
    <row r="80" spans="1:36" ht="12.75" customHeight="1">
      <c r="Q80" s="385" t="s">
        <v>305</v>
      </c>
      <c r="R80" s="1008" t="s">
        <v>218</v>
      </c>
      <c r="S80" s="1008"/>
      <c r="T80" s="1008"/>
      <c r="U80" s="1008"/>
      <c r="V80" s="1008"/>
      <c r="W80" s="1008"/>
      <c r="X80" s="1008"/>
      <c r="Y80" s="1008"/>
      <c r="Z80" s="536"/>
      <c r="AA80"/>
      <c r="AB80"/>
      <c r="AC80"/>
      <c r="AD80"/>
      <c r="AE80"/>
      <c r="AF80"/>
      <c r="AG80"/>
      <c r="AJ80" s="17"/>
    </row>
    <row r="81" spans="17:36" ht="12.75" customHeight="1">
      <c r="Q81" s="546"/>
      <c r="R81" s="363"/>
      <c r="S81" s="363"/>
      <c r="T81" s="363"/>
      <c r="U81" s="363"/>
      <c r="V81" s="363"/>
      <c r="W81" s="363"/>
      <c r="X81" s="363"/>
      <c r="Y81" s="363"/>
      <c r="Z81" s="364"/>
      <c r="AA81"/>
      <c r="AB81"/>
      <c r="AC81"/>
      <c r="AD81"/>
      <c r="AE81"/>
      <c r="AF81"/>
      <c r="AG81"/>
      <c r="AJ81" s="43"/>
    </row>
    <row r="82" spans="17:36" ht="12.75" customHeight="1">
      <c r="Q82" s="546"/>
      <c r="R82" s="363" t="s">
        <v>436</v>
      </c>
      <c r="S82" s="363"/>
      <c r="T82" s="363"/>
      <c r="U82" s="363"/>
      <c r="V82" s="363"/>
      <c r="W82" s="363"/>
      <c r="X82" s="363"/>
      <c r="Y82" s="363"/>
      <c r="Z82" s="364"/>
      <c r="AA82"/>
      <c r="AB82"/>
      <c r="AC82"/>
      <c r="AD82"/>
      <c r="AE82"/>
      <c r="AF82"/>
      <c r="AG82"/>
      <c r="AJ82" s="43"/>
    </row>
    <row r="83" spans="17:36" ht="12.75" customHeight="1">
      <c r="Q83" s="360"/>
      <c r="R83" s="935" t="s">
        <v>678</v>
      </c>
      <c r="S83" s="935"/>
      <c r="T83" s="935"/>
      <c r="U83" s="949" t="s">
        <v>500</v>
      </c>
      <c r="V83" s="1011" t="s">
        <v>22</v>
      </c>
      <c r="W83" s="1013" t="s">
        <v>579</v>
      </c>
      <c r="X83" s="1009" t="s">
        <v>21</v>
      </c>
      <c r="Y83" s="361"/>
      <c r="Z83" s="364"/>
      <c r="AA83"/>
      <c r="AB83"/>
      <c r="AC83"/>
      <c r="AD83"/>
      <c r="AE83"/>
      <c r="AF83"/>
      <c r="AG83"/>
      <c r="AJ83" s="43"/>
    </row>
    <row r="84" spans="17:36" ht="12.75" customHeight="1">
      <c r="Q84" s="360"/>
      <c r="R84" s="935"/>
      <c r="S84" s="935"/>
      <c r="T84" s="935"/>
      <c r="U84" s="950"/>
      <c r="V84" s="1012"/>
      <c r="W84" s="1014"/>
      <c r="X84" s="1010"/>
      <c r="Y84" s="361"/>
      <c r="Z84" s="364"/>
      <c r="AA84"/>
      <c r="AB84"/>
      <c r="AC84"/>
      <c r="AD84"/>
      <c r="AE84"/>
      <c r="AF84"/>
      <c r="AG84"/>
    </row>
    <row r="85" spans="17:36" ht="12.75" customHeight="1">
      <c r="Q85" s="360"/>
      <c r="R85" s="969" t="s">
        <v>63</v>
      </c>
      <c r="S85" s="969"/>
      <c r="T85" s="969"/>
      <c r="U85" s="369">
        <f>U414</f>
        <v>97.15</v>
      </c>
      <c r="V85" s="369">
        <f>U356</f>
        <v>101.95</v>
      </c>
      <c r="W85" s="369">
        <f>U385</f>
        <v>102.4</v>
      </c>
      <c r="X85" s="369">
        <f>U327</f>
        <v>108.5</v>
      </c>
      <c r="Y85" s="361"/>
      <c r="Z85" s="364"/>
      <c r="AA85"/>
      <c r="AB85"/>
      <c r="AC85"/>
      <c r="AD85"/>
      <c r="AE85"/>
      <c r="AF85"/>
      <c r="AG85"/>
    </row>
    <row r="86" spans="17:36" ht="12.75" customHeight="1">
      <c r="Q86" s="360"/>
      <c r="R86" s="969" t="s">
        <v>64</v>
      </c>
      <c r="S86" s="969"/>
      <c r="T86" s="969"/>
      <c r="U86" s="369">
        <f>U427</f>
        <v>84.15</v>
      </c>
      <c r="V86" s="369">
        <f>U369</f>
        <v>88.95</v>
      </c>
      <c r="W86" s="369">
        <f>U398</f>
        <v>89.3</v>
      </c>
      <c r="X86" s="369">
        <f>U340</f>
        <v>95.55</v>
      </c>
      <c r="Y86" s="361"/>
      <c r="Z86" s="364"/>
      <c r="AA86"/>
      <c r="AB86"/>
      <c r="AC86"/>
      <c r="AD86"/>
      <c r="AE86"/>
      <c r="AF86"/>
      <c r="AG86"/>
    </row>
    <row r="87" spans="17:36" ht="12.75" customHeight="1">
      <c r="Q87" s="360"/>
      <c r="R87" s="969" t="s">
        <v>530</v>
      </c>
      <c r="S87" s="969"/>
      <c r="T87" s="969"/>
      <c r="U87" s="369">
        <v>85</v>
      </c>
      <c r="V87" s="369">
        <v>85</v>
      </c>
      <c r="W87" s="369">
        <v>85</v>
      </c>
      <c r="X87" s="369">
        <v>85</v>
      </c>
      <c r="Y87" s="361"/>
      <c r="Z87" s="364"/>
      <c r="AA87"/>
      <c r="AB87"/>
      <c r="AC87"/>
      <c r="AD87"/>
      <c r="AE87"/>
      <c r="AF87"/>
      <c r="AG87"/>
    </row>
    <row r="88" spans="17:36" ht="12.75" customHeight="1">
      <c r="Q88" s="360"/>
      <c r="R88" s="363"/>
      <c r="S88" s="363"/>
      <c r="T88" s="363"/>
      <c r="U88" s="363"/>
      <c r="V88" s="363"/>
      <c r="W88" s="363"/>
      <c r="X88" s="363"/>
      <c r="Y88" s="363"/>
      <c r="Z88" s="364"/>
      <c r="AA88"/>
      <c r="AB88"/>
      <c r="AC88"/>
      <c r="AD88"/>
      <c r="AE88"/>
      <c r="AF88"/>
      <c r="AG88"/>
    </row>
    <row r="89" spans="17:36" ht="12.75" customHeight="1">
      <c r="Q89" s="360"/>
      <c r="R89" s="363" t="s">
        <v>437</v>
      </c>
      <c r="S89" s="363"/>
      <c r="T89" s="363"/>
      <c r="U89" s="363"/>
      <c r="V89" s="363"/>
      <c r="W89" s="363"/>
      <c r="X89" s="363"/>
      <c r="Y89" s="363"/>
      <c r="Z89" s="364"/>
      <c r="AA89"/>
      <c r="AB89"/>
      <c r="AC89"/>
      <c r="AD89"/>
      <c r="AE89"/>
      <c r="AF89"/>
      <c r="AG89"/>
    </row>
    <row r="90" spans="17:36" ht="12.75" customHeight="1">
      <c r="Q90" s="360"/>
      <c r="R90" s="935" t="s">
        <v>678</v>
      </c>
      <c r="S90" s="935"/>
      <c r="T90" s="935"/>
      <c r="U90" s="949" t="s">
        <v>500</v>
      </c>
      <c r="V90" s="1011" t="s">
        <v>22</v>
      </c>
      <c r="W90" s="1013" t="s">
        <v>579</v>
      </c>
      <c r="X90" s="1009" t="s">
        <v>21</v>
      </c>
      <c r="Y90" s="361"/>
      <c r="Z90" s="364"/>
      <c r="AA90"/>
      <c r="AB90"/>
      <c r="AC90"/>
      <c r="AD90"/>
      <c r="AE90"/>
      <c r="AF90"/>
      <c r="AG90"/>
    </row>
    <row r="91" spans="17:36" ht="12.75" customHeight="1">
      <c r="Q91" s="360"/>
      <c r="R91" s="935"/>
      <c r="S91" s="935"/>
      <c r="T91" s="935"/>
      <c r="U91" s="950"/>
      <c r="V91" s="1012"/>
      <c r="W91" s="1014"/>
      <c r="X91" s="1010"/>
      <c r="Y91" s="361"/>
      <c r="Z91" s="364"/>
      <c r="AA91"/>
      <c r="AB91"/>
      <c r="AC91"/>
      <c r="AD91"/>
      <c r="AE91"/>
      <c r="AF91"/>
      <c r="AG91"/>
    </row>
    <row r="92" spans="17:36" ht="12.75" customHeight="1">
      <c r="Q92" s="360"/>
      <c r="R92" s="969" t="s">
        <v>63</v>
      </c>
      <c r="S92" s="969"/>
      <c r="T92" s="969"/>
      <c r="U92" s="369">
        <f>U533</f>
        <v>103.15</v>
      </c>
      <c r="V92" s="369">
        <f>U475</f>
        <v>107.95</v>
      </c>
      <c r="W92" s="369">
        <f>U504</f>
        <v>108.4</v>
      </c>
      <c r="X92" s="369">
        <f>U446</f>
        <v>113.95</v>
      </c>
      <c r="Y92" s="361"/>
      <c r="Z92" s="364"/>
      <c r="AA92"/>
      <c r="AB92"/>
      <c r="AC92"/>
      <c r="AD92"/>
      <c r="AE92"/>
      <c r="AF92"/>
      <c r="AG92"/>
    </row>
    <row r="93" spans="17:36" ht="12.75" customHeight="1">
      <c r="Q93" s="360"/>
      <c r="R93" s="969" t="s">
        <v>64</v>
      </c>
      <c r="S93" s="969"/>
      <c r="T93" s="969"/>
      <c r="U93" s="369">
        <f>U546</f>
        <v>90.15</v>
      </c>
      <c r="V93" s="369">
        <f>U488</f>
        <v>94.95</v>
      </c>
      <c r="W93" s="369">
        <f>U517</f>
        <v>95.3</v>
      </c>
      <c r="X93" s="369">
        <f>U459</f>
        <v>101.55</v>
      </c>
      <c r="Y93" s="361"/>
      <c r="Z93" s="364"/>
      <c r="AA93"/>
      <c r="AB93"/>
      <c r="AC93"/>
      <c r="AD93"/>
      <c r="AE93"/>
      <c r="AF93"/>
      <c r="AG93"/>
    </row>
    <row r="94" spans="17:36" ht="12.75" customHeight="1">
      <c r="Q94" s="360"/>
      <c r="R94" s="969" t="s">
        <v>530</v>
      </c>
      <c r="S94" s="969"/>
      <c r="T94" s="969"/>
      <c r="U94" s="369">
        <v>85</v>
      </c>
      <c r="V94" s="369">
        <v>85</v>
      </c>
      <c r="W94" s="369">
        <v>85</v>
      </c>
      <c r="X94" s="369">
        <v>85</v>
      </c>
      <c r="Y94" s="361"/>
      <c r="Z94" s="364"/>
      <c r="AA94"/>
      <c r="AB94"/>
      <c r="AC94"/>
      <c r="AD94"/>
      <c r="AE94"/>
      <c r="AF94"/>
      <c r="AG94"/>
    </row>
    <row r="95" spans="17:36" ht="12.75" customHeight="1">
      <c r="Q95" s="360"/>
      <c r="R95" s="363"/>
      <c r="S95" s="363"/>
      <c r="T95" s="363"/>
      <c r="U95" s="363"/>
      <c r="V95" s="363"/>
      <c r="W95" s="363"/>
      <c r="X95" s="363"/>
      <c r="Y95" s="363"/>
      <c r="Z95" s="364"/>
      <c r="AA95"/>
      <c r="AB95"/>
      <c r="AC95"/>
      <c r="AD95"/>
      <c r="AE95"/>
      <c r="AF95"/>
      <c r="AG95"/>
    </row>
    <row r="96" spans="17:36" ht="12.75" customHeight="1">
      <c r="Q96" s="385" t="s">
        <v>222</v>
      </c>
      <c r="R96" s="1008" t="s">
        <v>504</v>
      </c>
      <c r="S96" s="1008"/>
      <c r="T96" s="1008"/>
      <c r="U96" s="1008"/>
      <c r="V96" s="1008"/>
      <c r="W96" s="1008"/>
      <c r="X96" s="1008"/>
      <c r="Y96" s="1008"/>
      <c r="Z96" s="547"/>
      <c r="AA96"/>
      <c r="AB96"/>
      <c r="AC96"/>
      <c r="AD96"/>
      <c r="AE96"/>
      <c r="AF96"/>
      <c r="AG96"/>
    </row>
    <row r="97" spans="17:33" s="133" customFormat="1" ht="12.75" customHeight="1">
      <c r="Q97" s="360"/>
      <c r="R97" s="363"/>
      <c r="S97" s="363"/>
      <c r="T97" s="363"/>
      <c r="U97" s="363"/>
      <c r="V97" s="363"/>
      <c r="W97" s="363"/>
      <c r="X97" s="363"/>
      <c r="Y97" s="363"/>
      <c r="Z97" s="364"/>
      <c r="AA97"/>
      <c r="AB97"/>
      <c r="AC97"/>
      <c r="AD97"/>
      <c r="AE97"/>
      <c r="AF97"/>
      <c r="AG97"/>
    </row>
    <row r="98" spans="17:33" ht="12.75" customHeight="1">
      <c r="Q98" s="360" t="s">
        <v>505</v>
      </c>
      <c r="R98" s="363" t="s">
        <v>514</v>
      </c>
      <c r="S98" s="363"/>
      <c r="T98" s="363"/>
      <c r="U98" s="363"/>
      <c r="V98" s="363"/>
      <c r="W98" s="363"/>
      <c r="X98" s="363"/>
      <c r="Y98" s="363"/>
      <c r="Z98" s="364"/>
      <c r="AA98"/>
      <c r="AB98"/>
      <c r="AC98"/>
      <c r="AD98"/>
      <c r="AE98"/>
      <c r="AF98"/>
      <c r="AG98"/>
    </row>
    <row r="99" spans="17:33" ht="12.75" customHeight="1">
      <c r="Q99" s="360"/>
      <c r="R99" s="363" t="s">
        <v>512</v>
      </c>
      <c r="S99" s="363"/>
      <c r="T99" s="363"/>
      <c r="U99" s="363"/>
      <c r="V99" s="363"/>
      <c r="W99" s="363"/>
      <c r="X99" s="363"/>
      <c r="Y99" s="363"/>
      <c r="Z99" s="364"/>
      <c r="AA99"/>
      <c r="AB99"/>
      <c r="AC99"/>
      <c r="AD99"/>
      <c r="AE99"/>
      <c r="AF99"/>
      <c r="AG99"/>
    </row>
    <row r="100" spans="17:33" ht="12.75" customHeight="1">
      <c r="Q100" s="360"/>
      <c r="R100" s="998" t="s">
        <v>191</v>
      </c>
      <c r="S100" s="999"/>
      <c r="T100" s="1000"/>
      <c r="U100" s="949" t="s">
        <v>500</v>
      </c>
      <c r="V100" s="938" t="s">
        <v>22</v>
      </c>
      <c r="W100" s="940" t="s">
        <v>579</v>
      </c>
      <c r="X100" s="942" t="s">
        <v>21</v>
      </c>
      <c r="Y100" s="361"/>
      <c r="Z100" s="364"/>
      <c r="AA100"/>
      <c r="AB100"/>
      <c r="AC100"/>
      <c r="AD100"/>
      <c r="AE100"/>
      <c r="AF100"/>
      <c r="AG100"/>
    </row>
    <row r="101" spans="17:33" ht="12.75" customHeight="1">
      <c r="Q101" s="360"/>
      <c r="R101" s="1001"/>
      <c r="S101" s="1002"/>
      <c r="T101" s="1003"/>
      <c r="U101" s="950"/>
      <c r="V101" s="939"/>
      <c r="W101" s="941"/>
      <c r="X101" s="943"/>
      <c r="Y101" s="361"/>
      <c r="Z101" s="364"/>
      <c r="AA101"/>
      <c r="AB101"/>
      <c r="AC101"/>
      <c r="AD101"/>
      <c r="AE101"/>
      <c r="AF101"/>
      <c r="AG101"/>
    </row>
    <row r="102" spans="17:33" ht="12.75" customHeight="1">
      <c r="Q102" s="360"/>
      <c r="R102" s="969" t="s">
        <v>63</v>
      </c>
      <c r="S102" s="969"/>
      <c r="T102" s="969"/>
      <c r="U102" s="537">
        <f>VLOOKUP(U69,'Lookup Exposure Time'!$B$12:$C$732,2)</f>
        <v>10</v>
      </c>
      <c r="V102" s="537">
        <f>VLOOKUP(V69,'Lookup Exposure Time'!$B$12:$C$732,2)</f>
        <v>2.5</v>
      </c>
      <c r="W102" s="537">
        <f>VLOOKUP(W69,'Lookup Exposure Time'!$B$12:$C$732,2)</f>
        <v>1.875</v>
      </c>
      <c r="X102" s="537">
        <f>VLOOKUP(X69,'Lookup Exposure Time'!$B$12:$C$732,2)</f>
        <v>0.39061999999999986</v>
      </c>
      <c r="Y102" s="361"/>
      <c r="Z102" s="364"/>
      <c r="AA102"/>
      <c r="AB102"/>
      <c r="AC102"/>
      <c r="AD102"/>
      <c r="AE102"/>
      <c r="AF102"/>
      <c r="AG102"/>
    </row>
    <row r="103" spans="17:33" ht="12.75" customHeight="1">
      <c r="Q103" s="360"/>
      <c r="R103" s="969" t="s">
        <v>64</v>
      </c>
      <c r="S103" s="969"/>
      <c r="T103" s="969"/>
      <c r="U103" s="537">
        <f>VLOOKUP(U70,'Lookup Exposure Time'!$B$12:$C$732,2)</f>
        <v>200</v>
      </c>
      <c r="V103" s="537">
        <f>VLOOKUP(V70,'Lookup Exposure Time'!$B$12:$C$732,2)</f>
        <v>50</v>
      </c>
      <c r="W103" s="537">
        <f>VLOOKUP(W70,'Lookup Exposure Time'!$B$12:$C$732,2)</f>
        <v>40</v>
      </c>
      <c r="X103" s="537">
        <f>VLOOKUP(X70,'Lookup Exposure Time'!$B$12:$C$732,2)</f>
        <v>7.5</v>
      </c>
      <c r="Y103" s="361"/>
      <c r="Z103" s="364"/>
      <c r="AA103"/>
      <c r="AB103"/>
      <c r="AC103"/>
      <c r="AD103"/>
      <c r="AE103"/>
      <c r="AF103"/>
      <c r="AG103"/>
    </row>
    <row r="104" spans="17:33" ht="12.75" customHeight="1">
      <c r="Q104" s="360"/>
      <c r="R104" s="364"/>
      <c r="S104" s="364"/>
      <c r="T104" s="364"/>
      <c r="U104" s="364"/>
      <c r="V104" s="364"/>
      <c r="W104" s="364"/>
      <c r="X104" s="364"/>
      <c r="Y104" s="363"/>
      <c r="Z104" s="364"/>
      <c r="AA104"/>
      <c r="AB104"/>
      <c r="AC104"/>
      <c r="AD104"/>
      <c r="AE104"/>
      <c r="AF104"/>
      <c r="AG104"/>
    </row>
    <row r="105" spans="17:33" ht="12.75" customHeight="1">
      <c r="Q105" s="360" t="s">
        <v>507</v>
      </c>
      <c r="R105" s="363" t="s">
        <v>513</v>
      </c>
      <c r="S105" s="363"/>
      <c r="T105" s="363"/>
      <c r="U105" s="363"/>
      <c r="V105" s="363"/>
      <c r="W105" s="363"/>
      <c r="X105" s="363"/>
      <c r="Y105" s="363"/>
      <c r="Z105" s="364"/>
      <c r="AA105"/>
      <c r="AB105"/>
      <c r="AC105"/>
      <c r="AD105"/>
      <c r="AE105"/>
      <c r="AF105"/>
      <c r="AG105"/>
    </row>
    <row r="106" spans="17:33" ht="12.75" customHeight="1">
      <c r="Q106" s="360"/>
      <c r="R106" s="998" t="s">
        <v>191</v>
      </c>
      <c r="S106" s="999"/>
      <c r="T106" s="1000"/>
      <c r="U106" s="949" t="s">
        <v>500</v>
      </c>
      <c r="V106" s="938" t="s">
        <v>22</v>
      </c>
      <c r="W106" s="940" t="s">
        <v>579</v>
      </c>
      <c r="X106" s="942" t="s">
        <v>21</v>
      </c>
      <c r="Y106" s="361"/>
      <c r="Z106" s="364"/>
      <c r="AA106"/>
      <c r="AB106"/>
      <c r="AC106"/>
      <c r="AD106"/>
      <c r="AE106"/>
      <c r="AF106"/>
      <c r="AG106"/>
    </row>
    <row r="107" spans="17:33" ht="12.75" customHeight="1">
      <c r="Q107" s="360"/>
      <c r="R107" s="1001"/>
      <c r="S107" s="1002"/>
      <c r="T107" s="1003"/>
      <c r="U107" s="950"/>
      <c r="V107" s="939"/>
      <c r="W107" s="941"/>
      <c r="X107" s="943"/>
      <c r="Y107" s="361"/>
      <c r="Z107" s="364"/>
      <c r="AA107"/>
      <c r="AB107"/>
      <c r="AC107"/>
      <c r="AD107"/>
      <c r="AE107"/>
      <c r="AF107"/>
      <c r="AG107"/>
    </row>
    <row r="108" spans="17:33" ht="12.75" customHeight="1">
      <c r="Q108" s="360"/>
      <c r="R108" s="969" t="s">
        <v>63</v>
      </c>
      <c r="S108" s="969"/>
      <c r="T108" s="969"/>
      <c r="U108" s="671">
        <f>VLOOKUP(U76,'Lookup Exposure Time'!$B$12:$C$732,2)</f>
        <v>2.5</v>
      </c>
      <c r="V108" s="671">
        <f>VLOOKUP(V76,'Lookup Exposure Time'!$B$12:$C$732,2)</f>
        <v>0.625</v>
      </c>
      <c r="W108" s="671">
        <f>VLOOKUP(W76,'Lookup Exposure Time'!$B$12:$C$732,2)</f>
        <v>0.46875</v>
      </c>
      <c r="X108" s="671">
        <f>VLOOKUP(X76,'Lookup Exposure Time'!$B$12:$C$732,2)</f>
        <v>9.765625E-2</v>
      </c>
      <c r="Y108" s="361"/>
      <c r="Z108" s="364"/>
      <c r="AA108"/>
      <c r="AB108"/>
      <c r="AC108"/>
      <c r="AD108"/>
      <c r="AE108"/>
      <c r="AF108"/>
      <c r="AG108"/>
    </row>
    <row r="109" spans="17:33" ht="12.75" customHeight="1">
      <c r="Q109" s="360"/>
      <c r="R109" s="969" t="s">
        <v>64</v>
      </c>
      <c r="S109" s="969"/>
      <c r="T109" s="969"/>
      <c r="U109" s="557">
        <f>VLOOKUP(U77,'Lookup Exposure Time'!$B$12:$C$732,2)</f>
        <v>50</v>
      </c>
      <c r="V109" s="557">
        <f>VLOOKUP(V77,'Lookup Exposure Time'!$B$12:$C$732,2)</f>
        <v>12.5</v>
      </c>
      <c r="W109" s="557">
        <f>VLOOKUP(W77,'Lookup Exposure Time'!$B$12:$C$732,2)</f>
        <v>10</v>
      </c>
      <c r="X109" s="557">
        <f>VLOOKUP(X77,'Lookup Exposure Time'!$B$12:$C$732,2)</f>
        <v>1.875</v>
      </c>
      <c r="Y109" s="361"/>
      <c r="Z109" s="364"/>
      <c r="AA109"/>
      <c r="AB109"/>
      <c r="AC109"/>
      <c r="AD109"/>
      <c r="AE109"/>
      <c r="AF109"/>
      <c r="AG109"/>
    </row>
    <row r="110" spans="17:33" ht="12.75" customHeight="1">
      <c r="Q110" s="360"/>
      <c r="R110" s="363"/>
      <c r="S110" s="363"/>
      <c r="T110" s="363"/>
      <c r="U110" s="363"/>
      <c r="V110" s="363"/>
      <c r="W110" s="363"/>
      <c r="X110" s="363"/>
      <c r="Y110" s="363"/>
      <c r="Z110" s="364"/>
      <c r="AA110"/>
      <c r="AB110"/>
      <c r="AC110"/>
      <c r="AD110"/>
      <c r="AE110"/>
      <c r="AF110"/>
      <c r="AG110"/>
    </row>
    <row r="111" spans="17:33" ht="12.75" customHeight="1">
      <c r="Q111" s="360" t="s">
        <v>508</v>
      </c>
      <c r="R111" s="363" t="s">
        <v>531</v>
      </c>
      <c r="S111" s="363"/>
      <c r="T111" s="363"/>
      <c r="U111" s="363"/>
      <c r="V111" s="363"/>
      <c r="W111" s="363"/>
      <c r="X111" s="363"/>
      <c r="Y111" s="363"/>
      <c r="Z111" s="364"/>
      <c r="AA111"/>
      <c r="AB111"/>
      <c r="AC111"/>
      <c r="AD111"/>
      <c r="AE111"/>
      <c r="AF111"/>
      <c r="AG111"/>
    </row>
    <row r="112" spans="17:33" ht="12.75" customHeight="1">
      <c r="Q112" s="360"/>
      <c r="R112" s="998" t="s">
        <v>191</v>
      </c>
      <c r="S112" s="999"/>
      <c r="T112" s="1000"/>
      <c r="U112" s="949" t="s">
        <v>500</v>
      </c>
      <c r="V112" s="938" t="s">
        <v>22</v>
      </c>
      <c r="W112" s="940" t="s">
        <v>579</v>
      </c>
      <c r="X112" s="942" t="s">
        <v>21</v>
      </c>
      <c r="Y112" s="361"/>
      <c r="Z112" s="364"/>
      <c r="AA112"/>
      <c r="AB112"/>
      <c r="AC112"/>
      <c r="AD112"/>
      <c r="AE112"/>
      <c r="AF112"/>
      <c r="AG112"/>
    </row>
    <row r="113" spans="17:33" ht="12.75" customHeight="1">
      <c r="Q113" s="360"/>
      <c r="R113" s="1001"/>
      <c r="S113" s="1002"/>
      <c r="T113" s="1003"/>
      <c r="U113" s="950"/>
      <c r="V113" s="939"/>
      <c r="W113" s="941"/>
      <c r="X113" s="943"/>
      <c r="Y113" s="361"/>
      <c r="Z113" s="364"/>
      <c r="AA113"/>
      <c r="AB113"/>
      <c r="AC113"/>
      <c r="AD113"/>
      <c r="AE113"/>
      <c r="AF113"/>
      <c r="AG113"/>
    </row>
    <row r="114" spans="17:33" ht="12.75" customHeight="1">
      <c r="Q114" s="360"/>
      <c r="R114" s="969" t="s">
        <v>63</v>
      </c>
      <c r="S114" s="969"/>
      <c r="T114" s="969"/>
      <c r="U114" s="537">
        <f t="shared" ref="U114:X115" si="0">U102/60</f>
        <v>0.16666666666666666</v>
      </c>
      <c r="V114" s="537">
        <f t="shared" si="0"/>
        <v>4.1666666666666664E-2</v>
      </c>
      <c r="W114" s="537">
        <f t="shared" si="0"/>
        <v>3.125E-2</v>
      </c>
      <c r="X114" s="537">
        <f t="shared" si="0"/>
        <v>6.5103333333333306E-3</v>
      </c>
      <c r="Y114" s="361"/>
      <c r="Z114" s="364"/>
      <c r="AA114"/>
      <c r="AB114"/>
      <c r="AC114"/>
      <c r="AD114"/>
      <c r="AE114"/>
      <c r="AF114"/>
      <c r="AG114"/>
    </row>
    <row r="115" spans="17:33" ht="12.75" customHeight="1">
      <c r="Q115" s="360"/>
      <c r="R115" s="969" t="s">
        <v>64</v>
      </c>
      <c r="S115" s="969"/>
      <c r="T115" s="969"/>
      <c r="U115" s="537">
        <f t="shared" si="0"/>
        <v>3.3333333333333335</v>
      </c>
      <c r="V115" s="537">
        <f t="shared" si="0"/>
        <v>0.83333333333333337</v>
      </c>
      <c r="W115" s="537">
        <f t="shared" si="0"/>
        <v>0.66666666666666663</v>
      </c>
      <c r="X115" s="537">
        <f t="shared" si="0"/>
        <v>0.125</v>
      </c>
      <c r="Y115" s="361"/>
      <c r="Z115" s="364"/>
      <c r="AA115"/>
      <c r="AB115"/>
      <c r="AC115"/>
      <c r="AD115"/>
      <c r="AE115"/>
      <c r="AF115"/>
      <c r="AG115"/>
    </row>
    <row r="116" spans="17:33" ht="12.75" customHeight="1">
      <c r="Q116" s="360"/>
      <c r="R116" s="364"/>
      <c r="S116" s="364"/>
      <c r="T116" s="364"/>
      <c r="U116" s="364"/>
      <c r="V116" s="364"/>
      <c r="W116" s="364"/>
      <c r="X116" s="364"/>
      <c r="Y116" s="363"/>
      <c r="Z116" s="364"/>
      <c r="AA116"/>
      <c r="AB116"/>
      <c r="AC116"/>
      <c r="AD116"/>
      <c r="AE116"/>
      <c r="AF116"/>
      <c r="AG116"/>
    </row>
    <row r="117" spans="17:33" ht="12.75" customHeight="1">
      <c r="Q117" s="360" t="s">
        <v>506</v>
      </c>
      <c r="R117" s="363" t="s">
        <v>532</v>
      </c>
      <c r="S117" s="363"/>
      <c r="T117" s="363"/>
      <c r="U117" s="363"/>
      <c r="V117" s="363"/>
      <c r="W117" s="363"/>
      <c r="X117" s="363"/>
      <c r="Y117" s="363"/>
      <c r="Z117" s="364"/>
      <c r="AA117"/>
      <c r="AB117"/>
      <c r="AC117"/>
      <c r="AD117"/>
      <c r="AE117"/>
      <c r="AF117"/>
      <c r="AG117"/>
    </row>
    <row r="118" spans="17:33" ht="12.75" customHeight="1">
      <c r="Q118" s="360"/>
      <c r="R118" s="998" t="s">
        <v>191</v>
      </c>
      <c r="S118" s="999"/>
      <c r="T118" s="1000"/>
      <c r="U118" s="949" t="s">
        <v>500</v>
      </c>
      <c r="V118" s="938" t="s">
        <v>22</v>
      </c>
      <c r="W118" s="940" t="s">
        <v>579</v>
      </c>
      <c r="X118" s="942" t="s">
        <v>21</v>
      </c>
      <c r="Y118" s="361"/>
      <c r="Z118" s="364"/>
      <c r="AA118"/>
      <c r="AB118"/>
      <c r="AC118"/>
      <c r="AD118"/>
      <c r="AE118"/>
      <c r="AF118"/>
      <c r="AG118"/>
    </row>
    <row r="119" spans="17:33" ht="12.75" customHeight="1">
      <c r="Q119" s="360"/>
      <c r="R119" s="1001"/>
      <c r="S119" s="1002"/>
      <c r="T119" s="1003"/>
      <c r="U119" s="950"/>
      <c r="V119" s="939"/>
      <c r="W119" s="941"/>
      <c r="X119" s="943"/>
      <c r="Y119" s="361"/>
      <c r="Z119" s="364"/>
      <c r="AA119"/>
      <c r="AB119"/>
      <c r="AC119"/>
      <c r="AD119"/>
      <c r="AE119"/>
      <c r="AF119"/>
      <c r="AG119"/>
    </row>
    <row r="120" spans="17:33" ht="12.75" customHeight="1">
      <c r="Q120" s="360"/>
      <c r="R120" s="969" t="s">
        <v>63</v>
      </c>
      <c r="S120" s="969"/>
      <c r="T120" s="969"/>
      <c r="U120" s="537">
        <f t="shared" ref="U120:X121" si="1">U108/60</f>
        <v>4.1666666666666664E-2</v>
      </c>
      <c r="V120" s="537">
        <f t="shared" si="1"/>
        <v>1.0416666666666666E-2</v>
      </c>
      <c r="W120" s="537">
        <f t="shared" si="1"/>
        <v>7.8125E-3</v>
      </c>
      <c r="X120" s="537">
        <f t="shared" si="1"/>
        <v>1.6276041666666667E-3</v>
      </c>
      <c r="Y120" s="361"/>
      <c r="Z120" s="364"/>
      <c r="AA120"/>
      <c r="AB120"/>
      <c r="AC120"/>
      <c r="AD120"/>
      <c r="AE120"/>
      <c r="AF120"/>
      <c r="AG120"/>
    </row>
    <row r="121" spans="17:33" ht="12.75" customHeight="1">
      <c r="Q121" s="360"/>
      <c r="R121" s="969" t="s">
        <v>64</v>
      </c>
      <c r="S121" s="969"/>
      <c r="T121" s="969"/>
      <c r="U121" s="537">
        <f t="shared" si="1"/>
        <v>0.83333333333333337</v>
      </c>
      <c r="V121" s="537">
        <f t="shared" si="1"/>
        <v>0.20833333333333334</v>
      </c>
      <c r="W121" s="537">
        <f t="shared" si="1"/>
        <v>0.16666666666666666</v>
      </c>
      <c r="X121" s="537">
        <f t="shared" si="1"/>
        <v>3.125E-2</v>
      </c>
      <c r="Y121" s="361"/>
      <c r="Z121" s="364"/>
      <c r="AA121"/>
      <c r="AB121"/>
      <c r="AC121"/>
      <c r="AD121"/>
      <c r="AE121"/>
      <c r="AF121"/>
      <c r="AG121"/>
    </row>
    <row r="122" spans="17:33" ht="12.75" customHeight="1">
      <c r="Q122" s="360"/>
      <c r="R122" s="363"/>
      <c r="S122" s="363"/>
      <c r="T122" s="363"/>
      <c r="U122" s="363"/>
      <c r="V122" s="363"/>
      <c r="W122" s="363"/>
      <c r="X122" s="363"/>
      <c r="Y122" s="363"/>
      <c r="Z122" s="364"/>
      <c r="AA122"/>
      <c r="AB122"/>
      <c r="AC122"/>
      <c r="AD122"/>
      <c r="AE122"/>
      <c r="AF122"/>
      <c r="AG122"/>
    </row>
    <row r="123" spans="17:33" ht="12.75" customHeight="1">
      <c r="Q123" s="546" t="s">
        <v>231</v>
      </c>
      <c r="R123" s="952" t="s">
        <v>232</v>
      </c>
      <c r="S123" s="952"/>
      <c r="T123" s="952"/>
      <c r="U123" s="952"/>
      <c r="V123" s="952"/>
      <c r="W123" s="952"/>
      <c r="X123" s="952"/>
      <c r="Y123" s="952"/>
      <c r="Z123" s="360"/>
      <c r="AA123"/>
      <c r="AB123"/>
      <c r="AC123"/>
      <c r="AD123"/>
      <c r="AE123"/>
      <c r="AF123"/>
      <c r="AG123"/>
    </row>
    <row r="124" spans="17:33" ht="12.75" customHeight="1">
      <c r="Q124" s="546"/>
      <c r="R124" s="360"/>
      <c r="S124" s="360"/>
      <c r="T124" s="360"/>
      <c r="U124" s="360"/>
      <c r="V124" s="360"/>
      <c r="W124" s="360"/>
      <c r="X124" s="360"/>
      <c r="Y124" s="360"/>
      <c r="Z124" s="360"/>
      <c r="AA124"/>
      <c r="AB124"/>
      <c r="AC124"/>
      <c r="AD124"/>
      <c r="AE124"/>
      <c r="AF124"/>
      <c r="AG124"/>
    </row>
    <row r="125" spans="17:33" ht="12.75" customHeight="1">
      <c r="Q125" s="546"/>
      <c r="R125" s="363" t="s">
        <v>233</v>
      </c>
      <c r="S125" s="363"/>
      <c r="T125" s="363"/>
      <c r="U125" s="363"/>
      <c r="V125" s="363"/>
      <c r="W125" s="363"/>
      <c r="X125" s="363"/>
      <c r="Y125" s="363"/>
      <c r="Z125" s="364"/>
      <c r="AA125"/>
      <c r="AB125"/>
      <c r="AC125"/>
      <c r="AD125"/>
      <c r="AE125"/>
      <c r="AF125"/>
      <c r="AG125"/>
    </row>
    <row r="126" spans="17:33" ht="12.75" customHeight="1">
      <c r="Q126" s="360"/>
      <c r="R126" s="998" t="s">
        <v>678</v>
      </c>
      <c r="S126" s="999"/>
      <c r="T126" s="1000"/>
      <c r="U126" s="949" t="s">
        <v>470</v>
      </c>
      <c r="V126" s="938" t="s">
        <v>22</v>
      </c>
      <c r="W126" s="940" t="s">
        <v>579</v>
      </c>
      <c r="X126" s="942" t="s">
        <v>21</v>
      </c>
      <c r="Y126" s="361"/>
      <c r="Z126" s="364"/>
      <c r="AA126"/>
      <c r="AB126"/>
      <c r="AC126"/>
      <c r="AD126"/>
      <c r="AE126"/>
      <c r="AF126"/>
      <c r="AG126"/>
    </row>
    <row r="127" spans="17:33" ht="12.75" customHeight="1">
      <c r="Q127" s="360"/>
      <c r="R127" s="1001"/>
      <c r="S127" s="1002"/>
      <c r="T127" s="1003"/>
      <c r="U127" s="950"/>
      <c r="V127" s="939"/>
      <c r="W127" s="941"/>
      <c r="X127" s="943"/>
      <c r="Y127" s="361"/>
      <c r="Z127" s="364"/>
      <c r="AA127"/>
      <c r="AB127"/>
      <c r="AC127"/>
      <c r="AD127"/>
      <c r="AE127"/>
      <c r="AF127"/>
      <c r="AG127"/>
    </row>
    <row r="128" spans="17:33" ht="12.75" customHeight="1">
      <c r="Q128" s="360"/>
      <c r="R128" s="969" t="s">
        <v>234</v>
      </c>
      <c r="S128" s="969"/>
      <c r="T128" s="969"/>
      <c r="U128" s="672">
        <v>8.3000000000000007</v>
      </c>
      <c r="V128" s="672">
        <f>VLOOKUP($V$5,'Lookup Vibration'!$B$8:$F$208,3)</f>
        <v>18.049999999999951</v>
      </c>
      <c r="W128" s="672">
        <f>VLOOKUP($V$5,'Lookup Vibration'!$B$8:$F$208,4)</f>
        <v>19.950000000000074</v>
      </c>
      <c r="X128" s="672">
        <f>VLOOKUP($V$5,'Lookup Vibration'!$B$8:$F$208,2)</f>
        <v>18.049999999999951</v>
      </c>
      <c r="Y128" s="361"/>
      <c r="Z128" s="364"/>
      <c r="AA128"/>
      <c r="AB128"/>
      <c r="AC128"/>
      <c r="AD128"/>
      <c r="AE128"/>
      <c r="AF128"/>
      <c r="AG128"/>
    </row>
    <row r="129" spans="17:33" ht="12.75" customHeight="1">
      <c r="Q129" s="360"/>
      <c r="R129" s="363"/>
      <c r="S129" s="363"/>
      <c r="T129" s="363"/>
      <c r="U129" s="363"/>
      <c r="V129" s="363"/>
      <c r="W129" s="363"/>
      <c r="X129" s="363"/>
      <c r="Y129" s="363"/>
      <c r="Z129" s="364"/>
      <c r="AA129"/>
      <c r="AB129"/>
      <c r="AC129"/>
      <c r="AD129"/>
      <c r="AE129"/>
      <c r="AF129"/>
      <c r="AG129"/>
    </row>
    <row r="130" spans="17:33" ht="12.75" customHeight="1">
      <c r="Q130" s="546" t="s">
        <v>235</v>
      </c>
      <c r="R130" s="952" t="s">
        <v>34</v>
      </c>
      <c r="S130" s="952"/>
      <c r="T130" s="952"/>
      <c r="U130" s="952"/>
      <c r="V130" s="952"/>
      <c r="W130" s="952"/>
      <c r="X130" s="952"/>
      <c r="Y130" s="952"/>
      <c r="Z130" s="360"/>
      <c r="AA130"/>
      <c r="AB130"/>
      <c r="AC130"/>
      <c r="AD130"/>
      <c r="AE130"/>
      <c r="AF130"/>
      <c r="AG130"/>
    </row>
    <row r="131" spans="17:33" ht="12.75" customHeight="1">
      <c r="Q131" s="546"/>
      <c r="R131" s="363"/>
      <c r="S131" s="363"/>
      <c r="T131" s="363"/>
      <c r="U131" s="363"/>
      <c r="V131" s="363"/>
      <c r="W131" s="363"/>
      <c r="X131" s="363"/>
      <c r="Y131" s="363"/>
      <c r="Z131" s="364"/>
      <c r="AA131"/>
      <c r="AB131"/>
      <c r="AC131"/>
      <c r="AD131"/>
      <c r="AE131"/>
      <c r="AF131"/>
      <c r="AG131"/>
    </row>
    <row r="132" spans="17:33" ht="12.75" customHeight="1">
      <c r="Q132" s="360"/>
      <c r="R132" s="998" t="s">
        <v>678</v>
      </c>
      <c r="S132" s="999"/>
      <c r="T132" s="1000"/>
      <c r="U132" s="949" t="s">
        <v>500</v>
      </c>
      <c r="V132" s="938" t="s">
        <v>22</v>
      </c>
      <c r="W132" s="940" t="s">
        <v>579</v>
      </c>
      <c r="X132" s="942" t="s">
        <v>21</v>
      </c>
      <c r="Y132" s="361"/>
      <c r="Z132" s="364"/>
      <c r="AA132"/>
      <c r="AB132"/>
      <c r="AC132"/>
      <c r="AD132"/>
      <c r="AE132"/>
      <c r="AF132"/>
      <c r="AG132"/>
    </row>
    <row r="133" spans="17:33" ht="12.75" customHeight="1">
      <c r="Q133" s="360"/>
      <c r="R133" s="1001"/>
      <c r="S133" s="1002"/>
      <c r="T133" s="1003"/>
      <c r="U133" s="950"/>
      <c r="V133" s="939"/>
      <c r="W133" s="941"/>
      <c r="X133" s="943"/>
      <c r="Y133" s="361"/>
      <c r="Z133" s="364"/>
      <c r="AA133"/>
      <c r="AB133"/>
      <c r="AC133"/>
      <c r="AD133"/>
      <c r="AE133"/>
      <c r="AF133"/>
      <c r="AG133"/>
    </row>
    <row r="134" spans="17:33" ht="12.75" customHeight="1">
      <c r="Q134" s="360"/>
      <c r="R134" s="1004" t="s">
        <v>298</v>
      </c>
      <c r="S134" s="1004"/>
      <c r="T134" s="1004"/>
      <c r="U134" s="673" t="s">
        <v>819</v>
      </c>
      <c r="V134" s="673" t="s">
        <v>818</v>
      </c>
      <c r="W134" s="673" t="s">
        <v>819</v>
      </c>
      <c r="X134" s="673" t="s">
        <v>818</v>
      </c>
      <c r="Y134" s="361"/>
      <c r="Z134" s="364"/>
      <c r="AA134"/>
      <c r="AB134"/>
      <c r="AC134"/>
      <c r="AD134"/>
      <c r="AE134"/>
      <c r="AF134"/>
      <c r="AG134"/>
    </row>
    <row r="135" spans="17:33" ht="12.75" customHeight="1">
      <c r="Q135" s="360"/>
      <c r="R135" s="931" t="s">
        <v>299</v>
      </c>
      <c r="S135" s="931"/>
      <c r="T135" s="931"/>
      <c r="U135" s="673" t="s">
        <v>297</v>
      </c>
      <c r="V135" s="673" t="s">
        <v>296</v>
      </c>
      <c r="W135" s="673" t="s">
        <v>296</v>
      </c>
      <c r="X135" s="673" t="s">
        <v>296</v>
      </c>
      <c r="Y135" s="361"/>
      <c r="Z135" s="364"/>
      <c r="AA135"/>
      <c r="AB135"/>
      <c r="AC135"/>
      <c r="AD135"/>
      <c r="AE135"/>
      <c r="AF135"/>
      <c r="AG135"/>
    </row>
    <row r="136" spans="17:33" ht="12.75" customHeight="1">
      <c r="Q136" s="360"/>
      <c r="R136" s="363"/>
      <c r="S136" s="363"/>
      <c r="T136" s="363"/>
      <c r="U136" s="363"/>
      <c r="V136" s="363"/>
      <c r="W136" s="363"/>
      <c r="X136" s="363"/>
      <c r="Y136" s="363"/>
      <c r="Z136" s="363"/>
      <c r="AA136"/>
      <c r="AB136"/>
      <c r="AC136"/>
      <c r="AD136"/>
      <c r="AE136"/>
      <c r="AF136"/>
      <c r="AG136"/>
    </row>
    <row r="137" spans="17:33" ht="12.75" customHeight="1">
      <c r="Q137" s="546" t="s">
        <v>236</v>
      </c>
      <c r="R137" s="952" t="s">
        <v>237</v>
      </c>
      <c r="S137" s="952"/>
      <c r="T137" s="952"/>
      <c r="U137" s="952"/>
      <c r="V137" s="952"/>
      <c r="W137" s="952"/>
      <c r="X137" s="952"/>
      <c r="Y137" s="952"/>
      <c r="Z137" s="360"/>
      <c r="AA137"/>
      <c r="AB137"/>
      <c r="AC137"/>
      <c r="AD137"/>
      <c r="AE137"/>
      <c r="AF137"/>
      <c r="AG137"/>
    </row>
    <row r="138" spans="17:33" ht="12.75" customHeight="1">
      <c r="Q138" s="360"/>
      <c r="R138" s="363"/>
      <c r="S138" s="363"/>
      <c r="T138" s="363"/>
      <c r="U138" s="363"/>
      <c r="V138" s="363"/>
      <c r="W138" s="363"/>
      <c r="X138" s="363"/>
      <c r="Y138" s="363"/>
      <c r="Z138" s="363"/>
      <c r="AA138"/>
      <c r="AB138"/>
      <c r="AC138"/>
      <c r="AD138"/>
      <c r="AE138"/>
      <c r="AF138"/>
      <c r="AG138"/>
    </row>
    <row r="139" spans="17:33" ht="12.75" customHeight="1">
      <c r="Q139" s="668" t="s">
        <v>238</v>
      </c>
      <c r="R139" s="364" t="s">
        <v>239</v>
      </c>
      <c r="S139" s="364"/>
      <c r="T139" s="364"/>
      <c r="U139" s="364"/>
      <c r="V139" s="364"/>
      <c r="W139" s="364"/>
      <c r="X139" s="364"/>
      <c r="Y139" s="364"/>
      <c r="Z139" s="364"/>
      <c r="AA139"/>
      <c r="AB139"/>
      <c r="AC139"/>
      <c r="AD139"/>
      <c r="AE139"/>
      <c r="AF139"/>
      <c r="AG139"/>
    </row>
    <row r="140" spans="17:33" ht="12.75" customHeight="1">
      <c r="Q140" s="668"/>
      <c r="R140" s="364" t="s">
        <v>469</v>
      </c>
      <c r="S140" s="364"/>
      <c r="T140" s="364"/>
      <c r="U140" s="364"/>
      <c r="V140" s="364"/>
      <c r="W140" s="364"/>
      <c r="X140" s="364"/>
      <c r="Y140" s="364"/>
      <c r="Z140" s="364"/>
      <c r="AA140"/>
      <c r="AB140"/>
      <c r="AC140"/>
      <c r="AD140"/>
      <c r="AE140"/>
      <c r="AF140"/>
      <c r="AG140"/>
    </row>
    <row r="141" spans="17:33" ht="12.75" customHeight="1">
      <c r="Q141" s="668"/>
      <c r="R141" s="364"/>
      <c r="S141" s="364"/>
      <c r="T141" s="364"/>
      <c r="U141" s="364"/>
      <c r="V141" s="364"/>
      <c r="W141" s="364"/>
      <c r="X141" s="364"/>
      <c r="Y141" s="364"/>
      <c r="Z141" s="364"/>
      <c r="AA141"/>
      <c r="AB141"/>
      <c r="AC141"/>
      <c r="AD141"/>
      <c r="AE141"/>
      <c r="AF141"/>
      <c r="AG141"/>
    </row>
    <row r="142" spans="17:33" ht="12.75" customHeight="1">
      <c r="Q142" s="668"/>
      <c r="R142" s="1005" t="s">
        <v>734</v>
      </c>
      <c r="S142" s="1006"/>
      <c r="T142" s="1006"/>
      <c r="U142" s="1006"/>
      <c r="V142" s="1006"/>
      <c r="W142" s="1007"/>
      <c r="X142" s="351">
        <f>'Compressor Input Data'!G5</f>
        <v>22800</v>
      </c>
      <c r="Y142" s="364"/>
      <c r="Z142" s="364"/>
      <c r="AA142"/>
      <c r="AB142"/>
      <c r="AC142"/>
      <c r="AD142"/>
      <c r="AE142"/>
      <c r="AF142"/>
      <c r="AG142"/>
    </row>
    <row r="143" spans="17:33" ht="12.75" customHeight="1">
      <c r="Q143" s="668"/>
      <c r="R143" s="990" t="s">
        <v>430</v>
      </c>
      <c r="S143" s="991"/>
      <c r="T143" s="992"/>
      <c r="U143" s="949" t="s">
        <v>500</v>
      </c>
      <c r="V143" s="938" t="s">
        <v>22</v>
      </c>
      <c r="W143" s="940" t="s">
        <v>579</v>
      </c>
      <c r="X143" s="942" t="s">
        <v>21</v>
      </c>
      <c r="Y143" s="361"/>
      <c r="Z143" s="364"/>
      <c r="AA143"/>
      <c r="AB143"/>
      <c r="AC143"/>
      <c r="AD143"/>
      <c r="AE143"/>
      <c r="AF143"/>
      <c r="AG143"/>
    </row>
    <row r="144" spans="17:33" ht="12.75" customHeight="1">
      <c r="Q144" s="668"/>
      <c r="R144" s="993"/>
      <c r="S144" s="994"/>
      <c r="T144" s="995"/>
      <c r="U144" s="950"/>
      <c r="V144" s="939"/>
      <c r="W144" s="941"/>
      <c r="X144" s="943"/>
      <c r="Y144" s="361"/>
      <c r="Z144" s="364"/>
      <c r="AA144"/>
      <c r="AB144"/>
      <c r="AC144"/>
      <c r="AD144"/>
      <c r="AE144"/>
      <c r="AF144"/>
      <c r="AG144"/>
    </row>
    <row r="145" spans="17:33" ht="12.75" customHeight="1">
      <c r="Q145" s="668"/>
      <c r="R145" s="973" t="s">
        <v>555</v>
      </c>
      <c r="S145" s="973"/>
      <c r="T145" s="973"/>
      <c r="U145" s="996"/>
      <c r="V145" s="544">
        <f>X145</f>
        <v>22800</v>
      </c>
      <c r="W145" s="544">
        <f>X145</f>
        <v>22800</v>
      </c>
      <c r="X145" s="544">
        <f>X142</f>
        <v>22800</v>
      </c>
      <c r="Y145" s="361"/>
      <c r="Z145" s="364"/>
      <c r="AA145"/>
      <c r="AB145"/>
      <c r="AC145"/>
      <c r="AD145"/>
      <c r="AE145"/>
      <c r="AF145"/>
      <c r="AG145"/>
    </row>
    <row r="146" spans="17:33" ht="12.75" customHeight="1">
      <c r="Q146" s="668"/>
      <c r="R146" s="973" t="s">
        <v>549</v>
      </c>
      <c r="S146" s="973"/>
      <c r="T146" s="973"/>
      <c r="U146" s="997"/>
      <c r="V146" s="544">
        <f>X146</f>
        <v>24</v>
      </c>
      <c r="W146" s="544">
        <f>V146</f>
        <v>24</v>
      </c>
      <c r="X146" s="544">
        <f>'Compressor Input Data'!J15</f>
        <v>24</v>
      </c>
      <c r="Y146" s="361"/>
      <c r="Z146" s="364"/>
      <c r="AA146"/>
      <c r="AB146"/>
      <c r="AC146"/>
      <c r="AD146"/>
      <c r="AE146"/>
      <c r="AF146"/>
      <c r="AG146"/>
    </row>
    <row r="147" spans="17:33" ht="12.75" customHeight="1">
      <c r="Q147" s="668"/>
      <c r="R147" s="970" t="s">
        <v>556</v>
      </c>
      <c r="S147" s="971"/>
      <c r="T147" s="972"/>
      <c r="U147" s="566">
        <f>U62</f>
        <v>2.6666666666666665</v>
      </c>
      <c r="V147" s="566">
        <f>V62</f>
        <v>1.9999999999999996</v>
      </c>
      <c r="W147" s="566">
        <f>W62</f>
        <v>1.7391304347826084</v>
      </c>
      <c r="X147" s="566">
        <f>X62</f>
        <v>1.4285714285714284</v>
      </c>
      <c r="Y147" s="361"/>
      <c r="Z147" s="364"/>
      <c r="AA147"/>
      <c r="AB147"/>
      <c r="AC147"/>
      <c r="AD147"/>
      <c r="AE147"/>
      <c r="AF147"/>
      <c r="AG147"/>
    </row>
    <row r="148" spans="17:33" ht="12.75" customHeight="1">
      <c r="Q148" s="668"/>
      <c r="R148" s="973" t="s">
        <v>575</v>
      </c>
      <c r="S148" s="973"/>
      <c r="T148" s="973"/>
      <c r="U148" s="531">
        <f>W148</f>
        <v>0.22500000000000001</v>
      </c>
      <c r="V148" s="531">
        <f>X148</f>
        <v>0.22500000000000001</v>
      </c>
      <c r="W148" s="531">
        <f>V148</f>
        <v>0.22500000000000001</v>
      </c>
      <c r="X148" s="531">
        <f>'Compressor Input Data'!J17</f>
        <v>0.22500000000000001</v>
      </c>
      <c r="Y148" s="361"/>
      <c r="Z148" s="364"/>
      <c r="AA148"/>
      <c r="AB148"/>
      <c r="AC148"/>
      <c r="AD148"/>
      <c r="AE148"/>
      <c r="AF148"/>
      <c r="AG148"/>
    </row>
    <row r="149" spans="17:33" ht="12.75" customHeight="1">
      <c r="Q149" s="668"/>
      <c r="R149" s="987"/>
      <c r="S149" s="988"/>
      <c r="T149" s="988"/>
      <c r="U149" s="988"/>
      <c r="V149" s="988"/>
      <c r="W149" s="988"/>
      <c r="X149" s="989"/>
      <c r="Y149" s="364"/>
      <c r="Z149" s="364"/>
      <c r="AA149"/>
      <c r="AB149"/>
      <c r="AC149"/>
      <c r="AD149"/>
      <c r="AE149"/>
      <c r="AF149"/>
      <c r="AG149"/>
    </row>
    <row r="150" spans="17:33" ht="12.75" customHeight="1">
      <c r="Q150" s="668"/>
      <c r="R150" s="990" t="s">
        <v>467</v>
      </c>
      <c r="S150" s="991"/>
      <c r="T150" s="992"/>
      <c r="U150" s="949" t="s">
        <v>500</v>
      </c>
      <c r="V150" s="938" t="s">
        <v>22</v>
      </c>
      <c r="W150" s="940" t="s">
        <v>579</v>
      </c>
      <c r="X150" s="942" t="s">
        <v>21</v>
      </c>
      <c r="Y150" s="361"/>
      <c r="Z150" s="364"/>
      <c r="AA150"/>
      <c r="AB150"/>
      <c r="AC150"/>
      <c r="AD150"/>
      <c r="AE150"/>
      <c r="AF150"/>
      <c r="AG150"/>
    </row>
    <row r="151" spans="17:33" ht="12.75" customHeight="1">
      <c r="Q151" s="668"/>
      <c r="R151" s="993"/>
      <c r="S151" s="994"/>
      <c r="T151" s="995"/>
      <c r="U151" s="950"/>
      <c r="V151" s="939"/>
      <c r="W151" s="941"/>
      <c r="X151" s="943"/>
      <c r="Y151" s="361"/>
      <c r="Z151" s="364"/>
      <c r="AA151"/>
      <c r="AB151"/>
      <c r="AC151"/>
      <c r="AD151"/>
      <c r="AE151"/>
      <c r="AF151"/>
      <c r="AG151"/>
    </row>
    <row r="152" spans="17:33" ht="12.75" customHeight="1">
      <c r="Q152" s="668"/>
      <c r="R152" s="973" t="s">
        <v>554</v>
      </c>
      <c r="S152" s="973"/>
      <c r="T152" s="973"/>
      <c r="U152" s="986"/>
      <c r="V152" s="569">
        <f>X152</f>
        <v>1</v>
      </c>
      <c r="W152" s="570">
        <f>V152</f>
        <v>1</v>
      </c>
      <c r="X152" s="570">
        <f>'Compressor Input Data'!J20</f>
        <v>1</v>
      </c>
      <c r="Y152" s="361"/>
      <c r="Z152" s="364"/>
      <c r="AA152"/>
      <c r="AB152"/>
      <c r="AC152"/>
      <c r="AD152"/>
      <c r="AE152"/>
      <c r="AF152"/>
      <c r="AG152"/>
    </row>
    <row r="153" spans="17:33" ht="12.75" customHeight="1">
      <c r="Q153" s="668"/>
      <c r="R153" s="983" t="s">
        <v>551</v>
      </c>
      <c r="S153" s="984"/>
      <c r="T153" s="985"/>
      <c r="U153" s="986"/>
      <c r="V153" s="571">
        <f>V147/V146</f>
        <v>8.3333333333333315E-2</v>
      </c>
      <c r="W153" s="571">
        <f>W147/W146</f>
        <v>7.2463768115942018E-2</v>
      </c>
      <c r="X153" s="571">
        <f>X147/X146</f>
        <v>5.9523809523809514E-2</v>
      </c>
      <c r="Y153" s="361"/>
      <c r="Z153" s="364"/>
      <c r="AA153"/>
      <c r="AB153"/>
      <c r="AC153"/>
      <c r="AD153"/>
      <c r="AE153"/>
      <c r="AF153"/>
      <c r="AG153"/>
    </row>
    <row r="154" spans="17:33" ht="12.75" customHeight="1">
      <c r="Q154" s="668"/>
      <c r="R154" s="973" t="s">
        <v>552</v>
      </c>
      <c r="S154" s="973"/>
      <c r="T154" s="973"/>
      <c r="U154" s="986"/>
      <c r="V154" s="572">
        <f>X154</f>
        <v>0.6</v>
      </c>
      <c r="W154" s="572">
        <f>V154</f>
        <v>0.6</v>
      </c>
      <c r="X154" s="572">
        <f>'Compressor Input Data'!J22</f>
        <v>0.6</v>
      </c>
      <c r="Y154" s="361"/>
      <c r="Z154" s="364"/>
      <c r="AA154"/>
      <c r="AB154"/>
      <c r="AC154"/>
      <c r="AD154"/>
      <c r="AE154"/>
      <c r="AF154"/>
      <c r="AG154"/>
    </row>
    <row r="155" spans="17:33" ht="12.75" customHeight="1">
      <c r="Q155" s="668"/>
      <c r="R155" s="987"/>
      <c r="S155" s="988"/>
      <c r="T155" s="988"/>
      <c r="U155" s="988"/>
      <c r="V155" s="988"/>
      <c r="W155" s="988"/>
      <c r="X155" s="989"/>
      <c r="Y155" s="364"/>
      <c r="Z155" s="364"/>
      <c r="AA155"/>
      <c r="AB155"/>
      <c r="AC155"/>
      <c r="AD155"/>
      <c r="AE155"/>
      <c r="AF155"/>
      <c r="AG155"/>
    </row>
    <row r="156" spans="17:33" ht="12.75" customHeight="1">
      <c r="Q156" s="668"/>
      <c r="R156" s="990" t="s">
        <v>468</v>
      </c>
      <c r="S156" s="991"/>
      <c r="T156" s="992"/>
      <c r="U156" s="949" t="s">
        <v>500</v>
      </c>
      <c r="V156" s="938" t="s">
        <v>22</v>
      </c>
      <c r="W156" s="940" t="s">
        <v>579</v>
      </c>
      <c r="X156" s="942" t="s">
        <v>21</v>
      </c>
      <c r="Y156" s="361"/>
      <c r="Z156" s="364"/>
      <c r="AA156"/>
      <c r="AB156"/>
      <c r="AC156"/>
      <c r="AD156"/>
      <c r="AE156"/>
      <c r="AF156"/>
      <c r="AG156"/>
    </row>
    <row r="157" spans="17:33" ht="12.75" customHeight="1">
      <c r="Q157" s="668"/>
      <c r="R157" s="993"/>
      <c r="S157" s="994"/>
      <c r="T157" s="995"/>
      <c r="U157" s="950"/>
      <c r="V157" s="939"/>
      <c r="W157" s="941"/>
      <c r="X157" s="943"/>
      <c r="Y157" s="361"/>
      <c r="Z157" s="364"/>
      <c r="AA157"/>
      <c r="AB157"/>
      <c r="AC157"/>
      <c r="AD157"/>
      <c r="AE157"/>
      <c r="AF157"/>
      <c r="AG157"/>
    </row>
    <row r="158" spans="17:33" ht="12.75" customHeight="1">
      <c r="Q158" s="668"/>
      <c r="R158" s="973" t="s">
        <v>554</v>
      </c>
      <c r="S158" s="973"/>
      <c r="T158" s="973"/>
      <c r="U158" s="980"/>
      <c r="V158" s="572">
        <f>X158</f>
        <v>0.5</v>
      </c>
      <c r="W158" s="572">
        <f>V158</f>
        <v>0.5</v>
      </c>
      <c r="X158" s="572">
        <f>'Compressor Input Data'!J25</f>
        <v>0.5</v>
      </c>
      <c r="Y158" s="361"/>
      <c r="Z158" s="364"/>
      <c r="AA158"/>
      <c r="AB158"/>
      <c r="AC158"/>
      <c r="AD158"/>
      <c r="AE158"/>
      <c r="AF158"/>
      <c r="AG158"/>
    </row>
    <row r="159" spans="17:33" ht="12.75" customHeight="1">
      <c r="Q159" s="668"/>
      <c r="R159" s="983" t="s">
        <v>551</v>
      </c>
      <c r="S159" s="984"/>
      <c r="T159" s="985"/>
      <c r="U159" s="981"/>
      <c r="V159" s="572">
        <f>V152-V153</f>
        <v>0.91666666666666674</v>
      </c>
      <c r="W159" s="572">
        <f>W152-W153</f>
        <v>0.92753623188405798</v>
      </c>
      <c r="X159" s="572">
        <f>X152-X153</f>
        <v>0.94047619047619047</v>
      </c>
      <c r="Y159" s="361"/>
      <c r="Z159" s="364"/>
      <c r="AA159"/>
      <c r="AB159"/>
      <c r="AC159"/>
      <c r="AD159"/>
      <c r="AE159"/>
      <c r="AF159"/>
      <c r="AG159"/>
    </row>
    <row r="160" spans="17:33" ht="12.75" customHeight="1">
      <c r="Q160" s="668"/>
      <c r="R160" s="973" t="s">
        <v>552</v>
      </c>
      <c r="S160" s="973"/>
      <c r="T160" s="973"/>
      <c r="U160" s="982"/>
      <c r="V160" s="572">
        <f>X160</f>
        <v>0.6</v>
      </c>
      <c r="W160" s="572">
        <f>V160</f>
        <v>0.6</v>
      </c>
      <c r="X160" s="572">
        <f>'Compressor Input Data'!J27</f>
        <v>0.6</v>
      </c>
      <c r="Y160" s="361"/>
      <c r="Z160" s="364"/>
      <c r="AA160"/>
      <c r="AB160"/>
      <c r="AC160"/>
      <c r="AD160"/>
      <c r="AE160"/>
      <c r="AF160"/>
      <c r="AG160"/>
    </row>
    <row r="161" spans="17:33" ht="12.75" customHeight="1">
      <c r="Q161" s="668"/>
      <c r="R161" s="567"/>
      <c r="S161" s="568"/>
      <c r="T161" s="568"/>
      <c r="U161" s="573"/>
      <c r="V161" s="573"/>
      <c r="W161" s="573"/>
      <c r="X161" s="574"/>
      <c r="Y161" s="364"/>
      <c r="Z161" s="364"/>
      <c r="AA161"/>
      <c r="AB161"/>
      <c r="AC161"/>
      <c r="AD161"/>
      <c r="AE161"/>
      <c r="AF161"/>
      <c r="AG161"/>
    </row>
    <row r="162" spans="17:33" ht="12.75" customHeight="1">
      <c r="Q162" s="668"/>
      <c r="R162" s="901" t="s">
        <v>471</v>
      </c>
      <c r="S162" s="901"/>
      <c r="T162" s="901"/>
      <c r="U162" s="930" t="s">
        <v>500</v>
      </c>
      <c r="V162" s="928" t="s">
        <v>22</v>
      </c>
      <c r="W162" s="929" t="s">
        <v>579</v>
      </c>
      <c r="X162" s="927" t="s">
        <v>21</v>
      </c>
      <c r="Y162" s="361"/>
      <c r="Z162" s="364"/>
      <c r="AA162"/>
      <c r="AB162"/>
      <c r="AC162"/>
      <c r="AD162"/>
      <c r="AE162"/>
      <c r="AF162"/>
      <c r="AG162"/>
    </row>
    <row r="163" spans="17:33" ht="12.75" customHeight="1">
      <c r="Q163" s="668"/>
      <c r="R163" s="901"/>
      <c r="S163" s="901"/>
      <c r="T163" s="901"/>
      <c r="U163" s="930"/>
      <c r="V163" s="928"/>
      <c r="W163" s="929"/>
      <c r="X163" s="927"/>
      <c r="Y163" s="361"/>
      <c r="Z163" s="364"/>
      <c r="AA163"/>
      <c r="AB163"/>
      <c r="AC163"/>
      <c r="AD163"/>
      <c r="AE163"/>
      <c r="AF163"/>
      <c r="AG163"/>
    </row>
    <row r="164" spans="17:33" ht="12.75" customHeight="1">
      <c r="Q164" s="668"/>
      <c r="R164" s="973" t="s">
        <v>472</v>
      </c>
      <c r="S164" s="973"/>
      <c r="T164" s="973"/>
      <c r="U164" s="544">
        <f>$V$224</f>
        <v>938.66666666666674</v>
      </c>
      <c r="V164" s="544">
        <f>($V$145*$V$146*$V$153*$V$152)/$V$154</f>
        <v>75999.999999999985</v>
      </c>
      <c r="W164" s="544">
        <f>($W$145*$W$146*$W$153*$W$152)/$W$154</f>
        <v>66086.956521739121</v>
      </c>
      <c r="X164" s="544">
        <f>($X$145*$X$146*$X$153*$X$152)/$X$154</f>
        <v>54285.714285714275</v>
      </c>
      <c r="Y164" s="361"/>
      <c r="Z164" s="364"/>
      <c r="AA164"/>
      <c r="AB164"/>
      <c r="AC164"/>
      <c r="AD164"/>
      <c r="AE164"/>
      <c r="AF164"/>
      <c r="AG164"/>
    </row>
    <row r="165" spans="17:33" ht="12.75" customHeight="1">
      <c r="Q165" s="668"/>
      <c r="R165" s="973" t="s">
        <v>473</v>
      </c>
      <c r="S165" s="973"/>
      <c r="T165" s="973"/>
      <c r="U165" s="543"/>
      <c r="V165" s="544">
        <f>($V$145*$V$146*$V$159*$V$158)/$V$160</f>
        <v>418000.00000000006</v>
      </c>
      <c r="W165" s="544">
        <f>($W$145*$W$146*$W$159*$W$158)/$W$160</f>
        <v>422956.52173913049</v>
      </c>
      <c r="X165" s="544">
        <f>($X$145*$X$146*$X$159*$X$158)/$X$160</f>
        <v>428857.14285714284</v>
      </c>
      <c r="Y165" s="361"/>
      <c r="Z165" s="364"/>
      <c r="AA165"/>
      <c r="AB165"/>
      <c r="AC165"/>
      <c r="AD165"/>
      <c r="AE165"/>
      <c r="AF165"/>
      <c r="AG165"/>
    </row>
    <row r="166" spans="17:33" ht="12.75" customHeight="1">
      <c r="Q166" s="668"/>
      <c r="R166" s="567"/>
      <c r="S166" s="568"/>
      <c r="T166" s="568"/>
      <c r="U166" s="573"/>
      <c r="V166" s="573"/>
      <c r="W166" s="573"/>
      <c r="X166" s="574"/>
      <c r="Y166" s="364"/>
      <c r="Z166" s="364"/>
      <c r="AA166"/>
      <c r="AB166"/>
      <c r="AC166"/>
      <c r="AD166"/>
      <c r="AE166"/>
      <c r="AF166"/>
      <c r="AG166"/>
    </row>
    <row r="167" spans="17:33" ht="12.75" customHeight="1">
      <c r="Q167" s="668"/>
      <c r="R167" s="901" t="s">
        <v>474</v>
      </c>
      <c r="S167" s="901"/>
      <c r="T167" s="901"/>
      <c r="U167" s="930" t="s">
        <v>500</v>
      </c>
      <c r="V167" s="928" t="s">
        <v>22</v>
      </c>
      <c r="W167" s="929" t="s">
        <v>579</v>
      </c>
      <c r="X167" s="927" t="s">
        <v>21</v>
      </c>
      <c r="Y167" s="361"/>
      <c r="Z167" s="364"/>
      <c r="AA167"/>
      <c r="AB167"/>
      <c r="AC167"/>
      <c r="AD167"/>
      <c r="AE167"/>
      <c r="AF167"/>
      <c r="AG167"/>
    </row>
    <row r="168" spans="17:33" ht="12.75" customHeight="1">
      <c r="Q168" s="668"/>
      <c r="R168" s="901"/>
      <c r="S168" s="901"/>
      <c r="T168" s="901"/>
      <c r="U168" s="930"/>
      <c r="V168" s="928"/>
      <c r="W168" s="929"/>
      <c r="X168" s="927"/>
      <c r="Y168" s="361"/>
      <c r="Z168" s="364"/>
      <c r="AA168"/>
      <c r="AB168"/>
      <c r="AC168"/>
      <c r="AD168"/>
      <c r="AE168"/>
      <c r="AF168"/>
      <c r="AG168"/>
    </row>
    <row r="169" spans="17:33" ht="12.75" customHeight="1">
      <c r="Q169" s="668"/>
      <c r="R169" s="973" t="s">
        <v>472</v>
      </c>
      <c r="S169" s="973"/>
      <c r="T169" s="973"/>
      <c r="U169" s="544">
        <f>U164*$V$11</f>
        <v>21589.333333333336</v>
      </c>
      <c r="V169" s="544">
        <f>V164*$V$11</f>
        <v>1747999.9999999998</v>
      </c>
      <c r="W169" s="544">
        <f>W164*$V$11</f>
        <v>1519999.9999999998</v>
      </c>
      <c r="X169" s="544">
        <f>X164*$V$11</f>
        <v>1248571.4285714284</v>
      </c>
      <c r="Y169" s="361"/>
      <c r="Z169" s="364"/>
      <c r="AA169"/>
      <c r="AB169"/>
      <c r="AC169"/>
      <c r="AD169"/>
      <c r="AE169"/>
      <c r="AF169"/>
      <c r="AG169"/>
    </row>
    <row r="170" spans="17:33" ht="12.75" customHeight="1">
      <c r="Q170" s="668"/>
      <c r="R170" s="973" t="s">
        <v>473</v>
      </c>
      <c r="S170" s="973"/>
      <c r="T170" s="973"/>
      <c r="U170" s="543"/>
      <c r="V170" s="544">
        <f>V165*$V$11</f>
        <v>9614000.0000000019</v>
      </c>
      <c r="W170" s="544">
        <f>W165*$V$11</f>
        <v>9728000.0000000019</v>
      </c>
      <c r="X170" s="544">
        <f>X165*$V$11</f>
        <v>9863714.2857142854</v>
      </c>
      <c r="Y170" s="361"/>
      <c r="Z170" s="364"/>
      <c r="AA170"/>
      <c r="AB170"/>
      <c r="AC170"/>
      <c r="AD170"/>
      <c r="AE170"/>
      <c r="AF170"/>
      <c r="AG170"/>
    </row>
    <row r="171" spans="17:33" ht="12.75" customHeight="1">
      <c r="Q171" s="668"/>
      <c r="R171" s="567"/>
      <c r="S171" s="568"/>
      <c r="T171" s="568"/>
      <c r="U171" s="573"/>
      <c r="V171" s="573"/>
      <c r="W171" s="573"/>
      <c r="X171" s="574"/>
      <c r="Y171" s="364"/>
      <c r="Z171" s="364"/>
      <c r="AA171"/>
      <c r="AB171"/>
      <c r="AC171"/>
      <c r="AD171"/>
      <c r="AE171"/>
      <c r="AF171"/>
      <c r="AG171"/>
    </row>
    <row r="172" spans="17:33" ht="12.75" customHeight="1">
      <c r="Q172" s="668"/>
      <c r="R172" s="901" t="s">
        <v>474</v>
      </c>
      <c r="S172" s="901"/>
      <c r="T172" s="901"/>
      <c r="U172" s="930" t="s">
        <v>500</v>
      </c>
      <c r="V172" s="928" t="s">
        <v>22</v>
      </c>
      <c r="W172" s="929" t="s">
        <v>579</v>
      </c>
      <c r="X172" s="927" t="s">
        <v>21</v>
      </c>
      <c r="Y172" s="361"/>
      <c r="Z172" s="364"/>
      <c r="AA172"/>
      <c r="AB172"/>
      <c r="AC172"/>
      <c r="AD172"/>
      <c r="AE172"/>
      <c r="AF172"/>
      <c r="AG172"/>
    </row>
    <row r="173" spans="17:33" ht="12.75" customHeight="1">
      <c r="Q173" s="668"/>
      <c r="R173" s="901"/>
      <c r="S173" s="901"/>
      <c r="T173" s="901"/>
      <c r="U173" s="930"/>
      <c r="V173" s="928"/>
      <c r="W173" s="929"/>
      <c r="X173" s="927"/>
      <c r="Y173" s="361"/>
      <c r="Z173" s="364"/>
      <c r="AA173"/>
      <c r="AB173"/>
      <c r="AC173"/>
      <c r="AD173"/>
      <c r="AE173"/>
      <c r="AF173"/>
      <c r="AG173"/>
    </row>
    <row r="174" spans="17:33" ht="12.75" customHeight="1">
      <c r="Q174" s="668"/>
      <c r="R174" s="973" t="s">
        <v>472</v>
      </c>
      <c r="S174" s="973"/>
      <c r="T174" s="973"/>
      <c r="U174" s="544">
        <f>U169*12</f>
        <v>259072.00000000003</v>
      </c>
      <c r="V174" s="544">
        <f>V169*12</f>
        <v>20975999.999999996</v>
      </c>
      <c r="W174" s="544">
        <f>W169*12</f>
        <v>18239999.999999996</v>
      </c>
      <c r="X174" s="544">
        <f>X169*12</f>
        <v>14982857.142857142</v>
      </c>
      <c r="Y174" s="361"/>
      <c r="Z174" s="364"/>
      <c r="AA174"/>
      <c r="AB174"/>
      <c r="AC174"/>
      <c r="AD174"/>
      <c r="AE174"/>
      <c r="AF174"/>
      <c r="AG174"/>
    </row>
    <row r="175" spans="17:33" ht="12.75" customHeight="1">
      <c r="Q175" s="668"/>
      <c r="R175" s="973" t="s">
        <v>473</v>
      </c>
      <c r="S175" s="973"/>
      <c r="T175" s="973"/>
      <c r="U175" s="543"/>
      <c r="V175" s="544">
        <f>V170*12</f>
        <v>115368000.00000003</v>
      </c>
      <c r="W175" s="544">
        <f>W170*12</f>
        <v>116736000.00000003</v>
      </c>
      <c r="X175" s="544">
        <f>X170*12</f>
        <v>118364571.42857143</v>
      </c>
      <c r="Y175" s="361"/>
      <c r="Z175" s="364"/>
      <c r="AA175"/>
      <c r="AB175"/>
      <c r="AC175"/>
      <c r="AD175"/>
      <c r="AE175"/>
      <c r="AF175"/>
      <c r="AG175"/>
    </row>
    <row r="176" spans="17:33" ht="12.75" customHeight="1">
      <c r="Q176" s="668"/>
      <c r="R176" s="381"/>
      <c r="S176" s="381"/>
      <c r="T176" s="381"/>
      <c r="U176" s="381"/>
      <c r="V176" s="381"/>
      <c r="W176" s="381"/>
      <c r="X176" s="381"/>
      <c r="Y176" s="364"/>
      <c r="Z176" s="364"/>
      <c r="AA176"/>
      <c r="AB176"/>
      <c r="AC176"/>
      <c r="AD176"/>
      <c r="AE176"/>
      <c r="AF176"/>
      <c r="AG176"/>
    </row>
    <row r="177" spans="17:33" ht="12.75" customHeight="1">
      <c r="Q177" s="668"/>
      <c r="R177" s="901" t="s">
        <v>433</v>
      </c>
      <c r="S177" s="901"/>
      <c r="T177" s="901"/>
      <c r="U177" s="949" t="s">
        <v>500</v>
      </c>
      <c r="V177" s="938" t="s">
        <v>22</v>
      </c>
      <c r="W177" s="940" t="s">
        <v>579</v>
      </c>
      <c r="X177" s="942" t="s">
        <v>21</v>
      </c>
      <c r="Y177" s="361"/>
      <c r="Z177" s="364"/>
      <c r="AA177"/>
      <c r="AB177"/>
      <c r="AC177"/>
      <c r="AD177"/>
      <c r="AE177"/>
      <c r="AF177"/>
      <c r="AG177"/>
    </row>
    <row r="178" spans="17:33" ht="12.75" customHeight="1">
      <c r="Q178" s="668"/>
      <c r="R178" s="901"/>
      <c r="S178" s="901"/>
      <c r="T178" s="901"/>
      <c r="U178" s="950"/>
      <c r="V178" s="939"/>
      <c r="W178" s="941"/>
      <c r="X178" s="943"/>
      <c r="Y178" s="361"/>
      <c r="Z178" s="364"/>
      <c r="AA178"/>
      <c r="AB178"/>
      <c r="AC178"/>
      <c r="AD178"/>
      <c r="AE178"/>
      <c r="AF178"/>
      <c r="AG178"/>
    </row>
    <row r="179" spans="17:33" ht="12.75" customHeight="1">
      <c r="Q179" s="668"/>
      <c r="R179" s="970" t="s">
        <v>459</v>
      </c>
      <c r="S179" s="971"/>
      <c r="T179" s="972"/>
      <c r="U179" s="544">
        <f>U164</f>
        <v>938.66666666666674</v>
      </c>
      <c r="V179" s="544">
        <f>V164+V165</f>
        <v>494000.00000000006</v>
      </c>
      <c r="W179" s="544">
        <f>W164+W165</f>
        <v>489043.47826086963</v>
      </c>
      <c r="X179" s="544">
        <f>X164+X165</f>
        <v>483142.8571428571</v>
      </c>
      <c r="Y179" s="361"/>
      <c r="Z179" s="364"/>
      <c r="AA179"/>
      <c r="AB179"/>
      <c r="AC179"/>
      <c r="AD179"/>
      <c r="AE179"/>
      <c r="AF179"/>
      <c r="AG179"/>
    </row>
    <row r="180" spans="17:33" ht="12.75" customHeight="1">
      <c r="Q180" s="668"/>
      <c r="R180" s="973" t="s">
        <v>307</v>
      </c>
      <c r="S180" s="973"/>
      <c r="T180" s="973"/>
      <c r="U180" s="544">
        <f>U169</f>
        <v>21589.333333333336</v>
      </c>
      <c r="V180" s="544">
        <f>V169+V170</f>
        <v>11362000.000000002</v>
      </c>
      <c r="W180" s="544">
        <f>W169+W170</f>
        <v>11248000.000000002</v>
      </c>
      <c r="X180" s="544">
        <f>X169+X170</f>
        <v>11112285.714285715</v>
      </c>
      <c r="Y180" s="361"/>
      <c r="Z180" s="364"/>
      <c r="AA180"/>
      <c r="AB180"/>
      <c r="AC180"/>
      <c r="AD180"/>
      <c r="AE180"/>
      <c r="AF180"/>
      <c r="AG180"/>
    </row>
    <row r="181" spans="17:33" ht="12.75" customHeight="1">
      <c r="Q181" s="668"/>
      <c r="R181" s="973" t="s">
        <v>308</v>
      </c>
      <c r="S181" s="973"/>
      <c r="T181" s="973"/>
      <c r="U181" s="544">
        <f>U174</f>
        <v>259072.00000000003</v>
      </c>
      <c r="V181" s="544">
        <f>V174+V175</f>
        <v>136344000.00000003</v>
      </c>
      <c r="W181" s="544">
        <f>W174+W175</f>
        <v>134976000.00000003</v>
      </c>
      <c r="X181" s="544">
        <f>X174+X175</f>
        <v>133347428.57142857</v>
      </c>
      <c r="Y181" s="361"/>
      <c r="Z181" s="364"/>
      <c r="AA181"/>
      <c r="AB181"/>
      <c r="AC181"/>
      <c r="AD181"/>
      <c r="AE181"/>
      <c r="AF181"/>
      <c r="AG181"/>
    </row>
    <row r="182" spans="17:33" ht="12.75" customHeight="1">
      <c r="Q182" s="668"/>
      <c r="R182" s="381"/>
      <c r="S182" s="381"/>
      <c r="T182" s="381"/>
      <c r="U182" s="381"/>
      <c r="V182" s="381"/>
      <c r="W182" s="381"/>
      <c r="X182" s="381"/>
      <c r="Y182" s="364"/>
      <c r="Z182" s="364"/>
      <c r="AA182"/>
      <c r="AB182"/>
      <c r="AC182"/>
      <c r="AD182"/>
      <c r="AE182"/>
      <c r="AF182"/>
      <c r="AG182"/>
    </row>
    <row r="183" spans="17:33" ht="12.75" customHeight="1">
      <c r="Q183" s="668"/>
      <c r="R183" s="901" t="s">
        <v>475</v>
      </c>
      <c r="S183" s="901"/>
      <c r="T183" s="901"/>
      <c r="U183" s="930" t="s">
        <v>500</v>
      </c>
      <c r="V183" s="928" t="s">
        <v>22</v>
      </c>
      <c r="W183" s="929" t="s">
        <v>579</v>
      </c>
      <c r="X183" s="927" t="s">
        <v>21</v>
      </c>
      <c r="Y183" s="361"/>
      <c r="Z183" s="364"/>
      <c r="AA183"/>
      <c r="AB183"/>
      <c r="AC183"/>
      <c r="AD183"/>
      <c r="AE183"/>
      <c r="AF183"/>
      <c r="AG183"/>
    </row>
    <row r="184" spans="17:33" ht="12.75" customHeight="1">
      <c r="Q184" s="668"/>
      <c r="R184" s="901"/>
      <c r="S184" s="901"/>
      <c r="T184" s="901"/>
      <c r="U184" s="930"/>
      <c r="V184" s="928"/>
      <c r="W184" s="929"/>
      <c r="X184" s="927"/>
      <c r="Y184" s="361"/>
      <c r="Z184" s="364"/>
      <c r="AA184"/>
      <c r="AB184"/>
      <c r="AC184"/>
      <c r="AD184"/>
      <c r="AE184"/>
      <c r="AF184"/>
      <c r="AG184"/>
    </row>
    <row r="185" spans="17:33" ht="12.75" customHeight="1">
      <c r="Q185" s="668"/>
      <c r="R185" s="973" t="s">
        <v>472</v>
      </c>
      <c r="S185" s="973"/>
      <c r="T185" s="973"/>
      <c r="U185" s="593">
        <f>$V$224*$U$148</f>
        <v>211.20000000000002</v>
      </c>
      <c r="V185" s="593">
        <f>($V$145*$V$146*$V$153*$V$152*$V$148)/$V$154</f>
        <v>17099.999999999996</v>
      </c>
      <c r="W185" s="593">
        <f>($W$145*$W$146*$W$153*$W$152*$W$148)/$W$154</f>
        <v>14869.565217391304</v>
      </c>
      <c r="X185" s="593">
        <f>($X$145*$X$146*$X$153*$X$152*$X$148)/$X$154</f>
        <v>12214.285714285714</v>
      </c>
      <c r="Y185" s="361"/>
      <c r="Z185" s="364"/>
      <c r="AA185"/>
      <c r="AB185"/>
      <c r="AC185"/>
      <c r="AD185"/>
      <c r="AE185"/>
      <c r="AF185"/>
      <c r="AG185"/>
    </row>
    <row r="186" spans="17:33" ht="12.75" customHeight="1">
      <c r="Q186" s="668"/>
      <c r="R186" s="973" t="s">
        <v>473</v>
      </c>
      <c r="S186" s="973"/>
      <c r="T186" s="973"/>
      <c r="U186" s="543"/>
      <c r="V186" s="593">
        <f>($V$145*$V$146*$V$159*$V$158*$V$148)/$V$160</f>
        <v>94050.000000000015</v>
      </c>
      <c r="W186" s="593">
        <f>($W$145*$W$146*$W$159*$W$158*$W$148)/$W$160</f>
        <v>95165.217391304366</v>
      </c>
      <c r="X186" s="593">
        <f>($X$145*$X$146*$X$159*$X$158*$X$148)/$X$160</f>
        <v>96492.857142857145</v>
      </c>
      <c r="Y186" s="361"/>
      <c r="Z186" s="364"/>
      <c r="AA186"/>
      <c r="AB186"/>
      <c r="AC186"/>
      <c r="AD186"/>
      <c r="AE186"/>
      <c r="AF186"/>
      <c r="AG186"/>
    </row>
    <row r="187" spans="17:33" ht="12.75" customHeight="1">
      <c r="Q187" s="668"/>
      <c r="R187" s="381"/>
      <c r="S187" s="381"/>
      <c r="T187" s="381"/>
      <c r="U187" s="381"/>
      <c r="V187" s="381"/>
      <c r="W187" s="381"/>
      <c r="X187" s="381"/>
      <c r="Y187" s="552"/>
      <c r="Z187" s="364"/>
      <c r="AA187"/>
      <c r="AB187"/>
      <c r="AC187"/>
      <c r="AD187"/>
      <c r="AE187"/>
      <c r="AF187"/>
      <c r="AG187"/>
    </row>
    <row r="188" spans="17:33" ht="12.75" customHeight="1">
      <c r="Q188" s="668"/>
      <c r="R188" s="901" t="s">
        <v>476</v>
      </c>
      <c r="S188" s="901"/>
      <c r="T188" s="901"/>
      <c r="U188" s="930" t="s">
        <v>500</v>
      </c>
      <c r="V188" s="928" t="s">
        <v>22</v>
      </c>
      <c r="W188" s="929" t="s">
        <v>579</v>
      </c>
      <c r="X188" s="927" t="s">
        <v>21</v>
      </c>
      <c r="Y188" s="361"/>
      <c r="Z188" s="364"/>
      <c r="AA188"/>
      <c r="AB188"/>
      <c r="AC188"/>
      <c r="AD188"/>
      <c r="AE188"/>
      <c r="AF188"/>
      <c r="AG188"/>
    </row>
    <row r="189" spans="17:33" ht="12.75" customHeight="1">
      <c r="Q189" s="668"/>
      <c r="R189" s="901"/>
      <c r="S189" s="901"/>
      <c r="T189" s="901"/>
      <c r="U189" s="930"/>
      <c r="V189" s="928"/>
      <c r="W189" s="929"/>
      <c r="X189" s="927"/>
      <c r="Y189" s="361"/>
      <c r="Z189" s="364"/>
      <c r="AA189"/>
      <c r="AB189"/>
      <c r="AC189"/>
      <c r="AD189"/>
      <c r="AE189"/>
      <c r="AF189"/>
      <c r="AG189"/>
    </row>
    <row r="190" spans="17:33" ht="12.75" customHeight="1">
      <c r="Q190" s="668"/>
      <c r="R190" s="973" t="s">
        <v>472</v>
      </c>
      <c r="S190" s="973"/>
      <c r="T190" s="973"/>
      <c r="U190" s="593">
        <f>U185*$V$11</f>
        <v>4857.6000000000004</v>
      </c>
      <c r="V190" s="593">
        <f>V185*$V$11</f>
        <v>393299.99999999994</v>
      </c>
      <c r="W190" s="593">
        <f>W185*$V$11</f>
        <v>342000</v>
      </c>
      <c r="X190" s="593">
        <f>X185*$V$11</f>
        <v>280928.57142857142</v>
      </c>
      <c r="Y190" s="361"/>
      <c r="Z190" s="364"/>
      <c r="AA190"/>
      <c r="AB190"/>
      <c r="AC190"/>
      <c r="AD190"/>
      <c r="AE190"/>
      <c r="AF190"/>
      <c r="AG190"/>
    </row>
    <row r="191" spans="17:33" ht="12.75" customHeight="1">
      <c r="Q191" s="668"/>
      <c r="R191" s="973" t="s">
        <v>473</v>
      </c>
      <c r="S191" s="973"/>
      <c r="T191" s="973"/>
      <c r="U191" s="543"/>
      <c r="V191" s="593">
        <f>V186*$V$11</f>
        <v>2163150.0000000005</v>
      </c>
      <c r="W191" s="593">
        <f>W186*$V$11</f>
        <v>2188800.0000000005</v>
      </c>
      <c r="X191" s="593">
        <f>X186*$V$11</f>
        <v>2219335.7142857146</v>
      </c>
      <c r="Y191" s="361"/>
      <c r="Z191" s="364"/>
      <c r="AA191"/>
      <c r="AB191"/>
      <c r="AC191"/>
      <c r="AD191"/>
      <c r="AE191"/>
      <c r="AF191"/>
      <c r="AG191"/>
    </row>
    <row r="192" spans="17:33" ht="12.75" customHeight="1">
      <c r="Q192" s="668"/>
      <c r="R192" s="367"/>
      <c r="S192" s="367"/>
      <c r="T192" s="367"/>
      <c r="U192" s="367"/>
      <c r="V192" s="367"/>
      <c r="W192" s="367"/>
      <c r="X192" s="367"/>
      <c r="Y192" s="364"/>
      <c r="Z192" s="364"/>
      <c r="AA192"/>
      <c r="AB192"/>
      <c r="AC192"/>
      <c r="AD192"/>
      <c r="AE192"/>
      <c r="AF192"/>
      <c r="AG192"/>
    </row>
    <row r="193" spans="17:33" ht="12.75" customHeight="1">
      <c r="Q193" s="668"/>
      <c r="R193" s="901" t="s">
        <v>477</v>
      </c>
      <c r="S193" s="901"/>
      <c r="T193" s="901"/>
      <c r="U193" s="930" t="s">
        <v>500</v>
      </c>
      <c r="V193" s="928" t="s">
        <v>22</v>
      </c>
      <c r="W193" s="929" t="s">
        <v>579</v>
      </c>
      <c r="X193" s="927" t="s">
        <v>21</v>
      </c>
      <c r="Y193" s="361"/>
      <c r="Z193" s="364"/>
      <c r="AA193"/>
      <c r="AB193"/>
      <c r="AC193"/>
      <c r="AD193"/>
      <c r="AE193"/>
      <c r="AF193"/>
      <c r="AG193"/>
    </row>
    <row r="194" spans="17:33" ht="12.75" customHeight="1">
      <c r="Q194" s="668"/>
      <c r="R194" s="901"/>
      <c r="S194" s="901"/>
      <c r="T194" s="901"/>
      <c r="U194" s="930"/>
      <c r="V194" s="928"/>
      <c r="W194" s="929"/>
      <c r="X194" s="927"/>
      <c r="Y194" s="361"/>
      <c r="Z194" s="364"/>
      <c r="AA194"/>
      <c r="AB194"/>
      <c r="AC194"/>
      <c r="AD194"/>
      <c r="AE194"/>
      <c r="AF194"/>
      <c r="AG194"/>
    </row>
    <row r="195" spans="17:33" ht="12.75" customHeight="1">
      <c r="Q195" s="668"/>
      <c r="R195" s="973" t="s">
        <v>472</v>
      </c>
      <c r="S195" s="973"/>
      <c r="T195" s="973"/>
      <c r="U195" s="593">
        <f>U190*12</f>
        <v>58291.200000000004</v>
      </c>
      <c r="V195" s="593">
        <f>V190*12</f>
        <v>4719599.9999999991</v>
      </c>
      <c r="W195" s="593">
        <f>W190*12</f>
        <v>4104000</v>
      </c>
      <c r="X195" s="593">
        <f>X190*12</f>
        <v>3371142.8571428573</v>
      </c>
      <c r="Y195" s="361"/>
      <c r="Z195" s="364"/>
      <c r="AA195"/>
      <c r="AB195"/>
      <c r="AC195"/>
      <c r="AD195"/>
      <c r="AE195"/>
      <c r="AF195"/>
      <c r="AG195"/>
    </row>
    <row r="196" spans="17:33" ht="12.75" customHeight="1">
      <c r="Q196" s="668"/>
      <c r="R196" s="973" t="s">
        <v>473</v>
      </c>
      <c r="S196" s="973"/>
      <c r="T196" s="973"/>
      <c r="U196" s="543"/>
      <c r="V196" s="593">
        <f>V191*12</f>
        <v>25957800.000000007</v>
      </c>
      <c r="W196" s="593">
        <f>W191*12</f>
        <v>26265600.000000007</v>
      </c>
      <c r="X196" s="593">
        <f>X191*12</f>
        <v>26632028.571428575</v>
      </c>
      <c r="Y196" s="361"/>
      <c r="Z196" s="364"/>
      <c r="AA196"/>
      <c r="AB196"/>
      <c r="AC196"/>
      <c r="AD196"/>
      <c r="AE196"/>
      <c r="AF196"/>
      <c r="AG196"/>
    </row>
    <row r="197" spans="17:33" ht="12.75" customHeight="1">
      <c r="Q197" s="668"/>
      <c r="R197" s="367"/>
      <c r="S197" s="367"/>
      <c r="T197" s="367"/>
      <c r="U197" s="367"/>
      <c r="V197" s="367"/>
      <c r="W197" s="367"/>
      <c r="X197" s="367"/>
      <c r="Y197" s="364"/>
      <c r="Z197" s="364"/>
      <c r="AA197"/>
      <c r="AB197"/>
      <c r="AC197"/>
      <c r="AD197"/>
      <c r="AE197"/>
      <c r="AF197"/>
      <c r="AG197"/>
    </row>
    <row r="198" spans="17:33" ht="12.75" customHeight="1">
      <c r="Q198" s="668"/>
      <c r="R198" s="901" t="s">
        <v>116</v>
      </c>
      <c r="S198" s="901"/>
      <c r="T198" s="901"/>
      <c r="U198" s="949" t="s">
        <v>500</v>
      </c>
      <c r="V198" s="938" t="s">
        <v>22</v>
      </c>
      <c r="W198" s="940" t="s">
        <v>579</v>
      </c>
      <c r="X198" s="942" t="s">
        <v>21</v>
      </c>
      <c r="Y198" s="361"/>
      <c r="Z198" s="364"/>
      <c r="AA198"/>
      <c r="AB198"/>
      <c r="AC198"/>
      <c r="AD198"/>
      <c r="AE198"/>
      <c r="AF198"/>
      <c r="AG198"/>
    </row>
    <row r="199" spans="17:33" ht="12.75" customHeight="1">
      <c r="Q199" s="668"/>
      <c r="R199" s="901"/>
      <c r="S199" s="901"/>
      <c r="T199" s="901"/>
      <c r="U199" s="950"/>
      <c r="V199" s="939"/>
      <c r="W199" s="941"/>
      <c r="X199" s="943"/>
      <c r="Y199" s="361"/>
      <c r="Z199" s="364"/>
      <c r="AA199"/>
      <c r="AB199"/>
      <c r="AC199"/>
      <c r="AD199"/>
      <c r="AE199"/>
      <c r="AF199"/>
      <c r="AG199"/>
    </row>
    <row r="200" spans="17:33" ht="12.75" customHeight="1">
      <c r="Q200" s="668"/>
      <c r="R200" s="970" t="s">
        <v>459</v>
      </c>
      <c r="S200" s="971"/>
      <c r="T200" s="972"/>
      <c r="U200" s="593">
        <f>U185</f>
        <v>211.20000000000002</v>
      </c>
      <c r="V200" s="593">
        <f>V185+V186</f>
        <v>111150.00000000001</v>
      </c>
      <c r="W200" s="593">
        <f>W185+W186</f>
        <v>110034.78260869568</v>
      </c>
      <c r="X200" s="593">
        <f>X185+X186</f>
        <v>108707.14285714286</v>
      </c>
      <c r="Y200" s="361"/>
      <c r="Z200" s="364"/>
      <c r="AA200"/>
      <c r="AB200"/>
      <c r="AC200"/>
      <c r="AD200"/>
      <c r="AE200"/>
      <c r="AF200"/>
      <c r="AG200"/>
    </row>
    <row r="201" spans="17:33" ht="12.75" customHeight="1">
      <c r="Q201" s="668"/>
      <c r="R201" s="973" t="s">
        <v>307</v>
      </c>
      <c r="S201" s="973"/>
      <c r="T201" s="973"/>
      <c r="U201" s="593">
        <f>U190</f>
        <v>4857.6000000000004</v>
      </c>
      <c r="V201" s="593">
        <f>V190+V191</f>
        <v>2556450.0000000005</v>
      </c>
      <c r="W201" s="593">
        <f>W190+W191</f>
        <v>2530800.0000000005</v>
      </c>
      <c r="X201" s="593">
        <f>X190+X191</f>
        <v>2500264.2857142859</v>
      </c>
      <c r="Y201" s="361"/>
      <c r="Z201" s="364"/>
      <c r="AA201"/>
      <c r="AB201"/>
      <c r="AC201"/>
      <c r="AD201"/>
      <c r="AE201"/>
      <c r="AF201"/>
      <c r="AG201"/>
    </row>
    <row r="202" spans="17:33" ht="12.75" customHeight="1">
      <c r="Q202" s="668"/>
      <c r="R202" s="973" t="s">
        <v>308</v>
      </c>
      <c r="S202" s="973"/>
      <c r="T202" s="973"/>
      <c r="U202" s="593">
        <f>U195</f>
        <v>58291.200000000004</v>
      </c>
      <c r="V202" s="593">
        <f>V195+V196</f>
        <v>30677400.000000007</v>
      </c>
      <c r="W202" s="593">
        <f>W195+W196</f>
        <v>30369600.000000007</v>
      </c>
      <c r="X202" s="593">
        <f>X195+X196</f>
        <v>30003171.428571433</v>
      </c>
      <c r="Y202" s="361"/>
      <c r="Z202" s="364"/>
      <c r="AA202"/>
      <c r="AB202"/>
      <c r="AC202"/>
      <c r="AD202"/>
      <c r="AE202"/>
      <c r="AF202"/>
      <c r="AG202"/>
    </row>
    <row r="203" spans="17:33" ht="12.75" customHeight="1">
      <c r="Q203" s="668"/>
      <c r="R203" s="575"/>
      <c r="S203" s="575"/>
      <c r="T203" s="575"/>
      <c r="U203" s="382"/>
      <c r="V203" s="382"/>
      <c r="W203" s="382"/>
      <c r="X203" s="382"/>
      <c r="Y203" s="364"/>
      <c r="Z203" s="364"/>
      <c r="AA203"/>
      <c r="AB203"/>
      <c r="AC203"/>
      <c r="AD203"/>
      <c r="AE203"/>
      <c r="AF203"/>
      <c r="AG203"/>
    </row>
    <row r="204" spans="17:33" ht="12.75" customHeight="1">
      <c r="Q204" s="668"/>
      <c r="R204" s="974" t="s">
        <v>775</v>
      </c>
      <c r="S204" s="974"/>
      <c r="T204" s="974"/>
      <c r="U204" s="974"/>
      <c r="V204" s="974"/>
      <c r="W204" s="974"/>
      <c r="X204" s="974"/>
      <c r="Y204" s="974"/>
      <c r="Z204" s="364"/>
      <c r="AA204"/>
      <c r="AB204"/>
      <c r="AC204"/>
      <c r="AD204"/>
      <c r="AE204"/>
      <c r="AF204"/>
      <c r="AG204"/>
    </row>
    <row r="205" spans="17:33" ht="12.75" customHeight="1">
      <c r="Q205" s="668"/>
      <c r="R205" s="974"/>
      <c r="S205" s="974"/>
      <c r="T205" s="974"/>
      <c r="U205" s="974"/>
      <c r="V205" s="974"/>
      <c r="W205" s="974"/>
      <c r="X205" s="974"/>
      <c r="Y205" s="974"/>
      <c r="Z205" s="576"/>
      <c r="AA205"/>
      <c r="AB205"/>
      <c r="AC205"/>
      <c r="AD205"/>
      <c r="AE205"/>
      <c r="AF205"/>
      <c r="AG205"/>
    </row>
    <row r="206" spans="17:33" ht="12.75" customHeight="1">
      <c r="Q206" s="668"/>
      <c r="R206" s="974"/>
      <c r="S206" s="974"/>
      <c r="T206" s="974"/>
      <c r="U206" s="974"/>
      <c r="V206" s="974"/>
      <c r="W206" s="974"/>
      <c r="X206" s="974"/>
      <c r="Y206" s="974"/>
      <c r="Z206" s="576"/>
      <c r="AA206"/>
      <c r="AB206"/>
      <c r="AC206"/>
      <c r="AD206"/>
      <c r="AE206"/>
      <c r="AF206"/>
      <c r="AG206"/>
    </row>
    <row r="207" spans="17:33" ht="12.75" customHeight="1">
      <c r="Q207" s="668"/>
      <c r="R207" s="974"/>
      <c r="S207" s="974"/>
      <c r="T207" s="974"/>
      <c r="U207" s="974"/>
      <c r="V207" s="974"/>
      <c r="W207" s="974"/>
      <c r="X207" s="974"/>
      <c r="Y207" s="974"/>
      <c r="Z207" s="576"/>
      <c r="AA207"/>
      <c r="AB207"/>
      <c r="AC207"/>
      <c r="AD207"/>
      <c r="AE207"/>
      <c r="AF207"/>
      <c r="AG207"/>
    </row>
    <row r="208" spans="17:33" ht="12.75" customHeight="1">
      <c r="Q208" s="668"/>
      <c r="R208" s="974"/>
      <c r="S208" s="974"/>
      <c r="T208" s="974"/>
      <c r="U208" s="974"/>
      <c r="V208" s="974"/>
      <c r="W208" s="974"/>
      <c r="X208" s="974"/>
      <c r="Y208" s="974"/>
      <c r="Z208" s="576"/>
      <c r="AA208"/>
      <c r="AB208"/>
      <c r="AC208"/>
      <c r="AD208"/>
      <c r="AE208"/>
      <c r="AF208"/>
      <c r="AG208"/>
    </row>
    <row r="209" spans="17:33" ht="12.75" customHeight="1">
      <c r="Q209" s="668"/>
      <c r="R209" s="364"/>
      <c r="S209" s="375"/>
      <c r="T209" s="375"/>
      <c r="U209" s="577"/>
      <c r="V209" s="577"/>
      <c r="W209" s="577"/>
      <c r="X209" s="577"/>
      <c r="Y209" s="551"/>
      <c r="Z209" s="363"/>
      <c r="AA209"/>
      <c r="AB209"/>
      <c r="AC209"/>
      <c r="AD209"/>
      <c r="AE209"/>
      <c r="AF209"/>
      <c r="AG209"/>
    </row>
    <row r="210" spans="17:33" ht="12.75" customHeight="1">
      <c r="Q210" s="668"/>
      <c r="R210" s="975" t="s">
        <v>667</v>
      </c>
      <c r="S210" s="976"/>
      <c r="T210" s="976"/>
      <c r="U210" s="976"/>
      <c r="V210" s="976"/>
      <c r="W210" s="976"/>
      <c r="X210" s="979">
        <f>10*V25</f>
        <v>76800</v>
      </c>
      <c r="Y210" s="935" t="s">
        <v>668</v>
      </c>
      <c r="Z210" s="364"/>
      <c r="AA210"/>
      <c r="AB210"/>
      <c r="AC210"/>
      <c r="AD210"/>
      <c r="AE210"/>
      <c r="AF210"/>
      <c r="AG210"/>
    </row>
    <row r="211" spans="17:33" ht="12.75" customHeight="1">
      <c r="Q211" s="668"/>
      <c r="R211" s="977"/>
      <c r="S211" s="978"/>
      <c r="T211" s="978"/>
      <c r="U211" s="978"/>
      <c r="V211" s="978"/>
      <c r="W211" s="978"/>
      <c r="X211" s="979"/>
      <c r="Y211" s="935"/>
      <c r="Z211" s="364"/>
      <c r="AA211"/>
      <c r="AB211"/>
      <c r="AC211"/>
      <c r="AD211"/>
      <c r="AE211"/>
      <c r="AF211"/>
      <c r="AG211"/>
    </row>
    <row r="212" spans="17:33" ht="12.75" customHeight="1">
      <c r="Q212" s="668"/>
      <c r="R212" s="578"/>
      <c r="S212" s="578"/>
      <c r="T212" s="578"/>
      <c r="U212" s="578"/>
      <c r="V212" s="578"/>
      <c r="W212" s="578"/>
      <c r="X212" s="578"/>
      <c r="Y212" s="579"/>
      <c r="Z212" s="551"/>
      <c r="AA212"/>
      <c r="AB212"/>
      <c r="AC212"/>
      <c r="AD212"/>
      <c r="AE212"/>
      <c r="AF212"/>
      <c r="AG212"/>
    </row>
    <row r="213" spans="17:33" ht="12.75" customHeight="1">
      <c r="Q213" s="668"/>
      <c r="R213" s="937" t="s">
        <v>678</v>
      </c>
      <c r="S213" s="937"/>
      <c r="T213" s="937"/>
      <c r="U213" s="937"/>
      <c r="V213" s="949" t="s">
        <v>500</v>
      </c>
      <c r="W213" s="938" t="s">
        <v>22</v>
      </c>
      <c r="X213" s="940" t="s">
        <v>579</v>
      </c>
      <c r="Y213" s="942" t="s">
        <v>21</v>
      </c>
      <c r="Z213" s="361"/>
      <c r="AA213"/>
      <c r="AB213"/>
      <c r="AC213"/>
      <c r="AD213"/>
      <c r="AE213"/>
      <c r="AF213"/>
      <c r="AG213"/>
    </row>
    <row r="214" spans="17:33" ht="12.75" customHeight="1">
      <c r="Q214" s="668"/>
      <c r="R214" s="937"/>
      <c r="S214" s="937"/>
      <c r="T214" s="937"/>
      <c r="U214" s="937"/>
      <c r="V214" s="950"/>
      <c r="W214" s="939"/>
      <c r="X214" s="941"/>
      <c r="Y214" s="943"/>
      <c r="Z214" s="361"/>
      <c r="AA214"/>
      <c r="AB214"/>
      <c r="AC214"/>
      <c r="AD214"/>
      <c r="AE214"/>
      <c r="AF214"/>
      <c r="AG214"/>
    </row>
    <row r="215" spans="17:33" ht="12.75" customHeight="1">
      <c r="Q215" s="668"/>
      <c r="R215" s="968" t="s">
        <v>533</v>
      </c>
      <c r="S215" s="968"/>
      <c r="T215" s="968"/>
      <c r="U215" s="968"/>
      <c r="V215" s="580">
        <v>0.107</v>
      </c>
      <c r="W215" s="581">
        <f>VLOOKUP($V$5,'Lookup Energy kWhm'!$B$8:$E$208,3)</f>
        <v>0.13</v>
      </c>
      <c r="X215" s="581">
        <f>VLOOKUP($V$5,'Lookup Energy kWhm'!$B$8:$E$208,4)</f>
        <v>0.14799999999999999</v>
      </c>
      <c r="Y215" s="581">
        <f>VLOOKUP($V$5,'Lookup Energy kWhm'!$B$8:$E$208,2)</f>
        <v>0.1</v>
      </c>
      <c r="Z215" s="361"/>
      <c r="AA215"/>
      <c r="AB215"/>
      <c r="AC215"/>
      <c r="AD215"/>
      <c r="AE215"/>
      <c r="AF215"/>
      <c r="AG215"/>
    </row>
    <row r="216" spans="17:33" ht="12.75" customHeight="1">
      <c r="Q216" s="668"/>
      <c r="R216" s="969" t="s">
        <v>31</v>
      </c>
      <c r="S216" s="969"/>
      <c r="T216" s="969"/>
      <c r="U216" s="969"/>
      <c r="V216" s="556">
        <f t="shared" ref="V216:W219" si="2">X216</f>
        <v>1.2</v>
      </c>
      <c r="W216" s="556">
        <f t="shared" si="2"/>
        <v>1.2</v>
      </c>
      <c r="X216" s="556">
        <f>W216</f>
        <v>1.2</v>
      </c>
      <c r="Y216" s="556">
        <f>V20</f>
        <v>1.2</v>
      </c>
      <c r="Z216" s="361"/>
      <c r="AA216"/>
      <c r="AB216"/>
      <c r="AC216"/>
      <c r="AD216"/>
      <c r="AE216"/>
      <c r="AF216"/>
      <c r="AG216"/>
    </row>
    <row r="217" spans="17:33" ht="12.75" customHeight="1">
      <c r="Q217" s="668"/>
      <c r="R217" s="969" t="s">
        <v>314</v>
      </c>
      <c r="S217" s="969"/>
      <c r="T217" s="969"/>
      <c r="U217" s="969"/>
      <c r="V217" s="556">
        <f t="shared" si="2"/>
        <v>160</v>
      </c>
      <c r="W217" s="556">
        <f t="shared" si="2"/>
        <v>160</v>
      </c>
      <c r="X217" s="556">
        <f>W217</f>
        <v>160</v>
      </c>
      <c r="Y217" s="556">
        <f>V19</f>
        <v>160</v>
      </c>
      <c r="Z217" s="361"/>
      <c r="AA217"/>
      <c r="AB217"/>
      <c r="AC217"/>
      <c r="AD217"/>
      <c r="AE217"/>
      <c r="AF217"/>
      <c r="AG217"/>
    </row>
    <row r="218" spans="17:33" ht="12.75" customHeight="1">
      <c r="Q218" s="668"/>
      <c r="R218" s="969" t="s">
        <v>20</v>
      </c>
      <c r="S218" s="969"/>
      <c r="T218" s="969"/>
      <c r="U218" s="969"/>
      <c r="V218" s="556">
        <f t="shared" si="2"/>
        <v>40</v>
      </c>
      <c r="W218" s="556">
        <f t="shared" si="2"/>
        <v>40</v>
      </c>
      <c r="X218" s="556">
        <f>W218</f>
        <v>40</v>
      </c>
      <c r="Y218" s="556">
        <f>V22</f>
        <v>40</v>
      </c>
      <c r="Z218" s="361"/>
      <c r="AA218"/>
      <c r="AB218"/>
      <c r="AC218"/>
      <c r="AD218"/>
      <c r="AE218"/>
      <c r="AF218"/>
      <c r="AG218"/>
    </row>
    <row r="219" spans="17:33" ht="12.75" customHeight="1">
      <c r="Q219" s="668"/>
      <c r="R219" s="969" t="s">
        <v>310</v>
      </c>
      <c r="S219" s="969"/>
      <c r="T219" s="969"/>
      <c r="U219" s="969"/>
      <c r="V219" s="556">
        <f t="shared" si="2"/>
        <v>160</v>
      </c>
      <c r="W219" s="556">
        <f t="shared" si="2"/>
        <v>160</v>
      </c>
      <c r="X219" s="556">
        <f>W219</f>
        <v>160</v>
      </c>
      <c r="Y219" s="556">
        <f>V23</f>
        <v>160</v>
      </c>
      <c r="Z219" s="361"/>
      <c r="AA219"/>
      <c r="AB219"/>
      <c r="AC219"/>
      <c r="AD219"/>
      <c r="AE219"/>
      <c r="AF219"/>
      <c r="AG219"/>
    </row>
    <row r="220" spans="17:33" ht="12.75" customHeight="1">
      <c r="Q220" s="668"/>
      <c r="R220" s="968" t="s">
        <v>543</v>
      </c>
      <c r="S220" s="968"/>
      <c r="T220" s="968"/>
      <c r="U220" s="968"/>
      <c r="V220" s="582">
        <f>V215*V216*V217*V218</f>
        <v>821.75999999999988</v>
      </c>
      <c r="W220" s="582">
        <f>W215*W216*W217*W218</f>
        <v>998.40000000000009</v>
      </c>
      <c r="X220" s="582">
        <f>X215*X216*X217*X218</f>
        <v>1136.6399999999999</v>
      </c>
      <c r="Y220" s="582">
        <f>Y215*Y216*Y217*Y218</f>
        <v>768</v>
      </c>
      <c r="Z220" s="361"/>
      <c r="AA220"/>
      <c r="AB220"/>
      <c r="AC220"/>
      <c r="AD220"/>
      <c r="AE220"/>
      <c r="AF220"/>
      <c r="AG220"/>
    </row>
    <row r="221" spans="17:33" ht="12.75" customHeight="1">
      <c r="Q221" s="668"/>
      <c r="R221" s="968" t="s">
        <v>542</v>
      </c>
      <c r="S221" s="968"/>
      <c r="T221" s="968"/>
      <c r="U221" s="968"/>
      <c r="V221" s="583">
        <f>V220/V219</f>
        <v>5.1359999999999992</v>
      </c>
      <c r="W221" s="583">
        <f>W220/W219</f>
        <v>6.24</v>
      </c>
      <c r="X221" s="583">
        <f>X220/X219</f>
        <v>7.1039999999999992</v>
      </c>
      <c r="Y221" s="583">
        <f>Y220/Y219</f>
        <v>4.8</v>
      </c>
      <c r="Z221" s="361"/>
      <c r="AA221"/>
      <c r="AB221"/>
      <c r="AC221"/>
      <c r="AD221"/>
      <c r="AE221"/>
      <c r="AF221"/>
      <c r="AG221"/>
    </row>
    <row r="222" spans="17:33" ht="12.75" customHeight="1">
      <c r="Q222" s="668"/>
      <c r="R222" s="968" t="s">
        <v>538</v>
      </c>
      <c r="S222" s="968"/>
      <c r="T222" s="968"/>
      <c r="U222" s="968"/>
      <c r="V222" s="537">
        <f>U62</f>
        <v>2.6666666666666665</v>
      </c>
      <c r="W222" s="537">
        <f>V62</f>
        <v>1.9999999999999996</v>
      </c>
      <c r="X222" s="537">
        <f>W62</f>
        <v>1.7391304347826084</v>
      </c>
      <c r="Y222" s="537">
        <f>X62</f>
        <v>1.4285714285714284</v>
      </c>
      <c r="Z222" s="361"/>
      <c r="AA222"/>
      <c r="AB222"/>
      <c r="AC222"/>
      <c r="AD222"/>
      <c r="AE222"/>
      <c r="AF222"/>
      <c r="AG222"/>
    </row>
    <row r="223" spans="17:33" ht="12.75" customHeight="1">
      <c r="Q223" s="668"/>
      <c r="R223" s="968" t="s">
        <v>546</v>
      </c>
      <c r="S223" s="968"/>
      <c r="T223" s="968"/>
      <c r="U223" s="968"/>
      <c r="V223" s="584">
        <f>2.2*V222</f>
        <v>5.8666666666666671</v>
      </c>
      <c r="W223" s="584">
        <f>W222/W215</f>
        <v>15.384615384615381</v>
      </c>
      <c r="X223" s="584">
        <f>X222/X215</f>
        <v>11.750881316098706</v>
      </c>
      <c r="Y223" s="584">
        <f>Y222/Y215</f>
        <v>14.285714285714283</v>
      </c>
      <c r="Z223" s="361"/>
      <c r="AA223"/>
      <c r="AB223"/>
      <c r="AC223"/>
      <c r="AD223"/>
      <c r="AE223"/>
      <c r="AF223"/>
      <c r="AG223"/>
    </row>
    <row r="224" spans="17:33" ht="12.75" customHeight="1">
      <c r="Q224" s="668"/>
      <c r="R224" s="968" t="s">
        <v>544</v>
      </c>
      <c r="S224" s="968"/>
      <c r="T224" s="968"/>
      <c r="U224" s="968"/>
      <c r="V224" s="582">
        <f>V219*V223</f>
        <v>938.66666666666674</v>
      </c>
      <c r="W224" s="582">
        <f>W219*W223</f>
        <v>2461.538461538461</v>
      </c>
      <c r="X224" s="582">
        <f>X219*X223</f>
        <v>1880.141010575793</v>
      </c>
      <c r="Y224" s="674">
        <f>Y219*Y223</f>
        <v>2285.7142857142853</v>
      </c>
      <c r="Z224" s="361"/>
      <c r="AA224"/>
      <c r="AB224"/>
      <c r="AC224"/>
      <c r="AD224"/>
      <c r="AE224"/>
      <c r="AF224"/>
      <c r="AG224"/>
    </row>
    <row r="225" spans="17:33" ht="12.75" customHeight="1">
      <c r="Q225" s="668"/>
      <c r="R225" s="969" t="s">
        <v>535</v>
      </c>
      <c r="S225" s="969"/>
      <c r="T225" s="969"/>
      <c r="U225" s="969"/>
      <c r="V225" s="556">
        <f>V217/V222</f>
        <v>60</v>
      </c>
      <c r="W225" s="556">
        <f>W217/W222</f>
        <v>80.000000000000014</v>
      </c>
      <c r="X225" s="556">
        <f>X217/X222</f>
        <v>92.000000000000014</v>
      </c>
      <c r="Y225" s="556">
        <f>Y217/Y222</f>
        <v>112.00000000000001</v>
      </c>
      <c r="Z225" s="361"/>
      <c r="AA225"/>
      <c r="AB225"/>
      <c r="AC225"/>
      <c r="AD225"/>
      <c r="AE225"/>
      <c r="AF225"/>
      <c r="AG225"/>
    </row>
    <row r="226" spans="17:33" ht="12.75" customHeight="1">
      <c r="Q226" s="668"/>
      <c r="R226" s="969" t="s">
        <v>536</v>
      </c>
      <c r="S226" s="969"/>
      <c r="T226" s="969"/>
      <c r="U226" s="969"/>
      <c r="V226" s="675">
        <f>V216*V225</f>
        <v>72</v>
      </c>
      <c r="W226" s="675">
        <f>W216*W225</f>
        <v>96.000000000000014</v>
      </c>
      <c r="X226" s="675">
        <f>X216*X225</f>
        <v>110.40000000000002</v>
      </c>
      <c r="Y226" s="675">
        <f>Y216*Y225</f>
        <v>134.4</v>
      </c>
      <c r="Z226" s="361"/>
      <c r="AA226"/>
      <c r="AB226"/>
      <c r="AC226"/>
      <c r="AD226"/>
      <c r="AE226"/>
      <c r="AF226"/>
      <c r="AG226"/>
    </row>
    <row r="227" spans="17:33" ht="12.75" customHeight="1">
      <c r="Q227" s="668"/>
      <c r="R227" s="968" t="s">
        <v>534</v>
      </c>
      <c r="S227" s="968"/>
      <c r="T227" s="968"/>
      <c r="U227" s="968"/>
      <c r="V227" s="583">
        <f>U56</f>
        <v>4</v>
      </c>
      <c r="W227" s="583">
        <f>V56</f>
        <v>2.9999999999999996</v>
      </c>
      <c r="X227" s="583">
        <f>W56</f>
        <v>2.6086956521739126</v>
      </c>
      <c r="Y227" s="583">
        <f>X56</f>
        <v>2.1428571428571428</v>
      </c>
      <c r="Z227" s="361"/>
      <c r="AA227"/>
      <c r="AB227"/>
      <c r="AC227"/>
      <c r="AD227"/>
      <c r="AE227"/>
      <c r="AF227"/>
      <c r="AG227"/>
    </row>
    <row r="228" spans="17:33" ht="12.75" customHeight="1">
      <c r="Q228" s="668"/>
      <c r="R228" s="968" t="s">
        <v>537</v>
      </c>
      <c r="S228" s="968"/>
      <c r="T228" s="968"/>
      <c r="U228" s="968"/>
      <c r="V228" s="584">
        <f>V225*V227</f>
        <v>240</v>
      </c>
      <c r="W228" s="584">
        <f>W225*W227</f>
        <v>240</v>
      </c>
      <c r="X228" s="584">
        <f>X225*X227</f>
        <v>240</v>
      </c>
      <c r="Y228" s="584">
        <f>Y225*Y227</f>
        <v>240.00000000000003</v>
      </c>
      <c r="Z228" s="361"/>
      <c r="AA228"/>
      <c r="AB228"/>
      <c r="AC228"/>
      <c r="AD228"/>
      <c r="AE228"/>
      <c r="AF228"/>
      <c r="AG228"/>
    </row>
    <row r="229" spans="17:33" ht="12.75" customHeight="1">
      <c r="Q229" s="668"/>
      <c r="R229" s="968" t="s">
        <v>545</v>
      </c>
      <c r="S229" s="968"/>
      <c r="T229" s="968"/>
      <c r="U229" s="968"/>
      <c r="V229" s="585">
        <f>V221/V223</f>
        <v>0.87545454545454526</v>
      </c>
      <c r="W229" s="585">
        <f>W221/W223</f>
        <v>0.40560000000000007</v>
      </c>
      <c r="X229" s="585">
        <f>X221/X223</f>
        <v>0.60455040000000004</v>
      </c>
      <c r="Y229" s="585">
        <f>Y221/Y223</f>
        <v>0.33600000000000008</v>
      </c>
      <c r="Z229" s="361"/>
      <c r="AA229"/>
      <c r="AB229"/>
      <c r="AC229"/>
      <c r="AD229"/>
      <c r="AE229"/>
      <c r="AF229"/>
      <c r="AG229"/>
    </row>
    <row r="230" spans="17:33" ht="12.75" customHeight="1">
      <c r="Q230" s="668"/>
      <c r="R230" s="540" t="s">
        <v>547</v>
      </c>
      <c r="S230" s="540"/>
      <c r="T230" s="540"/>
      <c r="U230" s="540"/>
      <c r="V230" s="585"/>
      <c r="W230" s="586">
        <f>10*W217*W216*W218</f>
        <v>76800</v>
      </c>
      <c r="X230" s="586">
        <f>10*X217*X216*X218</f>
        <v>76800</v>
      </c>
      <c r="Y230" s="586">
        <f>10*Y217*Y216*Y218</f>
        <v>76800</v>
      </c>
      <c r="Z230" s="361"/>
      <c r="AA230"/>
      <c r="AB230"/>
      <c r="AC230"/>
      <c r="AD230"/>
      <c r="AE230"/>
      <c r="AF230"/>
      <c r="AG230"/>
    </row>
    <row r="231" spans="17:33" ht="12.75" customHeight="1">
      <c r="Q231" s="668"/>
      <c r="R231" s="968" t="s">
        <v>548</v>
      </c>
      <c r="S231" s="968"/>
      <c r="T231" s="968"/>
      <c r="U231" s="968"/>
      <c r="V231" s="585">
        <f>V229</f>
        <v>0.87545454545454526</v>
      </c>
      <c r="W231" s="585">
        <f>W220/W230</f>
        <v>1.3000000000000001E-2</v>
      </c>
      <c r="X231" s="585">
        <f>X220/X230</f>
        <v>1.4799999999999999E-2</v>
      </c>
      <c r="Y231" s="585">
        <f>Y220/Y230</f>
        <v>0.01</v>
      </c>
      <c r="Z231" s="361"/>
      <c r="AA231"/>
      <c r="AB231"/>
      <c r="AC231"/>
      <c r="AD231"/>
      <c r="AE231"/>
      <c r="AF231"/>
      <c r="AG231"/>
    </row>
    <row r="232" spans="17:33" ht="12.75" customHeight="1">
      <c r="Q232" s="668"/>
      <c r="R232" s="587"/>
      <c r="S232" s="587"/>
      <c r="T232" s="587"/>
      <c r="U232" s="587"/>
      <c r="V232" s="588"/>
      <c r="W232" s="588"/>
      <c r="X232" s="588"/>
      <c r="Y232" s="588"/>
      <c r="Z232" s="589"/>
      <c r="AA232"/>
      <c r="AB232"/>
      <c r="AC232"/>
      <c r="AD232"/>
      <c r="AE232"/>
      <c r="AF232"/>
      <c r="AG232"/>
    </row>
    <row r="233" spans="17:33" ht="12.75" customHeight="1">
      <c r="Q233" s="668"/>
      <c r="R233" s="587"/>
      <c r="S233" s="587"/>
      <c r="T233" s="587"/>
      <c r="U233" s="587"/>
      <c r="V233" s="676"/>
      <c r="W233" s="676"/>
      <c r="X233" s="676"/>
      <c r="Y233" s="588"/>
      <c r="Z233" s="364"/>
      <c r="AA233"/>
      <c r="AB233"/>
      <c r="AC233"/>
      <c r="AD233"/>
      <c r="AE233"/>
      <c r="AF233"/>
      <c r="AG233"/>
    </row>
    <row r="234" spans="17:33" ht="12.75" customHeight="1">
      <c r="Q234" s="668" t="s">
        <v>240</v>
      </c>
      <c r="R234" s="364" t="s">
        <v>241</v>
      </c>
      <c r="S234" s="364"/>
      <c r="T234" s="364"/>
      <c r="U234" s="364"/>
      <c r="V234" s="364"/>
      <c r="W234" s="364"/>
      <c r="X234" s="364"/>
      <c r="Y234" s="364"/>
      <c r="Z234" s="364"/>
      <c r="AA234"/>
      <c r="AB234"/>
      <c r="AC234"/>
      <c r="AD234"/>
      <c r="AE234"/>
      <c r="AF234"/>
      <c r="AG234"/>
    </row>
    <row r="235" spans="17:33" ht="12.75" customHeight="1">
      <c r="Q235" s="364"/>
      <c r="R235" s="962" t="s">
        <v>301</v>
      </c>
      <c r="S235" s="963"/>
      <c r="T235" s="964"/>
      <c r="U235" s="949" t="s">
        <v>500</v>
      </c>
      <c r="V235" s="938" t="s">
        <v>22</v>
      </c>
      <c r="W235" s="940" t="s">
        <v>579</v>
      </c>
      <c r="X235" s="942" t="s">
        <v>21</v>
      </c>
      <c r="Y235" s="361"/>
      <c r="Z235" s="364"/>
      <c r="AA235"/>
      <c r="AB235"/>
      <c r="AC235"/>
      <c r="AD235"/>
      <c r="AE235"/>
      <c r="AF235"/>
      <c r="AG235"/>
    </row>
    <row r="236" spans="17:33" ht="12.75" customHeight="1">
      <c r="Q236" s="364"/>
      <c r="R236" s="965"/>
      <c r="S236" s="966"/>
      <c r="T236" s="967"/>
      <c r="U236" s="950"/>
      <c r="V236" s="939"/>
      <c r="W236" s="941"/>
      <c r="X236" s="943"/>
      <c r="Y236" s="361"/>
      <c r="Z236" s="364"/>
      <c r="AA236"/>
      <c r="AB236"/>
      <c r="AC236"/>
      <c r="AD236"/>
      <c r="AE236"/>
      <c r="AF236"/>
      <c r="AG236"/>
    </row>
    <row r="237" spans="17:33" ht="12.75" customHeight="1">
      <c r="Q237" s="364"/>
      <c r="R237" s="931" t="s">
        <v>662</v>
      </c>
      <c r="S237" s="931"/>
      <c r="T237" s="931"/>
      <c r="U237" s="901" t="s">
        <v>427</v>
      </c>
      <c r="V237" s="562">
        <f>VLOOKUP($V$5,'Lookup Air Consumption'!$B$8:$E$208,3)</f>
        <v>38</v>
      </c>
      <c r="W237" s="562">
        <f>VLOOKUP($V$5,'Lookup Air Consumption'!$B$8:$E$208,4)</f>
        <v>50</v>
      </c>
      <c r="X237" s="562">
        <f>VLOOKUP($V$5,'Lookup Air Consumption'!$B$8:$E$208,2)</f>
        <v>41</v>
      </c>
      <c r="Y237" s="361"/>
      <c r="Z237" s="364"/>
      <c r="AA237"/>
      <c r="AB237"/>
      <c r="AC237"/>
      <c r="AD237"/>
      <c r="AE237"/>
      <c r="AF237"/>
      <c r="AG237"/>
    </row>
    <row r="238" spans="17:33" ht="12.75" customHeight="1">
      <c r="Q238" s="364"/>
      <c r="R238" s="931" t="s">
        <v>663</v>
      </c>
      <c r="S238" s="931"/>
      <c r="T238" s="931"/>
      <c r="U238" s="901"/>
      <c r="V238" s="590">
        <f>V237/1000</f>
        <v>3.7999999999999999E-2</v>
      </c>
      <c r="W238" s="590">
        <f>W237/1000</f>
        <v>0.05</v>
      </c>
      <c r="X238" s="590">
        <f>X237/1000</f>
        <v>4.1000000000000002E-2</v>
      </c>
      <c r="Y238" s="361"/>
      <c r="Z238" s="364"/>
      <c r="AA238"/>
      <c r="AB238"/>
      <c r="AC238"/>
      <c r="AD238"/>
      <c r="AE238"/>
      <c r="AF238"/>
      <c r="AG238"/>
    </row>
    <row r="239" spans="17:33" ht="12.75" customHeight="1">
      <c r="Q239" s="364"/>
      <c r="R239" s="931" t="s">
        <v>664</v>
      </c>
      <c r="S239" s="931"/>
      <c r="T239" s="931"/>
      <c r="U239" s="901"/>
      <c r="V239" s="560">
        <f>V238*35.31467</f>
        <v>1.3419574599999999</v>
      </c>
      <c r="W239" s="560">
        <f>W238*35.31467</f>
        <v>1.7657335000000001</v>
      </c>
      <c r="X239" s="560">
        <f>X238*35.31467</f>
        <v>1.4479014700000001</v>
      </c>
      <c r="Y239" s="361"/>
      <c r="Z239" s="364"/>
      <c r="AA239"/>
      <c r="AB239"/>
      <c r="AC239"/>
      <c r="AD239"/>
      <c r="AE239"/>
      <c r="AF239"/>
      <c r="AG239"/>
    </row>
    <row r="240" spans="17:33" ht="12.75" customHeight="1">
      <c r="Q240" s="360"/>
      <c r="R240" s="551"/>
      <c r="S240" s="551"/>
      <c r="T240" s="551"/>
      <c r="U240" s="591"/>
      <c r="V240" s="551"/>
      <c r="W240" s="551"/>
      <c r="X240" s="551"/>
      <c r="Y240" s="361"/>
      <c r="Z240" s="364"/>
      <c r="AA240"/>
      <c r="AB240"/>
      <c r="AC240"/>
      <c r="AD240"/>
      <c r="AE240"/>
      <c r="AF240"/>
      <c r="AG240"/>
    </row>
    <row r="241" spans="17:33" ht="12.75" customHeight="1">
      <c r="Q241" s="360"/>
      <c r="R241" s="962" t="s">
        <v>302</v>
      </c>
      <c r="S241" s="963"/>
      <c r="T241" s="964"/>
      <c r="U241" s="949" t="s">
        <v>500</v>
      </c>
      <c r="V241" s="938" t="s">
        <v>22</v>
      </c>
      <c r="W241" s="940" t="s">
        <v>579</v>
      </c>
      <c r="X241" s="942" t="s">
        <v>21</v>
      </c>
      <c r="Y241" s="361"/>
      <c r="Z241" s="364"/>
      <c r="AA241"/>
      <c r="AB241"/>
      <c r="AC241"/>
      <c r="AD241"/>
      <c r="AE241"/>
      <c r="AF241"/>
      <c r="AG241"/>
    </row>
    <row r="242" spans="17:33" ht="12.75" customHeight="1">
      <c r="Q242" s="360"/>
      <c r="R242" s="965"/>
      <c r="S242" s="966"/>
      <c r="T242" s="967"/>
      <c r="U242" s="950"/>
      <c r="V242" s="939"/>
      <c r="W242" s="941"/>
      <c r="X242" s="943"/>
      <c r="Y242" s="361"/>
      <c r="Z242" s="364"/>
      <c r="AA242"/>
      <c r="AB242"/>
      <c r="AC242"/>
      <c r="AD242"/>
      <c r="AE242"/>
      <c r="AF242"/>
      <c r="AG242"/>
    </row>
    <row r="243" spans="17:33" ht="12.75" customHeight="1">
      <c r="Q243" s="360"/>
      <c r="R243" s="931" t="s">
        <v>662</v>
      </c>
      <c r="S243" s="931"/>
      <c r="T243" s="931"/>
      <c r="U243" s="901" t="s">
        <v>427</v>
      </c>
      <c r="V243" s="549">
        <f t="shared" ref="V243:W245" si="3">V237*$V$23</f>
        <v>6080</v>
      </c>
      <c r="W243" s="549">
        <f t="shared" si="3"/>
        <v>8000</v>
      </c>
      <c r="X243" s="549">
        <f>X237*$V$23</f>
        <v>6560</v>
      </c>
      <c r="Y243" s="361"/>
      <c r="Z243" s="364"/>
      <c r="AA243"/>
      <c r="AB243"/>
      <c r="AC243"/>
      <c r="AD243"/>
      <c r="AE243"/>
      <c r="AF243"/>
      <c r="AG243"/>
    </row>
    <row r="244" spans="17:33" ht="12.75" customHeight="1">
      <c r="Q244" s="360"/>
      <c r="R244" s="931" t="s">
        <v>663</v>
      </c>
      <c r="S244" s="931"/>
      <c r="T244" s="931"/>
      <c r="U244" s="901"/>
      <c r="V244" s="560">
        <f t="shared" si="3"/>
        <v>6.08</v>
      </c>
      <c r="W244" s="560">
        <f t="shared" si="3"/>
        <v>8</v>
      </c>
      <c r="X244" s="560">
        <f>X238*$V$23</f>
        <v>6.5600000000000005</v>
      </c>
      <c r="Y244" s="361"/>
      <c r="Z244" s="364"/>
      <c r="AA244"/>
      <c r="AB244"/>
      <c r="AC244"/>
      <c r="AD244"/>
      <c r="AE244"/>
      <c r="AF244"/>
      <c r="AG244"/>
    </row>
    <row r="245" spans="17:33" ht="12.75" customHeight="1">
      <c r="Q245" s="360"/>
      <c r="R245" s="931" t="s">
        <v>664</v>
      </c>
      <c r="S245" s="931"/>
      <c r="T245" s="931"/>
      <c r="U245" s="901"/>
      <c r="V245" s="560">
        <f t="shared" si="3"/>
        <v>214.71319359999998</v>
      </c>
      <c r="W245" s="560">
        <f t="shared" si="3"/>
        <v>282.51736</v>
      </c>
      <c r="X245" s="560">
        <f>X239*$V$23</f>
        <v>231.66423520000001</v>
      </c>
      <c r="Y245" s="361"/>
      <c r="Z245" s="364"/>
      <c r="AA245"/>
      <c r="AB245"/>
      <c r="AC245"/>
      <c r="AD245"/>
      <c r="AE245"/>
      <c r="AF245"/>
      <c r="AG245"/>
    </row>
    <row r="246" spans="17:33" ht="12.75" customHeight="1">
      <c r="Q246" s="360"/>
      <c r="R246" s="364"/>
      <c r="S246" s="364"/>
      <c r="T246" s="364"/>
      <c r="U246" s="364"/>
      <c r="V246" s="555"/>
      <c r="W246" s="555"/>
      <c r="X246" s="555"/>
      <c r="Y246" s="361"/>
      <c r="Z246" s="364"/>
      <c r="AA246"/>
      <c r="AB246"/>
      <c r="AC246"/>
      <c r="AD246"/>
      <c r="AE246"/>
      <c r="AF246"/>
      <c r="AG246"/>
    </row>
    <row r="247" spans="17:33" ht="12.75" customHeight="1">
      <c r="Q247" s="360"/>
      <c r="R247" s="962" t="s">
        <v>303</v>
      </c>
      <c r="S247" s="963"/>
      <c r="T247" s="964"/>
      <c r="U247" s="949" t="s">
        <v>500</v>
      </c>
      <c r="V247" s="938" t="s">
        <v>22</v>
      </c>
      <c r="W247" s="940" t="s">
        <v>579</v>
      </c>
      <c r="X247" s="942" t="s">
        <v>21</v>
      </c>
      <c r="Y247" s="361"/>
      <c r="Z247" s="364"/>
      <c r="AA247"/>
      <c r="AB247"/>
      <c r="AC247"/>
      <c r="AD247"/>
      <c r="AE247"/>
      <c r="AF247"/>
      <c r="AG247"/>
    </row>
    <row r="248" spans="17:33" ht="12.75" customHeight="1">
      <c r="Q248" s="360"/>
      <c r="R248" s="965"/>
      <c r="S248" s="966"/>
      <c r="T248" s="967"/>
      <c r="U248" s="950"/>
      <c r="V248" s="939"/>
      <c r="W248" s="941"/>
      <c r="X248" s="943"/>
      <c r="Y248" s="361"/>
      <c r="Z248" s="364"/>
      <c r="AA248"/>
      <c r="AB248"/>
      <c r="AC248"/>
      <c r="AD248"/>
      <c r="AE248"/>
      <c r="AF248"/>
      <c r="AG248"/>
    </row>
    <row r="249" spans="17:33" ht="12.75" customHeight="1">
      <c r="Q249" s="563"/>
      <c r="R249" s="951" t="s">
        <v>517</v>
      </c>
      <c r="S249" s="951"/>
      <c r="T249" s="951"/>
      <c r="U249" s="901" t="s">
        <v>427</v>
      </c>
      <c r="V249" s="549">
        <f t="shared" ref="V249:X251" si="4">($V$25/$X$51)*60*V237</f>
        <v>31268571.428571429</v>
      </c>
      <c r="W249" s="549">
        <f t="shared" si="4"/>
        <v>41142857.142857142</v>
      </c>
      <c r="X249" s="549">
        <f t="shared" si="4"/>
        <v>33737142.857142858</v>
      </c>
      <c r="Y249" s="361"/>
      <c r="Z249" s="364"/>
      <c r="AA249"/>
      <c r="AB249"/>
      <c r="AC249"/>
      <c r="AD249"/>
      <c r="AE249"/>
      <c r="AF249"/>
      <c r="AG249"/>
    </row>
    <row r="250" spans="17:33" ht="12.75" customHeight="1">
      <c r="Q250" s="364"/>
      <c r="R250" s="951" t="s">
        <v>666</v>
      </c>
      <c r="S250" s="951"/>
      <c r="T250" s="951"/>
      <c r="U250" s="901"/>
      <c r="V250" s="549">
        <f t="shared" si="4"/>
        <v>31268.571428571428</v>
      </c>
      <c r="W250" s="549">
        <f t="shared" si="4"/>
        <v>41142.857142857145</v>
      </c>
      <c r="X250" s="549">
        <f t="shared" si="4"/>
        <v>33737.142857142855</v>
      </c>
      <c r="Y250" s="361"/>
      <c r="Z250" s="364"/>
      <c r="AA250"/>
      <c r="AB250"/>
      <c r="AC250"/>
      <c r="AD250"/>
      <c r="AE250"/>
      <c r="AF250"/>
      <c r="AG250"/>
    </row>
    <row r="251" spans="17:33" ht="12.75" customHeight="1">
      <c r="Q251" s="364"/>
      <c r="R251" s="951" t="s">
        <v>583</v>
      </c>
      <c r="S251" s="951"/>
      <c r="T251" s="951"/>
      <c r="U251" s="901"/>
      <c r="V251" s="549">
        <f t="shared" si="4"/>
        <v>1104239.2813714284</v>
      </c>
      <c r="W251" s="549">
        <f t="shared" si="4"/>
        <v>1452946.422857143</v>
      </c>
      <c r="X251" s="549">
        <f t="shared" si="4"/>
        <v>1191416.0667428572</v>
      </c>
      <c r="Y251" s="361"/>
      <c r="Z251" s="364"/>
      <c r="AA251"/>
      <c r="AB251"/>
      <c r="AC251"/>
      <c r="AD251"/>
      <c r="AE251"/>
      <c r="AF251"/>
      <c r="AG251"/>
    </row>
    <row r="252" spans="17:33" ht="12.75" customHeight="1">
      <c r="Q252" s="364"/>
      <c r="R252" s="364"/>
      <c r="S252" s="364"/>
      <c r="T252" s="364"/>
      <c r="U252" s="364"/>
      <c r="V252" s="364"/>
      <c r="W252" s="364"/>
      <c r="X252" s="364"/>
      <c r="Y252" s="361"/>
      <c r="Z252" s="364"/>
      <c r="AA252"/>
      <c r="AB252"/>
      <c r="AC252"/>
      <c r="AD252"/>
      <c r="AE252"/>
      <c r="AF252"/>
      <c r="AG252"/>
    </row>
    <row r="253" spans="17:33" ht="12.75" customHeight="1">
      <c r="Q253" s="668" t="s">
        <v>753</v>
      </c>
      <c r="R253" s="364" t="s">
        <v>300</v>
      </c>
      <c r="S253" s="364"/>
      <c r="T253" s="364"/>
      <c r="U253" s="364"/>
      <c r="V253" s="364"/>
      <c r="W253" s="364"/>
      <c r="X253" s="364"/>
      <c r="Y253" s="361"/>
      <c r="Z253" s="364"/>
      <c r="AA253"/>
      <c r="AB253"/>
      <c r="AC253"/>
      <c r="AD253"/>
      <c r="AE253"/>
      <c r="AF253"/>
      <c r="AG253"/>
    </row>
    <row r="254" spans="17:33" ht="12.75" customHeight="1">
      <c r="Q254" s="364"/>
      <c r="R254" s="957" t="s">
        <v>669</v>
      </c>
      <c r="S254" s="958"/>
      <c r="T254" s="959"/>
      <c r="U254" s="949" t="s">
        <v>500</v>
      </c>
      <c r="V254" s="938" t="s">
        <v>22</v>
      </c>
      <c r="W254" s="940" t="s">
        <v>579</v>
      </c>
      <c r="X254" s="942" t="s">
        <v>21</v>
      </c>
      <c r="Y254" s="361"/>
      <c r="Z254" s="364"/>
      <c r="AA254"/>
      <c r="AB254"/>
      <c r="AC254"/>
      <c r="AD254"/>
      <c r="AE254"/>
      <c r="AF254"/>
      <c r="AG254"/>
    </row>
    <row r="255" spans="17:33" ht="12.75" customHeight="1">
      <c r="Q255" s="364"/>
      <c r="R255" s="960"/>
      <c r="S255" s="961"/>
      <c r="T255" s="899"/>
      <c r="U255" s="950"/>
      <c r="V255" s="939"/>
      <c r="W255" s="941"/>
      <c r="X255" s="943"/>
      <c r="Y255" s="361"/>
      <c r="Z255" s="364"/>
      <c r="AA255"/>
      <c r="AB255"/>
      <c r="AC255"/>
      <c r="AD255"/>
      <c r="AE255"/>
      <c r="AF255"/>
      <c r="AG255"/>
    </row>
    <row r="256" spans="17:33" ht="12.75" customHeight="1">
      <c r="Q256" s="364"/>
      <c r="R256" s="541" t="s">
        <v>80</v>
      </c>
      <c r="S256" s="559"/>
      <c r="T256" s="559"/>
      <c r="U256" s="543">
        <v>6.5</v>
      </c>
      <c r="V256" s="669">
        <f>VLOOKUP($V$5,'Lookup Water Flow'!$B$8:$E$208,3)</f>
        <v>6.9</v>
      </c>
      <c r="W256" s="669">
        <f>VLOOKUP($V$5,'Lookup Water Flow'!$B$8:$E$208,4)</f>
        <v>12.1</v>
      </c>
      <c r="X256" s="669">
        <f>VLOOKUP($V$5,'Lookup Water Flow'!$B$8:$E$208,2)</f>
        <v>12.6</v>
      </c>
      <c r="Y256" s="361"/>
      <c r="Z256" s="364"/>
      <c r="AA256"/>
      <c r="AB256"/>
      <c r="AC256"/>
      <c r="AD256"/>
      <c r="AE256"/>
      <c r="AF256"/>
      <c r="AG256"/>
    </row>
    <row r="257" spans="17:33" ht="12.75" customHeight="1">
      <c r="Q257" s="364"/>
      <c r="R257" s="951" t="s">
        <v>81</v>
      </c>
      <c r="S257" s="951"/>
      <c r="T257" s="951"/>
      <c r="U257" s="677">
        <f>U256*V23</f>
        <v>1040</v>
      </c>
      <c r="V257" s="678">
        <f>V256*$V$23</f>
        <v>1104</v>
      </c>
      <c r="W257" s="678">
        <f>W256*$V$23</f>
        <v>1936</v>
      </c>
      <c r="X257" s="678">
        <f>X256*$V$23</f>
        <v>2016</v>
      </c>
      <c r="Y257" s="361"/>
      <c r="Z257" s="364"/>
      <c r="AA257"/>
      <c r="AB257"/>
      <c r="AC257"/>
      <c r="AD257"/>
      <c r="AE257"/>
      <c r="AF257"/>
      <c r="AG257"/>
    </row>
    <row r="258" spans="17:33" ht="12.75" customHeight="1">
      <c r="Q258" s="364"/>
      <c r="R258" s="592" t="s">
        <v>670</v>
      </c>
      <c r="S258" s="559"/>
      <c r="T258" s="559"/>
      <c r="U258" s="549">
        <f>(U256*U56*V24)+(24*2*V24)</f>
        <v>473600</v>
      </c>
      <c r="V258" s="679">
        <f>V256*$X$56*$V$24</f>
        <v>94628.571428571435</v>
      </c>
      <c r="W258" s="679">
        <f>W256*$X$56*$V$24</f>
        <v>165942.85714285713</v>
      </c>
      <c r="X258" s="679">
        <f>X256*$X$56*$V$24</f>
        <v>172800</v>
      </c>
      <c r="Y258" s="361"/>
      <c r="Z258" s="364"/>
      <c r="AA258"/>
      <c r="AB258"/>
      <c r="AC258"/>
      <c r="AD258"/>
      <c r="AE258"/>
      <c r="AF258"/>
      <c r="AG258"/>
    </row>
    <row r="259" spans="17:33" ht="12.75" customHeight="1">
      <c r="Q259" s="364"/>
      <c r="R259" s="364"/>
      <c r="S259" s="364"/>
      <c r="T259" s="364"/>
      <c r="U259" s="364"/>
      <c r="V259" s="364"/>
      <c r="W259" s="364"/>
      <c r="X259" s="364"/>
      <c r="Y259" s="364"/>
      <c r="Z259" s="364"/>
      <c r="AA259"/>
      <c r="AB259"/>
      <c r="AC259"/>
      <c r="AD259"/>
      <c r="AE259"/>
      <c r="AF259"/>
      <c r="AG259"/>
    </row>
    <row r="260" spans="17:33" ht="12.75" customHeight="1">
      <c r="Q260" s="680" t="s">
        <v>754</v>
      </c>
      <c r="R260" s="952" t="s">
        <v>309</v>
      </c>
      <c r="S260" s="952"/>
      <c r="T260" s="952"/>
      <c r="U260" s="952"/>
      <c r="V260" s="952"/>
      <c r="W260" s="952"/>
      <c r="X260" s="952"/>
      <c r="Y260" s="952"/>
      <c r="Z260" s="360"/>
      <c r="AA260"/>
      <c r="AB260"/>
      <c r="AC260"/>
      <c r="AD260"/>
      <c r="AE260"/>
      <c r="AF260"/>
      <c r="AG260"/>
    </row>
    <row r="261" spans="17:33" ht="12.75" customHeight="1">
      <c r="Q261" s="364"/>
      <c r="R261" s="364"/>
      <c r="S261" s="364"/>
      <c r="T261" s="364"/>
      <c r="U261" s="364"/>
      <c r="V261" s="364"/>
      <c r="W261" s="364"/>
      <c r="X261" s="364"/>
      <c r="Y261" s="364"/>
      <c r="Z261" s="364"/>
      <c r="AA261"/>
      <c r="AB261"/>
      <c r="AC261"/>
      <c r="AD261"/>
      <c r="AE261"/>
      <c r="AF261"/>
      <c r="AG261"/>
    </row>
    <row r="262" spans="17:33" ht="12.75" customHeight="1">
      <c r="Q262" s="668" t="s">
        <v>755</v>
      </c>
      <c r="R262" s="364" t="s">
        <v>239</v>
      </c>
      <c r="S262" s="364"/>
      <c r="T262" s="364"/>
      <c r="U262" s="364"/>
      <c r="V262" s="364"/>
      <c r="W262" s="364"/>
      <c r="X262" s="364"/>
      <c r="Y262" s="364"/>
      <c r="Z262" s="364"/>
      <c r="AA262"/>
      <c r="AB262"/>
      <c r="AC262"/>
      <c r="AD262"/>
      <c r="AE262"/>
      <c r="AF262"/>
      <c r="AG262"/>
    </row>
    <row r="263" spans="17:33" ht="12.75" customHeight="1">
      <c r="Q263" s="364"/>
      <c r="R263" s="364"/>
      <c r="S263" s="364"/>
      <c r="T263" s="364"/>
      <c r="U263" s="364"/>
      <c r="V263" s="364"/>
      <c r="W263" s="364"/>
      <c r="X263" s="364"/>
      <c r="Y263" s="364"/>
      <c r="Z263" s="364"/>
      <c r="AA263"/>
      <c r="AB263"/>
      <c r="AC263"/>
      <c r="AD263"/>
      <c r="AE263"/>
      <c r="AF263"/>
      <c r="AG263"/>
    </row>
    <row r="264" spans="17:33" ht="12.75" customHeight="1">
      <c r="Q264" s="364"/>
      <c r="R264" s="953" t="s">
        <v>676</v>
      </c>
      <c r="S264" s="954"/>
      <c r="T264" s="561" t="s">
        <v>320</v>
      </c>
      <c r="U264" s="935" t="s">
        <v>318</v>
      </c>
      <c r="V264" s="935"/>
      <c r="W264" s="681">
        <f>'Compressor Input Data'!G7</f>
        <v>0.19</v>
      </c>
      <c r="X264" s="594"/>
      <c r="Y264" s="595"/>
      <c r="Z264" s="363"/>
      <c r="AA264"/>
      <c r="AB264"/>
      <c r="AC264"/>
      <c r="AD264"/>
      <c r="AE264"/>
      <c r="AF264"/>
      <c r="AG264"/>
    </row>
    <row r="265" spans="17:33" ht="12.75" customHeight="1">
      <c r="Q265" s="364"/>
      <c r="R265" s="955"/>
      <c r="S265" s="956"/>
      <c r="T265" s="561" t="s">
        <v>321</v>
      </c>
      <c r="U265" s="935" t="s">
        <v>319</v>
      </c>
      <c r="V265" s="935"/>
      <c r="W265" s="681">
        <f>'Compressor Input Data'!G8</f>
        <v>0.33</v>
      </c>
      <c r="X265" s="594"/>
      <c r="Y265" s="595"/>
      <c r="Z265" s="595"/>
      <c r="AA265"/>
      <c r="AB265"/>
      <c r="AC265"/>
      <c r="AD265"/>
      <c r="AE265"/>
      <c r="AF265"/>
      <c r="AG265"/>
    </row>
    <row r="266" spans="17:33" ht="12.75" customHeight="1">
      <c r="Q266" s="364"/>
      <c r="R266" s="363"/>
      <c r="S266" s="363"/>
      <c r="T266" s="577"/>
      <c r="U266" s="577"/>
      <c r="V266" s="596"/>
      <c r="W266" s="363"/>
      <c r="X266" s="363"/>
      <c r="Y266" s="363"/>
      <c r="Z266" s="363"/>
      <c r="AA266"/>
      <c r="AB266"/>
      <c r="AC266"/>
      <c r="AD266"/>
      <c r="AE266"/>
      <c r="AF266"/>
      <c r="AG266"/>
    </row>
    <row r="267" spans="17:33" ht="12.75" customHeight="1">
      <c r="Q267" s="364"/>
      <c r="R267" s="935" t="s">
        <v>675</v>
      </c>
      <c r="S267" s="935"/>
      <c r="T267" s="935"/>
      <c r="U267" s="949" t="s">
        <v>500</v>
      </c>
      <c r="V267" s="938" t="s">
        <v>22</v>
      </c>
      <c r="W267" s="940" t="s">
        <v>579</v>
      </c>
      <c r="X267" s="942" t="s">
        <v>21</v>
      </c>
      <c r="Y267" s="361"/>
      <c r="Z267" s="364"/>
      <c r="AA267"/>
      <c r="AB267"/>
      <c r="AC267"/>
      <c r="AD267"/>
      <c r="AE267"/>
      <c r="AF267"/>
      <c r="AG267"/>
    </row>
    <row r="268" spans="17:33" ht="12.75" customHeight="1">
      <c r="Q268" s="364"/>
      <c r="R268" s="944" t="s">
        <v>320</v>
      </c>
      <c r="S268" s="947"/>
      <c r="T268" s="948"/>
      <c r="U268" s="950"/>
      <c r="V268" s="939"/>
      <c r="W268" s="941"/>
      <c r="X268" s="943"/>
      <c r="Y268" s="361"/>
      <c r="Z268" s="364"/>
      <c r="AA268"/>
      <c r="AB268"/>
      <c r="AC268"/>
      <c r="AD268"/>
      <c r="AE268"/>
      <c r="AF268"/>
      <c r="AG268"/>
    </row>
    <row r="269" spans="17:33" ht="12.75" customHeight="1">
      <c r="Q269" s="364"/>
      <c r="R269" s="945"/>
      <c r="S269" s="935" t="s">
        <v>306</v>
      </c>
      <c r="T269" s="935"/>
      <c r="U269" s="599">
        <f>U164*$W$264</f>
        <v>178.34666666666669</v>
      </c>
      <c r="V269" s="599">
        <f>V164*$W$264</f>
        <v>14439.999999999998</v>
      </c>
      <c r="W269" s="599">
        <f>W164*$W$264</f>
        <v>12556.521739130432</v>
      </c>
      <c r="X269" s="599">
        <f>X164*$W$264</f>
        <v>10314.285714285712</v>
      </c>
      <c r="Y269" s="361"/>
      <c r="Z269" s="364"/>
      <c r="AA269"/>
      <c r="AB269"/>
      <c r="AC269"/>
      <c r="AD269"/>
      <c r="AE269"/>
      <c r="AF269"/>
      <c r="AG269"/>
    </row>
    <row r="270" spans="17:33" ht="12.75" customHeight="1">
      <c r="Q270" s="364"/>
      <c r="R270" s="945"/>
      <c r="S270" s="935" t="s">
        <v>307</v>
      </c>
      <c r="T270" s="935"/>
      <c r="U270" s="599">
        <f>U269*$V$11</f>
        <v>4101.9733333333343</v>
      </c>
      <c r="V270" s="599">
        <f>V269*$V$11</f>
        <v>332119.99999999994</v>
      </c>
      <c r="W270" s="599">
        <f>W269*$V$11</f>
        <v>288799.99999999994</v>
      </c>
      <c r="X270" s="599">
        <f>X269*$V$11</f>
        <v>237228.57142857136</v>
      </c>
      <c r="Y270" s="361"/>
      <c r="Z270" s="364"/>
      <c r="AA270"/>
      <c r="AB270"/>
      <c r="AC270"/>
      <c r="AD270"/>
      <c r="AE270"/>
      <c r="AF270"/>
      <c r="AG270"/>
    </row>
    <row r="271" spans="17:33" ht="12.75" customHeight="1">
      <c r="Q271" s="364"/>
      <c r="R271" s="946"/>
      <c r="S271" s="935" t="s">
        <v>308</v>
      </c>
      <c r="T271" s="935"/>
      <c r="U271" s="599">
        <f>U270*9</f>
        <v>36917.760000000009</v>
      </c>
      <c r="V271" s="599">
        <f>V270*9</f>
        <v>2989079.9999999995</v>
      </c>
      <c r="W271" s="599">
        <f>W270*9</f>
        <v>2599199.9999999995</v>
      </c>
      <c r="X271" s="599">
        <f>X270*9</f>
        <v>2135057.1428571423</v>
      </c>
      <c r="Y271" s="361"/>
      <c r="Z271" s="364"/>
      <c r="AA271"/>
      <c r="AB271"/>
      <c r="AC271"/>
      <c r="AD271"/>
      <c r="AE271"/>
      <c r="AF271"/>
      <c r="AG271"/>
    </row>
    <row r="272" spans="17:33" ht="12.75" customHeight="1">
      <c r="Q272" s="597"/>
      <c r="R272" s="937"/>
      <c r="S272" s="937"/>
      <c r="T272" s="937"/>
      <c r="U272" s="937"/>
      <c r="V272" s="937"/>
      <c r="W272" s="937"/>
      <c r="X272" s="937"/>
      <c r="Y272" s="364"/>
      <c r="Z272" s="364"/>
      <c r="AA272"/>
      <c r="AB272"/>
      <c r="AC272"/>
      <c r="AD272"/>
      <c r="AE272"/>
      <c r="AF272"/>
      <c r="AG272"/>
    </row>
    <row r="273" spans="17:33" ht="12.75" customHeight="1">
      <c r="Q273" s="597"/>
      <c r="R273" s="935" t="s">
        <v>675</v>
      </c>
      <c r="S273" s="935"/>
      <c r="T273" s="935"/>
      <c r="U273" s="930" t="s">
        <v>500</v>
      </c>
      <c r="V273" s="928" t="s">
        <v>22</v>
      </c>
      <c r="W273" s="929" t="s">
        <v>579</v>
      </c>
      <c r="X273" s="927" t="s">
        <v>21</v>
      </c>
      <c r="Y273" s="361"/>
      <c r="Z273" s="364"/>
      <c r="AA273"/>
      <c r="AB273"/>
      <c r="AC273"/>
      <c r="AD273"/>
      <c r="AE273"/>
      <c r="AF273"/>
      <c r="AG273"/>
    </row>
    <row r="274" spans="17:33" ht="12.75" customHeight="1">
      <c r="Q274" s="597"/>
      <c r="R274" s="937" t="s">
        <v>321</v>
      </c>
      <c r="S274" s="937"/>
      <c r="T274" s="937"/>
      <c r="U274" s="930"/>
      <c r="V274" s="928"/>
      <c r="W274" s="929"/>
      <c r="X274" s="927"/>
      <c r="Y274" s="361"/>
      <c r="Z274" s="364"/>
      <c r="AA274"/>
      <c r="AB274"/>
      <c r="AC274"/>
      <c r="AD274"/>
      <c r="AE274"/>
      <c r="AF274"/>
      <c r="AG274"/>
    </row>
    <row r="275" spans="17:33" ht="12.75" customHeight="1">
      <c r="Q275" s="364"/>
      <c r="R275" s="937"/>
      <c r="S275" s="935" t="s">
        <v>306</v>
      </c>
      <c r="T275" s="935"/>
      <c r="U275" s="599">
        <f>U164*$W$265</f>
        <v>309.76000000000005</v>
      </c>
      <c r="V275" s="599">
        <f>V164*$W$265</f>
        <v>25079.999999999996</v>
      </c>
      <c r="W275" s="599">
        <f>W164*$W$265</f>
        <v>21808.695652173912</v>
      </c>
      <c r="X275" s="599">
        <f>X164*$W$265</f>
        <v>17914.28571428571</v>
      </c>
      <c r="Y275" s="361"/>
      <c r="Z275" s="364"/>
      <c r="AA275"/>
      <c r="AB275"/>
      <c r="AC275"/>
      <c r="AD275"/>
      <c r="AE275"/>
      <c r="AF275"/>
      <c r="AG275"/>
    </row>
    <row r="276" spans="17:33" ht="12.75" customHeight="1">
      <c r="Q276" s="597"/>
      <c r="R276" s="937"/>
      <c r="S276" s="935" t="s">
        <v>307</v>
      </c>
      <c r="T276" s="935"/>
      <c r="U276" s="599">
        <f>U275*$V$11</f>
        <v>7124.4800000000014</v>
      </c>
      <c r="V276" s="599">
        <f>V275*$V$11</f>
        <v>576839.99999999988</v>
      </c>
      <c r="W276" s="599">
        <f>W275*$V$11</f>
        <v>501600</v>
      </c>
      <c r="X276" s="599">
        <f>X275*$V$11</f>
        <v>412028.57142857136</v>
      </c>
      <c r="Y276" s="361"/>
      <c r="Z276" s="364"/>
      <c r="AA276"/>
      <c r="AB276"/>
      <c r="AC276"/>
      <c r="AD276"/>
      <c r="AE276"/>
      <c r="AF276"/>
      <c r="AG276"/>
    </row>
    <row r="277" spans="17:33" ht="12.75" customHeight="1">
      <c r="Q277" s="364"/>
      <c r="R277" s="937"/>
      <c r="S277" s="935" t="s">
        <v>308</v>
      </c>
      <c r="T277" s="935"/>
      <c r="U277" s="599">
        <f>U276*3</f>
        <v>21373.440000000002</v>
      </c>
      <c r="V277" s="599">
        <f>V276*3</f>
        <v>1730519.9999999995</v>
      </c>
      <c r="W277" s="599">
        <f>W276*3</f>
        <v>1504800</v>
      </c>
      <c r="X277" s="599">
        <f>X276*3</f>
        <v>1236085.7142857141</v>
      </c>
      <c r="Y277" s="361"/>
      <c r="Z277" s="364"/>
      <c r="AA277"/>
      <c r="AB277"/>
      <c r="AC277"/>
      <c r="AD277"/>
      <c r="AE277"/>
      <c r="AF277"/>
      <c r="AG277"/>
    </row>
    <row r="278" spans="17:33" ht="12.75" customHeight="1">
      <c r="Q278" s="364"/>
      <c r="R278" s="937"/>
      <c r="S278" s="937"/>
      <c r="T278" s="937"/>
      <c r="U278" s="937"/>
      <c r="V278" s="937"/>
      <c r="W278" s="937"/>
      <c r="X278" s="937"/>
      <c r="Y278" s="364"/>
      <c r="Z278" s="364"/>
      <c r="AA278"/>
      <c r="AB278"/>
      <c r="AC278"/>
      <c r="AD278"/>
      <c r="AE278"/>
      <c r="AF278"/>
      <c r="AG278"/>
    </row>
    <row r="279" spans="17:33" ht="12.75" customHeight="1">
      <c r="Q279" s="364"/>
      <c r="R279" s="935" t="s">
        <v>675</v>
      </c>
      <c r="S279" s="935"/>
      <c r="T279" s="935"/>
      <c r="U279" s="930" t="s">
        <v>500</v>
      </c>
      <c r="V279" s="928" t="s">
        <v>22</v>
      </c>
      <c r="W279" s="929" t="s">
        <v>579</v>
      </c>
      <c r="X279" s="927" t="s">
        <v>21</v>
      </c>
      <c r="Y279" s="361"/>
      <c r="Z279" s="364"/>
      <c r="AA279"/>
      <c r="AB279"/>
      <c r="AC279"/>
      <c r="AD279"/>
      <c r="AE279"/>
      <c r="AF279"/>
      <c r="AG279"/>
    </row>
    <row r="280" spans="17:33" ht="12.75" customHeight="1">
      <c r="Q280" s="364"/>
      <c r="R280" s="937" t="s">
        <v>322</v>
      </c>
      <c r="S280" s="937"/>
      <c r="T280" s="937"/>
      <c r="U280" s="930"/>
      <c r="V280" s="928"/>
      <c r="W280" s="929"/>
      <c r="X280" s="927"/>
      <c r="Y280" s="361"/>
      <c r="Z280" s="364"/>
      <c r="AA280"/>
      <c r="AB280"/>
      <c r="AC280"/>
      <c r="AD280"/>
      <c r="AE280"/>
      <c r="AF280"/>
      <c r="AG280"/>
    </row>
    <row r="281" spans="17:33" ht="12.75" customHeight="1">
      <c r="Q281" s="364"/>
      <c r="R281" s="937"/>
      <c r="S281" s="935" t="s">
        <v>306</v>
      </c>
      <c r="T281" s="935"/>
      <c r="U281" s="599">
        <f>U282/$V$11</f>
        <v>211.20000000000005</v>
      </c>
      <c r="V281" s="599">
        <f>V282/$V$11</f>
        <v>17099.999999999996</v>
      </c>
      <c r="W281" s="599">
        <f>W282/$V$11</f>
        <v>14869.565217391302</v>
      </c>
      <c r="X281" s="599">
        <f>X282/$V$11</f>
        <v>12214.285714285712</v>
      </c>
      <c r="Y281" s="361"/>
      <c r="Z281" s="364"/>
      <c r="AA281"/>
      <c r="AB281"/>
      <c r="AC281"/>
      <c r="AD281"/>
      <c r="AE281"/>
      <c r="AF281"/>
      <c r="AG281"/>
    </row>
    <row r="282" spans="17:33" ht="12.75" customHeight="1">
      <c r="Q282" s="364"/>
      <c r="R282" s="937"/>
      <c r="S282" s="935" t="s">
        <v>307</v>
      </c>
      <c r="T282" s="935"/>
      <c r="U282" s="599">
        <f>U283/12</f>
        <v>4857.6000000000013</v>
      </c>
      <c r="V282" s="599">
        <f>V283/12</f>
        <v>393299.99999999994</v>
      </c>
      <c r="W282" s="599">
        <f>W283/12</f>
        <v>341999.99999999994</v>
      </c>
      <c r="X282" s="599">
        <f>X283/12</f>
        <v>280928.57142857136</v>
      </c>
      <c r="Y282" s="361"/>
      <c r="Z282" s="364"/>
      <c r="AA282"/>
      <c r="AB282"/>
      <c r="AC282"/>
      <c r="AD282"/>
      <c r="AE282"/>
      <c r="AF282"/>
      <c r="AG282"/>
    </row>
    <row r="283" spans="17:33" ht="12.75" customHeight="1">
      <c r="Q283" s="364"/>
      <c r="R283" s="937"/>
      <c r="S283" s="935" t="s">
        <v>308</v>
      </c>
      <c r="T283" s="935"/>
      <c r="U283" s="599">
        <f>U271+U277</f>
        <v>58291.200000000012</v>
      </c>
      <c r="V283" s="599">
        <f>V271+V277</f>
        <v>4719599.9999999991</v>
      </c>
      <c r="W283" s="599">
        <f>W271+W277</f>
        <v>4103999.9999999995</v>
      </c>
      <c r="X283" s="599">
        <f>X271+X277</f>
        <v>3371142.8571428563</v>
      </c>
      <c r="Y283" s="361"/>
      <c r="Z283" s="364"/>
      <c r="AA283"/>
      <c r="AB283"/>
      <c r="AC283"/>
      <c r="AD283"/>
      <c r="AE283"/>
      <c r="AF283"/>
      <c r="AG283"/>
    </row>
    <row r="284" spans="17:33" ht="12.75" customHeight="1">
      <c r="Q284" s="364"/>
      <c r="R284" s="363"/>
      <c r="S284" s="363"/>
      <c r="T284" s="577"/>
      <c r="U284" s="577"/>
      <c r="V284" s="596"/>
      <c r="W284" s="363"/>
      <c r="X284" s="363"/>
      <c r="Y284" s="363"/>
      <c r="Z284" s="363"/>
      <c r="AA284"/>
      <c r="AB284"/>
      <c r="AC284"/>
      <c r="AD284"/>
      <c r="AE284"/>
      <c r="AF284"/>
      <c r="AG284"/>
    </row>
    <row r="285" spans="17:33" ht="12.75" customHeight="1">
      <c r="Q285" s="668" t="s">
        <v>756</v>
      </c>
      <c r="R285" s="363" t="s">
        <v>758</v>
      </c>
      <c r="S285" s="363"/>
      <c r="T285" s="577"/>
      <c r="U285" s="577"/>
      <c r="V285" s="596"/>
      <c r="W285" s="363"/>
      <c r="X285" s="363"/>
      <c r="Y285" s="363"/>
      <c r="Z285" s="363"/>
      <c r="AA285"/>
      <c r="AB285"/>
      <c r="AC285"/>
      <c r="AD285"/>
      <c r="AE285"/>
      <c r="AF285"/>
      <c r="AG285"/>
    </row>
    <row r="286" spans="17:33" ht="12.75" customHeight="1">
      <c r="Q286" s="364"/>
      <c r="R286" s="935" t="s">
        <v>678</v>
      </c>
      <c r="S286" s="935"/>
      <c r="T286" s="935"/>
      <c r="U286" s="935"/>
      <c r="V286" s="936" t="s">
        <v>500</v>
      </c>
      <c r="W286" s="936" t="s">
        <v>22</v>
      </c>
      <c r="X286" s="936" t="s">
        <v>579</v>
      </c>
      <c r="Y286" s="936" t="s">
        <v>21</v>
      </c>
      <c r="Z286" s="361"/>
      <c r="AA286"/>
      <c r="AB286"/>
      <c r="AC286"/>
      <c r="AD286"/>
      <c r="AE286"/>
      <c r="AF286"/>
      <c r="AG286"/>
    </row>
    <row r="287" spans="17:33" ht="12.75" customHeight="1">
      <c r="Q287" s="364"/>
      <c r="R287" s="935"/>
      <c r="S287" s="935"/>
      <c r="T287" s="935"/>
      <c r="U287" s="935"/>
      <c r="V287" s="936"/>
      <c r="W287" s="936"/>
      <c r="X287" s="936"/>
      <c r="Y287" s="936"/>
      <c r="Z287" s="361"/>
      <c r="AA287"/>
      <c r="AB287"/>
      <c r="AC287"/>
      <c r="AD287"/>
      <c r="AE287"/>
      <c r="AF287"/>
      <c r="AG287"/>
    </row>
    <row r="288" spans="17:33" ht="12.75" customHeight="1">
      <c r="Q288" s="364"/>
      <c r="R288" s="931" t="s">
        <v>35</v>
      </c>
      <c r="S288" s="931"/>
      <c r="T288" s="931"/>
      <c r="U288" s="931"/>
      <c r="V288" s="599">
        <f>AVERAGE(U196:W196)*5%</f>
        <v>1305585.0000000005</v>
      </c>
      <c r="W288" s="599">
        <f>V202*5%</f>
        <v>1533870.0000000005</v>
      </c>
      <c r="X288" s="599">
        <f>W202*5%</f>
        <v>1518480.0000000005</v>
      </c>
      <c r="Y288" s="599">
        <f>X202*5%</f>
        <v>1500158.5714285718</v>
      </c>
      <c r="Z288" s="361"/>
      <c r="AA288"/>
      <c r="AB288"/>
      <c r="AC288"/>
      <c r="AD288"/>
      <c r="AE288"/>
      <c r="AF288"/>
      <c r="AG288"/>
    </row>
    <row r="289" spans="17:33" ht="12.75" customHeight="1">
      <c r="Q289" s="364"/>
      <c r="R289" s="931" t="s">
        <v>481</v>
      </c>
      <c r="S289" s="931"/>
      <c r="T289" s="931"/>
      <c r="U289" s="931"/>
      <c r="V289" s="600" t="s">
        <v>479</v>
      </c>
      <c r="W289" s="599">
        <f>Y289</f>
        <v>1059840</v>
      </c>
      <c r="X289" s="600" t="s">
        <v>479</v>
      </c>
      <c r="Y289" s="599">
        <f>Consumables!E23*12</f>
        <v>1059840</v>
      </c>
      <c r="Z289" s="361"/>
      <c r="AA289"/>
      <c r="AB289"/>
      <c r="AC289"/>
      <c r="AD289"/>
      <c r="AE289"/>
      <c r="AF289"/>
      <c r="AG289"/>
    </row>
    <row r="290" spans="17:33" ht="12.75" customHeight="1">
      <c r="Q290" s="364"/>
      <c r="R290" s="931" t="s">
        <v>311</v>
      </c>
      <c r="S290" s="931"/>
      <c r="T290" s="931"/>
      <c r="U290" s="931"/>
      <c r="V290" s="600" t="s">
        <v>557</v>
      </c>
      <c r="W290" s="599">
        <f>Y290</f>
        <v>416000</v>
      </c>
      <c r="X290" s="599">
        <f>W290</f>
        <v>416000</v>
      </c>
      <c r="Y290" s="599">
        <f>Consumables!E21*12</f>
        <v>416000</v>
      </c>
      <c r="Z290" s="361"/>
      <c r="AA290"/>
      <c r="AB290"/>
      <c r="AC290"/>
      <c r="AD290"/>
      <c r="AE290"/>
      <c r="AF290"/>
      <c r="AG290"/>
    </row>
    <row r="291" spans="17:33" ht="12.75" customHeight="1">
      <c r="Q291" s="364"/>
      <c r="R291" s="931" t="s">
        <v>480</v>
      </c>
      <c r="S291" s="931"/>
      <c r="T291" s="931"/>
      <c r="U291" s="931"/>
      <c r="V291" s="599">
        <f>Consumables!H21*12</f>
        <v>3865001.2800000003</v>
      </c>
      <c r="W291" s="599">
        <v>0</v>
      </c>
      <c r="X291" s="599">
        <v>0</v>
      </c>
      <c r="Y291" s="599">
        <v>0</v>
      </c>
      <c r="Z291" s="361"/>
      <c r="AA291"/>
      <c r="AB291"/>
      <c r="AC291"/>
      <c r="AD291"/>
      <c r="AE291"/>
      <c r="AF291"/>
      <c r="AG291"/>
    </row>
    <row r="292" spans="17:33" ht="12.75" customHeight="1">
      <c r="Q292" s="364"/>
      <c r="R292" s="931" t="s">
        <v>312</v>
      </c>
      <c r="S292" s="931"/>
      <c r="T292" s="931"/>
      <c r="U292" s="931"/>
      <c r="V292" s="599">
        <f>Consumables!H20*12</f>
        <v>2691993.6000000001</v>
      </c>
      <c r="W292" s="599">
        <f>Y292</f>
        <v>2331648.0000000005</v>
      </c>
      <c r="X292" s="599">
        <f>W292</f>
        <v>2331648.0000000005</v>
      </c>
      <c r="Y292" s="599">
        <f>Consumables!E20*12</f>
        <v>2331648.0000000005</v>
      </c>
      <c r="Z292" s="361"/>
      <c r="AA292"/>
      <c r="AB292"/>
      <c r="AC292"/>
      <c r="AD292"/>
      <c r="AE292"/>
      <c r="AF292"/>
      <c r="AG292"/>
    </row>
    <row r="293" spans="17:33" ht="12.75" customHeight="1">
      <c r="Q293" s="364"/>
      <c r="R293" s="931" t="s">
        <v>313</v>
      </c>
      <c r="S293" s="931"/>
      <c r="T293" s="931"/>
      <c r="U293" s="931"/>
      <c r="V293" s="599">
        <f>Consumables!H19*12</f>
        <v>1674547.2000000002</v>
      </c>
      <c r="W293" s="599">
        <f>Y293</f>
        <v>1398988.8</v>
      </c>
      <c r="X293" s="599">
        <f>W293</f>
        <v>1398988.8</v>
      </c>
      <c r="Y293" s="599">
        <f>Consumables!E19*12</f>
        <v>1398988.8</v>
      </c>
      <c r="Z293" s="361"/>
      <c r="AA293"/>
      <c r="AB293"/>
      <c r="AC293"/>
      <c r="AD293"/>
      <c r="AE293"/>
      <c r="AF293"/>
      <c r="AG293"/>
    </row>
    <row r="294" spans="17:33" ht="12.75" customHeight="1">
      <c r="Q294" s="364"/>
      <c r="R294" s="931" t="s">
        <v>190</v>
      </c>
      <c r="S294" s="931"/>
      <c r="T294" s="931"/>
      <c r="U294" s="931"/>
      <c r="V294" s="599">
        <f>Consumables!H22*12</f>
        <v>8294400</v>
      </c>
      <c r="W294" s="599">
        <v>0</v>
      </c>
      <c r="X294" s="599">
        <v>0</v>
      </c>
      <c r="Y294" s="599">
        <v>0</v>
      </c>
      <c r="Z294" s="361"/>
      <c r="AA294"/>
      <c r="AB294"/>
      <c r="AC294"/>
      <c r="AD294"/>
      <c r="AE294"/>
      <c r="AF294"/>
      <c r="AG294"/>
    </row>
    <row r="295" spans="17:33" ht="12.75" customHeight="1">
      <c r="Q295" s="364"/>
      <c r="R295" s="931" t="s">
        <v>482</v>
      </c>
      <c r="S295" s="931"/>
      <c r="T295" s="931"/>
      <c r="U295" s="931"/>
      <c r="V295" s="599">
        <v>0</v>
      </c>
      <c r="W295" s="599">
        <f>Y295</f>
        <v>199600.00000000003</v>
      </c>
      <c r="X295" s="599">
        <f>W295</f>
        <v>199600.00000000003</v>
      </c>
      <c r="Y295" s="599">
        <f>Consumables!E25*12</f>
        <v>199600.00000000003</v>
      </c>
      <c r="Z295" s="361"/>
      <c r="AA295"/>
      <c r="AB295"/>
      <c r="AC295"/>
      <c r="AD295"/>
      <c r="AE295"/>
      <c r="AF295"/>
      <c r="AG295"/>
    </row>
    <row r="296" spans="17:33" ht="12.75" customHeight="1">
      <c r="Q296" s="364"/>
      <c r="R296" s="931" t="s">
        <v>483</v>
      </c>
      <c r="S296" s="931"/>
      <c r="T296" s="931"/>
      <c r="U296" s="931"/>
      <c r="V296" s="599">
        <v>0</v>
      </c>
      <c r="W296" s="599">
        <f>Y296</f>
        <v>40600</v>
      </c>
      <c r="X296" s="599">
        <f>W296</f>
        <v>40600</v>
      </c>
      <c r="Y296" s="599">
        <f>Consumables!E24*12</f>
        <v>40600</v>
      </c>
      <c r="Z296" s="361"/>
      <c r="AA296"/>
      <c r="AB296"/>
      <c r="AC296"/>
      <c r="AD296"/>
      <c r="AE296"/>
      <c r="AF296"/>
      <c r="AG296"/>
    </row>
    <row r="297" spans="17:33" ht="12.75" customHeight="1">
      <c r="Q297" s="364"/>
      <c r="R297" s="931" t="s">
        <v>478</v>
      </c>
      <c r="S297" s="931"/>
      <c r="T297" s="931"/>
      <c r="U297" s="931"/>
      <c r="V297" s="599">
        <f>U283</f>
        <v>58291.200000000012</v>
      </c>
      <c r="W297" s="599">
        <f>V283</f>
        <v>4719599.9999999991</v>
      </c>
      <c r="X297" s="599">
        <f>W283</f>
        <v>4103999.9999999995</v>
      </c>
      <c r="Y297" s="599">
        <f>X283</f>
        <v>3371142.8571428563</v>
      </c>
      <c r="Z297" s="361"/>
      <c r="AA297"/>
      <c r="AB297"/>
      <c r="AC297"/>
      <c r="AD297"/>
      <c r="AE297"/>
      <c r="AF297"/>
      <c r="AG297"/>
    </row>
    <row r="298" spans="17:33" ht="12.75" customHeight="1">
      <c r="Q298" s="364"/>
      <c r="R298" s="931" t="s">
        <v>484</v>
      </c>
      <c r="S298" s="931"/>
      <c r="T298" s="931"/>
      <c r="U298" s="931"/>
      <c r="V298" s="599">
        <f>'NIHL Compenation Cost'!AD21</f>
        <v>1715167.5</v>
      </c>
      <c r="W298" s="599">
        <f>'NIHL Compenation Cost'!Z21</f>
        <v>989115.00000000012</v>
      </c>
      <c r="X298" s="599">
        <f>'NIHL Compenation Cost'!AB21</f>
        <v>1087325</v>
      </c>
      <c r="Y298" s="599">
        <f>'NIHL Compenation Cost'!X21</f>
        <v>596275</v>
      </c>
      <c r="Z298" s="361"/>
      <c r="AA298"/>
      <c r="AB298"/>
      <c r="AC298"/>
      <c r="AD298"/>
      <c r="AE298"/>
      <c r="AF298"/>
      <c r="AG298"/>
    </row>
    <row r="299" spans="17:33" ht="12.75" customHeight="1">
      <c r="Q299" s="364"/>
      <c r="R299" s="932" t="s">
        <v>677</v>
      </c>
      <c r="S299" s="932"/>
      <c r="T299" s="932"/>
      <c r="U299" s="932"/>
      <c r="V299" s="599">
        <f>SUM(V288:V298)</f>
        <v>19604985.780000001</v>
      </c>
      <c r="W299" s="599">
        <f>SUM(W288:W298)</f>
        <v>12689261.800000001</v>
      </c>
      <c r="X299" s="599">
        <f>SUM(X288:X298)</f>
        <v>11096641.800000001</v>
      </c>
      <c r="Y299" s="599">
        <f>SUM(Y288:Y298)</f>
        <v>10914253.22857143</v>
      </c>
      <c r="Z299" s="361"/>
      <c r="AA299"/>
      <c r="AB299"/>
      <c r="AC299"/>
      <c r="AD299"/>
      <c r="AE299"/>
      <c r="AF299"/>
      <c r="AG299"/>
    </row>
    <row r="300" spans="17:33" ht="12.75" customHeight="1">
      <c r="Q300" s="364"/>
      <c r="R300" s="591"/>
      <c r="S300" s="591"/>
      <c r="T300" s="591"/>
      <c r="U300" s="591"/>
      <c r="V300" s="718"/>
      <c r="W300" s="718"/>
      <c r="X300" s="718"/>
      <c r="Y300" s="718"/>
      <c r="Z300" s="361"/>
      <c r="AA300"/>
      <c r="AB300"/>
      <c r="AC300"/>
      <c r="AD300"/>
      <c r="AE300"/>
      <c r="AF300"/>
      <c r="AG300"/>
    </row>
    <row r="301" spans="17:33" ht="12.75" customHeight="1">
      <c r="Q301" s="364"/>
      <c r="R301" s="591"/>
      <c r="S301" s="591"/>
      <c r="T301" s="933" t="s">
        <v>812</v>
      </c>
      <c r="U301" s="933"/>
      <c r="V301" s="718">
        <f>V299-V294</f>
        <v>11310585.780000001</v>
      </c>
      <c r="W301" s="718">
        <f>W299-W294</f>
        <v>12689261.800000001</v>
      </c>
      <c r="X301" s="718">
        <f>X299-X294</f>
        <v>11096641.800000001</v>
      </c>
      <c r="Y301" s="718">
        <f>Y299-Y294</f>
        <v>10914253.22857143</v>
      </c>
      <c r="Z301" s="361"/>
      <c r="AA301"/>
      <c r="AB301"/>
      <c r="AC301"/>
      <c r="AD301"/>
      <c r="AE301"/>
      <c r="AF301"/>
      <c r="AG301"/>
    </row>
    <row r="302" spans="17:33" ht="12.75" customHeight="1">
      <c r="Q302" s="364"/>
      <c r="R302" s="364"/>
      <c r="S302" s="364"/>
      <c r="T302" s="934" t="s">
        <v>350</v>
      </c>
      <c r="U302" s="934"/>
      <c r="V302" s="682">
        <f>V294</f>
        <v>8294400</v>
      </c>
      <c r="W302" s="682"/>
      <c r="X302" s="682"/>
      <c r="Y302" s="682"/>
      <c r="Z302" s="364"/>
      <c r="AA302"/>
      <c r="AB302"/>
      <c r="AC302"/>
      <c r="AD302"/>
      <c r="AE302"/>
      <c r="AF302"/>
      <c r="AG302"/>
    </row>
    <row r="303" spans="17:33" ht="12.75" customHeight="1">
      <c r="Q303" s="364">
        <v>10.3</v>
      </c>
      <c r="R303" s="363"/>
      <c r="S303" s="364"/>
      <c r="T303" s="364"/>
      <c r="U303" s="364"/>
      <c r="V303" s="682"/>
      <c r="W303" s="364"/>
      <c r="X303" s="362"/>
      <c r="Y303" s="682"/>
      <c r="Z303" s="364"/>
      <c r="AA303"/>
      <c r="AB303"/>
      <c r="AC303"/>
      <c r="AD303"/>
      <c r="AE303"/>
      <c r="AF303"/>
      <c r="AG303"/>
    </row>
    <row r="304" spans="17:33" ht="12.75" customHeight="1">
      <c r="Q304" s="364"/>
      <c r="R304" s="364"/>
      <c r="S304" s="364"/>
      <c r="T304" s="364"/>
      <c r="U304" s="364"/>
      <c r="V304" s="364"/>
      <c r="W304" s="364"/>
      <c r="X304" s="364"/>
      <c r="Y304" s="364"/>
      <c r="Z304" s="364"/>
      <c r="AA304"/>
      <c r="AB304"/>
      <c r="AC304"/>
      <c r="AD304"/>
      <c r="AE304"/>
      <c r="AF304"/>
      <c r="AG304"/>
    </row>
    <row r="305" spans="17:33" ht="12.75" customHeight="1">
      <c r="Q305" s="364"/>
      <c r="R305" s="935" t="s">
        <v>195</v>
      </c>
      <c r="S305" s="935"/>
      <c r="T305" s="935"/>
      <c r="U305" s="935"/>
      <c r="V305" s="935"/>
      <c r="W305" s="375"/>
      <c r="X305" s="683"/>
      <c r="Y305" s="375"/>
      <c r="Z305" s="375"/>
      <c r="AA305"/>
      <c r="AB305"/>
      <c r="AC305"/>
      <c r="AD305"/>
      <c r="AE305"/>
      <c r="AF305"/>
      <c r="AG305"/>
    </row>
    <row r="306" spans="17:33" ht="12.75" customHeight="1">
      <c r="Q306" s="364"/>
      <c r="R306" s="926" t="s">
        <v>509</v>
      </c>
      <c r="S306" s="927" t="s">
        <v>21</v>
      </c>
      <c r="T306" s="928" t="s">
        <v>22</v>
      </c>
      <c r="U306" s="929" t="s">
        <v>579</v>
      </c>
      <c r="V306" s="930" t="s">
        <v>500</v>
      </c>
      <c r="W306" s="363"/>
      <c r="X306" s="684"/>
      <c r="Y306" s="363"/>
      <c r="Z306" s="364"/>
      <c r="AA306"/>
      <c r="AB306"/>
      <c r="AC306"/>
      <c r="AD306"/>
      <c r="AE306"/>
      <c r="AF306"/>
      <c r="AG306"/>
    </row>
    <row r="307" spans="17:33" ht="12.75" customHeight="1">
      <c r="Q307" s="364"/>
      <c r="R307" s="926"/>
      <c r="S307" s="927"/>
      <c r="T307" s="928"/>
      <c r="U307" s="929"/>
      <c r="V307" s="930"/>
      <c r="W307" s="363"/>
      <c r="X307" s="684"/>
      <c r="Y307" s="363"/>
      <c r="Z307" s="364"/>
      <c r="AA307"/>
      <c r="AB307"/>
      <c r="AC307"/>
      <c r="AD307"/>
      <c r="AE307"/>
      <c r="AF307"/>
      <c r="AG307"/>
    </row>
    <row r="308" spans="17:33" ht="12.75" customHeight="1">
      <c r="Q308" s="364"/>
      <c r="R308" s="667" t="s">
        <v>204</v>
      </c>
      <c r="S308" s="667" t="s">
        <v>846</v>
      </c>
      <c r="T308" s="667" t="s">
        <v>846</v>
      </c>
      <c r="U308" s="667" t="s">
        <v>846</v>
      </c>
      <c r="V308" s="667" t="s">
        <v>846</v>
      </c>
      <c r="W308" s="363"/>
      <c r="X308" s="363"/>
      <c r="Y308" s="363"/>
      <c r="Z308" s="364"/>
      <c r="AA308"/>
      <c r="AB308"/>
      <c r="AC308"/>
      <c r="AD308"/>
      <c r="AE308"/>
      <c r="AF308"/>
      <c r="AG308"/>
    </row>
    <row r="309" spans="17:33" ht="12.75" customHeight="1">
      <c r="Q309" s="364"/>
      <c r="R309" s="600">
        <v>1</v>
      </c>
      <c r="S309" s="369">
        <f>$X$69</f>
        <v>116</v>
      </c>
      <c r="T309" s="584">
        <f>$V$69</f>
        <v>108</v>
      </c>
      <c r="U309" s="685">
        <f>$W$69</f>
        <v>109</v>
      </c>
      <c r="V309" s="369">
        <f>$U$69</f>
        <v>102</v>
      </c>
      <c r="W309" s="363"/>
      <c r="X309" s="363"/>
      <c r="Y309" s="363"/>
      <c r="Z309" s="364"/>
      <c r="AA309"/>
      <c r="AB309"/>
      <c r="AC309"/>
      <c r="AD309"/>
      <c r="AE309"/>
      <c r="AF309"/>
      <c r="AG309"/>
    </row>
    <row r="310" spans="17:33" ht="12.75" customHeight="1">
      <c r="Q310" s="364"/>
      <c r="R310" s="600">
        <v>2</v>
      </c>
      <c r="S310" s="584">
        <f>(LOG((10^(S309/10))+(10^(S309/10))))*10</f>
        <v>119.01029995663983</v>
      </c>
      <c r="T310" s="584">
        <f>(LOG((10^(T309/10))+(10^(T309/10))))*10</f>
        <v>111.01029995663981</v>
      </c>
      <c r="U310" s="584">
        <f>(LOG((10^(U309/10))+(10^(U309/10))))*10</f>
        <v>112.01029995663981</v>
      </c>
      <c r="V310" s="584">
        <f>(LOG((10^(V309/10))+(10^(V309/10))))*10</f>
        <v>105.01029995663983</v>
      </c>
      <c r="W310" s="363"/>
      <c r="X310" s="363"/>
      <c r="Y310" s="363"/>
      <c r="Z310" s="364"/>
      <c r="AA310"/>
      <c r="AB310"/>
      <c r="AC310"/>
      <c r="AD310"/>
      <c r="AE310"/>
      <c r="AF310"/>
      <c r="AG310"/>
    </row>
    <row r="311" spans="17:33" ht="12.75" customHeight="1">
      <c r="Q311" s="597"/>
      <c r="R311" s="600">
        <v>3</v>
      </c>
      <c r="S311" s="584">
        <f>(LOG((10^(S309/10))+(10^(S309/10))+(10^(S309/10)))*10)</f>
        <v>120.77121254719664</v>
      </c>
      <c r="T311" s="584">
        <f>(LOG((10^(T309/10))+(10^(T309/10))+(10^(T309/10)))*10)</f>
        <v>112.77121254719663</v>
      </c>
      <c r="U311" s="584">
        <f>(LOG((10^(U309/10))+(10^(U309/10))+(10^(U309/10)))*10)</f>
        <v>113.77121254719663</v>
      </c>
      <c r="V311" s="584">
        <f>(LOG((10^(V309/10))+(10^(V309/10))+(10^(V309/10)))*10)</f>
        <v>106.77121254719664</v>
      </c>
      <c r="W311" s="363"/>
      <c r="X311" s="363"/>
      <c r="Y311" s="363"/>
      <c r="Z311" s="364"/>
      <c r="AA311"/>
      <c r="AB311"/>
      <c r="AC311"/>
      <c r="AD311"/>
      <c r="AE311"/>
      <c r="AF311"/>
      <c r="AG311"/>
    </row>
    <row r="312" spans="17:33" ht="12.75" customHeight="1">
      <c r="Q312" s="364"/>
      <c r="R312" s="600">
        <v>4</v>
      </c>
      <c r="S312" s="584">
        <f>(LOG((10^(S309/10))+(10^(S309/10))+(10^(S309/10))+(10^(S309/10))))*10</f>
        <v>122.02059991327964</v>
      </c>
      <c r="T312" s="584">
        <f>(LOG((10^(T309/10))+(10^(T309/10))+(10^(T309/10))+(10^(T309/10))))*10</f>
        <v>114.02059991327963</v>
      </c>
      <c r="U312" s="584">
        <f>(LOG((10^(U309/10))+(10^(U309/10))+(10^(U309/10))+(10^(U309/10))))*10</f>
        <v>115.02059991327963</v>
      </c>
      <c r="V312" s="584">
        <f>(LOG((10^(V309/10))+(10^(V309/10))+(10^(V309/10))+(10^(V309/10))))*10</f>
        <v>108.02059991327964</v>
      </c>
      <c r="W312" s="363"/>
      <c r="X312" s="363"/>
      <c r="Y312" s="363"/>
      <c r="Z312" s="364"/>
      <c r="AA312"/>
      <c r="AB312"/>
      <c r="AC312"/>
      <c r="AD312"/>
      <c r="AE312"/>
      <c r="AF312"/>
      <c r="AG312"/>
    </row>
    <row r="313" spans="17:33" ht="12.75" customHeight="1">
      <c r="Q313" s="364"/>
      <c r="R313" s="600">
        <v>5</v>
      </c>
      <c r="S313" s="584">
        <f>(LOG((10^(S309/10))+(10^(S309/10))+(10^(S309/10))+(10^(S309/10))+(10^(S309/10))))*10</f>
        <v>122.9897000433602</v>
      </c>
      <c r="T313" s="584">
        <f>(LOG((10^(T309/10))+(10^(T309/10))+(10^(T309/10))+(10^(T309/10))+(10^(T309/10))))*10</f>
        <v>114.98970004336019</v>
      </c>
      <c r="U313" s="584">
        <f>(LOG((10^(U309/10))+(10^(U309/10))+(10^(U309/10))+(10^(U309/10))+(10^(U309/10))))*10</f>
        <v>115.98970004336019</v>
      </c>
      <c r="V313" s="584">
        <f>(LOG((10^(V309/10))+(10^(V309/10))+(10^(V309/10))+(10^(V309/10))+(10^(V309/10))))*10</f>
        <v>108.9897000433602</v>
      </c>
      <c r="W313" s="363"/>
      <c r="X313" s="363"/>
      <c r="Y313" s="363"/>
      <c r="Z313" s="364"/>
      <c r="AA313"/>
      <c r="AB313"/>
      <c r="AC313"/>
      <c r="AD313"/>
      <c r="AE313"/>
      <c r="AF313"/>
      <c r="AG313"/>
    </row>
    <row r="314" spans="17:33" ht="12.75" customHeight="1">
      <c r="Q314" s="364"/>
      <c r="R314" s="600">
        <v>6</v>
      </c>
      <c r="S314" s="584">
        <f>(LOG((10^(S309/10))+(10^(S309/10))+(10^(S309/10))+(10^(S309/10))+(10^(S309/10))+(10^(S309/10)))*10)</f>
        <v>123.78151250383645</v>
      </c>
      <c r="T314" s="584">
        <f>(LOG((10^(T309/10))+(10^(T309/10))+(10^(T309/10))+(10^(T309/10))+(10^(T309/10))+(10^(T309/10)))*10)</f>
        <v>115.78151250383644</v>
      </c>
      <c r="U314" s="584">
        <f>(LOG((10^(U309/10))+(10^(U309/10))+(10^(U309/10))+(10^(U309/10))+(10^(U309/10))+(10^(U309/10)))*10)</f>
        <v>116.78151250383644</v>
      </c>
      <c r="V314" s="584">
        <f>(LOG((10^(V309/10))+(10^(V309/10))+(10^(V309/10))+(10^(V309/10))+(10^(V309/10))+(10^(V309/10)))*10)</f>
        <v>109.78151250383645</v>
      </c>
      <c r="W314" s="363"/>
      <c r="X314" s="363"/>
      <c r="Y314" s="363"/>
      <c r="Z314" s="364"/>
      <c r="AA314"/>
      <c r="AB314"/>
      <c r="AC314"/>
      <c r="AD314"/>
      <c r="AE314"/>
      <c r="AF314"/>
      <c r="AG314"/>
    </row>
    <row r="315" spans="17:33" ht="12.75" customHeight="1" thickBot="1">
      <c r="Q315" s="364"/>
      <c r="R315" s="364"/>
      <c r="S315" s="364"/>
      <c r="T315" s="364"/>
      <c r="U315" s="364"/>
      <c r="V315" s="364"/>
      <c r="W315" s="364"/>
      <c r="X315" s="364"/>
      <c r="Y315" s="364"/>
      <c r="Z315" s="364"/>
      <c r="AA315"/>
      <c r="AB315"/>
      <c r="AC315"/>
      <c r="AD315"/>
      <c r="AE315"/>
      <c r="AF315"/>
      <c r="AG315"/>
    </row>
    <row r="316" spans="17:33" ht="12.75" customHeight="1" thickTop="1">
      <c r="Q316" s="364"/>
      <c r="R316" s="916" t="s">
        <v>428</v>
      </c>
      <c r="S316" s="917"/>
      <c r="T316" s="917"/>
      <c r="U316" s="917"/>
      <c r="V316" s="917"/>
      <c r="W316" s="918"/>
      <c r="X316" s="364"/>
      <c r="Y316" s="364"/>
      <c r="Z316" s="364"/>
      <c r="AA316"/>
      <c r="AB316"/>
      <c r="AC316"/>
      <c r="AD316"/>
      <c r="AE316"/>
      <c r="AF316"/>
      <c r="AG316"/>
    </row>
    <row r="317" spans="17:33" ht="12.75" customHeight="1">
      <c r="Q317" s="364"/>
      <c r="R317" s="919"/>
      <c r="S317" s="920"/>
      <c r="T317" s="920"/>
      <c r="U317" s="920"/>
      <c r="V317" s="920"/>
      <c r="W317" s="921"/>
      <c r="X317" s="364"/>
      <c r="Y317" s="364"/>
      <c r="Z317" s="364"/>
      <c r="AA317"/>
      <c r="AB317"/>
      <c r="AC317"/>
      <c r="AD317"/>
      <c r="AE317"/>
      <c r="AF317"/>
      <c r="AG317"/>
    </row>
    <row r="318" spans="17:33" ht="12.75" customHeight="1" thickBot="1">
      <c r="Q318" s="364"/>
      <c r="R318" s="922"/>
      <c r="S318" s="923"/>
      <c r="T318" s="923"/>
      <c r="U318" s="923"/>
      <c r="V318" s="923"/>
      <c r="W318" s="924"/>
      <c r="X318" s="364"/>
      <c r="Y318" s="364"/>
      <c r="Z318" s="364"/>
      <c r="AA318"/>
      <c r="AB318"/>
      <c r="AC318"/>
      <c r="AD318"/>
      <c r="AE318"/>
      <c r="AF318"/>
      <c r="AG318"/>
    </row>
    <row r="319" spans="17:33" ht="12.75" customHeight="1" thickTop="1">
      <c r="Q319" s="364"/>
      <c r="R319" s="925" t="str">
        <f>S306</f>
        <v>Seco S215</v>
      </c>
      <c r="S319" s="925"/>
      <c r="T319" s="925"/>
      <c r="U319" s="925"/>
      <c r="V319" s="925"/>
      <c r="W319" s="925"/>
      <c r="X319" s="364"/>
      <c r="Y319" s="364"/>
      <c r="Z319" s="364"/>
      <c r="AA319"/>
      <c r="AB319"/>
      <c r="AC319"/>
      <c r="AD319"/>
      <c r="AE319"/>
      <c r="AF319"/>
      <c r="AG319"/>
    </row>
    <row r="320" spans="17:33" ht="12.75" customHeight="1" thickBot="1">
      <c r="Q320" s="364"/>
      <c r="R320" s="910" t="s">
        <v>205</v>
      </c>
      <c r="S320" s="911"/>
      <c r="T320" s="911"/>
      <c r="U320" s="911"/>
      <c r="V320" s="911"/>
      <c r="W320" s="912"/>
      <c r="X320" s="364"/>
      <c r="Y320" s="364"/>
      <c r="Z320" s="364"/>
      <c r="AA320"/>
      <c r="AB320"/>
      <c r="AC320"/>
      <c r="AD320"/>
      <c r="AE320"/>
      <c r="AF320"/>
      <c r="AG320"/>
    </row>
    <row r="321" spans="17:33" ht="12.75" customHeight="1" thickBot="1">
      <c r="Q321" s="364"/>
      <c r="R321" s="686" t="s">
        <v>59</v>
      </c>
      <c r="S321" s="577"/>
      <c r="T321" s="687"/>
      <c r="U321" s="687"/>
      <c r="V321" s="687"/>
      <c r="W321" s="688"/>
      <c r="X321" s="364"/>
      <c r="Y321" s="364"/>
      <c r="Z321" s="364"/>
      <c r="AA321"/>
      <c r="AB321"/>
      <c r="AC321"/>
      <c r="AD321"/>
      <c r="AE321"/>
      <c r="AF321"/>
      <c r="AG321"/>
    </row>
    <row r="322" spans="17:33" ht="12.75" customHeight="1">
      <c r="Q322" s="364"/>
      <c r="R322" s="895" t="s">
        <v>845</v>
      </c>
      <c r="S322" s="896"/>
      <c r="T322" s="900" t="s">
        <v>835</v>
      </c>
      <c r="U322" s="900" t="s">
        <v>836</v>
      </c>
      <c r="V322" s="900" t="s">
        <v>837</v>
      </c>
      <c r="W322" s="902" t="s">
        <v>838</v>
      </c>
      <c r="X322" s="364"/>
      <c r="Y322" s="364"/>
      <c r="Z322" s="364"/>
      <c r="AA322"/>
      <c r="AB322"/>
      <c r="AC322"/>
      <c r="AD322"/>
      <c r="AE322"/>
      <c r="AF322"/>
      <c r="AG322"/>
    </row>
    <row r="323" spans="17:33" ht="12.75" customHeight="1">
      <c r="Q323" s="364"/>
      <c r="R323" s="892"/>
      <c r="S323" s="897"/>
      <c r="T323" s="904"/>
      <c r="U323" s="904"/>
      <c r="V323" s="904"/>
      <c r="W323" s="905"/>
      <c r="X323" s="364"/>
      <c r="Y323" s="364"/>
      <c r="Z323" s="364"/>
      <c r="AA323"/>
      <c r="AB323"/>
      <c r="AC323"/>
      <c r="AD323"/>
      <c r="AE323"/>
      <c r="AF323"/>
      <c r="AG323"/>
    </row>
    <row r="324" spans="17:33" ht="12.75" customHeight="1">
      <c r="Q324" s="364"/>
      <c r="R324" s="892"/>
      <c r="S324" s="897"/>
      <c r="T324" s="901"/>
      <c r="U324" s="901"/>
      <c r="V324" s="901"/>
      <c r="W324" s="903"/>
      <c r="X324" s="364"/>
      <c r="Y324" s="364"/>
      <c r="Z324" s="364"/>
      <c r="AA324"/>
      <c r="AB324"/>
      <c r="AC324"/>
      <c r="AD324"/>
      <c r="AE324"/>
      <c r="AF324"/>
      <c r="AG324"/>
    </row>
    <row r="325" spans="17:33" ht="12.75" customHeight="1">
      <c r="Q325" s="364"/>
      <c r="R325" s="892"/>
      <c r="S325" s="897"/>
      <c r="T325" s="689">
        <f>X69</f>
        <v>116</v>
      </c>
      <c r="U325" s="560">
        <f>X62</f>
        <v>1.4285714285714284</v>
      </c>
      <c r="V325" s="690">
        <f>IF(T325&gt;0,W325*U325," ")</f>
        <v>22857.142857142855</v>
      </c>
      <c r="W325" s="691">
        <f>IF(T325&gt;0,(VLOOKUP(T325,'Lookup Ready-reckoner'!$B$5:$E$1207,4))," ")</f>
        <v>16000</v>
      </c>
      <c r="X325" s="364"/>
      <c r="Y325" s="364"/>
      <c r="Z325" s="364"/>
      <c r="AA325"/>
      <c r="AB325"/>
      <c r="AC325"/>
      <c r="AD325"/>
      <c r="AE325"/>
      <c r="AF325"/>
      <c r="AG325"/>
    </row>
    <row r="326" spans="17:33" ht="12.75" customHeight="1">
      <c r="Q326" s="364"/>
      <c r="R326" s="898"/>
      <c r="S326" s="899"/>
      <c r="T326" s="447"/>
      <c r="U326" s="560"/>
      <c r="V326" s="690" t="str">
        <f>IF(T326&gt;0,W326*U326," ")</f>
        <v xml:space="preserve"> </v>
      </c>
      <c r="W326" s="691" t="str">
        <f>IF(T326&gt;0,(VLOOKUP(T326,'Lookup Ready-reckoner'!$B$5:$E$1007,4))," ")</f>
        <v xml:space="preserve"> </v>
      </c>
      <c r="X326" s="364"/>
      <c r="Y326" s="364"/>
      <c r="Z326" s="364"/>
      <c r="AA326"/>
      <c r="AB326"/>
      <c r="AC326"/>
      <c r="AD326"/>
      <c r="AE326"/>
      <c r="AF326"/>
      <c r="AG326"/>
    </row>
    <row r="327" spans="17:33" ht="12.75" customHeight="1" thickBot="1">
      <c r="Q327" s="364"/>
      <c r="R327" s="692" t="s">
        <v>839</v>
      </c>
      <c r="S327" s="693"/>
      <c r="T327" s="693"/>
      <c r="U327" s="694">
        <f>IF(T325&gt;0,(VLOOKUP(V327,'Lookup Ready-reckoner'!$L$5:$M$1207,2))," ")</f>
        <v>108.5</v>
      </c>
      <c r="V327" s="695">
        <f>IF(U325&gt;0,(SUM(V325:V326))," ")</f>
        <v>22857.142857142855</v>
      </c>
      <c r="W327" s="696"/>
      <c r="X327" s="364"/>
      <c r="Y327" s="364"/>
      <c r="Z327" s="364"/>
      <c r="AA327"/>
      <c r="AB327"/>
      <c r="AC327"/>
      <c r="AD327"/>
      <c r="AE327"/>
      <c r="AF327"/>
      <c r="AG327"/>
    </row>
    <row r="328" spans="17:33" ht="12.75" customHeight="1" thickBot="1">
      <c r="Q328" s="364"/>
      <c r="R328" s="892"/>
      <c r="S328" s="893"/>
      <c r="T328" s="893"/>
      <c r="U328" s="893"/>
      <c r="V328" s="893"/>
      <c r="W328" s="894"/>
      <c r="X328" s="364"/>
      <c r="Y328" s="364"/>
      <c r="Z328" s="364"/>
      <c r="AA328"/>
      <c r="AB328"/>
      <c r="AC328"/>
      <c r="AD328"/>
      <c r="AE328"/>
      <c r="AF328"/>
      <c r="AG328"/>
    </row>
    <row r="329" spans="17:33" ht="12.75" customHeight="1">
      <c r="Q329" s="364"/>
      <c r="R329" s="895" t="s">
        <v>886</v>
      </c>
      <c r="S329" s="896"/>
      <c r="T329" s="900" t="s">
        <v>835</v>
      </c>
      <c r="U329" s="900" t="s">
        <v>836</v>
      </c>
      <c r="V329" s="900" t="s">
        <v>837</v>
      </c>
      <c r="W329" s="902" t="s">
        <v>838</v>
      </c>
      <c r="X329" s="364"/>
      <c r="Y329" s="364"/>
      <c r="Z329" s="364"/>
      <c r="AA329"/>
      <c r="AB329"/>
      <c r="AC329"/>
      <c r="AD329"/>
      <c r="AE329"/>
      <c r="AF329"/>
      <c r="AG329"/>
    </row>
    <row r="330" spans="17:33" ht="12.75" customHeight="1">
      <c r="Q330" s="364"/>
      <c r="R330" s="892"/>
      <c r="S330" s="897"/>
      <c r="T330" s="901"/>
      <c r="U330" s="901"/>
      <c r="V330" s="901"/>
      <c r="W330" s="903"/>
      <c r="X330" s="364"/>
      <c r="Y330" s="364"/>
      <c r="Z330" s="364"/>
      <c r="AA330"/>
      <c r="AB330"/>
      <c r="AC330"/>
      <c r="AD330"/>
      <c r="AE330"/>
      <c r="AF330"/>
      <c r="AG330"/>
    </row>
    <row r="331" spans="17:33" ht="12.75" customHeight="1">
      <c r="Q331" s="364"/>
      <c r="R331" s="892"/>
      <c r="S331" s="897"/>
      <c r="T331" s="689">
        <f>T325*(1-0.0178*2)</f>
        <v>111.8704</v>
      </c>
      <c r="U331" s="560">
        <f>U325</f>
        <v>1.4285714285714284</v>
      </c>
      <c r="V331" s="690">
        <f>IF(T331&gt;0,W331*U331," ")</f>
        <v>8842.8571428571413</v>
      </c>
      <c r="W331" s="691">
        <f>IF(T331&gt;0,(VLOOKUP(T331,'Lookup Ready-reckoner'!$B$5:$E$1207,4))," ")</f>
        <v>6190</v>
      </c>
      <c r="X331" s="364"/>
      <c r="Y331" s="364"/>
      <c r="Z331" s="364"/>
      <c r="AA331"/>
      <c r="AB331"/>
      <c r="AC331"/>
      <c r="AD331"/>
      <c r="AE331"/>
      <c r="AF331"/>
      <c r="AG331"/>
    </row>
    <row r="332" spans="17:33" ht="12.75" customHeight="1">
      <c r="Q332" s="364"/>
      <c r="R332" s="898"/>
      <c r="S332" s="899"/>
      <c r="T332" s="447"/>
      <c r="U332" s="560"/>
      <c r="V332" s="690" t="str">
        <f>IF(T332&gt;0,W332*U332," ")</f>
        <v xml:space="preserve"> </v>
      </c>
      <c r="W332" s="691" t="str">
        <f>IF(T332&gt;0,(VLOOKUP(T332,'Lookup Ready-reckoner'!$B$5:$E$1007,4))," ")</f>
        <v xml:space="preserve"> </v>
      </c>
      <c r="X332" s="364"/>
      <c r="Y332" s="364"/>
      <c r="Z332" s="364"/>
      <c r="AA332"/>
      <c r="AB332"/>
      <c r="AC332"/>
      <c r="AD332"/>
      <c r="AE332"/>
      <c r="AF332"/>
      <c r="AG332"/>
    </row>
    <row r="333" spans="17:33" ht="12.75" customHeight="1" thickBot="1">
      <c r="Q333" s="364"/>
      <c r="R333" s="692" t="s">
        <v>839</v>
      </c>
      <c r="S333" s="693"/>
      <c r="T333" s="693"/>
      <c r="U333" s="694">
        <f>IF(T331&gt;0,(VLOOKUP(V333,'Lookup Ready-reckoner'!$L$5:$M$1207,2))," ")</f>
        <v>104.4</v>
      </c>
      <c r="V333" s="695">
        <f>IF(U331&gt;0,(SUM(V331:V332))," ")</f>
        <v>8842.8571428571413</v>
      </c>
      <c r="W333" s="696"/>
      <c r="X333" s="364"/>
      <c r="Y333" s="364"/>
      <c r="Z333" s="364"/>
      <c r="AA333"/>
      <c r="AB333"/>
      <c r="AC333"/>
      <c r="AD333"/>
      <c r="AE333"/>
      <c r="AF333"/>
      <c r="AG333"/>
    </row>
    <row r="334" spans="17:33" ht="12.75" customHeight="1">
      <c r="Q334" s="364"/>
      <c r="R334" s="697"/>
      <c r="S334" s="687"/>
      <c r="T334" s="687"/>
      <c r="U334" s="372"/>
      <c r="V334" s="374"/>
      <c r="W334" s="688"/>
      <c r="X334" s="364"/>
      <c r="Y334" s="364"/>
      <c r="Z334" s="364"/>
      <c r="AA334"/>
      <c r="AB334"/>
      <c r="AC334"/>
      <c r="AD334"/>
      <c r="AE334"/>
      <c r="AF334"/>
      <c r="AG334"/>
    </row>
    <row r="335" spans="17:33" ht="12.75" customHeight="1" thickBot="1">
      <c r="Q335" s="364"/>
      <c r="R335" s="686" t="s">
        <v>60</v>
      </c>
      <c r="S335" s="577"/>
      <c r="T335" s="577"/>
      <c r="U335" s="577"/>
      <c r="V335" s="577"/>
      <c r="W335" s="698"/>
      <c r="X335" s="364"/>
      <c r="Y335" s="364"/>
      <c r="Z335" s="364"/>
      <c r="AA335"/>
      <c r="AB335"/>
      <c r="AC335"/>
      <c r="AD335"/>
      <c r="AE335"/>
      <c r="AF335"/>
      <c r="AG335"/>
    </row>
    <row r="336" spans="17:33" ht="12.75" customHeight="1">
      <c r="Q336" s="364"/>
      <c r="R336" s="895" t="s">
        <v>845</v>
      </c>
      <c r="S336" s="896"/>
      <c r="T336" s="900" t="s">
        <v>835</v>
      </c>
      <c r="U336" s="900" t="s">
        <v>836</v>
      </c>
      <c r="V336" s="900" t="s">
        <v>837</v>
      </c>
      <c r="W336" s="902" t="s">
        <v>838</v>
      </c>
      <c r="X336" s="364"/>
      <c r="Y336" s="364"/>
      <c r="Z336" s="364"/>
      <c r="AA336"/>
      <c r="AB336"/>
      <c r="AC336"/>
      <c r="AD336"/>
      <c r="AE336"/>
      <c r="AF336"/>
      <c r="AG336"/>
    </row>
    <row r="337" spans="17:33" ht="12.75" customHeight="1">
      <c r="Q337" s="364"/>
      <c r="R337" s="892"/>
      <c r="S337" s="897"/>
      <c r="T337" s="901"/>
      <c r="U337" s="901"/>
      <c r="V337" s="901"/>
      <c r="W337" s="903"/>
      <c r="X337" s="364"/>
      <c r="Y337" s="364"/>
      <c r="Z337" s="364"/>
      <c r="AA337"/>
      <c r="AB337"/>
      <c r="AC337"/>
      <c r="AD337"/>
      <c r="AE337"/>
      <c r="AF337"/>
      <c r="AG337"/>
    </row>
    <row r="338" spans="17:33" ht="12.75" customHeight="1">
      <c r="Q338" s="364"/>
      <c r="R338" s="892"/>
      <c r="S338" s="897"/>
      <c r="T338" s="689">
        <f>T325-PPE!$I$15</f>
        <v>103</v>
      </c>
      <c r="U338" s="560">
        <f>U331</f>
        <v>1.4285714285714284</v>
      </c>
      <c r="V338" s="690">
        <f>IF(T338&gt;0,W338*U338," ")</f>
        <v>1142.8571428571427</v>
      </c>
      <c r="W338" s="691">
        <f>IF(T338&gt;0,(VLOOKUP(T338,'Lookup Ready-reckoner'!$B$5:$E$1207,4))," ")</f>
        <v>800</v>
      </c>
      <c r="X338" s="364"/>
      <c r="Y338" s="364"/>
      <c r="Z338" s="364"/>
      <c r="AA338"/>
      <c r="AB338"/>
      <c r="AC338"/>
      <c r="AD338"/>
      <c r="AE338"/>
      <c r="AF338"/>
      <c r="AG338"/>
    </row>
    <row r="339" spans="17:33" ht="12.75" customHeight="1">
      <c r="Q339" s="364"/>
      <c r="R339" s="898"/>
      <c r="S339" s="899"/>
      <c r="T339" s="447"/>
      <c r="U339" s="560"/>
      <c r="V339" s="690" t="str">
        <f>IF(T339&gt;0,W339*U339," ")</f>
        <v xml:space="preserve"> </v>
      </c>
      <c r="W339" s="691" t="str">
        <f>IF(T339&gt;0,(VLOOKUP(T339,'Lookup Ready-reckoner'!$B$5:$E$1007,4))," ")</f>
        <v xml:space="preserve"> </v>
      </c>
      <c r="X339" s="364"/>
      <c r="Y339" s="364"/>
      <c r="Z339" s="364"/>
      <c r="AA339"/>
      <c r="AB339"/>
      <c r="AC339"/>
      <c r="AD339"/>
      <c r="AE339"/>
      <c r="AF339"/>
      <c r="AG339"/>
    </row>
    <row r="340" spans="17:33" ht="12.75" customHeight="1" thickBot="1">
      <c r="Q340" s="364"/>
      <c r="R340" s="699" t="s">
        <v>839</v>
      </c>
      <c r="S340" s="693"/>
      <c r="T340" s="693"/>
      <c r="U340" s="694">
        <f>IF(T338&gt;0,(VLOOKUP(V340,'Lookup Ready-reckoner'!$L$5:$M$1207,2))," ")</f>
        <v>95.55</v>
      </c>
      <c r="V340" s="695">
        <f>IF(U338&gt;0,(SUM(V338:V339))," ")</f>
        <v>1142.8571428571427</v>
      </c>
      <c r="W340" s="696"/>
      <c r="X340" s="364"/>
      <c r="Y340" s="364"/>
      <c r="Z340" s="364"/>
      <c r="AA340"/>
      <c r="AB340"/>
      <c r="AC340"/>
      <c r="AD340"/>
      <c r="AE340"/>
      <c r="AF340"/>
      <c r="AG340"/>
    </row>
    <row r="341" spans="17:33" ht="12.75" customHeight="1" thickBot="1">
      <c r="Q341" s="364"/>
      <c r="R341" s="892"/>
      <c r="S341" s="893"/>
      <c r="T341" s="893"/>
      <c r="U341" s="893"/>
      <c r="V341" s="893"/>
      <c r="W341" s="894"/>
      <c r="X341" s="364"/>
      <c r="Y341" s="364"/>
      <c r="Z341" s="364"/>
      <c r="AA341"/>
      <c r="AB341"/>
      <c r="AC341"/>
      <c r="AD341"/>
      <c r="AE341"/>
      <c r="AF341"/>
      <c r="AG341"/>
    </row>
    <row r="342" spans="17:33" ht="12.75" customHeight="1">
      <c r="Q342" s="364"/>
      <c r="R342" s="895" t="s">
        <v>886</v>
      </c>
      <c r="S342" s="896"/>
      <c r="T342" s="900" t="s">
        <v>835</v>
      </c>
      <c r="U342" s="900" t="s">
        <v>836</v>
      </c>
      <c r="V342" s="900" t="s">
        <v>837</v>
      </c>
      <c r="W342" s="902" t="s">
        <v>838</v>
      </c>
      <c r="X342" s="364"/>
      <c r="Y342" s="364"/>
      <c r="Z342" s="364"/>
      <c r="AA342"/>
      <c r="AB342"/>
      <c r="AC342"/>
      <c r="AD342"/>
      <c r="AE342"/>
      <c r="AF342"/>
      <c r="AG342"/>
    </row>
    <row r="343" spans="17:33" ht="12.75" customHeight="1">
      <c r="Q343" s="364"/>
      <c r="R343" s="892"/>
      <c r="S343" s="897"/>
      <c r="T343" s="901"/>
      <c r="U343" s="901"/>
      <c r="V343" s="901"/>
      <c r="W343" s="903"/>
      <c r="X343" s="364"/>
      <c r="Y343" s="364"/>
      <c r="Z343" s="364"/>
      <c r="AA343"/>
      <c r="AB343"/>
      <c r="AC343"/>
      <c r="AD343"/>
      <c r="AE343"/>
      <c r="AF343"/>
      <c r="AG343"/>
    </row>
    <row r="344" spans="17:33" ht="12.75" customHeight="1">
      <c r="Q344" s="364"/>
      <c r="R344" s="892"/>
      <c r="S344" s="897"/>
      <c r="T344" s="689">
        <f>T331-PPE!$I$15</f>
        <v>98.870400000000004</v>
      </c>
      <c r="U344" s="560">
        <f>U338</f>
        <v>1.4285714285714284</v>
      </c>
      <c r="V344" s="690">
        <f>IF(T344&gt;0,W344*U344," ")</f>
        <v>433.03571428571422</v>
      </c>
      <c r="W344" s="691">
        <f>IF(T344&gt;0,(VLOOKUP(T344,'Lookup Ready-reckoner'!$B$5:$E$1207,4))," ")</f>
        <v>303.125</v>
      </c>
      <c r="X344" s="364"/>
      <c r="Y344" s="364"/>
      <c r="Z344" s="364"/>
      <c r="AA344"/>
      <c r="AB344"/>
      <c r="AC344"/>
      <c r="AD344"/>
      <c r="AE344"/>
      <c r="AF344"/>
      <c r="AG344"/>
    </row>
    <row r="345" spans="17:33" ht="12.75" customHeight="1">
      <c r="Q345" s="364"/>
      <c r="R345" s="898"/>
      <c r="S345" s="899"/>
      <c r="T345" s="447"/>
      <c r="U345" s="560"/>
      <c r="V345" s="690" t="str">
        <f>IF(T345&gt;0,W345*U345," ")</f>
        <v xml:space="preserve"> </v>
      </c>
      <c r="W345" s="691" t="str">
        <f>IF(T345&gt;0,(VLOOKUP(T345,'Lookup Ready-reckoner'!$B$5:$E$1007,4))," ")</f>
        <v xml:space="preserve"> </v>
      </c>
      <c r="X345" s="364"/>
      <c r="Y345" s="364"/>
      <c r="Z345" s="364"/>
      <c r="AA345"/>
      <c r="AB345"/>
      <c r="AC345"/>
      <c r="AD345"/>
      <c r="AE345"/>
      <c r="AF345"/>
      <c r="AG345"/>
    </row>
    <row r="346" spans="17:33" ht="12.75" customHeight="1" thickBot="1">
      <c r="Q346" s="364"/>
      <c r="R346" s="692" t="s">
        <v>839</v>
      </c>
      <c r="S346" s="693"/>
      <c r="T346" s="693"/>
      <c r="U346" s="694">
        <f>IF(T344&gt;0,(VLOOKUP(V346,'Lookup Ready-reckoner'!$L$5:$M$1207,2))," ")</f>
        <v>91.3</v>
      </c>
      <c r="V346" s="695">
        <f>IF(U344&gt;0,(SUM(V344:V345))," ")</f>
        <v>433.03571428571422</v>
      </c>
      <c r="W346" s="696"/>
      <c r="X346" s="364"/>
      <c r="Y346" s="364"/>
      <c r="Z346" s="364"/>
      <c r="AA346"/>
      <c r="AB346"/>
      <c r="AC346"/>
      <c r="AD346"/>
      <c r="AE346"/>
      <c r="AF346"/>
      <c r="AG346"/>
    </row>
    <row r="347" spans="17:33" ht="12.75" customHeight="1">
      <c r="Q347" s="364"/>
      <c r="R347" s="363"/>
      <c r="S347" s="363"/>
      <c r="T347" s="363"/>
      <c r="U347" s="363"/>
      <c r="V347" s="363"/>
      <c r="W347" s="363"/>
      <c r="X347" s="364"/>
      <c r="Y347" s="364"/>
      <c r="Z347" s="364"/>
      <c r="AA347"/>
      <c r="AB347"/>
      <c r="AC347"/>
      <c r="AD347"/>
      <c r="AE347"/>
      <c r="AF347"/>
      <c r="AG347"/>
    </row>
    <row r="348" spans="17:33" ht="12.75" customHeight="1" thickBot="1">
      <c r="Q348" s="364"/>
      <c r="R348" s="915" t="str">
        <f>T306</f>
        <v>Seco S215 Muffled</v>
      </c>
      <c r="S348" s="915"/>
      <c r="T348" s="915"/>
      <c r="U348" s="915"/>
      <c r="V348" s="915"/>
      <c r="W348" s="915"/>
      <c r="X348" s="364"/>
      <c r="Y348" s="363"/>
      <c r="Z348" s="363"/>
      <c r="AA348"/>
      <c r="AB348"/>
      <c r="AC348"/>
      <c r="AD348"/>
      <c r="AE348"/>
      <c r="AF348"/>
      <c r="AG348"/>
    </row>
    <row r="349" spans="17:33" ht="12.75" customHeight="1" thickBot="1">
      <c r="Q349" s="364"/>
      <c r="R349" s="906" t="s">
        <v>205</v>
      </c>
      <c r="S349" s="907"/>
      <c r="T349" s="907"/>
      <c r="U349" s="907"/>
      <c r="V349" s="907"/>
      <c r="W349" s="908"/>
      <c r="X349" s="364"/>
      <c r="Y349" s="363"/>
      <c r="Z349" s="363"/>
      <c r="AA349"/>
      <c r="AB349"/>
      <c r="AC349"/>
      <c r="AD349"/>
      <c r="AE349"/>
      <c r="AF349"/>
      <c r="AG349"/>
    </row>
    <row r="350" spans="17:33" ht="12.75" customHeight="1" thickBot="1">
      <c r="Q350" s="364"/>
      <c r="R350" s="686" t="s">
        <v>59</v>
      </c>
      <c r="S350" s="577"/>
      <c r="T350" s="687"/>
      <c r="U350" s="687"/>
      <c r="V350" s="687"/>
      <c r="W350" s="688"/>
      <c r="X350" s="364"/>
      <c r="Y350" s="363"/>
      <c r="Z350" s="363"/>
      <c r="AA350"/>
      <c r="AB350"/>
      <c r="AC350"/>
      <c r="AD350"/>
      <c r="AE350"/>
      <c r="AF350"/>
      <c r="AG350"/>
    </row>
    <row r="351" spans="17:33" ht="12.75" customHeight="1">
      <c r="Q351" s="364"/>
      <c r="R351" s="895" t="s">
        <v>845</v>
      </c>
      <c r="S351" s="896"/>
      <c r="T351" s="900" t="s">
        <v>835</v>
      </c>
      <c r="U351" s="900" t="s">
        <v>836</v>
      </c>
      <c r="V351" s="900" t="s">
        <v>837</v>
      </c>
      <c r="W351" s="902" t="s">
        <v>838</v>
      </c>
      <c r="X351" s="364"/>
      <c r="Y351" s="363"/>
      <c r="Z351" s="363"/>
      <c r="AA351"/>
      <c r="AB351"/>
      <c r="AC351"/>
      <c r="AD351"/>
      <c r="AE351"/>
      <c r="AF351"/>
      <c r="AG351"/>
    </row>
    <row r="352" spans="17:33" ht="12.75" customHeight="1">
      <c r="Q352" s="364"/>
      <c r="R352" s="892"/>
      <c r="S352" s="897"/>
      <c r="T352" s="904"/>
      <c r="U352" s="904"/>
      <c r="V352" s="904"/>
      <c r="W352" s="905"/>
      <c r="X352" s="364"/>
      <c r="Y352" s="363"/>
      <c r="Z352" s="363"/>
      <c r="AA352"/>
      <c r="AB352"/>
      <c r="AC352"/>
      <c r="AD352"/>
      <c r="AE352"/>
      <c r="AF352"/>
      <c r="AG352"/>
    </row>
    <row r="353" spans="17:33" ht="12.75" customHeight="1">
      <c r="Q353" s="364"/>
      <c r="R353" s="892"/>
      <c r="S353" s="897"/>
      <c r="T353" s="901"/>
      <c r="U353" s="901"/>
      <c r="V353" s="901"/>
      <c r="W353" s="903"/>
      <c r="X353" s="364"/>
      <c r="Y353" s="363"/>
      <c r="Z353" s="363"/>
      <c r="AA353"/>
      <c r="AB353"/>
      <c r="AC353"/>
      <c r="AD353"/>
      <c r="AE353"/>
      <c r="AF353"/>
      <c r="AG353"/>
    </row>
    <row r="354" spans="17:33" ht="12.75" customHeight="1">
      <c r="Q354" s="364"/>
      <c r="R354" s="892"/>
      <c r="S354" s="897"/>
      <c r="T354" s="700">
        <f>V69</f>
        <v>108</v>
      </c>
      <c r="U354" s="560">
        <f>V62</f>
        <v>1.9999999999999996</v>
      </c>
      <c r="V354" s="690">
        <f>IF(T354&gt;0,W354*U354," ")</f>
        <v>4999.9999999999991</v>
      </c>
      <c r="W354" s="691">
        <f>IF(T354&gt;0,(VLOOKUP(T354,'Lookup Ready-reckoner'!$B$5:$E$1207,4))," ")</f>
        <v>2500</v>
      </c>
      <c r="X354" s="364"/>
      <c r="Y354" s="363"/>
      <c r="Z354" s="363"/>
      <c r="AA354"/>
      <c r="AB354"/>
      <c r="AC354"/>
      <c r="AD354"/>
      <c r="AE354"/>
      <c r="AF354"/>
      <c r="AG354"/>
    </row>
    <row r="355" spans="17:33" ht="12.75" customHeight="1">
      <c r="Q355" s="364"/>
      <c r="R355" s="898"/>
      <c r="S355" s="899"/>
      <c r="T355" s="447"/>
      <c r="U355" s="560"/>
      <c r="V355" s="690" t="str">
        <f>IF(T355&gt;0,W355*U355," ")</f>
        <v xml:space="preserve"> </v>
      </c>
      <c r="W355" s="691" t="str">
        <f>IF(T355&gt;0,(VLOOKUP(T355,'Lookup Ready-reckoner'!$B$5:$E$1007,4))," ")</f>
        <v xml:space="preserve"> </v>
      </c>
      <c r="X355" s="364"/>
      <c r="Y355" s="363"/>
      <c r="Z355" s="363"/>
      <c r="AA355"/>
      <c r="AB355"/>
      <c r="AC355"/>
      <c r="AD355"/>
      <c r="AE355"/>
      <c r="AF355"/>
      <c r="AG355"/>
    </row>
    <row r="356" spans="17:33" ht="12.75" customHeight="1" thickBot="1">
      <c r="Q356" s="364"/>
      <c r="R356" s="699" t="s">
        <v>839</v>
      </c>
      <c r="S356" s="693"/>
      <c r="T356" s="693"/>
      <c r="U356" s="701">
        <f>IF(T354&gt;0,(VLOOKUP(V356,'Lookup Ready-reckoner'!$L$5:$M$1207,2))," ")</f>
        <v>101.95</v>
      </c>
      <c r="V356" s="695">
        <f>IF(U354&gt;0,(SUM(V354:V355))," ")</f>
        <v>4999.9999999999991</v>
      </c>
      <c r="W356" s="696"/>
      <c r="X356" s="364"/>
      <c r="Y356" s="363"/>
      <c r="Z356" s="363"/>
      <c r="AA356"/>
      <c r="AB356"/>
      <c r="AC356"/>
      <c r="AD356"/>
      <c r="AE356"/>
      <c r="AF356"/>
      <c r="AG356"/>
    </row>
    <row r="357" spans="17:33" ht="12.75" customHeight="1" thickBot="1">
      <c r="Q357" s="364"/>
      <c r="R357" s="892"/>
      <c r="S357" s="893"/>
      <c r="T357" s="893"/>
      <c r="U357" s="893"/>
      <c r="V357" s="893"/>
      <c r="W357" s="894"/>
      <c r="X357" s="364"/>
      <c r="Y357" s="363"/>
      <c r="Z357" s="363"/>
      <c r="AA357"/>
      <c r="AB357"/>
      <c r="AC357"/>
      <c r="AD357"/>
      <c r="AE357"/>
      <c r="AF357"/>
      <c r="AG357"/>
    </row>
    <row r="358" spans="17:33" ht="12.75" customHeight="1">
      <c r="Q358" s="364"/>
      <c r="R358" s="895" t="s">
        <v>886</v>
      </c>
      <c r="S358" s="896"/>
      <c r="T358" s="900" t="s">
        <v>835</v>
      </c>
      <c r="U358" s="900" t="s">
        <v>836</v>
      </c>
      <c r="V358" s="900" t="s">
        <v>837</v>
      </c>
      <c r="W358" s="902" t="s">
        <v>838</v>
      </c>
      <c r="X358" s="364"/>
      <c r="Y358" s="363"/>
      <c r="Z358" s="363"/>
      <c r="AA358"/>
      <c r="AB358"/>
      <c r="AC358"/>
      <c r="AD358"/>
      <c r="AE358"/>
      <c r="AF358"/>
      <c r="AG358"/>
    </row>
    <row r="359" spans="17:33" ht="12.75" customHeight="1">
      <c r="Q359" s="364"/>
      <c r="R359" s="892"/>
      <c r="S359" s="897"/>
      <c r="T359" s="901"/>
      <c r="U359" s="901"/>
      <c r="V359" s="901"/>
      <c r="W359" s="903"/>
      <c r="X359" s="364"/>
      <c r="Y359" s="363"/>
      <c r="Z359" s="363"/>
      <c r="AA359"/>
      <c r="AB359"/>
      <c r="AC359"/>
      <c r="AD359"/>
      <c r="AE359"/>
      <c r="AF359"/>
      <c r="AG359"/>
    </row>
    <row r="360" spans="17:33" ht="12.75" customHeight="1">
      <c r="Q360" s="364"/>
      <c r="R360" s="892"/>
      <c r="S360" s="897"/>
      <c r="T360" s="700">
        <f>T354*(1-0.0178*2)</f>
        <v>104.15520000000001</v>
      </c>
      <c r="U360" s="560">
        <f>U354</f>
        <v>1.9999999999999996</v>
      </c>
      <c r="V360" s="690">
        <f>IF(T360&gt;0,W360*U360," ")</f>
        <v>2074.9999999999995</v>
      </c>
      <c r="W360" s="691">
        <f>IF(T360&gt;0,(VLOOKUP(T360,'Lookup Ready-reckoner'!$B$5:$E$1207,4))," ")</f>
        <v>1037.5</v>
      </c>
      <c r="X360" s="364"/>
      <c r="Y360" s="363"/>
      <c r="Z360" s="363"/>
      <c r="AA360"/>
      <c r="AB360"/>
      <c r="AC360"/>
      <c r="AD360"/>
      <c r="AE360"/>
      <c r="AF360"/>
      <c r="AG360"/>
    </row>
    <row r="361" spans="17:33" ht="12.75" customHeight="1">
      <c r="Q361" s="364"/>
      <c r="R361" s="898"/>
      <c r="S361" s="899"/>
      <c r="T361" s="447"/>
      <c r="U361" s="560"/>
      <c r="V361" s="690" t="str">
        <f>IF(T361&gt;0,W361*U361," ")</f>
        <v xml:space="preserve"> </v>
      </c>
      <c r="W361" s="691" t="str">
        <f>IF(T361&gt;0,(VLOOKUP(T361,'Lookup Ready-reckoner'!$B$5:$E$1007,4))," ")</f>
        <v xml:space="preserve"> </v>
      </c>
      <c r="X361" s="364"/>
      <c r="Y361" s="363"/>
      <c r="Z361" s="363"/>
      <c r="AA361"/>
      <c r="AB361"/>
      <c r="AC361"/>
      <c r="AD361"/>
      <c r="AE361"/>
      <c r="AF361"/>
      <c r="AG361"/>
    </row>
    <row r="362" spans="17:33" ht="12.75" customHeight="1" thickBot="1">
      <c r="Q362" s="364"/>
      <c r="R362" s="692" t="s">
        <v>839</v>
      </c>
      <c r="S362" s="693"/>
      <c r="T362" s="693"/>
      <c r="U362" s="701">
        <f>IF(T360&gt;0,(VLOOKUP(V362,'Lookup Ready-reckoner'!$L$5:$M$1207,2))," ")</f>
        <v>98.1</v>
      </c>
      <c r="V362" s="695">
        <f>IF(U360&gt;0,(SUM(V360:V361))," ")</f>
        <v>2074.9999999999995</v>
      </c>
      <c r="W362" s="696"/>
      <c r="X362" s="364"/>
      <c r="Y362" s="363"/>
      <c r="Z362" s="363"/>
      <c r="AA362"/>
      <c r="AB362"/>
      <c r="AC362"/>
      <c r="AD362"/>
      <c r="AE362"/>
      <c r="AF362"/>
      <c r="AG362"/>
    </row>
    <row r="363" spans="17:33" ht="12.75" customHeight="1">
      <c r="Q363" s="364"/>
      <c r="R363" s="697"/>
      <c r="S363" s="687"/>
      <c r="T363" s="687"/>
      <c r="U363" s="372"/>
      <c r="V363" s="374"/>
      <c r="W363" s="688"/>
      <c r="X363" s="364"/>
      <c r="Y363" s="363"/>
      <c r="Z363" s="363"/>
      <c r="AA363"/>
      <c r="AB363"/>
      <c r="AC363"/>
      <c r="AD363"/>
      <c r="AE363"/>
      <c r="AF363"/>
      <c r="AG363"/>
    </row>
    <row r="364" spans="17:33" ht="12.75" customHeight="1" thickBot="1">
      <c r="Q364" s="364"/>
      <c r="R364" s="686" t="s">
        <v>60</v>
      </c>
      <c r="S364" s="577"/>
      <c r="T364" s="577"/>
      <c r="U364" s="577"/>
      <c r="V364" s="577"/>
      <c r="W364" s="698"/>
      <c r="X364" s="364"/>
      <c r="Y364" s="363"/>
      <c r="Z364" s="363"/>
      <c r="AA364"/>
      <c r="AB364"/>
      <c r="AC364"/>
      <c r="AD364"/>
      <c r="AE364"/>
      <c r="AF364"/>
      <c r="AG364"/>
    </row>
    <row r="365" spans="17:33" ht="12.75" customHeight="1">
      <c r="Q365" s="364"/>
      <c r="R365" s="895" t="s">
        <v>845</v>
      </c>
      <c r="S365" s="896"/>
      <c r="T365" s="900" t="s">
        <v>835</v>
      </c>
      <c r="U365" s="900" t="s">
        <v>836</v>
      </c>
      <c r="V365" s="900" t="s">
        <v>837</v>
      </c>
      <c r="W365" s="902" t="s">
        <v>838</v>
      </c>
      <c r="X365" s="364"/>
      <c r="Y365" s="363"/>
      <c r="Z365" s="363"/>
      <c r="AA365"/>
      <c r="AB365"/>
      <c r="AC365"/>
      <c r="AD365"/>
      <c r="AE365"/>
      <c r="AF365"/>
      <c r="AG365"/>
    </row>
    <row r="366" spans="17:33" ht="12.75" customHeight="1">
      <c r="Q366" s="364"/>
      <c r="R366" s="892"/>
      <c r="S366" s="897"/>
      <c r="T366" s="901"/>
      <c r="U366" s="901"/>
      <c r="V366" s="901"/>
      <c r="W366" s="903"/>
      <c r="X366" s="364"/>
      <c r="Y366" s="363"/>
      <c r="Z366" s="363"/>
      <c r="AA366"/>
      <c r="AB366"/>
      <c r="AC366"/>
      <c r="AD366"/>
      <c r="AE366"/>
      <c r="AF366"/>
      <c r="AG366"/>
    </row>
    <row r="367" spans="17:33" ht="12.75" customHeight="1">
      <c r="Q367" s="364"/>
      <c r="R367" s="892"/>
      <c r="S367" s="897"/>
      <c r="T367" s="700">
        <f>T354-PPE!$I$15</f>
        <v>95</v>
      </c>
      <c r="U367" s="560">
        <f>U360</f>
        <v>1.9999999999999996</v>
      </c>
      <c r="V367" s="690">
        <f>IF(T367&gt;0,W367*U367," ")</f>
        <v>249.99999999999994</v>
      </c>
      <c r="W367" s="691">
        <f>IF(T367&gt;0,(VLOOKUP(T367,'Lookup Ready-reckoner'!$B$5:$E$1207,4))," ")</f>
        <v>125</v>
      </c>
      <c r="X367" s="364"/>
      <c r="Y367" s="363"/>
      <c r="Z367" s="363"/>
      <c r="AA367"/>
      <c r="AB367"/>
      <c r="AC367"/>
      <c r="AD367"/>
      <c r="AE367"/>
      <c r="AF367"/>
      <c r="AG367"/>
    </row>
    <row r="368" spans="17:33" ht="12.75" customHeight="1">
      <c r="Q368" s="364"/>
      <c r="R368" s="898"/>
      <c r="S368" s="899"/>
      <c r="T368" s="447"/>
      <c r="U368" s="560"/>
      <c r="V368" s="690" t="str">
        <f>IF(T368&gt;0,W368*U368," ")</f>
        <v xml:space="preserve"> </v>
      </c>
      <c r="W368" s="691" t="str">
        <f>IF(T368&gt;0,(VLOOKUP(T368,'Lookup Ready-reckoner'!$B$5:$E$1007,4))," ")</f>
        <v xml:space="preserve"> </v>
      </c>
      <c r="X368" s="364"/>
      <c r="Y368" s="363"/>
      <c r="Z368" s="363"/>
      <c r="AA368"/>
      <c r="AB368"/>
      <c r="AC368"/>
      <c r="AD368"/>
      <c r="AE368"/>
      <c r="AF368"/>
      <c r="AG368"/>
    </row>
    <row r="369" spans="17:33" ht="12.75" customHeight="1" thickBot="1">
      <c r="Q369" s="364"/>
      <c r="R369" s="692" t="s">
        <v>839</v>
      </c>
      <c r="S369" s="693"/>
      <c r="T369" s="693"/>
      <c r="U369" s="701">
        <f>IF(T367&gt;0,(VLOOKUP(V369,'Lookup Ready-reckoner'!$L$5:$M$1207,2))," ")</f>
        <v>88.95</v>
      </c>
      <c r="V369" s="695">
        <f>IF(U367&gt;0,(SUM(V367:V368))," ")</f>
        <v>249.99999999999994</v>
      </c>
      <c r="W369" s="696"/>
      <c r="X369" s="364"/>
      <c r="Y369" s="363"/>
      <c r="Z369" s="363"/>
      <c r="AA369"/>
      <c r="AB369"/>
      <c r="AC369"/>
      <c r="AD369"/>
      <c r="AE369"/>
      <c r="AF369"/>
      <c r="AG369"/>
    </row>
    <row r="370" spans="17:33" ht="12.75" customHeight="1" thickBot="1">
      <c r="Q370" s="364"/>
      <c r="R370" s="892"/>
      <c r="S370" s="893"/>
      <c r="T370" s="893"/>
      <c r="U370" s="893"/>
      <c r="V370" s="893"/>
      <c r="W370" s="894"/>
      <c r="X370" s="364"/>
      <c r="Y370" s="363"/>
      <c r="Z370" s="363"/>
      <c r="AA370"/>
      <c r="AB370"/>
      <c r="AC370"/>
      <c r="AD370"/>
      <c r="AE370"/>
      <c r="AF370"/>
      <c r="AG370"/>
    </row>
    <row r="371" spans="17:33" ht="12.75" customHeight="1">
      <c r="Q371" s="364"/>
      <c r="R371" s="895" t="s">
        <v>886</v>
      </c>
      <c r="S371" s="896"/>
      <c r="T371" s="900" t="s">
        <v>835</v>
      </c>
      <c r="U371" s="900" t="s">
        <v>836</v>
      </c>
      <c r="V371" s="900" t="s">
        <v>837</v>
      </c>
      <c r="W371" s="902" t="s">
        <v>838</v>
      </c>
      <c r="X371" s="364"/>
      <c r="Y371" s="363"/>
      <c r="Z371" s="363"/>
      <c r="AA371"/>
      <c r="AB371"/>
      <c r="AC371"/>
      <c r="AD371"/>
      <c r="AE371"/>
      <c r="AF371"/>
      <c r="AG371"/>
    </row>
    <row r="372" spans="17:33" ht="12.75" customHeight="1">
      <c r="Q372" s="364"/>
      <c r="R372" s="892"/>
      <c r="S372" s="897"/>
      <c r="T372" s="901"/>
      <c r="U372" s="901"/>
      <c r="V372" s="901"/>
      <c r="W372" s="903"/>
      <c r="X372" s="364"/>
      <c r="Y372" s="363"/>
      <c r="Z372" s="363"/>
      <c r="AA372"/>
      <c r="AB372"/>
      <c r="AC372"/>
      <c r="AD372"/>
      <c r="AE372"/>
      <c r="AF372"/>
      <c r="AG372"/>
    </row>
    <row r="373" spans="17:33" ht="12.75" customHeight="1">
      <c r="Q373" s="364"/>
      <c r="R373" s="892"/>
      <c r="S373" s="897"/>
      <c r="T373" s="700">
        <f>T360-PPE!$I$15</f>
        <v>91.155200000000008</v>
      </c>
      <c r="U373" s="560">
        <f>U367</f>
        <v>1.9999999999999996</v>
      </c>
      <c r="V373" s="690">
        <f>IF(T373&gt;0,W373*U373," ")</f>
        <v>103.74999999999997</v>
      </c>
      <c r="W373" s="691">
        <f>IF(T373&gt;0,(VLOOKUP(T373,'Lookup Ready-reckoner'!$B$5:$E$1207,4))," ")</f>
        <v>51.875</v>
      </c>
      <c r="X373" s="364"/>
      <c r="Y373" s="363"/>
      <c r="Z373" s="363"/>
      <c r="AA373"/>
      <c r="AB373"/>
      <c r="AC373"/>
      <c r="AD373"/>
      <c r="AE373"/>
      <c r="AF373"/>
      <c r="AG373"/>
    </row>
    <row r="374" spans="17:33" ht="12.75" customHeight="1">
      <c r="Q374" s="364"/>
      <c r="R374" s="898"/>
      <c r="S374" s="899"/>
      <c r="T374" s="447"/>
      <c r="U374" s="560"/>
      <c r="V374" s="690" t="str">
        <f>IF(T374&gt;0,W374*U374," ")</f>
        <v xml:space="preserve"> </v>
      </c>
      <c r="W374" s="691" t="str">
        <f>IF(T374&gt;0,(VLOOKUP(T374,'Lookup Ready-reckoner'!$B$5:$E$1007,4))," ")</f>
        <v xml:space="preserve"> </v>
      </c>
      <c r="X374" s="364"/>
      <c r="Y374" s="363"/>
      <c r="Z374" s="363"/>
      <c r="AA374"/>
      <c r="AB374"/>
      <c r="AC374"/>
      <c r="AD374"/>
      <c r="AE374"/>
      <c r="AF374"/>
      <c r="AG374"/>
    </row>
    <row r="375" spans="17:33" ht="12.75" customHeight="1" thickBot="1">
      <c r="Q375" s="364"/>
      <c r="R375" s="692" t="s">
        <v>839</v>
      </c>
      <c r="S375" s="693"/>
      <c r="T375" s="693"/>
      <c r="U375" s="701">
        <f>IF(T373&gt;0,(VLOOKUP(V375,'Lookup Ready-reckoner'!$L$5:$M$1207,2))," ")</f>
        <v>85.1</v>
      </c>
      <c r="V375" s="695">
        <f>IF(U373&gt;0,(SUM(V373:V374))," ")</f>
        <v>103.74999999999997</v>
      </c>
      <c r="W375" s="696"/>
      <c r="X375" s="364"/>
      <c r="Y375" s="363"/>
      <c r="Z375" s="363"/>
      <c r="AA375"/>
      <c r="AB375"/>
      <c r="AC375"/>
      <c r="AD375"/>
      <c r="AE375"/>
      <c r="AF375"/>
      <c r="AG375"/>
    </row>
    <row r="376" spans="17:33" ht="12.75" customHeight="1">
      <c r="Q376" s="364"/>
      <c r="R376" s="363"/>
      <c r="S376" s="363"/>
      <c r="T376" s="363"/>
      <c r="U376" s="363"/>
      <c r="V376" s="363"/>
      <c r="W376" s="363"/>
      <c r="X376" s="364"/>
      <c r="Y376" s="364"/>
      <c r="Z376" s="364"/>
      <c r="AA376"/>
      <c r="AB376"/>
      <c r="AC376"/>
      <c r="AD376"/>
      <c r="AE376"/>
      <c r="AF376"/>
      <c r="AG376"/>
    </row>
    <row r="377" spans="17:33" ht="12.75" customHeight="1">
      <c r="Q377" s="364"/>
      <c r="R377" s="913" t="str">
        <f>U306</f>
        <v>Sulzer ADDS</v>
      </c>
      <c r="S377" s="914"/>
      <c r="T377" s="914"/>
      <c r="U377" s="914"/>
      <c r="V377" s="914"/>
      <c r="W377" s="914"/>
      <c r="X377" s="364"/>
      <c r="Y377" s="363"/>
      <c r="Z377" s="363"/>
      <c r="AA377"/>
      <c r="AB377"/>
      <c r="AC377"/>
      <c r="AD377"/>
      <c r="AE377"/>
      <c r="AF377"/>
      <c r="AG377"/>
    </row>
    <row r="378" spans="17:33" ht="12.75" customHeight="1" thickBot="1">
      <c r="Q378" s="364"/>
      <c r="R378" s="910" t="s">
        <v>205</v>
      </c>
      <c r="S378" s="911"/>
      <c r="T378" s="911"/>
      <c r="U378" s="911"/>
      <c r="V378" s="911"/>
      <c r="W378" s="912"/>
      <c r="X378" s="364"/>
      <c r="Y378" s="363"/>
      <c r="Z378" s="363"/>
      <c r="AA378"/>
      <c r="AB378"/>
      <c r="AC378"/>
      <c r="AD378"/>
      <c r="AE378"/>
      <c r="AF378"/>
      <c r="AG378"/>
    </row>
    <row r="379" spans="17:33" ht="12.75" customHeight="1" thickBot="1">
      <c r="Q379" s="364"/>
      <c r="R379" s="686" t="s">
        <v>59</v>
      </c>
      <c r="S379" s="577"/>
      <c r="T379" s="687"/>
      <c r="U379" s="687"/>
      <c r="V379" s="687"/>
      <c r="W379" s="688"/>
      <c r="X379" s="364"/>
      <c r="Y379" s="363"/>
      <c r="Z379" s="363"/>
      <c r="AA379"/>
      <c r="AB379"/>
      <c r="AC379"/>
      <c r="AD379"/>
      <c r="AE379"/>
      <c r="AF379"/>
      <c r="AG379"/>
    </row>
    <row r="380" spans="17:33" ht="12.75" customHeight="1">
      <c r="Q380" s="364"/>
      <c r="R380" s="895" t="s">
        <v>845</v>
      </c>
      <c r="S380" s="896"/>
      <c r="T380" s="900" t="s">
        <v>835</v>
      </c>
      <c r="U380" s="900" t="s">
        <v>836</v>
      </c>
      <c r="V380" s="900" t="s">
        <v>837</v>
      </c>
      <c r="W380" s="902" t="s">
        <v>838</v>
      </c>
      <c r="X380" s="364"/>
      <c r="Y380" s="363"/>
      <c r="Z380" s="363"/>
      <c r="AA380"/>
      <c r="AB380"/>
      <c r="AC380"/>
      <c r="AD380"/>
      <c r="AE380"/>
      <c r="AF380"/>
      <c r="AG380"/>
    </row>
    <row r="381" spans="17:33" ht="12.75" customHeight="1">
      <c r="Q381" s="364"/>
      <c r="R381" s="892"/>
      <c r="S381" s="897"/>
      <c r="T381" s="904"/>
      <c r="U381" s="904"/>
      <c r="V381" s="904"/>
      <c r="W381" s="905"/>
      <c r="X381" s="364"/>
      <c r="Y381" s="363"/>
      <c r="Z381" s="363"/>
      <c r="AA381"/>
      <c r="AB381"/>
      <c r="AC381"/>
      <c r="AD381"/>
      <c r="AE381"/>
      <c r="AF381"/>
      <c r="AG381"/>
    </row>
    <row r="382" spans="17:33" ht="12.75" customHeight="1">
      <c r="Q382" s="364"/>
      <c r="R382" s="892"/>
      <c r="S382" s="897"/>
      <c r="T382" s="901"/>
      <c r="U382" s="901"/>
      <c r="V382" s="901"/>
      <c r="W382" s="903"/>
      <c r="X382" s="364"/>
      <c r="Y382" s="363"/>
      <c r="Z382" s="363"/>
      <c r="AA382"/>
      <c r="AB382"/>
      <c r="AC382"/>
      <c r="AD382"/>
      <c r="AE382"/>
      <c r="AF382"/>
      <c r="AG382"/>
    </row>
    <row r="383" spans="17:33" ht="12.75" customHeight="1">
      <c r="Q383" s="364"/>
      <c r="R383" s="892"/>
      <c r="S383" s="897"/>
      <c r="T383" s="702">
        <f>W69</f>
        <v>109</v>
      </c>
      <c r="U383" s="560">
        <f>W62</f>
        <v>1.7391304347826084</v>
      </c>
      <c r="V383" s="690">
        <f>IF(T383&gt;0,W383*U383," ")</f>
        <v>5565.2173913043471</v>
      </c>
      <c r="W383" s="691">
        <f>IF(T383&gt;0,(VLOOKUP(T383,'Lookup Ready-reckoner'!$B$5:$E$1207,4))," ")</f>
        <v>3200</v>
      </c>
      <c r="X383" s="364"/>
      <c r="Y383" s="363"/>
      <c r="Z383" s="363"/>
      <c r="AA383"/>
      <c r="AB383"/>
      <c r="AC383"/>
      <c r="AD383"/>
      <c r="AE383"/>
      <c r="AF383"/>
      <c r="AG383"/>
    </row>
    <row r="384" spans="17:33" ht="12.75" customHeight="1">
      <c r="Q384" s="364"/>
      <c r="R384" s="898"/>
      <c r="S384" s="899"/>
      <c r="T384" s="447"/>
      <c r="U384" s="560"/>
      <c r="V384" s="690" t="str">
        <f>IF(T384&gt;0,W384*U384," ")</f>
        <v xml:space="preserve"> </v>
      </c>
      <c r="W384" s="691" t="str">
        <f>IF(T384&gt;0,(VLOOKUP(T384,'Lookup Ready-reckoner'!$B$5:$E$1007,4))," ")</f>
        <v xml:space="preserve"> </v>
      </c>
      <c r="X384" s="364"/>
      <c r="Y384" s="363"/>
      <c r="Z384" s="363"/>
      <c r="AA384"/>
      <c r="AB384"/>
      <c r="AC384"/>
      <c r="AD384"/>
      <c r="AE384"/>
      <c r="AF384"/>
      <c r="AG384"/>
    </row>
    <row r="385" spans="17:33" ht="12.75" customHeight="1" thickBot="1">
      <c r="Q385" s="364"/>
      <c r="R385" s="692" t="s">
        <v>839</v>
      </c>
      <c r="S385" s="693"/>
      <c r="T385" s="693"/>
      <c r="U385" s="703">
        <f>IF(T383&gt;0,(VLOOKUP(V385,'Lookup Ready-reckoner'!$L$5:$M$1207,2))," ")</f>
        <v>102.4</v>
      </c>
      <c r="V385" s="695">
        <f>IF(U383&gt;0,(SUM(V383:V384))," ")</f>
        <v>5565.2173913043471</v>
      </c>
      <c r="W385" s="696"/>
      <c r="X385" s="364"/>
      <c r="Y385" s="363"/>
      <c r="Z385" s="363"/>
      <c r="AA385"/>
      <c r="AB385"/>
      <c r="AC385"/>
      <c r="AD385"/>
      <c r="AE385"/>
      <c r="AF385"/>
      <c r="AG385"/>
    </row>
    <row r="386" spans="17:33" ht="12.75" customHeight="1" thickBot="1">
      <c r="Q386" s="364"/>
      <c r="R386" s="892"/>
      <c r="S386" s="893"/>
      <c r="T386" s="893"/>
      <c r="U386" s="893"/>
      <c r="V386" s="893"/>
      <c r="W386" s="894"/>
      <c r="X386" s="364"/>
      <c r="Y386" s="363"/>
      <c r="Z386" s="363"/>
      <c r="AA386"/>
      <c r="AB386"/>
      <c r="AC386"/>
      <c r="AD386"/>
      <c r="AE386"/>
      <c r="AF386"/>
      <c r="AG386"/>
    </row>
    <row r="387" spans="17:33" ht="12.75" customHeight="1">
      <c r="Q387" s="364"/>
      <c r="R387" s="895" t="s">
        <v>886</v>
      </c>
      <c r="S387" s="896"/>
      <c r="T387" s="900" t="s">
        <v>835</v>
      </c>
      <c r="U387" s="900" t="s">
        <v>836</v>
      </c>
      <c r="V387" s="900" t="s">
        <v>837</v>
      </c>
      <c r="W387" s="902" t="s">
        <v>838</v>
      </c>
      <c r="X387" s="364"/>
      <c r="Y387" s="363"/>
      <c r="Z387" s="363"/>
      <c r="AA387"/>
      <c r="AB387"/>
      <c r="AC387"/>
      <c r="AD387"/>
      <c r="AE387"/>
      <c r="AF387"/>
      <c r="AG387"/>
    </row>
    <row r="388" spans="17:33" ht="12.75" customHeight="1">
      <c r="Q388" s="364"/>
      <c r="R388" s="892"/>
      <c r="S388" s="897"/>
      <c r="T388" s="901"/>
      <c r="U388" s="901"/>
      <c r="V388" s="901"/>
      <c r="W388" s="903"/>
      <c r="X388" s="364"/>
      <c r="Y388" s="363"/>
      <c r="Z388" s="363"/>
      <c r="AA388"/>
      <c r="AB388"/>
      <c r="AC388"/>
      <c r="AD388"/>
      <c r="AE388"/>
      <c r="AF388"/>
      <c r="AG388"/>
    </row>
    <row r="389" spans="17:33" ht="12.75" customHeight="1">
      <c r="Q389" s="364"/>
      <c r="R389" s="892"/>
      <c r="S389" s="897"/>
      <c r="T389" s="702">
        <f>T383*(1-0.0178*2)</f>
        <v>105.11960000000001</v>
      </c>
      <c r="U389" s="560">
        <f>U383</f>
        <v>1.7391304347826084</v>
      </c>
      <c r="V389" s="690">
        <f>IF(T389&gt;0,W389*U389," ")</f>
        <v>2234.782608695652</v>
      </c>
      <c r="W389" s="691">
        <f>IF(T389&gt;0,(VLOOKUP(T389,'Lookup Ready-reckoner'!$B$5:$E$1207,4))," ")</f>
        <v>1285</v>
      </c>
      <c r="X389" s="364"/>
      <c r="Y389" s="363"/>
      <c r="Z389" s="363"/>
      <c r="AA389"/>
      <c r="AB389"/>
      <c r="AC389"/>
      <c r="AD389"/>
      <c r="AE389"/>
      <c r="AF389"/>
      <c r="AG389"/>
    </row>
    <row r="390" spans="17:33" ht="12.75" customHeight="1">
      <c r="Q390" s="364"/>
      <c r="R390" s="898"/>
      <c r="S390" s="899"/>
      <c r="T390" s="447"/>
      <c r="U390" s="560"/>
      <c r="V390" s="690" t="str">
        <f>IF(T390&gt;0,W390*U390," ")</f>
        <v xml:space="preserve"> </v>
      </c>
      <c r="W390" s="691" t="str">
        <f>IF(T390&gt;0,(VLOOKUP(T390,'Lookup Ready-reckoner'!$B$5:$E$1007,4))," ")</f>
        <v xml:space="preserve"> </v>
      </c>
      <c r="X390" s="364"/>
      <c r="Y390" s="363"/>
      <c r="Z390" s="363"/>
      <c r="AA390"/>
      <c r="AB390"/>
      <c r="AC390"/>
      <c r="AD390"/>
      <c r="AE390"/>
      <c r="AF390"/>
      <c r="AG390"/>
    </row>
    <row r="391" spans="17:33" ht="12.75" customHeight="1" thickBot="1">
      <c r="Q391" s="364"/>
      <c r="R391" s="692" t="s">
        <v>839</v>
      </c>
      <c r="S391" s="693"/>
      <c r="T391" s="693"/>
      <c r="U391" s="703">
        <f>IF(T389&gt;0,(VLOOKUP(V391,'Lookup Ready-reckoner'!$L$5:$M$1207,2))," ")</f>
        <v>98.45</v>
      </c>
      <c r="V391" s="695">
        <f>IF(U389&gt;0,(SUM(V389:V390))," ")</f>
        <v>2234.782608695652</v>
      </c>
      <c r="W391" s="696"/>
      <c r="X391" s="364"/>
      <c r="Y391" s="363"/>
      <c r="Z391" s="363"/>
      <c r="AA391"/>
      <c r="AB391"/>
      <c r="AC391"/>
      <c r="AD391"/>
      <c r="AE391"/>
      <c r="AF391"/>
      <c r="AG391"/>
    </row>
    <row r="392" spans="17:33" ht="12.75" customHeight="1">
      <c r="Q392" s="364"/>
      <c r="R392" s="697"/>
      <c r="S392" s="687"/>
      <c r="T392" s="687"/>
      <c r="U392" s="372"/>
      <c r="V392" s="374"/>
      <c r="W392" s="688"/>
      <c r="X392" s="364"/>
      <c r="Y392" s="363"/>
      <c r="Z392" s="363"/>
      <c r="AA392"/>
      <c r="AB392"/>
      <c r="AC392"/>
      <c r="AD392"/>
      <c r="AE392"/>
      <c r="AF392"/>
      <c r="AG392"/>
    </row>
    <row r="393" spans="17:33" ht="12.75" customHeight="1" thickBot="1">
      <c r="Q393" s="364"/>
      <c r="R393" s="686" t="s">
        <v>60</v>
      </c>
      <c r="S393" s="577"/>
      <c r="T393" s="577"/>
      <c r="U393" s="577"/>
      <c r="V393" s="577"/>
      <c r="W393" s="698"/>
      <c r="X393" s="364"/>
      <c r="Y393" s="363"/>
      <c r="Z393" s="363"/>
      <c r="AA393"/>
      <c r="AB393"/>
      <c r="AC393"/>
      <c r="AD393"/>
      <c r="AE393"/>
      <c r="AF393"/>
      <c r="AG393"/>
    </row>
    <row r="394" spans="17:33" ht="12.75" customHeight="1">
      <c r="Q394" s="364"/>
      <c r="R394" s="895" t="s">
        <v>845</v>
      </c>
      <c r="S394" s="896"/>
      <c r="T394" s="900" t="s">
        <v>835</v>
      </c>
      <c r="U394" s="900" t="s">
        <v>836</v>
      </c>
      <c r="V394" s="900" t="s">
        <v>837</v>
      </c>
      <c r="W394" s="902" t="s">
        <v>838</v>
      </c>
      <c r="X394" s="364"/>
      <c r="Y394" s="363"/>
      <c r="Z394" s="363"/>
      <c r="AA394"/>
      <c r="AB394"/>
      <c r="AC394"/>
      <c r="AD394"/>
      <c r="AE394"/>
      <c r="AF394"/>
      <c r="AG394"/>
    </row>
    <row r="395" spans="17:33" ht="12.75" customHeight="1">
      <c r="Q395" s="364"/>
      <c r="R395" s="892"/>
      <c r="S395" s="897"/>
      <c r="T395" s="901"/>
      <c r="U395" s="901"/>
      <c r="V395" s="901"/>
      <c r="W395" s="903"/>
      <c r="X395" s="364"/>
      <c r="Y395" s="363"/>
      <c r="Z395" s="363"/>
      <c r="AA395"/>
      <c r="AB395"/>
      <c r="AC395"/>
      <c r="AD395"/>
      <c r="AE395"/>
      <c r="AF395"/>
      <c r="AG395"/>
    </row>
    <row r="396" spans="17:33" ht="12.75" customHeight="1">
      <c r="Q396" s="364"/>
      <c r="R396" s="892"/>
      <c r="S396" s="897"/>
      <c r="T396" s="702">
        <f>T383-PPE!$I$15</f>
        <v>96</v>
      </c>
      <c r="U396" s="560">
        <f>U389</f>
        <v>1.7391304347826084</v>
      </c>
      <c r="V396" s="690">
        <f>IF(T396&gt;0,W396*U396," ")</f>
        <v>271.73913043478257</v>
      </c>
      <c r="W396" s="691">
        <f>IF(T396&gt;0,(VLOOKUP(T396,'Lookup Ready-reckoner'!$B$5:$E$1207,4))," ")</f>
        <v>156.25</v>
      </c>
      <c r="X396" s="364"/>
      <c r="Y396" s="363"/>
      <c r="Z396" s="363"/>
      <c r="AA396"/>
      <c r="AB396"/>
      <c r="AC396"/>
      <c r="AD396"/>
      <c r="AE396"/>
      <c r="AF396"/>
      <c r="AG396"/>
    </row>
    <row r="397" spans="17:33" ht="12.75" customHeight="1">
      <c r="Q397" s="364"/>
      <c r="R397" s="898"/>
      <c r="S397" s="899"/>
      <c r="T397" s="447"/>
      <c r="U397" s="560"/>
      <c r="V397" s="690" t="str">
        <f>IF(T397&gt;0,W397*U397," ")</f>
        <v xml:space="preserve"> </v>
      </c>
      <c r="W397" s="691" t="str">
        <f>IF(T397&gt;0,(VLOOKUP(T397,'Lookup Ready-reckoner'!$B$5:$E$1007,4))," ")</f>
        <v xml:space="preserve"> </v>
      </c>
      <c r="X397" s="364"/>
      <c r="Y397" s="363"/>
      <c r="Z397" s="363"/>
      <c r="AA397"/>
      <c r="AB397"/>
      <c r="AC397"/>
      <c r="AD397"/>
      <c r="AE397"/>
      <c r="AF397"/>
      <c r="AG397"/>
    </row>
    <row r="398" spans="17:33" ht="12.75" customHeight="1" thickBot="1">
      <c r="Q398" s="364"/>
      <c r="R398" s="692" t="s">
        <v>839</v>
      </c>
      <c r="S398" s="693"/>
      <c r="T398" s="693"/>
      <c r="U398" s="703">
        <f>IF(T396&gt;0,(VLOOKUP(V398,'Lookup Ready-reckoner'!$L$5:$M$1207,2))," ")</f>
        <v>89.3</v>
      </c>
      <c r="V398" s="695">
        <f>IF(U396&gt;0,(SUM(V396:V397))," ")</f>
        <v>271.73913043478257</v>
      </c>
      <c r="W398" s="696"/>
      <c r="X398" s="364"/>
      <c r="Y398" s="363"/>
      <c r="Z398" s="363"/>
      <c r="AA398"/>
      <c r="AB398"/>
      <c r="AC398"/>
      <c r="AD398"/>
      <c r="AE398"/>
      <c r="AF398"/>
      <c r="AG398"/>
    </row>
    <row r="399" spans="17:33" ht="12.75" customHeight="1" thickBot="1">
      <c r="Q399" s="364"/>
      <c r="R399" s="892"/>
      <c r="S399" s="893"/>
      <c r="T399" s="893"/>
      <c r="U399" s="893"/>
      <c r="V399" s="893"/>
      <c r="W399" s="894"/>
      <c r="X399" s="364"/>
      <c r="Y399" s="363"/>
      <c r="Z399" s="363"/>
      <c r="AA399"/>
      <c r="AB399"/>
      <c r="AC399"/>
      <c r="AD399"/>
      <c r="AE399"/>
      <c r="AF399"/>
      <c r="AG399"/>
    </row>
    <row r="400" spans="17:33" ht="12.75" customHeight="1">
      <c r="Q400" s="364"/>
      <c r="R400" s="895" t="s">
        <v>886</v>
      </c>
      <c r="S400" s="896"/>
      <c r="T400" s="900" t="s">
        <v>835</v>
      </c>
      <c r="U400" s="900" t="s">
        <v>836</v>
      </c>
      <c r="V400" s="900" t="s">
        <v>837</v>
      </c>
      <c r="W400" s="902" t="s">
        <v>838</v>
      </c>
      <c r="X400" s="364"/>
      <c r="Y400" s="363"/>
      <c r="Z400" s="363"/>
      <c r="AA400"/>
      <c r="AB400"/>
      <c r="AC400"/>
      <c r="AD400"/>
      <c r="AE400"/>
      <c r="AF400"/>
      <c r="AG400"/>
    </row>
    <row r="401" spans="17:33" ht="12.75" customHeight="1">
      <c r="Q401" s="364"/>
      <c r="R401" s="892"/>
      <c r="S401" s="897"/>
      <c r="T401" s="901"/>
      <c r="U401" s="901"/>
      <c r="V401" s="901"/>
      <c r="W401" s="903"/>
      <c r="X401" s="364"/>
      <c r="Y401" s="363"/>
      <c r="Z401" s="363"/>
      <c r="AA401"/>
      <c r="AB401"/>
      <c r="AC401"/>
      <c r="AD401"/>
      <c r="AE401"/>
      <c r="AF401"/>
      <c r="AG401"/>
    </row>
    <row r="402" spans="17:33" ht="12.75" customHeight="1">
      <c r="Q402" s="364"/>
      <c r="R402" s="892"/>
      <c r="S402" s="897"/>
      <c r="T402" s="702">
        <f>T389-PPE!$I$15</f>
        <v>92.119600000000005</v>
      </c>
      <c r="U402" s="560">
        <f>U396</f>
        <v>1.7391304347826084</v>
      </c>
      <c r="V402" s="690">
        <f>IF(T402&gt;0,W402*U402," ")</f>
        <v>111.52173913043477</v>
      </c>
      <c r="W402" s="691">
        <f>IF(T402&gt;0,(VLOOKUP(T402,'Lookup Ready-reckoner'!$B$5:$E$1207,4))," ")</f>
        <v>64.125</v>
      </c>
      <c r="X402" s="364"/>
      <c r="Y402" s="363"/>
      <c r="Z402" s="363"/>
      <c r="AA402"/>
      <c r="AB402"/>
      <c r="AC402"/>
      <c r="AD402"/>
      <c r="AE402"/>
      <c r="AF402"/>
      <c r="AG402"/>
    </row>
    <row r="403" spans="17:33" ht="12.75" customHeight="1">
      <c r="Q403" s="364"/>
      <c r="R403" s="898"/>
      <c r="S403" s="899"/>
      <c r="T403" s="447"/>
      <c r="U403" s="560"/>
      <c r="V403" s="690" t="str">
        <f>IF(T403&gt;0,W403*U403," ")</f>
        <v xml:space="preserve"> </v>
      </c>
      <c r="W403" s="691" t="str">
        <f>IF(T403&gt;0,(VLOOKUP(T403,'Lookup Ready-reckoner'!$B$5:$E$1007,4))," ")</f>
        <v xml:space="preserve"> </v>
      </c>
      <c r="X403" s="364"/>
      <c r="Y403" s="363"/>
      <c r="Z403" s="363"/>
      <c r="AA403"/>
      <c r="AB403"/>
      <c r="AC403"/>
      <c r="AD403"/>
      <c r="AE403"/>
      <c r="AF403"/>
      <c r="AG403"/>
    </row>
    <row r="404" spans="17:33" ht="12.75" customHeight="1" thickBot="1">
      <c r="Q404" s="364"/>
      <c r="R404" s="692" t="s">
        <v>839</v>
      </c>
      <c r="S404" s="693"/>
      <c r="T404" s="693"/>
      <c r="U404" s="703">
        <f>IF(T402&gt;0,(VLOOKUP(V404,'Lookup Ready-reckoner'!$L$5:$M$1207,2))," ")</f>
        <v>85.45</v>
      </c>
      <c r="V404" s="695">
        <f>IF(U402&gt;0,(SUM(V402:V403))," ")</f>
        <v>111.52173913043477</v>
      </c>
      <c r="W404" s="696"/>
      <c r="X404" s="364"/>
      <c r="Y404" s="363"/>
      <c r="Z404" s="363"/>
      <c r="AA404"/>
      <c r="AB404"/>
      <c r="AC404"/>
      <c r="AD404"/>
      <c r="AE404"/>
      <c r="AF404"/>
      <c r="AG404"/>
    </row>
    <row r="405" spans="17:33" ht="12.75" customHeight="1">
      <c r="Q405" s="364"/>
      <c r="R405" s="363"/>
      <c r="S405" s="363"/>
      <c r="T405" s="363"/>
      <c r="U405" s="363"/>
      <c r="V405" s="363"/>
      <c r="W405" s="363"/>
      <c r="X405" s="364"/>
      <c r="Y405" s="364"/>
      <c r="Z405" s="364"/>
      <c r="AA405"/>
      <c r="AB405"/>
      <c r="AC405"/>
      <c r="AD405"/>
      <c r="AE405"/>
      <c r="AF405"/>
      <c r="AG405"/>
    </row>
    <row r="406" spans="17:33" ht="12.75" customHeight="1">
      <c r="Q406" s="364"/>
      <c r="R406" s="909" t="str">
        <f>V306</f>
        <v xml:space="preserve">Hilti TE MD20 </v>
      </c>
      <c r="S406" s="909"/>
      <c r="T406" s="909"/>
      <c r="U406" s="909"/>
      <c r="V406" s="909"/>
      <c r="W406" s="909"/>
      <c r="X406" s="364"/>
      <c r="Y406" s="364"/>
      <c r="Z406" s="364"/>
      <c r="AA406"/>
      <c r="AB406"/>
      <c r="AC406"/>
      <c r="AD406"/>
      <c r="AE406"/>
      <c r="AF406"/>
      <c r="AG406"/>
    </row>
    <row r="407" spans="17:33" ht="12.75" customHeight="1" thickBot="1">
      <c r="Q407" s="364"/>
      <c r="R407" s="910" t="s">
        <v>205</v>
      </c>
      <c r="S407" s="911"/>
      <c r="T407" s="911"/>
      <c r="U407" s="911"/>
      <c r="V407" s="911"/>
      <c r="W407" s="912"/>
      <c r="X407" s="364"/>
      <c r="Y407" s="364"/>
      <c r="Z407" s="364"/>
      <c r="AA407"/>
      <c r="AB407"/>
      <c r="AC407"/>
      <c r="AD407"/>
      <c r="AE407"/>
      <c r="AF407"/>
      <c r="AG407"/>
    </row>
    <row r="408" spans="17:33" ht="12.75" customHeight="1" thickBot="1">
      <c r="Q408" s="364"/>
      <c r="R408" s="686" t="s">
        <v>59</v>
      </c>
      <c r="S408" s="577"/>
      <c r="T408" s="687"/>
      <c r="U408" s="687"/>
      <c r="V408" s="687"/>
      <c r="W408" s="688"/>
      <c r="X408" s="364"/>
      <c r="Y408" s="364"/>
      <c r="Z408" s="364"/>
      <c r="AA408"/>
      <c r="AB408"/>
      <c r="AC408"/>
      <c r="AD408"/>
      <c r="AE408"/>
      <c r="AF408"/>
      <c r="AG408"/>
    </row>
    <row r="409" spans="17:33" ht="12.75" customHeight="1">
      <c r="Q409" s="364"/>
      <c r="R409" s="895" t="s">
        <v>845</v>
      </c>
      <c r="S409" s="896"/>
      <c r="T409" s="900" t="s">
        <v>835</v>
      </c>
      <c r="U409" s="900" t="s">
        <v>836</v>
      </c>
      <c r="V409" s="900" t="s">
        <v>837</v>
      </c>
      <c r="W409" s="902" t="s">
        <v>838</v>
      </c>
      <c r="X409" s="364"/>
      <c r="Y409" s="364"/>
      <c r="Z409" s="364"/>
      <c r="AA409"/>
      <c r="AB409"/>
      <c r="AC409"/>
      <c r="AD409"/>
      <c r="AE409"/>
      <c r="AF409"/>
      <c r="AG409"/>
    </row>
    <row r="410" spans="17:33" ht="12.75" customHeight="1">
      <c r="Q410" s="364"/>
      <c r="R410" s="892"/>
      <c r="S410" s="897"/>
      <c r="T410" s="904"/>
      <c r="U410" s="904"/>
      <c r="V410" s="904"/>
      <c r="W410" s="905"/>
      <c r="X410" s="364"/>
      <c r="Y410" s="364"/>
      <c r="Z410" s="364"/>
      <c r="AA410"/>
      <c r="AB410"/>
      <c r="AC410"/>
      <c r="AD410"/>
      <c r="AE410"/>
      <c r="AF410"/>
      <c r="AG410"/>
    </row>
    <row r="411" spans="17:33" ht="12.75" customHeight="1">
      <c r="Q411" s="364"/>
      <c r="R411" s="892"/>
      <c r="S411" s="897"/>
      <c r="T411" s="901"/>
      <c r="U411" s="901"/>
      <c r="V411" s="901"/>
      <c r="W411" s="903"/>
      <c r="X411" s="364"/>
      <c r="Y411" s="364"/>
      <c r="Z411" s="364"/>
      <c r="AA411"/>
      <c r="AB411"/>
      <c r="AC411"/>
      <c r="AD411"/>
      <c r="AE411"/>
      <c r="AF411"/>
      <c r="AG411"/>
    </row>
    <row r="412" spans="17:33" ht="12.75" customHeight="1">
      <c r="Q412" s="364"/>
      <c r="R412" s="892"/>
      <c r="S412" s="897"/>
      <c r="T412" s="704">
        <f>U69</f>
        <v>102</v>
      </c>
      <c r="U412" s="560">
        <f>U62</f>
        <v>2.6666666666666665</v>
      </c>
      <c r="V412" s="690">
        <f>IF(T412&gt;0,W412*U412," ")</f>
        <v>1666.6666666666665</v>
      </c>
      <c r="W412" s="691">
        <f>IF(T412&gt;0,(VLOOKUP(T412,'Lookup Ready-reckoner'!$B$5:$E$1207,4))," ")</f>
        <v>625</v>
      </c>
      <c r="X412" s="364"/>
      <c r="Y412" s="364"/>
      <c r="Z412" s="364"/>
      <c r="AA412"/>
      <c r="AB412"/>
      <c r="AC412"/>
      <c r="AD412"/>
      <c r="AE412"/>
      <c r="AF412"/>
      <c r="AG412"/>
    </row>
    <row r="413" spans="17:33" ht="12.75" customHeight="1">
      <c r="Q413" s="364"/>
      <c r="R413" s="898"/>
      <c r="S413" s="899"/>
      <c r="T413" s="447"/>
      <c r="U413" s="560"/>
      <c r="V413" s="690" t="str">
        <f>IF(T413&gt;0,W413*U413," ")</f>
        <v xml:space="preserve"> </v>
      </c>
      <c r="W413" s="691" t="str">
        <f>IF(T413&gt;0,(VLOOKUP(T413,'Lookup Ready-reckoner'!$B$5:$E$1007,4))," ")</f>
        <v xml:space="preserve"> </v>
      </c>
      <c r="X413" s="364"/>
      <c r="Y413" s="364"/>
      <c r="Z413" s="364"/>
      <c r="AA413"/>
      <c r="AB413"/>
      <c r="AC413"/>
      <c r="AD413"/>
      <c r="AE413"/>
      <c r="AF413"/>
      <c r="AG413"/>
    </row>
    <row r="414" spans="17:33" ht="12.75" customHeight="1" thickBot="1">
      <c r="Q414" s="364"/>
      <c r="R414" s="692" t="s">
        <v>839</v>
      </c>
      <c r="S414" s="693"/>
      <c r="T414" s="693"/>
      <c r="U414" s="705">
        <f>IF(T412&gt;0,(VLOOKUP(V414,'Lookup Ready-reckoner'!$L$5:$M$1207,2))," ")</f>
        <v>97.15</v>
      </c>
      <c r="V414" s="695">
        <f>IF(U412&gt;0,(SUM(V412:V413))," ")</f>
        <v>1666.6666666666665</v>
      </c>
      <c r="W414" s="696"/>
      <c r="X414" s="364"/>
      <c r="Y414" s="364"/>
      <c r="Z414" s="364"/>
      <c r="AA414"/>
      <c r="AB414"/>
      <c r="AC414"/>
      <c r="AD414"/>
      <c r="AE414"/>
      <c r="AF414"/>
      <c r="AG414"/>
    </row>
    <row r="415" spans="17:33" ht="12.75" customHeight="1" thickBot="1">
      <c r="Q415" s="364"/>
      <c r="R415" s="906"/>
      <c r="S415" s="907"/>
      <c r="T415" s="907"/>
      <c r="U415" s="907"/>
      <c r="V415" s="907"/>
      <c r="W415" s="908"/>
      <c r="X415" s="364"/>
      <c r="Y415" s="364"/>
      <c r="Z415" s="364"/>
      <c r="AA415"/>
      <c r="AB415"/>
      <c r="AC415"/>
      <c r="AD415"/>
      <c r="AE415"/>
      <c r="AF415"/>
      <c r="AG415"/>
    </row>
    <row r="416" spans="17:33" ht="12.75" customHeight="1">
      <c r="Q416" s="364"/>
      <c r="R416" s="895" t="s">
        <v>886</v>
      </c>
      <c r="S416" s="896"/>
      <c r="T416" s="900" t="s">
        <v>835</v>
      </c>
      <c r="U416" s="900" t="s">
        <v>836</v>
      </c>
      <c r="V416" s="900" t="s">
        <v>837</v>
      </c>
      <c r="W416" s="902" t="s">
        <v>838</v>
      </c>
      <c r="X416" s="364"/>
      <c r="Y416" s="364"/>
      <c r="Z416" s="364"/>
      <c r="AA416"/>
      <c r="AB416"/>
      <c r="AC416"/>
      <c r="AD416"/>
      <c r="AE416"/>
      <c r="AF416"/>
      <c r="AG416"/>
    </row>
    <row r="417" spans="17:33" ht="12.75" customHeight="1">
      <c r="Q417" s="364"/>
      <c r="R417" s="892"/>
      <c r="S417" s="897"/>
      <c r="T417" s="901"/>
      <c r="U417" s="901"/>
      <c r="V417" s="901"/>
      <c r="W417" s="903"/>
      <c r="X417" s="364"/>
      <c r="Y417" s="364"/>
      <c r="Z417" s="364"/>
      <c r="AA417"/>
      <c r="AB417"/>
      <c r="AC417"/>
      <c r="AD417"/>
      <c r="AE417"/>
      <c r="AF417"/>
      <c r="AG417"/>
    </row>
    <row r="418" spans="17:33" ht="12.75" customHeight="1">
      <c r="Q418" s="364"/>
      <c r="R418" s="892"/>
      <c r="S418" s="897"/>
      <c r="T418" s="704">
        <f>T412*(1-0.0178*2)</f>
        <v>98.368800000000007</v>
      </c>
      <c r="U418" s="560">
        <f>U412</f>
        <v>2.6666666666666665</v>
      </c>
      <c r="V418" s="690">
        <f>IF(T418&gt;0,W418*U418," ")</f>
        <v>725</v>
      </c>
      <c r="W418" s="691">
        <f>IF(T418&gt;0,(VLOOKUP(T418,'Lookup Ready-reckoner'!$B$5:$E$1207,4))," ")</f>
        <v>271.875</v>
      </c>
      <c r="X418" s="364"/>
      <c r="Y418" s="364"/>
      <c r="Z418" s="364"/>
      <c r="AA418"/>
      <c r="AB418"/>
      <c r="AC418"/>
      <c r="AD418"/>
      <c r="AE418"/>
      <c r="AF418"/>
      <c r="AG418"/>
    </row>
    <row r="419" spans="17:33" ht="12.75" customHeight="1">
      <c r="Q419" s="364"/>
      <c r="R419" s="898"/>
      <c r="S419" s="899"/>
      <c r="T419" s="447"/>
      <c r="U419" s="560"/>
      <c r="V419" s="690" t="str">
        <f>IF(T419&gt;0,W419*U419," ")</f>
        <v xml:space="preserve"> </v>
      </c>
      <c r="W419" s="691" t="str">
        <f>IF(T419&gt;0,(VLOOKUP(T419,'Lookup Ready-reckoner'!$B$5:$E$1007,4))," ")</f>
        <v xml:space="preserve"> </v>
      </c>
      <c r="X419" s="364"/>
      <c r="Y419" s="364"/>
      <c r="Z419" s="364"/>
      <c r="AA419"/>
      <c r="AB419"/>
      <c r="AC419"/>
      <c r="AD419"/>
      <c r="AE419"/>
      <c r="AF419"/>
      <c r="AG419"/>
    </row>
    <row r="420" spans="17:33" ht="12.75" customHeight="1" thickBot="1">
      <c r="Q420" s="364"/>
      <c r="R420" s="692" t="s">
        <v>839</v>
      </c>
      <c r="S420" s="693"/>
      <c r="T420" s="693"/>
      <c r="U420" s="705">
        <f>IF(T418&gt;0,(VLOOKUP(V420,'Lookup Ready-reckoner'!$L$5:$M$1207,2))," ")</f>
        <v>93.55</v>
      </c>
      <c r="V420" s="695">
        <f>IF(U418&gt;0,(SUM(V418:V419))," ")</f>
        <v>725</v>
      </c>
      <c r="W420" s="696"/>
      <c r="X420" s="364"/>
      <c r="Y420" s="364"/>
      <c r="Z420" s="364"/>
      <c r="AA420"/>
      <c r="AB420"/>
      <c r="AC420"/>
      <c r="AD420"/>
      <c r="AE420"/>
      <c r="AF420"/>
      <c r="AG420"/>
    </row>
    <row r="421" spans="17:33" ht="12.75" customHeight="1">
      <c r="Q421" s="364"/>
      <c r="R421" s="697"/>
      <c r="S421" s="687"/>
      <c r="T421" s="687"/>
      <c r="U421" s="372"/>
      <c r="V421" s="374"/>
      <c r="W421" s="688"/>
      <c r="X421" s="364"/>
      <c r="Y421" s="364"/>
      <c r="Z421" s="364"/>
      <c r="AA421"/>
      <c r="AB421"/>
      <c r="AC421"/>
      <c r="AD421"/>
      <c r="AE421"/>
      <c r="AF421"/>
      <c r="AG421"/>
    </row>
    <row r="422" spans="17:33" ht="12.75" customHeight="1" thickBot="1">
      <c r="Q422" s="364"/>
      <c r="R422" s="686" t="s">
        <v>60</v>
      </c>
      <c r="S422" s="577"/>
      <c r="T422" s="577"/>
      <c r="U422" s="577"/>
      <c r="V422" s="577"/>
      <c r="W422" s="698"/>
      <c r="X422" s="364"/>
      <c r="Y422" s="364"/>
      <c r="Z422" s="364"/>
      <c r="AA422"/>
      <c r="AB422"/>
      <c r="AC422"/>
      <c r="AD422"/>
      <c r="AE422"/>
      <c r="AF422"/>
      <c r="AG422"/>
    </row>
    <row r="423" spans="17:33" ht="12.75" customHeight="1">
      <c r="Q423" s="364"/>
      <c r="R423" s="895" t="s">
        <v>845</v>
      </c>
      <c r="S423" s="896"/>
      <c r="T423" s="900" t="s">
        <v>835</v>
      </c>
      <c r="U423" s="900" t="s">
        <v>836</v>
      </c>
      <c r="V423" s="900" t="s">
        <v>837</v>
      </c>
      <c r="W423" s="902" t="s">
        <v>838</v>
      </c>
      <c r="X423" s="364"/>
      <c r="Y423" s="364"/>
      <c r="Z423" s="364"/>
      <c r="AA423"/>
      <c r="AB423"/>
      <c r="AC423"/>
      <c r="AD423"/>
      <c r="AE423"/>
      <c r="AF423"/>
      <c r="AG423"/>
    </row>
    <row r="424" spans="17:33" ht="12.75" customHeight="1">
      <c r="Q424" s="364"/>
      <c r="R424" s="892"/>
      <c r="S424" s="897"/>
      <c r="T424" s="901"/>
      <c r="U424" s="901"/>
      <c r="V424" s="901"/>
      <c r="W424" s="903"/>
      <c r="X424" s="364"/>
      <c r="Y424" s="364"/>
      <c r="Z424" s="364"/>
      <c r="AA424"/>
      <c r="AB424"/>
      <c r="AC424"/>
      <c r="AD424"/>
      <c r="AE424"/>
      <c r="AF424"/>
      <c r="AG424"/>
    </row>
    <row r="425" spans="17:33" ht="12.75" customHeight="1">
      <c r="Q425" s="364"/>
      <c r="R425" s="892"/>
      <c r="S425" s="897"/>
      <c r="T425" s="704">
        <f>T412-PPE!$I$15</f>
        <v>89</v>
      </c>
      <c r="U425" s="560">
        <f>U418</f>
        <v>2.6666666666666665</v>
      </c>
      <c r="V425" s="690">
        <f>IF(T425&gt;0,W425*U425," ")</f>
        <v>83.333333333333329</v>
      </c>
      <c r="W425" s="691">
        <f>IF(T425&gt;0,(VLOOKUP(T425,'Lookup Ready-reckoner'!$B$5:$E$1207,4))," ")</f>
        <v>31.25</v>
      </c>
      <c r="X425" s="364"/>
      <c r="Y425" s="364"/>
      <c r="Z425" s="364"/>
      <c r="AA425"/>
      <c r="AB425"/>
      <c r="AC425"/>
      <c r="AD425"/>
      <c r="AE425"/>
      <c r="AF425"/>
      <c r="AG425"/>
    </row>
    <row r="426" spans="17:33" ht="12.75" customHeight="1">
      <c r="Q426" s="364"/>
      <c r="R426" s="898"/>
      <c r="S426" s="899"/>
      <c r="T426" s="447"/>
      <c r="U426" s="560"/>
      <c r="V426" s="690" t="str">
        <f>IF(T426&gt;0,W426*U426," ")</f>
        <v xml:space="preserve"> </v>
      </c>
      <c r="W426" s="691" t="str">
        <f>IF(T426&gt;0,(VLOOKUP(T426,'Lookup Ready-reckoner'!$B$5:$E$1007,4))," ")</f>
        <v xml:space="preserve"> </v>
      </c>
      <c r="X426" s="364"/>
      <c r="Y426" s="364"/>
      <c r="Z426" s="364"/>
      <c r="AA426"/>
      <c r="AB426"/>
      <c r="AC426"/>
      <c r="AD426"/>
      <c r="AE426"/>
      <c r="AF426"/>
      <c r="AG426"/>
    </row>
    <row r="427" spans="17:33" ht="12.75" customHeight="1" thickBot="1">
      <c r="Q427" s="364"/>
      <c r="R427" s="692" t="s">
        <v>839</v>
      </c>
      <c r="S427" s="693"/>
      <c r="T427" s="693"/>
      <c r="U427" s="705">
        <f>IF(T425&gt;0,(VLOOKUP(V427,'Lookup Ready-reckoner'!$L$5:$M$1207,2))," ")</f>
        <v>84.15</v>
      </c>
      <c r="V427" s="695">
        <f>IF(U425&gt;0,(SUM(V425:V426))," ")</f>
        <v>83.333333333333329</v>
      </c>
      <c r="W427" s="696"/>
      <c r="X427" s="364"/>
      <c r="Y427" s="364"/>
      <c r="Z427" s="364"/>
      <c r="AA427"/>
      <c r="AB427"/>
      <c r="AC427"/>
      <c r="AD427"/>
      <c r="AE427"/>
      <c r="AF427"/>
      <c r="AG427"/>
    </row>
    <row r="428" spans="17:33" ht="12.75" customHeight="1" thickBot="1">
      <c r="Q428" s="364"/>
      <c r="R428" s="892"/>
      <c r="S428" s="893"/>
      <c r="T428" s="893"/>
      <c r="U428" s="893"/>
      <c r="V428" s="893"/>
      <c r="W428" s="894"/>
      <c r="X428" s="364"/>
      <c r="Y428" s="364"/>
      <c r="Z428" s="364"/>
      <c r="AA428"/>
      <c r="AB428"/>
      <c r="AC428"/>
      <c r="AD428"/>
      <c r="AE428"/>
      <c r="AF428"/>
      <c r="AG428"/>
    </row>
    <row r="429" spans="17:33" ht="12.75" customHeight="1">
      <c r="Q429" s="364"/>
      <c r="R429" s="895" t="s">
        <v>886</v>
      </c>
      <c r="S429" s="896"/>
      <c r="T429" s="900" t="s">
        <v>835</v>
      </c>
      <c r="U429" s="900" t="s">
        <v>836</v>
      </c>
      <c r="V429" s="900" t="s">
        <v>837</v>
      </c>
      <c r="W429" s="902" t="s">
        <v>838</v>
      </c>
      <c r="X429" s="364"/>
      <c r="Y429" s="364"/>
      <c r="Z429" s="364"/>
      <c r="AA429"/>
      <c r="AB429"/>
      <c r="AC429"/>
      <c r="AD429"/>
      <c r="AE429"/>
      <c r="AF429"/>
      <c r="AG429"/>
    </row>
    <row r="430" spans="17:33" ht="12.75" customHeight="1">
      <c r="Q430" s="364"/>
      <c r="R430" s="892"/>
      <c r="S430" s="897"/>
      <c r="T430" s="901"/>
      <c r="U430" s="901"/>
      <c r="V430" s="901"/>
      <c r="W430" s="903"/>
      <c r="X430" s="364"/>
      <c r="Y430" s="364"/>
      <c r="Z430" s="364"/>
      <c r="AA430"/>
      <c r="AB430"/>
      <c r="AC430"/>
      <c r="AD430"/>
      <c r="AE430"/>
      <c r="AF430"/>
      <c r="AG430"/>
    </row>
    <row r="431" spans="17:33" ht="12.75" customHeight="1">
      <c r="Q431" s="364"/>
      <c r="R431" s="892"/>
      <c r="S431" s="897"/>
      <c r="T431" s="704">
        <f>T418-PPE!$I$15</f>
        <v>85.368800000000007</v>
      </c>
      <c r="U431" s="560">
        <f>U425</f>
        <v>2.6666666666666665</v>
      </c>
      <c r="V431" s="690">
        <f>IF(T431&gt;0,W431*U431," ")</f>
        <v>36.25</v>
      </c>
      <c r="W431" s="691">
        <f>IF(T431&gt;0,(VLOOKUP(T431,'Lookup Ready-reckoner'!$B$5:$E$1207,4))," ")</f>
        <v>13.59375</v>
      </c>
      <c r="X431" s="364"/>
      <c r="Y431" s="364"/>
      <c r="Z431" s="364"/>
      <c r="AA431"/>
      <c r="AB431"/>
      <c r="AC431"/>
      <c r="AD431"/>
      <c r="AE431"/>
      <c r="AF431"/>
      <c r="AG431"/>
    </row>
    <row r="432" spans="17:33" ht="12.75" customHeight="1">
      <c r="Q432" s="364"/>
      <c r="R432" s="898"/>
      <c r="S432" s="899"/>
      <c r="T432" s="447"/>
      <c r="U432" s="560"/>
      <c r="V432" s="690" t="str">
        <f>IF(T432&gt;0,W432*U432," ")</f>
        <v xml:space="preserve"> </v>
      </c>
      <c r="W432" s="691" t="str">
        <f>IF(T432&gt;0,(VLOOKUP(T432,'Lookup Ready-reckoner'!$B$5:$E$1007,4))," ")</f>
        <v xml:space="preserve"> </v>
      </c>
      <c r="X432" s="364"/>
      <c r="Y432" s="364"/>
      <c r="Z432" s="364"/>
      <c r="AA432"/>
      <c r="AB432"/>
      <c r="AC432"/>
      <c r="AD432"/>
      <c r="AE432"/>
      <c r="AF432"/>
      <c r="AG432"/>
    </row>
    <row r="433" spans="17:33" ht="12.75" customHeight="1" thickBot="1">
      <c r="Q433" s="364"/>
      <c r="R433" s="692" t="s">
        <v>839</v>
      </c>
      <c r="S433" s="693"/>
      <c r="T433" s="693"/>
      <c r="U433" s="705">
        <f>IF(T431&gt;0,(VLOOKUP(V433,'Lookup Ready-reckoner'!$L$5:$M$1207,2))," ")</f>
        <v>80.5</v>
      </c>
      <c r="V433" s="695">
        <f>IF(U431&gt;0,(SUM(V431:V432))," ")</f>
        <v>36.25</v>
      </c>
      <c r="W433" s="696"/>
      <c r="X433" s="364"/>
      <c r="Y433" s="364"/>
      <c r="Z433" s="364"/>
      <c r="AA433"/>
      <c r="AB433"/>
      <c r="AC433"/>
      <c r="AD433"/>
      <c r="AE433"/>
      <c r="AF433"/>
      <c r="AG433"/>
    </row>
    <row r="434" spans="17:33" ht="12.75" customHeight="1" thickBot="1">
      <c r="Q434" s="364"/>
      <c r="R434" s="364"/>
      <c r="S434" s="364"/>
      <c r="T434" s="364"/>
      <c r="U434" s="364"/>
      <c r="V434" s="364"/>
      <c r="W434" s="364"/>
      <c r="X434" s="364"/>
      <c r="Y434" s="364"/>
      <c r="Z434" s="364"/>
      <c r="AA434"/>
      <c r="AB434"/>
      <c r="AC434"/>
      <c r="AD434"/>
      <c r="AE434"/>
      <c r="AF434"/>
      <c r="AG434"/>
    </row>
    <row r="435" spans="17:33" ht="12.75" customHeight="1" thickTop="1">
      <c r="Q435" s="364"/>
      <c r="R435" s="916" t="s">
        <v>429</v>
      </c>
      <c r="S435" s="917"/>
      <c r="T435" s="917"/>
      <c r="U435" s="917"/>
      <c r="V435" s="917"/>
      <c r="W435" s="918"/>
      <c r="X435" s="364"/>
      <c r="Y435" s="364"/>
      <c r="Z435" s="364"/>
      <c r="AA435"/>
      <c r="AB435"/>
      <c r="AC435"/>
      <c r="AD435"/>
      <c r="AE435"/>
      <c r="AF435"/>
      <c r="AG435"/>
    </row>
    <row r="436" spans="17:33" ht="12.75" customHeight="1">
      <c r="Q436" s="364"/>
      <c r="R436" s="919"/>
      <c r="S436" s="920"/>
      <c r="T436" s="920"/>
      <c r="U436" s="920"/>
      <c r="V436" s="920"/>
      <c r="W436" s="921"/>
      <c r="X436" s="364"/>
      <c r="Y436" s="364"/>
      <c r="Z436" s="364"/>
      <c r="AA436"/>
      <c r="AB436"/>
      <c r="AC436"/>
      <c r="AD436"/>
      <c r="AE436"/>
      <c r="AF436"/>
      <c r="AG436"/>
    </row>
    <row r="437" spans="17:33" ht="12.75" customHeight="1" thickBot="1">
      <c r="Q437" s="364"/>
      <c r="R437" s="922"/>
      <c r="S437" s="923"/>
      <c r="T437" s="923"/>
      <c r="U437" s="923"/>
      <c r="V437" s="923"/>
      <c r="W437" s="924"/>
      <c r="X437" s="364"/>
      <c r="Y437" s="364"/>
      <c r="Z437" s="364"/>
      <c r="AA437"/>
      <c r="AB437"/>
      <c r="AC437"/>
      <c r="AD437"/>
      <c r="AE437"/>
      <c r="AF437"/>
      <c r="AG437"/>
    </row>
    <row r="438" spans="17:33" ht="12.75" customHeight="1" thickTop="1">
      <c r="Q438" s="364"/>
      <c r="R438" s="925" t="str">
        <f>R319</f>
        <v>Seco S215</v>
      </c>
      <c r="S438" s="925"/>
      <c r="T438" s="925"/>
      <c r="U438" s="925"/>
      <c r="V438" s="925"/>
      <c r="W438" s="925"/>
      <c r="X438" s="364"/>
      <c r="Y438" s="364"/>
      <c r="Z438" s="364"/>
      <c r="AA438"/>
      <c r="AB438"/>
      <c r="AC438"/>
      <c r="AD438"/>
      <c r="AE438"/>
      <c r="AF438"/>
      <c r="AG438"/>
    </row>
    <row r="439" spans="17:33" ht="12.75" customHeight="1" thickBot="1">
      <c r="Q439" s="364"/>
      <c r="R439" s="910" t="s">
        <v>205</v>
      </c>
      <c r="S439" s="911"/>
      <c r="T439" s="911"/>
      <c r="U439" s="911"/>
      <c r="V439" s="911"/>
      <c r="W439" s="912"/>
      <c r="X439" s="364"/>
      <c r="Y439" s="364"/>
      <c r="Z439" s="364"/>
      <c r="AA439"/>
      <c r="AB439"/>
      <c r="AC439"/>
      <c r="AD439"/>
      <c r="AE439"/>
      <c r="AF439"/>
      <c r="AG439"/>
    </row>
    <row r="440" spans="17:33" ht="12.75" customHeight="1" thickBot="1">
      <c r="Q440" s="364"/>
      <c r="R440" s="686" t="s">
        <v>59</v>
      </c>
      <c r="S440" s="577"/>
      <c r="T440" s="687"/>
      <c r="U440" s="687"/>
      <c r="V440" s="687"/>
      <c r="W440" s="688"/>
      <c r="X440" s="364"/>
      <c r="Y440" s="364"/>
      <c r="Z440" s="364"/>
      <c r="AA440"/>
      <c r="AB440"/>
      <c r="AC440"/>
      <c r="AD440"/>
      <c r="AE440"/>
      <c r="AF440"/>
      <c r="AG440"/>
    </row>
    <row r="441" spans="17:33" ht="12.75" customHeight="1">
      <c r="Q441" s="364"/>
      <c r="R441" s="895" t="s">
        <v>845</v>
      </c>
      <c r="S441" s="896"/>
      <c r="T441" s="900" t="s">
        <v>835</v>
      </c>
      <c r="U441" s="900" t="s">
        <v>836</v>
      </c>
      <c r="V441" s="900" t="s">
        <v>837</v>
      </c>
      <c r="W441" s="902" t="s">
        <v>838</v>
      </c>
      <c r="X441" s="364"/>
      <c r="Y441" s="364"/>
      <c r="Z441" s="364"/>
      <c r="AA441"/>
      <c r="AB441"/>
      <c r="AC441"/>
      <c r="AD441"/>
      <c r="AE441"/>
      <c r="AF441"/>
      <c r="AG441"/>
    </row>
    <row r="442" spans="17:33" ht="12.75" customHeight="1">
      <c r="Q442" s="364"/>
      <c r="R442" s="892"/>
      <c r="S442" s="897"/>
      <c r="T442" s="904"/>
      <c r="U442" s="904"/>
      <c r="V442" s="904"/>
      <c r="W442" s="905"/>
      <c r="X442" s="364"/>
      <c r="Y442" s="364"/>
      <c r="Z442" s="364"/>
      <c r="AA442"/>
      <c r="AB442"/>
      <c r="AC442"/>
      <c r="AD442"/>
      <c r="AE442"/>
      <c r="AF442"/>
      <c r="AG442"/>
    </row>
    <row r="443" spans="17:33" ht="12.75" customHeight="1">
      <c r="Q443" s="364"/>
      <c r="R443" s="892"/>
      <c r="S443" s="897"/>
      <c r="T443" s="901"/>
      <c r="U443" s="901"/>
      <c r="V443" s="901"/>
      <c r="W443" s="903"/>
      <c r="X443" s="364"/>
      <c r="Y443" s="364"/>
      <c r="Z443" s="364"/>
      <c r="AA443"/>
      <c r="AB443"/>
      <c r="AC443"/>
      <c r="AD443"/>
      <c r="AE443"/>
      <c r="AF443"/>
      <c r="AG443"/>
    </row>
    <row r="444" spans="17:33" ht="12.75" customHeight="1">
      <c r="Q444" s="364"/>
      <c r="R444" s="892"/>
      <c r="S444" s="897"/>
      <c r="T444" s="689">
        <f>X76</f>
        <v>122.02059991327964</v>
      </c>
      <c r="U444" s="560">
        <f>X62</f>
        <v>1.4285714285714284</v>
      </c>
      <c r="V444" s="690">
        <f>IF(T444&gt;0,W444*U444," ")</f>
        <v>79999.999999999985</v>
      </c>
      <c r="W444" s="691">
        <f>IF(T444&gt;0,(VLOOKUP(T444,'Lookup Ready-reckoner'!$B$5:$E$1207,4))," ")</f>
        <v>56000</v>
      </c>
      <c r="X444" s="364"/>
      <c r="Y444" s="364"/>
      <c r="Z444" s="364"/>
      <c r="AA444"/>
      <c r="AB444"/>
      <c r="AC444"/>
      <c r="AD444"/>
      <c r="AE444"/>
      <c r="AF444"/>
      <c r="AG444"/>
    </row>
    <row r="445" spans="17:33" ht="12.75" customHeight="1">
      <c r="Q445" s="364"/>
      <c r="R445" s="898"/>
      <c r="S445" s="899"/>
      <c r="T445" s="447"/>
      <c r="U445" s="560"/>
      <c r="V445" s="690" t="str">
        <f>IF(T445&gt;0,W445*U445," ")</f>
        <v xml:space="preserve"> </v>
      </c>
      <c r="W445" s="691" t="str">
        <f>IF(T445&gt;0,(VLOOKUP(T445,'Lookup Ready-reckoner'!$B$5:$E$1007,4))," ")</f>
        <v xml:space="preserve"> </v>
      </c>
      <c r="X445" s="364"/>
      <c r="Y445" s="364"/>
      <c r="Z445" s="364"/>
      <c r="AA445"/>
      <c r="AB445"/>
      <c r="AC445"/>
      <c r="AD445"/>
      <c r="AE445"/>
      <c r="AF445"/>
      <c r="AG445"/>
    </row>
    <row r="446" spans="17:33" ht="12.75" customHeight="1" thickBot="1">
      <c r="Q446" s="364"/>
      <c r="R446" s="692" t="s">
        <v>839</v>
      </c>
      <c r="S446" s="693"/>
      <c r="T446" s="693"/>
      <c r="U446" s="694">
        <f>IF(T444&gt;0,(VLOOKUP(V446,'Lookup Ready-reckoner'!$L$5:$M$1207,2))," ")</f>
        <v>113.95</v>
      </c>
      <c r="V446" s="695">
        <f>IF(U444&gt;0,(SUM(V444:V445))," ")</f>
        <v>79999.999999999985</v>
      </c>
      <c r="W446" s="696"/>
      <c r="X446" s="364"/>
      <c r="Y446" s="364"/>
      <c r="Z446" s="364"/>
      <c r="AA446"/>
      <c r="AB446"/>
      <c r="AC446"/>
      <c r="AD446"/>
      <c r="AE446"/>
      <c r="AF446"/>
      <c r="AG446"/>
    </row>
    <row r="447" spans="17:33" ht="12.75" customHeight="1" thickBot="1">
      <c r="Q447" s="364"/>
      <c r="R447" s="892"/>
      <c r="S447" s="893"/>
      <c r="T447" s="893"/>
      <c r="U447" s="893"/>
      <c r="V447" s="893"/>
      <c r="W447" s="894"/>
      <c r="X447" s="364"/>
      <c r="Y447" s="364"/>
      <c r="Z447" s="364"/>
      <c r="AA447"/>
      <c r="AB447"/>
      <c r="AC447"/>
      <c r="AD447"/>
      <c r="AE447"/>
      <c r="AF447"/>
      <c r="AG447"/>
    </row>
    <row r="448" spans="17:33" ht="12.75" customHeight="1">
      <c r="Q448" s="364"/>
      <c r="R448" s="895" t="s">
        <v>886</v>
      </c>
      <c r="S448" s="896"/>
      <c r="T448" s="900" t="s">
        <v>835</v>
      </c>
      <c r="U448" s="900" t="s">
        <v>836</v>
      </c>
      <c r="V448" s="900" t="s">
        <v>837</v>
      </c>
      <c r="W448" s="902" t="s">
        <v>838</v>
      </c>
      <c r="X448" s="364"/>
      <c r="Y448" s="364"/>
      <c r="Z448" s="364"/>
      <c r="AA448"/>
      <c r="AB448"/>
      <c r="AC448"/>
      <c r="AD448"/>
      <c r="AE448"/>
      <c r="AF448"/>
      <c r="AG448"/>
    </row>
    <row r="449" spans="17:33" ht="12.75" customHeight="1">
      <c r="Q449" s="364"/>
      <c r="R449" s="892"/>
      <c r="S449" s="897"/>
      <c r="T449" s="901"/>
      <c r="U449" s="901"/>
      <c r="V449" s="901"/>
      <c r="W449" s="903"/>
      <c r="X449" s="364"/>
      <c r="Y449" s="364"/>
      <c r="Z449" s="364"/>
      <c r="AA449"/>
      <c r="AB449"/>
      <c r="AC449"/>
      <c r="AD449"/>
      <c r="AE449"/>
      <c r="AF449"/>
      <c r="AG449"/>
    </row>
    <row r="450" spans="17:33" ht="12.75" customHeight="1">
      <c r="Q450" s="364"/>
      <c r="R450" s="892"/>
      <c r="S450" s="897"/>
      <c r="T450" s="689">
        <f>T444*(1-0.0178*2)</f>
        <v>117.67666655636688</v>
      </c>
      <c r="U450" s="560">
        <f>U444</f>
        <v>1.4285714285714284</v>
      </c>
      <c r="V450" s="690">
        <f>IF(T450&gt;0,W450*U450," ")</f>
        <v>33771.428571428565</v>
      </c>
      <c r="W450" s="691">
        <f>IF(T450&gt;0,(VLOOKUP(T450,'Lookup Ready-reckoner'!$B$5:$E$1207,4))," ")</f>
        <v>23640</v>
      </c>
      <c r="X450" s="364"/>
      <c r="Y450" s="364"/>
      <c r="Z450" s="364"/>
      <c r="AA450"/>
      <c r="AB450"/>
      <c r="AC450"/>
      <c r="AD450"/>
      <c r="AE450"/>
      <c r="AF450"/>
      <c r="AG450"/>
    </row>
    <row r="451" spans="17:33" ht="12.75" customHeight="1">
      <c r="Q451" s="364"/>
      <c r="R451" s="898"/>
      <c r="S451" s="899"/>
      <c r="T451" s="447"/>
      <c r="U451" s="560"/>
      <c r="V451" s="690" t="str">
        <f>IF(T451&gt;0,W451*U451," ")</f>
        <v xml:space="preserve"> </v>
      </c>
      <c r="W451" s="691" t="str">
        <f>IF(T451&gt;0,(VLOOKUP(T451,'Lookup Ready-reckoner'!$B$5:$E$1007,4))," ")</f>
        <v xml:space="preserve"> </v>
      </c>
      <c r="X451" s="364"/>
      <c r="Y451" s="364"/>
      <c r="Z451" s="364"/>
      <c r="AA451"/>
      <c r="AB451"/>
      <c r="AC451"/>
      <c r="AD451"/>
      <c r="AE451"/>
      <c r="AF451"/>
      <c r="AG451"/>
    </row>
    <row r="452" spans="17:33" ht="12.75" customHeight="1" thickBot="1">
      <c r="Q452" s="364"/>
      <c r="R452" s="692" t="s">
        <v>839</v>
      </c>
      <c r="S452" s="693"/>
      <c r="T452" s="693"/>
      <c r="U452" s="694">
        <f>IF(T450&gt;0,(VLOOKUP(V452,'Lookup Ready-reckoner'!$L$5:$M$1207,2))," ")</f>
        <v>110.2</v>
      </c>
      <c r="V452" s="695">
        <f>IF(U450&gt;0,(SUM(V450:V451))," ")</f>
        <v>33771.428571428565</v>
      </c>
      <c r="W452" s="696"/>
      <c r="X452" s="364"/>
      <c r="Y452" s="364"/>
      <c r="Z452" s="364"/>
      <c r="AA452"/>
      <c r="AB452"/>
      <c r="AC452"/>
      <c r="AD452"/>
      <c r="AE452"/>
      <c r="AF452"/>
      <c r="AG452"/>
    </row>
    <row r="453" spans="17:33" ht="12.75" customHeight="1">
      <c r="Q453" s="364"/>
      <c r="R453" s="697"/>
      <c r="S453" s="687"/>
      <c r="T453" s="687"/>
      <c r="U453" s="372"/>
      <c r="V453" s="374"/>
      <c r="W453" s="688"/>
      <c r="X453" s="364"/>
      <c r="Y453" s="364"/>
      <c r="Z453" s="364"/>
      <c r="AA453"/>
      <c r="AB453"/>
      <c r="AC453"/>
      <c r="AD453"/>
      <c r="AE453"/>
      <c r="AF453"/>
      <c r="AG453"/>
    </row>
    <row r="454" spans="17:33" ht="12.75" customHeight="1" thickBot="1">
      <c r="Q454" s="364"/>
      <c r="R454" s="686" t="s">
        <v>60</v>
      </c>
      <c r="S454" s="577"/>
      <c r="T454" s="577"/>
      <c r="U454" s="577"/>
      <c r="V454" s="577"/>
      <c r="W454" s="698"/>
      <c r="X454" s="364"/>
      <c r="Y454" s="364"/>
      <c r="Z454" s="364"/>
      <c r="AA454"/>
      <c r="AB454"/>
      <c r="AC454"/>
      <c r="AD454"/>
      <c r="AE454"/>
      <c r="AF454"/>
      <c r="AG454"/>
    </row>
    <row r="455" spans="17:33" ht="12.75" customHeight="1">
      <c r="Q455" s="364"/>
      <c r="R455" s="895" t="s">
        <v>845</v>
      </c>
      <c r="S455" s="896"/>
      <c r="T455" s="900" t="s">
        <v>835</v>
      </c>
      <c r="U455" s="900" t="s">
        <v>836</v>
      </c>
      <c r="V455" s="900" t="s">
        <v>837</v>
      </c>
      <c r="W455" s="902" t="s">
        <v>838</v>
      </c>
      <c r="X455" s="364"/>
      <c r="Y455" s="364"/>
      <c r="Z455" s="364"/>
      <c r="AA455"/>
      <c r="AB455"/>
      <c r="AC455"/>
      <c r="AD455"/>
      <c r="AE455"/>
      <c r="AF455"/>
      <c r="AG455"/>
    </row>
    <row r="456" spans="17:33" ht="12.75" customHeight="1">
      <c r="Q456" s="364"/>
      <c r="R456" s="892"/>
      <c r="S456" s="897"/>
      <c r="T456" s="901"/>
      <c r="U456" s="901"/>
      <c r="V456" s="901"/>
      <c r="W456" s="903"/>
      <c r="X456" s="364"/>
      <c r="Y456" s="364"/>
      <c r="Z456" s="364"/>
      <c r="AA456"/>
      <c r="AB456"/>
      <c r="AC456"/>
      <c r="AD456"/>
      <c r="AE456"/>
      <c r="AF456"/>
      <c r="AG456"/>
    </row>
    <row r="457" spans="17:33" ht="12.75" customHeight="1">
      <c r="Q457" s="364"/>
      <c r="R457" s="892"/>
      <c r="S457" s="897"/>
      <c r="T457" s="689">
        <f>T444-PPE!$I$15</f>
        <v>109.02059991327964</v>
      </c>
      <c r="U457" s="560">
        <f>U450</f>
        <v>1.4285714285714284</v>
      </c>
      <c r="V457" s="690">
        <f>IF(T457&gt;0,W457*U457," ")</f>
        <v>4571.4285714285706</v>
      </c>
      <c r="W457" s="691">
        <f>IF(T457&gt;0,(VLOOKUP(T457,'Lookup Ready-reckoner'!$B$5:$E$1207,4))," ")</f>
        <v>3200</v>
      </c>
      <c r="X457" s="364"/>
      <c r="Y457" s="364"/>
      <c r="Z457" s="364"/>
      <c r="AA457"/>
      <c r="AB457"/>
      <c r="AC457"/>
      <c r="AD457"/>
      <c r="AE457"/>
      <c r="AF457"/>
      <c r="AG457"/>
    </row>
    <row r="458" spans="17:33" ht="12.75" customHeight="1">
      <c r="Q458" s="364"/>
      <c r="R458" s="898"/>
      <c r="S458" s="899"/>
      <c r="T458" s="447"/>
      <c r="U458" s="560"/>
      <c r="V458" s="690" t="str">
        <f>IF(T458&gt;0,W458*U458," ")</f>
        <v xml:space="preserve"> </v>
      </c>
      <c r="W458" s="691" t="str">
        <f>IF(T458&gt;0,(VLOOKUP(T458,'Lookup Ready-reckoner'!$B$5:$E$1007,4))," ")</f>
        <v xml:space="preserve"> </v>
      </c>
      <c r="X458" s="364"/>
      <c r="Y458" s="364"/>
      <c r="Z458" s="364"/>
      <c r="AA458"/>
      <c r="AB458"/>
      <c r="AC458"/>
      <c r="AD458"/>
      <c r="AE458"/>
      <c r="AF458"/>
      <c r="AG458"/>
    </row>
    <row r="459" spans="17:33" ht="12.75" customHeight="1" thickBot="1">
      <c r="Q459" s="364"/>
      <c r="R459" s="699" t="s">
        <v>839</v>
      </c>
      <c r="S459" s="693"/>
      <c r="T459" s="693"/>
      <c r="U459" s="694">
        <f>IF(T457&gt;0,(VLOOKUP(V459,'Lookup Ready-reckoner'!$L$5:$M$1207,2))," ")</f>
        <v>101.55</v>
      </c>
      <c r="V459" s="695">
        <f>IF(U457&gt;0,(SUM(V457:V458))," ")</f>
        <v>4571.4285714285706</v>
      </c>
      <c r="W459" s="696"/>
      <c r="X459" s="364"/>
      <c r="Y459" s="364"/>
      <c r="Z459" s="364"/>
      <c r="AA459"/>
      <c r="AB459"/>
      <c r="AC459"/>
      <c r="AD459"/>
      <c r="AE459"/>
      <c r="AF459"/>
      <c r="AG459"/>
    </row>
    <row r="460" spans="17:33" ht="12.75" customHeight="1" thickBot="1">
      <c r="Q460" s="364"/>
      <c r="R460" s="892"/>
      <c r="S460" s="893"/>
      <c r="T460" s="893"/>
      <c r="U460" s="893"/>
      <c r="V460" s="893"/>
      <c r="W460" s="894"/>
      <c r="X460" s="364"/>
      <c r="Y460" s="364"/>
      <c r="Z460" s="364"/>
      <c r="AA460"/>
      <c r="AB460"/>
      <c r="AC460"/>
      <c r="AD460"/>
      <c r="AE460"/>
      <c r="AF460"/>
      <c r="AG460"/>
    </row>
    <row r="461" spans="17:33" ht="12.75" customHeight="1">
      <c r="Q461" s="364"/>
      <c r="R461" s="895" t="s">
        <v>886</v>
      </c>
      <c r="S461" s="896"/>
      <c r="T461" s="900" t="s">
        <v>835</v>
      </c>
      <c r="U461" s="900" t="s">
        <v>836</v>
      </c>
      <c r="V461" s="900" t="s">
        <v>837</v>
      </c>
      <c r="W461" s="902" t="s">
        <v>838</v>
      </c>
      <c r="X461" s="364"/>
      <c r="Y461" s="364"/>
      <c r="Z461" s="364"/>
      <c r="AA461"/>
      <c r="AB461"/>
      <c r="AC461"/>
      <c r="AD461"/>
      <c r="AE461"/>
      <c r="AF461"/>
      <c r="AG461"/>
    </row>
    <row r="462" spans="17:33" ht="12.75" customHeight="1">
      <c r="Q462" s="364"/>
      <c r="R462" s="892"/>
      <c r="S462" s="897"/>
      <c r="T462" s="901"/>
      <c r="U462" s="901"/>
      <c r="V462" s="901"/>
      <c r="W462" s="903"/>
      <c r="X462" s="364"/>
      <c r="Y462" s="364"/>
      <c r="Z462" s="364"/>
      <c r="AA462"/>
      <c r="AB462"/>
      <c r="AC462"/>
      <c r="AD462"/>
      <c r="AE462"/>
      <c r="AF462"/>
      <c r="AG462"/>
    </row>
    <row r="463" spans="17:33" ht="12.75" customHeight="1">
      <c r="Q463" s="364"/>
      <c r="R463" s="892"/>
      <c r="S463" s="897"/>
      <c r="T463" s="689">
        <f>T450-PPE!$I$15</f>
        <v>104.67666655636688</v>
      </c>
      <c r="U463" s="560">
        <f>U457</f>
        <v>1.4285714285714284</v>
      </c>
      <c r="V463" s="690">
        <f>IF(T463&gt;0,W463*U463," ")</f>
        <v>1660.7142857142856</v>
      </c>
      <c r="W463" s="691">
        <f>IF(T463&gt;0,(VLOOKUP(T463,'Lookup Ready-reckoner'!$B$5:$E$1207,4))," ")</f>
        <v>1162.5</v>
      </c>
      <c r="X463" s="364"/>
      <c r="Y463" s="364"/>
      <c r="Z463" s="364"/>
      <c r="AA463"/>
      <c r="AB463"/>
      <c r="AC463"/>
      <c r="AD463"/>
      <c r="AE463"/>
      <c r="AF463"/>
      <c r="AG463"/>
    </row>
    <row r="464" spans="17:33" ht="12.75" customHeight="1">
      <c r="Q464" s="364"/>
      <c r="R464" s="898"/>
      <c r="S464" s="899"/>
      <c r="T464" s="447"/>
      <c r="U464" s="560"/>
      <c r="V464" s="690" t="str">
        <f>IF(T464&gt;0,W464*U464," ")</f>
        <v xml:space="preserve"> </v>
      </c>
      <c r="W464" s="691" t="str">
        <f>IF(T464&gt;0,(VLOOKUP(T464,'Lookup Ready-reckoner'!$B$5:$E$1007,4))," ")</f>
        <v xml:space="preserve"> </v>
      </c>
      <c r="X464" s="364"/>
      <c r="Y464" s="364"/>
      <c r="Z464" s="364"/>
      <c r="AA464"/>
      <c r="AB464"/>
      <c r="AC464"/>
      <c r="AD464"/>
      <c r="AE464"/>
      <c r="AF464"/>
      <c r="AG464"/>
    </row>
    <row r="465" spans="17:33" ht="12.75" customHeight="1" thickBot="1">
      <c r="Q465" s="364"/>
      <c r="R465" s="692" t="s">
        <v>839</v>
      </c>
      <c r="S465" s="693"/>
      <c r="T465" s="693"/>
      <c r="U465" s="694">
        <f>IF(T463&gt;0,(VLOOKUP(V465,'Lookup Ready-reckoner'!$L$5:$M$1207,2))," ")</f>
        <v>97.15</v>
      </c>
      <c r="V465" s="695">
        <f>IF(U463&gt;0,(SUM(V463:V464))," ")</f>
        <v>1660.7142857142856</v>
      </c>
      <c r="W465" s="696"/>
      <c r="X465" s="364"/>
      <c r="Y465" s="364"/>
      <c r="Z465" s="364"/>
      <c r="AA465"/>
      <c r="AB465"/>
      <c r="AC465"/>
      <c r="AD465"/>
      <c r="AE465"/>
      <c r="AF465"/>
      <c r="AG465"/>
    </row>
    <row r="466" spans="17:33" ht="12.75" customHeight="1">
      <c r="Q466" s="364"/>
      <c r="R466" s="363"/>
      <c r="S466" s="363"/>
      <c r="T466" s="363"/>
      <c r="U466" s="363"/>
      <c r="V466" s="363"/>
      <c r="W466" s="363"/>
      <c r="X466" s="364"/>
      <c r="Y466" s="364"/>
      <c r="Z466" s="364"/>
      <c r="AA466"/>
      <c r="AB466"/>
      <c r="AC466"/>
      <c r="AD466"/>
      <c r="AE466"/>
      <c r="AF466"/>
      <c r="AG466"/>
    </row>
    <row r="467" spans="17:33" ht="12.75" customHeight="1" thickBot="1">
      <c r="Q467" s="364"/>
      <c r="R467" s="915" t="str">
        <f>R348</f>
        <v>Seco S215 Muffled</v>
      </c>
      <c r="S467" s="915"/>
      <c r="T467" s="915"/>
      <c r="U467" s="915"/>
      <c r="V467" s="915"/>
      <c r="W467" s="915"/>
      <c r="X467" s="364"/>
      <c r="Y467" s="364"/>
      <c r="Z467" s="364"/>
      <c r="AA467"/>
      <c r="AB467"/>
      <c r="AC467"/>
      <c r="AD467"/>
      <c r="AE467"/>
      <c r="AF467"/>
      <c r="AG467"/>
    </row>
    <row r="468" spans="17:33" ht="12.75" customHeight="1" thickBot="1">
      <c r="Q468" s="364"/>
      <c r="R468" s="906" t="s">
        <v>205</v>
      </c>
      <c r="S468" s="907"/>
      <c r="T468" s="907"/>
      <c r="U468" s="907"/>
      <c r="V468" s="907"/>
      <c r="W468" s="908"/>
      <c r="X468" s="364"/>
      <c r="Y468" s="364"/>
      <c r="Z468" s="364"/>
      <c r="AA468"/>
      <c r="AB468"/>
      <c r="AC468"/>
      <c r="AD468"/>
      <c r="AE468"/>
      <c r="AF468"/>
      <c r="AG468"/>
    </row>
    <row r="469" spans="17:33" ht="12.75" customHeight="1" thickBot="1">
      <c r="Q469" s="364"/>
      <c r="R469" s="686" t="s">
        <v>59</v>
      </c>
      <c r="S469" s="577"/>
      <c r="T469" s="687"/>
      <c r="U469" s="687"/>
      <c r="V469" s="687"/>
      <c r="W469" s="688"/>
      <c r="X469" s="364"/>
      <c r="Y469" s="364"/>
      <c r="Z469" s="364"/>
      <c r="AA469"/>
      <c r="AB469"/>
      <c r="AC469"/>
      <c r="AD469"/>
      <c r="AE469"/>
      <c r="AF469"/>
      <c r="AG469"/>
    </row>
    <row r="470" spans="17:33" ht="12.75" customHeight="1">
      <c r="Q470" s="364"/>
      <c r="R470" s="895" t="s">
        <v>845</v>
      </c>
      <c r="S470" s="896"/>
      <c r="T470" s="900" t="s">
        <v>835</v>
      </c>
      <c r="U470" s="900" t="s">
        <v>836</v>
      </c>
      <c r="V470" s="900" t="s">
        <v>837</v>
      </c>
      <c r="W470" s="902" t="s">
        <v>838</v>
      </c>
      <c r="X470" s="364"/>
      <c r="Y470" s="364"/>
      <c r="Z470" s="364"/>
      <c r="AA470"/>
      <c r="AB470"/>
      <c r="AC470"/>
      <c r="AD470"/>
      <c r="AE470"/>
      <c r="AF470"/>
      <c r="AG470"/>
    </row>
    <row r="471" spans="17:33" ht="12.75" customHeight="1">
      <c r="Q471" s="364"/>
      <c r="R471" s="892"/>
      <c r="S471" s="897"/>
      <c r="T471" s="904"/>
      <c r="U471" s="904"/>
      <c r="V471" s="904"/>
      <c r="W471" s="905"/>
      <c r="X471" s="364"/>
      <c r="Y471" s="364"/>
      <c r="Z471" s="364"/>
      <c r="AA471"/>
      <c r="AB471"/>
      <c r="AC471"/>
      <c r="AD471"/>
      <c r="AE471"/>
      <c r="AF471"/>
      <c r="AG471"/>
    </row>
    <row r="472" spans="17:33" ht="12.75" customHeight="1">
      <c r="Q472" s="364"/>
      <c r="R472" s="892"/>
      <c r="S472" s="897"/>
      <c r="T472" s="901"/>
      <c r="U472" s="901"/>
      <c r="V472" s="901"/>
      <c r="W472" s="903"/>
      <c r="X472" s="364"/>
      <c r="Y472" s="364"/>
      <c r="Z472" s="364"/>
      <c r="AA472"/>
      <c r="AB472"/>
      <c r="AC472"/>
      <c r="AD472"/>
      <c r="AE472"/>
      <c r="AF472"/>
      <c r="AG472"/>
    </row>
    <row r="473" spans="17:33" ht="12.75" customHeight="1">
      <c r="Q473" s="364"/>
      <c r="R473" s="892"/>
      <c r="S473" s="897"/>
      <c r="T473" s="700">
        <f>V76</f>
        <v>114.02059991327963</v>
      </c>
      <c r="U473" s="560">
        <f>V62</f>
        <v>1.9999999999999996</v>
      </c>
      <c r="V473" s="690">
        <f>IF(T473&gt;0,W473*U473," ")</f>
        <v>19999.999999999996</v>
      </c>
      <c r="W473" s="691">
        <f>IF(T473&gt;0,(VLOOKUP(T473,'Lookup Ready-reckoner'!$B$5:$E$1207,4))," ")</f>
        <v>10000</v>
      </c>
      <c r="X473" s="364"/>
      <c r="Y473" s="364"/>
      <c r="Z473" s="364"/>
      <c r="AA473"/>
      <c r="AB473"/>
      <c r="AC473"/>
      <c r="AD473"/>
      <c r="AE473"/>
      <c r="AF473"/>
      <c r="AG473"/>
    </row>
    <row r="474" spans="17:33" ht="12.75" customHeight="1">
      <c r="Q474" s="364"/>
      <c r="R474" s="898"/>
      <c r="S474" s="899"/>
      <c r="T474" s="447"/>
      <c r="U474" s="560"/>
      <c r="V474" s="690" t="str">
        <f>IF(T474&gt;0,W474*U474," ")</f>
        <v xml:space="preserve"> </v>
      </c>
      <c r="W474" s="691" t="str">
        <f>IF(T474&gt;0,(VLOOKUP(T474,'Lookup Ready-reckoner'!$B$5:$E$1007,4))," ")</f>
        <v xml:space="preserve"> </v>
      </c>
      <c r="X474" s="364"/>
      <c r="Y474" s="364"/>
      <c r="Z474" s="364"/>
      <c r="AA474"/>
      <c r="AB474"/>
      <c r="AC474"/>
      <c r="AD474"/>
      <c r="AE474"/>
      <c r="AF474"/>
      <c r="AG474"/>
    </row>
    <row r="475" spans="17:33" ht="12.75" customHeight="1" thickBot="1">
      <c r="Q475" s="364"/>
      <c r="R475" s="699" t="s">
        <v>839</v>
      </c>
      <c r="S475" s="693"/>
      <c r="T475" s="693"/>
      <c r="U475" s="701">
        <f>IF(T473&gt;0,(VLOOKUP(V475,'Lookup Ready-reckoner'!$L$5:$M$1207,2))," ")</f>
        <v>107.95</v>
      </c>
      <c r="V475" s="695">
        <f>IF(U473&gt;0,(SUM(V473:V474))," ")</f>
        <v>19999.999999999996</v>
      </c>
      <c r="W475" s="696"/>
      <c r="X475" s="364"/>
      <c r="Y475" s="364"/>
      <c r="Z475" s="364"/>
      <c r="AA475"/>
      <c r="AB475"/>
      <c r="AC475"/>
      <c r="AD475"/>
      <c r="AE475"/>
      <c r="AF475"/>
      <c r="AG475"/>
    </row>
    <row r="476" spans="17:33" ht="12.75" customHeight="1" thickBot="1">
      <c r="Q476" s="364"/>
      <c r="R476" s="892"/>
      <c r="S476" s="893"/>
      <c r="T476" s="893"/>
      <c r="U476" s="893"/>
      <c r="V476" s="893"/>
      <c r="W476" s="894"/>
      <c r="X476" s="364"/>
      <c r="Y476" s="364"/>
      <c r="Z476" s="364"/>
      <c r="AA476"/>
      <c r="AB476"/>
      <c r="AC476"/>
      <c r="AD476"/>
      <c r="AE476"/>
      <c r="AF476"/>
      <c r="AG476"/>
    </row>
    <row r="477" spans="17:33" ht="12.75" customHeight="1">
      <c r="Q477" s="364"/>
      <c r="R477" s="895" t="s">
        <v>886</v>
      </c>
      <c r="S477" s="896"/>
      <c r="T477" s="900" t="s">
        <v>835</v>
      </c>
      <c r="U477" s="900" t="s">
        <v>836</v>
      </c>
      <c r="V477" s="900" t="s">
        <v>837</v>
      </c>
      <c r="W477" s="902" t="s">
        <v>838</v>
      </c>
      <c r="X477" s="364"/>
      <c r="Y477" s="364"/>
      <c r="Z477" s="364"/>
      <c r="AA477"/>
      <c r="AB477"/>
      <c r="AC477"/>
      <c r="AD477"/>
      <c r="AE477"/>
      <c r="AF477"/>
      <c r="AG477"/>
    </row>
    <row r="478" spans="17:33" ht="12.75" customHeight="1">
      <c r="Q478" s="364"/>
      <c r="R478" s="892"/>
      <c r="S478" s="897"/>
      <c r="T478" s="901"/>
      <c r="U478" s="901"/>
      <c r="V478" s="901"/>
      <c r="W478" s="903"/>
      <c r="X478" s="364"/>
      <c r="Y478" s="364"/>
      <c r="Z478" s="364"/>
      <c r="AA478"/>
      <c r="AB478"/>
      <c r="AC478"/>
      <c r="AD478"/>
      <c r="AE478"/>
      <c r="AF478"/>
      <c r="AG478"/>
    </row>
    <row r="479" spans="17:33" ht="12.75" customHeight="1">
      <c r="Q479" s="364"/>
      <c r="R479" s="892"/>
      <c r="S479" s="897"/>
      <c r="T479" s="700">
        <f>T473*(1-0.0178*2)</f>
        <v>109.96146655636687</v>
      </c>
      <c r="U479" s="560">
        <f>U473</f>
        <v>1.9999999999999996</v>
      </c>
      <c r="V479" s="690">
        <f>IF(T479&gt;0,W479*U479," ")</f>
        <v>7919.9999999999982</v>
      </c>
      <c r="W479" s="691">
        <f>IF(T479&gt;0,(VLOOKUP(T479,'Lookup Ready-reckoner'!$B$5:$E$1207,4))," ")</f>
        <v>3960</v>
      </c>
      <c r="X479" s="364"/>
      <c r="Y479" s="364"/>
      <c r="Z479" s="364"/>
      <c r="AA479"/>
      <c r="AB479"/>
      <c r="AC479"/>
      <c r="AD479"/>
      <c r="AE479"/>
      <c r="AF479"/>
      <c r="AG479"/>
    </row>
    <row r="480" spans="17:33" ht="12.75" customHeight="1">
      <c r="Q480" s="364"/>
      <c r="R480" s="898"/>
      <c r="S480" s="899"/>
      <c r="T480" s="447"/>
      <c r="U480" s="560"/>
      <c r="V480" s="690" t="str">
        <f>IF(T480&gt;0,W480*U480," ")</f>
        <v xml:space="preserve"> </v>
      </c>
      <c r="W480" s="691" t="str">
        <f>IF(T480&gt;0,(VLOOKUP(T480,'Lookup Ready-reckoner'!$B$5:$E$1007,4))," ")</f>
        <v xml:space="preserve"> </v>
      </c>
      <c r="X480" s="364"/>
      <c r="Y480" s="364"/>
      <c r="Z480" s="364"/>
      <c r="AA480"/>
      <c r="AB480"/>
      <c r="AC480"/>
      <c r="AD480"/>
      <c r="AE480"/>
      <c r="AF480"/>
      <c r="AG480"/>
    </row>
    <row r="481" spans="17:33" ht="12.75" customHeight="1" thickBot="1">
      <c r="Q481" s="364"/>
      <c r="R481" s="692" t="s">
        <v>839</v>
      </c>
      <c r="S481" s="693"/>
      <c r="T481" s="693"/>
      <c r="U481" s="701">
        <f>IF(T479&gt;0,(VLOOKUP(V481,'Lookup Ready-reckoner'!$L$5:$M$1207,2))," ")</f>
        <v>103.9</v>
      </c>
      <c r="V481" s="695">
        <f>IF(U479&gt;0,(SUM(V479:V480))," ")</f>
        <v>7919.9999999999982</v>
      </c>
      <c r="W481" s="696"/>
      <c r="X481" s="364"/>
      <c r="Y481" s="364"/>
      <c r="Z481" s="364"/>
      <c r="AA481"/>
      <c r="AB481"/>
      <c r="AC481"/>
      <c r="AD481"/>
      <c r="AE481"/>
      <c r="AF481"/>
      <c r="AG481"/>
    </row>
    <row r="482" spans="17:33" ht="12.75" customHeight="1">
      <c r="Q482" s="364"/>
      <c r="R482" s="697"/>
      <c r="S482" s="687"/>
      <c r="T482" s="687"/>
      <c r="U482" s="372"/>
      <c r="V482" s="374"/>
      <c r="W482" s="688"/>
      <c r="X482" s="364"/>
      <c r="Y482" s="364"/>
      <c r="Z482" s="364"/>
      <c r="AA482"/>
      <c r="AB482"/>
      <c r="AC482"/>
      <c r="AD482"/>
      <c r="AE482"/>
      <c r="AF482"/>
      <c r="AG482"/>
    </row>
    <row r="483" spans="17:33" ht="12.75" customHeight="1" thickBot="1">
      <c r="Q483" s="364"/>
      <c r="R483" s="686" t="s">
        <v>60</v>
      </c>
      <c r="S483" s="577"/>
      <c r="T483" s="577"/>
      <c r="U483" s="577"/>
      <c r="V483" s="577"/>
      <c r="W483" s="698"/>
      <c r="X483" s="364"/>
      <c r="Y483" s="364"/>
      <c r="Z483" s="364"/>
      <c r="AA483"/>
      <c r="AB483"/>
      <c r="AC483"/>
      <c r="AD483"/>
      <c r="AE483"/>
      <c r="AF483"/>
      <c r="AG483"/>
    </row>
    <row r="484" spans="17:33" ht="12.75" customHeight="1">
      <c r="Q484" s="364"/>
      <c r="R484" s="895" t="s">
        <v>845</v>
      </c>
      <c r="S484" s="896"/>
      <c r="T484" s="900" t="s">
        <v>835</v>
      </c>
      <c r="U484" s="900" t="s">
        <v>836</v>
      </c>
      <c r="V484" s="900" t="s">
        <v>837</v>
      </c>
      <c r="W484" s="902" t="s">
        <v>838</v>
      </c>
      <c r="X484" s="364"/>
      <c r="Y484" s="364"/>
      <c r="Z484" s="364"/>
      <c r="AA484"/>
      <c r="AB484"/>
      <c r="AC484"/>
      <c r="AD484"/>
      <c r="AE484"/>
      <c r="AF484"/>
      <c r="AG484"/>
    </row>
    <row r="485" spans="17:33" ht="12.75" customHeight="1">
      <c r="Q485" s="364"/>
      <c r="R485" s="892"/>
      <c r="S485" s="897"/>
      <c r="T485" s="901"/>
      <c r="U485" s="901"/>
      <c r="V485" s="901"/>
      <c r="W485" s="903"/>
      <c r="X485" s="364"/>
      <c r="Y485" s="364"/>
      <c r="Z485" s="364"/>
      <c r="AA485"/>
      <c r="AB485"/>
      <c r="AC485"/>
      <c r="AD485"/>
      <c r="AE485"/>
      <c r="AF485"/>
      <c r="AG485"/>
    </row>
    <row r="486" spans="17:33" ht="12.75" customHeight="1">
      <c r="Q486" s="364"/>
      <c r="R486" s="892"/>
      <c r="S486" s="897"/>
      <c r="T486" s="700">
        <f>T473-PPE!$I$15</f>
        <v>101.02059991327963</v>
      </c>
      <c r="U486" s="560">
        <f>U479</f>
        <v>1.9999999999999996</v>
      </c>
      <c r="V486" s="690">
        <f>IF(T486&gt;0,W486*U486," ")</f>
        <v>999.99999999999977</v>
      </c>
      <c r="W486" s="691">
        <f>IF(T486&gt;0,(VLOOKUP(T486,'Lookup Ready-reckoner'!$B$5:$E$1207,4))," ")</f>
        <v>500</v>
      </c>
      <c r="X486" s="364"/>
      <c r="Y486" s="364"/>
      <c r="Z486" s="364"/>
      <c r="AA486"/>
      <c r="AB486"/>
      <c r="AC486"/>
      <c r="AD486"/>
      <c r="AE486"/>
      <c r="AF486"/>
      <c r="AG486"/>
    </row>
    <row r="487" spans="17:33" ht="12.75" customHeight="1">
      <c r="Q487" s="364"/>
      <c r="R487" s="898"/>
      <c r="S487" s="899"/>
      <c r="T487" s="447"/>
      <c r="U487" s="560"/>
      <c r="V487" s="690" t="str">
        <f>IF(T487&gt;0,W487*U487," ")</f>
        <v xml:space="preserve"> </v>
      </c>
      <c r="W487" s="691" t="str">
        <f>IF(T487&gt;0,(VLOOKUP(T487,'Lookup Ready-reckoner'!$B$5:$E$1007,4))," ")</f>
        <v xml:space="preserve"> </v>
      </c>
      <c r="X487" s="364"/>
      <c r="Y487" s="364"/>
      <c r="Z487" s="364"/>
      <c r="AA487"/>
      <c r="AB487"/>
      <c r="AC487"/>
      <c r="AD487"/>
      <c r="AE487"/>
      <c r="AF487"/>
      <c r="AG487"/>
    </row>
    <row r="488" spans="17:33" ht="12.75" customHeight="1" thickBot="1">
      <c r="Q488" s="364"/>
      <c r="R488" s="692" t="s">
        <v>839</v>
      </c>
      <c r="S488" s="693"/>
      <c r="T488" s="693"/>
      <c r="U488" s="701">
        <f>IF(T486&gt;0,(VLOOKUP(V488,'Lookup Ready-reckoner'!$L$5:$M$1207,2))," ")</f>
        <v>94.95</v>
      </c>
      <c r="V488" s="695">
        <f>IF(U486&gt;0,(SUM(V486:V487))," ")</f>
        <v>999.99999999999977</v>
      </c>
      <c r="W488" s="696"/>
      <c r="X488" s="364"/>
      <c r="Y488" s="364"/>
      <c r="Z488" s="364"/>
      <c r="AA488"/>
      <c r="AB488"/>
      <c r="AC488"/>
      <c r="AD488"/>
      <c r="AE488"/>
      <c r="AF488"/>
      <c r="AG488"/>
    </row>
    <row r="489" spans="17:33" ht="12.75" customHeight="1" thickBot="1">
      <c r="Q489" s="364"/>
      <c r="R489" s="892"/>
      <c r="S489" s="893"/>
      <c r="T489" s="893"/>
      <c r="U489" s="893"/>
      <c r="V489" s="893"/>
      <c r="W489" s="894"/>
      <c r="X489" s="364"/>
      <c r="Y489" s="364"/>
      <c r="Z489" s="364"/>
      <c r="AA489"/>
      <c r="AB489"/>
      <c r="AC489"/>
      <c r="AD489"/>
      <c r="AE489"/>
      <c r="AF489"/>
      <c r="AG489"/>
    </row>
    <row r="490" spans="17:33" ht="12.75" customHeight="1">
      <c r="Q490" s="364"/>
      <c r="R490" s="895" t="s">
        <v>886</v>
      </c>
      <c r="S490" s="896"/>
      <c r="T490" s="900" t="s">
        <v>835</v>
      </c>
      <c r="U490" s="900" t="s">
        <v>836</v>
      </c>
      <c r="V490" s="900" t="s">
        <v>837</v>
      </c>
      <c r="W490" s="902" t="s">
        <v>838</v>
      </c>
      <c r="X490" s="364"/>
      <c r="Y490" s="364"/>
      <c r="Z490" s="364"/>
      <c r="AA490"/>
      <c r="AB490"/>
      <c r="AC490"/>
      <c r="AD490"/>
      <c r="AE490"/>
      <c r="AF490"/>
      <c r="AG490"/>
    </row>
    <row r="491" spans="17:33" ht="12.75" customHeight="1">
      <c r="Q491" s="364"/>
      <c r="R491" s="892"/>
      <c r="S491" s="897"/>
      <c r="T491" s="901"/>
      <c r="U491" s="901"/>
      <c r="V491" s="901"/>
      <c r="W491" s="903"/>
      <c r="X491" s="364"/>
      <c r="Y491" s="364"/>
      <c r="Z491" s="364"/>
      <c r="AA491"/>
      <c r="AB491"/>
      <c r="AC491"/>
      <c r="AD491"/>
      <c r="AE491"/>
      <c r="AF491"/>
      <c r="AG491"/>
    </row>
    <row r="492" spans="17:33" ht="12.75" customHeight="1">
      <c r="Q492" s="364"/>
      <c r="R492" s="892"/>
      <c r="S492" s="897"/>
      <c r="T492" s="700">
        <f>T479-PPE!$I$15</f>
        <v>96.961466556366872</v>
      </c>
      <c r="U492" s="560">
        <f>U486</f>
        <v>1.9999999999999996</v>
      </c>
      <c r="V492" s="690">
        <f>IF(T492&gt;0,W492*U492," ")</f>
        <v>395.62499999999989</v>
      </c>
      <c r="W492" s="691">
        <f>IF(T492&gt;0,(VLOOKUP(T492,'Lookup Ready-reckoner'!$B$5:$E$1207,4))," ")</f>
        <v>197.8125</v>
      </c>
      <c r="X492" s="364"/>
      <c r="Y492" s="364"/>
      <c r="Z492" s="364"/>
      <c r="AA492"/>
      <c r="AB492"/>
      <c r="AC492"/>
      <c r="AD492"/>
      <c r="AE492"/>
      <c r="AF492"/>
      <c r="AG492"/>
    </row>
    <row r="493" spans="17:33" ht="12.75" customHeight="1">
      <c r="Q493" s="364"/>
      <c r="R493" s="898"/>
      <c r="S493" s="899"/>
      <c r="T493" s="447"/>
      <c r="U493" s="560"/>
      <c r="V493" s="690" t="str">
        <f>IF(T493&gt;0,W493*U493," ")</f>
        <v xml:space="preserve"> </v>
      </c>
      <c r="W493" s="691" t="str">
        <f>IF(T493&gt;0,(VLOOKUP(T493,'Lookup Ready-reckoner'!$B$5:$E$1007,4))," ")</f>
        <v xml:space="preserve"> </v>
      </c>
      <c r="X493" s="364"/>
      <c r="Y493" s="364"/>
      <c r="Z493" s="364"/>
      <c r="AA493"/>
      <c r="AB493"/>
      <c r="AC493"/>
      <c r="AD493"/>
      <c r="AE493"/>
      <c r="AF493"/>
      <c r="AG493"/>
    </row>
    <row r="494" spans="17:33" ht="12.75" customHeight="1" thickBot="1">
      <c r="Q494" s="364"/>
      <c r="R494" s="692" t="s">
        <v>839</v>
      </c>
      <c r="S494" s="693"/>
      <c r="T494" s="693"/>
      <c r="U494" s="701">
        <f>IF(T492&gt;0,(VLOOKUP(V494,'Lookup Ready-reckoner'!$L$5:$M$1207,2))," ")</f>
        <v>90.9</v>
      </c>
      <c r="V494" s="695">
        <f>IF(U492&gt;0,(SUM(V492:V493))," ")</f>
        <v>395.62499999999989</v>
      </c>
      <c r="W494" s="696"/>
      <c r="X494" s="364"/>
      <c r="Y494" s="364"/>
      <c r="Z494" s="364"/>
      <c r="AA494"/>
      <c r="AB494"/>
      <c r="AC494"/>
      <c r="AD494"/>
      <c r="AE494"/>
      <c r="AF494"/>
      <c r="AG494"/>
    </row>
    <row r="495" spans="17:33" ht="12.75" customHeight="1">
      <c r="Q495" s="364"/>
      <c r="R495" s="363"/>
      <c r="S495" s="363"/>
      <c r="T495" s="363"/>
      <c r="U495" s="363"/>
      <c r="V495" s="363"/>
      <c r="W495" s="363"/>
      <c r="X495" s="364"/>
      <c r="Y495" s="364"/>
      <c r="Z495" s="364"/>
      <c r="AA495"/>
      <c r="AB495"/>
      <c r="AC495"/>
      <c r="AD495"/>
      <c r="AE495"/>
      <c r="AF495"/>
      <c r="AG495"/>
    </row>
    <row r="496" spans="17:33" ht="12.75" customHeight="1">
      <c r="Q496" s="364"/>
      <c r="R496" s="913" t="str">
        <f>R377</f>
        <v>Sulzer ADDS</v>
      </c>
      <c r="S496" s="914"/>
      <c r="T496" s="914"/>
      <c r="U496" s="914"/>
      <c r="V496" s="914"/>
      <c r="W496" s="914"/>
      <c r="X496" s="364"/>
      <c r="Y496" s="364"/>
      <c r="Z496" s="364"/>
      <c r="AA496"/>
      <c r="AB496"/>
      <c r="AC496"/>
      <c r="AD496"/>
      <c r="AE496"/>
      <c r="AF496"/>
      <c r="AG496"/>
    </row>
    <row r="497" spans="17:33" ht="12.75" customHeight="1" thickBot="1">
      <c r="Q497" s="364"/>
      <c r="R497" s="910" t="s">
        <v>205</v>
      </c>
      <c r="S497" s="911"/>
      <c r="T497" s="911"/>
      <c r="U497" s="911"/>
      <c r="V497" s="911"/>
      <c r="W497" s="912"/>
      <c r="X497" s="364"/>
      <c r="Y497" s="364"/>
      <c r="Z497" s="364"/>
      <c r="AA497"/>
      <c r="AB497"/>
      <c r="AC497"/>
      <c r="AD497"/>
      <c r="AE497"/>
      <c r="AF497"/>
      <c r="AG497"/>
    </row>
    <row r="498" spans="17:33" ht="12.75" customHeight="1" thickBot="1">
      <c r="Q498" s="364"/>
      <c r="R498" s="686" t="s">
        <v>59</v>
      </c>
      <c r="S498" s="577"/>
      <c r="T498" s="687"/>
      <c r="U498" s="687"/>
      <c r="V498" s="687"/>
      <c r="W498" s="688"/>
      <c r="X498" s="364"/>
      <c r="Y498" s="364"/>
      <c r="Z498" s="364"/>
      <c r="AA498"/>
      <c r="AB498"/>
      <c r="AC498"/>
      <c r="AD498"/>
      <c r="AE498"/>
      <c r="AF498"/>
      <c r="AG498"/>
    </row>
    <row r="499" spans="17:33" ht="12.75" customHeight="1">
      <c r="Q499" s="364"/>
      <c r="R499" s="895" t="s">
        <v>845</v>
      </c>
      <c r="S499" s="896"/>
      <c r="T499" s="900" t="s">
        <v>835</v>
      </c>
      <c r="U499" s="900" t="s">
        <v>836</v>
      </c>
      <c r="V499" s="900" t="s">
        <v>837</v>
      </c>
      <c r="W499" s="902" t="s">
        <v>838</v>
      </c>
      <c r="X499" s="364"/>
      <c r="Y499" s="364"/>
      <c r="Z499" s="364"/>
      <c r="AA499"/>
      <c r="AB499"/>
      <c r="AC499"/>
      <c r="AD499"/>
      <c r="AE499"/>
      <c r="AF499"/>
      <c r="AG499"/>
    </row>
    <row r="500" spans="17:33" ht="12.75" customHeight="1">
      <c r="Q500" s="364"/>
      <c r="R500" s="892"/>
      <c r="S500" s="897"/>
      <c r="T500" s="904"/>
      <c r="U500" s="904"/>
      <c r="V500" s="904"/>
      <c r="W500" s="905"/>
      <c r="X500" s="364"/>
      <c r="Y500" s="364"/>
      <c r="Z500" s="364"/>
      <c r="AA500"/>
      <c r="AB500"/>
      <c r="AC500"/>
      <c r="AD500"/>
      <c r="AE500"/>
      <c r="AF500"/>
      <c r="AG500"/>
    </row>
    <row r="501" spans="17:33" ht="12.75" customHeight="1">
      <c r="Q501" s="364"/>
      <c r="R501" s="892"/>
      <c r="S501" s="897"/>
      <c r="T501" s="901"/>
      <c r="U501" s="901"/>
      <c r="V501" s="901"/>
      <c r="W501" s="903"/>
      <c r="X501" s="364"/>
      <c r="Y501" s="364"/>
      <c r="Z501" s="364"/>
      <c r="AA501"/>
      <c r="AB501"/>
      <c r="AC501"/>
      <c r="AD501"/>
      <c r="AE501"/>
      <c r="AF501"/>
      <c r="AG501"/>
    </row>
    <row r="502" spans="17:33" ht="12.75" customHeight="1">
      <c r="Q502" s="364"/>
      <c r="R502" s="892"/>
      <c r="S502" s="897"/>
      <c r="T502" s="702">
        <f>W76</f>
        <v>115.02059991327963</v>
      </c>
      <c r="U502" s="560">
        <f>W62</f>
        <v>1.7391304347826084</v>
      </c>
      <c r="V502" s="690">
        <f>IF(T502&gt;0,W502*U502," ")</f>
        <v>22260.869565217388</v>
      </c>
      <c r="W502" s="691">
        <f>IF(T502&gt;0,(VLOOKUP(T502,'Lookup Ready-reckoner'!$B$5:$E$1207,4))," ")</f>
        <v>12800</v>
      </c>
      <c r="X502" s="364"/>
      <c r="Y502" s="364"/>
      <c r="Z502" s="364"/>
      <c r="AA502"/>
      <c r="AB502"/>
      <c r="AC502"/>
      <c r="AD502"/>
      <c r="AE502"/>
      <c r="AF502"/>
      <c r="AG502"/>
    </row>
    <row r="503" spans="17:33" ht="12.75" customHeight="1">
      <c r="Q503" s="364"/>
      <c r="R503" s="898"/>
      <c r="S503" s="899"/>
      <c r="T503" s="447"/>
      <c r="U503" s="560"/>
      <c r="V503" s="690" t="str">
        <f>IF(T503&gt;0,W503*U503," ")</f>
        <v xml:space="preserve"> </v>
      </c>
      <c r="W503" s="691" t="str">
        <f>IF(T503&gt;0,(VLOOKUP(T503,'Lookup Ready-reckoner'!$B$5:$E$1007,4))," ")</f>
        <v xml:space="preserve"> </v>
      </c>
      <c r="X503" s="364"/>
      <c r="Y503" s="364"/>
      <c r="Z503" s="364"/>
      <c r="AA503"/>
      <c r="AB503"/>
      <c r="AC503"/>
      <c r="AD503"/>
      <c r="AE503"/>
      <c r="AF503"/>
      <c r="AG503"/>
    </row>
    <row r="504" spans="17:33" ht="12.75" customHeight="1" thickBot="1">
      <c r="Q504" s="364"/>
      <c r="R504" s="692" t="s">
        <v>839</v>
      </c>
      <c r="S504" s="693"/>
      <c r="T504" s="693"/>
      <c r="U504" s="703">
        <f>IF(T502&gt;0,(VLOOKUP(V504,'Lookup Ready-reckoner'!$L$5:$M$1207,2))," ")</f>
        <v>108.4</v>
      </c>
      <c r="V504" s="695">
        <f>IF(U502&gt;0,(SUM(V502:V503))," ")</f>
        <v>22260.869565217388</v>
      </c>
      <c r="W504" s="696"/>
      <c r="X504" s="364"/>
      <c r="Y504" s="364"/>
      <c r="Z504" s="364"/>
      <c r="AA504"/>
      <c r="AB504"/>
      <c r="AC504"/>
      <c r="AD504"/>
      <c r="AE504"/>
      <c r="AF504"/>
      <c r="AG504"/>
    </row>
    <row r="505" spans="17:33" ht="12.75" customHeight="1" thickBot="1">
      <c r="Q505" s="364"/>
      <c r="R505" s="892"/>
      <c r="S505" s="893"/>
      <c r="T505" s="893"/>
      <c r="U505" s="893"/>
      <c r="V505" s="893"/>
      <c r="W505" s="894"/>
      <c r="X505" s="364"/>
      <c r="Y505" s="364"/>
      <c r="Z505" s="364"/>
      <c r="AA505"/>
      <c r="AB505"/>
      <c r="AC505"/>
      <c r="AD505"/>
      <c r="AE505"/>
      <c r="AF505"/>
      <c r="AG505"/>
    </row>
    <row r="506" spans="17:33" ht="12.75" customHeight="1">
      <c r="Q506" s="364"/>
      <c r="R506" s="895" t="s">
        <v>886</v>
      </c>
      <c r="S506" s="896"/>
      <c r="T506" s="900" t="s">
        <v>835</v>
      </c>
      <c r="U506" s="900" t="s">
        <v>836</v>
      </c>
      <c r="V506" s="900" t="s">
        <v>837</v>
      </c>
      <c r="W506" s="902" t="s">
        <v>838</v>
      </c>
      <c r="X506" s="364"/>
      <c r="Y506" s="364"/>
      <c r="Z506" s="364"/>
      <c r="AA506"/>
      <c r="AB506"/>
      <c r="AC506"/>
      <c r="AD506"/>
      <c r="AE506"/>
      <c r="AF506"/>
      <c r="AG506"/>
    </row>
    <row r="507" spans="17:33" ht="12.75" customHeight="1">
      <c r="Q507" s="364"/>
      <c r="R507" s="892"/>
      <c r="S507" s="897"/>
      <c r="T507" s="901"/>
      <c r="U507" s="901"/>
      <c r="V507" s="901"/>
      <c r="W507" s="903"/>
      <c r="X507" s="364"/>
      <c r="Y507" s="364"/>
      <c r="Z507" s="364"/>
      <c r="AA507"/>
      <c r="AB507"/>
      <c r="AC507"/>
      <c r="AD507"/>
      <c r="AE507"/>
      <c r="AF507"/>
      <c r="AG507"/>
    </row>
    <row r="508" spans="17:33" ht="12.75" customHeight="1">
      <c r="Q508" s="364"/>
      <c r="R508" s="892"/>
      <c r="S508" s="897"/>
      <c r="T508" s="702">
        <f>T502*(1-0.0178*2)</f>
        <v>110.92586655636687</v>
      </c>
      <c r="U508" s="560">
        <f>U502</f>
        <v>1.7391304347826084</v>
      </c>
      <c r="V508" s="690">
        <f>IF(T508&gt;0,W508*U508," ")</f>
        <v>8521.7391304347821</v>
      </c>
      <c r="W508" s="691">
        <f>IF(T508&gt;0,(VLOOKUP(T508,'Lookup Ready-reckoner'!$B$5:$E$1207,4))," ")</f>
        <v>4900</v>
      </c>
      <c r="X508" s="364"/>
      <c r="Y508" s="364"/>
      <c r="Z508" s="364"/>
      <c r="AA508"/>
      <c r="AB508"/>
      <c r="AC508"/>
      <c r="AD508"/>
      <c r="AE508"/>
      <c r="AF508"/>
      <c r="AG508"/>
    </row>
    <row r="509" spans="17:33" ht="12.75" customHeight="1">
      <c r="Q509" s="364"/>
      <c r="R509" s="898"/>
      <c r="S509" s="899"/>
      <c r="T509" s="447"/>
      <c r="U509" s="560"/>
      <c r="V509" s="690" t="str">
        <f>IF(T509&gt;0,W509*U509," ")</f>
        <v xml:space="preserve"> </v>
      </c>
      <c r="W509" s="691" t="str">
        <f>IF(T509&gt;0,(VLOOKUP(T509,'Lookup Ready-reckoner'!$B$5:$E$1007,4))," ")</f>
        <v xml:space="preserve"> </v>
      </c>
      <c r="X509" s="364"/>
      <c r="Y509" s="364"/>
      <c r="Z509" s="364"/>
      <c r="AA509"/>
      <c r="AB509"/>
      <c r="AC509"/>
      <c r="AD509"/>
      <c r="AE509"/>
      <c r="AF509"/>
      <c r="AG509"/>
    </row>
    <row r="510" spans="17:33" ht="12.75" customHeight="1" thickBot="1">
      <c r="Q510" s="364"/>
      <c r="R510" s="692" t="s">
        <v>839</v>
      </c>
      <c r="S510" s="693"/>
      <c r="T510" s="693"/>
      <c r="U510" s="703">
        <f>IF(T508&gt;0,(VLOOKUP(V510,'Lookup Ready-reckoner'!$L$5:$M$1207,2))," ")</f>
        <v>104.25</v>
      </c>
      <c r="V510" s="695">
        <f>IF(U508&gt;0,(SUM(V508:V509))," ")</f>
        <v>8521.7391304347821</v>
      </c>
      <c r="W510" s="696"/>
      <c r="X510" s="364"/>
      <c r="Y510" s="364"/>
      <c r="Z510" s="364"/>
      <c r="AA510"/>
      <c r="AB510"/>
      <c r="AC510"/>
      <c r="AD510"/>
      <c r="AE510"/>
      <c r="AF510"/>
      <c r="AG510"/>
    </row>
    <row r="511" spans="17:33" ht="12.75" customHeight="1">
      <c r="Q511" s="364"/>
      <c r="R511" s="697"/>
      <c r="S511" s="687"/>
      <c r="T511" s="687"/>
      <c r="U511" s="372"/>
      <c r="V511" s="374"/>
      <c r="W511" s="688"/>
      <c r="X511" s="364"/>
      <c r="Y511" s="364"/>
      <c r="Z511" s="364"/>
      <c r="AA511"/>
      <c r="AB511"/>
      <c r="AC511"/>
      <c r="AD511"/>
      <c r="AE511"/>
      <c r="AF511"/>
      <c r="AG511"/>
    </row>
    <row r="512" spans="17:33" ht="12.75" customHeight="1" thickBot="1">
      <c r="Q512" s="364"/>
      <c r="R512" s="686" t="s">
        <v>60</v>
      </c>
      <c r="S512" s="577"/>
      <c r="T512" s="577"/>
      <c r="U512" s="577"/>
      <c r="V512" s="577"/>
      <c r="W512" s="698"/>
      <c r="X512" s="364"/>
      <c r="Y512" s="364"/>
      <c r="Z512" s="364"/>
      <c r="AA512"/>
      <c r="AB512"/>
      <c r="AC512"/>
      <c r="AD512"/>
      <c r="AE512"/>
      <c r="AF512"/>
      <c r="AG512"/>
    </row>
    <row r="513" spans="17:33" ht="12.75" customHeight="1">
      <c r="Q513" s="364"/>
      <c r="R513" s="895" t="s">
        <v>845</v>
      </c>
      <c r="S513" s="896"/>
      <c r="T513" s="900" t="s">
        <v>835</v>
      </c>
      <c r="U513" s="900" t="s">
        <v>836</v>
      </c>
      <c r="V513" s="900" t="s">
        <v>837</v>
      </c>
      <c r="W513" s="902" t="s">
        <v>838</v>
      </c>
      <c r="X513" s="364"/>
      <c r="Y513" s="364"/>
      <c r="Z513" s="364"/>
      <c r="AA513"/>
      <c r="AB513"/>
      <c r="AC513"/>
      <c r="AD513"/>
      <c r="AE513"/>
      <c r="AF513"/>
      <c r="AG513"/>
    </row>
    <row r="514" spans="17:33" ht="12.75" customHeight="1">
      <c r="Q514" s="364"/>
      <c r="R514" s="892"/>
      <c r="S514" s="897"/>
      <c r="T514" s="901"/>
      <c r="U514" s="901"/>
      <c r="V514" s="901"/>
      <c r="W514" s="903"/>
      <c r="X514" s="364"/>
      <c r="Y514" s="364"/>
      <c r="Z514" s="364"/>
      <c r="AA514"/>
      <c r="AB514"/>
      <c r="AC514"/>
      <c r="AD514"/>
      <c r="AE514"/>
      <c r="AF514"/>
      <c r="AG514"/>
    </row>
    <row r="515" spans="17:33" ht="12.75" customHeight="1">
      <c r="Q515" s="364"/>
      <c r="R515" s="892"/>
      <c r="S515" s="897"/>
      <c r="T515" s="702">
        <f>T502-PPE!$I$15</f>
        <v>102.02059991327963</v>
      </c>
      <c r="U515" s="560">
        <f>U508</f>
        <v>1.7391304347826084</v>
      </c>
      <c r="V515" s="690">
        <f>IF(T515&gt;0,W515*U515," ")</f>
        <v>1086.9565217391303</v>
      </c>
      <c r="W515" s="691">
        <f>IF(T515&gt;0,(VLOOKUP(T515,'Lookup Ready-reckoner'!$B$5:$E$1207,4))," ")</f>
        <v>625</v>
      </c>
      <c r="X515" s="364"/>
      <c r="Y515" s="364"/>
      <c r="Z515" s="364"/>
      <c r="AA515"/>
      <c r="AB515"/>
      <c r="AC515"/>
      <c r="AD515"/>
      <c r="AE515"/>
      <c r="AF515"/>
      <c r="AG515"/>
    </row>
    <row r="516" spans="17:33" ht="12.75" customHeight="1">
      <c r="Q516" s="364"/>
      <c r="R516" s="898"/>
      <c r="S516" s="899"/>
      <c r="T516" s="447"/>
      <c r="U516" s="560"/>
      <c r="V516" s="690" t="str">
        <f>IF(T516&gt;0,W516*U516," ")</f>
        <v xml:space="preserve"> </v>
      </c>
      <c r="W516" s="691" t="str">
        <f>IF(T516&gt;0,(VLOOKUP(T516,'Lookup Ready-reckoner'!$B$5:$E$1007,4))," ")</f>
        <v xml:space="preserve"> </v>
      </c>
      <c r="X516" s="364"/>
      <c r="Y516" s="364"/>
      <c r="Z516" s="364"/>
      <c r="AA516"/>
      <c r="AB516"/>
      <c r="AC516"/>
      <c r="AD516"/>
      <c r="AE516"/>
      <c r="AF516"/>
      <c r="AG516"/>
    </row>
    <row r="517" spans="17:33" ht="12.75" customHeight="1" thickBot="1">
      <c r="Q517" s="364"/>
      <c r="R517" s="692" t="s">
        <v>839</v>
      </c>
      <c r="S517" s="693"/>
      <c r="T517" s="693"/>
      <c r="U517" s="703">
        <f>IF(T515&gt;0,(VLOOKUP(V517,'Lookup Ready-reckoner'!$L$5:$M$1207,2))," ")</f>
        <v>95.3</v>
      </c>
      <c r="V517" s="695">
        <f>IF(U515&gt;0,(SUM(V515:V516))," ")</f>
        <v>1086.9565217391303</v>
      </c>
      <c r="W517" s="696"/>
      <c r="X517" s="364"/>
      <c r="Y517" s="364"/>
      <c r="Z517" s="364"/>
      <c r="AA517"/>
      <c r="AB517"/>
      <c r="AC517"/>
      <c r="AD517"/>
      <c r="AE517"/>
      <c r="AF517"/>
      <c r="AG517"/>
    </row>
    <row r="518" spans="17:33" ht="12.75" customHeight="1" thickBot="1">
      <c r="Q518" s="364"/>
      <c r="R518" s="892"/>
      <c r="S518" s="893"/>
      <c r="T518" s="893"/>
      <c r="U518" s="893"/>
      <c r="V518" s="893"/>
      <c r="W518" s="894"/>
      <c r="X518" s="364"/>
      <c r="Y518" s="364"/>
      <c r="Z518" s="364"/>
      <c r="AA518"/>
      <c r="AB518"/>
      <c r="AC518"/>
      <c r="AD518"/>
      <c r="AE518"/>
      <c r="AF518"/>
      <c r="AG518"/>
    </row>
    <row r="519" spans="17:33" ht="12.75" customHeight="1">
      <c r="Q519" s="364"/>
      <c r="R519" s="895" t="s">
        <v>886</v>
      </c>
      <c r="S519" s="896"/>
      <c r="T519" s="900" t="s">
        <v>835</v>
      </c>
      <c r="U519" s="900" t="s">
        <v>836</v>
      </c>
      <c r="V519" s="900" t="s">
        <v>837</v>
      </c>
      <c r="W519" s="902" t="s">
        <v>838</v>
      </c>
      <c r="X519" s="364"/>
      <c r="Y519" s="364"/>
      <c r="Z519" s="364"/>
      <c r="AA519"/>
      <c r="AB519"/>
      <c r="AC519"/>
      <c r="AD519"/>
      <c r="AE519"/>
      <c r="AF519"/>
      <c r="AG519"/>
    </row>
    <row r="520" spans="17:33" ht="12.75" customHeight="1">
      <c r="Q520" s="364"/>
      <c r="R520" s="892"/>
      <c r="S520" s="897"/>
      <c r="T520" s="901"/>
      <c r="U520" s="901"/>
      <c r="V520" s="901"/>
      <c r="W520" s="903"/>
      <c r="X520" s="364"/>
      <c r="Y520" s="364"/>
      <c r="Z520" s="364"/>
      <c r="AA520"/>
      <c r="AB520"/>
      <c r="AC520"/>
      <c r="AD520"/>
      <c r="AE520"/>
      <c r="AF520"/>
      <c r="AG520"/>
    </row>
    <row r="521" spans="17:33" ht="12.75" customHeight="1">
      <c r="Q521" s="364"/>
      <c r="R521" s="892"/>
      <c r="S521" s="897"/>
      <c r="T521" s="702">
        <f>T508-PPE!$I$15</f>
        <v>97.92586655636687</v>
      </c>
      <c r="U521" s="560">
        <f>U515</f>
        <v>1.7391304347826084</v>
      </c>
      <c r="V521" s="690">
        <f>IF(T521&gt;0,W521*U521," ")</f>
        <v>426.08695652173907</v>
      </c>
      <c r="W521" s="691">
        <f>IF(T521&gt;0,(VLOOKUP(T521,'Lookup Ready-reckoner'!$B$5:$E$1207,4))," ")</f>
        <v>245</v>
      </c>
      <c r="X521" s="364"/>
      <c r="Y521" s="364"/>
      <c r="Z521" s="364"/>
      <c r="AA521"/>
      <c r="AB521"/>
      <c r="AC521"/>
      <c r="AD521"/>
      <c r="AE521"/>
      <c r="AF521"/>
      <c r="AG521"/>
    </row>
    <row r="522" spans="17:33" ht="12.75" customHeight="1">
      <c r="Q522" s="364"/>
      <c r="R522" s="898"/>
      <c r="S522" s="899"/>
      <c r="T522" s="447"/>
      <c r="U522" s="560"/>
      <c r="V522" s="690" t="str">
        <f>IF(T522&gt;0,W522*U522," ")</f>
        <v xml:space="preserve"> </v>
      </c>
      <c r="W522" s="691" t="str">
        <f>IF(T522&gt;0,(VLOOKUP(T522,'Lookup Ready-reckoner'!$B$5:$E$1007,4))," ")</f>
        <v xml:space="preserve"> </v>
      </c>
      <c r="X522" s="364"/>
      <c r="Y522" s="364"/>
      <c r="Z522" s="364"/>
      <c r="AA522"/>
      <c r="AB522"/>
      <c r="AC522"/>
      <c r="AD522"/>
      <c r="AE522"/>
      <c r="AF522"/>
      <c r="AG522"/>
    </row>
    <row r="523" spans="17:33" ht="12.75" customHeight="1" thickBot="1">
      <c r="Q523" s="364"/>
      <c r="R523" s="692" t="s">
        <v>839</v>
      </c>
      <c r="S523" s="693"/>
      <c r="T523" s="693"/>
      <c r="U523" s="703">
        <f>IF(T521&gt;0,(VLOOKUP(V523,'Lookup Ready-reckoner'!$L$5:$M$1207,2))," ")</f>
        <v>91.25</v>
      </c>
      <c r="V523" s="695">
        <f>IF(U521&gt;0,(SUM(V521:V522))," ")</f>
        <v>426.08695652173907</v>
      </c>
      <c r="W523" s="696"/>
      <c r="X523" s="364"/>
      <c r="Y523" s="364"/>
      <c r="Z523" s="364"/>
      <c r="AA523"/>
      <c r="AB523"/>
      <c r="AC523"/>
      <c r="AD523"/>
      <c r="AE523"/>
      <c r="AF523"/>
      <c r="AG523"/>
    </row>
    <row r="524" spans="17:33" ht="12.75" customHeight="1">
      <c r="Q524" s="364"/>
      <c r="R524" s="363"/>
      <c r="S524" s="363"/>
      <c r="T524" s="363"/>
      <c r="U524" s="363"/>
      <c r="V524" s="363"/>
      <c r="W524" s="363"/>
      <c r="X524" s="364"/>
      <c r="Y524" s="364"/>
      <c r="Z524" s="364"/>
      <c r="AA524"/>
      <c r="AB524"/>
      <c r="AC524"/>
      <c r="AD524"/>
      <c r="AE524"/>
      <c r="AF524"/>
      <c r="AG524"/>
    </row>
    <row r="525" spans="17:33" ht="12.75" customHeight="1">
      <c r="Q525" s="364"/>
      <c r="R525" s="909" t="str">
        <f>R406</f>
        <v xml:space="preserve">Hilti TE MD20 </v>
      </c>
      <c r="S525" s="909"/>
      <c r="T525" s="909"/>
      <c r="U525" s="909"/>
      <c r="V525" s="909"/>
      <c r="W525" s="909"/>
      <c r="X525" s="364"/>
      <c r="Y525" s="364"/>
      <c r="Z525" s="364"/>
      <c r="AA525"/>
      <c r="AB525"/>
      <c r="AC525"/>
      <c r="AD525"/>
      <c r="AE525"/>
      <c r="AF525"/>
      <c r="AG525"/>
    </row>
    <row r="526" spans="17:33" ht="12.75" customHeight="1" thickBot="1">
      <c r="Q526" s="364"/>
      <c r="R526" s="910" t="s">
        <v>205</v>
      </c>
      <c r="S526" s="911"/>
      <c r="T526" s="911"/>
      <c r="U526" s="911"/>
      <c r="V526" s="911"/>
      <c r="W526" s="912"/>
      <c r="X526" s="364"/>
      <c r="Y526" s="364"/>
      <c r="Z526" s="364"/>
      <c r="AA526"/>
      <c r="AB526"/>
      <c r="AC526"/>
      <c r="AD526"/>
      <c r="AE526"/>
      <c r="AF526"/>
      <c r="AG526"/>
    </row>
    <row r="527" spans="17:33" ht="12.75" customHeight="1" thickBot="1">
      <c r="Q527" s="364"/>
      <c r="R527" s="686" t="s">
        <v>59</v>
      </c>
      <c r="S527" s="577"/>
      <c r="T527" s="687"/>
      <c r="U527" s="687"/>
      <c r="V527" s="687"/>
      <c r="W527" s="688"/>
      <c r="X527" s="364"/>
      <c r="Y527" s="364"/>
      <c r="Z527" s="364"/>
      <c r="AA527"/>
      <c r="AB527"/>
      <c r="AC527"/>
      <c r="AD527"/>
      <c r="AE527"/>
      <c r="AF527"/>
      <c r="AG527"/>
    </row>
    <row r="528" spans="17:33" ht="12.75" customHeight="1">
      <c r="Q528" s="364"/>
      <c r="R528" s="895" t="s">
        <v>845</v>
      </c>
      <c r="S528" s="896"/>
      <c r="T528" s="900" t="s">
        <v>835</v>
      </c>
      <c r="U528" s="900" t="s">
        <v>836</v>
      </c>
      <c r="V528" s="900" t="s">
        <v>837</v>
      </c>
      <c r="W528" s="902" t="s">
        <v>838</v>
      </c>
      <c r="X528" s="364"/>
      <c r="Y528" s="364"/>
      <c r="Z528" s="364"/>
      <c r="AA528"/>
      <c r="AB528"/>
      <c r="AC528"/>
      <c r="AD528"/>
      <c r="AE528"/>
      <c r="AF528"/>
      <c r="AG528"/>
    </row>
    <row r="529" spans="17:33" ht="12.75" customHeight="1">
      <c r="Q529" s="364"/>
      <c r="R529" s="892"/>
      <c r="S529" s="897"/>
      <c r="T529" s="904"/>
      <c r="U529" s="904"/>
      <c r="V529" s="904"/>
      <c r="W529" s="905"/>
      <c r="X529" s="364"/>
      <c r="Y529" s="364"/>
      <c r="Z529" s="364"/>
      <c r="AA529"/>
      <c r="AB529"/>
      <c r="AC529"/>
      <c r="AD529"/>
      <c r="AE529"/>
      <c r="AF529"/>
      <c r="AG529"/>
    </row>
    <row r="530" spans="17:33" ht="12.75" customHeight="1">
      <c r="Q530" s="364"/>
      <c r="R530" s="892"/>
      <c r="S530" s="897"/>
      <c r="T530" s="901"/>
      <c r="U530" s="901"/>
      <c r="V530" s="901"/>
      <c r="W530" s="903"/>
      <c r="X530" s="364"/>
      <c r="Y530" s="364"/>
      <c r="Z530" s="364"/>
      <c r="AA530"/>
      <c r="AB530"/>
      <c r="AC530"/>
      <c r="AD530"/>
      <c r="AE530"/>
      <c r="AF530"/>
      <c r="AG530"/>
    </row>
    <row r="531" spans="17:33" ht="12.75" customHeight="1">
      <c r="Q531" s="364"/>
      <c r="R531" s="892"/>
      <c r="S531" s="897"/>
      <c r="T531" s="704">
        <f>U76</f>
        <v>108.02059991327964</v>
      </c>
      <c r="U531" s="560">
        <f>U62</f>
        <v>2.6666666666666665</v>
      </c>
      <c r="V531" s="690">
        <f>IF(T531&gt;0,W531*U531," ")</f>
        <v>6666.6666666666661</v>
      </c>
      <c r="W531" s="691">
        <f>IF(T531&gt;0,(VLOOKUP(T531,'Lookup Ready-reckoner'!$B$5:$E$1207,4))," ")</f>
        <v>2500</v>
      </c>
      <c r="X531" s="364"/>
      <c r="Y531" s="364"/>
      <c r="Z531" s="364"/>
      <c r="AA531"/>
      <c r="AB531"/>
      <c r="AC531"/>
      <c r="AD531"/>
      <c r="AE531"/>
      <c r="AF531"/>
      <c r="AG531"/>
    </row>
    <row r="532" spans="17:33" ht="12.75" customHeight="1">
      <c r="Q532" s="364"/>
      <c r="R532" s="898"/>
      <c r="S532" s="899"/>
      <c r="T532" s="447"/>
      <c r="U532" s="560"/>
      <c r="V532" s="690" t="str">
        <f>IF(T532&gt;0,W532*U532," ")</f>
        <v xml:space="preserve"> </v>
      </c>
      <c r="W532" s="691" t="str">
        <f>IF(T532&gt;0,(VLOOKUP(T532,'Lookup Ready-reckoner'!$B$5:$E$1007,4))," ")</f>
        <v xml:space="preserve"> </v>
      </c>
      <c r="X532" s="364"/>
      <c r="Y532" s="364"/>
      <c r="Z532" s="364"/>
      <c r="AA532"/>
      <c r="AB532"/>
      <c r="AC532"/>
      <c r="AD532"/>
      <c r="AE532"/>
      <c r="AF532"/>
      <c r="AG532"/>
    </row>
    <row r="533" spans="17:33" ht="12.75" customHeight="1" thickBot="1">
      <c r="Q533" s="364"/>
      <c r="R533" s="692" t="s">
        <v>839</v>
      </c>
      <c r="S533" s="693"/>
      <c r="T533" s="693"/>
      <c r="U533" s="705">
        <f>IF(T531&gt;0,(VLOOKUP(V533,'Lookup Ready-reckoner'!$L$5:$M$1207,2))," ")</f>
        <v>103.15</v>
      </c>
      <c r="V533" s="695">
        <f>IF(U531&gt;0,(SUM(V531:V532))," ")</f>
        <v>6666.6666666666661</v>
      </c>
      <c r="W533" s="696"/>
      <c r="X533" s="364"/>
      <c r="Y533" s="364"/>
      <c r="Z533" s="364"/>
      <c r="AA533"/>
      <c r="AB533"/>
      <c r="AC533"/>
      <c r="AD533"/>
      <c r="AE533"/>
      <c r="AF533"/>
      <c r="AG533"/>
    </row>
    <row r="534" spans="17:33" ht="12.75" customHeight="1" thickBot="1">
      <c r="Q534" s="364"/>
      <c r="R534" s="906"/>
      <c r="S534" s="907"/>
      <c r="T534" s="907"/>
      <c r="U534" s="907"/>
      <c r="V534" s="907"/>
      <c r="W534" s="908"/>
      <c r="X534" s="364"/>
      <c r="Y534" s="364"/>
      <c r="Z534" s="364"/>
      <c r="AA534"/>
      <c r="AB534"/>
      <c r="AC534"/>
      <c r="AD534"/>
      <c r="AE534"/>
      <c r="AF534"/>
      <c r="AG534"/>
    </row>
    <row r="535" spans="17:33" ht="12.75" customHeight="1">
      <c r="Q535" s="364"/>
      <c r="R535" s="895" t="s">
        <v>886</v>
      </c>
      <c r="S535" s="896"/>
      <c r="T535" s="900" t="s">
        <v>835</v>
      </c>
      <c r="U535" s="900" t="s">
        <v>836</v>
      </c>
      <c r="V535" s="900" t="s">
        <v>837</v>
      </c>
      <c r="W535" s="902" t="s">
        <v>838</v>
      </c>
      <c r="X535" s="364"/>
      <c r="Y535" s="364"/>
      <c r="Z535" s="364"/>
      <c r="AA535"/>
      <c r="AB535"/>
      <c r="AC535"/>
      <c r="AD535"/>
      <c r="AE535"/>
      <c r="AF535"/>
      <c r="AG535"/>
    </row>
    <row r="536" spans="17:33" ht="12.75" customHeight="1">
      <c r="Q536" s="364"/>
      <c r="R536" s="892"/>
      <c r="S536" s="897"/>
      <c r="T536" s="901"/>
      <c r="U536" s="901"/>
      <c r="V536" s="901"/>
      <c r="W536" s="903"/>
      <c r="X536" s="364"/>
      <c r="Y536" s="364"/>
      <c r="Z536" s="364"/>
      <c r="AA536"/>
      <c r="AB536"/>
      <c r="AC536"/>
      <c r="AD536"/>
      <c r="AE536"/>
      <c r="AF536"/>
      <c r="AG536"/>
    </row>
    <row r="537" spans="17:33" ht="12.75" customHeight="1">
      <c r="Q537" s="364"/>
      <c r="R537" s="892"/>
      <c r="S537" s="897"/>
      <c r="T537" s="704">
        <f>T531*(1-0.0178*2)</f>
        <v>104.17506655636689</v>
      </c>
      <c r="U537" s="560">
        <f>U531</f>
        <v>2.6666666666666665</v>
      </c>
      <c r="V537" s="690">
        <f>IF(T537&gt;0,W537*U537," ")</f>
        <v>2766.6666666666665</v>
      </c>
      <c r="W537" s="691">
        <f>IF(T537&gt;0,(VLOOKUP(T537,'Lookup Ready-reckoner'!$B$5:$E$1207,4))," ")</f>
        <v>1037.5</v>
      </c>
      <c r="X537" s="364"/>
      <c r="Y537" s="364"/>
      <c r="Z537" s="364"/>
      <c r="AA537"/>
      <c r="AB537"/>
      <c r="AC537"/>
      <c r="AD537"/>
      <c r="AE537"/>
      <c r="AF537"/>
      <c r="AG537"/>
    </row>
    <row r="538" spans="17:33" ht="12.75" customHeight="1">
      <c r="Q538" s="364"/>
      <c r="R538" s="898"/>
      <c r="S538" s="899"/>
      <c r="T538" s="447"/>
      <c r="U538" s="560"/>
      <c r="V538" s="690" t="str">
        <f>IF(T538&gt;0,W538*U538," ")</f>
        <v xml:space="preserve"> </v>
      </c>
      <c r="W538" s="691" t="str">
        <f>IF(T538&gt;0,(VLOOKUP(T538,'Lookup Ready-reckoner'!$B$5:$E$1007,4))," ")</f>
        <v xml:space="preserve"> </v>
      </c>
      <c r="X538" s="364"/>
      <c r="Y538" s="364"/>
      <c r="Z538" s="364"/>
      <c r="AA538"/>
      <c r="AB538"/>
      <c r="AC538"/>
      <c r="AD538"/>
      <c r="AE538"/>
      <c r="AF538"/>
      <c r="AG538"/>
    </row>
    <row r="539" spans="17:33" ht="12.75" customHeight="1" thickBot="1">
      <c r="Q539" s="364"/>
      <c r="R539" s="692" t="s">
        <v>839</v>
      </c>
      <c r="S539" s="693"/>
      <c r="T539" s="693"/>
      <c r="U539" s="705">
        <f>IF(T537&gt;0,(VLOOKUP(V539,'Lookup Ready-reckoner'!$L$5:$M$1207,2))," ")</f>
        <v>99.35</v>
      </c>
      <c r="V539" s="695">
        <f>IF(U537&gt;0,(SUM(V537:V538))," ")</f>
        <v>2766.6666666666665</v>
      </c>
      <c r="W539" s="696"/>
      <c r="X539" s="364"/>
      <c r="Y539" s="364"/>
      <c r="Z539" s="364"/>
      <c r="AA539"/>
      <c r="AB539"/>
      <c r="AC539"/>
      <c r="AD539"/>
      <c r="AE539"/>
      <c r="AF539"/>
      <c r="AG539"/>
    </row>
    <row r="540" spans="17:33" ht="12.75" customHeight="1">
      <c r="Q540" s="364"/>
      <c r="R540" s="697"/>
      <c r="S540" s="687"/>
      <c r="T540" s="687"/>
      <c r="U540" s="372"/>
      <c r="V540" s="374"/>
      <c r="W540" s="688"/>
      <c r="X540" s="364"/>
      <c r="Y540" s="364"/>
      <c r="Z540" s="364"/>
      <c r="AA540"/>
      <c r="AB540"/>
      <c r="AC540"/>
      <c r="AD540"/>
      <c r="AE540"/>
      <c r="AF540"/>
      <c r="AG540"/>
    </row>
    <row r="541" spans="17:33" ht="12.75" customHeight="1" thickBot="1">
      <c r="Q541" s="364"/>
      <c r="R541" s="686" t="s">
        <v>60</v>
      </c>
      <c r="S541" s="577"/>
      <c r="T541" s="577"/>
      <c r="U541" s="577"/>
      <c r="V541" s="577"/>
      <c r="W541" s="698"/>
      <c r="X541" s="364"/>
      <c r="Y541" s="364"/>
      <c r="Z541" s="364"/>
      <c r="AA541"/>
      <c r="AB541"/>
      <c r="AC541"/>
      <c r="AD541"/>
      <c r="AE541"/>
      <c r="AF541"/>
      <c r="AG541"/>
    </row>
    <row r="542" spans="17:33" ht="12.75" customHeight="1">
      <c r="Q542" s="364"/>
      <c r="R542" s="895" t="s">
        <v>845</v>
      </c>
      <c r="S542" s="896"/>
      <c r="T542" s="900" t="s">
        <v>835</v>
      </c>
      <c r="U542" s="900" t="s">
        <v>836</v>
      </c>
      <c r="V542" s="900" t="s">
        <v>837</v>
      </c>
      <c r="W542" s="902" t="s">
        <v>838</v>
      </c>
      <c r="X542" s="364"/>
      <c r="Y542" s="364"/>
      <c r="Z542" s="364"/>
      <c r="AA542"/>
      <c r="AB542"/>
      <c r="AC542"/>
      <c r="AD542"/>
      <c r="AE542"/>
      <c r="AF542"/>
      <c r="AG542"/>
    </row>
    <row r="543" spans="17:33" ht="12.75" customHeight="1">
      <c r="Q543" s="364"/>
      <c r="R543" s="892"/>
      <c r="S543" s="897"/>
      <c r="T543" s="901"/>
      <c r="U543" s="901"/>
      <c r="V543" s="901"/>
      <c r="W543" s="903"/>
      <c r="X543" s="364"/>
      <c r="Y543" s="364"/>
      <c r="Z543" s="364"/>
      <c r="AA543"/>
      <c r="AB543"/>
      <c r="AC543"/>
      <c r="AD543"/>
      <c r="AE543"/>
      <c r="AF543"/>
      <c r="AG543"/>
    </row>
    <row r="544" spans="17:33" ht="12.75" customHeight="1">
      <c r="Q544" s="364"/>
      <c r="R544" s="892"/>
      <c r="S544" s="897"/>
      <c r="T544" s="704">
        <f>T531-PPE!$I$15</f>
        <v>95.020599913279639</v>
      </c>
      <c r="U544" s="560">
        <f>U537</f>
        <v>2.6666666666666665</v>
      </c>
      <c r="V544" s="690">
        <f>IF(T544&gt;0,W544*U544," ")</f>
        <v>333.33333333333331</v>
      </c>
      <c r="W544" s="691">
        <f>IF(T544&gt;0,(VLOOKUP(T544,'Lookup Ready-reckoner'!$B$5:$E$1207,4))," ")</f>
        <v>125</v>
      </c>
      <c r="X544" s="364"/>
      <c r="Y544" s="364"/>
      <c r="Z544" s="364"/>
      <c r="AA544"/>
      <c r="AB544"/>
      <c r="AC544"/>
      <c r="AD544"/>
      <c r="AE544"/>
      <c r="AF544"/>
      <c r="AG544"/>
    </row>
    <row r="545" spans="17:33" ht="12.75" customHeight="1">
      <c r="Q545" s="364"/>
      <c r="R545" s="898"/>
      <c r="S545" s="899"/>
      <c r="T545" s="447"/>
      <c r="U545" s="560"/>
      <c r="V545" s="690" t="str">
        <f>IF(T545&gt;0,W545*U545," ")</f>
        <v xml:space="preserve"> </v>
      </c>
      <c r="W545" s="691" t="str">
        <f>IF(T545&gt;0,(VLOOKUP(T545,'Lookup Ready-reckoner'!$B$5:$E$1007,4))," ")</f>
        <v xml:space="preserve"> </v>
      </c>
      <c r="X545" s="364"/>
      <c r="Y545" s="364"/>
      <c r="Z545" s="364"/>
      <c r="AA545"/>
      <c r="AB545"/>
      <c r="AC545"/>
      <c r="AD545"/>
      <c r="AE545"/>
      <c r="AF545"/>
      <c r="AG545"/>
    </row>
    <row r="546" spans="17:33" ht="12.75" customHeight="1" thickBot="1">
      <c r="Q546" s="364"/>
      <c r="R546" s="692" t="s">
        <v>839</v>
      </c>
      <c r="S546" s="693"/>
      <c r="T546" s="693"/>
      <c r="U546" s="705">
        <f>IF(T544&gt;0,(VLOOKUP(V546,'Lookup Ready-reckoner'!$L$5:$M$1207,2))," ")</f>
        <v>90.15</v>
      </c>
      <c r="V546" s="695">
        <f>IF(U544&gt;0,(SUM(V544:V545))," ")</f>
        <v>333.33333333333331</v>
      </c>
      <c r="W546" s="696"/>
      <c r="X546" s="364"/>
      <c r="Y546" s="364"/>
      <c r="Z546" s="364"/>
      <c r="AA546"/>
      <c r="AB546"/>
      <c r="AC546"/>
      <c r="AD546"/>
      <c r="AE546"/>
      <c r="AF546"/>
      <c r="AG546"/>
    </row>
    <row r="547" spans="17:33" ht="12.75" customHeight="1" thickBot="1">
      <c r="Q547" s="364"/>
      <c r="R547" s="892"/>
      <c r="S547" s="893"/>
      <c r="T547" s="893"/>
      <c r="U547" s="893"/>
      <c r="V547" s="893"/>
      <c r="W547" s="894"/>
      <c r="X547" s="364"/>
      <c r="Y547" s="364"/>
      <c r="Z547" s="364"/>
      <c r="AA547"/>
      <c r="AB547"/>
      <c r="AC547"/>
      <c r="AD547"/>
      <c r="AE547"/>
      <c r="AF547"/>
      <c r="AG547"/>
    </row>
    <row r="548" spans="17:33" ht="12.75" customHeight="1">
      <c r="Q548" s="364"/>
      <c r="R548" s="895" t="s">
        <v>886</v>
      </c>
      <c r="S548" s="896"/>
      <c r="T548" s="900" t="s">
        <v>835</v>
      </c>
      <c r="U548" s="900" t="s">
        <v>836</v>
      </c>
      <c r="V548" s="900" t="s">
        <v>837</v>
      </c>
      <c r="W548" s="902" t="s">
        <v>838</v>
      </c>
      <c r="X548" s="364"/>
      <c r="Y548" s="364"/>
      <c r="Z548" s="364"/>
      <c r="AA548"/>
      <c r="AB548"/>
      <c r="AC548"/>
      <c r="AD548"/>
      <c r="AE548"/>
      <c r="AF548"/>
      <c r="AG548"/>
    </row>
    <row r="549" spans="17:33" ht="12.75" customHeight="1">
      <c r="Q549" s="364"/>
      <c r="R549" s="892"/>
      <c r="S549" s="897"/>
      <c r="T549" s="901"/>
      <c r="U549" s="901"/>
      <c r="V549" s="901"/>
      <c r="W549" s="903"/>
      <c r="X549" s="364"/>
      <c r="Y549" s="364"/>
      <c r="Z549" s="364"/>
      <c r="AA549"/>
      <c r="AB549"/>
      <c r="AC549"/>
      <c r="AD549"/>
      <c r="AE549"/>
      <c r="AF549"/>
      <c r="AG549"/>
    </row>
    <row r="550" spans="17:33" ht="12.75" customHeight="1">
      <c r="Q550" s="364"/>
      <c r="R550" s="892"/>
      <c r="S550" s="897"/>
      <c r="T550" s="704">
        <f>T537-PPE!$I$15</f>
        <v>91.175066556366886</v>
      </c>
      <c r="U550" s="560">
        <f>U544</f>
        <v>2.6666666666666665</v>
      </c>
      <c r="V550" s="690">
        <f>IF(T550&gt;0,W550*U550," ")</f>
        <v>138.33333333333331</v>
      </c>
      <c r="W550" s="691">
        <f>IF(T550&gt;0,(VLOOKUP(T550,'Lookup Ready-reckoner'!$B$5:$E$1207,4))," ")</f>
        <v>51.875</v>
      </c>
      <c r="X550" s="364"/>
      <c r="Y550" s="364"/>
      <c r="Z550" s="364"/>
      <c r="AA550"/>
      <c r="AB550"/>
      <c r="AC550"/>
      <c r="AD550"/>
      <c r="AE550"/>
      <c r="AF550"/>
      <c r="AG550"/>
    </row>
    <row r="551" spans="17:33" ht="12.75" customHeight="1">
      <c r="Q551" s="364"/>
      <c r="R551" s="898"/>
      <c r="S551" s="899"/>
      <c r="T551" s="447"/>
      <c r="U551" s="560"/>
      <c r="V551" s="690" t="str">
        <f>IF(T551&gt;0,W551*U551," ")</f>
        <v xml:space="preserve"> </v>
      </c>
      <c r="W551" s="691" t="str">
        <f>IF(T551&gt;0,(VLOOKUP(T551,'Lookup Ready-reckoner'!$B$5:$E$1007,4))," ")</f>
        <v xml:space="preserve"> </v>
      </c>
      <c r="X551" s="364"/>
      <c r="Y551" s="364"/>
      <c r="Z551" s="364"/>
      <c r="AA551"/>
      <c r="AB551"/>
      <c r="AC551"/>
      <c r="AD551"/>
      <c r="AE551"/>
      <c r="AF551"/>
      <c r="AG551"/>
    </row>
    <row r="552" spans="17:33" ht="12.75" customHeight="1" thickBot="1">
      <c r="Q552" s="364"/>
      <c r="R552" s="692" t="s">
        <v>839</v>
      </c>
      <c r="S552" s="693"/>
      <c r="T552" s="693"/>
      <c r="U552" s="705">
        <f>IF(T550&gt;0,(VLOOKUP(V552,'Lookup Ready-reckoner'!$L$5:$M$1207,2))," ")</f>
        <v>86.35</v>
      </c>
      <c r="V552" s="695">
        <f>IF(U550&gt;0,(SUM(V550:V551))," ")</f>
        <v>138.33333333333331</v>
      </c>
      <c r="W552" s="696"/>
      <c r="X552" s="364"/>
      <c r="Y552" s="364"/>
      <c r="Z552" s="364"/>
      <c r="AA552"/>
      <c r="AB552"/>
      <c r="AC552"/>
      <c r="AD552"/>
      <c r="AE552"/>
      <c r="AF552"/>
      <c r="AG552"/>
    </row>
    <row r="553" spans="17:33" ht="12.75" customHeight="1">
      <c r="Q553" s="364"/>
      <c r="R553" s="364"/>
      <c r="S553" s="364"/>
      <c r="T553" s="364"/>
      <c r="U553" s="364"/>
      <c r="V553" s="364"/>
      <c r="W553" s="364"/>
      <c r="X553" s="364"/>
      <c r="Y553" s="364"/>
      <c r="Z553" s="364"/>
      <c r="AA553"/>
      <c r="AB553"/>
      <c r="AC553"/>
      <c r="AD553"/>
      <c r="AE553"/>
      <c r="AF553"/>
      <c r="AG553"/>
    </row>
    <row r="554" spans="17:33" ht="12.75" customHeight="1">
      <c r="Q554"/>
      <c r="R554"/>
      <c r="S554"/>
      <c r="T554"/>
      <c r="U554"/>
      <c r="V554"/>
      <c r="W554"/>
      <c r="X554"/>
      <c r="Y554"/>
      <c r="Z554"/>
      <c r="AA554"/>
      <c r="AB554"/>
      <c r="AC554"/>
      <c r="AD554"/>
      <c r="AE554"/>
      <c r="AF554"/>
      <c r="AG554"/>
    </row>
    <row r="555" spans="17:33" ht="12.75" customHeight="1">
      <c r="Q555"/>
      <c r="R555"/>
      <c r="S555"/>
      <c r="T555"/>
      <c r="U555"/>
      <c r="V555"/>
      <c r="W555"/>
      <c r="X555"/>
      <c r="Y555"/>
      <c r="Z555"/>
      <c r="AA555"/>
      <c r="AB555"/>
      <c r="AC555"/>
      <c r="AD555"/>
      <c r="AE555"/>
      <c r="AF555"/>
      <c r="AG555"/>
    </row>
    <row r="556" spans="17:33" ht="12.75" customHeight="1">
      <c r="Q556"/>
      <c r="R556"/>
      <c r="S556"/>
      <c r="T556"/>
      <c r="U556"/>
      <c r="V556"/>
      <c r="W556"/>
      <c r="X556"/>
      <c r="Y556"/>
      <c r="Z556"/>
      <c r="AA556"/>
      <c r="AB556"/>
      <c r="AC556"/>
      <c r="AD556"/>
      <c r="AE556"/>
      <c r="AF556"/>
      <c r="AG556"/>
    </row>
    <row r="557" spans="17:33" ht="12.75" customHeight="1">
      <c r="Q557"/>
      <c r="R557"/>
      <c r="S557"/>
      <c r="T557"/>
      <c r="U557"/>
      <c r="V557"/>
      <c r="W557"/>
      <c r="X557"/>
      <c r="Y557"/>
      <c r="Z557"/>
      <c r="AA557"/>
      <c r="AB557"/>
      <c r="AC557"/>
      <c r="AD557"/>
      <c r="AE557"/>
      <c r="AF557"/>
      <c r="AG557"/>
    </row>
    <row r="558" spans="17:33" ht="12.75" customHeight="1">
      <c r="Q558"/>
      <c r="R558"/>
      <c r="S558"/>
      <c r="T558"/>
      <c r="U558"/>
      <c r="V558"/>
      <c r="W558"/>
      <c r="X558"/>
      <c r="Y558"/>
      <c r="Z558"/>
      <c r="AA558"/>
      <c r="AB558"/>
      <c r="AC558"/>
      <c r="AD558"/>
      <c r="AE558"/>
      <c r="AF558"/>
      <c r="AG558"/>
    </row>
    <row r="559" spans="17:33" ht="12.75" customHeight="1">
      <c r="Q559"/>
      <c r="R559"/>
      <c r="S559"/>
      <c r="T559"/>
      <c r="U559"/>
      <c r="V559"/>
      <c r="W559"/>
      <c r="X559"/>
      <c r="Y559"/>
      <c r="Z559"/>
      <c r="AA559"/>
      <c r="AB559"/>
      <c r="AC559"/>
      <c r="AD559"/>
      <c r="AE559"/>
      <c r="AF559"/>
      <c r="AG559"/>
    </row>
    <row r="560" spans="17:33" ht="12.75" customHeight="1">
      <c r="Q560"/>
      <c r="R560"/>
      <c r="S560"/>
      <c r="T560"/>
      <c r="U560"/>
      <c r="V560"/>
      <c r="W560"/>
      <c r="X560"/>
      <c r="Y560"/>
      <c r="Z560"/>
      <c r="AA560"/>
      <c r="AB560"/>
      <c r="AC560"/>
      <c r="AD560"/>
      <c r="AE560"/>
      <c r="AF560"/>
      <c r="AG560"/>
    </row>
    <row r="561" spans="17:26" ht="12.75" customHeight="1">
      <c r="Q561"/>
      <c r="R561"/>
      <c r="S561"/>
      <c r="T561"/>
      <c r="U561"/>
      <c r="V561"/>
      <c r="W561"/>
      <c r="X561"/>
      <c r="Y561"/>
      <c r="Z561"/>
    </row>
    <row r="562" spans="17:26" ht="12.75" customHeight="1">
      <c r="Q562"/>
      <c r="R562"/>
      <c r="S562"/>
      <c r="T562"/>
      <c r="U562"/>
      <c r="V562"/>
      <c r="W562"/>
      <c r="X562"/>
      <c r="Y562"/>
      <c r="Z562"/>
    </row>
    <row r="563" spans="17:26" ht="12.75" customHeight="1">
      <c r="Q563"/>
      <c r="R563"/>
      <c r="S563"/>
      <c r="T563"/>
      <c r="U563"/>
      <c r="V563"/>
      <c r="W563"/>
      <c r="X563"/>
      <c r="Y563"/>
      <c r="Z563"/>
    </row>
    <row r="564" spans="17:26" ht="12.75" customHeight="1">
      <c r="Q564"/>
      <c r="R564"/>
      <c r="S564"/>
      <c r="T564"/>
      <c r="U564"/>
      <c r="V564"/>
      <c r="W564"/>
      <c r="X564"/>
      <c r="Y564"/>
      <c r="Z564"/>
    </row>
    <row r="565" spans="17:26" ht="12.75" customHeight="1">
      <c r="Q565"/>
      <c r="R565"/>
      <c r="S565"/>
      <c r="T565"/>
      <c r="U565"/>
      <c r="V565"/>
      <c r="W565"/>
      <c r="X565"/>
      <c r="Y565"/>
      <c r="Z565"/>
    </row>
    <row r="566" spans="17:26" ht="12.75" customHeight="1">
      <c r="Q566"/>
      <c r="R566"/>
      <c r="S566"/>
      <c r="T566"/>
      <c r="U566"/>
      <c r="V566"/>
      <c r="W566"/>
      <c r="X566"/>
      <c r="Y566"/>
      <c r="Z566"/>
    </row>
    <row r="567" spans="17:26" ht="12.75" customHeight="1">
      <c r="Q567"/>
      <c r="R567"/>
      <c r="S567"/>
      <c r="T567"/>
      <c r="U567"/>
      <c r="V567"/>
      <c r="W567"/>
      <c r="X567"/>
      <c r="Y567"/>
      <c r="Z567"/>
    </row>
    <row r="568" spans="17:26" ht="12.75" customHeight="1">
      <c r="Q568"/>
      <c r="R568"/>
      <c r="S568"/>
      <c r="T568"/>
      <c r="U568"/>
      <c r="V568"/>
      <c r="W568"/>
      <c r="X568"/>
      <c r="Y568"/>
      <c r="Z568"/>
    </row>
    <row r="569" spans="17:26" ht="12.75" customHeight="1">
      <c r="Q569"/>
      <c r="R569"/>
      <c r="S569"/>
      <c r="T569"/>
      <c r="U569"/>
      <c r="V569"/>
      <c r="W569"/>
      <c r="X569"/>
      <c r="Y569"/>
      <c r="Z569"/>
    </row>
    <row r="570" spans="17:26" ht="12.75" customHeight="1">
      <c r="Q570"/>
      <c r="R570"/>
      <c r="S570"/>
      <c r="T570"/>
      <c r="U570"/>
      <c r="V570"/>
      <c r="W570"/>
      <c r="X570"/>
      <c r="Y570"/>
      <c r="Z570"/>
    </row>
    <row r="571" spans="17:26" ht="12.75" customHeight="1">
      <c r="Q571"/>
      <c r="R571"/>
      <c r="S571"/>
      <c r="T571"/>
      <c r="U571"/>
      <c r="V571"/>
      <c r="W571"/>
      <c r="X571"/>
      <c r="Y571"/>
      <c r="Z571"/>
    </row>
    <row r="572" spans="17:26" ht="12.75" customHeight="1">
      <c r="Q572"/>
      <c r="R572"/>
      <c r="S572"/>
      <c r="T572"/>
      <c r="U572"/>
      <c r="V572"/>
      <c r="W572"/>
      <c r="X572"/>
      <c r="Y572"/>
      <c r="Z572"/>
    </row>
    <row r="573" spans="17:26" ht="12.75" customHeight="1">
      <c r="Q573"/>
      <c r="R573"/>
      <c r="S573"/>
      <c r="T573"/>
      <c r="U573"/>
      <c r="V573"/>
      <c r="W573"/>
      <c r="X573"/>
      <c r="Y573"/>
      <c r="Z573"/>
    </row>
    <row r="574" spans="17:26" ht="12.75" customHeight="1">
      <c r="Q574"/>
      <c r="R574"/>
      <c r="S574"/>
      <c r="T574"/>
      <c r="U574"/>
      <c r="V574"/>
      <c r="W574"/>
      <c r="X574"/>
      <c r="Y574"/>
      <c r="Z574"/>
    </row>
    <row r="575" spans="17:26" ht="12.75" customHeight="1">
      <c r="Q575"/>
      <c r="R575"/>
      <c r="S575"/>
      <c r="T575"/>
      <c r="U575"/>
      <c r="V575"/>
      <c r="W575"/>
      <c r="X575"/>
      <c r="Y575"/>
      <c r="Z575"/>
    </row>
    <row r="576" spans="17:26" ht="12.75" customHeight="1">
      <c r="Q576"/>
      <c r="R576"/>
      <c r="S576"/>
      <c r="T576"/>
      <c r="U576"/>
      <c r="V576"/>
      <c r="W576"/>
      <c r="X576"/>
      <c r="Y576"/>
      <c r="Z576"/>
    </row>
    <row r="577" spans="17:26" ht="12.75" customHeight="1">
      <c r="Q577"/>
      <c r="R577"/>
      <c r="S577"/>
      <c r="T577"/>
      <c r="U577"/>
      <c r="V577"/>
      <c r="W577"/>
      <c r="X577"/>
      <c r="Y577"/>
      <c r="Z577"/>
    </row>
    <row r="578" spans="17:26" ht="12.75" customHeight="1">
      <c r="Q578"/>
      <c r="R578"/>
      <c r="S578"/>
      <c r="T578"/>
      <c r="U578"/>
      <c r="V578"/>
      <c r="W578"/>
      <c r="X578"/>
      <c r="Y578"/>
      <c r="Z578"/>
    </row>
    <row r="579" spans="17:26" ht="12.75" customHeight="1">
      <c r="Q579"/>
      <c r="R579"/>
      <c r="S579"/>
      <c r="T579"/>
      <c r="U579"/>
      <c r="V579"/>
      <c r="W579"/>
      <c r="X579"/>
      <c r="Y579"/>
      <c r="Z579"/>
    </row>
    <row r="580" spans="17:26" ht="12.75" customHeight="1">
      <c r="Q580"/>
      <c r="R580"/>
      <c r="S580"/>
      <c r="T580"/>
      <c r="U580"/>
      <c r="V580"/>
      <c r="W580"/>
      <c r="X580"/>
      <c r="Y580"/>
      <c r="Z580"/>
    </row>
    <row r="581" spans="17:26" ht="12.75" customHeight="1">
      <c r="Q581"/>
      <c r="R581"/>
      <c r="S581"/>
      <c r="T581"/>
      <c r="U581"/>
      <c r="V581"/>
      <c r="W581"/>
      <c r="X581"/>
      <c r="Y581"/>
      <c r="Z581"/>
    </row>
    <row r="582" spans="17:26" ht="12.75" customHeight="1">
      <c r="Q582"/>
      <c r="R582"/>
      <c r="S582"/>
      <c r="T582"/>
      <c r="U582"/>
      <c r="V582"/>
      <c r="W582"/>
      <c r="X582"/>
      <c r="Y582"/>
      <c r="Z582"/>
    </row>
    <row r="583" spans="17:26" ht="12.75" customHeight="1">
      <c r="Q583"/>
      <c r="R583"/>
      <c r="S583"/>
      <c r="T583"/>
      <c r="U583"/>
      <c r="V583"/>
      <c r="W583"/>
      <c r="X583"/>
      <c r="Y583"/>
      <c r="Z583"/>
    </row>
    <row r="584" spans="17:26" ht="12.75" customHeight="1">
      <c r="Q584"/>
      <c r="R584"/>
      <c r="S584"/>
      <c r="T584"/>
      <c r="U584"/>
      <c r="V584"/>
      <c r="W584"/>
      <c r="X584"/>
      <c r="Y584"/>
      <c r="Z584"/>
    </row>
    <row r="585" spans="17:26" ht="12.75" customHeight="1">
      <c r="Q585"/>
      <c r="R585"/>
      <c r="S585"/>
      <c r="T585"/>
      <c r="U585"/>
      <c r="V585"/>
      <c r="W585"/>
      <c r="X585"/>
      <c r="Y585"/>
      <c r="Z585"/>
    </row>
    <row r="586" spans="17:26" ht="12.75" customHeight="1">
      <c r="Q586"/>
      <c r="R586"/>
      <c r="S586"/>
      <c r="T586"/>
      <c r="U586"/>
      <c r="V586"/>
      <c r="W586"/>
      <c r="X586"/>
      <c r="Y586"/>
      <c r="Z586"/>
    </row>
    <row r="587" spans="17:26" ht="12.75" customHeight="1">
      <c r="Q587"/>
      <c r="R587"/>
      <c r="S587"/>
      <c r="T587"/>
      <c r="U587"/>
      <c r="V587"/>
      <c r="W587"/>
      <c r="X587"/>
      <c r="Y587"/>
      <c r="Z587"/>
    </row>
    <row r="588" spans="17:26" ht="12.75" customHeight="1">
      <c r="Q588"/>
      <c r="R588"/>
      <c r="S588"/>
      <c r="T588"/>
      <c r="U588"/>
      <c r="V588"/>
      <c r="W588"/>
      <c r="X588"/>
      <c r="Y588"/>
      <c r="Z588"/>
    </row>
    <row r="589" spans="17:26" ht="12.75" customHeight="1">
      <c r="Q589"/>
      <c r="R589"/>
      <c r="S589"/>
      <c r="T589"/>
      <c r="U589"/>
      <c r="V589"/>
      <c r="W589"/>
      <c r="X589"/>
      <c r="Y589"/>
      <c r="Z589"/>
    </row>
    <row r="590" spans="17:26" ht="12.75" customHeight="1">
      <c r="Q590"/>
      <c r="R590"/>
      <c r="S590"/>
      <c r="T590"/>
      <c r="U590"/>
      <c r="V590"/>
      <c r="W590"/>
      <c r="X590"/>
      <c r="Y590"/>
      <c r="Z590"/>
    </row>
    <row r="591" spans="17:26" ht="12.75" customHeight="1">
      <c r="Q591"/>
      <c r="R591"/>
      <c r="S591"/>
      <c r="T591"/>
      <c r="U591"/>
      <c r="V591"/>
      <c r="W591"/>
      <c r="X591"/>
      <c r="Y591"/>
      <c r="Z591"/>
    </row>
    <row r="592" spans="17:26" ht="12.75" customHeight="1">
      <c r="Q592"/>
      <c r="R592"/>
      <c r="S592"/>
      <c r="T592"/>
      <c r="U592"/>
      <c r="V592"/>
      <c r="W592"/>
      <c r="X592"/>
      <c r="Y592"/>
      <c r="Z592"/>
    </row>
    <row r="593" spans="17:26" ht="12.75" customHeight="1">
      <c r="Q593"/>
      <c r="R593"/>
      <c r="S593"/>
      <c r="T593"/>
      <c r="U593"/>
      <c r="V593"/>
      <c r="W593"/>
      <c r="X593"/>
      <c r="Y593"/>
      <c r="Z593"/>
    </row>
    <row r="594" spans="17:26" ht="12.75" customHeight="1">
      <c r="Q594"/>
      <c r="R594"/>
      <c r="S594"/>
      <c r="T594"/>
      <c r="U594"/>
      <c r="V594"/>
      <c r="W594"/>
      <c r="X594"/>
      <c r="Y594"/>
      <c r="Z594"/>
    </row>
    <row r="595" spans="17:26" ht="12.75" customHeight="1">
      <c r="Q595"/>
      <c r="R595"/>
      <c r="S595"/>
      <c r="T595"/>
      <c r="U595"/>
      <c r="V595"/>
      <c r="W595"/>
      <c r="X595"/>
      <c r="Y595"/>
      <c r="Z595"/>
    </row>
    <row r="596" spans="17:26" ht="12.75" customHeight="1">
      <c r="Q596"/>
      <c r="R596"/>
      <c r="S596"/>
      <c r="T596"/>
      <c r="U596"/>
      <c r="V596"/>
      <c r="W596"/>
      <c r="X596"/>
      <c r="Y596"/>
      <c r="Z596"/>
    </row>
    <row r="597" spans="17:26" ht="12.75" customHeight="1">
      <c r="Q597"/>
      <c r="R597"/>
      <c r="S597"/>
      <c r="T597"/>
      <c r="U597"/>
      <c r="V597"/>
      <c r="W597"/>
      <c r="X597"/>
      <c r="Y597"/>
      <c r="Z597"/>
    </row>
    <row r="598" spans="17:26" ht="12.75" customHeight="1">
      <c r="Q598"/>
      <c r="R598"/>
      <c r="S598"/>
      <c r="T598"/>
      <c r="U598"/>
      <c r="V598"/>
      <c r="W598"/>
      <c r="X598"/>
      <c r="Y598"/>
      <c r="Z598"/>
    </row>
    <row r="599" spans="17:26" ht="12.75" customHeight="1">
      <c r="Q599"/>
      <c r="R599"/>
      <c r="S599"/>
      <c r="T599"/>
      <c r="U599"/>
      <c r="V599"/>
      <c r="W599"/>
      <c r="X599"/>
      <c r="Y599"/>
      <c r="Z599"/>
    </row>
    <row r="600" spans="17:26" ht="12.75" customHeight="1">
      <c r="Q600"/>
      <c r="R600"/>
      <c r="S600"/>
      <c r="T600"/>
      <c r="U600"/>
      <c r="V600"/>
      <c r="W600"/>
      <c r="X600"/>
      <c r="Y600"/>
      <c r="Z600"/>
    </row>
    <row r="601" spans="17:26" ht="12.75" customHeight="1">
      <c r="Q601"/>
      <c r="R601"/>
      <c r="S601"/>
      <c r="T601"/>
      <c r="U601"/>
      <c r="V601"/>
      <c r="W601"/>
      <c r="X601"/>
      <c r="Y601"/>
      <c r="Z601"/>
    </row>
    <row r="602" spans="17:26" ht="12.75" customHeight="1">
      <c r="Q602"/>
      <c r="R602"/>
      <c r="S602"/>
      <c r="T602"/>
      <c r="U602"/>
      <c r="V602"/>
      <c r="W602"/>
      <c r="X602"/>
      <c r="Y602"/>
      <c r="Z602"/>
    </row>
    <row r="603" spans="17:26" ht="12.75" customHeight="1">
      <c r="Q603"/>
      <c r="R603"/>
      <c r="S603"/>
      <c r="T603"/>
      <c r="U603"/>
      <c r="V603"/>
      <c r="W603"/>
      <c r="X603"/>
      <c r="Y603"/>
      <c r="Z603"/>
    </row>
    <row r="604" spans="17:26" ht="12.75" customHeight="1">
      <c r="Q604"/>
      <c r="R604"/>
      <c r="S604"/>
      <c r="T604"/>
      <c r="U604"/>
      <c r="V604"/>
      <c r="W604"/>
      <c r="X604"/>
      <c r="Y604"/>
      <c r="Z604"/>
    </row>
    <row r="605" spans="17:26" ht="12.75" customHeight="1">
      <c r="Q605"/>
      <c r="R605"/>
      <c r="S605"/>
      <c r="T605"/>
      <c r="U605"/>
      <c r="V605"/>
      <c r="W605"/>
      <c r="X605"/>
      <c r="Y605"/>
      <c r="Z605"/>
    </row>
    <row r="606" spans="17:26" ht="12.75" customHeight="1">
      <c r="Q606"/>
      <c r="R606"/>
      <c r="S606"/>
      <c r="T606"/>
      <c r="U606"/>
      <c r="V606"/>
      <c r="W606"/>
      <c r="X606"/>
      <c r="Y606"/>
      <c r="Z606"/>
    </row>
    <row r="607" spans="17:26" ht="12.75" customHeight="1">
      <c r="Q607"/>
      <c r="R607"/>
      <c r="S607"/>
      <c r="T607"/>
      <c r="U607"/>
      <c r="V607"/>
      <c r="W607"/>
      <c r="X607"/>
      <c r="Y607"/>
      <c r="Z607"/>
    </row>
    <row r="608" spans="17:26" ht="12.75" customHeight="1">
      <c r="Q608"/>
      <c r="R608"/>
      <c r="S608"/>
      <c r="T608"/>
      <c r="U608"/>
      <c r="V608"/>
      <c r="W608"/>
      <c r="X608"/>
      <c r="Y608"/>
      <c r="Z608"/>
    </row>
    <row r="609" spans="17:26" ht="12.75" customHeight="1">
      <c r="Q609"/>
      <c r="R609"/>
      <c r="S609"/>
      <c r="T609"/>
      <c r="U609"/>
      <c r="V609"/>
      <c r="W609"/>
      <c r="X609"/>
      <c r="Y609"/>
      <c r="Z609"/>
    </row>
    <row r="610" spans="17:26" ht="12.75" customHeight="1">
      <c r="Q610"/>
      <c r="R610"/>
      <c r="S610"/>
      <c r="T610"/>
      <c r="U610"/>
      <c r="V610"/>
      <c r="W610"/>
      <c r="X610"/>
      <c r="Y610"/>
      <c r="Z610"/>
    </row>
    <row r="611" spans="17:26" ht="12.75" customHeight="1">
      <c r="Q611"/>
      <c r="R611"/>
      <c r="S611"/>
      <c r="T611"/>
      <c r="U611"/>
      <c r="V611"/>
      <c r="W611"/>
      <c r="X611"/>
      <c r="Y611"/>
      <c r="Z611"/>
    </row>
    <row r="612" spans="17:26" ht="12.75" customHeight="1">
      <c r="Q612"/>
      <c r="R612"/>
      <c r="S612"/>
      <c r="T612"/>
      <c r="U612"/>
      <c r="V612"/>
      <c r="W612"/>
      <c r="X612"/>
      <c r="Y612"/>
      <c r="Z612"/>
    </row>
    <row r="613" spans="17:26" ht="12.75" customHeight="1">
      <c r="Q613"/>
      <c r="R613"/>
      <c r="S613"/>
      <c r="T613"/>
      <c r="U613"/>
      <c r="V613"/>
      <c r="W613"/>
      <c r="X613"/>
      <c r="Y613"/>
      <c r="Z613"/>
    </row>
    <row r="614" spans="17:26" ht="12.75" customHeight="1">
      <c r="Q614"/>
      <c r="R614"/>
      <c r="S614"/>
      <c r="T614"/>
      <c r="U614"/>
      <c r="V614"/>
      <c r="W614"/>
      <c r="X614"/>
      <c r="Y614"/>
      <c r="Z614"/>
    </row>
    <row r="615" spans="17:26" ht="12.75" customHeight="1">
      <c r="Q615"/>
      <c r="R615"/>
      <c r="S615"/>
      <c r="T615"/>
      <c r="U615"/>
      <c r="V615"/>
      <c r="W615"/>
      <c r="X615"/>
      <c r="Y615"/>
      <c r="Z615"/>
    </row>
    <row r="616" spans="17:26" ht="12.75" customHeight="1">
      <c r="Q616"/>
      <c r="R616"/>
      <c r="S616"/>
      <c r="T616"/>
      <c r="U616"/>
      <c r="V616"/>
      <c r="W616"/>
      <c r="X616"/>
      <c r="Y616"/>
      <c r="Z616"/>
    </row>
    <row r="617" spans="17:26" ht="12.75" customHeight="1">
      <c r="Q617"/>
      <c r="R617"/>
      <c r="S617"/>
      <c r="T617"/>
      <c r="U617"/>
      <c r="V617"/>
      <c r="W617"/>
      <c r="X617"/>
      <c r="Y617"/>
      <c r="Z617"/>
    </row>
    <row r="618" spans="17:26" ht="12.75" customHeight="1">
      <c r="Q618"/>
      <c r="R618"/>
      <c r="S618"/>
      <c r="T618"/>
      <c r="U618"/>
      <c r="V618"/>
      <c r="W618"/>
      <c r="X618"/>
      <c r="Y618"/>
      <c r="Z618"/>
    </row>
    <row r="619" spans="17:26" ht="12.75" customHeight="1">
      <c r="Q619"/>
      <c r="R619"/>
      <c r="S619"/>
      <c r="T619"/>
      <c r="U619"/>
      <c r="V619"/>
      <c r="W619"/>
      <c r="X619"/>
      <c r="Y619"/>
      <c r="Z619"/>
    </row>
    <row r="620" spans="17:26" ht="12.75" customHeight="1">
      <c r="Q620"/>
      <c r="R620"/>
      <c r="S620"/>
      <c r="T620"/>
      <c r="U620"/>
      <c r="V620"/>
      <c r="W620"/>
      <c r="X620"/>
      <c r="Y620"/>
      <c r="Z620"/>
    </row>
    <row r="621" spans="17:26" ht="12.75" customHeight="1">
      <c r="Q621"/>
      <c r="R621"/>
      <c r="S621"/>
      <c r="T621"/>
      <c r="U621"/>
      <c r="V621"/>
      <c r="W621"/>
      <c r="X621"/>
      <c r="Y621"/>
      <c r="Z621"/>
    </row>
    <row r="622" spans="17:26" ht="12.75" customHeight="1">
      <c r="Q622"/>
      <c r="R622"/>
      <c r="S622"/>
      <c r="T622"/>
      <c r="U622"/>
      <c r="V622"/>
      <c r="W622"/>
      <c r="X622"/>
      <c r="Y622"/>
      <c r="Z622"/>
    </row>
    <row r="623" spans="17:26" ht="12.75" customHeight="1">
      <c r="Q623"/>
      <c r="R623"/>
      <c r="S623"/>
      <c r="T623"/>
      <c r="U623"/>
      <c r="V623"/>
      <c r="W623"/>
      <c r="X623"/>
      <c r="Y623"/>
      <c r="Z623"/>
    </row>
    <row r="624" spans="17:26" ht="12.75" customHeight="1">
      <c r="Q624"/>
      <c r="R624"/>
      <c r="S624"/>
      <c r="T624"/>
      <c r="U624"/>
      <c r="V624"/>
      <c r="W624"/>
      <c r="X624"/>
      <c r="Y624"/>
      <c r="Z624"/>
    </row>
    <row r="625" spans="17:26" ht="12.75" customHeight="1">
      <c r="Q625"/>
      <c r="R625"/>
      <c r="S625"/>
      <c r="T625"/>
      <c r="U625"/>
      <c r="V625"/>
      <c r="W625"/>
      <c r="X625"/>
      <c r="Y625"/>
      <c r="Z625"/>
    </row>
    <row r="626" spans="17:26" ht="12.75" customHeight="1">
      <c r="Q626"/>
      <c r="R626"/>
      <c r="S626"/>
      <c r="T626"/>
      <c r="U626"/>
      <c r="V626"/>
      <c r="W626"/>
      <c r="X626"/>
      <c r="Y626"/>
      <c r="Z626"/>
    </row>
    <row r="627" spans="17:26" ht="12.75" customHeight="1">
      <c r="Q627"/>
      <c r="R627"/>
      <c r="S627"/>
      <c r="T627"/>
      <c r="U627"/>
      <c r="V627"/>
      <c r="W627"/>
      <c r="X627"/>
      <c r="Y627"/>
      <c r="Z627"/>
    </row>
    <row r="628" spans="17:26" ht="12.75" customHeight="1">
      <c r="Q628"/>
      <c r="R628"/>
      <c r="S628"/>
      <c r="T628"/>
      <c r="U628"/>
      <c r="V628"/>
      <c r="W628"/>
      <c r="X628"/>
      <c r="Y628"/>
      <c r="Z628"/>
    </row>
    <row r="629" spans="17:26" ht="12.75" customHeight="1">
      <c r="Q629"/>
      <c r="R629"/>
      <c r="S629"/>
      <c r="T629"/>
      <c r="U629"/>
      <c r="V629"/>
      <c r="W629"/>
      <c r="X629"/>
      <c r="Y629"/>
      <c r="Z629"/>
    </row>
    <row r="630" spans="17:26" ht="12.75" customHeight="1">
      <c r="Q630"/>
      <c r="R630"/>
      <c r="S630"/>
      <c r="T630"/>
      <c r="U630"/>
      <c r="V630"/>
      <c r="W630"/>
      <c r="X630"/>
      <c r="Y630"/>
      <c r="Z630"/>
    </row>
    <row r="631" spans="17:26" ht="12.75" customHeight="1">
      <c r="Q631"/>
      <c r="R631"/>
      <c r="S631"/>
      <c r="T631"/>
      <c r="U631"/>
      <c r="V631"/>
      <c r="W631"/>
      <c r="X631"/>
      <c r="Y631"/>
      <c r="Z631"/>
    </row>
    <row r="632" spans="17:26" ht="12.75" customHeight="1">
      <c r="Q632"/>
      <c r="R632"/>
      <c r="S632"/>
      <c r="T632"/>
      <c r="U632"/>
      <c r="V632"/>
      <c r="W632"/>
      <c r="X632"/>
      <c r="Y632"/>
      <c r="Z632"/>
    </row>
    <row r="633" spans="17:26" ht="12.75" customHeight="1">
      <c r="Q633"/>
      <c r="R633"/>
      <c r="S633"/>
      <c r="T633"/>
      <c r="U633"/>
      <c r="V633"/>
      <c r="W633"/>
      <c r="X633"/>
      <c r="Y633"/>
      <c r="Z633"/>
    </row>
    <row r="634" spans="17:26" ht="12.75" customHeight="1">
      <c r="Q634"/>
      <c r="R634"/>
      <c r="S634"/>
      <c r="T634"/>
      <c r="U634"/>
      <c r="V634"/>
      <c r="W634"/>
      <c r="X634"/>
      <c r="Y634"/>
      <c r="Z634"/>
    </row>
    <row r="635" spans="17:26" ht="12.75" customHeight="1">
      <c r="Q635"/>
      <c r="R635"/>
      <c r="S635"/>
      <c r="T635"/>
      <c r="U635"/>
      <c r="V635"/>
      <c r="W635"/>
      <c r="X635"/>
      <c r="Y635"/>
      <c r="Z635"/>
    </row>
    <row r="636" spans="17:26" ht="12.75" customHeight="1">
      <c r="Q636"/>
      <c r="R636"/>
      <c r="S636"/>
      <c r="T636"/>
      <c r="U636"/>
      <c r="V636"/>
      <c r="W636"/>
      <c r="X636"/>
      <c r="Y636"/>
      <c r="Z636"/>
    </row>
    <row r="637" spans="17:26" ht="12.75" customHeight="1">
      <c r="Q637"/>
      <c r="R637"/>
      <c r="S637"/>
      <c r="T637"/>
      <c r="U637"/>
      <c r="V637"/>
      <c r="W637"/>
      <c r="X637"/>
      <c r="Y637"/>
      <c r="Z637"/>
    </row>
    <row r="638" spans="17:26" ht="12.75" customHeight="1">
      <c r="Q638"/>
      <c r="R638"/>
      <c r="S638"/>
      <c r="T638"/>
      <c r="U638"/>
      <c r="V638"/>
      <c r="W638"/>
      <c r="X638"/>
      <c r="Y638"/>
      <c r="Z638"/>
    </row>
    <row r="639" spans="17:26" ht="12.75" customHeight="1">
      <c r="Q639"/>
      <c r="R639"/>
      <c r="S639"/>
      <c r="T639"/>
      <c r="U639"/>
      <c r="V639"/>
      <c r="W639"/>
      <c r="X639"/>
      <c r="Y639"/>
      <c r="Z639"/>
    </row>
    <row r="640" spans="17:26" ht="12.75" customHeight="1">
      <c r="Q640"/>
      <c r="R640"/>
      <c r="S640"/>
      <c r="T640"/>
      <c r="U640"/>
      <c r="V640"/>
      <c r="W640"/>
      <c r="X640"/>
      <c r="Y640"/>
      <c r="Z640"/>
    </row>
    <row r="641" spans="17:26" ht="12.75" customHeight="1">
      <c r="Q641"/>
      <c r="R641"/>
      <c r="S641"/>
      <c r="T641"/>
      <c r="U641"/>
      <c r="V641"/>
      <c r="W641"/>
      <c r="X641"/>
      <c r="Y641"/>
      <c r="Z641"/>
    </row>
    <row r="642" spans="17:26" ht="12.75" customHeight="1">
      <c r="Q642"/>
      <c r="R642"/>
      <c r="S642"/>
      <c r="T642"/>
      <c r="U642"/>
      <c r="V642"/>
      <c r="W642"/>
      <c r="X642"/>
      <c r="Y642"/>
      <c r="Z642"/>
    </row>
    <row r="643" spans="17:26" ht="12.75" customHeight="1">
      <c r="Q643"/>
      <c r="R643"/>
      <c r="S643"/>
      <c r="T643"/>
      <c r="U643"/>
      <c r="V643"/>
      <c r="W643"/>
      <c r="X643"/>
      <c r="Y643"/>
      <c r="Z643"/>
    </row>
    <row r="644" spans="17:26" ht="12.75" customHeight="1">
      <c r="Q644"/>
      <c r="R644"/>
      <c r="S644"/>
      <c r="T644"/>
      <c r="U644"/>
      <c r="V644"/>
      <c r="W644"/>
      <c r="X644"/>
      <c r="Y644"/>
      <c r="Z644"/>
    </row>
    <row r="645" spans="17:26" ht="12.75" customHeight="1">
      <c r="Q645"/>
      <c r="R645"/>
      <c r="S645"/>
      <c r="T645"/>
      <c r="U645"/>
      <c r="V645"/>
      <c r="W645"/>
      <c r="X645"/>
      <c r="Y645"/>
      <c r="Z645"/>
    </row>
    <row r="646" spans="17:26" ht="12.75" customHeight="1">
      <c r="Q646"/>
      <c r="R646"/>
      <c r="S646"/>
      <c r="T646"/>
      <c r="U646"/>
      <c r="V646"/>
      <c r="W646"/>
      <c r="X646"/>
      <c r="Y646"/>
      <c r="Z646"/>
    </row>
    <row r="647" spans="17:26" ht="12.75" customHeight="1">
      <c r="Q647"/>
      <c r="R647"/>
      <c r="S647"/>
      <c r="T647"/>
      <c r="U647"/>
      <c r="V647"/>
      <c r="W647"/>
      <c r="X647"/>
      <c r="Y647"/>
      <c r="Z647"/>
    </row>
    <row r="648" spans="17:26" ht="12.75" customHeight="1">
      <c r="Q648"/>
      <c r="R648"/>
      <c r="S648"/>
      <c r="T648"/>
      <c r="U648"/>
      <c r="V648"/>
      <c r="W648"/>
      <c r="X648"/>
      <c r="Y648"/>
      <c r="Z648"/>
    </row>
    <row r="649" spans="17:26" ht="12.75" customHeight="1">
      <c r="Q649"/>
      <c r="R649"/>
      <c r="S649"/>
      <c r="T649"/>
      <c r="U649"/>
      <c r="V649"/>
      <c r="W649"/>
      <c r="X649"/>
      <c r="Y649"/>
      <c r="Z649"/>
    </row>
    <row r="650" spans="17:26" ht="12.75" customHeight="1">
      <c r="Q650"/>
      <c r="R650"/>
      <c r="S650"/>
      <c r="T650"/>
      <c r="U650"/>
      <c r="V650"/>
      <c r="W650"/>
      <c r="X650"/>
      <c r="Y650"/>
      <c r="Z650"/>
    </row>
    <row r="651" spans="17:26" ht="12.75" customHeight="1">
      <c r="Q651"/>
      <c r="R651"/>
      <c r="S651"/>
      <c r="T651"/>
      <c r="U651"/>
      <c r="V651"/>
      <c r="W651"/>
      <c r="X651"/>
      <c r="Y651"/>
      <c r="Z651"/>
    </row>
    <row r="652" spans="17:26" ht="12.75" customHeight="1">
      <c r="Q652"/>
      <c r="R652"/>
      <c r="S652"/>
      <c r="T652"/>
      <c r="U652"/>
      <c r="V652"/>
      <c r="W652"/>
      <c r="X652"/>
      <c r="Y652"/>
      <c r="Z652"/>
    </row>
    <row r="653" spans="17:26" ht="12.75" customHeight="1">
      <c r="Q653"/>
      <c r="R653"/>
      <c r="S653"/>
      <c r="T653"/>
      <c r="U653"/>
      <c r="V653"/>
      <c r="W653"/>
      <c r="X653"/>
      <c r="Y653"/>
      <c r="Z653"/>
    </row>
    <row r="654" spans="17:26" ht="12.75" customHeight="1">
      <c r="Q654"/>
      <c r="R654"/>
      <c r="S654"/>
      <c r="T654"/>
      <c r="U654"/>
      <c r="V654"/>
      <c r="W654"/>
      <c r="X654"/>
      <c r="Y654"/>
      <c r="Z654"/>
    </row>
    <row r="655" spans="17:26" ht="12.75" customHeight="1">
      <c r="Q655"/>
      <c r="R655"/>
      <c r="S655"/>
      <c r="T655"/>
      <c r="U655"/>
      <c r="V655"/>
      <c r="W655"/>
      <c r="X655"/>
      <c r="Y655"/>
      <c r="Z655"/>
    </row>
    <row r="656" spans="17:26" ht="12.75" customHeight="1">
      <c r="Q656"/>
      <c r="R656"/>
      <c r="S656"/>
      <c r="T656"/>
      <c r="U656"/>
      <c r="V656"/>
      <c r="W656"/>
      <c r="X656"/>
      <c r="Y656"/>
      <c r="Z656"/>
    </row>
    <row r="657" spans="17:26" ht="12.75" customHeight="1">
      <c r="Q657"/>
      <c r="R657"/>
      <c r="S657"/>
      <c r="T657"/>
      <c r="U657"/>
      <c r="V657"/>
      <c r="W657"/>
      <c r="X657"/>
      <c r="Y657"/>
      <c r="Z657"/>
    </row>
    <row r="658" spans="17:26" ht="12.75" customHeight="1">
      <c r="Q658"/>
      <c r="R658"/>
      <c r="S658"/>
      <c r="T658"/>
      <c r="U658"/>
      <c r="V658"/>
      <c r="W658"/>
      <c r="X658"/>
      <c r="Y658"/>
      <c r="Z658"/>
    </row>
    <row r="659" spans="17:26" ht="12.75" customHeight="1">
      <c r="Q659"/>
      <c r="R659"/>
      <c r="S659"/>
      <c r="T659"/>
      <c r="U659"/>
      <c r="V659"/>
      <c r="W659"/>
      <c r="X659"/>
      <c r="Y659"/>
      <c r="Z659"/>
    </row>
    <row r="660" spans="17:26" ht="12.75" customHeight="1">
      <c r="Q660"/>
      <c r="R660"/>
      <c r="S660"/>
      <c r="T660"/>
      <c r="U660"/>
      <c r="V660"/>
      <c r="W660"/>
      <c r="X660"/>
      <c r="Y660"/>
      <c r="Z660"/>
    </row>
    <row r="661" spans="17:26" ht="12.75" customHeight="1">
      <c r="Q661"/>
      <c r="R661"/>
      <c r="S661"/>
      <c r="T661"/>
      <c r="U661"/>
      <c r="V661"/>
      <c r="W661"/>
      <c r="X661"/>
      <c r="Y661"/>
      <c r="Z661"/>
    </row>
    <row r="662" spans="17:26" ht="12.75" customHeight="1">
      <c r="Q662"/>
      <c r="R662"/>
      <c r="S662"/>
      <c r="T662"/>
      <c r="U662"/>
      <c r="V662"/>
      <c r="W662"/>
      <c r="X662"/>
      <c r="Y662"/>
      <c r="Z662"/>
    </row>
    <row r="663" spans="17:26" ht="12.75" customHeight="1">
      <c r="Q663"/>
      <c r="R663"/>
      <c r="S663"/>
      <c r="T663"/>
      <c r="U663"/>
      <c r="V663"/>
      <c r="W663"/>
      <c r="X663"/>
      <c r="Y663"/>
      <c r="Z663"/>
    </row>
    <row r="664" spans="17:26" ht="12.75" customHeight="1">
      <c r="Q664"/>
      <c r="R664"/>
      <c r="S664"/>
      <c r="T664"/>
      <c r="U664"/>
      <c r="V664"/>
      <c r="W664"/>
      <c r="X664"/>
      <c r="Y664"/>
      <c r="Z664"/>
    </row>
    <row r="665" spans="17:26" ht="12.75" customHeight="1">
      <c r="Q665"/>
      <c r="R665"/>
      <c r="S665"/>
      <c r="T665"/>
      <c r="U665"/>
      <c r="V665"/>
      <c r="W665"/>
      <c r="X665"/>
      <c r="Y665"/>
      <c r="Z665"/>
    </row>
    <row r="666" spans="17:26" ht="12.75" customHeight="1">
      <c r="Q666"/>
      <c r="R666"/>
      <c r="S666"/>
      <c r="T666"/>
      <c r="U666"/>
      <c r="V666"/>
      <c r="W666"/>
      <c r="X666"/>
      <c r="Y666"/>
      <c r="Z666"/>
    </row>
    <row r="667" spans="17:26" ht="12.75" customHeight="1">
      <c r="Q667"/>
      <c r="R667"/>
      <c r="S667"/>
      <c r="T667"/>
      <c r="U667"/>
      <c r="V667"/>
      <c r="W667"/>
      <c r="X667"/>
      <c r="Y667"/>
      <c r="Z667"/>
    </row>
    <row r="668" spans="17:26" ht="12.75" customHeight="1">
      <c r="Q668"/>
      <c r="R668"/>
      <c r="S668"/>
      <c r="T668"/>
      <c r="U668"/>
      <c r="V668"/>
      <c r="W668"/>
      <c r="X668"/>
      <c r="Y668"/>
      <c r="Z668"/>
    </row>
    <row r="669" spans="17:26" ht="12.75" customHeight="1">
      <c r="Q669"/>
      <c r="R669"/>
      <c r="S669"/>
      <c r="T669"/>
      <c r="U669"/>
      <c r="V669"/>
      <c r="W669"/>
      <c r="X669"/>
      <c r="Y669"/>
      <c r="Z669"/>
    </row>
    <row r="670" spans="17:26" ht="12.75" customHeight="1">
      <c r="Q670"/>
      <c r="R670"/>
      <c r="S670"/>
      <c r="T670"/>
      <c r="U670"/>
      <c r="V670"/>
      <c r="W670"/>
      <c r="X670"/>
      <c r="Y670"/>
      <c r="Z670"/>
    </row>
    <row r="671" spans="17:26" ht="12.75" customHeight="1">
      <c r="Q671"/>
      <c r="R671"/>
      <c r="S671"/>
      <c r="T671"/>
      <c r="U671"/>
      <c r="V671"/>
      <c r="W671"/>
      <c r="X671"/>
      <c r="Y671"/>
      <c r="Z671"/>
    </row>
    <row r="672" spans="17:26" ht="12.75" customHeight="1">
      <c r="Q672"/>
      <c r="R672"/>
      <c r="S672"/>
      <c r="T672"/>
      <c r="U672"/>
      <c r="V672"/>
      <c r="W672"/>
      <c r="X672"/>
      <c r="Y672"/>
      <c r="Z672"/>
    </row>
    <row r="673" spans="17:26" ht="12.75" customHeight="1">
      <c r="Q673"/>
      <c r="R673"/>
      <c r="S673"/>
      <c r="T673"/>
      <c r="U673"/>
      <c r="V673"/>
      <c r="W673"/>
      <c r="X673"/>
      <c r="Y673"/>
      <c r="Z673"/>
    </row>
    <row r="674" spans="17:26" ht="12.75" customHeight="1">
      <c r="Q674"/>
      <c r="R674"/>
      <c r="S674"/>
      <c r="T674"/>
      <c r="U674"/>
      <c r="V674"/>
      <c r="W674"/>
      <c r="X674"/>
      <c r="Y674"/>
      <c r="Z674"/>
    </row>
    <row r="675" spans="17:26" ht="12.75" customHeight="1">
      <c r="Q675"/>
      <c r="R675"/>
      <c r="S675"/>
      <c r="T675"/>
      <c r="U675"/>
      <c r="V675"/>
      <c r="W675"/>
      <c r="X675"/>
      <c r="Y675"/>
      <c r="Z675"/>
    </row>
    <row r="676" spans="17:26" ht="12.75" customHeight="1">
      <c r="Q676"/>
      <c r="R676"/>
      <c r="S676"/>
      <c r="T676"/>
      <c r="U676"/>
      <c r="V676"/>
      <c r="W676"/>
      <c r="X676"/>
      <c r="Y676"/>
      <c r="Z676"/>
    </row>
    <row r="677" spans="17:26" ht="12.75" customHeight="1">
      <c r="Q677"/>
      <c r="R677"/>
      <c r="S677"/>
      <c r="T677"/>
      <c r="U677"/>
      <c r="V677"/>
      <c r="W677"/>
      <c r="X677"/>
      <c r="Y677"/>
      <c r="Z677"/>
    </row>
    <row r="678" spans="17:26" ht="12.75" customHeight="1">
      <c r="Q678"/>
      <c r="R678"/>
      <c r="S678"/>
      <c r="T678"/>
      <c r="U678"/>
      <c r="V678"/>
      <c r="W678"/>
      <c r="X678"/>
      <c r="Y678"/>
      <c r="Z678"/>
    </row>
    <row r="679" spans="17:26" ht="12.75" customHeight="1">
      <c r="Q679"/>
      <c r="R679"/>
      <c r="S679"/>
      <c r="T679"/>
      <c r="U679"/>
      <c r="V679"/>
      <c r="W679"/>
      <c r="X679"/>
      <c r="Y679"/>
      <c r="Z679"/>
    </row>
    <row r="680" spans="17:26" ht="12.75" customHeight="1">
      <c r="Q680"/>
      <c r="R680"/>
      <c r="S680"/>
      <c r="T680"/>
      <c r="U680"/>
      <c r="V680"/>
      <c r="W680"/>
      <c r="X680"/>
      <c r="Y680"/>
      <c r="Z680"/>
    </row>
    <row r="681" spans="17:26" ht="12.75" customHeight="1">
      <c r="Q681"/>
      <c r="R681"/>
      <c r="S681"/>
      <c r="T681"/>
      <c r="U681"/>
      <c r="V681"/>
      <c r="W681"/>
      <c r="X681"/>
      <c r="Y681"/>
      <c r="Z681"/>
    </row>
    <row r="682" spans="17:26" ht="12.75" customHeight="1">
      <c r="Q682"/>
      <c r="R682"/>
      <c r="S682"/>
      <c r="T682"/>
      <c r="U682"/>
      <c r="V682"/>
      <c r="W682"/>
      <c r="X682"/>
      <c r="Y682"/>
      <c r="Z682"/>
    </row>
    <row r="683" spans="17:26" ht="12.75" customHeight="1">
      <c r="Q683"/>
      <c r="R683"/>
      <c r="S683"/>
      <c r="T683"/>
      <c r="U683"/>
      <c r="V683"/>
      <c r="W683"/>
      <c r="X683"/>
      <c r="Y683"/>
      <c r="Z683"/>
    </row>
    <row r="684" spans="17:26" ht="12.75" customHeight="1">
      <c r="Q684"/>
      <c r="R684"/>
      <c r="S684"/>
      <c r="T684"/>
      <c r="U684"/>
      <c r="V684"/>
      <c r="W684"/>
      <c r="X684"/>
      <c r="Y684"/>
      <c r="Z684"/>
    </row>
    <row r="685" spans="17:26" ht="12.75" customHeight="1">
      <c r="Q685"/>
      <c r="R685"/>
      <c r="S685"/>
      <c r="T685"/>
      <c r="U685"/>
      <c r="V685"/>
      <c r="W685"/>
      <c r="X685"/>
      <c r="Y685"/>
      <c r="Z685"/>
    </row>
    <row r="686" spans="17:26" ht="12.75" customHeight="1">
      <c r="Q686"/>
      <c r="R686"/>
      <c r="S686"/>
      <c r="T686"/>
      <c r="U686"/>
      <c r="V686"/>
      <c r="W686"/>
      <c r="X686"/>
      <c r="Y686"/>
      <c r="Z686"/>
    </row>
    <row r="687" spans="17:26" ht="12.75" customHeight="1">
      <c r="Q687"/>
      <c r="R687"/>
      <c r="S687"/>
      <c r="T687"/>
      <c r="U687"/>
      <c r="V687"/>
      <c r="W687"/>
      <c r="X687"/>
      <c r="Y687"/>
      <c r="Z687"/>
    </row>
    <row r="688" spans="17:26" ht="12.75" customHeight="1">
      <c r="Q688"/>
      <c r="R688"/>
      <c r="S688"/>
      <c r="T688"/>
      <c r="U688"/>
      <c r="V688"/>
      <c r="W688"/>
      <c r="X688"/>
      <c r="Y688"/>
      <c r="Z688"/>
    </row>
    <row r="689" spans="17:26" ht="12.75" customHeight="1">
      <c r="Q689"/>
      <c r="R689"/>
      <c r="S689"/>
      <c r="T689"/>
      <c r="U689"/>
      <c r="V689"/>
      <c r="W689"/>
      <c r="X689"/>
      <c r="Y689"/>
      <c r="Z689"/>
    </row>
    <row r="690" spans="17:26">
      <c r="Q690"/>
      <c r="R690"/>
      <c r="S690"/>
      <c r="T690"/>
      <c r="U690"/>
      <c r="V690"/>
      <c r="W690"/>
      <c r="X690"/>
      <c r="Y690"/>
      <c r="Z690"/>
    </row>
    <row r="691" spans="17:26">
      <c r="Q691"/>
      <c r="R691"/>
      <c r="S691"/>
      <c r="T691"/>
      <c r="U691"/>
      <c r="V691"/>
      <c r="W691"/>
      <c r="X691"/>
      <c r="Y691"/>
      <c r="Z691"/>
    </row>
    <row r="692" spans="17:26">
      <c r="Q692"/>
      <c r="R692"/>
      <c r="S692"/>
      <c r="T692"/>
      <c r="U692"/>
      <c r="V692"/>
      <c r="W692"/>
      <c r="X692"/>
      <c r="Y692"/>
      <c r="Z692"/>
    </row>
    <row r="693" spans="17:26">
      <c r="Q693"/>
      <c r="R693"/>
      <c r="S693"/>
      <c r="T693"/>
      <c r="U693"/>
      <c r="V693"/>
      <c r="W693"/>
      <c r="X693"/>
      <c r="Y693"/>
      <c r="Z693"/>
    </row>
    <row r="694" spans="17:26">
      <c r="Q694"/>
      <c r="R694"/>
      <c r="S694"/>
      <c r="T694"/>
      <c r="U694"/>
      <c r="V694"/>
      <c r="W694"/>
      <c r="X694"/>
      <c r="Y694"/>
      <c r="Z694"/>
    </row>
    <row r="695" spans="17:26">
      <c r="Q695"/>
      <c r="R695"/>
      <c r="S695"/>
      <c r="T695"/>
      <c r="U695"/>
      <c r="V695"/>
      <c r="W695"/>
      <c r="X695"/>
      <c r="Y695"/>
      <c r="Z695"/>
    </row>
    <row r="696" spans="17:26">
      <c r="Q696"/>
      <c r="R696"/>
      <c r="S696"/>
      <c r="T696"/>
      <c r="U696"/>
      <c r="V696"/>
      <c r="W696"/>
      <c r="X696"/>
      <c r="Y696"/>
      <c r="Z696"/>
    </row>
    <row r="697" spans="17:26">
      <c r="Q697"/>
      <c r="R697"/>
      <c r="S697"/>
      <c r="T697"/>
      <c r="U697"/>
      <c r="V697"/>
      <c r="W697"/>
      <c r="X697"/>
      <c r="Y697"/>
      <c r="Z697"/>
    </row>
    <row r="698" spans="17:26">
      <c r="Q698"/>
      <c r="R698"/>
      <c r="S698"/>
      <c r="T698"/>
      <c r="U698"/>
      <c r="V698"/>
      <c r="W698"/>
      <c r="X698"/>
      <c r="Y698"/>
      <c r="Z698"/>
    </row>
    <row r="699" spans="17:26">
      <c r="Q699"/>
      <c r="R699"/>
      <c r="S699"/>
      <c r="T699"/>
      <c r="U699"/>
      <c r="V699"/>
      <c r="W699"/>
      <c r="X699"/>
      <c r="Y699"/>
      <c r="Z699"/>
    </row>
    <row r="700" spans="17:26">
      <c r="Q700"/>
      <c r="R700"/>
      <c r="S700"/>
      <c r="T700"/>
      <c r="U700"/>
      <c r="V700"/>
      <c r="W700"/>
      <c r="X700"/>
      <c r="Y700"/>
      <c r="Z700"/>
    </row>
    <row r="701" spans="17:26">
      <c r="Q701"/>
      <c r="R701"/>
      <c r="S701"/>
      <c r="T701"/>
      <c r="U701"/>
      <c r="V701"/>
      <c r="W701"/>
      <c r="X701"/>
      <c r="Y701"/>
      <c r="Z701"/>
    </row>
    <row r="702" spans="17:26">
      <c r="Q702"/>
      <c r="R702"/>
      <c r="S702"/>
      <c r="T702"/>
      <c r="U702"/>
      <c r="V702"/>
      <c r="W702"/>
      <c r="X702"/>
      <c r="Y702"/>
      <c r="Z702"/>
    </row>
    <row r="703" spans="17:26">
      <c r="Q703"/>
      <c r="R703"/>
      <c r="S703"/>
      <c r="T703"/>
      <c r="U703"/>
      <c r="V703"/>
      <c r="W703"/>
      <c r="X703"/>
      <c r="Y703"/>
      <c r="Z703"/>
    </row>
    <row r="704" spans="17:26">
      <c r="Q704"/>
      <c r="R704"/>
      <c r="S704"/>
      <c r="T704"/>
      <c r="U704"/>
      <c r="V704"/>
      <c r="W704"/>
      <c r="X704"/>
      <c r="Y704"/>
      <c r="Z704"/>
    </row>
    <row r="705" spans="17:26">
      <c r="Q705"/>
      <c r="R705"/>
      <c r="S705"/>
      <c r="T705"/>
      <c r="U705"/>
      <c r="V705"/>
      <c r="W705"/>
      <c r="X705"/>
      <c r="Y705"/>
      <c r="Z705"/>
    </row>
    <row r="706" spans="17:26">
      <c r="Q706"/>
      <c r="R706"/>
      <c r="S706"/>
      <c r="T706"/>
      <c r="U706"/>
      <c r="V706"/>
      <c r="W706"/>
      <c r="X706"/>
      <c r="Y706"/>
      <c r="Z706"/>
    </row>
    <row r="707" spans="17:26">
      <c r="Q707"/>
      <c r="R707"/>
      <c r="S707"/>
      <c r="T707"/>
      <c r="U707"/>
      <c r="V707"/>
      <c r="W707"/>
      <c r="X707"/>
      <c r="Y707"/>
      <c r="Z707"/>
    </row>
    <row r="708" spans="17:26">
      <c r="Q708"/>
      <c r="R708"/>
      <c r="S708"/>
      <c r="T708"/>
      <c r="U708"/>
      <c r="V708"/>
      <c r="W708"/>
      <c r="X708"/>
      <c r="Y708"/>
      <c r="Z708"/>
    </row>
    <row r="709" spans="17:26">
      <c r="Q709"/>
      <c r="R709"/>
      <c r="S709"/>
      <c r="T709"/>
      <c r="U709"/>
      <c r="V709"/>
      <c r="W709"/>
      <c r="X709"/>
      <c r="Y709"/>
      <c r="Z709"/>
    </row>
    <row r="710" spans="17:26">
      <c r="Q710"/>
      <c r="R710"/>
      <c r="S710"/>
      <c r="T710"/>
      <c r="U710"/>
      <c r="V710"/>
      <c r="W710"/>
      <c r="X710"/>
      <c r="Y710"/>
      <c r="Z710"/>
    </row>
    <row r="711" spans="17:26">
      <c r="Q711"/>
      <c r="R711"/>
      <c r="S711"/>
      <c r="T711"/>
      <c r="U711"/>
      <c r="V711"/>
      <c r="W711"/>
      <c r="X711"/>
      <c r="Y711"/>
      <c r="Z711"/>
    </row>
    <row r="712" spans="17:26">
      <c r="Q712"/>
      <c r="R712"/>
      <c r="S712"/>
      <c r="T712"/>
      <c r="U712"/>
      <c r="V712"/>
      <c r="W712"/>
      <c r="X712"/>
      <c r="Y712"/>
      <c r="Z712"/>
    </row>
    <row r="713" spans="17:26">
      <c r="Q713"/>
      <c r="R713"/>
      <c r="S713"/>
      <c r="T713"/>
      <c r="U713"/>
      <c r="V713"/>
      <c r="W713"/>
      <c r="X713"/>
      <c r="Y713"/>
      <c r="Z713"/>
    </row>
    <row r="714" spans="17:26">
      <c r="Q714"/>
      <c r="R714"/>
      <c r="S714"/>
      <c r="T714"/>
      <c r="U714"/>
      <c r="V714"/>
      <c r="W714"/>
      <c r="X714"/>
      <c r="Y714"/>
      <c r="Z714"/>
    </row>
    <row r="715" spans="17:26">
      <c r="Q715"/>
      <c r="R715"/>
      <c r="S715"/>
      <c r="T715"/>
      <c r="U715"/>
      <c r="V715"/>
      <c r="W715"/>
      <c r="X715"/>
      <c r="Y715"/>
      <c r="Z715"/>
    </row>
    <row r="716" spans="17:26">
      <c r="Q716"/>
      <c r="R716"/>
      <c r="S716"/>
      <c r="T716"/>
      <c r="U716"/>
      <c r="V716"/>
      <c r="W716"/>
      <c r="X716"/>
      <c r="Y716"/>
      <c r="Z716"/>
    </row>
    <row r="717" spans="17:26">
      <c r="Q717"/>
      <c r="R717"/>
      <c r="S717"/>
      <c r="T717"/>
      <c r="U717"/>
      <c r="V717"/>
      <c r="W717"/>
      <c r="X717"/>
      <c r="Y717"/>
      <c r="Z717"/>
    </row>
    <row r="718" spans="17:26">
      <c r="Q718"/>
      <c r="R718"/>
      <c r="S718"/>
      <c r="T718"/>
      <c r="U718"/>
      <c r="V718"/>
      <c r="W718"/>
      <c r="X718"/>
      <c r="Y718"/>
      <c r="Z718"/>
    </row>
    <row r="719" spans="17:26">
      <c r="Q719"/>
      <c r="R719"/>
      <c r="S719"/>
      <c r="T719"/>
      <c r="U719"/>
      <c r="V719"/>
      <c r="W719"/>
      <c r="X719"/>
      <c r="Y719"/>
      <c r="Z719"/>
    </row>
    <row r="720" spans="17:26">
      <c r="Q720"/>
      <c r="R720"/>
      <c r="S720"/>
      <c r="T720"/>
      <c r="U720"/>
      <c r="V720"/>
      <c r="W720"/>
      <c r="X720"/>
      <c r="Y720"/>
      <c r="Z720"/>
    </row>
    <row r="721" spans="17:26">
      <c r="Q721"/>
      <c r="R721"/>
      <c r="S721"/>
      <c r="T721"/>
      <c r="U721"/>
      <c r="V721"/>
      <c r="W721"/>
      <c r="X721"/>
      <c r="Y721"/>
      <c r="Z721"/>
    </row>
    <row r="722" spans="17:26">
      <c r="Q722"/>
      <c r="R722"/>
      <c r="S722"/>
      <c r="T722"/>
      <c r="U722"/>
      <c r="V722"/>
      <c r="W722"/>
      <c r="X722"/>
      <c r="Y722"/>
      <c r="Z722"/>
    </row>
    <row r="723" spans="17:26">
      <c r="Q723"/>
      <c r="R723"/>
      <c r="S723"/>
      <c r="T723"/>
      <c r="U723"/>
      <c r="V723"/>
      <c r="W723"/>
      <c r="X723"/>
      <c r="Y723"/>
      <c r="Z723"/>
    </row>
    <row r="724" spans="17:26">
      <c r="Q724"/>
      <c r="R724"/>
      <c r="S724"/>
      <c r="T724"/>
      <c r="U724"/>
      <c r="V724"/>
      <c r="W724"/>
      <c r="X724"/>
      <c r="Y724"/>
      <c r="Z724"/>
    </row>
    <row r="725" spans="17:26">
      <c r="Q725"/>
      <c r="R725"/>
      <c r="S725"/>
      <c r="T725"/>
      <c r="U725"/>
      <c r="V725"/>
      <c r="W725"/>
      <c r="X725"/>
      <c r="Y725"/>
      <c r="Z725"/>
    </row>
    <row r="726" spans="17:26">
      <c r="Q726"/>
      <c r="R726"/>
      <c r="S726"/>
      <c r="T726"/>
      <c r="U726"/>
      <c r="V726"/>
      <c r="W726"/>
      <c r="X726"/>
      <c r="Y726"/>
      <c r="Z726"/>
    </row>
    <row r="727" spans="17:26">
      <c r="Q727"/>
      <c r="R727"/>
      <c r="S727"/>
      <c r="T727"/>
      <c r="U727"/>
      <c r="V727"/>
      <c r="W727"/>
      <c r="X727"/>
      <c r="Y727"/>
      <c r="Z727"/>
    </row>
    <row r="728" spans="17:26">
      <c r="Q728"/>
      <c r="R728"/>
      <c r="S728"/>
      <c r="T728"/>
      <c r="U728"/>
      <c r="V728"/>
      <c r="W728"/>
      <c r="X728"/>
      <c r="Y728"/>
      <c r="Z728"/>
    </row>
    <row r="729" spans="17:26">
      <c r="Q729"/>
      <c r="R729"/>
      <c r="S729"/>
      <c r="T729"/>
      <c r="U729"/>
      <c r="V729"/>
      <c r="W729"/>
      <c r="X729"/>
      <c r="Y729"/>
      <c r="Z729"/>
    </row>
    <row r="730" spans="17:26">
      <c r="Q730"/>
      <c r="R730"/>
      <c r="S730"/>
      <c r="T730"/>
      <c r="U730"/>
      <c r="V730"/>
      <c r="W730"/>
      <c r="X730"/>
      <c r="Y730"/>
      <c r="Z730"/>
    </row>
    <row r="731" spans="17:26">
      <c r="Q731"/>
      <c r="R731"/>
      <c r="S731"/>
      <c r="T731"/>
      <c r="U731"/>
      <c r="V731"/>
      <c r="W731"/>
      <c r="X731"/>
      <c r="Y731"/>
      <c r="Z731"/>
    </row>
    <row r="732" spans="17:26">
      <c r="Q732"/>
      <c r="R732"/>
      <c r="S732"/>
      <c r="T732"/>
      <c r="U732"/>
      <c r="V732"/>
      <c r="W732"/>
      <c r="X732"/>
      <c r="Y732"/>
      <c r="Z732"/>
    </row>
    <row r="733" spans="17:26">
      <c r="Q733"/>
      <c r="R733"/>
      <c r="S733"/>
      <c r="T733"/>
      <c r="U733"/>
      <c r="V733"/>
      <c r="W733"/>
      <c r="X733"/>
      <c r="Y733"/>
      <c r="Z733"/>
    </row>
    <row r="734" spans="17:26">
      <c r="Q734"/>
      <c r="R734"/>
      <c r="S734"/>
      <c r="T734"/>
      <c r="U734"/>
      <c r="V734"/>
      <c r="W734"/>
      <c r="X734"/>
      <c r="Y734"/>
      <c r="Z734"/>
    </row>
    <row r="735" spans="17:26">
      <c r="Q735"/>
      <c r="R735"/>
      <c r="S735"/>
      <c r="T735"/>
      <c r="U735"/>
      <c r="V735"/>
      <c r="W735"/>
      <c r="X735"/>
      <c r="Y735"/>
      <c r="Z735"/>
    </row>
    <row r="736" spans="17:26">
      <c r="Q736"/>
      <c r="R736"/>
      <c r="S736"/>
      <c r="T736"/>
      <c r="U736"/>
      <c r="V736"/>
      <c r="W736"/>
      <c r="X736"/>
      <c r="Y736"/>
      <c r="Z736"/>
    </row>
    <row r="737" spans="17:26">
      <c r="Q737"/>
      <c r="R737"/>
      <c r="S737"/>
      <c r="T737"/>
      <c r="U737"/>
      <c r="V737"/>
      <c r="W737"/>
      <c r="X737"/>
      <c r="Y737"/>
      <c r="Z737"/>
    </row>
    <row r="738" spans="17:26">
      <c r="Q738"/>
      <c r="R738"/>
      <c r="S738"/>
      <c r="T738"/>
      <c r="U738"/>
      <c r="V738"/>
      <c r="W738"/>
      <c r="X738"/>
      <c r="Y738"/>
      <c r="Z738"/>
    </row>
    <row r="739" spans="17:26">
      <c r="Q739"/>
      <c r="R739"/>
      <c r="S739"/>
      <c r="T739"/>
      <c r="U739"/>
      <c r="V739"/>
      <c r="W739"/>
      <c r="X739"/>
      <c r="Y739"/>
      <c r="Z739"/>
    </row>
    <row r="740" spans="17:26">
      <c r="Q740"/>
      <c r="R740"/>
      <c r="S740"/>
      <c r="T740"/>
      <c r="U740"/>
      <c r="V740"/>
      <c r="W740"/>
      <c r="X740"/>
      <c r="Y740"/>
      <c r="Z740"/>
    </row>
    <row r="741" spans="17:26">
      <c r="Q741"/>
      <c r="R741"/>
      <c r="S741"/>
      <c r="T741"/>
      <c r="U741"/>
      <c r="V741"/>
      <c r="W741"/>
      <c r="X741"/>
      <c r="Y741"/>
      <c r="Z741"/>
    </row>
    <row r="742" spans="17:26">
      <c r="Q742"/>
      <c r="R742"/>
      <c r="S742"/>
      <c r="T742"/>
      <c r="U742"/>
      <c r="V742"/>
      <c r="W742"/>
      <c r="X742"/>
      <c r="Y742"/>
      <c r="Z742"/>
    </row>
    <row r="743" spans="17:26">
      <c r="Q743"/>
      <c r="R743"/>
      <c r="S743"/>
      <c r="T743"/>
      <c r="U743"/>
      <c r="V743"/>
      <c r="W743"/>
      <c r="X743"/>
      <c r="Y743"/>
      <c r="Z743"/>
    </row>
    <row r="744" spans="17:26">
      <c r="Q744"/>
      <c r="R744"/>
      <c r="S744"/>
      <c r="T744"/>
      <c r="U744"/>
      <c r="V744"/>
      <c r="W744"/>
      <c r="X744"/>
      <c r="Y744"/>
      <c r="Z744"/>
    </row>
    <row r="745" spans="17:26">
      <c r="Q745"/>
      <c r="R745"/>
      <c r="S745"/>
      <c r="T745"/>
      <c r="U745"/>
      <c r="V745"/>
      <c r="W745"/>
      <c r="X745"/>
      <c r="Y745"/>
      <c r="Z745"/>
    </row>
    <row r="746" spans="17:26">
      <c r="Q746"/>
      <c r="R746"/>
      <c r="S746"/>
      <c r="T746"/>
      <c r="U746"/>
      <c r="V746"/>
      <c r="W746"/>
      <c r="X746"/>
      <c r="Y746"/>
      <c r="Z746"/>
    </row>
    <row r="747" spans="17:26">
      <c r="Q747"/>
      <c r="R747"/>
      <c r="S747"/>
      <c r="T747"/>
      <c r="U747"/>
      <c r="V747"/>
      <c r="W747"/>
      <c r="X747"/>
      <c r="Y747"/>
      <c r="Z747"/>
    </row>
    <row r="748" spans="17:26">
      <c r="Q748"/>
      <c r="R748"/>
      <c r="S748"/>
      <c r="T748"/>
      <c r="U748"/>
      <c r="V748"/>
      <c r="W748"/>
      <c r="X748"/>
      <c r="Y748"/>
      <c r="Z748"/>
    </row>
    <row r="749" spans="17:26">
      <c r="Q749"/>
      <c r="R749"/>
      <c r="S749"/>
      <c r="T749"/>
      <c r="U749"/>
      <c r="V749"/>
      <c r="W749"/>
      <c r="X749"/>
      <c r="Y749"/>
      <c r="Z749"/>
    </row>
    <row r="750" spans="17:26">
      <c r="Q750"/>
      <c r="R750"/>
      <c r="S750"/>
      <c r="T750"/>
      <c r="U750"/>
      <c r="V750"/>
      <c r="W750"/>
      <c r="X750"/>
      <c r="Y750"/>
      <c r="Z750"/>
    </row>
    <row r="751" spans="17:26">
      <c r="Q751"/>
      <c r="R751"/>
      <c r="S751"/>
      <c r="T751"/>
      <c r="U751"/>
      <c r="V751"/>
      <c r="W751"/>
      <c r="X751"/>
      <c r="Y751"/>
      <c r="Z751"/>
    </row>
    <row r="752" spans="17:26">
      <c r="Q752"/>
      <c r="R752"/>
      <c r="S752"/>
      <c r="T752"/>
      <c r="U752"/>
      <c r="V752"/>
      <c r="W752"/>
      <c r="X752"/>
      <c r="Y752"/>
      <c r="Z752"/>
    </row>
    <row r="753" spans="17:26">
      <c r="Q753"/>
      <c r="R753"/>
      <c r="S753"/>
      <c r="T753"/>
      <c r="U753"/>
      <c r="V753"/>
      <c r="W753"/>
      <c r="X753"/>
      <c r="Y753"/>
      <c r="Z753"/>
    </row>
    <row r="754" spans="17:26">
      <c r="Q754"/>
      <c r="R754"/>
      <c r="S754"/>
      <c r="T754"/>
      <c r="U754"/>
      <c r="V754"/>
      <c r="W754"/>
      <c r="X754"/>
      <c r="Y754"/>
      <c r="Z754"/>
    </row>
    <row r="755" spans="17:26">
      <c r="Q755"/>
      <c r="R755"/>
      <c r="S755"/>
      <c r="T755"/>
      <c r="U755"/>
      <c r="V755"/>
      <c r="W755"/>
      <c r="X755"/>
      <c r="Y755"/>
      <c r="Z755"/>
    </row>
    <row r="756" spans="17:26">
      <c r="Q756"/>
      <c r="R756"/>
      <c r="S756"/>
      <c r="T756"/>
      <c r="U756"/>
      <c r="V756"/>
      <c r="W756"/>
      <c r="X756"/>
      <c r="Y756"/>
      <c r="Z756"/>
    </row>
    <row r="757" spans="17:26">
      <c r="Q757"/>
      <c r="R757"/>
      <c r="S757"/>
      <c r="T757"/>
      <c r="U757"/>
      <c r="V757"/>
      <c r="W757"/>
      <c r="X757"/>
      <c r="Y757"/>
      <c r="Z757"/>
    </row>
    <row r="758" spans="17:26">
      <c r="Q758"/>
      <c r="R758"/>
      <c r="S758"/>
      <c r="T758"/>
      <c r="U758"/>
      <c r="V758"/>
      <c r="W758"/>
      <c r="X758"/>
      <c r="Y758"/>
      <c r="Z758"/>
    </row>
    <row r="759" spans="17:26">
      <c r="Q759"/>
      <c r="R759"/>
      <c r="S759"/>
      <c r="T759"/>
      <c r="U759"/>
      <c r="V759"/>
      <c r="W759"/>
      <c r="X759"/>
      <c r="Y759"/>
      <c r="Z759"/>
    </row>
    <row r="760" spans="17:26">
      <c r="Q760"/>
      <c r="R760"/>
      <c r="S760"/>
      <c r="T760"/>
      <c r="U760"/>
      <c r="V760"/>
      <c r="W760"/>
      <c r="X760"/>
      <c r="Y760"/>
      <c r="Z760"/>
    </row>
    <row r="761" spans="17:26">
      <c r="Q761"/>
      <c r="R761"/>
      <c r="S761"/>
      <c r="T761"/>
      <c r="U761"/>
      <c r="V761"/>
      <c r="W761"/>
      <c r="X761"/>
      <c r="Y761"/>
      <c r="Z761"/>
    </row>
    <row r="762" spans="17:26">
      <c r="Q762"/>
      <c r="R762"/>
      <c r="S762"/>
      <c r="T762"/>
      <c r="U762"/>
      <c r="V762"/>
      <c r="W762"/>
      <c r="X762"/>
      <c r="Y762"/>
      <c r="Z762"/>
    </row>
    <row r="763" spans="17:26">
      <c r="Q763"/>
      <c r="R763"/>
      <c r="S763"/>
      <c r="T763"/>
      <c r="U763"/>
      <c r="V763"/>
      <c r="W763"/>
      <c r="X763"/>
      <c r="Y763"/>
      <c r="Z763"/>
    </row>
    <row r="764" spans="17:26">
      <c r="Q764"/>
      <c r="R764"/>
      <c r="S764"/>
      <c r="T764"/>
      <c r="U764"/>
      <c r="V764"/>
      <c r="W764"/>
      <c r="X764"/>
      <c r="Y764"/>
      <c r="Z764"/>
    </row>
    <row r="765" spans="17:26">
      <c r="Q765"/>
      <c r="R765"/>
      <c r="S765"/>
      <c r="T765"/>
      <c r="U765"/>
      <c r="V765"/>
      <c r="W765"/>
      <c r="X765"/>
      <c r="Y765"/>
      <c r="Z765"/>
    </row>
    <row r="766" spans="17:26">
      <c r="Q766"/>
      <c r="R766"/>
      <c r="S766"/>
      <c r="T766"/>
      <c r="U766"/>
      <c r="V766"/>
      <c r="W766"/>
      <c r="X766"/>
      <c r="Y766"/>
      <c r="Z766"/>
    </row>
    <row r="767" spans="17:26">
      <c r="Q767"/>
      <c r="R767"/>
      <c r="S767"/>
      <c r="T767"/>
      <c r="U767"/>
      <c r="V767"/>
      <c r="W767"/>
      <c r="X767"/>
      <c r="Y767"/>
      <c r="Z767"/>
    </row>
    <row r="768" spans="17:26">
      <c r="Q768"/>
      <c r="R768"/>
      <c r="S768"/>
      <c r="T768"/>
      <c r="U768"/>
      <c r="V768"/>
      <c r="W768"/>
      <c r="X768"/>
      <c r="Y768"/>
      <c r="Z768"/>
    </row>
    <row r="769" spans="17:26">
      <c r="Q769"/>
      <c r="R769"/>
      <c r="S769"/>
      <c r="T769"/>
      <c r="U769"/>
      <c r="V769"/>
      <c r="W769"/>
      <c r="X769"/>
      <c r="Y769"/>
      <c r="Z769"/>
    </row>
    <row r="770" spans="17:26">
      <c r="Q770"/>
      <c r="R770"/>
      <c r="S770"/>
      <c r="T770"/>
      <c r="U770"/>
      <c r="V770"/>
      <c r="W770"/>
      <c r="X770"/>
      <c r="Y770"/>
      <c r="Z770"/>
    </row>
    <row r="771" spans="17:26">
      <c r="Q771"/>
      <c r="R771"/>
      <c r="S771"/>
      <c r="T771"/>
      <c r="U771"/>
      <c r="V771"/>
      <c r="W771"/>
      <c r="X771"/>
      <c r="Y771"/>
      <c r="Z771"/>
    </row>
    <row r="772" spans="17:26">
      <c r="Q772"/>
      <c r="R772"/>
      <c r="S772"/>
      <c r="T772"/>
      <c r="U772"/>
      <c r="V772"/>
      <c r="W772"/>
      <c r="X772"/>
      <c r="Y772"/>
      <c r="Z772"/>
    </row>
    <row r="773" spans="17:26">
      <c r="Q773"/>
      <c r="R773"/>
      <c r="S773"/>
      <c r="T773"/>
      <c r="U773"/>
      <c r="V773"/>
      <c r="W773"/>
      <c r="X773"/>
      <c r="Y773"/>
      <c r="Z773"/>
    </row>
    <row r="774" spans="17:26">
      <c r="Q774"/>
      <c r="R774"/>
      <c r="S774"/>
      <c r="T774"/>
      <c r="U774"/>
      <c r="V774"/>
      <c r="W774"/>
      <c r="X774"/>
      <c r="Y774"/>
      <c r="Z774"/>
    </row>
    <row r="775" spans="17:26">
      <c r="Q775"/>
      <c r="R775"/>
      <c r="S775"/>
      <c r="T775"/>
      <c r="U775"/>
      <c r="V775"/>
      <c r="W775"/>
      <c r="X775"/>
      <c r="Y775"/>
      <c r="Z775"/>
    </row>
    <row r="776" spans="17:26">
      <c r="Q776"/>
      <c r="R776"/>
      <c r="S776"/>
      <c r="T776"/>
      <c r="U776"/>
      <c r="V776"/>
      <c r="W776"/>
      <c r="X776"/>
      <c r="Y776"/>
      <c r="Z776"/>
    </row>
    <row r="777" spans="17:26">
      <c r="Q777"/>
      <c r="R777"/>
      <c r="S777"/>
      <c r="T777"/>
      <c r="U777"/>
      <c r="V777"/>
      <c r="W777"/>
      <c r="X777"/>
      <c r="Y777"/>
      <c r="Z777"/>
    </row>
    <row r="778" spans="17:26">
      <c r="Q778"/>
      <c r="R778"/>
      <c r="S778"/>
      <c r="T778"/>
      <c r="U778"/>
      <c r="V778"/>
      <c r="W778"/>
      <c r="X778"/>
      <c r="Y778"/>
      <c r="Z778"/>
    </row>
    <row r="779" spans="17:26">
      <c r="Q779"/>
      <c r="R779"/>
      <c r="S779"/>
      <c r="T779"/>
      <c r="U779"/>
      <c r="V779"/>
      <c r="W779"/>
      <c r="X779"/>
      <c r="Y779"/>
      <c r="Z779"/>
    </row>
    <row r="780" spans="17:26">
      <c r="Q780"/>
      <c r="R780"/>
      <c r="S780"/>
      <c r="T780"/>
      <c r="U780"/>
      <c r="V780"/>
      <c r="W780"/>
      <c r="X780"/>
      <c r="Y780"/>
      <c r="Z780"/>
    </row>
    <row r="781" spans="17:26">
      <c r="Q781"/>
      <c r="R781"/>
      <c r="S781"/>
      <c r="T781"/>
      <c r="U781"/>
      <c r="V781"/>
      <c r="W781"/>
      <c r="X781"/>
      <c r="Y781"/>
      <c r="Z781"/>
    </row>
    <row r="782" spans="17:26">
      <c r="Q782"/>
      <c r="R782"/>
      <c r="S782"/>
      <c r="T782"/>
      <c r="U782"/>
      <c r="V782"/>
      <c r="W782"/>
      <c r="X782"/>
      <c r="Y782"/>
      <c r="Z782"/>
    </row>
    <row r="783" spans="17:26">
      <c r="Q783"/>
      <c r="R783"/>
      <c r="S783"/>
      <c r="T783"/>
      <c r="U783"/>
      <c r="V783"/>
      <c r="W783"/>
      <c r="X783"/>
      <c r="Y783"/>
      <c r="Z783"/>
    </row>
    <row r="784" spans="17:26">
      <c r="Q784"/>
      <c r="R784"/>
      <c r="S784"/>
      <c r="T784"/>
      <c r="U784"/>
      <c r="V784"/>
      <c r="W784"/>
      <c r="X784"/>
      <c r="Y784"/>
      <c r="Z784"/>
    </row>
    <row r="785" spans="17:26">
      <c r="Q785"/>
      <c r="R785"/>
      <c r="S785"/>
      <c r="T785"/>
      <c r="U785"/>
      <c r="V785"/>
      <c r="W785"/>
      <c r="X785"/>
      <c r="Y785"/>
      <c r="Z785"/>
    </row>
    <row r="786" spans="17:26">
      <c r="Q786"/>
      <c r="R786"/>
      <c r="S786"/>
      <c r="T786"/>
      <c r="U786"/>
      <c r="V786"/>
      <c r="W786"/>
      <c r="X786"/>
      <c r="Y786"/>
      <c r="Z786"/>
    </row>
    <row r="787" spans="17:26">
      <c r="Q787"/>
      <c r="R787"/>
      <c r="S787"/>
      <c r="T787"/>
      <c r="U787"/>
      <c r="V787"/>
      <c r="W787"/>
      <c r="X787"/>
      <c r="Y787"/>
      <c r="Z787"/>
    </row>
    <row r="788" spans="17:26">
      <c r="Q788"/>
      <c r="R788"/>
      <c r="S788"/>
      <c r="T788"/>
      <c r="U788"/>
      <c r="V788"/>
      <c r="W788"/>
      <c r="X788"/>
      <c r="Y788"/>
      <c r="Z788"/>
    </row>
    <row r="789" spans="17:26">
      <c r="Q789"/>
      <c r="R789"/>
      <c r="S789"/>
      <c r="T789"/>
      <c r="U789"/>
      <c r="V789"/>
      <c r="W789"/>
      <c r="X789"/>
      <c r="Y789"/>
      <c r="Z789"/>
    </row>
    <row r="790" spans="17:26">
      <c r="Q790"/>
      <c r="R790"/>
      <c r="S790"/>
      <c r="T790"/>
      <c r="U790"/>
      <c r="V790"/>
      <c r="W790"/>
      <c r="X790"/>
      <c r="Y790"/>
      <c r="Z790"/>
    </row>
    <row r="791" spans="17:26">
      <c r="Q791"/>
      <c r="R791"/>
      <c r="S791"/>
      <c r="T791"/>
      <c r="U791"/>
      <c r="V791"/>
      <c r="W791"/>
      <c r="X791"/>
      <c r="Y791"/>
      <c r="Z791"/>
    </row>
    <row r="792" spans="17:26">
      <c r="Q792"/>
      <c r="R792"/>
      <c r="S792"/>
      <c r="T792"/>
      <c r="U792"/>
      <c r="V792"/>
      <c r="W792"/>
      <c r="X792"/>
      <c r="Y792"/>
      <c r="Z792"/>
    </row>
    <row r="793" spans="17:26">
      <c r="Q793"/>
      <c r="R793"/>
      <c r="S793"/>
      <c r="T793"/>
      <c r="U793"/>
      <c r="V793"/>
      <c r="W793"/>
      <c r="X793"/>
      <c r="Y793"/>
      <c r="Z793"/>
    </row>
    <row r="794" spans="17:26">
      <c r="Q794"/>
      <c r="R794"/>
      <c r="S794"/>
      <c r="T794"/>
      <c r="U794"/>
      <c r="V794"/>
      <c r="W794"/>
      <c r="X794"/>
      <c r="Y794"/>
      <c r="Z794"/>
    </row>
    <row r="795" spans="17:26">
      <c r="Q795"/>
      <c r="R795"/>
      <c r="S795"/>
      <c r="T795"/>
      <c r="U795"/>
      <c r="V795"/>
      <c r="W795"/>
      <c r="X795"/>
      <c r="Y795"/>
      <c r="Z795"/>
    </row>
    <row r="796" spans="17:26">
      <c r="Q796"/>
      <c r="R796"/>
      <c r="S796"/>
      <c r="T796"/>
      <c r="U796"/>
      <c r="V796"/>
      <c r="W796"/>
      <c r="X796"/>
      <c r="Y796"/>
      <c r="Z796"/>
    </row>
    <row r="797" spans="17:26">
      <c r="Q797"/>
      <c r="R797"/>
      <c r="S797"/>
      <c r="T797"/>
      <c r="U797"/>
      <c r="V797"/>
      <c r="W797"/>
      <c r="X797"/>
      <c r="Y797"/>
      <c r="Z797"/>
    </row>
    <row r="798" spans="17:26">
      <c r="Q798"/>
      <c r="R798"/>
      <c r="S798"/>
      <c r="T798"/>
      <c r="U798"/>
      <c r="V798"/>
      <c r="W798"/>
      <c r="X798"/>
      <c r="Y798"/>
      <c r="Z798"/>
    </row>
    <row r="799" spans="17:26">
      <c r="Q799"/>
      <c r="R799"/>
      <c r="S799"/>
      <c r="T799"/>
      <c r="U799"/>
      <c r="V799"/>
      <c r="W799"/>
      <c r="X799"/>
      <c r="Y799"/>
      <c r="Z799"/>
    </row>
    <row r="800" spans="17:26">
      <c r="Q800"/>
      <c r="R800"/>
      <c r="S800"/>
      <c r="T800"/>
      <c r="U800"/>
      <c r="V800"/>
      <c r="W800"/>
      <c r="X800"/>
      <c r="Y800"/>
      <c r="Z800"/>
    </row>
    <row r="801" spans="17:26">
      <c r="Q801"/>
      <c r="R801"/>
      <c r="S801"/>
      <c r="T801"/>
      <c r="U801"/>
      <c r="V801"/>
      <c r="W801"/>
      <c r="X801"/>
      <c r="Y801"/>
      <c r="Z801"/>
    </row>
    <row r="802" spans="17:26">
      <c r="Q802"/>
      <c r="R802"/>
      <c r="S802"/>
      <c r="T802"/>
      <c r="U802"/>
      <c r="V802"/>
      <c r="W802"/>
      <c r="X802"/>
      <c r="Y802"/>
      <c r="Z802"/>
    </row>
    <row r="803" spans="17:26">
      <c r="Q803"/>
      <c r="R803"/>
      <c r="S803"/>
      <c r="T803"/>
      <c r="U803"/>
      <c r="V803"/>
      <c r="W803"/>
      <c r="X803"/>
      <c r="Y803"/>
      <c r="Z803"/>
    </row>
    <row r="804" spans="17:26">
      <c r="Q804" s="23"/>
      <c r="R804" s="1"/>
      <c r="S804" s="1"/>
      <c r="T804" s="1"/>
      <c r="U804" s="1"/>
      <c r="V804" s="1"/>
      <c r="W804" s="1"/>
      <c r="X804" s="1"/>
      <c r="Y804" s="1"/>
      <c r="Z804" s="1"/>
    </row>
    <row r="805" spans="17:26">
      <c r="Q805" s="23"/>
      <c r="R805" s="1"/>
      <c r="S805" s="1"/>
      <c r="T805" s="1"/>
      <c r="U805" s="1"/>
      <c r="V805" s="1"/>
      <c r="W805" s="1"/>
      <c r="X805" s="1"/>
      <c r="Y805" s="1"/>
      <c r="Z805" s="1"/>
    </row>
    <row r="806" spans="17:26">
      <c r="Q806" s="23"/>
      <c r="R806" s="1"/>
      <c r="S806" s="1"/>
      <c r="T806" s="1"/>
      <c r="U806" s="1"/>
      <c r="V806" s="1"/>
      <c r="W806" s="1"/>
      <c r="X806" s="1"/>
      <c r="Y806" s="1"/>
      <c r="Z806" s="1"/>
    </row>
    <row r="807" spans="17:26">
      <c r="Q807" s="23"/>
      <c r="R807" s="1"/>
      <c r="S807" s="1"/>
      <c r="T807" s="1"/>
      <c r="U807" s="1"/>
      <c r="V807" s="1"/>
      <c r="W807" s="1"/>
      <c r="X807" s="1"/>
      <c r="Y807" s="1"/>
      <c r="Z807" s="1"/>
    </row>
    <row r="808" spans="17:26">
      <c r="Q808" s="23"/>
      <c r="R808" s="1"/>
      <c r="S808" s="1"/>
      <c r="T808" s="1"/>
      <c r="U808" s="1"/>
      <c r="V808" s="1"/>
      <c r="W808" s="1"/>
      <c r="X808" s="1"/>
      <c r="Y808" s="1"/>
      <c r="Z808" s="1"/>
    </row>
    <row r="809" spans="17:26">
      <c r="Q809" s="23"/>
      <c r="R809" s="1"/>
      <c r="S809" s="1"/>
      <c r="T809" s="1"/>
      <c r="U809" s="1"/>
      <c r="V809" s="1"/>
      <c r="W809" s="1"/>
      <c r="X809" s="1"/>
      <c r="Y809" s="1"/>
      <c r="Z809" s="1"/>
    </row>
    <row r="810" spans="17:26">
      <c r="Q810" s="23"/>
      <c r="R810" s="1"/>
      <c r="S810" s="1"/>
      <c r="T810" s="1"/>
      <c r="U810" s="1"/>
      <c r="V810" s="1"/>
      <c r="W810" s="1"/>
      <c r="X810" s="1"/>
      <c r="Y810" s="1"/>
      <c r="Z810" s="1"/>
    </row>
    <row r="811" spans="17:26">
      <c r="Q811" s="23"/>
      <c r="R811" s="1"/>
      <c r="S811" s="1"/>
      <c r="T811" s="1"/>
      <c r="U811" s="1"/>
      <c r="V811" s="1"/>
      <c r="W811" s="1"/>
      <c r="X811" s="1"/>
      <c r="Y811" s="1"/>
      <c r="Z811" s="1"/>
    </row>
    <row r="812" spans="17:26">
      <c r="Q812" s="23"/>
      <c r="R812" s="1"/>
      <c r="S812" s="1"/>
      <c r="T812" s="1"/>
      <c r="U812" s="1"/>
      <c r="V812" s="1"/>
      <c r="W812" s="1"/>
      <c r="X812" s="1"/>
      <c r="Y812" s="1"/>
      <c r="Z812" s="1"/>
    </row>
    <row r="813" spans="17:26">
      <c r="Q813" s="23"/>
      <c r="R813" s="1"/>
      <c r="S813" s="1"/>
      <c r="T813" s="1"/>
      <c r="U813" s="1"/>
      <c r="V813" s="1"/>
      <c r="W813" s="1"/>
      <c r="X813" s="1"/>
      <c r="Y813" s="1"/>
      <c r="Z813" s="1"/>
    </row>
    <row r="814" spans="17:26">
      <c r="Q814" s="23"/>
      <c r="R814" s="1"/>
      <c r="S814" s="1"/>
      <c r="T814" s="1"/>
      <c r="U814" s="1"/>
      <c r="V814" s="1"/>
      <c r="W814" s="1"/>
      <c r="X814" s="1"/>
      <c r="Y814" s="1"/>
      <c r="Z814" s="1"/>
    </row>
    <row r="815" spans="17:26">
      <c r="Q815" s="23"/>
      <c r="R815" s="1"/>
      <c r="S815" s="1"/>
      <c r="T815" s="1"/>
      <c r="U815" s="1"/>
      <c r="V815" s="1"/>
      <c r="W815" s="1"/>
      <c r="X815" s="1"/>
      <c r="Y815" s="1"/>
      <c r="Z815" s="1"/>
    </row>
    <row r="816" spans="17:26">
      <c r="Q816" s="23"/>
      <c r="R816" s="1"/>
      <c r="S816" s="1"/>
      <c r="T816" s="1"/>
      <c r="U816" s="1"/>
      <c r="V816" s="1"/>
      <c r="W816" s="1"/>
      <c r="X816" s="1"/>
      <c r="Y816" s="1"/>
      <c r="Z816" s="1"/>
    </row>
    <row r="817" spans="17:26">
      <c r="Q817" s="23"/>
      <c r="R817" s="1"/>
      <c r="S817" s="1"/>
      <c r="T817" s="1"/>
      <c r="U817" s="1"/>
      <c r="V817" s="1"/>
      <c r="W817" s="1"/>
      <c r="X817" s="1"/>
      <c r="Y817" s="1"/>
      <c r="Z817" s="1"/>
    </row>
    <row r="818" spans="17:26">
      <c r="Q818" s="23"/>
      <c r="R818" s="1"/>
      <c r="S818" s="1"/>
      <c r="T818" s="1"/>
      <c r="U818" s="1"/>
      <c r="V818" s="1"/>
      <c r="W818" s="1"/>
      <c r="X818" s="1"/>
      <c r="Y818" s="1"/>
      <c r="Z818" s="1"/>
    </row>
    <row r="819" spans="17:26">
      <c r="Q819" s="23"/>
      <c r="R819" s="1"/>
      <c r="S819" s="1"/>
      <c r="T819" s="1"/>
      <c r="U819" s="1"/>
      <c r="V819" s="1"/>
      <c r="W819" s="1"/>
      <c r="X819" s="1"/>
      <c r="Y819" s="1"/>
      <c r="Z819" s="1"/>
    </row>
    <row r="820" spans="17:26">
      <c r="Q820" s="23"/>
      <c r="R820" s="1"/>
      <c r="S820" s="1"/>
      <c r="T820" s="1"/>
      <c r="U820" s="1"/>
      <c r="V820" s="1"/>
      <c r="W820" s="1"/>
      <c r="X820" s="1"/>
      <c r="Y820" s="1"/>
      <c r="Z820" s="1"/>
    </row>
    <row r="821" spans="17:26">
      <c r="Q821" s="23"/>
      <c r="R821" s="1"/>
      <c r="S821" s="1"/>
      <c r="T821" s="1"/>
      <c r="U821" s="1"/>
      <c r="V821" s="1"/>
      <c r="W821" s="1"/>
      <c r="X821" s="1"/>
      <c r="Y821" s="1"/>
      <c r="Z821" s="1"/>
    </row>
    <row r="822" spans="17:26">
      <c r="Q822" s="23"/>
      <c r="R822" s="1"/>
      <c r="S822" s="1"/>
      <c r="T822" s="1"/>
      <c r="U822" s="1"/>
      <c r="V822" s="1"/>
      <c r="W822" s="1"/>
      <c r="X822" s="1"/>
      <c r="Y822" s="1"/>
      <c r="Z822" s="1"/>
    </row>
    <row r="823" spans="17:26">
      <c r="Q823" s="23"/>
      <c r="R823" s="1"/>
      <c r="S823" s="1"/>
      <c r="T823" s="1"/>
      <c r="U823" s="1"/>
      <c r="V823" s="1"/>
      <c r="W823" s="1"/>
      <c r="X823" s="1"/>
      <c r="Y823" s="1"/>
      <c r="Z823" s="1"/>
    </row>
    <row r="824" spans="17:26">
      <c r="Q824" s="23"/>
      <c r="R824" s="1"/>
      <c r="S824" s="1"/>
      <c r="T824" s="1"/>
      <c r="U824" s="1"/>
      <c r="V824" s="1"/>
      <c r="W824" s="1"/>
      <c r="X824" s="1"/>
      <c r="Y824" s="1"/>
      <c r="Z824" s="1"/>
    </row>
    <row r="825" spans="17:26">
      <c r="Q825" s="23"/>
      <c r="R825" s="1"/>
      <c r="S825" s="1"/>
      <c r="T825" s="1"/>
      <c r="U825" s="1"/>
      <c r="V825" s="1"/>
      <c r="W825" s="1"/>
      <c r="X825" s="1"/>
      <c r="Y825" s="1"/>
      <c r="Z825" s="1"/>
    </row>
    <row r="826" spans="17:26">
      <c r="Q826" s="23"/>
      <c r="R826" s="1"/>
      <c r="S826" s="1"/>
      <c r="T826" s="1"/>
      <c r="U826" s="1"/>
      <c r="V826" s="1"/>
      <c r="W826" s="1"/>
      <c r="X826" s="1"/>
      <c r="Y826" s="1"/>
      <c r="Z826" s="1"/>
    </row>
    <row r="827" spans="17:26">
      <c r="Q827" s="23"/>
      <c r="R827" s="1"/>
      <c r="S827" s="1"/>
      <c r="T827" s="1"/>
      <c r="U827" s="1"/>
      <c r="V827" s="1"/>
      <c r="W827" s="1"/>
      <c r="X827" s="1"/>
      <c r="Y827" s="1"/>
      <c r="Z827" s="1"/>
    </row>
    <row r="828" spans="17:26">
      <c r="Q828" s="23"/>
      <c r="R828" s="1"/>
      <c r="S828" s="1"/>
      <c r="T828" s="1"/>
      <c r="U828" s="1"/>
      <c r="V828" s="1"/>
      <c r="W828" s="1"/>
      <c r="X828" s="1"/>
      <c r="Y828" s="1"/>
      <c r="Z828" s="1"/>
    </row>
    <row r="829" spans="17:26">
      <c r="Q829" s="23"/>
      <c r="R829" s="1"/>
      <c r="S829" s="1"/>
      <c r="T829" s="1"/>
      <c r="U829" s="1"/>
      <c r="V829" s="1"/>
      <c r="W829" s="1"/>
      <c r="X829" s="1"/>
      <c r="Y829" s="1"/>
      <c r="Z829" s="1"/>
    </row>
    <row r="830" spans="17:26">
      <c r="Q830" s="23"/>
      <c r="R830" s="1"/>
      <c r="S830" s="1"/>
      <c r="T830" s="1"/>
      <c r="U830" s="1"/>
      <c r="V830" s="1"/>
      <c r="W830" s="1"/>
      <c r="X830" s="1"/>
      <c r="Y830" s="1"/>
      <c r="Z830" s="1"/>
    </row>
    <row r="831" spans="17:26">
      <c r="Q831" s="23"/>
      <c r="R831" s="1"/>
      <c r="S831" s="1"/>
      <c r="T831" s="1"/>
      <c r="U831" s="1"/>
      <c r="V831" s="1"/>
      <c r="W831" s="1"/>
      <c r="X831" s="1"/>
      <c r="Y831" s="1"/>
      <c r="Z831" s="1"/>
    </row>
    <row r="832" spans="17:26">
      <c r="Q832" s="23"/>
      <c r="R832" s="1"/>
      <c r="S832" s="1"/>
      <c r="T832" s="1"/>
      <c r="U832" s="1"/>
      <c r="V832" s="1"/>
      <c r="W832" s="1"/>
      <c r="X832" s="1"/>
      <c r="Y832" s="1"/>
      <c r="Z832" s="1"/>
    </row>
    <row r="833" spans="17:26">
      <c r="Q833" s="23"/>
      <c r="R833" s="1"/>
      <c r="S833" s="1"/>
      <c r="T833" s="1"/>
      <c r="U833" s="1"/>
      <c r="V833" s="1"/>
      <c r="W833" s="1"/>
      <c r="X833" s="1"/>
      <c r="Y833" s="1"/>
      <c r="Z833" s="1"/>
    </row>
    <row r="834" spans="17:26">
      <c r="Q834" s="23"/>
      <c r="R834" s="1"/>
      <c r="S834" s="1"/>
      <c r="T834" s="1"/>
      <c r="U834" s="1"/>
      <c r="V834" s="1"/>
      <c r="W834" s="1"/>
      <c r="X834" s="1"/>
      <c r="Y834" s="1"/>
      <c r="Z834" s="1"/>
    </row>
    <row r="835" spans="17:26">
      <c r="Q835" s="23"/>
      <c r="R835" s="1"/>
      <c r="S835" s="1"/>
      <c r="T835" s="1"/>
      <c r="U835" s="1"/>
      <c r="V835" s="1"/>
      <c r="W835" s="1"/>
      <c r="X835" s="1"/>
      <c r="Y835" s="1"/>
      <c r="Z835" s="1"/>
    </row>
    <row r="836" spans="17:26">
      <c r="Q836" s="23"/>
      <c r="R836" s="1"/>
      <c r="S836" s="1"/>
      <c r="T836" s="1"/>
      <c r="U836" s="1"/>
      <c r="V836" s="1"/>
      <c r="W836" s="1"/>
      <c r="X836" s="1"/>
      <c r="Y836" s="1"/>
      <c r="Z836" s="1"/>
    </row>
    <row r="837" spans="17:26">
      <c r="Q837" s="23"/>
      <c r="R837" s="1"/>
      <c r="S837" s="1"/>
      <c r="T837" s="1"/>
      <c r="U837" s="1"/>
      <c r="V837" s="1"/>
      <c r="W837" s="1"/>
      <c r="X837" s="1"/>
      <c r="Y837" s="1"/>
      <c r="Z837" s="1"/>
    </row>
    <row r="838" spans="17:26">
      <c r="Q838" s="23"/>
      <c r="R838" s="1"/>
      <c r="S838" s="1"/>
      <c r="T838" s="1"/>
      <c r="U838" s="1"/>
      <c r="V838" s="1"/>
      <c r="W838" s="1"/>
      <c r="X838" s="1"/>
      <c r="Y838" s="1"/>
      <c r="Z838" s="1"/>
    </row>
    <row r="839" spans="17:26">
      <c r="Q839" s="23"/>
      <c r="R839" s="1"/>
      <c r="S839" s="1"/>
      <c r="T839" s="1"/>
      <c r="U839" s="1"/>
      <c r="V839" s="1"/>
      <c r="W839" s="1"/>
      <c r="X839" s="1"/>
      <c r="Y839" s="1"/>
      <c r="Z839" s="1"/>
    </row>
    <row r="840" spans="17:26">
      <c r="Q840" s="23"/>
      <c r="R840" s="1"/>
      <c r="S840" s="1"/>
      <c r="T840" s="1"/>
      <c r="U840" s="1"/>
      <c r="V840" s="1"/>
      <c r="W840" s="1"/>
      <c r="X840" s="1"/>
      <c r="Y840" s="1"/>
      <c r="Z840" s="1"/>
    </row>
    <row r="841" spans="17:26">
      <c r="Q841" s="23"/>
      <c r="R841" s="1"/>
      <c r="S841" s="1"/>
      <c r="T841" s="1"/>
      <c r="U841" s="1"/>
      <c r="V841" s="1"/>
      <c r="W841" s="1"/>
      <c r="X841" s="1"/>
      <c r="Y841" s="1"/>
      <c r="Z841" s="1"/>
    </row>
    <row r="842" spans="17:26">
      <c r="Q842" s="23"/>
      <c r="R842" s="1"/>
      <c r="S842" s="1"/>
      <c r="T842" s="1"/>
      <c r="U842" s="1"/>
      <c r="V842" s="1"/>
      <c r="W842" s="1"/>
      <c r="X842" s="1"/>
      <c r="Y842" s="1"/>
      <c r="Z842" s="1"/>
    </row>
    <row r="843" spans="17:26">
      <c r="Q843" s="23"/>
      <c r="R843" s="1"/>
      <c r="S843" s="1"/>
      <c r="T843" s="1"/>
      <c r="U843" s="1"/>
      <c r="V843" s="1"/>
      <c r="W843" s="1"/>
      <c r="X843" s="1"/>
      <c r="Y843" s="1"/>
      <c r="Z843" s="1"/>
    </row>
    <row r="844" spans="17:26">
      <c r="Q844" s="23"/>
      <c r="R844" s="1"/>
      <c r="S844" s="1"/>
      <c r="T844" s="1"/>
      <c r="U844" s="1"/>
      <c r="V844" s="1"/>
      <c r="W844" s="1"/>
      <c r="X844" s="1"/>
      <c r="Y844" s="1"/>
      <c r="Z844" s="1"/>
    </row>
    <row r="845" spans="17:26">
      <c r="Q845" s="23"/>
      <c r="R845" s="1"/>
      <c r="S845" s="1"/>
      <c r="T845" s="1"/>
      <c r="U845" s="1"/>
      <c r="V845" s="1"/>
      <c r="W845" s="1"/>
      <c r="X845" s="1"/>
      <c r="Y845" s="1"/>
      <c r="Z845" s="1"/>
    </row>
    <row r="846" spans="17:26">
      <c r="Q846" s="23"/>
      <c r="R846" s="1"/>
      <c r="S846" s="1"/>
      <c r="T846" s="1"/>
      <c r="U846" s="1"/>
      <c r="V846" s="1"/>
      <c r="W846" s="1"/>
      <c r="X846" s="1"/>
      <c r="Y846" s="1"/>
      <c r="Z846" s="1"/>
    </row>
    <row r="847" spans="17:26">
      <c r="Q847" s="23"/>
      <c r="R847" s="1"/>
      <c r="S847" s="1"/>
      <c r="T847" s="1"/>
      <c r="U847" s="1"/>
      <c r="V847" s="1"/>
      <c r="W847" s="1"/>
      <c r="X847" s="1"/>
      <c r="Y847" s="1"/>
      <c r="Z847" s="1"/>
    </row>
    <row r="848" spans="17:26">
      <c r="Q848" s="23"/>
      <c r="R848" s="1"/>
      <c r="S848" s="1"/>
      <c r="T848" s="1"/>
      <c r="U848" s="1"/>
      <c r="V848" s="1"/>
      <c r="W848" s="1"/>
      <c r="X848" s="1"/>
      <c r="Y848" s="1"/>
      <c r="Z848" s="1"/>
    </row>
    <row r="849" spans="17:26">
      <c r="Q849" s="23"/>
      <c r="R849" s="1"/>
      <c r="S849" s="1"/>
      <c r="T849" s="1"/>
      <c r="U849" s="1"/>
      <c r="V849" s="1"/>
      <c r="W849" s="1"/>
      <c r="X849" s="1"/>
      <c r="Y849" s="1"/>
      <c r="Z849" s="1"/>
    </row>
    <row r="850" spans="17:26">
      <c r="Q850" s="23"/>
      <c r="R850" s="1"/>
      <c r="S850" s="1"/>
      <c r="T850" s="1"/>
      <c r="U850" s="1"/>
      <c r="V850" s="1"/>
      <c r="W850" s="1"/>
      <c r="X850" s="1"/>
      <c r="Y850" s="1"/>
      <c r="Z850" s="1"/>
    </row>
    <row r="851" spans="17:26">
      <c r="Q851" s="23"/>
      <c r="R851" s="1"/>
      <c r="S851" s="1"/>
      <c r="T851" s="1"/>
      <c r="U851" s="1"/>
      <c r="V851" s="1"/>
      <c r="W851" s="1"/>
      <c r="X851" s="1"/>
      <c r="Y851" s="1"/>
      <c r="Z851" s="1"/>
    </row>
    <row r="852" spans="17:26">
      <c r="Q852" s="23"/>
      <c r="R852" s="1"/>
      <c r="S852" s="1"/>
      <c r="T852" s="1"/>
      <c r="U852" s="1"/>
      <c r="V852" s="1"/>
      <c r="W852" s="1"/>
      <c r="X852" s="1"/>
      <c r="Y852" s="1"/>
      <c r="Z852" s="1"/>
    </row>
    <row r="853" spans="17:26">
      <c r="Q853" s="23"/>
      <c r="R853" s="1"/>
      <c r="S853" s="1"/>
      <c r="T853" s="1"/>
      <c r="U853" s="1"/>
      <c r="V853" s="1"/>
      <c r="W853" s="1"/>
      <c r="X853" s="1"/>
      <c r="Y853" s="1"/>
      <c r="Z853" s="1"/>
    </row>
    <row r="854" spans="17:26">
      <c r="Q854" s="23"/>
      <c r="R854" s="1"/>
      <c r="S854" s="1"/>
      <c r="T854" s="1"/>
      <c r="U854" s="1"/>
      <c r="V854" s="1"/>
      <c r="W854" s="1"/>
      <c r="X854" s="1"/>
      <c r="Y854" s="1"/>
      <c r="Z854" s="1"/>
    </row>
    <row r="855" spans="17:26">
      <c r="Q855" s="23"/>
      <c r="R855" s="1"/>
      <c r="S855" s="1"/>
      <c r="T855" s="1"/>
      <c r="U855" s="1"/>
      <c r="V855" s="1"/>
      <c r="W855" s="1"/>
      <c r="X855" s="1"/>
      <c r="Y855" s="1"/>
      <c r="Z855" s="1"/>
    </row>
    <row r="856" spans="17:26">
      <c r="Q856" s="23"/>
      <c r="R856" s="1"/>
      <c r="S856" s="1"/>
      <c r="T856" s="1"/>
      <c r="U856" s="1"/>
      <c r="V856" s="1"/>
      <c r="W856" s="1"/>
      <c r="X856" s="1"/>
      <c r="Y856" s="1"/>
      <c r="Z856" s="1"/>
    </row>
    <row r="857" spans="17:26">
      <c r="Q857" s="23"/>
      <c r="R857" s="1"/>
      <c r="S857" s="1"/>
      <c r="T857" s="1"/>
      <c r="U857" s="1"/>
      <c r="V857" s="1"/>
      <c r="W857" s="1"/>
      <c r="X857" s="1"/>
      <c r="Y857" s="1"/>
      <c r="Z857" s="1"/>
    </row>
    <row r="858" spans="17:26">
      <c r="Q858" s="23"/>
      <c r="R858" s="1"/>
      <c r="S858" s="1"/>
      <c r="T858" s="1"/>
      <c r="U858" s="1"/>
      <c r="V858" s="1"/>
      <c r="W858" s="1"/>
      <c r="X858" s="1"/>
      <c r="Y858" s="1"/>
      <c r="Z858" s="1"/>
    </row>
    <row r="859" spans="17:26">
      <c r="Q859" s="23"/>
      <c r="R859" s="1"/>
      <c r="S859" s="1"/>
      <c r="T859" s="1"/>
      <c r="U859" s="1"/>
      <c r="V859" s="1"/>
      <c r="W859" s="1"/>
      <c r="X859" s="1"/>
      <c r="Y859" s="1"/>
      <c r="Z859" s="1"/>
    </row>
    <row r="860" spans="17:26">
      <c r="Q860" s="23"/>
      <c r="R860" s="1"/>
      <c r="S860" s="1"/>
      <c r="T860" s="1"/>
      <c r="U860" s="1"/>
      <c r="V860" s="1"/>
      <c r="W860" s="1"/>
      <c r="X860" s="1"/>
      <c r="Y860" s="1"/>
      <c r="Z860" s="1"/>
    </row>
    <row r="861" spans="17:26">
      <c r="Q861" s="23"/>
      <c r="R861" s="1"/>
      <c r="S861" s="1"/>
      <c r="T861" s="1"/>
      <c r="U861" s="1"/>
      <c r="V861" s="1"/>
      <c r="W861" s="1"/>
      <c r="X861" s="1"/>
      <c r="Y861" s="1"/>
      <c r="Z861" s="1"/>
    </row>
    <row r="862" spans="17:26">
      <c r="Q862" s="23"/>
      <c r="R862" s="1"/>
      <c r="S862" s="1"/>
      <c r="T862" s="1"/>
      <c r="U862" s="1"/>
      <c r="V862" s="1"/>
      <c r="W862" s="1"/>
      <c r="X862" s="1"/>
      <c r="Y862" s="1"/>
      <c r="Z862" s="1"/>
    </row>
    <row r="863" spans="17:26">
      <c r="Q863" s="23"/>
      <c r="R863" s="1"/>
      <c r="S863" s="1"/>
      <c r="T863" s="1"/>
      <c r="U863" s="1"/>
      <c r="V863" s="1"/>
      <c r="W863" s="1"/>
      <c r="X863" s="1"/>
      <c r="Y863" s="1"/>
      <c r="Z863" s="1"/>
    </row>
    <row r="864" spans="17:26">
      <c r="Q864" s="23"/>
      <c r="R864" s="1"/>
      <c r="S864" s="1"/>
      <c r="T864" s="1"/>
      <c r="U864" s="1"/>
      <c r="V864" s="1"/>
      <c r="W864" s="1"/>
      <c r="X864" s="1"/>
      <c r="Y864" s="1"/>
      <c r="Z864" s="1"/>
    </row>
    <row r="865" spans="17:26">
      <c r="Q865" s="23"/>
      <c r="R865" s="1"/>
      <c r="S865" s="1"/>
      <c r="T865" s="1"/>
      <c r="U865" s="1"/>
      <c r="V865" s="1"/>
      <c r="W865" s="1"/>
      <c r="X865" s="1"/>
      <c r="Y865" s="1"/>
      <c r="Z865" s="1"/>
    </row>
    <row r="866" spans="17:26">
      <c r="Q866" s="23"/>
      <c r="R866" s="1"/>
      <c r="S866" s="1"/>
      <c r="T866" s="1"/>
      <c r="U866" s="1"/>
      <c r="V866" s="1"/>
      <c r="W866" s="1"/>
      <c r="X866" s="1"/>
      <c r="Y866" s="1"/>
      <c r="Z866" s="1"/>
    </row>
    <row r="867" spans="17:26">
      <c r="Q867" s="23"/>
      <c r="R867" s="1"/>
      <c r="S867" s="1"/>
      <c r="T867" s="1"/>
      <c r="U867" s="1"/>
      <c r="V867" s="1"/>
      <c r="W867" s="1"/>
      <c r="X867" s="1"/>
      <c r="Y867" s="1"/>
      <c r="Z867" s="1"/>
    </row>
    <row r="868" spans="17:26">
      <c r="Q868" s="23"/>
      <c r="R868" s="1"/>
      <c r="S868" s="1"/>
      <c r="T868" s="1"/>
      <c r="U868" s="1"/>
      <c r="V868" s="1"/>
      <c r="W868" s="1"/>
      <c r="X868" s="1"/>
      <c r="Y868" s="1"/>
      <c r="Z868" s="1"/>
    </row>
    <row r="869" spans="17:26">
      <c r="Q869" s="23"/>
      <c r="R869" s="1"/>
      <c r="S869" s="1"/>
      <c r="T869" s="1"/>
      <c r="U869" s="1"/>
      <c r="V869" s="1"/>
      <c r="W869" s="1"/>
      <c r="X869" s="1"/>
      <c r="Y869" s="1"/>
      <c r="Z869" s="1"/>
    </row>
    <row r="870" spans="17:26">
      <c r="Q870" s="23"/>
      <c r="R870" s="1"/>
      <c r="S870" s="1"/>
      <c r="T870" s="1"/>
      <c r="U870" s="1"/>
      <c r="V870" s="1"/>
      <c r="W870" s="1"/>
      <c r="X870" s="1"/>
      <c r="Y870" s="1"/>
      <c r="Z870" s="1"/>
    </row>
    <row r="871" spans="17:26">
      <c r="Q871" s="23"/>
      <c r="R871" s="1"/>
      <c r="S871" s="1"/>
      <c r="T871" s="1"/>
      <c r="U871" s="1"/>
      <c r="V871" s="1"/>
      <c r="W871" s="1"/>
      <c r="X871" s="1"/>
      <c r="Y871" s="1"/>
      <c r="Z871" s="1"/>
    </row>
    <row r="872" spans="17:26">
      <c r="Q872" s="23"/>
      <c r="R872" s="1"/>
      <c r="S872" s="1"/>
      <c r="T872" s="1"/>
      <c r="U872" s="1"/>
      <c r="V872" s="1"/>
      <c r="W872" s="1"/>
      <c r="X872" s="1"/>
      <c r="Y872" s="1"/>
      <c r="Z872" s="1"/>
    </row>
    <row r="873" spans="17:26">
      <c r="Q873" s="23"/>
      <c r="R873" s="1"/>
      <c r="S873" s="1"/>
      <c r="T873" s="1"/>
      <c r="U873" s="1"/>
      <c r="V873" s="1"/>
      <c r="W873" s="1"/>
      <c r="X873" s="1"/>
      <c r="Y873" s="1"/>
      <c r="Z873" s="1"/>
    </row>
    <row r="874" spans="17:26">
      <c r="Q874" s="23"/>
      <c r="R874" s="1"/>
      <c r="S874" s="1"/>
      <c r="T874" s="1"/>
      <c r="U874" s="1"/>
      <c r="V874" s="1"/>
      <c r="W874" s="1"/>
      <c r="X874" s="1"/>
      <c r="Y874" s="1"/>
      <c r="Z874" s="1"/>
    </row>
    <row r="875" spans="17:26">
      <c r="Q875" s="23"/>
      <c r="R875" s="1"/>
      <c r="S875" s="1"/>
      <c r="T875" s="1"/>
      <c r="U875" s="1"/>
      <c r="V875" s="1"/>
      <c r="W875" s="1"/>
      <c r="X875" s="1"/>
      <c r="Y875" s="1"/>
      <c r="Z875" s="1"/>
    </row>
    <row r="876" spans="17:26">
      <c r="Q876" s="23"/>
      <c r="R876" s="1"/>
      <c r="S876" s="1"/>
      <c r="T876" s="1"/>
      <c r="U876" s="1"/>
      <c r="V876" s="1"/>
      <c r="W876" s="1"/>
      <c r="X876" s="1"/>
      <c r="Y876" s="1"/>
      <c r="Z876" s="1"/>
    </row>
    <row r="877" spans="17:26">
      <c r="Q877" s="23"/>
      <c r="R877" s="1"/>
      <c r="S877" s="1"/>
      <c r="T877" s="1"/>
      <c r="U877" s="1"/>
      <c r="V877" s="1"/>
      <c r="W877" s="1"/>
      <c r="X877" s="1"/>
      <c r="Y877" s="1"/>
      <c r="Z877" s="1"/>
    </row>
    <row r="878" spans="17:26">
      <c r="Q878" s="23"/>
      <c r="R878" s="1"/>
      <c r="S878" s="1"/>
      <c r="T878" s="1"/>
      <c r="U878" s="1"/>
      <c r="V878" s="1"/>
      <c r="W878" s="1"/>
      <c r="X878" s="1"/>
      <c r="Y878" s="1"/>
      <c r="Z878" s="1"/>
    </row>
    <row r="879" spans="17:26">
      <c r="Q879" s="23"/>
      <c r="R879" s="1"/>
      <c r="S879" s="1"/>
      <c r="T879" s="1"/>
      <c r="U879" s="1"/>
      <c r="V879" s="1"/>
      <c r="W879" s="1"/>
      <c r="X879" s="1"/>
      <c r="Y879" s="1"/>
      <c r="Z879" s="1"/>
    </row>
    <row r="880" spans="17:26">
      <c r="Q880" s="23"/>
      <c r="R880" s="1"/>
      <c r="S880" s="1"/>
      <c r="T880" s="1"/>
      <c r="U880" s="1"/>
      <c r="V880" s="1"/>
      <c r="W880" s="1"/>
      <c r="X880" s="1"/>
      <c r="Y880" s="1"/>
      <c r="Z880" s="1"/>
    </row>
    <row r="881" spans="17:26">
      <c r="Q881" s="23"/>
      <c r="R881" s="1"/>
      <c r="S881" s="1"/>
      <c r="T881" s="1"/>
      <c r="U881" s="1"/>
      <c r="V881" s="1"/>
      <c r="W881" s="1"/>
      <c r="X881" s="1"/>
      <c r="Y881" s="1"/>
      <c r="Z881" s="1"/>
    </row>
    <row r="882" spans="17:26">
      <c r="Q882" s="23"/>
      <c r="R882" s="1"/>
      <c r="S882" s="1"/>
      <c r="T882" s="1"/>
      <c r="U882" s="1"/>
      <c r="V882" s="1"/>
      <c r="W882" s="1"/>
      <c r="X882" s="1"/>
      <c r="Y882" s="1"/>
      <c r="Z882" s="1"/>
    </row>
    <row r="883" spans="17:26">
      <c r="Q883" s="23"/>
      <c r="R883" s="1"/>
      <c r="S883" s="1"/>
      <c r="T883" s="1"/>
      <c r="U883" s="1"/>
      <c r="V883" s="1"/>
      <c r="W883" s="1"/>
      <c r="X883" s="1"/>
      <c r="Y883" s="1"/>
      <c r="Z883" s="1"/>
    </row>
    <row r="884" spans="17:26">
      <c r="Q884" s="23"/>
      <c r="R884" s="1"/>
      <c r="S884" s="1"/>
      <c r="T884" s="1"/>
      <c r="U884" s="1"/>
      <c r="V884" s="1"/>
      <c r="W884" s="1"/>
      <c r="X884" s="1"/>
      <c r="Y884" s="1"/>
      <c r="Z884" s="1"/>
    </row>
    <row r="885" spans="17:26">
      <c r="Q885" s="23"/>
      <c r="R885" s="1"/>
      <c r="S885" s="1"/>
      <c r="T885" s="1"/>
      <c r="U885" s="1"/>
      <c r="V885" s="1"/>
      <c r="W885" s="1"/>
      <c r="X885" s="1"/>
      <c r="Y885" s="1"/>
      <c r="Z885" s="1"/>
    </row>
    <row r="886" spans="17:26">
      <c r="Q886" s="23"/>
      <c r="R886" s="1"/>
      <c r="S886" s="1"/>
      <c r="T886" s="1"/>
      <c r="U886" s="1"/>
      <c r="V886" s="1"/>
      <c r="W886" s="1"/>
      <c r="X886" s="1"/>
      <c r="Y886" s="1"/>
      <c r="Z886" s="1"/>
    </row>
    <row r="887" spans="17:26">
      <c r="Q887" s="23"/>
      <c r="R887" s="1"/>
      <c r="S887" s="1"/>
      <c r="T887" s="1"/>
      <c r="U887" s="1"/>
      <c r="V887" s="1"/>
      <c r="W887" s="1"/>
      <c r="X887" s="1"/>
      <c r="Y887" s="1"/>
      <c r="Z887" s="1"/>
    </row>
    <row r="888" spans="17:26">
      <c r="Q888" s="23"/>
      <c r="R888" s="1"/>
      <c r="S888" s="1"/>
      <c r="T888" s="1"/>
      <c r="U888" s="1"/>
      <c r="V888" s="1"/>
      <c r="W888" s="1"/>
      <c r="X888" s="1"/>
      <c r="Y888" s="1"/>
      <c r="Z888" s="1"/>
    </row>
    <row r="889" spans="17:26">
      <c r="Q889" s="23"/>
      <c r="R889" s="1"/>
      <c r="S889" s="1"/>
      <c r="T889" s="1"/>
      <c r="U889" s="1"/>
      <c r="V889" s="1"/>
      <c r="W889" s="1"/>
      <c r="X889" s="1"/>
      <c r="Y889" s="1"/>
      <c r="Z889" s="1"/>
    </row>
    <row r="890" spans="17:26">
      <c r="Q890" s="23"/>
      <c r="R890" s="1"/>
      <c r="S890" s="1"/>
      <c r="T890" s="1"/>
      <c r="U890" s="1"/>
      <c r="V890" s="1"/>
      <c r="W890" s="1"/>
      <c r="X890" s="1"/>
      <c r="Y890" s="1"/>
      <c r="Z890" s="1"/>
    </row>
    <row r="891" spans="17:26">
      <c r="Q891" s="23"/>
      <c r="R891" s="1"/>
      <c r="S891" s="1"/>
      <c r="T891" s="1"/>
      <c r="U891" s="1"/>
      <c r="V891" s="1"/>
      <c r="W891" s="1"/>
      <c r="X891" s="1"/>
      <c r="Y891" s="1"/>
      <c r="Z891" s="1"/>
    </row>
    <row r="892" spans="17:26">
      <c r="Q892" s="23"/>
      <c r="R892" s="1"/>
      <c r="S892" s="1"/>
      <c r="T892" s="1"/>
      <c r="U892" s="1"/>
      <c r="V892" s="1"/>
      <c r="W892" s="1"/>
      <c r="X892" s="1"/>
      <c r="Y892" s="1"/>
      <c r="Z892" s="1"/>
    </row>
    <row r="893" spans="17:26">
      <c r="Q893" s="23"/>
      <c r="R893" s="1"/>
      <c r="S893" s="1"/>
      <c r="T893" s="1"/>
      <c r="U893" s="1"/>
      <c r="V893" s="1"/>
      <c r="W893" s="1"/>
      <c r="X893" s="1"/>
      <c r="Y893" s="1"/>
      <c r="Z893" s="1"/>
    </row>
    <row r="894" spans="17:26">
      <c r="Q894" s="23"/>
      <c r="R894" s="1"/>
      <c r="S894" s="1"/>
      <c r="T894" s="1"/>
      <c r="U894" s="1"/>
      <c r="V894" s="1"/>
      <c r="W894" s="1"/>
      <c r="X894" s="1"/>
      <c r="Y894" s="1"/>
      <c r="Z894" s="1"/>
    </row>
    <row r="895" spans="17:26">
      <c r="Q895" s="23"/>
      <c r="R895" s="1"/>
      <c r="S895" s="1"/>
      <c r="T895" s="1"/>
      <c r="U895" s="1"/>
      <c r="V895" s="1"/>
      <c r="W895" s="1"/>
      <c r="X895" s="1"/>
      <c r="Y895" s="1"/>
      <c r="Z895" s="1"/>
    </row>
    <row r="896" spans="17:26">
      <c r="Q896" s="23"/>
      <c r="R896" s="1"/>
      <c r="S896" s="1"/>
      <c r="T896" s="1"/>
      <c r="U896" s="1"/>
      <c r="V896" s="1"/>
      <c r="W896" s="1"/>
      <c r="X896" s="1"/>
      <c r="Y896" s="1"/>
      <c r="Z896" s="1"/>
    </row>
    <row r="897" spans="17:26">
      <c r="Q897" s="23"/>
      <c r="R897" s="1"/>
      <c r="S897" s="1"/>
      <c r="T897" s="1"/>
      <c r="U897" s="1"/>
      <c r="V897" s="1"/>
      <c r="W897" s="1"/>
      <c r="X897" s="1"/>
      <c r="Y897" s="1"/>
      <c r="Z897" s="1"/>
    </row>
    <row r="898" spans="17:26">
      <c r="Q898" s="23"/>
      <c r="R898" s="1"/>
      <c r="S898" s="1"/>
      <c r="T898" s="1"/>
      <c r="U898" s="1"/>
      <c r="V898" s="1"/>
      <c r="W898" s="1"/>
      <c r="X898" s="1"/>
      <c r="Y898" s="1"/>
      <c r="Z898" s="1"/>
    </row>
    <row r="899" spans="17:26">
      <c r="Q899" s="1"/>
      <c r="R899" s="1"/>
      <c r="S899" s="1"/>
      <c r="T899" s="1"/>
      <c r="U899" s="1"/>
      <c r="V899" s="1"/>
      <c r="W899" s="1"/>
      <c r="X899" s="1"/>
      <c r="Y899" s="1"/>
      <c r="Z899" s="1"/>
    </row>
    <row r="900" spans="17:26">
      <c r="Q900" s="1"/>
      <c r="R900" s="1"/>
      <c r="S900" s="1"/>
      <c r="T900" s="1"/>
      <c r="U900" s="1"/>
      <c r="V900" s="1"/>
      <c r="W900" s="1"/>
      <c r="X900" s="1"/>
      <c r="Y900" s="1"/>
      <c r="Z900" s="1"/>
    </row>
    <row r="901" spans="17:26">
      <c r="Q901" s="1"/>
      <c r="R901" s="1"/>
      <c r="S901" s="1"/>
      <c r="T901" s="1"/>
      <c r="U901" s="1"/>
      <c r="V901" s="1"/>
      <c r="W901" s="1"/>
      <c r="X901" s="1"/>
      <c r="Y901" s="1"/>
      <c r="Z901" s="1"/>
    </row>
    <row r="902" spans="17:26">
      <c r="Q902" s="1"/>
      <c r="R902" s="1"/>
      <c r="S902" s="1"/>
      <c r="T902" s="1"/>
      <c r="U902" s="1"/>
      <c r="V902" s="1"/>
      <c r="W902" s="1"/>
      <c r="X902" s="1"/>
      <c r="Y902" s="1"/>
      <c r="Z902" s="1"/>
    </row>
    <row r="903" spans="17:26">
      <c r="Q903" s="1"/>
      <c r="R903" s="1"/>
      <c r="S903" s="1"/>
      <c r="T903" s="1"/>
      <c r="U903" s="1"/>
      <c r="V903" s="1"/>
      <c r="W903" s="1"/>
      <c r="X903" s="1"/>
      <c r="Y903" s="1"/>
      <c r="Z903" s="1"/>
    </row>
    <row r="904" spans="17:26">
      <c r="Q904" s="1"/>
      <c r="R904" s="1"/>
      <c r="S904" s="1"/>
      <c r="T904" s="1"/>
      <c r="U904" s="1"/>
      <c r="V904" s="1"/>
      <c r="W904" s="1"/>
      <c r="X904" s="1"/>
      <c r="Y904" s="1"/>
      <c r="Z904" s="1"/>
    </row>
    <row r="905" spans="17:26">
      <c r="Q905" s="1"/>
      <c r="R905" s="1"/>
      <c r="S905" s="1"/>
      <c r="T905" s="1"/>
      <c r="U905" s="1"/>
      <c r="V905" s="1"/>
      <c r="W905" s="1"/>
      <c r="X905" s="1"/>
      <c r="Y905" s="1"/>
      <c r="Z905" s="1"/>
    </row>
    <row r="906" spans="17:26">
      <c r="Q906" s="1"/>
      <c r="R906" s="1"/>
      <c r="S906" s="1"/>
      <c r="T906" s="1"/>
      <c r="U906" s="1"/>
      <c r="V906" s="1"/>
      <c r="W906" s="1"/>
      <c r="X906" s="1"/>
      <c r="Y906" s="1"/>
      <c r="Z906" s="1"/>
    </row>
    <row r="907" spans="17:26">
      <c r="Q907" s="1"/>
      <c r="R907" s="1"/>
      <c r="S907" s="1"/>
      <c r="T907" s="1"/>
      <c r="U907" s="1"/>
      <c r="V907" s="1"/>
      <c r="W907" s="1"/>
      <c r="X907" s="1"/>
      <c r="Y907" s="1"/>
      <c r="Z907" s="1"/>
    </row>
  </sheetData>
  <mergeCells count="540">
    <mergeCell ref="B2:K3"/>
    <mergeCell ref="B5:D5"/>
    <mergeCell ref="R2:Y3"/>
    <mergeCell ref="R5:U5"/>
    <mergeCell ref="R7:Y7"/>
    <mergeCell ref="R10:U10"/>
    <mergeCell ref="R11:U11"/>
    <mergeCell ref="R12:U12"/>
    <mergeCell ref="R13:U13"/>
    <mergeCell ref="R14:U14"/>
    <mergeCell ref="R15:U15"/>
    <mergeCell ref="R16:U16"/>
    <mergeCell ref="R19:U19"/>
    <mergeCell ref="R20:U20"/>
    <mergeCell ref="R21:U21"/>
    <mergeCell ref="R22:U22"/>
    <mergeCell ref="R23:U23"/>
    <mergeCell ref="R24:U24"/>
    <mergeCell ref="R25:U25"/>
    <mergeCell ref="R26:U26"/>
    <mergeCell ref="R28:Y28"/>
    <mergeCell ref="R31:T32"/>
    <mergeCell ref="U31:U32"/>
    <mergeCell ref="V31:V32"/>
    <mergeCell ref="W31:W32"/>
    <mergeCell ref="X31:X32"/>
    <mergeCell ref="R33:T33"/>
    <mergeCell ref="R34:T34"/>
    <mergeCell ref="R35:T35"/>
    <mergeCell ref="R36:T36"/>
    <mergeCell ref="X39:X40"/>
    <mergeCell ref="R41:T41"/>
    <mergeCell ref="R42:T42"/>
    <mergeCell ref="R43:T43"/>
    <mergeCell ref="R39:T40"/>
    <mergeCell ref="U39:U40"/>
    <mergeCell ref="V39:V40"/>
    <mergeCell ref="W39:W40"/>
    <mergeCell ref="R44:T44"/>
    <mergeCell ref="R46:Y46"/>
    <mergeCell ref="R49:T50"/>
    <mergeCell ref="U49:U50"/>
    <mergeCell ref="V49:V50"/>
    <mergeCell ref="W49:W50"/>
    <mergeCell ref="X49:X50"/>
    <mergeCell ref="R51:T51"/>
    <mergeCell ref="R54:T55"/>
    <mergeCell ref="U54:U55"/>
    <mergeCell ref="V54:V55"/>
    <mergeCell ref="W54:W55"/>
    <mergeCell ref="X54:X55"/>
    <mergeCell ref="R56:T56"/>
    <mergeCell ref="R59:T60"/>
    <mergeCell ref="U59:U60"/>
    <mergeCell ref="V59:V60"/>
    <mergeCell ref="W59:W60"/>
    <mergeCell ref="X59:X60"/>
    <mergeCell ref="R61:T61"/>
    <mergeCell ref="R62:T62"/>
    <mergeCell ref="R64:Y64"/>
    <mergeCell ref="R67:T68"/>
    <mergeCell ref="U67:U68"/>
    <mergeCell ref="V67:V68"/>
    <mergeCell ref="W67:W68"/>
    <mergeCell ref="X67:X68"/>
    <mergeCell ref="R69:T69"/>
    <mergeCell ref="R70:T70"/>
    <mergeCell ref="R71:T71"/>
    <mergeCell ref="R74:T75"/>
    <mergeCell ref="U74:U75"/>
    <mergeCell ref="V74:V75"/>
    <mergeCell ref="W74:W75"/>
    <mergeCell ref="X74:X75"/>
    <mergeCell ref="R76:T76"/>
    <mergeCell ref="R77:T77"/>
    <mergeCell ref="R78:T78"/>
    <mergeCell ref="R80:Y80"/>
    <mergeCell ref="X83:X84"/>
    <mergeCell ref="R85:T85"/>
    <mergeCell ref="R86:T86"/>
    <mergeCell ref="R87:T87"/>
    <mergeCell ref="R83:T84"/>
    <mergeCell ref="U83:U84"/>
    <mergeCell ref="V83:V84"/>
    <mergeCell ref="W83:W84"/>
    <mergeCell ref="X90:X91"/>
    <mergeCell ref="R92:T92"/>
    <mergeCell ref="R93:T93"/>
    <mergeCell ref="R94:T94"/>
    <mergeCell ref="R90:T91"/>
    <mergeCell ref="U90:U91"/>
    <mergeCell ref="V90:V91"/>
    <mergeCell ref="W90:W91"/>
    <mergeCell ref="R96:Y96"/>
    <mergeCell ref="R100:T101"/>
    <mergeCell ref="U100:U101"/>
    <mergeCell ref="V100:V101"/>
    <mergeCell ref="W100:W101"/>
    <mergeCell ref="X100:X101"/>
    <mergeCell ref="R102:T102"/>
    <mergeCell ref="R103:T103"/>
    <mergeCell ref="R106:T107"/>
    <mergeCell ref="U106:U107"/>
    <mergeCell ref="V106:V107"/>
    <mergeCell ref="W106:W107"/>
    <mergeCell ref="X106:X107"/>
    <mergeCell ref="R108:T108"/>
    <mergeCell ref="R109:T109"/>
    <mergeCell ref="R112:T113"/>
    <mergeCell ref="U112:U113"/>
    <mergeCell ref="V112:V113"/>
    <mergeCell ref="W112:W113"/>
    <mergeCell ref="X112:X113"/>
    <mergeCell ref="R114:T114"/>
    <mergeCell ref="R115:T115"/>
    <mergeCell ref="V126:V127"/>
    <mergeCell ref="W126:W127"/>
    <mergeCell ref="X118:X119"/>
    <mergeCell ref="R120:T120"/>
    <mergeCell ref="R121:T121"/>
    <mergeCell ref="R123:Y123"/>
    <mergeCell ref="R118:T119"/>
    <mergeCell ref="U118:U119"/>
    <mergeCell ref="V118:V119"/>
    <mergeCell ref="W118:W119"/>
    <mergeCell ref="X126:X127"/>
    <mergeCell ref="R128:T128"/>
    <mergeCell ref="R130:Y130"/>
    <mergeCell ref="R132:T133"/>
    <mergeCell ref="U132:U133"/>
    <mergeCell ref="V132:V133"/>
    <mergeCell ref="W132:W133"/>
    <mergeCell ref="X132:X133"/>
    <mergeCell ref="R126:T127"/>
    <mergeCell ref="U126:U127"/>
    <mergeCell ref="R134:T134"/>
    <mergeCell ref="R135:T135"/>
    <mergeCell ref="R137:Y137"/>
    <mergeCell ref="R142:W142"/>
    <mergeCell ref="X143:X144"/>
    <mergeCell ref="R145:T145"/>
    <mergeCell ref="U145:U146"/>
    <mergeCell ref="R146:T146"/>
    <mergeCell ref="R143:T144"/>
    <mergeCell ref="U143:U144"/>
    <mergeCell ref="V143:V144"/>
    <mergeCell ref="W143:W144"/>
    <mergeCell ref="R147:T147"/>
    <mergeCell ref="R148:T148"/>
    <mergeCell ref="R149:X149"/>
    <mergeCell ref="R150:T151"/>
    <mergeCell ref="U150:U151"/>
    <mergeCell ref="V150:V151"/>
    <mergeCell ref="W150:W151"/>
    <mergeCell ref="X150:X151"/>
    <mergeCell ref="R152:T152"/>
    <mergeCell ref="U152:U154"/>
    <mergeCell ref="R153:T153"/>
    <mergeCell ref="R154:T154"/>
    <mergeCell ref="R155:X155"/>
    <mergeCell ref="R156:T157"/>
    <mergeCell ref="U156:U157"/>
    <mergeCell ref="V156:V157"/>
    <mergeCell ref="W156:W157"/>
    <mergeCell ref="X156:X157"/>
    <mergeCell ref="V162:V163"/>
    <mergeCell ref="W162:W163"/>
    <mergeCell ref="R158:T158"/>
    <mergeCell ref="U158:U160"/>
    <mergeCell ref="R159:T159"/>
    <mergeCell ref="R160:T160"/>
    <mergeCell ref="X162:X163"/>
    <mergeCell ref="R164:T164"/>
    <mergeCell ref="R165:T165"/>
    <mergeCell ref="R167:T168"/>
    <mergeCell ref="U167:U168"/>
    <mergeCell ref="V167:V168"/>
    <mergeCell ref="W167:W168"/>
    <mergeCell ref="X167:X168"/>
    <mergeCell ref="R162:T163"/>
    <mergeCell ref="U162:U163"/>
    <mergeCell ref="R174:T174"/>
    <mergeCell ref="R179:T179"/>
    <mergeCell ref="R180:T180"/>
    <mergeCell ref="R175:T175"/>
    <mergeCell ref="R177:T178"/>
    <mergeCell ref="R169:T169"/>
    <mergeCell ref="R170:T170"/>
    <mergeCell ref="R172:T173"/>
    <mergeCell ref="W177:W178"/>
    <mergeCell ref="X177:X178"/>
    <mergeCell ref="U177:U178"/>
    <mergeCell ref="V177:V178"/>
    <mergeCell ref="X183:X184"/>
    <mergeCell ref="X172:X173"/>
    <mergeCell ref="U172:U173"/>
    <mergeCell ref="V172:V173"/>
    <mergeCell ref="W172:W173"/>
    <mergeCell ref="R185:T185"/>
    <mergeCell ref="R186:T186"/>
    <mergeCell ref="R181:T181"/>
    <mergeCell ref="R183:T184"/>
    <mergeCell ref="W188:W189"/>
    <mergeCell ref="W183:W184"/>
    <mergeCell ref="V188:V189"/>
    <mergeCell ref="U183:U184"/>
    <mergeCell ref="V183:V184"/>
    <mergeCell ref="X188:X189"/>
    <mergeCell ref="V193:V194"/>
    <mergeCell ref="W193:W194"/>
    <mergeCell ref="X193:X194"/>
    <mergeCell ref="R188:T189"/>
    <mergeCell ref="U188:U189"/>
    <mergeCell ref="R190:T190"/>
    <mergeCell ref="R191:T191"/>
    <mergeCell ref="R193:T194"/>
    <mergeCell ref="U193:U194"/>
    <mergeCell ref="R195:T195"/>
    <mergeCell ref="R196:T196"/>
    <mergeCell ref="R198:T199"/>
    <mergeCell ref="U198:U199"/>
    <mergeCell ref="V198:V199"/>
    <mergeCell ref="W198:W199"/>
    <mergeCell ref="X198:X199"/>
    <mergeCell ref="R200:T200"/>
    <mergeCell ref="R201:T201"/>
    <mergeCell ref="R202:T202"/>
    <mergeCell ref="R204:Y208"/>
    <mergeCell ref="R210:W211"/>
    <mergeCell ref="X210:X211"/>
    <mergeCell ref="Y210:Y211"/>
    <mergeCell ref="Y213:Y214"/>
    <mergeCell ref="R215:U215"/>
    <mergeCell ref="R216:U216"/>
    <mergeCell ref="R217:U217"/>
    <mergeCell ref="R213:U214"/>
    <mergeCell ref="V213:V214"/>
    <mergeCell ref="W213:W214"/>
    <mergeCell ref="X213:X214"/>
    <mergeCell ref="R218:U218"/>
    <mergeCell ref="R219:U219"/>
    <mergeCell ref="R220:U220"/>
    <mergeCell ref="R221:U221"/>
    <mergeCell ref="R222:U222"/>
    <mergeCell ref="R223:U223"/>
    <mergeCell ref="R224:U224"/>
    <mergeCell ref="R225:U225"/>
    <mergeCell ref="R226:U226"/>
    <mergeCell ref="R227:U227"/>
    <mergeCell ref="R228:U228"/>
    <mergeCell ref="R229:U229"/>
    <mergeCell ref="R231:U231"/>
    <mergeCell ref="R235:T236"/>
    <mergeCell ref="U235:U236"/>
    <mergeCell ref="V235:V236"/>
    <mergeCell ref="W235:W236"/>
    <mergeCell ref="X235:X236"/>
    <mergeCell ref="R237:T237"/>
    <mergeCell ref="U237:U239"/>
    <mergeCell ref="R238:T238"/>
    <mergeCell ref="R239:T239"/>
    <mergeCell ref="X241:X242"/>
    <mergeCell ref="R243:T243"/>
    <mergeCell ref="U243:U245"/>
    <mergeCell ref="R244:T244"/>
    <mergeCell ref="R245:T245"/>
    <mergeCell ref="R241:T242"/>
    <mergeCell ref="U241:U242"/>
    <mergeCell ref="V241:V242"/>
    <mergeCell ref="W241:W242"/>
    <mergeCell ref="X247:X248"/>
    <mergeCell ref="R249:T249"/>
    <mergeCell ref="U249:U251"/>
    <mergeCell ref="R250:T250"/>
    <mergeCell ref="R251:T251"/>
    <mergeCell ref="R247:T248"/>
    <mergeCell ref="U247:U248"/>
    <mergeCell ref="V247:V248"/>
    <mergeCell ref="W247:W248"/>
    <mergeCell ref="X254:X255"/>
    <mergeCell ref="R257:T257"/>
    <mergeCell ref="R260:Y260"/>
    <mergeCell ref="R264:S265"/>
    <mergeCell ref="U264:V264"/>
    <mergeCell ref="U265:V265"/>
    <mergeCell ref="R254:T255"/>
    <mergeCell ref="U254:U255"/>
    <mergeCell ref="V254:V255"/>
    <mergeCell ref="W254:W255"/>
    <mergeCell ref="X267:X268"/>
    <mergeCell ref="R268:R271"/>
    <mergeCell ref="S268:T268"/>
    <mergeCell ref="S269:T269"/>
    <mergeCell ref="S270:T270"/>
    <mergeCell ref="S271:T271"/>
    <mergeCell ref="R267:T267"/>
    <mergeCell ref="U267:U268"/>
    <mergeCell ref="V267:V268"/>
    <mergeCell ref="W267:W268"/>
    <mergeCell ref="R272:X272"/>
    <mergeCell ref="R273:T273"/>
    <mergeCell ref="U273:U274"/>
    <mergeCell ref="V273:V274"/>
    <mergeCell ref="W273:W274"/>
    <mergeCell ref="X273:X274"/>
    <mergeCell ref="R274:R277"/>
    <mergeCell ref="S274:T274"/>
    <mergeCell ref="S275:T275"/>
    <mergeCell ref="S276:T276"/>
    <mergeCell ref="S277:T277"/>
    <mergeCell ref="R278:X278"/>
    <mergeCell ref="R279:T279"/>
    <mergeCell ref="U279:U280"/>
    <mergeCell ref="V279:V280"/>
    <mergeCell ref="W279:W280"/>
    <mergeCell ref="X279:X280"/>
    <mergeCell ref="R280:R283"/>
    <mergeCell ref="S280:T280"/>
    <mergeCell ref="S281:T281"/>
    <mergeCell ref="S282:T282"/>
    <mergeCell ref="S283:T283"/>
    <mergeCell ref="R286:U287"/>
    <mergeCell ref="V286:V287"/>
    <mergeCell ref="W286:W287"/>
    <mergeCell ref="X286:X287"/>
    <mergeCell ref="Y286:Y287"/>
    <mergeCell ref="R288:U288"/>
    <mergeCell ref="R289:U289"/>
    <mergeCell ref="R290:U290"/>
    <mergeCell ref="R291:U291"/>
    <mergeCell ref="R292:U292"/>
    <mergeCell ref="R293:U293"/>
    <mergeCell ref="R294:U294"/>
    <mergeCell ref="R295:U295"/>
    <mergeCell ref="R296:U296"/>
    <mergeCell ref="R297:U297"/>
    <mergeCell ref="R298:U298"/>
    <mergeCell ref="R299:U299"/>
    <mergeCell ref="T301:U301"/>
    <mergeCell ref="T302:U302"/>
    <mergeCell ref="R305:V305"/>
    <mergeCell ref="R306:R307"/>
    <mergeCell ref="S306:S307"/>
    <mergeCell ref="T306:T307"/>
    <mergeCell ref="U306:U307"/>
    <mergeCell ref="V306:V307"/>
    <mergeCell ref="R316:W318"/>
    <mergeCell ref="R336:S339"/>
    <mergeCell ref="T336:T337"/>
    <mergeCell ref="R319:W319"/>
    <mergeCell ref="R320:W320"/>
    <mergeCell ref="R322:S326"/>
    <mergeCell ref="T322:T324"/>
    <mergeCell ref="U322:U324"/>
    <mergeCell ref="V322:V324"/>
    <mergeCell ref="W322:W324"/>
    <mergeCell ref="R328:W328"/>
    <mergeCell ref="R329:S332"/>
    <mergeCell ref="T329:T330"/>
    <mergeCell ref="U329:U330"/>
    <mergeCell ref="V329:V330"/>
    <mergeCell ref="W329:W330"/>
    <mergeCell ref="T342:T343"/>
    <mergeCell ref="U342:U343"/>
    <mergeCell ref="V342:V343"/>
    <mergeCell ref="W342:W343"/>
    <mergeCell ref="U336:U337"/>
    <mergeCell ref="R348:W348"/>
    <mergeCell ref="R341:W341"/>
    <mergeCell ref="R342:S345"/>
    <mergeCell ref="V336:V337"/>
    <mergeCell ref="W336:W337"/>
    <mergeCell ref="R365:S368"/>
    <mergeCell ref="T365:T366"/>
    <mergeCell ref="R349:W349"/>
    <mergeCell ref="R351:S355"/>
    <mergeCell ref="T351:T353"/>
    <mergeCell ref="U351:U353"/>
    <mergeCell ref="V351:V353"/>
    <mergeCell ref="W351:W353"/>
    <mergeCell ref="R357:W357"/>
    <mergeCell ref="R358:S361"/>
    <mergeCell ref="T358:T359"/>
    <mergeCell ref="U358:U359"/>
    <mergeCell ref="V358:V359"/>
    <mergeCell ref="W358:W359"/>
    <mergeCell ref="T371:T372"/>
    <mergeCell ref="U371:U372"/>
    <mergeCell ref="V371:V372"/>
    <mergeCell ref="W371:W372"/>
    <mergeCell ref="U365:U366"/>
    <mergeCell ref="R377:W377"/>
    <mergeCell ref="R370:W370"/>
    <mergeCell ref="R371:S374"/>
    <mergeCell ref="V365:V366"/>
    <mergeCell ref="W365:W366"/>
    <mergeCell ref="R394:S397"/>
    <mergeCell ref="T394:T395"/>
    <mergeCell ref="R378:W378"/>
    <mergeCell ref="R380:S384"/>
    <mergeCell ref="T380:T382"/>
    <mergeCell ref="U380:U382"/>
    <mergeCell ref="V380:V382"/>
    <mergeCell ref="W380:W382"/>
    <mergeCell ref="R386:W386"/>
    <mergeCell ref="R387:S390"/>
    <mergeCell ref="T387:T388"/>
    <mergeCell ref="U387:U388"/>
    <mergeCell ref="V387:V388"/>
    <mergeCell ref="W387:W388"/>
    <mergeCell ref="T400:T401"/>
    <mergeCell ref="U400:U401"/>
    <mergeCell ref="V400:V401"/>
    <mergeCell ref="W400:W401"/>
    <mergeCell ref="U394:U395"/>
    <mergeCell ref="R406:W406"/>
    <mergeCell ref="R399:W399"/>
    <mergeCell ref="R400:S403"/>
    <mergeCell ref="V394:V395"/>
    <mergeCell ref="W394:W395"/>
    <mergeCell ref="R407:W407"/>
    <mergeCell ref="R409:S413"/>
    <mergeCell ref="T409:T411"/>
    <mergeCell ref="U409:U411"/>
    <mergeCell ref="V409:V411"/>
    <mergeCell ref="W409:W411"/>
    <mergeCell ref="V423:V424"/>
    <mergeCell ref="R415:W415"/>
    <mergeCell ref="R416:S419"/>
    <mergeCell ref="T416:T417"/>
    <mergeCell ref="U416:U417"/>
    <mergeCell ref="V416:V417"/>
    <mergeCell ref="W416:W417"/>
    <mergeCell ref="W423:W424"/>
    <mergeCell ref="R423:S426"/>
    <mergeCell ref="T423:T424"/>
    <mergeCell ref="U423:U424"/>
    <mergeCell ref="R435:W437"/>
    <mergeCell ref="R438:W438"/>
    <mergeCell ref="R439:W439"/>
    <mergeCell ref="R428:W428"/>
    <mergeCell ref="R429:S432"/>
    <mergeCell ref="T429:T430"/>
    <mergeCell ref="U429:U430"/>
    <mergeCell ref="V429:V430"/>
    <mergeCell ref="W429:W430"/>
    <mergeCell ref="R441:S445"/>
    <mergeCell ref="T441:T443"/>
    <mergeCell ref="U441:U443"/>
    <mergeCell ref="V441:V443"/>
    <mergeCell ref="W441:W443"/>
    <mergeCell ref="V455:V456"/>
    <mergeCell ref="R447:W447"/>
    <mergeCell ref="R448:S451"/>
    <mergeCell ref="T448:T449"/>
    <mergeCell ref="U448:U449"/>
    <mergeCell ref="V448:V449"/>
    <mergeCell ref="W448:W449"/>
    <mergeCell ref="W455:W456"/>
    <mergeCell ref="R455:S458"/>
    <mergeCell ref="T455:T456"/>
    <mergeCell ref="U455:U456"/>
    <mergeCell ref="R467:W467"/>
    <mergeCell ref="R468:W468"/>
    <mergeCell ref="R460:W460"/>
    <mergeCell ref="R461:S464"/>
    <mergeCell ref="T461:T462"/>
    <mergeCell ref="U461:U462"/>
    <mergeCell ref="V461:V462"/>
    <mergeCell ref="W461:W462"/>
    <mergeCell ref="R470:S474"/>
    <mergeCell ref="T470:T472"/>
    <mergeCell ref="U470:U472"/>
    <mergeCell ref="V470:V472"/>
    <mergeCell ref="W470:W472"/>
    <mergeCell ref="V484:V485"/>
    <mergeCell ref="R476:W476"/>
    <mergeCell ref="R477:S480"/>
    <mergeCell ref="T477:T478"/>
    <mergeCell ref="U477:U478"/>
    <mergeCell ref="V477:V478"/>
    <mergeCell ref="W477:W478"/>
    <mergeCell ref="W484:W485"/>
    <mergeCell ref="R484:S487"/>
    <mergeCell ref="T484:T485"/>
    <mergeCell ref="U484:U485"/>
    <mergeCell ref="R496:W496"/>
    <mergeCell ref="R497:W497"/>
    <mergeCell ref="R489:W489"/>
    <mergeCell ref="R490:S493"/>
    <mergeCell ref="T490:T491"/>
    <mergeCell ref="U490:U491"/>
    <mergeCell ref="V490:V491"/>
    <mergeCell ref="W490:W491"/>
    <mergeCell ref="R499:S503"/>
    <mergeCell ref="T499:T501"/>
    <mergeCell ref="U499:U501"/>
    <mergeCell ref="V499:V501"/>
    <mergeCell ref="W499:W501"/>
    <mergeCell ref="V513:V514"/>
    <mergeCell ref="R505:W505"/>
    <mergeCell ref="R506:S509"/>
    <mergeCell ref="T506:T507"/>
    <mergeCell ref="U506:U507"/>
    <mergeCell ref="V506:V507"/>
    <mergeCell ref="W506:W507"/>
    <mergeCell ref="W513:W514"/>
    <mergeCell ref="R513:S516"/>
    <mergeCell ref="T513:T514"/>
    <mergeCell ref="U513:U514"/>
    <mergeCell ref="R525:W525"/>
    <mergeCell ref="R526:W526"/>
    <mergeCell ref="R518:W518"/>
    <mergeCell ref="R519:S522"/>
    <mergeCell ref="T519:T520"/>
    <mergeCell ref="U519:U520"/>
    <mergeCell ref="V519:V520"/>
    <mergeCell ref="W519:W520"/>
    <mergeCell ref="R528:S532"/>
    <mergeCell ref="T528:T530"/>
    <mergeCell ref="U528:U530"/>
    <mergeCell ref="V528:V530"/>
    <mergeCell ref="W528:W530"/>
    <mergeCell ref="V542:V543"/>
    <mergeCell ref="R534:W534"/>
    <mergeCell ref="R535:S538"/>
    <mergeCell ref="T535:T536"/>
    <mergeCell ref="U535:U536"/>
    <mergeCell ref="V535:V536"/>
    <mergeCell ref="W535:W536"/>
    <mergeCell ref="W542:W543"/>
    <mergeCell ref="R542:S545"/>
    <mergeCell ref="T542:T543"/>
    <mergeCell ref="U542:U543"/>
    <mergeCell ref="R547:W547"/>
    <mergeCell ref="R548:S551"/>
    <mergeCell ref="T548:T549"/>
    <mergeCell ref="U548:U549"/>
    <mergeCell ref="V548:V549"/>
    <mergeCell ref="W548:W549"/>
  </mergeCells>
  <phoneticPr fontId="0" type="noConversion"/>
  <conditionalFormatting sqref="U108:X109">
    <cfRule type="cellIs" dxfId="501" priority="1" stopIfTrue="1" operator="equal">
      <formula>"yes"</formula>
    </cfRule>
    <cfRule type="cellIs" dxfId="500" priority="2" stopIfTrue="1" operator="equal">
      <formula>"no"</formula>
    </cfRule>
  </conditionalFormatting>
  <conditionalFormatting sqref="X254:X255 X106:X107 X247:X248 X49:X50 X235:X236 X54:X55 X67:X68 X74:X75 X100:X101 X112:X113 X118:X119 X132:X133 X279:X280 X126:X127 X241:X242 X59:X60 Y286:Y287 S306:S307 X143:X144 X183:X184 X177:X178 X267:X268 X273:X274 Y213:Y214 X83 X90 X156:X157 X150:X151 X198:X199 X162:X163 X167:X168 X172:X173 X188:X189 X193:X194">
    <cfRule type="cellIs" dxfId="499" priority="3" stopIfTrue="1" operator="equal">
      <formula>$U$31</formula>
    </cfRule>
    <cfRule type="cellIs" dxfId="498" priority="4" stopIfTrue="1" operator="equal">
      <formula>$W$31</formula>
    </cfRule>
    <cfRule type="cellIs" dxfId="497" priority="5" stopIfTrue="1" operator="equal">
      <formula>$Y$31</formula>
    </cfRule>
  </conditionalFormatting>
  <conditionalFormatting sqref="V106:V107 V247:V248 V49:V50 V241:V242 V54:V55 V59:V60 V67:V68 V74:V75 W286:W287 V100:V101 V112:V113 V118:V119 V126:V127 V132:V133 V279:V280 V235:V236 V254:V255 T306:T307 V143:V144 V183:V184 V177:V178 V267:V268 V273:V274 W213:W214 V83 V90 V156:V157 V150:V151 V198:V199 V162:V163 V167:V168 V172:V173 V188:V189 V193:V194">
    <cfRule type="cellIs" dxfId="496" priority="6" stopIfTrue="1" operator="equal">
      <formula>$R$6</formula>
    </cfRule>
    <cfRule type="cellIs" dxfId="495" priority="7" stopIfTrue="1" operator="equal">
      <formula>$V$33</formula>
    </cfRule>
    <cfRule type="cellIs" dxfId="494" priority="8" stopIfTrue="1" operator="equal">
      <formula>$R$8</formula>
    </cfRule>
  </conditionalFormatting>
  <conditionalFormatting sqref="W106:W107 W126:W127 W247:W248 W49:W50 W241:W242 W54:W55 W59:W60 W67:W68 W74:W75 X286:X287 W100:W101 W112:W113 W118:W119 W132:W133 W279:W280 W235:W236 W254:W255 U306:U307 W143:W144 W183:W184 W177:W178 W267:W268 W273:W274 X213:X214 W83 W90 W156:W157 W150:W151 W198:W199 W162:W163 W167:W168 W172:W173 W188:W189 W193:W194">
    <cfRule type="cellIs" dxfId="493" priority="9" stopIfTrue="1" operator="equal">
      <formula>$R$6</formula>
    </cfRule>
    <cfRule type="cellIs" dxfId="492" priority="10" stopIfTrue="1" operator="equal">
      <formula>$R$7</formula>
    </cfRule>
    <cfRule type="cellIs" dxfId="491" priority="11" stopIfTrue="1" operator="equal">
      <formula>$W$33</formula>
    </cfRule>
  </conditionalFormatting>
  <conditionalFormatting sqref="R36 R44">
    <cfRule type="cellIs" dxfId="490" priority="12" stopIfTrue="1" operator="equal">
      <formula>$AI$31</formula>
    </cfRule>
    <cfRule type="cellIs" dxfId="489" priority="13" stopIfTrue="1" operator="equal">
      <formula>$AK$31</formula>
    </cfRule>
    <cfRule type="cellIs" dxfId="488" priority="14" stopIfTrue="1" operator="equal">
      <formula>$AM$31</formula>
    </cfRule>
  </conditionalFormatting>
  <conditionalFormatting sqref="R34 R42">
    <cfRule type="cellIs" dxfId="487" priority="15" stopIfTrue="1" operator="equal">
      <formula>$AF$6</formula>
    </cfRule>
    <cfRule type="cellIs" dxfId="486" priority="16" stopIfTrue="1" operator="equal">
      <formula>$AJ$33</formula>
    </cfRule>
    <cfRule type="cellIs" dxfId="485" priority="17" stopIfTrue="1" operator="equal">
      <formula>$AF$8</formula>
    </cfRule>
  </conditionalFormatting>
  <conditionalFormatting sqref="R35 R43">
    <cfRule type="cellIs" dxfId="484" priority="18" stopIfTrue="1" operator="equal">
      <formula>$AF$6</formula>
    </cfRule>
    <cfRule type="cellIs" dxfId="483" priority="19" stopIfTrue="1" operator="equal">
      <formula>$AF$7</formula>
    </cfRule>
    <cfRule type="cellIs" dxfId="482" priority="20" stopIfTrue="1" operator="equal">
      <formula>$AK$33</formula>
    </cfRule>
  </conditionalFormatting>
  <pageMargins left="0" right="0" top="0.59055118110236227" bottom="0.39370078740157483" header="0.51181102362204722" footer="0.51181102362204722"/>
  <pageSetup paperSize="9" scale="96" fitToHeight="6" orientation="portrait"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sheetPr codeName="Sheet44">
    <pageSetUpPr autoPageBreaks="0" fitToPage="1"/>
  </sheetPr>
  <dimension ref="A1:AU866"/>
  <sheetViews>
    <sheetView showRowColHeaders="0" workbookViewId="0">
      <selection activeCell="B2" sqref="B2:L3"/>
    </sheetView>
  </sheetViews>
  <sheetFormatPr defaultRowHeight="12.75"/>
  <cols>
    <col min="1" max="1" width="10.7109375" style="20" customWidth="1"/>
    <col min="2" max="10" width="10.7109375" style="18" customWidth="1"/>
    <col min="11" max="12" width="10.7109375" customWidth="1"/>
    <col min="13" max="14" width="8.7109375" customWidth="1"/>
    <col min="15" max="19" width="13.7109375" customWidth="1"/>
    <col min="20" max="21" width="10.7109375" customWidth="1"/>
    <col min="22" max="38" width="10.28515625" customWidth="1"/>
    <col min="39" max="94" width="10.7109375" customWidth="1"/>
  </cols>
  <sheetData>
    <row r="1" spans="1:20" ht="6" customHeight="1" thickBot="1">
      <c r="A1" s="115"/>
      <c r="B1" s="271"/>
      <c r="C1" s="271"/>
      <c r="D1" s="271"/>
      <c r="E1" s="271"/>
      <c r="F1" s="271"/>
      <c r="G1" s="271"/>
      <c r="H1" s="271"/>
      <c r="I1" s="271"/>
      <c r="J1" s="271"/>
      <c r="K1" s="114"/>
      <c r="L1" s="114"/>
      <c r="M1" s="114"/>
      <c r="N1" s="114"/>
      <c r="O1" s="114"/>
      <c r="P1" s="114"/>
      <c r="Q1" s="114"/>
      <c r="R1" s="114"/>
      <c r="S1" s="114"/>
      <c r="T1" s="10"/>
    </row>
    <row r="2" spans="1:20" ht="12.75" customHeight="1" thickTop="1">
      <c r="A2" s="272"/>
      <c r="B2" s="753" t="s">
        <v>34</v>
      </c>
      <c r="C2" s="754"/>
      <c r="D2" s="754"/>
      <c r="E2" s="754"/>
      <c r="F2" s="754"/>
      <c r="G2" s="754"/>
      <c r="H2" s="754"/>
      <c r="I2" s="754"/>
      <c r="J2" s="754"/>
      <c r="K2" s="754"/>
      <c r="L2" s="755"/>
      <c r="M2" s="114"/>
      <c r="N2" s="114"/>
      <c r="O2" s="114"/>
      <c r="P2" s="114"/>
      <c r="Q2" s="114"/>
      <c r="R2" s="114"/>
      <c r="S2" s="114"/>
      <c r="T2" s="10"/>
    </row>
    <row r="3" spans="1:20" ht="12.75" customHeight="1" thickBot="1">
      <c r="A3" s="272"/>
      <c r="B3" s="756"/>
      <c r="C3" s="757"/>
      <c r="D3" s="757"/>
      <c r="E3" s="757"/>
      <c r="F3" s="757"/>
      <c r="G3" s="757"/>
      <c r="H3" s="757"/>
      <c r="I3" s="757"/>
      <c r="J3" s="757"/>
      <c r="K3" s="757"/>
      <c r="L3" s="758"/>
      <c r="M3" s="114"/>
      <c r="N3" s="114"/>
      <c r="O3" s="114"/>
      <c r="P3" s="114"/>
      <c r="Q3" s="114"/>
      <c r="R3" s="114"/>
      <c r="S3" s="114"/>
      <c r="T3" s="10"/>
    </row>
    <row r="4" spans="1:20" ht="12.75" customHeight="1" thickTop="1">
      <c r="A4" s="272"/>
      <c r="B4" s="271"/>
      <c r="C4" s="271"/>
      <c r="D4" s="271"/>
      <c r="E4" s="271"/>
      <c r="F4" s="271"/>
      <c r="G4" s="271"/>
      <c r="H4" s="271"/>
      <c r="I4" s="271"/>
      <c r="J4" s="271"/>
      <c r="K4" s="114"/>
      <c r="L4" s="114"/>
      <c r="M4" s="114"/>
      <c r="N4" s="114"/>
      <c r="O4" s="114"/>
      <c r="P4" s="114"/>
      <c r="Q4" s="114"/>
      <c r="R4" s="114"/>
      <c r="S4" s="114"/>
      <c r="T4" s="10"/>
    </row>
    <row r="5" spans="1:20" ht="12.75" hidden="1" customHeight="1">
      <c r="A5" s="273" t="s">
        <v>32</v>
      </c>
      <c r="B5" s="1054" t="s">
        <v>581</v>
      </c>
      <c r="C5" s="1054"/>
      <c r="D5" s="1054"/>
      <c r="E5" s="1052">
        <v>550</v>
      </c>
      <c r="F5" s="271"/>
      <c r="G5" s="114"/>
      <c r="H5" s="114"/>
      <c r="I5" s="114"/>
      <c r="J5" s="114"/>
      <c r="K5" s="114"/>
      <c r="L5" s="114"/>
      <c r="M5" s="114"/>
      <c r="N5" s="114"/>
      <c r="O5" s="114"/>
      <c r="P5" s="114"/>
      <c r="Q5" s="114"/>
      <c r="R5" s="114"/>
      <c r="S5" s="114"/>
      <c r="T5" s="10"/>
    </row>
    <row r="6" spans="1:20" ht="12.75" hidden="1" customHeight="1">
      <c r="A6" s="115"/>
      <c r="B6" s="1054"/>
      <c r="C6" s="1054"/>
      <c r="D6" s="1054"/>
      <c r="E6" s="1052"/>
      <c r="F6" s="271"/>
      <c r="G6" s="271"/>
      <c r="H6" s="271"/>
      <c r="I6" s="271"/>
      <c r="J6" s="271"/>
      <c r="K6" s="114"/>
      <c r="L6" s="114"/>
      <c r="M6" s="114"/>
      <c r="N6" s="114"/>
      <c r="O6" s="114"/>
      <c r="P6" s="114"/>
      <c r="Q6" s="114"/>
      <c r="R6" s="114"/>
      <c r="S6" s="114"/>
      <c r="T6" s="10"/>
    </row>
    <row r="7" spans="1:20" ht="12.75" hidden="1" customHeight="1">
      <c r="A7" s="115"/>
      <c r="B7" s="1054"/>
      <c r="C7" s="1054"/>
      <c r="D7" s="1054"/>
      <c r="E7" s="1052"/>
      <c r="F7" s="271"/>
      <c r="G7" s="271"/>
      <c r="H7" s="271"/>
      <c r="I7" s="271"/>
      <c r="J7" s="271"/>
      <c r="K7" s="114"/>
      <c r="L7" s="114"/>
      <c r="M7" s="114"/>
      <c r="N7" s="114"/>
      <c r="O7" s="114"/>
      <c r="P7" s="114"/>
      <c r="Q7" s="114"/>
      <c r="R7" s="114"/>
      <c r="S7" s="114"/>
      <c r="T7" s="10"/>
    </row>
    <row r="8" spans="1:20" ht="12.75" hidden="1" customHeight="1">
      <c r="A8" s="115"/>
      <c r="B8" s="114"/>
      <c r="C8" s="114"/>
      <c r="D8" s="114"/>
      <c r="E8" s="114"/>
      <c r="F8" s="271"/>
      <c r="G8" s="271"/>
      <c r="H8" s="271"/>
      <c r="I8" s="271"/>
      <c r="J8" s="271"/>
      <c r="K8" s="114"/>
      <c r="L8" s="114"/>
      <c r="M8" s="114"/>
      <c r="N8" s="114"/>
      <c r="O8" s="114"/>
      <c r="P8" s="114"/>
      <c r="Q8" s="114"/>
      <c r="R8" s="114"/>
      <c r="S8" s="114"/>
      <c r="T8" s="10"/>
    </row>
    <row r="9" spans="1:20" ht="12.75" hidden="1" customHeight="1">
      <c r="A9" s="273">
        <v>1</v>
      </c>
      <c r="B9" s="272" t="s">
        <v>24</v>
      </c>
      <c r="C9" s="271"/>
      <c r="D9" s="271"/>
      <c r="E9" s="271"/>
      <c r="F9" s="271"/>
      <c r="G9" s="271"/>
      <c r="H9" s="271"/>
      <c r="I9" s="271"/>
      <c r="J9" s="271"/>
      <c r="K9" s="114"/>
      <c r="L9" s="114"/>
      <c r="M9" s="114"/>
      <c r="N9" s="114"/>
      <c r="O9" s="114"/>
      <c r="P9" s="114"/>
      <c r="Q9" s="114"/>
      <c r="R9" s="114"/>
      <c r="S9" s="114"/>
      <c r="T9" s="10"/>
    </row>
    <row r="10" spans="1:20" ht="12.75" hidden="1" customHeight="1">
      <c r="A10" s="115"/>
      <c r="B10" s="307"/>
      <c r="C10" s="271"/>
      <c r="D10" s="271"/>
      <c r="E10" s="271"/>
      <c r="F10" s="271"/>
      <c r="G10" s="271"/>
      <c r="H10" s="271"/>
      <c r="I10" s="271"/>
      <c r="J10" s="271"/>
      <c r="K10" s="114"/>
      <c r="L10" s="114"/>
      <c r="M10" s="114"/>
      <c r="N10" s="114"/>
      <c r="O10" s="114"/>
      <c r="P10" s="114"/>
      <c r="Q10" s="114"/>
      <c r="R10" s="114"/>
      <c r="S10" s="114"/>
      <c r="T10" s="10"/>
    </row>
    <row r="11" spans="1:20" ht="12.75" hidden="1" customHeight="1">
      <c r="A11" s="115">
        <v>1.1000000000000001</v>
      </c>
      <c r="B11" s="308" t="s">
        <v>586</v>
      </c>
      <c r="C11" s="271"/>
      <c r="D11" s="271"/>
      <c r="E11" s="271"/>
      <c r="F11" s="271"/>
      <c r="G11" s="271"/>
      <c r="H11" s="271"/>
      <c r="I11" s="271"/>
      <c r="J11" s="271"/>
      <c r="K11" s="114"/>
      <c r="L11" s="114"/>
      <c r="M11" s="114"/>
      <c r="N11" s="114"/>
      <c r="O11" s="114"/>
      <c r="P11" s="114"/>
      <c r="Q11" s="114"/>
      <c r="R11" s="114"/>
      <c r="S11" s="114"/>
      <c r="T11" s="10"/>
    </row>
    <row r="12" spans="1:20" ht="12.75" hidden="1" customHeight="1">
      <c r="A12" s="115"/>
      <c r="B12" s="1048" t="s">
        <v>25</v>
      </c>
      <c r="C12" s="1048"/>
      <c r="D12" s="1048"/>
      <c r="E12" s="1048"/>
      <c r="F12" s="309">
        <f>+'Prod Parameters'!F8</f>
        <v>23</v>
      </c>
      <c r="G12" s="271"/>
      <c r="H12" s="271"/>
      <c r="I12" s="271"/>
      <c r="J12" s="271"/>
      <c r="K12" s="114"/>
      <c r="L12" s="114"/>
      <c r="M12" s="114"/>
      <c r="N12" s="114"/>
      <c r="O12" s="114"/>
      <c r="P12" s="114"/>
      <c r="Q12" s="114"/>
      <c r="R12" s="114"/>
      <c r="S12" s="114"/>
      <c r="T12" s="10"/>
    </row>
    <row r="13" spans="1:20" ht="12.75" hidden="1" customHeight="1">
      <c r="A13" s="115"/>
      <c r="B13" s="1048" t="s">
        <v>325</v>
      </c>
      <c r="C13" s="1048"/>
      <c r="D13" s="1048"/>
      <c r="E13" s="1048"/>
      <c r="F13" s="309">
        <f>+'Prod Parameters'!F9</f>
        <v>23</v>
      </c>
      <c r="G13" s="271"/>
      <c r="H13" s="271"/>
      <c r="I13" s="271"/>
      <c r="J13" s="271"/>
      <c r="K13" s="114"/>
      <c r="L13" s="114"/>
      <c r="M13" s="114"/>
      <c r="N13" s="114"/>
      <c r="O13" s="114"/>
      <c r="P13" s="114"/>
      <c r="Q13" s="114"/>
      <c r="R13" s="114"/>
      <c r="S13" s="114"/>
      <c r="T13" s="10"/>
    </row>
    <row r="14" spans="1:20" ht="12.75" hidden="1" customHeight="1">
      <c r="A14" s="115"/>
      <c r="B14" s="1068" t="s">
        <v>26</v>
      </c>
      <c r="C14" s="1069"/>
      <c r="D14" s="1069"/>
      <c r="E14" s="1070"/>
      <c r="F14" s="309">
        <f>+'Prod Parameters'!F10</f>
        <v>6</v>
      </c>
      <c r="G14" s="271"/>
      <c r="H14" s="271"/>
      <c r="I14" s="271"/>
      <c r="J14" s="271"/>
      <c r="K14" s="114"/>
      <c r="L14" s="114"/>
      <c r="M14" s="114"/>
      <c r="N14" s="114"/>
      <c r="O14" s="114"/>
      <c r="P14" s="114"/>
      <c r="Q14" s="114"/>
      <c r="R14" s="114"/>
      <c r="S14" s="114"/>
      <c r="T14" s="10"/>
    </row>
    <row r="15" spans="1:20" ht="12.75" hidden="1" customHeight="1">
      <c r="A15" s="115"/>
      <c r="B15" s="1048" t="s">
        <v>27</v>
      </c>
      <c r="C15" s="1048"/>
      <c r="D15" s="1048"/>
      <c r="E15" s="1048"/>
      <c r="F15" s="309">
        <f>+'Prod Parameters'!F11</f>
        <v>52</v>
      </c>
      <c r="G15" s="271"/>
      <c r="H15" s="271"/>
      <c r="I15" s="271"/>
      <c r="J15" s="271"/>
      <c r="K15" s="114"/>
      <c r="L15" s="114"/>
      <c r="M15" s="114"/>
      <c r="N15" s="114"/>
      <c r="O15" s="114"/>
      <c r="P15" s="114"/>
      <c r="Q15" s="114"/>
      <c r="R15" s="114"/>
      <c r="S15" s="114"/>
      <c r="T15" s="10"/>
    </row>
    <row r="16" spans="1:20" ht="12.75" hidden="1" customHeight="1">
      <c r="A16" s="115"/>
      <c r="B16" s="1048" t="s">
        <v>28</v>
      </c>
      <c r="C16" s="1048"/>
      <c r="D16" s="1048"/>
      <c r="E16" s="1048"/>
      <c r="F16" s="309">
        <f>+'Prod Parameters'!F12</f>
        <v>260</v>
      </c>
      <c r="G16" s="271"/>
      <c r="H16" s="271"/>
      <c r="I16" s="271"/>
      <c r="J16" s="271"/>
      <c r="K16" s="114"/>
      <c r="L16" s="114"/>
      <c r="M16" s="114"/>
      <c r="N16" s="114"/>
      <c r="O16" s="114"/>
      <c r="P16" s="114"/>
      <c r="Q16" s="114"/>
      <c r="R16" s="114"/>
      <c r="S16" s="114"/>
      <c r="T16" s="10"/>
    </row>
    <row r="17" spans="1:20" ht="12.75" hidden="1" customHeight="1">
      <c r="A17" s="115"/>
      <c r="B17" s="1048" t="s">
        <v>29</v>
      </c>
      <c r="C17" s="1048"/>
      <c r="D17" s="1048"/>
      <c r="E17" s="1048"/>
      <c r="F17" s="309">
        <f>+'Prod Parameters'!F13</f>
        <v>30</v>
      </c>
      <c r="G17" s="271"/>
      <c r="H17" s="271"/>
      <c r="I17" s="271"/>
      <c r="J17" s="271"/>
      <c r="K17" s="114"/>
      <c r="L17" s="114"/>
      <c r="M17" s="114"/>
      <c r="N17" s="114"/>
      <c r="O17" s="114"/>
      <c r="P17" s="114"/>
      <c r="Q17" s="114"/>
      <c r="R17" s="114"/>
      <c r="S17" s="114"/>
      <c r="T17" s="10"/>
    </row>
    <row r="18" spans="1:20" ht="12.75" hidden="1" customHeight="1">
      <c r="A18" s="115"/>
      <c r="B18" s="1053" t="s">
        <v>30</v>
      </c>
      <c r="C18" s="1053"/>
      <c r="D18" s="1053"/>
      <c r="E18" s="1053"/>
      <c r="F18" s="309">
        <f>+'Prod Parameters'!F14</f>
        <v>230</v>
      </c>
      <c r="G18" s="271"/>
      <c r="H18" s="271"/>
      <c r="I18" s="271"/>
      <c r="J18" s="271"/>
      <c r="K18" s="114"/>
      <c r="L18" s="114"/>
      <c r="M18" s="114"/>
      <c r="N18" s="114"/>
      <c r="O18" s="114"/>
      <c r="P18" s="114"/>
      <c r="Q18" s="114"/>
      <c r="R18" s="114"/>
      <c r="S18" s="114"/>
      <c r="T18" s="10"/>
    </row>
    <row r="19" spans="1:20" ht="12.75" hidden="1" customHeight="1">
      <c r="A19" s="115"/>
      <c r="B19" s="271"/>
      <c r="C19" s="271"/>
      <c r="D19" s="271"/>
      <c r="E19" s="271"/>
      <c r="F19" s="271"/>
      <c r="G19" s="271"/>
      <c r="H19" s="271"/>
      <c r="I19" s="271"/>
      <c r="J19" s="271"/>
      <c r="K19" s="114"/>
      <c r="L19" s="114"/>
      <c r="M19" s="114"/>
      <c r="N19" s="114"/>
      <c r="O19" s="114"/>
      <c r="P19" s="114"/>
      <c r="Q19" s="114"/>
      <c r="R19" s="114"/>
      <c r="S19" s="114"/>
      <c r="T19" s="10"/>
    </row>
    <row r="20" spans="1:20" ht="12.75" hidden="1" customHeight="1">
      <c r="A20" s="115">
        <v>1.2</v>
      </c>
      <c r="B20" s="308" t="s">
        <v>19</v>
      </c>
      <c r="C20" s="271"/>
      <c r="D20" s="271"/>
      <c r="E20" s="271"/>
      <c r="F20" s="271"/>
      <c r="G20" s="271"/>
      <c r="H20" s="271"/>
      <c r="I20" s="271"/>
      <c r="J20" s="271"/>
      <c r="K20" s="114"/>
      <c r="L20" s="114"/>
      <c r="M20" s="114"/>
      <c r="N20" s="114"/>
      <c r="O20" s="114"/>
      <c r="P20" s="114"/>
      <c r="Q20" s="114"/>
      <c r="R20" s="114"/>
      <c r="S20" s="114"/>
      <c r="T20" s="10"/>
    </row>
    <row r="21" spans="1:20" ht="12.75" hidden="1" customHeight="1">
      <c r="A21" s="115"/>
      <c r="B21" s="1048" t="s">
        <v>314</v>
      </c>
      <c r="C21" s="1048"/>
      <c r="D21" s="1048"/>
      <c r="E21" s="1048"/>
      <c r="F21" s="309">
        <f>+'Prod Parameters'!F17</f>
        <v>160</v>
      </c>
      <c r="G21" s="271"/>
      <c r="H21" s="271"/>
      <c r="I21" s="271"/>
      <c r="J21" s="271"/>
      <c r="K21" s="114"/>
      <c r="L21" s="114"/>
      <c r="M21" s="114"/>
      <c r="N21" s="114"/>
      <c r="O21" s="114"/>
      <c r="P21" s="114"/>
      <c r="Q21" s="114"/>
      <c r="R21" s="114"/>
      <c r="S21" s="114"/>
      <c r="T21" s="10"/>
    </row>
    <row r="22" spans="1:20" ht="12.75" hidden="1" customHeight="1">
      <c r="A22" s="115"/>
      <c r="B22" s="1048" t="s">
        <v>31</v>
      </c>
      <c r="C22" s="1048"/>
      <c r="D22" s="1048"/>
      <c r="E22" s="1048"/>
      <c r="F22" s="309">
        <f>+'Prod Parameters'!F18</f>
        <v>1.2</v>
      </c>
      <c r="G22" s="271"/>
      <c r="H22" s="271"/>
      <c r="I22" s="271"/>
      <c r="J22" s="271"/>
      <c r="K22" s="114"/>
      <c r="L22" s="114"/>
      <c r="M22" s="114"/>
      <c r="N22" s="114"/>
      <c r="O22" s="114"/>
      <c r="P22" s="114"/>
      <c r="Q22" s="114"/>
      <c r="R22" s="114"/>
      <c r="S22" s="114"/>
      <c r="T22" s="10"/>
    </row>
    <row r="23" spans="1:20" ht="12.75" hidden="1" customHeight="1">
      <c r="A23" s="115"/>
      <c r="B23" s="1048" t="s">
        <v>199</v>
      </c>
      <c r="C23" s="1048"/>
      <c r="D23" s="1048"/>
      <c r="E23" s="1048"/>
      <c r="F23" s="309">
        <f>+'Prod Parameters'!F19</f>
        <v>4</v>
      </c>
      <c r="G23" s="271"/>
      <c r="H23" s="271"/>
      <c r="I23" s="271"/>
      <c r="J23" s="271"/>
      <c r="K23" s="114"/>
      <c r="L23" s="114"/>
      <c r="M23" s="114"/>
      <c r="N23" s="114"/>
      <c r="O23" s="114"/>
      <c r="P23" s="114"/>
      <c r="Q23" s="114"/>
      <c r="R23" s="114"/>
      <c r="S23" s="114"/>
      <c r="T23" s="10"/>
    </row>
    <row r="24" spans="1:20" ht="12.75" hidden="1" customHeight="1">
      <c r="A24" s="115"/>
      <c r="B24" s="1048" t="s">
        <v>20</v>
      </c>
      <c r="C24" s="1048"/>
      <c r="D24" s="1048"/>
      <c r="E24" s="1048"/>
      <c r="F24" s="309">
        <f>+'Prod Parameters'!F20</f>
        <v>40</v>
      </c>
      <c r="G24" s="271"/>
      <c r="H24" s="271"/>
      <c r="I24" s="271"/>
      <c r="J24" s="271"/>
      <c r="K24" s="114"/>
      <c r="L24" s="114"/>
      <c r="M24" s="114"/>
      <c r="N24" s="114"/>
      <c r="O24" s="114"/>
      <c r="P24" s="114"/>
      <c r="Q24" s="114"/>
      <c r="R24" s="114"/>
      <c r="S24" s="114"/>
      <c r="T24" s="10"/>
    </row>
    <row r="25" spans="1:20" ht="12.75" hidden="1" customHeight="1">
      <c r="A25" s="115"/>
      <c r="B25" s="1048" t="s">
        <v>310</v>
      </c>
      <c r="C25" s="1048"/>
      <c r="D25" s="1048"/>
      <c r="E25" s="1048"/>
      <c r="F25" s="309">
        <f>+'Prod Parameters'!F21</f>
        <v>160</v>
      </c>
      <c r="G25" s="271"/>
      <c r="H25" s="271"/>
      <c r="I25" s="271"/>
      <c r="J25" s="271"/>
      <c r="K25" s="114"/>
      <c r="L25" s="114"/>
      <c r="M25" s="114"/>
      <c r="N25" s="114"/>
      <c r="O25" s="114"/>
      <c r="P25" s="114"/>
      <c r="Q25" s="114"/>
      <c r="R25" s="114"/>
      <c r="S25" s="114"/>
      <c r="T25" s="10"/>
    </row>
    <row r="26" spans="1:20" ht="12.75" hidden="1" customHeight="1">
      <c r="A26" s="115"/>
      <c r="B26" s="1048" t="s">
        <v>315</v>
      </c>
      <c r="C26" s="1048"/>
      <c r="D26" s="1048"/>
      <c r="E26" s="1048"/>
      <c r="F26" s="310">
        <f>+'Prod Parameters'!F22</f>
        <v>6400</v>
      </c>
      <c r="G26" s="271"/>
      <c r="H26" s="271"/>
      <c r="I26" s="271"/>
      <c r="J26" s="271"/>
      <c r="K26" s="114"/>
      <c r="L26" s="114"/>
      <c r="M26" s="114"/>
      <c r="N26" s="114"/>
      <c r="O26" s="114"/>
      <c r="P26" s="114"/>
      <c r="Q26" s="114"/>
      <c r="R26" s="114"/>
      <c r="S26" s="114"/>
      <c r="T26" s="10"/>
    </row>
    <row r="27" spans="1:20" ht="12.75" hidden="1" customHeight="1">
      <c r="A27" s="115"/>
      <c r="B27" s="1048" t="s">
        <v>187</v>
      </c>
      <c r="C27" s="1048"/>
      <c r="D27" s="1048"/>
      <c r="E27" s="1048"/>
      <c r="F27" s="310">
        <f>+'Prod Parameters'!F23</f>
        <v>7680</v>
      </c>
      <c r="G27" s="271"/>
      <c r="H27" s="271"/>
      <c r="I27" s="271"/>
      <c r="J27" s="271"/>
      <c r="K27" s="114"/>
      <c r="L27" s="114"/>
      <c r="M27" s="114"/>
      <c r="N27" s="114"/>
      <c r="O27" s="114"/>
      <c r="P27" s="114"/>
      <c r="Q27" s="114"/>
      <c r="R27" s="114"/>
      <c r="S27" s="114"/>
      <c r="T27" s="10"/>
    </row>
    <row r="28" spans="1:20" ht="12.75" hidden="1" customHeight="1">
      <c r="A28" s="115"/>
      <c r="B28" s="1048" t="s">
        <v>200</v>
      </c>
      <c r="C28" s="1048"/>
      <c r="D28" s="1048"/>
      <c r="E28" s="1048"/>
      <c r="F28" s="310">
        <f>+'Prod Parameters'!F24</f>
        <v>176640</v>
      </c>
      <c r="G28" s="271"/>
      <c r="H28" s="271"/>
      <c r="I28" s="271"/>
      <c r="J28" s="271"/>
      <c r="K28" s="114"/>
      <c r="L28" s="114"/>
      <c r="M28" s="114"/>
      <c r="N28" s="114"/>
      <c r="O28" s="114"/>
      <c r="P28" s="114"/>
      <c r="Q28" s="114"/>
      <c r="R28" s="114"/>
      <c r="S28" s="114"/>
      <c r="T28" s="10"/>
    </row>
    <row r="29" spans="1:20" ht="12.75" hidden="1" customHeight="1">
      <c r="A29" s="115"/>
      <c r="B29" s="271"/>
      <c r="C29" s="271"/>
      <c r="D29" s="271"/>
      <c r="E29" s="271"/>
      <c r="F29" s="271"/>
      <c r="G29" s="271"/>
      <c r="H29" s="271"/>
      <c r="I29" s="271"/>
      <c r="J29" s="271"/>
      <c r="K29" s="114"/>
      <c r="L29" s="114"/>
      <c r="M29" s="114"/>
      <c r="N29" s="114"/>
      <c r="O29" s="114"/>
      <c r="P29" s="114"/>
      <c r="Q29" s="114"/>
      <c r="R29" s="114"/>
      <c r="S29" s="114"/>
      <c r="T29" s="10"/>
    </row>
    <row r="30" spans="1:20" ht="12.75" hidden="1" customHeight="1">
      <c r="A30" s="273" t="s">
        <v>33</v>
      </c>
      <c r="B30" s="307" t="s">
        <v>821</v>
      </c>
      <c r="C30" s="271"/>
      <c r="D30" s="271"/>
      <c r="E30" s="271"/>
      <c r="F30" s="271"/>
      <c r="G30" s="271"/>
      <c r="H30" s="271"/>
      <c r="I30" s="271"/>
      <c r="J30" s="271"/>
      <c r="K30" s="114"/>
      <c r="L30" s="114"/>
      <c r="M30" s="114"/>
      <c r="N30" s="114"/>
      <c r="O30" s="114"/>
      <c r="P30" s="114"/>
      <c r="Q30" s="114"/>
      <c r="R30" s="114"/>
      <c r="S30" s="114"/>
      <c r="T30" s="10"/>
    </row>
    <row r="31" spans="1:20" ht="12.75" hidden="1" customHeight="1">
      <c r="A31" s="273"/>
      <c r="B31" s="272"/>
      <c r="C31" s="271"/>
      <c r="D31" s="271"/>
      <c r="E31" s="271"/>
      <c r="F31" s="271"/>
      <c r="G31" s="271"/>
      <c r="H31" s="271"/>
      <c r="I31" s="271"/>
      <c r="J31" s="271"/>
      <c r="K31" s="114"/>
      <c r="L31" s="114"/>
      <c r="M31" s="114"/>
      <c r="N31" s="114"/>
      <c r="O31" s="114"/>
      <c r="P31" s="114"/>
      <c r="Q31" s="114"/>
      <c r="R31" s="114"/>
      <c r="S31" s="114"/>
      <c r="T31" s="10"/>
    </row>
    <row r="32" spans="1:20" ht="12.75" hidden="1" customHeight="1">
      <c r="A32" s="273">
        <v>2.1</v>
      </c>
      <c r="B32" s="272" t="s">
        <v>831</v>
      </c>
      <c r="C32" s="271"/>
      <c r="D32" s="271"/>
      <c r="E32" s="311"/>
      <c r="F32" s="311"/>
      <c r="G32" s="311"/>
      <c r="H32" s="311"/>
      <c r="I32" s="311"/>
      <c r="J32" s="311"/>
      <c r="K32" s="1106"/>
      <c r="L32" s="1106"/>
      <c r="M32" s="312"/>
      <c r="N32" s="312"/>
      <c r="O32" s="114"/>
      <c r="P32" s="114"/>
      <c r="Q32" s="114"/>
      <c r="R32" s="114"/>
      <c r="S32" s="114"/>
      <c r="T32" s="10"/>
    </row>
    <row r="33" spans="1:20" ht="12.75" hidden="1" customHeight="1">
      <c r="A33" s="273"/>
      <c r="B33" s="1032" t="s">
        <v>77</v>
      </c>
      <c r="C33" s="1033"/>
      <c r="D33" s="1050"/>
      <c r="E33" s="1032" t="s">
        <v>21</v>
      </c>
      <c r="F33" s="1033"/>
      <c r="G33" s="1032" t="s">
        <v>22</v>
      </c>
      <c r="H33" s="1033"/>
      <c r="I33" s="1032" t="s">
        <v>579</v>
      </c>
      <c r="J33" s="1033"/>
      <c r="K33" s="824" t="s">
        <v>500</v>
      </c>
      <c r="L33" s="824"/>
      <c r="M33" s="314"/>
      <c r="N33" s="314"/>
      <c r="O33" s="114"/>
      <c r="P33" s="114"/>
      <c r="Q33" s="114"/>
      <c r="R33" s="114"/>
      <c r="S33" s="114"/>
      <c r="T33" s="10"/>
    </row>
    <row r="34" spans="1:20" ht="12.75" hidden="1" customHeight="1">
      <c r="A34" s="273"/>
      <c r="B34" s="1049" t="s">
        <v>824</v>
      </c>
      <c r="C34" s="1049"/>
      <c r="D34" s="1049"/>
      <c r="E34" s="1038">
        <f>+'Lookup Properties'!B4</f>
        <v>21.25</v>
      </c>
      <c r="F34" s="1038"/>
      <c r="G34" s="1038">
        <f>+'Lookup Properties'!B5</f>
        <v>22.35</v>
      </c>
      <c r="H34" s="1038"/>
      <c r="I34" s="1038">
        <f>+'Lookup Properties'!B6</f>
        <v>22.15</v>
      </c>
      <c r="J34" s="1038"/>
      <c r="K34" s="1038">
        <v>23</v>
      </c>
      <c r="L34" s="1038"/>
      <c r="M34" s="315"/>
      <c r="N34" s="315"/>
      <c r="O34" s="114"/>
      <c r="P34" s="114"/>
      <c r="Q34" s="114"/>
      <c r="R34" s="114"/>
      <c r="S34" s="114"/>
      <c r="T34" s="10"/>
    </row>
    <row r="35" spans="1:20" ht="12.75" hidden="1" customHeight="1">
      <c r="A35" s="273"/>
      <c r="B35" s="1049" t="s">
        <v>828</v>
      </c>
      <c r="C35" s="1049"/>
      <c r="D35" s="1049"/>
      <c r="E35" s="1038">
        <f>+'Lookup Properties'!C4</f>
        <v>17.399999999999999</v>
      </c>
      <c r="F35" s="1038"/>
      <c r="G35" s="1038">
        <f>+'Lookup Properties'!C5</f>
        <v>17.399999999999999</v>
      </c>
      <c r="H35" s="1038"/>
      <c r="I35" s="1038">
        <f>+'Lookup Properties'!C6</f>
        <v>18.149999999999999</v>
      </c>
      <c r="J35" s="1038"/>
      <c r="K35" s="1038">
        <f>+'Lookup Properties'!C7</f>
        <v>15.4</v>
      </c>
      <c r="L35" s="1038"/>
      <c r="M35" s="315"/>
      <c r="N35" s="315"/>
      <c r="O35" s="114"/>
      <c r="P35" s="114"/>
      <c r="Q35" s="114"/>
      <c r="R35" s="114"/>
      <c r="S35" s="114"/>
      <c r="T35" s="10"/>
    </row>
    <row r="36" spans="1:20" ht="12.75" hidden="1" customHeight="1">
      <c r="A36" s="273"/>
      <c r="B36" s="1049" t="s">
        <v>826</v>
      </c>
      <c r="C36" s="1049"/>
      <c r="D36" s="1049"/>
      <c r="E36" s="1038">
        <f>+'Lookup Properties'!D4</f>
        <v>5</v>
      </c>
      <c r="F36" s="1038"/>
      <c r="G36" s="1038">
        <f>+'Lookup Properties'!D5</f>
        <v>5</v>
      </c>
      <c r="H36" s="1038"/>
      <c r="I36" s="1038">
        <f>+'Lookup Properties'!D6</f>
        <v>5</v>
      </c>
      <c r="J36" s="1038"/>
      <c r="K36" s="1038">
        <f>+'Lookup Properties'!D7</f>
        <v>4.8</v>
      </c>
      <c r="L36" s="1038"/>
      <c r="M36" s="315"/>
      <c r="N36" s="315"/>
      <c r="O36" s="114"/>
      <c r="P36" s="114"/>
      <c r="Q36" s="114"/>
      <c r="R36" s="114"/>
      <c r="S36" s="114"/>
      <c r="T36" s="10"/>
    </row>
    <row r="37" spans="1:20" ht="12.75" hidden="1" customHeight="1">
      <c r="A37" s="115"/>
      <c r="B37" s="1065" t="s">
        <v>23</v>
      </c>
      <c r="C37" s="1066"/>
      <c r="D37" s="1067"/>
      <c r="E37" s="1038">
        <f>SUM(E34:F36)</f>
        <v>43.65</v>
      </c>
      <c r="F37" s="824"/>
      <c r="G37" s="1038">
        <f>SUM(G34:H36)</f>
        <v>44.75</v>
      </c>
      <c r="H37" s="824"/>
      <c r="I37" s="1038">
        <f>SUM(I34:J36)</f>
        <v>45.3</v>
      </c>
      <c r="J37" s="824"/>
      <c r="K37" s="1038">
        <f>SUM(K34:L36)</f>
        <v>43.199999999999996</v>
      </c>
      <c r="L37" s="824"/>
      <c r="M37" s="314"/>
      <c r="N37" s="314"/>
      <c r="O37" s="114"/>
      <c r="P37" s="114"/>
      <c r="Q37" s="114"/>
      <c r="R37" s="114"/>
      <c r="S37" s="114"/>
      <c r="T37" s="10"/>
    </row>
    <row r="38" spans="1:20" ht="12.75" hidden="1" customHeight="1">
      <c r="A38" s="308"/>
      <c r="B38" s="114"/>
      <c r="C38" s="114"/>
      <c r="D38" s="114"/>
      <c r="E38" s="316"/>
      <c r="F38" s="316"/>
      <c r="G38" s="316"/>
      <c r="H38" s="316"/>
      <c r="I38" s="316"/>
      <c r="J38" s="316"/>
      <c r="K38" s="114"/>
      <c r="L38" s="114"/>
      <c r="M38" s="114"/>
      <c r="N38" s="114"/>
      <c r="O38" s="114"/>
      <c r="P38" s="114"/>
      <c r="Q38" s="114"/>
      <c r="R38" s="114"/>
      <c r="S38" s="114"/>
      <c r="T38" s="10"/>
    </row>
    <row r="39" spans="1:20" ht="12.75" hidden="1" customHeight="1">
      <c r="A39" s="115">
        <v>2.2000000000000002</v>
      </c>
      <c r="B39" s="272" t="s">
        <v>832</v>
      </c>
      <c r="C39" s="271"/>
      <c r="D39" s="271"/>
      <c r="E39" s="271"/>
      <c r="F39" s="271"/>
      <c r="G39" s="271"/>
      <c r="H39" s="271"/>
      <c r="I39" s="271"/>
      <c r="J39" s="271"/>
      <c r="K39" s="114"/>
      <c r="L39" s="114"/>
      <c r="M39" s="114"/>
      <c r="N39" s="114"/>
      <c r="O39" s="114"/>
      <c r="P39" s="114"/>
      <c r="Q39" s="114"/>
      <c r="R39" s="114"/>
      <c r="S39" s="114"/>
      <c r="T39" s="10"/>
    </row>
    <row r="40" spans="1:20" ht="12.75" hidden="1" customHeight="1">
      <c r="A40" s="115"/>
      <c r="B40" s="1042" t="s">
        <v>77</v>
      </c>
      <c r="C40" s="1042"/>
      <c r="D40" s="1042"/>
      <c r="E40" s="1032" t="s">
        <v>21</v>
      </c>
      <c r="F40" s="1033"/>
      <c r="G40" s="1032" t="s">
        <v>22</v>
      </c>
      <c r="H40" s="1033"/>
      <c r="I40" s="1032" t="s">
        <v>579</v>
      </c>
      <c r="J40" s="1033"/>
      <c r="K40" s="824" t="s">
        <v>500</v>
      </c>
      <c r="L40" s="824"/>
      <c r="M40" s="314"/>
      <c r="N40" s="314"/>
      <c r="O40" s="114"/>
      <c r="P40" s="114"/>
      <c r="Q40" s="114"/>
      <c r="R40" s="114"/>
      <c r="S40" s="114"/>
      <c r="T40" s="10"/>
    </row>
    <row r="41" spans="1:20" ht="12.75" hidden="1" customHeight="1">
      <c r="A41" s="115"/>
      <c r="B41" s="1049" t="s">
        <v>824</v>
      </c>
      <c r="C41" s="1049"/>
      <c r="D41" s="1049"/>
      <c r="E41" s="1040">
        <f>+'Lookup Properties'!B10</f>
        <v>0.71</v>
      </c>
      <c r="F41" s="1051"/>
      <c r="G41" s="1040">
        <f>+'Lookup Properties'!B11</f>
        <v>0.71499999999999997</v>
      </c>
      <c r="H41" s="1041"/>
      <c r="I41" s="1040">
        <f>+'Lookup Properties'!B12</f>
        <v>0.755</v>
      </c>
      <c r="J41" s="1041"/>
      <c r="K41" s="824">
        <f>+'Lookup Properties'!B13</f>
        <v>0.74</v>
      </c>
      <c r="L41" s="824"/>
      <c r="M41" s="314"/>
      <c r="N41" s="314"/>
      <c r="O41" s="114"/>
      <c r="P41" s="114"/>
      <c r="Q41" s="114"/>
      <c r="R41" s="114"/>
      <c r="S41" s="114"/>
      <c r="T41" s="10"/>
    </row>
    <row r="42" spans="1:20" ht="12.75" hidden="1" customHeight="1">
      <c r="A42" s="115"/>
      <c r="B42" s="1049" t="s">
        <v>828</v>
      </c>
      <c r="C42" s="1049"/>
      <c r="D42" s="1049"/>
      <c r="E42" s="1040">
        <f>+'Lookup Properties'!C10</f>
        <v>1.03</v>
      </c>
      <c r="F42" s="1041"/>
      <c r="G42" s="1040">
        <f>+'Lookup Properties'!C11</f>
        <v>1.03</v>
      </c>
      <c r="H42" s="1041"/>
      <c r="I42" s="1040">
        <f>+'Lookup Properties'!C12</f>
        <v>1.07</v>
      </c>
      <c r="J42" s="1041"/>
      <c r="K42" s="824">
        <f>+'Lookup Properties'!C13</f>
        <v>0.78</v>
      </c>
      <c r="L42" s="824"/>
      <c r="M42" s="314"/>
      <c r="N42" s="314"/>
      <c r="O42" s="114"/>
      <c r="P42" s="114"/>
      <c r="Q42" s="114"/>
      <c r="R42" s="114"/>
      <c r="S42" s="114"/>
      <c r="T42" s="10"/>
    </row>
    <row r="43" spans="1:20" ht="12.75" hidden="1" customHeight="1">
      <c r="A43" s="115"/>
      <c r="B43" s="1049" t="s">
        <v>826</v>
      </c>
      <c r="C43" s="1049"/>
      <c r="D43" s="1049"/>
      <c r="E43" s="1040">
        <f>+'Lookup Properties'!D10</f>
        <v>1.29</v>
      </c>
      <c r="F43" s="1041"/>
      <c r="G43" s="1040">
        <f>+'Lookup Properties'!D11</f>
        <v>1.29</v>
      </c>
      <c r="H43" s="1041"/>
      <c r="I43" s="1040">
        <f>+'Lookup Properties'!D12</f>
        <v>1.2949999999999999</v>
      </c>
      <c r="J43" s="1041"/>
      <c r="K43" s="824">
        <f>+'Lookup Properties'!D13</f>
        <v>1.26</v>
      </c>
      <c r="L43" s="824"/>
      <c r="M43" s="314"/>
      <c r="N43" s="314"/>
      <c r="O43" s="114"/>
      <c r="P43" s="114"/>
      <c r="Q43" s="114"/>
      <c r="R43" s="114"/>
      <c r="S43" s="114"/>
      <c r="T43" s="10"/>
    </row>
    <row r="44" spans="1:20" ht="12.75" hidden="1" customHeight="1">
      <c r="A44" s="115"/>
      <c r="B44" s="1055" t="s">
        <v>23</v>
      </c>
      <c r="C44" s="1055"/>
      <c r="D44" s="1055"/>
      <c r="E44" s="1040">
        <f>SUM(E41:F43)</f>
        <v>3.0300000000000002</v>
      </c>
      <c r="F44" s="1041"/>
      <c r="G44" s="1040">
        <f>SUM(G41:H43)</f>
        <v>3.0350000000000001</v>
      </c>
      <c r="H44" s="1041"/>
      <c r="I44" s="1040">
        <f>SUM(I41:J43)</f>
        <v>3.12</v>
      </c>
      <c r="J44" s="1041"/>
      <c r="K44" s="1039">
        <f>SUM(K41:L43)</f>
        <v>2.7800000000000002</v>
      </c>
      <c r="L44" s="1039"/>
      <c r="M44" s="318"/>
      <c r="N44" s="318"/>
      <c r="O44" s="114"/>
      <c r="P44" s="114"/>
      <c r="Q44" s="114"/>
      <c r="R44" s="114"/>
      <c r="S44" s="114"/>
      <c r="T44" s="10"/>
    </row>
    <row r="45" spans="1:20" ht="12.75" hidden="1" customHeight="1">
      <c r="A45" s="308"/>
      <c r="B45" s="114"/>
      <c r="C45" s="114"/>
      <c r="D45" s="114"/>
      <c r="E45" s="316"/>
      <c r="F45" s="316"/>
      <c r="G45" s="316"/>
      <c r="H45" s="316"/>
      <c r="I45" s="316"/>
      <c r="J45" s="316"/>
      <c r="K45" s="114"/>
      <c r="L45" s="114"/>
      <c r="M45" s="114"/>
      <c r="N45" s="114"/>
      <c r="O45" s="114"/>
      <c r="P45" s="114"/>
      <c r="Q45" s="114"/>
      <c r="R45" s="114"/>
      <c r="S45" s="114"/>
      <c r="T45" s="10"/>
    </row>
    <row r="46" spans="1:20" ht="12.75" hidden="1" customHeight="1">
      <c r="A46" s="319" t="s">
        <v>817</v>
      </c>
      <c r="B46" s="308" t="s">
        <v>206</v>
      </c>
      <c r="C46" s="114"/>
      <c r="D46" s="114"/>
      <c r="E46" s="316"/>
      <c r="F46" s="316"/>
      <c r="G46" s="316"/>
      <c r="H46" s="316"/>
      <c r="I46" s="316"/>
      <c r="J46" s="316"/>
      <c r="K46" s="114"/>
      <c r="L46" s="114"/>
      <c r="M46" s="114"/>
      <c r="N46" s="114"/>
      <c r="O46" s="114"/>
      <c r="P46" s="114"/>
      <c r="Q46" s="114"/>
      <c r="R46" s="114"/>
      <c r="S46" s="114"/>
      <c r="T46" s="10"/>
    </row>
    <row r="47" spans="1:20" ht="12.75" hidden="1" customHeight="1">
      <c r="A47" s="319"/>
      <c r="B47" s="308"/>
      <c r="C47" s="114"/>
      <c r="D47" s="114"/>
      <c r="E47" s="316"/>
      <c r="F47" s="316"/>
      <c r="G47" s="316"/>
      <c r="H47" s="316"/>
      <c r="I47" s="316"/>
      <c r="J47" s="316"/>
      <c r="K47" s="114"/>
      <c r="L47" s="114"/>
      <c r="M47" s="114"/>
      <c r="N47" s="114"/>
      <c r="O47" s="114"/>
      <c r="P47" s="114"/>
      <c r="Q47" s="114"/>
      <c r="R47" s="114"/>
      <c r="S47" s="114"/>
      <c r="T47" s="10"/>
    </row>
    <row r="48" spans="1:20" ht="12.75" hidden="1" customHeight="1">
      <c r="A48" s="319" t="s">
        <v>196</v>
      </c>
      <c r="B48" s="308" t="s">
        <v>207</v>
      </c>
      <c r="C48" s="114"/>
      <c r="D48" s="114"/>
      <c r="E48" s="316"/>
      <c r="F48" s="316"/>
      <c r="G48" s="316"/>
      <c r="H48" s="316"/>
      <c r="I48" s="316"/>
      <c r="J48" s="316"/>
      <c r="K48" s="114"/>
      <c r="L48" s="114"/>
      <c r="M48" s="114"/>
      <c r="N48" s="114"/>
      <c r="O48" s="114"/>
      <c r="P48" s="114"/>
      <c r="Q48" s="114"/>
      <c r="R48" s="114"/>
      <c r="S48" s="114"/>
      <c r="T48" s="10"/>
    </row>
    <row r="49" spans="1:47" ht="12.75" hidden="1" customHeight="1">
      <c r="A49" s="308"/>
      <c r="B49" s="824" t="s">
        <v>678</v>
      </c>
      <c r="C49" s="824"/>
      <c r="D49" s="824"/>
      <c r="E49" s="1032" t="s">
        <v>21</v>
      </c>
      <c r="F49" s="1033"/>
      <c r="G49" s="1032" t="s">
        <v>22</v>
      </c>
      <c r="H49" s="1033"/>
      <c r="I49" s="1032" t="s">
        <v>579</v>
      </c>
      <c r="J49" s="1033"/>
      <c r="K49" s="824" t="s">
        <v>500</v>
      </c>
      <c r="L49" s="824"/>
      <c r="M49" s="314"/>
      <c r="N49" s="314"/>
      <c r="O49" s="114"/>
      <c r="P49" s="114"/>
      <c r="Q49" s="114"/>
      <c r="R49" s="114"/>
      <c r="S49" s="114"/>
      <c r="T49" s="10"/>
    </row>
    <row r="50" spans="1:47" ht="12.75" hidden="1" customHeight="1">
      <c r="A50" s="308"/>
      <c r="B50" s="1044" t="s">
        <v>210</v>
      </c>
      <c r="C50" s="1044"/>
      <c r="D50" s="1044"/>
      <c r="E50" s="1039">
        <f>VLOOKUP($E$5,'Lookup Penetration Rate'!$B$8:$E$208,2)</f>
        <v>0.75</v>
      </c>
      <c r="F50" s="1039"/>
      <c r="G50" s="1039">
        <f>VLOOKUP($E$5,'Lookup Penetration Rate'!$B$8:$E$208,3)</f>
        <v>0.64</v>
      </c>
      <c r="H50" s="1039"/>
      <c r="I50" s="1039">
        <f>VLOOKUP($E$5,'Lookup Penetration Rate'!$B$8:$E$208,4)</f>
        <v>0.54</v>
      </c>
      <c r="J50" s="1039"/>
      <c r="K50" s="1039">
        <v>0.3</v>
      </c>
      <c r="L50" s="1039"/>
      <c r="M50" s="318"/>
      <c r="N50" s="318"/>
      <c r="O50" s="114"/>
      <c r="P50" s="114"/>
      <c r="Q50" s="114"/>
      <c r="R50" s="114"/>
      <c r="S50" s="114"/>
      <c r="T50" s="10"/>
    </row>
    <row r="51" spans="1:47" ht="12.75" hidden="1" customHeight="1">
      <c r="A51" s="308"/>
      <c r="B51" s="114"/>
      <c r="C51" s="114"/>
      <c r="D51" s="114"/>
      <c r="E51" s="316"/>
      <c r="F51" s="316"/>
      <c r="G51" s="316"/>
      <c r="H51" s="316"/>
      <c r="I51" s="316"/>
      <c r="J51" s="316"/>
      <c r="K51" s="114"/>
      <c r="L51" s="114"/>
      <c r="M51" s="114"/>
      <c r="N51" s="114"/>
      <c r="O51" s="114"/>
      <c r="P51" s="114"/>
      <c r="Q51" s="114"/>
      <c r="R51" s="114"/>
      <c r="S51" s="114"/>
      <c r="T51" s="10"/>
    </row>
    <row r="52" spans="1:47" ht="12.75" hidden="1" customHeight="1">
      <c r="A52" s="319" t="s">
        <v>197</v>
      </c>
      <c r="B52" s="308" t="s">
        <v>208</v>
      </c>
      <c r="C52" s="114"/>
      <c r="D52" s="114"/>
      <c r="E52" s="316"/>
      <c r="F52" s="316"/>
      <c r="G52" s="316"/>
      <c r="H52" s="316"/>
      <c r="I52" s="316"/>
      <c r="J52" s="316"/>
      <c r="K52" s="114"/>
      <c r="L52" s="114"/>
      <c r="M52" s="114"/>
      <c r="N52" s="114"/>
      <c r="O52" s="114"/>
      <c r="P52" s="114"/>
      <c r="Q52" s="114"/>
      <c r="R52" s="114"/>
      <c r="S52" s="114"/>
      <c r="T52" s="10"/>
    </row>
    <row r="53" spans="1:47" ht="12.75" hidden="1" customHeight="1">
      <c r="A53" s="319"/>
      <c r="B53" s="824" t="s">
        <v>678</v>
      </c>
      <c r="C53" s="824"/>
      <c r="D53" s="824"/>
      <c r="E53" s="1032" t="s">
        <v>21</v>
      </c>
      <c r="F53" s="1033"/>
      <c r="G53" s="1032" t="s">
        <v>22</v>
      </c>
      <c r="H53" s="1033"/>
      <c r="I53" s="1032" t="s">
        <v>579</v>
      </c>
      <c r="J53" s="1033"/>
      <c r="K53" s="824" t="s">
        <v>500</v>
      </c>
      <c r="L53" s="824"/>
      <c r="M53" s="314"/>
      <c r="N53" s="314"/>
      <c r="O53" s="114"/>
      <c r="P53" s="114"/>
      <c r="Q53" s="114"/>
      <c r="R53" s="114"/>
      <c r="S53" s="114"/>
      <c r="T53" s="10"/>
    </row>
    <row r="54" spans="1:47" ht="12.75" hidden="1" customHeight="1">
      <c r="A54" s="319"/>
      <c r="B54" s="1044" t="s">
        <v>209</v>
      </c>
      <c r="C54" s="1044"/>
      <c r="D54" s="1044"/>
      <c r="E54" s="1040">
        <f>$F$22/E50</f>
        <v>1.5999999999999999</v>
      </c>
      <c r="F54" s="1041"/>
      <c r="G54" s="1040">
        <f>$F$22/G50</f>
        <v>1.875</v>
      </c>
      <c r="H54" s="1041"/>
      <c r="I54" s="1040">
        <f>$F$22/I50</f>
        <v>2.2222222222222219</v>
      </c>
      <c r="J54" s="1041"/>
      <c r="K54" s="1039">
        <f>$F$22/K50</f>
        <v>4</v>
      </c>
      <c r="L54" s="1039"/>
      <c r="M54" s="318"/>
      <c r="N54" s="318"/>
      <c r="O54" s="114"/>
      <c r="P54" s="114"/>
      <c r="Q54" s="114"/>
      <c r="R54" s="114"/>
      <c r="S54" s="114"/>
      <c r="T54" s="10"/>
    </row>
    <row r="55" spans="1:47" ht="12.75" hidden="1" customHeight="1">
      <c r="A55" s="308"/>
      <c r="B55" s="114"/>
      <c r="C55" s="114"/>
      <c r="D55" s="114"/>
      <c r="E55" s="316"/>
      <c r="F55" s="316"/>
      <c r="G55" s="316"/>
      <c r="H55" s="316"/>
      <c r="I55" s="316"/>
      <c r="J55" s="316"/>
      <c r="K55" s="114"/>
      <c r="L55" s="114"/>
      <c r="M55" s="114"/>
      <c r="N55" s="114"/>
      <c r="O55" s="114"/>
      <c r="P55" s="114"/>
      <c r="Q55" s="114"/>
      <c r="R55" s="114"/>
      <c r="S55" s="114"/>
      <c r="T55" s="10"/>
    </row>
    <row r="56" spans="1:47" ht="12.75" hidden="1" customHeight="1">
      <c r="A56" s="269">
        <v>3.3</v>
      </c>
      <c r="B56" s="272" t="s">
        <v>211</v>
      </c>
      <c r="C56" s="271"/>
      <c r="D56" s="271"/>
      <c r="E56" s="271"/>
      <c r="F56" s="271"/>
      <c r="G56" s="271"/>
      <c r="H56" s="271"/>
      <c r="I56" s="271"/>
      <c r="J56" s="271"/>
      <c r="K56" s="114"/>
      <c r="L56" s="114"/>
      <c r="M56" s="114"/>
      <c r="N56" s="114"/>
      <c r="O56" s="114"/>
      <c r="P56" s="114"/>
      <c r="Q56" s="114"/>
      <c r="R56" s="114"/>
      <c r="S56" s="114"/>
      <c r="T56" s="10"/>
    </row>
    <row r="57" spans="1:47" ht="12.75" hidden="1" customHeight="1">
      <c r="A57" s="269"/>
      <c r="B57" s="824" t="s">
        <v>678</v>
      </c>
      <c r="C57" s="824"/>
      <c r="D57" s="824"/>
      <c r="E57" s="1032" t="s">
        <v>21</v>
      </c>
      <c r="F57" s="1033"/>
      <c r="G57" s="1032" t="s">
        <v>22</v>
      </c>
      <c r="H57" s="1033"/>
      <c r="I57" s="1032" t="s">
        <v>579</v>
      </c>
      <c r="J57" s="1033"/>
      <c r="K57" s="824" t="s">
        <v>500</v>
      </c>
      <c r="L57" s="824"/>
      <c r="M57" s="314"/>
      <c r="N57" s="314"/>
      <c r="O57" s="114"/>
      <c r="P57" s="114"/>
      <c r="Q57" s="114"/>
      <c r="R57" s="114"/>
      <c r="S57" s="114"/>
      <c r="T57" s="10"/>
    </row>
    <row r="58" spans="1:47" ht="12.75" hidden="1" customHeight="1">
      <c r="A58" s="269"/>
      <c r="B58" s="1044" t="s">
        <v>209</v>
      </c>
      <c r="C58" s="1044"/>
      <c r="D58" s="1044"/>
      <c r="E58" s="1030">
        <f>(E54*$F$26)/$F$25</f>
        <v>64</v>
      </c>
      <c r="F58" s="1031"/>
      <c r="G58" s="1030">
        <f>(G54*$F$26)/$F$25</f>
        <v>75</v>
      </c>
      <c r="H58" s="1031"/>
      <c r="I58" s="1030">
        <f>(I54*$F$26)/$F$25</f>
        <v>88.888888888888886</v>
      </c>
      <c r="J58" s="1031"/>
      <c r="K58" s="1038">
        <f>(K54*$F$26)/$F$25</f>
        <v>160</v>
      </c>
      <c r="L58" s="1038"/>
      <c r="M58" s="315"/>
      <c r="N58" s="315"/>
      <c r="O58" s="114"/>
      <c r="P58" s="114"/>
      <c r="Q58" s="114"/>
      <c r="R58" s="114"/>
      <c r="S58" s="114"/>
      <c r="T58" s="10"/>
    </row>
    <row r="59" spans="1:47" ht="12.75" hidden="1" customHeight="1">
      <c r="A59" s="269"/>
      <c r="B59" s="1042" t="s">
        <v>212</v>
      </c>
      <c r="C59" s="1042"/>
      <c r="D59" s="1042"/>
      <c r="E59" s="1040">
        <f>E58/60</f>
        <v>1.0666666666666667</v>
      </c>
      <c r="F59" s="1041"/>
      <c r="G59" s="1040">
        <f>G58/60</f>
        <v>1.25</v>
      </c>
      <c r="H59" s="1041"/>
      <c r="I59" s="1040">
        <f>I58/60</f>
        <v>1.4814814814814814</v>
      </c>
      <c r="J59" s="1041"/>
      <c r="K59" s="1039">
        <f>K58/60</f>
        <v>2.6666666666666665</v>
      </c>
      <c r="L59" s="1039"/>
      <c r="M59" s="315"/>
      <c r="N59" s="315"/>
      <c r="O59" s="114"/>
      <c r="P59" s="114"/>
      <c r="Q59" s="114"/>
      <c r="R59" s="114"/>
      <c r="S59" s="114"/>
      <c r="T59" s="10"/>
    </row>
    <row r="60" spans="1:47" ht="12.75" hidden="1" customHeight="1">
      <c r="A60" s="269"/>
      <c r="B60" s="272"/>
      <c r="C60" s="271"/>
      <c r="D60" s="271"/>
      <c r="E60" s="271"/>
      <c r="F60" s="271"/>
      <c r="G60" s="271"/>
      <c r="H60" s="271"/>
      <c r="I60" s="271"/>
      <c r="J60" s="271"/>
      <c r="K60" s="114"/>
      <c r="L60" s="114"/>
      <c r="M60" s="127"/>
      <c r="N60" s="127"/>
      <c r="O60" s="114"/>
      <c r="P60" s="114"/>
      <c r="Q60" s="114"/>
      <c r="R60" s="114"/>
      <c r="S60" s="114"/>
      <c r="T60" s="10"/>
    </row>
    <row r="61" spans="1:47" ht="12.75" hidden="1" customHeight="1">
      <c r="A61" s="320" t="s">
        <v>295</v>
      </c>
      <c r="B61" s="272" t="s">
        <v>216</v>
      </c>
      <c r="C61" s="271"/>
      <c r="D61" s="271"/>
      <c r="E61" s="271"/>
      <c r="F61" s="271"/>
      <c r="G61" s="271"/>
      <c r="H61" s="271"/>
      <c r="I61" s="271"/>
      <c r="J61" s="271"/>
      <c r="K61" s="114"/>
      <c r="L61" s="114"/>
      <c r="M61" s="127"/>
      <c r="N61" s="127"/>
      <c r="O61" s="114"/>
      <c r="P61" s="114"/>
      <c r="Q61" s="114"/>
      <c r="R61" s="114"/>
      <c r="S61" s="114"/>
      <c r="T61" s="10"/>
    </row>
    <row r="62" spans="1:47" ht="12.75" hidden="1" customHeight="1" thickBot="1">
      <c r="A62" s="269"/>
      <c r="B62" s="272"/>
      <c r="C62" s="271"/>
      <c r="D62" s="271"/>
      <c r="E62" s="271"/>
      <c r="F62" s="271"/>
      <c r="G62" s="271"/>
      <c r="H62" s="271"/>
      <c r="I62" s="271"/>
      <c r="J62" s="271"/>
      <c r="K62" s="114"/>
      <c r="L62" s="114"/>
      <c r="M62" s="127"/>
      <c r="N62" s="127"/>
      <c r="O62" s="308"/>
      <c r="P62" s="308"/>
      <c r="Q62" s="308"/>
      <c r="R62" s="308"/>
      <c r="S62" s="308"/>
      <c r="T62" s="10"/>
      <c r="U62" s="1064" t="e">
        <f>+P65</f>
        <v>#REF!</v>
      </c>
      <c r="V62" s="1064"/>
      <c r="W62" s="1064"/>
      <c r="X62" s="1064"/>
      <c r="Y62" s="1064"/>
      <c r="Z62" s="1064"/>
      <c r="AB62" s="1080" t="e">
        <f>+Q65</f>
        <v>#REF!</v>
      </c>
      <c r="AC62" s="1080"/>
      <c r="AD62" s="1080"/>
      <c r="AE62" s="1080"/>
      <c r="AF62" s="1080"/>
      <c r="AG62" s="1080"/>
      <c r="AI62" s="1074">
        <f>+R65</f>
        <v>0</v>
      </c>
      <c r="AJ62" s="1075"/>
      <c r="AK62" s="1075"/>
      <c r="AL62" s="1075"/>
      <c r="AM62" s="1075"/>
      <c r="AN62" s="1075"/>
      <c r="AP62" s="1064" t="e">
        <f>+S65</f>
        <v>#REF!</v>
      </c>
      <c r="AQ62" s="1064"/>
      <c r="AR62" s="1064"/>
      <c r="AS62" s="1064"/>
      <c r="AT62" s="1064"/>
      <c r="AU62" s="1064"/>
    </row>
    <row r="63" spans="1:47" ht="12.75" hidden="1" customHeight="1" thickBot="1">
      <c r="A63" s="273" t="s">
        <v>213</v>
      </c>
      <c r="B63" s="308" t="s">
        <v>201</v>
      </c>
      <c r="C63" s="114"/>
      <c r="D63" s="114"/>
      <c r="E63" s="316"/>
      <c r="F63" s="316"/>
      <c r="G63" s="316"/>
      <c r="H63" s="316"/>
      <c r="I63" s="316"/>
      <c r="J63" s="316"/>
      <c r="K63" s="114"/>
      <c r="L63" s="114"/>
      <c r="M63" s="127"/>
      <c r="N63" s="127"/>
      <c r="O63" s="824" t="s">
        <v>195</v>
      </c>
      <c r="P63" s="824"/>
      <c r="Q63" s="824"/>
      <c r="R63" s="824"/>
      <c r="S63" s="824"/>
      <c r="T63" s="93"/>
      <c r="U63" s="1045" t="s">
        <v>205</v>
      </c>
      <c r="V63" s="1046"/>
      <c r="W63" s="1046"/>
      <c r="X63" s="1046"/>
      <c r="Y63" s="1046"/>
      <c r="Z63" s="1047"/>
      <c r="AB63" s="816" t="s">
        <v>205</v>
      </c>
      <c r="AC63" s="817"/>
      <c r="AD63" s="817"/>
      <c r="AE63" s="817"/>
      <c r="AF63" s="817"/>
      <c r="AG63" s="818"/>
      <c r="AI63" s="1045" t="s">
        <v>205</v>
      </c>
      <c r="AJ63" s="1046"/>
      <c r="AK63" s="1046"/>
      <c r="AL63" s="1046"/>
      <c r="AM63" s="1046"/>
      <c r="AN63" s="1047"/>
      <c r="AP63" s="1045" t="s">
        <v>205</v>
      </c>
      <c r="AQ63" s="1046"/>
      <c r="AR63" s="1046"/>
      <c r="AS63" s="1046"/>
      <c r="AT63" s="1046"/>
      <c r="AU63" s="1047"/>
    </row>
    <row r="64" spans="1:47" ht="12.75" hidden="1" customHeight="1" thickBot="1">
      <c r="A64" s="115"/>
      <c r="B64" s="1043" t="s">
        <v>678</v>
      </c>
      <c r="C64" s="1043"/>
      <c r="D64" s="1043"/>
      <c r="E64" s="1032" t="s">
        <v>21</v>
      </c>
      <c r="F64" s="1033"/>
      <c r="G64" s="1032" t="s">
        <v>22</v>
      </c>
      <c r="H64" s="1033"/>
      <c r="I64" s="1032" t="s">
        <v>579</v>
      </c>
      <c r="J64" s="1033"/>
      <c r="K64" s="824" t="s">
        <v>500</v>
      </c>
      <c r="L64" s="824"/>
      <c r="M64" s="314"/>
      <c r="N64" s="314"/>
      <c r="O64" s="824"/>
      <c r="P64" s="824"/>
      <c r="Q64" s="824"/>
      <c r="R64" s="824"/>
      <c r="S64" s="824"/>
      <c r="T64" s="93"/>
      <c r="U64" s="71" t="s">
        <v>59</v>
      </c>
      <c r="V64" s="33"/>
      <c r="W64" s="34"/>
      <c r="X64" s="34"/>
      <c r="Y64" s="34"/>
      <c r="Z64" s="72"/>
      <c r="AB64" s="76" t="s">
        <v>59</v>
      </c>
      <c r="AC64" s="30"/>
      <c r="AD64" s="15"/>
      <c r="AE64" s="15"/>
      <c r="AF64" s="15"/>
      <c r="AG64" s="74"/>
      <c r="AI64" s="76" t="s">
        <v>59</v>
      </c>
      <c r="AJ64" s="30"/>
      <c r="AK64" s="15"/>
      <c r="AL64" s="15"/>
      <c r="AM64" s="15"/>
      <c r="AN64" s="74"/>
      <c r="AP64" s="76" t="s">
        <v>59</v>
      </c>
      <c r="AQ64" s="30"/>
      <c r="AR64" s="15"/>
      <c r="AS64" s="15"/>
      <c r="AT64" s="15"/>
      <c r="AU64" s="74"/>
    </row>
    <row r="65" spans="1:47" ht="12.75" hidden="1" customHeight="1">
      <c r="A65" s="115"/>
      <c r="B65" s="1044" t="s">
        <v>202</v>
      </c>
      <c r="C65" s="1044"/>
      <c r="D65" s="1044"/>
      <c r="E65" s="1038">
        <f>VLOOKUP($E$5,'Lookup dBA'!$B$8:$E$208,2)</f>
        <v>119</v>
      </c>
      <c r="F65" s="1038"/>
      <c r="G65" s="1038">
        <f>VLOOKUP($E$5,'Lookup dBA'!$B$8:$E$208,3)</f>
        <v>110</v>
      </c>
      <c r="H65" s="1038"/>
      <c r="I65" s="1038">
        <f>VLOOKUP($E$5,'Lookup dBA'!$B$8:$E$208,4)</f>
        <v>111</v>
      </c>
      <c r="J65" s="1038"/>
      <c r="K65" s="1038">
        <v>102</v>
      </c>
      <c r="L65" s="1038"/>
      <c r="M65" s="314"/>
      <c r="N65" s="314"/>
      <c r="O65" s="321" t="s">
        <v>323</v>
      </c>
      <c r="P65" s="321" t="e">
        <f>+#REF!</f>
        <v>#REF!</v>
      </c>
      <c r="Q65" s="322" t="e">
        <f>+#REF!</f>
        <v>#REF!</v>
      </c>
      <c r="R65" s="321">
        <f>+B8</f>
        <v>0</v>
      </c>
      <c r="S65" s="321" t="e">
        <f>+#REF!</f>
        <v>#REF!</v>
      </c>
      <c r="T65" s="82"/>
      <c r="U65" s="795" t="s">
        <v>845</v>
      </c>
      <c r="V65" s="796"/>
      <c r="W65" s="808" t="s">
        <v>835</v>
      </c>
      <c r="X65" s="808" t="s">
        <v>836</v>
      </c>
      <c r="Y65" s="808" t="s">
        <v>837</v>
      </c>
      <c r="Z65" s="806" t="s">
        <v>838</v>
      </c>
      <c r="AB65" s="795" t="s">
        <v>845</v>
      </c>
      <c r="AC65" s="796"/>
      <c r="AD65" s="812" t="s">
        <v>835</v>
      </c>
      <c r="AE65" s="812" t="s">
        <v>836</v>
      </c>
      <c r="AF65" s="812" t="s">
        <v>837</v>
      </c>
      <c r="AG65" s="814" t="s">
        <v>838</v>
      </c>
      <c r="AI65" s="795" t="s">
        <v>845</v>
      </c>
      <c r="AJ65" s="796"/>
      <c r="AK65" s="812" t="s">
        <v>835</v>
      </c>
      <c r="AL65" s="812" t="s">
        <v>836</v>
      </c>
      <c r="AM65" s="812" t="s">
        <v>837</v>
      </c>
      <c r="AN65" s="814" t="s">
        <v>838</v>
      </c>
      <c r="AP65" s="795" t="s">
        <v>845</v>
      </c>
      <c r="AQ65" s="796"/>
      <c r="AR65" s="812" t="s">
        <v>835</v>
      </c>
      <c r="AS65" s="812" t="s">
        <v>836</v>
      </c>
      <c r="AT65" s="812" t="s">
        <v>837</v>
      </c>
      <c r="AU65" s="814" t="s">
        <v>838</v>
      </c>
    </row>
    <row r="66" spans="1:47" ht="12.75" hidden="1" customHeight="1">
      <c r="A66" s="115"/>
      <c r="B66" s="114"/>
      <c r="C66" s="114"/>
      <c r="D66" s="114"/>
      <c r="E66" s="316"/>
      <c r="F66" s="316"/>
      <c r="G66" s="316"/>
      <c r="H66" s="316"/>
      <c r="I66" s="316"/>
      <c r="J66" s="316"/>
      <c r="K66" s="114"/>
      <c r="L66" s="114"/>
      <c r="M66" s="127"/>
      <c r="N66" s="127"/>
      <c r="O66" s="234" t="s">
        <v>194</v>
      </c>
      <c r="P66" s="313">
        <f>+E65</f>
        <v>119</v>
      </c>
      <c r="Q66" s="321">
        <f>+G65</f>
        <v>110</v>
      </c>
      <c r="R66" s="234">
        <f>+I65</f>
        <v>111</v>
      </c>
      <c r="S66" s="313">
        <f>+K65</f>
        <v>102</v>
      </c>
      <c r="T66" s="93"/>
      <c r="U66" s="797"/>
      <c r="V66" s="798"/>
      <c r="W66" s="809"/>
      <c r="X66" s="809"/>
      <c r="Y66" s="809"/>
      <c r="Z66" s="807"/>
      <c r="AB66" s="797"/>
      <c r="AC66" s="798"/>
      <c r="AD66" s="813"/>
      <c r="AE66" s="813"/>
      <c r="AF66" s="813"/>
      <c r="AG66" s="815"/>
      <c r="AI66" s="797"/>
      <c r="AJ66" s="798"/>
      <c r="AK66" s="813"/>
      <c r="AL66" s="813"/>
      <c r="AM66" s="813"/>
      <c r="AN66" s="815"/>
      <c r="AP66" s="797"/>
      <c r="AQ66" s="798"/>
      <c r="AR66" s="813"/>
      <c r="AS66" s="813"/>
      <c r="AT66" s="813"/>
      <c r="AU66" s="815"/>
    </row>
    <row r="67" spans="1:47" ht="12.75" hidden="1" customHeight="1">
      <c r="A67" s="273" t="s">
        <v>217</v>
      </c>
      <c r="B67" s="308" t="s">
        <v>203</v>
      </c>
      <c r="C67" s="114"/>
      <c r="D67" s="114"/>
      <c r="E67" s="316"/>
      <c r="F67" s="316"/>
      <c r="G67" s="316"/>
      <c r="H67" s="316"/>
      <c r="I67" s="316"/>
      <c r="J67" s="316"/>
      <c r="K67" s="114"/>
      <c r="L67" s="114"/>
      <c r="M67" s="127"/>
      <c r="N67" s="127"/>
      <c r="O67" s="234" t="s">
        <v>204</v>
      </c>
      <c r="P67" s="234" t="s">
        <v>846</v>
      </c>
      <c r="Q67" s="234" t="s">
        <v>846</v>
      </c>
      <c r="R67" s="234" t="s">
        <v>846</v>
      </c>
      <c r="S67" s="234" t="s">
        <v>846</v>
      </c>
      <c r="T67" s="236"/>
      <c r="U67" s="797"/>
      <c r="V67" s="798"/>
      <c r="W67" s="59">
        <f>+E69</f>
        <v>125.02059991327965</v>
      </c>
      <c r="X67" s="40">
        <f>+E59</f>
        <v>1.0666666666666667</v>
      </c>
      <c r="Y67" s="53">
        <f>IF(W67&gt;0,Z67*X67," ")</f>
        <v>85333.333333333328</v>
      </c>
      <c r="Z67" s="60">
        <f>IF(W67&gt;0,(VLOOKUP(W67,'Lookup Ready-reckoner'!$B$5:$E$1207,4))," ")</f>
        <v>80000</v>
      </c>
      <c r="AB67" s="797"/>
      <c r="AC67" s="798"/>
      <c r="AD67" s="59">
        <f>+K69</f>
        <v>108.02059991327964</v>
      </c>
      <c r="AE67" s="40">
        <f>+G59</f>
        <v>1.25</v>
      </c>
      <c r="AF67" s="53">
        <f>IF(AD67&gt;0,AG67*AE67," ")</f>
        <v>3125</v>
      </c>
      <c r="AG67" s="60">
        <f>IF(AD67&gt;0,(VLOOKUP(AD67,'Lookup Ready-reckoner'!$B$5:$E$1207,4))," ")</f>
        <v>2500</v>
      </c>
      <c r="AI67" s="797"/>
      <c r="AJ67" s="798"/>
      <c r="AK67" s="59">
        <f>+R69</f>
        <v>114.01029995663981</v>
      </c>
      <c r="AL67" s="40">
        <f>+I59</f>
        <v>1.4814814814814814</v>
      </c>
      <c r="AM67" s="53">
        <f>IF(AK67&gt;0,AN67*AL67," ")</f>
        <v>14814.814814814814</v>
      </c>
      <c r="AN67" s="60">
        <f>IF(AK67&gt;0,(VLOOKUP(AK67,'Lookup Ready-reckoner'!$B$5:$E$1207,4))," ")</f>
        <v>10000</v>
      </c>
      <c r="AP67" s="797"/>
      <c r="AQ67" s="798"/>
      <c r="AR67" s="59">
        <f>+K69</f>
        <v>108.02059991327964</v>
      </c>
      <c r="AS67" s="40">
        <f>+K59</f>
        <v>2.6666666666666665</v>
      </c>
      <c r="AT67" s="53">
        <f>IF(AR67&gt;0,AU67*AS67," ")</f>
        <v>6666.6666666666661</v>
      </c>
      <c r="AU67" s="60">
        <f>IF(AR67&gt;0,(VLOOKUP(AR67,'Lookup Ready-reckoner'!$B$5:$E$1207,4))," ")</f>
        <v>2500</v>
      </c>
    </row>
    <row r="68" spans="1:47" ht="12.75" hidden="1" customHeight="1">
      <c r="A68" s="115"/>
      <c r="B68" s="1043" t="s">
        <v>678</v>
      </c>
      <c r="C68" s="1043"/>
      <c r="D68" s="1043"/>
      <c r="E68" s="1032" t="s">
        <v>21</v>
      </c>
      <c r="F68" s="1033"/>
      <c r="G68" s="1032" t="s">
        <v>22</v>
      </c>
      <c r="H68" s="1033"/>
      <c r="I68" s="1032" t="s">
        <v>579</v>
      </c>
      <c r="J68" s="1033"/>
      <c r="K68" s="824" t="s">
        <v>500</v>
      </c>
      <c r="L68" s="824"/>
      <c r="M68" s="314"/>
      <c r="N68" s="314"/>
      <c r="O68" s="321">
        <v>1</v>
      </c>
      <c r="P68" s="323">
        <f>+P66</f>
        <v>119</v>
      </c>
      <c r="Q68" s="323">
        <f>+Q66</f>
        <v>110</v>
      </c>
      <c r="R68" s="323">
        <f>+R66</f>
        <v>111</v>
      </c>
      <c r="S68" s="323">
        <f>+S66</f>
        <v>102</v>
      </c>
      <c r="T68" s="237"/>
      <c r="U68" s="799"/>
      <c r="V68" s="800"/>
      <c r="W68" s="38"/>
      <c r="X68" s="40"/>
      <c r="Y68" s="53" t="str">
        <f>IF(W68&gt;0,Z68*X68," ")</f>
        <v xml:space="preserve"> </v>
      </c>
      <c r="Z68" s="60" t="str">
        <f>IF(W68&gt;0,(VLOOKUP(W68,'Lookup Ready-reckoner'!$B$5:$E$1007,4))," ")</f>
        <v xml:space="preserve"> </v>
      </c>
      <c r="AB68" s="799"/>
      <c r="AC68" s="800"/>
      <c r="AD68" s="38"/>
      <c r="AE68" s="40"/>
      <c r="AF68" s="53" t="str">
        <f>IF(AD68&gt;0,AG68*AE68," ")</f>
        <v xml:space="preserve"> </v>
      </c>
      <c r="AG68" s="60" t="str">
        <f>IF(AD68&gt;0,(VLOOKUP(AD68,'Lookup Ready-reckoner'!$B$5:$E$1007,4))," ")</f>
        <v xml:space="preserve"> </v>
      </c>
      <c r="AI68" s="799"/>
      <c r="AJ68" s="800"/>
      <c r="AK68" s="38"/>
      <c r="AL68" s="40"/>
      <c r="AM68" s="53" t="str">
        <f>IF(AK68&gt;0,AN68*AL68," ")</f>
        <v xml:space="preserve"> </v>
      </c>
      <c r="AN68" s="60" t="str">
        <f>IF(AK68&gt;0,(VLOOKUP(AK68,'Lookup Ready-reckoner'!$B$5:$E$1007,4))," ")</f>
        <v xml:space="preserve"> </v>
      </c>
      <c r="AP68" s="799"/>
      <c r="AQ68" s="800"/>
      <c r="AR68" s="38"/>
      <c r="AS68" s="40"/>
      <c r="AT68" s="53" t="str">
        <f>IF(AR68&gt;0,AU68*AS68," ")</f>
        <v xml:space="preserve"> </v>
      </c>
      <c r="AU68" s="60" t="str">
        <f>IF(AR68&gt;0,(VLOOKUP(AR68,'Lookup Ready-reckoner'!$B$5:$E$1007,4))," ")</f>
        <v xml:space="preserve"> </v>
      </c>
    </row>
    <row r="69" spans="1:47" ht="12.75" hidden="1" customHeight="1" thickBot="1">
      <c r="A69" s="115"/>
      <c r="B69" s="1044" t="s">
        <v>202</v>
      </c>
      <c r="C69" s="1044"/>
      <c r="D69" s="1044"/>
      <c r="E69" s="1030">
        <f>VLOOKUP($F$23,$O$68:$S$73,2)</f>
        <v>125.02059991327965</v>
      </c>
      <c r="F69" s="1031"/>
      <c r="G69" s="1030">
        <f>VLOOKUP($F$23,$O$68:$S$73,3)</f>
        <v>116.02059991327963</v>
      </c>
      <c r="H69" s="1031"/>
      <c r="I69" s="1030">
        <f>VLOOKUP($F$23,$O$68:$S$73,4)</f>
        <v>117.02059991327963</v>
      </c>
      <c r="J69" s="1031"/>
      <c r="K69" s="1030">
        <f>VLOOKUP($F$23,$O$68:$S$73,5)</f>
        <v>108.02059991327964</v>
      </c>
      <c r="L69" s="1031"/>
      <c r="M69" s="315"/>
      <c r="N69" s="315"/>
      <c r="O69" s="321">
        <v>2</v>
      </c>
      <c r="P69" s="323">
        <f>(LOG((10^(P66/10))+(10^(P66/10))))*10</f>
        <v>122.01029995663984</v>
      </c>
      <c r="Q69" s="323">
        <f>(LOG((10^(Q66/10))+(10^(Q66/10))))*10</f>
        <v>113.01029995663981</v>
      </c>
      <c r="R69" s="323">
        <f>(LOG((10^(R66/10))+(10^(R66/10))))*10</f>
        <v>114.01029995663981</v>
      </c>
      <c r="S69" s="323">
        <f>(LOG((10^(S66/10))+(10^(S66/10))))*10</f>
        <v>105.01029995663983</v>
      </c>
      <c r="T69" s="237"/>
      <c r="U69" s="61" t="s">
        <v>839</v>
      </c>
      <c r="V69" s="62"/>
      <c r="W69" s="62"/>
      <c r="X69" s="63">
        <f>IF(W67&gt;0,(VLOOKUP(Y69,'Lookup Ready-reckoner'!$L$5:$M$1207,2))," ")</f>
        <v>114.2</v>
      </c>
      <c r="Y69" s="64">
        <f>IF(X67&gt;0,(SUM(Y67:Y68))," ")</f>
        <v>85333.333333333328</v>
      </c>
      <c r="Z69" s="65"/>
      <c r="AB69" s="61" t="s">
        <v>839</v>
      </c>
      <c r="AC69" s="62"/>
      <c r="AD69" s="62"/>
      <c r="AE69" s="63">
        <f>IF(AD67&gt;0,(VLOOKUP(AF69,'Lookup Ready-reckoner'!$L$5:$M$1207,2))," ")</f>
        <v>99.85</v>
      </c>
      <c r="AF69" s="64">
        <f>IF(AE67&gt;0,(SUM(AF67:AF68))," ")</f>
        <v>3125</v>
      </c>
      <c r="AG69" s="65"/>
      <c r="AI69" s="61" t="s">
        <v>839</v>
      </c>
      <c r="AJ69" s="62"/>
      <c r="AK69" s="62"/>
      <c r="AL69" s="63">
        <f>IF(AK67&gt;0,(VLOOKUP(AM69,'Lookup Ready-reckoner'!$L$5:$M$1207,2))," ")</f>
        <v>106.6</v>
      </c>
      <c r="AM69" s="64">
        <f>IF(AL67&gt;0,(SUM(AM67:AM68))," ")</f>
        <v>14814.814814814814</v>
      </c>
      <c r="AN69" s="65"/>
      <c r="AP69" s="61" t="s">
        <v>839</v>
      </c>
      <c r="AQ69" s="62"/>
      <c r="AR69" s="62"/>
      <c r="AS69" s="63">
        <f>IF(AR67&gt;0,(VLOOKUP(AT69,'Lookup Ready-reckoner'!$L$5:$M$1207,2))," ")</f>
        <v>103.15</v>
      </c>
      <c r="AT69" s="64">
        <f>IF(AS67&gt;0,(SUM(AT67:AT68))," ")</f>
        <v>6666.6666666666661</v>
      </c>
      <c r="AU69" s="65"/>
    </row>
    <row r="70" spans="1:47" ht="12.75" hidden="1" customHeight="1" thickBot="1">
      <c r="A70" s="115"/>
      <c r="B70" s="271"/>
      <c r="C70" s="271"/>
      <c r="D70" s="271"/>
      <c r="E70" s="271"/>
      <c r="F70" s="271"/>
      <c r="G70" s="271"/>
      <c r="H70" s="271"/>
      <c r="I70" s="271"/>
      <c r="J70" s="271"/>
      <c r="K70" s="114"/>
      <c r="L70" s="114"/>
      <c r="M70" s="127"/>
      <c r="N70" s="127"/>
      <c r="O70" s="321">
        <v>3</v>
      </c>
      <c r="P70" s="323">
        <f>(LOG((10^(P66/10))+(10^(P66/10))+(10^(P66/10)))*10)</f>
        <v>123.77121254719665</v>
      </c>
      <c r="Q70" s="323">
        <f>(LOG((10^(Q66/10))+(10^(Q66/10))+(10^(Q66/10)))*10)</f>
        <v>114.77121254719663</v>
      </c>
      <c r="R70" s="323">
        <f>(LOG((10^(R66/10))+(10^(R66/10))+(10^(R66/10)))*10)</f>
        <v>115.77121254719663</v>
      </c>
      <c r="S70" s="323">
        <f>(LOG((10^(S66/10))+(10^(S66/10))+(10^(S66/10)))*10)</f>
        <v>106.77121254719664</v>
      </c>
      <c r="T70" s="237"/>
      <c r="U70" s="819"/>
      <c r="V70" s="820"/>
      <c r="W70" s="820"/>
      <c r="X70" s="820"/>
      <c r="Y70" s="820"/>
      <c r="Z70" s="821"/>
      <c r="AB70" s="797"/>
      <c r="AC70" s="810"/>
      <c r="AD70" s="810"/>
      <c r="AE70" s="810"/>
      <c r="AF70" s="810"/>
      <c r="AG70" s="811"/>
      <c r="AI70" s="797"/>
      <c r="AJ70" s="810"/>
      <c r="AK70" s="810"/>
      <c r="AL70" s="810"/>
      <c r="AM70" s="810"/>
      <c r="AN70" s="811"/>
      <c r="AP70" s="797"/>
      <c r="AQ70" s="810"/>
      <c r="AR70" s="810"/>
      <c r="AS70" s="810"/>
      <c r="AT70" s="810"/>
      <c r="AU70" s="811"/>
    </row>
    <row r="71" spans="1:47" ht="12.75" hidden="1" customHeight="1">
      <c r="A71" s="273" t="s">
        <v>305</v>
      </c>
      <c r="B71" s="272" t="s">
        <v>218</v>
      </c>
      <c r="C71" s="271"/>
      <c r="D71" s="271"/>
      <c r="E71" s="271"/>
      <c r="F71" s="271"/>
      <c r="G71" s="271"/>
      <c r="H71" s="271"/>
      <c r="I71" s="271"/>
      <c r="J71" s="271"/>
      <c r="K71" s="114"/>
      <c r="L71" s="114"/>
      <c r="M71" s="127"/>
      <c r="N71" s="127"/>
      <c r="O71" s="321">
        <v>4</v>
      </c>
      <c r="P71" s="323">
        <f>(LOG((10^(P66/10))+(10^(P66/10))+(10^(P66/10))+(10^(P66/10))))*10</f>
        <v>125.02059991327965</v>
      </c>
      <c r="Q71" s="323">
        <f>(LOG((10^(Q66/10))+(10^(Q66/10))+(10^(Q66/10))+(10^(Q66/10))))*10</f>
        <v>116.02059991327963</v>
      </c>
      <c r="R71" s="323">
        <f>(LOG((10^(R66/10))+(10^(R66/10))+(10^(R66/10))+(10^(R66/10))))*10</f>
        <v>117.02059991327963</v>
      </c>
      <c r="S71" s="323">
        <f>(LOG((10^(S66/10))+(10^(S66/10))+(10^(S66/10))+(10^(S66/10))))*10</f>
        <v>108.02059991327964</v>
      </c>
      <c r="T71" s="237"/>
      <c r="U71" s="795" t="s">
        <v>886</v>
      </c>
      <c r="V71" s="796"/>
      <c r="W71" s="808" t="s">
        <v>835</v>
      </c>
      <c r="X71" s="808" t="s">
        <v>836</v>
      </c>
      <c r="Y71" s="808" t="s">
        <v>837</v>
      </c>
      <c r="Z71" s="806" t="s">
        <v>838</v>
      </c>
      <c r="AB71" s="795" t="s">
        <v>886</v>
      </c>
      <c r="AC71" s="796"/>
      <c r="AD71" s="812" t="s">
        <v>835</v>
      </c>
      <c r="AE71" s="812" t="s">
        <v>836</v>
      </c>
      <c r="AF71" s="812" t="s">
        <v>837</v>
      </c>
      <c r="AG71" s="814" t="s">
        <v>838</v>
      </c>
      <c r="AI71" s="795" t="s">
        <v>886</v>
      </c>
      <c r="AJ71" s="796"/>
      <c r="AK71" s="812" t="s">
        <v>835</v>
      </c>
      <c r="AL71" s="812" t="s">
        <v>836</v>
      </c>
      <c r="AM71" s="812" t="s">
        <v>837</v>
      </c>
      <c r="AN71" s="814" t="s">
        <v>838</v>
      </c>
      <c r="AP71" s="795" t="s">
        <v>886</v>
      </c>
      <c r="AQ71" s="796"/>
      <c r="AR71" s="812" t="s">
        <v>835</v>
      </c>
      <c r="AS71" s="812" t="s">
        <v>836</v>
      </c>
      <c r="AT71" s="812" t="s">
        <v>837</v>
      </c>
      <c r="AU71" s="814" t="s">
        <v>838</v>
      </c>
    </row>
    <row r="72" spans="1:47" ht="12.75" hidden="1" customHeight="1">
      <c r="A72" s="115"/>
      <c r="B72" s="272"/>
      <c r="C72" s="271"/>
      <c r="D72" s="271"/>
      <c r="E72" s="271"/>
      <c r="F72" s="271"/>
      <c r="G72" s="271"/>
      <c r="H72" s="271"/>
      <c r="I72" s="271"/>
      <c r="J72" s="271"/>
      <c r="K72" s="114"/>
      <c r="L72" s="114"/>
      <c r="M72" s="127"/>
      <c r="N72" s="127"/>
      <c r="O72" s="321">
        <v>5</v>
      </c>
      <c r="P72" s="323">
        <f>(LOG((10^(P66/10))+(10^(P66/10))+(10^(P66/10))+(10^(P66/10))+(10^(P66/10))))*10</f>
        <v>125.98970004336022</v>
      </c>
      <c r="Q72" s="323">
        <f>(LOG((10^(Q66/10))+(10^(Q66/10))+(10^(Q66/10))+(10^(Q66/10))+(10^(Q66/10))))*10</f>
        <v>116.98970004336019</v>
      </c>
      <c r="R72" s="323">
        <f>(LOG((10^(R66/10))+(10^(R66/10))+(10^(R66/10))+(10^(R66/10))+(10^(R66/10))))*10</f>
        <v>117.98970004336019</v>
      </c>
      <c r="S72" s="323">
        <f>(LOG((10^(S66/10))+(10^(S66/10))+(10^(S66/10))+(10^(S66/10))+(10^(S66/10))))*10</f>
        <v>108.9897000433602</v>
      </c>
      <c r="T72" s="237"/>
      <c r="U72" s="797"/>
      <c r="V72" s="798"/>
      <c r="W72" s="809"/>
      <c r="X72" s="809"/>
      <c r="Y72" s="809"/>
      <c r="Z72" s="807"/>
      <c r="AB72" s="797"/>
      <c r="AC72" s="798"/>
      <c r="AD72" s="813"/>
      <c r="AE72" s="813"/>
      <c r="AF72" s="813"/>
      <c r="AG72" s="815"/>
      <c r="AI72" s="797"/>
      <c r="AJ72" s="798"/>
      <c r="AK72" s="813"/>
      <c r="AL72" s="813"/>
      <c r="AM72" s="813"/>
      <c r="AN72" s="815"/>
      <c r="AP72" s="797"/>
      <c r="AQ72" s="798"/>
      <c r="AR72" s="813"/>
      <c r="AS72" s="813"/>
      <c r="AT72" s="813"/>
      <c r="AU72" s="815"/>
    </row>
    <row r="73" spans="1:47" ht="12.75" hidden="1" customHeight="1">
      <c r="A73" s="273" t="s">
        <v>219</v>
      </c>
      <c r="B73" s="272" t="s">
        <v>59</v>
      </c>
      <c r="C73" s="271"/>
      <c r="D73" s="271"/>
      <c r="E73" s="271"/>
      <c r="F73" s="271"/>
      <c r="G73" s="271"/>
      <c r="H73" s="271"/>
      <c r="I73" s="271"/>
      <c r="J73" s="271"/>
      <c r="K73" s="114"/>
      <c r="L73" s="114"/>
      <c r="M73" s="127"/>
      <c r="N73" s="127"/>
      <c r="O73" s="321">
        <v>6</v>
      </c>
      <c r="P73" s="323">
        <f>(LOG((10^(P66/10))+(10^(P66/10))+(10^(P66/10))+(10^(P66/10))+(10^(P66/10))+(10^(P66/10)))*10)</f>
        <v>126.78151250383647</v>
      </c>
      <c r="Q73" s="323">
        <f>(LOG((10^(Q66/10))+(10^(Q66/10))+(10^(Q66/10))+(10^(Q66/10))+(10^(Q66/10))+(10^(Q66/10)))*10)</f>
        <v>117.78151250383644</v>
      </c>
      <c r="R73" s="323">
        <f>(LOG((10^(R66/10))+(10^(R66/10))+(10^(R66/10))+(10^(R66/10))+(10^(R66/10))+(10^(R66/10)))*10)</f>
        <v>118.78151250383644</v>
      </c>
      <c r="S73" s="323">
        <f>(LOG((10^(S66/10))+(10^(S66/10))+(10^(S66/10))+(10^(S66/10))+(10^(S66/10))+(10^(S66/10)))*10)</f>
        <v>109.78151250383645</v>
      </c>
      <c r="T73" s="237"/>
      <c r="U73" s="797"/>
      <c r="V73" s="798"/>
      <c r="W73" s="59">
        <f>W67*(1-0.0178*2)</f>
        <v>120.5698665563669</v>
      </c>
      <c r="X73" s="40">
        <f>+X67</f>
        <v>1.0666666666666667</v>
      </c>
      <c r="Y73" s="53">
        <f>IF(W73&gt;0,Z73*X73," ")</f>
        <v>47360</v>
      </c>
      <c r="Z73" s="60">
        <f>IF(W73&gt;0,(VLOOKUP(W73,'Lookup Ready-reckoner'!$B$5:$E$1207,4))," ")</f>
        <v>44400</v>
      </c>
      <c r="AB73" s="797"/>
      <c r="AC73" s="798"/>
      <c r="AD73" s="59">
        <f>AD67*(1-0.0178*2)</f>
        <v>104.17506655636689</v>
      </c>
      <c r="AE73" s="40">
        <f>+AE67</f>
        <v>1.25</v>
      </c>
      <c r="AF73" s="53">
        <f>IF(AD73&gt;0,AG73*AE73," ")</f>
        <v>1296.875</v>
      </c>
      <c r="AG73" s="60">
        <f>IF(AD73&gt;0,(VLOOKUP(AD73,'Lookup Ready-reckoner'!$B$5:$E$1207,4))," ")</f>
        <v>1037.5</v>
      </c>
      <c r="AI73" s="797"/>
      <c r="AJ73" s="798"/>
      <c r="AK73" s="59">
        <f>AK67*(1-0.0178*2)</f>
        <v>109.95153327818343</v>
      </c>
      <c r="AL73" s="40">
        <f>+AL67</f>
        <v>1.4814814814814814</v>
      </c>
      <c r="AM73" s="53">
        <f>IF(AK73&gt;0,AN73*AL73," ")</f>
        <v>5866.6666666666661</v>
      </c>
      <c r="AN73" s="60">
        <f>IF(AK73&gt;0,(VLOOKUP(AK73,'Lookup Ready-reckoner'!$B$5:$E$1207,4))," ")</f>
        <v>3960</v>
      </c>
      <c r="AP73" s="797"/>
      <c r="AQ73" s="798"/>
      <c r="AR73" s="59">
        <f>AR67*(1-0.0178*2)</f>
        <v>104.17506655636689</v>
      </c>
      <c r="AS73" s="40">
        <f>+AS67</f>
        <v>2.6666666666666665</v>
      </c>
      <c r="AT73" s="53">
        <f>IF(AR73&gt;0,AU73*AS73," ")</f>
        <v>2766.6666666666665</v>
      </c>
      <c r="AU73" s="60">
        <f>IF(AR73&gt;0,(VLOOKUP(AR73,'Lookup Ready-reckoner'!$B$5:$E$1207,4))," ")</f>
        <v>1037.5</v>
      </c>
    </row>
    <row r="74" spans="1:47" ht="12.75" hidden="1" customHeight="1">
      <c r="A74" s="115"/>
      <c r="B74" s="1043" t="s">
        <v>191</v>
      </c>
      <c r="C74" s="1043"/>
      <c r="D74" s="1043"/>
      <c r="E74" s="1032" t="s">
        <v>21</v>
      </c>
      <c r="F74" s="1033"/>
      <c r="G74" s="1032" t="s">
        <v>22</v>
      </c>
      <c r="H74" s="1033"/>
      <c r="I74" s="1032" t="s">
        <v>579</v>
      </c>
      <c r="J74" s="1033"/>
      <c r="K74" s="824" t="s">
        <v>500</v>
      </c>
      <c r="L74" s="824"/>
      <c r="M74" s="314"/>
      <c r="N74" s="314"/>
      <c r="O74" s="114"/>
      <c r="P74" s="114"/>
      <c r="Q74" s="114"/>
      <c r="R74" s="114"/>
      <c r="S74" s="114"/>
      <c r="T74" s="10"/>
      <c r="U74" s="799"/>
      <c r="V74" s="800"/>
      <c r="W74" s="38"/>
      <c r="X74" s="40"/>
      <c r="Y74" s="53" t="str">
        <f>IF(W74&gt;0,Z74*X74," ")</f>
        <v xml:space="preserve"> </v>
      </c>
      <c r="Z74" s="60" t="str">
        <f>IF(W74&gt;0,(VLOOKUP(W74,'Lookup Ready-reckoner'!$B$5:$E$1007,4))," ")</f>
        <v xml:space="preserve"> </v>
      </c>
      <c r="AB74" s="799"/>
      <c r="AC74" s="800"/>
      <c r="AD74" s="38"/>
      <c r="AE74" s="40"/>
      <c r="AF74" s="53" t="str">
        <f>IF(AD74&gt;0,AG74*AE74," ")</f>
        <v xml:space="preserve"> </v>
      </c>
      <c r="AG74" s="60" t="str">
        <f>IF(AD74&gt;0,(VLOOKUP(AD74,'Lookup Ready-reckoner'!$B$5:$E$1007,4))," ")</f>
        <v xml:space="preserve"> </v>
      </c>
      <c r="AI74" s="799"/>
      <c r="AJ74" s="800"/>
      <c r="AK74" s="38"/>
      <c r="AL74" s="40"/>
      <c r="AM74" s="53" t="str">
        <f>IF(AK74&gt;0,AN74*AL74," ")</f>
        <v xml:space="preserve"> </v>
      </c>
      <c r="AN74" s="60" t="str">
        <f>IF(AK74&gt;0,(VLOOKUP(AK74,'Lookup Ready-reckoner'!$B$5:$E$1007,4))," ")</f>
        <v xml:space="preserve"> </v>
      </c>
      <c r="AP74" s="799"/>
      <c r="AQ74" s="800"/>
      <c r="AR74" s="38"/>
      <c r="AS74" s="40"/>
      <c r="AT74" s="53" t="str">
        <f>IF(AR74&gt;0,AU74*AS74," ")</f>
        <v xml:space="preserve"> </v>
      </c>
      <c r="AU74" s="60" t="str">
        <f>IF(AR74&gt;0,(VLOOKUP(AR74,'Lookup Ready-reckoner'!$B$5:$E$1007,4))," ")</f>
        <v xml:space="preserve"> </v>
      </c>
    </row>
    <row r="75" spans="1:47" ht="12.75" hidden="1" customHeight="1" thickBot="1">
      <c r="A75" s="115"/>
      <c r="B75" s="1044" t="s">
        <v>220</v>
      </c>
      <c r="C75" s="1044"/>
      <c r="D75" s="1044"/>
      <c r="E75" s="1030">
        <f>+X69</f>
        <v>114.2</v>
      </c>
      <c r="F75" s="1031"/>
      <c r="G75" s="1038">
        <f>+AE69</f>
        <v>99.85</v>
      </c>
      <c r="H75" s="824"/>
      <c r="I75" s="1038">
        <f>+AL69</f>
        <v>106.6</v>
      </c>
      <c r="J75" s="824"/>
      <c r="K75" s="1038">
        <f>+AS69</f>
        <v>103.15</v>
      </c>
      <c r="L75" s="1038"/>
      <c r="M75" s="315"/>
      <c r="N75" s="315"/>
      <c r="O75" s="114"/>
      <c r="P75" s="114"/>
      <c r="Q75" s="114"/>
      <c r="R75" s="114"/>
      <c r="S75" s="114"/>
      <c r="T75" s="10"/>
      <c r="U75" s="61" t="s">
        <v>839</v>
      </c>
      <c r="V75" s="62"/>
      <c r="W75" s="62"/>
      <c r="X75" s="63">
        <f>IF(W73&gt;0,(VLOOKUP(Y75,'Lookup Ready-reckoner'!$L$5:$M$1207,2))," ")</f>
        <v>111.65</v>
      </c>
      <c r="Y75" s="64">
        <f>IF(X73&gt;0,(SUM(Y73:Y74))," ")</f>
        <v>47360</v>
      </c>
      <c r="Z75" s="65"/>
      <c r="AB75" s="61" t="s">
        <v>839</v>
      </c>
      <c r="AC75" s="62"/>
      <c r="AD75" s="62"/>
      <c r="AE75" s="63">
        <f>IF(AD73&gt;0,(VLOOKUP(AF75,'Lookup Ready-reckoner'!$L$5:$M$1207,2))," ")</f>
        <v>96.1</v>
      </c>
      <c r="AF75" s="64">
        <f>IF(AE73&gt;0,(SUM(AF73:AF74))," ")</f>
        <v>1296.875</v>
      </c>
      <c r="AG75" s="65"/>
      <c r="AI75" s="61" t="s">
        <v>839</v>
      </c>
      <c r="AJ75" s="62"/>
      <c r="AK75" s="62"/>
      <c r="AL75" s="63">
        <f>IF(AK73&gt;0,(VLOOKUP(AM75,'Lookup Ready-reckoner'!$L$5:$M$1207,2))," ")</f>
        <v>102.6</v>
      </c>
      <c r="AM75" s="64">
        <f>IF(AL73&gt;0,(SUM(AM73:AM74))," ")</f>
        <v>5866.6666666666661</v>
      </c>
      <c r="AN75" s="65"/>
      <c r="AP75" s="61" t="s">
        <v>839</v>
      </c>
      <c r="AQ75" s="62"/>
      <c r="AR75" s="62"/>
      <c r="AS75" s="63">
        <f>IF(AR73&gt;0,(VLOOKUP(AT75,'Lookup Ready-reckoner'!$L$5:$M$1207,2))," ")</f>
        <v>99.35</v>
      </c>
      <c r="AT75" s="64">
        <f>IF(AS73&gt;0,(SUM(AT73:AT74))," ")</f>
        <v>2766.6666666666665</v>
      </c>
      <c r="AU75" s="65"/>
    </row>
    <row r="76" spans="1:47" ht="12.75" hidden="1" customHeight="1">
      <c r="A76" s="115"/>
      <c r="B76" s="1042" t="s">
        <v>886</v>
      </c>
      <c r="C76" s="1042"/>
      <c r="D76" s="1042"/>
      <c r="E76" s="1030">
        <f>+X75</f>
        <v>111.65</v>
      </c>
      <c r="F76" s="1031"/>
      <c r="G76" s="1038">
        <f>+AE75</f>
        <v>96.1</v>
      </c>
      <c r="H76" s="824"/>
      <c r="I76" s="1038">
        <f>+AL75</f>
        <v>102.6</v>
      </c>
      <c r="J76" s="824"/>
      <c r="K76" s="1038">
        <f>+AS75</f>
        <v>99.35</v>
      </c>
      <c r="L76" s="1038"/>
      <c r="M76" s="315"/>
      <c r="N76" s="315"/>
      <c r="O76" s="114"/>
      <c r="P76" s="114"/>
      <c r="Q76" s="114"/>
      <c r="R76" s="114"/>
      <c r="S76" s="114"/>
      <c r="T76" s="10"/>
      <c r="U76" s="73"/>
      <c r="V76" s="15"/>
      <c r="W76" s="15"/>
      <c r="X76" s="66"/>
      <c r="Y76" s="67"/>
      <c r="Z76" s="74"/>
      <c r="AB76" s="73"/>
      <c r="AC76" s="15"/>
      <c r="AD76" s="15"/>
      <c r="AE76" s="66"/>
      <c r="AF76" s="67"/>
      <c r="AG76" s="74"/>
      <c r="AI76" s="73"/>
      <c r="AJ76" s="15"/>
      <c r="AK76" s="15"/>
      <c r="AL76" s="66"/>
      <c r="AM76" s="67"/>
      <c r="AN76" s="74"/>
      <c r="AP76" s="73"/>
      <c r="AQ76" s="15"/>
      <c r="AR76" s="15"/>
      <c r="AS76" s="66"/>
      <c r="AT76" s="67"/>
      <c r="AU76" s="74"/>
    </row>
    <row r="77" spans="1:47" ht="12.75" hidden="1" customHeight="1" thickBot="1">
      <c r="A77" s="115"/>
      <c r="B77" s="271"/>
      <c r="C77" s="271"/>
      <c r="D77" s="271"/>
      <c r="E77" s="271"/>
      <c r="F77" s="271"/>
      <c r="G77" s="271"/>
      <c r="H77" s="271"/>
      <c r="I77" s="271"/>
      <c r="J77" s="271"/>
      <c r="K77" s="114"/>
      <c r="L77" s="114"/>
      <c r="M77" s="127"/>
      <c r="N77" s="127"/>
      <c r="O77" s="114"/>
      <c r="P77" s="114"/>
      <c r="Q77" s="114"/>
      <c r="R77" s="114"/>
      <c r="S77" s="114"/>
      <c r="T77" s="10"/>
      <c r="U77" s="71" t="s">
        <v>60</v>
      </c>
      <c r="V77" s="33"/>
      <c r="W77" s="33"/>
      <c r="X77" s="33"/>
      <c r="Y77" s="33"/>
      <c r="Z77" s="75"/>
      <c r="AB77" s="76" t="s">
        <v>60</v>
      </c>
      <c r="AC77" s="30"/>
      <c r="AD77" s="30"/>
      <c r="AE77" s="30"/>
      <c r="AF77" s="30"/>
      <c r="AG77" s="77"/>
      <c r="AI77" s="76" t="s">
        <v>60</v>
      </c>
      <c r="AJ77" s="30"/>
      <c r="AK77" s="30"/>
      <c r="AL77" s="30"/>
      <c r="AM77" s="30"/>
      <c r="AN77" s="77"/>
      <c r="AP77" s="76" t="s">
        <v>60</v>
      </c>
      <c r="AQ77" s="30"/>
      <c r="AR77" s="30"/>
      <c r="AS77" s="30"/>
      <c r="AT77" s="30"/>
      <c r="AU77" s="77"/>
    </row>
    <row r="78" spans="1:47" ht="12.75" hidden="1" customHeight="1">
      <c r="A78" s="273" t="s">
        <v>221</v>
      </c>
      <c r="B78" s="272" t="s">
        <v>60</v>
      </c>
      <c r="C78" s="271"/>
      <c r="D78" s="271"/>
      <c r="E78" s="271"/>
      <c r="F78" s="271"/>
      <c r="G78" s="271"/>
      <c r="H78" s="271"/>
      <c r="I78" s="271"/>
      <c r="J78" s="271"/>
      <c r="K78" s="114"/>
      <c r="L78" s="114"/>
      <c r="M78" s="127"/>
      <c r="N78" s="127"/>
      <c r="O78" s="114"/>
      <c r="P78" s="114"/>
      <c r="Q78" s="114"/>
      <c r="R78" s="114"/>
      <c r="S78" s="114"/>
      <c r="T78" s="10"/>
      <c r="U78" s="795" t="s">
        <v>845</v>
      </c>
      <c r="V78" s="796"/>
      <c r="W78" s="808" t="s">
        <v>835</v>
      </c>
      <c r="X78" s="808" t="s">
        <v>836</v>
      </c>
      <c r="Y78" s="808" t="s">
        <v>837</v>
      </c>
      <c r="Z78" s="806" t="s">
        <v>838</v>
      </c>
      <c r="AB78" s="795" t="s">
        <v>845</v>
      </c>
      <c r="AC78" s="796"/>
      <c r="AD78" s="812" t="s">
        <v>835</v>
      </c>
      <c r="AE78" s="812" t="s">
        <v>836</v>
      </c>
      <c r="AF78" s="812" t="s">
        <v>837</v>
      </c>
      <c r="AG78" s="814" t="s">
        <v>838</v>
      </c>
      <c r="AI78" s="795" t="s">
        <v>845</v>
      </c>
      <c r="AJ78" s="796"/>
      <c r="AK78" s="812" t="s">
        <v>835</v>
      </c>
      <c r="AL78" s="812" t="s">
        <v>836</v>
      </c>
      <c r="AM78" s="812" t="s">
        <v>837</v>
      </c>
      <c r="AN78" s="814" t="s">
        <v>838</v>
      </c>
      <c r="AP78" s="795" t="s">
        <v>845</v>
      </c>
      <c r="AQ78" s="796"/>
      <c r="AR78" s="812" t="s">
        <v>835</v>
      </c>
      <c r="AS78" s="812" t="s">
        <v>836</v>
      </c>
      <c r="AT78" s="812" t="s">
        <v>837</v>
      </c>
      <c r="AU78" s="814" t="s">
        <v>838</v>
      </c>
    </row>
    <row r="79" spans="1:47" ht="12.75" hidden="1" customHeight="1">
      <c r="A79" s="115"/>
      <c r="B79" s="1043" t="s">
        <v>191</v>
      </c>
      <c r="C79" s="1043"/>
      <c r="D79" s="1043"/>
      <c r="E79" s="1032" t="s">
        <v>21</v>
      </c>
      <c r="F79" s="1033"/>
      <c r="G79" s="1032" t="s">
        <v>22</v>
      </c>
      <c r="H79" s="1033"/>
      <c r="I79" s="1032" t="s">
        <v>579</v>
      </c>
      <c r="J79" s="1033"/>
      <c r="K79" s="824" t="s">
        <v>500</v>
      </c>
      <c r="L79" s="824"/>
      <c r="M79" s="314"/>
      <c r="N79" s="314"/>
      <c r="O79" s="114"/>
      <c r="P79" s="114"/>
      <c r="Q79" s="114"/>
      <c r="R79" s="114"/>
      <c r="S79" s="114"/>
      <c r="T79" s="10"/>
      <c r="U79" s="797"/>
      <c r="V79" s="798"/>
      <c r="W79" s="809"/>
      <c r="X79" s="809"/>
      <c r="Y79" s="809"/>
      <c r="Z79" s="807"/>
      <c r="AB79" s="797"/>
      <c r="AC79" s="798"/>
      <c r="AD79" s="813"/>
      <c r="AE79" s="813"/>
      <c r="AF79" s="813"/>
      <c r="AG79" s="815"/>
      <c r="AI79" s="797"/>
      <c r="AJ79" s="798"/>
      <c r="AK79" s="813"/>
      <c r="AL79" s="813"/>
      <c r="AM79" s="813"/>
      <c r="AN79" s="815"/>
      <c r="AP79" s="797"/>
      <c r="AQ79" s="798"/>
      <c r="AR79" s="813"/>
      <c r="AS79" s="813"/>
      <c r="AT79" s="813"/>
      <c r="AU79" s="815"/>
    </row>
    <row r="80" spans="1:47" ht="12.75" hidden="1" customHeight="1">
      <c r="A80" s="115"/>
      <c r="B80" s="1044" t="s">
        <v>220</v>
      </c>
      <c r="C80" s="1044"/>
      <c r="D80" s="1044"/>
      <c r="E80" s="1030">
        <f>+X82</f>
        <v>103.25</v>
      </c>
      <c r="F80" s="1031"/>
      <c r="G80" s="1038">
        <f>+AE82</f>
        <v>86.85</v>
      </c>
      <c r="H80" s="824"/>
      <c r="I80" s="1038">
        <f>+AL82</f>
        <v>93.65</v>
      </c>
      <c r="J80" s="824"/>
      <c r="K80" s="1030">
        <f>+AS82</f>
        <v>90.15</v>
      </c>
      <c r="L80" s="1031"/>
      <c r="M80" s="315"/>
      <c r="N80" s="315"/>
      <c r="O80" s="114"/>
      <c r="P80" s="114"/>
      <c r="Q80" s="114"/>
      <c r="R80" s="114"/>
      <c r="S80" s="114"/>
      <c r="T80" s="10"/>
      <c r="U80" s="797"/>
      <c r="V80" s="798"/>
      <c r="W80" s="59">
        <f>W67-PPE!$I$15</f>
        <v>112.02059991327965</v>
      </c>
      <c r="X80" s="40">
        <f>+X73</f>
        <v>1.0666666666666667</v>
      </c>
      <c r="Y80" s="53">
        <f>IF(W80&gt;0,Z80*X80," ")</f>
        <v>6826.666666666667</v>
      </c>
      <c r="Z80" s="60">
        <f>IF(W80&gt;0,(VLOOKUP(W80,'Lookup Ready-reckoner'!$B$5:$E$1207,4))," ")</f>
        <v>6400</v>
      </c>
      <c r="AB80" s="797"/>
      <c r="AC80" s="798"/>
      <c r="AD80" s="59">
        <f>AD67-PPE!$I$15</f>
        <v>95.020599913279639</v>
      </c>
      <c r="AE80" s="40">
        <f>+AE73</f>
        <v>1.25</v>
      </c>
      <c r="AF80" s="53">
        <f>IF(AD80&gt;0,AG80*AE80," ")</f>
        <v>156.25</v>
      </c>
      <c r="AG80" s="60">
        <f>IF(AD80&gt;0,(VLOOKUP(AD80,'Lookup Ready-reckoner'!$B$5:$E$1207,4))," ")</f>
        <v>125</v>
      </c>
      <c r="AI80" s="797"/>
      <c r="AJ80" s="798"/>
      <c r="AK80" s="59">
        <f>AK67-PPE!$I$15</f>
        <v>101.01029995663981</v>
      </c>
      <c r="AL80" s="40">
        <f>+AL73</f>
        <v>1.4814814814814814</v>
      </c>
      <c r="AM80" s="53">
        <f>IF(AK80&gt;0,AN80*AL80," ")</f>
        <v>740.74074074074065</v>
      </c>
      <c r="AN80" s="60">
        <f>IF(AK80&gt;0,(VLOOKUP(AK80,'Lookup Ready-reckoner'!$B$5:$E$1207,4))," ")</f>
        <v>500</v>
      </c>
      <c r="AP80" s="797"/>
      <c r="AQ80" s="798"/>
      <c r="AR80" s="59">
        <f>AR67-PPE!$I$15</f>
        <v>95.020599913279639</v>
      </c>
      <c r="AS80" s="40">
        <f>+AS73</f>
        <v>2.6666666666666665</v>
      </c>
      <c r="AT80" s="53">
        <f>IF(AR80&gt;0,AU80*AS80," ")</f>
        <v>333.33333333333331</v>
      </c>
      <c r="AU80" s="60">
        <f>IF(AR80&gt;0,(VLOOKUP(AR80,'Lookup Ready-reckoner'!$B$5:$E$1207,4))," ")</f>
        <v>125</v>
      </c>
    </row>
    <row r="81" spans="1:47" ht="12.75" hidden="1" customHeight="1">
      <c r="A81" s="115"/>
      <c r="B81" s="1042" t="s">
        <v>886</v>
      </c>
      <c r="C81" s="1042"/>
      <c r="D81" s="1042"/>
      <c r="E81" s="1030">
        <f>+X88</f>
        <v>98.85</v>
      </c>
      <c r="F81" s="1031"/>
      <c r="G81" s="1038">
        <f>+AE88</f>
        <v>82.95</v>
      </c>
      <c r="H81" s="824"/>
      <c r="I81" s="1038">
        <f>+AL88</f>
        <v>89.6</v>
      </c>
      <c r="J81" s="824"/>
      <c r="K81" s="1030">
        <f>+AS88</f>
        <v>86.35</v>
      </c>
      <c r="L81" s="1031"/>
      <c r="M81" s="315"/>
      <c r="N81" s="315"/>
      <c r="O81" s="114"/>
      <c r="P81" s="114"/>
      <c r="Q81" s="114"/>
      <c r="R81" s="114"/>
      <c r="S81" s="114"/>
      <c r="T81" s="10"/>
      <c r="U81" s="799"/>
      <c r="V81" s="800"/>
      <c r="W81" s="38"/>
      <c r="X81" s="40"/>
      <c r="Y81" s="53" t="str">
        <f>IF(W81&gt;0,Z81*X81," ")</f>
        <v xml:space="preserve"> </v>
      </c>
      <c r="Z81" s="60" t="str">
        <f>IF(W81&gt;0,(VLOOKUP(W81,'Lookup Ready-reckoner'!$B$5:$E$1007,4))," ")</f>
        <v xml:space="preserve"> </v>
      </c>
      <c r="AB81" s="799"/>
      <c r="AC81" s="800"/>
      <c r="AD81" s="38"/>
      <c r="AE81" s="40"/>
      <c r="AF81" s="53" t="str">
        <f>IF(AD81&gt;0,AG81*AE81," ")</f>
        <v xml:space="preserve"> </v>
      </c>
      <c r="AG81" s="60" t="str">
        <f>IF(AD81&gt;0,(VLOOKUP(AD81,'Lookup Ready-reckoner'!$B$5:$E$1007,4))," ")</f>
        <v xml:space="preserve"> </v>
      </c>
      <c r="AI81" s="799"/>
      <c r="AJ81" s="800"/>
      <c r="AK81" s="38"/>
      <c r="AL81" s="40"/>
      <c r="AM81" s="53" t="str">
        <f>IF(AK81&gt;0,AN81*AL81," ")</f>
        <v xml:space="preserve"> </v>
      </c>
      <c r="AN81" s="60" t="str">
        <f>IF(AK81&gt;0,(VLOOKUP(AK81,'Lookup Ready-reckoner'!$B$5:$E$1007,4))," ")</f>
        <v xml:space="preserve"> </v>
      </c>
      <c r="AP81" s="799"/>
      <c r="AQ81" s="800"/>
      <c r="AR81" s="38"/>
      <c r="AS81" s="40"/>
      <c r="AT81" s="53" t="str">
        <f>IF(AR81&gt;0,AU81*AS81," ")</f>
        <v xml:space="preserve"> </v>
      </c>
      <c r="AU81" s="60" t="str">
        <f>IF(AR81&gt;0,(VLOOKUP(AR81,'Lookup Ready-reckoner'!$B$5:$E$1007,4))," ")</f>
        <v xml:space="preserve"> </v>
      </c>
    </row>
    <row r="82" spans="1:47" ht="12.75" hidden="1" customHeight="1" thickBot="1">
      <c r="A82" s="115"/>
      <c r="B82" s="271"/>
      <c r="C82" s="271"/>
      <c r="D82" s="271"/>
      <c r="E82" s="271"/>
      <c r="F82" s="271"/>
      <c r="G82" s="271"/>
      <c r="H82" s="271"/>
      <c r="I82" s="271"/>
      <c r="J82" s="271"/>
      <c r="K82" s="114"/>
      <c r="L82" s="114"/>
      <c r="M82" s="127"/>
      <c r="N82" s="127"/>
      <c r="O82" s="114"/>
      <c r="P82" s="114"/>
      <c r="Q82" s="114"/>
      <c r="R82" s="114"/>
      <c r="S82" s="114"/>
      <c r="T82" s="10"/>
      <c r="U82" s="61" t="s">
        <v>839</v>
      </c>
      <c r="V82" s="62"/>
      <c r="W82" s="62"/>
      <c r="X82" s="63">
        <f>IF(W80&gt;0,(VLOOKUP(Y82,'Lookup Ready-reckoner'!$L$5:$M$1207,2))," ")</f>
        <v>103.25</v>
      </c>
      <c r="Y82" s="64">
        <f>IF(X80&gt;0,(SUM(Y80:Y81))," ")</f>
        <v>6826.666666666667</v>
      </c>
      <c r="Z82" s="65"/>
      <c r="AB82" s="61" t="s">
        <v>839</v>
      </c>
      <c r="AC82" s="62"/>
      <c r="AD82" s="62"/>
      <c r="AE82" s="63">
        <f>IF(AD80&gt;0,(VLOOKUP(AF82,'Lookup Ready-reckoner'!$L$5:$M$1207,2))," ")</f>
        <v>86.85</v>
      </c>
      <c r="AF82" s="64">
        <f>IF(AE80&gt;0,(SUM(AF80:AF81))," ")</f>
        <v>156.25</v>
      </c>
      <c r="AG82" s="65"/>
      <c r="AI82" s="61" t="s">
        <v>839</v>
      </c>
      <c r="AJ82" s="62"/>
      <c r="AK82" s="62"/>
      <c r="AL82" s="63">
        <f>IF(AK80&gt;0,(VLOOKUP(AM82,'Lookup Ready-reckoner'!$L$5:$M$1207,2))," ")</f>
        <v>93.65</v>
      </c>
      <c r="AM82" s="64">
        <f>IF(AL80&gt;0,(SUM(AM80:AM81))," ")</f>
        <v>740.74074074074065</v>
      </c>
      <c r="AN82" s="65"/>
      <c r="AP82" s="61" t="s">
        <v>839</v>
      </c>
      <c r="AQ82" s="62"/>
      <c r="AR82" s="62"/>
      <c r="AS82" s="63">
        <f>IF(AR80&gt;0,(VLOOKUP(AT82,'Lookup Ready-reckoner'!$L$5:$M$1207,2))," ")</f>
        <v>90.15</v>
      </c>
      <c r="AT82" s="64">
        <f>IF(AS80&gt;0,(SUM(AT80:AT81))," ")</f>
        <v>333.33333333333331</v>
      </c>
      <c r="AU82" s="65"/>
    </row>
    <row r="83" spans="1:47" ht="12.75" hidden="1" customHeight="1" thickBot="1">
      <c r="A83" s="273" t="s">
        <v>222</v>
      </c>
      <c r="B83" s="272" t="s">
        <v>224</v>
      </c>
      <c r="C83" s="271"/>
      <c r="D83" s="271"/>
      <c r="E83" s="271"/>
      <c r="F83" s="271"/>
      <c r="G83" s="271"/>
      <c r="H83" s="271"/>
      <c r="I83" s="271"/>
      <c r="J83" s="271"/>
      <c r="K83" s="114"/>
      <c r="L83" s="114"/>
      <c r="M83" s="127"/>
      <c r="N83" s="127"/>
      <c r="O83" s="114"/>
      <c r="P83" s="114"/>
      <c r="Q83" s="114"/>
      <c r="R83" s="114"/>
      <c r="S83" s="114"/>
      <c r="T83" s="10"/>
      <c r="U83" s="819"/>
      <c r="V83" s="820"/>
      <c r="W83" s="820"/>
      <c r="X83" s="820"/>
      <c r="Y83" s="820"/>
      <c r="Z83" s="821"/>
      <c r="AB83" s="797"/>
      <c r="AC83" s="810"/>
      <c r="AD83" s="810"/>
      <c r="AE83" s="810"/>
      <c r="AF83" s="810"/>
      <c r="AG83" s="811"/>
      <c r="AI83" s="797"/>
      <c r="AJ83" s="810"/>
      <c r="AK83" s="810"/>
      <c r="AL83" s="810"/>
      <c r="AM83" s="810"/>
      <c r="AN83" s="811"/>
      <c r="AP83" s="797"/>
      <c r="AQ83" s="810"/>
      <c r="AR83" s="810"/>
      <c r="AS83" s="810"/>
      <c r="AT83" s="810"/>
      <c r="AU83" s="811"/>
    </row>
    <row r="84" spans="1:47" ht="12.75" hidden="1" customHeight="1">
      <c r="A84" s="115"/>
      <c r="B84" s="271"/>
      <c r="C84" s="271"/>
      <c r="D84" s="271"/>
      <c r="E84" s="271"/>
      <c r="F84" s="271"/>
      <c r="G84" s="271"/>
      <c r="H84" s="271"/>
      <c r="I84" s="271"/>
      <c r="J84" s="271"/>
      <c r="K84" s="114"/>
      <c r="L84" s="114"/>
      <c r="M84" s="127"/>
      <c r="N84" s="127"/>
      <c r="O84" s="114"/>
      <c r="P84" s="114"/>
      <c r="Q84" s="114"/>
      <c r="R84" s="114"/>
      <c r="S84" s="114"/>
      <c r="T84" s="10"/>
      <c r="U84" s="795" t="s">
        <v>886</v>
      </c>
      <c r="V84" s="796"/>
      <c r="W84" s="808" t="s">
        <v>835</v>
      </c>
      <c r="X84" s="808" t="s">
        <v>836</v>
      </c>
      <c r="Y84" s="808" t="s">
        <v>837</v>
      </c>
      <c r="Z84" s="806" t="s">
        <v>838</v>
      </c>
      <c r="AB84" s="795" t="s">
        <v>886</v>
      </c>
      <c r="AC84" s="796"/>
      <c r="AD84" s="812" t="s">
        <v>835</v>
      </c>
      <c r="AE84" s="812" t="s">
        <v>836</v>
      </c>
      <c r="AF84" s="812" t="s">
        <v>837</v>
      </c>
      <c r="AG84" s="814" t="s">
        <v>838</v>
      </c>
      <c r="AI84" s="795" t="s">
        <v>886</v>
      </c>
      <c r="AJ84" s="796"/>
      <c r="AK84" s="812" t="s">
        <v>835</v>
      </c>
      <c r="AL84" s="812" t="s">
        <v>836</v>
      </c>
      <c r="AM84" s="812" t="s">
        <v>837</v>
      </c>
      <c r="AN84" s="814" t="s">
        <v>838</v>
      </c>
      <c r="AP84" s="795" t="s">
        <v>886</v>
      </c>
      <c r="AQ84" s="796"/>
      <c r="AR84" s="812" t="s">
        <v>835</v>
      </c>
      <c r="AS84" s="812" t="s">
        <v>836</v>
      </c>
      <c r="AT84" s="812" t="s">
        <v>837</v>
      </c>
      <c r="AU84" s="814" t="s">
        <v>838</v>
      </c>
    </row>
    <row r="85" spans="1:47" ht="12.75" hidden="1" customHeight="1">
      <c r="A85" s="273" t="s">
        <v>223</v>
      </c>
      <c r="B85" s="272" t="s">
        <v>230</v>
      </c>
      <c r="C85" s="271"/>
      <c r="D85" s="271"/>
      <c r="E85" s="271"/>
      <c r="F85" s="271"/>
      <c r="G85" s="271"/>
      <c r="H85" s="271"/>
      <c r="I85" s="271"/>
      <c r="J85" s="271"/>
      <c r="K85" s="114"/>
      <c r="L85" s="114"/>
      <c r="M85" s="127"/>
      <c r="N85" s="127"/>
      <c r="O85" s="114"/>
      <c r="P85" s="114"/>
      <c r="Q85" s="114"/>
      <c r="R85" s="114"/>
      <c r="S85" s="114"/>
      <c r="T85" s="10"/>
      <c r="U85" s="797"/>
      <c r="V85" s="798"/>
      <c r="W85" s="809"/>
      <c r="X85" s="809"/>
      <c r="Y85" s="809"/>
      <c r="Z85" s="807"/>
      <c r="AB85" s="797"/>
      <c r="AC85" s="798"/>
      <c r="AD85" s="813"/>
      <c r="AE85" s="813"/>
      <c r="AF85" s="813"/>
      <c r="AG85" s="815"/>
      <c r="AI85" s="797"/>
      <c r="AJ85" s="798"/>
      <c r="AK85" s="813"/>
      <c r="AL85" s="813"/>
      <c r="AM85" s="813"/>
      <c r="AN85" s="815"/>
      <c r="AP85" s="797"/>
      <c r="AQ85" s="798"/>
      <c r="AR85" s="813"/>
      <c r="AS85" s="813"/>
      <c r="AT85" s="813"/>
      <c r="AU85" s="815"/>
    </row>
    <row r="86" spans="1:47" ht="12.75" hidden="1" customHeight="1">
      <c r="A86" s="115"/>
      <c r="B86" s="272" t="s">
        <v>229</v>
      </c>
      <c r="C86" s="271"/>
      <c r="D86" s="271"/>
      <c r="E86" s="271"/>
      <c r="F86" s="271"/>
      <c r="G86" s="271"/>
      <c r="H86" s="271"/>
      <c r="I86" s="271"/>
      <c r="J86" s="271"/>
      <c r="K86" s="114"/>
      <c r="L86" s="114"/>
      <c r="M86" s="127"/>
      <c r="N86" s="127"/>
      <c r="O86" s="114"/>
      <c r="P86" s="114"/>
      <c r="Q86" s="114"/>
      <c r="R86" s="114"/>
      <c r="S86" s="114"/>
      <c r="T86" s="10"/>
      <c r="U86" s="797"/>
      <c r="V86" s="798"/>
      <c r="W86" s="59">
        <f>W73-PPE!$I$15</f>
        <v>107.5698665563669</v>
      </c>
      <c r="X86" s="40">
        <f>+X80</f>
        <v>1.0666666666666667</v>
      </c>
      <c r="Y86" s="53">
        <f>IF(W86&gt;0,Z86*X86," ")</f>
        <v>2426.6666666666665</v>
      </c>
      <c r="Z86" s="60">
        <f>IF(W86&gt;0,(VLOOKUP(W86,'Lookup Ready-reckoner'!$B$5:$E$1207,4))," ")</f>
        <v>2275</v>
      </c>
      <c r="AB86" s="797"/>
      <c r="AC86" s="798"/>
      <c r="AD86" s="59">
        <f>AD73-PPE!$I$15</f>
        <v>91.175066556366886</v>
      </c>
      <c r="AE86" s="40">
        <f>+AE80</f>
        <v>1.25</v>
      </c>
      <c r="AF86" s="53">
        <f>IF(AD86&gt;0,AG86*AE86," ")</f>
        <v>64.84375</v>
      </c>
      <c r="AG86" s="60">
        <f>IF(AD86&gt;0,(VLOOKUP(AD86,'Lookup Ready-reckoner'!$B$5:$E$1207,4))," ")</f>
        <v>51.875</v>
      </c>
      <c r="AI86" s="797"/>
      <c r="AJ86" s="798"/>
      <c r="AK86" s="59">
        <f>AK73-PPE!$I$15</f>
        <v>96.951533278183433</v>
      </c>
      <c r="AL86" s="40">
        <f>+AL80</f>
        <v>1.4814814814814814</v>
      </c>
      <c r="AM86" s="53">
        <f>IF(AK86&gt;0,AN86*AL86," ")</f>
        <v>293.05555555555554</v>
      </c>
      <c r="AN86" s="60">
        <f>IF(AK86&gt;0,(VLOOKUP(AK86,'Lookup Ready-reckoner'!$B$5:$E$1207,4))," ")</f>
        <v>197.8125</v>
      </c>
      <c r="AP86" s="797"/>
      <c r="AQ86" s="798"/>
      <c r="AR86" s="59">
        <f>AR73-PPE!$I$15</f>
        <v>91.175066556366886</v>
      </c>
      <c r="AS86" s="40">
        <f>+AS80</f>
        <v>2.6666666666666665</v>
      </c>
      <c r="AT86" s="53">
        <f>IF(AR86&gt;0,AU86*AS86," ")</f>
        <v>138.33333333333331</v>
      </c>
      <c r="AU86" s="60">
        <f>IF(AR86&gt;0,(VLOOKUP(AR86,'Lookup Ready-reckoner'!$B$5:$E$1207,4))," ")</f>
        <v>51.875</v>
      </c>
    </row>
    <row r="87" spans="1:47" ht="12.75" hidden="1" customHeight="1">
      <c r="A87" s="115"/>
      <c r="B87" s="1043" t="s">
        <v>191</v>
      </c>
      <c r="C87" s="1043"/>
      <c r="D87" s="1043"/>
      <c r="E87" s="1032" t="s">
        <v>21</v>
      </c>
      <c r="F87" s="1033"/>
      <c r="G87" s="1032" t="s">
        <v>22</v>
      </c>
      <c r="H87" s="1033"/>
      <c r="I87" s="1032" t="s">
        <v>579</v>
      </c>
      <c r="J87" s="1033"/>
      <c r="K87" s="824" t="s">
        <v>500</v>
      </c>
      <c r="L87" s="824"/>
      <c r="M87" s="314"/>
      <c r="N87" s="314"/>
      <c r="O87" s="114"/>
      <c r="P87" s="114"/>
      <c r="Q87" s="114"/>
      <c r="R87" s="114"/>
      <c r="S87" s="114"/>
      <c r="T87" s="10"/>
      <c r="U87" s="799"/>
      <c r="V87" s="800"/>
      <c r="W87" s="59"/>
      <c r="X87" s="40"/>
      <c r="Y87" s="53" t="str">
        <f>IF(W87&gt;0,Z87*X87," ")</f>
        <v xml:space="preserve"> </v>
      </c>
      <c r="Z87" s="60" t="str">
        <f>IF(W87&gt;0,(VLOOKUP(W87,'Lookup Ready-reckoner'!$B$5:$E$1007,4))," ")</f>
        <v xml:space="preserve"> </v>
      </c>
      <c r="AB87" s="799"/>
      <c r="AC87" s="800"/>
      <c r="AD87" s="59"/>
      <c r="AE87" s="40"/>
      <c r="AF87" s="53" t="str">
        <f>IF(AD87&gt;0,AG87*AE87," ")</f>
        <v xml:space="preserve"> </v>
      </c>
      <c r="AG87" s="60" t="str">
        <f>IF(AD87&gt;0,(VLOOKUP(AD87,'Lookup Ready-reckoner'!$B$5:$E$1007,4))," ")</f>
        <v xml:space="preserve"> </v>
      </c>
      <c r="AI87" s="799"/>
      <c r="AJ87" s="800"/>
      <c r="AK87" s="59"/>
      <c r="AL87" s="40"/>
      <c r="AM87" s="53" t="str">
        <f>IF(AK87&gt;0,AN87*AL87," ")</f>
        <v xml:space="preserve"> </v>
      </c>
      <c r="AN87" s="60" t="str">
        <f>IF(AK87&gt;0,(VLOOKUP(AK87,'Lookup Ready-reckoner'!$B$5:$E$1007,4))," ")</f>
        <v xml:space="preserve"> </v>
      </c>
      <c r="AP87" s="799"/>
      <c r="AQ87" s="800"/>
      <c r="AR87" s="59"/>
      <c r="AS87" s="40"/>
      <c r="AT87" s="53" t="str">
        <f>IF(AR87&gt;0,AU87*AS87," ")</f>
        <v xml:space="preserve"> </v>
      </c>
      <c r="AU87" s="60" t="str">
        <f>IF(AR87&gt;0,(VLOOKUP(AR87,'Lookup Ready-reckoner'!$B$5:$E$1007,4))," ")</f>
        <v xml:space="preserve"> </v>
      </c>
    </row>
    <row r="88" spans="1:47" ht="12.75" hidden="1" customHeight="1" thickBot="1">
      <c r="A88" s="115"/>
      <c r="B88" s="1044" t="s">
        <v>220</v>
      </c>
      <c r="C88" s="1044"/>
      <c r="D88" s="1044"/>
      <c r="E88" s="1038">
        <f>VLOOKUP(E75,'Lookup Exposure Time'!$B$12:$C$732,2)</f>
        <v>0.59375</v>
      </c>
      <c r="F88" s="1038"/>
      <c r="G88" s="1038">
        <f>VLOOKUP(G75,'Lookup Exposure Time'!$B$12:$C$732,2)</f>
        <v>16</v>
      </c>
      <c r="H88" s="1038"/>
      <c r="I88" s="1038">
        <f>VLOOKUP(I75,'Lookup Exposure Time'!$B$12:$C$732,2)</f>
        <v>3.375</v>
      </c>
      <c r="J88" s="1038"/>
      <c r="K88" s="1038">
        <f>VLOOKUP(K75,'Lookup Exposure Time'!$B$12:$C$732,2)</f>
        <v>7.375</v>
      </c>
      <c r="L88" s="1038"/>
      <c r="M88" s="324"/>
      <c r="N88" s="324"/>
      <c r="O88" s="114"/>
      <c r="P88" s="114"/>
      <c r="Q88" s="114"/>
      <c r="R88" s="114"/>
      <c r="S88" s="114"/>
      <c r="T88" s="10"/>
      <c r="U88" s="61" t="s">
        <v>839</v>
      </c>
      <c r="V88" s="62"/>
      <c r="W88" s="62"/>
      <c r="X88" s="63">
        <f>IF(W86&gt;0,(VLOOKUP(Y88,'Lookup Ready-reckoner'!$L$5:$M$1207,2))," ")</f>
        <v>98.85</v>
      </c>
      <c r="Y88" s="64">
        <f>IF(X86&gt;0,(SUM(Y86:Y87))," ")</f>
        <v>2426.6666666666665</v>
      </c>
      <c r="Z88" s="65"/>
      <c r="AB88" s="61" t="s">
        <v>839</v>
      </c>
      <c r="AC88" s="62"/>
      <c r="AD88" s="62"/>
      <c r="AE88" s="63">
        <f>IF(AD86&gt;0,(VLOOKUP(AF88,'Lookup Ready-reckoner'!$L$5:$M$1207,2))," ")</f>
        <v>82.95</v>
      </c>
      <c r="AF88" s="64">
        <f>IF(AE86&gt;0,(SUM(AF86:AF87))," ")</f>
        <v>64.84375</v>
      </c>
      <c r="AG88" s="65"/>
      <c r="AI88" s="61" t="s">
        <v>839</v>
      </c>
      <c r="AJ88" s="62"/>
      <c r="AK88" s="62"/>
      <c r="AL88" s="63">
        <f>IF(AK86&gt;0,(VLOOKUP(AM88,'Lookup Ready-reckoner'!$L$5:$M$1207,2))," ")</f>
        <v>89.6</v>
      </c>
      <c r="AM88" s="64">
        <f>IF(AL86&gt;0,(SUM(AM86:AM87))," ")</f>
        <v>293.05555555555554</v>
      </c>
      <c r="AN88" s="65"/>
      <c r="AP88" s="61" t="s">
        <v>839</v>
      </c>
      <c r="AQ88" s="62"/>
      <c r="AR88" s="62"/>
      <c r="AS88" s="63">
        <f>IF(AR86&gt;0,(VLOOKUP(AT88,'Lookup Ready-reckoner'!$L$5:$M$1207,2))," ")</f>
        <v>86.35</v>
      </c>
      <c r="AT88" s="64">
        <f>IF(AS86&gt;0,(SUM(AT86:AT87))," ")</f>
        <v>138.33333333333331</v>
      </c>
      <c r="AU88" s="65"/>
    </row>
    <row r="89" spans="1:47" ht="12.75" hidden="1" customHeight="1">
      <c r="A89" s="115"/>
      <c r="B89" s="1042" t="s">
        <v>886</v>
      </c>
      <c r="C89" s="1042"/>
      <c r="D89" s="1042"/>
      <c r="E89" s="1036">
        <f>VLOOKUP(E76,'Lookup Exposure Time'!$B$12:$C$732,2)</f>
        <v>1.0625</v>
      </c>
      <c r="F89" s="1037"/>
      <c r="G89" s="1036">
        <f>VLOOKUP(G76,'Lookup Exposure Time'!$B$12:$C$732,2)</f>
        <v>39</v>
      </c>
      <c r="H89" s="1037"/>
      <c r="I89" s="1036">
        <f>VLOOKUP(I76,'Lookup Exposure Time'!$B$12:$C$732,2)</f>
        <v>8.5</v>
      </c>
      <c r="J89" s="1037"/>
      <c r="K89" s="1036">
        <f>VLOOKUP(K76,'Lookup Exposure Time'!$B$12:$C$732,2)</f>
        <v>18.5</v>
      </c>
      <c r="L89" s="1037"/>
      <c r="M89" s="324"/>
      <c r="N89" s="324"/>
      <c r="O89" s="114"/>
      <c r="P89" s="114"/>
      <c r="Q89" s="114"/>
      <c r="R89" s="114"/>
      <c r="S89" s="114"/>
      <c r="T89" s="10"/>
    </row>
    <row r="90" spans="1:47" ht="12.75" hidden="1" customHeight="1">
      <c r="A90" s="115"/>
      <c r="B90" s="271"/>
      <c r="C90" s="271"/>
      <c r="D90" s="271"/>
      <c r="E90" s="271"/>
      <c r="F90" s="271"/>
      <c r="G90" s="271"/>
      <c r="H90" s="271"/>
      <c r="I90" s="271"/>
      <c r="J90" s="271"/>
      <c r="K90" s="114"/>
      <c r="L90" s="114"/>
      <c r="M90" s="127"/>
      <c r="N90" s="127"/>
      <c r="O90" s="114"/>
      <c r="P90" s="114"/>
      <c r="Q90" s="114"/>
      <c r="R90" s="114"/>
      <c r="S90" s="114"/>
      <c r="T90" s="10"/>
    </row>
    <row r="91" spans="1:47" ht="12.75" hidden="1" customHeight="1">
      <c r="A91" s="273" t="s">
        <v>225</v>
      </c>
      <c r="B91" s="272" t="s">
        <v>227</v>
      </c>
      <c r="C91" s="271"/>
      <c r="D91" s="271"/>
      <c r="E91" s="271"/>
      <c r="F91" s="271"/>
      <c r="G91" s="271"/>
      <c r="H91" s="271"/>
      <c r="I91" s="271"/>
      <c r="J91" s="271"/>
      <c r="K91" s="114"/>
      <c r="L91" s="114"/>
      <c r="M91" s="127"/>
      <c r="N91" s="127"/>
      <c r="O91" s="114"/>
      <c r="P91" s="114"/>
      <c r="Q91" s="114"/>
      <c r="R91" s="114"/>
      <c r="S91" s="114"/>
      <c r="T91" s="10"/>
    </row>
    <row r="92" spans="1:47" ht="12.75" hidden="1" customHeight="1">
      <c r="A92" s="115"/>
      <c r="B92" s="1043" t="s">
        <v>191</v>
      </c>
      <c r="C92" s="1043"/>
      <c r="D92" s="1043"/>
      <c r="E92" s="1032" t="s">
        <v>21</v>
      </c>
      <c r="F92" s="1033"/>
      <c r="G92" s="1032" t="s">
        <v>22</v>
      </c>
      <c r="H92" s="1033"/>
      <c r="I92" s="1032" t="s">
        <v>579</v>
      </c>
      <c r="J92" s="1033"/>
      <c r="K92" s="824" t="s">
        <v>500</v>
      </c>
      <c r="L92" s="824"/>
      <c r="M92" s="314"/>
      <c r="N92" s="314"/>
      <c r="O92" s="127"/>
      <c r="P92" s="127"/>
      <c r="Q92" s="127"/>
      <c r="R92" s="127"/>
      <c r="S92" s="114"/>
      <c r="T92" s="10"/>
    </row>
    <row r="93" spans="1:47" ht="12.75" hidden="1" customHeight="1">
      <c r="A93" s="115"/>
      <c r="B93" s="1044" t="s">
        <v>220</v>
      </c>
      <c r="C93" s="1044"/>
      <c r="D93" s="1044"/>
      <c r="E93" s="1034">
        <f>VLOOKUP(E80,'Lookup Exposure Time'!$B$12:$C$732,2)</f>
        <v>7.25</v>
      </c>
      <c r="F93" s="1035"/>
      <c r="G93" s="1034">
        <f>VLOOKUP(G80,'Lookup Exposure Time'!$B$12:$C$732,2)</f>
        <v>336</v>
      </c>
      <c r="H93" s="1035"/>
      <c r="I93" s="1034">
        <f>VLOOKUP(I80,'Lookup Exposure Time'!$B$12:$C$732,2)</f>
        <v>68</v>
      </c>
      <c r="J93" s="1035"/>
      <c r="K93" s="1034">
        <f>VLOOKUP(K80,'Lookup Exposure Time'!$B$12:$C$732,2)</f>
        <v>156</v>
      </c>
      <c r="L93" s="1035"/>
      <c r="M93" s="325"/>
      <c r="N93" s="325"/>
      <c r="O93" s="114"/>
      <c r="P93" s="326">
        <f>(VLOOKUP(E80,'Lookup Exposure Time'!$B$37:$C$139,2))</f>
        <v>13568</v>
      </c>
      <c r="Q93" s="326">
        <f>(VLOOKUP(K80,'Lookup Exposure Time'!$B$37:$C$139,2))</f>
        <v>13568</v>
      </c>
      <c r="R93" s="127"/>
      <c r="S93" s="114"/>
      <c r="T93" s="10"/>
    </row>
    <row r="94" spans="1:47" ht="12.75" hidden="1" customHeight="1">
      <c r="A94" s="115"/>
      <c r="B94" s="1042" t="s">
        <v>886</v>
      </c>
      <c r="C94" s="1042"/>
      <c r="D94" s="1042"/>
      <c r="E94" s="1034">
        <f>VLOOKUP(E81,'Lookup Exposure Time'!$B$12:$C$732,2)</f>
        <v>21</v>
      </c>
      <c r="F94" s="1035"/>
      <c r="G94" s="1034">
        <f>VLOOKUP(G81,'Lookup Exposure Time'!$B$12:$C$732,2)</f>
        <v>816</v>
      </c>
      <c r="H94" s="1035"/>
      <c r="I94" s="1034">
        <f>VLOOKUP(I81,'Lookup Exposure Time'!$B$12:$C$732,2)</f>
        <v>176</v>
      </c>
      <c r="J94" s="1035"/>
      <c r="K94" s="1034">
        <f>VLOOKUP(K81,'Lookup Exposure Time'!$B$12:$C$732,2)</f>
        <v>376</v>
      </c>
      <c r="L94" s="1035"/>
      <c r="M94" s="325"/>
      <c r="N94" s="325"/>
      <c r="O94" s="114"/>
      <c r="P94" s="326">
        <f>(VLOOKUP(E81,'Lookup Exposure Time'!$B$37:$C$139,2))</f>
        <v>13568</v>
      </c>
      <c r="Q94" s="326">
        <f>(VLOOKUP(K81,'Lookup Exposure Time'!$B$37:$C$139,2))</f>
        <v>13568</v>
      </c>
      <c r="R94" s="127"/>
      <c r="S94" s="114"/>
      <c r="T94" s="10"/>
    </row>
    <row r="95" spans="1:47" ht="12.75" hidden="1" customHeight="1">
      <c r="A95" s="115"/>
      <c r="B95" s="271"/>
      <c r="C95" s="271"/>
      <c r="D95" s="271"/>
      <c r="E95" s="271"/>
      <c r="F95" s="271"/>
      <c r="G95" s="271"/>
      <c r="H95" s="271"/>
      <c r="I95" s="271"/>
      <c r="J95" s="271"/>
      <c r="K95" s="114"/>
      <c r="L95" s="127"/>
      <c r="M95" s="127"/>
      <c r="N95" s="127"/>
      <c r="O95" s="127"/>
      <c r="P95" s="127"/>
      <c r="Q95" s="127"/>
      <c r="R95" s="127"/>
      <c r="S95" s="114"/>
      <c r="T95" s="10"/>
    </row>
    <row r="96" spans="1:47" ht="12.75" hidden="1" customHeight="1">
      <c r="A96" s="273" t="s">
        <v>226</v>
      </c>
      <c r="B96" s="272" t="s">
        <v>228</v>
      </c>
      <c r="C96" s="271"/>
      <c r="D96" s="271"/>
      <c r="E96" s="271"/>
      <c r="F96" s="271"/>
      <c r="G96" s="271"/>
      <c r="H96" s="271"/>
      <c r="I96" s="271"/>
      <c r="J96" s="271"/>
      <c r="K96" s="114"/>
      <c r="L96" s="114"/>
      <c r="M96" s="127"/>
      <c r="N96" s="127"/>
      <c r="O96" s="114"/>
      <c r="P96" s="114"/>
      <c r="Q96" s="114"/>
      <c r="R96" s="114"/>
      <c r="S96" s="114"/>
      <c r="T96" s="10"/>
    </row>
    <row r="97" spans="1:20" ht="12.75" hidden="1" customHeight="1">
      <c r="A97" s="115"/>
      <c r="B97" s="1043" t="s">
        <v>191</v>
      </c>
      <c r="C97" s="1043"/>
      <c r="D97" s="1043"/>
      <c r="E97" s="1032" t="s">
        <v>21</v>
      </c>
      <c r="F97" s="1033"/>
      <c r="G97" s="1032" t="s">
        <v>22</v>
      </c>
      <c r="H97" s="1033"/>
      <c r="I97" s="1032" t="s">
        <v>579</v>
      </c>
      <c r="J97" s="1033"/>
      <c r="K97" s="824" t="s">
        <v>500</v>
      </c>
      <c r="L97" s="824"/>
      <c r="M97" s="314"/>
      <c r="N97" s="314"/>
      <c r="O97" s="114"/>
      <c r="P97" s="114"/>
      <c r="Q97" s="114"/>
      <c r="R97" s="114"/>
      <c r="S97" s="114"/>
      <c r="T97" s="10"/>
    </row>
    <row r="98" spans="1:20" ht="12.75" hidden="1" customHeight="1">
      <c r="A98" s="115"/>
      <c r="B98" s="1044" t="s">
        <v>220</v>
      </c>
      <c r="C98" s="1044"/>
      <c r="D98" s="1044"/>
      <c r="E98" s="1030">
        <f>IF(E93&lt;=480,(E93/60),"No Risk")</f>
        <v>0.12083333333333333</v>
      </c>
      <c r="F98" s="1031"/>
      <c r="G98" s="1030">
        <f>IF(G93&lt;=480,(G93/60),"No Risk")</f>
        <v>5.6</v>
      </c>
      <c r="H98" s="1031"/>
      <c r="I98" s="1030">
        <f>IF(I93&lt;=480,(I93/60),"No Risk")</f>
        <v>1.1333333333333333</v>
      </c>
      <c r="J98" s="1031"/>
      <c r="K98" s="1030">
        <f>IF(K93&lt;=480,(K93/60),"No Risk")</f>
        <v>2.6</v>
      </c>
      <c r="L98" s="1031"/>
      <c r="M98" s="315"/>
      <c r="N98" s="315"/>
      <c r="O98" s="114"/>
      <c r="P98" s="114"/>
      <c r="Q98" s="114"/>
      <c r="R98" s="114"/>
      <c r="S98" s="114"/>
      <c r="T98" s="10"/>
    </row>
    <row r="99" spans="1:20" ht="12.75" hidden="1" customHeight="1">
      <c r="A99" s="115"/>
      <c r="B99" s="1042" t="s">
        <v>886</v>
      </c>
      <c r="C99" s="1042"/>
      <c r="D99" s="1042"/>
      <c r="E99" s="1030">
        <f>IF(E94&lt;=480,(E94/60),"No Risk")</f>
        <v>0.35</v>
      </c>
      <c r="F99" s="1031"/>
      <c r="G99" s="1030" t="str">
        <f>IF(G94&lt;=480,(G94/60),"No Risk")</f>
        <v>No Risk</v>
      </c>
      <c r="H99" s="1031"/>
      <c r="I99" s="1030">
        <f>IF(I94&lt;=480,(I94/60),"No Risk")</f>
        <v>2.9333333333333331</v>
      </c>
      <c r="J99" s="1031"/>
      <c r="K99" s="1030">
        <f>IF(K94&lt;=480,(K94/60),"No Risk")</f>
        <v>6.2666666666666666</v>
      </c>
      <c r="L99" s="1031"/>
      <c r="M99" s="315"/>
      <c r="N99" s="315"/>
      <c r="O99" s="114"/>
      <c r="P99" s="114"/>
      <c r="Q99" s="114"/>
      <c r="R99" s="114"/>
      <c r="S99" s="114"/>
      <c r="T99" s="10"/>
    </row>
    <row r="100" spans="1:20" ht="12.75" hidden="1" customHeight="1">
      <c r="A100" s="115"/>
      <c r="B100" s="271"/>
      <c r="C100" s="271"/>
      <c r="D100" s="271"/>
      <c r="E100" s="271"/>
      <c r="F100" s="271"/>
      <c r="G100" s="271"/>
      <c r="H100" s="271"/>
      <c r="I100" s="271"/>
      <c r="J100" s="271"/>
      <c r="K100" s="114"/>
      <c r="L100" s="114"/>
      <c r="M100" s="127"/>
      <c r="N100" s="127"/>
      <c r="O100" s="114"/>
      <c r="P100" s="114"/>
      <c r="Q100" s="114"/>
      <c r="R100" s="114"/>
      <c r="S100" s="114"/>
      <c r="T100" s="10"/>
    </row>
    <row r="101" spans="1:20" ht="12.75" hidden="1" customHeight="1">
      <c r="A101" s="273" t="s">
        <v>231</v>
      </c>
      <c r="B101" s="272" t="s">
        <v>232</v>
      </c>
      <c r="C101" s="271"/>
      <c r="D101" s="271"/>
      <c r="E101" s="271"/>
      <c r="F101" s="271"/>
      <c r="G101" s="271"/>
      <c r="H101" s="271"/>
      <c r="I101" s="271"/>
      <c r="J101" s="271"/>
      <c r="K101" s="114"/>
      <c r="L101" s="114"/>
      <c r="M101" s="127"/>
      <c r="N101" s="127"/>
      <c r="O101" s="114"/>
      <c r="P101" s="114"/>
      <c r="Q101" s="114"/>
      <c r="R101" s="114"/>
      <c r="S101" s="114"/>
      <c r="T101" s="10"/>
    </row>
    <row r="102" spans="1:20" ht="12.75" hidden="1" customHeight="1">
      <c r="A102" s="273"/>
      <c r="B102" s="272" t="s">
        <v>233</v>
      </c>
      <c r="C102" s="271"/>
      <c r="D102" s="271"/>
      <c r="E102" s="271"/>
      <c r="F102" s="271"/>
      <c r="G102" s="271"/>
      <c r="H102" s="271"/>
      <c r="I102" s="271"/>
      <c r="J102" s="271"/>
      <c r="K102" s="114"/>
      <c r="L102" s="114"/>
      <c r="M102" s="127"/>
      <c r="N102" s="127"/>
      <c r="O102" s="114"/>
      <c r="P102" s="114"/>
      <c r="Q102" s="114"/>
      <c r="R102" s="114"/>
      <c r="S102" s="114"/>
      <c r="T102" s="10"/>
    </row>
    <row r="103" spans="1:20" ht="12.75" hidden="1" customHeight="1">
      <c r="A103" s="115"/>
      <c r="B103" s="1043" t="s">
        <v>678</v>
      </c>
      <c r="C103" s="1043"/>
      <c r="D103" s="1043"/>
      <c r="E103" s="1032" t="s">
        <v>21</v>
      </c>
      <c r="F103" s="1033"/>
      <c r="G103" s="1032" t="s">
        <v>22</v>
      </c>
      <c r="H103" s="1033"/>
      <c r="I103" s="1032" t="s">
        <v>579</v>
      </c>
      <c r="J103" s="1033"/>
      <c r="K103" s="824" t="s">
        <v>500</v>
      </c>
      <c r="L103" s="824"/>
      <c r="M103" s="314"/>
      <c r="N103" s="314"/>
      <c r="O103" s="114"/>
      <c r="P103" s="114"/>
      <c r="Q103" s="114"/>
      <c r="R103" s="114"/>
      <c r="S103" s="114"/>
      <c r="T103" s="10"/>
    </row>
    <row r="104" spans="1:20" ht="12.75" hidden="1" customHeight="1">
      <c r="A104" s="115"/>
      <c r="B104" s="1044" t="s">
        <v>234</v>
      </c>
      <c r="C104" s="1044"/>
      <c r="D104" s="1044"/>
      <c r="E104" s="1030">
        <f>VLOOKUP($E$5,'Lookup Vibration'!$B$8:$F$208,2)</f>
        <v>19.899999999999999</v>
      </c>
      <c r="F104" s="1031"/>
      <c r="G104" s="1030">
        <f>VLOOKUP($E$5,'Lookup Vibration'!$B$8:$F$208,3)</f>
        <v>19.899999999999999</v>
      </c>
      <c r="H104" s="1031"/>
      <c r="I104" s="1030">
        <f>VLOOKUP($E$5,'Lookup Vibration'!$B$8:$F$208,4)</f>
        <v>21.9</v>
      </c>
      <c r="J104" s="1031"/>
      <c r="K104" s="1030">
        <f>VLOOKUP($E$5,'Lookup Vibration'!$B$8:$F$208,5)</f>
        <v>9.1</v>
      </c>
      <c r="L104" s="1031"/>
      <c r="M104" s="315"/>
      <c r="N104" s="315"/>
      <c r="O104" s="114"/>
      <c r="P104" s="114"/>
      <c r="Q104" s="114"/>
      <c r="R104" s="114"/>
      <c r="S104" s="114"/>
      <c r="T104" s="10"/>
    </row>
    <row r="105" spans="1:20" ht="12.75" hidden="1" customHeight="1">
      <c r="A105" s="115"/>
      <c r="B105" s="271"/>
      <c r="C105" s="271"/>
      <c r="D105" s="271"/>
      <c r="E105" s="271"/>
      <c r="F105" s="271"/>
      <c r="G105" s="271"/>
      <c r="H105" s="271"/>
      <c r="I105" s="271"/>
      <c r="J105" s="271"/>
      <c r="K105" s="114"/>
      <c r="L105" s="114"/>
      <c r="M105" s="127"/>
      <c r="N105" s="127"/>
      <c r="O105" s="114"/>
      <c r="P105" s="114"/>
      <c r="Q105" s="114"/>
      <c r="R105" s="114"/>
      <c r="S105" s="114"/>
      <c r="T105" s="10"/>
    </row>
    <row r="106" spans="1:20" ht="12.75" customHeight="1">
      <c r="A106" s="273"/>
      <c r="B106" s="272" t="s">
        <v>34</v>
      </c>
      <c r="C106" s="271"/>
      <c r="D106" s="271"/>
      <c r="E106" s="271"/>
      <c r="F106" s="271"/>
      <c r="G106" s="271"/>
      <c r="H106" s="271"/>
      <c r="I106" s="271"/>
      <c r="J106" s="271"/>
      <c r="K106" s="114"/>
      <c r="L106" s="114"/>
      <c r="M106" s="127"/>
      <c r="N106" s="127"/>
      <c r="O106" s="114"/>
      <c r="P106" s="114"/>
      <c r="Q106" s="114"/>
      <c r="R106" s="114"/>
      <c r="S106" s="114"/>
      <c r="T106" s="10"/>
    </row>
    <row r="107" spans="1:20" ht="12.75" customHeight="1">
      <c r="A107" s="115"/>
      <c r="B107" s="1043" t="s">
        <v>678</v>
      </c>
      <c r="C107" s="1043"/>
      <c r="D107" s="1043"/>
      <c r="E107" s="1107" t="s">
        <v>500</v>
      </c>
      <c r="F107" s="1107"/>
      <c r="G107" s="824" t="s">
        <v>22</v>
      </c>
      <c r="H107" s="824"/>
      <c r="I107" s="824" t="s">
        <v>579</v>
      </c>
      <c r="J107" s="824"/>
      <c r="K107" s="824" t="s">
        <v>21</v>
      </c>
      <c r="L107" s="824"/>
      <c r="M107" s="314"/>
      <c r="N107" s="314"/>
      <c r="O107" s="114"/>
      <c r="P107" s="114"/>
      <c r="Q107" s="114"/>
      <c r="R107" s="114"/>
      <c r="S107" s="114"/>
      <c r="T107" s="10"/>
    </row>
    <row r="108" spans="1:20" ht="12.75" customHeight="1">
      <c r="A108" s="115"/>
      <c r="B108" s="1054" t="s">
        <v>298</v>
      </c>
      <c r="C108" s="1054"/>
      <c r="D108" s="1054"/>
      <c r="E108" s="824" t="s">
        <v>819</v>
      </c>
      <c r="F108" s="824"/>
      <c r="G108" s="824" t="s">
        <v>818</v>
      </c>
      <c r="H108" s="824"/>
      <c r="I108" s="824" t="s">
        <v>819</v>
      </c>
      <c r="J108" s="824"/>
      <c r="K108" s="824" t="s">
        <v>818</v>
      </c>
      <c r="L108" s="824"/>
      <c r="M108" s="314"/>
      <c r="N108" s="314"/>
      <c r="O108" s="114"/>
      <c r="P108" s="114"/>
      <c r="Q108" s="114"/>
      <c r="R108" s="114"/>
      <c r="S108" s="114"/>
      <c r="T108" s="10"/>
    </row>
    <row r="109" spans="1:20" ht="12.75" customHeight="1">
      <c r="A109" s="115"/>
      <c r="B109" s="1042" t="s">
        <v>299</v>
      </c>
      <c r="C109" s="1042"/>
      <c r="D109" s="1042"/>
      <c r="E109" s="824" t="s">
        <v>297</v>
      </c>
      <c r="F109" s="824"/>
      <c r="G109" s="824" t="s">
        <v>296</v>
      </c>
      <c r="H109" s="824"/>
      <c r="I109" s="824" t="s">
        <v>296</v>
      </c>
      <c r="J109" s="824"/>
      <c r="K109" s="824" t="s">
        <v>296</v>
      </c>
      <c r="L109" s="824"/>
      <c r="M109" s="314"/>
      <c r="N109" s="314"/>
      <c r="O109" s="114"/>
      <c r="P109" s="114"/>
      <c r="Q109" s="114"/>
      <c r="R109" s="114"/>
      <c r="S109" s="114"/>
      <c r="T109" s="10"/>
    </row>
    <row r="110" spans="1:20" ht="12.75" customHeight="1">
      <c r="A110" s="115"/>
      <c r="B110" s="271"/>
      <c r="C110" s="271"/>
      <c r="D110" s="271"/>
      <c r="E110" s="271"/>
      <c r="F110" s="271"/>
      <c r="G110" s="271"/>
      <c r="H110" s="271"/>
      <c r="I110" s="271"/>
      <c r="J110" s="271"/>
      <c r="K110" s="114"/>
      <c r="L110" s="114"/>
      <c r="M110" s="127"/>
      <c r="N110" s="127"/>
      <c r="O110" s="114"/>
      <c r="P110" s="114"/>
      <c r="Q110" s="114"/>
      <c r="R110" s="114"/>
      <c r="S110" s="114"/>
      <c r="T110" s="10"/>
    </row>
    <row r="111" spans="1:20" ht="12.75" hidden="1" customHeight="1">
      <c r="A111" s="273" t="s">
        <v>236</v>
      </c>
      <c r="B111" s="272" t="s">
        <v>237</v>
      </c>
      <c r="C111" s="271"/>
      <c r="D111" s="271"/>
      <c r="E111" s="271"/>
      <c r="F111" s="271"/>
      <c r="G111" s="271"/>
      <c r="H111" s="271"/>
      <c r="I111" s="271"/>
      <c r="J111" s="271"/>
      <c r="K111" s="114"/>
      <c r="L111" s="114"/>
      <c r="M111" s="127"/>
      <c r="N111" s="127"/>
      <c r="O111" s="114"/>
      <c r="P111" s="114"/>
      <c r="Q111" s="114"/>
      <c r="R111" s="114"/>
      <c r="S111" s="114"/>
      <c r="T111" s="10"/>
    </row>
    <row r="112" spans="1:20" ht="12.75" hidden="1" customHeight="1">
      <c r="A112" s="115"/>
      <c r="B112" s="271"/>
      <c r="C112" s="271"/>
      <c r="D112" s="271"/>
      <c r="E112" s="271"/>
      <c r="F112" s="271"/>
      <c r="G112" s="271"/>
      <c r="H112" s="271"/>
      <c r="I112" s="271"/>
      <c r="J112" s="271"/>
      <c r="K112" s="114"/>
      <c r="L112" s="114"/>
      <c r="M112" s="127"/>
      <c r="N112" s="127"/>
      <c r="O112" s="114"/>
      <c r="P112" s="114"/>
      <c r="Q112" s="114"/>
      <c r="R112" s="114"/>
      <c r="S112" s="114"/>
      <c r="T112" s="10"/>
    </row>
    <row r="113" spans="1:20" ht="12.75" hidden="1" customHeight="1">
      <c r="A113" s="319" t="s">
        <v>238</v>
      </c>
      <c r="B113" s="308" t="s">
        <v>239</v>
      </c>
      <c r="C113" s="114"/>
      <c r="D113" s="114"/>
      <c r="E113" s="114"/>
      <c r="F113" s="114"/>
      <c r="G113" s="114"/>
      <c r="H113" s="114"/>
      <c r="I113" s="114"/>
      <c r="J113" s="114"/>
      <c r="K113" s="114"/>
      <c r="L113" s="114"/>
      <c r="M113" s="127"/>
      <c r="N113" s="127"/>
      <c r="O113" s="114"/>
      <c r="P113" s="114"/>
      <c r="Q113" s="114"/>
      <c r="R113" s="114"/>
      <c r="S113" s="114"/>
      <c r="T113" s="10"/>
    </row>
    <row r="114" spans="1:20" ht="13.5" hidden="1" customHeight="1">
      <c r="A114" s="319"/>
      <c r="B114" s="1082" t="s">
        <v>501</v>
      </c>
      <c r="C114" s="1082"/>
      <c r="D114" s="1082"/>
      <c r="E114" s="1082"/>
      <c r="F114" s="1082"/>
      <c r="G114" s="1082"/>
      <c r="H114" s="1082"/>
      <c r="I114" s="1082"/>
      <c r="J114" s="1082"/>
      <c r="K114" s="1082"/>
      <c r="L114" s="1082"/>
      <c r="M114" s="127"/>
      <c r="N114" s="127"/>
      <c r="O114" s="114"/>
      <c r="P114" s="114"/>
      <c r="Q114" s="114"/>
      <c r="R114" s="114"/>
      <c r="S114" s="114"/>
      <c r="T114" s="10"/>
    </row>
    <row r="115" spans="1:20" ht="13.5" hidden="1" customHeight="1">
      <c r="A115" s="319"/>
      <c r="B115" s="1082"/>
      <c r="C115" s="1082"/>
      <c r="D115" s="1082"/>
      <c r="E115" s="1082"/>
      <c r="F115" s="1082"/>
      <c r="G115" s="1082"/>
      <c r="H115" s="1082"/>
      <c r="I115" s="1082"/>
      <c r="J115" s="1082"/>
      <c r="K115" s="1082"/>
      <c r="L115" s="1082"/>
      <c r="M115" s="127"/>
      <c r="N115" s="127"/>
      <c r="O115" s="114"/>
      <c r="P115" s="114"/>
      <c r="Q115" s="114"/>
      <c r="R115" s="114"/>
      <c r="S115" s="114"/>
      <c r="T115" s="10"/>
    </row>
    <row r="116" spans="1:20" ht="13.5" hidden="1" customHeight="1">
      <c r="A116" s="319"/>
      <c r="B116" s="1082"/>
      <c r="C116" s="1082"/>
      <c r="D116" s="1082"/>
      <c r="E116" s="1082"/>
      <c r="F116" s="1082"/>
      <c r="G116" s="1082"/>
      <c r="H116" s="1082"/>
      <c r="I116" s="1082"/>
      <c r="J116" s="1082"/>
      <c r="K116" s="1082"/>
      <c r="L116" s="1082"/>
      <c r="M116" s="127"/>
      <c r="N116" s="127"/>
      <c r="O116" s="114"/>
      <c r="P116" s="114"/>
      <c r="Q116" s="114"/>
      <c r="R116" s="114"/>
      <c r="S116" s="114"/>
      <c r="T116" s="10"/>
    </row>
    <row r="117" spans="1:20" ht="13.5" hidden="1" customHeight="1">
      <c r="A117" s="319"/>
      <c r="B117" s="1082"/>
      <c r="C117" s="1082"/>
      <c r="D117" s="1082"/>
      <c r="E117" s="1082"/>
      <c r="F117" s="1082"/>
      <c r="G117" s="1082"/>
      <c r="H117" s="1082"/>
      <c r="I117" s="1082"/>
      <c r="J117" s="1082"/>
      <c r="K117" s="1082"/>
      <c r="L117" s="1082"/>
      <c r="M117" s="127"/>
      <c r="N117" s="127"/>
      <c r="O117" s="114"/>
      <c r="P117" s="114"/>
      <c r="Q117" s="114"/>
      <c r="R117" s="114"/>
      <c r="S117" s="114"/>
      <c r="T117" s="10"/>
    </row>
    <row r="118" spans="1:20" ht="13.5" hidden="1" customHeight="1">
      <c r="A118" s="319"/>
      <c r="B118" s="1082"/>
      <c r="C118" s="1082"/>
      <c r="D118" s="1082"/>
      <c r="E118" s="1082"/>
      <c r="F118" s="1082"/>
      <c r="G118" s="1082"/>
      <c r="H118" s="1082"/>
      <c r="I118" s="1082"/>
      <c r="J118" s="1082"/>
      <c r="K118" s="1082"/>
      <c r="L118" s="1082"/>
      <c r="M118" s="127"/>
      <c r="N118" s="127"/>
      <c r="O118" s="114"/>
      <c r="P118" s="114"/>
      <c r="Q118" s="114"/>
      <c r="R118" s="114"/>
      <c r="S118" s="114"/>
      <c r="T118" s="10"/>
    </row>
    <row r="119" spans="1:20" ht="12.75" hidden="1" customHeight="1">
      <c r="A119" s="319"/>
      <c r="B119" s="327"/>
      <c r="C119" s="116"/>
      <c r="D119" s="116"/>
      <c r="E119" s="328"/>
      <c r="F119" s="328"/>
      <c r="G119" s="328"/>
      <c r="H119" s="328"/>
      <c r="I119" s="314"/>
      <c r="J119" s="271"/>
      <c r="K119" s="114"/>
      <c r="L119" s="114"/>
      <c r="M119" s="127"/>
      <c r="N119" s="127"/>
      <c r="O119" s="114"/>
      <c r="P119" s="114"/>
      <c r="Q119" s="114"/>
      <c r="R119" s="114"/>
      <c r="S119" s="114"/>
      <c r="T119" s="10"/>
    </row>
    <row r="120" spans="1:20" ht="12.75" hidden="1" customHeight="1">
      <c r="A120" s="319"/>
      <c r="B120" s="1056" t="s">
        <v>667</v>
      </c>
      <c r="C120" s="1057"/>
      <c r="D120" s="1057"/>
      <c r="E120" s="1057"/>
      <c r="F120" s="1057"/>
      <c r="G120" s="1057"/>
      <c r="H120" s="1058"/>
      <c r="I120" s="1062">
        <f>10*F27</f>
        <v>76800</v>
      </c>
      <c r="J120" s="824" t="s">
        <v>668</v>
      </c>
      <c r="K120" s="114"/>
      <c r="L120" s="114"/>
      <c r="M120" s="127"/>
      <c r="N120" s="127"/>
      <c r="O120" s="114"/>
      <c r="P120" s="114"/>
      <c r="Q120" s="114"/>
      <c r="R120" s="114"/>
      <c r="S120" s="114"/>
      <c r="T120" s="10"/>
    </row>
    <row r="121" spans="1:20" ht="12.75" hidden="1" customHeight="1">
      <c r="A121" s="319"/>
      <c r="B121" s="1059"/>
      <c r="C121" s="1060"/>
      <c r="D121" s="1060"/>
      <c r="E121" s="1060"/>
      <c r="F121" s="1060"/>
      <c r="G121" s="1060"/>
      <c r="H121" s="1061"/>
      <c r="I121" s="1062"/>
      <c r="J121" s="824"/>
      <c r="K121" s="114"/>
      <c r="L121" s="114"/>
      <c r="M121" s="127"/>
      <c r="N121" s="127"/>
      <c r="O121" s="114"/>
      <c r="P121" s="114"/>
      <c r="Q121" s="114"/>
      <c r="R121" s="114"/>
      <c r="S121" s="114"/>
      <c r="T121" s="10"/>
    </row>
    <row r="122" spans="1:20" ht="12.75" hidden="1" customHeight="1">
      <c r="A122" s="319"/>
      <c r="B122" s="327"/>
      <c r="C122" s="116"/>
      <c r="D122" s="116"/>
      <c r="E122" s="328"/>
      <c r="F122" s="328"/>
      <c r="G122" s="328"/>
      <c r="H122" s="328"/>
      <c r="I122" s="314"/>
      <c r="J122" s="271"/>
      <c r="K122" s="114"/>
      <c r="L122" s="114"/>
      <c r="M122" s="127"/>
      <c r="N122" s="127"/>
      <c r="O122" s="114"/>
      <c r="P122" s="114"/>
      <c r="Q122" s="114"/>
      <c r="R122" s="114"/>
      <c r="S122" s="114"/>
      <c r="T122" s="10"/>
    </row>
    <row r="123" spans="1:20" ht="12.75" hidden="1" customHeight="1">
      <c r="A123" s="319"/>
      <c r="B123" s="1084" t="s">
        <v>671</v>
      </c>
      <c r="C123" s="1085"/>
      <c r="D123" s="1086"/>
      <c r="E123" s="1032" t="s">
        <v>21</v>
      </c>
      <c r="F123" s="1033"/>
      <c r="G123" s="1032" t="s">
        <v>22</v>
      </c>
      <c r="H123" s="1033"/>
      <c r="I123" s="1032" t="s">
        <v>579</v>
      </c>
      <c r="J123" s="1033"/>
      <c r="K123" s="824" t="s">
        <v>500</v>
      </c>
      <c r="L123" s="824"/>
      <c r="M123" s="314"/>
      <c r="N123" s="314"/>
      <c r="O123" s="114"/>
      <c r="P123" s="114"/>
      <c r="Q123" s="114"/>
      <c r="R123" s="114"/>
      <c r="S123" s="114"/>
      <c r="T123" s="10"/>
    </row>
    <row r="124" spans="1:20" ht="12.75" hidden="1" customHeight="1">
      <c r="A124" s="319"/>
      <c r="B124" s="1087"/>
      <c r="C124" s="1088"/>
      <c r="D124" s="1089"/>
      <c r="E124" s="1072">
        <f>VLOOKUP($E$5,'Lookup Energy kWhm'!$B$8:$E$208,2)</f>
        <v>9.4E-2</v>
      </c>
      <c r="F124" s="1073"/>
      <c r="G124" s="1072">
        <f>VLOOKUP($E$5,'Lookup Energy kWhm'!$B$8:$E$208,3)</f>
        <v>0.108</v>
      </c>
      <c r="H124" s="1073"/>
      <c r="I124" s="1072">
        <f>VLOOKUP($E$5,'Lookup Energy kWhm'!$B$8:$E$208,4)</f>
        <v>0.159</v>
      </c>
      <c r="J124" s="1073"/>
      <c r="K124" s="1071">
        <f>2.2*(K54/60)</f>
        <v>0.14666666666666667</v>
      </c>
      <c r="L124" s="1071"/>
      <c r="M124" s="329"/>
      <c r="N124" s="329"/>
      <c r="O124" s="114"/>
      <c r="P124" s="114"/>
      <c r="Q124" s="114"/>
      <c r="R124" s="114"/>
      <c r="S124" s="114"/>
      <c r="T124" s="10"/>
    </row>
    <row r="125" spans="1:20" ht="12.75" hidden="1" customHeight="1">
      <c r="A125" s="319"/>
      <c r="B125" s="271"/>
      <c r="C125" s="271"/>
      <c r="D125" s="271"/>
      <c r="E125" s="271"/>
      <c r="F125" s="271"/>
      <c r="G125" s="271"/>
      <c r="H125" s="271"/>
      <c r="I125" s="271"/>
      <c r="J125" s="271"/>
      <c r="K125" s="330"/>
      <c r="L125" s="271"/>
      <c r="M125" s="328"/>
      <c r="N125" s="328"/>
      <c r="O125" s="114"/>
      <c r="P125" s="114"/>
      <c r="Q125" s="114"/>
      <c r="R125" s="114"/>
      <c r="S125" s="114"/>
      <c r="T125" s="10"/>
    </row>
    <row r="126" spans="1:20" ht="12.75" hidden="1" customHeight="1">
      <c r="A126" s="319"/>
      <c r="B126" s="1090" t="s">
        <v>672</v>
      </c>
      <c r="C126" s="1090"/>
      <c r="D126" s="1090"/>
      <c r="E126" s="1032" t="s">
        <v>21</v>
      </c>
      <c r="F126" s="1033"/>
      <c r="G126" s="1032" t="s">
        <v>22</v>
      </c>
      <c r="H126" s="1033"/>
      <c r="I126" s="1032" t="s">
        <v>579</v>
      </c>
      <c r="J126" s="1033"/>
      <c r="K126" s="824" t="s">
        <v>500</v>
      </c>
      <c r="L126" s="824"/>
      <c r="M126" s="314"/>
      <c r="N126" s="314"/>
      <c r="O126" s="114"/>
      <c r="P126" s="114"/>
      <c r="Q126" s="114"/>
      <c r="R126" s="114"/>
      <c r="S126" s="114"/>
      <c r="T126" s="10"/>
    </row>
    <row r="127" spans="1:20" ht="12.75" hidden="1" customHeight="1">
      <c r="A127" s="319"/>
      <c r="B127" s="1090"/>
      <c r="C127" s="1090"/>
      <c r="D127" s="1090"/>
      <c r="E127" s="1078">
        <f>E124*$F$27</f>
        <v>721.92</v>
      </c>
      <c r="F127" s="1079"/>
      <c r="G127" s="1078">
        <f>G124*$F$27</f>
        <v>829.43999999999994</v>
      </c>
      <c r="H127" s="1079"/>
      <c r="I127" s="1078">
        <f>I124*$F$27</f>
        <v>1221.1200000000001</v>
      </c>
      <c r="J127" s="1079"/>
      <c r="K127" s="1083">
        <f>K124*F27</f>
        <v>1126.4000000000001</v>
      </c>
      <c r="L127" s="1083"/>
      <c r="M127" s="331"/>
      <c r="N127" s="331"/>
      <c r="O127" s="114"/>
      <c r="P127" s="114"/>
      <c r="Q127" s="114"/>
      <c r="R127" s="114"/>
      <c r="S127" s="114"/>
      <c r="T127" s="10"/>
    </row>
    <row r="128" spans="1:20" ht="12.75" hidden="1" customHeight="1">
      <c r="A128" s="319"/>
      <c r="B128" s="114"/>
      <c r="C128" s="114"/>
      <c r="D128" s="114"/>
      <c r="E128" s="114"/>
      <c r="F128" s="114"/>
      <c r="G128" s="114"/>
      <c r="H128" s="114"/>
      <c r="I128" s="114"/>
      <c r="J128" s="114"/>
      <c r="K128" s="114"/>
      <c r="L128" s="114"/>
      <c r="M128" s="127"/>
      <c r="N128" s="127"/>
      <c r="O128" s="114"/>
      <c r="P128" s="114"/>
      <c r="Q128" s="114"/>
      <c r="R128" s="114"/>
      <c r="S128" s="114"/>
      <c r="T128" s="10"/>
    </row>
    <row r="129" spans="1:20" ht="12.75" hidden="1" customHeight="1">
      <c r="A129" s="114"/>
      <c r="B129" s="1042" t="s">
        <v>304</v>
      </c>
      <c r="C129" s="1042"/>
      <c r="D129" s="1042"/>
      <c r="E129" s="1081">
        <f>E127/$I$120</f>
        <v>9.3999999999999986E-3</v>
      </c>
      <c r="F129" s="1081"/>
      <c r="G129" s="1081">
        <f>G127/$I$120</f>
        <v>1.0799999999999999E-2</v>
      </c>
      <c r="H129" s="1081"/>
      <c r="I129" s="1081">
        <f>I127/$I$120</f>
        <v>1.5900000000000001E-2</v>
      </c>
      <c r="J129" s="1081"/>
      <c r="K129" s="114"/>
      <c r="L129" s="114"/>
      <c r="M129" s="127"/>
      <c r="N129" s="127"/>
      <c r="O129" s="114"/>
      <c r="P129" s="114"/>
      <c r="Q129" s="114"/>
      <c r="R129" s="114"/>
      <c r="S129" s="114"/>
      <c r="T129" s="10"/>
    </row>
    <row r="130" spans="1:20" ht="12.75" hidden="1" customHeight="1">
      <c r="A130" s="114"/>
      <c r="B130" s="114"/>
      <c r="C130" s="114"/>
      <c r="D130" s="114"/>
      <c r="E130" s="114"/>
      <c r="F130" s="114"/>
      <c r="G130" s="114"/>
      <c r="H130" s="114"/>
      <c r="I130" s="114"/>
      <c r="J130" s="114"/>
      <c r="K130" s="114"/>
      <c r="L130" s="114"/>
      <c r="M130" s="127"/>
      <c r="N130" s="127"/>
      <c r="O130" s="114"/>
      <c r="P130" s="114"/>
      <c r="Q130" s="114"/>
      <c r="R130" s="114"/>
      <c r="S130" s="114"/>
      <c r="T130" s="10"/>
    </row>
    <row r="131" spans="1:20" ht="12.75" hidden="1" customHeight="1">
      <c r="A131" s="319" t="s">
        <v>240</v>
      </c>
      <c r="B131" s="308" t="s">
        <v>241</v>
      </c>
      <c r="C131" s="114"/>
      <c r="D131" s="114"/>
      <c r="E131" s="114"/>
      <c r="F131" s="114"/>
      <c r="G131" s="114"/>
      <c r="H131" s="114"/>
      <c r="I131" s="114"/>
      <c r="J131" s="114"/>
      <c r="K131" s="114"/>
      <c r="L131" s="114"/>
      <c r="M131" s="127"/>
      <c r="N131" s="127"/>
      <c r="O131" s="114"/>
      <c r="P131" s="114"/>
      <c r="Q131" s="114"/>
      <c r="R131" s="114"/>
      <c r="S131" s="114"/>
      <c r="T131" s="10"/>
    </row>
    <row r="132" spans="1:20" ht="12.75" hidden="1" customHeight="1">
      <c r="A132" s="114"/>
      <c r="B132" s="824" t="s">
        <v>301</v>
      </c>
      <c r="C132" s="824"/>
      <c r="D132" s="824"/>
      <c r="E132" s="1032" t="s">
        <v>21</v>
      </c>
      <c r="F132" s="1033"/>
      <c r="G132" s="1032" t="s">
        <v>22</v>
      </c>
      <c r="H132" s="1033"/>
      <c r="I132" s="1032" t="s">
        <v>579</v>
      </c>
      <c r="J132" s="1033"/>
      <c r="K132" s="824" t="s">
        <v>500</v>
      </c>
      <c r="L132" s="824"/>
      <c r="M132" s="314"/>
      <c r="N132" s="314"/>
      <c r="O132" s="114"/>
      <c r="P132" s="114"/>
      <c r="Q132" s="114"/>
      <c r="R132" s="114"/>
      <c r="S132" s="114"/>
      <c r="T132" s="10"/>
    </row>
    <row r="133" spans="1:20" ht="12.75" hidden="1" customHeight="1">
      <c r="A133" s="114"/>
      <c r="B133" s="1042" t="s">
        <v>662</v>
      </c>
      <c r="C133" s="1042"/>
      <c r="D133" s="1042"/>
      <c r="E133" s="1030">
        <f>VLOOKUP($E$5,'Lookup Air Consumption'!$B$8:$E$208,2)</f>
        <v>50</v>
      </c>
      <c r="F133" s="1108"/>
      <c r="G133" s="1030">
        <f>VLOOKUP($E$5,'Lookup Air Consumption'!$B$8:$E$208,3)</f>
        <v>49</v>
      </c>
      <c r="H133" s="1108"/>
      <c r="I133" s="1030">
        <f>VLOOKUP($E$5,'Lookup Air Consumption'!$B$8:$E$208,4)</f>
        <v>61</v>
      </c>
      <c r="J133" s="1108"/>
      <c r="K133" s="1076" t="s">
        <v>242</v>
      </c>
      <c r="L133" s="1076"/>
      <c r="M133" s="332"/>
      <c r="N133" s="332"/>
      <c r="O133" s="114"/>
      <c r="P133" s="114"/>
      <c r="Q133" s="114"/>
      <c r="R133" s="114"/>
      <c r="S133" s="114"/>
      <c r="T133" s="10"/>
    </row>
    <row r="134" spans="1:20" ht="12.75" hidden="1" customHeight="1">
      <c r="A134" s="114"/>
      <c r="B134" s="1042" t="s">
        <v>663</v>
      </c>
      <c r="C134" s="1042"/>
      <c r="D134" s="1042"/>
      <c r="E134" s="1072">
        <f>E133/1000</f>
        <v>0.05</v>
      </c>
      <c r="F134" s="1073"/>
      <c r="G134" s="1072">
        <f>G133/1000</f>
        <v>4.9000000000000002E-2</v>
      </c>
      <c r="H134" s="1073"/>
      <c r="I134" s="1072">
        <f>I133/1000</f>
        <v>6.0999999999999999E-2</v>
      </c>
      <c r="J134" s="1073"/>
      <c r="K134" s="1076"/>
      <c r="L134" s="1076"/>
      <c r="M134" s="332"/>
      <c r="N134" s="332"/>
      <c r="O134" s="114"/>
      <c r="P134" s="114"/>
      <c r="Q134" s="114"/>
      <c r="R134" s="114"/>
      <c r="S134" s="114"/>
      <c r="T134" s="10"/>
    </row>
    <row r="135" spans="1:20" ht="12.75" hidden="1" customHeight="1">
      <c r="A135" s="114"/>
      <c r="B135" s="1042" t="s">
        <v>664</v>
      </c>
      <c r="C135" s="1042"/>
      <c r="D135" s="1042"/>
      <c r="E135" s="1040">
        <f>E134*35.31467</f>
        <v>1.7657335000000001</v>
      </c>
      <c r="F135" s="1051"/>
      <c r="G135" s="1040">
        <f>G134*35.31467</f>
        <v>1.7304188300000001</v>
      </c>
      <c r="H135" s="1051"/>
      <c r="I135" s="1040">
        <f>I134*35.31467</f>
        <v>2.15419487</v>
      </c>
      <c r="J135" s="1051"/>
      <c r="K135" s="1076"/>
      <c r="L135" s="1076"/>
      <c r="M135" s="332"/>
      <c r="N135" s="332"/>
      <c r="O135" s="114"/>
      <c r="P135" s="114"/>
      <c r="Q135" s="114"/>
      <c r="R135" s="114"/>
      <c r="S135" s="114"/>
      <c r="T135" s="10"/>
    </row>
    <row r="136" spans="1:20" ht="12.75" hidden="1" customHeight="1">
      <c r="A136" s="115"/>
      <c r="B136" s="314"/>
      <c r="C136" s="314"/>
      <c r="D136" s="314"/>
      <c r="E136" s="314"/>
      <c r="F136" s="314"/>
      <c r="G136" s="314"/>
      <c r="H136" s="333"/>
      <c r="I136" s="333"/>
      <c r="J136" s="333"/>
      <c r="K136" s="114"/>
      <c r="L136" s="114"/>
      <c r="M136" s="127"/>
      <c r="N136" s="127"/>
      <c r="O136" s="114"/>
      <c r="P136" s="114"/>
      <c r="Q136" s="114"/>
      <c r="R136" s="114"/>
      <c r="S136" s="114"/>
      <c r="T136" s="10"/>
    </row>
    <row r="137" spans="1:20" ht="12.75" hidden="1" customHeight="1">
      <c r="A137" s="115"/>
      <c r="B137" s="824" t="s">
        <v>302</v>
      </c>
      <c r="C137" s="824"/>
      <c r="D137" s="824"/>
      <c r="E137" s="1032" t="s">
        <v>21</v>
      </c>
      <c r="F137" s="1033"/>
      <c r="G137" s="1032" t="s">
        <v>22</v>
      </c>
      <c r="H137" s="1033"/>
      <c r="I137" s="1032" t="s">
        <v>579</v>
      </c>
      <c r="J137" s="1033"/>
      <c r="K137" s="824" t="s">
        <v>500</v>
      </c>
      <c r="L137" s="824"/>
      <c r="M137" s="314"/>
      <c r="N137" s="314"/>
      <c r="O137" s="114"/>
      <c r="P137" s="114"/>
      <c r="Q137" s="114"/>
      <c r="R137" s="114"/>
      <c r="S137" s="114"/>
      <c r="T137" s="10"/>
    </row>
    <row r="138" spans="1:20" ht="12.75" hidden="1" customHeight="1">
      <c r="A138" s="115"/>
      <c r="B138" s="1042" t="s">
        <v>662</v>
      </c>
      <c r="C138" s="1042"/>
      <c r="D138" s="1042"/>
      <c r="E138" s="1034">
        <f>E133*$F$25</f>
        <v>8000</v>
      </c>
      <c r="F138" s="1035"/>
      <c r="G138" s="1034">
        <f>G133*$F$25</f>
        <v>7840</v>
      </c>
      <c r="H138" s="1035"/>
      <c r="I138" s="1034">
        <f>I133*$F$25</f>
        <v>9760</v>
      </c>
      <c r="J138" s="1035"/>
      <c r="K138" s="1076" t="s">
        <v>242</v>
      </c>
      <c r="L138" s="1076"/>
      <c r="M138" s="332"/>
      <c r="N138" s="332"/>
      <c r="O138" s="114"/>
      <c r="P138" s="114"/>
      <c r="Q138" s="114"/>
      <c r="R138" s="114"/>
      <c r="S138" s="114"/>
      <c r="T138" s="10"/>
    </row>
    <row r="139" spans="1:20" ht="12.75" hidden="1" customHeight="1">
      <c r="A139" s="115"/>
      <c r="B139" s="1042" t="s">
        <v>663</v>
      </c>
      <c r="C139" s="1042"/>
      <c r="D139" s="1042"/>
      <c r="E139" s="1040">
        <f>E134*$F$25</f>
        <v>8</v>
      </c>
      <c r="F139" s="1041"/>
      <c r="G139" s="1040">
        <f>G134*$F$25</f>
        <v>7.84</v>
      </c>
      <c r="H139" s="1041"/>
      <c r="I139" s="1040">
        <f>I134*$F$25</f>
        <v>9.76</v>
      </c>
      <c r="J139" s="1041"/>
      <c r="K139" s="1076"/>
      <c r="L139" s="1076"/>
      <c r="M139" s="332"/>
      <c r="N139" s="332"/>
      <c r="O139" s="114"/>
      <c r="P139" s="114"/>
      <c r="Q139" s="114"/>
      <c r="R139" s="114"/>
      <c r="S139" s="114"/>
      <c r="T139" s="10"/>
    </row>
    <row r="140" spans="1:20" ht="12.75" hidden="1" customHeight="1">
      <c r="A140" s="115"/>
      <c r="B140" s="1042" t="s">
        <v>664</v>
      </c>
      <c r="C140" s="1042"/>
      <c r="D140" s="1042"/>
      <c r="E140" s="1040">
        <f>E135*$F$25</f>
        <v>282.51736</v>
      </c>
      <c r="F140" s="1041"/>
      <c r="G140" s="1040">
        <f>G135*$F$25</f>
        <v>276.8670128</v>
      </c>
      <c r="H140" s="1041"/>
      <c r="I140" s="1040">
        <f>I135*$F$25</f>
        <v>344.67117919999998</v>
      </c>
      <c r="J140" s="1041"/>
      <c r="K140" s="1076"/>
      <c r="L140" s="1076"/>
      <c r="M140" s="332"/>
      <c r="N140" s="332"/>
      <c r="O140" s="114"/>
      <c r="P140" s="114"/>
      <c r="Q140" s="114"/>
      <c r="R140" s="114"/>
      <c r="S140" s="114"/>
      <c r="T140" s="10"/>
    </row>
    <row r="141" spans="1:20" ht="12.75" hidden="1" customHeight="1">
      <c r="A141" s="115"/>
      <c r="B141" s="114"/>
      <c r="C141" s="114"/>
      <c r="D141" s="114"/>
      <c r="E141" s="316"/>
      <c r="F141" s="316"/>
      <c r="G141" s="316"/>
      <c r="H141" s="114"/>
      <c r="I141" s="114"/>
      <c r="J141" s="114"/>
      <c r="K141" s="114"/>
      <c r="L141" s="114"/>
      <c r="M141" s="127"/>
      <c r="N141" s="127"/>
      <c r="O141" s="114"/>
      <c r="P141" s="114"/>
      <c r="Q141" s="114"/>
      <c r="R141" s="114"/>
      <c r="S141" s="114"/>
      <c r="T141" s="10"/>
    </row>
    <row r="142" spans="1:20" ht="12.75" hidden="1" customHeight="1">
      <c r="A142" s="115"/>
      <c r="B142" s="824" t="s">
        <v>303</v>
      </c>
      <c r="C142" s="824"/>
      <c r="D142" s="824"/>
      <c r="E142" s="1032" t="s">
        <v>21</v>
      </c>
      <c r="F142" s="1033"/>
      <c r="G142" s="1032" t="s">
        <v>22</v>
      </c>
      <c r="H142" s="1033"/>
      <c r="I142" s="1032" t="s">
        <v>579</v>
      </c>
      <c r="J142" s="1033"/>
      <c r="K142" s="824" t="s">
        <v>500</v>
      </c>
      <c r="L142" s="824"/>
      <c r="M142" s="314"/>
      <c r="N142" s="314"/>
      <c r="O142" s="114"/>
      <c r="P142" s="114"/>
      <c r="Q142" s="114"/>
      <c r="R142" s="114"/>
      <c r="S142" s="114"/>
      <c r="T142" s="10"/>
    </row>
    <row r="143" spans="1:20" ht="12.75" hidden="1" customHeight="1">
      <c r="A143" s="269"/>
      <c r="B143" s="1042" t="s">
        <v>665</v>
      </c>
      <c r="C143" s="1042"/>
      <c r="D143" s="1042"/>
      <c r="E143" s="1034">
        <f>($F$27/$E$50)*60*E133</f>
        <v>30720000</v>
      </c>
      <c r="F143" s="1077"/>
      <c r="G143" s="1034">
        <f>($F$27/$E$50)*60*G133</f>
        <v>30105600</v>
      </c>
      <c r="H143" s="1077"/>
      <c r="I143" s="1034">
        <f>($F$27/$E$50)*60*I133</f>
        <v>37478400</v>
      </c>
      <c r="J143" s="1077"/>
      <c r="K143" s="1076" t="s">
        <v>242</v>
      </c>
      <c r="L143" s="1076"/>
      <c r="M143" s="332"/>
      <c r="N143" s="332"/>
      <c r="O143" s="114"/>
      <c r="P143" s="114"/>
      <c r="Q143" s="114"/>
      <c r="R143" s="114"/>
      <c r="S143" s="114"/>
      <c r="T143" s="10"/>
    </row>
    <row r="144" spans="1:20" ht="12.75" hidden="1" customHeight="1">
      <c r="A144" s="114"/>
      <c r="B144" s="1042" t="s">
        <v>666</v>
      </c>
      <c r="C144" s="1042"/>
      <c r="D144" s="1042"/>
      <c r="E144" s="1034">
        <f>($F$27/$E$50)*60*E134</f>
        <v>30720</v>
      </c>
      <c r="F144" s="1077"/>
      <c r="G144" s="1034">
        <f>($F$27/$E$50)*60*G134</f>
        <v>30105.600000000002</v>
      </c>
      <c r="H144" s="1077"/>
      <c r="I144" s="1034">
        <f>($F$27/$E$50)*60*I134</f>
        <v>37478.400000000001</v>
      </c>
      <c r="J144" s="1077"/>
      <c r="K144" s="1076"/>
      <c r="L144" s="1076"/>
      <c r="M144" s="332"/>
      <c r="N144" s="332"/>
      <c r="O144" s="114"/>
      <c r="P144" s="114"/>
      <c r="Q144" s="114"/>
      <c r="R144" s="114"/>
      <c r="S144" s="114"/>
      <c r="T144" s="10"/>
    </row>
    <row r="145" spans="1:20" ht="12.75" hidden="1" customHeight="1">
      <c r="A145" s="114"/>
      <c r="B145" s="1042" t="s">
        <v>583</v>
      </c>
      <c r="C145" s="1042"/>
      <c r="D145" s="1042"/>
      <c r="E145" s="1034">
        <f>($F$27/$E$50)*60*E135</f>
        <v>1084866.6624</v>
      </c>
      <c r="F145" s="1077"/>
      <c r="G145" s="1034">
        <f>($F$27/$E$50)*60*G135</f>
        <v>1063169.3291520001</v>
      </c>
      <c r="H145" s="1077"/>
      <c r="I145" s="1034">
        <f>($F$27/$E$50)*60*I135</f>
        <v>1323537.328128</v>
      </c>
      <c r="J145" s="1077"/>
      <c r="K145" s="1076"/>
      <c r="L145" s="1076"/>
      <c r="M145" s="332"/>
      <c r="N145" s="332"/>
      <c r="O145" s="114"/>
      <c r="P145" s="114"/>
      <c r="Q145" s="114"/>
      <c r="R145" s="114"/>
      <c r="S145" s="114"/>
      <c r="T145" s="10"/>
    </row>
    <row r="146" spans="1:20" ht="12.75" hidden="1" customHeight="1">
      <c r="A146" s="114"/>
      <c r="B146" s="114"/>
      <c r="C146" s="114"/>
      <c r="D146" s="114"/>
      <c r="E146" s="114"/>
      <c r="F146" s="114"/>
      <c r="G146" s="114"/>
      <c r="H146" s="114"/>
      <c r="I146" s="114"/>
      <c r="J146" s="114"/>
      <c r="K146" s="114"/>
      <c r="L146" s="114"/>
      <c r="M146" s="127"/>
      <c r="N146" s="127"/>
      <c r="O146" s="114"/>
      <c r="P146" s="114"/>
      <c r="Q146" s="114"/>
      <c r="R146" s="114"/>
      <c r="S146" s="114"/>
      <c r="T146" s="10"/>
    </row>
    <row r="147" spans="1:20" ht="12.75" hidden="1" customHeight="1">
      <c r="A147" s="319" t="s">
        <v>753</v>
      </c>
      <c r="B147" s="308" t="s">
        <v>300</v>
      </c>
      <c r="C147" s="114"/>
      <c r="D147" s="114"/>
      <c r="E147" s="114"/>
      <c r="F147" s="114"/>
      <c r="G147" s="114"/>
      <c r="H147" s="114"/>
      <c r="I147" s="114"/>
      <c r="J147" s="114"/>
      <c r="K147" s="114"/>
      <c r="L147" s="114"/>
      <c r="M147" s="127"/>
      <c r="N147" s="127"/>
      <c r="O147" s="114"/>
      <c r="P147" s="114"/>
      <c r="Q147" s="114"/>
      <c r="R147" s="114"/>
      <c r="S147" s="114"/>
      <c r="T147" s="10"/>
    </row>
    <row r="148" spans="1:20" ht="12.75" hidden="1" customHeight="1">
      <c r="A148" s="114"/>
      <c r="B148" s="824" t="s">
        <v>669</v>
      </c>
      <c r="C148" s="824"/>
      <c r="D148" s="824"/>
      <c r="E148" s="1032" t="s">
        <v>21</v>
      </c>
      <c r="F148" s="1033"/>
      <c r="G148" s="1032" t="s">
        <v>22</v>
      </c>
      <c r="H148" s="1033"/>
      <c r="I148" s="1032" t="s">
        <v>579</v>
      </c>
      <c r="J148" s="1033"/>
      <c r="K148" s="824" t="s">
        <v>500</v>
      </c>
      <c r="L148" s="824"/>
      <c r="M148" s="314"/>
      <c r="N148" s="314"/>
      <c r="O148" s="114"/>
      <c r="P148" s="114"/>
      <c r="Q148" s="114"/>
      <c r="R148" s="114"/>
      <c r="S148" s="114"/>
      <c r="T148" s="10"/>
    </row>
    <row r="149" spans="1:20" ht="12.75" hidden="1" customHeight="1">
      <c r="A149" s="114"/>
      <c r="B149" s="317" t="s">
        <v>80</v>
      </c>
      <c r="C149" s="128"/>
      <c r="D149" s="128"/>
      <c r="E149" s="1040">
        <f>VLOOKUP($E$5,'Lookup Water Flow'!$B$8:$E$208,2)</f>
        <v>13</v>
      </c>
      <c r="F149" s="1041"/>
      <c r="G149" s="1040">
        <f>VLOOKUP($E$5,'Lookup Water Flow'!$B$8:$E$208,3)</f>
        <v>7.6</v>
      </c>
      <c r="H149" s="1041"/>
      <c r="I149" s="1040">
        <f>VLOOKUP($E$5,'Lookup Water Flow'!$B$8:$E$208,4)</f>
        <v>12.1</v>
      </c>
      <c r="J149" s="1041"/>
      <c r="K149" s="1043">
        <v>6.5</v>
      </c>
      <c r="L149" s="1043"/>
      <c r="M149" s="333"/>
      <c r="N149" s="333"/>
      <c r="O149" s="114"/>
      <c r="P149" s="114"/>
      <c r="Q149" s="114"/>
      <c r="R149" s="114"/>
      <c r="S149" s="114"/>
      <c r="T149" s="10"/>
    </row>
    <row r="150" spans="1:20" ht="12.75" hidden="1" customHeight="1">
      <c r="A150" s="114"/>
      <c r="B150" s="1042" t="s">
        <v>81</v>
      </c>
      <c r="C150" s="1042"/>
      <c r="D150" s="1042"/>
      <c r="E150" s="1109">
        <f>E149*$F$25</f>
        <v>2080</v>
      </c>
      <c r="F150" s="1110"/>
      <c r="G150" s="1109">
        <f>G149*$F$25</f>
        <v>1216</v>
      </c>
      <c r="H150" s="1110"/>
      <c r="I150" s="1109">
        <f>I149*$F$25</f>
        <v>1936</v>
      </c>
      <c r="J150" s="1110"/>
      <c r="K150" s="1111">
        <f>K149*F25</f>
        <v>1040</v>
      </c>
      <c r="L150" s="1111"/>
      <c r="M150" s="334"/>
      <c r="N150" s="334"/>
      <c r="O150" s="114"/>
      <c r="P150" s="114"/>
      <c r="Q150" s="114"/>
      <c r="R150" s="114"/>
      <c r="S150" s="114"/>
      <c r="T150" s="10"/>
    </row>
    <row r="151" spans="1:20" ht="12.75" hidden="1" customHeight="1">
      <c r="A151" s="114"/>
      <c r="B151" s="335" t="s">
        <v>670</v>
      </c>
      <c r="C151" s="128"/>
      <c r="D151" s="128"/>
      <c r="E151" s="1034">
        <f>E149*$E$54*$F$26</f>
        <v>133119.99999999997</v>
      </c>
      <c r="F151" s="1077"/>
      <c r="G151" s="1034">
        <f>G149*$E$54*$F$26</f>
        <v>77823.999999999985</v>
      </c>
      <c r="H151" s="1077"/>
      <c r="I151" s="1034">
        <f>I149*$E$54*$F$26</f>
        <v>123904</v>
      </c>
      <c r="J151" s="1077"/>
      <c r="K151" s="1062">
        <f>K149*K54*F26</f>
        <v>166400</v>
      </c>
      <c r="L151" s="1062"/>
      <c r="M151" s="325"/>
      <c r="N151" s="325"/>
      <c r="O151" s="114"/>
      <c r="P151" s="114"/>
      <c r="Q151" s="114"/>
      <c r="R151" s="114"/>
      <c r="S151" s="114"/>
      <c r="T151" s="10"/>
    </row>
    <row r="152" spans="1:20" ht="12.75" hidden="1" customHeight="1">
      <c r="A152" s="114"/>
      <c r="B152" s="114"/>
      <c r="C152" s="114"/>
      <c r="D152" s="114"/>
      <c r="E152" s="114"/>
      <c r="F152" s="114"/>
      <c r="G152" s="114"/>
      <c r="H152" s="114"/>
      <c r="I152" s="114"/>
      <c r="J152" s="114"/>
      <c r="K152" s="114"/>
      <c r="L152" s="114"/>
      <c r="M152" s="127"/>
      <c r="N152" s="127"/>
      <c r="O152" s="114"/>
      <c r="P152" s="114"/>
      <c r="Q152" s="114"/>
      <c r="R152" s="114"/>
      <c r="S152" s="114"/>
      <c r="T152" s="10"/>
    </row>
    <row r="153" spans="1:20" ht="12.75" hidden="1" customHeight="1">
      <c r="A153" s="319" t="s">
        <v>754</v>
      </c>
      <c r="B153" s="308" t="s">
        <v>309</v>
      </c>
      <c r="C153" s="114"/>
      <c r="D153" s="114"/>
      <c r="E153" s="114"/>
      <c r="F153" s="114"/>
      <c r="G153" s="114"/>
      <c r="H153" s="114"/>
      <c r="I153" s="114"/>
      <c r="J153" s="114"/>
      <c r="K153" s="114"/>
      <c r="L153" s="114"/>
      <c r="M153" s="127"/>
      <c r="N153" s="127"/>
      <c r="O153" s="114"/>
      <c r="P153" s="114"/>
      <c r="Q153" s="114"/>
      <c r="R153" s="114"/>
      <c r="S153" s="114"/>
      <c r="T153" s="10"/>
    </row>
    <row r="154" spans="1:20" ht="12.75" hidden="1" customHeight="1">
      <c r="A154" s="114"/>
      <c r="B154" s="114"/>
      <c r="C154" s="114"/>
      <c r="D154" s="114"/>
      <c r="E154" s="114"/>
      <c r="F154" s="114"/>
      <c r="G154" s="114"/>
      <c r="H154" s="114"/>
      <c r="I154" s="114"/>
      <c r="J154" s="114"/>
      <c r="K154" s="114"/>
      <c r="L154" s="114"/>
      <c r="M154" s="127"/>
      <c r="N154" s="127"/>
      <c r="O154" s="114"/>
      <c r="P154" s="114"/>
      <c r="Q154" s="114"/>
      <c r="R154" s="114"/>
      <c r="S154" s="114"/>
      <c r="T154" s="10"/>
    </row>
    <row r="155" spans="1:20" ht="12.75" hidden="1" customHeight="1">
      <c r="A155" s="319" t="s">
        <v>755</v>
      </c>
      <c r="B155" s="308" t="s">
        <v>239</v>
      </c>
      <c r="C155" s="114"/>
      <c r="D155" s="114"/>
      <c r="E155" s="114"/>
      <c r="F155" s="114"/>
      <c r="G155" s="114"/>
      <c r="H155" s="114"/>
      <c r="I155" s="114"/>
      <c r="J155" s="114"/>
      <c r="K155" s="114"/>
      <c r="L155" s="114"/>
      <c r="M155" s="127"/>
      <c r="N155" s="127"/>
      <c r="O155" s="114"/>
      <c r="P155" s="114"/>
      <c r="Q155" s="114"/>
      <c r="R155" s="114"/>
      <c r="S155" s="114"/>
      <c r="T155" s="10"/>
    </row>
    <row r="156" spans="1:20" ht="12.75" hidden="1" customHeight="1">
      <c r="A156" s="114"/>
      <c r="B156" s="114"/>
      <c r="C156" s="114"/>
      <c r="D156" s="114"/>
      <c r="E156" s="114"/>
      <c r="F156" s="114"/>
      <c r="G156" s="114"/>
      <c r="H156" s="114"/>
      <c r="I156" s="114"/>
      <c r="J156" s="114"/>
      <c r="K156" s="114"/>
      <c r="L156" s="114"/>
      <c r="M156" s="127"/>
      <c r="N156" s="127"/>
      <c r="O156" s="114"/>
      <c r="P156" s="114"/>
      <c r="Q156" s="114"/>
      <c r="R156" s="114"/>
      <c r="S156" s="114"/>
      <c r="T156" s="10"/>
    </row>
    <row r="157" spans="1:20" ht="12.75" hidden="1" customHeight="1">
      <c r="A157" s="114"/>
      <c r="B157" s="1084" t="s">
        <v>676</v>
      </c>
      <c r="C157" s="1086"/>
      <c r="D157" s="335" t="s">
        <v>320</v>
      </c>
      <c r="E157" s="824" t="s">
        <v>318</v>
      </c>
      <c r="F157" s="824"/>
      <c r="G157" s="336">
        <f>J157/100</f>
        <v>0.19</v>
      </c>
      <c r="H157" s="337"/>
      <c r="I157" s="337"/>
      <c r="J157" s="338">
        <v>19</v>
      </c>
      <c r="K157" s="114"/>
      <c r="L157" s="114"/>
      <c r="M157" s="127"/>
      <c r="N157" s="127"/>
      <c r="O157" s="114"/>
      <c r="P157" s="114"/>
      <c r="Q157" s="114"/>
      <c r="R157" s="114"/>
      <c r="S157" s="114"/>
      <c r="T157" s="10"/>
    </row>
    <row r="158" spans="1:20" ht="12.75" hidden="1" customHeight="1">
      <c r="A158" s="114"/>
      <c r="B158" s="1087"/>
      <c r="C158" s="1089"/>
      <c r="D158" s="335" t="s">
        <v>321</v>
      </c>
      <c r="E158" s="824" t="s">
        <v>319</v>
      </c>
      <c r="F158" s="824"/>
      <c r="G158" s="336">
        <f>J158/100</f>
        <v>0.33</v>
      </c>
      <c r="H158" s="271"/>
      <c r="I158" s="337"/>
      <c r="J158" s="338">
        <v>33</v>
      </c>
      <c r="K158" s="114"/>
      <c r="L158" s="114"/>
      <c r="M158" s="127"/>
      <c r="N158" s="127"/>
      <c r="O158" s="114"/>
      <c r="P158" s="114"/>
      <c r="Q158" s="114"/>
      <c r="R158" s="114"/>
      <c r="S158" s="114"/>
      <c r="T158" s="10"/>
    </row>
    <row r="159" spans="1:20" ht="12.75" hidden="1" customHeight="1">
      <c r="A159" s="114"/>
      <c r="B159" s="272"/>
      <c r="C159" s="271"/>
      <c r="D159" s="339"/>
      <c r="E159" s="339"/>
      <c r="F159" s="340"/>
      <c r="G159" s="271"/>
      <c r="H159" s="271"/>
      <c r="I159" s="271"/>
      <c r="J159" s="271"/>
      <c r="K159" s="114"/>
      <c r="L159" s="114"/>
      <c r="M159" s="127"/>
      <c r="N159" s="127"/>
      <c r="O159" s="114"/>
      <c r="P159" s="114"/>
      <c r="Q159" s="114"/>
      <c r="R159" s="114"/>
      <c r="S159" s="114"/>
      <c r="T159" s="10"/>
    </row>
    <row r="160" spans="1:20" ht="12.75" hidden="1" customHeight="1">
      <c r="A160" s="114"/>
      <c r="B160" s="824" t="s">
        <v>675</v>
      </c>
      <c r="C160" s="824"/>
      <c r="D160" s="824"/>
      <c r="E160" s="824" t="s">
        <v>673</v>
      </c>
      <c r="F160" s="824"/>
      <c r="G160" s="824"/>
      <c r="H160" s="824" t="s">
        <v>674</v>
      </c>
      <c r="I160" s="824"/>
      <c r="J160" s="824"/>
      <c r="K160" s="114"/>
      <c r="L160" s="114"/>
      <c r="M160" s="127"/>
      <c r="N160" s="127"/>
      <c r="O160" s="114"/>
      <c r="P160" s="114"/>
      <c r="Q160" s="114"/>
      <c r="R160" s="114"/>
      <c r="S160" s="114"/>
      <c r="T160" s="10"/>
    </row>
    <row r="161" spans="1:20" ht="12.75" hidden="1" customHeight="1">
      <c r="A161" s="114"/>
      <c r="B161" s="1102" t="s">
        <v>320</v>
      </c>
      <c r="C161" s="1032" t="s">
        <v>306</v>
      </c>
      <c r="D161" s="1050"/>
      <c r="E161" s="1063">
        <f>I120*G157</f>
        <v>14592</v>
      </c>
      <c r="F161" s="1063"/>
      <c r="G161" s="1063"/>
      <c r="H161" s="1063">
        <f>K127*G157</f>
        <v>214.01600000000002</v>
      </c>
      <c r="I161" s="1063"/>
      <c r="J161" s="1063"/>
      <c r="K161" s="114"/>
      <c r="L161" s="114"/>
      <c r="M161" s="127"/>
      <c r="N161" s="127"/>
      <c r="O161" s="114"/>
      <c r="P161" s="114"/>
      <c r="Q161" s="114"/>
      <c r="R161" s="114"/>
      <c r="S161" s="114"/>
      <c r="T161" s="10"/>
    </row>
    <row r="162" spans="1:20" ht="12.75" hidden="1" customHeight="1">
      <c r="A162" s="114"/>
      <c r="B162" s="1103"/>
      <c r="C162" s="1032" t="s">
        <v>307</v>
      </c>
      <c r="D162" s="1050"/>
      <c r="E162" s="1063">
        <f>E161*F13</f>
        <v>335616</v>
      </c>
      <c r="F162" s="1063"/>
      <c r="G162" s="1063"/>
      <c r="H162" s="1063">
        <f>H161*F13</f>
        <v>4922.3680000000004</v>
      </c>
      <c r="I162" s="1063"/>
      <c r="J162" s="1063"/>
      <c r="K162" s="114"/>
      <c r="L162" s="114"/>
      <c r="M162" s="127"/>
      <c r="N162" s="127"/>
      <c r="O162" s="114"/>
      <c r="P162" s="114"/>
      <c r="Q162" s="114"/>
      <c r="R162" s="114"/>
      <c r="S162" s="114"/>
      <c r="T162" s="10"/>
    </row>
    <row r="163" spans="1:20" ht="12.75" hidden="1" customHeight="1">
      <c r="A163" s="114"/>
      <c r="B163" s="1104"/>
      <c r="C163" s="1032" t="s">
        <v>308</v>
      </c>
      <c r="D163" s="1050"/>
      <c r="E163" s="1063">
        <f>E162*9</f>
        <v>3020544</v>
      </c>
      <c r="F163" s="1063"/>
      <c r="G163" s="1063"/>
      <c r="H163" s="1063">
        <f>H162*9</f>
        <v>44301.312000000005</v>
      </c>
      <c r="I163" s="1063"/>
      <c r="J163" s="1063"/>
      <c r="K163" s="114"/>
      <c r="L163" s="114"/>
      <c r="M163" s="114"/>
      <c r="N163" s="114"/>
      <c r="O163" s="114"/>
      <c r="P163" s="114"/>
      <c r="Q163" s="114"/>
      <c r="R163" s="114"/>
      <c r="S163" s="114"/>
      <c r="T163" s="10"/>
    </row>
    <row r="164" spans="1:20" ht="12.75" hidden="1" customHeight="1">
      <c r="A164" s="115"/>
      <c r="B164" s="1105"/>
      <c r="C164" s="1105"/>
      <c r="D164" s="1105"/>
      <c r="E164" s="1105"/>
      <c r="F164" s="1105"/>
      <c r="G164" s="1105"/>
      <c r="H164" s="1105"/>
      <c r="I164" s="1105"/>
      <c r="J164" s="1105"/>
      <c r="K164" s="114"/>
      <c r="L164" s="114"/>
      <c r="M164" s="114"/>
      <c r="N164" s="114"/>
      <c r="O164" s="114"/>
      <c r="P164" s="114"/>
      <c r="Q164" s="114"/>
      <c r="R164" s="114"/>
      <c r="S164" s="114"/>
      <c r="T164" s="10"/>
    </row>
    <row r="165" spans="1:20" ht="12.75" hidden="1" customHeight="1">
      <c r="A165" s="114"/>
      <c r="B165" s="1102" t="s">
        <v>321</v>
      </c>
      <c r="C165" s="1032" t="s">
        <v>306</v>
      </c>
      <c r="D165" s="1050"/>
      <c r="E165" s="1063">
        <f>I120*G158</f>
        <v>25344</v>
      </c>
      <c r="F165" s="1063"/>
      <c r="G165" s="1063"/>
      <c r="H165" s="1063">
        <f>K127*G158</f>
        <v>371.71200000000005</v>
      </c>
      <c r="I165" s="1063"/>
      <c r="J165" s="1063"/>
      <c r="K165" s="114"/>
      <c r="L165" s="114"/>
      <c r="M165" s="114"/>
      <c r="N165" s="114"/>
      <c r="O165" s="114"/>
      <c r="P165" s="114"/>
      <c r="Q165" s="114"/>
      <c r="R165" s="114"/>
      <c r="S165" s="114"/>
      <c r="T165" s="10"/>
    </row>
    <row r="166" spans="1:20" ht="12.75" hidden="1" customHeight="1">
      <c r="A166" s="115"/>
      <c r="B166" s="1103"/>
      <c r="C166" s="1032" t="s">
        <v>307</v>
      </c>
      <c r="D166" s="1050"/>
      <c r="E166" s="1063">
        <f>E165*F13</f>
        <v>582912</v>
      </c>
      <c r="F166" s="1063"/>
      <c r="G166" s="1063"/>
      <c r="H166" s="1063">
        <f>H165*F13</f>
        <v>8549.3760000000002</v>
      </c>
      <c r="I166" s="1063"/>
      <c r="J166" s="1063"/>
      <c r="K166" s="114"/>
      <c r="L166" s="114"/>
      <c r="M166" s="114"/>
      <c r="N166" s="114"/>
      <c r="O166" s="114"/>
      <c r="P166" s="114"/>
      <c r="Q166" s="114"/>
      <c r="R166" s="114"/>
      <c r="S166" s="114"/>
      <c r="T166" s="10"/>
    </row>
    <row r="167" spans="1:20" ht="12.75" hidden="1" customHeight="1">
      <c r="A167" s="114"/>
      <c r="B167" s="1104"/>
      <c r="C167" s="1032" t="s">
        <v>308</v>
      </c>
      <c r="D167" s="1050"/>
      <c r="E167" s="1063">
        <f>E166*3</f>
        <v>1748736</v>
      </c>
      <c r="F167" s="1063"/>
      <c r="G167" s="1063"/>
      <c r="H167" s="1063">
        <f>H166*3</f>
        <v>25648.128000000001</v>
      </c>
      <c r="I167" s="1063"/>
      <c r="J167" s="1063"/>
      <c r="K167" s="114"/>
      <c r="L167" s="114"/>
      <c r="M167" s="114"/>
      <c r="N167" s="114"/>
      <c r="O167" s="114"/>
      <c r="P167" s="114"/>
      <c r="Q167" s="114"/>
      <c r="R167" s="114"/>
      <c r="S167" s="114"/>
      <c r="T167" s="10"/>
    </row>
    <row r="168" spans="1:20" ht="12.75" hidden="1" customHeight="1">
      <c r="A168" s="114"/>
      <c r="B168" s="1105"/>
      <c r="C168" s="1105"/>
      <c r="D168" s="1105"/>
      <c r="E168" s="1105"/>
      <c r="F168" s="1105"/>
      <c r="G168" s="1105"/>
      <c r="H168" s="1105"/>
      <c r="I168" s="1105"/>
      <c r="J168" s="1105"/>
      <c r="K168" s="114"/>
      <c r="L168" s="114"/>
      <c r="M168" s="114"/>
      <c r="N168" s="114"/>
      <c r="O168" s="114"/>
      <c r="P168" s="114"/>
      <c r="Q168" s="114"/>
      <c r="R168" s="114"/>
      <c r="S168" s="114"/>
      <c r="T168" s="10"/>
    </row>
    <row r="169" spans="1:20" ht="12.75" hidden="1" customHeight="1">
      <c r="A169" s="114"/>
      <c r="B169" s="1102" t="s">
        <v>322</v>
      </c>
      <c r="C169" s="1032" t="s">
        <v>306</v>
      </c>
      <c r="D169" s="1050"/>
      <c r="E169" s="1063">
        <f>E170/F13</f>
        <v>17280</v>
      </c>
      <c r="F169" s="1063"/>
      <c r="G169" s="1063"/>
      <c r="H169" s="1063">
        <f>H170/F13</f>
        <v>253.44</v>
      </c>
      <c r="I169" s="1063"/>
      <c r="J169" s="1063"/>
      <c r="K169" s="114"/>
      <c r="L169" s="114"/>
      <c r="M169" s="114"/>
      <c r="N169" s="114"/>
      <c r="O169" s="114"/>
      <c r="P169" s="114"/>
      <c r="Q169" s="114"/>
      <c r="R169" s="114"/>
      <c r="S169" s="114"/>
      <c r="T169" s="10"/>
    </row>
    <row r="170" spans="1:20" ht="12.75" hidden="1" customHeight="1">
      <c r="A170" s="114"/>
      <c r="B170" s="1103"/>
      <c r="C170" s="1032" t="s">
        <v>307</v>
      </c>
      <c r="D170" s="1050"/>
      <c r="E170" s="1063">
        <f>E171/12</f>
        <v>397440</v>
      </c>
      <c r="F170" s="1063"/>
      <c r="G170" s="1063"/>
      <c r="H170" s="1063">
        <f>H171/12</f>
        <v>5829.12</v>
      </c>
      <c r="I170" s="1063"/>
      <c r="J170" s="1063"/>
      <c r="K170" s="114"/>
      <c r="L170" s="114"/>
      <c r="M170" s="114"/>
      <c r="N170" s="114"/>
      <c r="O170" s="114"/>
      <c r="P170" s="114"/>
      <c r="Q170" s="114"/>
      <c r="R170" s="114"/>
      <c r="S170" s="114"/>
      <c r="T170" s="10"/>
    </row>
    <row r="171" spans="1:20" ht="12.75" hidden="1" customHeight="1">
      <c r="A171" s="114"/>
      <c r="B171" s="1104"/>
      <c r="C171" s="1032" t="s">
        <v>308</v>
      </c>
      <c r="D171" s="1050"/>
      <c r="E171" s="1063">
        <f>E163+E167</f>
        <v>4769280</v>
      </c>
      <c r="F171" s="1063"/>
      <c r="G171" s="1063"/>
      <c r="H171" s="1063">
        <f>H163+H167</f>
        <v>69949.440000000002</v>
      </c>
      <c r="I171" s="1063"/>
      <c r="J171" s="1063"/>
      <c r="K171" s="114"/>
      <c r="L171" s="114"/>
      <c r="M171" s="114"/>
      <c r="N171" s="114"/>
      <c r="O171" s="114"/>
      <c r="P171" s="114"/>
      <c r="Q171" s="114"/>
      <c r="R171" s="114"/>
      <c r="S171" s="114"/>
      <c r="T171" s="10"/>
    </row>
    <row r="172" spans="1:20" ht="12.75" hidden="1" customHeight="1">
      <c r="A172" s="114"/>
      <c r="B172" s="272"/>
      <c r="C172" s="271"/>
      <c r="D172" s="339"/>
      <c r="E172" s="339"/>
      <c r="F172" s="340"/>
      <c r="G172" s="271"/>
      <c r="H172" s="271"/>
      <c r="I172" s="271"/>
      <c r="J172" s="271"/>
      <c r="K172" s="114"/>
      <c r="L172" s="114"/>
      <c r="M172" s="114"/>
      <c r="N172" s="114"/>
      <c r="O172" s="114"/>
      <c r="P172" s="114"/>
      <c r="Q172" s="114"/>
      <c r="R172" s="114"/>
      <c r="S172" s="114"/>
      <c r="T172" s="10"/>
    </row>
    <row r="173" spans="1:20" ht="12.75" hidden="1" customHeight="1">
      <c r="A173" s="319" t="s">
        <v>756</v>
      </c>
      <c r="B173" s="272" t="s">
        <v>758</v>
      </c>
      <c r="C173" s="271"/>
      <c r="D173" s="339"/>
      <c r="E173" s="339"/>
      <c r="F173" s="340"/>
      <c r="G173" s="271"/>
      <c r="H173" s="271"/>
      <c r="I173" s="271"/>
      <c r="J173" s="271"/>
      <c r="K173" s="114"/>
      <c r="L173" s="114"/>
      <c r="M173" s="114"/>
      <c r="N173" s="114"/>
      <c r="O173" s="114"/>
      <c r="P173" s="114"/>
      <c r="Q173" s="114"/>
      <c r="R173" s="114"/>
      <c r="S173" s="114"/>
      <c r="T173" s="10"/>
    </row>
    <row r="174" spans="1:20" ht="12.75" hidden="1" customHeight="1">
      <c r="A174" s="114"/>
      <c r="B174" s="824" t="s">
        <v>757</v>
      </c>
      <c r="C174" s="824"/>
      <c r="D174" s="824"/>
      <c r="E174" s="824" t="s">
        <v>673</v>
      </c>
      <c r="F174" s="824"/>
      <c r="G174" s="824"/>
      <c r="H174" s="824" t="s">
        <v>674</v>
      </c>
      <c r="I174" s="824"/>
      <c r="J174" s="824"/>
      <c r="K174" s="114"/>
      <c r="L174" s="114"/>
      <c r="M174" s="114"/>
      <c r="N174" s="114"/>
      <c r="O174" s="114"/>
      <c r="P174" s="114"/>
      <c r="Q174" s="114"/>
      <c r="R174" s="114"/>
      <c r="S174" s="114"/>
      <c r="T174" s="10"/>
    </row>
    <row r="175" spans="1:20" ht="12.75" hidden="1" customHeight="1">
      <c r="A175" s="114"/>
      <c r="B175" s="1042" t="s">
        <v>35</v>
      </c>
      <c r="C175" s="1042"/>
      <c r="D175" s="1042"/>
      <c r="E175" s="1063">
        <f>E171*10%</f>
        <v>476928</v>
      </c>
      <c r="F175" s="1063"/>
      <c r="G175" s="1063"/>
      <c r="H175" s="1063"/>
      <c r="I175" s="1063"/>
      <c r="J175" s="1063"/>
      <c r="K175" s="114"/>
      <c r="L175" s="114"/>
      <c r="M175" s="114"/>
      <c r="N175" s="114"/>
      <c r="O175" s="114"/>
      <c r="P175" s="114"/>
      <c r="Q175" s="114"/>
      <c r="R175" s="114"/>
      <c r="S175" s="114"/>
      <c r="T175" s="10"/>
    </row>
    <row r="176" spans="1:20" ht="12.75" hidden="1" customHeight="1">
      <c r="A176" s="114"/>
      <c r="B176" s="1042" t="s">
        <v>316</v>
      </c>
      <c r="C176" s="1042"/>
      <c r="D176" s="1042"/>
      <c r="E176" s="1063">
        <f>+Consumables!E23</f>
        <v>88320</v>
      </c>
      <c r="F176" s="1063"/>
      <c r="G176" s="1063"/>
      <c r="H176" s="1063">
        <f>-E176</f>
        <v>-88320</v>
      </c>
      <c r="I176" s="1063"/>
      <c r="J176" s="1063"/>
      <c r="K176" s="114"/>
      <c r="L176" s="114"/>
      <c r="M176" s="114"/>
      <c r="N176" s="114"/>
      <c r="O176" s="114"/>
      <c r="P176" s="114"/>
      <c r="Q176" s="114"/>
      <c r="R176" s="114"/>
      <c r="S176" s="114"/>
      <c r="T176" s="10"/>
    </row>
    <row r="177" spans="1:20" ht="12.75" hidden="1" customHeight="1">
      <c r="A177" s="114"/>
      <c r="B177" s="1042" t="s">
        <v>311</v>
      </c>
      <c r="C177" s="1042"/>
      <c r="D177" s="1042"/>
      <c r="E177" s="1063">
        <f>+Consumables!E21</f>
        <v>34666.666666666664</v>
      </c>
      <c r="F177" s="1063"/>
      <c r="G177" s="1063"/>
      <c r="H177" s="1063">
        <f>-E177</f>
        <v>-34666.666666666664</v>
      </c>
      <c r="I177" s="1063"/>
      <c r="J177" s="1063"/>
      <c r="K177" s="114"/>
      <c r="L177" s="114"/>
      <c r="M177" s="114"/>
      <c r="N177" s="114"/>
      <c r="O177" s="114"/>
      <c r="P177" s="114"/>
      <c r="Q177" s="114"/>
      <c r="R177" s="114"/>
      <c r="S177" s="114"/>
      <c r="T177" s="10"/>
    </row>
    <row r="178" spans="1:20" ht="12.75" hidden="1" customHeight="1">
      <c r="A178" s="114"/>
      <c r="B178" s="1042" t="s">
        <v>312</v>
      </c>
      <c r="C178" s="1042"/>
      <c r="D178" s="1042"/>
      <c r="E178" s="1063">
        <f>+Consumables!E20</f>
        <v>194304.00000000003</v>
      </c>
      <c r="F178" s="1063"/>
      <c r="G178" s="1063"/>
      <c r="H178" s="1063">
        <f>+E178</f>
        <v>194304.00000000003</v>
      </c>
      <c r="I178" s="1063"/>
      <c r="J178" s="1063"/>
      <c r="K178" s="114"/>
      <c r="L178" s="114"/>
      <c r="M178" s="114"/>
      <c r="N178" s="114"/>
      <c r="O178" s="114"/>
      <c r="P178" s="114"/>
      <c r="Q178" s="114"/>
      <c r="R178" s="114"/>
      <c r="S178" s="114"/>
      <c r="T178" s="10"/>
    </row>
    <row r="179" spans="1:20" ht="12.75" hidden="1" customHeight="1">
      <c r="A179" s="114"/>
      <c r="B179" s="1042" t="s">
        <v>313</v>
      </c>
      <c r="C179" s="1042"/>
      <c r="D179" s="1042"/>
      <c r="E179" s="1063">
        <f>+Consumables!E19</f>
        <v>116582.40000000001</v>
      </c>
      <c r="F179" s="1063"/>
      <c r="G179" s="1063"/>
      <c r="H179" s="1063">
        <f>+E179</f>
        <v>116582.40000000001</v>
      </c>
      <c r="I179" s="1063"/>
      <c r="J179" s="1063"/>
      <c r="K179" s="114"/>
      <c r="L179" s="114"/>
      <c r="M179" s="114"/>
      <c r="N179" s="114"/>
      <c r="O179" s="114"/>
      <c r="P179" s="114"/>
      <c r="Q179" s="114"/>
      <c r="R179" s="114"/>
      <c r="S179" s="114"/>
      <c r="T179" s="10"/>
    </row>
    <row r="180" spans="1:20" ht="12.75" hidden="1" customHeight="1">
      <c r="A180" s="114"/>
      <c r="B180" s="1042" t="s">
        <v>190</v>
      </c>
      <c r="C180" s="1042"/>
      <c r="D180" s="1042"/>
      <c r="E180" s="1063"/>
      <c r="F180" s="1063"/>
      <c r="G180" s="1063"/>
      <c r="H180" s="1063">
        <f>+Consumables!H22</f>
        <v>691200</v>
      </c>
      <c r="I180" s="1063"/>
      <c r="J180" s="1063"/>
      <c r="K180" s="114"/>
      <c r="L180" s="114"/>
      <c r="M180" s="114"/>
      <c r="N180" s="114"/>
      <c r="O180" s="114"/>
      <c r="P180" s="114"/>
      <c r="Q180" s="114"/>
      <c r="R180" s="114"/>
      <c r="S180" s="114"/>
      <c r="T180" s="10"/>
    </row>
    <row r="181" spans="1:20" ht="12.75" hidden="1" customHeight="1">
      <c r="A181" s="114"/>
      <c r="B181" s="1098" t="s">
        <v>759</v>
      </c>
      <c r="C181" s="1099"/>
      <c r="D181" s="1100"/>
      <c r="E181" s="1091">
        <f>+Consumables!E25</f>
        <v>16633.333333333336</v>
      </c>
      <c r="F181" s="1092"/>
      <c r="G181" s="1093"/>
      <c r="H181" s="1091">
        <f>-E181</f>
        <v>-16633.333333333336</v>
      </c>
      <c r="I181" s="1092"/>
      <c r="J181" s="1093"/>
      <c r="K181" s="114"/>
      <c r="L181" s="114"/>
      <c r="M181" s="114"/>
      <c r="N181" s="114"/>
      <c r="O181" s="114"/>
      <c r="P181" s="114"/>
      <c r="Q181" s="114"/>
      <c r="R181" s="114"/>
      <c r="S181" s="114"/>
      <c r="T181" s="10"/>
    </row>
    <row r="182" spans="1:20" ht="12.75" hidden="1" customHeight="1">
      <c r="A182" s="114"/>
      <c r="B182" s="1098" t="s">
        <v>760</v>
      </c>
      <c r="C182" s="1099"/>
      <c r="D182" s="1100"/>
      <c r="E182" s="1091">
        <f>+Consumables!E24</f>
        <v>3383.3333333333335</v>
      </c>
      <c r="F182" s="1092"/>
      <c r="G182" s="1093"/>
      <c r="H182" s="1091">
        <f>-E182</f>
        <v>-3383.3333333333335</v>
      </c>
      <c r="I182" s="1092"/>
      <c r="J182" s="1093"/>
      <c r="K182" s="114"/>
      <c r="L182" s="114"/>
      <c r="M182" s="114"/>
      <c r="N182" s="114"/>
      <c r="O182" s="114"/>
      <c r="P182" s="114"/>
      <c r="Q182" s="114"/>
      <c r="R182" s="114"/>
      <c r="S182" s="114"/>
      <c r="T182" s="10"/>
    </row>
    <row r="183" spans="1:20" ht="12.75" hidden="1" customHeight="1">
      <c r="A183" s="114"/>
      <c r="B183" s="1042" t="s">
        <v>317</v>
      </c>
      <c r="C183" s="1042"/>
      <c r="D183" s="1042"/>
      <c r="E183" s="1063">
        <f>+E171</f>
        <v>4769280</v>
      </c>
      <c r="F183" s="1063"/>
      <c r="G183" s="1063"/>
      <c r="H183" s="1063">
        <f>+H171</f>
        <v>69949.440000000002</v>
      </c>
      <c r="I183" s="1063"/>
      <c r="J183" s="1063"/>
      <c r="K183" s="114"/>
      <c r="L183" s="114"/>
      <c r="M183" s="114"/>
      <c r="N183" s="114"/>
      <c r="O183" s="114"/>
      <c r="P183" s="114"/>
      <c r="Q183" s="114"/>
      <c r="R183" s="114"/>
      <c r="S183" s="114"/>
      <c r="T183" s="10"/>
    </row>
    <row r="184" spans="1:20" ht="12.75" hidden="1" customHeight="1">
      <c r="A184" s="114"/>
      <c r="B184" s="1096" t="s">
        <v>677</v>
      </c>
      <c r="C184" s="1096"/>
      <c r="D184" s="1096"/>
      <c r="E184" s="1097">
        <f>SUM(E175:G183)</f>
        <v>5700097.7333333334</v>
      </c>
      <c r="F184" s="1097"/>
      <c r="G184" s="1097"/>
      <c r="H184" s="1097">
        <f>SUM(H175:J183)</f>
        <v>929032.5066666666</v>
      </c>
      <c r="I184" s="1097"/>
      <c r="J184" s="1097"/>
      <c r="K184" s="114"/>
      <c r="L184" s="114"/>
      <c r="M184" s="114"/>
      <c r="N184" s="114"/>
      <c r="O184" s="114"/>
      <c r="P184" s="114"/>
      <c r="Q184" s="114"/>
      <c r="R184" s="114"/>
      <c r="S184" s="114"/>
      <c r="T184" s="10"/>
    </row>
    <row r="185" spans="1:20" ht="12.75" hidden="1" customHeight="1">
      <c r="A185" s="114"/>
      <c r="B185" s="341"/>
      <c r="C185" s="342"/>
      <c r="D185" s="342"/>
      <c r="E185" s="1101"/>
      <c r="F185" s="1095"/>
      <c r="G185" s="1095"/>
      <c r="H185" s="1094"/>
      <c r="I185" s="1095"/>
      <c r="J185" s="1095"/>
      <c r="K185" s="114"/>
      <c r="L185" s="114"/>
      <c r="M185" s="114"/>
      <c r="N185" s="114"/>
      <c r="O185" s="114"/>
      <c r="P185" s="114"/>
      <c r="Q185" s="114"/>
      <c r="R185" s="114"/>
      <c r="S185" s="114"/>
      <c r="T185" s="10"/>
    </row>
    <row r="186" spans="1:20" ht="12.75" customHeight="1">
      <c r="A186" s="114"/>
      <c r="B186" s="114"/>
      <c r="C186" s="114"/>
      <c r="D186" s="114"/>
      <c r="E186" s="114"/>
      <c r="F186" s="114"/>
      <c r="G186" s="114"/>
      <c r="H186" s="114"/>
      <c r="I186" s="114"/>
      <c r="J186" s="114"/>
      <c r="K186" s="114"/>
      <c r="L186" s="114"/>
      <c r="M186" s="114"/>
      <c r="N186" s="114"/>
      <c r="O186" s="114"/>
      <c r="P186" s="114"/>
      <c r="Q186" s="114"/>
      <c r="R186" s="114"/>
      <c r="S186" s="114"/>
      <c r="T186" s="10"/>
    </row>
    <row r="187" spans="1:20" ht="12.75" customHeight="1">
      <c r="A187" s="114"/>
      <c r="B187" s="114"/>
      <c r="C187" s="114"/>
      <c r="D187" s="114"/>
      <c r="E187" s="114"/>
      <c r="F187" s="114"/>
      <c r="G187" s="114"/>
      <c r="H187" s="114"/>
      <c r="I187" s="114"/>
      <c r="J187" s="114"/>
      <c r="K187" s="114"/>
      <c r="L187" s="114"/>
      <c r="M187" s="114"/>
      <c r="N187" s="114"/>
      <c r="O187" s="114"/>
      <c r="P187" s="114"/>
      <c r="Q187" s="114"/>
      <c r="R187" s="114"/>
      <c r="S187" s="114"/>
      <c r="T187" s="10"/>
    </row>
    <row r="188" spans="1:20" ht="12.75" customHeight="1">
      <c r="A188" s="114"/>
      <c r="B188" s="114"/>
      <c r="C188" s="114"/>
      <c r="D188" s="114"/>
      <c r="E188" s="114"/>
      <c r="F188" s="271"/>
      <c r="G188" s="271"/>
      <c r="H188" s="114"/>
      <c r="I188" s="114"/>
      <c r="J188" s="114"/>
      <c r="K188" s="114"/>
      <c r="L188" s="114"/>
      <c r="M188" s="114"/>
      <c r="N188" s="114"/>
      <c r="O188" s="114"/>
      <c r="P188" s="114"/>
      <c r="Q188" s="114"/>
      <c r="R188" s="114"/>
      <c r="S188" s="114"/>
      <c r="T188" s="10"/>
    </row>
    <row r="189" spans="1:20" ht="12.75" customHeight="1">
      <c r="A189" s="114"/>
      <c r="B189" s="114"/>
      <c r="C189" s="114"/>
      <c r="D189" s="114"/>
      <c r="E189" s="114"/>
      <c r="F189" s="271"/>
      <c r="G189" s="271"/>
      <c r="H189" s="114"/>
      <c r="I189" s="114"/>
      <c r="J189" s="114"/>
      <c r="K189" s="114"/>
      <c r="L189" s="114"/>
      <c r="M189" s="114"/>
      <c r="N189" s="114"/>
      <c r="O189" s="114"/>
      <c r="P189" s="114"/>
      <c r="Q189" s="114"/>
      <c r="R189" s="114"/>
      <c r="S189" s="114"/>
      <c r="T189" s="10"/>
    </row>
    <row r="190" spans="1:20" ht="12.75" customHeight="1">
      <c r="A190" s="114"/>
      <c r="B190" s="114"/>
      <c r="C190" s="114"/>
      <c r="D190" s="114"/>
      <c r="E190" s="114"/>
      <c r="F190" s="271"/>
      <c r="G190" s="271"/>
      <c r="H190" s="114"/>
      <c r="I190" s="114"/>
      <c r="J190" s="114"/>
      <c r="K190" s="114"/>
      <c r="L190" s="114"/>
      <c r="M190" s="114"/>
      <c r="N190" s="114"/>
      <c r="O190" s="114"/>
      <c r="P190" s="114"/>
      <c r="Q190" s="114"/>
      <c r="R190" s="114"/>
      <c r="S190" s="114"/>
      <c r="T190" s="10"/>
    </row>
    <row r="191" spans="1:20" ht="12.75" customHeight="1">
      <c r="A191" s="114"/>
      <c r="B191" s="114"/>
      <c r="C191" s="114"/>
      <c r="D191" s="114"/>
      <c r="E191" s="114"/>
      <c r="F191" s="114"/>
      <c r="G191" s="114"/>
      <c r="H191" s="114"/>
      <c r="I191" s="114"/>
      <c r="J191" s="114"/>
      <c r="K191" s="114"/>
      <c r="L191" s="114"/>
      <c r="M191" s="114"/>
      <c r="N191" s="114"/>
      <c r="O191" s="114"/>
      <c r="P191" s="114"/>
      <c r="Q191" s="114"/>
      <c r="R191" s="114"/>
      <c r="S191" s="114"/>
      <c r="T191" s="10"/>
    </row>
    <row r="192" spans="1:20" ht="12.75" customHeight="1">
      <c r="A192" s="114"/>
      <c r="B192" s="114"/>
      <c r="C192" s="114"/>
      <c r="D192" s="114"/>
      <c r="E192" s="114"/>
      <c r="F192" s="114"/>
      <c r="G192" s="114"/>
      <c r="H192" s="114"/>
      <c r="I192" s="114"/>
      <c r="J192" s="114"/>
      <c r="K192" s="114"/>
      <c r="L192" s="114"/>
      <c r="M192" s="114"/>
      <c r="N192" s="114"/>
      <c r="O192" s="114"/>
      <c r="P192" s="114"/>
      <c r="Q192" s="114"/>
      <c r="R192" s="114"/>
      <c r="S192" s="114"/>
      <c r="T192" s="10"/>
    </row>
    <row r="193" spans="1:20" ht="12.75" customHeight="1">
      <c r="A193" s="114"/>
      <c r="B193" s="114"/>
      <c r="C193" s="114"/>
      <c r="D193" s="114"/>
      <c r="E193" s="114"/>
      <c r="F193" s="114"/>
      <c r="G193" s="114"/>
      <c r="H193" s="114"/>
      <c r="I193" s="114"/>
      <c r="J193" s="114"/>
      <c r="K193" s="114"/>
      <c r="L193" s="114"/>
      <c r="M193" s="114"/>
      <c r="N193" s="114"/>
      <c r="O193" s="114"/>
      <c r="P193" s="114"/>
      <c r="Q193" s="114"/>
      <c r="R193" s="114"/>
      <c r="S193" s="114"/>
      <c r="T193" s="10"/>
    </row>
    <row r="194" spans="1:20" ht="12.75" customHeight="1">
      <c r="A194" s="114"/>
      <c r="B194" s="114"/>
      <c r="C194" s="114"/>
      <c r="D194" s="114"/>
      <c r="E194" s="114"/>
      <c r="F194" s="114"/>
      <c r="G194" s="114"/>
      <c r="H194" s="114"/>
      <c r="I194" s="114"/>
      <c r="J194" s="114"/>
      <c r="K194" s="114"/>
      <c r="L194" s="114"/>
      <c r="M194" s="114"/>
      <c r="N194" s="114"/>
      <c r="O194" s="114"/>
      <c r="P194" s="114"/>
      <c r="Q194" s="114"/>
      <c r="R194" s="114"/>
      <c r="S194" s="114"/>
      <c r="T194" s="10"/>
    </row>
    <row r="195" spans="1:20" ht="12.75" customHeight="1">
      <c r="A195" s="114"/>
      <c r="B195" s="114"/>
      <c r="C195" s="114"/>
      <c r="D195" s="114"/>
      <c r="E195" s="114"/>
      <c r="F195" s="114"/>
      <c r="G195" s="114"/>
      <c r="H195" s="114"/>
      <c r="I195" s="114"/>
      <c r="J195" s="114"/>
      <c r="K195" s="114"/>
      <c r="L195" s="114"/>
      <c r="M195" s="114"/>
      <c r="N195" s="114"/>
      <c r="O195" s="114"/>
      <c r="P195" s="114"/>
      <c r="Q195" s="114"/>
      <c r="R195" s="114"/>
      <c r="S195" s="114"/>
      <c r="T195" s="10"/>
    </row>
    <row r="196" spans="1:20" ht="12.75" customHeight="1">
      <c r="A196" s="114"/>
      <c r="B196" s="114"/>
      <c r="C196" s="114"/>
      <c r="D196" s="114"/>
      <c r="E196" s="114"/>
      <c r="F196" s="114"/>
      <c r="G196" s="114"/>
      <c r="H196" s="114"/>
      <c r="I196" s="114"/>
      <c r="J196" s="114"/>
      <c r="K196" s="114"/>
      <c r="L196" s="114"/>
      <c r="M196" s="114"/>
      <c r="N196" s="114"/>
      <c r="O196" s="114"/>
      <c r="P196" s="114"/>
      <c r="Q196" s="114"/>
      <c r="R196" s="114"/>
      <c r="S196" s="114"/>
      <c r="T196" s="10"/>
    </row>
    <row r="197" spans="1:20" ht="12.75" customHeight="1">
      <c r="A197" s="114"/>
      <c r="B197" s="114"/>
      <c r="C197" s="114"/>
      <c r="D197" s="114"/>
      <c r="E197" s="114"/>
      <c r="F197" s="114"/>
      <c r="G197" s="114"/>
      <c r="H197" s="114"/>
      <c r="I197" s="114"/>
      <c r="J197" s="114"/>
      <c r="K197" s="114"/>
      <c r="L197" s="114"/>
      <c r="M197" s="114"/>
      <c r="N197" s="114"/>
      <c r="O197" s="114"/>
      <c r="P197" s="114"/>
      <c r="Q197" s="114"/>
      <c r="R197" s="114"/>
      <c r="S197" s="114"/>
      <c r="T197" s="10"/>
    </row>
    <row r="198" spans="1:20" ht="12.75" customHeight="1">
      <c r="A198" s="114"/>
      <c r="B198" s="114"/>
      <c r="C198" s="114"/>
      <c r="D198" s="114"/>
      <c r="E198" s="114"/>
      <c r="F198" s="114"/>
      <c r="G198" s="114"/>
      <c r="H198" s="114"/>
      <c r="I198" s="114"/>
      <c r="J198" s="114"/>
      <c r="K198" s="114"/>
      <c r="L198" s="114"/>
      <c r="M198" s="114"/>
      <c r="N198" s="114"/>
      <c r="O198" s="114"/>
      <c r="P198" s="114"/>
      <c r="Q198" s="114"/>
      <c r="R198" s="114"/>
      <c r="S198" s="114"/>
      <c r="T198" s="10"/>
    </row>
    <row r="199" spans="1:20" ht="12.75" customHeight="1">
      <c r="A199" s="114"/>
      <c r="B199" s="114"/>
      <c r="C199" s="114"/>
      <c r="D199" s="114"/>
      <c r="E199" s="114"/>
      <c r="F199" s="114"/>
      <c r="G199" s="114"/>
      <c r="H199" s="114"/>
      <c r="I199" s="114"/>
      <c r="J199" s="114"/>
      <c r="K199" s="114"/>
      <c r="L199" s="114"/>
      <c r="M199" s="114"/>
      <c r="N199" s="114"/>
      <c r="O199" s="114"/>
      <c r="P199" s="114"/>
      <c r="Q199" s="114"/>
      <c r="R199" s="114"/>
      <c r="S199" s="114"/>
      <c r="T199" s="10"/>
    </row>
    <row r="200" spans="1:20" ht="12.75" customHeight="1">
      <c r="A200" s="115"/>
      <c r="B200" s="328"/>
      <c r="C200" s="328"/>
      <c r="D200" s="271"/>
      <c r="E200" s="271"/>
      <c r="F200" s="271"/>
      <c r="G200" s="114"/>
      <c r="H200" s="114"/>
      <c r="I200" s="114"/>
      <c r="J200" s="114"/>
      <c r="K200" s="114"/>
      <c r="L200" s="114"/>
      <c r="M200" s="114"/>
      <c r="N200" s="114"/>
      <c r="O200" s="114"/>
      <c r="P200" s="114"/>
      <c r="Q200" s="114"/>
      <c r="R200" s="114"/>
      <c r="S200" s="114"/>
      <c r="T200" s="10"/>
    </row>
    <row r="201" spans="1:20" ht="12.75" customHeight="1">
      <c r="A201" s="308"/>
      <c r="B201" s="114"/>
      <c r="C201" s="114"/>
      <c r="D201" s="114"/>
      <c r="E201" s="114"/>
      <c r="F201" s="343"/>
      <c r="G201" s="114"/>
      <c r="H201" s="121"/>
      <c r="I201" s="344"/>
      <c r="J201" s="344"/>
      <c r="K201" s="114"/>
      <c r="L201" s="114"/>
      <c r="M201" s="114"/>
      <c r="N201" s="114"/>
      <c r="O201" s="114"/>
      <c r="P201" s="114"/>
      <c r="Q201" s="114"/>
      <c r="R201" s="114"/>
      <c r="S201" s="114"/>
      <c r="T201" s="10"/>
    </row>
    <row r="202" spans="1:20" ht="12.75" customHeight="1">
      <c r="A202" s="308"/>
      <c r="B202" s="114"/>
      <c r="C202" s="114"/>
      <c r="D202" s="114"/>
      <c r="E202" s="114"/>
      <c r="F202" s="114"/>
      <c r="G202" s="114"/>
      <c r="H202" s="121"/>
      <c r="I202" s="121"/>
      <c r="J202" s="121"/>
      <c r="K202" s="114"/>
      <c r="L202" s="114"/>
      <c r="M202" s="114"/>
      <c r="N202" s="114"/>
      <c r="O202" s="114"/>
      <c r="P202" s="114"/>
      <c r="Q202" s="114"/>
      <c r="R202" s="114"/>
      <c r="S202" s="114"/>
      <c r="T202" s="10"/>
    </row>
    <row r="203" spans="1:20" ht="12.75" customHeight="1">
      <c r="A203" s="308"/>
      <c r="B203" s="114"/>
      <c r="C203" s="114"/>
      <c r="D203" s="114"/>
      <c r="E203" s="114"/>
      <c r="F203" s="114"/>
      <c r="G203" s="114"/>
      <c r="H203" s="121"/>
      <c r="I203" s="121"/>
      <c r="J203" s="121"/>
      <c r="K203" s="114"/>
      <c r="L203" s="114"/>
      <c r="M203" s="114"/>
      <c r="N203" s="114"/>
      <c r="O203" s="114"/>
      <c r="P203" s="114"/>
      <c r="Q203" s="114"/>
      <c r="R203" s="114"/>
      <c r="S203" s="114"/>
      <c r="T203" s="10"/>
    </row>
    <row r="204" spans="1:20" ht="12.75" customHeight="1">
      <c r="A204" s="308"/>
      <c r="B204" s="114"/>
      <c r="C204" s="114"/>
      <c r="D204" s="114"/>
      <c r="E204" s="114"/>
      <c r="F204" s="114"/>
      <c r="G204" s="114"/>
      <c r="H204" s="121"/>
      <c r="I204" s="121"/>
      <c r="J204" s="121"/>
      <c r="K204" s="114"/>
      <c r="L204" s="114"/>
      <c r="M204" s="114"/>
      <c r="N204" s="114"/>
      <c r="O204" s="114"/>
      <c r="P204" s="114"/>
      <c r="Q204" s="114"/>
      <c r="R204" s="114"/>
      <c r="S204" s="114"/>
      <c r="T204" s="10"/>
    </row>
    <row r="205" spans="1:20" ht="12.75" customHeight="1">
      <c r="A205" s="308"/>
      <c r="B205" s="114"/>
      <c r="C205" s="114"/>
      <c r="D205" s="114"/>
      <c r="E205" s="114"/>
      <c r="F205" s="114"/>
      <c r="G205" s="114"/>
      <c r="H205" s="121"/>
      <c r="I205" s="121"/>
      <c r="J205" s="121"/>
      <c r="K205" s="114"/>
      <c r="L205" s="114"/>
      <c r="M205" s="114"/>
      <c r="N205" s="114"/>
      <c r="O205" s="114"/>
      <c r="P205" s="114"/>
      <c r="Q205" s="114"/>
      <c r="R205" s="114"/>
      <c r="S205" s="114"/>
      <c r="T205" s="10"/>
    </row>
    <row r="206" spans="1:20" ht="12.75" customHeight="1">
      <c r="A206" s="308"/>
      <c r="B206" s="114"/>
      <c r="C206" s="114"/>
      <c r="D206" s="114"/>
      <c r="E206" s="114"/>
      <c r="F206" s="114"/>
      <c r="G206" s="114"/>
      <c r="H206" s="121"/>
      <c r="I206" s="121"/>
      <c r="J206" s="121"/>
      <c r="K206" s="114"/>
      <c r="L206" s="114"/>
      <c r="M206" s="114"/>
      <c r="N206" s="114"/>
      <c r="O206" s="114"/>
      <c r="P206" s="114"/>
      <c r="Q206" s="114"/>
      <c r="R206" s="114"/>
      <c r="S206" s="114"/>
      <c r="T206" s="10"/>
    </row>
    <row r="207" spans="1:20" ht="12.75" customHeight="1">
      <c r="A207" s="308"/>
      <c r="B207" s="114"/>
      <c r="C207" s="114"/>
      <c r="D207" s="114"/>
      <c r="E207" s="114"/>
      <c r="F207" s="114"/>
      <c r="G207" s="114"/>
      <c r="H207" s="121"/>
      <c r="I207" s="121"/>
      <c r="J207" s="121"/>
      <c r="K207" s="114"/>
      <c r="L207" s="114"/>
      <c r="M207" s="114"/>
      <c r="N207" s="114"/>
      <c r="O207" s="114"/>
      <c r="P207" s="114"/>
      <c r="Q207" s="114"/>
      <c r="R207" s="114"/>
      <c r="S207" s="114"/>
      <c r="T207" s="10"/>
    </row>
    <row r="208" spans="1:20" ht="12.75" customHeight="1">
      <c r="A208" s="308"/>
      <c r="B208" s="114"/>
      <c r="C208" s="114"/>
      <c r="D208" s="114"/>
      <c r="E208" s="114"/>
      <c r="F208" s="114"/>
      <c r="G208" s="121"/>
      <c r="H208" s="121"/>
      <c r="I208" s="121"/>
      <c r="J208" s="121"/>
      <c r="K208" s="114"/>
      <c r="L208" s="114"/>
      <c r="M208" s="114"/>
      <c r="N208" s="114"/>
      <c r="O208" s="114"/>
      <c r="P208" s="114"/>
      <c r="Q208" s="114"/>
      <c r="R208" s="114"/>
      <c r="S208" s="114"/>
      <c r="T208" s="10"/>
    </row>
    <row r="209" spans="1:20" ht="12.75" customHeight="1">
      <c r="A209" s="308"/>
      <c r="B209" s="114"/>
      <c r="C209" s="114"/>
      <c r="D209" s="114"/>
      <c r="E209" s="114"/>
      <c r="F209" s="114"/>
      <c r="G209" s="121"/>
      <c r="H209" s="121"/>
      <c r="I209" s="121"/>
      <c r="J209" s="121"/>
      <c r="K209" s="114"/>
      <c r="L209" s="114"/>
      <c r="M209" s="114"/>
      <c r="N209" s="114"/>
      <c r="O209" s="114"/>
      <c r="P209" s="114"/>
      <c r="Q209" s="114"/>
      <c r="R209" s="114"/>
      <c r="S209" s="114"/>
      <c r="T209" s="10"/>
    </row>
    <row r="210" spans="1:20" ht="12.75" customHeight="1">
      <c r="A210" s="308"/>
      <c r="B210" s="114"/>
      <c r="C210" s="114"/>
      <c r="D210" s="114"/>
      <c r="E210" s="114"/>
      <c r="F210" s="114"/>
      <c r="G210" s="121"/>
      <c r="H210" s="121"/>
      <c r="I210" s="121"/>
      <c r="J210" s="121"/>
      <c r="K210" s="114"/>
      <c r="L210" s="114"/>
      <c r="M210" s="114"/>
      <c r="N210" s="114"/>
      <c r="O210" s="114"/>
      <c r="P210" s="114"/>
      <c r="Q210" s="114"/>
      <c r="R210" s="114"/>
      <c r="S210" s="114"/>
      <c r="T210" s="10"/>
    </row>
    <row r="211" spans="1:20" ht="12.75" customHeight="1">
      <c r="A211" s="308"/>
      <c r="B211" s="114"/>
      <c r="C211" s="114"/>
      <c r="D211" s="114"/>
      <c r="E211" s="114"/>
      <c r="F211" s="114"/>
      <c r="G211" s="121"/>
      <c r="H211" s="121"/>
      <c r="I211" s="121"/>
      <c r="J211" s="121"/>
      <c r="K211" s="114"/>
      <c r="L211" s="114"/>
      <c r="M211" s="114"/>
      <c r="N211" s="114"/>
      <c r="O211" s="114"/>
      <c r="P211" s="114"/>
      <c r="Q211" s="114"/>
      <c r="R211" s="114"/>
      <c r="S211" s="114"/>
      <c r="T211" s="10"/>
    </row>
    <row r="212" spans="1:20" ht="12.75" customHeight="1">
      <c r="A212" s="308"/>
      <c r="B212" s="114"/>
      <c r="C212" s="114"/>
      <c r="D212" s="114"/>
      <c r="E212" s="114"/>
      <c r="F212" s="114"/>
      <c r="G212" s="121"/>
      <c r="H212" s="121"/>
      <c r="I212" s="121"/>
      <c r="J212" s="121"/>
      <c r="K212" s="114"/>
      <c r="L212" s="114"/>
      <c r="M212" s="114"/>
      <c r="N212" s="114"/>
      <c r="O212" s="114"/>
      <c r="P212" s="114"/>
      <c r="Q212" s="114"/>
      <c r="R212" s="114"/>
      <c r="S212" s="114"/>
      <c r="T212" s="10"/>
    </row>
    <row r="213" spans="1:20" ht="12.75" customHeight="1">
      <c r="A213" s="308"/>
      <c r="B213" s="114"/>
      <c r="C213" s="114"/>
      <c r="D213" s="114"/>
      <c r="E213" s="114"/>
      <c r="F213" s="114"/>
      <c r="G213" s="121"/>
      <c r="H213" s="121"/>
      <c r="I213" s="121"/>
      <c r="J213" s="121"/>
      <c r="K213" s="114"/>
      <c r="L213" s="114"/>
      <c r="M213" s="114"/>
      <c r="N213" s="114"/>
      <c r="O213" s="114"/>
      <c r="P213" s="114"/>
      <c r="Q213" s="114"/>
      <c r="R213" s="114"/>
      <c r="S213" s="114"/>
      <c r="T213" s="10"/>
    </row>
    <row r="214" spans="1:20" ht="12.75" customHeight="1">
      <c r="A214" s="308"/>
      <c r="B214" s="114"/>
      <c r="C214" s="114"/>
      <c r="D214" s="114"/>
      <c r="E214" s="114"/>
      <c r="F214" s="114"/>
      <c r="G214" s="121"/>
      <c r="H214" s="121"/>
      <c r="I214" s="121"/>
      <c r="J214" s="121"/>
      <c r="K214" s="114"/>
      <c r="L214" s="114"/>
      <c r="M214" s="114"/>
      <c r="N214" s="114"/>
      <c r="O214" s="114"/>
      <c r="P214" s="114"/>
      <c r="Q214" s="114"/>
      <c r="R214" s="114"/>
      <c r="S214" s="114"/>
      <c r="T214" s="10"/>
    </row>
    <row r="215" spans="1:20" ht="12.75" customHeight="1">
      <c r="A215" s="308"/>
      <c r="B215" s="114"/>
      <c r="C215" s="114"/>
      <c r="D215" s="114"/>
      <c r="E215" s="114"/>
      <c r="F215" s="114"/>
      <c r="G215" s="121"/>
      <c r="H215" s="121"/>
      <c r="I215" s="121"/>
      <c r="J215" s="121"/>
      <c r="K215" s="114"/>
      <c r="L215" s="114"/>
      <c r="M215" s="114"/>
      <c r="N215" s="114"/>
      <c r="O215" s="114"/>
      <c r="P215" s="114"/>
      <c r="Q215" s="114"/>
      <c r="R215" s="114"/>
      <c r="S215" s="114"/>
      <c r="T215" s="10"/>
    </row>
    <row r="216" spans="1:20" ht="12.75" customHeight="1">
      <c r="A216" s="308"/>
      <c r="B216" s="114"/>
      <c r="C216" s="114"/>
      <c r="D216" s="114"/>
      <c r="E216" s="114"/>
      <c r="F216" s="114"/>
      <c r="G216" s="114"/>
      <c r="H216" s="114"/>
      <c r="I216" s="114"/>
      <c r="J216" s="114"/>
      <c r="K216" s="114"/>
      <c r="L216" s="114"/>
      <c r="M216" s="114"/>
      <c r="N216" s="114"/>
      <c r="O216" s="114"/>
      <c r="P216" s="114"/>
      <c r="Q216" s="114"/>
      <c r="R216" s="114"/>
      <c r="S216" s="114"/>
      <c r="T216" s="10"/>
    </row>
    <row r="217" spans="1:20" ht="12.75" customHeight="1">
      <c r="A217" s="308"/>
      <c r="B217" s="114"/>
      <c r="C217" s="114"/>
      <c r="D217" s="114"/>
      <c r="E217" s="114"/>
      <c r="F217" s="114"/>
      <c r="G217" s="114"/>
      <c r="H217" s="114"/>
      <c r="I217" s="114"/>
      <c r="J217" s="114"/>
      <c r="K217" s="114"/>
      <c r="L217" s="114"/>
      <c r="M217" s="114"/>
      <c r="N217" s="114"/>
      <c r="O217" s="114"/>
      <c r="P217" s="114"/>
      <c r="Q217" s="114"/>
      <c r="R217" s="114"/>
      <c r="S217" s="114"/>
      <c r="T217" s="10"/>
    </row>
    <row r="218" spans="1:20" ht="12.75" customHeight="1">
      <c r="A218" s="308"/>
      <c r="B218" s="114"/>
      <c r="C218" s="114"/>
      <c r="D218" s="114"/>
      <c r="E218" s="114"/>
      <c r="F218" s="114"/>
      <c r="G218" s="114"/>
      <c r="H218" s="114"/>
      <c r="I218" s="114"/>
      <c r="J218" s="114"/>
      <c r="K218" s="114"/>
      <c r="L218" s="114"/>
      <c r="M218" s="114"/>
      <c r="N218" s="114"/>
      <c r="O218" s="114"/>
      <c r="P218" s="114"/>
      <c r="Q218" s="114"/>
      <c r="R218" s="114"/>
      <c r="S218" s="114"/>
      <c r="T218" s="10"/>
    </row>
    <row r="219" spans="1:20" ht="12.75" customHeight="1">
      <c r="A219" s="308"/>
      <c r="B219" s="114"/>
      <c r="C219" s="114"/>
      <c r="D219" s="114"/>
      <c r="E219" s="114"/>
      <c r="F219" s="114"/>
      <c r="G219" s="114"/>
      <c r="H219" s="114"/>
      <c r="I219" s="114"/>
      <c r="J219" s="114"/>
      <c r="K219" s="114"/>
      <c r="L219" s="114"/>
      <c r="M219" s="114"/>
      <c r="N219" s="114"/>
      <c r="O219" s="114"/>
      <c r="P219" s="114"/>
      <c r="Q219" s="114"/>
      <c r="R219" s="114"/>
      <c r="S219" s="114"/>
      <c r="T219" s="10"/>
    </row>
    <row r="220" spans="1:20" ht="12.75" customHeight="1">
      <c r="A220" s="308"/>
      <c r="B220" s="114"/>
      <c r="C220" s="114"/>
      <c r="D220" s="114"/>
      <c r="E220" s="114"/>
      <c r="F220" s="114"/>
      <c r="G220" s="114"/>
      <c r="H220" s="114"/>
      <c r="I220" s="114"/>
      <c r="J220" s="114"/>
      <c r="K220" s="114"/>
      <c r="L220" s="114"/>
      <c r="M220" s="114"/>
      <c r="N220" s="114"/>
      <c r="O220" s="114"/>
      <c r="P220" s="114"/>
      <c r="Q220" s="114"/>
      <c r="R220" s="114"/>
      <c r="S220" s="114"/>
      <c r="T220" s="10"/>
    </row>
    <row r="221" spans="1:20" ht="12.75" customHeight="1">
      <c r="A221" s="308"/>
      <c r="B221" s="114"/>
      <c r="C221" s="114"/>
      <c r="D221" s="114"/>
      <c r="E221" s="114"/>
      <c r="F221" s="114"/>
      <c r="G221" s="114"/>
      <c r="H221" s="114"/>
      <c r="I221" s="114"/>
      <c r="J221" s="114"/>
      <c r="K221" s="114"/>
      <c r="L221" s="114"/>
      <c r="M221" s="114"/>
      <c r="N221" s="114"/>
      <c r="O221" s="114"/>
      <c r="P221" s="114"/>
      <c r="Q221" s="114"/>
      <c r="R221" s="114"/>
      <c r="S221" s="114"/>
      <c r="T221" s="10"/>
    </row>
    <row r="222" spans="1:20" ht="12.75" customHeight="1">
      <c r="A222" s="308"/>
      <c r="B222" s="114"/>
      <c r="C222" s="114"/>
      <c r="D222" s="114"/>
      <c r="E222" s="114"/>
      <c r="F222" s="114"/>
      <c r="G222" s="114"/>
      <c r="H222" s="114"/>
      <c r="I222" s="114"/>
      <c r="J222" s="114"/>
      <c r="K222" s="114"/>
      <c r="L222" s="114"/>
      <c r="M222" s="114"/>
      <c r="N222" s="114"/>
      <c r="O222" s="114"/>
      <c r="P222" s="114"/>
      <c r="Q222" s="114"/>
      <c r="R222" s="114"/>
      <c r="S222" s="114"/>
      <c r="T222" s="10"/>
    </row>
    <row r="223" spans="1:20" ht="12.75" customHeight="1">
      <c r="A223" s="308"/>
      <c r="B223" s="114"/>
      <c r="C223" s="114"/>
      <c r="D223" s="114"/>
      <c r="E223" s="114"/>
      <c r="F223" s="114"/>
      <c r="G223" s="114"/>
      <c r="H223" s="114"/>
      <c r="I223" s="114"/>
      <c r="J223" s="114"/>
      <c r="K223" s="114"/>
      <c r="L223" s="114"/>
      <c r="M223" s="114"/>
      <c r="N223" s="114"/>
      <c r="O223" s="114"/>
      <c r="P223" s="114"/>
      <c r="Q223" s="114"/>
      <c r="R223" s="114"/>
      <c r="S223" s="114"/>
      <c r="T223" s="10"/>
    </row>
    <row r="224" spans="1:20" ht="12.75" customHeight="1">
      <c r="A224" s="308"/>
      <c r="B224" s="114"/>
      <c r="C224" s="114"/>
      <c r="D224" s="114"/>
      <c r="E224" s="114"/>
      <c r="F224" s="114"/>
      <c r="G224" s="114"/>
      <c r="H224" s="114"/>
      <c r="I224" s="114"/>
      <c r="J224" s="114"/>
      <c r="K224" s="114"/>
      <c r="L224" s="114"/>
      <c r="M224" s="114"/>
      <c r="N224" s="114"/>
      <c r="O224" s="114"/>
      <c r="P224" s="114"/>
      <c r="Q224" s="114"/>
      <c r="R224" s="114"/>
      <c r="S224" s="114"/>
      <c r="T224" s="10"/>
    </row>
    <row r="225" spans="1:20" ht="12.75" customHeight="1">
      <c r="A225" s="308"/>
      <c r="B225" s="114"/>
      <c r="C225" s="114"/>
      <c r="D225" s="114"/>
      <c r="E225" s="114"/>
      <c r="F225" s="114"/>
      <c r="G225" s="114"/>
      <c r="H225" s="114"/>
      <c r="I225" s="114"/>
      <c r="J225" s="114"/>
      <c r="K225" s="114"/>
      <c r="L225" s="114"/>
      <c r="M225" s="114"/>
      <c r="N225" s="114"/>
      <c r="O225" s="114"/>
      <c r="P225" s="114"/>
      <c r="Q225" s="114"/>
      <c r="R225" s="114"/>
      <c r="S225" s="114"/>
      <c r="T225" s="10"/>
    </row>
    <row r="226" spans="1:20" ht="12.75" customHeight="1">
      <c r="A226" s="308"/>
      <c r="B226" s="114"/>
      <c r="C226" s="114"/>
      <c r="D226" s="114"/>
      <c r="E226" s="114"/>
      <c r="F226" s="114"/>
      <c r="G226" s="114"/>
      <c r="H226" s="114"/>
      <c r="I226" s="114"/>
      <c r="J226" s="114"/>
      <c r="K226" s="114"/>
      <c r="L226" s="114"/>
      <c r="M226" s="114"/>
      <c r="N226" s="114"/>
      <c r="O226" s="114"/>
      <c r="P226" s="114"/>
      <c r="Q226" s="114"/>
      <c r="R226" s="114"/>
      <c r="S226" s="114"/>
      <c r="T226" s="10"/>
    </row>
    <row r="227" spans="1:20" ht="12.75" customHeight="1">
      <c r="A227" s="308"/>
      <c r="B227" s="114"/>
      <c r="C227" s="114"/>
      <c r="D227" s="114"/>
      <c r="E227" s="114"/>
      <c r="F227" s="114"/>
      <c r="G227" s="114"/>
      <c r="H227" s="114"/>
      <c r="I227" s="114"/>
      <c r="J227" s="114"/>
      <c r="K227" s="114"/>
      <c r="L227" s="114"/>
      <c r="M227" s="114"/>
      <c r="N227" s="114"/>
      <c r="O227" s="114"/>
      <c r="P227" s="114"/>
      <c r="Q227" s="114"/>
      <c r="R227" s="114"/>
      <c r="S227" s="114"/>
      <c r="T227" s="10"/>
    </row>
    <row r="228" spans="1:20" ht="12.75" customHeight="1">
      <c r="A228" s="308"/>
      <c r="B228" s="114"/>
      <c r="C228" s="114"/>
      <c r="D228" s="114"/>
      <c r="E228" s="114"/>
      <c r="F228" s="114"/>
      <c r="G228" s="114"/>
      <c r="H228" s="114"/>
      <c r="I228" s="114"/>
      <c r="J228" s="114"/>
      <c r="K228" s="114"/>
      <c r="L228" s="114"/>
      <c r="M228" s="114"/>
      <c r="N228" s="114"/>
      <c r="O228" s="114"/>
      <c r="P228" s="114"/>
      <c r="Q228" s="114"/>
      <c r="R228" s="114"/>
      <c r="S228" s="114"/>
      <c r="T228" s="10"/>
    </row>
    <row r="229" spans="1:20" ht="12.75" customHeight="1">
      <c r="A229" s="308"/>
      <c r="B229" s="114"/>
      <c r="C229" s="114"/>
      <c r="D229" s="114"/>
      <c r="E229" s="114"/>
      <c r="F229" s="114"/>
      <c r="G229" s="114"/>
      <c r="H229" s="114"/>
      <c r="I229" s="114"/>
      <c r="J229" s="114"/>
      <c r="K229" s="114"/>
      <c r="L229" s="114"/>
      <c r="M229" s="114"/>
      <c r="N229" s="114"/>
      <c r="O229" s="114"/>
      <c r="P229" s="114"/>
      <c r="Q229" s="114"/>
      <c r="R229" s="114"/>
      <c r="S229" s="114"/>
      <c r="T229" s="10"/>
    </row>
    <row r="230" spans="1:20" ht="12.75" customHeight="1">
      <c r="A230" s="308"/>
      <c r="B230" s="114"/>
      <c r="C230" s="114"/>
      <c r="D230" s="114"/>
      <c r="E230" s="114"/>
      <c r="F230" s="114"/>
      <c r="G230" s="114"/>
      <c r="H230" s="114"/>
      <c r="I230" s="114"/>
      <c r="J230" s="114"/>
      <c r="K230" s="114"/>
      <c r="L230" s="114"/>
      <c r="M230" s="114"/>
      <c r="N230" s="114"/>
      <c r="O230" s="114"/>
      <c r="P230" s="114"/>
      <c r="Q230" s="114"/>
      <c r="R230" s="114"/>
      <c r="S230" s="114"/>
      <c r="T230" s="10"/>
    </row>
    <row r="231" spans="1:20" ht="12.75" customHeight="1">
      <c r="A231" s="308"/>
      <c r="B231" s="114"/>
      <c r="C231" s="114"/>
      <c r="D231" s="114"/>
      <c r="E231" s="114"/>
      <c r="F231" s="114"/>
      <c r="G231" s="114"/>
      <c r="H231" s="114"/>
      <c r="I231" s="114"/>
      <c r="J231" s="114"/>
      <c r="K231" s="114"/>
      <c r="L231" s="114"/>
      <c r="M231" s="114"/>
      <c r="N231" s="114"/>
      <c r="O231" s="114"/>
      <c r="P231" s="114"/>
      <c r="Q231" s="114"/>
      <c r="R231" s="114"/>
      <c r="S231" s="114"/>
      <c r="T231" s="10"/>
    </row>
    <row r="232" spans="1:20" ht="12.75" customHeight="1">
      <c r="A232" s="308"/>
      <c r="B232" s="114"/>
      <c r="C232" s="114"/>
      <c r="D232" s="114"/>
      <c r="E232" s="114"/>
      <c r="F232" s="114"/>
      <c r="G232" s="114"/>
      <c r="H232" s="114"/>
      <c r="I232" s="114"/>
      <c r="J232" s="114"/>
      <c r="K232" s="114"/>
      <c r="L232" s="114"/>
      <c r="M232" s="114"/>
      <c r="N232" s="114"/>
      <c r="O232" s="114"/>
      <c r="P232" s="114"/>
      <c r="Q232" s="114"/>
      <c r="R232" s="114"/>
      <c r="S232" s="114"/>
      <c r="T232" s="10"/>
    </row>
    <row r="233" spans="1:20" ht="12.75" customHeight="1">
      <c r="A233" s="308"/>
      <c r="B233" s="114"/>
      <c r="C233" s="114"/>
      <c r="D233" s="114"/>
      <c r="E233" s="114"/>
      <c r="F233" s="114"/>
      <c r="G233" s="114"/>
      <c r="H233" s="114"/>
      <c r="I233" s="114"/>
      <c r="J233" s="114"/>
      <c r="K233" s="114"/>
      <c r="L233" s="114"/>
      <c r="M233" s="114"/>
      <c r="N233" s="114"/>
      <c r="O233" s="114"/>
      <c r="P233" s="114"/>
      <c r="Q233" s="114"/>
      <c r="R233" s="114"/>
      <c r="S233" s="114"/>
      <c r="T233" s="10"/>
    </row>
    <row r="234" spans="1:20" ht="12.75" customHeight="1">
      <c r="A234" s="308"/>
      <c r="B234" s="114"/>
      <c r="C234" s="114"/>
      <c r="D234" s="114"/>
      <c r="E234" s="114"/>
      <c r="F234" s="114"/>
      <c r="G234" s="114"/>
      <c r="H234" s="114"/>
      <c r="I234" s="114"/>
      <c r="J234" s="114"/>
      <c r="K234" s="114"/>
      <c r="L234" s="114"/>
      <c r="M234" s="114"/>
      <c r="N234" s="114"/>
      <c r="O234" s="114"/>
      <c r="P234" s="114"/>
      <c r="Q234" s="114"/>
      <c r="R234" s="114"/>
      <c r="S234" s="114"/>
      <c r="T234" s="10"/>
    </row>
    <row r="235" spans="1:20" ht="12.75" customHeight="1">
      <c r="A235" s="308"/>
      <c r="B235" s="114"/>
      <c r="C235" s="114"/>
      <c r="D235" s="114"/>
      <c r="E235" s="114"/>
      <c r="F235" s="114"/>
      <c r="G235" s="114"/>
      <c r="H235" s="114"/>
      <c r="I235" s="114"/>
      <c r="J235" s="114"/>
      <c r="K235" s="114"/>
      <c r="L235" s="114"/>
      <c r="M235" s="114"/>
      <c r="N235" s="114"/>
      <c r="O235" s="114"/>
      <c r="P235" s="114"/>
      <c r="Q235" s="114"/>
      <c r="R235" s="114"/>
      <c r="S235" s="114"/>
      <c r="T235" s="10"/>
    </row>
    <row r="236" spans="1:20" ht="12.75" customHeight="1">
      <c r="A236" s="308"/>
      <c r="B236" s="114"/>
      <c r="C236" s="114"/>
      <c r="D236" s="114"/>
      <c r="E236" s="114"/>
      <c r="F236" s="114"/>
      <c r="G236" s="114"/>
      <c r="H236" s="114"/>
      <c r="I236" s="114"/>
      <c r="J236" s="114"/>
      <c r="K236" s="114"/>
      <c r="L236" s="114"/>
      <c r="M236" s="114"/>
      <c r="N236" s="114"/>
      <c r="O236" s="114"/>
      <c r="P236" s="114"/>
      <c r="Q236" s="114"/>
      <c r="R236" s="114"/>
      <c r="S236" s="114"/>
      <c r="T236" s="10"/>
    </row>
    <row r="237" spans="1:20" ht="12.75" customHeight="1">
      <c r="A237" s="308"/>
      <c r="B237" s="114"/>
      <c r="C237" s="114"/>
      <c r="D237" s="114"/>
      <c r="E237" s="114"/>
      <c r="F237" s="114"/>
      <c r="G237" s="114"/>
      <c r="H237" s="114"/>
      <c r="I237" s="114"/>
      <c r="J237" s="114"/>
      <c r="K237" s="114"/>
      <c r="L237" s="114"/>
      <c r="M237" s="114"/>
      <c r="N237" s="114"/>
      <c r="O237" s="114"/>
      <c r="P237" s="114"/>
      <c r="Q237" s="114"/>
      <c r="R237" s="114"/>
      <c r="S237" s="114"/>
      <c r="T237" s="10"/>
    </row>
    <row r="238" spans="1:20" ht="12.75" customHeight="1">
      <c r="A238" s="308"/>
      <c r="B238" s="114"/>
      <c r="C238" s="114"/>
      <c r="D238" s="114"/>
      <c r="E238" s="114"/>
      <c r="F238" s="114"/>
      <c r="G238" s="114"/>
      <c r="H238" s="114"/>
      <c r="I238" s="114"/>
      <c r="J238" s="114"/>
      <c r="K238" s="114"/>
      <c r="L238" s="114"/>
      <c r="M238" s="114"/>
      <c r="N238" s="114"/>
      <c r="O238" s="114"/>
      <c r="P238" s="114"/>
      <c r="Q238" s="114"/>
      <c r="R238" s="114"/>
      <c r="S238" s="114"/>
      <c r="T238" s="10"/>
    </row>
    <row r="239" spans="1:20" ht="12.75" customHeight="1">
      <c r="A239" s="308"/>
      <c r="B239" s="114"/>
      <c r="C239" s="114"/>
      <c r="D239" s="114"/>
      <c r="E239" s="114"/>
      <c r="F239" s="114"/>
      <c r="G239" s="114"/>
      <c r="H239" s="114"/>
      <c r="I239" s="114"/>
      <c r="J239" s="114"/>
      <c r="K239" s="114"/>
      <c r="L239" s="114"/>
      <c r="M239" s="114"/>
      <c r="N239" s="114"/>
      <c r="O239" s="114"/>
      <c r="P239" s="114"/>
      <c r="Q239" s="114"/>
      <c r="R239" s="114"/>
      <c r="S239" s="114"/>
      <c r="T239" s="10"/>
    </row>
    <row r="240" spans="1:20" ht="12.75" customHeight="1">
      <c r="A240" s="308"/>
      <c r="B240" s="114"/>
      <c r="C240" s="114"/>
      <c r="D240" s="114"/>
      <c r="E240" s="114"/>
      <c r="F240" s="114"/>
      <c r="G240" s="114"/>
      <c r="H240" s="114"/>
      <c r="I240" s="114"/>
      <c r="J240" s="114"/>
      <c r="K240" s="114"/>
      <c r="L240" s="114"/>
      <c r="M240" s="114"/>
      <c r="N240" s="114"/>
      <c r="O240" s="114"/>
      <c r="P240" s="114"/>
      <c r="Q240" s="114"/>
      <c r="R240" s="114"/>
      <c r="S240" s="114"/>
      <c r="T240" s="10"/>
    </row>
    <row r="241" spans="1:20" ht="12.75" customHeight="1">
      <c r="A241" s="308"/>
      <c r="B241" s="114"/>
      <c r="C241" s="114"/>
      <c r="D241" s="114"/>
      <c r="E241" s="114"/>
      <c r="F241" s="114"/>
      <c r="G241" s="114"/>
      <c r="H241" s="114"/>
      <c r="I241" s="114"/>
      <c r="J241" s="114"/>
      <c r="K241" s="114"/>
      <c r="L241" s="114"/>
      <c r="M241" s="114"/>
      <c r="N241" s="114"/>
      <c r="O241" s="114"/>
      <c r="P241" s="114"/>
      <c r="Q241" s="114"/>
      <c r="R241" s="114"/>
      <c r="S241" s="114"/>
      <c r="T241" s="10"/>
    </row>
    <row r="242" spans="1:20" ht="12.75" customHeight="1">
      <c r="A242" s="308"/>
      <c r="B242" s="114"/>
      <c r="C242" s="114"/>
      <c r="D242" s="114"/>
      <c r="E242" s="114"/>
      <c r="F242" s="114"/>
      <c r="G242" s="114"/>
      <c r="H242" s="114"/>
      <c r="I242" s="114"/>
      <c r="J242" s="114"/>
      <c r="K242" s="114"/>
      <c r="L242" s="114"/>
      <c r="M242" s="114"/>
      <c r="N242" s="114"/>
      <c r="O242" s="114"/>
      <c r="P242" s="114"/>
      <c r="Q242" s="114"/>
      <c r="R242" s="114"/>
      <c r="S242" s="114"/>
      <c r="T242" s="10"/>
    </row>
    <row r="243" spans="1:20" ht="12.75" customHeight="1">
      <c r="A243" s="308"/>
      <c r="B243" s="114"/>
      <c r="C243" s="114"/>
      <c r="D243" s="114"/>
      <c r="E243" s="114"/>
      <c r="F243" s="114"/>
      <c r="G243" s="114"/>
      <c r="H243" s="114"/>
      <c r="I243" s="114"/>
      <c r="J243" s="114"/>
      <c r="K243" s="114"/>
      <c r="L243" s="114"/>
      <c r="M243" s="114"/>
      <c r="N243" s="114"/>
      <c r="O243" s="114"/>
      <c r="P243" s="114"/>
      <c r="Q243" s="114"/>
      <c r="R243" s="114"/>
      <c r="S243" s="114"/>
      <c r="T243" s="10"/>
    </row>
    <row r="244" spans="1:20" ht="12.75" customHeight="1">
      <c r="A244" s="308"/>
      <c r="B244" s="114"/>
      <c r="C244" s="114"/>
      <c r="D244" s="114"/>
      <c r="E244" s="114"/>
      <c r="F244" s="114"/>
      <c r="G244" s="114"/>
      <c r="H244" s="114"/>
      <c r="I244" s="114"/>
      <c r="J244" s="114"/>
      <c r="K244" s="114"/>
      <c r="L244" s="114"/>
      <c r="M244" s="114"/>
      <c r="N244" s="114"/>
      <c r="O244" s="114"/>
      <c r="P244" s="114"/>
      <c r="Q244" s="114"/>
      <c r="R244" s="114"/>
      <c r="S244" s="114"/>
      <c r="T244" s="10"/>
    </row>
    <row r="245" spans="1:20" ht="12.75" customHeight="1">
      <c r="A245" s="308"/>
      <c r="B245" s="114"/>
      <c r="C245" s="114"/>
      <c r="D245" s="114"/>
      <c r="E245" s="114"/>
      <c r="F245" s="114"/>
      <c r="G245" s="114"/>
      <c r="H245" s="114"/>
      <c r="I245" s="114"/>
      <c r="J245" s="114"/>
      <c r="K245" s="114"/>
      <c r="L245" s="114"/>
      <c r="M245" s="114"/>
      <c r="N245" s="114"/>
      <c r="O245" s="114"/>
      <c r="P245" s="114"/>
      <c r="Q245" s="114"/>
      <c r="R245" s="114"/>
      <c r="S245" s="114"/>
      <c r="T245" s="10"/>
    </row>
    <row r="246" spans="1:20" ht="12.75" customHeight="1">
      <c r="A246" s="308"/>
      <c r="B246" s="114"/>
      <c r="C246" s="114"/>
      <c r="D246" s="114"/>
      <c r="E246" s="114"/>
      <c r="F246" s="114"/>
      <c r="G246" s="114"/>
      <c r="H246" s="114"/>
      <c r="I246" s="114"/>
      <c r="J246" s="114"/>
      <c r="K246" s="114"/>
      <c r="L246" s="114"/>
      <c r="M246" s="114"/>
      <c r="N246" s="114"/>
      <c r="O246" s="114"/>
      <c r="P246" s="114"/>
      <c r="Q246" s="114"/>
      <c r="R246" s="114"/>
      <c r="S246" s="114"/>
      <c r="T246" s="10"/>
    </row>
    <row r="247" spans="1:20" ht="12.75" customHeight="1">
      <c r="A247" s="308"/>
      <c r="B247" s="114"/>
      <c r="C247" s="114"/>
      <c r="D247" s="114"/>
      <c r="E247" s="114"/>
      <c r="F247" s="114"/>
      <c r="G247" s="114"/>
      <c r="H247" s="114"/>
      <c r="I247" s="114"/>
      <c r="J247" s="114"/>
      <c r="K247" s="114"/>
      <c r="L247" s="114"/>
      <c r="M247" s="114"/>
      <c r="N247" s="114"/>
      <c r="O247" s="114"/>
      <c r="P247" s="114"/>
      <c r="Q247" s="114"/>
      <c r="R247" s="114"/>
      <c r="S247" s="114"/>
      <c r="T247" s="10"/>
    </row>
    <row r="248" spans="1:20" ht="12.75" customHeight="1">
      <c r="A248" s="308"/>
      <c r="B248" s="114"/>
      <c r="C248" s="114"/>
      <c r="D248" s="114"/>
      <c r="E248" s="114"/>
      <c r="F248" s="114"/>
      <c r="G248" s="114"/>
      <c r="H248" s="114"/>
      <c r="I248" s="114"/>
      <c r="J248" s="114"/>
      <c r="K248" s="114"/>
      <c r="L248" s="114"/>
      <c r="M248" s="114"/>
      <c r="N248" s="114"/>
      <c r="O248" s="114"/>
      <c r="P248" s="114"/>
      <c r="Q248" s="114"/>
      <c r="R248" s="114"/>
      <c r="S248" s="114"/>
      <c r="T248" s="10"/>
    </row>
    <row r="249" spans="1:20" ht="12.75" customHeight="1">
      <c r="A249" s="308"/>
      <c r="B249" s="114"/>
      <c r="C249" s="114"/>
      <c r="D249" s="114"/>
      <c r="E249" s="114"/>
      <c r="F249" s="114"/>
      <c r="G249" s="114"/>
      <c r="H249" s="114"/>
      <c r="I249" s="114"/>
      <c r="J249" s="114"/>
      <c r="K249" s="114"/>
      <c r="L249" s="114"/>
      <c r="M249" s="114"/>
      <c r="N249" s="114"/>
      <c r="O249" s="114"/>
      <c r="P249" s="114"/>
      <c r="Q249" s="114"/>
      <c r="R249" s="114"/>
      <c r="S249" s="114"/>
      <c r="T249" s="10"/>
    </row>
    <row r="250" spans="1:20" ht="12.75" customHeight="1">
      <c r="A250" s="308"/>
      <c r="B250" s="114"/>
      <c r="C250" s="114"/>
      <c r="D250" s="114"/>
      <c r="E250" s="114"/>
      <c r="F250" s="114"/>
      <c r="G250" s="114"/>
      <c r="H250" s="114"/>
      <c r="I250" s="114"/>
      <c r="J250" s="114"/>
      <c r="K250" s="114"/>
      <c r="L250" s="114"/>
      <c r="M250" s="114"/>
      <c r="N250" s="114"/>
      <c r="O250" s="114"/>
      <c r="P250" s="114"/>
      <c r="Q250" s="114"/>
      <c r="R250" s="114"/>
      <c r="S250" s="114"/>
      <c r="T250" s="10"/>
    </row>
    <row r="251" spans="1:20" ht="12.75" customHeight="1">
      <c r="A251" s="308"/>
      <c r="B251" s="114"/>
      <c r="C251" s="114"/>
      <c r="D251" s="114"/>
      <c r="E251" s="114"/>
      <c r="F251" s="114"/>
      <c r="G251" s="114"/>
      <c r="H251" s="114"/>
      <c r="I251" s="114"/>
      <c r="J251" s="114"/>
      <c r="K251" s="114"/>
      <c r="L251" s="114"/>
      <c r="M251" s="114"/>
      <c r="N251" s="114"/>
      <c r="O251" s="114"/>
      <c r="P251" s="114"/>
      <c r="Q251" s="114"/>
      <c r="R251" s="114"/>
      <c r="S251" s="114"/>
      <c r="T251" s="10"/>
    </row>
    <row r="252" spans="1:20" ht="12.75" customHeight="1">
      <c r="A252" s="308"/>
      <c r="B252" s="114"/>
      <c r="C252" s="114"/>
      <c r="D252" s="114"/>
      <c r="E252" s="114"/>
      <c r="F252" s="114"/>
      <c r="G252" s="114"/>
      <c r="H252" s="114"/>
      <c r="I252" s="114"/>
      <c r="J252" s="114"/>
      <c r="K252" s="114"/>
      <c r="L252" s="114"/>
      <c r="M252" s="114"/>
      <c r="N252" s="114"/>
      <c r="O252" s="114"/>
      <c r="P252" s="114"/>
      <c r="Q252" s="114"/>
      <c r="R252" s="114"/>
      <c r="S252" s="114"/>
      <c r="T252" s="10"/>
    </row>
    <row r="253" spans="1:20" ht="12.75" customHeight="1">
      <c r="A253" s="235"/>
      <c r="B253" s="10"/>
      <c r="C253" s="10"/>
      <c r="D253" s="10"/>
      <c r="E253" s="10"/>
      <c r="F253" s="10"/>
      <c r="G253" s="10"/>
      <c r="H253" s="10"/>
      <c r="I253" s="10"/>
      <c r="J253" s="10"/>
      <c r="K253" s="10"/>
      <c r="L253" s="10"/>
      <c r="M253" s="10"/>
      <c r="N253" s="10"/>
      <c r="O253" s="10"/>
      <c r="P253" s="10"/>
      <c r="Q253" s="10"/>
      <c r="R253" s="10"/>
      <c r="S253" s="10"/>
      <c r="T253" s="10"/>
    </row>
    <row r="254" spans="1:20" ht="12.75" customHeight="1">
      <c r="A254" s="235"/>
      <c r="B254" s="10"/>
      <c r="C254" s="10"/>
      <c r="D254" s="10"/>
      <c r="E254" s="10"/>
      <c r="F254" s="10"/>
      <c r="G254" s="10"/>
      <c r="H254" s="10"/>
      <c r="I254" s="10"/>
      <c r="J254" s="10"/>
      <c r="K254" s="10"/>
      <c r="L254" s="10"/>
      <c r="M254" s="10"/>
      <c r="N254" s="10"/>
      <c r="O254" s="10"/>
      <c r="P254" s="10"/>
      <c r="Q254" s="10"/>
      <c r="R254" s="10"/>
      <c r="S254" s="10"/>
      <c r="T254" s="10"/>
    </row>
    <row r="255" spans="1:20" ht="12.75" customHeight="1">
      <c r="A255" s="235"/>
      <c r="B255" s="10"/>
      <c r="C255" s="10"/>
      <c r="D255" s="10"/>
      <c r="E255" s="10"/>
      <c r="F255" s="10"/>
      <c r="G255" s="10"/>
      <c r="H255" s="10"/>
      <c r="I255" s="10"/>
      <c r="J255" s="10"/>
      <c r="K255" s="10"/>
      <c r="L255" s="10"/>
      <c r="M255" s="10"/>
      <c r="N255" s="10"/>
      <c r="O255" s="10"/>
      <c r="P255" s="10"/>
      <c r="Q255" s="10"/>
      <c r="R255" s="10"/>
      <c r="S255" s="10"/>
      <c r="T255" s="10"/>
    </row>
    <row r="256" spans="1:20" ht="12.75" customHeight="1">
      <c r="A256" s="235"/>
      <c r="B256" s="10"/>
      <c r="C256" s="10"/>
      <c r="D256" s="10"/>
      <c r="E256" s="10"/>
      <c r="F256" s="10"/>
      <c r="G256" s="10"/>
      <c r="H256" s="10"/>
      <c r="I256" s="10"/>
      <c r="J256" s="10"/>
      <c r="K256" s="10"/>
      <c r="L256" s="10"/>
      <c r="M256" s="10"/>
      <c r="N256" s="10"/>
      <c r="O256" s="10"/>
      <c r="P256" s="10"/>
      <c r="Q256" s="10"/>
      <c r="R256" s="10"/>
      <c r="S256" s="10"/>
      <c r="T256" s="10"/>
    </row>
    <row r="257" spans="1:20" ht="12.75" customHeight="1">
      <c r="A257" s="235"/>
      <c r="B257" s="10"/>
      <c r="C257" s="10"/>
      <c r="D257" s="10"/>
      <c r="E257" s="10"/>
      <c r="F257" s="10"/>
      <c r="G257" s="10"/>
      <c r="H257" s="10"/>
      <c r="I257" s="10"/>
      <c r="J257" s="10"/>
      <c r="K257" s="10"/>
      <c r="L257" s="10"/>
      <c r="M257" s="10"/>
      <c r="N257" s="10"/>
      <c r="O257" s="10"/>
      <c r="P257" s="10"/>
      <c r="Q257" s="10"/>
      <c r="R257" s="10"/>
      <c r="S257" s="10"/>
      <c r="T257" s="10"/>
    </row>
    <row r="258" spans="1:20" ht="12.75" customHeight="1">
      <c r="A258" s="235"/>
      <c r="B258" s="10"/>
      <c r="C258" s="10"/>
      <c r="D258" s="10"/>
      <c r="E258" s="10"/>
      <c r="F258" s="10"/>
      <c r="G258" s="10"/>
      <c r="H258" s="10"/>
      <c r="I258" s="10"/>
      <c r="J258" s="10"/>
      <c r="K258" s="10"/>
      <c r="L258" s="10"/>
      <c r="M258" s="10"/>
      <c r="N258" s="10"/>
      <c r="O258" s="10"/>
      <c r="P258" s="10"/>
      <c r="Q258" s="10"/>
      <c r="R258" s="10"/>
      <c r="S258" s="10"/>
      <c r="T258" s="10"/>
    </row>
    <row r="259" spans="1:20" ht="12.75" customHeight="1">
      <c r="A259" s="235"/>
      <c r="B259" s="10"/>
      <c r="C259" s="10"/>
      <c r="D259" s="10"/>
      <c r="E259" s="10"/>
      <c r="F259" s="10"/>
      <c r="G259" s="10"/>
      <c r="H259" s="10"/>
      <c r="I259" s="10"/>
      <c r="J259" s="10"/>
      <c r="K259" s="10"/>
      <c r="L259" s="10"/>
      <c r="M259" s="10"/>
      <c r="N259" s="10"/>
      <c r="O259" s="10"/>
      <c r="P259" s="10"/>
      <c r="Q259" s="10"/>
      <c r="R259" s="10"/>
      <c r="S259" s="10"/>
      <c r="T259" s="10"/>
    </row>
    <row r="260" spans="1:20" ht="12.75" customHeight="1">
      <c r="A260" s="235"/>
      <c r="B260" s="10"/>
      <c r="C260" s="10"/>
      <c r="D260" s="10"/>
      <c r="E260" s="10"/>
      <c r="F260" s="10"/>
      <c r="G260" s="10"/>
      <c r="H260" s="10"/>
      <c r="I260" s="10"/>
      <c r="J260" s="10"/>
      <c r="K260" s="10"/>
      <c r="L260" s="10"/>
      <c r="M260" s="10"/>
      <c r="N260" s="10"/>
      <c r="O260" s="10"/>
      <c r="P260" s="10"/>
      <c r="Q260" s="10"/>
      <c r="R260" s="10"/>
      <c r="S260" s="10"/>
      <c r="T260" s="10"/>
    </row>
    <row r="261" spans="1:20" ht="12.75" customHeight="1">
      <c r="A261" s="235"/>
      <c r="B261" s="10"/>
      <c r="C261" s="10"/>
      <c r="D261" s="10"/>
      <c r="E261" s="10"/>
      <c r="F261" s="10"/>
      <c r="G261" s="10"/>
      <c r="H261" s="10"/>
      <c r="I261" s="10"/>
      <c r="J261" s="10"/>
      <c r="K261" s="10"/>
      <c r="L261" s="10"/>
      <c r="M261" s="10"/>
      <c r="N261" s="10"/>
      <c r="O261" s="10"/>
      <c r="P261" s="10"/>
      <c r="Q261" s="10"/>
      <c r="R261" s="10"/>
      <c r="S261" s="10"/>
      <c r="T261" s="10"/>
    </row>
    <row r="262" spans="1:20" ht="12.75" customHeight="1">
      <c r="A262" s="235"/>
      <c r="B262" s="10"/>
      <c r="C262" s="10"/>
      <c r="D262" s="10"/>
      <c r="E262" s="10"/>
      <c r="F262" s="10"/>
      <c r="G262" s="10"/>
      <c r="H262" s="10"/>
      <c r="I262" s="10"/>
      <c r="J262" s="10"/>
      <c r="K262" s="10"/>
      <c r="L262" s="10"/>
      <c r="M262" s="10"/>
      <c r="N262" s="10"/>
      <c r="O262" s="10"/>
      <c r="P262" s="10"/>
      <c r="Q262" s="10"/>
      <c r="R262" s="10"/>
      <c r="S262" s="10"/>
      <c r="T262" s="10"/>
    </row>
    <row r="263" spans="1:20" ht="12.75" customHeight="1">
      <c r="A263" s="235"/>
      <c r="B263" s="10"/>
      <c r="C263" s="10"/>
      <c r="D263" s="10"/>
      <c r="E263" s="10"/>
      <c r="F263" s="10"/>
      <c r="G263" s="10"/>
      <c r="H263" s="10"/>
      <c r="I263" s="10"/>
      <c r="J263" s="10"/>
      <c r="K263" s="10"/>
      <c r="L263" s="10"/>
      <c r="M263" s="10"/>
      <c r="N263" s="10"/>
      <c r="O263" s="10"/>
      <c r="P263" s="10"/>
      <c r="Q263" s="10"/>
      <c r="R263" s="10"/>
      <c r="S263" s="10"/>
      <c r="T263" s="10"/>
    </row>
    <row r="264" spans="1:20" ht="12.75" customHeight="1">
      <c r="A264" s="235"/>
      <c r="B264" s="10"/>
      <c r="C264" s="10"/>
      <c r="D264" s="10"/>
      <c r="E264" s="10"/>
      <c r="F264" s="10"/>
      <c r="G264" s="10"/>
      <c r="H264" s="10"/>
      <c r="I264" s="10"/>
      <c r="J264" s="10"/>
      <c r="K264" s="10"/>
      <c r="L264" s="10"/>
      <c r="M264" s="10"/>
      <c r="N264" s="10"/>
      <c r="O264" s="10"/>
      <c r="P264" s="10"/>
      <c r="Q264" s="10"/>
      <c r="R264" s="10"/>
      <c r="S264" s="10"/>
      <c r="T264" s="10"/>
    </row>
    <row r="265" spans="1:20" ht="12.75" customHeight="1">
      <c r="A265" s="235"/>
      <c r="B265" s="10"/>
      <c r="C265" s="10"/>
      <c r="D265" s="10"/>
      <c r="E265" s="10"/>
      <c r="F265" s="10"/>
      <c r="G265" s="10"/>
      <c r="H265" s="10"/>
      <c r="I265" s="10"/>
      <c r="J265" s="10"/>
      <c r="K265" s="10"/>
      <c r="L265" s="10"/>
      <c r="M265" s="10"/>
      <c r="N265" s="10"/>
      <c r="O265" s="10"/>
      <c r="P265" s="10"/>
      <c r="Q265" s="10"/>
      <c r="R265" s="10"/>
      <c r="S265" s="10"/>
      <c r="T265" s="10"/>
    </row>
    <row r="266" spans="1:20" ht="12.75" customHeight="1">
      <c r="A266" s="235"/>
      <c r="B266" s="10"/>
      <c r="C266" s="10"/>
      <c r="D266" s="10"/>
      <c r="E266" s="10"/>
      <c r="F266" s="10"/>
      <c r="G266" s="10"/>
      <c r="H266" s="10"/>
      <c r="I266" s="10"/>
      <c r="J266" s="10"/>
      <c r="K266" s="10"/>
      <c r="L266" s="10"/>
      <c r="M266" s="10"/>
      <c r="N266" s="10"/>
      <c r="O266" s="10"/>
      <c r="P266" s="10"/>
      <c r="Q266" s="10"/>
      <c r="R266" s="10"/>
      <c r="S266" s="10"/>
      <c r="T266" s="10"/>
    </row>
    <row r="267" spans="1:20" ht="12.75" customHeight="1">
      <c r="A267" s="235"/>
      <c r="B267" s="10"/>
      <c r="C267" s="10"/>
      <c r="D267" s="10"/>
      <c r="E267" s="10"/>
      <c r="F267" s="10"/>
      <c r="G267" s="10"/>
      <c r="H267" s="10"/>
      <c r="I267" s="10"/>
      <c r="J267" s="10"/>
      <c r="K267" s="10"/>
      <c r="L267" s="10"/>
      <c r="M267" s="10"/>
      <c r="N267" s="10"/>
      <c r="O267" s="10"/>
      <c r="P267" s="10"/>
      <c r="Q267" s="10"/>
      <c r="R267" s="10"/>
      <c r="S267" s="10"/>
      <c r="T267" s="10"/>
    </row>
    <row r="268" spans="1:20" ht="12.75" customHeight="1">
      <c r="A268" s="235"/>
      <c r="B268" s="10"/>
      <c r="C268" s="10"/>
      <c r="D268" s="10"/>
      <c r="E268" s="10"/>
      <c r="F268" s="10"/>
      <c r="G268" s="10"/>
      <c r="H268" s="10"/>
      <c r="I268" s="10"/>
      <c r="J268" s="10"/>
      <c r="K268" s="10"/>
      <c r="L268" s="10"/>
      <c r="M268" s="10"/>
      <c r="N268" s="10"/>
      <c r="O268" s="10"/>
      <c r="P268" s="10"/>
      <c r="Q268" s="10"/>
      <c r="R268" s="10"/>
      <c r="S268" s="10"/>
      <c r="T268" s="10"/>
    </row>
    <row r="269" spans="1:20" ht="12.75" customHeight="1">
      <c r="A269" s="235"/>
      <c r="B269" s="10"/>
      <c r="C269" s="10"/>
      <c r="D269" s="10"/>
      <c r="E269" s="10"/>
      <c r="F269" s="10"/>
      <c r="G269" s="10"/>
      <c r="H269" s="10"/>
      <c r="I269" s="10"/>
      <c r="J269" s="10"/>
      <c r="K269" s="10"/>
      <c r="L269" s="10"/>
      <c r="M269" s="10"/>
      <c r="N269" s="10"/>
      <c r="O269" s="10"/>
      <c r="P269" s="10"/>
      <c r="Q269" s="10"/>
      <c r="R269" s="10"/>
      <c r="S269" s="10"/>
      <c r="T269" s="10"/>
    </row>
    <row r="270" spans="1:20" ht="12.75" customHeight="1">
      <c r="A270" s="235"/>
      <c r="B270" s="10"/>
      <c r="C270" s="10"/>
      <c r="D270" s="10"/>
      <c r="E270" s="10"/>
      <c r="F270" s="10"/>
      <c r="G270" s="10"/>
      <c r="H270" s="10"/>
      <c r="I270" s="10"/>
      <c r="J270" s="10"/>
      <c r="K270" s="10"/>
      <c r="L270" s="10"/>
      <c r="M270" s="10"/>
      <c r="N270" s="10"/>
      <c r="O270" s="10"/>
      <c r="P270" s="10"/>
      <c r="Q270" s="10"/>
      <c r="R270" s="10"/>
      <c r="S270" s="10"/>
      <c r="T270" s="10"/>
    </row>
    <row r="271" spans="1:20" ht="12.75" customHeight="1">
      <c r="A271" s="235"/>
      <c r="B271" s="10"/>
      <c r="C271" s="10"/>
      <c r="D271" s="10"/>
      <c r="E271" s="10"/>
      <c r="F271" s="10"/>
      <c r="G271" s="10"/>
      <c r="H271" s="10"/>
      <c r="I271" s="10"/>
      <c r="J271" s="10"/>
      <c r="K271" s="10"/>
      <c r="L271" s="10"/>
      <c r="M271" s="10"/>
      <c r="N271" s="10"/>
      <c r="O271" s="10"/>
      <c r="P271" s="10"/>
      <c r="Q271" s="10"/>
      <c r="R271" s="10"/>
      <c r="S271" s="10"/>
      <c r="T271" s="10"/>
    </row>
    <row r="272" spans="1:20" ht="12.75" customHeight="1">
      <c r="A272" s="235"/>
      <c r="B272" s="10"/>
      <c r="C272" s="10"/>
      <c r="D272" s="10"/>
      <c r="E272" s="10"/>
      <c r="F272" s="10"/>
      <c r="G272" s="10"/>
      <c r="H272" s="10"/>
      <c r="I272" s="10"/>
      <c r="J272" s="10"/>
      <c r="K272" s="10"/>
      <c r="L272" s="10"/>
      <c r="M272" s="10"/>
      <c r="N272" s="10"/>
      <c r="O272" s="10"/>
      <c r="P272" s="10"/>
      <c r="Q272" s="10"/>
      <c r="R272" s="10"/>
      <c r="S272" s="10"/>
      <c r="T272" s="10"/>
    </row>
    <row r="273" spans="1:20" ht="12.75" customHeight="1">
      <c r="A273" s="235"/>
      <c r="B273" s="10"/>
      <c r="C273" s="10"/>
      <c r="D273" s="10"/>
      <c r="E273" s="10"/>
      <c r="F273" s="10"/>
      <c r="G273" s="10"/>
      <c r="H273" s="10"/>
      <c r="I273" s="10"/>
      <c r="J273" s="10"/>
      <c r="K273" s="10"/>
      <c r="L273" s="10"/>
      <c r="M273" s="10"/>
      <c r="N273" s="10"/>
      <c r="O273" s="10"/>
      <c r="P273" s="10"/>
      <c r="Q273" s="10"/>
      <c r="R273" s="10"/>
      <c r="S273" s="10"/>
      <c r="T273" s="10"/>
    </row>
    <row r="274" spans="1:20" ht="12.75" customHeight="1">
      <c r="A274" s="235"/>
      <c r="B274" s="10"/>
      <c r="C274" s="10"/>
      <c r="D274" s="10"/>
      <c r="E274" s="10"/>
      <c r="F274" s="10"/>
      <c r="G274" s="10"/>
      <c r="H274" s="10"/>
      <c r="I274" s="10"/>
      <c r="J274" s="10"/>
      <c r="K274" s="10"/>
      <c r="L274" s="10"/>
      <c r="M274" s="10"/>
      <c r="N274" s="10"/>
      <c r="O274" s="10"/>
      <c r="P274" s="10"/>
      <c r="Q274" s="10"/>
      <c r="R274" s="10"/>
      <c r="S274" s="10"/>
      <c r="T274" s="10"/>
    </row>
    <row r="275" spans="1:20" ht="12.75" customHeight="1">
      <c r="A275" s="235"/>
      <c r="B275" s="10"/>
      <c r="C275" s="10"/>
      <c r="D275" s="10"/>
      <c r="E275" s="10"/>
      <c r="F275" s="10"/>
      <c r="G275" s="10"/>
      <c r="H275" s="10"/>
      <c r="I275" s="10"/>
      <c r="J275" s="10"/>
      <c r="K275" s="10"/>
      <c r="L275" s="10"/>
      <c r="M275" s="10"/>
      <c r="N275" s="10"/>
      <c r="O275" s="10"/>
      <c r="P275" s="10"/>
      <c r="Q275" s="10"/>
      <c r="R275" s="10"/>
      <c r="S275" s="10"/>
      <c r="T275" s="10"/>
    </row>
    <row r="276" spans="1:20" ht="12.75" customHeight="1">
      <c r="A276" s="235"/>
      <c r="B276" s="10"/>
      <c r="C276" s="10"/>
      <c r="D276" s="10"/>
      <c r="E276" s="10"/>
      <c r="F276" s="10"/>
      <c r="G276" s="10"/>
      <c r="H276" s="10"/>
      <c r="I276" s="10"/>
      <c r="J276" s="10"/>
      <c r="K276" s="10"/>
      <c r="L276" s="10"/>
      <c r="M276" s="10"/>
      <c r="N276" s="10"/>
      <c r="O276" s="10"/>
      <c r="P276" s="10"/>
      <c r="Q276" s="10"/>
      <c r="R276" s="10"/>
      <c r="S276" s="10"/>
      <c r="T276" s="10"/>
    </row>
    <row r="277" spans="1:20" ht="12.75" customHeight="1">
      <c r="A277" s="235"/>
      <c r="B277" s="10"/>
      <c r="C277" s="10"/>
      <c r="D277" s="10"/>
      <c r="E277" s="10"/>
      <c r="F277" s="10"/>
      <c r="G277" s="10"/>
      <c r="H277" s="10"/>
      <c r="I277" s="10"/>
      <c r="J277" s="10"/>
      <c r="K277" s="10"/>
      <c r="L277" s="10"/>
      <c r="M277" s="10"/>
      <c r="N277" s="10"/>
      <c r="O277" s="10"/>
      <c r="P277" s="10"/>
      <c r="Q277" s="10"/>
      <c r="R277" s="10"/>
      <c r="S277" s="10"/>
      <c r="T277" s="10"/>
    </row>
    <row r="278" spans="1:20" ht="12.75" customHeight="1">
      <c r="A278" s="235"/>
      <c r="B278" s="10"/>
      <c r="C278" s="10"/>
      <c r="D278" s="10"/>
      <c r="E278" s="10"/>
      <c r="F278" s="10"/>
      <c r="G278" s="10"/>
      <c r="H278" s="10"/>
      <c r="I278" s="10"/>
      <c r="J278" s="10"/>
      <c r="K278" s="10"/>
      <c r="L278" s="10"/>
      <c r="M278" s="10"/>
      <c r="N278" s="10"/>
      <c r="O278" s="10"/>
      <c r="P278" s="10"/>
      <c r="Q278" s="10"/>
      <c r="R278" s="10"/>
      <c r="S278" s="10"/>
      <c r="T278" s="10"/>
    </row>
    <row r="279" spans="1:20" ht="12.75" customHeight="1">
      <c r="A279" s="235"/>
      <c r="B279" s="10"/>
      <c r="C279" s="10"/>
      <c r="D279" s="10"/>
      <c r="E279" s="10"/>
      <c r="F279" s="10"/>
      <c r="G279" s="10"/>
      <c r="H279" s="10"/>
      <c r="I279" s="10"/>
      <c r="J279" s="10"/>
      <c r="K279" s="10"/>
      <c r="L279" s="10"/>
      <c r="M279" s="10"/>
      <c r="N279" s="10"/>
      <c r="O279" s="10"/>
      <c r="P279" s="10"/>
      <c r="Q279" s="10"/>
      <c r="R279" s="10"/>
      <c r="S279" s="10"/>
      <c r="T279" s="10"/>
    </row>
    <row r="280" spans="1:20" ht="12.75" customHeight="1">
      <c r="A280" s="235"/>
      <c r="B280" s="10"/>
      <c r="C280" s="10"/>
      <c r="D280" s="10"/>
      <c r="E280" s="10"/>
      <c r="F280" s="10"/>
      <c r="G280" s="10"/>
      <c r="H280" s="10"/>
      <c r="I280" s="10"/>
      <c r="J280" s="10"/>
      <c r="K280" s="10"/>
      <c r="L280" s="10"/>
      <c r="M280" s="10"/>
      <c r="N280" s="10"/>
      <c r="O280" s="10"/>
      <c r="P280" s="10"/>
      <c r="Q280" s="10"/>
      <c r="R280" s="10"/>
      <c r="S280" s="10"/>
      <c r="T280" s="10"/>
    </row>
    <row r="281" spans="1:20" ht="12.75" customHeight="1">
      <c r="A281" s="235"/>
      <c r="B281" s="10"/>
      <c r="C281" s="10"/>
      <c r="D281" s="10"/>
      <c r="E281" s="10"/>
      <c r="F281" s="10"/>
      <c r="G281" s="10"/>
      <c r="H281" s="10"/>
      <c r="I281" s="10"/>
      <c r="J281" s="10"/>
      <c r="K281" s="10"/>
      <c r="L281" s="10"/>
      <c r="M281" s="10"/>
      <c r="N281" s="10"/>
      <c r="O281" s="10"/>
      <c r="P281" s="10"/>
      <c r="Q281" s="10"/>
      <c r="R281" s="10"/>
      <c r="S281" s="10"/>
      <c r="T281" s="10"/>
    </row>
    <row r="282" spans="1:20" ht="12.75" customHeight="1">
      <c r="A282" s="235"/>
      <c r="B282" s="10"/>
      <c r="C282" s="10"/>
      <c r="D282" s="10"/>
      <c r="E282" s="10"/>
      <c r="F282" s="10"/>
      <c r="G282" s="10"/>
      <c r="H282" s="10"/>
      <c r="I282" s="10"/>
      <c r="J282" s="10"/>
      <c r="K282" s="10"/>
      <c r="L282" s="10"/>
      <c r="M282" s="10"/>
      <c r="N282" s="10"/>
      <c r="O282" s="10"/>
      <c r="P282" s="10"/>
      <c r="Q282" s="10"/>
      <c r="R282" s="10"/>
      <c r="S282" s="10"/>
      <c r="T282" s="10"/>
    </row>
    <row r="283" spans="1:20" ht="12.75" customHeight="1">
      <c r="A283" s="235"/>
      <c r="B283" s="10"/>
      <c r="C283" s="10"/>
      <c r="D283" s="10"/>
      <c r="E283" s="10"/>
      <c r="F283" s="10"/>
      <c r="G283" s="10"/>
      <c r="H283" s="10"/>
      <c r="I283" s="10"/>
      <c r="J283" s="10"/>
      <c r="K283" s="10"/>
      <c r="L283" s="10"/>
      <c r="M283" s="10"/>
      <c r="N283" s="10"/>
      <c r="O283" s="10"/>
      <c r="P283" s="10"/>
      <c r="Q283" s="10"/>
      <c r="R283" s="10"/>
      <c r="S283" s="10"/>
      <c r="T283" s="10"/>
    </row>
    <row r="284" spans="1:20" ht="12.75" customHeight="1">
      <c r="A284" s="235"/>
      <c r="B284" s="10"/>
      <c r="C284" s="10"/>
      <c r="D284" s="10"/>
      <c r="E284" s="10"/>
      <c r="F284" s="10"/>
      <c r="G284" s="10"/>
      <c r="H284" s="10"/>
      <c r="I284" s="10"/>
      <c r="J284" s="10"/>
      <c r="K284" s="10"/>
      <c r="L284" s="10"/>
      <c r="M284" s="10"/>
      <c r="N284" s="10"/>
      <c r="O284" s="10"/>
      <c r="P284" s="10"/>
      <c r="Q284" s="10"/>
      <c r="R284" s="10"/>
      <c r="S284" s="10"/>
      <c r="T284" s="10"/>
    </row>
    <row r="285" spans="1:20" ht="12.75" customHeight="1">
      <c r="A285" s="235"/>
      <c r="B285" s="10"/>
      <c r="C285" s="10"/>
      <c r="D285" s="10"/>
      <c r="E285" s="10"/>
      <c r="F285" s="10"/>
      <c r="G285" s="10"/>
      <c r="H285" s="10"/>
      <c r="I285" s="10"/>
      <c r="J285" s="10"/>
      <c r="K285" s="10"/>
      <c r="L285" s="10"/>
      <c r="M285" s="10"/>
      <c r="N285" s="10"/>
      <c r="O285" s="10"/>
      <c r="P285" s="10"/>
      <c r="Q285" s="10"/>
      <c r="R285" s="10"/>
      <c r="S285" s="10"/>
      <c r="T285" s="10"/>
    </row>
    <row r="286" spans="1:20" ht="12.75" customHeight="1">
      <c r="A286" s="23"/>
      <c r="B286"/>
      <c r="C286"/>
      <c r="D286"/>
      <c r="E286"/>
      <c r="F286"/>
      <c r="G286"/>
      <c r="H286"/>
      <c r="I286"/>
      <c r="J286"/>
    </row>
    <row r="287" spans="1:20" ht="12.75" customHeight="1">
      <c r="A287" s="23"/>
      <c r="B287"/>
      <c r="C287"/>
      <c r="D287"/>
      <c r="E287"/>
      <c r="F287"/>
      <c r="G287"/>
      <c r="H287"/>
      <c r="I287"/>
      <c r="J287"/>
    </row>
    <row r="288" spans="1:20" ht="12.75" customHeight="1">
      <c r="A288" s="23"/>
      <c r="B288"/>
      <c r="C288"/>
      <c r="D288"/>
      <c r="E288"/>
      <c r="F288"/>
      <c r="G288"/>
      <c r="H288"/>
      <c r="I288"/>
      <c r="J288"/>
    </row>
    <row r="289" spans="1:10" ht="12.75" customHeight="1">
      <c r="A289" s="23"/>
      <c r="B289"/>
      <c r="C289"/>
      <c r="D289"/>
      <c r="E289"/>
      <c r="F289"/>
      <c r="G289"/>
      <c r="H289"/>
      <c r="I289"/>
      <c r="J289"/>
    </row>
    <row r="290" spans="1:10" ht="12.75" customHeight="1">
      <c r="A290" s="23"/>
      <c r="B290"/>
      <c r="C290"/>
      <c r="D290"/>
      <c r="E290"/>
      <c r="F290"/>
      <c r="G290"/>
      <c r="H290"/>
      <c r="I290"/>
      <c r="J290"/>
    </row>
    <row r="291" spans="1:10" ht="12.75" customHeight="1">
      <c r="A291" s="23"/>
      <c r="B291"/>
      <c r="C291"/>
      <c r="D291"/>
      <c r="E291"/>
      <c r="F291"/>
      <c r="G291"/>
      <c r="H291"/>
      <c r="I291"/>
      <c r="J291"/>
    </row>
    <row r="292" spans="1:10" ht="12.75" customHeight="1">
      <c r="A292" s="23"/>
      <c r="B292"/>
      <c r="C292"/>
      <c r="D292"/>
      <c r="E292"/>
      <c r="F292"/>
      <c r="G292"/>
      <c r="H292"/>
      <c r="I292"/>
      <c r="J292"/>
    </row>
    <row r="293" spans="1:10" ht="12.75" customHeight="1">
      <c r="A293" s="23"/>
      <c r="B293"/>
      <c r="C293"/>
      <c r="D293"/>
      <c r="E293"/>
      <c r="F293"/>
      <c r="G293"/>
      <c r="H293"/>
      <c r="I293"/>
      <c r="J293"/>
    </row>
    <row r="294" spans="1:10" ht="12.75" customHeight="1">
      <c r="A294" s="23"/>
      <c r="B294"/>
      <c r="C294"/>
      <c r="D294"/>
      <c r="E294"/>
      <c r="F294"/>
      <c r="G294"/>
      <c r="H294"/>
      <c r="I294"/>
      <c r="J294"/>
    </row>
    <row r="295" spans="1:10" ht="12.75" customHeight="1">
      <c r="A295" s="23"/>
      <c r="B295"/>
      <c r="C295"/>
      <c r="D295"/>
      <c r="E295"/>
      <c r="F295"/>
      <c r="G295"/>
      <c r="H295"/>
      <c r="I295"/>
      <c r="J295"/>
    </row>
    <row r="296" spans="1:10" ht="12.75" customHeight="1">
      <c r="A296" s="23"/>
      <c r="B296"/>
      <c r="C296"/>
      <c r="D296"/>
      <c r="E296"/>
      <c r="F296"/>
      <c r="G296"/>
      <c r="H296"/>
      <c r="I296"/>
      <c r="J296"/>
    </row>
    <row r="297" spans="1:10" ht="12.75" customHeight="1">
      <c r="A297" s="23"/>
      <c r="B297"/>
      <c r="C297"/>
      <c r="D297"/>
      <c r="E297"/>
      <c r="F297"/>
      <c r="G297"/>
      <c r="H297"/>
      <c r="I297"/>
      <c r="J297"/>
    </row>
    <row r="298" spans="1:10" ht="12.75" customHeight="1">
      <c r="A298" s="23"/>
      <c r="B298"/>
      <c r="C298"/>
      <c r="D298"/>
      <c r="E298"/>
      <c r="F298"/>
      <c r="G298"/>
      <c r="H298"/>
      <c r="I298"/>
      <c r="J298"/>
    </row>
    <row r="299" spans="1:10" ht="12.75" customHeight="1">
      <c r="A299" s="23"/>
      <c r="B299"/>
      <c r="C299"/>
      <c r="D299"/>
      <c r="E299"/>
      <c r="F299"/>
      <c r="G299"/>
      <c r="H299"/>
      <c r="I299"/>
      <c r="J299"/>
    </row>
    <row r="300" spans="1:10" ht="12.75" customHeight="1">
      <c r="A300" s="23"/>
      <c r="B300"/>
      <c r="C300"/>
      <c r="D300"/>
      <c r="E300"/>
      <c r="F300"/>
      <c r="G300"/>
      <c r="H300"/>
      <c r="I300"/>
      <c r="J300"/>
    </row>
    <row r="301" spans="1:10" ht="12.75" customHeight="1">
      <c r="A301" s="23"/>
      <c r="B301"/>
      <c r="C301"/>
      <c r="D301"/>
      <c r="E301"/>
      <c r="F301"/>
      <c r="G301"/>
      <c r="H301"/>
      <c r="I301"/>
      <c r="J301"/>
    </row>
    <row r="302" spans="1:10" ht="12.75" customHeight="1">
      <c r="A302" s="23"/>
      <c r="B302"/>
      <c r="C302"/>
      <c r="D302"/>
      <c r="E302"/>
      <c r="F302"/>
      <c r="G302"/>
      <c r="H302"/>
      <c r="I302"/>
      <c r="J302"/>
    </row>
    <row r="303" spans="1:10" ht="12.75" customHeight="1">
      <c r="A303" s="23"/>
      <c r="B303"/>
      <c r="C303"/>
      <c r="D303"/>
      <c r="E303"/>
      <c r="F303"/>
      <c r="G303"/>
      <c r="H303"/>
      <c r="I303"/>
      <c r="J303"/>
    </row>
    <row r="304" spans="1:10" ht="12.75" customHeight="1">
      <c r="A304" s="23"/>
      <c r="B304"/>
      <c r="C304"/>
      <c r="D304"/>
      <c r="E304"/>
      <c r="F304"/>
      <c r="G304"/>
      <c r="H304"/>
      <c r="I304"/>
      <c r="J304"/>
    </row>
    <row r="305" spans="1:10" ht="12.75" customHeight="1">
      <c r="A305" s="23"/>
      <c r="B305"/>
      <c r="C305"/>
      <c r="D305"/>
      <c r="E305"/>
      <c r="F305"/>
      <c r="G305"/>
      <c r="H305"/>
      <c r="I305"/>
      <c r="J305"/>
    </row>
    <row r="306" spans="1:10" ht="12.75" customHeight="1">
      <c r="A306" s="23"/>
      <c r="B306"/>
      <c r="C306"/>
      <c r="D306"/>
      <c r="E306"/>
      <c r="F306"/>
      <c r="G306"/>
      <c r="H306"/>
      <c r="I306"/>
      <c r="J306"/>
    </row>
    <row r="307" spans="1:10" ht="12.75" customHeight="1">
      <c r="A307" s="23"/>
      <c r="B307"/>
      <c r="C307"/>
      <c r="D307"/>
      <c r="E307"/>
      <c r="F307"/>
      <c r="G307"/>
      <c r="H307"/>
      <c r="I307"/>
      <c r="J307"/>
    </row>
    <row r="308" spans="1:10" ht="12.75" customHeight="1">
      <c r="A308" s="23"/>
      <c r="B308"/>
      <c r="C308"/>
      <c r="D308"/>
      <c r="E308"/>
      <c r="F308"/>
      <c r="G308"/>
      <c r="H308"/>
      <c r="I308"/>
      <c r="J308"/>
    </row>
    <row r="309" spans="1:10" ht="12.75" customHeight="1">
      <c r="A309" s="23"/>
      <c r="B309"/>
      <c r="C309"/>
      <c r="D309"/>
      <c r="E309"/>
      <c r="F309"/>
      <c r="G309"/>
      <c r="H309"/>
      <c r="I309"/>
      <c r="J309"/>
    </row>
    <row r="310" spans="1:10" ht="12.75" customHeight="1">
      <c r="A310" s="23"/>
      <c r="B310"/>
      <c r="C310"/>
      <c r="D310"/>
      <c r="E310"/>
      <c r="F310"/>
      <c r="G310"/>
      <c r="H310"/>
      <c r="I310"/>
      <c r="J310"/>
    </row>
    <row r="311" spans="1:10" ht="12.75" customHeight="1">
      <c r="A311" s="23"/>
      <c r="B311"/>
      <c r="C311"/>
      <c r="D311"/>
      <c r="E311"/>
      <c r="F311"/>
      <c r="G311"/>
      <c r="H311"/>
      <c r="I311"/>
      <c r="J311"/>
    </row>
    <row r="312" spans="1:10" ht="12.75" customHeight="1">
      <c r="A312" s="23"/>
      <c r="B312"/>
      <c r="C312"/>
      <c r="D312"/>
      <c r="E312"/>
      <c r="F312"/>
      <c r="G312"/>
      <c r="H312"/>
      <c r="I312"/>
      <c r="J312"/>
    </row>
    <row r="313" spans="1:10" ht="12.75" customHeight="1">
      <c r="A313" s="23"/>
      <c r="B313"/>
      <c r="C313"/>
      <c r="D313"/>
      <c r="E313"/>
      <c r="F313"/>
      <c r="G313"/>
      <c r="H313"/>
      <c r="I313"/>
      <c r="J313"/>
    </row>
    <row r="314" spans="1:10" ht="12.75" customHeight="1">
      <c r="A314" s="23"/>
      <c r="B314"/>
      <c r="C314"/>
      <c r="D314"/>
      <c r="E314"/>
      <c r="F314"/>
      <c r="G314"/>
      <c r="H314"/>
      <c r="I314"/>
      <c r="J314"/>
    </row>
    <row r="315" spans="1:10" ht="12.75" customHeight="1">
      <c r="A315" s="23"/>
      <c r="B315"/>
      <c r="C315"/>
      <c r="D315"/>
      <c r="E315"/>
      <c r="F315"/>
      <c r="G315"/>
      <c r="H315"/>
      <c r="I315"/>
      <c r="J315"/>
    </row>
    <row r="316" spans="1:10" ht="12.75" customHeight="1">
      <c r="A316" s="23"/>
      <c r="B316"/>
      <c r="C316"/>
      <c r="D316"/>
      <c r="E316"/>
      <c r="F316"/>
      <c r="G316"/>
      <c r="H316"/>
      <c r="I316"/>
      <c r="J316"/>
    </row>
    <row r="317" spans="1:10" ht="12.75" customHeight="1">
      <c r="A317" s="23"/>
      <c r="B317"/>
      <c r="C317"/>
      <c r="D317"/>
      <c r="E317"/>
      <c r="F317"/>
      <c r="G317"/>
      <c r="H317"/>
      <c r="I317"/>
      <c r="J317"/>
    </row>
    <row r="318" spans="1:10" ht="12.75" customHeight="1">
      <c r="A318" s="23"/>
      <c r="B318"/>
      <c r="C318"/>
      <c r="D318"/>
      <c r="E318"/>
      <c r="F318"/>
      <c r="G318"/>
      <c r="H318"/>
      <c r="I318"/>
      <c r="J318"/>
    </row>
    <row r="319" spans="1:10" ht="12.75" customHeight="1">
      <c r="A319" s="23"/>
      <c r="B319"/>
      <c r="C319"/>
      <c r="D319"/>
      <c r="E319"/>
      <c r="F319"/>
      <c r="G319"/>
      <c r="H319"/>
      <c r="I319"/>
      <c r="J319"/>
    </row>
    <row r="320" spans="1:10" ht="12.75" customHeight="1">
      <c r="A320" s="23"/>
      <c r="B320"/>
      <c r="C320"/>
      <c r="D320"/>
      <c r="E320"/>
      <c r="F320"/>
      <c r="G320"/>
      <c r="H320"/>
      <c r="I320"/>
      <c r="J320"/>
    </row>
    <row r="321" spans="1:10" ht="12.75" customHeight="1">
      <c r="A321" s="23"/>
      <c r="B321"/>
      <c r="C321"/>
      <c r="D321"/>
      <c r="E321"/>
      <c r="F321"/>
      <c r="G321"/>
      <c r="H321"/>
      <c r="I321"/>
      <c r="J321"/>
    </row>
    <row r="322" spans="1:10" ht="12.75" customHeight="1">
      <c r="A322" s="23"/>
      <c r="B322"/>
      <c r="C322"/>
      <c r="D322"/>
      <c r="E322"/>
      <c r="F322"/>
      <c r="G322"/>
      <c r="H322"/>
      <c r="I322"/>
      <c r="J322"/>
    </row>
    <row r="323" spans="1:10" ht="12.75" customHeight="1">
      <c r="A323" s="23"/>
      <c r="B323"/>
      <c r="C323"/>
      <c r="D323"/>
      <c r="E323"/>
      <c r="F323"/>
      <c r="G323"/>
      <c r="H323"/>
      <c r="I323"/>
      <c r="J323"/>
    </row>
    <row r="324" spans="1:10" ht="12.75" customHeight="1">
      <c r="A324" s="23"/>
      <c r="B324"/>
      <c r="C324"/>
      <c r="D324"/>
      <c r="E324"/>
      <c r="F324"/>
      <c r="G324"/>
      <c r="H324"/>
      <c r="I324"/>
      <c r="J324"/>
    </row>
    <row r="325" spans="1:10" ht="12.75" customHeight="1">
      <c r="A325" s="23"/>
      <c r="B325"/>
      <c r="C325"/>
      <c r="D325"/>
      <c r="E325"/>
      <c r="F325"/>
      <c r="G325"/>
      <c r="H325"/>
      <c r="I325"/>
      <c r="J325"/>
    </row>
    <row r="326" spans="1:10" ht="12.75" customHeight="1">
      <c r="A326" s="23"/>
      <c r="B326"/>
      <c r="C326"/>
      <c r="D326"/>
      <c r="E326"/>
      <c r="F326"/>
      <c r="G326"/>
      <c r="H326"/>
      <c r="I326"/>
      <c r="J326"/>
    </row>
    <row r="327" spans="1:10" ht="12.75" customHeight="1">
      <c r="A327" s="23"/>
      <c r="B327"/>
      <c r="C327"/>
      <c r="D327"/>
      <c r="E327"/>
      <c r="F327"/>
      <c r="G327"/>
      <c r="H327"/>
      <c r="I327"/>
      <c r="J327"/>
    </row>
    <row r="328" spans="1:10" ht="12.75" customHeight="1">
      <c r="A328" s="23"/>
      <c r="B328"/>
      <c r="C328"/>
      <c r="D328"/>
      <c r="E328"/>
      <c r="F328"/>
      <c r="G328"/>
      <c r="H328"/>
      <c r="I328"/>
      <c r="J328"/>
    </row>
    <row r="329" spans="1:10" ht="12.75" customHeight="1">
      <c r="A329" s="23"/>
      <c r="B329"/>
      <c r="C329"/>
      <c r="D329"/>
      <c r="E329"/>
      <c r="F329"/>
      <c r="G329"/>
      <c r="H329"/>
      <c r="I329"/>
      <c r="J329"/>
    </row>
    <row r="330" spans="1:10" ht="12.75" customHeight="1">
      <c r="A330" s="23"/>
      <c r="B330"/>
      <c r="C330"/>
      <c r="D330"/>
      <c r="E330"/>
      <c r="F330"/>
      <c r="G330"/>
      <c r="H330"/>
      <c r="I330"/>
      <c r="J330"/>
    </row>
    <row r="331" spans="1:10" ht="12.75" customHeight="1">
      <c r="A331" s="23"/>
      <c r="B331"/>
      <c r="C331"/>
      <c r="D331"/>
      <c r="E331"/>
      <c r="F331"/>
      <c r="G331"/>
      <c r="H331"/>
      <c r="I331"/>
      <c r="J331"/>
    </row>
    <row r="332" spans="1:10" ht="12.75" customHeight="1">
      <c r="A332" s="23"/>
      <c r="B332"/>
      <c r="C332"/>
      <c r="D332"/>
      <c r="E332"/>
      <c r="F332"/>
      <c r="G332"/>
      <c r="H332"/>
      <c r="I332"/>
      <c r="J332"/>
    </row>
    <row r="333" spans="1:10" ht="12.75" customHeight="1">
      <c r="A333" s="23"/>
      <c r="B333"/>
      <c r="C333"/>
      <c r="D333"/>
      <c r="E333"/>
      <c r="F333"/>
      <c r="G333"/>
      <c r="H333"/>
      <c r="I333"/>
      <c r="J333"/>
    </row>
    <row r="334" spans="1:10" ht="12.75" customHeight="1">
      <c r="A334" s="23"/>
      <c r="B334"/>
      <c r="C334"/>
      <c r="D334"/>
      <c r="E334"/>
      <c r="F334"/>
      <c r="G334"/>
      <c r="H334"/>
      <c r="I334"/>
      <c r="J334"/>
    </row>
    <row r="335" spans="1:10" ht="12.75" customHeight="1">
      <c r="A335" s="23"/>
      <c r="B335"/>
      <c r="C335"/>
      <c r="D335"/>
      <c r="E335"/>
      <c r="F335"/>
      <c r="G335"/>
      <c r="H335"/>
      <c r="I335"/>
      <c r="J335"/>
    </row>
    <row r="336" spans="1:10" ht="12.75" customHeight="1">
      <c r="A336" s="23"/>
      <c r="B336"/>
      <c r="C336"/>
      <c r="D336"/>
      <c r="E336"/>
      <c r="F336"/>
      <c r="G336"/>
      <c r="H336"/>
      <c r="I336"/>
      <c r="J336"/>
    </row>
    <row r="337" spans="1:10" ht="12.75" customHeight="1">
      <c r="A337" s="23"/>
      <c r="B337"/>
      <c r="C337"/>
      <c r="D337"/>
      <c r="E337"/>
      <c r="F337"/>
      <c r="G337"/>
      <c r="H337"/>
      <c r="I337"/>
      <c r="J337"/>
    </row>
    <row r="338" spans="1:10" ht="12.75" customHeight="1">
      <c r="A338" s="23"/>
      <c r="B338"/>
      <c r="C338"/>
      <c r="D338"/>
      <c r="E338"/>
      <c r="F338"/>
      <c r="G338"/>
      <c r="H338"/>
      <c r="I338"/>
      <c r="J338"/>
    </row>
    <row r="339" spans="1:10" ht="12.75" customHeight="1">
      <c r="A339" s="23"/>
      <c r="B339"/>
      <c r="C339"/>
      <c r="D339"/>
      <c r="E339"/>
      <c r="F339"/>
      <c r="G339"/>
      <c r="H339"/>
      <c r="I339"/>
      <c r="J339"/>
    </row>
    <row r="340" spans="1:10" ht="12.75" customHeight="1">
      <c r="A340" s="23"/>
      <c r="B340"/>
      <c r="C340"/>
      <c r="D340"/>
      <c r="E340"/>
      <c r="F340"/>
      <c r="G340"/>
      <c r="H340"/>
      <c r="I340"/>
      <c r="J340"/>
    </row>
    <row r="341" spans="1:10" ht="12.75" customHeight="1">
      <c r="A341" s="23"/>
      <c r="B341"/>
      <c r="C341"/>
      <c r="D341"/>
      <c r="E341"/>
      <c r="F341"/>
      <c r="G341"/>
      <c r="H341"/>
      <c r="I341"/>
      <c r="J341"/>
    </row>
    <row r="342" spans="1:10" ht="12.75" customHeight="1">
      <c r="A342" s="23"/>
      <c r="B342"/>
      <c r="C342"/>
      <c r="D342"/>
      <c r="E342"/>
      <c r="F342"/>
      <c r="G342"/>
      <c r="H342"/>
      <c r="I342"/>
      <c r="J342"/>
    </row>
    <row r="343" spans="1:10" ht="12.75" customHeight="1">
      <c r="A343" s="23"/>
      <c r="B343"/>
      <c r="C343"/>
      <c r="D343"/>
      <c r="E343"/>
      <c r="F343"/>
      <c r="G343"/>
      <c r="H343"/>
      <c r="I343"/>
      <c r="J343"/>
    </row>
    <row r="344" spans="1:10" ht="12.75" customHeight="1">
      <c r="A344" s="23"/>
      <c r="B344"/>
      <c r="C344"/>
      <c r="D344"/>
      <c r="E344"/>
      <c r="F344"/>
      <c r="G344"/>
      <c r="H344"/>
      <c r="I344"/>
      <c r="J344"/>
    </row>
    <row r="345" spans="1:10" ht="12.75" customHeight="1">
      <c r="A345" s="23"/>
      <c r="B345"/>
      <c r="C345"/>
      <c r="D345"/>
      <c r="E345"/>
      <c r="F345"/>
      <c r="G345"/>
      <c r="H345"/>
      <c r="I345"/>
      <c r="J345"/>
    </row>
    <row r="346" spans="1:10" ht="12.75" customHeight="1">
      <c r="A346" s="23"/>
      <c r="B346"/>
      <c r="C346"/>
      <c r="D346"/>
      <c r="E346"/>
      <c r="F346"/>
      <c r="G346"/>
      <c r="H346"/>
      <c r="I346"/>
      <c r="J346"/>
    </row>
    <row r="347" spans="1:10" ht="12.75" customHeight="1">
      <c r="A347" s="23"/>
      <c r="B347"/>
      <c r="C347"/>
      <c r="D347"/>
      <c r="E347"/>
      <c r="F347"/>
      <c r="G347"/>
      <c r="H347"/>
      <c r="I347"/>
      <c r="J347"/>
    </row>
    <row r="348" spans="1:10" ht="12.75" customHeight="1">
      <c r="A348" s="23"/>
      <c r="B348"/>
      <c r="C348"/>
      <c r="D348"/>
      <c r="E348"/>
      <c r="F348"/>
      <c r="G348"/>
      <c r="H348"/>
      <c r="I348"/>
      <c r="J348"/>
    </row>
    <row r="349" spans="1:10" ht="12.75" customHeight="1">
      <c r="A349" s="23"/>
      <c r="B349"/>
      <c r="C349"/>
      <c r="D349"/>
      <c r="E349"/>
      <c r="F349"/>
      <c r="G349"/>
      <c r="H349"/>
      <c r="I349"/>
      <c r="J349"/>
    </row>
    <row r="350" spans="1:10" ht="12.75" customHeight="1">
      <c r="A350" s="23"/>
      <c r="B350"/>
      <c r="C350"/>
      <c r="D350"/>
      <c r="E350"/>
      <c r="F350"/>
      <c r="G350"/>
      <c r="H350"/>
      <c r="I350"/>
      <c r="J350"/>
    </row>
    <row r="351" spans="1:10" ht="12.75" customHeight="1">
      <c r="A351" s="23"/>
      <c r="B351"/>
      <c r="C351"/>
      <c r="D351"/>
      <c r="E351"/>
      <c r="F351"/>
      <c r="G351"/>
      <c r="H351"/>
      <c r="I351"/>
      <c r="J351"/>
    </row>
    <row r="352" spans="1:10" ht="12.75" customHeight="1">
      <c r="A352" s="23"/>
      <c r="B352"/>
      <c r="C352"/>
      <c r="D352"/>
      <c r="E352"/>
      <c r="F352"/>
      <c r="G352"/>
      <c r="H352"/>
      <c r="I352"/>
      <c r="J352"/>
    </row>
    <row r="353" spans="1:10" ht="12.75" customHeight="1">
      <c r="A353" s="23"/>
      <c r="B353"/>
      <c r="C353"/>
      <c r="D353"/>
      <c r="E353"/>
      <c r="F353"/>
      <c r="G353"/>
      <c r="H353"/>
      <c r="I353"/>
      <c r="J353"/>
    </row>
    <row r="354" spans="1:10" ht="12.75" customHeight="1">
      <c r="A354" s="23"/>
      <c r="B354"/>
      <c r="C354"/>
      <c r="D354"/>
      <c r="E354"/>
      <c r="F354"/>
      <c r="G354"/>
      <c r="H354"/>
      <c r="I354"/>
      <c r="J354"/>
    </row>
    <row r="355" spans="1:10" ht="12.75" customHeight="1">
      <c r="A355" s="23"/>
      <c r="B355"/>
      <c r="C355"/>
      <c r="D355"/>
      <c r="E355"/>
      <c r="F355"/>
      <c r="G355"/>
      <c r="H355"/>
      <c r="I355"/>
      <c r="J355"/>
    </row>
    <row r="356" spans="1:10" ht="12.75" customHeight="1">
      <c r="A356" s="23"/>
      <c r="B356"/>
      <c r="C356"/>
      <c r="D356"/>
      <c r="E356"/>
      <c r="F356"/>
      <c r="G356"/>
      <c r="H356"/>
      <c r="I356"/>
      <c r="J356"/>
    </row>
    <row r="357" spans="1:10" ht="12.75" customHeight="1">
      <c r="A357" s="23"/>
      <c r="B357"/>
      <c r="C357"/>
      <c r="D357"/>
      <c r="E357"/>
      <c r="F357"/>
      <c r="G357"/>
      <c r="H357"/>
      <c r="I357"/>
      <c r="J357"/>
    </row>
    <row r="358" spans="1:10" ht="12.75" customHeight="1">
      <c r="A358" s="23"/>
      <c r="B358"/>
      <c r="C358"/>
      <c r="D358"/>
      <c r="E358"/>
      <c r="F358"/>
      <c r="G358"/>
      <c r="H358"/>
      <c r="I358"/>
      <c r="J358"/>
    </row>
    <row r="359" spans="1:10" ht="12.75" customHeight="1">
      <c r="A359" s="23"/>
      <c r="B359"/>
      <c r="C359"/>
      <c r="D359"/>
      <c r="E359"/>
      <c r="F359"/>
      <c r="G359"/>
      <c r="H359"/>
      <c r="I359"/>
      <c r="J359"/>
    </row>
    <row r="360" spans="1:10" ht="12.75" customHeight="1">
      <c r="A360" s="23"/>
      <c r="B360"/>
      <c r="C360"/>
      <c r="D360"/>
      <c r="E360"/>
      <c r="F360"/>
      <c r="G360"/>
      <c r="H360"/>
      <c r="I360"/>
      <c r="J360"/>
    </row>
    <row r="361" spans="1:10" ht="12.75" customHeight="1">
      <c r="A361" s="23"/>
      <c r="B361"/>
      <c r="C361"/>
      <c r="D361"/>
      <c r="E361"/>
      <c r="F361"/>
      <c r="G361"/>
      <c r="H361"/>
      <c r="I361"/>
      <c r="J361"/>
    </row>
    <row r="362" spans="1:10" ht="12.75" customHeight="1">
      <c r="A362" s="23"/>
      <c r="B362"/>
      <c r="C362"/>
      <c r="D362"/>
      <c r="E362"/>
      <c r="F362"/>
      <c r="G362"/>
      <c r="H362"/>
      <c r="I362"/>
      <c r="J362"/>
    </row>
    <row r="363" spans="1:10" ht="12.75" customHeight="1">
      <c r="A363" s="23"/>
      <c r="B363"/>
      <c r="C363"/>
      <c r="D363"/>
      <c r="E363"/>
      <c r="F363"/>
      <c r="G363"/>
      <c r="H363"/>
      <c r="I363"/>
      <c r="J363"/>
    </row>
    <row r="364" spans="1:10" ht="12.75" customHeight="1">
      <c r="A364" s="23"/>
      <c r="B364"/>
      <c r="C364"/>
      <c r="D364"/>
      <c r="E364"/>
      <c r="F364"/>
      <c r="G364"/>
      <c r="H364"/>
      <c r="I364"/>
      <c r="J364"/>
    </row>
    <row r="365" spans="1:10" ht="12.75" customHeight="1">
      <c r="A365" s="23"/>
      <c r="B365"/>
      <c r="C365"/>
      <c r="D365"/>
      <c r="E365"/>
      <c r="F365"/>
      <c r="G365"/>
      <c r="H365"/>
      <c r="I365"/>
      <c r="J365"/>
    </row>
    <row r="366" spans="1:10" ht="12.75" customHeight="1">
      <c r="A366" s="23"/>
      <c r="B366"/>
      <c r="C366"/>
      <c r="D366"/>
      <c r="E366"/>
      <c r="F366"/>
      <c r="G366"/>
      <c r="H366"/>
      <c r="I366"/>
      <c r="J366"/>
    </row>
    <row r="367" spans="1:10" ht="12.75" customHeight="1">
      <c r="A367" s="23"/>
      <c r="B367"/>
      <c r="C367"/>
      <c r="D367"/>
      <c r="E367"/>
      <c r="F367"/>
      <c r="G367"/>
      <c r="H367"/>
      <c r="I367"/>
      <c r="J367"/>
    </row>
    <row r="368" spans="1:10" ht="12.75" customHeight="1">
      <c r="A368" s="23"/>
      <c r="B368"/>
      <c r="C368"/>
      <c r="D368"/>
      <c r="E368"/>
      <c r="F368"/>
      <c r="G368"/>
      <c r="H368"/>
      <c r="I368"/>
      <c r="J368"/>
    </row>
    <row r="369" spans="1:10" ht="12.75" customHeight="1">
      <c r="A369" s="23"/>
      <c r="B369"/>
      <c r="C369"/>
      <c r="D369"/>
      <c r="E369"/>
      <c r="F369"/>
      <c r="G369"/>
      <c r="H369"/>
      <c r="I369"/>
      <c r="J369"/>
    </row>
    <row r="370" spans="1:10" ht="12.75" customHeight="1">
      <c r="A370" s="23"/>
      <c r="B370"/>
      <c r="C370"/>
      <c r="D370"/>
      <c r="E370"/>
      <c r="F370"/>
      <c r="G370"/>
      <c r="H370"/>
      <c r="I370"/>
      <c r="J370"/>
    </row>
    <row r="371" spans="1:10" ht="12.75" customHeight="1">
      <c r="A371" s="23"/>
      <c r="B371"/>
      <c r="C371"/>
      <c r="D371"/>
      <c r="E371"/>
      <c r="F371"/>
      <c r="G371"/>
      <c r="H371"/>
      <c r="I371"/>
      <c r="J371"/>
    </row>
    <row r="372" spans="1:10" ht="12.75" customHeight="1">
      <c r="A372" s="23"/>
      <c r="B372"/>
      <c r="C372"/>
      <c r="D372"/>
      <c r="E372"/>
      <c r="F372"/>
      <c r="G372"/>
      <c r="H372"/>
      <c r="I372"/>
      <c r="J372"/>
    </row>
    <row r="373" spans="1:10" ht="12.75" customHeight="1">
      <c r="A373" s="23"/>
      <c r="B373"/>
      <c r="C373"/>
      <c r="D373"/>
      <c r="E373"/>
      <c r="F373"/>
      <c r="G373"/>
      <c r="H373"/>
      <c r="I373"/>
      <c r="J373"/>
    </row>
    <row r="374" spans="1:10" ht="12.75" customHeight="1">
      <c r="A374" s="23"/>
      <c r="B374"/>
      <c r="C374"/>
      <c r="D374"/>
      <c r="E374"/>
      <c r="F374"/>
      <c r="G374"/>
      <c r="H374"/>
      <c r="I374"/>
      <c r="J374"/>
    </row>
    <row r="375" spans="1:10" ht="12.75" customHeight="1">
      <c r="A375" s="23"/>
      <c r="B375"/>
      <c r="C375"/>
      <c r="D375"/>
      <c r="E375"/>
      <c r="F375"/>
      <c r="G375"/>
      <c r="H375"/>
      <c r="I375"/>
      <c r="J375"/>
    </row>
    <row r="376" spans="1:10" ht="12.75" customHeight="1">
      <c r="A376" s="23"/>
      <c r="B376"/>
      <c r="C376"/>
      <c r="D376"/>
      <c r="E376"/>
      <c r="F376"/>
      <c r="G376"/>
      <c r="H376"/>
      <c r="I376"/>
      <c r="J376"/>
    </row>
    <row r="377" spans="1:10" ht="12.75" customHeight="1">
      <c r="A377" s="23"/>
      <c r="B377"/>
      <c r="C377"/>
      <c r="D377"/>
      <c r="E377"/>
      <c r="F377"/>
      <c r="G377"/>
      <c r="H377"/>
      <c r="I377"/>
      <c r="J377"/>
    </row>
    <row r="378" spans="1:10" ht="12.75" customHeight="1">
      <c r="A378" s="23"/>
      <c r="B378"/>
      <c r="C378"/>
      <c r="D378"/>
      <c r="E378"/>
      <c r="F378"/>
      <c r="G378"/>
      <c r="H378"/>
      <c r="I378"/>
      <c r="J378"/>
    </row>
    <row r="379" spans="1:10" ht="12.75" customHeight="1">
      <c r="A379" s="23"/>
      <c r="B379"/>
      <c r="C379"/>
      <c r="D379"/>
      <c r="E379"/>
      <c r="F379"/>
      <c r="G379"/>
      <c r="H379"/>
      <c r="I379"/>
      <c r="J379"/>
    </row>
    <row r="380" spans="1:10" ht="12.75" customHeight="1">
      <c r="A380" s="23"/>
      <c r="B380"/>
      <c r="C380"/>
      <c r="D380"/>
      <c r="E380"/>
      <c r="F380"/>
      <c r="G380"/>
      <c r="H380"/>
      <c r="I380"/>
      <c r="J380"/>
    </row>
    <row r="381" spans="1:10" ht="12.75" customHeight="1">
      <c r="A381" s="23"/>
      <c r="B381"/>
      <c r="C381"/>
      <c r="D381"/>
      <c r="E381"/>
      <c r="F381"/>
      <c r="G381"/>
      <c r="H381"/>
      <c r="I381"/>
      <c r="J381"/>
    </row>
    <row r="382" spans="1:10" ht="12.75" customHeight="1">
      <c r="A382" s="23"/>
      <c r="B382"/>
      <c r="C382"/>
      <c r="D382"/>
      <c r="E382"/>
      <c r="F382"/>
      <c r="G382"/>
      <c r="H382"/>
      <c r="I382"/>
      <c r="J382"/>
    </row>
    <row r="383" spans="1:10" ht="12.75" customHeight="1">
      <c r="A383" s="23"/>
      <c r="B383"/>
      <c r="C383"/>
      <c r="D383"/>
      <c r="E383"/>
      <c r="F383"/>
      <c r="G383"/>
      <c r="H383"/>
      <c r="I383"/>
      <c r="J383"/>
    </row>
    <row r="384" spans="1:10" ht="12.75" customHeight="1">
      <c r="A384" s="23"/>
      <c r="B384"/>
      <c r="C384"/>
      <c r="D384"/>
      <c r="E384"/>
      <c r="F384"/>
      <c r="G384"/>
      <c r="H384"/>
      <c r="I384"/>
      <c r="J384"/>
    </row>
    <row r="385" spans="1:10" ht="12.75" customHeight="1">
      <c r="A385" s="23"/>
      <c r="B385"/>
      <c r="C385"/>
      <c r="D385"/>
      <c r="E385"/>
      <c r="F385"/>
      <c r="G385"/>
      <c r="H385"/>
      <c r="I385"/>
      <c r="J385"/>
    </row>
    <row r="386" spans="1:10" ht="12.75" customHeight="1">
      <c r="A386" s="23"/>
      <c r="B386"/>
      <c r="C386"/>
      <c r="D386"/>
      <c r="E386"/>
      <c r="F386"/>
      <c r="G386"/>
      <c r="H386"/>
      <c r="I386"/>
      <c r="J386"/>
    </row>
    <row r="387" spans="1:10" ht="12.75" customHeight="1">
      <c r="A387" s="23"/>
      <c r="B387"/>
      <c r="C387"/>
      <c r="D387"/>
      <c r="E387"/>
      <c r="F387"/>
      <c r="G387"/>
      <c r="H387"/>
      <c r="I387"/>
      <c r="J387"/>
    </row>
    <row r="388" spans="1:10" ht="12.75" customHeight="1">
      <c r="A388" s="23"/>
      <c r="B388"/>
      <c r="C388"/>
      <c r="D388"/>
      <c r="E388"/>
      <c r="F388"/>
      <c r="G388"/>
      <c r="H388"/>
      <c r="I388"/>
      <c r="J388"/>
    </row>
    <row r="389" spans="1:10" ht="12.75" customHeight="1">
      <c r="A389" s="23"/>
      <c r="B389"/>
      <c r="C389"/>
      <c r="D389"/>
      <c r="E389"/>
      <c r="F389"/>
      <c r="G389"/>
      <c r="H389"/>
      <c r="I389"/>
      <c r="J389"/>
    </row>
    <row r="390" spans="1:10" ht="12.75" customHeight="1">
      <c r="A390" s="23"/>
      <c r="B390"/>
      <c r="C390"/>
      <c r="D390"/>
      <c r="E390"/>
      <c r="F390"/>
      <c r="G390"/>
      <c r="H390"/>
      <c r="I390"/>
      <c r="J390"/>
    </row>
    <row r="391" spans="1:10" ht="12.75" customHeight="1">
      <c r="A391" s="23"/>
      <c r="B391"/>
      <c r="C391"/>
      <c r="D391"/>
      <c r="E391"/>
      <c r="F391"/>
      <c r="G391"/>
      <c r="H391"/>
      <c r="I391"/>
      <c r="J391"/>
    </row>
    <row r="392" spans="1:10" ht="12.75" customHeight="1">
      <c r="A392" s="23"/>
      <c r="B392"/>
      <c r="C392"/>
      <c r="D392"/>
      <c r="E392"/>
      <c r="F392"/>
      <c r="G392"/>
      <c r="H392"/>
      <c r="I392"/>
      <c r="J392"/>
    </row>
    <row r="393" spans="1:10" ht="12.75" customHeight="1">
      <c r="A393" s="23"/>
      <c r="B393"/>
      <c r="C393"/>
      <c r="D393"/>
      <c r="E393"/>
      <c r="F393"/>
      <c r="G393"/>
      <c r="H393"/>
      <c r="I393"/>
      <c r="J393"/>
    </row>
    <row r="394" spans="1:10" ht="12.75" customHeight="1">
      <c r="A394" s="23"/>
      <c r="B394"/>
      <c r="C394"/>
      <c r="D394"/>
      <c r="E394"/>
      <c r="F394"/>
      <c r="G394"/>
      <c r="H394"/>
      <c r="I394"/>
      <c r="J394"/>
    </row>
    <row r="395" spans="1:10" ht="12.75" customHeight="1">
      <c r="A395" s="23"/>
      <c r="B395"/>
      <c r="C395"/>
      <c r="D395"/>
      <c r="E395"/>
      <c r="F395"/>
      <c r="G395"/>
      <c r="H395"/>
      <c r="I395"/>
      <c r="J395"/>
    </row>
    <row r="396" spans="1:10" ht="12.75" customHeight="1">
      <c r="A396" s="23"/>
      <c r="B396"/>
      <c r="C396"/>
      <c r="D396"/>
      <c r="E396"/>
      <c r="F396"/>
      <c r="G396"/>
      <c r="H396"/>
      <c r="I396"/>
      <c r="J396"/>
    </row>
    <row r="397" spans="1:10" ht="12.75" customHeight="1">
      <c r="A397" s="23"/>
      <c r="B397"/>
      <c r="C397"/>
      <c r="D397"/>
      <c r="E397"/>
      <c r="F397"/>
      <c r="G397"/>
      <c r="H397"/>
      <c r="I397"/>
      <c r="J397"/>
    </row>
    <row r="398" spans="1:10" ht="12.75" customHeight="1">
      <c r="A398" s="23"/>
      <c r="B398"/>
      <c r="C398"/>
      <c r="D398"/>
      <c r="E398"/>
      <c r="F398"/>
      <c r="G398"/>
      <c r="H398"/>
      <c r="I398"/>
      <c r="J398"/>
    </row>
    <row r="399" spans="1:10" ht="12.75" customHeight="1">
      <c r="A399" s="23"/>
      <c r="B399"/>
      <c r="C399"/>
      <c r="D399"/>
      <c r="E399"/>
      <c r="F399"/>
      <c r="G399"/>
      <c r="H399"/>
      <c r="I399"/>
      <c r="J399"/>
    </row>
    <row r="400" spans="1:10" ht="12.75" customHeight="1">
      <c r="A400" s="23"/>
      <c r="B400"/>
      <c r="C400"/>
      <c r="D400"/>
      <c r="E400"/>
      <c r="F400"/>
      <c r="G400"/>
      <c r="H400"/>
      <c r="I400"/>
      <c r="J400"/>
    </row>
    <row r="401" spans="1:10" ht="12.75" customHeight="1">
      <c r="A401" s="23"/>
      <c r="B401"/>
      <c r="C401"/>
      <c r="D401"/>
      <c r="E401"/>
      <c r="F401"/>
      <c r="G401"/>
      <c r="H401"/>
      <c r="I401"/>
      <c r="J401"/>
    </row>
    <row r="402" spans="1:10" ht="12.75" customHeight="1">
      <c r="A402" s="23"/>
      <c r="B402"/>
      <c r="C402"/>
      <c r="D402"/>
      <c r="E402"/>
      <c r="F402"/>
      <c r="G402"/>
      <c r="H402"/>
      <c r="I402"/>
      <c r="J402"/>
    </row>
    <row r="403" spans="1:10" ht="12.75" customHeight="1">
      <c r="A403" s="23"/>
      <c r="B403"/>
      <c r="C403"/>
      <c r="D403"/>
      <c r="E403"/>
      <c r="F403"/>
      <c r="G403"/>
      <c r="H403"/>
      <c r="I403"/>
      <c r="J403"/>
    </row>
    <row r="404" spans="1:10" ht="12.75" customHeight="1">
      <c r="A404" s="23"/>
      <c r="B404"/>
      <c r="C404"/>
      <c r="D404"/>
      <c r="E404"/>
      <c r="F404"/>
      <c r="G404"/>
      <c r="H404"/>
      <c r="I404"/>
      <c r="J404"/>
    </row>
    <row r="405" spans="1:10" ht="12.75" customHeight="1">
      <c r="A405" s="23"/>
      <c r="B405"/>
      <c r="C405"/>
      <c r="D405"/>
      <c r="E405"/>
      <c r="F405"/>
      <c r="G405"/>
      <c r="H405"/>
      <c r="I405"/>
      <c r="J405"/>
    </row>
    <row r="406" spans="1:10" ht="12.75" customHeight="1">
      <c r="A406" s="23"/>
      <c r="B406"/>
      <c r="C406"/>
      <c r="D406"/>
      <c r="E406"/>
      <c r="F406"/>
      <c r="G406"/>
      <c r="H406"/>
      <c r="I406"/>
      <c r="J406"/>
    </row>
    <row r="407" spans="1:10" ht="12.75" customHeight="1">
      <c r="A407" s="23"/>
      <c r="B407"/>
      <c r="C407"/>
      <c r="D407"/>
      <c r="E407"/>
      <c r="F407"/>
      <c r="G407"/>
      <c r="H407"/>
      <c r="I407"/>
      <c r="J407"/>
    </row>
    <row r="408" spans="1:10" ht="12.75" customHeight="1">
      <c r="A408" s="23"/>
      <c r="B408"/>
      <c r="C408"/>
      <c r="D408"/>
      <c r="E408"/>
      <c r="F408"/>
      <c r="G408"/>
      <c r="H408"/>
      <c r="I408"/>
      <c r="J408"/>
    </row>
    <row r="409" spans="1:10" ht="12.75" customHeight="1">
      <c r="A409" s="23"/>
      <c r="B409"/>
      <c r="C409"/>
      <c r="D409"/>
      <c r="E409"/>
      <c r="F409"/>
      <c r="G409"/>
      <c r="H409"/>
      <c r="I409"/>
      <c r="J409"/>
    </row>
    <row r="410" spans="1:10" ht="12.75" customHeight="1">
      <c r="A410" s="23"/>
      <c r="B410"/>
      <c r="C410"/>
      <c r="D410"/>
      <c r="E410"/>
      <c r="F410"/>
      <c r="G410"/>
      <c r="H410"/>
      <c r="I410"/>
      <c r="J410"/>
    </row>
    <row r="411" spans="1:10" ht="12.75" customHeight="1">
      <c r="A411" s="23"/>
      <c r="B411"/>
      <c r="C411"/>
      <c r="D411"/>
      <c r="E411"/>
      <c r="F411"/>
      <c r="G411"/>
      <c r="H411"/>
      <c r="I411"/>
      <c r="J411"/>
    </row>
    <row r="412" spans="1:10" ht="12.75" customHeight="1">
      <c r="A412" s="23"/>
      <c r="B412"/>
      <c r="C412"/>
      <c r="D412"/>
      <c r="E412"/>
      <c r="F412"/>
      <c r="G412"/>
      <c r="H412"/>
      <c r="I412"/>
      <c r="J412"/>
    </row>
    <row r="413" spans="1:10" ht="12.75" customHeight="1">
      <c r="A413" s="23"/>
      <c r="B413"/>
      <c r="C413"/>
      <c r="D413"/>
      <c r="E413"/>
      <c r="F413"/>
      <c r="G413"/>
      <c r="H413"/>
      <c r="I413"/>
      <c r="J413"/>
    </row>
    <row r="414" spans="1:10" ht="12.75" customHeight="1">
      <c r="A414" s="23"/>
      <c r="B414"/>
      <c r="C414"/>
      <c r="D414"/>
      <c r="E414"/>
      <c r="F414"/>
      <c r="G414"/>
      <c r="H414"/>
      <c r="I414"/>
      <c r="J414"/>
    </row>
    <row r="415" spans="1:10" ht="12.75" customHeight="1">
      <c r="A415" s="23"/>
      <c r="B415"/>
      <c r="C415"/>
      <c r="D415"/>
      <c r="E415"/>
      <c r="F415"/>
      <c r="G415"/>
      <c r="H415"/>
      <c r="I415"/>
      <c r="J415"/>
    </row>
    <row r="416" spans="1:10" ht="12.75" customHeight="1">
      <c r="A416" s="23"/>
      <c r="B416"/>
      <c r="C416"/>
      <c r="D416"/>
      <c r="E416"/>
      <c r="F416"/>
      <c r="G416"/>
      <c r="H416"/>
      <c r="I416"/>
      <c r="J416"/>
    </row>
    <row r="417" spans="1:10" ht="12.75" customHeight="1">
      <c r="A417" s="23"/>
      <c r="B417"/>
      <c r="C417"/>
      <c r="D417"/>
      <c r="E417"/>
      <c r="F417"/>
      <c r="G417"/>
      <c r="H417"/>
      <c r="I417"/>
      <c r="J417"/>
    </row>
    <row r="418" spans="1:10" ht="12.75" customHeight="1">
      <c r="A418" s="23"/>
      <c r="B418"/>
      <c r="C418"/>
      <c r="D418"/>
      <c r="E418"/>
      <c r="F418"/>
      <c r="G418"/>
      <c r="H418"/>
      <c r="I418"/>
      <c r="J418"/>
    </row>
    <row r="419" spans="1:10" ht="12.75" customHeight="1">
      <c r="A419" s="23"/>
      <c r="B419"/>
      <c r="C419"/>
      <c r="D419"/>
      <c r="E419"/>
      <c r="F419"/>
      <c r="G419"/>
      <c r="H419"/>
      <c r="I419"/>
      <c r="J419"/>
    </row>
    <row r="420" spans="1:10" ht="12.75" customHeight="1">
      <c r="A420" s="23"/>
      <c r="B420"/>
      <c r="C420"/>
      <c r="D420"/>
      <c r="E420"/>
      <c r="F420"/>
      <c r="G420"/>
      <c r="H420"/>
      <c r="I420"/>
      <c r="J420"/>
    </row>
    <row r="421" spans="1:10" ht="12.75" customHeight="1">
      <c r="A421" s="23"/>
      <c r="B421"/>
      <c r="C421"/>
      <c r="D421"/>
      <c r="E421"/>
      <c r="F421"/>
      <c r="G421"/>
      <c r="H421"/>
      <c r="I421"/>
      <c r="J421"/>
    </row>
    <row r="422" spans="1:10" ht="12.75" customHeight="1">
      <c r="A422" s="23"/>
      <c r="B422"/>
      <c r="C422"/>
      <c r="D422"/>
      <c r="E422"/>
      <c r="F422"/>
      <c r="G422"/>
      <c r="H422"/>
      <c r="I422"/>
      <c r="J422"/>
    </row>
    <row r="423" spans="1:10" ht="12.75" customHeight="1">
      <c r="A423" s="23"/>
      <c r="B423"/>
      <c r="C423"/>
      <c r="D423"/>
      <c r="E423"/>
      <c r="F423"/>
      <c r="G423"/>
      <c r="H423"/>
      <c r="I423"/>
      <c r="J423"/>
    </row>
    <row r="424" spans="1:10" ht="12.75" customHeight="1">
      <c r="A424" s="23"/>
      <c r="B424"/>
      <c r="C424"/>
      <c r="D424"/>
      <c r="E424"/>
      <c r="F424"/>
      <c r="G424"/>
      <c r="H424"/>
      <c r="I424"/>
      <c r="J424"/>
    </row>
    <row r="425" spans="1:10" ht="12.75" customHeight="1">
      <c r="A425" s="23"/>
      <c r="B425"/>
      <c r="C425"/>
      <c r="D425"/>
      <c r="E425"/>
      <c r="F425"/>
      <c r="G425"/>
      <c r="H425"/>
      <c r="I425"/>
      <c r="J425"/>
    </row>
    <row r="426" spans="1:10" ht="12.75" customHeight="1">
      <c r="A426" s="23"/>
      <c r="B426"/>
      <c r="C426"/>
      <c r="D426"/>
      <c r="E426"/>
      <c r="F426"/>
      <c r="G426"/>
      <c r="H426"/>
      <c r="I426"/>
      <c r="J426"/>
    </row>
    <row r="427" spans="1:10" ht="12.75" customHeight="1">
      <c r="A427" s="23"/>
      <c r="B427"/>
      <c r="C427"/>
      <c r="D427"/>
      <c r="E427"/>
      <c r="F427"/>
      <c r="G427"/>
      <c r="H427"/>
      <c r="I427"/>
      <c r="J427"/>
    </row>
    <row r="428" spans="1:10" ht="12.75" customHeight="1">
      <c r="A428" s="23"/>
      <c r="B428"/>
      <c r="C428"/>
      <c r="D428"/>
      <c r="E428"/>
      <c r="F428"/>
      <c r="G428"/>
      <c r="H428"/>
      <c r="I428"/>
      <c r="J428"/>
    </row>
    <row r="429" spans="1:10" ht="12.75" customHeight="1">
      <c r="A429" s="23"/>
      <c r="B429"/>
      <c r="C429"/>
      <c r="D429"/>
      <c r="E429"/>
      <c r="F429"/>
      <c r="G429"/>
      <c r="H429"/>
      <c r="I429"/>
      <c r="J429"/>
    </row>
    <row r="430" spans="1:10" ht="12.75" customHeight="1">
      <c r="A430" s="23"/>
      <c r="B430"/>
      <c r="C430"/>
      <c r="D430"/>
      <c r="E430"/>
      <c r="F430"/>
      <c r="G430"/>
      <c r="H430"/>
      <c r="I430"/>
      <c r="J430"/>
    </row>
    <row r="431" spans="1:10" ht="12.75" customHeight="1">
      <c r="A431" s="23"/>
      <c r="B431"/>
      <c r="C431"/>
      <c r="D431"/>
      <c r="E431"/>
      <c r="F431"/>
      <c r="G431"/>
      <c r="H431"/>
      <c r="I431"/>
      <c r="J431"/>
    </row>
    <row r="432" spans="1:10" ht="12.75" customHeight="1">
      <c r="A432" s="23"/>
      <c r="B432"/>
      <c r="C432"/>
      <c r="D432"/>
      <c r="E432"/>
      <c r="F432"/>
      <c r="G432"/>
      <c r="H432"/>
      <c r="I432"/>
      <c r="J432"/>
    </row>
    <row r="433" spans="1:10" ht="12.75" customHeight="1">
      <c r="A433" s="23"/>
      <c r="B433"/>
      <c r="C433"/>
      <c r="D433"/>
      <c r="E433"/>
      <c r="F433"/>
      <c r="G433"/>
      <c r="H433"/>
      <c r="I433"/>
      <c r="J433"/>
    </row>
    <row r="434" spans="1:10" ht="12.75" customHeight="1">
      <c r="A434" s="23"/>
      <c r="B434"/>
      <c r="C434"/>
      <c r="D434"/>
      <c r="E434"/>
      <c r="F434"/>
      <c r="G434"/>
      <c r="H434"/>
      <c r="I434"/>
      <c r="J434"/>
    </row>
    <row r="435" spans="1:10" ht="12.75" customHeight="1">
      <c r="A435" s="23"/>
      <c r="B435"/>
      <c r="C435"/>
      <c r="D435"/>
      <c r="E435"/>
      <c r="F435"/>
      <c r="G435"/>
      <c r="H435"/>
      <c r="I435"/>
      <c r="J435"/>
    </row>
    <row r="436" spans="1:10" ht="12.75" customHeight="1">
      <c r="A436" s="23"/>
      <c r="B436"/>
      <c r="C436"/>
      <c r="D436"/>
      <c r="E436"/>
      <c r="F436"/>
      <c r="G436"/>
      <c r="H436"/>
      <c r="I436"/>
      <c r="J436"/>
    </row>
    <row r="437" spans="1:10" ht="12.75" customHeight="1">
      <c r="A437" s="23"/>
      <c r="B437"/>
      <c r="C437"/>
      <c r="D437"/>
      <c r="E437"/>
      <c r="F437"/>
      <c r="G437"/>
      <c r="H437"/>
      <c r="I437"/>
      <c r="J437"/>
    </row>
    <row r="438" spans="1:10" ht="12.75" customHeight="1">
      <c r="A438" s="23"/>
      <c r="B438"/>
      <c r="C438"/>
      <c r="D438"/>
      <c r="E438"/>
      <c r="F438"/>
      <c r="G438"/>
      <c r="H438"/>
      <c r="I438"/>
      <c r="J438"/>
    </row>
    <row r="439" spans="1:10" ht="12.75" customHeight="1">
      <c r="A439" s="23"/>
      <c r="B439"/>
      <c r="C439"/>
      <c r="D439"/>
      <c r="E439"/>
      <c r="F439"/>
      <c r="G439"/>
      <c r="H439"/>
      <c r="I439"/>
      <c r="J439"/>
    </row>
    <row r="440" spans="1:10" ht="12.75" customHeight="1">
      <c r="A440" s="23"/>
      <c r="B440"/>
      <c r="C440"/>
      <c r="D440"/>
      <c r="E440"/>
      <c r="F440"/>
      <c r="G440"/>
      <c r="H440"/>
      <c r="I440"/>
      <c r="J440"/>
    </row>
    <row r="441" spans="1:10" ht="12.75" customHeight="1">
      <c r="A441" s="23"/>
      <c r="B441"/>
      <c r="C441"/>
      <c r="D441"/>
      <c r="E441"/>
      <c r="F441"/>
      <c r="G441"/>
      <c r="H441"/>
      <c r="I441"/>
      <c r="J441"/>
    </row>
    <row r="442" spans="1:10" ht="12.75" customHeight="1">
      <c r="A442" s="23"/>
      <c r="B442"/>
      <c r="C442"/>
      <c r="D442"/>
      <c r="E442"/>
      <c r="F442"/>
      <c r="G442"/>
      <c r="H442"/>
      <c r="I442"/>
      <c r="J442"/>
    </row>
    <row r="443" spans="1:10" ht="12.75" customHeight="1">
      <c r="A443" s="23"/>
      <c r="B443"/>
      <c r="C443"/>
      <c r="D443"/>
      <c r="E443"/>
      <c r="F443"/>
      <c r="G443"/>
      <c r="H443"/>
      <c r="I443"/>
      <c r="J443"/>
    </row>
    <row r="444" spans="1:10" ht="12.75" customHeight="1">
      <c r="A444" s="23"/>
      <c r="B444"/>
      <c r="C444"/>
      <c r="D444"/>
      <c r="E444"/>
      <c r="F444"/>
      <c r="G444"/>
      <c r="H444"/>
      <c r="I444"/>
      <c r="J444"/>
    </row>
    <row r="445" spans="1:10" ht="12.75" customHeight="1">
      <c r="A445" s="23"/>
      <c r="B445"/>
      <c r="C445"/>
      <c r="D445"/>
      <c r="E445"/>
      <c r="F445"/>
      <c r="G445"/>
      <c r="H445"/>
      <c r="I445"/>
      <c r="J445"/>
    </row>
    <row r="446" spans="1:10" ht="12.75" customHeight="1">
      <c r="A446" s="23"/>
      <c r="B446"/>
      <c r="C446"/>
      <c r="D446"/>
      <c r="E446"/>
      <c r="F446"/>
      <c r="G446"/>
      <c r="H446"/>
      <c r="I446"/>
      <c r="J446"/>
    </row>
    <row r="447" spans="1:10" ht="12.75" customHeight="1">
      <c r="A447" s="23"/>
      <c r="B447"/>
      <c r="C447"/>
      <c r="D447"/>
      <c r="E447"/>
      <c r="F447"/>
      <c r="G447"/>
      <c r="H447"/>
      <c r="I447"/>
      <c r="J447"/>
    </row>
    <row r="448" spans="1:10" ht="12.75" customHeight="1">
      <c r="A448" s="23"/>
      <c r="B448"/>
      <c r="C448"/>
      <c r="D448"/>
      <c r="E448"/>
      <c r="F448"/>
      <c r="G448"/>
      <c r="H448"/>
      <c r="I448"/>
      <c r="J448"/>
    </row>
    <row r="449" spans="1:10" ht="12.75" customHeight="1">
      <c r="A449" s="23"/>
      <c r="B449"/>
      <c r="C449"/>
      <c r="D449"/>
      <c r="E449"/>
      <c r="F449"/>
      <c r="G449"/>
      <c r="H449"/>
      <c r="I449"/>
      <c r="J449"/>
    </row>
    <row r="450" spans="1:10" ht="12.75" customHeight="1">
      <c r="A450" s="23"/>
      <c r="B450"/>
      <c r="C450"/>
      <c r="D450"/>
      <c r="E450"/>
      <c r="F450"/>
      <c r="G450"/>
      <c r="H450"/>
      <c r="I450"/>
      <c r="J450"/>
    </row>
    <row r="451" spans="1:10" ht="12.75" customHeight="1">
      <c r="A451" s="23"/>
      <c r="B451"/>
      <c r="C451"/>
      <c r="D451"/>
      <c r="E451"/>
      <c r="F451"/>
      <c r="G451"/>
      <c r="H451"/>
      <c r="I451"/>
      <c r="J451"/>
    </row>
    <row r="452" spans="1:10" ht="12.75" customHeight="1">
      <c r="A452" s="23"/>
      <c r="B452"/>
      <c r="C452"/>
      <c r="D452"/>
      <c r="E452"/>
      <c r="F452"/>
      <c r="G452"/>
      <c r="H452"/>
      <c r="I452"/>
      <c r="J452"/>
    </row>
    <row r="453" spans="1:10" ht="12.75" customHeight="1">
      <c r="A453" s="23"/>
      <c r="B453"/>
      <c r="C453"/>
      <c r="D453"/>
      <c r="E453"/>
      <c r="F453"/>
      <c r="G453"/>
      <c r="H453"/>
      <c r="I453"/>
      <c r="J453"/>
    </row>
    <row r="454" spans="1:10" ht="12.75" customHeight="1">
      <c r="A454" s="23"/>
      <c r="B454"/>
      <c r="C454"/>
      <c r="D454"/>
      <c r="E454"/>
      <c r="F454"/>
      <c r="G454"/>
      <c r="H454"/>
      <c r="I454"/>
      <c r="J454"/>
    </row>
    <row r="455" spans="1:10" ht="12.75" customHeight="1">
      <c r="A455" s="23"/>
      <c r="B455"/>
      <c r="C455"/>
      <c r="D455"/>
      <c r="E455"/>
      <c r="F455"/>
      <c r="G455"/>
      <c r="H455"/>
      <c r="I455"/>
      <c r="J455"/>
    </row>
    <row r="456" spans="1:10" ht="12.75" customHeight="1">
      <c r="A456" s="23"/>
      <c r="B456"/>
      <c r="C456"/>
      <c r="D456"/>
      <c r="E456"/>
      <c r="F456"/>
      <c r="G456"/>
      <c r="H456"/>
      <c r="I456"/>
      <c r="J456"/>
    </row>
    <row r="457" spans="1:10" ht="12.75" customHeight="1">
      <c r="A457" s="23"/>
      <c r="B457"/>
      <c r="C457"/>
      <c r="D457"/>
      <c r="E457"/>
      <c r="F457"/>
      <c r="G457"/>
      <c r="H457"/>
      <c r="I457"/>
      <c r="J457"/>
    </row>
    <row r="458" spans="1:10" ht="12.75" customHeight="1">
      <c r="A458" s="23"/>
      <c r="B458"/>
      <c r="C458"/>
      <c r="D458"/>
      <c r="E458"/>
      <c r="F458"/>
      <c r="G458"/>
      <c r="H458"/>
      <c r="I458"/>
      <c r="J458"/>
    </row>
    <row r="459" spans="1:10" ht="12.75" customHeight="1">
      <c r="A459" s="23"/>
      <c r="B459"/>
      <c r="C459"/>
      <c r="D459"/>
      <c r="E459"/>
      <c r="F459"/>
      <c r="G459"/>
      <c r="H459"/>
      <c r="I459"/>
      <c r="J459"/>
    </row>
    <row r="460" spans="1:10" ht="12.75" customHeight="1">
      <c r="A460" s="23"/>
      <c r="B460"/>
      <c r="C460"/>
      <c r="D460"/>
      <c r="E460"/>
      <c r="F460"/>
      <c r="G460"/>
      <c r="H460"/>
      <c r="I460"/>
      <c r="J460"/>
    </row>
    <row r="461" spans="1:10" ht="12.75" customHeight="1">
      <c r="A461" s="23"/>
      <c r="B461"/>
      <c r="C461"/>
      <c r="D461"/>
      <c r="E461"/>
      <c r="F461"/>
      <c r="G461"/>
      <c r="H461"/>
      <c r="I461"/>
      <c r="J461"/>
    </row>
    <row r="462" spans="1:10" ht="12.75" customHeight="1">
      <c r="A462" s="23"/>
      <c r="B462"/>
      <c r="C462"/>
      <c r="D462"/>
      <c r="E462"/>
      <c r="F462"/>
      <c r="G462"/>
      <c r="H462"/>
      <c r="I462"/>
      <c r="J462"/>
    </row>
    <row r="463" spans="1:10" ht="12.75" customHeight="1">
      <c r="A463" s="23"/>
      <c r="B463"/>
      <c r="C463"/>
      <c r="D463"/>
      <c r="E463"/>
      <c r="F463"/>
      <c r="G463"/>
      <c r="H463"/>
      <c r="I463"/>
      <c r="J463"/>
    </row>
    <row r="464" spans="1:10" ht="12.75" customHeight="1">
      <c r="A464" s="23"/>
      <c r="B464"/>
      <c r="C464"/>
      <c r="D464"/>
      <c r="E464"/>
      <c r="F464"/>
      <c r="G464"/>
      <c r="H464"/>
      <c r="I464"/>
      <c r="J464"/>
    </row>
    <row r="465" spans="1:10" ht="12.75" customHeight="1">
      <c r="A465" s="23"/>
      <c r="B465"/>
      <c r="C465"/>
      <c r="D465"/>
      <c r="E465"/>
      <c r="F465"/>
      <c r="G465"/>
      <c r="H465"/>
      <c r="I465"/>
      <c r="J465"/>
    </row>
    <row r="466" spans="1:10" ht="12.75" customHeight="1">
      <c r="A466" s="23"/>
      <c r="B466"/>
      <c r="C466"/>
      <c r="D466"/>
      <c r="E466"/>
      <c r="F466"/>
      <c r="G466"/>
      <c r="H466"/>
      <c r="I466"/>
      <c r="J466"/>
    </row>
    <row r="467" spans="1:10" ht="12.75" customHeight="1">
      <c r="A467" s="23"/>
      <c r="B467"/>
      <c r="C467"/>
      <c r="D467"/>
      <c r="E467"/>
      <c r="F467"/>
      <c r="G467"/>
      <c r="H467"/>
      <c r="I467"/>
      <c r="J467"/>
    </row>
    <row r="468" spans="1:10" ht="12.75" customHeight="1">
      <c r="A468" s="23"/>
      <c r="B468"/>
      <c r="C468"/>
      <c r="D468"/>
      <c r="E468"/>
      <c r="F468"/>
      <c r="G468"/>
      <c r="H468"/>
      <c r="I468"/>
      <c r="J468"/>
    </row>
    <row r="469" spans="1:10" ht="12.75" customHeight="1">
      <c r="A469" s="23"/>
      <c r="B469"/>
      <c r="C469"/>
      <c r="D469"/>
      <c r="E469"/>
      <c r="F469"/>
      <c r="G469"/>
      <c r="H469"/>
      <c r="I469"/>
      <c r="J469"/>
    </row>
    <row r="470" spans="1:10" ht="12.75" customHeight="1">
      <c r="A470" s="23"/>
      <c r="B470"/>
      <c r="C470"/>
      <c r="D470"/>
      <c r="E470"/>
      <c r="F470"/>
      <c r="G470"/>
      <c r="H470"/>
      <c r="I470"/>
      <c r="J470"/>
    </row>
    <row r="471" spans="1:10" ht="12.75" customHeight="1">
      <c r="A471" s="23"/>
      <c r="B471"/>
      <c r="C471"/>
      <c r="D471"/>
      <c r="E471"/>
      <c r="F471"/>
      <c r="G471"/>
      <c r="H471"/>
      <c r="I471"/>
      <c r="J471"/>
    </row>
    <row r="472" spans="1:10" ht="12.75" customHeight="1">
      <c r="A472" s="23"/>
      <c r="B472"/>
      <c r="C472"/>
      <c r="D472"/>
      <c r="E472"/>
      <c r="F472"/>
      <c r="G472"/>
      <c r="H472"/>
      <c r="I472"/>
      <c r="J472"/>
    </row>
    <row r="473" spans="1:10" ht="12.75" customHeight="1">
      <c r="A473" s="23"/>
      <c r="B473"/>
      <c r="C473"/>
      <c r="D473"/>
      <c r="E473"/>
      <c r="F473"/>
      <c r="G473"/>
      <c r="H473"/>
      <c r="I473"/>
      <c r="J473"/>
    </row>
    <row r="474" spans="1:10" ht="12.75" customHeight="1">
      <c r="A474" s="23"/>
      <c r="B474"/>
      <c r="C474"/>
      <c r="D474"/>
      <c r="E474"/>
      <c r="F474"/>
      <c r="G474"/>
      <c r="H474"/>
      <c r="I474"/>
      <c r="J474"/>
    </row>
    <row r="475" spans="1:10" ht="12.75" customHeight="1">
      <c r="A475" s="23"/>
      <c r="B475"/>
      <c r="C475"/>
      <c r="D475"/>
      <c r="E475"/>
      <c r="F475"/>
      <c r="G475"/>
      <c r="H475"/>
      <c r="I475"/>
      <c r="J475"/>
    </row>
    <row r="476" spans="1:10" ht="12.75" customHeight="1">
      <c r="A476" s="23"/>
      <c r="B476"/>
      <c r="C476"/>
      <c r="D476"/>
      <c r="E476"/>
      <c r="F476"/>
      <c r="G476"/>
      <c r="H476"/>
      <c r="I476"/>
      <c r="J476"/>
    </row>
    <row r="477" spans="1:10" ht="12.75" customHeight="1">
      <c r="A477" s="23"/>
      <c r="B477"/>
      <c r="C477"/>
      <c r="D477"/>
      <c r="E477"/>
      <c r="F477"/>
      <c r="G477"/>
      <c r="H477"/>
      <c r="I477"/>
      <c r="J477"/>
    </row>
    <row r="478" spans="1:10" ht="12.75" customHeight="1">
      <c r="A478" s="23"/>
      <c r="B478"/>
      <c r="C478"/>
      <c r="D478"/>
      <c r="E478"/>
      <c r="F478"/>
      <c r="G478"/>
      <c r="H478"/>
      <c r="I478"/>
      <c r="J478"/>
    </row>
    <row r="479" spans="1:10" ht="12.75" customHeight="1">
      <c r="A479" s="23"/>
      <c r="B479"/>
      <c r="C479"/>
      <c r="D479"/>
      <c r="E479"/>
      <c r="F479"/>
      <c r="G479"/>
      <c r="H479"/>
      <c r="I479"/>
      <c r="J479"/>
    </row>
    <row r="480" spans="1:10" ht="12.75" customHeight="1">
      <c r="A480" s="23"/>
      <c r="B480"/>
      <c r="C480"/>
      <c r="D480"/>
      <c r="E480"/>
      <c r="F480"/>
      <c r="G480"/>
      <c r="H480"/>
      <c r="I480"/>
      <c r="J480"/>
    </row>
    <row r="481" spans="1:10" ht="12.75" customHeight="1">
      <c r="A481" s="23"/>
      <c r="B481"/>
      <c r="C481"/>
      <c r="D481"/>
      <c r="E481"/>
      <c r="F481"/>
      <c r="G481"/>
      <c r="H481"/>
      <c r="I481"/>
      <c r="J481"/>
    </row>
    <row r="482" spans="1:10" ht="12.75" customHeight="1">
      <c r="A482" s="23"/>
      <c r="B482"/>
      <c r="C482"/>
      <c r="D482"/>
      <c r="E482"/>
      <c r="F482"/>
      <c r="G482"/>
      <c r="H482"/>
      <c r="I482"/>
      <c r="J482"/>
    </row>
    <row r="483" spans="1:10" ht="12.75" customHeight="1">
      <c r="A483" s="23"/>
      <c r="B483"/>
      <c r="C483"/>
      <c r="D483"/>
      <c r="E483"/>
      <c r="F483"/>
      <c r="G483"/>
      <c r="H483"/>
      <c r="I483"/>
      <c r="J483"/>
    </row>
    <row r="484" spans="1:10" ht="12.75" customHeight="1">
      <c r="A484" s="23"/>
      <c r="B484"/>
      <c r="C484"/>
      <c r="D484"/>
      <c r="E484"/>
      <c r="F484"/>
      <c r="G484"/>
      <c r="H484"/>
      <c r="I484"/>
      <c r="J484"/>
    </row>
    <row r="485" spans="1:10" ht="12.75" customHeight="1">
      <c r="A485" s="23"/>
      <c r="B485"/>
      <c r="C485"/>
      <c r="D485"/>
      <c r="E485"/>
      <c r="F485"/>
      <c r="G485"/>
      <c r="H485"/>
      <c r="I485"/>
      <c r="J485"/>
    </row>
    <row r="486" spans="1:10" ht="12.75" customHeight="1">
      <c r="A486" s="23"/>
      <c r="B486"/>
      <c r="C486"/>
      <c r="D486"/>
      <c r="E486"/>
      <c r="F486"/>
      <c r="G486"/>
      <c r="H486"/>
      <c r="I486"/>
      <c r="J486"/>
    </row>
    <row r="487" spans="1:10" ht="12.75" customHeight="1">
      <c r="A487" s="23"/>
      <c r="B487"/>
      <c r="C487"/>
      <c r="D487"/>
      <c r="E487"/>
      <c r="F487"/>
      <c r="G487"/>
      <c r="H487"/>
      <c r="I487"/>
      <c r="J487"/>
    </row>
    <row r="488" spans="1:10" ht="12.75" customHeight="1">
      <c r="A488" s="23"/>
      <c r="B488"/>
      <c r="C488"/>
      <c r="D488"/>
      <c r="E488"/>
      <c r="F488"/>
      <c r="G488"/>
      <c r="H488"/>
      <c r="I488"/>
      <c r="J488"/>
    </row>
    <row r="489" spans="1:10" ht="12.75" customHeight="1">
      <c r="A489" s="23"/>
      <c r="B489"/>
      <c r="C489"/>
      <c r="D489"/>
      <c r="E489"/>
      <c r="F489"/>
      <c r="G489"/>
      <c r="H489"/>
      <c r="I489"/>
      <c r="J489"/>
    </row>
    <row r="490" spans="1:10" ht="12.75" customHeight="1">
      <c r="A490" s="23"/>
      <c r="B490"/>
      <c r="C490"/>
      <c r="D490"/>
      <c r="E490"/>
      <c r="F490"/>
      <c r="G490"/>
      <c r="H490"/>
      <c r="I490"/>
      <c r="J490"/>
    </row>
    <row r="491" spans="1:10" ht="12.75" customHeight="1">
      <c r="A491" s="23"/>
      <c r="B491"/>
      <c r="C491"/>
      <c r="D491"/>
      <c r="E491"/>
      <c r="F491"/>
      <c r="G491"/>
      <c r="H491"/>
      <c r="I491"/>
      <c r="J491"/>
    </row>
    <row r="492" spans="1:10" ht="12.75" customHeight="1">
      <c r="A492" s="23"/>
      <c r="B492"/>
      <c r="C492"/>
      <c r="D492"/>
      <c r="E492"/>
      <c r="F492"/>
      <c r="G492"/>
      <c r="H492"/>
      <c r="I492"/>
      <c r="J492"/>
    </row>
    <row r="493" spans="1:10" ht="12.75" customHeight="1">
      <c r="A493" s="23"/>
      <c r="B493"/>
      <c r="C493"/>
      <c r="D493"/>
      <c r="E493"/>
      <c r="F493"/>
      <c r="G493"/>
      <c r="H493"/>
      <c r="I493"/>
      <c r="J493"/>
    </row>
    <row r="494" spans="1:10" ht="12.75" customHeight="1">
      <c r="A494" s="23"/>
      <c r="B494"/>
      <c r="C494"/>
      <c r="D494"/>
      <c r="E494"/>
      <c r="F494"/>
      <c r="G494"/>
      <c r="H494"/>
      <c r="I494"/>
      <c r="J494"/>
    </row>
    <row r="495" spans="1:10" ht="12.75" customHeight="1">
      <c r="A495" s="23"/>
      <c r="B495"/>
      <c r="C495"/>
      <c r="D495"/>
      <c r="E495"/>
      <c r="F495"/>
      <c r="G495"/>
      <c r="H495"/>
      <c r="I495"/>
      <c r="J495"/>
    </row>
    <row r="496" spans="1:10" ht="12.75" customHeight="1">
      <c r="A496" s="23"/>
      <c r="B496"/>
      <c r="C496"/>
      <c r="D496"/>
      <c r="E496"/>
      <c r="F496"/>
      <c r="G496"/>
      <c r="H496"/>
      <c r="I496"/>
      <c r="J496"/>
    </row>
    <row r="497" spans="1:10" ht="12.75" customHeight="1">
      <c r="A497" s="23"/>
      <c r="B497"/>
      <c r="C497"/>
      <c r="D497"/>
      <c r="E497"/>
      <c r="F497"/>
      <c r="G497"/>
      <c r="H497"/>
      <c r="I497"/>
      <c r="J497"/>
    </row>
    <row r="498" spans="1:10" ht="12.75" customHeight="1">
      <c r="A498" s="23"/>
      <c r="B498"/>
      <c r="C498"/>
      <c r="D498"/>
      <c r="E498"/>
      <c r="F498"/>
      <c r="G498"/>
      <c r="H498"/>
      <c r="I498"/>
      <c r="J498"/>
    </row>
    <row r="499" spans="1:10" ht="12.75" customHeight="1">
      <c r="A499" s="23"/>
      <c r="B499"/>
      <c r="C499"/>
      <c r="D499"/>
      <c r="E499"/>
      <c r="F499"/>
      <c r="G499"/>
      <c r="H499"/>
      <c r="I499"/>
      <c r="J499"/>
    </row>
    <row r="500" spans="1:10" ht="12.75" customHeight="1">
      <c r="A500" s="23"/>
      <c r="B500"/>
      <c r="C500"/>
      <c r="D500"/>
      <c r="E500"/>
      <c r="F500"/>
      <c r="G500"/>
      <c r="H500"/>
      <c r="I500"/>
      <c r="J500"/>
    </row>
    <row r="501" spans="1:10" ht="12.75" customHeight="1">
      <c r="A501" s="23"/>
      <c r="B501"/>
      <c r="C501"/>
      <c r="D501"/>
      <c r="E501"/>
      <c r="F501"/>
      <c r="G501"/>
      <c r="H501"/>
      <c r="I501"/>
      <c r="J501"/>
    </row>
    <row r="502" spans="1:10" ht="12.75" customHeight="1">
      <c r="A502" s="23"/>
      <c r="B502"/>
      <c r="C502"/>
      <c r="D502"/>
      <c r="E502"/>
      <c r="F502"/>
      <c r="G502"/>
      <c r="H502"/>
      <c r="I502"/>
      <c r="J502"/>
    </row>
    <row r="503" spans="1:10" ht="12.75" customHeight="1">
      <c r="A503" s="23"/>
      <c r="B503"/>
      <c r="C503"/>
      <c r="D503"/>
      <c r="E503"/>
      <c r="F503"/>
      <c r="G503"/>
      <c r="H503"/>
      <c r="I503"/>
      <c r="J503"/>
    </row>
    <row r="504" spans="1:10" ht="12.75" customHeight="1">
      <c r="A504" s="23"/>
      <c r="B504"/>
      <c r="C504"/>
      <c r="D504"/>
      <c r="E504"/>
      <c r="F504"/>
      <c r="G504"/>
      <c r="H504"/>
      <c r="I504"/>
      <c r="J504"/>
    </row>
    <row r="505" spans="1:10" ht="12.75" customHeight="1">
      <c r="A505" s="23"/>
      <c r="B505"/>
      <c r="C505"/>
      <c r="D505"/>
      <c r="E505"/>
      <c r="F505"/>
      <c r="G505"/>
      <c r="H505"/>
      <c r="I505"/>
      <c r="J505"/>
    </row>
    <row r="506" spans="1:10" ht="12.75" customHeight="1">
      <c r="A506" s="23"/>
      <c r="B506"/>
      <c r="C506"/>
      <c r="D506"/>
      <c r="E506"/>
      <c r="F506"/>
      <c r="G506"/>
      <c r="H506"/>
      <c r="I506"/>
      <c r="J506"/>
    </row>
    <row r="507" spans="1:10" ht="12.75" customHeight="1">
      <c r="A507" s="23"/>
      <c r="B507"/>
      <c r="C507"/>
      <c r="D507"/>
      <c r="E507"/>
      <c r="F507"/>
      <c r="G507"/>
      <c r="H507"/>
      <c r="I507"/>
      <c r="J507"/>
    </row>
    <row r="508" spans="1:10" ht="12.75" customHeight="1">
      <c r="A508" s="23"/>
      <c r="B508"/>
      <c r="C508"/>
      <c r="D508"/>
      <c r="E508"/>
      <c r="F508"/>
      <c r="G508"/>
      <c r="H508"/>
      <c r="I508"/>
      <c r="J508"/>
    </row>
    <row r="509" spans="1:10" ht="12.75" customHeight="1">
      <c r="A509" s="23"/>
      <c r="B509"/>
      <c r="C509"/>
      <c r="D509"/>
      <c r="E509"/>
      <c r="F509"/>
      <c r="G509"/>
      <c r="H509"/>
      <c r="I509"/>
      <c r="J509"/>
    </row>
    <row r="510" spans="1:10" ht="12.75" customHeight="1">
      <c r="A510" s="23"/>
      <c r="B510"/>
      <c r="C510"/>
      <c r="D510"/>
      <c r="E510"/>
      <c r="F510"/>
      <c r="G510"/>
      <c r="H510"/>
      <c r="I510"/>
      <c r="J510"/>
    </row>
    <row r="511" spans="1:10" ht="12.75" customHeight="1">
      <c r="A511" s="23"/>
      <c r="B511"/>
      <c r="C511"/>
      <c r="D511"/>
      <c r="E511"/>
      <c r="F511"/>
      <c r="G511"/>
      <c r="H511"/>
      <c r="I511"/>
      <c r="J511"/>
    </row>
    <row r="512" spans="1:10" ht="12.75" customHeight="1">
      <c r="A512" s="23"/>
      <c r="B512"/>
      <c r="C512"/>
      <c r="D512"/>
      <c r="E512"/>
      <c r="F512"/>
      <c r="G512"/>
      <c r="H512"/>
      <c r="I512"/>
      <c r="J512"/>
    </row>
    <row r="513" spans="1:10" ht="12.75" customHeight="1">
      <c r="A513" s="23"/>
      <c r="B513"/>
      <c r="C513"/>
      <c r="D513"/>
      <c r="E513"/>
      <c r="F513"/>
      <c r="G513"/>
      <c r="H513"/>
      <c r="I513"/>
      <c r="J513"/>
    </row>
    <row r="514" spans="1:10" ht="12.75" customHeight="1">
      <c r="A514" s="23"/>
      <c r="B514"/>
      <c r="C514"/>
      <c r="D514"/>
      <c r="E514"/>
      <c r="F514"/>
      <c r="G514"/>
      <c r="H514"/>
      <c r="I514"/>
      <c r="J514"/>
    </row>
    <row r="515" spans="1:10" ht="12.75" customHeight="1">
      <c r="A515" s="23"/>
      <c r="B515"/>
      <c r="C515"/>
      <c r="D515"/>
      <c r="E515"/>
      <c r="F515"/>
      <c r="G515"/>
      <c r="H515"/>
      <c r="I515"/>
      <c r="J515"/>
    </row>
    <row r="516" spans="1:10" ht="12.75" customHeight="1">
      <c r="A516" s="23"/>
      <c r="B516"/>
      <c r="C516"/>
      <c r="D516"/>
      <c r="E516"/>
      <c r="F516"/>
      <c r="G516"/>
      <c r="H516"/>
      <c r="I516"/>
      <c r="J516"/>
    </row>
    <row r="517" spans="1:10" ht="12.75" customHeight="1">
      <c r="A517" s="23"/>
      <c r="B517"/>
      <c r="C517"/>
      <c r="D517"/>
      <c r="E517"/>
      <c r="F517"/>
      <c r="G517"/>
      <c r="H517"/>
      <c r="I517"/>
      <c r="J517"/>
    </row>
    <row r="518" spans="1:10" ht="12.75" customHeight="1">
      <c r="A518" s="23"/>
      <c r="B518"/>
      <c r="C518"/>
      <c r="D518"/>
      <c r="E518"/>
      <c r="F518"/>
      <c r="G518"/>
      <c r="H518"/>
      <c r="I518"/>
      <c r="J518"/>
    </row>
    <row r="519" spans="1:10" ht="12.75" customHeight="1">
      <c r="A519" s="23"/>
      <c r="B519"/>
      <c r="C519"/>
      <c r="D519"/>
      <c r="E519"/>
      <c r="F519"/>
      <c r="G519"/>
      <c r="H519"/>
      <c r="I519"/>
      <c r="J519"/>
    </row>
    <row r="520" spans="1:10" ht="12.75" customHeight="1">
      <c r="A520" s="23"/>
      <c r="B520"/>
      <c r="C520"/>
      <c r="D520"/>
      <c r="E520"/>
      <c r="F520"/>
      <c r="G520"/>
      <c r="H520"/>
      <c r="I520"/>
      <c r="J520"/>
    </row>
    <row r="521" spans="1:10" ht="12.75" customHeight="1">
      <c r="A521" s="23"/>
      <c r="B521"/>
      <c r="C521"/>
      <c r="D521"/>
      <c r="E521"/>
      <c r="F521"/>
      <c r="G521"/>
      <c r="H521"/>
      <c r="I521"/>
      <c r="J521"/>
    </row>
    <row r="522" spans="1:10" ht="12.75" customHeight="1">
      <c r="A522" s="23"/>
      <c r="B522"/>
      <c r="C522"/>
      <c r="D522"/>
      <c r="E522"/>
      <c r="F522"/>
      <c r="G522"/>
      <c r="H522"/>
      <c r="I522"/>
      <c r="J522"/>
    </row>
    <row r="523" spans="1:10" ht="12.75" customHeight="1">
      <c r="A523" s="23"/>
      <c r="B523"/>
      <c r="C523"/>
      <c r="D523"/>
      <c r="E523"/>
      <c r="F523"/>
      <c r="G523"/>
      <c r="H523"/>
      <c r="I523"/>
      <c r="J523"/>
    </row>
    <row r="524" spans="1:10" ht="12.75" customHeight="1">
      <c r="A524" s="23"/>
      <c r="B524"/>
      <c r="C524"/>
      <c r="D524"/>
      <c r="E524"/>
      <c r="F524"/>
      <c r="G524"/>
      <c r="H524"/>
      <c r="I524"/>
      <c r="J524"/>
    </row>
    <row r="525" spans="1:10" ht="12.75" customHeight="1">
      <c r="A525" s="23"/>
      <c r="B525"/>
      <c r="C525"/>
      <c r="D525"/>
      <c r="E525"/>
      <c r="F525"/>
      <c r="G525"/>
      <c r="H525"/>
      <c r="I525"/>
      <c r="J525"/>
    </row>
    <row r="526" spans="1:10" ht="12.75" customHeight="1">
      <c r="A526" s="23"/>
      <c r="B526"/>
      <c r="C526"/>
      <c r="D526"/>
      <c r="E526"/>
      <c r="F526"/>
      <c r="G526"/>
      <c r="H526"/>
      <c r="I526"/>
      <c r="J526"/>
    </row>
    <row r="527" spans="1:10" ht="12.75" customHeight="1">
      <c r="A527" s="23"/>
      <c r="B527"/>
      <c r="C527"/>
      <c r="D527"/>
      <c r="E527"/>
      <c r="F527"/>
      <c r="G527"/>
      <c r="H527"/>
      <c r="I527"/>
      <c r="J527"/>
    </row>
    <row r="528" spans="1:10" ht="12.75" customHeight="1">
      <c r="A528" s="23"/>
      <c r="B528"/>
      <c r="C528"/>
      <c r="D528"/>
      <c r="E528"/>
      <c r="F528"/>
      <c r="G528"/>
      <c r="H528"/>
      <c r="I528"/>
      <c r="J528"/>
    </row>
    <row r="529" spans="1:10" ht="12.75" customHeight="1">
      <c r="A529" s="23"/>
      <c r="B529"/>
      <c r="C529"/>
      <c r="D529"/>
      <c r="E529"/>
      <c r="F529"/>
      <c r="G529"/>
      <c r="H529"/>
      <c r="I529"/>
      <c r="J529"/>
    </row>
    <row r="530" spans="1:10" ht="12.75" customHeight="1">
      <c r="A530" s="23"/>
      <c r="B530"/>
      <c r="C530"/>
      <c r="D530"/>
      <c r="E530"/>
      <c r="F530"/>
      <c r="G530"/>
      <c r="H530"/>
      <c r="I530"/>
      <c r="J530"/>
    </row>
    <row r="531" spans="1:10" ht="12.75" customHeight="1">
      <c r="A531" s="23"/>
      <c r="B531"/>
      <c r="C531"/>
      <c r="D531"/>
      <c r="E531"/>
      <c r="F531"/>
      <c r="G531"/>
      <c r="H531"/>
      <c r="I531"/>
      <c r="J531"/>
    </row>
    <row r="532" spans="1:10" ht="12.75" customHeight="1">
      <c r="A532" s="23"/>
      <c r="B532"/>
      <c r="C532"/>
      <c r="D532"/>
      <c r="E532"/>
      <c r="F532"/>
      <c r="G532"/>
      <c r="H532"/>
      <c r="I532"/>
      <c r="J532"/>
    </row>
    <row r="533" spans="1:10" ht="12.75" customHeight="1">
      <c r="A533" s="23"/>
      <c r="B533"/>
      <c r="C533"/>
      <c r="D533"/>
      <c r="E533"/>
      <c r="F533"/>
      <c r="G533"/>
      <c r="H533"/>
      <c r="I533"/>
      <c r="J533"/>
    </row>
    <row r="534" spans="1:10" ht="12.75" customHeight="1">
      <c r="A534" s="23"/>
      <c r="B534"/>
      <c r="C534"/>
      <c r="D534"/>
      <c r="E534"/>
      <c r="F534"/>
      <c r="G534"/>
      <c r="H534"/>
      <c r="I534"/>
      <c r="J534"/>
    </row>
    <row r="535" spans="1:10" ht="12.75" customHeight="1">
      <c r="A535" s="23"/>
      <c r="B535"/>
      <c r="C535"/>
      <c r="D535"/>
      <c r="E535"/>
      <c r="F535"/>
      <c r="G535"/>
      <c r="H535"/>
      <c r="I535"/>
      <c r="J535"/>
    </row>
    <row r="536" spans="1:10" ht="12.75" customHeight="1">
      <c r="A536" s="23"/>
      <c r="B536"/>
      <c r="C536"/>
      <c r="D536"/>
      <c r="E536"/>
      <c r="F536"/>
      <c r="G536"/>
      <c r="H536"/>
      <c r="I536"/>
      <c r="J536"/>
    </row>
    <row r="537" spans="1:10" ht="12.75" customHeight="1">
      <c r="A537" s="23"/>
      <c r="B537"/>
      <c r="C537"/>
      <c r="D537"/>
      <c r="E537"/>
      <c r="F537"/>
      <c r="G537"/>
      <c r="H537"/>
      <c r="I537"/>
      <c r="J537"/>
    </row>
    <row r="538" spans="1:10" ht="12.75" customHeight="1">
      <c r="A538" s="23"/>
      <c r="B538"/>
      <c r="C538"/>
      <c r="D538"/>
      <c r="E538"/>
      <c r="F538"/>
      <c r="G538"/>
      <c r="H538"/>
      <c r="I538"/>
      <c r="J538"/>
    </row>
    <row r="539" spans="1:10" ht="12.75" customHeight="1">
      <c r="A539" s="23"/>
      <c r="B539"/>
      <c r="C539"/>
      <c r="D539"/>
      <c r="E539"/>
      <c r="F539"/>
      <c r="G539"/>
      <c r="H539"/>
      <c r="I539"/>
      <c r="J539"/>
    </row>
    <row r="540" spans="1:10" ht="12.75" customHeight="1">
      <c r="A540" s="23"/>
      <c r="B540"/>
      <c r="C540"/>
      <c r="D540"/>
      <c r="E540"/>
      <c r="F540"/>
      <c r="G540"/>
      <c r="H540"/>
      <c r="I540"/>
      <c r="J540"/>
    </row>
    <row r="541" spans="1:10" ht="12.75" customHeight="1">
      <c r="A541" s="23"/>
      <c r="B541"/>
      <c r="C541"/>
      <c r="D541"/>
      <c r="E541"/>
      <c r="F541"/>
      <c r="G541"/>
      <c r="H541"/>
      <c r="I541"/>
      <c r="J541"/>
    </row>
    <row r="542" spans="1:10" ht="12.75" customHeight="1">
      <c r="A542" s="23"/>
      <c r="B542"/>
      <c r="C542"/>
      <c r="D542"/>
      <c r="E542"/>
      <c r="F542"/>
      <c r="G542"/>
      <c r="H542"/>
      <c r="I542"/>
      <c r="J542"/>
    </row>
    <row r="543" spans="1:10" ht="12.75" customHeight="1">
      <c r="A543" s="23"/>
      <c r="B543"/>
      <c r="C543"/>
      <c r="D543"/>
      <c r="E543"/>
      <c r="F543"/>
      <c r="G543"/>
      <c r="H543"/>
      <c r="I543"/>
      <c r="J543"/>
    </row>
    <row r="544" spans="1:10" ht="12.75" customHeight="1">
      <c r="A544" s="23"/>
      <c r="B544"/>
      <c r="C544"/>
      <c r="D544"/>
      <c r="E544"/>
      <c r="F544"/>
      <c r="G544"/>
      <c r="H544"/>
      <c r="I544"/>
      <c r="J544"/>
    </row>
    <row r="545" spans="1:10" ht="12.75" customHeight="1">
      <c r="A545" s="23"/>
      <c r="B545"/>
      <c r="C545"/>
      <c r="D545"/>
      <c r="E545"/>
      <c r="F545"/>
      <c r="G545"/>
      <c r="H545"/>
      <c r="I545"/>
      <c r="J545"/>
    </row>
    <row r="546" spans="1:10" ht="12.75" customHeight="1">
      <c r="A546" s="23"/>
      <c r="B546"/>
      <c r="C546"/>
      <c r="D546"/>
      <c r="E546"/>
      <c r="F546"/>
      <c r="G546"/>
      <c r="H546"/>
      <c r="I546"/>
      <c r="J546"/>
    </row>
    <row r="547" spans="1:10" ht="12.75" customHeight="1">
      <c r="A547" s="23"/>
      <c r="B547"/>
      <c r="C547"/>
      <c r="D547"/>
      <c r="E547"/>
      <c r="F547"/>
      <c r="G547"/>
      <c r="H547"/>
      <c r="I547"/>
      <c r="J547"/>
    </row>
    <row r="548" spans="1:10" ht="12.75" customHeight="1">
      <c r="A548" s="23"/>
      <c r="B548"/>
      <c r="C548"/>
      <c r="D548"/>
      <c r="E548"/>
      <c r="F548"/>
      <c r="G548"/>
      <c r="H548"/>
      <c r="I548"/>
      <c r="J548"/>
    </row>
    <row r="549" spans="1:10" ht="12.75" customHeight="1">
      <c r="A549" s="23"/>
      <c r="B549"/>
      <c r="C549"/>
      <c r="D549"/>
      <c r="E549"/>
      <c r="F549"/>
      <c r="G549"/>
      <c r="H549"/>
      <c r="I549"/>
      <c r="J549"/>
    </row>
    <row r="550" spans="1:10" ht="12.75" customHeight="1">
      <c r="A550" s="23"/>
      <c r="B550"/>
      <c r="C550"/>
      <c r="D550"/>
      <c r="E550"/>
      <c r="F550"/>
      <c r="G550"/>
      <c r="H550"/>
      <c r="I550"/>
      <c r="J550"/>
    </row>
    <row r="551" spans="1:10" ht="12.75" customHeight="1">
      <c r="A551" s="23"/>
      <c r="B551"/>
      <c r="C551"/>
      <c r="D551"/>
      <c r="E551"/>
      <c r="F551"/>
      <c r="G551"/>
      <c r="H551"/>
      <c r="I551"/>
      <c r="J551"/>
    </row>
    <row r="552" spans="1:10" ht="12.75" customHeight="1">
      <c r="A552" s="23"/>
      <c r="B552"/>
      <c r="C552"/>
      <c r="D552"/>
      <c r="E552"/>
      <c r="F552"/>
      <c r="G552"/>
      <c r="H552"/>
      <c r="I552"/>
      <c r="J552"/>
    </row>
    <row r="553" spans="1:10" ht="12.75" customHeight="1">
      <c r="A553" s="23"/>
      <c r="B553"/>
      <c r="C553"/>
      <c r="D553"/>
      <c r="E553"/>
      <c r="F553"/>
      <c r="G553"/>
      <c r="H553"/>
      <c r="I553"/>
      <c r="J553"/>
    </row>
    <row r="554" spans="1:10" ht="12.75" customHeight="1">
      <c r="A554" s="23"/>
      <c r="B554"/>
      <c r="C554"/>
      <c r="D554"/>
      <c r="E554"/>
      <c r="F554"/>
      <c r="G554"/>
      <c r="H554"/>
      <c r="I554"/>
      <c r="J554"/>
    </row>
    <row r="555" spans="1:10" ht="12.75" customHeight="1">
      <c r="A555" s="23"/>
      <c r="B555"/>
      <c r="C555"/>
      <c r="D555"/>
      <c r="E555"/>
      <c r="F555"/>
      <c r="G555"/>
      <c r="H555"/>
      <c r="I555"/>
      <c r="J555"/>
    </row>
    <row r="556" spans="1:10" ht="12.75" customHeight="1">
      <c r="A556" s="23"/>
      <c r="B556"/>
      <c r="C556"/>
      <c r="D556"/>
      <c r="E556"/>
      <c r="F556"/>
      <c r="G556"/>
      <c r="H556"/>
      <c r="I556"/>
      <c r="J556"/>
    </row>
    <row r="557" spans="1:10" ht="12.75" customHeight="1">
      <c r="A557" s="23"/>
      <c r="B557"/>
      <c r="C557"/>
      <c r="D557"/>
      <c r="E557"/>
      <c r="F557"/>
      <c r="G557"/>
      <c r="H557"/>
      <c r="I557"/>
      <c r="J557"/>
    </row>
    <row r="558" spans="1:10" ht="12.75" customHeight="1">
      <c r="A558" s="23"/>
      <c r="B558"/>
      <c r="C558"/>
      <c r="D558"/>
      <c r="E558"/>
      <c r="F558"/>
      <c r="G558"/>
      <c r="H558"/>
      <c r="I558"/>
      <c r="J558"/>
    </row>
    <row r="559" spans="1:10" ht="12.75" customHeight="1">
      <c r="A559" s="23"/>
      <c r="B559"/>
      <c r="C559"/>
      <c r="D559"/>
      <c r="E559"/>
      <c r="F559"/>
      <c r="G559"/>
      <c r="H559"/>
      <c r="I559"/>
      <c r="J559"/>
    </row>
    <row r="560" spans="1:10" ht="12.75" customHeight="1">
      <c r="A560" s="23"/>
      <c r="B560"/>
      <c r="C560"/>
      <c r="D560"/>
      <c r="E560"/>
      <c r="F560"/>
      <c r="G560"/>
      <c r="H560"/>
      <c r="I560"/>
      <c r="J560"/>
    </row>
    <row r="561" spans="1:10" ht="12.75" customHeight="1">
      <c r="A561" s="23"/>
      <c r="B561"/>
      <c r="C561"/>
      <c r="D561"/>
      <c r="E561"/>
      <c r="F561"/>
      <c r="G561"/>
      <c r="H561"/>
      <c r="I561"/>
      <c r="J561"/>
    </row>
    <row r="562" spans="1:10" ht="12.75" customHeight="1">
      <c r="A562" s="23"/>
      <c r="B562"/>
      <c r="C562"/>
      <c r="D562"/>
      <c r="E562"/>
      <c r="F562"/>
      <c r="G562"/>
      <c r="H562"/>
      <c r="I562"/>
      <c r="J562"/>
    </row>
    <row r="563" spans="1:10" ht="12.75" customHeight="1">
      <c r="A563" s="23"/>
      <c r="B563"/>
      <c r="C563"/>
      <c r="D563"/>
      <c r="E563"/>
      <c r="F563"/>
      <c r="G563"/>
      <c r="H563"/>
      <c r="I563"/>
      <c r="J563"/>
    </row>
    <row r="564" spans="1:10" ht="12.75" customHeight="1">
      <c r="A564" s="23"/>
      <c r="B564"/>
      <c r="C564"/>
      <c r="D564"/>
      <c r="E564"/>
      <c r="F564"/>
      <c r="G564"/>
      <c r="H564"/>
      <c r="I564"/>
      <c r="J564"/>
    </row>
    <row r="565" spans="1:10" ht="12.75" customHeight="1">
      <c r="A565" s="23"/>
      <c r="B565"/>
      <c r="C565"/>
      <c r="D565"/>
      <c r="E565"/>
      <c r="F565"/>
      <c r="G565"/>
      <c r="H565"/>
      <c r="I565"/>
      <c r="J565"/>
    </row>
    <row r="566" spans="1:10" ht="12.75" customHeight="1">
      <c r="A566" s="23"/>
      <c r="B566"/>
      <c r="C566"/>
      <c r="D566"/>
      <c r="E566"/>
      <c r="F566"/>
      <c r="G566"/>
      <c r="H566"/>
      <c r="I566"/>
      <c r="J566"/>
    </row>
    <row r="567" spans="1:10" ht="12.75" customHeight="1">
      <c r="A567" s="23"/>
      <c r="B567"/>
      <c r="C567"/>
      <c r="D567"/>
      <c r="E567"/>
      <c r="F567"/>
      <c r="G567"/>
      <c r="H567"/>
      <c r="I567"/>
      <c r="J567"/>
    </row>
    <row r="568" spans="1:10" ht="12.75" customHeight="1">
      <c r="A568" s="23"/>
      <c r="B568"/>
      <c r="C568"/>
      <c r="D568"/>
      <c r="E568"/>
      <c r="F568"/>
      <c r="G568"/>
      <c r="H568"/>
      <c r="I568"/>
      <c r="J568"/>
    </row>
    <row r="569" spans="1:10" ht="12.75" customHeight="1">
      <c r="A569" s="23"/>
      <c r="B569"/>
      <c r="C569"/>
      <c r="D569"/>
      <c r="E569"/>
      <c r="F569"/>
      <c r="G569"/>
      <c r="H569"/>
      <c r="I569"/>
      <c r="J569"/>
    </row>
    <row r="570" spans="1:10" ht="12.75" customHeight="1">
      <c r="A570" s="23"/>
      <c r="B570"/>
      <c r="C570"/>
      <c r="D570"/>
      <c r="E570"/>
      <c r="F570"/>
      <c r="G570"/>
      <c r="H570"/>
      <c r="I570"/>
      <c r="J570"/>
    </row>
    <row r="571" spans="1:10" ht="12.75" customHeight="1">
      <c r="A571" s="23"/>
      <c r="B571"/>
      <c r="C571"/>
      <c r="D571"/>
      <c r="E571"/>
      <c r="F571"/>
      <c r="G571"/>
      <c r="H571"/>
      <c r="I571"/>
      <c r="J571"/>
    </row>
    <row r="572" spans="1:10" ht="12.75" customHeight="1">
      <c r="A572" s="23"/>
      <c r="B572"/>
      <c r="C572"/>
      <c r="D572"/>
      <c r="E572"/>
      <c r="F572"/>
      <c r="G572"/>
      <c r="H572"/>
      <c r="I572"/>
      <c r="J572"/>
    </row>
    <row r="573" spans="1:10" ht="12.75" customHeight="1">
      <c r="A573" s="23"/>
      <c r="B573"/>
      <c r="C573"/>
      <c r="D573"/>
      <c r="E573"/>
      <c r="F573"/>
      <c r="G573"/>
      <c r="H573"/>
      <c r="I573"/>
      <c r="J573"/>
    </row>
    <row r="574" spans="1:10" ht="12.75" customHeight="1">
      <c r="A574" s="23"/>
      <c r="B574"/>
      <c r="C574"/>
      <c r="D574"/>
      <c r="E574"/>
      <c r="F574"/>
      <c r="G574"/>
      <c r="H574"/>
      <c r="I574"/>
      <c r="J574"/>
    </row>
    <row r="575" spans="1:10" ht="12.75" customHeight="1">
      <c r="A575" s="23"/>
      <c r="B575"/>
      <c r="C575"/>
      <c r="D575"/>
      <c r="E575"/>
      <c r="F575"/>
      <c r="G575"/>
      <c r="H575"/>
      <c r="I575"/>
      <c r="J575"/>
    </row>
    <row r="576" spans="1:10" ht="12.75" customHeight="1">
      <c r="A576" s="23"/>
      <c r="B576"/>
      <c r="C576"/>
      <c r="D576"/>
      <c r="E576"/>
      <c r="F576"/>
      <c r="G576"/>
      <c r="H576"/>
      <c r="I576"/>
      <c r="J576"/>
    </row>
    <row r="577" spans="1:10" ht="12.75" customHeight="1">
      <c r="A577" s="23"/>
      <c r="B577"/>
      <c r="C577"/>
      <c r="D577"/>
      <c r="E577"/>
      <c r="F577"/>
      <c r="G577"/>
      <c r="H577"/>
      <c r="I577"/>
      <c r="J577"/>
    </row>
    <row r="578" spans="1:10" ht="12.75" customHeight="1">
      <c r="A578" s="23"/>
      <c r="B578"/>
      <c r="C578"/>
      <c r="D578"/>
      <c r="E578"/>
      <c r="F578"/>
      <c r="G578"/>
      <c r="H578"/>
      <c r="I578"/>
      <c r="J578"/>
    </row>
    <row r="579" spans="1:10" ht="12.75" customHeight="1">
      <c r="A579" s="23"/>
      <c r="B579"/>
      <c r="C579"/>
      <c r="D579"/>
      <c r="E579"/>
      <c r="F579"/>
      <c r="G579"/>
      <c r="H579"/>
      <c r="I579"/>
      <c r="J579"/>
    </row>
    <row r="580" spans="1:10" ht="12.75" customHeight="1">
      <c r="A580" s="23"/>
      <c r="B580"/>
      <c r="C580"/>
      <c r="D580"/>
      <c r="E580"/>
      <c r="F580"/>
      <c r="G580"/>
      <c r="H580"/>
      <c r="I580"/>
      <c r="J580"/>
    </row>
    <row r="581" spans="1:10" ht="12.75" customHeight="1">
      <c r="A581" s="23"/>
      <c r="B581"/>
      <c r="C581"/>
      <c r="D581"/>
      <c r="E581"/>
      <c r="F581"/>
      <c r="G581"/>
      <c r="H581"/>
      <c r="I581"/>
      <c r="J581"/>
    </row>
    <row r="582" spans="1:10" ht="12.75" customHeight="1">
      <c r="A582" s="23"/>
      <c r="B582"/>
      <c r="C582"/>
      <c r="D582"/>
      <c r="E582"/>
      <c r="F582"/>
      <c r="G582"/>
      <c r="H582"/>
      <c r="I582"/>
      <c r="J582"/>
    </row>
    <row r="583" spans="1:10" ht="12.75" customHeight="1">
      <c r="A583" s="23"/>
      <c r="B583"/>
      <c r="C583"/>
      <c r="D583"/>
      <c r="E583"/>
      <c r="F583"/>
      <c r="G583"/>
      <c r="H583"/>
      <c r="I583"/>
      <c r="J583"/>
    </row>
    <row r="584" spans="1:10" ht="12.75" customHeight="1">
      <c r="A584" s="23"/>
      <c r="B584"/>
      <c r="C584"/>
      <c r="D584"/>
      <c r="E584"/>
      <c r="F584"/>
      <c r="G584"/>
      <c r="H584"/>
      <c r="I584"/>
      <c r="J584"/>
    </row>
    <row r="585" spans="1:10" ht="12.75" customHeight="1">
      <c r="A585" s="23"/>
      <c r="B585"/>
      <c r="C585"/>
      <c r="D585"/>
      <c r="E585"/>
      <c r="F585"/>
      <c r="G585"/>
      <c r="H585"/>
      <c r="I585"/>
      <c r="J585"/>
    </row>
    <row r="586" spans="1:10" ht="12.75" customHeight="1">
      <c r="A586" s="23"/>
      <c r="B586"/>
      <c r="C586"/>
      <c r="D586"/>
      <c r="E586"/>
      <c r="F586"/>
      <c r="G586"/>
      <c r="H586"/>
      <c r="I586"/>
      <c r="J586"/>
    </row>
    <row r="587" spans="1:10" ht="12.75" customHeight="1">
      <c r="A587" s="23"/>
      <c r="B587"/>
      <c r="C587"/>
      <c r="D587"/>
      <c r="E587"/>
      <c r="F587"/>
      <c r="G587"/>
      <c r="H587"/>
      <c r="I587"/>
      <c r="J587"/>
    </row>
    <row r="588" spans="1:10" ht="12.75" customHeight="1">
      <c r="A588" s="23"/>
      <c r="B588"/>
      <c r="C588"/>
      <c r="D588"/>
      <c r="E588"/>
      <c r="F588"/>
      <c r="G588"/>
      <c r="H588"/>
      <c r="I588"/>
      <c r="J588"/>
    </row>
    <row r="589" spans="1:10" ht="12.75" customHeight="1">
      <c r="A589" s="23"/>
      <c r="B589"/>
      <c r="C589"/>
      <c r="D589"/>
      <c r="E589"/>
      <c r="F589"/>
      <c r="G589"/>
      <c r="H589"/>
      <c r="I589"/>
      <c r="J589"/>
    </row>
    <row r="590" spans="1:10" ht="12.75" customHeight="1">
      <c r="A590" s="23"/>
      <c r="B590"/>
      <c r="C590"/>
      <c r="D590"/>
      <c r="E590"/>
      <c r="F590"/>
      <c r="G590"/>
      <c r="H590"/>
      <c r="I590"/>
      <c r="J590"/>
    </row>
    <row r="591" spans="1:10" ht="12.75" customHeight="1">
      <c r="A591" s="23"/>
      <c r="B591"/>
      <c r="C591"/>
      <c r="D591"/>
      <c r="E591"/>
      <c r="F591"/>
      <c r="G591"/>
      <c r="H591"/>
      <c r="I591"/>
      <c r="J591"/>
    </row>
    <row r="592" spans="1:10" ht="12.75" customHeight="1">
      <c r="A592" s="23"/>
      <c r="B592"/>
      <c r="C592"/>
      <c r="D592"/>
      <c r="E592"/>
      <c r="F592"/>
      <c r="G592"/>
      <c r="H592"/>
      <c r="I592"/>
      <c r="J592"/>
    </row>
    <row r="593" spans="1:10" ht="12.75" customHeight="1">
      <c r="A593" s="23"/>
      <c r="B593"/>
      <c r="C593"/>
      <c r="D593"/>
      <c r="E593"/>
      <c r="F593"/>
      <c r="G593"/>
      <c r="H593"/>
      <c r="I593"/>
      <c r="J593"/>
    </row>
    <row r="594" spans="1:10" ht="12.75" customHeight="1">
      <c r="A594" s="23"/>
      <c r="B594"/>
      <c r="C594"/>
      <c r="D594"/>
      <c r="E594"/>
      <c r="F594"/>
      <c r="G594"/>
      <c r="H594"/>
      <c r="I594"/>
      <c r="J594"/>
    </row>
    <row r="595" spans="1:10" ht="12.75" customHeight="1">
      <c r="A595" s="23"/>
      <c r="B595"/>
      <c r="C595"/>
      <c r="D595"/>
      <c r="E595"/>
      <c r="F595"/>
      <c r="G595"/>
      <c r="H595"/>
      <c r="I595"/>
      <c r="J595"/>
    </row>
    <row r="596" spans="1:10" ht="12.75" customHeight="1">
      <c r="A596" s="23"/>
      <c r="B596"/>
      <c r="C596"/>
      <c r="D596"/>
      <c r="E596"/>
      <c r="F596"/>
      <c r="G596"/>
      <c r="H596"/>
      <c r="I596"/>
      <c r="J596"/>
    </row>
    <row r="597" spans="1:10" ht="12.75" customHeight="1">
      <c r="A597" s="23"/>
      <c r="B597"/>
      <c r="C597"/>
      <c r="D597"/>
      <c r="E597"/>
      <c r="F597"/>
      <c r="G597"/>
      <c r="H597"/>
      <c r="I597"/>
      <c r="J597"/>
    </row>
    <row r="598" spans="1:10" ht="12.75" customHeight="1">
      <c r="A598" s="23"/>
      <c r="B598"/>
      <c r="C598"/>
      <c r="D598"/>
      <c r="E598"/>
      <c r="F598"/>
      <c r="G598"/>
      <c r="H598"/>
      <c r="I598"/>
      <c r="J598"/>
    </row>
    <row r="599" spans="1:10" ht="12.75" customHeight="1">
      <c r="A599" s="23"/>
      <c r="B599"/>
      <c r="C599"/>
      <c r="D599"/>
      <c r="E599"/>
      <c r="F599"/>
      <c r="G599"/>
      <c r="H599"/>
      <c r="I599"/>
      <c r="J599"/>
    </row>
    <row r="600" spans="1:10" ht="12.75" customHeight="1">
      <c r="A600" s="23"/>
      <c r="B600"/>
      <c r="C600"/>
      <c r="D600"/>
      <c r="E600"/>
      <c r="F600"/>
      <c r="G600"/>
      <c r="H600"/>
      <c r="I600"/>
      <c r="J600"/>
    </row>
    <row r="601" spans="1:10" ht="12.75" customHeight="1">
      <c r="A601" s="23"/>
      <c r="B601"/>
      <c r="C601"/>
      <c r="D601"/>
      <c r="E601"/>
      <c r="F601"/>
      <c r="G601"/>
      <c r="H601"/>
      <c r="I601"/>
      <c r="J601"/>
    </row>
    <row r="602" spans="1:10" ht="12.75" customHeight="1">
      <c r="A602" s="23"/>
      <c r="B602"/>
      <c r="C602"/>
      <c r="D602"/>
      <c r="E602"/>
      <c r="F602"/>
      <c r="G602"/>
      <c r="H602"/>
      <c r="I602"/>
      <c r="J602"/>
    </row>
    <row r="603" spans="1:10" ht="12.75" customHeight="1">
      <c r="A603" s="23"/>
      <c r="B603"/>
      <c r="C603"/>
      <c r="D603"/>
      <c r="E603"/>
      <c r="F603"/>
      <c r="G603"/>
      <c r="H603"/>
      <c r="I603"/>
      <c r="J603"/>
    </row>
    <row r="604" spans="1:10" ht="12.75" customHeight="1">
      <c r="A604" s="23"/>
      <c r="B604"/>
      <c r="C604"/>
      <c r="D604"/>
      <c r="E604"/>
      <c r="F604"/>
      <c r="G604"/>
      <c r="H604"/>
      <c r="I604"/>
      <c r="J604"/>
    </row>
    <row r="605" spans="1:10" ht="12.75" customHeight="1">
      <c r="A605" s="23"/>
      <c r="B605"/>
      <c r="C605"/>
      <c r="D605"/>
      <c r="E605"/>
      <c r="F605"/>
      <c r="G605"/>
      <c r="H605"/>
      <c r="I605"/>
      <c r="J605"/>
    </row>
    <row r="606" spans="1:10" ht="12.75" customHeight="1">
      <c r="A606" s="23"/>
      <c r="B606"/>
      <c r="C606"/>
      <c r="D606"/>
      <c r="E606"/>
      <c r="F606"/>
      <c r="G606"/>
      <c r="H606"/>
      <c r="I606"/>
      <c r="J606"/>
    </row>
    <row r="607" spans="1:10" ht="12.75" customHeight="1">
      <c r="A607" s="23"/>
      <c r="B607"/>
      <c r="C607"/>
      <c r="D607"/>
      <c r="E607"/>
      <c r="F607"/>
      <c r="G607"/>
      <c r="H607"/>
      <c r="I607"/>
      <c r="J607"/>
    </row>
    <row r="608" spans="1:10" ht="12.75" customHeight="1">
      <c r="A608" s="23"/>
      <c r="B608"/>
      <c r="C608"/>
      <c r="D608"/>
      <c r="E608"/>
      <c r="F608"/>
      <c r="G608"/>
      <c r="H608"/>
      <c r="I608"/>
      <c r="J608"/>
    </row>
    <row r="609" spans="1:10" ht="12.75" customHeight="1">
      <c r="A609" s="23"/>
      <c r="B609"/>
      <c r="C609"/>
      <c r="D609"/>
      <c r="E609"/>
      <c r="F609"/>
      <c r="G609"/>
      <c r="H609"/>
      <c r="I609"/>
      <c r="J609"/>
    </row>
    <row r="610" spans="1:10" ht="12.75" customHeight="1">
      <c r="A610" s="23"/>
      <c r="B610"/>
      <c r="C610"/>
      <c r="D610"/>
      <c r="E610"/>
      <c r="F610"/>
      <c r="G610"/>
      <c r="H610"/>
      <c r="I610"/>
      <c r="J610"/>
    </row>
    <row r="611" spans="1:10" ht="12.75" customHeight="1">
      <c r="A611" s="23"/>
      <c r="B611"/>
      <c r="C611"/>
      <c r="D611"/>
      <c r="E611"/>
      <c r="F611"/>
      <c r="G611"/>
      <c r="H611"/>
      <c r="I611"/>
      <c r="J611"/>
    </row>
    <row r="612" spans="1:10" ht="12.75" customHeight="1">
      <c r="A612" s="23"/>
      <c r="B612"/>
      <c r="C612"/>
      <c r="D612"/>
      <c r="E612"/>
      <c r="F612"/>
      <c r="G612"/>
      <c r="H612"/>
      <c r="I612"/>
      <c r="J612"/>
    </row>
    <row r="613" spans="1:10" ht="12.75" customHeight="1">
      <c r="A613" s="23"/>
      <c r="B613"/>
      <c r="C613"/>
      <c r="D613"/>
      <c r="E613"/>
      <c r="F613"/>
      <c r="G613"/>
      <c r="H613"/>
      <c r="I613"/>
      <c r="J613"/>
    </row>
    <row r="614" spans="1:10" ht="12.75" customHeight="1">
      <c r="A614" s="23"/>
      <c r="B614"/>
      <c r="C614"/>
      <c r="D614"/>
      <c r="E614"/>
      <c r="F614"/>
      <c r="G614"/>
      <c r="H614"/>
      <c r="I614"/>
      <c r="J614"/>
    </row>
    <row r="615" spans="1:10" ht="12.75" customHeight="1">
      <c r="A615" s="23"/>
      <c r="B615"/>
      <c r="C615"/>
      <c r="D615"/>
      <c r="E615"/>
      <c r="F615"/>
      <c r="G615"/>
      <c r="H615"/>
      <c r="I615"/>
      <c r="J615"/>
    </row>
    <row r="616" spans="1:10" ht="12.75" customHeight="1">
      <c r="A616" s="23"/>
      <c r="B616"/>
      <c r="C616"/>
      <c r="D616"/>
      <c r="E616"/>
      <c r="F616"/>
      <c r="G616"/>
      <c r="H616"/>
      <c r="I616"/>
      <c r="J616"/>
    </row>
    <row r="617" spans="1:10" ht="12.75" customHeight="1">
      <c r="A617" s="23"/>
      <c r="B617"/>
      <c r="C617"/>
      <c r="D617"/>
      <c r="E617"/>
      <c r="F617"/>
      <c r="G617"/>
      <c r="H617"/>
      <c r="I617"/>
      <c r="J617"/>
    </row>
    <row r="618" spans="1:10" ht="12.75" customHeight="1">
      <c r="A618" s="23"/>
      <c r="B618"/>
      <c r="C618"/>
      <c r="D618"/>
      <c r="E618"/>
      <c r="F618"/>
      <c r="G618"/>
      <c r="H618"/>
      <c r="I618"/>
      <c r="J618"/>
    </row>
    <row r="619" spans="1:10" ht="12.75" customHeight="1">
      <c r="A619" s="23"/>
      <c r="B619"/>
      <c r="C619"/>
      <c r="D619"/>
      <c r="E619"/>
      <c r="F619"/>
      <c r="G619"/>
      <c r="H619"/>
      <c r="I619"/>
      <c r="J619"/>
    </row>
    <row r="620" spans="1:10" ht="12.75" customHeight="1">
      <c r="A620" s="23"/>
      <c r="B620"/>
      <c r="C620"/>
      <c r="D620"/>
      <c r="E620"/>
      <c r="F620"/>
      <c r="G620"/>
      <c r="H620"/>
      <c r="I620"/>
      <c r="J620"/>
    </row>
    <row r="621" spans="1:10" ht="12.75" customHeight="1">
      <c r="A621" s="23"/>
      <c r="B621"/>
      <c r="C621"/>
      <c r="D621"/>
      <c r="E621"/>
      <c r="F621"/>
      <c r="G621"/>
      <c r="H621"/>
      <c r="I621"/>
      <c r="J621"/>
    </row>
    <row r="622" spans="1:10" ht="12.75" customHeight="1">
      <c r="A622" s="23"/>
      <c r="B622"/>
      <c r="C622"/>
      <c r="D622"/>
      <c r="E622"/>
      <c r="F622"/>
      <c r="G622"/>
      <c r="H622"/>
      <c r="I622"/>
      <c r="J622"/>
    </row>
    <row r="623" spans="1:10" ht="12.75" customHeight="1">
      <c r="A623" s="23"/>
      <c r="B623"/>
      <c r="C623"/>
      <c r="D623"/>
      <c r="E623"/>
      <c r="F623"/>
      <c r="G623"/>
      <c r="H623"/>
      <c r="I623"/>
      <c r="J623"/>
    </row>
    <row r="624" spans="1:10" ht="12.75" customHeight="1">
      <c r="A624" s="23"/>
      <c r="B624"/>
      <c r="C624"/>
      <c r="D624"/>
      <c r="E624"/>
      <c r="F624"/>
      <c r="G624"/>
      <c r="H624"/>
      <c r="I624"/>
      <c r="J624"/>
    </row>
    <row r="625" spans="1:10" ht="12.75" customHeight="1">
      <c r="A625" s="23"/>
      <c r="B625"/>
      <c r="C625"/>
      <c r="D625"/>
      <c r="E625"/>
      <c r="F625"/>
      <c r="G625"/>
      <c r="H625"/>
      <c r="I625"/>
      <c r="J625"/>
    </row>
    <row r="626" spans="1:10" ht="12.75" customHeight="1">
      <c r="A626" s="23"/>
      <c r="B626"/>
      <c r="C626"/>
      <c r="D626"/>
      <c r="E626"/>
      <c r="F626"/>
      <c r="G626"/>
      <c r="H626"/>
      <c r="I626"/>
      <c r="J626"/>
    </row>
    <row r="627" spans="1:10" ht="12.75" customHeight="1">
      <c r="A627" s="23"/>
      <c r="B627"/>
      <c r="C627"/>
      <c r="D627"/>
      <c r="E627"/>
      <c r="F627"/>
      <c r="G627"/>
      <c r="H627"/>
      <c r="I627"/>
      <c r="J627"/>
    </row>
    <row r="628" spans="1:10" ht="12.75" customHeight="1">
      <c r="A628" s="23"/>
      <c r="B628"/>
      <c r="C628"/>
      <c r="D628"/>
      <c r="E628"/>
      <c r="F628"/>
      <c r="G628"/>
      <c r="H628"/>
      <c r="I628"/>
      <c r="J628"/>
    </row>
    <row r="629" spans="1:10" ht="12.75" customHeight="1">
      <c r="A629" s="23"/>
      <c r="B629"/>
      <c r="C629"/>
      <c r="D629"/>
      <c r="E629"/>
      <c r="F629"/>
      <c r="G629"/>
      <c r="H629"/>
      <c r="I629"/>
      <c r="J629"/>
    </row>
    <row r="630" spans="1:10" ht="12.75" customHeight="1">
      <c r="A630" s="23"/>
      <c r="B630"/>
      <c r="C630"/>
      <c r="D630"/>
      <c r="E630"/>
      <c r="F630"/>
      <c r="G630"/>
      <c r="H630"/>
      <c r="I630"/>
      <c r="J630"/>
    </row>
    <row r="631" spans="1:10" ht="12.75" customHeight="1">
      <c r="A631" s="23"/>
      <c r="B631"/>
      <c r="C631"/>
      <c r="D631"/>
      <c r="E631"/>
      <c r="F631"/>
      <c r="G631"/>
      <c r="H631"/>
      <c r="I631"/>
      <c r="J631"/>
    </row>
    <row r="632" spans="1:10" ht="12.75" customHeight="1">
      <c r="A632" s="23"/>
      <c r="B632"/>
      <c r="C632"/>
      <c r="D632"/>
      <c r="E632"/>
      <c r="F632"/>
      <c r="G632"/>
      <c r="H632"/>
      <c r="I632"/>
      <c r="J632"/>
    </row>
    <row r="633" spans="1:10" ht="12.75" customHeight="1">
      <c r="A633" s="23"/>
      <c r="B633"/>
      <c r="C633"/>
      <c r="D633"/>
      <c r="E633"/>
      <c r="F633"/>
      <c r="G633"/>
      <c r="H633"/>
      <c r="I633"/>
      <c r="J633"/>
    </row>
    <row r="634" spans="1:10" ht="12.75" customHeight="1">
      <c r="A634" s="23"/>
      <c r="B634"/>
      <c r="C634"/>
      <c r="D634"/>
      <c r="E634"/>
      <c r="F634"/>
      <c r="G634"/>
      <c r="H634"/>
      <c r="I634"/>
      <c r="J634"/>
    </row>
    <row r="635" spans="1:10" ht="12.75" customHeight="1">
      <c r="A635" s="23"/>
      <c r="B635"/>
      <c r="C635"/>
      <c r="D635"/>
      <c r="E635"/>
      <c r="F635"/>
      <c r="G635"/>
      <c r="H635"/>
      <c r="I635"/>
      <c r="J635"/>
    </row>
    <row r="636" spans="1:10" ht="12.75" customHeight="1">
      <c r="A636" s="23"/>
      <c r="B636"/>
      <c r="C636"/>
      <c r="D636"/>
      <c r="E636"/>
      <c r="F636"/>
      <c r="G636"/>
      <c r="H636"/>
      <c r="I636"/>
      <c r="J636"/>
    </row>
    <row r="637" spans="1:10" ht="12.75" customHeight="1">
      <c r="A637" s="23"/>
      <c r="B637"/>
      <c r="C637"/>
      <c r="D637"/>
      <c r="E637"/>
      <c r="F637"/>
      <c r="G637"/>
      <c r="H637"/>
      <c r="I637"/>
      <c r="J637"/>
    </row>
    <row r="638" spans="1:10" ht="12.75" customHeight="1">
      <c r="A638" s="23"/>
      <c r="B638"/>
      <c r="C638"/>
      <c r="D638"/>
      <c r="E638"/>
      <c r="F638"/>
      <c r="G638"/>
      <c r="H638"/>
      <c r="I638"/>
      <c r="J638"/>
    </row>
    <row r="639" spans="1:10" ht="12.75" customHeight="1">
      <c r="A639" s="23"/>
      <c r="B639"/>
      <c r="C639"/>
      <c r="D639"/>
      <c r="E639"/>
      <c r="F639"/>
      <c r="G639"/>
      <c r="H639"/>
      <c r="I639"/>
      <c r="J639"/>
    </row>
    <row r="640" spans="1:10" ht="12.75" customHeight="1">
      <c r="A640" s="23"/>
      <c r="B640"/>
      <c r="C640"/>
      <c r="D640"/>
      <c r="E640"/>
      <c r="F640"/>
      <c r="G640"/>
      <c r="H640"/>
      <c r="I640"/>
      <c r="J640"/>
    </row>
    <row r="641" spans="1:10" ht="12.75" customHeight="1">
      <c r="A641" s="23"/>
      <c r="B641"/>
      <c r="C641"/>
      <c r="D641"/>
      <c r="E641"/>
      <c r="F641"/>
      <c r="G641"/>
      <c r="H641"/>
      <c r="I641"/>
      <c r="J641"/>
    </row>
    <row r="642" spans="1:10" ht="12.75" customHeight="1">
      <c r="A642" s="23"/>
      <c r="B642"/>
      <c r="C642"/>
      <c r="D642"/>
      <c r="E642"/>
      <c r="F642"/>
      <c r="G642"/>
      <c r="H642"/>
      <c r="I642"/>
      <c r="J642"/>
    </row>
    <row r="643" spans="1:10" ht="12.75" customHeight="1">
      <c r="A643" s="23"/>
      <c r="B643"/>
      <c r="C643"/>
      <c r="D643"/>
      <c r="E643"/>
      <c r="F643"/>
      <c r="G643"/>
      <c r="H643"/>
      <c r="I643"/>
      <c r="J643"/>
    </row>
    <row r="644" spans="1:10" ht="12.75" customHeight="1">
      <c r="A644" s="23"/>
      <c r="B644"/>
      <c r="C644"/>
      <c r="D644"/>
      <c r="E644"/>
      <c r="F644"/>
      <c r="G644"/>
      <c r="H644"/>
      <c r="I644"/>
      <c r="J644"/>
    </row>
    <row r="645" spans="1:10" ht="12.75" customHeight="1">
      <c r="A645" s="23"/>
      <c r="B645"/>
      <c r="C645"/>
      <c r="D645"/>
      <c r="E645"/>
      <c r="F645"/>
      <c r="G645"/>
      <c r="H645"/>
      <c r="I645"/>
      <c r="J645"/>
    </row>
    <row r="646" spans="1:10" ht="12.75" customHeight="1">
      <c r="A646" s="23"/>
      <c r="B646"/>
      <c r="C646"/>
      <c r="D646"/>
      <c r="E646"/>
      <c r="F646"/>
      <c r="G646"/>
      <c r="H646"/>
      <c r="I646"/>
      <c r="J646"/>
    </row>
    <row r="647" spans="1:10" ht="12.75" customHeight="1">
      <c r="A647" s="23"/>
      <c r="B647"/>
      <c r="C647"/>
      <c r="D647"/>
      <c r="E647"/>
      <c r="F647"/>
      <c r="G647"/>
      <c r="H647"/>
      <c r="I647"/>
      <c r="J647"/>
    </row>
    <row r="648" spans="1:10" ht="12.75" customHeight="1">
      <c r="A648" s="23"/>
      <c r="B648"/>
      <c r="C648"/>
      <c r="D648"/>
      <c r="E648"/>
      <c r="F648"/>
      <c r="G648"/>
      <c r="H648"/>
      <c r="I648"/>
      <c r="J648"/>
    </row>
    <row r="649" spans="1:10">
      <c r="A649" s="23"/>
      <c r="B649"/>
      <c r="C649"/>
      <c r="D649"/>
      <c r="E649"/>
      <c r="F649"/>
      <c r="G649"/>
      <c r="H649"/>
      <c r="I649"/>
      <c r="J649"/>
    </row>
    <row r="650" spans="1:10">
      <c r="A650" s="23"/>
      <c r="B650"/>
      <c r="C650"/>
      <c r="D650"/>
      <c r="E650"/>
      <c r="F650"/>
      <c r="G650"/>
      <c r="H650"/>
      <c r="I650"/>
      <c r="J650"/>
    </row>
    <row r="651" spans="1:10">
      <c r="A651" s="23"/>
      <c r="B651"/>
      <c r="C651"/>
      <c r="D651"/>
      <c r="E651"/>
      <c r="F651"/>
      <c r="G651"/>
      <c r="H651"/>
      <c r="I651"/>
      <c r="J651"/>
    </row>
    <row r="652" spans="1:10">
      <c r="A652" s="23"/>
      <c r="B652"/>
      <c r="C652"/>
      <c r="D652"/>
      <c r="E652"/>
      <c r="F652"/>
      <c r="G652"/>
      <c r="H652"/>
      <c r="I652"/>
      <c r="J652"/>
    </row>
    <row r="653" spans="1:10">
      <c r="A653" s="23"/>
      <c r="B653"/>
      <c r="C653"/>
      <c r="D653"/>
      <c r="E653"/>
      <c r="F653"/>
      <c r="G653"/>
      <c r="H653"/>
      <c r="I653"/>
      <c r="J653"/>
    </row>
    <row r="654" spans="1:10">
      <c r="A654" s="23"/>
      <c r="B654"/>
      <c r="C654"/>
      <c r="D654"/>
      <c r="E654"/>
      <c r="F654"/>
      <c r="G654"/>
      <c r="H654"/>
      <c r="I654"/>
      <c r="J654"/>
    </row>
    <row r="655" spans="1:10">
      <c r="A655" s="23"/>
      <c r="B655"/>
      <c r="C655"/>
      <c r="D655"/>
      <c r="E655"/>
      <c r="F655"/>
      <c r="G655"/>
      <c r="H655"/>
      <c r="I655"/>
      <c r="J655"/>
    </row>
    <row r="656" spans="1:10">
      <c r="A656" s="23"/>
      <c r="B656"/>
      <c r="C656"/>
      <c r="D656"/>
      <c r="E656"/>
      <c r="F656"/>
      <c r="G656"/>
      <c r="H656"/>
      <c r="I656"/>
      <c r="J656"/>
    </row>
    <row r="657" spans="1:10">
      <c r="A657" s="23"/>
      <c r="B657"/>
      <c r="C657"/>
      <c r="D657"/>
      <c r="E657"/>
      <c r="F657"/>
      <c r="G657"/>
      <c r="H657"/>
      <c r="I657"/>
      <c r="J657"/>
    </row>
    <row r="658" spans="1:10">
      <c r="A658" s="23"/>
      <c r="B658"/>
      <c r="C658"/>
      <c r="D658"/>
      <c r="E658"/>
      <c r="F658"/>
      <c r="G658"/>
      <c r="H658"/>
      <c r="I658"/>
      <c r="J658"/>
    </row>
    <row r="659" spans="1:10">
      <c r="A659" s="23"/>
      <c r="B659"/>
      <c r="C659"/>
      <c r="D659"/>
      <c r="E659"/>
      <c r="F659"/>
      <c r="G659"/>
      <c r="H659"/>
      <c r="I659"/>
      <c r="J659"/>
    </row>
    <row r="660" spans="1:10">
      <c r="A660" s="23"/>
      <c r="B660"/>
      <c r="C660"/>
      <c r="D660"/>
      <c r="E660"/>
      <c r="F660"/>
      <c r="G660"/>
      <c r="H660"/>
      <c r="I660"/>
      <c r="J660"/>
    </row>
    <row r="661" spans="1:10">
      <c r="A661" s="23"/>
      <c r="B661"/>
      <c r="C661"/>
      <c r="D661"/>
      <c r="E661"/>
      <c r="F661"/>
      <c r="G661"/>
      <c r="H661"/>
      <c r="I661"/>
      <c r="J661"/>
    </row>
    <row r="662" spans="1:10">
      <c r="A662" s="23"/>
      <c r="B662"/>
      <c r="C662"/>
      <c r="D662"/>
      <c r="E662"/>
      <c r="F662"/>
      <c r="G662"/>
      <c r="H662"/>
      <c r="I662"/>
      <c r="J662"/>
    </row>
    <row r="663" spans="1:10">
      <c r="A663" s="23"/>
      <c r="B663"/>
      <c r="C663"/>
      <c r="D663"/>
      <c r="E663"/>
      <c r="F663"/>
      <c r="G663"/>
      <c r="H663"/>
      <c r="I663"/>
      <c r="J663"/>
    </row>
    <row r="664" spans="1:10">
      <c r="A664" s="23"/>
      <c r="B664"/>
      <c r="C664"/>
      <c r="D664"/>
      <c r="E664"/>
      <c r="F664"/>
      <c r="G664"/>
      <c r="H664"/>
      <c r="I664"/>
      <c r="J664"/>
    </row>
    <row r="665" spans="1:10">
      <c r="A665" s="23"/>
      <c r="B665"/>
      <c r="C665"/>
      <c r="D665"/>
      <c r="E665"/>
      <c r="F665"/>
      <c r="G665"/>
      <c r="H665"/>
      <c r="I665"/>
      <c r="J665"/>
    </row>
    <row r="666" spans="1:10">
      <c r="A666" s="23"/>
      <c r="B666"/>
      <c r="C666"/>
      <c r="D666"/>
      <c r="E666"/>
      <c r="F666"/>
      <c r="G666"/>
      <c r="H666"/>
      <c r="I666"/>
      <c r="J666"/>
    </row>
    <row r="667" spans="1:10">
      <c r="A667" s="23"/>
      <c r="B667"/>
      <c r="C667"/>
      <c r="D667"/>
      <c r="E667"/>
      <c r="F667"/>
      <c r="G667"/>
      <c r="H667"/>
      <c r="I667"/>
      <c r="J667"/>
    </row>
    <row r="668" spans="1:10">
      <c r="A668" s="23"/>
      <c r="B668"/>
      <c r="C668"/>
      <c r="D668"/>
      <c r="E668"/>
      <c r="F668"/>
      <c r="G668"/>
      <c r="H668"/>
      <c r="I668"/>
      <c r="J668"/>
    </row>
    <row r="669" spans="1:10">
      <c r="A669" s="23"/>
      <c r="B669"/>
      <c r="C669"/>
      <c r="D669"/>
      <c r="E669"/>
      <c r="F669"/>
      <c r="G669"/>
      <c r="H669"/>
      <c r="I669"/>
      <c r="J669"/>
    </row>
    <row r="670" spans="1:10">
      <c r="A670" s="23"/>
      <c r="B670"/>
      <c r="C670"/>
      <c r="D670"/>
      <c r="E670"/>
      <c r="F670"/>
      <c r="G670"/>
      <c r="H670"/>
      <c r="I670"/>
      <c r="J670"/>
    </row>
    <row r="671" spans="1:10">
      <c r="A671" s="23"/>
      <c r="B671"/>
      <c r="C671"/>
      <c r="D671"/>
      <c r="E671"/>
      <c r="F671"/>
      <c r="G671"/>
      <c r="H671"/>
      <c r="I671"/>
      <c r="J671"/>
    </row>
    <row r="672" spans="1:10">
      <c r="A672" s="23"/>
      <c r="B672"/>
      <c r="C672"/>
      <c r="D672"/>
      <c r="E672"/>
      <c r="F672"/>
      <c r="G672"/>
      <c r="H672"/>
      <c r="I672"/>
      <c r="J672"/>
    </row>
    <row r="673" spans="1:10">
      <c r="A673" s="23"/>
      <c r="B673"/>
      <c r="C673"/>
      <c r="D673"/>
      <c r="E673"/>
      <c r="F673"/>
      <c r="G673"/>
      <c r="H673"/>
      <c r="I673"/>
      <c r="J673"/>
    </row>
    <row r="674" spans="1:10">
      <c r="A674" s="23"/>
      <c r="B674"/>
      <c r="C674"/>
      <c r="D674"/>
      <c r="E674"/>
      <c r="F674"/>
      <c r="G674"/>
      <c r="H674"/>
      <c r="I674"/>
      <c r="J674"/>
    </row>
    <row r="675" spans="1:10">
      <c r="A675" s="23"/>
      <c r="B675"/>
      <c r="C675"/>
      <c r="D675"/>
      <c r="E675"/>
      <c r="F675"/>
      <c r="G675"/>
      <c r="H675"/>
      <c r="I675"/>
      <c r="J675"/>
    </row>
    <row r="676" spans="1:10">
      <c r="A676" s="23"/>
      <c r="B676"/>
      <c r="C676"/>
      <c r="D676"/>
      <c r="E676"/>
      <c r="F676"/>
      <c r="G676"/>
      <c r="H676"/>
      <c r="I676"/>
      <c r="J676"/>
    </row>
    <row r="677" spans="1:10">
      <c r="A677" s="23"/>
      <c r="B677"/>
      <c r="C677"/>
      <c r="D677"/>
      <c r="E677"/>
      <c r="F677"/>
      <c r="G677"/>
      <c r="H677"/>
      <c r="I677"/>
      <c r="J677"/>
    </row>
    <row r="678" spans="1:10">
      <c r="A678" s="23"/>
      <c r="B678"/>
      <c r="C678"/>
      <c r="D678"/>
      <c r="E678"/>
      <c r="F678"/>
      <c r="G678"/>
      <c r="H678"/>
      <c r="I678"/>
      <c r="J678"/>
    </row>
    <row r="679" spans="1:10">
      <c r="A679" s="23"/>
      <c r="B679"/>
      <c r="C679"/>
      <c r="D679"/>
      <c r="E679"/>
      <c r="F679"/>
      <c r="G679"/>
      <c r="H679"/>
      <c r="I679"/>
      <c r="J679"/>
    </row>
    <row r="680" spans="1:10">
      <c r="A680" s="23"/>
      <c r="B680"/>
      <c r="C680"/>
      <c r="D680"/>
      <c r="E680"/>
      <c r="F680"/>
      <c r="G680"/>
      <c r="H680"/>
      <c r="I680"/>
      <c r="J680"/>
    </row>
    <row r="681" spans="1:10">
      <c r="A681" s="23"/>
      <c r="B681"/>
      <c r="C681"/>
      <c r="D681"/>
      <c r="E681"/>
      <c r="F681"/>
      <c r="G681"/>
      <c r="H681"/>
      <c r="I681"/>
      <c r="J681"/>
    </row>
    <row r="682" spans="1:10">
      <c r="A682" s="23"/>
      <c r="B682"/>
      <c r="C682"/>
      <c r="D682"/>
      <c r="E682"/>
      <c r="F682"/>
      <c r="G682"/>
      <c r="H682"/>
      <c r="I682"/>
      <c r="J682"/>
    </row>
    <row r="683" spans="1:10">
      <c r="A683" s="23"/>
      <c r="B683"/>
      <c r="C683"/>
      <c r="D683"/>
      <c r="E683"/>
      <c r="F683"/>
      <c r="G683"/>
      <c r="H683"/>
      <c r="I683"/>
      <c r="J683"/>
    </row>
    <row r="684" spans="1:10">
      <c r="A684" s="23"/>
      <c r="B684"/>
      <c r="C684"/>
      <c r="D684"/>
      <c r="E684"/>
      <c r="F684"/>
      <c r="G684"/>
      <c r="H684"/>
      <c r="I684"/>
      <c r="J684"/>
    </row>
    <row r="685" spans="1:10">
      <c r="A685" s="23"/>
      <c r="B685"/>
      <c r="C685"/>
      <c r="D685"/>
      <c r="E685"/>
      <c r="F685"/>
      <c r="G685"/>
      <c r="H685"/>
      <c r="I685"/>
      <c r="J685"/>
    </row>
    <row r="686" spans="1:10">
      <c r="A686" s="23"/>
      <c r="B686"/>
      <c r="C686"/>
      <c r="D686"/>
      <c r="E686"/>
      <c r="F686"/>
      <c r="G686"/>
      <c r="H686"/>
      <c r="I686"/>
      <c r="J686"/>
    </row>
    <row r="687" spans="1:10">
      <c r="A687" s="23"/>
      <c r="B687"/>
      <c r="C687"/>
      <c r="D687"/>
      <c r="E687"/>
      <c r="F687"/>
      <c r="G687"/>
      <c r="H687"/>
      <c r="I687"/>
      <c r="J687"/>
    </row>
    <row r="688" spans="1:10">
      <c r="A688" s="23"/>
      <c r="B688"/>
      <c r="C688"/>
      <c r="D688"/>
      <c r="E688"/>
      <c r="F688"/>
      <c r="G688"/>
      <c r="H688"/>
      <c r="I688"/>
      <c r="J688"/>
    </row>
    <row r="689" spans="1:10">
      <c r="A689" s="23"/>
      <c r="B689"/>
      <c r="C689"/>
      <c r="D689"/>
      <c r="E689"/>
      <c r="F689"/>
      <c r="G689"/>
      <c r="H689"/>
      <c r="I689"/>
      <c r="J689"/>
    </row>
    <row r="690" spans="1:10">
      <c r="A690" s="23"/>
      <c r="B690"/>
      <c r="C690"/>
      <c r="D690"/>
      <c r="E690"/>
      <c r="F690"/>
      <c r="G690"/>
      <c r="H690"/>
      <c r="I690"/>
      <c r="J690"/>
    </row>
    <row r="691" spans="1:10">
      <c r="A691" s="23"/>
      <c r="B691"/>
      <c r="C691"/>
      <c r="D691"/>
      <c r="E691"/>
      <c r="F691"/>
      <c r="G691"/>
      <c r="H691"/>
      <c r="I691"/>
      <c r="J691"/>
    </row>
    <row r="692" spans="1:10">
      <c r="A692" s="23"/>
      <c r="B692"/>
      <c r="C692"/>
      <c r="D692"/>
      <c r="E692"/>
      <c r="F692"/>
      <c r="G692"/>
      <c r="H692"/>
      <c r="I692"/>
      <c r="J692"/>
    </row>
    <row r="693" spans="1:10">
      <c r="A693" s="23"/>
      <c r="B693"/>
      <c r="C693"/>
      <c r="D693"/>
      <c r="E693"/>
      <c r="F693"/>
      <c r="G693"/>
      <c r="H693"/>
      <c r="I693"/>
      <c r="J693"/>
    </row>
    <row r="694" spans="1:10">
      <c r="A694" s="23"/>
      <c r="B694"/>
      <c r="C694"/>
      <c r="D694"/>
      <c r="E694"/>
      <c r="F694"/>
      <c r="G694"/>
      <c r="H694"/>
      <c r="I694"/>
      <c r="J694"/>
    </row>
    <row r="695" spans="1:10">
      <c r="A695" s="23"/>
      <c r="B695"/>
      <c r="C695"/>
      <c r="D695"/>
      <c r="E695"/>
      <c r="F695"/>
      <c r="G695"/>
      <c r="H695"/>
      <c r="I695"/>
      <c r="J695"/>
    </row>
    <row r="696" spans="1:10">
      <c r="A696" s="23"/>
      <c r="B696"/>
      <c r="C696"/>
      <c r="D696"/>
      <c r="E696"/>
      <c r="F696"/>
      <c r="G696"/>
      <c r="H696"/>
      <c r="I696"/>
      <c r="J696"/>
    </row>
    <row r="697" spans="1:10">
      <c r="A697" s="23"/>
      <c r="B697"/>
      <c r="C697"/>
      <c r="D697"/>
      <c r="E697"/>
      <c r="F697"/>
      <c r="G697"/>
      <c r="H697"/>
      <c r="I697"/>
      <c r="J697"/>
    </row>
    <row r="698" spans="1:10">
      <c r="A698" s="23"/>
      <c r="B698"/>
      <c r="C698"/>
      <c r="D698"/>
      <c r="E698"/>
      <c r="F698"/>
      <c r="G698"/>
      <c r="H698"/>
      <c r="I698"/>
      <c r="J698"/>
    </row>
    <row r="699" spans="1:10">
      <c r="A699" s="23"/>
      <c r="B699"/>
      <c r="C699"/>
      <c r="D699"/>
      <c r="E699"/>
      <c r="F699"/>
      <c r="G699"/>
      <c r="H699"/>
      <c r="I699"/>
      <c r="J699"/>
    </row>
    <row r="700" spans="1:10">
      <c r="A700" s="23"/>
      <c r="B700"/>
      <c r="C700"/>
      <c r="D700"/>
      <c r="E700"/>
      <c r="F700"/>
      <c r="G700"/>
      <c r="H700"/>
      <c r="I700"/>
      <c r="J700"/>
    </row>
    <row r="701" spans="1:10">
      <c r="A701" s="23"/>
      <c r="B701"/>
      <c r="C701"/>
      <c r="D701"/>
      <c r="E701"/>
      <c r="F701"/>
      <c r="G701"/>
      <c r="H701"/>
      <c r="I701"/>
      <c r="J701"/>
    </row>
    <row r="702" spans="1:10">
      <c r="A702" s="23"/>
      <c r="B702"/>
      <c r="C702"/>
      <c r="D702"/>
      <c r="E702"/>
      <c r="F702"/>
      <c r="G702"/>
      <c r="H702"/>
      <c r="I702"/>
      <c r="J702"/>
    </row>
    <row r="703" spans="1:10">
      <c r="A703" s="23"/>
      <c r="B703"/>
      <c r="C703"/>
      <c r="D703"/>
      <c r="E703"/>
      <c r="F703"/>
      <c r="G703"/>
      <c r="H703"/>
      <c r="I703"/>
      <c r="J703"/>
    </row>
    <row r="704" spans="1:10">
      <c r="A704" s="23"/>
      <c r="B704"/>
      <c r="C704"/>
      <c r="D704"/>
      <c r="E704"/>
      <c r="F704"/>
      <c r="G704"/>
      <c r="H704"/>
      <c r="I704"/>
      <c r="J704"/>
    </row>
    <row r="705" spans="1:10">
      <c r="A705" s="23"/>
      <c r="B705"/>
      <c r="C705"/>
      <c r="D705"/>
      <c r="E705"/>
      <c r="F705"/>
      <c r="G705"/>
      <c r="H705"/>
      <c r="I705"/>
      <c r="J705"/>
    </row>
    <row r="706" spans="1:10">
      <c r="A706" s="23"/>
      <c r="B706"/>
      <c r="C706"/>
      <c r="D706"/>
      <c r="E706"/>
      <c r="F706"/>
      <c r="G706"/>
      <c r="H706"/>
      <c r="I706"/>
      <c r="J706"/>
    </row>
    <row r="707" spans="1:10">
      <c r="A707" s="23"/>
      <c r="B707"/>
      <c r="C707"/>
      <c r="D707"/>
      <c r="E707"/>
      <c r="F707"/>
      <c r="G707"/>
      <c r="H707"/>
      <c r="I707"/>
      <c r="J707"/>
    </row>
    <row r="708" spans="1:10">
      <c r="A708" s="23"/>
      <c r="B708"/>
      <c r="C708"/>
      <c r="D708"/>
      <c r="E708"/>
      <c r="F708"/>
      <c r="G708"/>
      <c r="H708"/>
      <c r="I708"/>
      <c r="J708"/>
    </row>
    <row r="709" spans="1:10">
      <c r="A709" s="23"/>
      <c r="B709"/>
      <c r="C709"/>
      <c r="D709"/>
      <c r="E709"/>
      <c r="F709"/>
      <c r="G709"/>
      <c r="H709"/>
      <c r="I709"/>
      <c r="J709"/>
    </row>
    <row r="710" spans="1:10">
      <c r="A710" s="23"/>
      <c r="B710"/>
      <c r="C710"/>
      <c r="D710"/>
      <c r="E710"/>
      <c r="F710"/>
      <c r="G710"/>
      <c r="H710"/>
      <c r="I710"/>
      <c r="J710"/>
    </row>
    <row r="711" spans="1:10">
      <c r="A711" s="23"/>
      <c r="B711"/>
      <c r="C711"/>
      <c r="D711"/>
      <c r="E711"/>
      <c r="F711"/>
      <c r="G711"/>
      <c r="H711"/>
      <c r="I711"/>
      <c r="J711"/>
    </row>
    <row r="712" spans="1:10">
      <c r="A712" s="23"/>
      <c r="B712"/>
      <c r="C712"/>
      <c r="D712"/>
      <c r="E712"/>
      <c r="F712"/>
      <c r="G712"/>
      <c r="H712"/>
      <c r="I712"/>
      <c r="J712"/>
    </row>
    <row r="713" spans="1:10">
      <c r="A713" s="23"/>
      <c r="B713"/>
      <c r="C713"/>
      <c r="D713"/>
      <c r="E713"/>
      <c r="F713"/>
      <c r="G713"/>
      <c r="H713"/>
      <c r="I713"/>
      <c r="J713"/>
    </row>
    <row r="714" spans="1:10">
      <c r="A714" s="23"/>
      <c r="B714"/>
      <c r="C714"/>
      <c r="D714"/>
      <c r="E714"/>
      <c r="F714"/>
      <c r="G714"/>
      <c r="H714"/>
      <c r="I714"/>
      <c r="J714"/>
    </row>
    <row r="715" spans="1:10">
      <c r="A715" s="23"/>
      <c r="B715"/>
      <c r="C715"/>
      <c r="D715"/>
      <c r="E715"/>
      <c r="F715"/>
      <c r="G715"/>
      <c r="H715"/>
      <c r="I715"/>
      <c r="J715"/>
    </row>
    <row r="716" spans="1:10">
      <c r="A716" s="23"/>
      <c r="B716"/>
      <c r="C716"/>
      <c r="D716"/>
      <c r="E716"/>
      <c r="F716"/>
      <c r="G716"/>
      <c r="H716"/>
      <c r="I716"/>
      <c r="J716"/>
    </row>
    <row r="717" spans="1:10">
      <c r="A717" s="23"/>
      <c r="B717"/>
      <c r="C717"/>
      <c r="D717"/>
      <c r="E717"/>
      <c r="F717"/>
      <c r="G717"/>
      <c r="H717"/>
      <c r="I717"/>
      <c r="J717"/>
    </row>
    <row r="718" spans="1:10">
      <c r="A718" s="23"/>
      <c r="B718"/>
      <c r="C718"/>
      <c r="D718"/>
      <c r="E718"/>
      <c r="F718"/>
      <c r="G718"/>
      <c r="H718"/>
      <c r="I718"/>
      <c r="J718"/>
    </row>
    <row r="719" spans="1:10">
      <c r="A719" s="23"/>
      <c r="B719"/>
      <c r="C719"/>
      <c r="D719"/>
      <c r="E719"/>
      <c r="F719"/>
      <c r="G719"/>
      <c r="H719"/>
      <c r="I719"/>
      <c r="J719"/>
    </row>
    <row r="720" spans="1:10">
      <c r="A720" s="23"/>
      <c r="B720"/>
      <c r="C720"/>
      <c r="D720"/>
      <c r="E720"/>
      <c r="F720"/>
      <c r="G720"/>
      <c r="H720"/>
      <c r="I720"/>
      <c r="J720"/>
    </row>
    <row r="721" spans="1:10">
      <c r="A721" s="23"/>
      <c r="B721"/>
      <c r="C721"/>
      <c r="D721"/>
      <c r="E721"/>
      <c r="F721"/>
      <c r="G721"/>
      <c r="H721"/>
      <c r="I721"/>
      <c r="J721"/>
    </row>
    <row r="722" spans="1:10">
      <c r="A722" s="23"/>
      <c r="B722"/>
      <c r="C722"/>
      <c r="D722"/>
      <c r="E722"/>
      <c r="F722"/>
      <c r="G722"/>
      <c r="H722"/>
      <c r="I722"/>
      <c r="J722"/>
    </row>
    <row r="723" spans="1:10">
      <c r="A723" s="23"/>
      <c r="B723"/>
      <c r="C723"/>
      <c r="D723"/>
      <c r="E723"/>
      <c r="F723"/>
      <c r="G723"/>
      <c r="H723"/>
      <c r="I723"/>
      <c r="J723"/>
    </row>
    <row r="724" spans="1:10">
      <c r="A724" s="23"/>
      <c r="B724"/>
      <c r="C724"/>
      <c r="D724"/>
      <c r="E724"/>
      <c r="F724"/>
      <c r="G724"/>
      <c r="H724"/>
      <c r="I724"/>
      <c r="J724"/>
    </row>
    <row r="725" spans="1:10">
      <c r="A725" s="23"/>
      <c r="B725"/>
      <c r="C725"/>
      <c r="D725"/>
      <c r="E725"/>
      <c r="F725"/>
      <c r="G725"/>
      <c r="H725"/>
      <c r="I725"/>
      <c r="J725"/>
    </row>
    <row r="726" spans="1:10">
      <c r="A726" s="23"/>
      <c r="B726"/>
      <c r="C726"/>
      <c r="D726"/>
      <c r="E726"/>
      <c r="F726"/>
      <c r="G726"/>
      <c r="H726"/>
      <c r="I726"/>
      <c r="J726"/>
    </row>
    <row r="727" spans="1:10">
      <c r="A727" s="23"/>
      <c r="B727"/>
      <c r="C727"/>
      <c r="D727"/>
      <c r="E727"/>
      <c r="F727"/>
      <c r="G727"/>
      <c r="H727"/>
      <c r="I727"/>
      <c r="J727"/>
    </row>
    <row r="728" spans="1:10">
      <c r="A728" s="23"/>
      <c r="B728"/>
      <c r="C728"/>
      <c r="D728"/>
      <c r="E728"/>
      <c r="F728"/>
      <c r="G728"/>
      <c r="H728"/>
      <c r="I728"/>
      <c r="J728"/>
    </row>
    <row r="729" spans="1:10">
      <c r="A729" s="23"/>
      <c r="B729"/>
      <c r="C729"/>
      <c r="D729"/>
      <c r="E729"/>
      <c r="F729"/>
      <c r="G729"/>
      <c r="H729"/>
      <c r="I729"/>
      <c r="J729"/>
    </row>
    <row r="730" spans="1:10">
      <c r="A730" s="23"/>
      <c r="B730"/>
      <c r="C730"/>
      <c r="D730"/>
      <c r="E730"/>
      <c r="F730"/>
      <c r="G730"/>
      <c r="H730"/>
      <c r="I730"/>
      <c r="J730"/>
    </row>
    <row r="731" spans="1:10">
      <c r="A731" s="23"/>
      <c r="B731"/>
      <c r="C731"/>
      <c r="D731"/>
      <c r="E731"/>
      <c r="F731"/>
      <c r="G731"/>
      <c r="H731"/>
      <c r="I731"/>
      <c r="J731"/>
    </row>
    <row r="732" spans="1:10">
      <c r="A732" s="23"/>
      <c r="B732"/>
      <c r="C732"/>
      <c r="D732"/>
      <c r="E732"/>
      <c r="F732"/>
      <c r="G732"/>
      <c r="H732"/>
      <c r="I732"/>
      <c r="J732"/>
    </row>
    <row r="733" spans="1:10">
      <c r="A733" s="23"/>
      <c r="B733"/>
      <c r="C733"/>
      <c r="D733"/>
      <c r="E733"/>
      <c r="F733"/>
      <c r="G733"/>
      <c r="H733"/>
      <c r="I733"/>
      <c r="J733"/>
    </row>
    <row r="734" spans="1:10">
      <c r="A734" s="23"/>
      <c r="B734"/>
      <c r="C734"/>
      <c r="D734"/>
      <c r="E734"/>
      <c r="F734"/>
      <c r="G734"/>
      <c r="H734"/>
      <c r="I734"/>
      <c r="J734"/>
    </row>
    <row r="735" spans="1:10">
      <c r="A735" s="23"/>
      <c r="B735"/>
      <c r="C735"/>
      <c r="D735"/>
      <c r="E735"/>
      <c r="F735"/>
      <c r="G735"/>
      <c r="H735"/>
      <c r="I735"/>
      <c r="J735"/>
    </row>
    <row r="736" spans="1:10">
      <c r="A736" s="23"/>
      <c r="B736"/>
      <c r="C736"/>
      <c r="D736"/>
      <c r="E736"/>
      <c r="F736"/>
      <c r="G736"/>
      <c r="H736"/>
      <c r="I736"/>
      <c r="J736"/>
    </row>
    <row r="737" spans="1:10">
      <c r="A737" s="23"/>
      <c r="B737"/>
      <c r="C737"/>
      <c r="D737"/>
      <c r="E737"/>
      <c r="F737"/>
      <c r="G737"/>
      <c r="H737"/>
      <c r="I737"/>
      <c r="J737"/>
    </row>
    <row r="738" spans="1:10">
      <c r="A738" s="23"/>
      <c r="B738"/>
      <c r="C738"/>
      <c r="D738"/>
      <c r="E738"/>
      <c r="F738"/>
      <c r="G738"/>
      <c r="H738"/>
      <c r="I738"/>
      <c r="J738"/>
    </row>
    <row r="739" spans="1:10">
      <c r="A739" s="23"/>
      <c r="B739"/>
      <c r="C739"/>
      <c r="D739"/>
      <c r="E739"/>
      <c r="F739"/>
      <c r="G739"/>
      <c r="H739"/>
      <c r="I739"/>
      <c r="J739"/>
    </row>
    <row r="740" spans="1:10">
      <c r="A740" s="23"/>
      <c r="B740"/>
      <c r="C740"/>
      <c r="D740"/>
      <c r="E740"/>
      <c r="F740"/>
      <c r="G740"/>
      <c r="H740"/>
      <c r="I740"/>
      <c r="J740"/>
    </row>
    <row r="741" spans="1:10">
      <c r="A741" s="23"/>
      <c r="B741"/>
      <c r="C741"/>
      <c r="D741"/>
      <c r="E741"/>
      <c r="F741"/>
      <c r="G741"/>
      <c r="H741"/>
      <c r="I741"/>
      <c r="J741"/>
    </row>
    <row r="742" spans="1:10">
      <c r="A742" s="23"/>
      <c r="B742"/>
      <c r="C742"/>
      <c r="D742"/>
      <c r="E742"/>
      <c r="F742"/>
      <c r="G742"/>
      <c r="H742"/>
      <c r="I742"/>
      <c r="J742"/>
    </row>
    <row r="743" spans="1:10">
      <c r="A743" s="23"/>
      <c r="B743"/>
      <c r="C743"/>
      <c r="D743"/>
      <c r="E743"/>
      <c r="F743"/>
      <c r="G743"/>
      <c r="H743"/>
      <c r="I743"/>
      <c r="J743"/>
    </row>
    <row r="744" spans="1:10">
      <c r="A744" s="23"/>
      <c r="B744"/>
      <c r="C744"/>
      <c r="D744"/>
      <c r="E744"/>
      <c r="F744"/>
      <c r="G744"/>
      <c r="H744"/>
      <c r="I744"/>
      <c r="J744"/>
    </row>
    <row r="745" spans="1:10">
      <c r="A745" s="23"/>
      <c r="B745"/>
      <c r="C745"/>
      <c r="D745"/>
      <c r="E745"/>
      <c r="F745"/>
      <c r="G745"/>
      <c r="H745"/>
      <c r="I745"/>
      <c r="J745"/>
    </row>
    <row r="746" spans="1:10">
      <c r="A746" s="23"/>
      <c r="B746"/>
      <c r="C746"/>
      <c r="D746"/>
      <c r="E746"/>
      <c r="F746"/>
      <c r="G746"/>
      <c r="H746"/>
      <c r="I746"/>
      <c r="J746"/>
    </row>
    <row r="747" spans="1:10">
      <c r="A747" s="23"/>
      <c r="B747"/>
      <c r="C747"/>
      <c r="D747"/>
      <c r="E747"/>
      <c r="F747"/>
      <c r="G747"/>
      <c r="H747"/>
      <c r="I747"/>
      <c r="J747"/>
    </row>
    <row r="748" spans="1:10">
      <c r="A748" s="23"/>
      <c r="B748"/>
      <c r="C748"/>
      <c r="D748"/>
      <c r="E748"/>
      <c r="F748"/>
      <c r="G748"/>
      <c r="H748"/>
      <c r="I748"/>
      <c r="J748"/>
    </row>
    <row r="749" spans="1:10">
      <c r="A749" s="23"/>
      <c r="B749"/>
      <c r="C749"/>
      <c r="D749"/>
      <c r="E749"/>
      <c r="F749"/>
      <c r="G749"/>
      <c r="H749"/>
      <c r="I749"/>
      <c r="J749"/>
    </row>
    <row r="750" spans="1:10">
      <c r="A750" s="23"/>
      <c r="B750"/>
      <c r="C750"/>
      <c r="D750"/>
      <c r="E750"/>
      <c r="F750"/>
      <c r="G750"/>
      <c r="H750"/>
      <c r="I750"/>
      <c r="J750"/>
    </row>
    <row r="751" spans="1:10">
      <c r="A751" s="23"/>
      <c r="B751"/>
      <c r="C751"/>
      <c r="D751"/>
      <c r="E751"/>
      <c r="F751"/>
      <c r="G751"/>
      <c r="H751"/>
      <c r="I751"/>
      <c r="J751"/>
    </row>
    <row r="752" spans="1:10">
      <c r="A752" s="23"/>
      <c r="B752"/>
      <c r="C752"/>
      <c r="D752"/>
      <c r="E752"/>
      <c r="F752"/>
      <c r="G752"/>
      <c r="H752"/>
      <c r="I752"/>
      <c r="J752"/>
    </row>
    <row r="753" spans="1:10">
      <c r="A753" s="23"/>
      <c r="B753"/>
      <c r="C753"/>
      <c r="D753"/>
      <c r="E753"/>
      <c r="F753"/>
      <c r="G753"/>
      <c r="H753"/>
      <c r="I753"/>
      <c r="J753"/>
    </row>
    <row r="754" spans="1:10">
      <c r="A754" s="23"/>
      <c r="B754"/>
      <c r="C754"/>
      <c r="D754"/>
      <c r="E754"/>
      <c r="F754"/>
      <c r="G754"/>
      <c r="H754"/>
      <c r="I754"/>
      <c r="J754"/>
    </row>
    <row r="755" spans="1:10">
      <c r="A755" s="23"/>
      <c r="B755"/>
      <c r="C755"/>
      <c r="D755"/>
      <c r="E755"/>
      <c r="F755"/>
      <c r="G755"/>
      <c r="H755"/>
      <c r="I755"/>
      <c r="J755"/>
    </row>
    <row r="756" spans="1:10">
      <c r="A756" s="23"/>
      <c r="B756"/>
      <c r="C756"/>
      <c r="D756"/>
      <c r="E756"/>
      <c r="F756"/>
      <c r="G756"/>
      <c r="H756"/>
      <c r="I756"/>
      <c r="J756"/>
    </row>
    <row r="757" spans="1:10">
      <c r="A757" s="23"/>
      <c r="B757"/>
      <c r="C757"/>
      <c r="D757"/>
      <c r="E757"/>
      <c r="F757"/>
      <c r="G757"/>
      <c r="H757"/>
      <c r="I757"/>
      <c r="J757"/>
    </row>
    <row r="758" spans="1:10">
      <c r="A758" s="23"/>
      <c r="B758"/>
      <c r="C758"/>
      <c r="D758"/>
      <c r="E758"/>
      <c r="F758"/>
      <c r="G758"/>
      <c r="H758"/>
      <c r="I758"/>
      <c r="J758"/>
    </row>
    <row r="759" spans="1:10">
      <c r="A759" s="23"/>
      <c r="B759"/>
      <c r="C759"/>
      <c r="D759"/>
      <c r="E759"/>
      <c r="F759"/>
      <c r="G759"/>
      <c r="H759"/>
      <c r="I759"/>
      <c r="J759"/>
    </row>
    <row r="760" spans="1:10">
      <c r="A760" s="23"/>
      <c r="B760"/>
      <c r="C760"/>
      <c r="D760"/>
      <c r="E760"/>
      <c r="F760"/>
      <c r="G760"/>
      <c r="H760"/>
      <c r="I760"/>
      <c r="J760"/>
    </row>
    <row r="761" spans="1:10">
      <c r="A761" s="23"/>
      <c r="B761"/>
      <c r="C761"/>
      <c r="D761"/>
      <c r="E761"/>
      <c r="F761"/>
      <c r="G761"/>
      <c r="H761"/>
      <c r="I761"/>
      <c r="J761"/>
    </row>
    <row r="762" spans="1:10">
      <c r="A762" s="23"/>
      <c r="B762"/>
      <c r="C762"/>
      <c r="D762"/>
      <c r="E762"/>
      <c r="F762"/>
      <c r="G762"/>
      <c r="H762"/>
      <c r="I762"/>
      <c r="J762"/>
    </row>
    <row r="763" spans="1:10">
      <c r="A763" s="23"/>
      <c r="B763"/>
      <c r="C763"/>
      <c r="D763"/>
      <c r="E763"/>
      <c r="F763"/>
      <c r="G763"/>
      <c r="H763"/>
      <c r="I763"/>
      <c r="J763"/>
    </row>
    <row r="764" spans="1:10">
      <c r="A764" s="23"/>
      <c r="B764"/>
      <c r="C764"/>
      <c r="D764"/>
      <c r="E764"/>
      <c r="F764"/>
      <c r="G764"/>
      <c r="H764"/>
      <c r="I764"/>
      <c r="J764"/>
    </row>
    <row r="765" spans="1:10">
      <c r="A765" s="23"/>
      <c r="B765"/>
      <c r="C765"/>
      <c r="D765"/>
      <c r="E765"/>
      <c r="F765"/>
      <c r="G765"/>
      <c r="H765"/>
      <c r="I765"/>
      <c r="J765"/>
    </row>
    <row r="766" spans="1:10">
      <c r="A766" s="23"/>
      <c r="B766"/>
      <c r="C766"/>
      <c r="D766"/>
      <c r="E766"/>
      <c r="F766"/>
      <c r="G766"/>
      <c r="H766"/>
      <c r="I766"/>
      <c r="J766"/>
    </row>
    <row r="767" spans="1:10">
      <c r="A767" s="23"/>
      <c r="B767"/>
      <c r="C767"/>
      <c r="D767"/>
      <c r="E767"/>
      <c r="F767"/>
      <c r="G767"/>
      <c r="H767"/>
      <c r="I767"/>
      <c r="J767"/>
    </row>
    <row r="768" spans="1:10">
      <c r="A768" s="23"/>
      <c r="B768"/>
      <c r="C768"/>
      <c r="D768"/>
      <c r="E768"/>
      <c r="F768"/>
      <c r="G768"/>
      <c r="H768"/>
      <c r="I768"/>
      <c r="J768"/>
    </row>
    <row r="769" spans="1:10">
      <c r="A769" s="23"/>
      <c r="B769"/>
      <c r="C769"/>
      <c r="D769"/>
      <c r="E769"/>
      <c r="F769"/>
      <c r="G769"/>
      <c r="H769"/>
      <c r="I769"/>
      <c r="J769"/>
    </row>
    <row r="770" spans="1:10">
      <c r="A770" s="23"/>
      <c r="B770"/>
      <c r="C770"/>
      <c r="D770"/>
      <c r="E770"/>
      <c r="F770"/>
      <c r="G770"/>
      <c r="H770"/>
      <c r="I770"/>
      <c r="J770"/>
    </row>
    <row r="771" spans="1:10">
      <c r="A771" s="23"/>
      <c r="B771"/>
      <c r="C771"/>
      <c r="D771"/>
      <c r="E771"/>
      <c r="F771"/>
      <c r="G771"/>
      <c r="H771"/>
      <c r="I771"/>
      <c r="J771"/>
    </row>
    <row r="772" spans="1:10">
      <c r="A772" s="23"/>
      <c r="B772"/>
      <c r="C772"/>
      <c r="D772"/>
      <c r="E772"/>
      <c r="F772"/>
      <c r="G772"/>
      <c r="H772"/>
      <c r="I772"/>
      <c r="J772"/>
    </row>
    <row r="773" spans="1:10">
      <c r="A773" s="23"/>
      <c r="B773"/>
      <c r="C773"/>
      <c r="D773"/>
      <c r="E773"/>
      <c r="F773"/>
      <c r="G773"/>
      <c r="H773"/>
      <c r="I773"/>
      <c r="J773"/>
    </row>
    <row r="774" spans="1:10">
      <c r="A774" s="23"/>
      <c r="B774"/>
      <c r="C774"/>
      <c r="D774"/>
      <c r="E774"/>
      <c r="F774"/>
      <c r="G774"/>
      <c r="H774"/>
      <c r="I774"/>
      <c r="J774"/>
    </row>
    <row r="775" spans="1:10">
      <c r="A775" s="23"/>
      <c r="B775"/>
      <c r="C775"/>
      <c r="D775"/>
      <c r="E775"/>
      <c r="F775"/>
      <c r="G775"/>
      <c r="H775"/>
      <c r="I775"/>
      <c r="J775"/>
    </row>
    <row r="776" spans="1:10">
      <c r="A776" s="23"/>
      <c r="B776"/>
      <c r="C776"/>
      <c r="D776"/>
      <c r="E776"/>
      <c r="F776"/>
      <c r="G776"/>
      <c r="H776"/>
      <c r="I776"/>
      <c r="J776"/>
    </row>
    <row r="777" spans="1:10">
      <c r="A777" s="23"/>
      <c r="B777"/>
      <c r="C777"/>
      <c r="D777"/>
      <c r="E777"/>
      <c r="F777"/>
      <c r="G777"/>
      <c r="H777"/>
      <c r="I777"/>
      <c r="J777"/>
    </row>
    <row r="778" spans="1:10">
      <c r="A778" s="23"/>
      <c r="B778"/>
      <c r="C778"/>
      <c r="D778"/>
      <c r="E778"/>
      <c r="F778"/>
      <c r="G778"/>
      <c r="H778"/>
      <c r="I778"/>
      <c r="J778"/>
    </row>
    <row r="779" spans="1:10">
      <c r="A779" s="23"/>
      <c r="B779"/>
      <c r="C779"/>
      <c r="D779"/>
      <c r="E779"/>
      <c r="F779"/>
      <c r="G779"/>
      <c r="H779"/>
      <c r="I779"/>
      <c r="J779"/>
    </row>
    <row r="780" spans="1:10">
      <c r="A780" s="23"/>
      <c r="B780"/>
      <c r="C780"/>
      <c r="D780"/>
      <c r="E780"/>
      <c r="F780"/>
      <c r="G780"/>
      <c r="H780"/>
      <c r="I780"/>
      <c r="J780"/>
    </row>
    <row r="781" spans="1:10">
      <c r="A781" s="23"/>
      <c r="B781"/>
      <c r="C781"/>
      <c r="D781"/>
      <c r="E781"/>
      <c r="F781"/>
      <c r="G781"/>
      <c r="H781"/>
      <c r="I781"/>
      <c r="J781"/>
    </row>
    <row r="782" spans="1:10">
      <c r="A782" s="23"/>
      <c r="B782"/>
      <c r="C782"/>
      <c r="D782"/>
      <c r="E782"/>
      <c r="F782"/>
      <c r="G782"/>
      <c r="H782"/>
      <c r="I782"/>
      <c r="J782"/>
    </row>
    <row r="783" spans="1:10">
      <c r="A783" s="23"/>
      <c r="B783"/>
      <c r="C783"/>
      <c r="D783"/>
      <c r="E783"/>
      <c r="F783"/>
      <c r="G783"/>
      <c r="H783"/>
      <c r="I783"/>
      <c r="J783"/>
    </row>
    <row r="784" spans="1:10">
      <c r="A784" s="23"/>
      <c r="B784"/>
      <c r="C784"/>
      <c r="D784"/>
      <c r="E784"/>
      <c r="F784"/>
      <c r="G784"/>
      <c r="H784"/>
      <c r="I784"/>
      <c r="J784"/>
    </row>
    <row r="785" spans="1:10">
      <c r="A785" s="23"/>
      <c r="B785"/>
      <c r="C785"/>
      <c r="D785"/>
      <c r="E785"/>
      <c r="F785"/>
      <c r="G785"/>
      <c r="H785"/>
      <c r="I785"/>
      <c r="J785"/>
    </row>
    <row r="786" spans="1:10">
      <c r="A786" s="23"/>
      <c r="B786"/>
      <c r="C786"/>
      <c r="D786"/>
      <c r="E786"/>
      <c r="F786"/>
      <c r="G786"/>
      <c r="H786"/>
      <c r="I786"/>
      <c r="J786"/>
    </row>
    <row r="787" spans="1:10">
      <c r="A787" s="23"/>
      <c r="B787"/>
      <c r="C787"/>
      <c r="D787"/>
      <c r="E787"/>
      <c r="F787"/>
      <c r="G787"/>
      <c r="H787"/>
      <c r="I787"/>
      <c r="J787"/>
    </row>
    <row r="788" spans="1:10">
      <c r="A788" s="23"/>
      <c r="B788"/>
      <c r="C788"/>
      <c r="D788"/>
      <c r="E788"/>
      <c r="F788"/>
      <c r="G788"/>
      <c r="H788"/>
      <c r="I788"/>
      <c r="J788"/>
    </row>
    <row r="789" spans="1:10">
      <c r="A789" s="23"/>
      <c r="B789"/>
      <c r="C789"/>
      <c r="D789"/>
      <c r="E789"/>
      <c r="F789"/>
      <c r="G789"/>
      <c r="H789"/>
      <c r="I789"/>
      <c r="J789"/>
    </row>
    <row r="790" spans="1:10">
      <c r="A790" s="23"/>
      <c r="B790"/>
      <c r="C790"/>
      <c r="D790"/>
      <c r="E790"/>
      <c r="F790"/>
      <c r="G790"/>
      <c r="H790"/>
      <c r="I790"/>
      <c r="J790"/>
    </row>
    <row r="791" spans="1:10">
      <c r="A791" s="23"/>
      <c r="B791"/>
      <c r="C791"/>
      <c r="D791"/>
      <c r="E791"/>
      <c r="F791"/>
      <c r="G791"/>
      <c r="H791"/>
      <c r="I791"/>
      <c r="J791"/>
    </row>
    <row r="792" spans="1:10">
      <c r="A792" s="23"/>
      <c r="B792"/>
      <c r="C792"/>
      <c r="D792"/>
      <c r="E792"/>
      <c r="F792"/>
      <c r="G792"/>
      <c r="H792"/>
      <c r="I792"/>
      <c r="J792"/>
    </row>
    <row r="793" spans="1:10">
      <c r="A793" s="23"/>
      <c r="B793"/>
      <c r="C793"/>
      <c r="D793"/>
      <c r="E793"/>
      <c r="F793"/>
      <c r="G793"/>
      <c r="H793"/>
      <c r="I793"/>
      <c r="J793"/>
    </row>
    <row r="794" spans="1:10">
      <c r="A794" s="23"/>
      <c r="B794"/>
      <c r="C794"/>
      <c r="D794"/>
      <c r="E794"/>
      <c r="F794"/>
      <c r="G794"/>
      <c r="H794"/>
      <c r="I794"/>
      <c r="J794"/>
    </row>
    <row r="795" spans="1:10">
      <c r="A795" s="23"/>
      <c r="B795"/>
      <c r="C795"/>
      <c r="D795"/>
      <c r="E795"/>
      <c r="F795"/>
      <c r="G795"/>
      <c r="H795"/>
      <c r="I795"/>
      <c r="J795"/>
    </row>
    <row r="796" spans="1:10">
      <c r="A796" s="23"/>
      <c r="B796"/>
      <c r="C796"/>
      <c r="D796"/>
      <c r="E796"/>
      <c r="F796"/>
      <c r="G796"/>
      <c r="H796"/>
      <c r="I796"/>
      <c r="J796"/>
    </row>
    <row r="797" spans="1:10">
      <c r="A797" s="23"/>
      <c r="B797"/>
      <c r="C797"/>
      <c r="D797"/>
      <c r="E797"/>
      <c r="F797"/>
      <c r="G797"/>
      <c r="H797"/>
      <c r="I797"/>
      <c r="J797"/>
    </row>
    <row r="798" spans="1:10">
      <c r="A798" s="23"/>
      <c r="B798"/>
      <c r="C798"/>
      <c r="D798"/>
      <c r="E798"/>
      <c r="F798"/>
      <c r="G798"/>
      <c r="H798"/>
      <c r="I798"/>
      <c r="J798"/>
    </row>
    <row r="799" spans="1:10">
      <c r="A799" s="23"/>
      <c r="B799"/>
      <c r="C799"/>
      <c r="D799"/>
      <c r="E799"/>
      <c r="F799"/>
      <c r="G799"/>
      <c r="H799"/>
      <c r="I799"/>
      <c r="J799"/>
    </row>
    <row r="800" spans="1:10">
      <c r="A800" s="23"/>
      <c r="B800"/>
      <c r="C800"/>
      <c r="D800"/>
      <c r="E800"/>
      <c r="F800"/>
      <c r="G800"/>
      <c r="H800"/>
      <c r="I800"/>
      <c r="J800"/>
    </row>
    <row r="801" spans="1:10">
      <c r="A801" s="23"/>
      <c r="B801"/>
      <c r="C801"/>
      <c r="D801"/>
      <c r="E801"/>
      <c r="F801"/>
      <c r="G801"/>
      <c r="H801"/>
      <c r="I801"/>
      <c r="J801"/>
    </row>
    <row r="802" spans="1:10">
      <c r="A802" s="23"/>
      <c r="B802"/>
      <c r="C802"/>
      <c r="D802"/>
      <c r="E802"/>
      <c r="F802"/>
      <c r="G802"/>
      <c r="H802"/>
      <c r="I802"/>
      <c r="J802"/>
    </row>
    <row r="803" spans="1:10">
      <c r="A803" s="23"/>
      <c r="B803"/>
      <c r="C803"/>
      <c r="D803"/>
      <c r="E803"/>
      <c r="F803"/>
      <c r="G803"/>
      <c r="H803"/>
      <c r="I803"/>
      <c r="J803"/>
    </row>
    <row r="804" spans="1:10">
      <c r="A804" s="23"/>
      <c r="B804"/>
      <c r="C804"/>
      <c r="D804"/>
      <c r="E804"/>
      <c r="F804"/>
      <c r="G804"/>
      <c r="H804"/>
      <c r="I804"/>
      <c r="J804"/>
    </row>
    <row r="805" spans="1:10">
      <c r="A805" s="23"/>
      <c r="B805"/>
      <c r="C805"/>
      <c r="D805"/>
      <c r="E805"/>
      <c r="F805"/>
      <c r="G805"/>
      <c r="H805"/>
      <c r="I805"/>
      <c r="J805"/>
    </row>
    <row r="806" spans="1:10">
      <c r="A806" s="23"/>
      <c r="B806"/>
      <c r="C806"/>
      <c r="D806"/>
      <c r="E806"/>
      <c r="F806"/>
      <c r="G806"/>
      <c r="H806"/>
      <c r="I806"/>
      <c r="J806"/>
    </row>
    <row r="807" spans="1:10">
      <c r="A807" s="23"/>
      <c r="B807"/>
      <c r="C807"/>
      <c r="D807"/>
      <c r="E807"/>
      <c r="F807"/>
      <c r="G807"/>
      <c r="H807"/>
      <c r="I807"/>
      <c r="J807"/>
    </row>
    <row r="808" spans="1:10">
      <c r="A808" s="23"/>
      <c r="B808"/>
      <c r="C808"/>
      <c r="D808"/>
      <c r="E808"/>
      <c r="F808"/>
      <c r="G808"/>
      <c r="H808"/>
      <c r="I808"/>
      <c r="J808"/>
    </row>
    <row r="809" spans="1:10">
      <c r="A809" s="23"/>
      <c r="B809"/>
      <c r="C809"/>
      <c r="D809"/>
      <c r="E809"/>
      <c r="F809"/>
      <c r="G809"/>
      <c r="H809"/>
      <c r="I809"/>
      <c r="J809"/>
    </row>
    <row r="810" spans="1:10">
      <c r="A810" s="23"/>
      <c r="B810"/>
      <c r="C810"/>
      <c r="D810"/>
      <c r="E810"/>
      <c r="F810"/>
      <c r="G810"/>
      <c r="H810"/>
      <c r="I810"/>
      <c r="J810"/>
    </row>
    <row r="811" spans="1:10">
      <c r="A811" s="23"/>
      <c r="B811"/>
      <c r="C811"/>
      <c r="D811"/>
      <c r="E811"/>
      <c r="F811"/>
      <c r="G811"/>
      <c r="H811"/>
      <c r="I811"/>
      <c r="J811"/>
    </row>
    <row r="812" spans="1:10">
      <c r="A812" s="23"/>
      <c r="B812"/>
      <c r="C812"/>
      <c r="D812"/>
      <c r="E812"/>
      <c r="F812"/>
      <c r="G812"/>
      <c r="H812"/>
      <c r="I812"/>
      <c r="J812"/>
    </row>
    <row r="813" spans="1:10">
      <c r="A813" s="23"/>
      <c r="B813"/>
      <c r="C813"/>
      <c r="D813"/>
      <c r="E813"/>
      <c r="F813"/>
      <c r="G813"/>
      <c r="H813"/>
      <c r="I813"/>
      <c r="J813"/>
    </row>
    <row r="814" spans="1:10">
      <c r="A814" s="23"/>
      <c r="B814"/>
      <c r="C814"/>
      <c r="D814"/>
      <c r="E814"/>
      <c r="F814"/>
      <c r="G814"/>
      <c r="H814"/>
      <c r="I814"/>
      <c r="J814"/>
    </row>
    <row r="815" spans="1:10">
      <c r="A815" s="23"/>
      <c r="B815"/>
      <c r="C815"/>
      <c r="D815"/>
      <c r="E815"/>
      <c r="F815"/>
      <c r="G815"/>
      <c r="H815"/>
      <c r="I815"/>
      <c r="J815"/>
    </row>
    <row r="816" spans="1:10">
      <c r="A816" s="23"/>
      <c r="B816"/>
      <c r="C816"/>
      <c r="D816"/>
      <c r="E816"/>
      <c r="F816"/>
      <c r="G816"/>
      <c r="H816"/>
      <c r="I816"/>
      <c r="J816"/>
    </row>
    <row r="817" spans="1:10">
      <c r="A817" s="23"/>
      <c r="B817"/>
      <c r="C817"/>
      <c r="D817"/>
      <c r="E817"/>
      <c r="F817"/>
      <c r="G817"/>
      <c r="H817"/>
      <c r="I817"/>
      <c r="J817"/>
    </row>
    <row r="818" spans="1:10">
      <c r="A818" s="23"/>
      <c r="B818"/>
      <c r="C818"/>
      <c r="D818"/>
      <c r="E818"/>
      <c r="F818"/>
      <c r="G818"/>
      <c r="H818"/>
      <c r="I818"/>
      <c r="J818"/>
    </row>
    <row r="819" spans="1:10">
      <c r="A819" s="23"/>
      <c r="B819"/>
      <c r="C819"/>
      <c r="D819"/>
      <c r="E819"/>
      <c r="F819"/>
      <c r="G819"/>
      <c r="H819"/>
      <c r="I819"/>
      <c r="J819"/>
    </row>
    <row r="820" spans="1:10">
      <c r="A820" s="23"/>
      <c r="B820"/>
      <c r="C820"/>
      <c r="D820"/>
      <c r="E820"/>
      <c r="F820"/>
      <c r="G820"/>
      <c r="H820"/>
      <c r="I820"/>
      <c r="J820"/>
    </row>
    <row r="821" spans="1:10">
      <c r="A821" s="23"/>
      <c r="B821"/>
      <c r="C821"/>
      <c r="D821"/>
      <c r="E821"/>
      <c r="F821"/>
      <c r="G821"/>
      <c r="H821"/>
      <c r="I821"/>
      <c r="J821"/>
    </row>
    <row r="822" spans="1:10">
      <c r="A822" s="23"/>
      <c r="B822"/>
      <c r="C822"/>
      <c r="D822"/>
      <c r="E822"/>
      <c r="F822"/>
      <c r="G822"/>
      <c r="H822"/>
      <c r="I822"/>
      <c r="J822"/>
    </row>
    <row r="823" spans="1:10">
      <c r="A823" s="23"/>
      <c r="B823"/>
      <c r="C823"/>
      <c r="D823"/>
      <c r="E823"/>
      <c r="F823"/>
      <c r="G823"/>
      <c r="H823"/>
      <c r="I823"/>
      <c r="J823"/>
    </row>
    <row r="824" spans="1:10">
      <c r="A824" s="23"/>
      <c r="B824"/>
      <c r="C824"/>
      <c r="D824"/>
      <c r="E824"/>
      <c r="F824"/>
      <c r="G824"/>
      <c r="H824"/>
      <c r="I824"/>
      <c r="J824"/>
    </row>
    <row r="825" spans="1:10">
      <c r="A825" s="23"/>
      <c r="B825"/>
      <c r="C825"/>
      <c r="D825"/>
      <c r="E825"/>
      <c r="F825"/>
      <c r="G825"/>
      <c r="H825"/>
      <c r="I825"/>
      <c r="J825"/>
    </row>
    <row r="826" spans="1:10">
      <c r="A826" s="23"/>
      <c r="B826"/>
      <c r="C826"/>
      <c r="D826"/>
      <c r="E826"/>
      <c r="F826"/>
      <c r="G826"/>
      <c r="H826"/>
      <c r="I826"/>
      <c r="J826"/>
    </row>
    <row r="827" spans="1:10">
      <c r="A827" s="23"/>
      <c r="B827"/>
      <c r="C827"/>
      <c r="D827"/>
      <c r="E827"/>
      <c r="F827"/>
      <c r="G827"/>
      <c r="H827"/>
      <c r="I827"/>
      <c r="J827"/>
    </row>
    <row r="828" spans="1:10">
      <c r="A828" s="23"/>
      <c r="B828"/>
      <c r="C828"/>
      <c r="D828"/>
      <c r="E828"/>
      <c r="F828"/>
      <c r="G828"/>
      <c r="H828"/>
      <c r="I828"/>
      <c r="J828"/>
    </row>
    <row r="829" spans="1:10">
      <c r="A829" s="23"/>
      <c r="B829"/>
      <c r="C829"/>
      <c r="D829"/>
      <c r="E829"/>
      <c r="F829"/>
      <c r="G829"/>
      <c r="H829"/>
      <c r="I829"/>
      <c r="J829"/>
    </row>
    <row r="830" spans="1:10">
      <c r="A830" s="23"/>
      <c r="B830"/>
      <c r="C830"/>
      <c r="D830"/>
      <c r="E830"/>
      <c r="F830"/>
      <c r="G830"/>
      <c r="H830"/>
      <c r="I830"/>
      <c r="J830"/>
    </row>
    <row r="831" spans="1:10">
      <c r="A831" s="23"/>
      <c r="B831"/>
      <c r="C831"/>
      <c r="D831"/>
      <c r="E831"/>
      <c r="F831"/>
      <c r="G831"/>
      <c r="H831"/>
      <c r="I831"/>
      <c r="J831"/>
    </row>
    <row r="832" spans="1:10">
      <c r="A832" s="23"/>
      <c r="B832"/>
      <c r="C832"/>
      <c r="D832"/>
      <c r="E832"/>
      <c r="F832"/>
      <c r="G832"/>
      <c r="H832"/>
      <c r="I832"/>
      <c r="J832"/>
    </row>
    <row r="833" spans="1:10">
      <c r="A833" s="23"/>
      <c r="B833"/>
      <c r="C833"/>
      <c r="D833"/>
      <c r="E833"/>
      <c r="F833"/>
      <c r="G833"/>
      <c r="H833"/>
      <c r="I833"/>
      <c r="J833"/>
    </row>
    <row r="834" spans="1:10">
      <c r="A834" s="23"/>
      <c r="B834"/>
      <c r="C834"/>
      <c r="D834"/>
      <c r="E834"/>
      <c r="F834"/>
      <c r="G834"/>
      <c r="H834"/>
      <c r="I834"/>
      <c r="J834"/>
    </row>
    <row r="835" spans="1:10">
      <c r="A835" s="23"/>
      <c r="B835"/>
      <c r="C835"/>
      <c r="D835"/>
      <c r="E835"/>
      <c r="F835"/>
      <c r="G835"/>
      <c r="H835"/>
      <c r="I835"/>
      <c r="J835"/>
    </row>
    <row r="836" spans="1:10">
      <c r="A836" s="23"/>
      <c r="B836"/>
      <c r="C836"/>
      <c r="D836"/>
      <c r="E836"/>
      <c r="F836"/>
      <c r="G836"/>
      <c r="H836"/>
      <c r="I836"/>
      <c r="J836"/>
    </row>
    <row r="837" spans="1:10">
      <c r="A837" s="23"/>
      <c r="B837"/>
      <c r="C837"/>
      <c r="D837"/>
      <c r="E837"/>
      <c r="F837"/>
      <c r="G837"/>
      <c r="H837"/>
      <c r="I837"/>
      <c r="J837"/>
    </row>
    <row r="838" spans="1:10">
      <c r="A838" s="23"/>
      <c r="B838"/>
      <c r="C838"/>
      <c r="D838"/>
      <c r="E838"/>
      <c r="F838"/>
      <c r="G838"/>
      <c r="H838"/>
      <c r="I838"/>
      <c r="J838"/>
    </row>
    <row r="839" spans="1:10">
      <c r="A839" s="23"/>
      <c r="B839"/>
      <c r="C839"/>
      <c r="D839"/>
      <c r="E839"/>
      <c r="F839"/>
      <c r="G839"/>
      <c r="H839"/>
      <c r="I839"/>
      <c r="J839"/>
    </row>
    <row r="840" spans="1:10">
      <c r="A840" s="23"/>
      <c r="B840"/>
      <c r="C840"/>
      <c r="D840"/>
      <c r="E840"/>
      <c r="F840"/>
      <c r="G840"/>
      <c r="H840"/>
      <c r="I840"/>
      <c r="J840"/>
    </row>
    <row r="841" spans="1:10">
      <c r="A841" s="23"/>
      <c r="B841"/>
      <c r="C841"/>
      <c r="D841"/>
      <c r="E841"/>
      <c r="F841"/>
      <c r="G841"/>
      <c r="H841"/>
      <c r="I841"/>
      <c r="J841"/>
    </row>
    <row r="842" spans="1:10">
      <c r="A842" s="23"/>
      <c r="B842"/>
      <c r="C842"/>
      <c r="D842"/>
      <c r="E842"/>
      <c r="F842"/>
      <c r="G842"/>
      <c r="H842"/>
      <c r="I842"/>
      <c r="J842"/>
    </row>
    <row r="843" spans="1:10">
      <c r="A843" s="23"/>
      <c r="B843"/>
      <c r="C843"/>
      <c r="D843"/>
      <c r="E843"/>
      <c r="F843"/>
      <c r="G843"/>
      <c r="H843"/>
      <c r="I843"/>
      <c r="J843"/>
    </row>
    <row r="844" spans="1:10">
      <c r="A844" s="23"/>
      <c r="B844"/>
      <c r="C844"/>
      <c r="D844"/>
      <c r="E844"/>
      <c r="F844"/>
      <c r="G844"/>
      <c r="H844"/>
      <c r="I844"/>
      <c r="J844"/>
    </row>
    <row r="845" spans="1:10">
      <c r="A845" s="23"/>
      <c r="B845"/>
      <c r="C845"/>
      <c r="D845"/>
      <c r="E845"/>
      <c r="F845"/>
      <c r="G845"/>
      <c r="H845"/>
      <c r="I845"/>
      <c r="J845"/>
    </row>
    <row r="846" spans="1:10">
      <c r="A846" s="23"/>
      <c r="B846"/>
      <c r="C846"/>
      <c r="D846"/>
      <c r="E846"/>
      <c r="F846"/>
      <c r="G846"/>
      <c r="H846"/>
      <c r="I846"/>
      <c r="J846"/>
    </row>
    <row r="847" spans="1:10">
      <c r="A847" s="23"/>
      <c r="B847"/>
      <c r="C847"/>
      <c r="D847"/>
      <c r="E847"/>
      <c r="F847"/>
      <c r="G847"/>
      <c r="H847"/>
      <c r="I847"/>
      <c r="J847"/>
    </row>
    <row r="848" spans="1:10">
      <c r="A848" s="23"/>
      <c r="B848"/>
      <c r="C848"/>
      <c r="D848"/>
      <c r="E848"/>
      <c r="F848"/>
      <c r="G848"/>
      <c r="H848"/>
      <c r="I848"/>
      <c r="J848"/>
    </row>
    <row r="849" spans="1:10">
      <c r="A849" s="23"/>
      <c r="B849"/>
      <c r="C849"/>
      <c r="D849"/>
      <c r="E849"/>
      <c r="F849"/>
      <c r="G849"/>
      <c r="H849"/>
      <c r="I849"/>
      <c r="J849"/>
    </row>
    <row r="850" spans="1:10">
      <c r="A850" s="23"/>
      <c r="B850"/>
      <c r="C850"/>
      <c r="D850"/>
      <c r="E850"/>
      <c r="F850"/>
      <c r="G850"/>
      <c r="H850"/>
      <c r="I850"/>
      <c r="J850"/>
    </row>
    <row r="851" spans="1:10">
      <c r="A851" s="23"/>
      <c r="B851"/>
      <c r="C851"/>
      <c r="D851"/>
      <c r="E851"/>
      <c r="F851"/>
      <c r="G851"/>
      <c r="H851"/>
      <c r="I851"/>
      <c r="J851"/>
    </row>
    <row r="852" spans="1:10">
      <c r="A852" s="23"/>
      <c r="B852"/>
      <c r="C852"/>
      <c r="D852"/>
      <c r="E852"/>
      <c r="F852"/>
      <c r="G852"/>
      <c r="H852"/>
      <c r="I852"/>
      <c r="J852"/>
    </row>
    <row r="853" spans="1:10">
      <c r="A853" s="23"/>
      <c r="B853"/>
      <c r="C853"/>
      <c r="D853"/>
      <c r="E853"/>
      <c r="F853"/>
      <c r="G853"/>
      <c r="H853"/>
      <c r="I853"/>
      <c r="J853"/>
    </row>
    <row r="854" spans="1:10">
      <c r="A854" s="23"/>
      <c r="B854"/>
      <c r="C854"/>
      <c r="D854"/>
      <c r="E854"/>
      <c r="F854"/>
      <c r="G854"/>
      <c r="H854"/>
      <c r="I854"/>
      <c r="J854"/>
    </row>
    <row r="855" spans="1:10">
      <c r="A855" s="23"/>
      <c r="B855"/>
      <c r="C855"/>
      <c r="D855"/>
      <c r="E855"/>
      <c r="F855"/>
      <c r="G855"/>
      <c r="H855"/>
      <c r="I855"/>
      <c r="J855"/>
    </row>
    <row r="856" spans="1:10">
      <c r="A856" s="23"/>
      <c r="B856"/>
      <c r="C856"/>
      <c r="D856"/>
      <c r="E856"/>
      <c r="F856"/>
      <c r="G856"/>
      <c r="H856"/>
      <c r="I856"/>
      <c r="J856"/>
    </row>
    <row r="857" spans="1:10">
      <c r="A857" s="23"/>
      <c r="B857"/>
      <c r="C857"/>
      <c r="D857"/>
      <c r="E857"/>
      <c r="F857"/>
      <c r="G857"/>
      <c r="H857"/>
      <c r="I857"/>
      <c r="J857"/>
    </row>
    <row r="858" spans="1:10">
      <c r="A858"/>
      <c r="B858"/>
      <c r="C858"/>
      <c r="D858"/>
      <c r="E858"/>
      <c r="F858"/>
      <c r="G858"/>
      <c r="H858"/>
      <c r="I858"/>
      <c r="J858"/>
    </row>
    <row r="859" spans="1:10">
      <c r="A859"/>
      <c r="B859"/>
      <c r="C859"/>
      <c r="D859"/>
      <c r="E859"/>
      <c r="F859"/>
      <c r="G859"/>
      <c r="H859"/>
      <c r="I859"/>
      <c r="J859"/>
    </row>
    <row r="860" spans="1:10">
      <c r="A860"/>
      <c r="B860"/>
      <c r="C860"/>
      <c r="D860"/>
      <c r="E860"/>
      <c r="F860"/>
      <c r="G860"/>
      <c r="H860"/>
      <c r="I860"/>
      <c r="J860"/>
    </row>
    <row r="861" spans="1:10">
      <c r="A861"/>
      <c r="B861"/>
      <c r="C861"/>
      <c r="D861"/>
      <c r="E861"/>
      <c r="F861"/>
      <c r="G861"/>
      <c r="H861"/>
      <c r="I861"/>
      <c r="J861"/>
    </row>
    <row r="862" spans="1:10">
      <c r="A862"/>
      <c r="B862"/>
      <c r="C862"/>
      <c r="D862"/>
      <c r="E862"/>
      <c r="F862"/>
      <c r="G862"/>
      <c r="H862"/>
      <c r="I862"/>
      <c r="J862"/>
    </row>
    <row r="863" spans="1:10">
      <c r="A863"/>
      <c r="B863"/>
      <c r="C863"/>
      <c r="D863"/>
      <c r="E863"/>
      <c r="F863"/>
      <c r="G863"/>
      <c r="H863"/>
      <c r="I863"/>
      <c r="J863"/>
    </row>
    <row r="864" spans="1:10">
      <c r="A864"/>
      <c r="B864"/>
      <c r="C864"/>
      <c r="D864"/>
      <c r="E864"/>
      <c r="F864"/>
      <c r="G864"/>
      <c r="H864"/>
      <c r="I864"/>
      <c r="J864"/>
    </row>
    <row r="865" spans="1:10">
      <c r="A865"/>
      <c r="B865"/>
      <c r="C865"/>
      <c r="D865"/>
      <c r="E865"/>
      <c r="F865"/>
      <c r="G865"/>
      <c r="H865"/>
      <c r="I865"/>
      <c r="J865"/>
    </row>
    <row r="866" spans="1:10">
      <c r="A866"/>
      <c r="B866"/>
      <c r="C866"/>
      <c r="D866"/>
      <c r="E866"/>
      <c r="F866"/>
      <c r="G866"/>
      <c r="H866"/>
      <c r="I866"/>
      <c r="J866"/>
    </row>
  </sheetData>
  <mergeCells count="492">
    <mergeCell ref="G151:H151"/>
    <mergeCell ref="I151:J151"/>
    <mergeCell ref="K151:L151"/>
    <mergeCell ref="E148:F148"/>
    <mergeCell ref="E149:F149"/>
    <mergeCell ref="E150:F150"/>
    <mergeCell ref="E151:F151"/>
    <mergeCell ref="G148:H148"/>
    <mergeCell ref="I148:J148"/>
    <mergeCell ref="G149:H149"/>
    <mergeCell ref="G150:H150"/>
    <mergeCell ref="E144:F144"/>
    <mergeCell ref="E145:F145"/>
    <mergeCell ref="G145:H145"/>
    <mergeCell ref="K149:L149"/>
    <mergeCell ref="K150:L150"/>
    <mergeCell ref="I150:J150"/>
    <mergeCell ref="I145:J145"/>
    <mergeCell ref="K148:L148"/>
    <mergeCell ref="I149:J149"/>
    <mergeCell ref="E132:F132"/>
    <mergeCell ref="E133:F133"/>
    <mergeCell ref="E134:F134"/>
    <mergeCell ref="G142:H142"/>
    <mergeCell ref="E142:F142"/>
    <mergeCell ref="K132:L132"/>
    <mergeCell ref="K138:L140"/>
    <mergeCell ref="K142:L142"/>
    <mergeCell ref="E140:F140"/>
    <mergeCell ref="G134:H134"/>
    <mergeCell ref="E137:F137"/>
    <mergeCell ref="E138:F138"/>
    <mergeCell ref="E139:F139"/>
    <mergeCell ref="I142:J142"/>
    <mergeCell ref="K137:L137"/>
    <mergeCell ref="I134:J134"/>
    <mergeCell ref="I132:J132"/>
    <mergeCell ref="I133:J133"/>
    <mergeCell ref="I135:J135"/>
    <mergeCell ref="I137:J137"/>
    <mergeCell ref="E107:F107"/>
    <mergeCell ref="E108:F108"/>
    <mergeCell ref="E109:F109"/>
    <mergeCell ref="K107:L107"/>
    <mergeCell ref="K108:L108"/>
    <mergeCell ref="K109:L109"/>
    <mergeCell ref="G107:H107"/>
    <mergeCell ref="I107:J107"/>
    <mergeCell ref="G108:H108"/>
    <mergeCell ref="I108:J108"/>
    <mergeCell ref="E103:F103"/>
    <mergeCell ref="E104:F104"/>
    <mergeCell ref="G103:H103"/>
    <mergeCell ref="I103:J103"/>
    <mergeCell ref="G104:H104"/>
    <mergeCell ref="I104:J104"/>
    <mergeCell ref="G99:H99"/>
    <mergeCell ref="I99:J99"/>
    <mergeCell ref="K103:L103"/>
    <mergeCell ref="K104:L104"/>
    <mergeCell ref="E49:F49"/>
    <mergeCell ref="E53:F53"/>
    <mergeCell ref="E54:F54"/>
    <mergeCell ref="G53:H53"/>
    <mergeCell ref="G54:H54"/>
    <mergeCell ref="I57:J57"/>
    <mergeCell ref="I40:J40"/>
    <mergeCell ref="G41:H41"/>
    <mergeCell ref="I41:J41"/>
    <mergeCell ref="K49:L49"/>
    <mergeCell ref="G49:H49"/>
    <mergeCell ref="I49:J49"/>
    <mergeCell ref="K44:L44"/>
    <mergeCell ref="I43:J43"/>
    <mergeCell ref="G44:H44"/>
    <mergeCell ref="I44:J44"/>
    <mergeCell ref="I34:J34"/>
    <mergeCell ref="I35:J35"/>
    <mergeCell ref="I36:J36"/>
    <mergeCell ref="G42:H42"/>
    <mergeCell ref="I42:J42"/>
    <mergeCell ref="G35:H35"/>
    <mergeCell ref="G36:H36"/>
    <mergeCell ref="G37:H37"/>
    <mergeCell ref="I37:J37"/>
    <mergeCell ref="G40:H40"/>
    <mergeCell ref="K32:L32"/>
    <mergeCell ref="B183:D183"/>
    <mergeCell ref="E183:G183"/>
    <mergeCell ref="H183:J183"/>
    <mergeCell ref="E175:G175"/>
    <mergeCell ref="H175:J175"/>
    <mergeCell ref="E178:G178"/>
    <mergeCell ref="H178:J178"/>
    <mergeCell ref="B181:D181"/>
    <mergeCell ref="E33:F33"/>
    <mergeCell ref="E167:G167"/>
    <mergeCell ref="H167:J167"/>
    <mergeCell ref="B168:J168"/>
    <mergeCell ref="B169:B171"/>
    <mergeCell ref="C169:D169"/>
    <mergeCell ref="E169:G169"/>
    <mergeCell ref="H169:J169"/>
    <mergeCell ref="C170:D170"/>
    <mergeCell ref="E170:G170"/>
    <mergeCell ref="H170:J170"/>
    <mergeCell ref="H163:J163"/>
    <mergeCell ref="B164:J164"/>
    <mergeCell ref="B165:B167"/>
    <mergeCell ref="C165:D165"/>
    <mergeCell ref="E165:G165"/>
    <mergeCell ref="H165:J165"/>
    <mergeCell ref="C166:D166"/>
    <mergeCell ref="E166:G166"/>
    <mergeCell ref="H166:J166"/>
    <mergeCell ref="C167:D167"/>
    <mergeCell ref="H160:J160"/>
    <mergeCell ref="B161:B163"/>
    <mergeCell ref="C161:D161"/>
    <mergeCell ref="E161:G161"/>
    <mergeCell ref="H161:J161"/>
    <mergeCell ref="C162:D162"/>
    <mergeCell ref="E162:G162"/>
    <mergeCell ref="H162:J162"/>
    <mergeCell ref="C163:D163"/>
    <mergeCell ref="E163:G163"/>
    <mergeCell ref="B157:C158"/>
    <mergeCell ref="E157:F157"/>
    <mergeCell ref="E158:F158"/>
    <mergeCell ref="B160:D160"/>
    <mergeCell ref="E160:G160"/>
    <mergeCell ref="E185:G185"/>
    <mergeCell ref="B180:D180"/>
    <mergeCell ref="E180:G180"/>
    <mergeCell ref="B176:D176"/>
    <mergeCell ref="E176:G176"/>
    <mergeCell ref="H185:J185"/>
    <mergeCell ref="B184:D184"/>
    <mergeCell ref="E184:G184"/>
    <mergeCell ref="H184:J184"/>
    <mergeCell ref="B182:D182"/>
    <mergeCell ref="E182:G182"/>
    <mergeCell ref="H182:J182"/>
    <mergeCell ref="H180:J180"/>
    <mergeCell ref="E181:G181"/>
    <mergeCell ref="H181:J181"/>
    <mergeCell ref="B179:D179"/>
    <mergeCell ref="E179:G179"/>
    <mergeCell ref="H179:J179"/>
    <mergeCell ref="H176:J176"/>
    <mergeCell ref="B177:D177"/>
    <mergeCell ref="E177:G177"/>
    <mergeCell ref="H177:J177"/>
    <mergeCell ref="B178:D178"/>
    <mergeCell ref="U62:Z62"/>
    <mergeCell ref="B132:D132"/>
    <mergeCell ref="G144:H144"/>
    <mergeCell ref="I144:J144"/>
    <mergeCell ref="E126:F126"/>
    <mergeCell ref="AB62:AG62"/>
    <mergeCell ref="E129:F129"/>
    <mergeCell ref="G129:H129"/>
    <mergeCell ref="B114:L118"/>
    <mergeCell ref="B129:D129"/>
    <mergeCell ref="K126:L126"/>
    <mergeCell ref="K127:L127"/>
    <mergeCell ref="B123:D124"/>
    <mergeCell ref="K123:L123"/>
    <mergeCell ref="B126:D127"/>
    <mergeCell ref="E127:F127"/>
    <mergeCell ref="G127:H127"/>
    <mergeCell ref="G126:H126"/>
    <mergeCell ref="I126:J126"/>
    <mergeCell ref="I127:J127"/>
    <mergeCell ref="B135:D135"/>
    <mergeCell ref="B133:D133"/>
    <mergeCell ref="I129:J129"/>
    <mergeCell ref="G132:H132"/>
    <mergeCell ref="G133:H133"/>
    <mergeCell ref="B137:D137"/>
    <mergeCell ref="K143:L145"/>
    <mergeCell ref="I140:J140"/>
    <mergeCell ref="E135:F135"/>
    <mergeCell ref="G135:H135"/>
    <mergeCell ref="G137:H137"/>
    <mergeCell ref="G143:H143"/>
    <mergeCell ref="I143:J143"/>
    <mergeCell ref="E143:F143"/>
    <mergeCell ref="K133:L135"/>
    <mergeCell ref="AI62:AN62"/>
    <mergeCell ref="AI63:AN63"/>
    <mergeCell ref="AI65:AJ68"/>
    <mergeCell ref="AK65:AK66"/>
    <mergeCell ref="AL65:AL66"/>
    <mergeCell ref="AM65:AM66"/>
    <mergeCell ref="AN65:AN66"/>
    <mergeCell ref="AI70:AN70"/>
    <mergeCell ref="B138:D138"/>
    <mergeCell ref="B139:D139"/>
    <mergeCell ref="B142:D142"/>
    <mergeCell ref="G138:H138"/>
    <mergeCell ref="I138:J138"/>
    <mergeCell ref="G139:H139"/>
    <mergeCell ref="I139:J139"/>
    <mergeCell ref="G140:H140"/>
    <mergeCell ref="B134:D134"/>
    <mergeCell ref="B150:D150"/>
    <mergeCell ref="B144:D144"/>
    <mergeCell ref="B148:D148"/>
    <mergeCell ref="B140:D140"/>
    <mergeCell ref="B145:D145"/>
    <mergeCell ref="B143:D143"/>
    <mergeCell ref="AI71:AJ74"/>
    <mergeCell ref="AK71:AK72"/>
    <mergeCell ref="AI78:AJ81"/>
    <mergeCell ref="AK78:AK79"/>
    <mergeCell ref="AI83:AN83"/>
    <mergeCell ref="AI84:AJ87"/>
    <mergeCell ref="AK84:AK85"/>
    <mergeCell ref="AL84:AL85"/>
    <mergeCell ref="AM84:AM85"/>
    <mergeCell ref="AN84:AN85"/>
    <mergeCell ref="K124:L124"/>
    <mergeCell ref="E123:F123"/>
    <mergeCell ref="E124:F124"/>
    <mergeCell ref="G123:H123"/>
    <mergeCell ref="I123:J123"/>
    <mergeCell ref="G124:H124"/>
    <mergeCell ref="I124:J124"/>
    <mergeCell ref="B107:D107"/>
    <mergeCell ref="B103:D103"/>
    <mergeCell ref="B104:D104"/>
    <mergeCell ref="B98:D98"/>
    <mergeCell ref="B99:D99"/>
    <mergeCell ref="B94:D94"/>
    <mergeCell ref="B97:D97"/>
    <mergeCell ref="E57:F57"/>
    <mergeCell ref="G57:H57"/>
    <mergeCell ref="B92:D92"/>
    <mergeCell ref="B93:D93"/>
    <mergeCell ref="B88:D88"/>
    <mergeCell ref="B89:D89"/>
    <mergeCell ref="B69:D69"/>
    <mergeCell ref="B87:D87"/>
    <mergeCell ref="AL71:AL72"/>
    <mergeCell ref="AM71:AM72"/>
    <mergeCell ref="AN71:AN72"/>
    <mergeCell ref="AL78:AL79"/>
    <mergeCell ref="AM78:AM79"/>
    <mergeCell ref="AN78:AN79"/>
    <mergeCell ref="AP62:AU62"/>
    <mergeCell ref="AP63:AU63"/>
    <mergeCell ref="AP65:AQ68"/>
    <mergeCell ref="AR65:AR66"/>
    <mergeCell ref="AS65:AS66"/>
    <mergeCell ref="AT65:AT66"/>
    <mergeCell ref="AU65:AU66"/>
    <mergeCell ref="AP70:AU70"/>
    <mergeCell ref="B75:D75"/>
    <mergeCell ref="B76:D76"/>
    <mergeCell ref="AP71:AQ74"/>
    <mergeCell ref="AR71:AR72"/>
    <mergeCell ref="AU71:AU72"/>
    <mergeCell ref="U70:Z70"/>
    <mergeCell ref="Z71:Z72"/>
    <mergeCell ref="K74:L74"/>
    <mergeCell ref="K75:L75"/>
    <mergeCell ref="B175:D175"/>
    <mergeCell ref="C171:D171"/>
    <mergeCell ref="E171:G171"/>
    <mergeCell ref="H171:J171"/>
    <mergeCell ref="B174:D174"/>
    <mergeCell ref="E174:G174"/>
    <mergeCell ref="H174:J174"/>
    <mergeCell ref="B108:D108"/>
    <mergeCell ref="B120:H121"/>
    <mergeCell ref="I120:I121"/>
    <mergeCell ref="J120:J121"/>
    <mergeCell ref="G109:H109"/>
    <mergeCell ref="I109:J109"/>
    <mergeCell ref="B109:D109"/>
    <mergeCell ref="AS71:AS72"/>
    <mergeCell ref="AT71:AT72"/>
    <mergeCell ref="AP78:AQ81"/>
    <mergeCell ref="AR78:AR79"/>
    <mergeCell ref="AS78:AS79"/>
    <mergeCell ref="AT78:AT79"/>
    <mergeCell ref="B43:D43"/>
    <mergeCell ref="B44:D44"/>
    <mergeCell ref="K33:L33"/>
    <mergeCell ref="AP83:AU83"/>
    <mergeCell ref="AP84:AQ87"/>
    <mergeCell ref="AU78:AU79"/>
    <mergeCell ref="AR84:AR85"/>
    <mergeCell ref="AS84:AS85"/>
    <mergeCell ref="AT84:AT85"/>
    <mergeCell ref="AU84:AU85"/>
    <mergeCell ref="G33:H33"/>
    <mergeCell ref="B21:E21"/>
    <mergeCell ref="B22:E22"/>
    <mergeCell ref="B26:E26"/>
    <mergeCell ref="I33:J33"/>
    <mergeCell ref="B42:D42"/>
    <mergeCell ref="B36:D36"/>
    <mergeCell ref="B37:D37"/>
    <mergeCell ref="B28:E28"/>
    <mergeCell ref="B23:E23"/>
    <mergeCell ref="B2:L3"/>
    <mergeCell ref="B34:D34"/>
    <mergeCell ref="E5:E7"/>
    <mergeCell ref="B27:E27"/>
    <mergeCell ref="B17:E17"/>
    <mergeCell ref="B18:E18"/>
    <mergeCell ref="B24:E24"/>
    <mergeCell ref="B25:E25"/>
    <mergeCell ref="B15:E15"/>
    <mergeCell ref="B5:D7"/>
    <mergeCell ref="B12:E12"/>
    <mergeCell ref="B40:D40"/>
    <mergeCell ref="B41:D41"/>
    <mergeCell ref="B13:E13"/>
    <mergeCell ref="B33:D33"/>
    <mergeCell ref="B16:E16"/>
    <mergeCell ref="E41:F41"/>
    <mergeCell ref="B14:E14"/>
    <mergeCell ref="B35:D35"/>
    <mergeCell ref="B64:D64"/>
    <mergeCell ref="B54:D54"/>
    <mergeCell ref="B57:D57"/>
    <mergeCell ref="O63:S64"/>
    <mergeCell ref="U63:Z63"/>
    <mergeCell ref="U65:V68"/>
    <mergeCell ref="W65:W66"/>
    <mergeCell ref="X65:X66"/>
    <mergeCell ref="Y65:Y66"/>
    <mergeCell ref="Z65:Z66"/>
    <mergeCell ref="Z78:Z79"/>
    <mergeCell ref="U71:V74"/>
    <mergeCell ref="W71:W72"/>
    <mergeCell ref="X71:X72"/>
    <mergeCell ref="Y71:Y72"/>
    <mergeCell ref="U78:V81"/>
    <mergeCell ref="W78:W79"/>
    <mergeCell ref="X78:X79"/>
    <mergeCell ref="Y78:Y79"/>
    <mergeCell ref="U83:Z83"/>
    <mergeCell ref="U84:V87"/>
    <mergeCell ref="W84:W85"/>
    <mergeCell ref="X84:X85"/>
    <mergeCell ref="Y84:Y85"/>
    <mergeCell ref="Z84:Z85"/>
    <mergeCell ref="AG78:AG79"/>
    <mergeCell ref="AB78:AC81"/>
    <mergeCell ref="AD78:AD79"/>
    <mergeCell ref="AB63:AG63"/>
    <mergeCell ref="AB65:AC68"/>
    <mergeCell ref="AD65:AD66"/>
    <mergeCell ref="AE65:AE66"/>
    <mergeCell ref="AF65:AF66"/>
    <mergeCell ref="AG65:AG66"/>
    <mergeCell ref="AB70:AG70"/>
    <mergeCell ref="AB71:AC74"/>
    <mergeCell ref="AD71:AD72"/>
    <mergeCell ref="AE71:AE72"/>
    <mergeCell ref="AF71:AF72"/>
    <mergeCell ref="AG71:AG72"/>
    <mergeCell ref="B68:D68"/>
    <mergeCell ref="B65:D65"/>
    <mergeCell ref="E50:F50"/>
    <mergeCell ref="AB83:AG83"/>
    <mergeCell ref="AB84:AC87"/>
    <mergeCell ref="AD84:AD85"/>
    <mergeCell ref="AE84:AE85"/>
    <mergeCell ref="AF84:AF85"/>
    <mergeCell ref="AG84:AG85"/>
    <mergeCell ref="AF78:AF79"/>
    <mergeCell ref="G58:H58"/>
    <mergeCell ref="I58:J58"/>
    <mergeCell ref="G59:H59"/>
    <mergeCell ref="AE78:AE79"/>
    <mergeCell ref="B49:D49"/>
    <mergeCell ref="B50:D50"/>
    <mergeCell ref="B53:D53"/>
    <mergeCell ref="B58:D58"/>
    <mergeCell ref="B59:D59"/>
    <mergeCell ref="B74:D74"/>
    <mergeCell ref="K37:L37"/>
    <mergeCell ref="E40:F40"/>
    <mergeCell ref="K40:L40"/>
    <mergeCell ref="B81:D81"/>
    <mergeCell ref="B79:D79"/>
    <mergeCell ref="B80:D80"/>
    <mergeCell ref="K58:L58"/>
    <mergeCell ref="K59:L59"/>
    <mergeCell ref="E58:F58"/>
    <mergeCell ref="E59:F59"/>
    <mergeCell ref="K41:L41"/>
    <mergeCell ref="E34:F34"/>
    <mergeCell ref="E35:F35"/>
    <mergeCell ref="E36:F36"/>
    <mergeCell ref="E37:F37"/>
    <mergeCell ref="E42:F42"/>
    <mergeCell ref="K34:L34"/>
    <mergeCell ref="K35:L35"/>
    <mergeCell ref="K36:L36"/>
    <mergeCell ref="G34:H34"/>
    <mergeCell ref="E43:F43"/>
    <mergeCell ref="E44:F44"/>
    <mergeCell ref="K42:L42"/>
    <mergeCell ref="K43:L43"/>
    <mergeCell ref="G43:H43"/>
    <mergeCell ref="K50:L50"/>
    <mergeCell ref="G50:H50"/>
    <mergeCell ref="I50:J50"/>
    <mergeCell ref="K53:L53"/>
    <mergeCell ref="I53:J53"/>
    <mergeCell ref="K54:L54"/>
    <mergeCell ref="I59:J59"/>
    <mergeCell ref="K64:L64"/>
    <mergeCell ref="K65:L65"/>
    <mergeCell ref="I54:J54"/>
    <mergeCell ref="K57:L57"/>
    <mergeCell ref="I69:J69"/>
    <mergeCell ref="E64:F64"/>
    <mergeCell ref="E65:F65"/>
    <mergeCell ref="G64:H64"/>
    <mergeCell ref="I64:J64"/>
    <mergeCell ref="G65:H65"/>
    <mergeCell ref="I65:J65"/>
    <mergeCell ref="K68:L68"/>
    <mergeCell ref="K69:L69"/>
    <mergeCell ref="G80:H80"/>
    <mergeCell ref="I80:J80"/>
    <mergeCell ref="K76:L76"/>
    <mergeCell ref="E68:F68"/>
    <mergeCell ref="E69:F69"/>
    <mergeCell ref="G68:H68"/>
    <mergeCell ref="I68:J68"/>
    <mergeCell ref="G69:H69"/>
    <mergeCell ref="E74:F74"/>
    <mergeCell ref="E75:F75"/>
    <mergeCell ref="E76:F76"/>
    <mergeCell ref="G74:H74"/>
    <mergeCell ref="I74:J74"/>
    <mergeCell ref="G75:H75"/>
    <mergeCell ref="I75:J75"/>
    <mergeCell ref="G76:H76"/>
    <mergeCell ref="I76:J76"/>
    <mergeCell ref="K81:L81"/>
    <mergeCell ref="E79:F79"/>
    <mergeCell ref="E80:F80"/>
    <mergeCell ref="E81:F81"/>
    <mergeCell ref="G81:H81"/>
    <mergeCell ref="I81:J81"/>
    <mergeCell ref="K79:L79"/>
    <mergeCell ref="K80:L80"/>
    <mergeCell ref="G79:H79"/>
    <mergeCell ref="I79:J79"/>
    <mergeCell ref="K87:L87"/>
    <mergeCell ref="K88:L88"/>
    <mergeCell ref="K89:L89"/>
    <mergeCell ref="E87:F87"/>
    <mergeCell ref="E88:F88"/>
    <mergeCell ref="E89:F89"/>
    <mergeCell ref="G87:H87"/>
    <mergeCell ref="I87:J87"/>
    <mergeCell ref="G88:H88"/>
    <mergeCell ref="I88:J88"/>
    <mergeCell ref="G89:H89"/>
    <mergeCell ref="I89:J89"/>
    <mergeCell ref="K92:L92"/>
    <mergeCell ref="K93:L93"/>
    <mergeCell ref="G92:H92"/>
    <mergeCell ref="I92:J92"/>
    <mergeCell ref="G93:H93"/>
    <mergeCell ref="I93:J93"/>
    <mergeCell ref="K94:L94"/>
    <mergeCell ref="E92:F92"/>
    <mergeCell ref="E93:F93"/>
    <mergeCell ref="E94:F94"/>
    <mergeCell ref="G94:H94"/>
    <mergeCell ref="I94:J94"/>
    <mergeCell ref="K97:L97"/>
    <mergeCell ref="K98:L98"/>
    <mergeCell ref="K99:L99"/>
    <mergeCell ref="E97:F97"/>
    <mergeCell ref="E98:F98"/>
    <mergeCell ref="E99:F99"/>
    <mergeCell ref="G97:H97"/>
    <mergeCell ref="I97:J97"/>
    <mergeCell ref="G98:H98"/>
    <mergeCell ref="I98:J98"/>
  </mergeCells>
  <phoneticPr fontId="0" type="noConversion"/>
  <conditionalFormatting sqref="G98:G99 K98:K99 E93:E94 E89 P93:Q94 K89 E98:E99 I98:I99 G89 I89 G93:G94 I93:I94 K93:K94">
    <cfRule type="cellIs" dxfId="481" priority="1" stopIfTrue="1" operator="equal">
      <formula>"yes"</formula>
    </cfRule>
    <cfRule type="cellIs" dxfId="480" priority="2" stopIfTrue="1" operator="equal">
      <formula>"no"</formula>
    </cfRule>
  </conditionalFormatting>
  <conditionalFormatting sqref="H161:J161">
    <cfRule type="cellIs" dxfId="479" priority="3" stopIfTrue="1" operator="lessThan">
      <formula>$E$114</formula>
    </cfRule>
    <cfRule type="cellIs" dxfId="478" priority="4" stopIfTrue="1" operator="greaterThan">
      <formula>$E$114</formula>
    </cfRule>
  </conditionalFormatting>
  <conditionalFormatting sqref="H162:J162">
    <cfRule type="cellIs" dxfId="477" priority="5" stopIfTrue="1" operator="lessThan">
      <formula>$E$115</formula>
    </cfRule>
    <cfRule type="cellIs" dxfId="476" priority="6" stopIfTrue="1" operator="greaterThan">
      <formula>$E$115</formula>
    </cfRule>
  </conditionalFormatting>
  <conditionalFormatting sqref="H163:J163">
    <cfRule type="cellIs" dxfId="475" priority="7" stopIfTrue="1" operator="lessThan">
      <formula>$E$116</formula>
    </cfRule>
    <cfRule type="cellIs" dxfId="474" priority="8" stopIfTrue="1" operator="greaterThan">
      <formula>$E$116</formula>
    </cfRule>
  </conditionalFormatting>
  <conditionalFormatting sqref="E161:G161">
    <cfRule type="cellIs" dxfId="473" priority="9" stopIfTrue="1" operator="greaterThan">
      <formula>$H$114</formula>
    </cfRule>
    <cfRule type="cellIs" dxfId="472" priority="10" stopIfTrue="1" operator="lessThan">
      <formula>$H$114</formula>
    </cfRule>
  </conditionalFormatting>
  <conditionalFormatting sqref="E162:G162">
    <cfRule type="cellIs" dxfId="471" priority="11" stopIfTrue="1" operator="greaterThan">
      <formula>$H$115</formula>
    </cfRule>
    <cfRule type="cellIs" dxfId="470" priority="12" stopIfTrue="1" operator="lessThan">
      <formula>$H$115</formula>
    </cfRule>
  </conditionalFormatting>
  <conditionalFormatting sqref="E163:G163">
    <cfRule type="cellIs" dxfId="469" priority="13" stopIfTrue="1" operator="greaterThan">
      <formula>$H$116</formula>
    </cfRule>
    <cfRule type="cellIs" dxfId="468" priority="14" stopIfTrue="1" operator="lessThan">
      <formula>$H$116</formula>
    </cfRule>
  </conditionalFormatting>
  <conditionalFormatting sqref="H165:J165">
    <cfRule type="cellIs" dxfId="467" priority="15" stopIfTrue="1" operator="lessThan">
      <formula>$E$118</formula>
    </cfRule>
    <cfRule type="cellIs" dxfId="466" priority="16" stopIfTrue="1" operator="greaterThan">
      <formula>$E$118</formula>
    </cfRule>
  </conditionalFormatting>
  <conditionalFormatting sqref="H166:J166">
    <cfRule type="cellIs" dxfId="465" priority="17" stopIfTrue="1" operator="lessThan">
      <formula>$E$119</formula>
    </cfRule>
    <cfRule type="cellIs" dxfId="464" priority="18" stopIfTrue="1" operator="greaterThan">
      <formula>$E$119</formula>
    </cfRule>
  </conditionalFormatting>
  <conditionalFormatting sqref="H167:J167">
    <cfRule type="cellIs" dxfId="463" priority="19" stopIfTrue="1" operator="lessThan">
      <formula>$E$120</formula>
    </cfRule>
    <cfRule type="cellIs" dxfId="462" priority="20" stopIfTrue="1" operator="greaterThan">
      <formula>$E$120</formula>
    </cfRule>
  </conditionalFormatting>
  <conditionalFormatting sqref="E165:G165">
    <cfRule type="cellIs" dxfId="461" priority="21" stopIfTrue="1" operator="greaterThan">
      <formula>$H$118</formula>
    </cfRule>
    <cfRule type="cellIs" dxfId="460" priority="22" stopIfTrue="1" operator="lessThan">
      <formula>$H$118</formula>
    </cfRule>
  </conditionalFormatting>
  <conditionalFormatting sqref="E166:G166">
    <cfRule type="cellIs" dxfId="459" priority="23" stopIfTrue="1" operator="greaterThan">
      <formula>$H$119</formula>
    </cfRule>
    <cfRule type="cellIs" dxfId="458" priority="24" stopIfTrue="1" operator="lessThan">
      <formula>$H$119</formula>
    </cfRule>
  </conditionalFormatting>
  <conditionalFormatting sqref="E167:G167">
    <cfRule type="cellIs" dxfId="457" priority="25" stopIfTrue="1" operator="greaterThan">
      <formula>$H$120</formula>
    </cfRule>
    <cfRule type="cellIs" dxfId="456" priority="26" stopIfTrue="1" operator="lessThan">
      <formula>$H$120</formula>
    </cfRule>
  </conditionalFormatting>
  <conditionalFormatting sqref="H171:I171">
    <cfRule type="cellIs" dxfId="455" priority="27" stopIfTrue="1" operator="greaterThan">
      <formula>$E$124</formula>
    </cfRule>
    <cfRule type="cellIs" dxfId="454" priority="28" stopIfTrue="1" operator="lessThan">
      <formula>$E$124</formula>
    </cfRule>
  </conditionalFormatting>
  <conditionalFormatting sqref="H169:I169">
    <cfRule type="cellIs" dxfId="453" priority="29" stopIfTrue="1" operator="greaterThan">
      <formula>$E$122</formula>
    </cfRule>
    <cfRule type="cellIs" dxfId="452" priority="30" stopIfTrue="1" operator="lessThan">
      <formula>$E$122</formula>
    </cfRule>
  </conditionalFormatting>
  <conditionalFormatting sqref="H170:I170">
    <cfRule type="cellIs" dxfId="451" priority="31" stopIfTrue="1" operator="greaterThan">
      <formula>$E$123</formula>
    </cfRule>
    <cfRule type="cellIs" dxfId="450" priority="32" stopIfTrue="1" operator="lessThan">
      <formula>$E$123</formula>
    </cfRule>
  </conditionalFormatting>
  <conditionalFormatting sqref="E169:F169">
    <cfRule type="cellIs" dxfId="449" priority="33" stopIfTrue="1" operator="greaterThan">
      <formula>$H$122</formula>
    </cfRule>
    <cfRule type="cellIs" dxfId="448" priority="34" stopIfTrue="1" operator="lessThan">
      <formula>$H$122</formula>
    </cfRule>
  </conditionalFormatting>
  <conditionalFormatting sqref="H183:J183">
    <cfRule type="cellIs" dxfId="447" priority="35" stopIfTrue="1" operator="greaterThan">
      <formula>$E$135</formula>
    </cfRule>
    <cfRule type="cellIs" dxfId="446" priority="36" stopIfTrue="1" operator="lessThan">
      <formula>$E$135</formula>
    </cfRule>
  </conditionalFormatting>
  <conditionalFormatting sqref="E176:G177">
    <cfRule type="cellIs" dxfId="445" priority="37" stopIfTrue="1" operator="greaterThan">
      <formula>$H$128</formula>
    </cfRule>
    <cfRule type="cellIs" dxfId="444" priority="38" stopIfTrue="1" operator="lessThan">
      <formula>"H136"</formula>
    </cfRule>
  </conditionalFormatting>
  <conditionalFormatting sqref="E184:G184">
    <cfRule type="cellIs" dxfId="443" priority="39" stopIfTrue="1" operator="greaterThan">
      <formula>$H$136</formula>
    </cfRule>
    <cfRule type="cellIs" dxfId="442" priority="40" stopIfTrue="1" operator="lessThan">
      <formula>"H142"</formula>
    </cfRule>
  </conditionalFormatting>
  <conditionalFormatting sqref="H175:J175">
    <cfRule type="cellIs" dxfId="441" priority="41" stopIfTrue="1" operator="lessThan">
      <formula>$E$127</formula>
    </cfRule>
    <cfRule type="cellIs" priority="42" stopIfTrue="1" operator="greaterThan">
      <formula>"E135"</formula>
    </cfRule>
  </conditionalFormatting>
  <conditionalFormatting sqref="H176:J176">
    <cfRule type="cellIs" dxfId="440" priority="43" stopIfTrue="1" operator="lessThan">
      <formula>$E$128</formula>
    </cfRule>
    <cfRule type="cellIs" priority="44" stopIfTrue="1" operator="greaterThan">
      <formula>"E136"</formula>
    </cfRule>
  </conditionalFormatting>
  <conditionalFormatting sqref="H177:J177">
    <cfRule type="cellIs" dxfId="439" priority="45" stopIfTrue="1" operator="lessThan">
      <formula>$E$129</formula>
    </cfRule>
    <cfRule type="cellIs" dxfId="438" priority="46" stopIfTrue="1" operator="greaterThan">
      <formula>"E137"</formula>
    </cfRule>
  </conditionalFormatting>
  <conditionalFormatting sqref="H178:J179">
    <cfRule type="cellIs" dxfId="437" priority="47" stopIfTrue="1" operator="lessThan">
      <formula>$E$130</formula>
    </cfRule>
    <cfRule type="cellIs" dxfId="436" priority="48" stopIfTrue="1" operator="greaterThan">
      <formula>"E138"</formula>
    </cfRule>
  </conditionalFormatting>
  <conditionalFormatting sqref="H180:J182">
    <cfRule type="cellIs" dxfId="435" priority="49" stopIfTrue="1" operator="lessThan">
      <formula>$E$132</formula>
    </cfRule>
    <cfRule type="cellIs" dxfId="434" priority="50" stopIfTrue="1" operator="greaterThan">
      <formula>$E$132</formula>
    </cfRule>
  </conditionalFormatting>
  <conditionalFormatting sqref="H184:J184">
    <cfRule type="cellIs" dxfId="433" priority="51" stopIfTrue="1" operator="lessThan">
      <formula>$E$136</formula>
    </cfRule>
    <cfRule type="cellIs" dxfId="432" priority="52" stopIfTrue="1" operator="greaterThan">
      <formula>$E$136</formula>
    </cfRule>
  </conditionalFormatting>
  <conditionalFormatting sqref="E178:G178">
    <cfRule type="cellIs" dxfId="431" priority="53" stopIfTrue="1" operator="greaterThan">
      <formula>$H$130</formula>
    </cfRule>
    <cfRule type="cellIs" dxfId="430" priority="54" stopIfTrue="1" operator="lessThan">
      <formula>$H$130</formula>
    </cfRule>
  </conditionalFormatting>
  <conditionalFormatting sqref="E179:G179">
    <cfRule type="cellIs" dxfId="429" priority="55" stopIfTrue="1" operator="greaterThan">
      <formula>$H$131</formula>
    </cfRule>
    <cfRule type="cellIs" dxfId="428" priority="56" stopIfTrue="1" operator="lessThan">
      <formula>$H$131</formula>
    </cfRule>
  </conditionalFormatting>
  <conditionalFormatting sqref="E170:F170">
    <cfRule type="cellIs" dxfId="427" priority="57" stopIfTrue="1" operator="greaterThan">
      <formula>$K$123</formula>
    </cfRule>
    <cfRule type="cellIs" dxfId="426" priority="58" stopIfTrue="1" operator="lessThan">
      <formula>$K$123</formula>
    </cfRule>
  </conditionalFormatting>
  <conditionalFormatting sqref="E171:F171">
    <cfRule type="cellIs" dxfId="425" priority="59" stopIfTrue="1" operator="greaterThan">
      <formula>$K$124</formula>
    </cfRule>
    <cfRule type="cellIs" dxfId="424" priority="60" stopIfTrue="1" operator="lessThan">
      <formula>$K$124</formula>
    </cfRule>
  </conditionalFormatting>
  <conditionalFormatting sqref="E175:G175">
    <cfRule type="cellIs" dxfId="423" priority="61" stopIfTrue="1" operator="greaterThan">
      <formula>$K$127</formula>
    </cfRule>
    <cfRule type="cellIs" dxfId="422" priority="62" stopIfTrue="1" operator="lessThan">
      <formula>$K$127</formula>
    </cfRule>
  </conditionalFormatting>
  <conditionalFormatting sqref="E180:G180">
    <cfRule type="cellIs" dxfId="421" priority="63" stopIfTrue="1" operator="greaterThan">
      <formula>$K$132</formula>
    </cfRule>
    <cfRule type="cellIs" dxfId="420" priority="64" stopIfTrue="1" operator="lessThan">
      <formula>"H140"</formula>
    </cfRule>
  </conditionalFormatting>
  <conditionalFormatting sqref="E183:G183">
    <cfRule type="cellIs" dxfId="419" priority="65" stopIfTrue="1" operator="greaterThan">
      <formula>$K$135</formula>
    </cfRule>
    <cfRule type="cellIs" dxfId="418" priority="66" stopIfTrue="1" operator="lessThan">
      <formula>"H141"</formula>
    </cfRule>
  </conditionalFormatting>
  <conditionalFormatting sqref="E181:G181">
    <cfRule type="cellIs" dxfId="417" priority="67" stopIfTrue="1" operator="greaterThan">
      <formula>$K$133</formula>
    </cfRule>
    <cfRule type="cellIs" dxfId="416" priority="68" stopIfTrue="1" operator="lessThan">
      <formula>$K$133</formula>
    </cfRule>
  </conditionalFormatting>
  <conditionalFormatting sqref="E182:G182">
    <cfRule type="cellIs" dxfId="415" priority="69" stopIfTrue="1" operator="greaterThan">
      <formula>$K$134</formula>
    </cfRule>
    <cfRule type="cellIs" dxfId="414" priority="70" stopIfTrue="1" operator="lessThan">
      <formula>$K$134</formula>
    </cfRule>
  </conditionalFormatting>
  <conditionalFormatting sqref="M149:N149">
    <cfRule type="cellIs" dxfId="413" priority="71" stopIfTrue="1" operator="lessThan">
      <formula>$E$91</formula>
    </cfRule>
    <cfRule type="cellIs" dxfId="412" priority="72" stopIfTrue="1" operator="greaterThan">
      <formula>$E$91</formula>
    </cfRule>
  </conditionalFormatting>
  <conditionalFormatting sqref="E33:F33 E40:F40 E49:F49 E53:F53 E57:F57 E64:F64 E68:F68 E74:F74 E79:F79 E87:F87 E92:F92 E97:F97 E103:F103 K107:L107 E123:F123 E126:F126 E132:F132 E137:F137 E142:F142 E148:F148">
    <cfRule type="cellIs" dxfId="411" priority="73" stopIfTrue="1" operator="equal">
      <formula>$E$33</formula>
    </cfRule>
    <cfRule type="cellIs" dxfId="410" priority="74" stopIfTrue="1" operator="equal">
      <formula>$G$33</formula>
    </cfRule>
    <cfRule type="cellIs" dxfId="409" priority="75" stopIfTrue="1" operator="equal">
      <formula>$I$33</formula>
    </cfRule>
  </conditionalFormatting>
  <conditionalFormatting sqref="G33:H33 G40:H40 G49:H49 G53:H53 G57:H57 G64:H64 G68:H68 G74:H74 G79:H79 G87:H87 G92:H92 G97:H97 G103:H103 G107:H107 G123:H123 G126:H126 G132:H132 G137:H137 G142:H142 G148:H148">
    <cfRule type="cellIs" dxfId="408" priority="76" stopIfTrue="1" operator="equal">
      <formula>$B$6</formula>
    </cfRule>
    <cfRule type="cellIs" dxfId="407" priority="77" stopIfTrue="1" operator="equal">
      <formula>$G$33</formula>
    </cfRule>
    <cfRule type="cellIs" dxfId="406" priority="78" stopIfTrue="1" operator="equal">
      <formula>$B$8</formula>
    </cfRule>
  </conditionalFormatting>
  <conditionalFormatting sqref="I33:J33 I40:J40 I49:J49 I53:J53 I57:J57 I64:J64 I68:J68 I74:J74 I79:J79 I87:J87 I92:J92 I97:J97 I103:J103 I107:J107 I123:J123 I126:J126 I132:J132 I137:J137 I142:J142 I148:J148">
    <cfRule type="cellIs" dxfId="405" priority="79" stopIfTrue="1" operator="equal">
      <formula>$B$6</formula>
    </cfRule>
    <cfRule type="cellIs" dxfId="404" priority="80" stopIfTrue="1" operator="equal">
      <formula>$B$7</formula>
    </cfRule>
    <cfRule type="cellIs" dxfId="403" priority="81" stopIfTrue="1" operator="equal">
      <formula>$I$33</formula>
    </cfRule>
  </conditionalFormatting>
  <pageMargins left="0" right="0" top="0.59055118110236227" bottom="0.39370078740157483" header="0.51181102362204722" footer="0.51181102362204722"/>
  <pageSetup paperSize="9" fitToHeight="6" orientation="portrait" r:id="rId1"/>
  <headerFooter alignWithMargins="0"/>
  <legacyDrawing r:id="rId2"/>
</worksheet>
</file>

<file path=xl/worksheets/sheet22.xml><?xml version="1.0" encoding="utf-8"?>
<worksheet xmlns="http://schemas.openxmlformats.org/spreadsheetml/2006/main" xmlns:r="http://schemas.openxmlformats.org/officeDocument/2006/relationships">
  <sheetPr codeName="Sheet46">
    <pageSetUpPr fitToPage="1"/>
  </sheetPr>
  <dimension ref="A1:AJ907"/>
  <sheetViews>
    <sheetView showRowColHeaders="0" workbookViewId="0">
      <selection activeCell="B2" sqref="B2:K3"/>
    </sheetView>
  </sheetViews>
  <sheetFormatPr defaultRowHeight="12.75"/>
  <cols>
    <col min="1" max="1" width="10.7109375" style="1" customWidth="1"/>
    <col min="2" max="11" width="11.7109375" style="1" customWidth="1"/>
    <col min="12" max="16" width="10.7109375" style="1" customWidth="1"/>
    <col min="17" max="17" width="4.7109375" style="20" customWidth="1"/>
    <col min="18" max="20" width="10.7109375" style="18" customWidth="1"/>
    <col min="21" max="23" width="11.7109375" style="18" customWidth="1"/>
    <col min="24" max="26" width="10.7109375" style="18" customWidth="1"/>
    <col min="27" max="27" width="10.7109375" style="1" customWidth="1"/>
    <col min="28" max="30" width="8.7109375" style="1" customWidth="1"/>
    <col min="31" max="35" width="13.7109375" style="1" customWidth="1"/>
    <col min="36" max="37" width="10.7109375" style="1" customWidth="1"/>
    <col min="38" max="54" width="10.28515625" style="1" customWidth="1"/>
    <col min="55" max="110" width="10.7109375" style="1" customWidth="1"/>
    <col min="111" max="16384" width="9.140625" style="1"/>
  </cols>
  <sheetData>
    <row r="1" spans="1:33" ht="6" customHeight="1" thickBot="1">
      <c r="A1" s="121"/>
      <c r="B1" s="121"/>
      <c r="C1" s="121"/>
      <c r="D1" s="121"/>
      <c r="E1" s="121"/>
      <c r="F1" s="121"/>
      <c r="G1" s="121"/>
      <c r="H1" s="121"/>
      <c r="I1" s="121"/>
      <c r="J1" s="121"/>
      <c r="K1" s="121"/>
      <c r="L1" s="121"/>
      <c r="M1" s="121"/>
      <c r="N1" s="121"/>
      <c r="O1" s="121"/>
      <c r="P1" s="121"/>
      <c r="Q1" s="360"/>
      <c r="R1" s="361"/>
      <c r="S1" s="361"/>
      <c r="T1" s="361"/>
      <c r="U1" s="361"/>
      <c r="V1" s="361"/>
      <c r="W1" s="361"/>
      <c r="X1" s="361"/>
      <c r="Y1" s="361"/>
      <c r="Z1" s="361"/>
      <c r="AA1"/>
      <c r="AB1"/>
      <c r="AC1"/>
      <c r="AD1"/>
      <c r="AE1"/>
      <c r="AF1"/>
      <c r="AG1"/>
    </row>
    <row r="2" spans="1:33" ht="12.75" customHeight="1" thickTop="1">
      <c r="A2" s="121"/>
      <c r="B2" s="753" t="s">
        <v>441</v>
      </c>
      <c r="C2" s="754"/>
      <c r="D2" s="754"/>
      <c r="E2" s="754"/>
      <c r="F2" s="754"/>
      <c r="G2" s="754"/>
      <c r="H2" s="754"/>
      <c r="I2" s="754"/>
      <c r="J2" s="754"/>
      <c r="K2" s="755"/>
      <c r="L2" s="121"/>
      <c r="M2" s="121"/>
      <c r="N2" s="121"/>
      <c r="O2" s="121"/>
      <c r="P2" s="121"/>
      <c r="Q2" s="363"/>
      <c r="R2" s="1024" t="s">
        <v>396</v>
      </c>
      <c r="S2" s="1025"/>
      <c r="T2" s="1025"/>
      <c r="U2" s="1025"/>
      <c r="V2" s="1025"/>
      <c r="W2" s="1025"/>
      <c r="X2" s="1025"/>
      <c r="Y2" s="1026"/>
      <c r="Z2" s="362"/>
      <c r="AA2"/>
      <c r="AB2"/>
      <c r="AC2"/>
      <c r="AD2"/>
      <c r="AE2"/>
      <c r="AF2"/>
      <c r="AG2"/>
    </row>
    <row r="3" spans="1:33" ht="12.75" customHeight="1" thickBot="1">
      <c r="A3" s="121"/>
      <c r="B3" s="756"/>
      <c r="C3" s="757"/>
      <c r="D3" s="757"/>
      <c r="E3" s="757"/>
      <c r="F3" s="757"/>
      <c r="G3" s="757"/>
      <c r="H3" s="757"/>
      <c r="I3" s="757"/>
      <c r="J3" s="757"/>
      <c r="K3" s="758"/>
      <c r="L3" s="121"/>
      <c r="M3" s="121"/>
      <c r="N3" s="121"/>
      <c r="O3" s="121"/>
      <c r="P3" s="121"/>
      <c r="Q3" s="363"/>
      <c r="R3" s="1027"/>
      <c r="S3" s="1028"/>
      <c r="T3" s="1028"/>
      <c r="U3" s="1028"/>
      <c r="V3" s="1028"/>
      <c r="W3" s="1028"/>
      <c r="X3" s="1028"/>
      <c r="Y3" s="1029"/>
      <c r="Z3" s="362"/>
      <c r="AA3"/>
      <c r="AB3"/>
      <c r="AC3"/>
      <c r="AD3"/>
      <c r="AE3"/>
      <c r="AF3"/>
      <c r="AG3"/>
    </row>
    <row r="4" spans="1:33" ht="12.75" customHeight="1" thickTop="1">
      <c r="A4" s="121"/>
      <c r="B4" s="121"/>
      <c r="C4" s="121"/>
      <c r="D4" s="121"/>
      <c r="E4" s="121"/>
      <c r="F4" s="121"/>
      <c r="G4" s="121"/>
      <c r="H4" s="121"/>
      <c r="I4" s="121"/>
      <c r="J4" s="121"/>
      <c r="K4" s="121"/>
      <c r="L4" s="121"/>
      <c r="M4" s="121"/>
      <c r="N4" s="121"/>
      <c r="O4" s="121"/>
      <c r="P4" s="121"/>
      <c r="Q4" s="363"/>
      <c r="R4" s="361"/>
      <c r="S4" s="361"/>
      <c r="T4" s="361"/>
      <c r="U4" s="361"/>
      <c r="V4" s="361"/>
      <c r="W4" s="361"/>
      <c r="X4" s="361"/>
      <c r="Y4" s="361"/>
      <c r="Z4" s="361"/>
      <c r="AA4"/>
      <c r="AB4"/>
      <c r="AC4"/>
      <c r="AD4"/>
      <c r="AE4"/>
      <c r="AF4"/>
      <c r="AG4"/>
    </row>
    <row r="5" spans="1:33" ht="12.75" customHeight="1">
      <c r="A5" s="121"/>
      <c r="B5" s="828" t="s">
        <v>581</v>
      </c>
      <c r="C5" s="829"/>
      <c r="D5" s="830"/>
      <c r="E5" s="460">
        <v>480</v>
      </c>
      <c r="F5" s="461">
        <f>+E5</f>
        <v>480</v>
      </c>
      <c r="G5" s="121"/>
      <c r="H5" s="121"/>
      <c r="I5" s="121"/>
      <c r="J5" s="121"/>
      <c r="K5" s="121"/>
      <c r="L5" s="121"/>
      <c r="M5" s="121"/>
      <c r="N5" s="121"/>
      <c r="O5" s="121"/>
      <c r="P5" s="121"/>
      <c r="Q5" s="360"/>
      <c r="R5" s="951" t="s">
        <v>868</v>
      </c>
      <c r="S5" s="951"/>
      <c r="T5" s="951"/>
      <c r="U5" s="951"/>
      <c r="V5" s="447">
        <f>F5</f>
        <v>480</v>
      </c>
      <c r="W5" s="362"/>
      <c r="X5" s="362"/>
      <c r="Y5" s="362"/>
      <c r="Z5" s="362"/>
      <c r="AA5"/>
      <c r="AB5"/>
      <c r="AC5"/>
      <c r="AD5"/>
      <c r="AE5"/>
      <c r="AF5"/>
      <c r="AG5"/>
    </row>
    <row r="6" spans="1:33" ht="12.75" customHeight="1">
      <c r="A6" s="121"/>
      <c r="B6" s="121"/>
      <c r="C6" s="121"/>
      <c r="D6" s="121"/>
      <c r="E6" s="121"/>
      <c r="F6" s="121"/>
      <c r="G6" s="121"/>
      <c r="H6" s="121"/>
      <c r="I6" s="121"/>
      <c r="J6" s="121"/>
      <c r="K6" s="121"/>
      <c r="L6" s="121"/>
      <c r="M6" s="121"/>
      <c r="N6" s="121"/>
      <c r="O6" s="121"/>
      <c r="P6" s="121"/>
      <c r="Q6" s="360"/>
      <c r="R6" s="362"/>
      <c r="S6" s="362"/>
      <c r="T6" s="362"/>
      <c r="U6" s="362"/>
      <c r="V6" s="361"/>
      <c r="W6" s="361"/>
      <c r="X6" s="361"/>
      <c r="Y6" s="361"/>
      <c r="Z6" s="361"/>
      <c r="AA6"/>
      <c r="AB6"/>
      <c r="AC6"/>
      <c r="AD6"/>
      <c r="AE6"/>
      <c r="AF6"/>
      <c r="AG6"/>
    </row>
    <row r="7" spans="1:33" ht="12.75" customHeight="1">
      <c r="A7" s="121"/>
      <c r="B7" s="121"/>
      <c r="C7" s="121"/>
      <c r="D7" s="121"/>
      <c r="E7" s="121"/>
      <c r="F7" s="121"/>
      <c r="G7" s="121"/>
      <c r="H7" s="121"/>
      <c r="I7" s="121"/>
      <c r="J7" s="121"/>
      <c r="K7" s="121"/>
      <c r="L7" s="121"/>
      <c r="M7" s="121"/>
      <c r="N7" s="121"/>
      <c r="O7" s="121"/>
      <c r="P7" s="121"/>
      <c r="Q7" s="385">
        <v>1</v>
      </c>
      <c r="R7" s="1008" t="s">
        <v>24</v>
      </c>
      <c r="S7" s="1008"/>
      <c r="T7" s="1008"/>
      <c r="U7" s="1008"/>
      <c r="V7" s="1008"/>
      <c r="W7" s="1008"/>
      <c r="X7" s="1008"/>
      <c r="Y7" s="1008"/>
      <c r="Z7" s="536"/>
      <c r="AA7"/>
      <c r="AB7"/>
      <c r="AC7"/>
      <c r="AD7"/>
      <c r="AE7"/>
      <c r="AF7"/>
      <c r="AG7"/>
    </row>
    <row r="8" spans="1:33" ht="12.75" customHeight="1">
      <c r="A8" s="121"/>
      <c r="B8" s="121"/>
      <c r="C8" s="121"/>
      <c r="D8" s="121"/>
      <c r="E8" s="121"/>
      <c r="F8" s="121"/>
      <c r="G8" s="121"/>
      <c r="H8" s="121"/>
      <c r="I8" s="121"/>
      <c r="J8" s="121"/>
      <c r="K8" s="121"/>
      <c r="L8" s="121"/>
      <c r="M8" s="121"/>
      <c r="N8" s="121"/>
      <c r="O8" s="121"/>
      <c r="P8" s="121"/>
      <c r="Q8" s="386"/>
      <c r="R8" s="361"/>
      <c r="S8" s="361"/>
      <c r="T8" s="361"/>
      <c r="U8" s="361"/>
      <c r="V8" s="361"/>
      <c r="W8" s="361"/>
      <c r="X8" s="361"/>
      <c r="Y8" s="361"/>
      <c r="Z8" s="361"/>
      <c r="AA8"/>
      <c r="AB8"/>
      <c r="AC8"/>
      <c r="AD8"/>
      <c r="AE8"/>
      <c r="AF8"/>
      <c r="AG8"/>
    </row>
    <row r="9" spans="1:33" ht="12.75" customHeight="1">
      <c r="A9" s="121"/>
      <c r="B9" s="121"/>
      <c r="C9" s="121"/>
      <c r="D9" s="121"/>
      <c r="E9" s="121"/>
      <c r="F9" s="121"/>
      <c r="G9" s="121"/>
      <c r="H9" s="121"/>
      <c r="I9" s="121"/>
      <c r="J9" s="121"/>
      <c r="K9" s="121"/>
      <c r="L9" s="121"/>
      <c r="M9" s="121"/>
      <c r="N9" s="121"/>
      <c r="O9" s="121"/>
      <c r="P9" s="121"/>
      <c r="Q9" s="360">
        <v>1.1000000000000001</v>
      </c>
      <c r="R9" s="364" t="s">
        <v>586</v>
      </c>
      <c r="S9" s="363"/>
      <c r="T9" s="363"/>
      <c r="U9" s="363"/>
      <c r="V9" s="363"/>
      <c r="W9" s="363"/>
      <c r="X9" s="363"/>
      <c r="Y9" s="363"/>
      <c r="Z9" s="363"/>
      <c r="AA9"/>
      <c r="AB9"/>
      <c r="AC9"/>
      <c r="AD9"/>
      <c r="AE9"/>
      <c r="AF9"/>
      <c r="AG9"/>
    </row>
    <row r="10" spans="1:33" ht="12.75" customHeight="1">
      <c r="A10" s="121"/>
      <c r="B10" s="121"/>
      <c r="C10" s="121"/>
      <c r="D10" s="121"/>
      <c r="E10" s="121"/>
      <c r="F10" s="121"/>
      <c r="G10" s="121"/>
      <c r="H10" s="121"/>
      <c r="I10" s="121"/>
      <c r="J10" s="121"/>
      <c r="K10" s="121"/>
      <c r="L10" s="121"/>
      <c r="M10" s="121"/>
      <c r="N10" s="121"/>
      <c r="O10" s="121"/>
      <c r="P10" s="121"/>
      <c r="Q10" s="360"/>
      <c r="R10" s="969" t="s">
        <v>25</v>
      </c>
      <c r="S10" s="969"/>
      <c r="T10" s="969"/>
      <c r="U10" s="969"/>
      <c r="V10" s="447">
        <f>'Prod Parameters'!$F$8</f>
        <v>23</v>
      </c>
      <c r="W10" s="363"/>
      <c r="X10" s="363"/>
      <c r="Y10" s="363"/>
      <c r="Z10" s="363"/>
      <c r="AA10"/>
      <c r="AB10"/>
      <c r="AC10"/>
      <c r="AD10"/>
      <c r="AE10"/>
      <c r="AF10"/>
      <c r="AG10"/>
    </row>
    <row r="11" spans="1:33" ht="12.75" customHeight="1">
      <c r="A11" s="121"/>
      <c r="B11" s="121"/>
      <c r="C11" s="121"/>
      <c r="D11" s="121"/>
      <c r="E11" s="121"/>
      <c r="F11" s="121"/>
      <c r="G11" s="121"/>
      <c r="H11" s="121"/>
      <c r="I11" s="121"/>
      <c r="J11" s="121"/>
      <c r="K11" s="121"/>
      <c r="L11" s="121"/>
      <c r="M11" s="121"/>
      <c r="N11" s="121"/>
      <c r="O11" s="121"/>
      <c r="P11" s="121"/>
      <c r="Q11" s="360"/>
      <c r="R11" s="969" t="s">
        <v>325</v>
      </c>
      <c r="S11" s="969"/>
      <c r="T11" s="969"/>
      <c r="U11" s="969"/>
      <c r="V11" s="447">
        <f>'Prod Parameters'!$F$9</f>
        <v>23</v>
      </c>
      <c r="W11" s="363"/>
      <c r="X11" s="363"/>
      <c r="Y11" s="363"/>
      <c r="Z11" s="363"/>
      <c r="AA11"/>
      <c r="AB11"/>
      <c r="AC11"/>
      <c r="AD11"/>
      <c r="AE11"/>
      <c r="AF11"/>
      <c r="AG11"/>
    </row>
    <row r="12" spans="1:33" ht="12.75" customHeight="1">
      <c r="A12" s="121"/>
      <c r="B12" s="121"/>
      <c r="C12" s="121"/>
      <c r="D12" s="121"/>
      <c r="E12" s="121"/>
      <c r="F12" s="121"/>
      <c r="G12" s="121"/>
      <c r="H12" s="121"/>
      <c r="I12" s="121"/>
      <c r="J12" s="121"/>
      <c r="K12" s="121"/>
      <c r="L12" s="121"/>
      <c r="M12" s="121"/>
      <c r="N12" s="121"/>
      <c r="O12" s="121"/>
      <c r="P12" s="121"/>
      <c r="Q12" s="360"/>
      <c r="R12" s="1021" t="s">
        <v>26</v>
      </c>
      <c r="S12" s="1022"/>
      <c r="T12" s="1022"/>
      <c r="U12" s="1023"/>
      <c r="V12" s="447">
        <f>'Prod Parameters'!$F$10</f>
        <v>6</v>
      </c>
      <c r="W12" s="363"/>
      <c r="X12" s="363"/>
      <c r="Y12" s="363"/>
      <c r="Z12" s="363"/>
      <c r="AA12"/>
      <c r="AB12"/>
      <c r="AC12"/>
      <c r="AD12"/>
      <c r="AE12"/>
      <c r="AF12"/>
      <c r="AG12"/>
    </row>
    <row r="13" spans="1:33" ht="12.75" customHeight="1">
      <c r="A13" s="121"/>
      <c r="B13" s="121"/>
      <c r="C13" s="121"/>
      <c r="D13" s="121"/>
      <c r="E13" s="121"/>
      <c r="F13" s="121"/>
      <c r="G13" s="121"/>
      <c r="H13" s="121"/>
      <c r="I13" s="121"/>
      <c r="J13" s="121"/>
      <c r="K13" s="121"/>
      <c r="L13" s="121"/>
      <c r="M13" s="121"/>
      <c r="N13" s="121"/>
      <c r="O13" s="121"/>
      <c r="P13" s="121"/>
      <c r="Q13" s="360"/>
      <c r="R13" s="969" t="s">
        <v>27</v>
      </c>
      <c r="S13" s="969"/>
      <c r="T13" s="969"/>
      <c r="U13" s="969"/>
      <c r="V13" s="447">
        <f>'Prod Parameters'!$F$11</f>
        <v>52</v>
      </c>
      <c r="W13" s="363"/>
      <c r="X13" s="363"/>
      <c r="Y13" s="363"/>
      <c r="Z13" s="363"/>
      <c r="AA13"/>
      <c r="AB13"/>
      <c r="AC13"/>
      <c r="AD13"/>
      <c r="AE13"/>
      <c r="AF13"/>
      <c r="AG13"/>
    </row>
    <row r="14" spans="1:33" ht="12.75" customHeight="1">
      <c r="A14" s="121"/>
      <c r="B14" s="121"/>
      <c r="C14" s="121"/>
      <c r="D14" s="121"/>
      <c r="E14" s="121"/>
      <c r="F14" s="121"/>
      <c r="G14" s="121"/>
      <c r="H14" s="121"/>
      <c r="I14" s="121"/>
      <c r="J14" s="121"/>
      <c r="K14" s="121"/>
      <c r="L14" s="121"/>
      <c r="M14" s="121"/>
      <c r="N14" s="121"/>
      <c r="O14" s="121"/>
      <c r="P14" s="121"/>
      <c r="Q14" s="360"/>
      <c r="R14" s="969" t="s">
        <v>28</v>
      </c>
      <c r="S14" s="969"/>
      <c r="T14" s="969"/>
      <c r="U14" s="969"/>
      <c r="V14" s="447">
        <f>'Prod Parameters'!$F$12</f>
        <v>260</v>
      </c>
      <c r="W14" s="363"/>
      <c r="X14" s="363"/>
      <c r="Y14" s="363"/>
      <c r="Z14" s="363"/>
      <c r="AA14"/>
      <c r="AB14"/>
      <c r="AC14"/>
      <c r="AD14"/>
      <c r="AE14"/>
      <c r="AF14"/>
      <c r="AG14"/>
    </row>
    <row r="15" spans="1:33" ht="12.75" customHeight="1">
      <c r="A15" s="121"/>
      <c r="B15" s="121"/>
      <c r="C15" s="121"/>
      <c r="D15" s="121"/>
      <c r="E15" s="121"/>
      <c r="F15" s="121"/>
      <c r="G15" s="121"/>
      <c r="H15" s="121"/>
      <c r="I15" s="121"/>
      <c r="J15" s="121"/>
      <c r="K15" s="121"/>
      <c r="L15" s="121"/>
      <c r="M15" s="121"/>
      <c r="N15" s="121"/>
      <c r="O15" s="121"/>
      <c r="P15" s="121"/>
      <c r="Q15" s="360"/>
      <c r="R15" s="969" t="s">
        <v>29</v>
      </c>
      <c r="S15" s="969"/>
      <c r="T15" s="969"/>
      <c r="U15" s="969"/>
      <c r="V15" s="447">
        <f>'Prod Parameters'!$F$13</f>
        <v>30</v>
      </c>
      <c r="W15" s="363"/>
      <c r="X15" s="363"/>
      <c r="Y15" s="363"/>
      <c r="Z15" s="363"/>
      <c r="AA15"/>
      <c r="AB15"/>
      <c r="AC15"/>
      <c r="AD15"/>
      <c r="AE15"/>
      <c r="AF15"/>
      <c r="AG15"/>
    </row>
    <row r="16" spans="1:33" ht="12.75" customHeight="1">
      <c r="A16" s="121"/>
      <c r="B16" s="121"/>
      <c r="C16" s="121"/>
      <c r="D16" s="121"/>
      <c r="E16" s="121"/>
      <c r="F16" s="121"/>
      <c r="G16" s="121"/>
      <c r="H16" s="121"/>
      <c r="I16" s="121"/>
      <c r="J16" s="121"/>
      <c r="K16" s="121"/>
      <c r="L16" s="121"/>
      <c r="M16" s="121"/>
      <c r="N16" s="121"/>
      <c r="O16" s="121"/>
      <c r="P16" s="121"/>
      <c r="Q16" s="360"/>
      <c r="R16" s="968" t="s">
        <v>30</v>
      </c>
      <c r="S16" s="968"/>
      <c r="T16" s="968"/>
      <c r="U16" s="968"/>
      <c r="V16" s="447">
        <f>'Prod Parameters'!$F$14</f>
        <v>230</v>
      </c>
      <c r="W16" s="363"/>
      <c r="X16" s="363"/>
      <c r="Y16" s="363"/>
      <c r="Z16" s="363"/>
      <c r="AA16"/>
      <c r="AB16"/>
      <c r="AC16"/>
      <c r="AD16"/>
      <c r="AE16"/>
      <c r="AF16"/>
      <c r="AG16"/>
    </row>
    <row r="17" spans="1:33" ht="12.75" customHeight="1">
      <c r="A17" s="121"/>
      <c r="B17" s="121"/>
      <c r="C17" s="121"/>
      <c r="D17" s="121"/>
      <c r="E17" s="121"/>
      <c r="F17" s="121"/>
      <c r="G17" s="121"/>
      <c r="H17" s="121"/>
      <c r="I17" s="121"/>
      <c r="J17" s="121"/>
      <c r="K17" s="121"/>
      <c r="L17" s="121"/>
      <c r="M17" s="121"/>
      <c r="N17" s="121"/>
      <c r="O17" s="121"/>
      <c r="P17" s="121"/>
      <c r="Q17" s="360"/>
      <c r="R17" s="363"/>
      <c r="S17" s="363"/>
      <c r="T17" s="363"/>
      <c r="U17" s="363"/>
      <c r="V17" s="363"/>
      <c r="W17" s="363"/>
      <c r="X17" s="363"/>
      <c r="Y17" s="363"/>
      <c r="Z17" s="363"/>
      <c r="AA17"/>
      <c r="AB17"/>
      <c r="AC17"/>
      <c r="AD17"/>
      <c r="AE17"/>
      <c r="AF17"/>
      <c r="AG17"/>
    </row>
    <row r="18" spans="1:33" ht="12.75" customHeight="1">
      <c r="A18" s="121"/>
      <c r="B18" s="121"/>
      <c r="C18" s="121"/>
      <c r="D18" s="121"/>
      <c r="E18" s="121"/>
      <c r="F18" s="121"/>
      <c r="G18" s="121"/>
      <c r="H18" s="121"/>
      <c r="I18" s="121"/>
      <c r="J18" s="121"/>
      <c r="K18" s="121"/>
      <c r="L18" s="121"/>
      <c r="M18" s="121"/>
      <c r="N18" s="121"/>
      <c r="O18" s="121"/>
      <c r="P18" s="121"/>
      <c r="Q18" s="360">
        <v>1.2</v>
      </c>
      <c r="R18" s="364" t="s">
        <v>19</v>
      </c>
      <c r="S18" s="363"/>
      <c r="T18" s="363"/>
      <c r="U18" s="363"/>
      <c r="V18" s="363"/>
      <c r="W18" s="363"/>
      <c r="X18" s="363"/>
      <c r="Y18" s="363"/>
      <c r="Z18" s="363"/>
      <c r="AA18"/>
      <c r="AB18"/>
      <c r="AC18"/>
      <c r="AD18"/>
      <c r="AE18"/>
      <c r="AF18"/>
      <c r="AG18"/>
    </row>
    <row r="19" spans="1:33" ht="12.75" customHeight="1">
      <c r="A19" s="121"/>
      <c r="B19" s="121"/>
      <c r="C19" s="121"/>
      <c r="D19" s="121"/>
      <c r="E19" s="121"/>
      <c r="F19" s="121"/>
      <c r="G19" s="121"/>
      <c r="H19" s="121"/>
      <c r="I19" s="121"/>
      <c r="J19" s="121"/>
      <c r="K19" s="121"/>
      <c r="L19" s="121"/>
      <c r="M19" s="121"/>
      <c r="N19" s="121"/>
      <c r="O19" s="121"/>
      <c r="P19" s="121"/>
      <c r="Q19" s="360"/>
      <c r="R19" s="969" t="s">
        <v>314</v>
      </c>
      <c r="S19" s="969"/>
      <c r="T19" s="969"/>
      <c r="U19" s="969"/>
      <c r="V19" s="447">
        <f>'Prod Parameters'!$F$17</f>
        <v>160</v>
      </c>
      <c r="W19" s="363"/>
      <c r="X19" s="363"/>
      <c r="Y19" s="363"/>
      <c r="Z19" s="363"/>
      <c r="AA19"/>
      <c r="AB19"/>
      <c r="AC19"/>
      <c r="AD19"/>
      <c r="AE19"/>
      <c r="AF19"/>
      <c r="AG19"/>
    </row>
    <row r="20" spans="1:33" ht="12.75" customHeight="1">
      <c r="A20" s="121"/>
      <c r="B20" s="121"/>
      <c r="C20" s="121"/>
      <c r="D20" s="121"/>
      <c r="E20" s="121"/>
      <c r="F20" s="121"/>
      <c r="G20" s="121"/>
      <c r="H20" s="121"/>
      <c r="I20" s="121"/>
      <c r="J20" s="121"/>
      <c r="K20" s="121"/>
      <c r="L20" s="121"/>
      <c r="M20" s="121"/>
      <c r="N20" s="121"/>
      <c r="O20" s="121"/>
      <c r="P20" s="121"/>
      <c r="Q20" s="360"/>
      <c r="R20" s="969" t="s">
        <v>31</v>
      </c>
      <c r="S20" s="969"/>
      <c r="T20" s="969"/>
      <c r="U20" s="969"/>
      <c r="V20" s="447">
        <f>'Prod Parameters'!$F$18</f>
        <v>1.2</v>
      </c>
      <c r="W20" s="363"/>
      <c r="X20" s="363"/>
      <c r="Y20" s="363"/>
      <c r="Z20" s="363"/>
      <c r="AA20"/>
      <c r="AB20"/>
      <c r="AC20"/>
      <c r="AD20"/>
      <c r="AE20"/>
      <c r="AF20"/>
      <c r="AG20"/>
    </row>
    <row r="21" spans="1:33" ht="12.75" customHeight="1">
      <c r="A21" s="121"/>
      <c r="B21" s="121"/>
      <c r="C21" s="121"/>
      <c r="D21" s="121"/>
      <c r="E21" s="121"/>
      <c r="F21" s="121"/>
      <c r="G21" s="121"/>
      <c r="H21" s="121"/>
      <c r="I21" s="121"/>
      <c r="J21" s="121"/>
      <c r="K21" s="121"/>
      <c r="L21" s="121"/>
      <c r="M21" s="121"/>
      <c r="N21" s="121"/>
      <c r="O21" s="121"/>
      <c r="P21" s="121"/>
      <c r="Q21" s="360"/>
      <c r="R21" s="969" t="s">
        <v>199</v>
      </c>
      <c r="S21" s="969"/>
      <c r="T21" s="969"/>
      <c r="U21" s="969"/>
      <c r="V21" s="447">
        <f>'Prod Parameters'!$F$19</f>
        <v>4</v>
      </c>
      <c r="W21" s="363"/>
      <c r="X21" s="363"/>
      <c r="Y21" s="363"/>
      <c r="Z21" s="363"/>
      <c r="AA21"/>
      <c r="AB21"/>
      <c r="AC21"/>
      <c r="AD21"/>
      <c r="AE21"/>
      <c r="AF21"/>
      <c r="AG21"/>
    </row>
    <row r="22" spans="1:33" ht="12.75" customHeight="1">
      <c r="A22" s="121"/>
      <c r="B22" s="121"/>
      <c r="C22" s="121"/>
      <c r="D22" s="121"/>
      <c r="E22" s="121"/>
      <c r="F22" s="121"/>
      <c r="G22" s="121"/>
      <c r="H22" s="121"/>
      <c r="I22" s="121"/>
      <c r="J22" s="121"/>
      <c r="K22" s="121"/>
      <c r="L22" s="121"/>
      <c r="M22" s="121"/>
      <c r="N22" s="121"/>
      <c r="O22" s="121"/>
      <c r="P22" s="121"/>
      <c r="Q22" s="360"/>
      <c r="R22" s="969" t="s">
        <v>20</v>
      </c>
      <c r="S22" s="969"/>
      <c r="T22" s="969"/>
      <c r="U22" s="969"/>
      <c r="V22" s="447">
        <f>'Prod Parameters'!$F$20</f>
        <v>40</v>
      </c>
      <c r="W22" s="363"/>
      <c r="X22" s="363"/>
      <c r="Y22" s="363"/>
      <c r="Z22" s="363"/>
      <c r="AA22"/>
      <c r="AB22"/>
      <c r="AC22"/>
      <c r="AD22"/>
      <c r="AE22"/>
      <c r="AF22"/>
      <c r="AG22"/>
    </row>
    <row r="23" spans="1:33" ht="12.75" customHeight="1">
      <c r="A23" s="121"/>
      <c r="B23" s="121"/>
      <c r="C23" s="121"/>
      <c r="D23" s="121"/>
      <c r="E23" s="121"/>
      <c r="F23" s="121"/>
      <c r="G23" s="121"/>
      <c r="H23" s="121"/>
      <c r="I23" s="121"/>
      <c r="J23" s="121"/>
      <c r="K23" s="121"/>
      <c r="L23" s="121"/>
      <c r="M23" s="121"/>
      <c r="N23" s="121"/>
      <c r="O23" s="121"/>
      <c r="P23" s="121"/>
      <c r="Q23" s="360"/>
      <c r="R23" s="969" t="s">
        <v>310</v>
      </c>
      <c r="S23" s="969"/>
      <c r="T23" s="969"/>
      <c r="U23" s="969"/>
      <c r="V23" s="447">
        <f>'Prod Parameters'!$F$21</f>
        <v>160</v>
      </c>
      <c r="W23" s="363"/>
      <c r="X23" s="363"/>
      <c r="Y23" s="363"/>
      <c r="Z23" s="363"/>
      <c r="AA23"/>
      <c r="AB23"/>
      <c r="AC23"/>
      <c r="AD23"/>
      <c r="AE23"/>
      <c r="AF23"/>
      <c r="AG23"/>
    </row>
    <row r="24" spans="1:33" ht="12.75" customHeight="1">
      <c r="A24" s="121"/>
      <c r="B24" s="121"/>
      <c r="C24" s="121"/>
      <c r="D24" s="121"/>
      <c r="E24" s="121"/>
      <c r="F24" s="121"/>
      <c r="G24" s="121"/>
      <c r="H24" s="121"/>
      <c r="I24" s="121"/>
      <c r="J24" s="121"/>
      <c r="K24" s="121"/>
      <c r="L24" s="121"/>
      <c r="M24" s="121"/>
      <c r="N24" s="121"/>
      <c r="O24" s="121"/>
      <c r="P24" s="121"/>
      <c r="Q24" s="360"/>
      <c r="R24" s="969" t="s">
        <v>315</v>
      </c>
      <c r="S24" s="969"/>
      <c r="T24" s="969"/>
      <c r="U24" s="969"/>
      <c r="V24" s="549">
        <f>'Prod Parameters'!$F$22</f>
        <v>6400</v>
      </c>
      <c r="W24" s="363"/>
      <c r="X24" s="363"/>
      <c r="Y24" s="363"/>
      <c r="Z24" s="363"/>
      <c r="AA24"/>
      <c r="AB24"/>
      <c r="AC24"/>
      <c r="AD24"/>
      <c r="AE24"/>
      <c r="AF24"/>
      <c r="AG24"/>
    </row>
    <row r="25" spans="1:33" ht="12.75" customHeight="1">
      <c r="A25" s="121"/>
      <c r="B25" s="121"/>
      <c r="C25" s="121"/>
      <c r="D25" s="121"/>
      <c r="E25" s="121"/>
      <c r="F25" s="121"/>
      <c r="G25" s="121"/>
      <c r="H25" s="121"/>
      <c r="I25" s="121"/>
      <c r="J25" s="121"/>
      <c r="K25" s="121"/>
      <c r="L25" s="121"/>
      <c r="M25" s="121"/>
      <c r="N25" s="121"/>
      <c r="O25" s="121"/>
      <c r="P25" s="121"/>
      <c r="Q25" s="360"/>
      <c r="R25" s="969" t="s">
        <v>187</v>
      </c>
      <c r="S25" s="969"/>
      <c r="T25" s="969"/>
      <c r="U25" s="969"/>
      <c r="V25" s="549">
        <f>'Prod Parameters'!$F$23</f>
        <v>7680</v>
      </c>
      <c r="W25" s="363"/>
      <c r="X25" s="363"/>
      <c r="Y25" s="363"/>
      <c r="Z25" s="363"/>
      <c r="AA25"/>
      <c r="AB25"/>
      <c r="AC25"/>
      <c r="AD25"/>
      <c r="AE25"/>
      <c r="AF25"/>
      <c r="AG25"/>
    </row>
    <row r="26" spans="1:33" ht="12.75" customHeight="1">
      <c r="A26" s="121"/>
      <c r="B26" s="121"/>
      <c r="C26" s="121"/>
      <c r="D26" s="121"/>
      <c r="E26" s="121"/>
      <c r="F26" s="121"/>
      <c r="G26" s="121"/>
      <c r="H26" s="121"/>
      <c r="I26" s="121"/>
      <c r="J26" s="121"/>
      <c r="K26" s="121"/>
      <c r="L26" s="121"/>
      <c r="M26" s="121"/>
      <c r="N26" s="121"/>
      <c r="O26" s="121"/>
      <c r="P26" s="121"/>
      <c r="Q26" s="360"/>
      <c r="R26" s="969" t="s">
        <v>200</v>
      </c>
      <c r="S26" s="969"/>
      <c r="T26" s="969"/>
      <c r="U26" s="969"/>
      <c r="V26" s="549">
        <f>'Prod Parameters'!$F$24</f>
        <v>176640</v>
      </c>
      <c r="W26" s="363"/>
      <c r="X26" s="363"/>
      <c r="Y26" s="363"/>
      <c r="Z26" s="363"/>
      <c r="AA26"/>
      <c r="AB26"/>
      <c r="AC26"/>
      <c r="AD26"/>
      <c r="AE26"/>
      <c r="AF26"/>
      <c r="AG26"/>
    </row>
    <row r="27" spans="1:33" ht="12.75" customHeight="1">
      <c r="A27" s="121"/>
      <c r="B27" s="121"/>
      <c r="C27" s="121"/>
      <c r="D27" s="121"/>
      <c r="E27" s="121"/>
      <c r="F27" s="121"/>
      <c r="G27" s="121"/>
      <c r="H27" s="121"/>
      <c r="I27" s="121"/>
      <c r="J27" s="121"/>
      <c r="K27" s="121"/>
      <c r="L27" s="121"/>
      <c r="M27" s="121"/>
      <c r="N27" s="121"/>
      <c r="O27" s="121"/>
      <c r="P27" s="121"/>
      <c r="Q27" s="360"/>
      <c r="R27" s="363"/>
      <c r="S27" s="363"/>
      <c r="T27" s="363"/>
      <c r="U27" s="363"/>
      <c r="V27" s="363"/>
      <c r="W27" s="363"/>
      <c r="X27" s="363"/>
      <c r="Y27" s="363"/>
      <c r="Z27" s="363"/>
      <c r="AA27"/>
      <c r="AB27"/>
      <c r="AC27"/>
      <c r="AD27"/>
      <c r="AE27"/>
      <c r="AF27"/>
      <c r="AG27"/>
    </row>
    <row r="28" spans="1:33" ht="12.75" customHeight="1">
      <c r="A28" s="121"/>
      <c r="B28" s="121"/>
      <c r="C28" s="121"/>
      <c r="D28" s="121"/>
      <c r="E28" s="121"/>
      <c r="F28" s="121"/>
      <c r="G28" s="121"/>
      <c r="H28" s="121"/>
      <c r="I28" s="121"/>
      <c r="J28" s="121"/>
      <c r="K28" s="121"/>
      <c r="L28" s="121"/>
      <c r="M28" s="121"/>
      <c r="N28" s="121"/>
      <c r="O28" s="121"/>
      <c r="P28" s="121"/>
      <c r="Q28" s="385" t="s">
        <v>33</v>
      </c>
      <c r="R28" s="1008" t="s">
        <v>821</v>
      </c>
      <c r="S28" s="1008"/>
      <c r="T28" s="1008"/>
      <c r="U28" s="1008"/>
      <c r="V28" s="1008"/>
      <c r="W28" s="1008"/>
      <c r="X28" s="1008"/>
      <c r="Y28" s="1008"/>
      <c r="Z28" s="536"/>
      <c r="AA28"/>
      <c r="AB28"/>
      <c r="AC28"/>
      <c r="AD28"/>
      <c r="AE28"/>
      <c r="AF28"/>
      <c r="AG28"/>
    </row>
    <row r="29" spans="1:33" ht="12.75" customHeight="1">
      <c r="A29" s="121"/>
      <c r="B29" s="121"/>
      <c r="C29" s="121"/>
      <c r="D29" s="121"/>
      <c r="E29" s="121"/>
      <c r="F29" s="121"/>
      <c r="G29" s="121"/>
      <c r="H29" s="121"/>
      <c r="I29" s="121"/>
      <c r="J29" s="121"/>
      <c r="K29" s="121"/>
      <c r="L29" s="121"/>
      <c r="M29" s="121"/>
      <c r="N29" s="121"/>
      <c r="O29" s="121"/>
      <c r="P29" s="121"/>
      <c r="Q29" s="546"/>
      <c r="R29" s="363"/>
      <c r="S29" s="363"/>
      <c r="T29" s="363"/>
      <c r="U29" s="363"/>
      <c r="V29" s="363"/>
      <c r="W29" s="363"/>
      <c r="X29" s="363"/>
      <c r="Y29" s="363"/>
      <c r="Z29" s="363"/>
      <c r="AA29"/>
      <c r="AB29"/>
      <c r="AC29"/>
      <c r="AD29"/>
      <c r="AE29"/>
      <c r="AF29"/>
      <c r="AG29"/>
    </row>
    <row r="30" spans="1:33" ht="12.75" customHeight="1">
      <c r="A30" s="121"/>
      <c r="B30" s="121"/>
      <c r="C30" s="121"/>
      <c r="D30" s="121"/>
      <c r="E30" s="121"/>
      <c r="F30" s="121"/>
      <c r="G30" s="121"/>
      <c r="H30" s="121"/>
      <c r="I30" s="121"/>
      <c r="J30" s="121"/>
      <c r="K30" s="121"/>
      <c r="L30" s="121"/>
      <c r="M30" s="121"/>
      <c r="N30" s="121"/>
      <c r="O30" s="121"/>
      <c r="P30" s="121"/>
      <c r="Q30" s="546">
        <v>2.1</v>
      </c>
      <c r="R30" s="363" t="s">
        <v>831</v>
      </c>
      <c r="S30" s="363"/>
      <c r="T30" s="363"/>
      <c r="U30" s="550"/>
      <c r="V30" s="550"/>
      <c r="W30" s="550"/>
      <c r="X30" s="550"/>
      <c r="Y30" s="551"/>
      <c r="Z30" s="551"/>
      <c r="AA30"/>
      <c r="AB30"/>
      <c r="AC30"/>
      <c r="AD30"/>
      <c r="AE30"/>
      <c r="AF30"/>
      <c r="AG30"/>
    </row>
    <row r="31" spans="1:33" ht="12.75" customHeight="1">
      <c r="A31" s="121"/>
      <c r="B31" s="121"/>
      <c r="C31" s="121"/>
      <c r="D31" s="121"/>
      <c r="E31" s="121"/>
      <c r="F31" s="121"/>
      <c r="G31" s="121"/>
      <c r="H31" s="121"/>
      <c r="I31" s="121"/>
      <c r="J31" s="121"/>
      <c r="K31" s="121"/>
      <c r="L31" s="121"/>
      <c r="M31" s="121"/>
      <c r="N31" s="121"/>
      <c r="O31" s="121"/>
      <c r="P31" s="121"/>
      <c r="Q31" s="546"/>
      <c r="R31" s="998" t="s">
        <v>77</v>
      </c>
      <c r="S31" s="999"/>
      <c r="T31" s="1000"/>
      <c r="U31" s="1019" t="s">
        <v>824</v>
      </c>
      <c r="V31" s="1019" t="s">
        <v>828</v>
      </c>
      <c r="W31" s="1019" t="s">
        <v>826</v>
      </c>
      <c r="X31" s="1019" t="s">
        <v>23</v>
      </c>
      <c r="Y31" s="552"/>
      <c r="Z31" s="552"/>
      <c r="AA31"/>
      <c r="AB31"/>
      <c r="AC31"/>
      <c r="AD31"/>
      <c r="AE31"/>
      <c r="AF31"/>
      <c r="AG31"/>
    </row>
    <row r="32" spans="1:33" ht="12.75" customHeight="1">
      <c r="A32" s="121"/>
      <c r="B32" s="121"/>
      <c r="C32" s="121"/>
      <c r="D32" s="121"/>
      <c r="E32" s="121"/>
      <c r="F32" s="121"/>
      <c r="G32" s="121"/>
      <c r="H32" s="121"/>
      <c r="I32" s="121"/>
      <c r="J32" s="121"/>
      <c r="K32" s="121"/>
      <c r="L32" s="121"/>
      <c r="M32" s="121"/>
      <c r="N32" s="121"/>
      <c r="O32" s="121"/>
      <c r="P32" s="121"/>
      <c r="Q32" s="546"/>
      <c r="R32" s="1001"/>
      <c r="S32" s="1002"/>
      <c r="T32" s="1003"/>
      <c r="U32" s="1019"/>
      <c r="V32" s="1019"/>
      <c r="W32" s="1019"/>
      <c r="X32" s="1019"/>
      <c r="Y32" s="364"/>
      <c r="Z32" s="364"/>
      <c r="AA32"/>
      <c r="AB32"/>
      <c r="AC32"/>
      <c r="AD32"/>
      <c r="AE32"/>
      <c r="AF32"/>
      <c r="AG32"/>
    </row>
    <row r="33" spans="1:33" ht="12.75" customHeight="1">
      <c r="A33" s="121"/>
      <c r="B33" s="121"/>
      <c r="C33" s="121"/>
      <c r="D33" s="121"/>
      <c r="E33" s="121"/>
      <c r="F33" s="121"/>
      <c r="G33" s="121"/>
      <c r="H33" s="121"/>
      <c r="I33" s="121"/>
      <c r="J33" s="121"/>
      <c r="K33" s="121"/>
      <c r="L33" s="121"/>
      <c r="M33" s="121"/>
      <c r="N33" s="121"/>
      <c r="O33" s="121"/>
      <c r="P33" s="121"/>
      <c r="Q33" s="546"/>
      <c r="R33" s="1020" t="s">
        <v>500</v>
      </c>
      <c r="S33" s="1020"/>
      <c r="T33" s="1020"/>
      <c r="U33" s="369">
        <v>23.9</v>
      </c>
      <c r="V33" s="369">
        <f>'Lookup Properties'!$C$7</f>
        <v>15.4</v>
      </c>
      <c r="W33" s="369">
        <f>'Lookup Properties'!$D$7</f>
        <v>4.8</v>
      </c>
      <c r="X33" s="553">
        <f>SUM(U33:W33)</f>
        <v>44.099999999999994</v>
      </c>
      <c r="Y33" s="364"/>
      <c r="Z33" s="364"/>
      <c r="AA33"/>
      <c r="AB33"/>
      <c r="AC33"/>
      <c r="AD33"/>
      <c r="AE33"/>
      <c r="AF33"/>
      <c r="AG33"/>
    </row>
    <row r="34" spans="1:33" ht="12.75" customHeight="1">
      <c r="A34" s="121"/>
      <c r="B34" s="121"/>
      <c r="C34" s="121"/>
      <c r="D34" s="121"/>
      <c r="E34" s="121"/>
      <c r="F34" s="121"/>
      <c r="G34" s="121"/>
      <c r="H34" s="121"/>
      <c r="I34" s="121"/>
      <c r="J34" s="121"/>
      <c r="K34" s="121"/>
      <c r="L34" s="121"/>
      <c r="M34" s="121"/>
      <c r="N34" s="121"/>
      <c r="O34" s="121"/>
      <c r="P34" s="121"/>
      <c r="Q34" s="546"/>
      <c r="R34" s="1017" t="s">
        <v>22</v>
      </c>
      <c r="S34" s="1017"/>
      <c r="T34" s="1017"/>
      <c r="U34" s="369">
        <f>'Lookup Properties'!$B$5</f>
        <v>22.35</v>
      </c>
      <c r="V34" s="369">
        <f>'Lookup Properties'!$C$5</f>
        <v>17.399999999999999</v>
      </c>
      <c r="W34" s="369">
        <f>'Lookup Properties'!$D$5</f>
        <v>5</v>
      </c>
      <c r="X34" s="553">
        <f>SUM(U34:W34)</f>
        <v>44.75</v>
      </c>
      <c r="Y34" s="364"/>
      <c r="Z34" s="364"/>
      <c r="AA34"/>
      <c r="AB34"/>
      <c r="AC34"/>
      <c r="AD34"/>
      <c r="AE34"/>
      <c r="AF34"/>
      <c r="AG34"/>
    </row>
    <row r="35" spans="1:33" ht="12.75" customHeight="1">
      <c r="A35" s="121"/>
      <c r="B35" s="121"/>
      <c r="C35" s="121"/>
      <c r="D35" s="121"/>
      <c r="E35" s="121"/>
      <c r="F35" s="121"/>
      <c r="G35" s="121"/>
      <c r="H35" s="121"/>
      <c r="I35" s="121"/>
      <c r="J35" s="121"/>
      <c r="K35" s="121"/>
      <c r="L35" s="121"/>
      <c r="M35" s="121"/>
      <c r="N35" s="121"/>
      <c r="O35" s="121"/>
      <c r="P35" s="121"/>
      <c r="Q35" s="546"/>
      <c r="R35" s="1018" t="s">
        <v>579</v>
      </c>
      <c r="S35" s="1018"/>
      <c r="T35" s="1018"/>
      <c r="U35" s="369">
        <f>'Lookup Properties'!$B$6</f>
        <v>22.15</v>
      </c>
      <c r="V35" s="369">
        <f>'Lookup Properties'!$C$6</f>
        <v>18.149999999999999</v>
      </c>
      <c r="W35" s="369">
        <f>'Lookup Properties'!$D$6</f>
        <v>5</v>
      </c>
      <c r="X35" s="553">
        <f>SUM(U35:W35)</f>
        <v>45.3</v>
      </c>
      <c r="Y35" s="364"/>
      <c r="Z35" s="364"/>
      <c r="AA35"/>
      <c r="AB35"/>
      <c r="AC35"/>
      <c r="AD35"/>
      <c r="AE35"/>
      <c r="AF35"/>
      <c r="AG35"/>
    </row>
    <row r="36" spans="1:33" ht="12.75" customHeight="1">
      <c r="A36" s="121"/>
      <c r="B36" s="121"/>
      <c r="C36" s="121"/>
      <c r="D36" s="121"/>
      <c r="E36" s="121"/>
      <c r="F36" s="121"/>
      <c r="G36" s="121"/>
      <c r="H36" s="121"/>
      <c r="I36" s="121"/>
      <c r="J36" s="121"/>
      <c r="K36" s="121"/>
      <c r="L36" s="121"/>
      <c r="M36" s="121"/>
      <c r="N36" s="121"/>
      <c r="O36" s="121"/>
      <c r="P36" s="121"/>
      <c r="Q36" s="546"/>
      <c r="R36" s="1016" t="s">
        <v>21</v>
      </c>
      <c r="S36" s="1016"/>
      <c r="T36" s="1016"/>
      <c r="U36" s="369">
        <f>'Lookup Properties'!$B$4</f>
        <v>21.25</v>
      </c>
      <c r="V36" s="369">
        <f>'Lookup Properties'!$C$4</f>
        <v>17.399999999999999</v>
      </c>
      <c r="W36" s="369">
        <f>'Lookup Properties'!$D$4</f>
        <v>5</v>
      </c>
      <c r="X36" s="553">
        <f>SUM(U36:W36)</f>
        <v>43.65</v>
      </c>
      <c r="Y36" s="364"/>
      <c r="Z36" s="364"/>
      <c r="AA36"/>
      <c r="AB36"/>
      <c r="AC36"/>
      <c r="AD36"/>
      <c r="AE36"/>
      <c r="AF36"/>
      <c r="AG36"/>
    </row>
    <row r="37" spans="1:33" ht="12.75" customHeight="1">
      <c r="A37" s="121"/>
      <c r="B37" s="121"/>
      <c r="C37" s="121"/>
      <c r="D37" s="121"/>
      <c r="E37" s="121"/>
      <c r="F37" s="121"/>
      <c r="G37" s="121"/>
      <c r="H37" s="121"/>
      <c r="I37" s="121"/>
      <c r="J37" s="121"/>
      <c r="K37" s="121"/>
      <c r="L37" s="121"/>
      <c r="M37" s="121"/>
      <c r="N37" s="121"/>
      <c r="O37" s="121"/>
      <c r="P37" s="121"/>
      <c r="Q37" s="364"/>
      <c r="R37" s="364"/>
      <c r="S37" s="364"/>
      <c r="T37" s="364"/>
      <c r="U37" s="555"/>
      <c r="V37" s="555"/>
      <c r="W37" s="555"/>
      <c r="X37" s="555"/>
      <c r="Y37" s="555"/>
      <c r="Z37" s="364"/>
      <c r="AA37"/>
      <c r="AB37"/>
      <c r="AC37"/>
      <c r="AD37"/>
      <c r="AE37"/>
      <c r="AF37"/>
      <c r="AG37"/>
    </row>
    <row r="38" spans="1:33" ht="12.75" customHeight="1">
      <c r="A38" s="121"/>
      <c r="B38" s="121"/>
      <c r="C38" s="121"/>
      <c r="D38" s="121"/>
      <c r="E38" s="121"/>
      <c r="F38" s="121"/>
      <c r="G38" s="121"/>
      <c r="H38" s="121"/>
      <c r="I38" s="121"/>
      <c r="J38" s="121"/>
      <c r="K38" s="121"/>
      <c r="L38" s="121"/>
      <c r="M38" s="121"/>
      <c r="N38" s="121"/>
      <c r="O38" s="121"/>
      <c r="P38" s="121"/>
      <c r="Q38" s="360">
        <v>2.2000000000000002</v>
      </c>
      <c r="R38" s="363" t="s">
        <v>832</v>
      </c>
      <c r="S38" s="363"/>
      <c r="T38" s="363"/>
      <c r="U38" s="363"/>
      <c r="V38" s="363"/>
      <c r="W38" s="363"/>
      <c r="X38" s="363"/>
      <c r="Y38" s="363"/>
      <c r="Z38" s="364"/>
      <c r="AA38"/>
      <c r="AB38"/>
      <c r="AC38"/>
      <c r="AD38"/>
      <c r="AE38"/>
      <c r="AF38"/>
      <c r="AG38"/>
    </row>
    <row r="39" spans="1:33" ht="12.75" customHeight="1">
      <c r="A39" s="121"/>
      <c r="B39" s="121"/>
      <c r="C39" s="121"/>
      <c r="D39" s="121"/>
      <c r="E39" s="121"/>
      <c r="F39" s="121"/>
      <c r="G39" s="121"/>
      <c r="H39" s="121"/>
      <c r="I39" s="121"/>
      <c r="J39" s="121"/>
      <c r="K39" s="121"/>
      <c r="L39" s="121"/>
      <c r="M39" s="121"/>
      <c r="N39" s="121"/>
      <c r="O39" s="121"/>
      <c r="P39" s="121"/>
      <c r="Q39" s="360"/>
      <c r="R39" s="998" t="s">
        <v>77</v>
      </c>
      <c r="S39" s="999"/>
      <c r="T39" s="1000"/>
      <c r="U39" s="1019" t="s">
        <v>824</v>
      </c>
      <c r="V39" s="1019" t="s">
        <v>828</v>
      </c>
      <c r="W39" s="1019" t="s">
        <v>826</v>
      </c>
      <c r="X39" s="1019" t="s">
        <v>23</v>
      </c>
      <c r="Y39" s="364"/>
      <c r="Z39" s="364"/>
      <c r="AA39"/>
      <c r="AB39"/>
      <c r="AC39"/>
      <c r="AD39"/>
      <c r="AE39"/>
      <c r="AF39"/>
      <c r="AG39"/>
    </row>
    <row r="40" spans="1:33" ht="12.75" customHeight="1">
      <c r="A40" s="121"/>
      <c r="B40" s="121"/>
      <c r="C40" s="121"/>
      <c r="D40" s="121"/>
      <c r="E40" s="121"/>
      <c r="F40" s="121"/>
      <c r="G40" s="121"/>
      <c r="H40" s="121"/>
      <c r="I40" s="121"/>
      <c r="J40" s="121"/>
      <c r="K40" s="121"/>
      <c r="L40" s="121"/>
      <c r="M40" s="121"/>
      <c r="N40" s="121"/>
      <c r="O40" s="121"/>
      <c r="P40" s="121"/>
      <c r="Q40" s="360"/>
      <c r="R40" s="1001"/>
      <c r="S40" s="1002"/>
      <c r="T40" s="1003"/>
      <c r="U40" s="1019"/>
      <c r="V40" s="1019"/>
      <c r="W40" s="1019"/>
      <c r="X40" s="1019"/>
      <c r="Y40" s="364"/>
      <c r="Z40" s="364"/>
      <c r="AA40"/>
      <c r="AB40"/>
      <c r="AC40"/>
      <c r="AD40"/>
      <c r="AE40"/>
      <c r="AF40"/>
      <c r="AG40"/>
    </row>
    <row r="41" spans="1:33" ht="12.75" customHeight="1">
      <c r="A41" s="121"/>
      <c r="B41" s="121"/>
      <c r="C41" s="121"/>
      <c r="D41" s="121"/>
      <c r="E41" s="121"/>
      <c r="F41" s="121"/>
      <c r="G41" s="121"/>
      <c r="H41" s="121"/>
      <c r="I41" s="121"/>
      <c r="J41" s="121"/>
      <c r="K41" s="121"/>
      <c r="L41" s="121"/>
      <c r="M41" s="121"/>
      <c r="N41" s="121"/>
      <c r="O41" s="121"/>
      <c r="P41" s="121"/>
      <c r="Q41" s="360"/>
      <c r="R41" s="1020" t="s">
        <v>500</v>
      </c>
      <c r="S41" s="1020"/>
      <c r="T41" s="1020"/>
      <c r="U41" s="556">
        <f>'Lookup Properties'!$B$13</f>
        <v>0.74</v>
      </c>
      <c r="V41" s="556">
        <f>'Lookup Properties'!$C$13</f>
        <v>0.78</v>
      </c>
      <c r="W41" s="556">
        <f>'Lookup Properties'!$D$13</f>
        <v>1.26</v>
      </c>
      <c r="X41" s="553">
        <f>SUM(U41:W41)</f>
        <v>2.7800000000000002</v>
      </c>
      <c r="Y41" s="364"/>
      <c r="Z41" s="364"/>
      <c r="AA41"/>
      <c r="AB41"/>
      <c r="AC41"/>
      <c r="AD41"/>
      <c r="AE41"/>
      <c r="AF41"/>
      <c r="AG41"/>
    </row>
    <row r="42" spans="1:33" ht="12.75" customHeight="1">
      <c r="A42" s="121"/>
      <c r="B42" s="121"/>
      <c r="C42" s="121"/>
      <c r="D42" s="121"/>
      <c r="E42" s="121"/>
      <c r="F42" s="121"/>
      <c r="G42" s="121"/>
      <c r="H42" s="121"/>
      <c r="I42" s="121"/>
      <c r="J42" s="121"/>
      <c r="K42" s="121"/>
      <c r="L42" s="121"/>
      <c r="M42" s="121"/>
      <c r="N42" s="121"/>
      <c r="O42" s="121"/>
      <c r="P42" s="121"/>
      <c r="Q42" s="360"/>
      <c r="R42" s="1017" t="s">
        <v>22</v>
      </c>
      <c r="S42" s="1017"/>
      <c r="T42" s="1017"/>
      <c r="U42" s="557">
        <f>'Lookup Properties'!$B$11</f>
        <v>0.71499999999999997</v>
      </c>
      <c r="V42" s="557">
        <f>'Lookup Properties'!$C$11</f>
        <v>1.03</v>
      </c>
      <c r="W42" s="557">
        <f>'Lookup Properties'!$D$11</f>
        <v>1.29</v>
      </c>
      <c r="X42" s="553">
        <f>SUM(U42:W42)</f>
        <v>3.0350000000000001</v>
      </c>
      <c r="Y42" s="364"/>
      <c r="Z42" s="364"/>
      <c r="AA42"/>
      <c r="AB42"/>
      <c r="AC42"/>
      <c r="AD42"/>
      <c r="AE42"/>
      <c r="AF42"/>
      <c r="AG42"/>
    </row>
    <row r="43" spans="1:33" ht="12.75" customHeight="1">
      <c r="A43" s="121"/>
      <c r="B43" s="121"/>
      <c r="C43" s="121"/>
      <c r="D43" s="121"/>
      <c r="E43" s="121"/>
      <c r="F43" s="121"/>
      <c r="G43" s="121"/>
      <c r="H43" s="121"/>
      <c r="I43" s="121"/>
      <c r="J43" s="121"/>
      <c r="K43" s="121"/>
      <c r="L43" s="121"/>
      <c r="M43" s="121"/>
      <c r="N43" s="121"/>
      <c r="O43" s="121"/>
      <c r="P43" s="121"/>
      <c r="Q43" s="360"/>
      <c r="R43" s="1018" t="s">
        <v>579</v>
      </c>
      <c r="S43" s="1018"/>
      <c r="T43" s="1018"/>
      <c r="U43" s="557">
        <f>'Lookup Properties'!$B$12</f>
        <v>0.755</v>
      </c>
      <c r="V43" s="557">
        <f>'Lookup Properties'!$C$12</f>
        <v>1.07</v>
      </c>
      <c r="W43" s="557">
        <f>'Lookup Properties'!$D$12</f>
        <v>1.2949999999999999</v>
      </c>
      <c r="X43" s="553">
        <f>SUM(U43:W43)</f>
        <v>3.12</v>
      </c>
      <c r="Y43" s="364"/>
      <c r="Z43" s="364"/>
      <c r="AA43"/>
      <c r="AB43"/>
      <c r="AC43"/>
      <c r="AD43"/>
      <c r="AE43"/>
      <c r="AF43"/>
      <c r="AG43"/>
    </row>
    <row r="44" spans="1:33" ht="12.75" customHeight="1">
      <c r="A44" s="121"/>
      <c r="B44" s="121"/>
      <c r="C44" s="121"/>
      <c r="D44" s="121"/>
      <c r="E44" s="121"/>
      <c r="F44" s="121"/>
      <c r="G44" s="121"/>
      <c r="H44" s="121"/>
      <c r="I44" s="121"/>
      <c r="J44" s="121"/>
      <c r="K44" s="121"/>
      <c r="L44" s="121"/>
      <c r="M44" s="121"/>
      <c r="N44" s="121"/>
      <c r="O44" s="121"/>
      <c r="P44" s="121"/>
      <c r="Q44" s="360"/>
      <c r="R44" s="1016" t="s">
        <v>21</v>
      </c>
      <c r="S44" s="1016"/>
      <c r="T44" s="1016"/>
      <c r="U44" s="557">
        <f>'Lookup Properties'!$B$10</f>
        <v>0.71</v>
      </c>
      <c r="V44" s="557">
        <f>'Lookup Properties'!$C$10</f>
        <v>1.03</v>
      </c>
      <c r="W44" s="557">
        <f>'Lookup Properties'!$D$10</f>
        <v>1.29</v>
      </c>
      <c r="X44" s="553">
        <f>SUM(U44:W44)</f>
        <v>3.0300000000000002</v>
      </c>
      <c r="Y44" s="364"/>
      <c r="Z44" s="364"/>
      <c r="AA44"/>
      <c r="AB44"/>
      <c r="AC44"/>
      <c r="AD44"/>
      <c r="AE44"/>
      <c r="AF44"/>
      <c r="AG44"/>
    </row>
    <row r="45" spans="1:33" ht="12.75" customHeight="1">
      <c r="A45" s="121"/>
      <c r="B45" s="121"/>
      <c r="C45" s="121"/>
      <c r="D45" s="121"/>
      <c r="E45" s="121"/>
      <c r="F45" s="121"/>
      <c r="G45" s="121"/>
      <c r="H45" s="121"/>
      <c r="I45" s="121"/>
      <c r="J45" s="121"/>
      <c r="K45" s="121"/>
      <c r="L45" s="121"/>
      <c r="M45" s="121"/>
      <c r="N45" s="121"/>
      <c r="O45" s="121"/>
      <c r="P45" s="121"/>
      <c r="Q45" s="364"/>
      <c r="R45" s="364"/>
      <c r="S45" s="364"/>
      <c r="T45" s="364"/>
      <c r="U45" s="555"/>
      <c r="V45" s="555"/>
      <c r="W45" s="555"/>
      <c r="X45" s="555"/>
      <c r="Y45" s="555"/>
      <c r="Z45" s="364"/>
      <c r="AA45"/>
      <c r="AB45"/>
      <c r="AC45"/>
      <c r="AD45"/>
      <c r="AE45"/>
      <c r="AF45"/>
      <c r="AG45"/>
    </row>
    <row r="46" spans="1:33" ht="12.75" customHeight="1">
      <c r="A46" s="121"/>
      <c r="B46" s="121"/>
      <c r="C46" s="121"/>
      <c r="D46" s="121"/>
      <c r="E46" s="121"/>
      <c r="F46" s="121"/>
      <c r="G46" s="121"/>
      <c r="H46" s="121"/>
      <c r="I46" s="121"/>
      <c r="J46" s="121"/>
      <c r="K46" s="121"/>
      <c r="L46" s="121"/>
      <c r="M46" s="121"/>
      <c r="N46" s="121"/>
      <c r="O46" s="121"/>
      <c r="P46" s="121"/>
      <c r="Q46" s="387" t="s">
        <v>817</v>
      </c>
      <c r="R46" s="1015" t="s">
        <v>206</v>
      </c>
      <c r="S46" s="1015"/>
      <c r="T46" s="1015"/>
      <c r="U46" s="1015"/>
      <c r="V46" s="1015"/>
      <c r="W46" s="1015"/>
      <c r="X46" s="1015"/>
      <c r="Y46" s="1015"/>
      <c r="Z46" s="536"/>
      <c r="AA46"/>
      <c r="AB46"/>
      <c r="AC46"/>
      <c r="AD46"/>
      <c r="AE46"/>
      <c r="AF46"/>
      <c r="AG46"/>
    </row>
    <row r="47" spans="1:33" ht="12.75" customHeight="1">
      <c r="A47" s="121"/>
      <c r="B47" s="121"/>
      <c r="C47" s="121"/>
      <c r="D47" s="121"/>
      <c r="E47" s="121"/>
      <c r="F47" s="121"/>
      <c r="G47" s="121"/>
      <c r="H47" s="121"/>
      <c r="I47" s="121"/>
      <c r="J47" s="121"/>
      <c r="K47" s="121"/>
      <c r="L47" s="121"/>
      <c r="M47" s="121"/>
      <c r="N47" s="121"/>
      <c r="O47" s="121"/>
      <c r="P47" s="121"/>
      <c r="Q47" s="668"/>
      <c r="R47" s="364"/>
      <c r="S47" s="364"/>
      <c r="T47" s="364"/>
      <c r="U47" s="555"/>
      <c r="V47" s="555"/>
      <c r="W47" s="555"/>
      <c r="X47" s="555"/>
      <c r="Y47" s="555"/>
      <c r="Z47" s="364"/>
      <c r="AA47"/>
      <c r="AB47"/>
      <c r="AC47"/>
      <c r="AD47"/>
      <c r="AE47"/>
      <c r="AF47"/>
      <c r="AG47"/>
    </row>
    <row r="48" spans="1:33" ht="12.75" customHeight="1">
      <c r="A48" s="121"/>
      <c r="B48" s="121"/>
      <c r="C48" s="121"/>
      <c r="D48" s="121"/>
      <c r="E48" s="121"/>
      <c r="F48" s="121"/>
      <c r="G48" s="121"/>
      <c r="H48" s="121"/>
      <c r="I48" s="121"/>
      <c r="J48" s="121"/>
      <c r="K48" s="121"/>
      <c r="L48" s="121"/>
      <c r="M48" s="121"/>
      <c r="N48" s="121"/>
      <c r="O48" s="121"/>
      <c r="P48" s="121"/>
      <c r="Q48" s="668" t="s">
        <v>196</v>
      </c>
      <c r="R48" s="364" t="s">
        <v>207</v>
      </c>
      <c r="S48" s="364"/>
      <c r="T48" s="364"/>
      <c r="U48" s="555"/>
      <c r="V48" s="555"/>
      <c r="W48" s="555"/>
      <c r="X48" s="555"/>
      <c r="Y48" s="555"/>
      <c r="Z48" s="364"/>
      <c r="AA48"/>
      <c r="AB48"/>
      <c r="AC48"/>
      <c r="AD48"/>
      <c r="AE48"/>
      <c r="AF48"/>
      <c r="AG48"/>
    </row>
    <row r="49" spans="1:33" ht="12.75" customHeight="1">
      <c r="A49" s="121"/>
      <c r="B49" s="121"/>
      <c r="C49" s="121"/>
      <c r="D49" s="121"/>
      <c r="E49" s="121"/>
      <c r="F49" s="121"/>
      <c r="G49" s="121"/>
      <c r="H49" s="121"/>
      <c r="I49" s="121"/>
      <c r="J49" s="121"/>
      <c r="K49" s="121"/>
      <c r="L49" s="121"/>
      <c r="M49" s="121"/>
      <c r="N49" s="121"/>
      <c r="O49" s="121"/>
      <c r="P49" s="121"/>
      <c r="Q49" s="364"/>
      <c r="R49" s="962" t="s">
        <v>678</v>
      </c>
      <c r="S49" s="963"/>
      <c r="T49" s="964"/>
      <c r="U49" s="949" t="s">
        <v>500</v>
      </c>
      <c r="V49" s="938" t="s">
        <v>22</v>
      </c>
      <c r="W49" s="940" t="s">
        <v>579</v>
      </c>
      <c r="X49" s="942" t="s">
        <v>21</v>
      </c>
      <c r="Y49" s="361"/>
      <c r="Z49" s="364"/>
      <c r="AA49"/>
      <c r="AB49"/>
      <c r="AC49"/>
      <c r="AD49"/>
      <c r="AE49"/>
      <c r="AF49"/>
      <c r="AG49"/>
    </row>
    <row r="50" spans="1:33" ht="12.75" customHeight="1">
      <c r="A50" s="121"/>
      <c r="B50" s="121"/>
      <c r="C50" s="121"/>
      <c r="D50" s="121"/>
      <c r="E50" s="121"/>
      <c r="F50" s="121"/>
      <c r="G50" s="121"/>
      <c r="H50" s="121"/>
      <c r="I50" s="121"/>
      <c r="J50" s="121"/>
      <c r="K50" s="121"/>
      <c r="L50" s="121"/>
      <c r="M50" s="121"/>
      <c r="N50" s="121"/>
      <c r="O50" s="121"/>
      <c r="P50" s="121"/>
      <c r="Q50" s="364"/>
      <c r="R50" s="965"/>
      <c r="S50" s="966"/>
      <c r="T50" s="967"/>
      <c r="U50" s="950"/>
      <c r="V50" s="939"/>
      <c r="W50" s="941"/>
      <c r="X50" s="943"/>
      <c r="Y50" s="361"/>
      <c r="Z50" s="364"/>
      <c r="AA50"/>
      <c r="AB50"/>
      <c r="AC50"/>
      <c r="AD50"/>
      <c r="AE50"/>
      <c r="AF50"/>
      <c r="AG50"/>
    </row>
    <row r="51" spans="1:33" ht="12.75" customHeight="1">
      <c r="A51" s="121"/>
      <c r="B51" s="121"/>
      <c r="C51" s="121"/>
      <c r="D51" s="121"/>
      <c r="E51" s="121"/>
      <c r="F51" s="121"/>
      <c r="G51" s="121"/>
      <c r="H51" s="121"/>
      <c r="I51" s="121"/>
      <c r="J51" s="121"/>
      <c r="K51" s="121"/>
      <c r="L51" s="121"/>
      <c r="M51" s="121"/>
      <c r="N51" s="121"/>
      <c r="O51" s="121"/>
      <c r="P51" s="121"/>
      <c r="Q51" s="364"/>
      <c r="R51" s="969" t="s">
        <v>210</v>
      </c>
      <c r="S51" s="969"/>
      <c r="T51" s="969"/>
      <c r="U51" s="560">
        <v>0.3</v>
      </c>
      <c r="V51" s="537">
        <f>VLOOKUP($V$5,'Lookup Penetration Rate'!$B$8:$E$208,3)</f>
        <v>0.47200000000000042</v>
      </c>
      <c r="W51" s="537">
        <f>VLOOKUP($V$5,'Lookup Penetration Rate'!$B$8:$E$208,4)</f>
        <v>0.48400000000000071</v>
      </c>
      <c r="X51" s="537">
        <f>VLOOKUP($V$5,'Lookup Penetration Rate'!$B$8:$E$208,2)</f>
        <v>0.61700000000000044</v>
      </c>
      <c r="Y51" s="361"/>
      <c r="Z51" s="364"/>
      <c r="AA51"/>
      <c r="AB51"/>
      <c r="AC51"/>
      <c r="AD51"/>
      <c r="AE51"/>
      <c r="AF51"/>
      <c r="AG51"/>
    </row>
    <row r="52" spans="1:33" ht="12.75" customHeight="1">
      <c r="A52" s="121"/>
      <c r="B52" s="121"/>
      <c r="C52" s="121"/>
      <c r="D52" s="121"/>
      <c r="E52" s="121"/>
      <c r="F52" s="121"/>
      <c r="G52" s="121"/>
      <c r="H52" s="121"/>
      <c r="I52" s="121"/>
      <c r="J52" s="121"/>
      <c r="K52" s="121"/>
      <c r="L52" s="121"/>
      <c r="M52" s="121"/>
      <c r="N52" s="121"/>
      <c r="O52" s="121"/>
      <c r="P52" s="121"/>
      <c r="Q52" s="364"/>
      <c r="R52" s="364"/>
      <c r="S52" s="364"/>
      <c r="T52" s="364"/>
      <c r="U52" s="555"/>
      <c r="V52" s="555"/>
      <c r="W52" s="555"/>
      <c r="X52" s="555"/>
      <c r="Y52" s="555"/>
      <c r="Z52" s="364"/>
      <c r="AA52"/>
      <c r="AB52"/>
      <c r="AC52"/>
      <c r="AD52"/>
      <c r="AE52"/>
      <c r="AF52"/>
      <c r="AG52"/>
    </row>
    <row r="53" spans="1:33" ht="12.75" customHeight="1">
      <c r="A53" s="121"/>
      <c r="B53" s="121"/>
      <c r="C53" s="121"/>
      <c r="D53" s="121"/>
      <c r="E53" s="121"/>
      <c r="F53" s="121"/>
      <c r="G53" s="121"/>
      <c r="H53" s="121"/>
      <c r="I53" s="121"/>
      <c r="J53" s="121"/>
      <c r="K53" s="121"/>
      <c r="L53" s="121"/>
      <c r="M53" s="121"/>
      <c r="N53" s="121"/>
      <c r="O53" s="121"/>
      <c r="P53" s="121"/>
      <c r="Q53" s="668" t="s">
        <v>197</v>
      </c>
      <c r="R53" s="364" t="s">
        <v>208</v>
      </c>
      <c r="S53" s="364"/>
      <c r="T53" s="364"/>
      <c r="U53" s="555"/>
      <c r="V53" s="555"/>
      <c r="W53" s="555"/>
      <c r="X53" s="555"/>
      <c r="Y53" s="555"/>
      <c r="Z53" s="364"/>
      <c r="AA53"/>
      <c r="AB53"/>
      <c r="AC53"/>
      <c r="AD53"/>
      <c r="AE53"/>
      <c r="AF53"/>
      <c r="AG53"/>
    </row>
    <row r="54" spans="1:33" ht="12.75" customHeight="1">
      <c r="A54" s="121"/>
      <c r="B54" s="121"/>
      <c r="C54" s="121"/>
      <c r="D54" s="121"/>
      <c r="E54" s="121"/>
      <c r="F54" s="121"/>
      <c r="G54" s="121"/>
      <c r="H54" s="121"/>
      <c r="I54" s="121"/>
      <c r="J54" s="121"/>
      <c r="K54" s="121"/>
      <c r="L54" s="121"/>
      <c r="M54" s="121"/>
      <c r="N54" s="121"/>
      <c r="O54" s="121"/>
      <c r="P54" s="121"/>
      <c r="Q54" s="668"/>
      <c r="R54" s="962" t="s">
        <v>678</v>
      </c>
      <c r="S54" s="963"/>
      <c r="T54" s="964"/>
      <c r="U54" s="949" t="s">
        <v>500</v>
      </c>
      <c r="V54" s="938" t="s">
        <v>22</v>
      </c>
      <c r="W54" s="940" t="s">
        <v>579</v>
      </c>
      <c r="X54" s="942" t="s">
        <v>21</v>
      </c>
      <c r="Y54" s="361"/>
      <c r="Z54" s="364"/>
      <c r="AA54"/>
      <c r="AB54"/>
      <c r="AC54"/>
      <c r="AD54"/>
      <c r="AE54"/>
      <c r="AF54"/>
      <c r="AG54"/>
    </row>
    <row r="55" spans="1:33" ht="12.75" customHeight="1">
      <c r="A55" s="121"/>
      <c r="B55" s="121"/>
      <c r="C55" s="121"/>
      <c r="D55" s="121"/>
      <c r="E55" s="121"/>
      <c r="F55" s="121"/>
      <c r="G55" s="121"/>
      <c r="H55" s="121"/>
      <c r="I55" s="121"/>
      <c r="J55" s="121"/>
      <c r="K55" s="121"/>
      <c r="L55" s="121"/>
      <c r="M55" s="121"/>
      <c r="N55" s="121"/>
      <c r="O55" s="121"/>
      <c r="P55" s="121"/>
      <c r="Q55" s="668"/>
      <c r="R55" s="965"/>
      <c r="S55" s="966"/>
      <c r="T55" s="967"/>
      <c r="U55" s="950"/>
      <c r="V55" s="939"/>
      <c r="W55" s="941"/>
      <c r="X55" s="943"/>
      <c r="Y55" s="361"/>
      <c r="Z55" s="364"/>
      <c r="AA55"/>
      <c r="AB55"/>
      <c r="AC55"/>
      <c r="AD55"/>
      <c r="AE55"/>
      <c r="AF55"/>
      <c r="AG55"/>
    </row>
    <row r="56" spans="1:33" ht="12.75" customHeight="1">
      <c r="A56" s="121"/>
      <c r="B56" s="121"/>
      <c r="C56" s="121"/>
      <c r="D56" s="121"/>
      <c r="E56" s="121"/>
      <c r="F56" s="121"/>
      <c r="G56" s="121"/>
      <c r="H56" s="121"/>
      <c r="I56" s="121"/>
      <c r="J56" s="121"/>
      <c r="K56" s="121"/>
      <c r="L56" s="121"/>
      <c r="M56" s="121"/>
      <c r="N56" s="121"/>
      <c r="O56" s="121"/>
      <c r="P56" s="121"/>
      <c r="Q56" s="668"/>
      <c r="R56" s="969" t="s">
        <v>209</v>
      </c>
      <c r="S56" s="969"/>
      <c r="T56" s="969"/>
      <c r="U56" s="560">
        <f>$V$20/U51</f>
        <v>4</v>
      </c>
      <c r="V56" s="669">
        <f>$V$20/V51</f>
        <v>2.5423728813559299</v>
      </c>
      <c r="W56" s="669">
        <f>$V$20/W51</f>
        <v>2.4793388429752028</v>
      </c>
      <c r="X56" s="669">
        <f>$V$20/X51</f>
        <v>1.9448946515397068</v>
      </c>
      <c r="Y56" s="361"/>
      <c r="Z56" s="364"/>
      <c r="AA56"/>
      <c r="AB56"/>
      <c r="AC56"/>
      <c r="AD56"/>
      <c r="AE56"/>
      <c r="AF56"/>
      <c r="AG56"/>
    </row>
    <row r="57" spans="1:33" ht="12.75" customHeight="1">
      <c r="A57" s="121"/>
      <c r="B57" s="121"/>
      <c r="C57" s="121"/>
      <c r="D57" s="121"/>
      <c r="E57" s="121"/>
      <c r="F57" s="121"/>
      <c r="G57" s="121"/>
      <c r="H57" s="121"/>
      <c r="I57" s="121"/>
      <c r="J57" s="121"/>
      <c r="K57" s="121"/>
      <c r="L57" s="121"/>
      <c r="M57" s="121"/>
      <c r="N57" s="121"/>
      <c r="O57" s="121"/>
      <c r="P57" s="121"/>
      <c r="Q57" s="364"/>
      <c r="R57" s="364"/>
      <c r="S57" s="364"/>
      <c r="T57" s="364"/>
      <c r="U57" s="555"/>
      <c r="V57" s="555"/>
      <c r="W57" s="555"/>
      <c r="X57" s="555"/>
      <c r="Y57" s="555"/>
      <c r="Z57" s="364"/>
      <c r="AA57"/>
      <c r="AB57"/>
      <c r="AC57"/>
      <c r="AD57"/>
      <c r="AE57"/>
      <c r="AF57"/>
      <c r="AG57"/>
    </row>
    <row r="58" spans="1:33" ht="12.75" customHeight="1">
      <c r="A58" s="121"/>
      <c r="B58" s="121"/>
      <c r="C58" s="121"/>
      <c r="D58" s="121"/>
      <c r="E58" s="121"/>
      <c r="F58" s="121"/>
      <c r="G58" s="121"/>
      <c r="H58" s="121"/>
      <c r="I58" s="121"/>
      <c r="J58" s="121"/>
      <c r="K58" s="121"/>
      <c r="L58" s="121"/>
      <c r="M58" s="121"/>
      <c r="N58" s="121"/>
      <c r="O58" s="121"/>
      <c r="P58" s="121"/>
      <c r="Q58" s="563">
        <v>3.3</v>
      </c>
      <c r="R58" s="363" t="s">
        <v>211</v>
      </c>
      <c r="S58" s="363"/>
      <c r="T58" s="363"/>
      <c r="U58" s="363"/>
      <c r="V58" s="363"/>
      <c r="W58" s="363"/>
      <c r="X58" s="363"/>
      <c r="Y58" s="363"/>
      <c r="Z58" s="364"/>
      <c r="AA58"/>
      <c r="AB58"/>
      <c r="AC58"/>
      <c r="AD58"/>
      <c r="AE58"/>
      <c r="AF58"/>
      <c r="AG58"/>
    </row>
    <row r="59" spans="1:33" ht="12.75" customHeight="1">
      <c r="A59" s="121"/>
      <c r="B59" s="121"/>
      <c r="C59" s="121"/>
      <c r="D59" s="121"/>
      <c r="E59" s="121"/>
      <c r="F59" s="121"/>
      <c r="G59" s="121"/>
      <c r="H59" s="121"/>
      <c r="I59" s="121"/>
      <c r="J59" s="121"/>
      <c r="K59" s="121"/>
      <c r="L59" s="121"/>
      <c r="M59" s="121"/>
      <c r="N59" s="121"/>
      <c r="O59" s="121"/>
      <c r="P59" s="121"/>
      <c r="Q59" s="563"/>
      <c r="R59" s="962" t="s">
        <v>678</v>
      </c>
      <c r="S59" s="963"/>
      <c r="T59" s="964"/>
      <c r="U59" s="949" t="s">
        <v>500</v>
      </c>
      <c r="V59" s="938" t="s">
        <v>22</v>
      </c>
      <c r="W59" s="940" t="s">
        <v>579</v>
      </c>
      <c r="X59" s="942" t="s">
        <v>21</v>
      </c>
      <c r="Y59" s="361"/>
      <c r="Z59" s="364"/>
      <c r="AA59"/>
      <c r="AB59"/>
      <c r="AC59"/>
      <c r="AD59"/>
      <c r="AE59"/>
      <c r="AF59"/>
      <c r="AG59"/>
    </row>
    <row r="60" spans="1:33" ht="12.75" customHeight="1">
      <c r="A60" s="121"/>
      <c r="B60" s="121"/>
      <c r="C60" s="121"/>
      <c r="D60" s="121"/>
      <c r="E60" s="121"/>
      <c r="F60" s="121"/>
      <c r="G60" s="121"/>
      <c r="H60" s="121"/>
      <c r="I60" s="121"/>
      <c r="J60" s="121"/>
      <c r="K60" s="121"/>
      <c r="L60" s="121"/>
      <c r="M60" s="121"/>
      <c r="N60" s="121"/>
      <c r="O60" s="121"/>
      <c r="P60" s="121"/>
      <c r="Q60" s="563"/>
      <c r="R60" s="965"/>
      <c r="S60" s="966"/>
      <c r="T60" s="967"/>
      <c r="U60" s="950"/>
      <c r="V60" s="939"/>
      <c r="W60" s="941"/>
      <c r="X60" s="943"/>
      <c r="Y60" s="361"/>
      <c r="Z60" s="364"/>
      <c r="AA60"/>
      <c r="AB60"/>
      <c r="AC60"/>
      <c r="AD60"/>
      <c r="AE60"/>
      <c r="AF60"/>
      <c r="AG60"/>
    </row>
    <row r="61" spans="1:33" ht="12.75" customHeight="1">
      <c r="A61" s="121"/>
      <c r="B61" s="121"/>
      <c r="C61" s="121"/>
      <c r="D61" s="121"/>
      <c r="E61" s="121"/>
      <c r="F61" s="121"/>
      <c r="G61" s="121"/>
      <c r="H61" s="121"/>
      <c r="I61" s="121"/>
      <c r="J61" s="121"/>
      <c r="K61" s="121"/>
      <c r="L61" s="121"/>
      <c r="M61" s="121"/>
      <c r="N61" s="121"/>
      <c r="O61" s="121"/>
      <c r="P61" s="121"/>
      <c r="Q61" s="563"/>
      <c r="R61" s="969" t="s">
        <v>209</v>
      </c>
      <c r="S61" s="969"/>
      <c r="T61" s="969"/>
      <c r="U61" s="562">
        <f>(U56*$V$24)/$V$23</f>
        <v>160</v>
      </c>
      <c r="V61" s="670">
        <f>(V56*$V$24)/$V$23</f>
        <v>101.6949152542372</v>
      </c>
      <c r="W61" s="670">
        <f>(W56*$V$24)/$V$23</f>
        <v>99.173553719008112</v>
      </c>
      <c r="X61" s="670">
        <f>(X56*$V$24)/$V$23</f>
        <v>77.795786061588274</v>
      </c>
      <c r="Y61" s="361"/>
      <c r="Z61" s="364"/>
      <c r="AA61"/>
      <c r="AB61"/>
      <c r="AC61"/>
      <c r="AD61"/>
      <c r="AE61"/>
      <c r="AF61"/>
      <c r="AG61"/>
    </row>
    <row r="62" spans="1:33" ht="12.75" customHeight="1">
      <c r="A62" s="121"/>
      <c r="B62" s="121"/>
      <c r="C62" s="121"/>
      <c r="D62" s="121"/>
      <c r="E62" s="121"/>
      <c r="F62" s="121"/>
      <c r="G62" s="121"/>
      <c r="H62" s="121"/>
      <c r="I62" s="121"/>
      <c r="J62" s="121"/>
      <c r="K62" s="121"/>
      <c r="L62" s="121"/>
      <c r="M62" s="121"/>
      <c r="N62" s="121"/>
      <c r="O62" s="121"/>
      <c r="P62" s="121"/>
      <c r="Q62" s="563"/>
      <c r="R62" s="931" t="s">
        <v>212</v>
      </c>
      <c r="S62" s="931"/>
      <c r="T62" s="931"/>
      <c r="U62" s="537">
        <f>U61/60</f>
        <v>2.6666666666666665</v>
      </c>
      <c r="V62" s="557">
        <f>V61/60</f>
        <v>1.6949152542372867</v>
      </c>
      <c r="W62" s="557">
        <f>W61/60</f>
        <v>1.6528925619834685</v>
      </c>
      <c r="X62" s="557">
        <f>X61/60</f>
        <v>1.2965964343598047</v>
      </c>
      <c r="Y62" s="361"/>
      <c r="Z62" s="364"/>
      <c r="AA62"/>
      <c r="AB62"/>
      <c r="AC62"/>
      <c r="AD62"/>
      <c r="AE62"/>
      <c r="AF62"/>
      <c r="AG62"/>
    </row>
    <row r="63" spans="1:33" ht="12.75" customHeight="1">
      <c r="A63" s="121"/>
      <c r="B63" s="121"/>
      <c r="C63" s="121"/>
      <c r="D63" s="121"/>
      <c r="E63" s="121"/>
      <c r="F63" s="121"/>
      <c r="G63" s="121"/>
      <c r="H63" s="121"/>
      <c r="I63" s="121"/>
      <c r="J63" s="121"/>
      <c r="K63" s="121"/>
      <c r="L63" s="121"/>
      <c r="M63" s="121"/>
      <c r="N63" s="121"/>
      <c r="O63" s="121"/>
      <c r="P63" s="121"/>
      <c r="Q63" s="563"/>
      <c r="R63" s="363"/>
      <c r="S63" s="363"/>
      <c r="T63" s="363"/>
      <c r="U63" s="363"/>
      <c r="V63" s="363"/>
      <c r="W63" s="363"/>
      <c r="X63" s="363"/>
      <c r="Y63" s="363"/>
      <c r="Z63" s="364"/>
      <c r="AA63"/>
      <c r="AB63"/>
      <c r="AC63"/>
      <c r="AD63"/>
      <c r="AE63"/>
      <c r="AF63"/>
      <c r="AG63"/>
    </row>
    <row r="64" spans="1:33" ht="12.75" customHeight="1">
      <c r="A64" s="121"/>
      <c r="B64" s="121"/>
      <c r="C64" s="121"/>
      <c r="D64" s="121"/>
      <c r="E64" s="121"/>
      <c r="F64" s="121"/>
      <c r="G64" s="121"/>
      <c r="H64" s="121"/>
      <c r="I64" s="121"/>
      <c r="J64" s="121"/>
      <c r="K64" s="121"/>
      <c r="L64" s="121"/>
      <c r="M64" s="121"/>
      <c r="N64" s="121"/>
      <c r="O64" s="121"/>
      <c r="P64" s="121"/>
      <c r="Q64" s="388" t="s">
        <v>295</v>
      </c>
      <c r="R64" s="1015" t="s">
        <v>216</v>
      </c>
      <c r="S64" s="1015"/>
      <c r="T64" s="1015"/>
      <c r="U64" s="1015"/>
      <c r="V64" s="1015"/>
      <c r="W64" s="1015"/>
      <c r="X64" s="1015"/>
      <c r="Y64" s="1015"/>
      <c r="Z64" s="536"/>
      <c r="AA64"/>
      <c r="AB64"/>
      <c r="AC64"/>
      <c r="AD64"/>
      <c r="AE64"/>
      <c r="AF64"/>
      <c r="AG64"/>
    </row>
    <row r="65" spans="1:36" ht="12.75" customHeight="1">
      <c r="A65" s="121"/>
      <c r="B65" s="121"/>
      <c r="C65" s="121"/>
      <c r="D65" s="121"/>
      <c r="E65" s="121"/>
      <c r="F65" s="121"/>
      <c r="G65" s="121"/>
      <c r="H65" s="121"/>
      <c r="I65" s="121"/>
      <c r="J65" s="121"/>
      <c r="K65" s="121"/>
      <c r="L65" s="121"/>
      <c r="M65" s="121"/>
      <c r="N65" s="121"/>
      <c r="O65" s="121"/>
      <c r="P65" s="121"/>
      <c r="Q65" s="563"/>
      <c r="R65" s="363"/>
      <c r="S65" s="363"/>
      <c r="T65" s="363"/>
      <c r="U65" s="363"/>
      <c r="V65" s="363"/>
      <c r="W65" s="363"/>
      <c r="X65" s="363"/>
      <c r="Y65" s="363"/>
      <c r="Z65" s="364"/>
      <c r="AA65"/>
      <c r="AB65"/>
      <c r="AC65"/>
      <c r="AD65"/>
      <c r="AE65"/>
      <c r="AF65"/>
      <c r="AG65"/>
    </row>
    <row r="66" spans="1:36" ht="12.75" customHeight="1">
      <c r="A66" s="121"/>
      <c r="B66" s="121"/>
      <c r="C66" s="121"/>
      <c r="D66" s="121"/>
      <c r="E66" s="121"/>
      <c r="F66" s="121"/>
      <c r="G66" s="121"/>
      <c r="H66" s="121"/>
      <c r="I66" s="121"/>
      <c r="J66" s="121"/>
      <c r="K66" s="121"/>
      <c r="L66" s="121"/>
      <c r="M66" s="121"/>
      <c r="N66" s="121"/>
      <c r="O66" s="121"/>
      <c r="P66" s="121"/>
      <c r="Q66" s="360" t="s">
        <v>502</v>
      </c>
      <c r="R66" s="364" t="s">
        <v>527</v>
      </c>
      <c r="S66" s="364"/>
      <c r="T66" s="364"/>
      <c r="U66" s="555"/>
      <c r="V66" s="555"/>
      <c r="W66" s="555"/>
      <c r="X66" s="555"/>
      <c r="Y66" s="555"/>
      <c r="Z66" s="364"/>
      <c r="AA66"/>
      <c r="AB66"/>
      <c r="AC66"/>
      <c r="AD66"/>
      <c r="AE66"/>
      <c r="AF66"/>
      <c r="AG66"/>
      <c r="AH66" s="23"/>
      <c r="AI66" s="23"/>
    </row>
    <row r="67" spans="1:36" ht="12.75" customHeight="1">
      <c r="A67" s="121"/>
      <c r="B67" s="121"/>
      <c r="C67" s="121"/>
      <c r="D67" s="121"/>
      <c r="E67" s="121"/>
      <c r="F67" s="121"/>
      <c r="G67" s="121"/>
      <c r="H67" s="121"/>
      <c r="I67" s="121"/>
      <c r="J67" s="121"/>
      <c r="K67" s="121"/>
      <c r="L67" s="121"/>
      <c r="M67" s="121"/>
      <c r="N67" s="121"/>
      <c r="O67" s="121"/>
      <c r="P67" s="121"/>
      <c r="Q67" s="360"/>
      <c r="R67" s="962" t="s">
        <v>678</v>
      </c>
      <c r="S67" s="963"/>
      <c r="T67" s="964"/>
      <c r="U67" s="949" t="s">
        <v>500</v>
      </c>
      <c r="V67" s="938" t="s">
        <v>22</v>
      </c>
      <c r="W67" s="940" t="s">
        <v>579</v>
      </c>
      <c r="X67" s="942" t="s">
        <v>21</v>
      </c>
      <c r="Y67" s="361"/>
      <c r="Z67" s="364"/>
      <c r="AA67"/>
      <c r="AB67"/>
      <c r="AC67"/>
      <c r="AD67"/>
      <c r="AE67"/>
      <c r="AF67"/>
      <c r="AG67"/>
      <c r="AJ67" s="17"/>
    </row>
    <row r="68" spans="1:36" ht="12.75" customHeight="1">
      <c r="A68" s="121"/>
      <c r="B68" s="121"/>
      <c r="C68" s="121"/>
      <c r="D68" s="121"/>
      <c r="E68" s="121"/>
      <c r="F68" s="121"/>
      <c r="G68" s="121"/>
      <c r="H68" s="121"/>
      <c r="I68" s="121"/>
      <c r="J68" s="121"/>
      <c r="K68" s="121"/>
      <c r="L68" s="121"/>
      <c r="M68" s="121"/>
      <c r="N68" s="121"/>
      <c r="O68" s="121"/>
      <c r="P68" s="121"/>
      <c r="Q68" s="360"/>
      <c r="R68" s="965"/>
      <c r="S68" s="966"/>
      <c r="T68" s="967"/>
      <c r="U68" s="950"/>
      <c r="V68" s="939"/>
      <c r="W68" s="941"/>
      <c r="X68" s="943"/>
      <c r="Y68" s="361"/>
      <c r="Z68" s="364"/>
      <c r="AA68"/>
      <c r="AB68"/>
      <c r="AC68"/>
      <c r="AD68"/>
      <c r="AE68"/>
      <c r="AF68"/>
      <c r="AG68"/>
      <c r="AJ68" s="17"/>
    </row>
    <row r="69" spans="1:36" ht="12.75" customHeight="1">
      <c r="A69" s="121"/>
      <c r="B69" s="121"/>
      <c r="C69" s="121"/>
      <c r="D69" s="121"/>
      <c r="E69" s="121"/>
      <c r="F69" s="121"/>
      <c r="G69" s="121"/>
      <c r="H69" s="121"/>
      <c r="I69" s="121"/>
      <c r="J69" s="121"/>
      <c r="K69" s="121"/>
      <c r="L69" s="121"/>
      <c r="M69" s="121"/>
      <c r="N69" s="121"/>
      <c r="O69" s="121"/>
      <c r="P69" s="121"/>
      <c r="Q69" s="360"/>
      <c r="R69" s="969" t="s">
        <v>63</v>
      </c>
      <c r="S69" s="969"/>
      <c r="T69" s="969"/>
      <c r="U69" s="369">
        <v>102</v>
      </c>
      <c r="V69" s="369">
        <f>VLOOKUP($V$5,'Lookup dBA'!$B$8:$E$208,3)</f>
        <v>108.59999999999988</v>
      </c>
      <c r="W69" s="369">
        <f>VLOOKUP($V$5,'Lookup dBA'!$B$8:$E$208,4)</f>
        <v>109.59999999999988</v>
      </c>
      <c r="X69" s="369">
        <f>VLOOKUP($V$5,'Lookup dBA'!$B$8:$E$208,2)</f>
        <v>116.90000000000003</v>
      </c>
      <c r="Y69" s="361"/>
      <c r="Z69" s="364"/>
      <c r="AA69"/>
      <c r="AB69"/>
      <c r="AC69"/>
      <c r="AD69"/>
      <c r="AE69"/>
      <c r="AF69"/>
      <c r="AG69"/>
      <c r="AJ69" s="17"/>
    </row>
    <row r="70" spans="1:36" ht="12.75" customHeight="1">
      <c r="A70" s="121"/>
      <c r="B70" s="121"/>
      <c r="C70" s="121"/>
      <c r="D70" s="121"/>
      <c r="E70" s="121"/>
      <c r="F70" s="121"/>
      <c r="G70" s="121"/>
      <c r="H70" s="121"/>
      <c r="I70" s="121"/>
      <c r="J70" s="121"/>
      <c r="K70" s="121"/>
      <c r="L70" s="121"/>
      <c r="M70" s="121"/>
      <c r="N70" s="121"/>
      <c r="O70" s="121"/>
      <c r="P70" s="121"/>
      <c r="Q70" s="360"/>
      <c r="R70" s="969" t="s">
        <v>64</v>
      </c>
      <c r="S70" s="969"/>
      <c r="T70" s="969"/>
      <c r="U70" s="369">
        <f>U69-PPE!$I$15</f>
        <v>89</v>
      </c>
      <c r="V70" s="369">
        <f>V69-PPE!$I$15</f>
        <v>95.599999999999881</v>
      </c>
      <c r="W70" s="369">
        <f>W69-PPE!$I$15</f>
        <v>96.599999999999881</v>
      </c>
      <c r="X70" s="369">
        <f>X69-PPE!$I$15</f>
        <v>103.90000000000003</v>
      </c>
      <c r="Y70" s="361"/>
      <c r="Z70" s="364"/>
      <c r="AA70"/>
      <c r="AB70"/>
      <c r="AC70"/>
      <c r="AD70"/>
      <c r="AE70"/>
      <c r="AF70"/>
      <c r="AG70"/>
      <c r="AJ70" s="32"/>
    </row>
    <row r="71" spans="1:36" ht="12.75" customHeight="1">
      <c r="A71" s="121"/>
      <c r="B71" s="121"/>
      <c r="C71" s="121"/>
      <c r="D71" s="121"/>
      <c r="E71" s="121"/>
      <c r="F71" s="121"/>
      <c r="G71" s="121"/>
      <c r="H71" s="121"/>
      <c r="I71" s="121"/>
      <c r="J71" s="121"/>
      <c r="K71" s="121"/>
      <c r="L71" s="121"/>
      <c r="M71" s="121"/>
      <c r="N71" s="121"/>
      <c r="O71" s="121"/>
      <c r="P71" s="121"/>
      <c r="Q71" s="360"/>
      <c r="R71" s="969" t="s">
        <v>529</v>
      </c>
      <c r="S71" s="969"/>
      <c r="T71" s="969"/>
      <c r="U71" s="369">
        <v>110</v>
      </c>
      <c r="V71" s="369">
        <v>110</v>
      </c>
      <c r="W71" s="369">
        <v>110</v>
      </c>
      <c r="X71" s="369">
        <v>110</v>
      </c>
      <c r="Y71" s="361"/>
      <c r="Z71" s="364"/>
      <c r="AA71"/>
      <c r="AB71"/>
      <c r="AC71"/>
      <c r="AD71"/>
      <c r="AE71"/>
      <c r="AF71"/>
      <c r="AG71"/>
      <c r="AJ71" s="32"/>
    </row>
    <row r="72" spans="1:36" ht="12.75" customHeight="1">
      <c r="A72" s="121"/>
      <c r="B72" s="121"/>
      <c r="C72" s="121"/>
      <c r="D72" s="121"/>
      <c r="E72" s="121"/>
      <c r="F72" s="121"/>
      <c r="G72" s="121"/>
      <c r="H72" s="121"/>
      <c r="I72" s="121"/>
      <c r="J72" s="121"/>
      <c r="K72" s="121"/>
      <c r="L72" s="121"/>
      <c r="M72" s="121"/>
      <c r="N72" s="121"/>
      <c r="O72" s="121"/>
      <c r="P72" s="121"/>
      <c r="Q72" s="360"/>
      <c r="R72" s="363"/>
      <c r="S72" s="363"/>
      <c r="T72" s="363"/>
      <c r="U72" s="363"/>
      <c r="V72" s="363"/>
      <c r="W72" s="363"/>
      <c r="X72" s="363"/>
      <c r="Y72" s="555"/>
      <c r="Z72" s="364"/>
      <c r="AA72"/>
      <c r="AB72"/>
      <c r="AC72"/>
      <c r="AD72"/>
      <c r="AE72"/>
      <c r="AF72"/>
      <c r="AG72"/>
      <c r="AJ72" s="32"/>
    </row>
    <row r="73" spans="1:36" ht="12.75" customHeight="1">
      <c r="A73" s="121"/>
      <c r="B73" s="121"/>
      <c r="C73" s="121"/>
      <c r="D73" s="121"/>
      <c r="E73" s="121"/>
      <c r="F73" s="121"/>
      <c r="G73" s="121"/>
      <c r="H73" s="121"/>
      <c r="I73" s="121"/>
      <c r="J73" s="121"/>
      <c r="K73" s="121"/>
      <c r="L73" s="121"/>
      <c r="M73" s="121"/>
      <c r="N73" s="121"/>
      <c r="O73" s="121"/>
      <c r="P73" s="121"/>
      <c r="Q73" s="360" t="s">
        <v>503</v>
      </c>
      <c r="R73" s="364" t="s">
        <v>528</v>
      </c>
      <c r="S73" s="364"/>
      <c r="T73" s="364"/>
      <c r="U73" s="555"/>
      <c r="V73" s="555"/>
      <c r="W73" s="555"/>
      <c r="X73" s="555"/>
      <c r="Y73" s="555"/>
      <c r="Z73" s="364"/>
      <c r="AA73"/>
      <c r="AB73"/>
      <c r="AC73"/>
      <c r="AD73"/>
      <c r="AE73"/>
      <c r="AF73"/>
      <c r="AG73"/>
      <c r="AJ73" s="17"/>
    </row>
    <row r="74" spans="1:36" ht="12.75" customHeight="1">
      <c r="A74" s="121"/>
      <c r="B74" s="121"/>
      <c r="C74" s="121"/>
      <c r="D74" s="121"/>
      <c r="E74" s="121"/>
      <c r="F74" s="121"/>
      <c r="G74" s="121"/>
      <c r="H74" s="121"/>
      <c r="I74" s="121"/>
      <c r="J74" s="121"/>
      <c r="K74" s="121"/>
      <c r="L74" s="121"/>
      <c r="M74" s="121"/>
      <c r="N74" s="121"/>
      <c r="O74" s="121"/>
      <c r="P74" s="121"/>
      <c r="Q74" s="360"/>
      <c r="R74" s="935" t="s">
        <v>678</v>
      </c>
      <c r="S74" s="935"/>
      <c r="T74" s="935"/>
      <c r="U74" s="930" t="s">
        <v>500</v>
      </c>
      <c r="V74" s="928" t="s">
        <v>22</v>
      </c>
      <c r="W74" s="929" t="s">
        <v>579</v>
      </c>
      <c r="X74" s="927" t="s">
        <v>21</v>
      </c>
      <c r="Y74" s="361"/>
      <c r="Z74" s="364"/>
      <c r="AA74"/>
      <c r="AB74"/>
      <c r="AC74"/>
      <c r="AD74"/>
      <c r="AE74"/>
      <c r="AF74"/>
      <c r="AG74"/>
      <c r="AJ74" s="17"/>
    </row>
    <row r="75" spans="1:36" ht="12.75" customHeight="1">
      <c r="A75" s="121"/>
      <c r="B75" s="121"/>
      <c r="C75" s="121"/>
      <c r="D75" s="121"/>
      <c r="E75" s="121"/>
      <c r="F75" s="121"/>
      <c r="G75" s="121"/>
      <c r="H75" s="121"/>
      <c r="I75" s="121"/>
      <c r="J75" s="121"/>
      <c r="K75" s="121"/>
      <c r="L75" s="121"/>
      <c r="M75" s="121"/>
      <c r="N75" s="121"/>
      <c r="O75" s="121"/>
      <c r="P75" s="121"/>
      <c r="Q75" s="360"/>
      <c r="R75" s="935"/>
      <c r="S75" s="935"/>
      <c r="T75" s="935"/>
      <c r="U75" s="930"/>
      <c r="V75" s="928"/>
      <c r="W75" s="929"/>
      <c r="X75" s="927"/>
      <c r="Y75" s="361"/>
      <c r="Z75" s="364"/>
      <c r="AA75"/>
      <c r="AB75"/>
      <c r="AC75"/>
      <c r="AD75"/>
      <c r="AE75"/>
      <c r="AF75"/>
      <c r="AG75"/>
      <c r="AJ75" s="17"/>
    </row>
    <row r="76" spans="1:36" ht="12.75" customHeight="1">
      <c r="A76" s="121"/>
      <c r="B76" s="121"/>
      <c r="C76" s="121"/>
      <c r="D76" s="121"/>
      <c r="E76" s="121"/>
      <c r="F76" s="121"/>
      <c r="G76" s="121"/>
      <c r="H76" s="121"/>
      <c r="I76" s="121"/>
      <c r="J76" s="121"/>
      <c r="K76" s="121"/>
      <c r="L76" s="121"/>
      <c r="M76" s="121"/>
      <c r="N76" s="121"/>
      <c r="O76" s="121"/>
      <c r="P76" s="121"/>
      <c r="Q76" s="360"/>
      <c r="R76" s="969" t="s">
        <v>63</v>
      </c>
      <c r="S76" s="969"/>
      <c r="T76" s="969"/>
      <c r="U76" s="369">
        <f>VLOOKUP($V$21,$R$309:$Z$314,5)</f>
        <v>108.02059991327964</v>
      </c>
      <c r="V76" s="369">
        <f>VLOOKUP($V$21,$R$309:$Z$314,3)</f>
        <v>114.62059991327953</v>
      </c>
      <c r="W76" s="369">
        <f>VLOOKUP($V$21,$R$309:$Z$314,4)</f>
        <v>115.62059991327953</v>
      </c>
      <c r="X76" s="369">
        <f>VLOOKUP($V$21,$R$309:$Z$314,2)</f>
        <v>122.92059991327966</v>
      </c>
      <c r="Y76" s="361"/>
      <c r="Z76" s="364"/>
      <c r="AA76"/>
      <c r="AB76"/>
      <c r="AC76"/>
      <c r="AD76"/>
      <c r="AE76"/>
      <c r="AF76"/>
      <c r="AG76"/>
      <c r="AJ76" s="17"/>
    </row>
    <row r="77" spans="1:36" ht="12.75" customHeight="1">
      <c r="Q77" s="360"/>
      <c r="R77" s="969" t="s">
        <v>64</v>
      </c>
      <c r="S77" s="969"/>
      <c r="T77" s="969"/>
      <c r="U77" s="369">
        <f>U76-PPE!$I$15</f>
        <v>95.020599913279639</v>
      </c>
      <c r="V77" s="369">
        <f>V76-PPE!$I$15</f>
        <v>101.62059991327953</v>
      </c>
      <c r="W77" s="369">
        <f>W76-PPE!$I$15</f>
        <v>102.62059991327953</v>
      </c>
      <c r="X77" s="369">
        <f>X76-PPE!$I$15</f>
        <v>109.92059991327966</v>
      </c>
      <c r="Y77" s="361"/>
      <c r="Z77" s="364"/>
      <c r="AA77"/>
      <c r="AB77"/>
      <c r="AC77"/>
      <c r="AD77"/>
      <c r="AE77"/>
      <c r="AF77"/>
      <c r="AG77"/>
      <c r="AJ77" s="17"/>
    </row>
    <row r="78" spans="1:36" ht="12.75" customHeight="1">
      <c r="Q78" s="360"/>
      <c r="R78" s="969" t="s">
        <v>529</v>
      </c>
      <c r="S78" s="969"/>
      <c r="T78" s="969"/>
      <c r="U78" s="369">
        <v>110</v>
      </c>
      <c r="V78" s="369">
        <v>110</v>
      </c>
      <c r="W78" s="369">
        <v>110</v>
      </c>
      <c r="X78" s="369">
        <v>110</v>
      </c>
      <c r="Y78" s="361"/>
      <c r="Z78" s="364"/>
      <c r="AA78"/>
      <c r="AB78"/>
      <c r="AC78"/>
      <c r="AD78"/>
      <c r="AE78"/>
      <c r="AF78"/>
      <c r="AG78"/>
      <c r="AJ78" s="17"/>
    </row>
    <row r="79" spans="1:36" ht="12.75" customHeight="1">
      <c r="Q79" s="360"/>
      <c r="R79" s="364"/>
      <c r="S79" s="364"/>
      <c r="T79" s="364"/>
      <c r="U79" s="555"/>
      <c r="V79" s="555"/>
      <c r="W79" s="555"/>
      <c r="X79" s="555"/>
      <c r="Y79" s="555"/>
      <c r="Z79" s="364"/>
      <c r="AA79"/>
      <c r="AB79"/>
      <c r="AC79"/>
      <c r="AD79"/>
      <c r="AE79"/>
      <c r="AF79"/>
      <c r="AG79"/>
      <c r="AJ79" s="17"/>
    </row>
    <row r="80" spans="1:36" ht="12.75" customHeight="1">
      <c r="Q80" s="385" t="s">
        <v>305</v>
      </c>
      <c r="R80" s="1008" t="s">
        <v>218</v>
      </c>
      <c r="S80" s="1008"/>
      <c r="T80" s="1008"/>
      <c r="U80" s="1008"/>
      <c r="V80" s="1008"/>
      <c r="W80" s="1008"/>
      <c r="X80" s="1008"/>
      <c r="Y80" s="1008"/>
      <c r="Z80" s="536"/>
      <c r="AA80"/>
      <c r="AB80"/>
      <c r="AC80"/>
      <c r="AD80"/>
      <c r="AE80"/>
      <c r="AF80"/>
      <c r="AG80"/>
      <c r="AJ80" s="17"/>
    </row>
    <row r="81" spans="17:36" ht="12.75" customHeight="1">
      <c r="Q81" s="546"/>
      <c r="R81" s="363"/>
      <c r="S81" s="363"/>
      <c r="T81" s="363"/>
      <c r="U81" s="363"/>
      <c r="V81" s="363"/>
      <c r="W81" s="363"/>
      <c r="X81" s="363"/>
      <c r="Y81" s="363"/>
      <c r="Z81" s="364"/>
      <c r="AA81"/>
      <c r="AB81"/>
      <c r="AC81"/>
      <c r="AD81"/>
      <c r="AE81"/>
      <c r="AF81"/>
      <c r="AG81"/>
      <c r="AJ81" s="43"/>
    </row>
    <row r="82" spans="17:36" ht="12.75" customHeight="1">
      <c r="Q82" s="546"/>
      <c r="R82" s="363" t="s">
        <v>436</v>
      </c>
      <c r="S82" s="363"/>
      <c r="T82" s="363"/>
      <c r="U82" s="363"/>
      <c r="V82" s="363"/>
      <c r="W82" s="363"/>
      <c r="X82" s="363"/>
      <c r="Y82" s="363"/>
      <c r="Z82" s="364"/>
      <c r="AA82"/>
      <c r="AB82"/>
      <c r="AC82"/>
      <c r="AD82"/>
      <c r="AE82"/>
      <c r="AF82"/>
      <c r="AG82"/>
      <c r="AJ82" s="43"/>
    </row>
    <row r="83" spans="17:36" ht="12.75" customHeight="1">
      <c r="Q83" s="360"/>
      <c r="R83" s="935" t="s">
        <v>678</v>
      </c>
      <c r="S83" s="935"/>
      <c r="T83" s="935"/>
      <c r="U83" s="949" t="s">
        <v>500</v>
      </c>
      <c r="V83" s="1011" t="s">
        <v>22</v>
      </c>
      <c r="W83" s="1013" t="s">
        <v>579</v>
      </c>
      <c r="X83" s="1009" t="s">
        <v>21</v>
      </c>
      <c r="Y83" s="361"/>
      <c r="Z83" s="364"/>
      <c r="AA83"/>
      <c r="AB83"/>
      <c r="AC83"/>
      <c r="AD83"/>
      <c r="AE83"/>
      <c r="AF83"/>
      <c r="AG83"/>
      <c r="AJ83" s="43"/>
    </row>
    <row r="84" spans="17:36" ht="12.75" customHeight="1">
      <c r="Q84" s="360"/>
      <c r="R84" s="935"/>
      <c r="S84" s="935"/>
      <c r="T84" s="935"/>
      <c r="U84" s="950"/>
      <c r="V84" s="1012"/>
      <c r="W84" s="1014"/>
      <c r="X84" s="1010"/>
      <c r="Y84" s="361"/>
      <c r="Z84" s="364"/>
      <c r="AA84"/>
      <c r="AB84"/>
      <c r="AC84"/>
      <c r="AD84"/>
      <c r="AE84"/>
      <c r="AF84"/>
      <c r="AG84"/>
    </row>
    <row r="85" spans="17:36" ht="12.75" customHeight="1">
      <c r="Q85" s="360"/>
      <c r="R85" s="969" t="s">
        <v>63</v>
      </c>
      <c r="S85" s="969"/>
      <c r="T85" s="969"/>
      <c r="U85" s="369">
        <f>U414</f>
        <v>97.15</v>
      </c>
      <c r="V85" s="369">
        <f>U356</f>
        <v>101.85</v>
      </c>
      <c r="W85" s="369">
        <f>U385</f>
        <v>102.7</v>
      </c>
      <c r="X85" s="369">
        <f>U327</f>
        <v>108.95</v>
      </c>
      <c r="Y85" s="361"/>
      <c r="Z85" s="364"/>
      <c r="AA85"/>
      <c r="AB85"/>
      <c r="AC85"/>
      <c r="AD85"/>
      <c r="AE85"/>
      <c r="AF85"/>
      <c r="AG85"/>
    </row>
    <row r="86" spans="17:36" ht="12.75" customHeight="1">
      <c r="Q86" s="360"/>
      <c r="R86" s="969" t="s">
        <v>64</v>
      </c>
      <c r="S86" s="969"/>
      <c r="T86" s="969"/>
      <c r="U86" s="369">
        <f>U427</f>
        <v>84.15</v>
      </c>
      <c r="V86" s="369">
        <f>U369</f>
        <v>88.8</v>
      </c>
      <c r="W86" s="369">
        <f>U398</f>
        <v>89.65</v>
      </c>
      <c r="X86" s="369">
        <f>U340</f>
        <v>96.05</v>
      </c>
      <c r="Y86" s="361"/>
      <c r="Z86" s="364"/>
      <c r="AA86"/>
      <c r="AB86"/>
      <c r="AC86"/>
      <c r="AD86"/>
      <c r="AE86"/>
      <c r="AF86"/>
      <c r="AG86"/>
    </row>
    <row r="87" spans="17:36" ht="12.75" customHeight="1">
      <c r="Q87" s="360"/>
      <c r="R87" s="969" t="s">
        <v>530</v>
      </c>
      <c r="S87" s="969"/>
      <c r="T87" s="969"/>
      <c r="U87" s="369">
        <v>85</v>
      </c>
      <c r="V87" s="369">
        <v>85</v>
      </c>
      <c r="W87" s="369">
        <v>85</v>
      </c>
      <c r="X87" s="369">
        <v>85</v>
      </c>
      <c r="Y87" s="361"/>
      <c r="Z87" s="364"/>
      <c r="AA87"/>
      <c r="AB87"/>
      <c r="AC87"/>
      <c r="AD87"/>
      <c r="AE87"/>
      <c r="AF87"/>
      <c r="AG87"/>
    </row>
    <row r="88" spans="17:36" ht="12.75" customHeight="1">
      <c r="Q88" s="360"/>
      <c r="R88" s="363"/>
      <c r="S88" s="363"/>
      <c r="T88" s="363"/>
      <c r="U88" s="363"/>
      <c r="V88" s="363"/>
      <c r="W88" s="363"/>
      <c r="X88" s="363"/>
      <c r="Y88" s="363"/>
      <c r="Z88" s="364"/>
      <c r="AA88"/>
      <c r="AB88"/>
      <c r="AC88"/>
      <c r="AD88"/>
      <c r="AE88"/>
      <c r="AF88"/>
      <c r="AG88"/>
    </row>
    <row r="89" spans="17:36" ht="12.75" customHeight="1">
      <c r="Q89" s="360"/>
      <c r="R89" s="363" t="s">
        <v>437</v>
      </c>
      <c r="S89" s="363"/>
      <c r="T89" s="363"/>
      <c r="U89" s="363"/>
      <c r="V89" s="363"/>
      <c r="W89" s="363"/>
      <c r="X89" s="363"/>
      <c r="Y89" s="363"/>
      <c r="Z89" s="364"/>
      <c r="AA89"/>
      <c r="AB89"/>
      <c r="AC89"/>
      <c r="AD89"/>
      <c r="AE89"/>
      <c r="AF89"/>
      <c r="AG89"/>
    </row>
    <row r="90" spans="17:36" ht="12.75" customHeight="1">
      <c r="Q90" s="360"/>
      <c r="R90" s="935" t="s">
        <v>678</v>
      </c>
      <c r="S90" s="935"/>
      <c r="T90" s="935"/>
      <c r="U90" s="949" t="s">
        <v>500</v>
      </c>
      <c r="V90" s="1011" t="s">
        <v>22</v>
      </c>
      <c r="W90" s="1013" t="s">
        <v>579</v>
      </c>
      <c r="X90" s="1009" t="s">
        <v>21</v>
      </c>
      <c r="Y90" s="361"/>
      <c r="Z90" s="364"/>
      <c r="AA90"/>
      <c r="AB90"/>
      <c r="AC90"/>
      <c r="AD90"/>
      <c r="AE90"/>
      <c r="AF90"/>
      <c r="AG90"/>
    </row>
    <row r="91" spans="17:36" ht="12.75" customHeight="1">
      <c r="Q91" s="360"/>
      <c r="R91" s="935"/>
      <c r="S91" s="935"/>
      <c r="T91" s="935"/>
      <c r="U91" s="950"/>
      <c r="V91" s="1012"/>
      <c r="W91" s="1014"/>
      <c r="X91" s="1010"/>
      <c r="Y91" s="361"/>
      <c r="Z91" s="364"/>
      <c r="AA91"/>
      <c r="AB91"/>
      <c r="AC91"/>
      <c r="AD91"/>
      <c r="AE91"/>
      <c r="AF91"/>
      <c r="AG91"/>
    </row>
    <row r="92" spans="17:36" ht="12.75" customHeight="1">
      <c r="Q92" s="360"/>
      <c r="R92" s="969" t="s">
        <v>63</v>
      </c>
      <c r="S92" s="969"/>
      <c r="T92" s="969"/>
      <c r="U92" s="369">
        <f>U533</f>
        <v>103.15</v>
      </c>
      <c r="V92" s="369">
        <f>U475</f>
        <v>107.9</v>
      </c>
      <c r="W92" s="369">
        <f>U504</f>
        <v>108.75</v>
      </c>
      <c r="X92" s="369">
        <f>U446</f>
        <v>114.05</v>
      </c>
      <c r="Y92" s="361"/>
      <c r="Z92" s="364"/>
      <c r="AA92"/>
      <c r="AB92"/>
      <c r="AC92"/>
      <c r="AD92"/>
      <c r="AE92"/>
      <c r="AF92"/>
      <c r="AG92"/>
    </row>
    <row r="93" spans="17:36" ht="12.75" customHeight="1">
      <c r="Q93" s="360"/>
      <c r="R93" s="969" t="s">
        <v>64</v>
      </c>
      <c r="S93" s="969"/>
      <c r="T93" s="969"/>
      <c r="U93" s="369">
        <f>U546</f>
        <v>90.15</v>
      </c>
      <c r="V93" s="369">
        <f>U488</f>
        <v>94.85</v>
      </c>
      <c r="W93" s="369">
        <f>U517</f>
        <v>95.8</v>
      </c>
      <c r="X93" s="369">
        <f>U459</f>
        <v>102.05</v>
      </c>
      <c r="Y93" s="361"/>
      <c r="Z93" s="364"/>
      <c r="AA93"/>
      <c r="AB93"/>
      <c r="AC93"/>
      <c r="AD93"/>
      <c r="AE93"/>
      <c r="AF93"/>
      <c r="AG93"/>
    </row>
    <row r="94" spans="17:36" ht="12.75" customHeight="1">
      <c r="Q94" s="360"/>
      <c r="R94" s="969" t="s">
        <v>530</v>
      </c>
      <c r="S94" s="969"/>
      <c r="T94" s="969"/>
      <c r="U94" s="369">
        <v>85</v>
      </c>
      <c r="V94" s="369">
        <v>85</v>
      </c>
      <c r="W94" s="369">
        <v>85</v>
      </c>
      <c r="X94" s="369">
        <v>85</v>
      </c>
      <c r="Y94" s="361"/>
      <c r="Z94" s="364"/>
      <c r="AA94"/>
      <c r="AB94"/>
      <c r="AC94"/>
      <c r="AD94"/>
      <c r="AE94"/>
      <c r="AF94"/>
      <c r="AG94"/>
    </row>
    <row r="95" spans="17:36" ht="12.75" customHeight="1">
      <c r="Q95" s="360"/>
      <c r="R95" s="363"/>
      <c r="S95" s="363"/>
      <c r="T95" s="363"/>
      <c r="U95" s="363"/>
      <c r="V95" s="363"/>
      <c r="W95" s="363"/>
      <c r="X95" s="363"/>
      <c r="Y95" s="363"/>
      <c r="Z95" s="364"/>
      <c r="AA95"/>
      <c r="AB95"/>
      <c r="AC95"/>
      <c r="AD95"/>
      <c r="AE95"/>
      <c r="AF95"/>
      <c r="AG95"/>
    </row>
    <row r="96" spans="17:36" ht="12.75" customHeight="1">
      <c r="Q96" s="385" t="s">
        <v>222</v>
      </c>
      <c r="R96" s="1008" t="s">
        <v>504</v>
      </c>
      <c r="S96" s="1008"/>
      <c r="T96" s="1008"/>
      <c r="U96" s="1008"/>
      <c r="V96" s="1008"/>
      <c r="W96" s="1008"/>
      <c r="X96" s="1008"/>
      <c r="Y96" s="1008"/>
      <c r="Z96" s="547"/>
      <c r="AA96"/>
      <c r="AB96"/>
      <c r="AC96"/>
      <c r="AD96"/>
      <c r="AE96"/>
      <c r="AF96"/>
      <c r="AG96"/>
    </row>
    <row r="97" spans="1:33" s="133" customFormat="1" ht="12.75" customHeight="1">
      <c r="A97" s="1"/>
      <c r="Q97" s="360"/>
      <c r="R97" s="363"/>
      <c r="S97" s="363"/>
      <c r="T97" s="363"/>
      <c r="U97" s="363"/>
      <c r="V97" s="363"/>
      <c r="W97" s="363"/>
      <c r="X97" s="363"/>
      <c r="Y97" s="363"/>
      <c r="Z97" s="364"/>
      <c r="AA97"/>
      <c r="AB97"/>
      <c r="AC97"/>
      <c r="AD97"/>
      <c r="AE97"/>
      <c r="AF97"/>
      <c r="AG97"/>
    </row>
    <row r="98" spans="1:33" ht="12.75" customHeight="1">
      <c r="Q98" s="360" t="s">
        <v>505</v>
      </c>
      <c r="R98" s="363" t="s">
        <v>514</v>
      </c>
      <c r="S98" s="363"/>
      <c r="T98" s="363"/>
      <c r="U98" s="363"/>
      <c r="V98" s="363"/>
      <c r="W98" s="363"/>
      <c r="X98" s="363"/>
      <c r="Y98" s="363"/>
      <c r="Z98" s="364"/>
      <c r="AA98"/>
      <c r="AB98"/>
      <c r="AC98"/>
      <c r="AD98"/>
      <c r="AE98"/>
      <c r="AF98"/>
      <c r="AG98"/>
    </row>
    <row r="99" spans="1:33" ht="12.75" customHeight="1">
      <c r="Q99" s="360"/>
      <c r="R99" s="363" t="s">
        <v>512</v>
      </c>
      <c r="S99" s="363"/>
      <c r="T99" s="363"/>
      <c r="U99" s="363"/>
      <c r="V99" s="363"/>
      <c r="W99" s="363"/>
      <c r="X99" s="363"/>
      <c r="Y99" s="363"/>
      <c r="Z99" s="364"/>
      <c r="AA99"/>
      <c r="AB99"/>
      <c r="AC99"/>
      <c r="AD99"/>
      <c r="AE99"/>
      <c r="AF99"/>
      <c r="AG99"/>
    </row>
    <row r="100" spans="1:33" ht="12.75" customHeight="1">
      <c r="Q100" s="360"/>
      <c r="R100" s="998" t="s">
        <v>191</v>
      </c>
      <c r="S100" s="999"/>
      <c r="T100" s="1000"/>
      <c r="U100" s="949" t="s">
        <v>500</v>
      </c>
      <c r="V100" s="938" t="s">
        <v>22</v>
      </c>
      <c r="W100" s="940" t="s">
        <v>579</v>
      </c>
      <c r="X100" s="942" t="s">
        <v>21</v>
      </c>
      <c r="Y100" s="361"/>
      <c r="Z100" s="364"/>
      <c r="AA100"/>
      <c r="AB100"/>
      <c r="AC100"/>
      <c r="AD100"/>
      <c r="AE100"/>
      <c r="AF100"/>
      <c r="AG100"/>
    </row>
    <row r="101" spans="1:33" ht="12.75" customHeight="1">
      <c r="Q101" s="360"/>
      <c r="R101" s="1001"/>
      <c r="S101" s="1002"/>
      <c r="T101" s="1003"/>
      <c r="U101" s="950"/>
      <c r="V101" s="939"/>
      <c r="W101" s="941"/>
      <c r="X101" s="943"/>
      <c r="Y101" s="361"/>
      <c r="Z101" s="364"/>
      <c r="AA101"/>
      <c r="AB101"/>
      <c r="AC101"/>
      <c r="AD101"/>
      <c r="AE101"/>
      <c r="AF101"/>
      <c r="AG101"/>
    </row>
    <row r="102" spans="1:33" ht="12.75" customHeight="1">
      <c r="Q102" s="360"/>
      <c r="R102" s="969" t="s">
        <v>63</v>
      </c>
      <c r="S102" s="969"/>
      <c r="T102" s="969"/>
      <c r="U102" s="537">
        <f>VLOOKUP(U69,'Lookup Exposure Time'!$B$12:$C$732,2)</f>
        <v>10</v>
      </c>
      <c r="V102" s="537">
        <f>VLOOKUP(V69,'Lookup Exposure Time'!$B$12:$C$732,2)</f>
        <v>2.1875</v>
      </c>
      <c r="W102" s="537">
        <f>VLOOKUP(W69,'Lookup Exposure Time'!$B$12:$C$732,2)</f>
        <v>1.71875</v>
      </c>
      <c r="X102" s="537">
        <f>VLOOKUP(X69,'Lookup Exposure Time'!$B$12:$C$732,2)</f>
        <v>0.32030299999999973</v>
      </c>
      <c r="Y102" s="361"/>
      <c r="Z102" s="364"/>
      <c r="AA102"/>
      <c r="AB102"/>
      <c r="AC102"/>
      <c r="AD102"/>
      <c r="AE102"/>
      <c r="AF102"/>
      <c r="AG102"/>
    </row>
    <row r="103" spans="1:33" ht="12.75" customHeight="1">
      <c r="Q103" s="360"/>
      <c r="R103" s="969" t="s">
        <v>64</v>
      </c>
      <c r="S103" s="969"/>
      <c r="T103" s="969"/>
      <c r="U103" s="537">
        <f>VLOOKUP(U70,'Lookup Exposure Time'!$B$12:$C$732,2)</f>
        <v>200</v>
      </c>
      <c r="V103" s="537">
        <f>VLOOKUP(V70,'Lookup Exposure Time'!$B$12:$C$732,2)</f>
        <v>45</v>
      </c>
      <c r="W103" s="537">
        <f>VLOOKUP(W70,'Lookup Exposure Time'!$B$12:$C$732,2)</f>
        <v>35</v>
      </c>
      <c r="X103" s="537">
        <f>VLOOKUP(X70,'Lookup Exposure Time'!$B$12:$C$732,2)</f>
        <v>6.375</v>
      </c>
      <c r="Y103" s="361"/>
      <c r="Z103" s="364"/>
      <c r="AA103"/>
      <c r="AB103"/>
      <c r="AC103"/>
      <c r="AD103"/>
      <c r="AE103"/>
      <c r="AF103"/>
      <c r="AG103"/>
    </row>
    <row r="104" spans="1:33" ht="12.75" customHeight="1">
      <c r="Q104" s="360"/>
      <c r="R104" s="364"/>
      <c r="S104" s="364"/>
      <c r="T104" s="364"/>
      <c r="U104" s="364"/>
      <c r="V104" s="364"/>
      <c r="W104" s="364"/>
      <c r="X104" s="364"/>
      <c r="Y104" s="363"/>
      <c r="Z104" s="364"/>
      <c r="AA104"/>
      <c r="AB104"/>
      <c r="AC104"/>
      <c r="AD104"/>
      <c r="AE104"/>
      <c r="AF104"/>
      <c r="AG104"/>
    </row>
    <row r="105" spans="1:33" ht="12.75" customHeight="1">
      <c r="Q105" s="360" t="s">
        <v>507</v>
      </c>
      <c r="R105" s="363" t="s">
        <v>513</v>
      </c>
      <c r="S105" s="363"/>
      <c r="T105" s="363"/>
      <c r="U105" s="363"/>
      <c r="V105" s="363"/>
      <c r="W105" s="363"/>
      <c r="X105" s="363"/>
      <c r="Y105" s="363"/>
      <c r="Z105" s="364"/>
      <c r="AA105"/>
      <c r="AB105"/>
      <c r="AC105"/>
      <c r="AD105"/>
      <c r="AE105"/>
      <c r="AF105"/>
      <c r="AG105"/>
    </row>
    <row r="106" spans="1:33" ht="12.75" customHeight="1">
      <c r="Q106" s="360"/>
      <c r="R106" s="998" t="s">
        <v>191</v>
      </c>
      <c r="S106" s="999"/>
      <c r="T106" s="1000"/>
      <c r="U106" s="949" t="s">
        <v>500</v>
      </c>
      <c r="V106" s="938" t="s">
        <v>22</v>
      </c>
      <c r="W106" s="940" t="s">
        <v>579</v>
      </c>
      <c r="X106" s="942" t="s">
        <v>21</v>
      </c>
      <c r="Y106" s="361"/>
      <c r="Z106" s="364"/>
      <c r="AA106"/>
      <c r="AB106"/>
      <c r="AC106"/>
      <c r="AD106"/>
      <c r="AE106"/>
      <c r="AF106"/>
      <c r="AG106"/>
    </row>
    <row r="107" spans="1:33" ht="12.75" customHeight="1">
      <c r="Q107" s="360"/>
      <c r="R107" s="1001"/>
      <c r="S107" s="1002"/>
      <c r="T107" s="1003"/>
      <c r="U107" s="950"/>
      <c r="V107" s="939"/>
      <c r="W107" s="941"/>
      <c r="X107" s="943"/>
      <c r="Y107" s="361"/>
      <c r="Z107" s="364"/>
      <c r="AA107"/>
      <c r="AB107"/>
      <c r="AC107"/>
      <c r="AD107"/>
      <c r="AE107"/>
      <c r="AF107"/>
      <c r="AG107"/>
    </row>
    <row r="108" spans="1:33" ht="12.75" customHeight="1">
      <c r="Q108" s="360"/>
      <c r="R108" s="969" t="s">
        <v>63</v>
      </c>
      <c r="S108" s="969"/>
      <c r="T108" s="969"/>
      <c r="U108" s="671">
        <f>VLOOKUP(U76,'Lookup Exposure Time'!$B$12:$C$732,2)</f>
        <v>2.5</v>
      </c>
      <c r="V108" s="671">
        <f>VLOOKUP(V76,'Lookup Exposure Time'!$B$12:$C$732,2)</f>
        <v>0.53125</v>
      </c>
      <c r="W108" s="671">
        <f>VLOOKUP(W76,'Lookup Exposure Time'!$B$12:$C$732,2)</f>
        <v>0.42187199999999991</v>
      </c>
      <c r="X108" s="671">
        <f>VLOOKUP(X76,'Lookup Exposure Time'!$B$12:$C$732,2)</f>
        <v>8.0078125E-2</v>
      </c>
      <c r="Y108" s="361"/>
      <c r="Z108" s="364"/>
      <c r="AA108"/>
      <c r="AB108"/>
      <c r="AC108"/>
      <c r="AD108"/>
      <c r="AE108"/>
      <c r="AF108"/>
      <c r="AG108"/>
    </row>
    <row r="109" spans="1:33" ht="12.75" customHeight="1">
      <c r="Q109" s="360"/>
      <c r="R109" s="969" t="s">
        <v>64</v>
      </c>
      <c r="S109" s="969"/>
      <c r="T109" s="969"/>
      <c r="U109" s="557">
        <f>VLOOKUP(U77,'Lookup Exposure Time'!$B$12:$C$732,2)</f>
        <v>50</v>
      </c>
      <c r="V109" s="557">
        <f>VLOOKUP(V77,'Lookup Exposure Time'!$B$12:$C$732,2)</f>
        <v>11</v>
      </c>
      <c r="W109" s="557">
        <f>VLOOKUP(W77,'Lookup Exposure Time'!$B$12:$C$732,2)</f>
        <v>8.5</v>
      </c>
      <c r="X109" s="557">
        <f>VLOOKUP(X77,'Lookup Exposure Time'!$B$12:$C$732,2)</f>
        <v>1.59375</v>
      </c>
      <c r="Y109" s="361"/>
      <c r="Z109" s="364"/>
      <c r="AA109"/>
      <c r="AB109"/>
      <c r="AC109"/>
      <c r="AD109"/>
      <c r="AE109"/>
      <c r="AF109"/>
      <c r="AG109"/>
    </row>
    <row r="110" spans="1:33" ht="12.75" customHeight="1">
      <c r="Q110" s="360"/>
      <c r="R110" s="363"/>
      <c r="S110" s="363"/>
      <c r="T110" s="363"/>
      <c r="U110" s="363"/>
      <c r="V110" s="363"/>
      <c r="W110" s="363"/>
      <c r="X110" s="363"/>
      <c r="Y110" s="363"/>
      <c r="Z110" s="364"/>
      <c r="AA110"/>
      <c r="AB110"/>
      <c r="AC110"/>
      <c r="AD110"/>
      <c r="AE110"/>
      <c r="AF110"/>
      <c r="AG110"/>
    </row>
    <row r="111" spans="1:33" ht="12.75" customHeight="1">
      <c r="Q111" s="360" t="s">
        <v>508</v>
      </c>
      <c r="R111" s="363" t="s">
        <v>531</v>
      </c>
      <c r="S111" s="363"/>
      <c r="T111" s="363"/>
      <c r="U111" s="363"/>
      <c r="V111" s="363"/>
      <c r="W111" s="363"/>
      <c r="X111" s="363"/>
      <c r="Y111" s="363"/>
      <c r="Z111" s="364"/>
      <c r="AA111"/>
      <c r="AB111"/>
      <c r="AC111"/>
      <c r="AD111"/>
      <c r="AE111"/>
      <c r="AF111"/>
      <c r="AG111"/>
    </row>
    <row r="112" spans="1:33" ht="12.75" customHeight="1">
      <c r="Q112" s="360"/>
      <c r="R112" s="998" t="s">
        <v>191</v>
      </c>
      <c r="S112" s="999"/>
      <c r="T112" s="1000"/>
      <c r="U112" s="949" t="s">
        <v>500</v>
      </c>
      <c r="V112" s="938" t="s">
        <v>22</v>
      </c>
      <c r="W112" s="940" t="s">
        <v>579</v>
      </c>
      <c r="X112" s="942" t="s">
        <v>21</v>
      </c>
      <c r="Y112" s="361"/>
      <c r="Z112" s="364"/>
      <c r="AA112"/>
      <c r="AB112"/>
      <c r="AC112"/>
      <c r="AD112"/>
      <c r="AE112"/>
      <c r="AF112"/>
      <c r="AG112"/>
    </row>
    <row r="113" spans="17:33" ht="12.75" customHeight="1">
      <c r="Q113" s="360"/>
      <c r="R113" s="1001"/>
      <c r="S113" s="1002"/>
      <c r="T113" s="1003"/>
      <c r="U113" s="950"/>
      <c r="V113" s="939"/>
      <c r="W113" s="941"/>
      <c r="X113" s="943"/>
      <c r="Y113" s="361"/>
      <c r="Z113" s="364"/>
      <c r="AA113"/>
      <c r="AB113"/>
      <c r="AC113"/>
      <c r="AD113"/>
      <c r="AE113"/>
      <c r="AF113"/>
      <c r="AG113"/>
    </row>
    <row r="114" spans="17:33" ht="12.75" customHeight="1">
      <c r="Q114" s="360"/>
      <c r="R114" s="969" t="s">
        <v>63</v>
      </c>
      <c r="S114" s="969"/>
      <c r="T114" s="969"/>
      <c r="U114" s="537">
        <f t="shared" ref="U114:X115" si="0">U102/60</f>
        <v>0.16666666666666666</v>
      </c>
      <c r="V114" s="537">
        <f t="shared" si="0"/>
        <v>3.6458333333333336E-2</v>
      </c>
      <c r="W114" s="537">
        <f t="shared" si="0"/>
        <v>2.8645833333333332E-2</v>
      </c>
      <c r="X114" s="537">
        <f t="shared" si="0"/>
        <v>5.3383833333333292E-3</v>
      </c>
      <c r="Y114" s="361"/>
      <c r="Z114" s="364"/>
      <c r="AA114"/>
      <c r="AB114"/>
      <c r="AC114"/>
      <c r="AD114"/>
      <c r="AE114"/>
      <c r="AF114"/>
      <c r="AG114"/>
    </row>
    <row r="115" spans="17:33" ht="12.75" customHeight="1">
      <c r="Q115" s="360"/>
      <c r="R115" s="969" t="s">
        <v>64</v>
      </c>
      <c r="S115" s="969"/>
      <c r="T115" s="969"/>
      <c r="U115" s="537">
        <f t="shared" si="0"/>
        <v>3.3333333333333335</v>
      </c>
      <c r="V115" s="537">
        <f t="shared" si="0"/>
        <v>0.75</v>
      </c>
      <c r="W115" s="537">
        <f t="shared" si="0"/>
        <v>0.58333333333333337</v>
      </c>
      <c r="X115" s="537">
        <f t="shared" si="0"/>
        <v>0.10625</v>
      </c>
      <c r="Y115" s="361"/>
      <c r="Z115" s="364"/>
      <c r="AA115"/>
      <c r="AB115"/>
      <c r="AC115"/>
      <c r="AD115"/>
      <c r="AE115"/>
      <c r="AF115"/>
      <c r="AG115"/>
    </row>
    <row r="116" spans="17:33" ht="12.75" customHeight="1">
      <c r="Q116" s="360"/>
      <c r="R116" s="364"/>
      <c r="S116" s="364"/>
      <c r="T116" s="364"/>
      <c r="U116" s="364"/>
      <c r="V116" s="364"/>
      <c r="W116" s="364"/>
      <c r="X116" s="364"/>
      <c r="Y116" s="363"/>
      <c r="Z116" s="364"/>
      <c r="AA116"/>
      <c r="AB116"/>
      <c r="AC116"/>
      <c r="AD116"/>
      <c r="AE116"/>
      <c r="AF116"/>
      <c r="AG116"/>
    </row>
    <row r="117" spans="17:33" ht="12.75" customHeight="1">
      <c r="Q117" s="360" t="s">
        <v>506</v>
      </c>
      <c r="R117" s="363" t="s">
        <v>532</v>
      </c>
      <c r="S117" s="363"/>
      <c r="T117" s="363"/>
      <c r="U117" s="363"/>
      <c r="V117" s="363"/>
      <c r="W117" s="363"/>
      <c r="X117" s="363"/>
      <c r="Y117" s="363"/>
      <c r="Z117" s="364"/>
      <c r="AA117"/>
      <c r="AB117"/>
      <c r="AC117"/>
      <c r="AD117"/>
      <c r="AE117"/>
      <c r="AF117"/>
      <c r="AG117"/>
    </row>
    <row r="118" spans="17:33" ht="12.75" customHeight="1">
      <c r="Q118" s="360"/>
      <c r="R118" s="998" t="s">
        <v>191</v>
      </c>
      <c r="S118" s="999"/>
      <c r="T118" s="1000"/>
      <c r="U118" s="949" t="s">
        <v>500</v>
      </c>
      <c r="V118" s="938" t="s">
        <v>22</v>
      </c>
      <c r="W118" s="940" t="s">
        <v>579</v>
      </c>
      <c r="X118" s="942" t="s">
        <v>21</v>
      </c>
      <c r="Y118" s="361"/>
      <c r="Z118" s="364"/>
      <c r="AA118"/>
      <c r="AB118"/>
      <c r="AC118"/>
      <c r="AD118"/>
      <c r="AE118"/>
      <c r="AF118"/>
      <c r="AG118"/>
    </row>
    <row r="119" spans="17:33" ht="12.75" customHeight="1">
      <c r="Q119" s="360"/>
      <c r="R119" s="1001"/>
      <c r="S119" s="1002"/>
      <c r="T119" s="1003"/>
      <c r="U119" s="950"/>
      <c r="V119" s="939"/>
      <c r="W119" s="941"/>
      <c r="X119" s="943"/>
      <c r="Y119" s="361"/>
      <c r="Z119" s="364"/>
      <c r="AA119"/>
      <c r="AB119"/>
      <c r="AC119"/>
      <c r="AD119"/>
      <c r="AE119"/>
      <c r="AF119"/>
      <c r="AG119"/>
    </row>
    <row r="120" spans="17:33" ht="12.75" customHeight="1">
      <c r="Q120" s="360"/>
      <c r="R120" s="969" t="s">
        <v>63</v>
      </c>
      <c r="S120" s="969"/>
      <c r="T120" s="969"/>
      <c r="U120" s="537">
        <f t="shared" ref="U120:X121" si="1">U108/60</f>
        <v>4.1666666666666664E-2</v>
      </c>
      <c r="V120" s="537">
        <f t="shared" si="1"/>
        <v>8.8541666666666664E-3</v>
      </c>
      <c r="W120" s="537">
        <f t="shared" si="1"/>
        <v>7.0311999999999987E-3</v>
      </c>
      <c r="X120" s="537">
        <f t="shared" si="1"/>
        <v>1.3346354166666667E-3</v>
      </c>
      <c r="Y120" s="361"/>
      <c r="Z120" s="364"/>
      <c r="AA120"/>
      <c r="AB120"/>
      <c r="AC120"/>
      <c r="AD120"/>
      <c r="AE120"/>
      <c r="AF120"/>
      <c r="AG120"/>
    </row>
    <row r="121" spans="17:33" ht="12.75" customHeight="1">
      <c r="Q121" s="360"/>
      <c r="R121" s="969" t="s">
        <v>64</v>
      </c>
      <c r="S121" s="969"/>
      <c r="T121" s="969"/>
      <c r="U121" s="537">
        <f t="shared" si="1"/>
        <v>0.83333333333333337</v>
      </c>
      <c r="V121" s="537">
        <f t="shared" si="1"/>
        <v>0.18333333333333332</v>
      </c>
      <c r="W121" s="537">
        <f t="shared" si="1"/>
        <v>0.14166666666666666</v>
      </c>
      <c r="X121" s="537">
        <f t="shared" si="1"/>
        <v>2.6562499999999999E-2</v>
      </c>
      <c r="Y121" s="361"/>
      <c r="Z121" s="364"/>
      <c r="AA121"/>
      <c r="AB121"/>
      <c r="AC121"/>
      <c r="AD121"/>
      <c r="AE121"/>
      <c r="AF121"/>
      <c r="AG121"/>
    </row>
    <row r="122" spans="17:33" ht="12.75" customHeight="1">
      <c r="Q122" s="360"/>
      <c r="R122" s="363"/>
      <c r="S122" s="363"/>
      <c r="T122" s="363"/>
      <c r="U122" s="363"/>
      <c r="V122" s="363"/>
      <c r="W122" s="363"/>
      <c r="X122" s="363"/>
      <c r="Y122" s="363"/>
      <c r="Z122" s="364"/>
      <c r="AA122"/>
      <c r="AB122"/>
      <c r="AC122"/>
      <c r="AD122"/>
      <c r="AE122"/>
      <c r="AF122"/>
      <c r="AG122"/>
    </row>
    <row r="123" spans="17:33" ht="12.75" customHeight="1">
      <c r="Q123" s="546" t="s">
        <v>231</v>
      </c>
      <c r="R123" s="952" t="s">
        <v>232</v>
      </c>
      <c r="S123" s="952"/>
      <c r="T123" s="952"/>
      <c r="U123" s="952"/>
      <c r="V123" s="952"/>
      <c r="W123" s="952"/>
      <c r="X123" s="952"/>
      <c r="Y123" s="952"/>
      <c r="Z123" s="360"/>
      <c r="AA123"/>
      <c r="AB123"/>
      <c r="AC123"/>
      <c r="AD123"/>
      <c r="AE123"/>
      <c r="AF123"/>
      <c r="AG123"/>
    </row>
    <row r="124" spans="17:33" ht="12.75" customHeight="1">
      <c r="Q124" s="546"/>
      <c r="R124" s="360"/>
      <c r="S124" s="360"/>
      <c r="T124" s="360"/>
      <c r="U124" s="360"/>
      <c r="V124" s="360"/>
      <c r="W124" s="360"/>
      <c r="X124" s="360"/>
      <c r="Y124" s="360"/>
      <c r="Z124" s="360"/>
      <c r="AA124"/>
      <c r="AB124"/>
      <c r="AC124"/>
      <c r="AD124"/>
      <c r="AE124"/>
      <c r="AF124"/>
      <c r="AG124"/>
    </row>
    <row r="125" spans="17:33" ht="12.75" customHeight="1">
      <c r="Q125" s="546"/>
      <c r="R125" s="363" t="s">
        <v>233</v>
      </c>
      <c r="S125" s="363"/>
      <c r="T125" s="363"/>
      <c r="U125" s="363"/>
      <c r="V125" s="363"/>
      <c r="W125" s="363"/>
      <c r="X125" s="363"/>
      <c r="Y125" s="363"/>
      <c r="Z125" s="364"/>
      <c r="AA125"/>
      <c r="AB125"/>
      <c r="AC125"/>
      <c r="AD125"/>
      <c r="AE125"/>
      <c r="AF125"/>
      <c r="AG125"/>
    </row>
    <row r="126" spans="17:33" ht="12.75" customHeight="1">
      <c r="Q126" s="360"/>
      <c r="R126" s="998" t="s">
        <v>678</v>
      </c>
      <c r="S126" s="999"/>
      <c r="T126" s="1000"/>
      <c r="U126" s="949" t="s">
        <v>470</v>
      </c>
      <c r="V126" s="938" t="s">
        <v>22</v>
      </c>
      <c r="W126" s="940" t="s">
        <v>579</v>
      </c>
      <c r="X126" s="942" t="s">
        <v>21</v>
      </c>
      <c r="Y126" s="361"/>
      <c r="Z126" s="364"/>
      <c r="AA126"/>
      <c r="AB126"/>
      <c r="AC126"/>
      <c r="AD126"/>
      <c r="AE126"/>
      <c r="AF126"/>
      <c r="AG126"/>
    </row>
    <row r="127" spans="17:33" ht="12.75" customHeight="1">
      <c r="Q127" s="360"/>
      <c r="R127" s="1001"/>
      <c r="S127" s="1002"/>
      <c r="T127" s="1003"/>
      <c r="U127" s="950"/>
      <c r="V127" s="939"/>
      <c r="W127" s="941"/>
      <c r="X127" s="943"/>
      <c r="Y127" s="361"/>
      <c r="Z127" s="364"/>
      <c r="AA127"/>
      <c r="AB127"/>
      <c r="AC127"/>
      <c r="AD127"/>
      <c r="AE127"/>
      <c r="AF127"/>
      <c r="AG127"/>
    </row>
    <row r="128" spans="17:33" ht="12.75" customHeight="1">
      <c r="Q128" s="360"/>
      <c r="R128" s="969" t="s">
        <v>234</v>
      </c>
      <c r="S128" s="969"/>
      <c r="T128" s="969"/>
      <c r="U128" s="672">
        <v>8.3000000000000007</v>
      </c>
      <c r="V128" s="672">
        <f>VLOOKUP($V$5,'Lookup Vibration'!$B$8:$F$208,3)</f>
        <v>18.604999999999936</v>
      </c>
      <c r="W128" s="672">
        <f>VLOOKUP($V$5,'Lookup Vibration'!$B$8:$F$208,4)</f>
        <v>20.535000000000096</v>
      </c>
      <c r="X128" s="672">
        <f>VLOOKUP($V$5,'Lookup Vibration'!$B$8:$F$208,2)</f>
        <v>18.604999999999936</v>
      </c>
      <c r="Y128" s="361"/>
      <c r="Z128" s="364"/>
      <c r="AA128"/>
      <c r="AB128"/>
      <c r="AC128"/>
      <c r="AD128"/>
      <c r="AE128"/>
      <c r="AF128"/>
      <c r="AG128"/>
    </row>
    <row r="129" spans="17:33" ht="12.75" customHeight="1">
      <c r="Q129" s="360"/>
      <c r="R129" s="363"/>
      <c r="S129" s="363"/>
      <c r="T129" s="363"/>
      <c r="U129" s="363"/>
      <c r="V129" s="363"/>
      <c r="W129" s="363"/>
      <c r="X129" s="363"/>
      <c r="Y129" s="363"/>
      <c r="Z129" s="364"/>
      <c r="AA129"/>
      <c r="AB129"/>
      <c r="AC129"/>
      <c r="AD129"/>
      <c r="AE129"/>
      <c r="AF129"/>
      <c r="AG129"/>
    </row>
    <row r="130" spans="17:33" ht="12.75" customHeight="1">
      <c r="Q130" s="546" t="s">
        <v>235</v>
      </c>
      <c r="R130" s="952" t="s">
        <v>34</v>
      </c>
      <c r="S130" s="952"/>
      <c r="T130" s="952"/>
      <c r="U130" s="952"/>
      <c r="V130" s="952"/>
      <c r="W130" s="952"/>
      <c r="X130" s="952"/>
      <c r="Y130" s="952"/>
      <c r="Z130" s="360"/>
      <c r="AA130"/>
      <c r="AB130"/>
      <c r="AC130"/>
      <c r="AD130"/>
      <c r="AE130"/>
      <c r="AF130"/>
      <c r="AG130"/>
    </row>
    <row r="131" spans="17:33" ht="12.75" customHeight="1">
      <c r="Q131" s="546"/>
      <c r="R131" s="363"/>
      <c r="S131" s="363"/>
      <c r="T131" s="363"/>
      <c r="U131" s="363"/>
      <c r="V131" s="363"/>
      <c r="W131" s="363"/>
      <c r="X131" s="363"/>
      <c r="Y131" s="363"/>
      <c r="Z131" s="364"/>
      <c r="AA131"/>
      <c r="AB131"/>
      <c r="AC131"/>
      <c r="AD131"/>
      <c r="AE131"/>
      <c r="AF131"/>
      <c r="AG131"/>
    </row>
    <row r="132" spans="17:33" ht="12.75" customHeight="1">
      <c r="Q132" s="360"/>
      <c r="R132" s="998" t="s">
        <v>678</v>
      </c>
      <c r="S132" s="999"/>
      <c r="T132" s="1000"/>
      <c r="U132" s="949" t="s">
        <v>500</v>
      </c>
      <c r="V132" s="938" t="s">
        <v>22</v>
      </c>
      <c r="W132" s="940" t="s">
        <v>579</v>
      </c>
      <c r="X132" s="942" t="s">
        <v>21</v>
      </c>
      <c r="Y132" s="361"/>
      <c r="Z132" s="364"/>
      <c r="AA132"/>
      <c r="AB132"/>
      <c r="AC132"/>
      <c r="AD132"/>
      <c r="AE132"/>
      <c r="AF132"/>
      <c r="AG132"/>
    </row>
    <row r="133" spans="17:33" ht="12.75" customHeight="1">
      <c r="Q133" s="360"/>
      <c r="R133" s="1001"/>
      <c r="S133" s="1002"/>
      <c r="T133" s="1003"/>
      <c r="U133" s="950"/>
      <c r="V133" s="939"/>
      <c r="W133" s="941"/>
      <c r="X133" s="943"/>
      <c r="Y133" s="361"/>
      <c r="Z133" s="364"/>
      <c r="AA133"/>
      <c r="AB133"/>
      <c r="AC133"/>
      <c r="AD133"/>
      <c r="AE133"/>
      <c r="AF133"/>
      <c r="AG133"/>
    </row>
    <row r="134" spans="17:33" ht="12.75" customHeight="1">
      <c r="Q134" s="360"/>
      <c r="R134" s="1004" t="s">
        <v>298</v>
      </c>
      <c r="S134" s="1004"/>
      <c r="T134" s="1004"/>
      <c r="U134" s="673" t="s">
        <v>819</v>
      </c>
      <c r="V134" s="673" t="s">
        <v>818</v>
      </c>
      <c r="W134" s="673" t="s">
        <v>819</v>
      </c>
      <c r="X134" s="673" t="s">
        <v>818</v>
      </c>
      <c r="Y134" s="361"/>
      <c r="Z134" s="364"/>
      <c r="AA134"/>
      <c r="AB134"/>
      <c r="AC134"/>
      <c r="AD134"/>
      <c r="AE134"/>
      <c r="AF134"/>
      <c r="AG134"/>
    </row>
    <row r="135" spans="17:33" ht="12.75" customHeight="1">
      <c r="Q135" s="360"/>
      <c r="R135" s="931" t="s">
        <v>299</v>
      </c>
      <c r="S135" s="931"/>
      <c r="T135" s="931"/>
      <c r="U135" s="673" t="s">
        <v>297</v>
      </c>
      <c r="V135" s="673" t="s">
        <v>296</v>
      </c>
      <c r="W135" s="673" t="s">
        <v>296</v>
      </c>
      <c r="X135" s="673" t="s">
        <v>296</v>
      </c>
      <c r="Y135" s="361"/>
      <c r="Z135" s="364"/>
      <c r="AA135"/>
      <c r="AB135"/>
      <c r="AC135"/>
      <c r="AD135"/>
      <c r="AE135"/>
      <c r="AF135"/>
      <c r="AG135"/>
    </row>
    <row r="136" spans="17:33" ht="12.75" customHeight="1">
      <c r="Q136" s="360"/>
      <c r="R136" s="363"/>
      <c r="S136" s="363"/>
      <c r="T136" s="363"/>
      <c r="U136" s="363"/>
      <c r="V136" s="363"/>
      <c r="W136" s="363"/>
      <c r="X136" s="363"/>
      <c r="Y136" s="363"/>
      <c r="Z136" s="363"/>
      <c r="AA136"/>
      <c r="AB136"/>
      <c r="AC136"/>
      <c r="AD136"/>
      <c r="AE136"/>
      <c r="AF136"/>
      <c r="AG136"/>
    </row>
    <row r="137" spans="17:33" ht="12.75" customHeight="1">
      <c r="Q137" s="546" t="s">
        <v>236</v>
      </c>
      <c r="R137" s="952" t="s">
        <v>237</v>
      </c>
      <c r="S137" s="952"/>
      <c r="T137" s="952"/>
      <c r="U137" s="952"/>
      <c r="V137" s="952"/>
      <c r="W137" s="952"/>
      <c r="X137" s="952"/>
      <c r="Y137" s="952"/>
      <c r="Z137" s="360"/>
      <c r="AA137"/>
      <c r="AB137"/>
      <c r="AC137"/>
      <c r="AD137"/>
      <c r="AE137"/>
      <c r="AF137"/>
      <c r="AG137"/>
    </row>
    <row r="138" spans="17:33" ht="12.75" customHeight="1">
      <c r="Q138" s="360"/>
      <c r="R138" s="363"/>
      <c r="S138" s="363"/>
      <c r="T138" s="363"/>
      <c r="U138" s="363"/>
      <c r="V138" s="363"/>
      <c r="W138" s="363"/>
      <c r="X138" s="363"/>
      <c r="Y138" s="363"/>
      <c r="Z138" s="363"/>
      <c r="AA138"/>
      <c r="AB138"/>
      <c r="AC138"/>
      <c r="AD138"/>
      <c r="AE138"/>
      <c r="AF138"/>
      <c r="AG138"/>
    </row>
    <row r="139" spans="17:33" ht="12.75" customHeight="1">
      <c r="Q139" s="668" t="s">
        <v>238</v>
      </c>
      <c r="R139" s="364" t="s">
        <v>239</v>
      </c>
      <c r="S139" s="364"/>
      <c r="T139" s="364"/>
      <c r="U139" s="364"/>
      <c r="V139" s="364"/>
      <c r="W139" s="364"/>
      <c r="X139" s="364"/>
      <c r="Y139" s="364"/>
      <c r="Z139" s="364"/>
      <c r="AA139"/>
      <c r="AB139"/>
      <c r="AC139"/>
      <c r="AD139"/>
      <c r="AE139"/>
      <c r="AF139"/>
      <c r="AG139"/>
    </row>
    <row r="140" spans="17:33" ht="12.75" customHeight="1">
      <c r="Q140" s="668"/>
      <c r="R140" s="364" t="s">
        <v>469</v>
      </c>
      <c r="S140" s="364"/>
      <c r="T140" s="364"/>
      <c r="U140" s="364"/>
      <c r="V140" s="364"/>
      <c r="W140" s="364"/>
      <c r="X140" s="364"/>
      <c r="Y140" s="364"/>
      <c r="Z140" s="364"/>
      <c r="AA140"/>
      <c r="AB140"/>
      <c r="AC140"/>
      <c r="AD140"/>
      <c r="AE140"/>
      <c r="AF140"/>
      <c r="AG140"/>
    </row>
    <row r="141" spans="17:33" ht="12.75" customHeight="1">
      <c r="Q141" s="668"/>
      <c r="R141" s="364"/>
      <c r="S141" s="364"/>
      <c r="T141" s="364"/>
      <c r="U141" s="364"/>
      <c r="V141" s="364"/>
      <c r="W141" s="364"/>
      <c r="X141" s="364"/>
      <c r="Y141" s="364"/>
      <c r="Z141" s="364"/>
      <c r="AA141"/>
      <c r="AB141"/>
      <c r="AC141"/>
      <c r="AD141"/>
      <c r="AE141"/>
      <c r="AF141"/>
      <c r="AG141"/>
    </row>
    <row r="142" spans="17:33" ht="12.75" customHeight="1">
      <c r="Q142" s="668"/>
      <c r="R142" s="1005" t="s">
        <v>734</v>
      </c>
      <c r="S142" s="1006"/>
      <c r="T142" s="1006"/>
      <c r="U142" s="1006"/>
      <c r="V142" s="1006"/>
      <c r="W142" s="1007"/>
      <c r="X142" s="351">
        <f>'Compressor Input Data'!G5</f>
        <v>22800</v>
      </c>
      <c r="Y142" s="364"/>
      <c r="Z142" s="364"/>
      <c r="AA142"/>
      <c r="AB142"/>
      <c r="AC142"/>
      <c r="AD142"/>
      <c r="AE142"/>
      <c r="AF142"/>
      <c r="AG142"/>
    </row>
    <row r="143" spans="17:33" ht="12.75" customHeight="1">
      <c r="Q143" s="668"/>
      <c r="R143" s="990" t="s">
        <v>430</v>
      </c>
      <c r="S143" s="991"/>
      <c r="T143" s="992"/>
      <c r="U143" s="949" t="s">
        <v>500</v>
      </c>
      <c r="V143" s="938" t="s">
        <v>22</v>
      </c>
      <c r="W143" s="940" t="s">
        <v>579</v>
      </c>
      <c r="X143" s="942" t="s">
        <v>21</v>
      </c>
      <c r="Y143" s="361"/>
      <c r="Z143" s="364"/>
      <c r="AA143"/>
      <c r="AB143"/>
      <c r="AC143"/>
      <c r="AD143"/>
      <c r="AE143"/>
      <c r="AF143"/>
      <c r="AG143"/>
    </row>
    <row r="144" spans="17:33" ht="12.75" customHeight="1">
      <c r="Q144" s="668"/>
      <c r="R144" s="993"/>
      <c r="S144" s="994"/>
      <c r="T144" s="995"/>
      <c r="U144" s="950"/>
      <c r="V144" s="939"/>
      <c r="W144" s="941"/>
      <c r="X144" s="943"/>
      <c r="Y144" s="361"/>
      <c r="Z144" s="364"/>
      <c r="AA144"/>
      <c r="AB144"/>
      <c r="AC144"/>
      <c r="AD144"/>
      <c r="AE144"/>
      <c r="AF144"/>
      <c r="AG144"/>
    </row>
    <row r="145" spans="17:33" ht="12.75" customHeight="1">
      <c r="Q145" s="668"/>
      <c r="R145" s="973" t="s">
        <v>555</v>
      </c>
      <c r="S145" s="973"/>
      <c r="T145" s="973"/>
      <c r="U145" s="996"/>
      <c r="V145" s="544">
        <f>X145</f>
        <v>22800</v>
      </c>
      <c r="W145" s="544">
        <f>X145</f>
        <v>22800</v>
      </c>
      <c r="X145" s="544">
        <f>X142</f>
        <v>22800</v>
      </c>
      <c r="Y145" s="361"/>
      <c r="Z145" s="364"/>
      <c r="AA145"/>
      <c r="AB145"/>
      <c r="AC145"/>
      <c r="AD145"/>
      <c r="AE145"/>
      <c r="AF145"/>
      <c r="AG145"/>
    </row>
    <row r="146" spans="17:33" ht="12.75" customHeight="1">
      <c r="Q146" s="668"/>
      <c r="R146" s="973" t="s">
        <v>549</v>
      </c>
      <c r="S146" s="973"/>
      <c r="T146" s="973"/>
      <c r="U146" s="997"/>
      <c r="V146" s="544">
        <f>X146</f>
        <v>24</v>
      </c>
      <c r="W146" s="544">
        <f>V146</f>
        <v>24</v>
      </c>
      <c r="X146" s="544">
        <f>'Compressor Input Data'!J15</f>
        <v>24</v>
      </c>
      <c r="Y146" s="361"/>
      <c r="Z146" s="364"/>
      <c r="AA146"/>
      <c r="AB146"/>
      <c r="AC146"/>
      <c r="AD146"/>
      <c r="AE146"/>
      <c r="AF146"/>
      <c r="AG146"/>
    </row>
    <row r="147" spans="17:33" ht="12.75" customHeight="1">
      <c r="Q147" s="668"/>
      <c r="R147" s="970" t="s">
        <v>556</v>
      </c>
      <c r="S147" s="971"/>
      <c r="T147" s="972"/>
      <c r="U147" s="566">
        <f>U62</f>
        <v>2.6666666666666665</v>
      </c>
      <c r="V147" s="566">
        <f>V62</f>
        <v>1.6949152542372867</v>
      </c>
      <c r="W147" s="566">
        <f>W62</f>
        <v>1.6528925619834685</v>
      </c>
      <c r="X147" s="566">
        <f>X62</f>
        <v>1.2965964343598047</v>
      </c>
      <c r="Y147" s="361"/>
      <c r="Z147" s="364"/>
      <c r="AA147"/>
      <c r="AB147"/>
      <c r="AC147"/>
      <c r="AD147"/>
      <c r="AE147"/>
      <c r="AF147"/>
      <c r="AG147"/>
    </row>
    <row r="148" spans="17:33" ht="12.75" customHeight="1">
      <c r="Q148" s="668"/>
      <c r="R148" s="973" t="s">
        <v>575</v>
      </c>
      <c r="S148" s="973"/>
      <c r="T148" s="973"/>
      <c r="U148" s="531">
        <f>W148</f>
        <v>0.22500000000000001</v>
      </c>
      <c r="V148" s="531">
        <f>X148</f>
        <v>0.22500000000000001</v>
      </c>
      <c r="W148" s="531">
        <f>V148</f>
        <v>0.22500000000000001</v>
      </c>
      <c r="X148" s="531">
        <f>'Compressor Input Data'!J17</f>
        <v>0.22500000000000001</v>
      </c>
      <c r="Y148" s="361"/>
      <c r="Z148" s="364"/>
      <c r="AA148"/>
      <c r="AB148"/>
      <c r="AC148"/>
      <c r="AD148"/>
      <c r="AE148"/>
      <c r="AF148"/>
      <c r="AG148"/>
    </row>
    <row r="149" spans="17:33" ht="12.75" customHeight="1">
      <c r="Q149" s="668"/>
      <c r="R149" s="987"/>
      <c r="S149" s="988"/>
      <c r="T149" s="988"/>
      <c r="U149" s="988"/>
      <c r="V149" s="988"/>
      <c r="W149" s="988"/>
      <c r="X149" s="989"/>
      <c r="Y149" s="364"/>
      <c r="Z149" s="364"/>
      <c r="AA149"/>
      <c r="AB149"/>
      <c r="AC149"/>
      <c r="AD149"/>
      <c r="AE149"/>
      <c r="AF149"/>
      <c r="AG149"/>
    </row>
    <row r="150" spans="17:33" ht="12.75" customHeight="1">
      <c r="Q150" s="668"/>
      <c r="R150" s="990" t="s">
        <v>467</v>
      </c>
      <c r="S150" s="991"/>
      <c r="T150" s="992"/>
      <c r="U150" s="949" t="s">
        <v>500</v>
      </c>
      <c r="V150" s="938" t="s">
        <v>22</v>
      </c>
      <c r="W150" s="940" t="s">
        <v>579</v>
      </c>
      <c r="X150" s="942" t="s">
        <v>21</v>
      </c>
      <c r="Y150" s="361"/>
      <c r="Z150" s="364"/>
      <c r="AA150"/>
      <c r="AB150"/>
      <c r="AC150"/>
      <c r="AD150"/>
      <c r="AE150"/>
      <c r="AF150"/>
      <c r="AG150"/>
    </row>
    <row r="151" spans="17:33" ht="12.75" customHeight="1">
      <c r="Q151" s="668"/>
      <c r="R151" s="993"/>
      <c r="S151" s="994"/>
      <c r="T151" s="995"/>
      <c r="U151" s="950"/>
      <c r="V151" s="939"/>
      <c r="W151" s="941"/>
      <c r="X151" s="943"/>
      <c r="Y151" s="361"/>
      <c r="Z151" s="364"/>
      <c r="AA151"/>
      <c r="AB151"/>
      <c r="AC151"/>
      <c r="AD151"/>
      <c r="AE151"/>
      <c r="AF151"/>
      <c r="AG151"/>
    </row>
    <row r="152" spans="17:33" ht="12.75" customHeight="1">
      <c r="Q152" s="668"/>
      <c r="R152" s="973" t="s">
        <v>554</v>
      </c>
      <c r="S152" s="973"/>
      <c r="T152" s="973"/>
      <c r="U152" s="986"/>
      <c r="V152" s="569">
        <f>X152</f>
        <v>1</v>
      </c>
      <c r="W152" s="570">
        <f>V152</f>
        <v>1</v>
      </c>
      <c r="X152" s="570">
        <f>'Compressor Input Data'!J20</f>
        <v>1</v>
      </c>
      <c r="Y152" s="361"/>
      <c r="Z152" s="364"/>
      <c r="AA152"/>
      <c r="AB152"/>
      <c r="AC152"/>
      <c r="AD152"/>
      <c r="AE152"/>
      <c r="AF152"/>
      <c r="AG152"/>
    </row>
    <row r="153" spans="17:33" ht="12.75" customHeight="1">
      <c r="Q153" s="668"/>
      <c r="R153" s="983" t="s">
        <v>551</v>
      </c>
      <c r="S153" s="984"/>
      <c r="T153" s="985"/>
      <c r="U153" s="986"/>
      <c r="V153" s="571">
        <f>V147/V146</f>
        <v>7.0621468926553618E-2</v>
      </c>
      <c r="W153" s="571">
        <f>W147/W146</f>
        <v>6.8870523415977852E-2</v>
      </c>
      <c r="X153" s="571">
        <f>X147/X146</f>
        <v>5.4024851431658527E-2</v>
      </c>
      <c r="Y153" s="361"/>
      <c r="Z153" s="364"/>
      <c r="AA153"/>
      <c r="AB153"/>
      <c r="AC153"/>
      <c r="AD153"/>
      <c r="AE153"/>
      <c r="AF153"/>
      <c r="AG153"/>
    </row>
    <row r="154" spans="17:33" ht="12.75" customHeight="1">
      <c r="Q154" s="668"/>
      <c r="R154" s="973" t="s">
        <v>552</v>
      </c>
      <c r="S154" s="973"/>
      <c r="T154" s="973"/>
      <c r="U154" s="986"/>
      <c r="V154" s="572">
        <f>X154</f>
        <v>0.6</v>
      </c>
      <c r="W154" s="572">
        <f>V154</f>
        <v>0.6</v>
      </c>
      <c r="X154" s="572">
        <f>'Compressor Input Data'!J22</f>
        <v>0.6</v>
      </c>
      <c r="Y154" s="361"/>
      <c r="Z154" s="364"/>
      <c r="AA154"/>
      <c r="AB154"/>
      <c r="AC154"/>
      <c r="AD154"/>
      <c r="AE154"/>
      <c r="AF154"/>
      <c r="AG154"/>
    </row>
    <row r="155" spans="17:33" ht="12.75" customHeight="1">
      <c r="Q155" s="668"/>
      <c r="R155" s="987"/>
      <c r="S155" s="988"/>
      <c r="T155" s="988"/>
      <c r="U155" s="988"/>
      <c r="V155" s="988"/>
      <c r="W155" s="988"/>
      <c r="X155" s="989"/>
      <c r="Y155" s="364"/>
      <c r="Z155" s="364"/>
      <c r="AA155"/>
      <c r="AB155"/>
      <c r="AC155"/>
      <c r="AD155"/>
      <c r="AE155"/>
      <c r="AF155"/>
      <c r="AG155"/>
    </row>
    <row r="156" spans="17:33" ht="12.75" customHeight="1">
      <c r="Q156" s="668"/>
      <c r="R156" s="990" t="s">
        <v>468</v>
      </c>
      <c r="S156" s="991"/>
      <c r="T156" s="992"/>
      <c r="U156" s="949" t="s">
        <v>500</v>
      </c>
      <c r="V156" s="938" t="s">
        <v>22</v>
      </c>
      <c r="W156" s="940" t="s">
        <v>579</v>
      </c>
      <c r="X156" s="942" t="s">
        <v>21</v>
      </c>
      <c r="Y156" s="361"/>
      <c r="Z156" s="364"/>
      <c r="AA156"/>
      <c r="AB156"/>
      <c r="AC156"/>
      <c r="AD156"/>
      <c r="AE156"/>
      <c r="AF156"/>
      <c r="AG156"/>
    </row>
    <row r="157" spans="17:33" ht="12.75" customHeight="1">
      <c r="Q157" s="668"/>
      <c r="R157" s="993"/>
      <c r="S157" s="994"/>
      <c r="T157" s="995"/>
      <c r="U157" s="950"/>
      <c r="V157" s="939"/>
      <c r="W157" s="941"/>
      <c r="X157" s="943"/>
      <c r="Y157" s="361"/>
      <c r="Z157" s="364"/>
      <c r="AA157"/>
      <c r="AB157"/>
      <c r="AC157"/>
      <c r="AD157"/>
      <c r="AE157"/>
      <c r="AF157"/>
      <c r="AG157"/>
    </row>
    <row r="158" spans="17:33" ht="12.75" customHeight="1">
      <c r="Q158" s="668"/>
      <c r="R158" s="973" t="s">
        <v>554</v>
      </c>
      <c r="S158" s="973"/>
      <c r="T158" s="973"/>
      <c r="U158" s="980"/>
      <c r="V158" s="572">
        <f>X158</f>
        <v>0.5</v>
      </c>
      <c r="W158" s="572">
        <f>V158</f>
        <v>0.5</v>
      </c>
      <c r="X158" s="572">
        <f>'Compressor Input Data'!J25</f>
        <v>0.5</v>
      </c>
      <c r="Y158" s="361"/>
      <c r="Z158" s="364"/>
      <c r="AA158"/>
      <c r="AB158"/>
      <c r="AC158"/>
      <c r="AD158"/>
      <c r="AE158"/>
      <c r="AF158"/>
      <c r="AG158"/>
    </row>
    <row r="159" spans="17:33" ht="12.75" customHeight="1">
      <c r="Q159" s="668"/>
      <c r="R159" s="983" t="s">
        <v>551</v>
      </c>
      <c r="S159" s="984"/>
      <c r="T159" s="985"/>
      <c r="U159" s="981"/>
      <c r="V159" s="572">
        <f>V152-V153</f>
        <v>0.92937853107344637</v>
      </c>
      <c r="W159" s="572">
        <f>W152-W153</f>
        <v>0.93112947658402212</v>
      </c>
      <c r="X159" s="572">
        <f>X152-X153</f>
        <v>0.94597514856834142</v>
      </c>
      <c r="Y159" s="361"/>
      <c r="Z159" s="364"/>
      <c r="AA159"/>
      <c r="AB159"/>
      <c r="AC159"/>
      <c r="AD159"/>
      <c r="AE159"/>
      <c r="AF159"/>
      <c r="AG159"/>
    </row>
    <row r="160" spans="17:33" ht="12.75" customHeight="1">
      <c r="Q160" s="668"/>
      <c r="R160" s="973" t="s">
        <v>552</v>
      </c>
      <c r="S160" s="973"/>
      <c r="T160" s="973"/>
      <c r="U160" s="982"/>
      <c r="V160" s="572">
        <f>X160</f>
        <v>0.6</v>
      </c>
      <c r="W160" s="572">
        <f>V160</f>
        <v>0.6</v>
      </c>
      <c r="X160" s="572">
        <f>'Compressor Input Data'!J27</f>
        <v>0.6</v>
      </c>
      <c r="Y160" s="361"/>
      <c r="Z160" s="364"/>
      <c r="AA160"/>
      <c r="AB160"/>
      <c r="AC160"/>
      <c r="AD160"/>
      <c r="AE160"/>
      <c r="AF160"/>
      <c r="AG160"/>
    </row>
    <row r="161" spans="17:33" ht="12.75" customHeight="1">
      <c r="Q161" s="668"/>
      <c r="R161" s="567"/>
      <c r="S161" s="568"/>
      <c r="T161" s="568"/>
      <c r="U161" s="573"/>
      <c r="V161" s="573"/>
      <c r="W161" s="573"/>
      <c r="X161" s="574"/>
      <c r="Y161" s="364"/>
      <c r="Z161" s="364"/>
      <c r="AA161"/>
      <c r="AB161"/>
      <c r="AC161"/>
      <c r="AD161"/>
      <c r="AE161"/>
      <c r="AF161"/>
      <c r="AG161"/>
    </row>
    <row r="162" spans="17:33" ht="12.75" customHeight="1">
      <c r="Q162" s="668"/>
      <c r="R162" s="901" t="s">
        <v>471</v>
      </c>
      <c r="S162" s="901"/>
      <c r="T162" s="901"/>
      <c r="U162" s="930" t="s">
        <v>500</v>
      </c>
      <c r="V162" s="928" t="s">
        <v>22</v>
      </c>
      <c r="W162" s="929" t="s">
        <v>579</v>
      </c>
      <c r="X162" s="927" t="s">
        <v>21</v>
      </c>
      <c r="Y162" s="361"/>
      <c r="Z162" s="364"/>
      <c r="AA162"/>
      <c r="AB162"/>
      <c r="AC162"/>
      <c r="AD162"/>
      <c r="AE162"/>
      <c r="AF162"/>
      <c r="AG162"/>
    </row>
    <row r="163" spans="17:33" ht="12.75" customHeight="1">
      <c r="Q163" s="668"/>
      <c r="R163" s="901"/>
      <c r="S163" s="901"/>
      <c r="T163" s="901"/>
      <c r="U163" s="930"/>
      <c r="V163" s="928"/>
      <c r="W163" s="929"/>
      <c r="X163" s="927"/>
      <c r="Y163" s="361"/>
      <c r="Z163" s="364"/>
      <c r="AA163"/>
      <c r="AB163"/>
      <c r="AC163"/>
      <c r="AD163"/>
      <c r="AE163"/>
      <c r="AF163"/>
      <c r="AG163"/>
    </row>
    <row r="164" spans="17:33" ht="12.75" customHeight="1">
      <c r="Q164" s="668"/>
      <c r="R164" s="973" t="s">
        <v>472</v>
      </c>
      <c r="S164" s="973"/>
      <c r="T164" s="973"/>
      <c r="U164" s="544">
        <f>$V$224</f>
        <v>938.66666666666674</v>
      </c>
      <c r="V164" s="544">
        <f>($V$145*$V$146*$V$153*$V$152)/$V$154</f>
        <v>64406.77966101691</v>
      </c>
      <c r="W164" s="544">
        <f>($W$145*$W$146*$W$153*$W$152)/$W$154</f>
        <v>62809.917355371799</v>
      </c>
      <c r="X164" s="544">
        <f>($X$145*$X$146*$X$153*$X$152)/$X$154</f>
        <v>49270.664505672576</v>
      </c>
      <c r="Y164" s="361"/>
      <c r="Z164" s="364"/>
      <c r="AA164"/>
      <c r="AB164"/>
      <c r="AC164"/>
      <c r="AD164"/>
      <c r="AE164"/>
      <c r="AF164"/>
      <c r="AG164"/>
    </row>
    <row r="165" spans="17:33" ht="12.75" customHeight="1">
      <c r="Q165" s="668"/>
      <c r="R165" s="973" t="s">
        <v>473</v>
      </c>
      <c r="S165" s="973"/>
      <c r="T165" s="973"/>
      <c r="U165" s="543"/>
      <c r="V165" s="544">
        <f>($V$145*$V$146*$V$159*$V$158)/$V$160</f>
        <v>423796.61016949156</v>
      </c>
      <c r="W165" s="544">
        <f>($W$145*$W$146*$W$159*$W$158)/$W$160</f>
        <v>424595.04132231406</v>
      </c>
      <c r="X165" s="544">
        <f>($X$145*$X$146*$X$159*$X$158)/$X$160</f>
        <v>431364.66774716368</v>
      </c>
      <c r="Y165" s="361"/>
      <c r="Z165" s="364"/>
      <c r="AA165"/>
      <c r="AB165"/>
      <c r="AC165"/>
      <c r="AD165"/>
      <c r="AE165"/>
      <c r="AF165"/>
      <c r="AG165"/>
    </row>
    <row r="166" spans="17:33" ht="12.75" customHeight="1">
      <c r="Q166" s="668"/>
      <c r="R166" s="567"/>
      <c r="S166" s="568"/>
      <c r="T166" s="568"/>
      <c r="U166" s="573"/>
      <c r="V166" s="573"/>
      <c r="W166" s="573"/>
      <c r="X166" s="574"/>
      <c r="Y166" s="364"/>
      <c r="Z166" s="364"/>
      <c r="AA166"/>
      <c r="AB166"/>
      <c r="AC166"/>
      <c r="AD166"/>
      <c r="AE166"/>
      <c r="AF166"/>
      <c r="AG166"/>
    </row>
    <row r="167" spans="17:33" ht="12.75" customHeight="1">
      <c r="Q167" s="668"/>
      <c r="R167" s="901" t="s">
        <v>474</v>
      </c>
      <c r="S167" s="901"/>
      <c r="T167" s="901"/>
      <c r="U167" s="930" t="s">
        <v>500</v>
      </c>
      <c r="V167" s="928" t="s">
        <v>22</v>
      </c>
      <c r="W167" s="929" t="s">
        <v>579</v>
      </c>
      <c r="X167" s="927" t="s">
        <v>21</v>
      </c>
      <c r="Y167" s="361"/>
      <c r="Z167" s="364"/>
      <c r="AA167"/>
      <c r="AB167"/>
      <c r="AC167"/>
      <c r="AD167"/>
      <c r="AE167"/>
      <c r="AF167"/>
      <c r="AG167"/>
    </row>
    <row r="168" spans="17:33" ht="12.75" customHeight="1">
      <c r="Q168" s="668"/>
      <c r="R168" s="901"/>
      <c r="S168" s="901"/>
      <c r="T168" s="901"/>
      <c r="U168" s="930"/>
      <c r="V168" s="928"/>
      <c r="W168" s="929"/>
      <c r="X168" s="927"/>
      <c r="Y168" s="361"/>
      <c r="Z168" s="364"/>
      <c r="AA168"/>
      <c r="AB168"/>
      <c r="AC168"/>
      <c r="AD168"/>
      <c r="AE168"/>
      <c r="AF168"/>
      <c r="AG168"/>
    </row>
    <row r="169" spans="17:33" ht="12.75" customHeight="1">
      <c r="Q169" s="668"/>
      <c r="R169" s="973" t="s">
        <v>472</v>
      </c>
      <c r="S169" s="973"/>
      <c r="T169" s="973"/>
      <c r="U169" s="544">
        <f>U164*$V$11</f>
        <v>21589.333333333336</v>
      </c>
      <c r="V169" s="544">
        <f>V164*$V$11</f>
        <v>1481355.932203389</v>
      </c>
      <c r="W169" s="544">
        <f>W164*$V$11</f>
        <v>1444628.0991735514</v>
      </c>
      <c r="X169" s="544">
        <f>X164*$V$11</f>
        <v>1133225.2836304693</v>
      </c>
      <c r="Y169" s="361"/>
      <c r="Z169" s="364"/>
      <c r="AA169"/>
      <c r="AB169"/>
      <c r="AC169"/>
      <c r="AD169"/>
      <c r="AE169"/>
      <c r="AF169"/>
      <c r="AG169"/>
    </row>
    <row r="170" spans="17:33" ht="12.75" customHeight="1">
      <c r="Q170" s="668"/>
      <c r="R170" s="973" t="s">
        <v>473</v>
      </c>
      <c r="S170" s="973"/>
      <c r="T170" s="973"/>
      <c r="U170" s="543"/>
      <c r="V170" s="544">
        <f>V165*$V$11</f>
        <v>9747322.0338983051</v>
      </c>
      <c r="W170" s="544">
        <f>W165*$V$11</f>
        <v>9765685.9504132234</v>
      </c>
      <c r="X170" s="544">
        <f>X165*$V$11</f>
        <v>9921387.3581847642</v>
      </c>
      <c r="Y170" s="361"/>
      <c r="Z170" s="364"/>
      <c r="AA170"/>
      <c r="AB170"/>
      <c r="AC170"/>
      <c r="AD170"/>
      <c r="AE170"/>
      <c r="AF170"/>
      <c r="AG170"/>
    </row>
    <row r="171" spans="17:33" ht="12.75" customHeight="1">
      <c r="Q171" s="668"/>
      <c r="R171" s="567"/>
      <c r="S171" s="568"/>
      <c r="T171" s="568"/>
      <c r="U171" s="573"/>
      <c r="V171" s="573"/>
      <c r="W171" s="573"/>
      <c r="X171" s="574"/>
      <c r="Y171" s="364"/>
      <c r="Z171" s="364"/>
      <c r="AA171"/>
      <c r="AB171"/>
      <c r="AC171"/>
      <c r="AD171"/>
      <c r="AE171"/>
      <c r="AF171"/>
      <c r="AG171"/>
    </row>
    <row r="172" spans="17:33" ht="12.75" customHeight="1">
      <c r="Q172" s="668"/>
      <c r="R172" s="901" t="s">
        <v>474</v>
      </c>
      <c r="S172" s="901"/>
      <c r="T172" s="901"/>
      <c r="U172" s="930" t="s">
        <v>500</v>
      </c>
      <c r="V172" s="928" t="s">
        <v>22</v>
      </c>
      <c r="W172" s="929" t="s">
        <v>579</v>
      </c>
      <c r="X172" s="927" t="s">
        <v>21</v>
      </c>
      <c r="Y172" s="361"/>
      <c r="Z172" s="364"/>
      <c r="AA172"/>
      <c r="AB172"/>
      <c r="AC172"/>
      <c r="AD172"/>
      <c r="AE172"/>
      <c r="AF172"/>
      <c r="AG172"/>
    </row>
    <row r="173" spans="17:33" ht="12.75" customHeight="1">
      <c r="Q173" s="668"/>
      <c r="R173" s="901"/>
      <c r="S173" s="901"/>
      <c r="T173" s="901"/>
      <c r="U173" s="930"/>
      <c r="V173" s="928"/>
      <c r="W173" s="929"/>
      <c r="X173" s="927"/>
      <c r="Y173" s="361"/>
      <c r="Z173" s="364"/>
      <c r="AA173"/>
      <c r="AB173"/>
      <c r="AC173"/>
      <c r="AD173"/>
      <c r="AE173"/>
      <c r="AF173"/>
      <c r="AG173"/>
    </row>
    <row r="174" spans="17:33" ht="12.75" customHeight="1">
      <c r="Q174" s="668"/>
      <c r="R174" s="973" t="s">
        <v>472</v>
      </c>
      <c r="S174" s="973"/>
      <c r="T174" s="973"/>
      <c r="U174" s="544">
        <f>U169*12</f>
        <v>259072.00000000003</v>
      </c>
      <c r="V174" s="544">
        <f>V169*12</f>
        <v>17776271.186440669</v>
      </c>
      <c r="W174" s="544">
        <f>W169*12</f>
        <v>17335537.190082617</v>
      </c>
      <c r="X174" s="544">
        <f>X169*12</f>
        <v>13598703.403565632</v>
      </c>
      <c r="Y174" s="361"/>
      <c r="Z174" s="364"/>
      <c r="AA174"/>
      <c r="AB174"/>
      <c r="AC174"/>
      <c r="AD174"/>
      <c r="AE174"/>
      <c r="AF174"/>
      <c r="AG174"/>
    </row>
    <row r="175" spans="17:33" ht="12.75" customHeight="1">
      <c r="Q175" s="668"/>
      <c r="R175" s="973" t="s">
        <v>473</v>
      </c>
      <c r="S175" s="973"/>
      <c r="T175" s="973"/>
      <c r="U175" s="543"/>
      <c r="V175" s="544">
        <f>V170*12</f>
        <v>116967864.40677966</v>
      </c>
      <c r="W175" s="544">
        <f>W170*12</f>
        <v>117188231.40495868</v>
      </c>
      <c r="X175" s="544">
        <f>X170*12</f>
        <v>119056648.29821718</v>
      </c>
      <c r="Y175" s="361"/>
      <c r="Z175" s="364"/>
      <c r="AA175"/>
      <c r="AB175"/>
      <c r="AC175"/>
      <c r="AD175"/>
      <c r="AE175"/>
      <c r="AF175"/>
      <c r="AG175"/>
    </row>
    <row r="176" spans="17:33" ht="12.75" customHeight="1">
      <c r="Q176" s="668"/>
      <c r="R176" s="381"/>
      <c r="S176" s="381"/>
      <c r="T176" s="381"/>
      <c r="U176" s="381"/>
      <c r="V176" s="381"/>
      <c r="W176" s="381"/>
      <c r="X176" s="381"/>
      <c r="Y176" s="364"/>
      <c r="Z176" s="364"/>
      <c r="AA176"/>
      <c r="AB176"/>
      <c r="AC176"/>
      <c r="AD176"/>
      <c r="AE176"/>
      <c r="AF176"/>
      <c r="AG176"/>
    </row>
    <row r="177" spans="17:33" ht="12.75" customHeight="1">
      <c r="Q177" s="668"/>
      <c r="R177" s="901" t="s">
        <v>433</v>
      </c>
      <c r="S177" s="901"/>
      <c r="T177" s="901"/>
      <c r="U177" s="949" t="s">
        <v>500</v>
      </c>
      <c r="V177" s="938" t="s">
        <v>22</v>
      </c>
      <c r="W177" s="940" t="s">
        <v>579</v>
      </c>
      <c r="X177" s="942" t="s">
        <v>21</v>
      </c>
      <c r="Y177" s="361"/>
      <c r="Z177" s="364"/>
      <c r="AA177"/>
      <c r="AB177"/>
      <c r="AC177"/>
      <c r="AD177"/>
      <c r="AE177"/>
      <c r="AF177"/>
      <c r="AG177"/>
    </row>
    <row r="178" spans="17:33" ht="12.75" customHeight="1">
      <c r="Q178" s="668"/>
      <c r="R178" s="901"/>
      <c r="S178" s="901"/>
      <c r="T178" s="901"/>
      <c r="U178" s="950"/>
      <c r="V178" s="939"/>
      <c r="W178" s="941"/>
      <c r="X178" s="943"/>
      <c r="Y178" s="361"/>
      <c r="Z178" s="364"/>
      <c r="AA178"/>
      <c r="AB178"/>
      <c r="AC178"/>
      <c r="AD178"/>
      <c r="AE178"/>
      <c r="AF178"/>
      <c r="AG178"/>
    </row>
    <row r="179" spans="17:33" ht="12.75" customHeight="1">
      <c r="Q179" s="668"/>
      <c r="R179" s="970" t="s">
        <v>459</v>
      </c>
      <c r="S179" s="971"/>
      <c r="T179" s="972"/>
      <c r="U179" s="544">
        <f>U164</f>
        <v>938.66666666666674</v>
      </c>
      <c r="V179" s="544">
        <f>V164+V165</f>
        <v>488203.38983050844</v>
      </c>
      <c r="W179" s="544">
        <f>W164+W165</f>
        <v>487404.95867768588</v>
      </c>
      <c r="X179" s="544">
        <f>X164+X165</f>
        <v>480635.33225283626</v>
      </c>
      <c r="Y179" s="361"/>
      <c r="Z179" s="364"/>
      <c r="AA179"/>
      <c r="AB179"/>
      <c r="AC179"/>
      <c r="AD179"/>
      <c r="AE179"/>
      <c r="AF179"/>
      <c r="AG179"/>
    </row>
    <row r="180" spans="17:33" ht="12.75" customHeight="1">
      <c r="Q180" s="668"/>
      <c r="R180" s="973" t="s">
        <v>307</v>
      </c>
      <c r="S180" s="973"/>
      <c r="T180" s="973"/>
      <c r="U180" s="544">
        <f>U169</f>
        <v>21589.333333333336</v>
      </c>
      <c r="V180" s="544">
        <f>V169+V170</f>
        <v>11228677.966101695</v>
      </c>
      <c r="W180" s="544">
        <f>W169+W170</f>
        <v>11210314.049586775</v>
      </c>
      <c r="X180" s="544">
        <f>X169+X170</f>
        <v>11054612.641815234</v>
      </c>
      <c r="Y180" s="361"/>
      <c r="Z180" s="364"/>
      <c r="AA180"/>
      <c r="AB180"/>
      <c r="AC180"/>
      <c r="AD180"/>
      <c r="AE180"/>
      <c r="AF180"/>
      <c r="AG180"/>
    </row>
    <row r="181" spans="17:33" ht="12.75" customHeight="1">
      <c r="Q181" s="668"/>
      <c r="R181" s="973" t="s">
        <v>308</v>
      </c>
      <c r="S181" s="973"/>
      <c r="T181" s="973"/>
      <c r="U181" s="544">
        <f>U174</f>
        <v>259072.00000000003</v>
      </c>
      <c r="V181" s="544">
        <f>V174+V175</f>
        <v>134744135.59322032</v>
      </c>
      <c r="W181" s="544">
        <f>W174+W175</f>
        <v>134523768.5950413</v>
      </c>
      <c r="X181" s="544">
        <f>X174+X175</f>
        <v>132655351.70178281</v>
      </c>
      <c r="Y181" s="361"/>
      <c r="Z181" s="364"/>
      <c r="AA181"/>
      <c r="AB181"/>
      <c r="AC181"/>
      <c r="AD181"/>
      <c r="AE181"/>
      <c r="AF181"/>
      <c r="AG181"/>
    </row>
    <row r="182" spans="17:33" ht="12.75" customHeight="1">
      <c r="Q182" s="668"/>
      <c r="R182" s="381"/>
      <c r="S182" s="381"/>
      <c r="T182" s="381"/>
      <c r="U182" s="381"/>
      <c r="V182" s="381"/>
      <c r="W182" s="381"/>
      <c r="X182" s="381"/>
      <c r="Y182" s="364"/>
      <c r="Z182" s="364"/>
      <c r="AA182"/>
      <c r="AB182"/>
      <c r="AC182"/>
      <c r="AD182"/>
      <c r="AE182"/>
      <c r="AF182"/>
      <c r="AG182"/>
    </row>
    <row r="183" spans="17:33" ht="12.75" customHeight="1">
      <c r="Q183" s="668"/>
      <c r="R183" s="901" t="s">
        <v>475</v>
      </c>
      <c r="S183" s="901"/>
      <c r="T183" s="901"/>
      <c r="U183" s="930" t="s">
        <v>500</v>
      </c>
      <c r="V183" s="928" t="s">
        <v>22</v>
      </c>
      <c r="W183" s="929" t="s">
        <v>579</v>
      </c>
      <c r="X183" s="927" t="s">
        <v>21</v>
      </c>
      <c r="Y183" s="361"/>
      <c r="Z183" s="364"/>
      <c r="AA183"/>
      <c r="AB183"/>
      <c r="AC183"/>
      <c r="AD183"/>
      <c r="AE183"/>
      <c r="AF183"/>
      <c r="AG183"/>
    </row>
    <row r="184" spans="17:33" ht="12.75" customHeight="1">
      <c r="Q184" s="668"/>
      <c r="R184" s="901"/>
      <c r="S184" s="901"/>
      <c r="T184" s="901"/>
      <c r="U184" s="930"/>
      <c r="V184" s="928"/>
      <c r="W184" s="929"/>
      <c r="X184" s="927"/>
      <c r="Y184" s="361"/>
      <c r="Z184" s="364"/>
      <c r="AA184"/>
      <c r="AB184"/>
      <c r="AC184"/>
      <c r="AD184"/>
      <c r="AE184"/>
      <c r="AF184"/>
      <c r="AG184"/>
    </row>
    <row r="185" spans="17:33" ht="12.75" customHeight="1">
      <c r="Q185" s="668"/>
      <c r="R185" s="973" t="s">
        <v>472</v>
      </c>
      <c r="S185" s="973"/>
      <c r="T185" s="973"/>
      <c r="U185" s="593">
        <f>$V$224*$U$148</f>
        <v>211.20000000000002</v>
      </c>
      <c r="V185" s="593">
        <f>($V$145*$V$146*$V$153*$V$152*$V$148)/$V$154</f>
        <v>14491.525423728806</v>
      </c>
      <c r="W185" s="593">
        <f>($W$145*$W$146*$W$153*$W$152*$W$148)/$W$154</f>
        <v>14132.231404958657</v>
      </c>
      <c r="X185" s="593">
        <f>($X$145*$X$146*$X$153*$X$152*$X$148)/$X$154</f>
        <v>11085.89951377633</v>
      </c>
      <c r="Y185" s="361"/>
      <c r="Z185" s="364"/>
      <c r="AA185"/>
      <c r="AB185"/>
      <c r="AC185"/>
      <c r="AD185"/>
      <c r="AE185"/>
      <c r="AF185"/>
      <c r="AG185"/>
    </row>
    <row r="186" spans="17:33" ht="12.75" customHeight="1">
      <c r="Q186" s="668"/>
      <c r="R186" s="973" t="s">
        <v>473</v>
      </c>
      <c r="S186" s="973"/>
      <c r="T186" s="973"/>
      <c r="U186" s="543"/>
      <c r="V186" s="593">
        <f>($V$145*$V$146*$V$159*$V$158*$V$148)/$V$160</f>
        <v>95354.237288135613</v>
      </c>
      <c r="W186" s="593">
        <f>($W$145*$W$146*$W$159*$W$158*$W$148)/$W$160</f>
        <v>95533.884297520679</v>
      </c>
      <c r="X186" s="593">
        <f>($X$145*$X$146*$X$159*$X$158*$X$148)/$X$160</f>
        <v>97057.050243111837</v>
      </c>
      <c r="Y186" s="361"/>
      <c r="Z186" s="364"/>
      <c r="AA186"/>
      <c r="AB186"/>
      <c r="AC186"/>
      <c r="AD186"/>
      <c r="AE186"/>
      <c r="AF186"/>
      <c r="AG186"/>
    </row>
    <row r="187" spans="17:33" ht="12.75" customHeight="1">
      <c r="Q187" s="668"/>
      <c r="R187" s="381"/>
      <c r="S187" s="381"/>
      <c r="T187" s="381"/>
      <c r="U187" s="381"/>
      <c r="V187" s="381"/>
      <c r="W187" s="381"/>
      <c r="X187" s="381"/>
      <c r="Y187" s="552"/>
      <c r="Z187" s="364"/>
      <c r="AA187"/>
      <c r="AB187"/>
      <c r="AC187"/>
      <c r="AD187"/>
      <c r="AE187"/>
      <c r="AF187"/>
      <c r="AG187"/>
    </row>
    <row r="188" spans="17:33" ht="12.75" customHeight="1">
      <c r="Q188" s="668"/>
      <c r="R188" s="901" t="s">
        <v>476</v>
      </c>
      <c r="S188" s="901"/>
      <c r="T188" s="901"/>
      <c r="U188" s="930" t="s">
        <v>500</v>
      </c>
      <c r="V188" s="928" t="s">
        <v>22</v>
      </c>
      <c r="W188" s="929" t="s">
        <v>579</v>
      </c>
      <c r="X188" s="927" t="s">
        <v>21</v>
      </c>
      <c r="Y188" s="361"/>
      <c r="Z188" s="364"/>
      <c r="AA188"/>
      <c r="AB188"/>
      <c r="AC188"/>
      <c r="AD188"/>
      <c r="AE188"/>
      <c r="AF188"/>
      <c r="AG188"/>
    </row>
    <row r="189" spans="17:33" ht="12.75" customHeight="1">
      <c r="Q189" s="668"/>
      <c r="R189" s="901"/>
      <c r="S189" s="901"/>
      <c r="T189" s="901"/>
      <c r="U189" s="930"/>
      <c r="V189" s="928"/>
      <c r="W189" s="929"/>
      <c r="X189" s="927"/>
      <c r="Y189" s="361"/>
      <c r="Z189" s="364"/>
      <c r="AA189"/>
      <c r="AB189"/>
      <c r="AC189"/>
      <c r="AD189"/>
      <c r="AE189"/>
      <c r="AF189"/>
      <c r="AG189"/>
    </row>
    <row r="190" spans="17:33" ht="12.75" customHeight="1">
      <c r="Q190" s="668"/>
      <c r="R190" s="973" t="s">
        <v>472</v>
      </c>
      <c r="S190" s="973"/>
      <c r="T190" s="973"/>
      <c r="U190" s="593">
        <f>U185*$V$11</f>
        <v>4857.6000000000004</v>
      </c>
      <c r="V190" s="593">
        <f>V185*$V$11</f>
        <v>333305.08474576252</v>
      </c>
      <c r="W190" s="593">
        <f>W185*$V$11</f>
        <v>325041.32231404912</v>
      </c>
      <c r="X190" s="593">
        <f>X185*$V$11</f>
        <v>254975.6888168556</v>
      </c>
      <c r="Y190" s="361"/>
      <c r="Z190" s="364"/>
      <c r="AA190"/>
      <c r="AB190"/>
      <c r="AC190"/>
      <c r="AD190"/>
      <c r="AE190"/>
      <c r="AF190"/>
      <c r="AG190"/>
    </row>
    <row r="191" spans="17:33" ht="12.75" customHeight="1">
      <c r="Q191" s="668"/>
      <c r="R191" s="973" t="s">
        <v>473</v>
      </c>
      <c r="S191" s="973"/>
      <c r="T191" s="973"/>
      <c r="U191" s="543"/>
      <c r="V191" s="593">
        <f>V186*$V$11</f>
        <v>2193147.457627119</v>
      </c>
      <c r="W191" s="593">
        <f>W186*$V$11</f>
        <v>2197279.3388429754</v>
      </c>
      <c r="X191" s="593">
        <f>X186*$V$11</f>
        <v>2232312.1555915722</v>
      </c>
      <c r="Y191" s="361"/>
      <c r="Z191" s="364"/>
      <c r="AA191"/>
      <c r="AB191"/>
      <c r="AC191"/>
      <c r="AD191"/>
      <c r="AE191"/>
      <c r="AF191"/>
      <c r="AG191"/>
    </row>
    <row r="192" spans="17:33" ht="12.75" customHeight="1">
      <c r="Q192" s="668"/>
      <c r="R192" s="367"/>
      <c r="S192" s="367"/>
      <c r="T192" s="367"/>
      <c r="U192" s="367"/>
      <c r="V192" s="367"/>
      <c r="W192" s="367"/>
      <c r="X192" s="367"/>
      <c r="Y192" s="364"/>
      <c r="Z192" s="364"/>
      <c r="AA192"/>
      <c r="AB192"/>
      <c r="AC192"/>
      <c r="AD192"/>
      <c r="AE192"/>
      <c r="AF192"/>
      <c r="AG192"/>
    </row>
    <row r="193" spans="17:33" ht="12.75" customHeight="1">
      <c r="Q193" s="668"/>
      <c r="R193" s="901" t="s">
        <v>477</v>
      </c>
      <c r="S193" s="901"/>
      <c r="T193" s="901"/>
      <c r="U193" s="930" t="s">
        <v>500</v>
      </c>
      <c r="V193" s="928" t="s">
        <v>22</v>
      </c>
      <c r="W193" s="929" t="s">
        <v>579</v>
      </c>
      <c r="X193" s="927" t="s">
        <v>21</v>
      </c>
      <c r="Y193" s="361"/>
      <c r="Z193" s="364"/>
      <c r="AA193"/>
      <c r="AB193"/>
      <c r="AC193"/>
      <c r="AD193"/>
      <c r="AE193"/>
      <c r="AF193"/>
      <c r="AG193"/>
    </row>
    <row r="194" spans="17:33" ht="12.75" customHeight="1">
      <c r="Q194" s="668"/>
      <c r="R194" s="901"/>
      <c r="S194" s="901"/>
      <c r="T194" s="901"/>
      <c r="U194" s="930"/>
      <c r="V194" s="928"/>
      <c r="W194" s="929"/>
      <c r="X194" s="927"/>
      <c r="Y194" s="361"/>
      <c r="Z194" s="364"/>
      <c r="AA194"/>
      <c r="AB194"/>
      <c r="AC194"/>
      <c r="AD194"/>
      <c r="AE194"/>
      <c r="AF194"/>
      <c r="AG194"/>
    </row>
    <row r="195" spans="17:33" ht="12.75" customHeight="1">
      <c r="Q195" s="668"/>
      <c r="R195" s="973" t="s">
        <v>472</v>
      </c>
      <c r="S195" s="973"/>
      <c r="T195" s="973"/>
      <c r="U195" s="593">
        <f>U190*12</f>
        <v>58291.200000000004</v>
      </c>
      <c r="V195" s="593">
        <f>V190*12</f>
        <v>3999661.0169491502</v>
      </c>
      <c r="W195" s="593">
        <f>W190*12</f>
        <v>3900495.8677685894</v>
      </c>
      <c r="X195" s="593">
        <f>X190*12</f>
        <v>3059708.265802267</v>
      </c>
      <c r="Y195" s="361"/>
      <c r="Z195" s="364"/>
      <c r="AA195"/>
      <c r="AB195"/>
      <c r="AC195"/>
      <c r="AD195"/>
      <c r="AE195"/>
      <c r="AF195"/>
      <c r="AG195"/>
    </row>
    <row r="196" spans="17:33" ht="12.75" customHeight="1">
      <c r="Q196" s="668"/>
      <c r="R196" s="973" t="s">
        <v>473</v>
      </c>
      <c r="S196" s="973"/>
      <c r="T196" s="973"/>
      <c r="U196" s="543"/>
      <c r="V196" s="593">
        <f>V191*12</f>
        <v>26317769.491525427</v>
      </c>
      <c r="W196" s="593">
        <f>W191*12</f>
        <v>26367352.066115707</v>
      </c>
      <c r="X196" s="593">
        <f>X191*12</f>
        <v>26787745.867098868</v>
      </c>
      <c r="Y196" s="361"/>
      <c r="Z196" s="364"/>
      <c r="AA196"/>
      <c r="AB196"/>
      <c r="AC196"/>
      <c r="AD196"/>
      <c r="AE196"/>
      <c r="AF196"/>
      <c r="AG196"/>
    </row>
    <row r="197" spans="17:33" ht="12.75" customHeight="1">
      <c r="Q197" s="668"/>
      <c r="R197" s="367"/>
      <c r="S197" s="367"/>
      <c r="T197" s="367"/>
      <c r="U197" s="367"/>
      <c r="V197" s="367"/>
      <c r="W197" s="367"/>
      <c r="X197" s="367"/>
      <c r="Y197" s="364"/>
      <c r="Z197" s="364"/>
      <c r="AA197"/>
      <c r="AB197"/>
      <c r="AC197"/>
      <c r="AD197"/>
      <c r="AE197"/>
      <c r="AF197"/>
      <c r="AG197"/>
    </row>
    <row r="198" spans="17:33" ht="12.75" customHeight="1">
      <c r="Q198" s="668"/>
      <c r="R198" s="901" t="s">
        <v>116</v>
      </c>
      <c r="S198" s="901"/>
      <c r="T198" s="901"/>
      <c r="U198" s="949" t="s">
        <v>500</v>
      </c>
      <c r="V198" s="938" t="s">
        <v>22</v>
      </c>
      <c r="W198" s="940" t="s">
        <v>579</v>
      </c>
      <c r="X198" s="942" t="s">
        <v>21</v>
      </c>
      <c r="Y198" s="361"/>
      <c r="Z198" s="364"/>
      <c r="AA198"/>
      <c r="AB198"/>
      <c r="AC198"/>
      <c r="AD198"/>
      <c r="AE198"/>
      <c r="AF198"/>
      <c r="AG198"/>
    </row>
    <row r="199" spans="17:33" ht="12.75" customHeight="1">
      <c r="Q199" s="668"/>
      <c r="R199" s="901"/>
      <c r="S199" s="901"/>
      <c r="T199" s="901"/>
      <c r="U199" s="950"/>
      <c r="V199" s="939"/>
      <c r="W199" s="941"/>
      <c r="X199" s="943"/>
      <c r="Y199" s="361"/>
      <c r="Z199" s="364"/>
      <c r="AA199"/>
      <c r="AB199"/>
      <c r="AC199"/>
      <c r="AD199"/>
      <c r="AE199"/>
      <c r="AF199"/>
      <c r="AG199"/>
    </row>
    <row r="200" spans="17:33" ht="12.75" customHeight="1">
      <c r="Q200" s="668"/>
      <c r="R200" s="970" t="s">
        <v>459</v>
      </c>
      <c r="S200" s="971"/>
      <c r="T200" s="972"/>
      <c r="U200" s="593">
        <f>U185</f>
        <v>211.20000000000002</v>
      </c>
      <c r="V200" s="593">
        <f>V185+V186</f>
        <v>109845.76271186442</v>
      </c>
      <c r="W200" s="593">
        <f>W185+W186</f>
        <v>109666.11570247934</v>
      </c>
      <c r="X200" s="593">
        <f>X185+X186</f>
        <v>108142.94975688816</v>
      </c>
      <c r="Y200" s="361"/>
      <c r="Z200" s="364"/>
      <c r="AA200"/>
      <c r="AB200"/>
      <c r="AC200"/>
      <c r="AD200"/>
      <c r="AE200"/>
      <c r="AF200"/>
      <c r="AG200"/>
    </row>
    <row r="201" spans="17:33" ht="12.75" customHeight="1">
      <c r="Q201" s="668"/>
      <c r="R201" s="973" t="s">
        <v>307</v>
      </c>
      <c r="S201" s="973"/>
      <c r="T201" s="973"/>
      <c r="U201" s="593">
        <f>U190</f>
        <v>4857.6000000000004</v>
      </c>
      <c r="V201" s="593">
        <f>V190+V191</f>
        <v>2526452.5423728814</v>
      </c>
      <c r="W201" s="593">
        <f>W190+W191</f>
        <v>2522320.6611570246</v>
      </c>
      <c r="X201" s="593">
        <f>X190+X191</f>
        <v>2487287.8444084278</v>
      </c>
      <c r="Y201" s="361"/>
      <c r="Z201" s="364"/>
      <c r="AA201"/>
      <c r="AB201"/>
      <c r="AC201"/>
      <c r="AD201"/>
      <c r="AE201"/>
      <c r="AF201"/>
      <c r="AG201"/>
    </row>
    <row r="202" spans="17:33" ht="12.75" customHeight="1">
      <c r="Q202" s="668"/>
      <c r="R202" s="973" t="s">
        <v>308</v>
      </c>
      <c r="S202" s="973"/>
      <c r="T202" s="973"/>
      <c r="U202" s="593">
        <f>U195</f>
        <v>58291.200000000004</v>
      </c>
      <c r="V202" s="593">
        <f>V195+V196</f>
        <v>30317430.508474577</v>
      </c>
      <c r="W202" s="593">
        <f>W195+W196</f>
        <v>30267847.933884297</v>
      </c>
      <c r="X202" s="593">
        <f>X195+X196</f>
        <v>29847454.132901136</v>
      </c>
      <c r="Y202" s="361"/>
      <c r="Z202" s="364"/>
      <c r="AA202"/>
      <c r="AB202"/>
      <c r="AC202"/>
      <c r="AD202"/>
      <c r="AE202"/>
      <c r="AF202"/>
      <c r="AG202"/>
    </row>
    <row r="203" spans="17:33" ht="12.75" customHeight="1">
      <c r="Q203" s="668"/>
      <c r="R203" s="575"/>
      <c r="S203" s="575"/>
      <c r="T203" s="575"/>
      <c r="U203" s="382"/>
      <c r="V203" s="382"/>
      <c r="W203" s="382"/>
      <c r="X203" s="382"/>
      <c r="Y203" s="364"/>
      <c r="Z203" s="364"/>
      <c r="AA203"/>
      <c r="AB203"/>
      <c r="AC203"/>
      <c r="AD203"/>
      <c r="AE203"/>
      <c r="AF203"/>
      <c r="AG203"/>
    </row>
    <row r="204" spans="17:33" ht="12.75" customHeight="1">
      <c r="Q204" s="668"/>
      <c r="R204" s="974" t="s">
        <v>775</v>
      </c>
      <c r="S204" s="974"/>
      <c r="T204" s="974"/>
      <c r="U204" s="974"/>
      <c r="V204" s="974"/>
      <c r="W204" s="974"/>
      <c r="X204" s="974"/>
      <c r="Y204" s="974"/>
      <c r="Z204" s="364"/>
      <c r="AA204"/>
      <c r="AB204"/>
      <c r="AC204"/>
      <c r="AD204"/>
      <c r="AE204"/>
      <c r="AF204"/>
      <c r="AG204"/>
    </row>
    <row r="205" spans="17:33" ht="12.75" customHeight="1">
      <c r="Q205" s="668"/>
      <c r="R205" s="974"/>
      <c r="S205" s="974"/>
      <c r="T205" s="974"/>
      <c r="U205" s="974"/>
      <c r="V205" s="974"/>
      <c r="W205" s="974"/>
      <c r="X205" s="974"/>
      <c r="Y205" s="974"/>
      <c r="Z205" s="576"/>
      <c r="AA205"/>
      <c r="AB205"/>
      <c r="AC205"/>
      <c r="AD205"/>
      <c r="AE205"/>
      <c r="AF205"/>
      <c r="AG205"/>
    </row>
    <row r="206" spans="17:33" ht="12.75" customHeight="1">
      <c r="Q206" s="668"/>
      <c r="R206" s="974"/>
      <c r="S206" s="974"/>
      <c r="T206" s="974"/>
      <c r="U206" s="974"/>
      <c r="V206" s="974"/>
      <c r="W206" s="974"/>
      <c r="X206" s="974"/>
      <c r="Y206" s="974"/>
      <c r="Z206" s="576"/>
      <c r="AA206"/>
      <c r="AB206"/>
      <c r="AC206"/>
      <c r="AD206"/>
      <c r="AE206"/>
      <c r="AF206"/>
      <c r="AG206"/>
    </row>
    <row r="207" spans="17:33" ht="12.75" customHeight="1">
      <c r="Q207" s="668"/>
      <c r="R207" s="974"/>
      <c r="S207" s="974"/>
      <c r="T207" s="974"/>
      <c r="U207" s="974"/>
      <c r="V207" s="974"/>
      <c r="W207" s="974"/>
      <c r="X207" s="974"/>
      <c r="Y207" s="974"/>
      <c r="Z207" s="576"/>
      <c r="AA207"/>
      <c r="AB207"/>
      <c r="AC207"/>
      <c r="AD207"/>
      <c r="AE207"/>
      <c r="AF207"/>
      <c r="AG207"/>
    </row>
    <row r="208" spans="17:33" ht="12.75" customHeight="1">
      <c r="Q208" s="668"/>
      <c r="R208" s="974"/>
      <c r="S208" s="974"/>
      <c r="T208" s="974"/>
      <c r="U208" s="974"/>
      <c r="V208" s="974"/>
      <c r="W208" s="974"/>
      <c r="X208" s="974"/>
      <c r="Y208" s="974"/>
      <c r="Z208" s="576"/>
      <c r="AA208"/>
      <c r="AB208"/>
      <c r="AC208"/>
      <c r="AD208"/>
      <c r="AE208"/>
      <c r="AF208"/>
      <c r="AG208"/>
    </row>
    <row r="209" spans="17:33" ht="12.75" customHeight="1">
      <c r="Q209" s="668"/>
      <c r="R209" s="364"/>
      <c r="S209" s="375"/>
      <c r="T209" s="375"/>
      <c r="U209" s="577"/>
      <c r="V209" s="577"/>
      <c r="W209" s="577"/>
      <c r="X209" s="577"/>
      <c r="Y209" s="551"/>
      <c r="Z209" s="363"/>
      <c r="AA209"/>
      <c r="AB209"/>
      <c r="AC209"/>
      <c r="AD209"/>
      <c r="AE209"/>
      <c r="AF209"/>
      <c r="AG209"/>
    </row>
    <row r="210" spans="17:33" ht="12.75" customHeight="1">
      <c r="Q210" s="668"/>
      <c r="R210" s="975" t="s">
        <v>667</v>
      </c>
      <c r="S210" s="976"/>
      <c r="T210" s="976"/>
      <c r="U210" s="976"/>
      <c r="V210" s="976"/>
      <c r="W210" s="976"/>
      <c r="X210" s="979">
        <f>10*V25</f>
        <v>76800</v>
      </c>
      <c r="Y210" s="935" t="s">
        <v>668</v>
      </c>
      <c r="Z210" s="364"/>
      <c r="AA210"/>
      <c r="AB210"/>
      <c r="AC210"/>
      <c r="AD210"/>
      <c r="AE210"/>
      <c r="AF210"/>
      <c r="AG210"/>
    </row>
    <row r="211" spans="17:33" ht="12.75" customHeight="1">
      <c r="Q211" s="668"/>
      <c r="R211" s="977"/>
      <c r="S211" s="978"/>
      <c r="T211" s="978"/>
      <c r="U211" s="978"/>
      <c r="V211" s="978"/>
      <c r="W211" s="978"/>
      <c r="X211" s="979"/>
      <c r="Y211" s="935"/>
      <c r="Z211" s="364"/>
      <c r="AA211"/>
      <c r="AB211"/>
      <c r="AC211"/>
      <c r="AD211"/>
      <c r="AE211"/>
      <c r="AF211"/>
      <c r="AG211"/>
    </row>
    <row r="212" spans="17:33" ht="12.75" customHeight="1">
      <c r="Q212" s="668"/>
      <c r="R212" s="578"/>
      <c r="S212" s="578"/>
      <c r="T212" s="578"/>
      <c r="U212" s="578"/>
      <c r="V212" s="578"/>
      <c r="W212" s="578"/>
      <c r="X212" s="578"/>
      <c r="Y212" s="579"/>
      <c r="Z212" s="551"/>
      <c r="AA212"/>
      <c r="AB212"/>
      <c r="AC212"/>
      <c r="AD212"/>
      <c r="AE212"/>
      <c r="AF212"/>
      <c r="AG212"/>
    </row>
    <row r="213" spans="17:33" ht="12.75" customHeight="1">
      <c r="Q213" s="668"/>
      <c r="R213" s="937" t="s">
        <v>678</v>
      </c>
      <c r="S213" s="937"/>
      <c r="T213" s="937"/>
      <c r="U213" s="937"/>
      <c r="V213" s="949" t="s">
        <v>500</v>
      </c>
      <c r="W213" s="938" t="s">
        <v>22</v>
      </c>
      <c r="X213" s="940" t="s">
        <v>579</v>
      </c>
      <c r="Y213" s="942" t="s">
        <v>21</v>
      </c>
      <c r="Z213" s="361"/>
      <c r="AA213"/>
      <c r="AB213"/>
      <c r="AC213"/>
      <c r="AD213"/>
      <c r="AE213"/>
      <c r="AF213"/>
      <c r="AG213"/>
    </row>
    <row r="214" spans="17:33" ht="12.75" customHeight="1">
      <c r="Q214" s="668"/>
      <c r="R214" s="937"/>
      <c r="S214" s="937"/>
      <c r="T214" s="937"/>
      <c r="U214" s="937"/>
      <c r="V214" s="950"/>
      <c r="W214" s="939"/>
      <c r="X214" s="941"/>
      <c r="Y214" s="943"/>
      <c r="Z214" s="361"/>
      <c r="AA214"/>
      <c r="AB214"/>
      <c r="AC214"/>
      <c r="AD214"/>
      <c r="AE214"/>
      <c r="AF214"/>
      <c r="AG214"/>
    </row>
    <row r="215" spans="17:33" ht="12.75" customHeight="1">
      <c r="Q215" s="668"/>
      <c r="R215" s="968" t="s">
        <v>533</v>
      </c>
      <c r="S215" s="968"/>
      <c r="T215" s="968"/>
      <c r="U215" s="968"/>
      <c r="V215" s="580">
        <v>0.107</v>
      </c>
      <c r="W215" s="581">
        <f>VLOOKUP($V$5,'Lookup Energy kWhm'!$B$8:$E$208,3)</f>
        <v>0.12340000000000007</v>
      </c>
      <c r="X215" s="581">
        <f>VLOOKUP($V$5,'Lookup Energy kWhm'!$B$8:$E$208,4)</f>
        <v>0.15129999999999996</v>
      </c>
      <c r="Y215" s="581">
        <f>VLOOKUP($V$5,'Lookup Energy kWhm'!$B$8:$E$208,2)</f>
        <v>9.8199999999999871E-2</v>
      </c>
      <c r="Z215" s="361"/>
      <c r="AA215"/>
      <c r="AB215"/>
      <c r="AC215"/>
      <c r="AD215"/>
      <c r="AE215"/>
      <c r="AF215"/>
      <c r="AG215"/>
    </row>
    <row r="216" spans="17:33" ht="12.75" customHeight="1">
      <c r="Q216" s="668"/>
      <c r="R216" s="969" t="s">
        <v>31</v>
      </c>
      <c r="S216" s="969"/>
      <c r="T216" s="969"/>
      <c r="U216" s="969"/>
      <c r="V216" s="556">
        <f t="shared" ref="V216:W219" si="2">X216</f>
        <v>1.2</v>
      </c>
      <c r="W216" s="556">
        <f t="shared" si="2"/>
        <v>1.2</v>
      </c>
      <c r="X216" s="556">
        <f>W216</f>
        <v>1.2</v>
      </c>
      <c r="Y216" s="556">
        <f>V20</f>
        <v>1.2</v>
      </c>
      <c r="Z216" s="361"/>
      <c r="AA216"/>
      <c r="AB216"/>
      <c r="AC216"/>
      <c r="AD216"/>
      <c r="AE216"/>
      <c r="AF216"/>
      <c r="AG216"/>
    </row>
    <row r="217" spans="17:33" ht="12.75" customHeight="1">
      <c r="Q217" s="668"/>
      <c r="R217" s="969" t="s">
        <v>314</v>
      </c>
      <c r="S217" s="969"/>
      <c r="T217" s="969"/>
      <c r="U217" s="969"/>
      <c r="V217" s="556">
        <f t="shared" si="2"/>
        <v>160</v>
      </c>
      <c r="W217" s="556">
        <f t="shared" si="2"/>
        <v>160</v>
      </c>
      <c r="X217" s="556">
        <f>W217</f>
        <v>160</v>
      </c>
      <c r="Y217" s="556">
        <f>V19</f>
        <v>160</v>
      </c>
      <c r="Z217" s="361"/>
      <c r="AA217"/>
      <c r="AB217"/>
      <c r="AC217"/>
      <c r="AD217"/>
      <c r="AE217"/>
      <c r="AF217"/>
      <c r="AG217"/>
    </row>
    <row r="218" spans="17:33" ht="12.75" customHeight="1">
      <c r="Q218" s="668"/>
      <c r="R218" s="969" t="s">
        <v>20</v>
      </c>
      <c r="S218" s="969"/>
      <c r="T218" s="969"/>
      <c r="U218" s="969"/>
      <c r="V218" s="556">
        <f t="shared" si="2"/>
        <v>40</v>
      </c>
      <c r="W218" s="556">
        <f t="shared" si="2"/>
        <v>40</v>
      </c>
      <c r="X218" s="556">
        <f>W218</f>
        <v>40</v>
      </c>
      <c r="Y218" s="556">
        <f>V22</f>
        <v>40</v>
      </c>
      <c r="Z218" s="361"/>
      <c r="AA218"/>
      <c r="AB218"/>
      <c r="AC218"/>
      <c r="AD218"/>
      <c r="AE218"/>
      <c r="AF218"/>
      <c r="AG218"/>
    </row>
    <row r="219" spans="17:33" ht="12.75" customHeight="1">
      <c r="Q219" s="668"/>
      <c r="R219" s="969" t="s">
        <v>310</v>
      </c>
      <c r="S219" s="969"/>
      <c r="T219" s="969"/>
      <c r="U219" s="969"/>
      <c r="V219" s="556">
        <f t="shared" si="2"/>
        <v>160</v>
      </c>
      <c r="W219" s="556">
        <f t="shared" si="2"/>
        <v>160</v>
      </c>
      <c r="X219" s="556">
        <f>W219</f>
        <v>160</v>
      </c>
      <c r="Y219" s="556">
        <f>V23</f>
        <v>160</v>
      </c>
      <c r="Z219" s="361"/>
      <c r="AA219"/>
      <c r="AB219"/>
      <c r="AC219"/>
      <c r="AD219"/>
      <c r="AE219"/>
      <c r="AF219"/>
      <c r="AG219"/>
    </row>
    <row r="220" spans="17:33" ht="12.75" customHeight="1">
      <c r="Q220" s="668"/>
      <c r="R220" s="968" t="s">
        <v>543</v>
      </c>
      <c r="S220" s="968"/>
      <c r="T220" s="968"/>
      <c r="U220" s="968"/>
      <c r="V220" s="582">
        <f>V215*V216*V217*V218</f>
        <v>821.75999999999988</v>
      </c>
      <c r="W220" s="582">
        <f>W215*W216*W217*W218</f>
        <v>947.71200000000044</v>
      </c>
      <c r="X220" s="582">
        <f>X215*X216*X217*X218</f>
        <v>1161.9839999999997</v>
      </c>
      <c r="Y220" s="582">
        <f>Y215*Y216*Y217*Y218</f>
        <v>754.17599999999891</v>
      </c>
      <c r="Z220" s="361"/>
      <c r="AA220"/>
      <c r="AB220"/>
      <c r="AC220"/>
      <c r="AD220"/>
      <c r="AE220"/>
      <c r="AF220"/>
      <c r="AG220"/>
    </row>
    <row r="221" spans="17:33" ht="12.75" customHeight="1">
      <c r="Q221" s="668"/>
      <c r="R221" s="968" t="s">
        <v>542</v>
      </c>
      <c r="S221" s="968"/>
      <c r="T221" s="968"/>
      <c r="U221" s="968"/>
      <c r="V221" s="583">
        <f>V220/V219</f>
        <v>5.1359999999999992</v>
      </c>
      <c r="W221" s="583">
        <f>W220/W219</f>
        <v>5.9232000000000031</v>
      </c>
      <c r="X221" s="583">
        <f>X220/X219</f>
        <v>7.2623999999999977</v>
      </c>
      <c r="Y221" s="583">
        <f>Y220/Y219</f>
        <v>4.7135999999999934</v>
      </c>
      <c r="Z221" s="361"/>
      <c r="AA221"/>
      <c r="AB221"/>
      <c r="AC221"/>
      <c r="AD221"/>
      <c r="AE221"/>
      <c r="AF221"/>
      <c r="AG221"/>
    </row>
    <row r="222" spans="17:33" ht="12.75" customHeight="1">
      <c r="Q222" s="668"/>
      <c r="R222" s="968" t="s">
        <v>538</v>
      </c>
      <c r="S222" s="968"/>
      <c r="T222" s="968"/>
      <c r="U222" s="968"/>
      <c r="V222" s="537">
        <f>U62</f>
        <v>2.6666666666666665</v>
      </c>
      <c r="W222" s="537">
        <f>V62</f>
        <v>1.6949152542372867</v>
      </c>
      <c r="X222" s="537">
        <f>W62</f>
        <v>1.6528925619834685</v>
      </c>
      <c r="Y222" s="537">
        <f>X62</f>
        <v>1.2965964343598047</v>
      </c>
      <c r="Z222" s="361"/>
      <c r="AA222"/>
      <c r="AB222"/>
      <c r="AC222"/>
      <c r="AD222"/>
      <c r="AE222"/>
      <c r="AF222"/>
      <c r="AG222"/>
    </row>
    <row r="223" spans="17:33" ht="12.75" customHeight="1">
      <c r="Q223" s="668"/>
      <c r="R223" s="968" t="s">
        <v>546</v>
      </c>
      <c r="S223" s="968"/>
      <c r="T223" s="968"/>
      <c r="U223" s="968"/>
      <c r="V223" s="584">
        <f>2.2*V222</f>
        <v>5.8666666666666671</v>
      </c>
      <c r="W223" s="584">
        <f>W222/W215</f>
        <v>13.735131719913175</v>
      </c>
      <c r="X223" s="584">
        <f>X222/X215</f>
        <v>10.924603846553</v>
      </c>
      <c r="Y223" s="584">
        <f>Y222/Y215</f>
        <v>13.203629677798435</v>
      </c>
      <c r="Z223" s="361"/>
      <c r="AA223"/>
      <c r="AB223"/>
      <c r="AC223"/>
      <c r="AD223"/>
      <c r="AE223"/>
      <c r="AF223"/>
      <c r="AG223"/>
    </row>
    <row r="224" spans="17:33" ht="12.75" customHeight="1">
      <c r="Q224" s="668"/>
      <c r="R224" s="968" t="s">
        <v>544</v>
      </c>
      <c r="S224" s="968"/>
      <c r="T224" s="968"/>
      <c r="U224" s="968"/>
      <c r="V224" s="582">
        <f>V219*V223</f>
        <v>938.66666666666674</v>
      </c>
      <c r="W224" s="582">
        <f>W219*W223</f>
        <v>2197.6210751861081</v>
      </c>
      <c r="X224" s="582">
        <f>X219*X223</f>
        <v>1747.9366154484799</v>
      </c>
      <c r="Y224" s="674">
        <f>Y219*Y223</f>
        <v>2112.5807484477496</v>
      </c>
      <c r="Z224" s="361"/>
      <c r="AA224"/>
      <c r="AB224"/>
      <c r="AC224"/>
      <c r="AD224"/>
      <c r="AE224"/>
      <c r="AF224"/>
      <c r="AG224"/>
    </row>
    <row r="225" spans="17:33" ht="12.75" customHeight="1">
      <c r="Q225" s="668"/>
      <c r="R225" s="969" t="s">
        <v>535</v>
      </c>
      <c r="S225" s="969"/>
      <c r="T225" s="969"/>
      <c r="U225" s="969"/>
      <c r="V225" s="556">
        <f>V217/V222</f>
        <v>60</v>
      </c>
      <c r="W225" s="556">
        <f>W217/W222</f>
        <v>94.400000000000077</v>
      </c>
      <c r="X225" s="556">
        <f>X217/X222</f>
        <v>96.800000000000153</v>
      </c>
      <c r="Y225" s="556">
        <f>Y217/Y222</f>
        <v>123.40000000000008</v>
      </c>
      <c r="Z225" s="361"/>
      <c r="AA225"/>
      <c r="AB225"/>
      <c r="AC225"/>
      <c r="AD225"/>
      <c r="AE225"/>
      <c r="AF225"/>
      <c r="AG225"/>
    </row>
    <row r="226" spans="17:33" ht="12.75" customHeight="1">
      <c r="Q226" s="668"/>
      <c r="R226" s="969" t="s">
        <v>536</v>
      </c>
      <c r="S226" s="969"/>
      <c r="T226" s="969"/>
      <c r="U226" s="969"/>
      <c r="V226" s="675">
        <f>V216*V225</f>
        <v>72</v>
      </c>
      <c r="W226" s="675">
        <f>W216*W225</f>
        <v>113.28000000000009</v>
      </c>
      <c r="X226" s="675">
        <f>X216*X225</f>
        <v>116.16000000000018</v>
      </c>
      <c r="Y226" s="675">
        <f>Y216*Y225</f>
        <v>148.0800000000001</v>
      </c>
      <c r="Z226" s="361"/>
      <c r="AA226"/>
      <c r="AB226"/>
      <c r="AC226"/>
      <c r="AD226"/>
      <c r="AE226"/>
      <c r="AF226"/>
      <c r="AG226"/>
    </row>
    <row r="227" spans="17:33" ht="12.75" customHeight="1">
      <c r="Q227" s="668"/>
      <c r="R227" s="968" t="s">
        <v>534</v>
      </c>
      <c r="S227" s="968"/>
      <c r="T227" s="968"/>
      <c r="U227" s="968"/>
      <c r="V227" s="583">
        <f>U56</f>
        <v>4</v>
      </c>
      <c r="W227" s="583">
        <f>V56</f>
        <v>2.5423728813559299</v>
      </c>
      <c r="X227" s="583">
        <f>W56</f>
        <v>2.4793388429752028</v>
      </c>
      <c r="Y227" s="583">
        <f>X56</f>
        <v>1.9448946515397068</v>
      </c>
      <c r="Z227" s="361"/>
      <c r="AA227"/>
      <c r="AB227"/>
      <c r="AC227"/>
      <c r="AD227"/>
      <c r="AE227"/>
      <c r="AF227"/>
      <c r="AG227"/>
    </row>
    <row r="228" spans="17:33" ht="12.75" customHeight="1">
      <c r="Q228" s="668"/>
      <c r="R228" s="968" t="s">
        <v>537</v>
      </c>
      <c r="S228" s="968"/>
      <c r="T228" s="968"/>
      <c r="U228" s="968"/>
      <c r="V228" s="584">
        <f>V225*V227</f>
        <v>240</v>
      </c>
      <c r="W228" s="584">
        <f>W225*W227</f>
        <v>239.99999999999997</v>
      </c>
      <c r="X228" s="584">
        <f>X225*X227</f>
        <v>240</v>
      </c>
      <c r="Y228" s="584">
        <f>Y225*Y227</f>
        <v>239.99999999999997</v>
      </c>
      <c r="Z228" s="361"/>
      <c r="AA228"/>
      <c r="AB228"/>
      <c r="AC228"/>
      <c r="AD228"/>
      <c r="AE228"/>
      <c r="AF228"/>
      <c r="AG228"/>
    </row>
    <row r="229" spans="17:33" ht="12.75" customHeight="1">
      <c r="Q229" s="668"/>
      <c r="R229" s="968" t="s">
        <v>545</v>
      </c>
      <c r="S229" s="968"/>
      <c r="T229" s="968"/>
      <c r="U229" s="968"/>
      <c r="V229" s="585">
        <f>V221/V223</f>
        <v>0.87545454545454526</v>
      </c>
      <c r="W229" s="585">
        <f>W221/W223</f>
        <v>0.4312444992000008</v>
      </c>
      <c r="X229" s="585">
        <f>X221/X223</f>
        <v>0.66477467760000064</v>
      </c>
      <c r="Y229" s="585">
        <f>Y221/Y223</f>
        <v>0.35699274479999926</v>
      </c>
      <c r="Z229" s="361"/>
      <c r="AA229"/>
      <c r="AB229"/>
      <c r="AC229"/>
      <c r="AD229"/>
      <c r="AE229"/>
      <c r="AF229"/>
      <c r="AG229"/>
    </row>
    <row r="230" spans="17:33" ht="12.75" customHeight="1">
      <c r="Q230" s="668"/>
      <c r="R230" s="540" t="s">
        <v>547</v>
      </c>
      <c r="S230" s="540"/>
      <c r="T230" s="540"/>
      <c r="U230" s="540"/>
      <c r="V230" s="585"/>
      <c r="W230" s="586">
        <f>10*W217*W216*W218</f>
        <v>76800</v>
      </c>
      <c r="X230" s="586">
        <f>10*X217*X216*X218</f>
        <v>76800</v>
      </c>
      <c r="Y230" s="586">
        <f>10*Y217*Y216*Y218</f>
        <v>76800</v>
      </c>
      <c r="Z230" s="361"/>
      <c r="AA230"/>
      <c r="AB230"/>
      <c r="AC230"/>
      <c r="AD230"/>
      <c r="AE230"/>
      <c r="AF230"/>
      <c r="AG230"/>
    </row>
    <row r="231" spans="17:33" ht="12.75" customHeight="1">
      <c r="Q231" s="668"/>
      <c r="R231" s="968" t="s">
        <v>548</v>
      </c>
      <c r="S231" s="968"/>
      <c r="T231" s="968"/>
      <c r="U231" s="968"/>
      <c r="V231" s="585">
        <f>V229</f>
        <v>0.87545454545454526</v>
      </c>
      <c r="W231" s="585">
        <f>W220/W230</f>
        <v>1.2340000000000005E-2</v>
      </c>
      <c r="X231" s="585">
        <f>X220/X230</f>
        <v>1.5129999999999996E-2</v>
      </c>
      <c r="Y231" s="585">
        <f>Y220/Y230</f>
        <v>9.819999999999985E-3</v>
      </c>
      <c r="Z231" s="361"/>
      <c r="AA231"/>
      <c r="AB231"/>
      <c r="AC231"/>
      <c r="AD231"/>
      <c r="AE231"/>
      <c r="AF231"/>
      <c r="AG231"/>
    </row>
    <row r="232" spans="17:33" ht="12.75" customHeight="1">
      <c r="Q232" s="668"/>
      <c r="R232" s="587"/>
      <c r="S232" s="587"/>
      <c r="T232" s="587"/>
      <c r="U232" s="587"/>
      <c r="V232" s="588"/>
      <c r="W232" s="588"/>
      <c r="X232" s="588"/>
      <c r="Y232" s="588"/>
      <c r="Z232" s="589"/>
      <c r="AA232"/>
      <c r="AB232"/>
      <c r="AC232"/>
      <c r="AD232"/>
      <c r="AE232"/>
      <c r="AF232"/>
      <c r="AG232"/>
    </row>
    <row r="233" spans="17:33" ht="12.75" customHeight="1">
      <c r="Q233" s="668"/>
      <c r="R233" s="587"/>
      <c r="S233" s="587"/>
      <c r="T233" s="587"/>
      <c r="U233" s="587"/>
      <c r="V233" s="676"/>
      <c r="W233" s="676"/>
      <c r="X233" s="676"/>
      <c r="Y233" s="588"/>
      <c r="Z233" s="364"/>
      <c r="AA233"/>
      <c r="AB233"/>
      <c r="AC233"/>
      <c r="AD233"/>
      <c r="AE233"/>
      <c r="AF233"/>
      <c r="AG233"/>
    </row>
    <row r="234" spans="17:33" ht="12.75" customHeight="1">
      <c r="Q234" s="668" t="s">
        <v>240</v>
      </c>
      <c r="R234" s="364" t="s">
        <v>241</v>
      </c>
      <c r="S234" s="364"/>
      <c r="T234" s="364"/>
      <c r="U234" s="364"/>
      <c r="V234" s="364"/>
      <c r="W234" s="364"/>
      <c r="X234" s="364"/>
      <c r="Y234" s="364"/>
      <c r="Z234" s="364"/>
      <c r="AA234"/>
      <c r="AB234"/>
      <c r="AC234"/>
      <c r="AD234"/>
      <c r="AE234"/>
      <c r="AF234"/>
      <c r="AG234"/>
    </row>
    <row r="235" spans="17:33" ht="12.75" customHeight="1">
      <c r="Q235" s="364"/>
      <c r="R235" s="962" t="s">
        <v>301</v>
      </c>
      <c r="S235" s="963"/>
      <c r="T235" s="964"/>
      <c r="U235" s="949" t="s">
        <v>500</v>
      </c>
      <c r="V235" s="938" t="s">
        <v>22</v>
      </c>
      <c r="W235" s="940" t="s">
        <v>579</v>
      </c>
      <c r="X235" s="942" t="s">
        <v>21</v>
      </c>
      <c r="Y235" s="361"/>
      <c r="Z235" s="364"/>
      <c r="AA235"/>
      <c r="AB235"/>
      <c r="AC235"/>
      <c r="AD235"/>
      <c r="AE235"/>
      <c r="AF235"/>
      <c r="AG235"/>
    </row>
    <row r="236" spans="17:33" ht="12.75" customHeight="1">
      <c r="Q236" s="364"/>
      <c r="R236" s="965"/>
      <c r="S236" s="966"/>
      <c r="T236" s="967"/>
      <c r="U236" s="950"/>
      <c r="V236" s="939"/>
      <c r="W236" s="941"/>
      <c r="X236" s="943"/>
      <c r="Y236" s="361"/>
      <c r="Z236" s="364"/>
      <c r="AA236"/>
      <c r="AB236"/>
      <c r="AC236"/>
      <c r="AD236"/>
      <c r="AE236"/>
      <c r="AF236"/>
      <c r="AG236"/>
    </row>
    <row r="237" spans="17:33" ht="12.75" customHeight="1">
      <c r="Q237" s="364"/>
      <c r="R237" s="931" t="s">
        <v>662</v>
      </c>
      <c r="S237" s="931"/>
      <c r="T237" s="931"/>
      <c r="U237" s="901" t="s">
        <v>427</v>
      </c>
      <c r="V237" s="562">
        <f>VLOOKUP($V$5,'Lookup Air Consumption'!$B$8:$E$208,3)</f>
        <v>41.299999999999983</v>
      </c>
      <c r="W237" s="562">
        <f>VLOOKUP($V$5,'Lookup Air Consumption'!$B$8:$E$208,4)</f>
        <v>53.299999999999983</v>
      </c>
      <c r="X237" s="562">
        <f>VLOOKUP($V$5,'Lookup Air Consumption'!$B$8:$E$208,2)</f>
        <v>43.700000000000102</v>
      </c>
      <c r="Y237" s="361"/>
      <c r="Z237" s="364"/>
      <c r="AA237"/>
      <c r="AB237"/>
      <c r="AC237"/>
      <c r="AD237"/>
      <c r="AE237"/>
      <c r="AF237"/>
      <c r="AG237"/>
    </row>
    <row r="238" spans="17:33" ht="12.75" customHeight="1">
      <c r="Q238" s="364"/>
      <c r="R238" s="931" t="s">
        <v>663</v>
      </c>
      <c r="S238" s="931"/>
      <c r="T238" s="931"/>
      <c r="U238" s="901"/>
      <c r="V238" s="590">
        <f>V237/1000</f>
        <v>4.1299999999999983E-2</v>
      </c>
      <c r="W238" s="590">
        <f>W237/1000</f>
        <v>5.3299999999999986E-2</v>
      </c>
      <c r="X238" s="590">
        <f>X237/1000</f>
        <v>4.37000000000001E-2</v>
      </c>
      <c r="Y238" s="361"/>
      <c r="Z238" s="364"/>
      <c r="AA238"/>
      <c r="AB238"/>
      <c r="AC238"/>
      <c r="AD238"/>
      <c r="AE238"/>
      <c r="AF238"/>
      <c r="AG238"/>
    </row>
    <row r="239" spans="17:33" ht="12.75" customHeight="1">
      <c r="Q239" s="364"/>
      <c r="R239" s="931" t="s">
        <v>664</v>
      </c>
      <c r="S239" s="931"/>
      <c r="T239" s="931"/>
      <c r="U239" s="901"/>
      <c r="V239" s="560">
        <f>V238*35.31467</f>
        <v>1.4584958709999993</v>
      </c>
      <c r="W239" s="560">
        <f>W238*35.31467</f>
        <v>1.8822719109999995</v>
      </c>
      <c r="X239" s="560">
        <f>X238*35.31467</f>
        <v>1.5432510790000036</v>
      </c>
      <c r="Y239" s="361"/>
      <c r="Z239" s="364"/>
      <c r="AA239"/>
      <c r="AB239"/>
      <c r="AC239"/>
      <c r="AD239"/>
      <c r="AE239"/>
      <c r="AF239"/>
      <c r="AG239"/>
    </row>
    <row r="240" spans="17:33" ht="12.75" customHeight="1">
      <c r="Q240" s="360"/>
      <c r="R240" s="551"/>
      <c r="S240" s="551"/>
      <c r="T240" s="551"/>
      <c r="U240" s="591"/>
      <c r="V240" s="551"/>
      <c r="W240" s="551"/>
      <c r="X240" s="551"/>
      <c r="Y240" s="361"/>
      <c r="Z240" s="364"/>
      <c r="AA240"/>
      <c r="AB240"/>
      <c r="AC240"/>
      <c r="AD240"/>
      <c r="AE240"/>
      <c r="AF240"/>
      <c r="AG240"/>
    </row>
    <row r="241" spans="17:33" ht="12.75" customHeight="1">
      <c r="Q241" s="360"/>
      <c r="R241" s="962" t="s">
        <v>302</v>
      </c>
      <c r="S241" s="963"/>
      <c r="T241" s="964"/>
      <c r="U241" s="949" t="s">
        <v>500</v>
      </c>
      <c r="V241" s="938" t="s">
        <v>22</v>
      </c>
      <c r="W241" s="940" t="s">
        <v>579</v>
      </c>
      <c r="X241" s="942" t="s">
        <v>21</v>
      </c>
      <c r="Y241" s="361"/>
      <c r="Z241" s="364"/>
      <c r="AA241"/>
      <c r="AB241"/>
      <c r="AC241"/>
      <c r="AD241"/>
      <c r="AE241"/>
      <c r="AF241"/>
      <c r="AG241"/>
    </row>
    <row r="242" spans="17:33" ht="12.75" customHeight="1">
      <c r="Q242" s="360"/>
      <c r="R242" s="965"/>
      <c r="S242" s="966"/>
      <c r="T242" s="967"/>
      <c r="U242" s="950"/>
      <c r="V242" s="939"/>
      <c r="W242" s="941"/>
      <c r="X242" s="943"/>
      <c r="Y242" s="361"/>
      <c r="Z242" s="364"/>
      <c r="AA242"/>
      <c r="AB242"/>
      <c r="AC242"/>
      <c r="AD242"/>
      <c r="AE242"/>
      <c r="AF242"/>
      <c r="AG242"/>
    </row>
    <row r="243" spans="17:33" ht="12.75" customHeight="1">
      <c r="Q243" s="360"/>
      <c r="R243" s="931" t="s">
        <v>662</v>
      </c>
      <c r="S243" s="931"/>
      <c r="T243" s="931"/>
      <c r="U243" s="901" t="s">
        <v>427</v>
      </c>
      <c r="V243" s="549">
        <f t="shared" ref="V243:W245" si="3">V237*$V$23</f>
        <v>6607.9999999999973</v>
      </c>
      <c r="W243" s="549">
        <f t="shared" si="3"/>
        <v>8527.9999999999964</v>
      </c>
      <c r="X243" s="549">
        <f>X237*$V$23</f>
        <v>6992.0000000000164</v>
      </c>
      <c r="Y243" s="361"/>
      <c r="Z243" s="364"/>
      <c r="AA243"/>
      <c r="AB243"/>
      <c r="AC243"/>
      <c r="AD243"/>
      <c r="AE243"/>
      <c r="AF243"/>
      <c r="AG243"/>
    </row>
    <row r="244" spans="17:33" ht="12.75" customHeight="1">
      <c r="Q244" s="360"/>
      <c r="R244" s="931" t="s">
        <v>663</v>
      </c>
      <c r="S244" s="931"/>
      <c r="T244" s="931"/>
      <c r="U244" s="901"/>
      <c r="V244" s="560">
        <f t="shared" si="3"/>
        <v>6.607999999999997</v>
      </c>
      <c r="W244" s="560">
        <f t="shared" si="3"/>
        <v>8.5279999999999987</v>
      </c>
      <c r="X244" s="560">
        <f>X238*$V$23</f>
        <v>6.992000000000016</v>
      </c>
      <c r="Y244" s="361"/>
      <c r="Z244" s="364"/>
      <c r="AA244"/>
      <c r="AB244"/>
      <c r="AC244"/>
      <c r="AD244"/>
      <c r="AE244"/>
      <c r="AF244"/>
      <c r="AG244"/>
    </row>
    <row r="245" spans="17:33" ht="12.75" customHeight="1">
      <c r="Q245" s="360"/>
      <c r="R245" s="931" t="s">
        <v>664</v>
      </c>
      <c r="S245" s="931"/>
      <c r="T245" s="931"/>
      <c r="U245" s="901"/>
      <c r="V245" s="560">
        <f t="shared" si="3"/>
        <v>233.35933935999989</v>
      </c>
      <c r="W245" s="560">
        <f t="shared" si="3"/>
        <v>301.16350575999991</v>
      </c>
      <c r="X245" s="560">
        <f>X239*$V$23</f>
        <v>246.92017264000057</v>
      </c>
      <c r="Y245" s="361"/>
      <c r="Z245" s="364"/>
      <c r="AA245"/>
      <c r="AB245"/>
      <c r="AC245"/>
      <c r="AD245"/>
      <c r="AE245"/>
      <c r="AF245"/>
      <c r="AG245"/>
    </row>
    <row r="246" spans="17:33" ht="12.75" customHeight="1">
      <c r="Q246" s="360"/>
      <c r="R246" s="364"/>
      <c r="S246" s="364"/>
      <c r="T246" s="364"/>
      <c r="U246" s="364"/>
      <c r="V246" s="555"/>
      <c r="W246" s="555"/>
      <c r="X246" s="555"/>
      <c r="Y246" s="361"/>
      <c r="Z246" s="364"/>
      <c r="AA246"/>
      <c r="AB246"/>
      <c r="AC246"/>
      <c r="AD246"/>
      <c r="AE246"/>
      <c r="AF246"/>
      <c r="AG246"/>
    </row>
    <row r="247" spans="17:33" ht="12.75" customHeight="1">
      <c r="Q247" s="360"/>
      <c r="R247" s="962" t="s">
        <v>303</v>
      </c>
      <c r="S247" s="963"/>
      <c r="T247" s="964"/>
      <c r="U247" s="949" t="s">
        <v>500</v>
      </c>
      <c r="V247" s="938" t="s">
        <v>22</v>
      </c>
      <c r="W247" s="940" t="s">
        <v>579</v>
      </c>
      <c r="X247" s="942" t="s">
        <v>21</v>
      </c>
      <c r="Y247" s="361"/>
      <c r="Z247" s="364"/>
      <c r="AA247"/>
      <c r="AB247"/>
      <c r="AC247"/>
      <c r="AD247"/>
      <c r="AE247"/>
      <c r="AF247"/>
      <c r="AG247"/>
    </row>
    <row r="248" spans="17:33" ht="12.75" customHeight="1">
      <c r="Q248" s="360"/>
      <c r="R248" s="965"/>
      <c r="S248" s="966"/>
      <c r="T248" s="967"/>
      <c r="U248" s="950"/>
      <c r="V248" s="939"/>
      <c r="W248" s="941"/>
      <c r="X248" s="943"/>
      <c r="Y248" s="361"/>
      <c r="Z248" s="364"/>
      <c r="AA248"/>
      <c r="AB248"/>
      <c r="AC248"/>
      <c r="AD248"/>
      <c r="AE248"/>
      <c r="AF248"/>
      <c r="AG248"/>
    </row>
    <row r="249" spans="17:33" ht="12.75" customHeight="1">
      <c r="Q249" s="563"/>
      <c r="R249" s="951" t="s">
        <v>517</v>
      </c>
      <c r="S249" s="951"/>
      <c r="T249" s="951"/>
      <c r="U249" s="901" t="s">
        <v>427</v>
      </c>
      <c r="V249" s="549">
        <f t="shared" ref="V249:X251" si="4">($V$25/$X$51)*60*V237</f>
        <v>30844473.257698506</v>
      </c>
      <c r="W249" s="549">
        <f t="shared" si="4"/>
        <v>39806547.811993472</v>
      </c>
      <c r="X249" s="549">
        <f t="shared" si="4"/>
        <v>32636888.168557588</v>
      </c>
      <c r="Y249" s="361"/>
      <c r="Z249" s="364"/>
      <c r="AA249"/>
      <c r="AB249"/>
      <c r="AC249"/>
      <c r="AD249"/>
      <c r="AE249"/>
      <c r="AF249"/>
      <c r="AG249"/>
    </row>
    <row r="250" spans="17:33" ht="12.75" customHeight="1">
      <c r="Q250" s="364"/>
      <c r="R250" s="951" t="s">
        <v>666</v>
      </c>
      <c r="S250" s="951"/>
      <c r="T250" s="951"/>
      <c r="U250" s="901"/>
      <c r="V250" s="549">
        <f t="shared" si="4"/>
        <v>30844.473257698504</v>
      </c>
      <c r="W250" s="549">
        <f t="shared" si="4"/>
        <v>39806.547811993478</v>
      </c>
      <c r="X250" s="549">
        <f t="shared" si="4"/>
        <v>32636.888168557587</v>
      </c>
      <c r="Y250" s="361"/>
      <c r="Z250" s="364"/>
      <c r="AA250"/>
      <c r="AB250"/>
      <c r="AC250"/>
      <c r="AD250"/>
      <c r="AE250"/>
      <c r="AF250"/>
      <c r="AG250"/>
    </row>
    <row r="251" spans="17:33" ht="12.75" customHeight="1">
      <c r="Q251" s="364"/>
      <c r="R251" s="951" t="s">
        <v>583</v>
      </c>
      <c r="S251" s="951"/>
      <c r="T251" s="951"/>
      <c r="U251" s="901"/>
      <c r="V251" s="549">
        <f t="shared" si="4"/>
        <v>1089262.3944194475</v>
      </c>
      <c r="W251" s="549">
        <f t="shared" si="4"/>
        <v>1405755.0998197717</v>
      </c>
      <c r="X251" s="549">
        <f t="shared" si="4"/>
        <v>1152560.9354995156</v>
      </c>
      <c r="Y251" s="361"/>
      <c r="Z251" s="364"/>
      <c r="AA251"/>
      <c r="AB251"/>
      <c r="AC251"/>
      <c r="AD251"/>
      <c r="AE251"/>
      <c r="AF251"/>
      <c r="AG251"/>
    </row>
    <row r="252" spans="17:33" ht="12.75" customHeight="1">
      <c r="Q252" s="364"/>
      <c r="R252" s="364"/>
      <c r="S252" s="364"/>
      <c r="T252" s="364"/>
      <c r="U252" s="364"/>
      <c r="V252" s="364"/>
      <c r="W252" s="364"/>
      <c r="X252" s="364"/>
      <c r="Y252" s="361"/>
      <c r="Z252" s="364"/>
      <c r="AA252"/>
      <c r="AB252"/>
      <c r="AC252"/>
      <c r="AD252"/>
      <c r="AE252"/>
      <c r="AF252"/>
      <c r="AG252"/>
    </row>
    <row r="253" spans="17:33" ht="12.75" customHeight="1">
      <c r="Q253" s="668" t="s">
        <v>753</v>
      </c>
      <c r="R253" s="364" t="s">
        <v>300</v>
      </c>
      <c r="S253" s="364"/>
      <c r="T253" s="364"/>
      <c r="U253" s="364"/>
      <c r="V253" s="364"/>
      <c r="W253" s="364"/>
      <c r="X253" s="364"/>
      <c r="Y253" s="361"/>
      <c r="Z253" s="364"/>
      <c r="AA253"/>
      <c r="AB253"/>
      <c r="AC253"/>
      <c r="AD253"/>
      <c r="AE253"/>
      <c r="AF253"/>
      <c r="AG253"/>
    </row>
    <row r="254" spans="17:33" ht="12.75" customHeight="1">
      <c r="Q254" s="364"/>
      <c r="R254" s="957" t="s">
        <v>669</v>
      </c>
      <c r="S254" s="958"/>
      <c r="T254" s="959"/>
      <c r="U254" s="949" t="s">
        <v>500</v>
      </c>
      <c r="V254" s="938" t="s">
        <v>22</v>
      </c>
      <c r="W254" s="940" t="s">
        <v>579</v>
      </c>
      <c r="X254" s="942" t="s">
        <v>21</v>
      </c>
      <c r="Y254" s="361"/>
      <c r="Z254" s="364"/>
      <c r="AA254"/>
      <c r="AB254"/>
      <c r="AC254"/>
      <c r="AD254"/>
      <c r="AE254"/>
      <c r="AF254"/>
      <c r="AG254"/>
    </row>
    <row r="255" spans="17:33" ht="12.75" customHeight="1">
      <c r="Q255" s="364"/>
      <c r="R255" s="960"/>
      <c r="S255" s="961"/>
      <c r="T255" s="899"/>
      <c r="U255" s="950"/>
      <c r="V255" s="939"/>
      <c r="W255" s="941"/>
      <c r="X255" s="943"/>
      <c r="Y255" s="361"/>
      <c r="Z255" s="364"/>
      <c r="AA255"/>
      <c r="AB255"/>
      <c r="AC255"/>
      <c r="AD255"/>
      <c r="AE255"/>
      <c r="AF255"/>
      <c r="AG255"/>
    </row>
    <row r="256" spans="17:33" ht="12.75" customHeight="1">
      <c r="Q256" s="364"/>
      <c r="R256" s="541" t="s">
        <v>80</v>
      </c>
      <c r="S256" s="559"/>
      <c r="T256" s="559"/>
      <c r="U256" s="543">
        <v>6.5</v>
      </c>
      <c r="V256" s="669">
        <f>VLOOKUP($V$5,'Lookup Water Flow'!$B$8:$E$208,3)</f>
        <v>7.1099999999999905</v>
      </c>
      <c r="W256" s="669">
        <f>VLOOKUP($V$5,'Lookup Water Flow'!$B$8:$E$208,4)</f>
        <v>12.1</v>
      </c>
      <c r="X256" s="669">
        <f>VLOOKUP($V$5,'Lookup Water Flow'!$B$8:$E$208,2)</f>
        <v>12.719999999999986</v>
      </c>
      <c r="Y256" s="361"/>
      <c r="Z256" s="364"/>
      <c r="AA256"/>
      <c r="AB256"/>
      <c r="AC256"/>
      <c r="AD256"/>
      <c r="AE256"/>
      <c r="AF256"/>
      <c r="AG256"/>
    </row>
    <row r="257" spans="17:33" ht="12.75" customHeight="1">
      <c r="Q257" s="364"/>
      <c r="R257" s="951" t="s">
        <v>81</v>
      </c>
      <c r="S257" s="951"/>
      <c r="T257" s="951"/>
      <c r="U257" s="677">
        <f>U256*V23</f>
        <v>1040</v>
      </c>
      <c r="V257" s="678">
        <f>V256*$V$23</f>
        <v>1137.5999999999985</v>
      </c>
      <c r="W257" s="678">
        <f>W256*$V$23</f>
        <v>1936</v>
      </c>
      <c r="X257" s="678">
        <f>X256*$V$23</f>
        <v>2035.1999999999978</v>
      </c>
      <c r="Y257" s="361"/>
      <c r="Z257" s="364"/>
      <c r="AA257"/>
      <c r="AB257"/>
      <c r="AC257"/>
      <c r="AD257"/>
      <c r="AE257"/>
      <c r="AF257"/>
      <c r="AG257"/>
    </row>
    <row r="258" spans="17:33" ht="12.75" customHeight="1">
      <c r="Q258" s="364"/>
      <c r="R258" s="592" t="s">
        <v>670</v>
      </c>
      <c r="S258" s="559"/>
      <c r="T258" s="559"/>
      <c r="U258" s="549">
        <f>(U256*U56*V24)+(24*2*V24)</f>
        <v>473600</v>
      </c>
      <c r="V258" s="679">
        <f>V256*$X$56*$V$24</f>
        <v>88500.486223662694</v>
      </c>
      <c r="W258" s="679">
        <f>W256*$X$56*$V$24</f>
        <v>150612.64181523488</v>
      </c>
      <c r="X258" s="679">
        <f>X256*$X$56*$V$24</f>
        <v>158329.98379254428</v>
      </c>
      <c r="Y258" s="361"/>
      <c r="Z258" s="364"/>
      <c r="AA258"/>
      <c r="AB258"/>
      <c r="AC258"/>
      <c r="AD258"/>
      <c r="AE258"/>
      <c r="AF258"/>
      <c r="AG258"/>
    </row>
    <row r="259" spans="17:33" ht="12.75" customHeight="1">
      <c r="Q259" s="364"/>
      <c r="R259" s="364"/>
      <c r="S259" s="364"/>
      <c r="T259" s="364"/>
      <c r="U259" s="364"/>
      <c r="V259" s="364"/>
      <c r="W259" s="364"/>
      <c r="X259" s="364"/>
      <c r="Y259" s="364"/>
      <c r="Z259" s="364"/>
      <c r="AA259"/>
      <c r="AB259"/>
      <c r="AC259"/>
      <c r="AD259"/>
      <c r="AE259"/>
      <c r="AF259"/>
      <c r="AG259"/>
    </row>
    <row r="260" spans="17:33" ht="12.75" customHeight="1">
      <c r="Q260" s="680" t="s">
        <v>754</v>
      </c>
      <c r="R260" s="952" t="s">
        <v>309</v>
      </c>
      <c r="S260" s="952"/>
      <c r="T260" s="952"/>
      <c r="U260" s="952"/>
      <c r="V260" s="952"/>
      <c r="W260" s="952"/>
      <c r="X260" s="952"/>
      <c r="Y260" s="952"/>
      <c r="Z260" s="360"/>
      <c r="AA260"/>
      <c r="AB260"/>
      <c r="AC260"/>
      <c r="AD260"/>
      <c r="AE260"/>
      <c r="AF260"/>
      <c r="AG260"/>
    </row>
    <row r="261" spans="17:33" ht="12.75" customHeight="1">
      <c r="Q261" s="364"/>
      <c r="R261" s="364"/>
      <c r="S261" s="364"/>
      <c r="T261" s="364"/>
      <c r="U261" s="364"/>
      <c r="V261" s="364"/>
      <c r="W261" s="364"/>
      <c r="X261" s="364"/>
      <c r="Y261" s="364"/>
      <c r="Z261" s="364"/>
      <c r="AA261"/>
      <c r="AB261"/>
      <c r="AC261"/>
      <c r="AD261"/>
      <c r="AE261"/>
      <c r="AF261"/>
      <c r="AG261"/>
    </row>
    <row r="262" spans="17:33" ht="12.75" customHeight="1">
      <c r="Q262" s="668" t="s">
        <v>755</v>
      </c>
      <c r="R262" s="364" t="s">
        <v>239</v>
      </c>
      <c r="S262" s="364"/>
      <c r="T262" s="364"/>
      <c r="U262" s="364"/>
      <c r="V262" s="364"/>
      <c r="W262" s="364"/>
      <c r="X262" s="364"/>
      <c r="Y262" s="364"/>
      <c r="Z262" s="364"/>
      <c r="AA262"/>
      <c r="AB262"/>
      <c r="AC262"/>
      <c r="AD262"/>
      <c r="AE262"/>
      <c r="AF262"/>
      <c r="AG262"/>
    </row>
    <row r="263" spans="17:33" ht="12.75" customHeight="1">
      <c r="Q263" s="364"/>
      <c r="R263" s="364"/>
      <c r="S263" s="364"/>
      <c r="T263" s="364"/>
      <c r="U263" s="364"/>
      <c r="V263" s="364"/>
      <c r="W263" s="364"/>
      <c r="X263" s="364"/>
      <c r="Y263" s="364"/>
      <c r="Z263" s="364"/>
      <c r="AA263"/>
      <c r="AB263"/>
      <c r="AC263"/>
      <c r="AD263"/>
      <c r="AE263"/>
      <c r="AF263"/>
      <c r="AG263"/>
    </row>
    <row r="264" spans="17:33" ht="12.75" customHeight="1">
      <c r="Q264" s="364"/>
      <c r="R264" s="953" t="s">
        <v>676</v>
      </c>
      <c r="S264" s="954"/>
      <c r="T264" s="561" t="s">
        <v>320</v>
      </c>
      <c r="U264" s="935" t="s">
        <v>318</v>
      </c>
      <c r="V264" s="935"/>
      <c r="W264" s="681">
        <f>'Compressor Input Data'!G7</f>
        <v>0.19</v>
      </c>
      <c r="X264" s="594"/>
      <c r="Y264" s="595"/>
      <c r="Z264" s="363"/>
      <c r="AA264"/>
      <c r="AB264"/>
      <c r="AC264"/>
      <c r="AD264"/>
      <c r="AE264"/>
      <c r="AF264"/>
      <c r="AG264"/>
    </row>
    <row r="265" spans="17:33" ht="12.75" customHeight="1">
      <c r="Q265" s="364"/>
      <c r="R265" s="955"/>
      <c r="S265" s="956"/>
      <c r="T265" s="561" t="s">
        <v>321</v>
      </c>
      <c r="U265" s="935" t="s">
        <v>319</v>
      </c>
      <c r="V265" s="935"/>
      <c r="W265" s="681">
        <f>'Compressor Input Data'!G8</f>
        <v>0.33</v>
      </c>
      <c r="X265" s="594"/>
      <c r="Y265" s="595"/>
      <c r="Z265" s="595"/>
      <c r="AA265"/>
      <c r="AB265"/>
      <c r="AC265"/>
      <c r="AD265"/>
      <c r="AE265"/>
      <c r="AF265"/>
      <c r="AG265"/>
    </row>
    <row r="266" spans="17:33" ht="12.75" customHeight="1">
      <c r="Q266" s="364"/>
      <c r="R266" s="363"/>
      <c r="S266" s="363"/>
      <c r="T266" s="577"/>
      <c r="U266" s="577"/>
      <c r="V266" s="596"/>
      <c r="W266" s="363"/>
      <c r="X266" s="363"/>
      <c r="Y266" s="363"/>
      <c r="Z266" s="363"/>
      <c r="AA266"/>
      <c r="AB266"/>
      <c r="AC266"/>
      <c r="AD266"/>
      <c r="AE266"/>
      <c r="AF266"/>
      <c r="AG266"/>
    </row>
    <row r="267" spans="17:33" ht="12.75" customHeight="1">
      <c r="Q267" s="364"/>
      <c r="R267" s="935" t="s">
        <v>675</v>
      </c>
      <c r="S267" s="935"/>
      <c r="T267" s="935"/>
      <c r="U267" s="949" t="s">
        <v>500</v>
      </c>
      <c r="V267" s="938" t="s">
        <v>22</v>
      </c>
      <c r="W267" s="940" t="s">
        <v>579</v>
      </c>
      <c r="X267" s="942" t="s">
        <v>21</v>
      </c>
      <c r="Y267" s="361"/>
      <c r="Z267" s="364"/>
      <c r="AA267"/>
      <c r="AB267"/>
      <c r="AC267"/>
      <c r="AD267"/>
      <c r="AE267"/>
      <c r="AF267"/>
      <c r="AG267"/>
    </row>
    <row r="268" spans="17:33" ht="12.75" customHeight="1">
      <c r="Q268" s="364"/>
      <c r="R268" s="944" t="s">
        <v>320</v>
      </c>
      <c r="S268" s="947"/>
      <c r="T268" s="948"/>
      <c r="U268" s="950"/>
      <c r="V268" s="939"/>
      <c r="W268" s="941"/>
      <c r="X268" s="943"/>
      <c r="Y268" s="361"/>
      <c r="Z268" s="364"/>
      <c r="AA268"/>
      <c r="AB268"/>
      <c r="AC268"/>
      <c r="AD268"/>
      <c r="AE268"/>
      <c r="AF268"/>
      <c r="AG268"/>
    </row>
    <row r="269" spans="17:33" ht="12.75" customHeight="1">
      <c r="Q269" s="364"/>
      <c r="R269" s="945"/>
      <c r="S269" s="935" t="s">
        <v>306</v>
      </c>
      <c r="T269" s="935"/>
      <c r="U269" s="599">
        <f>U164*$W$264</f>
        <v>178.34666666666669</v>
      </c>
      <c r="V269" s="599">
        <f>V164*$W$264</f>
        <v>12237.288135593213</v>
      </c>
      <c r="W269" s="599">
        <f>W164*$W$264</f>
        <v>11933.884297520643</v>
      </c>
      <c r="X269" s="599">
        <f>X164*$W$264</f>
        <v>9361.4262560777897</v>
      </c>
      <c r="Y269" s="361"/>
      <c r="Z269" s="364"/>
      <c r="AA269"/>
      <c r="AB269"/>
      <c r="AC269"/>
      <c r="AD269"/>
      <c r="AE269"/>
      <c r="AF269"/>
      <c r="AG269"/>
    </row>
    <row r="270" spans="17:33" ht="12.75" customHeight="1">
      <c r="Q270" s="364"/>
      <c r="R270" s="945"/>
      <c r="S270" s="935" t="s">
        <v>307</v>
      </c>
      <c r="T270" s="935"/>
      <c r="U270" s="599">
        <f>U269*$V$11</f>
        <v>4101.9733333333343</v>
      </c>
      <c r="V270" s="599">
        <f>V269*$V$11</f>
        <v>281457.6271186439</v>
      </c>
      <c r="W270" s="599">
        <f>W269*$V$11</f>
        <v>274479.3388429748</v>
      </c>
      <c r="X270" s="599">
        <f>X269*$V$11</f>
        <v>215312.80388978915</v>
      </c>
      <c r="Y270" s="361"/>
      <c r="Z270" s="364"/>
      <c r="AA270"/>
      <c r="AB270"/>
      <c r="AC270"/>
      <c r="AD270"/>
      <c r="AE270"/>
      <c r="AF270"/>
      <c r="AG270"/>
    </row>
    <row r="271" spans="17:33" ht="12.75" customHeight="1">
      <c r="Q271" s="364"/>
      <c r="R271" s="946"/>
      <c r="S271" s="935" t="s">
        <v>308</v>
      </c>
      <c r="T271" s="935"/>
      <c r="U271" s="599">
        <f>U270*9</f>
        <v>36917.760000000009</v>
      </c>
      <c r="V271" s="599">
        <f>V270*9</f>
        <v>2533118.644067795</v>
      </c>
      <c r="W271" s="599">
        <f>W270*9</f>
        <v>2470314.0495867734</v>
      </c>
      <c r="X271" s="599">
        <f>X270*9</f>
        <v>1937815.2350081024</v>
      </c>
      <c r="Y271" s="361"/>
      <c r="Z271" s="364"/>
      <c r="AA271"/>
      <c r="AB271"/>
      <c r="AC271"/>
      <c r="AD271"/>
      <c r="AE271"/>
      <c r="AF271"/>
      <c r="AG271"/>
    </row>
    <row r="272" spans="17:33" ht="12.75" customHeight="1">
      <c r="Q272" s="597"/>
      <c r="R272" s="937"/>
      <c r="S272" s="937"/>
      <c r="T272" s="937"/>
      <c r="U272" s="937"/>
      <c r="V272" s="937"/>
      <c r="W272" s="937"/>
      <c r="X272" s="937"/>
      <c r="Y272" s="364"/>
      <c r="Z272" s="364"/>
      <c r="AA272"/>
      <c r="AB272"/>
      <c r="AC272"/>
      <c r="AD272"/>
      <c r="AE272"/>
      <c r="AF272"/>
      <c r="AG272"/>
    </row>
    <row r="273" spans="17:33" ht="12.75" customHeight="1">
      <c r="Q273" s="597"/>
      <c r="R273" s="935" t="s">
        <v>675</v>
      </c>
      <c r="S273" s="935"/>
      <c r="T273" s="935"/>
      <c r="U273" s="930" t="s">
        <v>500</v>
      </c>
      <c r="V273" s="928" t="s">
        <v>22</v>
      </c>
      <c r="W273" s="929" t="s">
        <v>579</v>
      </c>
      <c r="X273" s="927" t="s">
        <v>21</v>
      </c>
      <c r="Y273" s="361"/>
      <c r="Z273" s="364"/>
      <c r="AA273"/>
      <c r="AB273"/>
      <c r="AC273"/>
      <c r="AD273"/>
      <c r="AE273"/>
      <c r="AF273"/>
      <c r="AG273"/>
    </row>
    <row r="274" spans="17:33" ht="12.75" customHeight="1">
      <c r="Q274" s="597"/>
      <c r="R274" s="937" t="s">
        <v>321</v>
      </c>
      <c r="S274" s="937"/>
      <c r="T274" s="937"/>
      <c r="U274" s="930"/>
      <c r="V274" s="928"/>
      <c r="W274" s="929"/>
      <c r="X274" s="927"/>
      <c r="Y274" s="361"/>
      <c r="Z274" s="364"/>
      <c r="AA274"/>
      <c r="AB274"/>
      <c r="AC274"/>
      <c r="AD274"/>
      <c r="AE274"/>
      <c r="AF274"/>
      <c r="AG274"/>
    </row>
    <row r="275" spans="17:33" ht="12.75" customHeight="1">
      <c r="Q275" s="364"/>
      <c r="R275" s="937"/>
      <c r="S275" s="935" t="s">
        <v>306</v>
      </c>
      <c r="T275" s="935"/>
      <c r="U275" s="599">
        <f>U164*$W$265</f>
        <v>309.76000000000005</v>
      </c>
      <c r="V275" s="599">
        <f>V164*$W$265</f>
        <v>21254.23728813558</v>
      </c>
      <c r="W275" s="599">
        <f>W164*$W$265</f>
        <v>20727.272727272695</v>
      </c>
      <c r="X275" s="599">
        <f>X164*$W$265</f>
        <v>16259.319286871951</v>
      </c>
      <c r="Y275" s="361"/>
      <c r="Z275" s="364"/>
      <c r="AA275"/>
      <c r="AB275"/>
      <c r="AC275"/>
      <c r="AD275"/>
      <c r="AE275"/>
      <c r="AF275"/>
      <c r="AG275"/>
    </row>
    <row r="276" spans="17:33" ht="12.75" customHeight="1">
      <c r="Q276" s="597"/>
      <c r="R276" s="937"/>
      <c r="S276" s="935" t="s">
        <v>307</v>
      </c>
      <c r="T276" s="935"/>
      <c r="U276" s="599">
        <f>U275*$V$11</f>
        <v>7124.4800000000014</v>
      </c>
      <c r="V276" s="599">
        <f>V275*$V$11</f>
        <v>488847.45762711833</v>
      </c>
      <c r="W276" s="599">
        <f>W275*$V$11</f>
        <v>476727.27272727201</v>
      </c>
      <c r="X276" s="599">
        <f>X275*$V$11</f>
        <v>373964.34359805484</v>
      </c>
      <c r="Y276" s="361"/>
      <c r="Z276" s="364"/>
      <c r="AA276"/>
      <c r="AB276"/>
      <c r="AC276"/>
      <c r="AD276"/>
      <c r="AE276"/>
      <c r="AF276"/>
      <c r="AG276"/>
    </row>
    <row r="277" spans="17:33" ht="12.75" customHeight="1">
      <c r="Q277" s="364"/>
      <c r="R277" s="937"/>
      <c r="S277" s="935" t="s">
        <v>308</v>
      </c>
      <c r="T277" s="935"/>
      <c r="U277" s="599">
        <f>U276*3</f>
        <v>21373.440000000002</v>
      </c>
      <c r="V277" s="599">
        <f>V276*3</f>
        <v>1466542.372881355</v>
      </c>
      <c r="W277" s="599">
        <f>W276*3</f>
        <v>1430181.818181816</v>
      </c>
      <c r="X277" s="599">
        <f>X276*3</f>
        <v>1121893.0307941646</v>
      </c>
      <c r="Y277" s="361"/>
      <c r="Z277" s="364"/>
      <c r="AA277"/>
      <c r="AB277"/>
      <c r="AC277"/>
      <c r="AD277"/>
      <c r="AE277"/>
      <c r="AF277"/>
      <c r="AG277"/>
    </row>
    <row r="278" spans="17:33" ht="12.75" customHeight="1">
      <c r="Q278" s="364"/>
      <c r="R278" s="937"/>
      <c r="S278" s="937"/>
      <c r="T278" s="937"/>
      <c r="U278" s="937"/>
      <c r="V278" s="937"/>
      <c r="W278" s="937"/>
      <c r="X278" s="937"/>
      <c r="Y278" s="364"/>
      <c r="Z278" s="364"/>
      <c r="AA278"/>
      <c r="AB278"/>
      <c r="AC278"/>
      <c r="AD278"/>
      <c r="AE278"/>
      <c r="AF278"/>
      <c r="AG278"/>
    </row>
    <row r="279" spans="17:33" ht="12.75" customHeight="1">
      <c r="Q279" s="364"/>
      <c r="R279" s="935" t="s">
        <v>675</v>
      </c>
      <c r="S279" s="935"/>
      <c r="T279" s="935"/>
      <c r="U279" s="930" t="s">
        <v>500</v>
      </c>
      <c r="V279" s="928" t="s">
        <v>22</v>
      </c>
      <c r="W279" s="929" t="s">
        <v>579</v>
      </c>
      <c r="X279" s="927" t="s">
        <v>21</v>
      </c>
      <c r="Y279" s="361"/>
      <c r="Z279" s="364"/>
      <c r="AA279"/>
      <c r="AB279"/>
      <c r="AC279"/>
      <c r="AD279"/>
      <c r="AE279"/>
      <c r="AF279"/>
      <c r="AG279"/>
    </row>
    <row r="280" spans="17:33" ht="12.75" customHeight="1">
      <c r="Q280" s="364"/>
      <c r="R280" s="937" t="s">
        <v>322</v>
      </c>
      <c r="S280" s="937"/>
      <c r="T280" s="937"/>
      <c r="U280" s="930"/>
      <c r="V280" s="928"/>
      <c r="W280" s="929"/>
      <c r="X280" s="927"/>
      <c r="Y280" s="361"/>
      <c r="Z280" s="364"/>
      <c r="AA280"/>
      <c r="AB280"/>
      <c r="AC280"/>
      <c r="AD280"/>
      <c r="AE280"/>
      <c r="AF280"/>
      <c r="AG280"/>
    </row>
    <row r="281" spans="17:33" ht="12.75" customHeight="1">
      <c r="Q281" s="364"/>
      <c r="R281" s="937"/>
      <c r="S281" s="935" t="s">
        <v>306</v>
      </c>
      <c r="T281" s="935"/>
      <c r="U281" s="599">
        <f>U282/$V$11</f>
        <v>211.20000000000005</v>
      </c>
      <c r="V281" s="599">
        <f>V282/$V$11</f>
        <v>14491.525423728803</v>
      </c>
      <c r="W281" s="599">
        <f>W282/$V$11</f>
        <v>14132.231404958657</v>
      </c>
      <c r="X281" s="599">
        <f>X282/$V$11</f>
        <v>11085.899513776329</v>
      </c>
      <c r="Y281" s="361"/>
      <c r="Z281" s="364"/>
      <c r="AA281"/>
      <c r="AB281"/>
      <c r="AC281"/>
      <c r="AD281"/>
      <c r="AE281"/>
      <c r="AF281"/>
      <c r="AG281"/>
    </row>
    <row r="282" spans="17:33" ht="12.75" customHeight="1">
      <c r="Q282" s="364"/>
      <c r="R282" s="937"/>
      <c r="S282" s="935" t="s">
        <v>307</v>
      </c>
      <c r="T282" s="935"/>
      <c r="U282" s="599">
        <f>U283/12</f>
        <v>4857.6000000000013</v>
      </c>
      <c r="V282" s="599">
        <f>V283/12</f>
        <v>333305.08474576246</v>
      </c>
      <c r="W282" s="599">
        <f>W283/12</f>
        <v>325041.32231404912</v>
      </c>
      <c r="X282" s="599">
        <f>X283/12</f>
        <v>254975.68881685557</v>
      </c>
      <c r="Y282" s="361"/>
      <c r="Z282" s="364"/>
      <c r="AA282"/>
      <c r="AB282"/>
      <c r="AC282"/>
      <c r="AD282"/>
      <c r="AE282"/>
      <c r="AF282"/>
      <c r="AG282"/>
    </row>
    <row r="283" spans="17:33" ht="12.75" customHeight="1">
      <c r="Q283" s="364"/>
      <c r="R283" s="937"/>
      <c r="S283" s="935" t="s">
        <v>308</v>
      </c>
      <c r="T283" s="935"/>
      <c r="U283" s="599">
        <f>U271+U277</f>
        <v>58291.200000000012</v>
      </c>
      <c r="V283" s="599">
        <f>V271+V277</f>
        <v>3999661.0169491498</v>
      </c>
      <c r="W283" s="599">
        <f>W271+W277</f>
        <v>3900495.8677685894</v>
      </c>
      <c r="X283" s="599">
        <f>X271+X277</f>
        <v>3059708.265802267</v>
      </c>
      <c r="Y283" s="361"/>
      <c r="Z283" s="364"/>
      <c r="AA283"/>
      <c r="AB283"/>
      <c r="AC283"/>
      <c r="AD283"/>
      <c r="AE283"/>
      <c r="AF283"/>
      <c r="AG283"/>
    </row>
    <row r="284" spans="17:33" ht="12.75" customHeight="1">
      <c r="Q284" s="364"/>
      <c r="R284" s="363"/>
      <c r="S284" s="363"/>
      <c r="T284" s="577"/>
      <c r="U284" s="577"/>
      <c r="V284" s="596"/>
      <c r="W284" s="363"/>
      <c r="X284" s="363"/>
      <c r="Y284" s="363"/>
      <c r="Z284" s="363"/>
      <c r="AA284"/>
      <c r="AB284"/>
      <c r="AC284"/>
      <c r="AD284"/>
      <c r="AE284"/>
      <c r="AF284"/>
      <c r="AG284"/>
    </row>
    <row r="285" spans="17:33" ht="12.75" customHeight="1">
      <c r="Q285" s="668" t="s">
        <v>756</v>
      </c>
      <c r="R285" s="363" t="s">
        <v>758</v>
      </c>
      <c r="S285" s="363"/>
      <c r="T285" s="577"/>
      <c r="U285" s="577"/>
      <c r="V285" s="596"/>
      <c r="W285" s="363"/>
      <c r="X285" s="363"/>
      <c r="Y285" s="363"/>
      <c r="Z285" s="363"/>
      <c r="AA285"/>
      <c r="AB285"/>
      <c r="AC285"/>
      <c r="AD285"/>
      <c r="AE285"/>
      <c r="AF285"/>
      <c r="AG285"/>
    </row>
    <row r="286" spans="17:33" ht="12.75" customHeight="1">
      <c r="Q286" s="364"/>
      <c r="R286" s="935" t="s">
        <v>678</v>
      </c>
      <c r="S286" s="935"/>
      <c r="T286" s="935"/>
      <c r="U286" s="935"/>
      <c r="V286" s="936" t="s">
        <v>500</v>
      </c>
      <c r="W286" s="936" t="s">
        <v>22</v>
      </c>
      <c r="X286" s="936" t="s">
        <v>579</v>
      </c>
      <c r="Y286" s="936" t="s">
        <v>21</v>
      </c>
      <c r="Z286" s="361"/>
      <c r="AA286"/>
      <c r="AB286"/>
      <c r="AC286"/>
      <c r="AD286"/>
      <c r="AE286"/>
      <c r="AF286"/>
      <c r="AG286"/>
    </row>
    <row r="287" spans="17:33" ht="12.75" customHeight="1">
      <c r="Q287" s="364"/>
      <c r="R287" s="935"/>
      <c r="S287" s="935"/>
      <c r="T287" s="935"/>
      <c r="U287" s="935"/>
      <c r="V287" s="936"/>
      <c r="W287" s="936"/>
      <c r="X287" s="936"/>
      <c r="Y287" s="936"/>
      <c r="Z287" s="361"/>
      <c r="AA287"/>
      <c r="AB287"/>
      <c r="AC287"/>
      <c r="AD287"/>
      <c r="AE287"/>
      <c r="AF287"/>
      <c r="AG287"/>
    </row>
    <row r="288" spans="17:33" ht="12.75" customHeight="1">
      <c r="Q288" s="364"/>
      <c r="R288" s="931" t="s">
        <v>35</v>
      </c>
      <c r="S288" s="931"/>
      <c r="T288" s="931"/>
      <c r="U288" s="931"/>
      <c r="V288" s="599">
        <f>AVERAGE(U196:W196)*5%</f>
        <v>1317128.0389410285</v>
      </c>
      <c r="W288" s="599">
        <f>V202*5%</f>
        <v>1515871.5254237289</v>
      </c>
      <c r="X288" s="599">
        <f>W202*5%</f>
        <v>1513392.396694215</v>
      </c>
      <c r="Y288" s="599">
        <f>X202*5%</f>
        <v>1492372.7066450568</v>
      </c>
      <c r="Z288" s="361"/>
      <c r="AA288"/>
      <c r="AB288"/>
      <c r="AC288"/>
      <c r="AD288"/>
      <c r="AE288"/>
      <c r="AF288"/>
      <c r="AG288"/>
    </row>
    <row r="289" spans="17:33" ht="12.75" customHeight="1">
      <c r="Q289" s="364"/>
      <c r="R289" s="931" t="s">
        <v>481</v>
      </c>
      <c r="S289" s="931"/>
      <c r="T289" s="931"/>
      <c r="U289" s="931"/>
      <c r="V289" s="600" t="s">
        <v>479</v>
      </c>
      <c r="W289" s="599">
        <f>Y289</f>
        <v>1059840</v>
      </c>
      <c r="X289" s="600" t="s">
        <v>479</v>
      </c>
      <c r="Y289" s="599">
        <f>Consumables!E23*12</f>
        <v>1059840</v>
      </c>
      <c r="Z289" s="361"/>
      <c r="AA289"/>
      <c r="AB289"/>
      <c r="AC289"/>
      <c r="AD289"/>
      <c r="AE289"/>
      <c r="AF289"/>
      <c r="AG289"/>
    </row>
    <row r="290" spans="17:33" ht="12.75" customHeight="1">
      <c r="Q290" s="364"/>
      <c r="R290" s="931" t="s">
        <v>311</v>
      </c>
      <c r="S290" s="931"/>
      <c r="T290" s="931"/>
      <c r="U290" s="931"/>
      <c r="V290" s="600" t="s">
        <v>557</v>
      </c>
      <c r="W290" s="599">
        <f>Y290</f>
        <v>416000</v>
      </c>
      <c r="X290" s="599">
        <f>W290</f>
        <v>416000</v>
      </c>
      <c r="Y290" s="599">
        <f>Consumables!E21*12</f>
        <v>416000</v>
      </c>
      <c r="Z290" s="361"/>
      <c r="AA290"/>
      <c r="AB290"/>
      <c r="AC290"/>
      <c r="AD290"/>
      <c r="AE290"/>
      <c r="AF290"/>
      <c r="AG290"/>
    </row>
    <row r="291" spans="17:33" ht="12.75" customHeight="1">
      <c r="Q291" s="364"/>
      <c r="R291" s="931" t="s">
        <v>480</v>
      </c>
      <c r="S291" s="931"/>
      <c r="T291" s="931"/>
      <c r="U291" s="931"/>
      <c r="V291" s="599">
        <f>Consumables!H21*12</f>
        <v>3865001.2800000003</v>
      </c>
      <c r="W291" s="599">
        <v>0</v>
      </c>
      <c r="X291" s="599">
        <v>0</v>
      </c>
      <c r="Y291" s="599">
        <v>0</v>
      </c>
      <c r="Z291" s="361"/>
      <c r="AA291"/>
      <c r="AB291"/>
      <c r="AC291"/>
      <c r="AD291"/>
      <c r="AE291"/>
      <c r="AF291"/>
      <c r="AG291"/>
    </row>
    <row r="292" spans="17:33" ht="12.75" customHeight="1">
      <c r="Q292" s="364"/>
      <c r="R292" s="931" t="s">
        <v>312</v>
      </c>
      <c r="S292" s="931"/>
      <c r="T292" s="931"/>
      <c r="U292" s="931"/>
      <c r="V292" s="599">
        <f>Consumables!H20*12</f>
        <v>2691993.6000000001</v>
      </c>
      <c r="W292" s="599">
        <f>Y292</f>
        <v>2331648.0000000005</v>
      </c>
      <c r="X292" s="599">
        <f>W292</f>
        <v>2331648.0000000005</v>
      </c>
      <c r="Y292" s="599">
        <f>Consumables!E20*12</f>
        <v>2331648.0000000005</v>
      </c>
      <c r="Z292" s="361"/>
      <c r="AA292"/>
      <c r="AB292"/>
      <c r="AC292"/>
      <c r="AD292"/>
      <c r="AE292"/>
      <c r="AF292"/>
      <c r="AG292"/>
    </row>
    <row r="293" spans="17:33" ht="12.75" customHeight="1">
      <c r="Q293" s="364"/>
      <c r="R293" s="931" t="s">
        <v>313</v>
      </c>
      <c r="S293" s="931"/>
      <c r="T293" s="931"/>
      <c r="U293" s="931"/>
      <c r="V293" s="599">
        <f>Consumables!H19*12</f>
        <v>1674547.2000000002</v>
      </c>
      <c r="W293" s="599">
        <f>Y293</f>
        <v>1398988.8</v>
      </c>
      <c r="X293" s="599">
        <f>W293</f>
        <v>1398988.8</v>
      </c>
      <c r="Y293" s="599">
        <f>Consumables!E19*12</f>
        <v>1398988.8</v>
      </c>
      <c r="Z293" s="361"/>
      <c r="AA293"/>
      <c r="AB293"/>
      <c r="AC293"/>
      <c r="AD293"/>
      <c r="AE293"/>
      <c r="AF293"/>
      <c r="AG293"/>
    </row>
    <row r="294" spans="17:33" ht="12.75" customHeight="1">
      <c r="Q294" s="364"/>
      <c r="R294" s="931" t="s">
        <v>190</v>
      </c>
      <c r="S294" s="931"/>
      <c r="T294" s="931"/>
      <c r="U294" s="931"/>
      <c r="V294" s="599">
        <f>Consumables!H22*12</f>
        <v>8294400</v>
      </c>
      <c r="W294" s="599">
        <v>0</v>
      </c>
      <c r="X294" s="599">
        <v>0</v>
      </c>
      <c r="Y294" s="599">
        <v>0</v>
      </c>
      <c r="Z294" s="361"/>
      <c r="AA294"/>
      <c r="AB294"/>
      <c r="AC294"/>
      <c r="AD294"/>
      <c r="AE294"/>
      <c r="AF294"/>
      <c r="AG294"/>
    </row>
    <row r="295" spans="17:33" ht="12.75" customHeight="1">
      <c r="Q295" s="364"/>
      <c r="R295" s="931" t="s">
        <v>482</v>
      </c>
      <c r="S295" s="931"/>
      <c r="T295" s="931"/>
      <c r="U295" s="931"/>
      <c r="V295" s="599">
        <v>0</v>
      </c>
      <c r="W295" s="599">
        <f>Y295</f>
        <v>199600.00000000003</v>
      </c>
      <c r="X295" s="599">
        <f>W295</f>
        <v>199600.00000000003</v>
      </c>
      <c r="Y295" s="599">
        <f>Consumables!E25*12</f>
        <v>199600.00000000003</v>
      </c>
      <c r="Z295" s="361"/>
      <c r="AA295"/>
      <c r="AB295"/>
      <c r="AC295"/>
      <c r="AD295"/>
      <c r="AE295"/>
      <c r="AF295"/>
      <c r="AG295"/>
    </row>
    <row r="296" spans="17:33" ht="12.75" customHeight="1">
      <c r="Q296" s="364"/>
      <c r="R296" s="931" t="s">
        <v>483</v>
      </c>
      <c r="S296" s="931"/>
      <c r="T296" s="931"/>
      <c r="U296" s="931"/>
      <c r="V296" s="599">
        <v>0</v>
      </c>
      <c r="W296" s="599">
        <f>Y296</f>
        <v>40600</v>
      </c>
      <c r="X296" s="599">
        <f>W296</f>
        <v>40600</v>
      </c>
      <c r="Y296" s="599">
        <f>Consumables!E24*12</f>
        <v>40600</v>
      </c>
      <c r="Z296" s="361"/>
      <c r="AA296"/>
      <c r="AB296"/>
      <c r="AC296"/>
      <c r="AD296"/>
      <c r="AE296"/>
      <c r="AF296"/>
      <c r="AG296"/>
    </row>
    <row r="297" spans="17:33" ht="12.75" customHeight="1">
      <c r="Q297" s="364"/>
      <c r="R297" s="931" t="s">
        <v>478</v>
      </c>
      <c r="S297" s="931"/>
      <c r="T297" s="931"/>
      <c r="U297" s="931"/>
      <c r="V297" s="599">
        <f>U283</f>
        <v>58291.200000000012</v>
      </c>
      <c r="W297" s="599">
        <f>V283</f>
        <v>3999661.0169491498</v>
      </c>
      <c r="X297" s="599">
        <f>W283</f>
        <v>3900495.8677685894</v>
      </c>
      <c r="Y297" s="599">
        <f>X283</f>
        <v>3059708.265802267</v>
      </c>
      <c r="Z297" s="361"/>
      <c r="AA297"/>
      <c r="AB297"/>
      <c r="AC297"/>
      <c r="AD297"/>
      <c r="AE297"/>
      <c r="AF297"/>
      <c r="AG297"/>
    </row>
    <row r="298" spans="17:33" ht="12.75" customHeight="1">
      <c r="Q298" s="364"/>
      <c r="R298" s="931" t="s">
        <v>484</v>
      </c>
      <c r="S298" s="931"/>
      <c r="T298" s="931"/>
      <c r="U298" s="931"/>
      <c r="V298" s="599">
        <f>'NIHL Compenation Cost'!AD21</f>
        <v>1715167.5</v>
      </c>
      <c r="W298" s="599">
        <f>'NIHL Compenation Cost'!Z21</f>
        <v>989115.00000000012</v>
      </c>
      <c r="X298" s="599">
        <f>'NIHL Compenation Cost'!AB21</f>
        <v>1087325</v>
      </c>
      <c r="Y298" s="599">
        <f>'NIHL Compenation Cost'!X21</f>
        <v>596275</v>
      </c>
      <c r="Z298" s="361"/>
      <c r="AA298"/>
      <c r="AB298"/>
      <c r="AC298"/>
      <c r="AD298"/>
      <c r="AE298"/>
      <c r="AF298"/>
      <c r="AG298"/>
    </row>
    <row r="299" spans="17:33" ht="12.75" customHeight="1">
      <c r="Q299" s="364"/>
      <c r="R299" s="932" t="s">
        <v>677</v>
      </c>
      <c r="S299" s="932"/>
      <c r="T299" s="932"/>
      <c r="U299" s="932"/>
      <c r="V299" s="599">
        <f>SUM(V288:V298)</f>
        <v>19616528.818941027</v>
      </c>
      <c r="W299" s="599">
        <f>SUM(W288:W298)</f>
        <v>11951324.342372879</v>
      </c>
      <c r="X299" s="599">
        <f>SUM(X288:X298)</f>
        <v>10888050.064462803</v>
      </c>
      <c r="Y299" s="599">
        <f>SUM(Y288:Y298)</f>
        <v>10595032.772447323</v>
      </c>
      <c r="Z299" s="361"/>
      <c r="AA299"/>
      <c r="AB299"/>
      <c r="AC299"/>
      <c r="AD299"/>
      <c r="AE299"/>
      <c r="AF299"/>
      <c r="AG299"/>
    </row>
    <row r="300" spans="17:33" ht="12.75" customHeight="1">
      <c r="Q300" s="364"/>
      <c r="R300" s="591"/>
      <c r="S300" s="591"/>
      <c r="T300" s="591"/>
      <c r="U300" s="591"/>
      <c r="V300" s="718"/>
      <c r="W300" s="718"/>
      <c r="X300" s="718"/>
      <c r="Y300" s="718"/>
      <c r="Z300" s="361"/>
      <c r="AA300"/>
      <c r="AB300"/>
      <c r="AC300"/>
      <c r="AD300"/>
      <c r="AE300"/>
      <c r="AF300"/>
      <c r="AG300"/>
    </row>
    <row r="301" spans="17:33" ht="12.75" customHeight="1">
      <c r="Q301" s="364"/>
      <c r="R301" s="591"/>
      <c r="S301" s="591"/>
      <c r="T301" s="933" t="s">
        <v>812</v>
      </c>
      <c r="U301" s="933"/>
      <c r="V301" s="718">
        <f>V299-V294</f>
        <v>11322128.818941027</v>
      </c>
      <c r="W301" s="718">
        <f>W299-W294</f>
        <v>11951324.342372879</v>
      </c>
      <c r="X301" s="718">
        <f>X299-X294</f>
        <v>10888050.064462803</v>
      </c>
      <c r="Y301" s="718">
        <f>Y299-Y294</f>
        <v>10595032.772447323</v>
      </c>
      <c r="Z301" s="361"/>
      <c r="AA301"/>
      <c r="AB301"/>
      <c r="AC301"/>
      <c r="AD301"/>
      <c r="AE301"/>
      <c r="AF301"/>
      <c r="AG301"/>
    </row>
    <row r="302" spans="17:33" ht="12.75" customHeight="1">
      <c r="Q302" s="364"/>
      <c r="R302" s="364"/>
      <c r="S302" s="364"/>
      <c r="T302" s="934" t="s">
        <v>350</v>
      </c>
      <c r="U302" s="934"/>
      <c r="V302" s="682">
        <f>V294</f>
        <v>8294400</v>
      </c>
      <c r="W302" s="682"/>
      <c r="X302" s="682"/>
      <c r="Y302" s="682"/>
      <c r="Z302" s="364"/>
      <c r="AA302"/>
      <c r="AB302"/>
      <c r="AC302"/>
      <c r="AD302"/>
      <c r="AE302"/>
      <c r="AF302"/>
      <c r="AG302"/>
    </row>
    <row r="303" spans="17:33" ht="12.75" customHeight="1">
      <c r="Q303" s="364">
        <v>10.3</v>
      </c>
      <c r="R303" s="363"/>
      <c r="S303" s="364"/>
      <c r="T303" s="364"/>
      <c r="U303" s="364"/>
      <c r="V303" s="682"/>
      <c r="W303" s="364"/>
      <c r="X303" s="362"/>
      <c r="Y303" s="682"/>
      <c r="Z303" s="364"/>
      <c r="AA303"/>
      <c r="AB303"/>
      <c r="AC303"/>
      <c r="AD303"/>
      <c r="AE303"/>
      <c r="AF303"/>
      <c r="AG303"/>
    </row>
    <row r="304" spans="17:33" ht="12.75" customHeight="1">
      <c r="Q304" s="364"/>
      <c r="R304" s="364"/>
      <c r="S304" s="364"/>
      <c r="T304" s="364"/>
      <c r="U304" s="364"/>
      <c r="V304" s="364"/>
      <c r="W304" s="364"/>
      <c r="X304" s="364"/>
      <c r="Y304" s="364"/>
      <c r="Z304" s="364"/>
      <c r="AA304"/>
      <c r="AB304"/>
      <c r="AC304"/>
      <c r="AD304"/>
      <c r="AE304"/>
      <c r="AF304"/>
      <c r="AG304"/>
    </row>
    <row r="305" spans="17:33" ht="12.75" customHeight="1">
      <c r="Q305" s="364"/>
      <c r="R305" s="935" t="s">
        <v>195</v>
      </c>
      <c r="S305" s="935"/>
      <c r="T305" s="935"/>
      <c r="U305" s="935"/>
      <c r="V305" s="935"/>
      <c r="W305" s="375"/>
      <c r="X305" s="683"/>
      <c r="Y305" s="375"/>
      <c r="Z305" s="375"/>
      <c r="AA305"/>
      <c r="AB305"/>
      <c r="AC305"/>
      <c r="AD305"/>
      <c r="AE305"/>
      <c r="AF305"/>
      <c r="AG305"/>
    </row>
    <row r="306" spans="17:33" ht="12.75" customHeight="1">
      <c r="Q306" s="364"/>
      <c r="R306" s="926" t="s">
        <v>509</v>
      </c>
      <c r="S306" s="927" t="s">
        <v>21</v>
      </c>
      <c r="T306" s="928" t="s">
        <v>22</v>
      </c>
      <c r="U306" s="929" t="s">
        <v>579</v>
      </c>
      <c r="V306" s="930" t="s">
        <v>500</v>
      </c>
      <c r="W306" s="363"/>
      <c r="X306" s="684"/>
      <c r="Y306" s="363"/>
      <c r="Z306" s="364"/>
      <c r="AA306"/>
      <c r="AB306"/>
      <c r="AC306"/>
      <c r="AD306"/>
      <c r="AE306"/>
      <c r="AF306"/>
      <c r="AG306"/>
    </row>
    <row r="307" spans="17:33" ht="12.75" customHeight="1">
      <c r="Q307" s="364"/>
      <c r="R307" s="926"/>
      <c r="S307" s="927"/>
      <c r="T307" s="928"/>
      <c r="U307" s="929"/>
      <c r="V307" s="930"/>
      <c r="W307" s="363"/>
      <c r="X307" s="684"/>
      <c r="Y307" s="363"/>
      <c r="Z307" s="364"/>
      <c r="AA307"/>
      <c r="AB307"/>
      <c r="AC307"/>
      <c r="AD307"/>
    </row>
    <row r="308" spans="17:33" ht="12.75" customHeight="1">
      <c r="Q308" s="364"/>
      <c r="R308" s="667" t="s">
        <v>204</v>
      </c>
      <c r="S308" s="667" t="s">
        <v>846</v>
      </c>
      <c r="T308" s="667" t="s">
        <v>846</v>
      </c>
      <c r="U308" s="667" t="s">
        <v>846</v>
      </c>
      <c r="V308" s="667" t="s">
        <v>846</v>
      </c>
      <c r="W308" s="363"/>
      <c r="X308" s="363"/>
      <c r="Y308" s="363"/>
      <c r="Z308" s="364"/>
      <c r="AA308"/>
      <c r="AB308"/>
      <c r="AC308"/>
      <c r="AD308"/>
    </row>
    <row r="309" spans="17:33" ht="12.75" customHeight="1">
      <c r="Q309" s="364"/>
      <c r="R309" s="600">
        <v>1</v>
      </c>
      <c r="S309" s="369">
        <f>$X$69</f>
        <v>116.90000000000003</v>
      </c>
      <c r="T309" s="584">
        <f>$V$69</f>
        <v>108.59999999999988</v>
      </c>
      <c r="U309" s="685">
        <f>$W$69</f>
        <v>109.59999999999988</v>
      </c>
      <c r="V309" s="369">
        <f>$U$69</f>
        <v>102</v>
      </c>
      <c r="W309" s="363"/>
      <c r="X309" s="363"/>
      <c r="Y309" s="363"/>
      <c r="Z309" s="364"/>
      <c r="AA309"/>
      <c r="AB309"/>
      <c r="AC309"/>
      <c r="AD309"/>
    </row>
    <row r="310" spans="17:33" ht="12.75" customHeight="1">
      <c r="Q310" s="364"/>
      <c r="R310" s="600">
        <v>2</v>
      </c>
      <c r="S310" s="584">
        <f>(LOG((10^(S309/10))+(10^(S309/10))))*10</f>
        <v>119.91029995663985</v>
      </c>
      <c r="T310" s="584">
        <f>(LOG((10^(T309/10))+(10^(T309/10))))*10</f>
        <v>111.61029995663972</v>
      </c>
      <c r="U310" s="584">
        <f>(LOG((10^(U309/10))+(10^(U309/10))))*10</f>
        <v>112.61029995663972</v>
      </c>
      <c r="V310" s="584">
        <f>(LOG((10^(V309/10))+(10^(V309/10))))*10</f>
        <v>105.01029995663983</v>
      </c>
      <c r="W310" s="363"/>
      <c r="X310" s="363"/>
      <c r="Y310" s="363"/>
      <c r="Z310" s="364"/>
      <c r="AA310"/>
      <c r="AB310"/>
      <c r="AC310"/>
      <c r="AD310"/>
    </row>
    <row r="311" spans="17:33" ht="12.75" customHeight="1">
      <c r="Q311" s="597"/>
      <c r="R311" s="600">
        <v>3</v>
      </c>
      <c r="S311" s="584">
        <f>(LOG((10^(S309/10))+(10^(S309/10))+(10^(S309/10)))*10)</f>
        <v>121.67121254719666</v>
      </c>
      <c r="T311" s="584">
        <f>(LOG((10^(T309/10))+(10^(T309/10))+(10^(T309/10)))*10)</f>
        <v>113.37121254719654</v>
      </c>
      <c r="U311" s="584">
        <f>(LOG((10^(U309/10))+(10^(U309/10))+(10^(U309/10)))*10)</f>
        <v>114.37121254719654</v>
      </c>
      <c r="V311" s="584">
        <f>(LOG((10^(V309/10))+(10^(V309/10))+(10^(V309/10)))*10)</f>
        <v>106.77121254719664</v>
      </c>
      <c r="W311" s="363"/>
      <c r="X311" s="363"/>
      <c r="Y311" s="363"/>
      <c r="Z311" s="364"/>
      <c r="AA311"/>
      <c r="AB311"/>
      <c r="AC311"/>
      <c r="AD311"/>
    </row>
    <row r="312" spans="17:33" ht="12.75" customHeight="1">
      <c r="Q312" s="364"/>
      <c r="R312" s="600">
        <v>4</v>
      </c>
      <c r="S312" s="584">
        <f>(LOG((10^(S309/10))+(10^(S309/10))+(10^(S309/10))+(10^(S309/10))))*10</f>
        <v>122.92059991327966</v>
      </c>
      <c r="T312" s="584">
        <f>(LOG((10^(T309/10))+(10^(T309/10))+(10^(T309/10))+(10^(T309/10))))*10</f>
        <v>114.62059991327953</v>
      </c>
      <c r="U312" s="584">
        <f>(LOG((10^(U309/10))+(10^(U309/10))+(10^(U309/10))+(10^(U309/10))))*10</f>
        <v>115.62059991327953</v>
      </c>
      <c r="V312" s="584">
        <f>(LOG((10^(V309/10))+(10^(V309/10))+(10^(V309/10))+(10^(V309/10))))*10</f>
        <v>108.02059991327964</v>
      </c>
      <c r="W312" s="363"/>
      <c r="X312" s="363"/>
      <c r="Y312" s="363"/>
      <c r="Z312" s="364"/>
      <c r="AA312"/>
      <c r="AB312"/>
      <c r="AC312"/>
      <c r="AD312"/>
    </row>
    <row r="313" spans="17:33" ht="12.75" customHeight="1">
      <c r="Q313" s="364"/>
      <c r="R313" s="600">
        <v>5</v>
      </c>
      <c r="S313" s="584">
        <f>(LOG((10^(S309/10))+(10^(S309/10))+(10^(S309/10))+(10^(S309/10))+(10^(S309/10))))*10</f>
        <v>123.88970004336024</v>
      </c>
      <c r="T313" s="584">
        <f>(LOG((10^(T309/10))+(10^(T309/10))+(10^(T309/10))+(10^(T309/10))+(10^(T309/10))))*10</f>
        <v>115.5897000433601</v>
      </c>
      <c r="U313" s="584">
        <f>(LOG((10^(U309/10))+(10^(U309/10))+(10^(U309/10))+(10^(U309/10))+(10^(U309/10))))*10</f>
        <v>116.5897000433601</v>
      </c>
      <c r="V313" s="584">
        <f>(LOG((10^(V309/10))+(10^(V309/10))+(10^(V309/10))+(10^(V309/10))+(10^(V309/10))))*10</f>
        <v>108.9897000433602</v>
      </c>
      <c r="W313" s="363"/>
      <c r="X313" s="363"/>
      <c r="Y313" s="363"/>
      <c r="Z313" s="364"/>
      <c r="AA313"/>
      <c r="AB313"/>
      <c r="AC313"/>
      <c r="AD313"/>
    </row>
    <row r="314" spans="17:33" ht="12.75" customHeight="1">
      <c r="Q314" s="364"/>
      <c r="R314" s="600">
        <v>6</v>
      </c>
      <c r="S314" s="584">
        <f>(LOG((10^(S309/10))+(10^(S309/10))+(10^(S309/10))+(10^(S309/10))+(10^(S309/10))+(10^(S309/10)))*10)</f>
        <v>124.68151250383647</v>
      </c>
      <c r="T314" s="584">
        <f>(LOG((10^(T309/10))+(10^(T309/10))+(10^(T309/10))+(10^(T309/10))+(10^(T309/10))+(10^(T309/10)))*10)</f>
        <v>116.38151250383635</v>
      </c>
      <c r="U314" s="584">
        <f>(LOG((10^(U309/10))+(10^(U309/10))+(10^(U309/10))+(10^(U309/10))+(10^(U309/10))+(10^(U309/10)))*10)</f>
        <v>117.38151250383635</v>
      </c>
      <c r="V314" s="584">
        <f>(LOG((10^(V309/10))+(10^(V309/10))+(10^(V309/10))+(10^(V309/10))+(10^(V309/10))+(10^(V309/10)))*10)</f>
        <v>109.78151250383645</v>
      </c>
      <c r="W314" s="363"/>
      <c r="X314" s="363"/>
      <c r="Y314" s="363"/>
      <c r="Z314" s="364"/>
      <c r="AA314"/>
      <c r="AB314"/>
      <c r="AC314"/>
      <c r="AD314"/>
    </row>
    <row r="315" spans="17:33" ht="12.75" customHeight="1" thickBot="1">
      <c r="Q315" s="364"/>
      <c r="R315" s="364"/>
      <c r="S315" s="364"/>
      <c r="T315" s="364"/>
      <c r="U315" s="364"/>
      <c r="V315" s="364"/>
      <c r="W315" s="364"/>
      <c r="X315" s="364"/>
      <c r="Y315" s="364"/>
      <c r="Z315" s="364"/>
      <c r="AA315"/>
      <c r="AB315"/>
      <c r="AC315"/>
      <c r="AD315"/>
    </row>
    <row r="316" spans="17:33" ht="12.75" customHeight="1" thickTop="1">
      <c r="Q316" s="364"/>
      <c r="R316" s="916" t="s">
        <v>428</v>
      </c>
      <c r="S316" s="917"/>
      <c r="T316" s="917"/>
      <c r="U316" s="917"/>
      <c r="V316" s="917"/>
      <c r="W316" s="918"/>
      <c r="X316" s="364"/>
      <c r="Y316" s="364"/>
      <c r="Z316" s="364"/>
      <c r="AA316"/>
      <c r="AB316"/>
      <c r="AC316"/>
      <c r="AD316"/>
    </row>
    <row r="317" spans="17:33" ht="12.75" customHeight="1">
      <c r="Q317" s="364"/>
      <c r="R317" s="919"/>
      <c r="S317" s="920"/>
      <c r="T317" s="920"/>
      <c r="U317" s="920"/>
      <c r="V317" s="920"/>
      <c r="W317" s="921"/>
      <c r="X317" s="364"/>
      <c r="Y317" s="364"/>
      <c r="Z317" s="364"/>
      <c r="AA317"/>
      <c r="AB317"/>
      <c r="AC317"/>
      <c r="AD317"/>
    </row>
    <row r="318" spans="17:33" ht="12.75" customHeight="1" thickBot="1">
      <c r="Q318" s="364"/>
      <c r="R318" s="922"/>
      <c r="S318" s="923"/>
      <c r="T318" s="923"/>
      <c r="U318" s="923"/>
      <c r="V318" s="923"/>
      <c r="W318" s="924"/>
      <c r="X318" s="364"/>
      <c r="Y318" s="364"/>
      <c r="Z318" s="364"/>
      <c r="AA318"/>
      <c r="AB318"/>
      <c r="AC318"/>
      <c r="AD318"/>
    </row>
    <row r="319" spans="17:33" ht="12.75" customHeight="1" thickTop="1">
      <c r="Q319" s="364"/>
      <c r="R319" s="925" t="str">
        <f>S306</f>
        <v>Seco S215</v>
      </c>
      <c r="S319" s="925"/>
      <c r="T319" s="925"/>
      <c r="U319" s="925"/>
      <c r="V319" s="925"/>
      <c r="W319" s="925"/>
      <c r="X319" s="364"/>
      <c r="Y319" s="364"/>
      <c r="Z319" s="364"/>
      <c r="AA319"/>
      <c r="AB319"/>
      <c r="AC319"/>
      <c r="AD319"/>
    </row>
    <row r="320" spans="17:33" ht="12.75" customHeight="1" thickBot="1">
      <c r="Q320" s="364"/>
      <c r="R320" s="910" t="s">
        <v>205</v>
      </c>
      <c r="S320" s="911"/>
      <c r="T320" s="911"/>
      <c r="U320" s="911"/>
      <c r="V320" s="911"/>
      <c r="W320" s="912"/>
      <c r="X320" s="364"/>
      <c r="Y320" s="364"/>
      <c r="Z320" s="364"/>
      <c r="AA320"/>
      <c r="AB320"/>
      <c r="AC320"/>
      <c r="AD320"/>
    </row>
    <row r="321" spans="17:30" ht="12.75" customHeight="1" thickBot="1">
      <c r="Q321" s="364"/>
      <c r="R321" s="686" t="s">
        <v>59</v>
      </c>
      <c r="S321" s="577"/>
      <c r="T321" s="687"/>
      <c r="U321" s="687"/>
      <c r="V321" s="687"/>
      <c r="W321" s="688"/>
      <c r="X321" s="364"/>
      <c r="Y321" s="364"/>
      <c r="Z321" s="364"/>
      <c r="AA321"/>
      <c r="AB321"/>
      <c r="AC321"/>
      <c r="AD321"/>
    </row>
    <row r="322" spans="17:30" ht="12.75" customHeight="1">
      <c r="Q322" s="364"/>
      <c r="R322" s="895" t="s">
        <v>845</v>
      </c>
      <c r="S322" s="896"/>
      <c r="T322" s="900" t="s">
        <v>835</v>
      </c>
      <c r="U322" s="900" t="s">
        <v>836</v>
      </c>
      <c r="V322" s="900" t="s">
        <v>837</v>
      </c>
      <c r="W322" s="902" t="s">
        <v>838</v>
      </c>
      <c r="X322" s="364"/>
      <c r="Y322" s="364"/>
      <c r="Z322" s="364"/>
      <c r="AA322"/>
      <c r="AB322"/>
      <c r="AC322"/>
      <c r="AD322"/>
    </row>
    <row r="323" spans="17:30" ht="12.75" customHeight="1">
      <c r="Q323" s="364"/>
      <c r="R323" s="892"/>
      <c r="S323" s="897"/>
      <c r="T323" s="904"/>
      <c r="U323" s="904"/>
      <c r="V323" s="904"/>
      <c r="W323" s="905"/>
      <c r="X323" s="364"/>
      <c r="Y323" s="364"/>
      <c r="Z323" s="364"/>
      <c r="AA323"/>
      <c r="AB323"/>
      <c r="AC323"/>
      <c r="AD323"/>
    </row>
    <row r="324" spans="17:30" ht="12.75" customHeight="1">
      <c r="Q324" s="364"/>
      <c r="R324" s="892"/>
      <c r="S324" s="897"/>
      <c r="T324" s="901"/>
      <c r="U324" s="901"/>
      <c r="V324" s="901"/>
      <c r="W324" s="903"/>
      <c r="X324" s="364"/>
      <c r="Y324" s="364"/>
      <c r="Z324" s="364"/>
      <c r="AA324"/>
      <c r="AB324"/>
      <c r="AC324"/>
      <c r="AD324"/>
    </row>
    <row r="325" spans="17:30" ht="12.75" customHeight="1">
      <c r="Q325" s="364"/>
      <c r="R325" s="892"/>
      <c r="S325" s="897"/>
      <c r="T325" s="689">
        <f>X69</f>
        <v>116.90000000000003</v>
      </c>
      <c r="U325" s="560">
        <f>X62</f>
        <v>1.2965964343598047</v>
      </c>
      <c r="V325" s="690">
        <f>IF(T325&gt;0,W325*U325," ")</f>
        <v>25413.290113452171</v>
      </c>
      <c r="W325" s="691">
        <f>IF(T325&gt;0,(VLOOKUP(T325,'Lookup Ready-reckoner'!$B$5:$E$1207,4))," ")</f>
        <v>19600</v>
      </c>
      <c r="X325" s="364"/>
      <c r="Y325" s="364"/>
      <c r="Z325" s="364"/>
      <c r="AA325"/>
      <c r="AB325"/>
      <c r="AC325"/>
      <c r="AD325"/>
    </row>
    <row r="326" spans="17:30" ht="12.75" customHeight="1">
      <c r="Q326" s="364"/>
      <c r="R326" s="898"/>
      <c r="S326" s="899"/>
      <c r="T326" s="447"/>
      <c r="U326" s="560"/>
      <c r="V326" s="690" t="str">
        <f>IF(T326&gt;0,W326*U326," ")</f>
        <v xml:space="preserve"> </v>
      </c>
      <c r="W326" s="691" t="str">
        <f>IF(T326&gt;0,(VLOOKUP(T326,'Lookup Ready-reckoner'!$B$5:$E$1007,4))," ")</f>
        <v xml:space="preserve"> </v>
      </c>
      <c r="X326" s="364"/>
      <c r="Y326" s="364"/>
      <c r="Z326" s="364"/>
      <c r="AA326"/>
      <c r="AB326"/>
      <c r="AC326"/>
      <c r="AD326"/>
    </row>
    <row r="327" spans="17:30" ht="12.75" customHeight="1" thickBot="1">
      <c r="Q327" s="364"/>
      <c r="R327" s="692" t="s">
        <v>839</v>
      </c>
      <c r="S327" s="693"/>
      <c r="T327" s="693"/>
      <c r="U327" s="694">
        <f>IF(T325&gt;0,(VLOOKUP(V327,'Lookup Ready-reckoner'!$L$5:$M$1207,2))," ")</f>
        <v>108.95</v>
      </c>
      <c r="V327" s="695">
        <f>IF(U325&gt;0,(SUM(V325:V326))," ")</f>
        <v>25413.290113452171</v>
      </c>
      <c r="W327" s="696"/>
      <c r="X327" s="364"/>
      <c r="Y327" s="364"/>
      <c r="Z327" s="364"/>
      <c r="AA327"/>
      <c r="AB327"/>
      <c r="AC327"/>
      <c r="AD327"/>
    </row>
    <row r="328" spans="17:30" ht="12.75" customHeight="1" thickBot="1">
      <c r="Q328" s="364"/>
      <c r="R328" s="892"/>
      <c r="S328" s="893"/>
      <c r="T328" s="893"/>
      <c r="U328" s="893"/>
      <c r="V328" s="893"/>
      <c r="W328" s="894"/>
      <c r="X328" s="364"/>
      <c r="Y328" s="364"/>
      <c r="Z328" s="364"/>
      <c r="AA328"/>
      <c r="AB328"/>
      <c r="AC328"/>
      <c r="AD328"/>
    </row>
    <row r="329" spans="17:30" ht="12.75" customHeight="1">
      <c r="Q329" s="364"/>
      <c r="R329" s="895" t="s">
        <v>886</v>
      </c>
      <c r="S329" s="896"/>
      <c r="T329" s="900" t="s">
        <v>835</v>
      </c>
      <c r="U329" s="900" t="s">
        <v>836</v>
      </c>
      <c r="V329" s="900" t="s">
        <v>837</v>
      </c>
      <c r="W329" s="902" t="s">
        <v>838</v>
      </c>
      <c r="X329" s="364"/>
      <c r="Y329" s="364"/>
      <c r="Z329" s="364"/>
      <c r="AA329"/>
      <c r="AB329"/>
      <c r="AC329"/>
      <c r="AD329"/>
    </row>
    <row r="330" spans="17:30" ht="12.75" customHeight="1">
      <c r="Q330" s="364"/>
      <c r="R330" s="892"/>
      <c r="S330" s="897"/>
      <c r="T330" s="901"/>
      <c r="U330" s="901"/>
      <c r="V330" s="901"/>
      <c r="W330" s="903"/>
      <c r="X330" s="364"/>
      <c r="Y330" s="364"/>
      <c r="Z330" s="364"/>
      <c r="AA330"/>
      <c r="AB330"/>
      <c r="AC330"/>
      <c r="AD330"/>
    </row>
    <row r="331" spans="17:30" ht="12.75" customHeight="1">
      <c r="Q331" s="364"/>
      <c r="R331" s="892"/>
      <c r="S331" s="897"/>
      <c r="T331" s="689">
        <f>T325*(1-0.0178*2)</f>
        <v>112.73836000000004</v>
      </c>
      <c r="U331" s="560">
        <f>U325</f>
        <v>1.2965964343598047</v>
      </c>
      <c r="V331" s="690">
        <f>IF(T331&gt;0,W331*U331," ")</f>
        <v>9750.4051863857312</v>
      </c>
      <c r="W331" s="691">
        <f>IF(T331&gt;0,(VLOOKUP(T331,'Lookup Ready-reckoner'!$B$5:$E$1207,4))," ")</f>
        <v>7520</v>
      </c>
      <c r="X331" s="364"/>
      <c r="Y331" s="364"/>
      <c r="Z331" s="364"/>
      <c r="AA331"/>
      <c r="AB331"/>
      <c r="AC331"/>
      <c r="AD331"/>
    </row>
    <row r="332" spans="17:30" ht="12.75" customHeight="1">
      <c r="Q332" s="364"/>
      <c r="R332" s="898"/>
      <c r="S332" s="899"/>
      <c r="T332" s="447"/>
      <c r="U332" s="560"/>
      <c r="V332" s="690" t="str">
        <f>IF(T332&gt;0,W332*U332," ")</f>
        <v xml:space="preserve"> </v>
      </c>
      <c r="W332" s="691" t="str">
        <f>IF(T332&gt;0,(VLOOKUP(T332,'Lookup Ready-reckoner'!$B$5:$E$1007,4))," ")</f>
        <v xml:space="preserve"> </v>
      </c>
      <c r="X332" s="364"/>
      <c r="Y332" s="364"/>
      <c r="Z332" s="364"/>
      <c r="AA332"/>
      <c r="AB332"/>
      <c r="AC332"/>
      <c r="AD332"/>
    </row>
    <row r="333" spans="17:30" ht="12.75" customHeight="1" thickBot="1">
      <c r="Q333" s="364"/>
      <c r="R333" s="692" t="s">
        <v>839</v>
      </c>
      <c r="S333" s="693"/>
      <c r="T333" s="693"/>
      <c r="U333" s="694">
        <f>IF(T331&gt;0,(VLOOKUP(V333,'Lookup Ready-reckoner'!$L$5:$M$1207,2))," ")</f>
        <v>104.85</v>
      </c>
      <c r="V333" s="695">
        <f>IF(U331&gt;0,(SUM(V331:V332))," ")</f>
        <v>9750.4051863857312</v>
      </c>
      <c r="W333" s="696"/>
      <c r="X333" s="364"/>
      <c r="Y333" s="364"/>
      <c r="Z333" s="364"/>
      <c r="AA333"/>
      <c r="AB333"/>
      <c r="AC333"/>
      <c r="AD333"/>
    </row>
    <row r="334" spans="17:30" ht="12.75" customHeight="1">
      <c r="Q334" s="364"/>
      <c r="R334" s="697"/>
      <c r="S334" s="687"/>
      <c r="T334" s="687"/>
      <c r="U334" s="372"/>
      <c r="V334" s="374"/>
      <c r="W334" s="688"/>
      <c r="X334" s="364"/>
      <c r="Y334" s="364"/>
      <c r="Z334" s="364"/>
      <c r="AA334"/>
      <c r="AB334"/>
      <c r="AC334"/>
      <c r="AD334"/>
    </row>
    <row r="335" spans="17:30" ht="12.75" customHeight="1" thickBot="1">
      <c r="Q335" s="364"/>
      <c r="R335" s="686" t="s">
        <v>60</v>
      </c>
      <c r="S335" s="577"/>
      <c r="T335" s="577"/>
      <c r="U335" s="577"/>
      <c r="V335" s="577"/>
      <c r="W335" s="698"/>
      <c r="X335" s="364"/>
      <c r="Y335" s="364"/>
      <c r="Z335" s="364"/>
      <c r="AA335"/>
      <c r="AB335"/>
      <c r="AC335"/>
      <c r="AD335"/>
    </row>
    <row r="336" spans="17:30" ht="12.75" customHeight="1">
      <c r="Q336" s="364"/>
      <c r="R336" s="895" t="s">
        <v>845</v>
      </c>
      <c r="S336" s="896"/>
      <c r="T336" s="900" t="s">
        <v>835</v>
      </c>
      <c r="U336" s="900" t="s">
        <v>836</v>
      </c>
      <c r="V336" s="900" t="s">
        <v>837</v>
      </c>
      <c r="W336" s="902" t="s">
        <v>838</v>
      </c>
      <c r="X336" s="364"/>
      <c r="Y336" s="364"/>
      <c r="Z336" s="364"/>
      <c r="AA336"/>
      <c r="AB336"/>
      <c r="AC336"/>
      <c r="AD336"/>
    </row>
    <row r="337" spans="17:30" ht="12.75" customHeight="1">
      <c r="Q337" s="364"/>
      <c r="R337" s="892"/>
      <c r="S337" s="897"/>
      <c r="T337" s="901"/>
      <c r="U337" s="901"/>
      <c r="V337" s="901"/>
      <c r="W337" s="903"/>
      <c r="X337" s="364"/>
      <c r="Y337" s="364"/>
      <c r="Z337" s="364"/>
      <c r="AA337"/>
      <c r="AB337"/>
      <c r="AC337"/>
      <c r="AD337"/>
    </row>
    <row r="338" spans="17:30" ht="12.75" customHeight="1">
      <c r="Q338" s="364"/>
      <c r="R338" s="892"/>
      <c r="S338" s="897"/>
      <c r="T338" s="689">
        <f>T325-PPE!$I$15</f>
        <v>103.90000000000003</v>
      </c>
      <c r="U338" s="560">
        <f>U331</f>
        <v>1.2965964343598047</v>
      </c>
      <c r="V338" s="690">
        <f>IF(T338&gt;0,W338*U338," ")</f>
        <v>1270.6645056726086</v>
      </c>
      <c r="W338" s="691">
        <f>IF(T338&gt;0,(VLOOKUP(T338,'Lookup Ready-reckoner'!$B$5:$E$1207,4))," ")</f>
        <v>980</v>
      </c>
      <c r="X338" s="364"/>
      <c r="Y338" s="364"/>
      <c r="Z338" s="364"/>
      <c r="AA338"/>
      <c r="AB338"/>
      <c r="AC338"/>
      <c r="AD338"/>
    </row>
    <row r="339" spans="17:30" ht="12.75" customHeight="1">
      <c r="Q339" s="364"/>
      <c r="R339" s="898"/>
      <c r="S339" s="899"/>
      <c r="T339" s="447"/>
      <c r="U339" s="560"/>
      <c r="V339" s="690" t="str">
        <f>IF(T339&gt;0,W339*U339," ")</f>
        <v xml:space="preserve"> </v>
      </c>
      <c r="W339" s="691" t="str">
        <f>IF(T339&gt;0,(VLOOKUP(T339,'Lookup Ready-reckoner'!$B$5:$E$1007,4))," ")</f>
        <v xml:space="preserve"> </v>
      </c>
      <c r="X339" s="364"/>
      <c r="Y339" s="364"/>
      <c r="Z339" s="364"/>
      <c r="AA339"/>
      <c r="AB339"/>
      <c r="AC339"/>
      <c r="AD339"/>
    </row>
    <row r="340" spans="17:30" ht="12.75" customHeight="1" thickBot="1">
      <c r="Q340" s="364"/>
      <c r="R340" s="699" t="s">
        <v>839</v>
      </c>
      <c r="S340" s="693"/>
      <c r="T340" s="693"/>
      <c r="U340" s="694">
        <f>IF(T338&gt;0,(VLOOKUP(V340,'Lookup Ready-reckoner'!$L$5:$M$1207,2))," ")</f>
        <v>96.05</v>
      </c>
      <c r="V340" s="695">
        <f>IF(U338&gt;0,(SUM(V338:V339))," ")</f>
        <v>1270.6645056726086</v>
      </c>
      <c r="W340" s="696"/>
      <c r="X340" s="364"/>
      <c r="Y340" s="364"/>
      <c r="Z340" s="364"/>
      <c r="AA340"/>
      <c r="AB340"/>
      <c r="AC340"/>
      <c r="AD340"/>
    </row>
    <row r="341" spans="17:30" ht="12.75" customHeight="1" thickBot="1">
      <c r="Q341" s="364"/>
      <c r="R341" s="892"/>
      <c r="S341" s="893"/>
      <c r="T341" s="893"/>
      <c r="U341" s="893"/>
      <c r="V341" s="893"/>
      <c r="W341" s="894"/>
      <c r="X341" s="364"/>
      <c r="Y341" s="364"/>
      <c r="Z341" s="364"/>
      <c r="AA341"/>
      <c r="AB341"/>
      <c r="AC341"/>
      <c r="AD341"/>
    </row>
    <row r="342" spans="17:30" ht="12.75" customHeight="1">
      <c r="Q342" s="364"/>
      <c r="R342" s="895" t="s">
        <v>886</v>
      </c>
      <c r="S342" s="896"/>
      <c r="T342" s="900" t="s">
        <v>835</v>
      </c>
      <c r="U342" s="900" t="s">
        <v>836</v>
      </c>
      <c r="V342" s="900" t="s">
        <v>837</v>
      </c>
      <c r="W342" s="902" t="s">
        <v>838</v>
      </c>
      <c r="X342" s="364"/>
      <c r="Y342" s="364"/>
      <c r="Z342" s="364"/>
      <c r="AA342"/>
      <c r="AB342"/>
      <c r="AC342"/>
      <c r="AD342"/>
    </row>
    <row r="343" spans="17:30" ht="12.75" customHeight="1">
      <c r="Q343" s="364"/>
      <c r="R343" s="892"/>
      <c r="S343" s="897"/>
      <c r="T343" s="901"/>
      <c r="U343" s="901"/>
      <c r="V343" s="901"/>
      <c r="W343" s="903"/>
      <c r="X343" s="364"/>
      <c r="Y343" s="364"/>
      <c r="Z343" s="364"/>
      <c r="AA343"/>
      <c r="AB343"/>
      <c r="AC343"/>
      <c r="AD343"/>
    </row>
    <row r="344" spans="17:30" ht="12.75" customHeight="1">
      <c r="Q344" s="364"/>
      <c r="R344" s="892"/>
      <c r="S344" s="897"/>
      <c r="T344" s="689">
        <f>T331-PPE!$I$15</f>
        <v>99.738360000000043</v>
      </c>
      <c r="U344" s="560">
        <f>U338</f>
        <v>1.2965964343598047</v>
      </c>
      <c r="V344" s="690">
        <f>IF(T344&gt;0,W344*U344," ")</f>
        <v>484.60291734197699</v>
      </c>
      <c r="W344" s="691">
        <f>IF(T344&gt;0,(VLOOKUP(T344,'Lookup Ready-reckoner'!$B$5:$E$1207,4))," ")</f>
        <v>373.75</v>
      </c>
      <c r="X344" s="364"/>
      <c r="Y344" s="364"/>
      <c r="Z344" s="364"/>
      <c r="AA344"/>
      <c r="AB344"/>
      <c r="AC344"/>
      <c r="AD344"/>
    </row>
    <row r="345" spans="17:30" ht="12.75" customHeight="1">
      <c r="Q345" s="364"/>
      <c r="R345" s="898"/>
      <c r="S345" s="899"/>
      <c r="T345" s="447"/>
      <c r="U345" s="560"/>
      <c r="V345" s="690" t="str">
        <f>IF(T345&gt;0,W345*U345," ")</f>
        <v xml:space="preserve"> </v>
      </c>
      <c r="W345" s="691" t="str">
        <f>IF(T345&gt;0,(VLOOKUP(T345,'Lookup Ready-reckoner'!$B$5:$E$1007,4))," ")</f>
        <v xml:space="preserve"> </v>
      </c>
      <c r="X345" s="364"/>
      <c r="Y345" s="364"/>
      <c r="Z345" s="364"/>
      <c r="AA345"/>
      <c r="AB345"/>
      <c r="AC345"/>
      <c r="AD345"/>
    </row>
    <row r="346" spans="17:30" ht="12.75" customHeight="1" thickBot="1">
      <c r="Q346" s="364"/>
      <c r="R346" s="692" t="s">
        <v>839</v>
      </c>
      <c r="S346" s="693"/>
      <c r="T346" s="693"/>
      <c r="U346" s="694">
        <f>IF(T344&gt;0,(VLOOKUP(V346,'Lookup Ready-reckoner'!$L$5:$M$1207,2))," ")</f>
        <v>91.8</v>
      </c>
      <c r="V346" s="695">
        <f>IF(U344&gt;0,(SUM(V344:V345))," ")</f>
        <v>484.60291734197699</v>
      </c>
      <c r="W346" s="696"/>
      <c r="X346" s="364"/>
      <c r="Y346" s="364"/>
      <c r="Z346" s="364"/>
      <c r="AA346"/>
      <c r="AB346"/>
      <c r="AC346"/>
      <c r="AD346"/>
    </row>
    <row r="347" spans="17:30" ht="12.75" customHeight="1">
      <c r="Q347" s="364"/>
      <c r="R347" s="363"/>
      <c r="S347" s="363"/>
      <c r="T347" s="363"/>
      <c r="U347" s="363"/>
      <c r="V347" s="363"/>
      <c r="W347" s="363"/>
      <c r="X347" s="364"/>
      <c r="Y347" s="364"/>
      <c r="Z347" s="364"/>
      <c r="AA347"/>
      <c r="AB347"/>
      <c r="AC347"/>
      <c r="AD347"/>
    </row>
    <row r="348" spans="17:30" ht="12.75" customHeight="1" thickBot="1">
      <c r="Q348" s="364"/>
      <c r="R348" s="915" t="str">
        <f>T306</f>
        <v>Seco S215 Muffled</v>
      </c>
      <c r="S348" s="915"/>
      <c r="T348" s="915"/>
      <c r="U348" s="915"/>
      <c r="V348" s="915"/>
      <c r="W348" s="915"/>
      <c r="X348" s="364"/>
      <c r="Y348" s="363"/>
      <c r="Z348" s="363"/>
      <c r="AA348"/>
      <c r="AB348"/>
      <c r="AC348"/>
      <c r="AD348"/>
    </row>
    <row r="349" spans="17:30" ht="12.75" customHeight="1" thickBot="1">
      <c r="Q349" s="364"/>
      <c r="R349" s="906" t="s">
        <v>205</v>
      </c>
      <c r="S349" s="907"/>
      <c r="T349" s="907"/>
      <c r="U349" s="907"/>
      <c r="V349" s="907"/>
      <c r="W349" s="908"/>
      <c r="X349" s="364"/>
      <c r="Y349" s="363"/>
      <c r="Z349" s="363"/>
      <c r="AA349"/>
      <c r="AB349"/>
      <c r="AC349"/>
      <c r="AD349"/>
    </row>
    <row r="350" spans="17:30" ht="12.75" customHeight="1" thickBot="1">
      <c r="Q350" s="364"/>
      <c r="R350" s="686" t="s">
        <v>59</v>
      </c>
      <c r="S350" s="577"/>
      <c r="T350" s="687"/>
      <c r="U350" s="687"/>
      <c r="V350" s="687"/>
      <c r="W350" s="688"/>
      <c r="X350" s="364"/>
      <c r="Y350" s="363"/>
      <c r="Z350" s="363"/>
      <c r="AA350"/>
      <c r="AB350"/>
      <c r="AC350"/>
      <c r="AD350"/>
    </row>
    <row r="351" spans="17:30" ht="12.75" customHeight="1">
      <c r="Q351" s="364"/>
      <c r="R351" s="895" t="s">
        <v>845</v>
      </c>
      <c r="S351" s="896"/>
      <c r="T351" s="900" t="s">
        <v>835</v>
      </c>
      <c r="U351" s="900" t="s">
        <v>836</v>
      </c>
      <c r="V351" s="900" t="s">
        <v>837</v>
      </c>
      <c r="W351" s="902" t="s">
        <v>838</v>
      </c>
      <c r="X351" s="364"/>
      <c r="Y351" s="363"/>
      <c r="Z351" s="363"/>
      <c r="AA351"/>
      <c r="AB351"/>
      <c r="AC351"/>
      <c r="AD351"/>
    </row>
    <row r="352" spans="17:30" ht="12.75" customHeight="1">
      <c r="Q352" s="364"/>
      <c r="R352" s="892"/>
      <c r="S352" s="897"/>
      <c r="T352" s="904"/>
      <c r="U352" s="904"/>
      <c r="V352" s="904"/>
      <c r="W352" s="905"/>
      <c r="X352" s="364"/>
      <c r="Y352" s="363"/>
      <c r="Z352" s="363"/>
      <c r="AA352"/>
      <c r="AB352"/>
      <c r="AC352"/>
      <c r="AD352"/>
    </row>
    <row r="353" spans="17:30" ht="12.75" customHeight="1">
      <c r="Q353" s="364"/>
      <c r="R353" s="892"/>
      <c r="S353" s="897"/>
      <c r="T353" s="901"/>
      <c r="U353" s="901"/>
      <c r="V353" s="901"/>
      <c r="W353" s="903"/>
      <c r="X353" s="364"/>
      <c r="Y353" s="363"/>
      <c r="Z353" s="363"/>
      <c r="AA353"/>
      <c r="AB353"/>
      <c r="AC353"/>
      <c r="AD353"/>
    </row>
    <row r="354" spans="17:30" ht="12.75" customHeight="1">
      <c r="Q354" s="364"/>
      <c r="R354" s="892"/>
      <c r="S354" s="897"/>
      <c r="T354" s="700">
        <f>V69</f>
        <v>108.59999999999988</v>
      </c>
      <c r="U354" s="560">
        <f>V62</f>
        <v>1.6949152542372867</v>
      </c>
      <c r="V354" s="690">
        <f>IF(T354&gt;0,W354*U354," ")</f>
        <v>4889.8305084745725</v>
      </c>
      <c r="W354" s="691">
        <f>IF(T354&gt;0,(VLOOKUP(T354,'Lookup Ready-reckoner'!$B$5:$E$1207,4))," ")</f>
        <v>2885</v>
      </c>
      <c r="X354" s="364"/>
      <c r="Y354" s="363"/>
      <c r="Z354" s="363"/>
      <c r="AA354"/>
      <c r="AB354"/>
      <c r="AC354"/>
      <c r="AD354"/>
    </row>
    <row r="355" spans="17:30" ht="12.75" customHeight="1">
      <c r="Q355" s="364"/>
      <c r="R355" s="898"/>
      <c r="S355" s="899"/>
      <c r="T355" s="447"/>
      <c r="U355" s="560"/>
      <c r="V355" s="690" t="str">
        <f>IF(T355&gt;0,W355*U355," ")</f>
        <v xml:space="preserve"> </v>
      </c>
      <c r="W355" s="691" t="str">
        <f>IF(T355&gt;0,(VLOOKUP(T355,'Lookup Ready-reckoner'!$B$5:$E$1007,4))," ")</f>
        <v xml:space="preserve"> </v>
      </c>
      <c r="X355" s="364"/>
      <c r="Y355" s="363"/>
      <c r="Z355" s="363"/>
      <c r="AA355"/>
      <c r="AB355"/>
      <c r="AC355"/>
      <c r="AD355"/>
    </row>
    <row r="356" spans="17:30" ht="12.75" customHeight="1" thickBot="1">
      <c r="Q356" s="364"/>
      <c r="R356" s="699" t="s">
        <v>839</v>
      </c>
      <c r="S356" s="693"/>
      <c r="T356" s="693"/>
      <c r="U356" s="701">
        <f>IF(T354&gt;0,(VLOOKUP(V356,'Lookup Ready-reckoner'!$L$5:$M$1207,2))," ")</f>
        <v>101.85</v>
      </c>
      <c r="V356" s="695">
        <f>IF(U354&gt;0,(SUM(V354:V355))," ")</f>
        <v>4889.8305084745725</v>
      </c>
      <c r="W356" s="696"/>
      <c r="X356" s="364"/>
      <c r="Y356" s="363"/>
      <c r="Z356" s="363"/>
      <c r="AA356"/>
      <c r="AB356"/>
      <c r="AC356"/>
      <c r="AD356"/>
    </row>
    <row r="357" spans="17:30" ht="12.75" customHeight="1" thickBot="1">
      <c r="Q357" s="364"/>
      <c r="R357" s="892"/>
      <c r="S357" s="893"/>
      <c r="T357" s="893"/>
      <c r="U357" s="893"/>
      <c r="V357" s="893"/>
      <c r="W357" s="894"/>
      <c r="X357" s="364"/>
      <c r="Y357" s="363"/>
      <c r="Z357" s="363"/>
      <c r="AA357"/>
      <c r="AB357"/>
      <c r="AC357"/>
      <c r="AD357"/>
    </row>
    <row r="358" spans="17:30" ht="12.75" customHeight="1">
      <c r="Q358" s="364"/>
      <c r="R358" s="895" t="s">
        <v>886</v>
      </c>
      <c r="S358" s="896"/>
      <c r="T358" s="900" t="s">
        <v>835</v>
      </c>
      <c r="U358" s="900" t="s">
        <v>836</v>
      </c>
      <c r="V358" s="900" t="s">
        <v>837</v>
      </c>
      <c r="W358" s="902" t="s">
        <v>838</v>
      </c>
      <c r="X358" s="364"/>
      <c r="Y358" s="363"/>
      <c r="Z358" s="363"/>
      <c r="AA358"/>
      <c r="AB358"/>
      <c r="AC358"/>
      <c r="AD358"/>
    </row>
    <row r="359" spans="17:30" ht="12.75" customHeight="1">
      <c r="Q359" s="364"/>
      <c r="R359" s="892"/>
      <c r="S359" s="897"/>
      <c r="T359" s="901"/>
      <c r="U359" s="901"/>
      <c r="V359" s="901"/>
      <c r="W359" s="903"/>
      <c r="X359" s="364"/>
      <c r="Y359" s="363"/>
      <c r="Z359" s="363"/>
      <c r="AA359"/>
      <c r="AB359"/>
      <c r="AC359"/>
      <c r="AD359"/>
    </row>
    <row r="360" spans="17:30" ht="12.75" customHeight="1">
      <c r="Q360" s="364"/>
      <c r="R360" s="892"/>
      <c r="S360" s="897"/>
      <c r="T360" s="700">
        <f>T354*(1-0.0178*2)</f>
        <v>104.73383999999989</v>
      </c>
      <c r="U360" s="560">
        <f>U354</f>
        <v>1.6949152542372867</v>
      </c>
      <c r="V360" s="690">
        <f>IF(T360&gt;0,W360*U360," ")</f>
        <v>1991.5254237288118</v>
      </c>
      <c r="W360" s="691">
        <f>IF(T360&gt;0,(VLOOKUP(T360,'Lookup Ready-reckoner'!$B$5:$E$1207,4))," ")</f>
        <v>1175</v>
      </c>
      <c r="X360" s="364"/>
      <c r="Y360" s="363"/>
      <c r="Z360" s="363"/>
      <c r="AA360"/>
      <c r="AB360"/>
      <c r="AC360"/>
      <c r="AD360"/>
    </row>
    <row r="361" spans="17:30" ht="12.75" customHeight="1">
      <c r="Q361" s="364"/>
      <c r="R361" s="898"/>
      <c r="S361" s="899"/>
      <c r="T361" s="447"/>
      <c r="U361" s="560"/>
      <c r="V361" s="690" t="str">
        <f>IF(T361&gt;0,W361*U361," ")</f>
        <v xml:space="preserve"> </v>
      </c>
      <c r="W361" s="691" t="str">
        <f>IF(T361&gt;0,(VLOOKUP(T361,'Lookup Ready-reckoner'!$B$5:$E$1007,4))," ")</f>
        <v xml:space="preserve"> </v>
      </c>
      <c r="X361" s="364"/>
      <c r="Y361" s="363"/>
      <c r="Z361" s="363"/>
      <c r="AA361"/>
      <c r="AB361"/>
      <c r="AC361"/>
      <c r="AD361"/>
    </row>
    <row r="362" spans="17:30" ht="12.75" customHeight="1" thickBot="1">
      <c r="Q362" s="364"/>
      <c r="R362" s="692" t="s">
        <v>839</v>
      </c>
      <c r="S362" s="693"/>
      <c r="T362" s="693"/>
      <c r="U362" s="701">
        <f>IF(T360&gt;0,(VLOOKUP(V362,'Lookup Ready-reckoner'!$L$5:$M$1207,2))," ")</f>
        <v>97.95</v>
      </c>
      <c r="V362" s="695">
        <f>IF(U360&gt;0,(SUM(V360:V361))," ")</f>
        <v>1991.5254237288118</v>
      </c>
      <c r="W362" s="696"/>
      <c r="X362" s="364"/>
      <c r="Y362" s="363"/>
      <c r="Z362" s="363"/>
      <c r="AA362"/>
      <c r="AB362"/>
      <c r="AC362"/>
      <c r="AD362"/>
    </row>
    <row r="363" spans="17:30" ht="12.75" customHeight="1">
      <c r="Q363" s="364"/>
      <c r="R363" s="697"/>
      <c r="S363" s="687"/>
      <c r="T363" s="687"/>
      <c r="U363" s="372"/>
      <c r="V363" s="374"/>
      <c r="W363" s="688"/>
      <c r="X363" s="364"/>
      <c r="Y363" s="363"/>
      <c r="Z363" s="363"/>
      <c r="AA363"/>
      <c r="AB363"/>
      <c r="AC363"/>
      <c r="AD363"/>
    </row>
    <row r="364" spans="17:30" ht="12.75" customHeight="1" thickBot="1">
      <c r="Q364" s="364"/>
      <c r="R364" s="686" t="s">
        <v>60</v>
      </c>
      <c r="S364" s="577"/>
      <c r="T364" s="577"/>
      <c r="U364" s="577"/>
      <c r="V364" s="577"/>
      <c r="W364" s="698"/>
      <c r="X364" s="364"/>
      <c r="Y364" s="363"/>
      <c r="Z364" s="363"/>
      <c r="AA364"/>
      <c r="AB364"/>
      <c r="AC364"/>
      <c r="AD364"/>
    </row>
    <row r="365" spans="17:30" ht="12.75" customHeight="1">
      <c r="Q365" s="364"/>
      <c r="R365" s="895" t="s">
        <v>845</v>
      </c>
      <c r="S365" s="896"/>
      <c r="T365" s="900" t="s">
        <v>835</v>
      </c>
      <c r="U365" s="900" t="s">
        <v>836</v>
      </c>
      <c r="V365" s="900" t="s">
        <v>837</v>
      </c>
      <c r="W365" s="902" t="s">
        <v>838</v>
      </c>
      <c r="X365" s="364"/>
      <c r="Y365" s="363"/>
      <c r="Z365" s="363"/>
      <c r="AA365"/>
      <c r="AB365"/>
      <c r="AC365"/>
      <c r="AD365"/>
    </row>
    <row r="366" spans="17:30" ht="12.75" customHeight="1">
      <c r="Q366" s="364"/>
      <c r="R366" s="892"/>
      <c r="S366" s="897"/>
      <c r="T366" s="901"/>
      <c r="U366" s="901"/>
      <c r="V366" s="901"/>
      <c r="W366" s="903"/>
      <c r="X366" s="364"/>
      <c r="Y366" s="363"/>
      <c r="Z366" s="363"/>
      <c r="AA366"/>
      <c r="AB366"/>
      <c r="AC366"/>
      <c r="AD366"/>
    </row>
    <row r="367" spans="17:30" ht="12.75" customHeight="1">
      <c r="Q367" s="364"/>
      <c r="R367" s="892"/>
      <c r="S367" s="897"/>
      <c r="T367" s="700">
        <f>T354-PPE!$I$15</f>
        <v>95.599999999999881</v>
      </c>
      <c r="U367" s="560">
        <f>U360</f>
        <v>1.6949152542372867</v>
      </c>
      <c r="V367" s="690">
        <f>IF(T367&gt;0,W367*U367," ")</f>
        <v>240.99576271186422</v>
      </c>
      <c r="W367" s="691">
        <f>IF(T367&gt;0,(VLOOKUP(T367,'Lookup Ready-reckoner'!$B$5:$E$1207,4))," ")</f>
        <v>142.1875</v>
      </c>
      <c r="X367" s="364"/>
      <c r="Y367" s="363"/>
      <c r="Z367" s="363"/>
      <c r="AA367"/>
      <c r="AB367"/>
      <c r="AC367"/>
      <c r="AD367"/>
    </row>
    <row r="368" spans="17:30" ht="12.75" customHeight="1">
      <c r="Q368" s="364"/>
      <c r="R368" s="898"/>
      <c r="S368" s="899"/>
      <c r="T368" s="447"/>
      <c r="U368" s="560"/>
      <c r="V368" s="690" t="str">
        <f>IF(T368&gt;0,W368*U368," ")</f>
        <v xml:space="preserve"> </v>
      </c>
      <c r="W368" s="691" t="str">
        <f>IF(T368&gt;0,(VLOOKUP(T368,'Lookup Ready-reckoner'!$B$5:$E$1007,4))," ")</f>
        <v xml:space="preserve"> </v>
      </c>
      <c r="X368" s="364"/>
      <c r="Y368" s="363"/>
      <c r="Z368" s="363"/>
      <c r="AA368"/>
      <c r="AB368"/>
      <c r="AC368"/>
      <c r="AD368"/>
    </row>
    <row r="369" spans="17:30" ht="12.75" customHeight="1" thickBot="1">
      <c r="Q369" s="364"/>
      <c r="R369" s="692" t="s">
        <v>839</v>
      </c>
      <c r="S369" s="693"/>
      <c r="T369" s="693"/>
      <c r="U369" s="701">
        <f>IF(T367&gt;0,(VLOOKUP(V369,'Lookup Ready-reckoner'!$L$5:$M$1207,2))," ")</f>
        <v>88.8</v>
      </c>
      <c r="V369" s="695">
        <f>IF(U367&gt;0,(SUM(V367:V368))," ")</f>
        <v>240.99576271186422</v>
      </c>
      <c r="W369" s="696"/>
      <c r="X369" s="364"/>
      <c r="Y369" s="363"/>
      <c r="Z369" s="363"/>
      <c r="AA369"/>
      <c r="AB369"/>
      <c r="AC369"/>
      <c r="AD369"/>
    </row>
    <row r="370" spans="17:30" ht="12.75" customHeight="1" thickBot="1">
      <c r="Q370" s="364"/>
      <c r="R370" s="892"/>
      <c r="S370" s="893"/>
      <c r="T370" s="893"/>
      <c r="U370" s="893"/>
      <c r="V370" s="893"/>
      <c r="W370" s="894"/>
      <c r="X370" s="364"/>
      <c r="Y370" s="363"/>
      <c r="Z370" s="363"/>
      <c r="AA370"/>
      <c r="AB370"/>
      <c r="AC370"/>
      <c r="AD370"/>
    </row>
    <row r="371" spans="17:30" ht="12.75" customHeight="1">
      <c r="Q371" s="364"/>
      <c r="R371" s="895" t="s">
        <v>886</v>
      </c>
      <c r="S371" s="896"/>
      <c r="T371" s="900" t="s">
        <v>835</v>
      </c>
      <c r="U371" s="900" t="s">
        <v>836</v>
      </c>
      <c r="V371" s="900" t="s">
        <v>837</v>
      </c>
      <c r="W371" s="902" t="s">
        <v>838</v>
      </c>
      <c r="X371" s="364"/>
      <c r="Y371" s="363"/>
      <c r="Z371" s="363"/>
      <c r="AA371"/>
      <c r="AB371"/>
      <c r="AC371"/>
      <c r="AD371"/>
    </row>
    <row r="372" spans="17:30" ht="12.75" customHeight="1">
      <c r="Q372" s="364"/>
      <c r="R372" s="892"/>
      <c r="S372" s="897"/>
      <c r="T372" s="901"/>
      <c r="U372" s="901"/>
      <c r="V372" s="901"/>
      <c r="W372" s="903"/>
      <c r="X372" s="364"/>
      <c r="Y372" s="363"/>
      <c r="Z372" s="363"/>
      <c r="AA372"/>
      <c r="AB372"/>
      <c r="AC372"/>
      <c r="AD372"/>
    </row>
    <row r="373" spans="17:30" ht="12.75" customHeight="1">
      <c r="Q373" s="364"/>
      <c r="R373" s="892"/>
      <c r="S373" s="897"/>
      <c r="T373" s="700">
        <f>T360-PPE!$I$15</f>
        <v>91.733839999999887</v>
      </c>
      <c r="U373" s="560">
        <f>U367</f>
        <v>1.6949152542372867</v>
      </c>
      <c r="V373" s="690">
        <f>IF(T373&gt;0,W373*U373," ")</f>
        <v>99.576271186440593</v>
      </c>
      <c r="W373" s="691">
        <f>IF(T373&gt;0,(VLOOKUP(T373,'Lookup Ready-reckoner'!$B$5:$E$1207,4))," ")</f>
        <v>58.75</v>
      </c>
      <c r="X373" s="364"/>
      <c r="Y373" s="363"/>
      <c r="Z373" s="363"/>
      <c r="AA373"/>
      <c r="AB373"/>
      <c r="AC373"/>
      <c r="AD373"/>
    </row>
    <row r="374" spans="17:30" ht="12.75" customHeight="1">
      <c r="Q374" s="364"/>
      <c r="R374" s="898"/>
      <c r="S374" s="899"/>
      <c r="T374" s="447"/>
      <c r="U374" s="560"/>
      <c r="V374" s="690" t="str">
        <f>IF(T374&gt;0,W374*U374," ")</f>
        <v xml:space="preserve"> </v>
      </c>
      <c r="W374" s="691" t="str">
        <f>IF(T374&gt;0,(VLOOKUP(T374,'Lookup Ready-reckoner'!$B$5:$E$1007,4))," ")</f>
        <v xml:space="preserve"> </v>
      </c>
      <c r="X374" s="364"/>
      <c r="Y374" s="363"/>
      <c r="Z374" s="363"/>
      <c r="AA374"/>
      <c r="AB374"/>
      <c r="AC374"/>
      <c r="AD374"/>
    </row>
    <row r="375" spans="17:30" ht="12.75" customHeight="1" thickBot="1">
      <c r="Q375" s="364"/>
      <c r="R375" s="692" t="s">
        <v>839</v>
      </c>
      <c r="S375" s="693"/>
      <c r="T375" s="693"/>
      <c r="U375" s="701">
        <f>IF(T373&gt;0,(VLOOKUP(V375,'Lookup Ready-reckoner'!$L$5:$M$1207,2))," ")</f>
        <v>84.95</v>
      </c>
      <c r="V375" s="695">
        <f>IF(U373&gt;0,(SUM(V373:V374))," ")</f>
        <v>99.576271186440593</v>
      </c>
      <c r="W375" s="696"/>
      <c r="X375" s="364"/>
      <c r="Y375" s="363"/>
      <c r="Z375" s="363"/>
      <c r="AA375"/>
      <c r="AB375"/>
      <c r="AC375"/>
      <c r="AD375"/>
    </row>
    <row r="376" spans="17:30" ht="12.75" customHeight="1">
      <c r="Q376" s="364"/>
      <c r="R376" s="363"/>
      <c r="S376" s="363"/>
      <c r="T376" s="363"/>
      <c r="U376" s="363"/>
      <c r="V376" s="363"/>
      <c r="W376" s="363"/>
      <c r="X376" s="364"/>
      <c r="Y376" s="364"/>
      <c r="Z376" s="364"/>
      <c r="AA376"/>
      <c r="AB376"/>
      <c r="AC376"/>
      <c r="AD376"/>
    </row>
    <row r="377" spans="17:30" ht="12.75" customHeight="1">
      <c r="Q377" s="364"/>
      <c r="R377" s="913" t="str">
        <f>U306</f>
        <v>Sulzer ADDS</v>
      </c>
      <c r="S377" s="914"/>
      <c r="T377" s="914"/>
      <c r="U377" s="914"/>
      <c r="V377" s="914"/>
      <c r="W377" s="914"/>
      <c r="X377" s="364"/>
      <c r="Y377" s="363"/>
      <c r="Z377" s="363"/>
      <c r="AA377"/>
      <c r="AB377"/>
      <c r="AC377"/>
      <c r="AD377"/>
    </row>
    <row r="378" spans="17:30" ht="12.75" customHeight="1" thickBot="1">
      <c r="Q378" s="364"/>
      <c r="R378" s="910" t="s">
        <v>205</v>
      </c>
      <c r="S378" s="911"/>
      <c r="T378" s="911"/>
      <c r="U378" s="911"/>
      <c r="V378" s="911"/>
      <c r="W378" s="912"/>
      <c r="X378" s="364"/>
      <c r="Y378" s="363"/>
      <c r="Z378" s="363"/>
      <c r="AA378"/>
      <c r="AB378"/>
      <c r="AC378"/>
      <c r="AD378"/>
    </row>
    <row r="379" spans="17:30" ht="12.75" customHeight="1" thickBot="1">
      <c r="Q379" s="364"/>
      <c r="R379" s="686" t="s">
        <v>59</v>
      </c>
      <c r="S379" s="577"/>
      <c r="T379" s="687"/>
      <c r="U379" s="687"/>
      <c r="V379" s="687"/>
      <c r="W379" s="688"/>
      <c r="X379" s="364"/>
      <c r="Y379" s="363"/>
      <c r="Z379" s="363"/>
      <c r="AA379"/>
      <c r="AB379"/>
      <c r="AC379"/>
      <c r="AD379"/>
    </row>
    <row r="380" spans="17:30" ht="12.75" customHeight="1">
      <c r="Q380" s="364"/>
      <c r="R380" s="895" t="s">
        <v>845</v>
      </c>
      <c r="S380" s="896"/>
      <c r="T380" s="900" t="s">
        <v>835</v>
      </c>
      <c r="U380" s="900" t="s">
        <v>836</v>
      </c>
      <c r="V380" s="900" t="s">
        <v>837</v>
      </c>
      <c r="W380" s="902" t="s">
        <v>838</v>
      </c>
      <c r="X380" s="364"/>
      <c r="Y380" s="363"/>
      <c r="Z380" s="363"/>
      <c r="AA380"/>
      <c r="AB380"/>
      <c r="AC380"/>
      <c r="AD380"/>
    </row>
    <row r="381" spans="17:30" ht="12.75" customHeight="1">
      <c r="Q381" s="364"/>
      <c r="R381" s="892"/>
      <c r="S381" s="897"/>
      <c r="T381" s="904"/>
      <c r="U381" s="904"/>
      <c r="V381" s="904"/>
      <c r="W381" s="905"/>
      <c r="X381" s="364"/>
      <c r="Y381" s="363"/>
      <c r="Z381" s="363"/>
      <c r="AA381"/>
      <c r="AB381"/>
      <c r="AC381"/>
      <c r="AD381"/>
    </row>
    <row r="382" spans="17:30" ht="12.75" customHeight="1">
      <c r="Q382" s="364"/>
      <c r="R382" s="892"/>
      <c r="S382" s="897"/>
      <c r="T382" s="901"/>
      <c r="U382" s="901"/>
      <c r="V382" s="901"/>
      <c r="W382" s="903"/>
      <c r="X382" s="364"/>
      <c r="Y382" s="363"/>
      <c r="Z382" s="363"/>
      <c r="AA382"/>
      <c r="AB382"/>
      <c r="AC382"/>
      <c r="AD382"/>
    </row>
    <row r="383" spans="17:30" ht="12.75" customHeight="1">
      <c r="Q383" s="364"/>
      <c r="R383" s="892"/>
      <c r="S383" s="897"/>
      <c r="T383" s="702">
        <f>W69</f>
        <v>109.59999999999988</v>
      </c>
      <c r="U383" s="560">
        <f>W62</f>
        <v>1.6528925619834685</v>
      </c>
      <c r="V383" s="690">
        <f>IF(T383&gt;0,W383*U383," ")</f>
        <v>6016.5289256198248</v>
      </c>
      <c r="W383" s="691">
        <f>IF(T383&gt;0,(VLOOKUP(T383,'Lookup Ready-reckoner'!$B$5:$E$1207,4))," ")</f>
        <v>3640</v>
      </c>
      <c r="X383" s="364"/>
      <c r="Y383" s="363"/>
      <c r="Z383" s="363"/>
      <c r="AA383"/>
      <c r="AB383"/>
      <c r="AC383"/>
      <c r="AD383"/>
    </row>
    <row r="384" spans="17:30" ht="12.75" customHeight="1">
      <c r="Q384" s="364"/>
      <c r="R384" s="898"/>
      <c r="S384" s="899"/>
      <c r="T384" s="447"/>
      <c r="U384" s="560"/>
      <c r="V384" s="690" t="str">
        <f>IF(T384&gt;0,W384*U384," ")</f>
        <v xml:space="preserve"> </v>
      </c>
      <c r="W384" s="691" t="str">
        <f>IF(T384&gt;0,(VLOOKUP(T384,'Lookup Ready-reckoner'!$B$5:$E$1007,4))," ")</f>
        <v xml:space="preserve"> </v>
      </c>
      <c r="X384" s="364"/>
      <c r="Y384" s="363"/>
      <c r="Z384" s="363"/>
      <c r="AA384"/>
      <c r="AB384"/>
      <c r="AC384"/>
      <c r="AD384"/>
    </row>
    <row r="385" spans="17:30" ht="12.75" customHeight="1" thickBot="1">
      <c r="Q385" s="364"/>
      <c r="R385" s="692" t="s">
        <v>839</v>
      </c>
      <c r="S385" s="693"/>
      <c r="T385" s="693"/>
      <c r="U385" s="703">
        <f>IF(T383&gt;0,(VLOOKUP(V385,'Lookup Ready-reckoner'!$L$5:$M$1207,2))," ")</f>
        <v>102.7</v>
      </c>
      <c r="V385" s="695">
        <f>IF(U383&gt;0,(SUM(V383:V384))," ")</f>
        <v>6016.5289256198248</v>
      </c>
      <c r="W385" s="696"/>
      <c r="X385" s="364"/>
      <c r="Y385" s="363"/>
      <c r="Z385" s="363"/>
      <c r="AA385"/>
      <c r="AB385"/>
      <c r="AC385"/>
      <c r="AD385"/>
    </row>
    <row r="386" spans="17:30" ht="12.75" customHeight="1" thickBot="1">
      <c r="Q386" s="364"/>
      <c r="R386" s="892"/>
      <c r="S386" s="893"/>
      <c r="T386" s="893"/>
      <c r="U386" s="893"/>
      <c r="V386" s="893"/>
      <c r="W386" s="894"/>
      <c r="X386" s="364"/>
      <c r="Y386" s="363"/>
      <c r="Z386" s="363"/>
      <c r="AA386"/>
      <c r="AB386"/>
      <c r="AC386"/>
      <c r="AD386"/>
    </row>
    <row r="387" spans="17:30" ht="12.75" customHeight="1">
      <c r="Q387" s="364"/>
      <c r="R387" s="895" t="s">
        <v>886</v>
      </c>
      <c r="S387" s="896"/>
      <c r="T387" s="900" t="s">
        <v>835</v>
      </c>
      <c r="U387" s="900" t="s">
        <v>836</v>
      </c>
      <c r="V387" s="900" t="s">
        <v>837</v>
      </c>
      <c r="W387" s="902" t="s">
        <v>838</v>
      </c>
      <c r="X387" s="364"/>
      <c r="Y387" s="363"/>
      <c r="Z387" s="363"/>
      <c r="AA387"/>
      <c r="AB387"/>
      <c r="AC387"/>
      <c r="AD387"/>
    </row>
    <row r="388" spans="17:30" ht="12.75" customHeight="1">
      <c r="Q388" s="364"/>
      <c r="R388" s="892"/>
      <c r="S388" s="897"/>
      <c r="T388" s="901"/>
      <c r="U388" s="901"/>
      <c r="V388" s="901"/>
      <c r="W388" s="903"/>
      <c r="X388" s="364"/>
      <c r="Y388" s="363"/>
      <c r="Z388" s="363"/>
      <c r="AA388"/>
      <c r="AB388"/>
      <c r="AC388"/>
      <c r="AD388"/>
    </row>
    <row r="389" spans="17:30" ht="12.75" customHeight="1">
      <c r="Q389" s="364"/>
      <c r="R389" s="892"/>
      <c r="S389" s="897"/>
      <c r="T389" s="702">
        <f>T383*(1-0.0178*2)</f>
        <v>105.69823999999988</v>
      </c>
      <c r="U389" s="560">
        <f>U383</f>
        <v>1.6528925619834685</v>
      </c>
      <c r="V389" s="690">
        <f>IF(T389&gt;0,W389*U389," ")</f>
        <v>2442.1487603305745</v>
      </c>
      <c r="W389" s="691">
        <f>IF(T389&gt;0,(VLOOKUP(T389,'Lookup Ready-reckoner'!$B$5:$E$1207,4))," ")</f>
        <v>1477.5</v>
      </c>
      <c r="X389" s="364"/>
      <c r="Y389" s="363"/>
      <c r="Z389" s="363"/>
      <c r="AA389"/>
      <c r="AB389"/>
      <c r="AC389"/>
      <c r="AD389"/>
    </row>
    <row r="390" spans="17:30" ht="12.75" customHeight="1">
      <c r="Q390" s="364"/>
      <c r="R390" s="898"/>
      <c r="S390" s="899"/>
      <c r="T390" s="447"/>
      <c r="U390" s="560"/>
      <c r="V390" s="690" t="str">
        <f>IF(T390&gt;0,W390*U390," ")</f>
        <v xml:space="preserve"> </v>
      </c>
      <c r="W390" s="691" t="str">
        <f>IF(T390&gt;0,(VLOOKUP(T390,'Lookup Ready-reckoner'!$B$5:$E$1007,4))," ")</f>
        <v xml:space="preserve"> </v>
      </c>
      <c r="X390" s="364"/>
      <c r="Y390" s="363"/>
      <c r="Z390" s="363"/>
      <c r="AA390"/>
      <c r="AB390"/>
      <c r="AC390"/>
      <c r="AD390"/>
    </row>
    <row r="391" spans="17:30" ht="12.75" customHeight="1" thickBot="1">
      <c r="Q391" s="364"/>
      <c r="R391" s="692" t="s">
        <v>839</v>
      </c>
      <c r="S391" s="693"/>
      <c r="T391" s="693"/>
      <c r="U391" s="703">
        <f>IF(T389&gt;0,(VLOOKUP(V391,'Lookup Ready-reckoner'!$L$5:$M$1207,2))," ")</f>
        <v>98.85</v>
      </c>
      <c r="V391" s="695">
        <f>IF(U389&gt;0,(SUM(V389:V390))," ")</f>
        <v>2442.1487603305745</v>
      </c>
      <c r="W391" s="696"/>
      <c r="X391" s="364"/>
      <c r="Y391" s="363"/>
      <c r="Z391" s="363"/>
      <c r="AA391"/>
      <c r="AB391"/>
      <c r="AC391"/>
      <c r="AD391"/>
    </row>
    <row r="392" spans="17:30" ht="12.75" customHeight="1">
      <c r="Q392" s="364"/>
      <c r="R392" s="697"/>
      <c r="S392" s="687"/>
      <c r="T392" s="687"/>
      <c r="U392" s="372"/>
      <c r="V392" s="374"/>
      <c r="W392" s="688"/>
      <c r="X392" s="364"/>
      <c r="Y392" s="363"/>
      <c r="Z392" s="363"/>
      <c r="AA392"/>
      <c r="AB392"/>
      <c r="AC392"/>
      <c r="AD392"/>
    </row>
    <row r="393" spans="17:30" ht="12.75" customHeight="1" thickBot="1">
      <c r="Q393" s="364"/>
      <c r="R393" s="686" t="s">
        <v>60</v>
      </c>
      <c r="S393" s="577"/>
      <c r="T393" s="577"/>
      <c r="U393" s="577"/>
      <c r="V393" s="577"/>
      <c r="W393" s="698"/>
      <c r="X393" s="364"/>
      <c r="Y393" s="363"/>
      <c r="Z393" s="363"/>
      <c r="AA393"/>
      <c r="AB393"/>
      <c r="AC393"/>
      <c r="AD393"/>
    </row>
    <row r="394" spans="17:30" ht="12.75" customHeight="1">
      <c r="Q394" s="364"/>
      <c r="R394" s="895" t="s">
        <v>845</v>
      </c>
      <c r="S394" s="896"/>
      <c r="T394" s="900" t="s">
        <v>835</v>
      </c>
      <c r="U394" s="900" t="s">
        <v>836</v>
      </c>
      <c r="V394" s="900" t="s">
        <v>837</v>
      </c>
      <c r="W394" s="902" t="s">
        <v>838</v>
      </c>
      <c r="X394" s="364"/>
      <c r="Y394" s="363"/>
      <c r="Z394" s="363"/>
      <c r="AA394"/>
      <c r="AB394"/>
      <c r="AC394"/>
      <c r="AD394"/>
    </row>
    <row r="395" spans="17:30" ht="12.75" customHeight="1">
      <c r="Q395" s="364"/>
      <c r="R395" s="892"/>
      <c r="S395" s="897"/>
      <c r="T395" s="901"/>
      <c r="U395" s="901"/>
      <c r="V395" s="901"/>
      <c r="W395" s="903"/>
      <c r="X395" s="364"/>
      <c r="Y395" s="363"/>
      <c r="Z395" s="363"/>
      <c r="AA395"/>
      <c r="AB395"/>
      <c r="AC395"/>
      <c r="AD395"/>
    </row>
    <row r="396" spans="17:30" ht="12.75" customHeight="1">
      <c r="Q396" s="364"/>
      <c r="R396" s="892"/>
      <c r="S396" s="897"/>
      <c r="T396" s="702">
        <f>T383-PPE!$I$15</f>
        <v>96.599999999999881</v>
      </c>
      <c r="U396" s="560">
        <f>U389</f>
        <v>1.6528925619834685</v>
      </c>
      <c r="V396" s="690">
        <f>IF(T396&gt;0,W396*U396," ")</f>
        <v>298.03719008264414</v>
      </c>
      <c r="W396" s="691">
        <f>IF(T396&gt;0,(VLOOKUP(T396,'Lookup Ready-reckoner'!$B$5:$E$1207,4))," ")</f>
        <v>180.3125</v>
      </c>
      <c r="X396" s="364"/>
      <c r="Y396" s="363"/>
      <c r="Z396" s="363"/>
      <c r="AA396"/>
      <c r="AB396"/>
      <c r="AC396"/>
      <c r="AD396"/>
    </row>
    <row r="397" spans="17:30" ht="12.75" customHeight="1">
      <c r="Q397" s="364"/>
      <c r="R397" s="898"/>
      <c r="S397" s="899"/>
      <c r="T397" s="447"/>
      <c r="U397" s="560"/>
      <c r="V397" s="690" t="str">
        <f>IF(T397&gt;0,W397*U397," ")</f>
        <v xml:space="preserve"> </v>
      </c>
      <c r="W397" s="691" t="str">
        <f>IF(T397&gt;0,(VLOOKUP(T397,'Lookup Ready-reckoner'!$B$5:$E$1007,4))," ")</f>
        <v xml:space="preserve"> </v>
      </c>
      <c r="X397" s="364"/>
      <c r="Y397" s="363"/>
      <c r="Z397" s="363"/>
      <c r="AA397"/>
      <c r="AB397"/>
      <c r="AC397"/>
      <c r="AD397"/>
    </row>
    <row r="398" spans="17:30" ht="12.75" customHeight="1" thickBot="1">
      <c r="Q398" s="364"/>
      <c r="R398" s="692" t="s">
        <v>839</v>
      </c>
      <c r="S398" s="693"/>
      <c r="T398" s="693"/>
      <c r="U398" s="703">
        <f>IF(T396&gt;0,(VLOOKUP(V398,'Lookup Ready-reckoner'!$L$5:$M$1207,2))," ")</f>
        <v>89.65</v>
      </c>
      <c r="V398" s="695">
        <f>IF(U396&gt;0,(SUM(V396:V397))," ")</f>
        <v>298.03719008264414</v>
      </c>
      <c r="W398" s="696"/>
      <c r="X398" s="364"/>
      <c r="Y398" s="363"/>
      <c r="Z398" s="363"/>
      <c r="AA398"/>
      <c r="AB398"/>
      <c r="AC398"/>
      <c r="AD398"/>
    </row>
    <row r="399" spans="17:30" ht="12.75" customHeight="1" thickBot="1">
      <c r="Q399" s="364"/>
      <c r="R399" s="892"/>
      <c r="S399" s="893"/>
      <c r="T399" s="893"/>
      <c r="U399" s="893"/>
      <c r="V399" s="893"/>
      <c r="W399" s="894"/>
      <c r="X399" s="364"/>
      <c r="Y399" s="363"/>
      <c r="Z399" s="363"/>
      <c r="AA399"/>
      <c r="AB399"/>
      <c r="AC399"/>
      <c r="AD399"/>
    </row>
    <row r="400" spans="17:30" ht="12.75" customHeight="1">
      <c r="Q400" s="364"/>
      <c r="R400" s="895" t="s">
        <v>886</v>
      </c>
      <c r="S400" s="896"/>
      <c r="T400" s="900" t="s">
        <v>835</v>
      </c>
      <c r="U400" s="900" t="s">
        <v>836</v>
      </c>
      <c r="V400" s="900" t="s">
        <v>837</v>
      </c>
      <c r="W400" s="902" t="s">
        <v>838</v>
      </c>
      <c r="X400" s="364"/>
      <c r="Y400" s="363"/>
      <c r="Z400" s="363"/>
      <c r="AA400"/>
      <c r="AB400"/>
      <c r="AC400"/>
      <c r="AD400"/>
    </row>
    <row r="401" spans="17:30" ht="12.75" customHeight="1">
      <c r="Q401" s="364"/>
      <c r="R401" s="892"/>
      <c r="S401" s="897"/>
      <c r="T401" s="901"/>
      <c r="U401" s="901"/>
      <c r="V401" s="901"/>
      <c r="W401" s="903"/>
      <c r="X401" s="364"/>
      <c r="Y401" s="363"/>
      <c r="Z401" s="363"/>
      <c r="AA401"/>
      <c r="AB401"/>
      <c r="AC401"/>
      <c r="AD401"/>
    </row>
    <row r="402" spans="17:30" ht="12.75" customHeight="1">
      <c r="Q402" s="364"/>
      <c r="R402" s="892"/>
      <c r="S402" s="897"/>
      <c r="T402" s="702">
        <f>T389-PPE!$I$15</f>
        <v>92.698239999999885</v>
      </c>
      <c r="U402" s="560">
        <f>U396</f>
        <v>1.6528925619834685</v>
      </c>
      <c r="V402" s="690">
        <f>IF(T402&gt;0,W402*U402," ")</f>
        <v>120.76446280991716</v>
      </c>
      <c r="W402" s="691">
        <f>IF(T402&gt;0,(VLOOKUP(T402,'Lookup Ready-reckoner'!$B$5:$E$1207,4))," ")</f>
        <v>73.0625</v>
      </c>
      <c r="X402" s="364"/>
      <c r="Y402" s="363"/>
      <c r="Z402" s="363"/>
      <c r="AA402"/>
      <c r="AB402"/>
      <c r="AC402"/>
      <c r="AD402"/>
    </row>
    <row r="403" spans="17:30" ht="12.75" customHeight="1">
      <c r="Q403" s="364"/>
      <c r="R403" s="898"/>
      <c r="S403" s="899"/>
      <c r="T403" s="447"/>
      <c r="U403" s="560"/>
      <c r="V403" s="690" t="str">
        <f>IF(T403&gt;0,W403*U403," ")</f>
        <v xml:space="preserve"> </v>
      </c>
      <c r="W403" s="691" t="str">
        <f>IF(T403&gt;0,(VLOOKUP(T403,'Lookup Ready-reckoner'!$B$5:$E$1007,4))," ")</f>
        <v xml:space="preserve"> </v>
      </c>
      <c r="X403" s="364"/>
      <c r="Y403" s="363"/>
      <c r="Z403" s="363"/>
      <c r="AA403"/>
      <c r="AB403"/>
      <c r="AC403"/>
      <c r="AD403"/>
    </row>
    <row r="404" spans="17:30" ht="12.75" customHeight="1" thickBot="1">
      <c r="Q404" s="364"/>
      <c r="R404" s="692" t="s">
        <v>839</v>
      </c>
      <c r="S404" s="693"/>
      <c r="T404" s="693"/>
      <c r="U404" s="703">
        <f>IF(T402&gt;0,(VLOOKUP(V404,'Lookup Ready-reckoner'!$L$5:$M$1207,2))," ")</f>
        <v>85.8</v>
      </c>
      <c r="V404" s="695">
        <f>IF(U402&gt;0,(SUM(V402:V403))," ")</f>
        <v>120.76446280991716</v>
      </c>
      <c r="W404" s="696"/>
      <c r="X404" s="364"/>
      <c r="Y404" s="363"/>
      <c r="Z404" s="363"/>
      <c r="AA404"/>
      <c r="AB404"/>
      <c r="AC404"/>
      <c r="AD404"/>
    </row>
    <row r="405" spans="17:30" ht="12.75" customHeight="1">
      <c r="Q405" s="364"/>
      <c r="R405" s="363"/>
      <c r="S405" s="363"/>
      <c r="T405" s="363"/>
      <c r="U405" s="363"/>
      <c r="V405" s="363"/>
      <c r="W405" s="363"/>
      <c r="X405" s="364"/>
      <c r="Y405" s="364"/>
      <c r="Z405" s="364"/>
      <c r="AA405"/>
      <c r="AB405"/>
      <c r="AC405"/>
      <c r="AD405"/>
    </row>
    <row r="406" spans="17:30" ht="12.75" customHeight="1">
      <c r="Q406" s="364"/>
      <c r="R406" s="909" t="str">
        <f>V306</f>
        <v xml:space="preserve">Hilti TE MD20 </v>
      </c>
      <c r="S406" s="909"/>
      <c r="T406" s="909"/>
      <c r="U406" s="909"/>
      <c r="V406" s="909"/>
      <c r="W406" s="909"/>
      <c r="X406" s="364"/>
      <c r="Y406" s="364"/>
      <c r="Z406" s="364"/>
      <c r="AA406"/>
      <c r="AB406"/>
      <c r="AC406"/>
      <c r="AD406"/>
    </row>
    <row r="407" spans="17:30" ht="12.75" customHeight="1" thickBot="1">
      <c r="Q407" s="364"/>
      <c r="R407" s="910" t="s">
        <v>205</v>
      </c>
      <c r="S407" s="911"/>
      <c r="T407" s="911"/>
      <c r="U407" s="911"/>
      <c r="V407" s="911"/>
      <c r="W407" s="912"/>
      <c r="X407" s="364"/>
      <c r="Y407" s="364"/>
      <c r="Z407" s="364"/>
      <c r="AA407"/>
      <c r="AB407"/>
      <c r="AC407"/>
      <c r="AD407"/>
    </row>
    <row r="408" spans="17:30" ht="12.75" customHeight="1" thickBot="1">
      <c r="Q408" s="364"/>
      <c r="R408" s="686" t="s">
        <v>59</v>
      </c>
      <c r="S408" s="577"/>
      <c r="T408" s="687"/>
      <c r="U408" s="687"/>
      <c r="V408" s="687"/>
      <c r="W408" s="688"/>
      <c r="X408" s="364"/>
      <c r="Y408" s="364"/>
      <c r="Z408" s="364"/>
      <c r="AA408"/>
      <c r="AB408"/>
      <c r="AC408"/>
      <c r="AD408"/>
    </row>
    <row r="409" spans="17:30" ht="12.75" customHeight="1">
      <c r="Q409" s="364"/>
      <c r="R409" s="895" t="s">
        <v>845</v>
      </c>
      <c r="S409" s="896"/>
      <c r="T409" s="900" t="s">
        <v>835</v>
      </c>
      <c r="U409" s="900" t="s">
        <v>836</v>
      </c>
      <c r="V409" s="900" t="s">
        <v>837</v>
      </c>
      <c r="W409" s="902" t="s">
        <v>838</v>
      </c>
      <c r="X409" s="364"/>
      <c r="Y409" s="364"/>
      <c r="Z409" s="364"/>
      <c r="AA409"/>
      <c r="AB409"/>
      <c r="AC409"/>
      <c r="AD409"/>
    </row>
    <row r="410" spans="17:30" ht="12.75" customHeight="1">
      <c r="Q410" s="364"/>
      <c r="R410" s="892"/>
      <c r="S410" s="897"/>
      <c r="T410" s="904"/>
      <c r="U410" s="904"/>
      <c r="V410" s="904"/>
      <c r="W410" s="905"/>
      <c r="X410" s="364"/>
      <c r="Y410" s="364"/>
      <c r="Z410" s="364"/>
      <c r="AA410"/>
      <c r="AB410"/>
      <c r="AC410"/>
      <c r="AD410"/>
    </row>
    <row r="411" spans="17:30" ht="12.75" customHeight="1">
      <c r="Q411" s="364"/>
      <c r="R411" s="892"/>
      <c r="S411" s="897"/>
      <c r="T411" s="901"/>
      <c r="U411" s="901"/>
      <c r="V411" s="901"/>
      <c r="W411" s="903"/>
      <c r="X411" s="364"/>
      <c r="Y411" s="364"/>
      <c r="Z411" s="364"/>
      <c r="AA411"/>
      <c r="AB411"/>
      <c r="AC411"/>
      <c r="AD411"/>
    </row>
    <row r="412" spans="17:30" ht="12.75" customHeight="1">
      <c r="Q412" s="364"/>
      <c r="R412" s="892"/>
      <c r="S412" s="897"/>
      <c r="T412" s="704">
        <f>U69</f>
        <v>102</v>
      </c>
      <c r="U412" s="560">
        <f>U62</f>
        <v>2.6666666666666665</v>
      </c>
      <c r="V412" s="690">
        <f>IF(T412&gt;0,W412*U412," ")</f>
        <v>1666.6666666666665</v>
      </c>
      <c r="W412" s="691">
        <f>IF(T412&gt;0,(VLOOKUP(T412,'Lookup Ready-reckoner'!$B$5:$E$1207,4))," ")</f>
        <v>625</v>
      </c>
      <c r="X412" s="364"/>
      <c r="Y412" s="364"/>
      <c r="Z412" s="364"/>
      <c r="AA412"/>
      <c r="AB412"/>
      <c r="AC412"/>
      <c r="AD412"/>
    </row>
    <row r="413" spans="17:30" ht="12.75" customHeight="1">
      <c r="Q413" s="364"/>
      <c r="R413" s="898"/>
      <c r="S413" s="899"/>
      <c r="T413" s="447"/>
      <c r="U413" s="560"/>
      <c r="V413" s="690" t="str">
        <f>IF(T413&gt;0,W413*U413," ")</f>
        <v xml:space="preserve"> </v>
      </c>
      <c r="W413" s="691" t="str">
        <f>IF(T413&gt;0,(VLOOKUP(T413,'Lookup Ready-reckoner'!$B$5:$E$1007,4))," ")</f>
        <v xml:space="preserve"> </v>
      </c>
      <c r="X413" s="364"/>
      <c r="Y413" s="364"/>
      <c r="Z413" s="364"/>
      <c r="AA413"/>
      <c r="AB413"/>
      <c r="AC413"/>
      <c r="AD413"/>
    </row>
    <row r="414" spans="17:30" ht="12.75" customHeight="1" thickBot="1">
      <c r="Q414" s="364"/>
      <c r="R414" s="692" t="s">
        <v>839</v>
      </c>
      <c r="S414" s="693"/>
      <c r="T414" s="693"/>
      <c r="U414" s="705">
        <f>IF(T412&gt;0,(VLOOKUP(V414,'Lookup Ready-reckoner'!$L$5:$M$1207,2))," ")</f>
        <v>97.15</v>
      </c>
      <c r="V414" s="695">
        <f>IF(U412&gt;0,(SUM(V412:V413))," ")</f>
        <v>1666.6666666666665</v>
      </c>
      <c r="W414" s="696"/>
      <c r="X414" s="364"/>
      <c r="Y414" s="364"/>
      <c r="Z414" s="364"/>
      <c r="AA414"/>
      <c r="AB414"/>
      <c r="AC414"/>
      <c r="AD414"/>
    </row>
    <row r="415" spans="17:30" ht="12.75" customHeight="1" thickBot="1">
      <c r="Q415" s="364"/>
      <c r="R415" s="906"/>
      <c r="S415" s="907"/>
      <c r="T415" s="907"/>
      <c r="U415" s="907"/>
      <c r="V415" s="907"/>
      <c r="W415" s="908"/>
      <c r="X415" s="364"/>
      <c r="Y415" s="364"/>
      <c r="Z415" s="364"/>
      <c r="AA415"/>
      <c r="AB415"/>
      <c r="AC415"/>
      <c r="AD415"/>
    </row>
    <row r="416" spans="17:30" ht="12.75" customHeight="1">
      <c r="Q416" s="364"/>
      <c r="R416" s="895" t="s">
        <v>886</v>
      </c>
      <c r="S416" s="896"/>
      <c r="T416" s="900" t="s">
        <v>835</v>
      </c>
      <c r="U416" s="900" t="s">
        <v>836</v>
      </c>
      <c r="V416" s="900" t="s">
        <v>837</v>
      </c>
      <c r="W416" s="902" t="s">
        <v>838</v>
      </c>
      <c r="X416" s="364"/>
      <c r="Y416" s="364"/>
      <c r="Z416" s="364"/>
      <c r="AA416"/>
      <c r="AB416"/>
      <c r="AC416"/>
      <c r="AD416"/>
    </row>
    <row r="417" spans="17:30" ht="12.75" customHeight="1">
      <c r="Q417" s="364"/>
      <c r="R417" s="892"/>
      <c r="S417" s="897"/>
      <c r="T417" s="901"/>
      <c r="U417" s="901"/>
      <c r="V417" s="901"/>
      <c r="W417" s="903"/>
      <c r="X417" s="364"/>
      <c r="Y417" s="364"/>
      <c r="Z417" s="364"/>
      <c r="AA417"/>
      <c r="AB417"/>
      <c r="AC417"/>
      <c r="AD417"/>
    </row>
    <row r="418" spans="17:30" ht="12.75" customHeight="1">
      <c r="Q418" s="364"/>
      <c r="R418" s="892"/>
      <c r="S418" s="897"/>
      <c r="T418" s="704">
        <f>T412*(1-0.0178*2)</f>
        <v>98.368800000000007</v>
      </c>
      <c r="U418" s="560">
        <f>U412</f>
        <v>2.6666666666666665</v>
      </c>
      <c r="V418" s="690">
        <f>IF(T418&gt;0,W418*U418," ")</f>
        <v>725</v>
      </c>
      <c r="W418" s="691">
        <f>IF(T418&gt;0,(VLOOKUP(T418,'Lookup Ready-reckoner'!$B$5:$E$1207,4))," ")</f>
        <v>271.875</v>
      </c>
      <c r="X418" s="364"/>
      <c r="Y418" s="364"/>
      <c r="Z418" s="364"/>
      <c r="AA418"/>
      <c r="AB418"/>
      <c r="AC418"/>
      <c r="AD418"/>
    </row>
    <row r="419" spans="17:30" ht="12.75" customHeight="1">
      <c r="Q419" s="364"/>
      <c r="R419" s="898"/>
      <c r="S419" s="899"/>
      <c r="T419" s="447"/>
      <c r="U419" s="560"/>
      <c r="V419" s="690" t="str">
        <f>IF(T419&gt;0,W419*U419," ")</f>
        <v xml:space="preserve"> </v>
      </c>
      <c r="W419" s="691" t="str">
        <f>IF(T419&gt;0,(VLOOKUP(T419,'Lookup Ready-reckoner'!$B$5:$E$1007,4))," ")</f>
        <v xml:space="preserve"> </v>
      </c>
      <c r="X419" s="364"/>
      <c r="Y419" s="364"/>
      <c r="Z419" s="364"/>
      <c r="AA419"/>
      <c r="AB419"/>
      <c r="AC419"/>
      <c r="AD419"/>
    </row>
    <row r="420" spans="17:30" ht="12.75" customHeight="1" thickBot="1">
      <c r="Q420" s="364"/>
      <c r="R420" s="692" t="s">
        <v>839</v>
      </c>
      <c r="S420" s="693"/>
      <c r="T420" s="693"/>
      <c r="U420" s="705">
        <f>IF(T418&gt;0,(VLOOKUP(V420,'Lookup Ready-reckoner'!$L$5:$M$1207,2))," ")</f>
        <v>93.55</v>
      </c>
      <c r="V420" s="695">
        <f>IF(U418&gt;0,(SUM(V418:V419))," ")</f>
        <v>725</v>
      </c>
      <c r="W420" s="696"/>
      <c r="X420" s="364"/>
      <c r="Y420" s="364"/>
      <c r="Z420" s="364"/>
      <c r="AA420"/>
      <c r="AB420"/>
      <c r="AC420"/>
      <c r="AD420"/>
    </row>
    <row r="421" spans="17:30" ht="12.75" customHeight="1">
      <c r="Q421" s="364"/>
      <c r="R421" s="697"/>
      <c r="S421" s="687"/>
      <c r="T421" s="687"/>
      <c r="U421" s="372"/>
      <c r="V421" s="374"/>
      <c r="W421" s="688"/>
      <c r="X421" s="364"/>
      <c r="Y421" s="364"/>
      <c r="Z421" s="364"/>
      <c r="AA421"/>
      <c r="AB421"/>
      <c r="AC421"/>
      <c r="AD421"/>
    </row>
    <row r="422" spans="17:30" ht="12.75" customHeight="1" thickBot="1">
      <c r="Q422" s="364"/>
      <c r="R422" s="686" t="s">
        <v>60</v>
      </c>
      <c r="S422" s="577"/>
      <c r="T422" s="577"/>
      <c r="U422" s="577"/>
      <c r="V422" s="577"/>
      <c r="W422" s="698"/>
      <c r="X422" s="364"/>
      <c r="Y422" s="364"/>
      <c r="Z422" s="364"/>
      <c r="AA422"/>
      <c r="AB422"/>
      <c r="AC422"/>
      <c r="AD422"/>
    </row>
    <row r="423" spans="17:30" ht="12.75" customHeight="1">
      <c r="Q423" s="364"/>
      <c r="R423" s="895" t="s">
        <v>845</v>
      </c>
      <c r="S423" s="896"/>
      <c r="T423" s="900" t="s">
        <v>835</v>
      </c>
      <c r="U423" s="900" t="s">
        <v>836</v>
      </c>
      <c r="V423" s="900" t="s">
        <v>837</v>
      </c>
      <c r="W423" s="902" t="s">
        <v>838</v>
      </c>
      <c r="X423" s="364"/>
      <c r="Y423" s="364"/>
      <c r="Z423" s="364"/>
      <c r="AA423"/>
      <c r="AB423"/>
      <c r="AC423"/>
      <c r="AD423"/>
    </row>
    <row r="424" spans="17:30" ht="12.75" customHeight="1">
      <c r="Q424" s="364"/>
      <c r="R424" s="892"/>
      <c r="S424" s="897"/>
      <c r="T424" s="901"/>
      <c r="U424" s="901"/>
      <c r="V424" s="901"/>
      <c r="W424" s="903"/>
      <c r="X424" s="364"/>
      <c r="Y424" s="364"/>
      <c r="Z424" s="364"/>
      <c r="AA424"/>
      <c r="AB424"/>
      <c r="AC424"/>
      <c r="AD424"/>
    </row>
    <row r="425" spans="17:30" ht="12.75" customHeight="1">
      <c r="Q425" s="364"/>
      <c r="R425" s="892"/>
      <c r="S425" s="897"/>
      <c r="T425" s="704">
        <f>T412-PPE!$I$15</f>
        <v>89</v>
      </c>
      <c r="U425" s="560">
        <f>U418</f>
        <v>2.6666666666666665</v>
      </c>
      <c r="V425" s="690">
        <f>IF(T425&gt;0,W425*U425," ")</f>
        <v>83.333333333333329</v>
      </c>
      <c r="W425" s="691">
        <f>IF(T425&gt;0,(VLOOKUP(T425,'Lookup Ready-reckoner'!$B$5:$E$1207,4))," ")</f>
        <v>31.25</v>
      </c>
      <c r="X425" s="364"/>
      <c r="Y425" s="364"/>
      <c r="Z425" s="364"/>
      <c r="AA425"/>
      <c r="AB425"/>
      <c r="AC425"/>
      <c r="AD425"/>
    </row>
    <row r="426" spans="17:30" ht="12.75" customHeight="1">
      <c r="Q426" s="364"/>
      <c r="R426" s="898"/>
      <c r="S426" s="899"/>
      <c r="T426" s="447"/>
      <c r="U426" s="560"/>
      <c r="V426" s="690" t="str">
        <f>IF(T426&gt;0,W426*U426," ")</f>
        <v xml:space="preserve"> </v>
      </c>
      <c r="W426" s="691" t="str">
        <f>IF(T426&gt;0,(VLOOKUP(T426,'Lookup Ready-reckoner'!$B$5:$E$1007,4))," ")</f>
        <v xml:space="preserve"> </v>
      </c>
      <c r="X426" s="364"/>
      <c r="Y426" s="364"/>
      <c r="Z426" s="364"/>
      <c r="AA426"/>
      <c r="AB426"/>
      <c r="AC426"/>
      <c r="AD426"/>
    </row>
    <row r="427" spans="17:30" ht="12.75" customHeight="1" thickBot="1">
      <c r="Q427" s="364"/>
      <c r="R427" s="692" t="s">
        <v>839</v>
      </c>
      <c r="S427" s="693"/>
      <c r="T427" s="693"/>
      <c r="U427" s="705">
        <f>IF(T425&gt;0,(VLOOKUP(V427,'Lookup Ready-reckoner'!$L$5:$M$1207,2))," ")</f>
        <v>84.15</v>
      </c>
      <c r="V427" s="695">
        <f>IF(U425&gt;0,(SUM(V425:V426))," ")</f>
        <v>83.333333333333329</v>
      </c>
      <c r="W427" s="696"/>
      <c r="X427" s="364"/>
      <c r="Y427" s="364"/>
      <c r="Z427" s="364"/>
      <c r="AA427"/>
      <c r="AB427"/>
      <c r="AC427"/>
      <c r="AD427"/>
    </row>
    <row r="428" spans="17:30" ht="12.75" customHeight="1" thickBot="1">
      <c r="Q428" s="364"/>
      <c r="R428" s="892"/>
      <c r="S428" s="893"/>
      <c r="T428" s="893"/>
      <c r="U428" s="893"/>
      <c r="V428" s="893"/>
      <c r="W428" s="894"/>
      <c r="X428" s="364"/>
      <c r="Y428" s="364"/>
      <c r="Z428" s="364"/>
      <c r="AA428"/>
      <c r="AB428"/>
      <c r="AC428"/>
      <c r="AD428"/>
    </row>
    <row r="429" spans="17:30" ht="12.75" customHeight="1">
      <c r="Q429" s="364"/>
      <c r="R429" s="895" t="s">
        <v>886</v>
      </c>
      <c r="S429" s="896"/>
      <c r="T429" s="900" t="s">
        <v>835</v>
      </c>
      <c r="U429" s="900" t="s">
        <v>836</v>
      </c>
      <c r="V429" s="900" t="s">
        <v>837</v>
      </c>
      <c r="W429" s="902" t="s">
        <v>838</v>
      </c>
      <c r="X429" s="364"/>
      <c r="Y429" s="364"/>
      <c r="Z429" s="364"/>
      <c r="AA429"/>
      <c r="AB429"/>
      <c r="AC429"/>
      <c r="AD429"/>
    </row>
    <row r="430" spans="17:30" ht="12.75" customHeight="1">
      <c r="Q430" s="364"/>
      <c r="R430" s="892"/>
      <c r="S430" s="897"/>
      <c r="T430" s="901"/>
      <c r="U430" s="901"/>
      <c r="V430" s="901"/>
      <c r="W430" s="903"/>
      <c r="X430" s="364"/>
      <c r="Y430" s="364"/>
      <c r="Z430" s="364"/>
      <c r="AA430"/>
      <c r="AB430"/>
      <c r="AC430"/>
      <c r="AD430"/>
    </row>
    <row r="431" spans="17:30" ht="12.75" customHeight="1">
      <c r="Q431" s="364"/>
      <c r="R431" s="892"/>
      <c r="S431" s="897"/>
      <c r="T431" s="704">
        <f>T418-PPE!$I$15</f>
        <v>85.368800000000007</v>
      </c>
      <c r="U431" s="560">
        <f>U425</f>
        <v>2.6666666666666665</v>
      </c>
      <c r="V431" s="690">
        <f>IF(T431&gt;0,W431*U431," ")</f>
        <v>36.25</v>
      </c>
      <c r="W431" s="691">
        <f>IF(T431&gt;0,(VLOOKUP(T431,'Lookup Ready-reckoner'!$B$5:$E$1207,4))," ")</f>
        <v>13.59375</v>
      </c>
      <c r="X431" s="364"/>
      <c r="Y431" s="364"/>
      <c r="Z431" s="364"/>
      <c r="AA431"/>
      <c r="AB431"/>
      <c r="AC431"/>
      <c r="AD431"/>
    </row>
    <row r="432" spans="17:30" ht="12.75" customHeight="1">
      <c r="Q432" s="364"/>
      <c r="R432" s="898"/>
      <c r="S432" s="899"/>
      <c r="T432" s="447"/>
      <c r="U432" s="560"/>
      <c r="V432" s="690" t="str">
        <f>IF(T432&gt;0,W432*U432," ")</f>
        <v xml:space="preserve"> </v>
      </c>
      <c r="W432" s="691" t="str">
        <f>IF(T432&gt;0,(VLOOKUP(T432,'Lookup Ready-reckoner'!$B$5:$E$1007,4))," ")</f>
        <v xml:space="preserve"> </v>
      </c>
      <c r="X432" s="364"/>
      <c r="Y432" s="364"/>
      <c r="Z432" s="364"/>
      <c r="AA432"/>
      <c r="AB432"/>
      <c r="AC432"/>
      <c r="AD432"/>
    </row>
    <row r="433" spans="17:30" ht="12.75" customHeight="1" thickBot="1">
      <c r="Q433" s="364"/>
      <c r="R433" s="692" t="s">
        <v>839</v>
      </c>
      <c r="S433" s="693"/>
      <c r="T433" s="693"/>
      <c r="U433" s="705">
        <f>IF(T431&gt;0,(VLOOKUP(V433,'Lookup Ready-reckoner'!$L$5:$M$1207,2))," ")</f>
        <v>80.5</v>
      </c>
      <c r="V433" s="695">
        <f>IF(U431&gt;0,(SUM(V431:V432))," ")</f>
        <v>36.25</v>
      </c>
      <c r="W433" s="696"/>
      <c r="X433" s="364"/>
      <c r="Y433" s="364"/>
      <c r="Z433" s="364"/>
      <c r="AA433"/>
      <c r="AB433"/>
      <c r="AC433"/>
      <c r="AD433"/>
    </row>
    <row r="434" spans="17:30" ht="12.75" customHeight="1" thickBot="1">
      <c r="Q434" s="364"/>
      <c r="R434" s="364"/>
      <c r="S434" s="364"/>
      <c r="T434" s="364"/>
      <c r="U434" s="364"/>
      <c r="V434" s="364"/>
      <c r="W434" s="364"/>
      <c r="X434" s="364"/>
      <c r="Y434" s="364"/>
      <c r="Z434" s="364"/>
      <c r="AA434"/>
      <c r="AB434"/>
      <c r="AC434"/>
      <c r="AD434"/>
    </row>
    <row r="435" spans="17:30" ht="12.75" customHeight="1" thickTop="1">
      <c r="Q435" s="364"/>
      <c r="R435" s="916" t="s">
        <v>429</v>
      </c>
      <c r="S435" s="917"/>
      <c r="T435" s="917"/>
      <c r="U435" s="917"/>
      <c r="V435" s="917"/>
      <c r="W435" s="918"/>
      <c r="X435" s="364"/>
      <c r="Y435" s="364"/>
      <c r="Z435" s="364"/>
      <c r="AA435"/>
      <c r="AB435"/>
      <c r="AC435"/>
      <c r="AD435"/>
    </row>
    <row r="436" spans="17:30" ht="12.75" customHeight="1">
      <c r="Q436" s="364"/>
      <c r="R436" s="919"/>
      <c r="S436" s="920"/>
      <c r="T436" s="920"/>
      <c r="U436" s="920"/>
      <c r="V436" s="920"/>
      <c r="W436" s="921"/>
      <c r="X436" s="364"/>
      <c r="Y436" s="364"/>
      <c r="Z436" s="364"/>
      <c r="AA436"/>
      <c r="AB436"/>
      <c r="AC436"/>
      <c r="AD436"/>
    </row>
    <row r="437" spans="17:30" ht="12.75" customHeight="1" thickBot="1">
      <c r="Q437" s="364"/>
      <c r="R437" s="922"/>
      <c r="S437" s="923"/>
      <c r="T437" s="923"/>
      <c r="U437" s="923"/>
      <c r="V437" s="923"/>
      <c r="W437" s="924"/>
      <c r="X437" s="364"/>
      <c r="Y437" s="364"/>
      <c r="Z437" s="364"/>
      <c r="AA437"/>
      <c r="AB437"/>
      <c r="AC437"/>
      <c r="AD437"/>
    </row>
    <row r="438" spans="17:30" ht="12.75" customHeight="1" thickTop="1">
      <c r="Q438" s="364"/>
      <c r="R438" s="925" t="str">
        <f>R319</f>
        <v>Seco S215</v>
      </c>
      <c r="S438" s="925"/>
      <c r="T438" s="925"/>
      <c r="U438" s="925"/>
      <c r="V438" s="925"/>
      <c r="W438" s="925"/>
      <c r="X438" s="364"/>
      <c r="Y438" s="364"/>
      <c r="Z438" s="364"/>
      <c r="AA438"/>
      <c r="AB438"/>
      <c r="AC438"/>
      <c r="AD438"/>
    </row>
    <row r="439" spans="17:30" ht="12.75" customHeight="1" thickBot="1">
      <c r="Q439" s="364"/>
      <c r="R439" s="910" t="s">
        <v>205</v>
      </c>
      <c r="S439" s="911"/>
      <c r="T439" s="911"/>
      <c r="U439" s="911"/>
      <c r="V439" s="911"/>
      <c r="W439" s="912"/>
      <c r="X439" s="364"/>
      <c r="Y439" s="364"/>
      <c r="Z439" s="364"/>
      <c r="AA439"/>
      <c r="AB439"/>
      <c r="AC439"/>
      <c r="AD439"/>
    </row>
    <row r="440" spans="17:30" ht="12.75" customHeight="1" thickBot="1">
      <c r="Q440" s="364"/>
      <c r="R440" s="686" t="s">
        <v>59</v>
      </c>
      <c r="S440" s="577"/>
      <c r="T440" s="687"/>
      <c r="U440" s="687"/>
      <c r="V440" s="687"/>
      <c r="W440" s="688"/>
      <c r="X440" s="364"/>
      <c r="Y440" s="364"/>
      <c r="Z440" s="364"/>
      <c r="AA440"/>
      <c r="AB440"/>
      <c r="AC440"/>
      <c r="AD440"/>
    </row>
    <row r="441" spans="17:30" ht="12.75" customHeight="1">
      <c r="Q441" s="364"/>
      <c r="R441" s="895" t="s">
        <v>845</v>
      </c>
      <c r="S441" s="896"/>
      <c r="T441" s="900" t="s">
        <v>835</v>
      </c>
      <c r="U441" s="900" t="s">
        <v>836</v>
      </c>
      <c r="V441" s="900" t="s">
        <v>837</v>
      </c>
      <c r="W441" s="902" t="s">
        <v>838</v>
      </c>
      <c r="X441" s="364"/>
      <c r="Y441" s="364"/>
      <c r="Z441" s="364"/>
      <c r="AA441"/>
      <c r="AB441"/>
      <c r="AC441"/>
      <c r="AD441"/>
    </row>
    <row r="442" spans="17:30" ht="12.75" customHeight="1">
      <c r="Q442" s="364"/>
      <c r="R442" s="892"/>
      <c r="S442" s="897"/>
      <c r="T442" s="904"/>
      <c r="U442" s="904"/>
      <c r="V442" s="904"/>
      <c r="W442" s="905"/>
      <c r="X442" s="364"/>
      <c r="Y442" s="364"/>
      <c r="Z442" s="364"/>
      <c r="AA442"/>
      <c r="AB442"/>
      <c r="AC442"/>
      <c r="AD442"/>
    </row>
    <row r="443" spans="17:30" ht="12.75" customHeight="1">
      <c r="Q443" s="364"/>
      <c r="R443" s="892"/>
      <c r="S443" s="897"/>
      <c r="T443" s="901"/>
      <c r="U443" s="901"/>
      <c r="V443" s="901"/>
      <c r="W443" s="903"/>
      <c r="X443" s="364"/>
      <c r="Y443" s="364"/>
      <c r="Z443" s="364"/>
      <c r="AA443"/>
      <c r="AB443"/>
      <c r="AC443"/>
      <c r="AD443"/>
    </row>
    <row r="444" spans="17:30" ht="12.75" customHeight="1">
      <c r="Q444" s="364"/>
      <c r="R444" s="892"/>
      <c r="S444" s="897"/>
      <c r="T444" s="689">
        <f>X76</f>
        <v>122.92059991327966</v>
      </c>
      <c r="U444" s="560">
        <f>X62</f>
        <v>1.2965964343598047</v>
      </c>
      <c r="V444" s="690">
        <f>IF(T444&gt;0,W444*U444," ")</f>
        <v>81944.894651539653</v>
      </c>
      <c r="W444" s="691">
        <f>IF(T444&gt;0,(VLOOKUP(T444,'Lookup Ready-reckoner'!$B$5:$E$1207,4))," ")</f>
        <v>63200</v>
      </c>
      <c r="X444" s="364"/>
      <c r="Y444" s="364"/>
      <c r="Z444" s="364"/>
      <c r="AA444"/>
      <c r="AB444"/>
      <c r="AC444"/>
      <c r="AD444"/>
    </row>
    <row r="445" spans="17:30" ht="12.75" customHeight="1">
      <c r="Q445" s="364"/>
      <c r="R445" s="898"/>
      <c r="S445" s="899"/>
      <c r="T445" s="447"/>
      <c r="U445" s="560"/>
      <c r="V445" s="690" t="str">
        <f>IF(T445&gt;0,W445*U445," ")</f>
        <v xml:space="preserve"> </v>
      </c>
      <c r="W445" s="691" t="str">
        <f>IF(T445&gt;0,(VLOOKUP(T445,'Lookup Ready-reckoner'!$B$5:$E$1007,4))," ")</f>
        <v xml:space="preserve"> </v>
      </c>
      <c r="X445" s="364"/>
      <c r="Y445" s="364"/>
      <c r="Z445" s="364"/>
      <c r="AA445"/>
      <c r="AB445"/>
      <c r="AC445"/>
      <c r="AD445"/>
    </row>
    <row r="446" spans="17:30" ht="12.75" customHeight="1" thickBot="1">
      <c r="Q446" s="364"/>
      <c r="R446" s="692" t="s">
        <v>839</v>
      </c>
      <c r="S446" s="693"/>
      <c r="T446" s="693"/>
      <c r="U446" s="694">
        <f>IF(T444&gt;0,(VLOOKUP(V446,'Lookup Ready-reckoner'!$L$5:$M$1207,2))," ")</f>
        <v>114.05</v>
      </c>
      <c r="V446" s="695">
        <f>IF(U444&gt;0,(SUM(V444:V445))," ")</f>
        <v>81944.894651539653</v>
      </c>
      <c r="W446" s="696"/>
      <c r="X446" s="364"/>
      <c r="Y446" s="364"/>
      <c r="Z446" s="364"/>
      <c r="AA446"/>
      <c r="AB446"/>
      <c r="AC446"/>
      <c r="AD446"/>
    </row>
    <row r="447" spans="17:30" ht="12.75" customHeight="1" thickBot="1">
      <c r="Q447" s="364"/>
      <c r="R447" s="892"/>
      <c r="S447" s="893"/>
      <c r="T447" s="893"/>
      <c r="U447" s="893"/>
      <c r="V447" s="893"/>
      <c r="W447" s="894"/>
      <c r="X447" s="364"/>
      <c r="Y447" s="364"/>
      <c r="Z447" s="364"/>
      <c r="AA447"/>
      <c r="AB447"/>
      <c r="AC447"/>
      <c r="AD447"/>
    </row>
    <row r="448" spans="17:30" ht="12.75" customHeight="1">
      <c r="Q448" s="364"/>
      <c r="R448" s="895" t="s">
        <v>886</v>
      </c>
      <c r="S448" s="896"/>
      <c r="T448" s="900" t="s">
        <v>835</v>
      </c>
      <c r="U448" s="900" t="s">
        <v>836</v>
      </c>
      <c r="V448" s="900" t="s">
        <v>837</v>
      </c>
      <c r="W448" s="902" t="s">
        <v>838</v>
      </c>
      <c r="X448" s="364"/>
      <c r="Y448" s="364"/>
      <c r="Z448" s="364"/>
      <c r="AA448"/>
      <c r="AB448"/>
      <c r="AC448"/>
      <c r="AD448"/>
    </row>
    <row r="449" spans="17:30" ht="12.75" customHeight="1">
      <c r="Q449" s="364"/>
      <c r="R449" s="892"/>
      <c r="S449" s="897"/>
      <c r="T449" s="901"/>
      <c r="U449" s="901"/>
      <c r="V449" s="901"/>
      <c r="W449" s="903"/>
      <c r="X449" s="364"/>
      <c r="Y449" s="364"/>
      <c r="Z449" s="364"/>
      <c r="AA449"/>
      <c r="AB449"/>
      <c r="AC449"/>
      <c r="AD449"/>
    </row>
    <row r="450" spans="17:30" ht="12.75" customHeight="1">
      <c r="Q450" s="364"/>
      <c r="R450" s="892"/>
      <c r="S450" s="897"/>
      <c r="T450" s="689">
        <f>T444*(1-0.0178*2)</f>
        <v>118.54462655636691</v>
      </c>
      <c r="U450" s="560">
        <f>U444</f>
        <v>1.2965964343598047</v>
      </c>
      <c r="V450" s="690">
        <f>IF(T450&gt;0,W450*U450," ")</f>
        <v>37341.977309562375</v>
      </c>
      <c r="W450" s="691">
        <f>IF(T450&gt;0,(VLOOKUP(T450,'Lookup Ready-reckoner'!$B$5:$E$1207,4))," ")</f>
        <v>28800</v>
      </c>
      <c r="X450" s="364"/>
      <c r="Y450" s="364"/>
      <c r="Z450" s="364"/>
      <c r="AA450"/>
      <c r="AB450"/>
      <c r="AC450"/>
      <c r="AD450"/>
    </row>
    <row r="451" spans="17:30" ht="12.75" customHeight="1">
      <c r="Q451" s="364"/>
      <c r="R451" s="898"/>
      <c r="S451" s="899"/>
      <c r="T451" s="447"/>
      <c r="U451" s="560"/>
      <c r="V451" s="690" t="str">
        <f>IF(T451&gt;0,W451*U451," ")</f>
        <v xml:space="preserve"> </v>
      </c>
      <c r="W451" s="691" t="str">
        <f>IF(T451&gt;0,(VLOOKUP(T451,'Lookup Ready-reckoner'!$B$5:$E$1007,4))," ")</f>
        <v xml:space="preserve"> </v>
      </c>
      <c r="X451" s="364"/>
      <c r="Y451" s="364"/>
      <c r="Z451" s="364"/>
      <c r="AA451"/>
      <c r="AB451"/>
      <c r="AC451"/>
      <c r="AD451"/>
    </row>
    <row r="452" spans="17:30" ht="12.75" customHeight="1" thickBot="1">
      <c r="Q452" s="364"/>
      <c r="R452" s="692" t="s">
        <v>839</v>
      </c>
      <c r="S452" s="693"/>
      <c r="T452" s="693"/>
      <c r="U452" s="694">
        <f>IF(T450&gt;0,(VLOOKUP(V452,'Lookup Ready-reckoner'!$L$5:$M$1207,2))," ")</f>
        <v>110.65</v>
      </c>
      <c r="V452" s="695">
        <f>IF(U450&gt;0,(SUM(V450:V451))," ")</f>
        <v>37341.977309562375</v>
      </c>
      <c r="W452" s="696"/>
      <c r="X452" s="364"/>
      <c r="Y452" s="364"/>
      <c r="Z452" s="364"/>
      <c r="AA452"/>
      <c r="AB452"/>
      <c r="AC452"/>
      <c r="AD452"/>
    </row>
    <row r="453" spans="17:30" ht="12.75" customHeight="1">
      <c r="Q453" s="364"/>
      <c r="R453" s="697"/>
      <c r="S453" s="687"/>
      <c r="T453" s="687"/>
      <c r="U453" s="372"/>
      <c r="V453" s="374"/>
      <c r="W453" s="688"/>
      <c r="X453" s="364"/>
      <c r="Y453" s="364"/>
      <c r="Z453" s="364"/>
      <c r="AA453"/>
      <c r="AB453"/>
      <c r="AC453"/>
      <c r="AD453"/>
    </row>
    <row r="454" spans="17:30" ht="12.75" customHeight="1" thickBot="1">
      <c r="Q454" s="364"/>
      <c r="R454" s="686" t="s">
        <v>60</v>
      </c>
      <c r="S454" s="577"/>
      <c r="T454" s="577"/>
      <c r="U454" s="577"/>
      <c r="V454" s="577"/>
      <c r="W454" s="698"/>
      <c r="X454" s="364"/>
      <c r="Y454" s="364"/>
      <c r="Z454" s="364"/>
      <c r="AA454"/>
      <c r="AB454"/>
      <c r="AC454"/>
      <c r="AD454"/>
    </row>
    <row r="455" spans="17:30" ht="12.75" customHeight="1">
      <c r="Q455" s="364"/>
      <c r="R455" s="895" t="s">
        <v>845</v>
      </c>
      <c r="S455" s="896"/>
      <c r="T455" s="900" t="s">
        <v>835</v>
      </c>
      <c r="U455" s="900" t="s">
        <v>836</v>
      </c>
      <c r="V455" s="900" t="s">
        <v>837</v>
      </c>
      <c r="W455" s="902" t="s">
        <v>838</v>
      </c>
      <c r="X455" s="364"/>
      <c r="Y455" s="364"/>
      <c r="Z455" s="364"/>
      <c r="AA455"/>
      <c r="AB455"/>
      <c r="AC455"/>
      <c r="AD455"/>
    </row>
    <row r="456" spans="17:30" ht="12.75" customHeight="1">
      <c r="Q456" s="364"/>
      <c r="R456" s="892"/>
      <c r="S456" s="897"/>
      <c r="T456" s="901"/>
      <c r="U456" s="901"/>
      <c r="V456" s="901"/>
      <c r="W456" s="903"/>
      <c r="X456" s="364"/>
      <c r="Y456" s="364"/>
      <c r="Z456" s="364"/>
      <c r="AA456"/>
      <c r="AB456"/>
      <c r="AC456"/>
      <c r="AD456"/>
    </row>
    <row r="457" spans="17:30" ht="12.75" customHeight="1">
      <c r="Q457" s="364"/>
      <c r="R457" s="892"/>
      <c r="S457" s="897"/>
      <c r="T457" s="689">
        <f>T444-PPE!$I$15</f>
        <v>109.92059991327966</v>
      </c>
      <c r="U457" s="560">
        <f>U450</f>
        <v>1.2965964343598047</v>
      </c>
      <c r="V457" s="690">
        <f>IF(T457&gt;0,W457*U457," ")</f>
        <v>5082.6580226904343</v>
      </c>
      <c r="W457" s="691">
        <f>IF(T457&gt;0,(VLOOKUP(T457,'Lookup Ready-reckoner'!$B$5:$E$1207,4))," ")</f>
        <v>3920</v>
      </c>
      <c r="X457" s="364"/>
      <c r="Y457" s="364"/>
      <c r="Z457" s="364"/>
      <c r="AA457"/>
      <c r="AB457"/>
      <c r="AC457"/>
      <c r="AD457"/>
    </row>
    <row r="458" spans="17:30" ht="12.75" customHeight="1">
      <c r="Q458" s="364"/>
      <c r="R458" s="898"/>
      <c r="S458" s="899"/>
      <c r="T458" s="447"/>
      <c r="U458" s="560"/>
      <c r="V458" s="690" t="str">
        <f>IF(T458&gt;0,W458*U458," ")</f>
        <v xml:space="preserve"> </v>
      </c>
      <c r="W458" s="691" t="str">
        <f>IF(T458&gt;0,(VLOOKUP(T458,'Lookup Ready-reckoner'!$B$5:$E$1007,4))," ")</f>
        <v xml:space="preserve"> </v>
      </c>
      <c r="X458" s="364"/>
      <c r="Y458" s="364"/>
      <c r="Z458" s="364"/>
      <c r="AA458"/>
      <c r="AB458"/>
      <c r="AC458"/>
      <c r="AD458"/>
    </row>
    <row r="459" spans="17:30" ht="12.75" customHeight="1" thickBot="1">
      <c r="Q459" s="364"/>
      <c r="R459" s="699" t="s">
        <v>839</v>
      </c>
      <c r="S459" s="693"/>
      <c r="T459" s="693"/>
      <c r="U459" s="694">
        <f>IF(T457&gt;0,(VLOOKUP(V459,'Lookup Ready-reckoner'!$L$5:$M$1207,2))," ")</f>
        <v>102.05</v>
      </c>
      <c r="V459" s="695">
        <f>IF(U457&gt;0,(SUM(V457:V458))," ")</f>
        <v>5082.6580226904343</v>
      </c>
      <c r="W459" s="696"/>
      <c r="X459" s="364"/>
      <c r="Y459" s="364"/>
      <c r="Z459" s="364"/>
      <c r="AA459"/>
      <c r="AB459"/>
      <c r="AC459"/>
      <c r="AD459"/>
    </row>
    <row r="460" spans="17:30" ht="12.75" customHeight="1" thickBot="1">
      <c r="Q460" s="364"/>
      <c r="R460" s="892"/>
      <c r="S460" s="893"/>
      <c r="T460" s="893"/>
      <c r="U460" s="893"/>
      <c r="V460" s="893"/>
      <c r="W460" s="894"/>
      <c r="X460" s="364"/>
      <c r="Y460" s="364"/>
      <c r="Z460" s="364"/>
      <c r="AA460"/>
      <c r="AB460"/>
      <c r="AC460"/>
      <c r="AD460"/>
    </row>
    <row r="461" spans="17:30" ht="12.75" customHeight="1">
      <c r="Q461" s="364"/>
      <c r="R461" s="895" t="s">
        <v>886</v>
      </c>
      <c r="S461" s="896"/>
      <c r="T461" s="900" t="s">
        <v>835</v>
      </c>
      <c r="U461" s="900" t="s">
        <v>836</v>
      </c>
      <c r="V461" s="900" t="s">
        <v>837</v>
      </c>
      <c r="W461" s="902" t="s">
        <v>838</v>
      </c>
      <c r="X461" s="364"/>
      <c r="Y461" s="364"/>
      <c r="Z461" s="364"/>
      <c r="AA461"/>
      <c r="AB461"/>
      <c r="AC461"/>
      <c r="AD461"/>
    </row>
    <row r="462" spans="17:30" ht="12.75" customHeight="1">
      <c r="Q462" s="364"/>
      <c r="R462" s="892"/>
      <c r="S462" s="897"/>
      <c r="T462" s="901"/>
      <c r="U462" s="901"/>
      <c r="V462" s="901"/>
      <c r="W462" s="903"/>
      <c r="X462" s="364"/>
      <c r="Y462" s="364"/>
      <c r="Z462" s="364"/>
      <c r="AA462"/>
      <c r="AB462"/>
      <c r="AC462"/>
      <c r="AD462"/>
    </row>
    <row r="463" spans="17:30" ht="12.75" customHeight="1">
      <c r="Q463" s="364"/>
      <c r="R463" s="892"/>
      <c r="S463" s="897"/>
      <c r="T463" s="689">
        <f>T450-PPE!$I$15</f>
        <v>105.54462655636691</v>
      </c>
      <c r="U463" s="560">
        <f>U457</f>
        <v>1.2965964343598047</v>
      </c>
      <c r="V463" s="690">
        <f>IF(T463&gt;0,W463*U463," ")</f>
        <v>1847.6499189627216</v>
      </c>
      <c r="W463" s="691">
        <f>IF(T463&gt;0,(VLOOKUP(T463,'Lookup Ready-reckoner'!$B$5:$E$1207,4))," ")</f>
        <v>1425</v>
      </c>
      <c r="X463" s="364"/>
      <c r="Y463" s="364"/>
      <c r="Z463" s="364"/>
      <c r="AA463"/>
      <c r="AB463"/>
      <c r="AC463"/>
      <c r="AD463"/>
    </row>
    <row r="464" spans="17:30" ht="12.75" customHeight="1">
      <c r="Q464" s="364"/>
      <c r="R464" s="898"/>
      <c r="S464" s="899"/>
      <c r="T464" s="447"/>
      <c r="U464" s="560"/>
      <c r="V464" s="690" t="str">
        <f>IF(T464&gt;0,W464*U464," ")</f>
        <v xml:space="preserve"> </v>
      </c>
      <c r="W464" s="691" t="str">
        <f>IF(T464&gt;0,(VLOOKUP(T464,'Lookup Ready-reckoner'!$B$5:$E$1007,4))," ")</f>
        <v xml:space="preserve"> </v>
      </c>
      <c r="X464" s="364"/>
      <c r="Y464" s="364"/>
      <c r="Z464" s="364"/>
      <c r="AA464"/>
      <c r="AB464"/>
      <c r="AC464"/>
      <c r="AD464"/>
    </row>
    <row r="465" spans="17:30" ht="12.75" customHeight="1" thickBot="1">
      <c r="Q465" s="364"/>
      <c r="R465" s="692" t="s">
        <v>839</v>
      </c>
      <c r="S465" s="693"/>
      <c r="T465" s="693"/>
      <c r="U465" s="694">
        <f>IF(T463&gt;0,(VLOOKUP(V465,'Lookup Ready-reckoner'!$L$5:$M$1207,2))," ")</f>
        <v>97.6</v>
      </c>
      <c r="V465" s="695">
        <f>IF(U463&gt;0,(SUM(V463:V464))," ")</f>
        <v>1847.6499189627216</v>
      </c>
      <c r="W465" s="696"/>
      <c r="X465" s="364"/>
      <c r="Y465" s="364"/>
      <c r="Z465" s="364"/>
      <c r="AA465"/>
      <c r="AB465"/>
      <c r="AC465"/>
      <c r="AD465"/>
    </row>
    <row r="466" spans="17:30" ht="12.75" customHeight="1">
      <c r="Q466" s="364"/>
      <c r="R466" s="363"/>
      <c r="S466" s="363"/>
      <c r="T466" s="363"/>
      <c r="U466" s="363"/>
      <c r="V466" s="363"/>
      <c r="W466" s="363"/>
      <c r="X466" s="364"/>
      <c r="Y466" s="364"/>
      <c r="Z466" s="364"/>
      <c r="AA466"/>
      <c r="AB466"/>
      <c r="AC466"/>
      <c r="AD466"/>
    </row>
    <row r="467" spans="17:30" ht="12.75" customHeight="1" thickBot="1">
      <c r="Q467" s="364"/>
      <c r="R467" s="915" t="str">
        <f>R348</f>
        <v>Seco S215 Muffled</v>
      </c>
      <c r="S467" s="915"/>
      <c r="T467" s="915"/>
      <c r="U467" s="915"/>
      <c r="V467" s="915"/>
      <c r="W467" s="915"/>
      <c r="X467" s="364"/>
      <c r="Y467" s="364"/>
      <c r="Z467" s="364"/>
      <c r="AA467"/>
      <c r="AB467"/>
      <c r="AC467"/>
      <c r="AD467"/>
    </row>
    <row r="468" spans="17:30" ht="12.75" customHeight="1" thickBot="1">
      <c r="Q468" s="364"/>
      <c r="R468" s="906" t="s">
        <v>205</v>
      </c>
      <c r="S468" s="907"/>
      <c r="T468" s="907"/>
      <c r="U468" s="907"/>
      <c r="V468" s="907"/>
      <c r="W468" s="908"/>
      <c r="X468" s="364"/>
      <c r="Y468" s="364"/>
      <c r="Z468" s="364"/>
      <c r="AA468"/>
      <c r="AB468"/>
      <c r="AC468"/>
      <c r="AD468"/>
    </row>
    <row r="469" spans="17:30" ht="12.75" customHeight="1" thickBot="1">
      <c r="Q469" s="364"/>
      <c r="R469" s="686" t="s">
        <v>59</v>
      </c>
      <c r="S469" s="577"/>
      <c r="T469" s="687"/>
      <c r="U469" s="687"/>
      <c r="V469" s="687"/>
      <c r="W469" s="688"/>
      <c r="X469" s="364"/>
      <c r="Y469" s="364"/>
      <c r="Z469" s="364"/>
      <c r="AA469"/>
      <c r="AB469"/>
      <c r="AC469"/>
      <c r="AD469"/>
    </row>
    <row r="470" spans="17:30" ht="12.75" customHeight="1">
      <c r="Q470" s="364"/>
      <c r="R470" s="895" t="s">
        <v>845</v>
      </c>
      <c r="S470" s="896"/>
      <c r="T470" s="900" t="s">
        <v>835</v>
      </c>
      <c r="U470" s="900" t="s">
        <v>836</v>
      </c>
      <c r="V470" s="900" t="s">
        <v>837</v>
      </c>
      <c r="W470" s="902" t="s">
        <v>838</v>
      </c>
      <c r="X470" s="364"/>
      <c r="Y470" s="364"/>
      <c r="Z470" s="364"/>
      <c r="AA470"/>
      <c r="AB470"/>
      <c r="AC470"/>
      <c r="AD470"/>
    </row>
    <row r="471" spans="17:30" ht="12.75" customHeight="1">
      <c r="Q471" s="364"/>
      <c r="R471" s="892"/>
      <c r="S471" s="897"/>
      <c r="T471" s="904"/>
      <c r="U471" s="904"/>
      <c r="V471" s="904"/>
      <c r="W471" s="905"/>
      <c r="X471" s="364"/>
      <c r="Y471" s="364"/>
      <c r="Z471" s="364"/>
      <c r="AA471"/>
      <c r="AB471"/>
      <c r="AC471"/>
      <c r="AD471"/>
    </row>
    <row r="472" spans="17:30" ht="12.75" customHeight="1">
      <c r="Q472" s="364"/>
      <c r="R472" s="892"/>
      <c r="S472" s="897"/>
      <c r="T472" s="901"/>
      <c r="U472" s="901"/>
      <c r="V472" s="901"/>
      <c r="W472" s="903"/>
      <c r="X472" s="364"/>
      <c r="Y472" s="364"/>
      <c r="Z472" s="364"/>
      <c r="AA472"/>
      <c r="AB472"/>
      <c r="AC472"/>
      <c r="AD472"/>
    </row>
    <row r="473" spans="17:30" ht="12.75" customHeight="1">
      <c r="Q473" s="364"/>
      <c r="R473" s="892"/>
      <c r="S473" s="897"/>
      <c r="T473" s="700">
        <f>V76</f>
        <v>114.62059991327953</v>
      </c>
      <c r="U473" s="560">
        <f>V62</f>
        <v>1.6949152542372867</v>
      </c>
      <c r="V473" s="690">
        <f>IF(T473&gt;0,W473*U473," ")</f>
        <v>19796.610169491509</v>
      </c>
      <c r="W473" s="691">
        <f>IF(T473&gt;0,(VLOOKUP(T473,'Lookup Ready-reckoner'!$B$5:$E$1207,4))," ")</f>
        <v>11680</v>
      </c>
      <c r="X473" s="364"/>
      <c r="Y473" s="364"/>
      <c r="Z473" s="364"/>
      <c r="AA473"/>
      <c r="AB473"/>
      <c r="AC473"/>
      <c r="AD473"/>
    </row>
    <row r="474" spans="17:30" ht="12.75" customHeight="1">
      <c r="Q474" s="364"/>
      <c r="R474" s="898"/>
      <c r="S474" s="899"/>
      <c r="T474" s="447"/>
      <c r="U474" s="560"/>
      <c r="V474" s="690" t="str">
        <f>IF(T474&gt;0,W474*U474," ")</f>
        <v xml:space="preserve"> </v>
      </c>
      <c r="W474" s="691" t="str">
        <f>IF(T474&gt;0,(VLOOKUP(T474,'Lookup Ready-reckoner'!$B$5:$E$1007,4))," ")</f>
        <v xml:space="preserve"> </v>
      </c>
      <c r="X474" s="364"/>
      <c r="Y474" s="364"/>
      <c r="Z474" s="364"/>
      <c r="AA474"/>
      <c r="AB474"/>
      <c r="AC474"/>
      <c r="AD474"/>
    </row>
    <row r="475" spans="17:30" ht="12.75" customHeight="1" thickBot="1">
      <c r="Q475" s="364"/>
      <c r="R475" s="699" t="s">
        <v>839</v>
      </c>
      <c r="S475" s="693"/>
      <c r="T475" s="693"/>
      <c r="U475" s="701">
        <f>IF(T473&gt;0,(VLOOKUP(V475,'Lookup Ready-reckoner'!$L$5:$M$1207,2))," ")</f>
        <v>107.9</v>
      </c>
      <c r="V475" s="695">
        <f>IF(U473&gt;0,(SUM(V473:V474))," ")</f>
        <v>19796.610169491509</v>
      </c>
      <c r="W475" s="696"/>
      <c r="X475" s="364"/>
      <c r="Y475" s="364"/>
      <c r="Z475" s="364"/>
      <c r="AA475"/>
      <c r="AB475"/>
      <c r="AC475"/>
      <c r="AD475"/>
    </row>
    <row r="476" spans="17:30" ht="12.75" customHeight="1" thickBot="1">
      <c r="Q476" s="364"/>
      <c r="R476" s="892"/>
      <c r="S476" s="893"/>
      <c r="T476" s="893"/>
      <c r="U476" s="893"/>
      <c r="V476" s="893"/>
      <c r="W476" s="894"/>
      <c r="X476" s="364"/>
      <c r="Y476" s="364"/>
      <c r="Z476" s="364"/>
      <c r="AA476"/>
      <c r="AB476"/>
      <c r="AC476"/>
      <c r="AD476"/>
    </row>
    <row r="477" spans="17:30" ht="12.75" customHeight="1">
      <c r="Q477" s="364"/>
      <c r="R477" s="895" t="s">
        <v>886</v>
      </c>
      <c r="S477" s="896"/>
      <c r="T477" s="900" t="s">
        <v>835</v>
      </c>
      <c r="U477" s="900" t="s">
        <v>836</v>
      </c>
      <c r="V477" s="900" t="s">
        <v>837</v>
      </c>
      <c r="W477" s="902" t="s">
        <v>838</v>
      </c>
      <c r="X477" s="364"/>
      <c r="Y477" s="364"/>
      <c r="Z477" s="364"/>
      <c r="AA477"/>
      <c r="AB477"/>
      <c r="AC477"/>
      <c r="AD477"/>
    </row>
    <row r="478" spans="17:30" ht="12.75" customHeight="1">
      <c r="Q478" s="364"/>
      <c r="R478" s="892"/>
      <c r="S478" s="897"/>
      <c r="T478" s="901"/>
      <c r="U478" s="901"/>
      <c r="V478" s="901"/>
      <c r="W478" s="903"/>
      <c r="X478" s="364"/>
      <c r="Y478" s="364"/>
      <c r="Z478" s="364"/>
      <c r="AA478"/>
      <c r="AB478"/>
      <c r="AC478"/>
      <c r="AD478"/>
    </row>
    <row r="479" spans="17:30" ht="12.75" customHeight="1">
      <c r="Q479" s="364"/>
      <c r="R479" s="892"/>
      <c r="S479" s="897"/>
      <c r="T479" s="700">
        <f>T473*(1-0.0178*2)</f>
        <v>110.54010655636678</v>
      </c>
      <c r="U479" s="560">
        <f>U473</f>
        <v>1.6949152542372867</v>
      </c>
      <c r="V479" s="690">
        <f>IF(T479&gt;0,W479*U479," ")</f>
        <v>7627.1186440677902</v>
      </c>
      <c r="W479" s="691">
        <f>IF(T479&gt;0,(VLOOKUP(T479,'Lookup Ready-reckoner'!$B$5:$E$1207,4))," ")</f>
        <v>4500</v>
      </c>
      <c r="X479" s="364"/>
      <c r="Y479" s="364"/>
      <c r="Z479" s="364"/>
      <c r="AA479"/>
      <c r="AB479"/>
      <c r="AC479"/>
      <c r="AD479"/>
    </row>
    <row r="480" spans="17:30" ht="12.75" customHeight="1">
      <c r="Q480" s="364"/>
      <c r="R480" s="898"/>
      <c r="S480" s="899"/>
      <c r="T480" s="447"/>
      <c r="U480" s="560"/>
      <c r="V480" s="690" t="str">
        <f>IF(T480&gt;0,W480*U480," ")</f>
        <v xml:space="preserve"> </v>
      </c>
      <c r="W480" s="691" t="str">
        <f>IF(T480&gt;0,(VLOOKUP(T480,'Lookup Ready-reckoner'!$B$5:$E$1007,4))," ")</f>
        <v xml:space="preserve"> </v>
      </c>
      <c r="X480" s="364"/>
      <c r="Y480" s="364"/>
      <c r="Z480" s="364"/>
      <c r="AA480"/>
      <c r="AB480"/>
      <c r="AC480"/>
      <c r="AD480"/>
    </row>
    <row r="481" spans="17:30" ht="12.75" customHeight="1" thickBot="1">
      <c r="Q481" s="364"/>
      <c r="R481" s="692" t="s">
        <v>839</v>
      </c>
      <c r="S481" s="693"/>
      <c r="T481" s="693"/>
      <c r="U481" s="701">
        <f>IF(T479&gt;0,(VLOOKUP(V481,'Lookup Ready-reckoner'!$L$5:$M$1207,2))," ")</f>
        <v>103.75</v>
      </c>
      <c r="V481" s="695">
        <f>IF(U479&gt;0,(SUM(V479:V480))," ")</f>
        <v>7627.1186440677902</v>
      </c>
      <c r="W481" s="696"/>
      <c r="X481" s="364"/>
      <c r="Y481" s="364"/>
      <c r="Z481" s="364"/>
      <c r="AA481"/>
      <c r="AB481"/>
      <c r="AC481"/>
      <c r="AD481"/>
    </row>
    <row r="482" spans="17:30" ht="12.75" customHeight="1">
      <c r="Q482" s="364"/>
      <c r="R482" s="697"/>
      <c r="S482" s="687"/>
      <c r="T482" s="687"/>
      <c r="U482" s="372"/>
      <c r="V482" s="374"/>
      <c r="W482" s="688"/>
      <c r="X482" s="364"/>
      <c r="Y482" s="364"/>
      <c r="Z482" s="364"/>
      <c r="AA482"/>
      <c r="AB482"/>
      <c r="AC482"/>
      <c r="AD482"/>
    </row>
    <row r="483" spans="17:30" ht="12.75" customHeight="1" thickBot="1">
      <c r="Q483" s="364"/>
      <c r="R483" s="686" t="s">
        <v>60</v>
      </c>
      <c r="S483" s="577"/>
      <c r="T483" s="577"/>
      <c r="U483" s="577"/>
      <c r="V483" s="577"/>
      <c r="W483" s="698"/>
      <c r="X483" s="364"/>
      <c r="Y483" s="364"/>
      <c r="Z483" s="364"/>
      <c r="AA483"/>
      <c r="AB483"/>
      <c r="AC483"/>
      <c r="AD483"/>
    </row>
    <row r="484" spans="17:30" ht="12.75" customHeight="1">
      <c r="Q484" s="364"/>
      <c r="R484" s="895" t="s">
        <v>845</v>
      </c>
      <c r="S484" s="896"/>
      <c r="T484" s="900" t="s">
        <v>835</v>
      </c>
      <c r="U484" s="900" t="s">
        <v>836</v>
      </c>
      <c r="V484" s="900" t="s">
        <v>837</v>
      </c>
      <c r="W484" s="902" t="s">
        <v>838</v>
      </c>
      <c r="X484" s="364"/>
      <c r="Y484" s="364"/>
      <c r="Z484" s="364"/>
      <c r="AA484"/>
      <c r="AB484"/>
      <c r="AC484"/>
      <c r="AD484"/>
    </row>
    <row r="485" spans="17:30" ht="12.75" customHeight="1">
      <c r="Q485" s="364"/>
      <c r="R485" s="892"/>
      <c r="S485" s="897"/>
      <c r="T485" s="901"/>
      <c r="U485" s="901"/>
      <c r="V485" s="901"/>
      <c r="W485" s="903"/>
      <c r="X485" s="364"/>
      <c r="Y485" s="364"/>
      <c r="Z485" s="364"/>
      <c r="AA485"/>
      <c r="AB485"/>
      <c r="AC485"/>
      <c r="AD485"/>
    </row>
    <row r="486" spans="17:30" ht="12.75" customHeight="1">
      <c r="Q486" s="364"/>
      <c r="R486" s="892"/>
      <c r="S486" s="897"/>
      <c r="T486" s="700">
        <f>T473-PPE!$I$15</f>
        <v>101.62059991327953</v>
      </c>
      <c r="U486" s="560">
        <f>U479</f>
        <v>1.6949152542372867</v>
      </c>
      <c r="V486" s="690">
        <f>IF(T486&gt;0,W486*U486," ")</f>
        <v>974.57627118643984</v>
      </c>
      <c r="W486" s="691">
        <f>IF(T486&gt;0,(VLOOKUP(T486,'Lookup Ready-reckoner'!$B$5:$E$1207,4))," ")</f>
        <v>575</v>
      </c>
      <c r="X486" s="364"/>
      <c r="Y486" s="364"/>
      <c r="Z486" s="364"/>
      <c r="AA486"/>
      <c r="AB486"/>
      <c r="AC486"/>
      <c r="AD486"/>
    </row>
    <row r="487" spans="17:30" ht="12.75" customHeight="1">
      <c r="Q487" s="364"/>
      <c r="R487" s="898"/>
      <c r="S487" s="899"/>
      <c r="T487" s="447"/>
      <c r="U487" s="560"/>
      <c r="V487" s="690" t="str">
        <f>IF(T487&gt;0,W487*U487," ")</f>
        <v xml:space="preserve"> </v>
      </c>
      <c r="W487" s="691" t="str">
        <f>IF(T487&gt;0,(VLOOKUP(T487,'Lookup Ready-reckoner'!$B$5:$E$1007,4))," ")</f>
        <v xml:space="preserve"> </v>
      </c>
      <c r="X487" s="364"/>
      <c r="Y487" s="364"/>
      <c r="Z487" s="364"/>
      <c r="AA487"/>
      <c r="AB487"/>
      <c r="AC487"/>
      <c r="AD487"/>
    </row>
    <row r="488" spans="17:30" ht="12.75" customHeight="1" thickBot="1">
      <c r="Q488" s="364"/>
      <c r="R488" s="692" t="s">
        <v>839</v>
      </c>
      <c r="S488" s="693"/>
      <c r="T488" s="693"/>
      <c r="U488" s="701">
        <f>IF(T486&gt;0,(VLOOKUP(V488,'Lookup Ready-reckoner'!$L$5:$M$1207,2))," ")</f>
        <v>94.85</v>
      </c>
      <c r="V488" s="695">
        <f>IF(U486&gt;0,(SUM(V486:V487))," ")</f>
        <v>974.57627118643984</v>
      </c>
      <c r="W488" s="696"/>
      <c r="X488" s="364"/>
      <c r="Y488" s="364"/>
      <c r="Z488" s="364"/>
      <c r="AA488"/>
      <c r="AB488"/>
      <c r="AC488"/>
      <c r="AD488"/>
    </row>
    <row r="489" spans="17:30" ht="12.75" customHeight="1" thickBot="1">
      <c r="Q489" s="364"/>
      <c r="R489" s="892"/>
      <c r="S489" s="893"/>
      <c r="T489" s="893"/>
      <c r="U489" s="893"/>
      <c r="V489" s="893"/>
      <c r="W489" s="894"/>
      <c r="X489" s="364"/>
      <c r="Y489" s="364"/>
      <c r="Z489" s="364"/>
      <c r="AA489"/>
      <c r="AB489"/>
      <c r="AC489"/>
      <c r="AD489"/>
    </row>
    <row r="490" spans="17:30" ht="12.75" customHeight="1">
      <c r="Q490" s="364"/>
      <c r="R490" s="895" t="s">
        <v>886</v>
      </c>
      <c r="S490" s="896"/>
      <c r="T490" s="900" t="s">
        <v>835</v>
      </c>
      <c r="U490" s="900" t="s">
        <v>836</v>
      </c>
      <c r="V490" s="900" t="s">
        <v>837</v>
      </c>
      <c r="W490" s="902" t="s">
        <v>838</v>
      </c>
      <c r="X490" s="364"/>
      <c r="Y490" s="364"/>
      <c r="Z490" s="364"/>
      <c r="AA490"/>
      <c r="AB490"/>
      <c r="AC490"/>
      <c r="AD490"/>
    </row>
    <row r="491" spans="17:30" ht="12.75" customHeight="1">
      <c r="Q491" s="364"/>
      <c r="R491" s="892"/>
      <c r="S491" s="897"/>
      <c r="T491" s="901"/>
      <c r="U491" s="901"/>
      <c r="V491" s="901"/>
      <c r="W491" s="903"/>
      <c r="X491" s="364"/>
      <c r="Y491" s="364"/>
      <c r="Z491" s="364"/>
      <c r="AA491"/>
      <c r="AB491"/>
      <c r="AC491"/>
      <c r="AD491"/>
    </row>
    <row r="492" spans="17:30" ht="12.75" customHeight="1">
      <c r="Q492" s="364"/>
      <c r="R492" s="892"/>
      <c r="S492" s="897"/>
      <c r="T492" s="700">
        <f>T479-PPE!$I$15</f>
        <v>97.54010655636678</v>
      </c>
      <c r="U492" s="560">
        <f>U486</f>
        <v>1.6949152542372867</v>
      </c>
      <c r="V492" s="690">
        <f>IF(T492&gt;0,W492*U492," ")</f>
        <v>381.3559322033895</v>
      </c>
      <c r="W492" s="691">
        <f>IF(T492&gt;0,(VLOOKUP(T492,'Lookup Ready-reckoner'!$B$5:$E$1207,4))," ")</f>
        <v>225</v>
      </c>
      <c r="X492" s="364"/>
      <c r="Y492" s="364"/>
      <c r="Z492" s="364"/>
      <c r="AA492"/>
      <c r="AB492"/>
      <c r="AC492"/>
      <c r="AD492"/>
    </row>
    <row r="493" spans="17:30" ht="12.75" customHeight="1">
      <c r="Q493" s="364"/>
      <c r="R493" s="898"/>
      <c r="S493" s="899"/>
      <c r="T493" s="447"/>
      <c r="U493" s="560"/>
      <c r="V493" s="690" t="str">
        <f>IF(T493&gt;0,W493*U493," ")</f>
        <v xml:space="preserve"> </v>
      </c>
      <c r="W493" s="691" t="str">
        <f>IF(T493&gt;0,(VLOOKUP(T493,'Lookup Ready-reckoner'!$B$5:$E$1007,4))," ")</f>
        <v xml:space="preserve"> </v>
      </c>
      <c r="X493" s="364"/>
      <c r="Y493" s="364"/>
      <c r="Z493" s="364"/>
      <c r="AA493"/>
      <c r="AB493"/>
      <c r="AC493"/>
      <c r="AD493"/>
    </row>
    <row r="494" spans="17:30" ht="12.75" customHeight="1" thickBot="1">
      <c r="Q494" s="364"/>
      <c r="R494" s="692" t="s">
        <v>839</v>
      </c>
      <c r="S494" s="693"/>
      <c r="T494" s="693"/>
      <c r="U494" s="701">
        <f>IF(T492&gt;0,(VLOOKUP(V494,'Lookup Ready-reckoner'!$L$5:$M$1207,2))," ")</f>
        <v>90.75</v>
      </c>
      <c r="V494" s="695">
        <f>IF(U492&gt;0,(SUM(V492:V493))," ")</f>
        <v>381.3559322033895</v>
      </c>
      <c r="W494" s="696"/>
      <c r="X494" s="364"/>
      <c r="Y494" s="364"/>
      <c r="Z494" s="364"/>
      <c r="AA494"/>
      <c r="AB494"/>
      <c r="AC494"/>
      <c r="AD494"/>
    </row>
    <row r="495" spans="17:30" ht="12.75" customHeight="1">
      <c r="Q495" s="364"/>
      <c r="R495" s="363"/>
      <c r="S495" s="363"/>
      <c r="T495" s="363"/>
      <c r="U495" s="363"/>
      <c r="V495" s="363"/>
      <c r="W495" s="363"/>
      <c r="X495" s="364"/>
      <c r="Y495" s="364"/>
      <c r="Z495" s="364"/>
      <c r="AA495"/>
      <c r="AB495"/>
      <c r="AC495"/>
      <c r="AD495"/>
    </row>
    <row r="496" spans="17:30" ht="12.75" customHeight="1">
      <c r="Q496" s="364"/>
      <c r="R496" s="913" t="str">
        <f>R377</f>
        <v>Sulzer ADDS</v>
      </c>
      <c r="S496" s="914"/>
      <c r="T496" s="914"/>
      <c r="U496" s="914"/>
      <c r="V496" s="914"/>
      <c r="W496" s="914"/>
      <c r="X496" s="364"/>
      <c r="Y496" s="364"/>
      <c r="Z496" s="364"/>
      <c r="AA496"/>
      <c r="AB496"/>
      <c r="AC496"/>
      <c r="AD496"/>
    </row>
    <row r="497" spans="17:30" ht="12.75" customHeight="1" thickBot="1">
      <c r="Q497" s="364"/>
      <c r="R497" s="910" t="s">
        <v>205</v>
      </c>
      <c r="S497" s="911"/>
      <c r="T497" s="911"/>
      <c r="U497" s="911"/>
      <c r="V497" s="911"/>
      <c r="W497" s="912"/>
      <c r="X497" s="364"/>
      <c r="Y497" s="364"/>
      <c r="Z497" s="364"/>
      <c r="AA497"/>
      <c r="AB497"/>
      <c r="AC497"/>
      <c r="AD497"/>
    </row>
    <row r="498" spans="17:30" ht="12.75" customHeight="1" thickBot="1">
      <c r="Q498" s="364"/>
      <c r="R498" s="686" t="s">
        <v>59</v>
      </c>
      <c r="S498" s="577"/>
      <c r="T498" s="687"/>
      <c r="U498" s="687"/>
      <c r="V498" s="687"/>
      <c r="W498" s="688"/>
      <c r="X498" s="364"/>
      <c r="Y498" s="364"/>
      <c r="Z498" s="364"/>
      <c r="AA498"/>
      <c r="AB498"/>
      <c r="AC498"/>
      <c r="AD498"/>
    </row>
    <row r="499" spans="17:30" ht="12.75" customHeight="1">
      <c r="Q499" s="364"/>
      <c r="R499" s="895" t="s">
        <v>845</v>
      </c>
      <c r="S499" s="896"/>
      <c r="T499" s="900" t="s">
        <v>835</v>
      </c>
      <c r="U499" s="900" t="s">
        <v>836</v>
      </c>
      <c r="V499" s="900" t="s">
        <v>837</v>
      </c>
      <c r="W499" s="902" t="s">
        <v>838</v>
      </c>
      <c r="X499" s="364"/>
      <c r="Y499" s="364"/>
      <c r="Z499" s="364"/>
      <c r="AA499"/>
      <c r="AB499"/>
      <c r="AC499"/>
      <c r="AD499"/>
    </row>
    <row r="500" spans="17:30" ht="12.75" customHeight="1">
      <c r="Q500" s="364"/>
      <c r="R500" s="892"/>
      <c r="S500" s="897"/>
      <c r="T500" s="904"/>
      <c r="U500" s="904"/>
      <c r="V500" s="904"/>
      <c r="W500" s="905"/>
      <c r="X500" s="364"/>
      <c r="Y500" s="364"/>
      <c r="Z500" s="364"/>
      <c r="AA500"/>
      <c r="AB500"/>
      <c r="AC500"/>
      <c r="AD500"/>
    </row>
    <row r="501" spans="17:30" ht="12.75" customHeight="1">
      <c r="Q501" s="364"/>
      <c r="R501" s="892"/>
      <c r="S501" s="897"/>
      <c r="T501" s="901"/>
      <c r="U501" s="901"/>
      <c r="V501" s="901"/>
      <c r="W501" s="903"/>
      <c r="X501" s="364"/>
      <c r="Y501" s="364"/>
      <c r="Z501" s="364"/>
      <c r="AA501"/>
      <c r="AB501"/>
      <c r="AC501"/>
      <c r="AD501"/>
    </row>
    <row r="502" spans="17:30" ht="12.75" customHeight="1">
      <c r="Q502" s="364"/>
      <c r="R502" s="892"/>
      <c r="S502" s="897"/>
      <c r="T502" s="702">
        <f>W76</f>
        <v>115.62059991327953</v>
      </c>
      <c r="U502" s="560">
        <f>W62</f>
        <v>1.6528925619834685</v>
      </c>
      <c r="V502" s="690">
        <f>IF(T502&gt;0,W502*U502," ")</f>
        <v>24330.578512396656</v>
      </c>
      <c r="W502" s="691">
        <f>IF(T502&gt;0,(VLOOKUP(T502,'Lookup Ready-reckoner'!$B$5:$E$1207,4))," ")</f>
        <v>14720</v>
      </c>
      <c r="X502" s="364"/>
      <c r="Y502" s="364"/>
      <c r="Z502" s="364"/>
      <c r="AA502"/>
      <c r="AB502"/>
      <c r="AC502"/>
      <c r="AD502"/>
    </row>
    <row r="503" spans="17:30" ht="12.75" customHeight="1">
      <c r="Q503" s="364"/>
      <c r="R503" s="898"/>
      <c r="S503" s="899"/>
      <c r="T503" s="447"/>
      <c r="U503" s="560"/>
      <c r="V503" s="690" t="str">
        <f>IF(T503&gt;0,W503*U503," ")</f>
        <v xml:space="preserve"> </v>
      </c>
      <c r="W503" s="691" t="str">
        <f>IF(T503&gt;0,(VLOOKUP(T503,'Lookup Ready-reckoner'!$B$5:$E$1007,4))," ")</f>
        <v xml:space="preserve"> </v>
      </c>
      <c r="X503" s="364"/>
      <c r="Y503" s="364"/>
      <c r="Z503" s="364"/>
      <c r="AA503"/>
      <c r="AB503"/>
      <c r="AC503"/>
      <c r="AD503"/>
    </row>
    <row r="504" spans="17:30" ht="12.75" customHeight="1" thickBot="1">
      <c r="Q504" s="364"/>
      <c r="R504" s="692" t="s">
        <v>839</v>
      </c>
      <c r="S504" s="693"/>
      <c r="T504" s="693"/>
      <c r="U504" s="703">
        <f>IF(T502&gt;0,(VLOOKUP(V504,'Lookup Ready-reckoner'!$L$5:$M$1207,2))," ")</f>
        <v>108.75</v>
      </c>
      <c r="V504" s="695">
        <f>IF(U502&gt;0,(SUM(V502:V503))," ")</f>
        <v>24330.578512396656</v>
      </c>
      <c r="W504" s="696"/>
      <c r="X504" s="364"/>
      <c r="Y504" s="364"/>
      <c r="Z504" s="364"/>
      <c r="AA504"/>
      <c r="AB504"/>
      <c r="AC504"/>
      <c r="AD504"/>
    </row>
    <row r="505" spans="17:30" ht="12.75" customHeight="1" thickBot="1">
      <c r="Q505" s="364"/>
      <c r="R505" s="892"/>
      <c r="S505" s="893"/>
      <c r="T505" s="893"/>
      <c r="U505" s="893"/>
      <c r="V505" s="893"/>
      <c r="W505" s="894"/>
      <c r="X505" s="364"/>
      <c r="Y505" s="364"/>
      <c r="Z505" s="364"/>
      <c r="AA505"/>
      <c r="AB505"/>
      <c r="AC505"/>
      <c r="AD505"/>
    </row>
    <row r="506" spans="17:30" ht="12.75" customHeight="1">
      <c r="Q506" s="364"/>
      <c r="R506" s="895" t="s">
        <v>886</v>
      </c>
      <c r="S506" s="896"/>
      <c r="T506" s="900" t="s">
        <v>835</v>
      </c>
      <c r="U506" s="900" t="s">
        <v>836</v>
      </c>
      <c r="V506" s="900" t="s">
        <v>837</v>
      </c>
      <c r="W506" s="902" t="s">
        <v>838</v>
      </c>
      <c r="X506" s="364"/>
      <c r="Y506" s="364"/>
      <c r="Z506" s="364"/>
      <c r="AA506"/>
      <c r="AB506"/>
      <c r="AC506"/>
      <c r="AD506"/>
    </row>
    <row r="507" spans="17:30" ht="12.75" customHeight="1">
      <c r="Q507" s="364"/>
      <c r="R507" s="892"/>
      <c r="S507" s="897"/>
      <c r="T507" s="901"/>
      <c r="U507" s="901"/>
      <c r="V507" s="901"/>
      <c r="W507" s="903"/>
      <c r="X507" s="364"/>
      <c r="Y507" s="364"/>
      <c r="Z507" s="364"/>
      <c r="AA507"/>
      <c r="AB507"/>
      <c r="AC507"/>
      <c r="AD507"/>
    </row>
    <row r="508" spans="17:30" ht="12.75" customHeight="1">
      <c r="Q508" s="364"/>
      <c r="R508" s="892"/>
      <c r="S508" s="897"/>
      <c r="T508" s="702">
        <f>T502*(1-0.0178*2)</f>
        <v>111.50450655636679</v>
      </c>
      <c r="U508" s="560">
        <f>U502</f>
        <v>1.6528925619834685</v>
      </c>
      <c r="V508" s="690">
        <f>IF(T508&gt;0,W508*U508," ")</f>
        <v>9421.4876033057699</v>
      </c>
      <c r="W508" s="691">
        <f>IF(T508&gt;0,(VLOOKUP(T508,'Lookup Ready-reckoner'!$B$5:$E$1207,4))," ")</f>
        <v>5700</v>
      </c>
      <c r="X508" s="364"/>
      <c r="Y508" s="364"/>
      <c r="Z508" s="364"/>
      <c r="AA508"/>
      <c r="AB508"/>
      <c r="AC508"/>
      <c r="AD508"/>
    </row>
    <row r="509" spans="17:30" ht="12.75" customHeight="1">
      <c r="Q509" s="364"/>
      <c r="R509" s="898"/>
      <c r="S509" s="899"/>
      <c r="T509" s="447"/>
      <c r="U509" s="560"/>
      <c r="V509" s="690" t="str">
        <f>IF(T509&gt;0,W509*U509," ")</f>
        <v xml:space="preserve"> </v>
      </c>
      <c r="W509" s="691" t="str">
        <f>IF(T509&gt;0,(VLOOKUP(T509,'Lookup Ready-reckoner'!$B$5:$E$1007,4))," ")</f>
        <v xml:space="preserve"> </v>
      </c>
      <c r="X509" s="364"/>
      <c r="Y509" s="364"/>
      <c r="Z509" s="364"/>
      <c r="AA509"/>
      <c r="AB509"/>
      <c r="AC509"/>
      <c r="AD509"/>
    </row>
    <row r="510" spans="17:30" ht="12.75" customHeight="1" thickBot="1">
      <c r="Q510" s="364"/>
      <c r="R510" s="692" t="s">
        <v>839</v>
      </c>
      <c r="S510" s="693"/>
      <c r="T510" s="693"/>
      <c r="U510" s="703">
        <f>IF(T508&gt;0,(VLOOKUP(V510,'Lookup Ready-reckoner'!$L$5:$M$1207,2))," ")</f>
        <v>104.7</v>
      </c>
      <c r="V510" s="695">
        <f>IF(U508&gt;0,(SUM(V508:V509))," ")</f>
        <v>9421.4876033057699</v>
      </c>
      <c r="W510" s="696"/>
      <c r="X510" s="364"/>
      <c r="Y510" s="364"/>
      <c r="Z510" s="364"/>
      <c r="AA510"/>
      <c r="AB510"/>
      <c r="AC510"/>
      <c r="AD510"/>
    </row>
    <row r="511" spans="17:30" ht="12.75" customHeight="1">
      <c r="Q511" s="364"/>
      <c r="R511" s="697"/>
      <c r="S511" s="687"/>
      <c r="T511" s="687"/>
      <c r="U511" s="372"/>
      <c r="V511" s="374"/>
      <c r="W511" s="688"/>
      <c r="X511" s="364"/>
      <c r="Y511" s="364"/>
      <c r="Z511" s="364"/>
      <c r="AA511"/>
      <c r="AB511"/>
      <c r="AC511"/>
      <c r="AD511"/>
    </row>
    <row r="512" spans="17:30" ht="12.75" customHeight="1" thickBot="1">
      <c r="Q512" s="364"/>
      <c r="R512" s="686" t="s">
        <v>60</v>
      </c>
      <c r="S512" s="577"/>
      <c r="T512" s="577"/>
      <c r="U512" s="577"/>
      <c r="V512" s="577"/>
      <c r="W512" s="698"/>
      <c r="X512" s="364"/>
      <c r="Y512" s="364"/>
      <c r="Z512" s="364"/>
      <c r="AA512"/>
      <c r="AB512"/>
      <c r="AC512"/>
      <c r="AD512"/>
    </row>
    <row r="513" spans="17:30" ht="12.75" customHeight="1">
      <c r="Q513" s="364"/>
      <c r="R513" s="895" t="s">
        <v>845</v>
      </c>
      <c r="S513" s="896"/>
      <c r="T513" s="900" t="s">
        <v>835</v>
      </c>
      <c r="U513" s="900" t="s">
        <v>836</v>
      </c>
      <c r="V513" s="900" t="s">
        <v>837</v>
      </c>
      <c r="W513" s="902" t="s">
        <v>838</v>
      </c>
      <c r="X513" s="364"/>
      <c r="Y513" s="364"/>
      <c r="Z513" s="364"/>
      <c r="AA513"/>
      <c r="AB513"/>
      <c r="AC513"/>
      <c r="AD513"/>
    </row>
    <row r="514" spans="17:30" ht="12.75" customHeight="1">
      <c r="Q514" s="364"/>
      <c r="R514" s="892"/>
      <c r="S514" s="897"/>
      <c r="T514" s="901"/>
      <c r="U514" s="901"/>
      <c r="V514" s="901"/>
      <c r="W514" s="903"/>
      <c r="X514" s="364"/>
      <c r="Y514" s="364"/>
      <c r="Z514" s="364"/>
      <c r="AA514"/>
      <c r="AB514"/>
      <c r="AC514"/>
      <c r="AD514"/>
    </row>
    <row r="515" spans="17:30" ht="12.75" customHeight="1">
      <c r="Q515" s="364"/>
      <c r="R515" s="892"/>
      <c r="S515" s="897"/>
      <c r="T515" s="702">
        <f>T502-PPE!$I$15</f>
        <v>102.62059991327953</v>
      </c>
      <c r="U515" s="560">
        <f>U508</f>
        <v>1.6528925619834685</v>
      </c>
      <c r="V515" s="690">
        <f>IF(T515&gt;0,W515*U515," ")</f>
        <v>1206.6115702479319</v>
      </c>
      <c r="W515" s="691">
        <f>IF(T515&gt;0,(VLOOKUP(T515,'Lookup Ready-reckoner'!$B$5:$E$1207,4))," ")</f>
        <v>730</v>
      </c>
      <c r="X515" s="364"/>
      <c r="Y515" s="364"/>
      <c r="Z515" s="364"/>
      <c r="AA515"/>
      <c r="AB515"/>
      <c r="AC515"/>
      <c r="AD515"/>
    </row>
    <row r="516" spans="17:30" ht="12.75" customHeight="1">
      <c r="Q516" s="364"/>
      <c r="R516" s="898"/>
      <c r="S516" s="899"/>
      <c r="T516" s="447"/>
      <c r="U516" s="560"/>
      <c r="V516" s="690" t="str">
        <f>IF(T516&gt;0,W516*U516," ")</f>
        <v xml:space="preserve"> </v>
      </c>
      <c r="W516" s="691" t="str">
        <f>IF(T516&gt;0,(VLOOKUP(T516,'Lookup Ready-reckoner'!$B$5:$E$1007,4))," ")</f>
        <v xml:space="preserve"> </v>
      </c>
      <c r="X516" s="364"/>
      <c r="Y516" s="364"/>
      <c r="Z516" s="364"/>
      <c r="AA516"/>
      <c r="AB516"/>
      <c r="AC516"/>
      <c r="AD516"/>
    </row>
    <row r="517" spans="17:30" ht="12.75" customHeight="1" thickBot="1">
      <c r="Q517" s="364"/>
      <c r="R517" s="692" t="s">
        <v>839</v>
      </c>
      <c r="S517" s="693"/>
      <c r="T517" s="693"/>
      <c r="U517" s="703">
        <f>IF(T515&gt;0,(VLOOKUP(V517,'Lookup Ready-reckoner'!$L$5:$M$1207,2))," ")</f>
        <v>95.8</v>
      </c>
      <c r="V517" s="695">
        <f>IF(U515&gt;0,(SUM(V515:V516))," ")</f>
        <v>1206.6115702479319</v>
      </c>
      <c r="W517" s="696"/>
      <c r="X517" s="364"/>
      <c r="Y517" s="364"/>
      <c r="Z517" s="364"/>
      <c r="AA517"/>
      <c r="AB517"/>
      <c r="AC517"/>
      <c r="AD517"/>
    </row>
    <row r="518" spans="17:30" ht="12.75" customHeight="1" thickBot="1">
      <c r="Q518" s="364"/>
      <c r="R518" s="892"/>
      <c r="S518" s="893"/>
      <c r="T518" s="893"/>
      <c r="U518" s="893"/>
      <c r="V518" s="893"/>
      <c r="W518" s="894"/>
      <c r="X518" s="364"/>
      <c r="Y518" s="364"/>
      <c r="Z518" s="364"/>
      <c r="AA518"/>
      <c r="AB518"/>
      <c r="AC518"/>
      <c r="AD518"/>
    </row>
    <row r="519" spans="17:30" ht="12.75" customHeight="1">
      <c r="Q519" s="364"/>
      <c r="R519" s="895" t="s">
        <v>886</v>
      </c>
      <c r="S519" s="896"/>
      <c r="T519" s="900" t="s">
        <v>835</v>
      </c>
      <c r="U519" s="900" t="s">
        <v>836</v>
      </c>
      <c r="V519" s="900" t="s">
        <v>837</v>
      </c>
      <c r="W519" s="902" t="s">
        <v>838</v>
      </c>
      <c r="X519" s="364"/>
      <c r="Y519" s="364"/>
      <c r="Z519" s="364"/>
      <c r="AA519"/>
      <c r="AB519"/>
      <c r="AC519"/>
      <c r="AD519"/>
    </row>
    <row r="520" spans="17:30" ht="12.75" customHeight="1">
      <c r="Q520" s="364"/>
      <c r="R520" s="892"/>
      <c r="S520" s="897"/>
      <c r="T520" s="901"/>
      <c r="U520" s="901"/>
      <c r="V520" s="901"/>
      <c r="W520" s="903"/>
      <c r="X520" s="364"/>
      <c r="Y520" s="364"/>
      <c r="Z520" s="364"/>
      <c r="AA520"/>
      <c r="AB520"/>
      <c r="AC520"/>
      <c r="AD520"/>
    </row>
    <row r="521" spans="17:30" ht="12.75" customHeight="1">
      <c r="Q521" s="364"/>
      <c r="R521" s="892"/>
      <c r="S521" s="897"/>
      <c r="T521" s="702">
        <f>T508-PPE!$I$15</f>
        <v>98.504506556366792</v>
      </c>
      <c r="U521" s="560">
        <f>U515</f>
        <v>1.6528925619834685</v>
      </c>
      <c r="V521" s="690">
        <f>IF(T521&gt;0,W521*U521," ")</f>
        <v>464.87603305785052</v>
      </c>
      <c r="W521" s="691">
        <f>IF(T521&gt;0,(VLOOKUP(T521,'Lookup Ready-reckoner'!$B$5:$E$1207,4))," ")</f>
        <v>281.25</v>
      </c>
      <c r="X521" s="364"/>
      <c r="Y521" s="364"/>
      <c r="Z521" s="364"/>
      <c r="AA521"/>
      <c r="AB521"/>
      <c r="AC521"/>
      <c r="AD521"/>
    </row>
    <row r="522" spans="17:30" ht="12.75" customHeight="1">
      <c r="Q522" s="364"/>
      <c r="R522" s="898"/>
      <c r="S522" s="899"/>
      <c r="T522" s="447"/>
      <c r="U522" s="560"/>
      <c r="V522" s="690" t="str">
        <f>IF(T522&gt;0,W522*U522," ")</f>
        <v xml:space="preserve"> </v>
      </c>
      <c r="W522" s="691" t="str">
        <f>IF(T522&gt;0,(VLOOKUP(T522,'Lookup Ready-reckoner'!$B$5:$E$1007,4))," ")</f>
        <v xml:space="preserve"> </v>
      </c>
      <c r="X522" s="364"/>
      <c r="Y522" s="364"/>
      <c r="Z522" s="364"/>
      <c r="AA522"/>
      <c r="AB522"/>
      <c r="AC522"/>
      <c r="AD522"/>
    </row>
    <row r="523" spans="17:30" ht="12.75" customHeight="1" thickBot="1">
      <c r="Q523" s="364"/>
      <c r="R523" s="692" t="s">
        <v>839</v>
      </c>
      <c r="S523" s="693"/>
      <c r="T523" s="693"/>
      <c r="U523" s="703">
        <f>IF(T521&gt;0,(VLOOKUP(V523,'Lookup Ready-reckoner'!$L$5:$M$1207,2))," ")</f>
        <v>91.6</v>
      </c>
      <c r="V523" s="695">
        <f>IF(U521&gt;0,(SUM(V521:V522))," ")</f>
        <v>464.87603305785052</v>
      </c>
      <c r="W523" s="696"/>
      <c r="X523" s="364"/>
      <c r="Y523" s="364"/>
      <c r="Z523" s="364"/>
      <c r="AA523"/>
      <c r="AB523"/>
      <c r="AC523"/>
      <c r="AD523"/>
    </row>
    <row r="524" spans="17:30" ht="12.75" customHeight="1">
      <c r="Q524" s="364"/>
      <c r="R524" s="363"/>
      <c r="S524" s="363"/>
      <c r="T524" s="363"/>
      <c r="U524" s="363"/>
      <c r="V524" s="363"/>
      <c r="W524" s="363"/>
      <c r="X524" s="364"/>
      <c r="Y524" s="364"/>
      <c r="Z524" s="364"/>
      <c r="AA524"/>
      <c r="AB524"/>
      <c r="AC524"/>
      <c r="AD524"/>
    </row>
    <row r="525" spans="17:30" ht="12.75" customHeight="1">
      <c r="Q525" s="364"/>
      <c r="R525" s="909" t="str">
        <f>R406</f>
        <v xml:space="preserve">Hilti TE MD20 </v>
      </c>
      <c r="S525" s="909"/>
      <c r="T525" s="909"/>
      <c r="U525" s="909"/>
      <c r="V525" s="909"/>
      <c r="W525" s="909"/>
      <c r="X525" s="364"/>
      <c r="Y525" s="364"/>
      <c r="Z525" s="364"/>
      <c r="AA525"/>
      <c r="AB525"/>
      <c r="AC525"/>
      <c r="AD525"/>
    </row>
    <row r="526" spans="17:30" ht="12.75" customHeight="1" thickBot="1">
      <c r="Q526" s="364"/>
      <c r="R526" s="910" t="s">
        <v>205</v>
      </c>
      <c r="S526" s="911"/>
      <c r="T526" s="911"/>
      <c r="U526" s="911"/>
      <c r="V526" s="911"/>
      <c r="W526" s="912"/>
      <c r="X526" s="364"/>
      <c r="Y526" s="364"/>
      <c r="Z526" s="364"/>
      <c r="AA526"/>
      <c r="AB526"/>
      <c r="AC526"/>
      <c r="AD526"/>
    </row>
    <row r="527" spans="17:30" ht="12.75" customHeight="1" thickBot="1">
      <c r="Q527" s="364"/>
      <c r="R527" s="686" t="s">
        <v>59</v>
      </c>
      <c r="S527" s="577"/>
      <c r="T527" s="687"/>
      <c r="U527" s="687"/>
      <c r="V527" s="687"/>
      <c r="W527" s="688"/>
      <c r="X527" s="364"/>
      <c r="Y527" s="364"/>
      <c r="Z527" s="364"/>
      <c r="AA527"/>
      <c r="AB527"/>
      <c r="AC527"/>
      <c r="AD527"/>
    </row>
    <row r="528" spans="17:30" ht="12.75" customHeight="1">
      <c r="Q528" s="364"/>
      <c r="R528" s="895" t="s">
        <v>845</v>
      </c>
      <c r="S528" s="896"/>
      <c r="T528" s="900" t="s">
        <v>835</v>
      </c>
      <c r="U528" s="900" t="s">
        <v>836</v>
      </c>
      <c r="V528" s="900" t="s">
        <v>837</v>
      </c>
      <c r="W528" s="902" t="s">
        <v>838</v>
      </c>
      <c r="X528" s="364"/>
      <c r="Y528" s="364"/>
      <c r="Z528" s="364"/>
      <c r="AA528"/>
      <c r="AB528"/>
      <c r="AC528"/>
      <c r="AD528"/>
    </row>
    <row r="529" spans="1:30" ht="12.75" customHeight="1">
      <c r="Q529" s="364"/>
      <c r="R529" s="892"/>
      <c r="S529" s="897"/>
      <c r="T529" s="904"/>
      <c r="U529" s="904"/>
      <c r="V529" s="904"/>
      <c r="W529" s="905"/>
      <c r="X529" s="364"/>
      <c r="Y529" s="364"/>
      <c r="Z529" s="364"/>
      <c r="AA529"/>
      <c r="AB529"/>
      <c r="AC529"/>
      <c r="AD529"/>
    </row>
    <row r="530" spans="1:30" ht="12.75" customHeight="1">
      <c r="Q530" s="364"/>
      <c r="R530" s="892"/>
      <c r="S530" s="897"/>
      <c r="T530" s="901"/>
      <c r="U530" s="901"/>
      <c r="V530" s="901"/>
      <c r="W530" s="903"/>
      <c r="X530" s="364"/>
      <c r="Y530" s="364"/>
      <c r="Z530" s="364"/>
      <c r="AA530"/>
      <c r="AB530"/>
      <c r="AC530"/>
      <c r="AD530"/>
    </row>
    <row r="531" spans="1:30" ht="12.75" customHeight="1">
      <c r="Q531" s="364"/>
      <c r="R531" s="892"/>
      <c r="S531" s="897"/>
      <c r="T531" s="704">
        <f>U76</f>
        <v>108.02059991327964</v>
      </c>
      <c r="U531" s="560">
        <f>U62</f>
        <v>2.6666666666666665</v>
      </c>
      <c r="V531" s="690">
        <f>IF(T531&gt;0,W531*U531," ")</f>
        <v>6666.6666666666661</v>
      </c>
      <c r="W531" s="691">
        <f>IF(T531&gt;0,(VLOOKUP(T531,'Lookup Ready-reckoner'!$B$5:$E$1207,4))," ")</f>
        <v>2500</v>
      </c>
      <c r="X531" s="364"/>
      <c r="Y531" s="364"/>
      <c r="Z531" s="364"/>
      <c r="AA531"/>
      <c r="AB531"/>
      <c r="AC531"/>
      <c r="AD531"/>
    </row>
    <row r="532" spans="1:30" ht="12.75" customHeight="1">
      <c r="A532" s="121"/>
      <c r="B532" s="121"/>
      <c r="C532" s="121"/>
      <c r="D532" s="121"/>
      <c r="E532" s="121"/>
      <c r="F532" s="121"/>
      <c r="G532" s="121"/>
      <c r="H532" s="121"/>
      <c r="I532" s="121"/>
      <c r="J532" s="121"/>
      <c r="K532" s="121"/>
      <c r="Q532" s="364"/>
      <c r="R532" s="898"/>
      <c r="S532" s="899"/>
      <c r="T532" s="447"/>
      <c r="U532" s="560"/>
      <c r="V532" s="690" t="str">
        <f>IF(T532&gt;0,W532*U532," ")</f>
        <v xml:space="preserve"> </v>
      </c>
      <c r="W532" s="691" t="str">
        <f>IF(T532&gt;0,(VLOOKUP(T532,'Lookup Ready-reckoner'!$B$5:$E$1007,4))," ")</f>
        <v xml:space="preserve"> </v>
      </c>
      <c r="X532" s="364"/>
      <c r="Y532" s="364"/>
      <c r="Z532" s="364"/>
      <c r="AA532"/>
      <c r="AB532"/>
      <c r="AC532"/>
      <c r="AD532"/>
    </row>
    <row r="533" spans="1:30" ht="12.75" customHeight="1" thickBot="1">
      <c r="Q533" s="364"/>
      <c r="R533" s="692" t="s">
        <v>839</v>
      </c>
      <c r="S533" s="693"/>
      <c r="T533" s="693"/>
      <c r="U533" s="705">
        <f>IF(T531&gt;0,(VLOOKUP(V533,'Lookup Ready-reckoner'!$L$5:$M$1207,2))," ")</f>
        <v>103.15</v>
      </c>
      <c r="V533" s="695">
        <f>IF(U531&gt;0,(SUM(V531:V532))," ")</f>
        <v>6666.6666666666661</v>
      </c>
      <c r="W533" s="696"/>
      <c r="X533" s="364"/>
      <c r="Y533" s="364"/>
      <c r="Z533" s="364"/>
      <c r="AA533"/>
      <c r="AB533"/>
      <c r="AC533"/>
      <c r="AD533"/>
    </row>
    <row r="534" spans="1:30" ht="12.75" customHeight="1" thickBot="1">
      <c r="Q534" s="364"/>
      <c r="R534" s="906"/>
      <c r="S534" s="907"/>
      <c r="T534" s="907"/>
      <c r="U534" s="907"/>
      <c r="V534" s="907"/>
      <c r="W534" s="908"/>
      <c r="X534" s="364"/>
      <c r="Y534" s="364"/>
      <c r="Z534" s="364"/>
      <c r="AA534"/>
      <c r="AB534"/>
      <c r="AC534"/>
      <c r="AD534"/>
    </row>
    <row r="535" spans="1:30" ht="12.75" customHeight="1">
      <c r="Q535" s="364"/>
      <c r="R535" s="895" t="s">
        <v>886</v>
      </c>
      <c r="S535" s="896"/>
      <c r="T535" s="900" t="s">
        <v>835</v>
      </c>
      <c r="U535" s="900" t="s">
        <v>836</v>
      </c>
      <c r="V535" s="900" t="s">
        <v>837</v>
      </c>
      <c r="W535" s="902" t="s">
        <v>838</v>
      </c>
      <c r="X535" s="364"/>
      <c r="Y535" s="364"/>
      <c r="Z535" s="364"/>
      <c r="AA535"/>
      <c r="AB535"/>
      <c r="AC535"/>
      <c r="AD535"/>
    </row>
    <row r="536" spans="1:30" ht="12.75" customHeight="1">
      <c r="Q536" s="364"/>
      <c r="R536" s="892"/>
      <c r="S536" s="897"/>
      <c r="T536" s="901"/>
      <c r="U536" s="901"/>
      <c r="V536" s="901"/>
      <c r="W536" s="903"/>
      <c r="X536" s="364"/>
      <c r="Y536" s="364"/>
      <c r="Z536" s="364"/>
      <c r="AA536"/>
      <c r="AB536"/>
      <c r="AC536"/>
      <c r="AD536"/>
    </row>
    <row r="537" spans="1:30" ht="12.75" customHeight="1">
      <c r="Q537" s="364"/>
      <c r="R537" s="892"/>
      <c r="S537" s="897"/>
      <c r="T537" s="704">
        <f>T531*(1-0.0178*2)</f>
        <v>104.17506655636689</v>
      </c>
      <c r="U537" s="560">
        <f>U531</f>
        <v>2.6666666666666665</v>
      </c>
      <c r="V537" s="690">
        <f>IF(T537&gt;0,W537*U537," ")</f>
        <v>2766.6666666666665</v>
      </c>
      <c r="W537" s="691">
        <f>IF(T537&gt;0,(VLOOKUP(T537,'Lookup Ready-reckoner'!$B$5:$E$1207,4))," ")</f>
        <v>1037.5</v>
      </c>
      <c r="X537" s="364"/>
      <c r="Y537" s="364"/>
      <c r="Z537" s="364"/>
      <c r="AA537"/>
      <c r="AB537"/>
      <c r="AC537"/>
      <c r="AD537"/>
    </row>
    <row r="538" spans="1:30" ht="12.75" customHeight="1">
      <c r="Q538" s="364"/>
      <c r="R538" s="898"/>
      <c r="S538" s="899"/>
      <c r="T538" s="447"/>
      <c r="U538" s="560"/>
      <c r="V538" s="690" t="str">
        <f>IF(T538&gt;0,W538*U538," ")</f>
        <v xml:space="preserve"> </v>
      </c>
      <c r="W538" s="691" t="str">
        <f>IF(T538&gt;0,(VLOOKUP(T538,'Lookup Ready-reckoner'!$B$5:$E$1007,4))," ")</f>
        <v xml:space="preserve"> </v>
      </c>
      <c r="X538" s="364"/>
      <c r="Y538" s="364"/>
      <c r="Z538" s="364"/>
      <c r="AA538"/>
      <c r="AB538"/>
      <c r="AC538"/>
      <c r="AD538"/>
    </row>
    <row r="539" spans="1:30" ht="12.75" customHeight="1" thickBot="1">
      <c r="Q539" s="364"/>
      <c r="R539" s="692" t="s">
        <v>839</v>
      </c>
      <c r="S539" s="693"/>
      <c r="T539" s="693"/>
      <c r="U539" s="705">
        <f>IF(T537&gt;0,(VLOOKUP(V539,'Lookup Ready-reckoner'!$L$5:$M$1207,2))," ")</f>
        <v>99.35</v>
      </c>
      <c r="V539" s="695">
        <f>IF(U537&gt;0,(SUM(V537:V538))," ")</f>
        <v>2766.6666666666665</v>
      </c>
      <c r="W539" s="696"/>
      <c r="X539" s="364"/>
      <c r="Y539" s="364"/>
      <c r="Z539" s="364"/>
      <c r="AA539"/>
      <c r="AB539"/>
      <c r="AC539"/>
      <c r="AD539"/>
    </row>
    <row r="540" spans="1:30" ht="12.75" customHeight="1">
      <c r="Q540" s="364"/>
      <c r="R540" s="697"/>
      <c r="S540" s="687"/>
      <c r="T540" s="687"/>
      <c r="U540" s="372"/>
      <c r="V540" s="374"/>
      <c r="W540" s="688"/>
      <c r="X540" s="364"/>
      <c r="Y540" s="364"/>
      <c r="Z540" s="364"/>
      <c r="AA540"/>
      <c r="AB540"/>
      <c r="AC540"/>
      <c r="AD540"/>
    </row>
    <row r="541" spans="1:30" ht="12.75" customHeight="1" thickBot="1">
      <c r="Q541" s="364"/>
      <c r="R541" s="686" t="s">
        <v>60</v>
      </c>
      <c r="S541" s="577"/>
      <c r="T541" s="577"/>
      <c r="U541" s="577"/>
      <c r="V541" s="577"/>
      <c r="W541" s="698"/>
      <c r="X541" s="364"/>
      <c r="Y541" s="364"/>
      <c r="Z541" s="364"/>
      <c r="AA541"/>
      <c r="AB541"/>
      <c r="AC541"/>
      <c r="AD541"/>
    </row>
    <row r="542" spans="1:30" ht="12.75" customHeight="1">
      <c r="Q542" s="364"/>
      <c r="R542" s="895" t="s">
        <v>845</v>
      </c>
      <c r="S542" s="896"/>
      <c r="T542" s="900" t="s">
        <v>835</v>
      </c>
      <c r="U542" s="900" t="s">
        <v>836</v>
      </c>
      <c r="V542" s="900" t="s">
        <v>837</v>
      </c>
      <c r="W542" s="902" t="s">
        <v>838</v>
      </c>
      <c r="X542" s="364"/>
      <c r="Y542" s="364"/>
      <c r="Z542" s="364"/>
      <c r="AA542"/>
      <c r="AB542"/>
      <c r="AC542"/>
      <c r="AD542"/>
    </row>
    <row r="543" spans="1:30" ht="12.75" customHeight="1">
      <c r="Q543" s="364"/>
      <c r="R543" s="892"/>
      <c r="S543" s="897"/>
      <c r="T543" s="901"/>
      <c r="U543" s="901"/>
      <c r="V543" s="901"/>
      <c r="W543" s="903"/>
      <c r="X543" s="364"/>
      <c r="Y543" s="364"/>
      <c r="Z543" s="364"/>
      <c r="AA543"/>
      <c r="AB543"/>
      <c r="AC543"/>
      <c r="AD543"/>
    </row>
    <row r="544" spans="1:30" ht="12.75" customHeight="1">
      <c r="Q544" s="364"/>
      <c r="R544" s="892"/>
      <c r="S544" s="897"/>
      <c r="T544" s="704">
        <f>T531-PPE!$I$15</f>
        <v>95.020599913279639</v>
      </c>
      <c r="U544" s="560">
        <f>U537</f>
        <v>2.6666666666666665</v>
      </c>
      <c r="V544" s="690">
        <f>IF(T544&gt;0,W544*U544," ")</f>
        <v>333.33333333333331</v>
      </c>
      <c r="W544" s="691">
        <f>IF(T544&gt;0,(VLOOKUP(T544,'Lookup Ready-reckoner'!$B$5:$E$1207,4))," ")</f>
        <v>125</v>
      </c>
      <c r="X544" s="364"/>
      <c r="Y544" s="364"/>
      <c r="Z544" s="364"/>
      <c r="AA544"/>
      <c r="AB544"/>
      <c r="AC544"/>
      <c r="AD544"/>
    </row>
    <row r="545" spans="17:30" ht="12.75" customHeight="1">
      <c r="Q545" s="364"/>
      <c r="R545" s="898"/>
      <c r="S545" s="899"/>
      <c r="T545" s="447"/>
      <c r="U545" s="560"/>
      <c r="V545" s="690" t="str">
        <f>IF(T545&gt;0,W545*U545," ")</f>
        <v xml:space="preserve"> </v>
      </c>
      <c r="W545" s="691" t="str">
        <f>IF(T545&gt;0,(VLOOKUP(T545,'Lookup Ready-reckoner'!$B$5:$E$1007,4))," ")</f>
        <v xml:space="preserve"> </v>
      </c>
      <c r="X545" s="364"/>
      <c r="Y545" s="364"/>
      <c r="Z545" s="364"/>
      <c r="AA545"/>
      <c r="AB545"/>
      <c r="AC545"/>
      <c r="AD545"/>
    </row>
    <row r="546" spans="17:30" ht="12.75" customHeight="1" thickBot="1">
      <c r="Q546" s="364"/>
      <c r="R546" s="692" t="s">
        <v>839</v>
      </c>
      <c r="S546" s="693"/>
      <c r="T546" s="693"/>
      <c r="U546" s="705">
        <f>IF(T544&gt;0,(VLOOKUP(V546,'Lookup Ready-reckoner'!$L$5:$M$1207,2))," ")</f>
        <v>90.15</v>
      </c>
      <c r="V546" s="695">
        <f>IF(U544&gt;0,(SUM(V544:V545))," ")</f>
        <v>333.33333333333331</v>
      </c>
      <c r="W546" s="696"/>
      <c r="X546" s="364"/>
      <c r="Y546" s="364"/>
      <c r="Z546" s="364"/>
      <c r="AA546"/>
      <c r="AB546"/>
      <c r="AC546"/>
      <c r="AD546"/>
    </row>
    <row r="547" spans="17:30" ht="12.75" customHeight="1" thickBot="1">
      <c r="Q547" s="364"/>
      <c r="R547" s="892"/>
      <c r="S547" s="893"/>
      <c r="T547" s="893"/>
      <c r="U547" s="893"/>
      <c r="V547" s="893"/>
      <c r="W547" s="894"/>
      <c r="X547" s="364"/>
      <c r="Y547" s="364"/>
      <c r="Z547" s="364"/>
      <c r="AA547"/>
      <c r="AB547"/>
      <c r="AC547"/>
      <c r="AD547"/>
    </row>
    <row r="548" spans="17:30" ht="12.75" customHeight="1">
      <c r="Q548" s="364"/>
      <c r="R548" s="895" t="s">
        <v>886</v>
      </c>
      <c r="S548" s="896"/>
      <c r="T548" s="900" t="s">
        <v>835</v>
      </c>
      <c r="U548" s="900" t="s">
        <v>836</v>
      </c>
      <c r="V548" s="900" t="s">
        <v>837</v>
      </c>
      <c r="W548" s="902" t="s">
        <v>838</v>
      </c>
      <c r="X548" s="364"/>
      <c r="Y548" s="364"/>
      <c r="Z548" s="364"/>
      <c r="AA548"/>
      <c r="AB548"/>
      <c r="AC548"/>
      <c r="AD548"/>
    </row>
    <row r="549" spans="17:30" ht="12.75" customHeight="1">
      <c r="Q549" s="364"/>
      <c r="R549" s="892"/>
      <c r="S549" s="897"/>
      <c r="T549" s="901"/>
      <c r="U549" s="901"/>
      <c r="V549" s="901"/>
      <c r="W549" s="903"/>
      <c r="X549" s="364"/>
      <c r="Y549" s="364"/>
      <c r="Z549" s="364"/>
      <c r="AA549"/>
      <c r="AB549"/>
      <c r="AC549"/>
      <c r="AD549"/>
    </row>
    <row r="550" spans="17:30" ht="12.75" customHeight="1">
      <c r="Q550" s="364"/>
      <c r="R550" s="892"/>
      <c r="S550" s="897"/>
      <c r="T550" s="704">
        <f>T537-PPE!$I$15</f>
        <v>91.175066556366886</v>
      </c>
      <c r="U550" s="560">
        <f>U544</f>
        <v>2.6666666666666665</v>
      </c>
      <c r="V550" s="690">
        <f>IF(T550&gt;0,W550*U550," ")</f>
        <v>138.33333333333331</v>
      </c>
      <c r="W550" s="691">
        <f>IF(T550&gt;0,(VLOOKUP(T550,'Lookup Ready-reckoner'!$B$5:$E$1207,4))," ")</f>
        <v>51.875</v>
      </c>
      <c r="X550" s="364"/>
      <c r="Y550" s="364"/>
      <c r="Z550" s="364"/>
      <c r="AA550"/>
      <c r="AB550"/>
      <c r="AC550"/>
      <c r="AD550"/>
    </row>
    <row r="551" spans="17:30" ht="12.75" customHeight="1">
      <c r="Q551" s="364"/>
      <c r="R551" s="898"/>
      <c r="S551" s="899"/>
      <c r="T551" s="447"/>
      <c r="U551" s="560"/>
      <c r="V551" s="690" t="str">
        <f>IF(T551&gt;0,W551*U551," ")</f>
        <v xml:space="preserve"> </v>
      </c>
      <c r="W551" s="691" t="str">
        <f>IF(T551&gt;0,(VLOOKUP(T551,'Lookup Ready-reckoner'!$B$5:$E$1007,4))," ")</f>
        <v xml:space="preserve"> </v>
      </c>
      <c r="X551" s="364"/>
      <c r="Y551" s="364"/>
      <c r="Z551" s="364"/>
      <c r="AA551"/>
      <c r="AB551"/>
      <c r="AC551"/>
      <c r="AD551"/>
    </row>
    <row r="552" spans="17:30" ht="12.75" customHeight="1" thickBot="1">
      <c r="Q552" s="364"/>
      <c r="R552" s="692" t="s">
        <v>839</v>
      </c>
      <c r="S552" s="693"/>
      <c r="T552" s="693"/>
      <c r="U552" s="705">
        <f>IF(T550&gt;0,(VLOOKUP(V552,'Lookup Ready-reckoner'!$L$5:$M$1207,2))," ")</f>
        <v>86.35</v>
      </c>
      <c r="V552" s="695">
        <f>IF(U550&gt;0,(SUM(V550:V551))," ")</f>
        <v>138.33333333333331</v>
      </c>
      <c r="W552" s="696"/>
      <c r="X552" s="364"/>
      <c r="Y552" s="364"/>
      <c r="Z552" s="364"/>
      <c r="AA552"/>
      <c r="AB552"/>
      <c r="AC552"/>
      <c r="AD552"/>
    </row>
    <row r="553" spans="17:30" ht="12.75" customHeight="1">
      <c r="Q553" s="364"/>
      <c r="R553" s="364"/>
      <c r="S553" s="364"/>
      <c r="T553" s="364"/>
      <c r="U553" s="364"/>
      <c r="V553" s="364"/>
      <c r="W553" s="364"/>
      <c r="X553" s="364"/>
      <c r="Y553" s="364"/>
      <c r="Z553" s="364"/>
      <c r="AA553"/>
      <c r="AB553"/>
      <c r="AC553"/>
      <c r="AD553"/>
    </row>
    <row r="554" spans="17:30" ht="12.75" customHeight="1">
      <c r="Q554"/>
      <c r="R554"/>
      <c r="S554"/>
      <c r="T554"/>
      <c r="U554"/>
      <c r="V554"/>
      <c r="W554"/>
      <c r="X554"/>
      <c r="Y554"/>
      <c r="Z554"/>
      <c r="AA554"/>
      <c r="AB554"/>
      <c r="AC554"/>
      <c r="AD554"/>
    </row>
    <row r="555" spans="17:30" ht="12.75" customHeight="1">
      <c r="Q555"/>
      <c r="R555"/>
      <c r="S555"/>
      <c r="T555"/>
      <c r="U555"/>
      <c r="V555"/>
      <c r="W555"/>
      <c r="X555"/>
      <c r="Y555"/>
      <c r="Z555"/>
      <c r="AA555"/>
      <c r="AB555"/>
      <c r="AC555"/>
      <c r="AD555"/>
    </row>
    <row r="556" spans="17:30" ht="12.75" customHeight="1">
      <c r="Q556"/>
      <c r="R556"/>
      <c r="S556"/>
      <c r="T556"/>
      <c r="U556"/>
      <c r="V556"/>
      <c r="W556"/>
      <c r="X556"/>
      <c r="Y556"/>
      <c r="Z556"/>
      <c r="AA556"/>
      <c r="AB556"/>
      <c r="AC556"/>
      <c r="AD556"/>
    </row>
    <row r="557" spans="17:30" ht="12.75" customHeight="1">
      <c r="Q557"/>
      <c r="R557"/>
      <c r="S557"/>
      <c r="T557"/>
      <c r="U557"/>
      <c r="V557"/>
      <c r="W557"/>
      <c r="X557"/>
      <c r="Y557"/>
      <c r="Z557"/>
      <c r="AA557"/>
      <c r="AB557"/>
      <c r="AC557"/>
      <c r="AD557"/>
    </row>
    <row r="558" spans="17:30" ht="12.75" customHeight="1">
      <c r="Q558"/>
      <c r="R558"/>
      <c r="S558"/>
      <c r="T558"/>
      <c r="U558"/>
      <c r="V558"/>
      <c r="W558"/>
      <c r="X558"/>
      <c r="Y558"/>
      <c r="Z558"/>
      <c r="AA558"/>
      <c r="AB558"/>
      <c r="AC558"/>
      <c r="AD558"/>
    </row>
    <row r="559" spans="17:30" ht="12.75" customHeight="1">
      <c r="Q559"/>
      <c r="R559"/>
      <c r="S559"/>
      <c r="T559"/>
      <c r="U559"/>
      <c r="V559"/>
      <c r="W559"/>
      <c r="X559"/>
      <c r="Y559"/>
      <c r="Z559"/>
      <c r="AA559"/>
      <c r="AB559"/>
      <c r="AC559"/>
      <c r="AD559"/>
    </row>
    <row r="560" spans="17:30" ht="12.75" customHeight="1">
      <c r="Q560"/>
      <c r="R560"/>
      <c r="S560"/>
      <c r="T560"/>
      <c r="U560"/>
      <c r="V560"/>
      <c r="W560"/>
      <c r="X560"/>
      <c r="Y560"/>
      <c r="Z560"/>
      <c r="AA560"/>
      <c r="AB560"/>
      <c r="AC560"/>
      <c r="AD560"/>
    </row>
    <row r="561" spans="17:26" ht="12.75" customHeight="1">
      <c r="Q561"/>
      <c r="R561"/>
      <c r="S561"/>
      <c r="T561"/>
      <c r="U561"/>
      <c r="V561"/>
      <c r="W561"/>
      <c r="X561"/>
      <c r="Y561"/>
      <c r="Z561"/>
    </row>
    <row r="562" spans="17:26" ht="12.75" customHeight="1">
      <c r="Q562"/>
      <c r="R562"/>
      <c r="S562"/>
      <c r="T562"/>
      <c r="U562"/>
      <c r="V562"/>
      <c r="W562"/>
      <c r="X562"/>
      <c r="Y562"/>
      <c r="Z562"/>
    </row>
    <row r="563" spans="17:26" ht="12.75" customHeight="1">
      <c r="Q563"/>
      <c r="R563"/>
      <c r="S563"/>
      <c r="T563"/>
      <c r="U563"/>
      <c r="V563"/>
      <c r="W563"/>
      <c r="X563"/>
      <c r="Y563"/>
      <c r="Z563"/>
    </row>
    <row r="564" spans="17:26" ht="12.75" customHeight="1">
      <c r="Q564"/>
      <c r="R564"/>
      <c r="S564"/>
      <c r="T564"/>
      <c r="U564"/>
      <c r="V564"/>
      <c r="W564"/>
      <c r="X564"/>
      <c r="Y564"/>
      <c r="Z564"/>
    </row>
    <row r="565" spans="17:26" ht="12.75" customHeight="1">
      <c r="Q565"/>
      <c r="R565"/>
      <c r="S565"/>
      <c r="T565"/>
      <c r="U565"/>
      <c r="V565"/>
      <c r="W565"/>
      <c r="X565"/>
      <c r="Y565"/>
      <c r="Z565"/>
    </row>
    <row r="566" spans="17:26" ht="12.75" customHeight="1">
      <c r="Q566"/>
      <c r="R566"/>
      <c r="S566"/>
      <c r="T566"/>
      <c r="U566"/>
      <c r="V566"/>
      <c r="W566"/>
      <c r="X566"/>
      <c r="Y566"/>
      <c r="Z566"/>
    </row>
    <row r="567" spans="17:26" ht="12.75" customHeight="1">
      <c r="Q567"/>
      <c r="R567"/>
      <c r="S567"/>
      <c r="T567"/>
      <c r="U567"/>
      <c r="V567"/>
      <c r="W567"/>
      <c r="X567"/>
      <c r="Y567"/>
      <c r="Z567"/>
    </row>
    <row r="568" spans="17:26" ht="12.75" customHeight="1">
      <c r="Q568"/>
      <c r="R568"/>
      <c r="S568"/>
      <c r="T568"/>
      <c r="U568"/>
      <c r="V568"/>
      <c r="W568"/>
      <c r="X568"/>
      <c r="Y568"/>
      <c r="Z568"/>
    </row>
    <row r="569" spans="17:26" ht="12.75" customHeight="1">
      <c r="Q569"/>
      <c r="R569"/>
      <c r="S569"/>
      <c r="T569"/>
      <c r="U569"/>
      <c r="V569"/>
      <c r="W569"/>
      <c r="X569"/>
      <c r="Y569"/>
      <c r="Z569"/>
    </row>
    <row r="570" spans="17:26" ht="12.75" customHeight="1">
      <c r="Q570"/>
      <c r="R570"/>
      <c r="S570"/>
      <c r="T570"/>
      <c r="U570"/>
      <c r="V570"/>
      <c r="W570"/>
      <c r="X570"/>
      <c r="Y570"/>
      <c r="Z570"/>
    </row>
    <row r="571" spans="17:26" ht="12.75" customHeight="1">
      <c r="Q571"/>
      <c r="R571"/>
      <c r="S571"/>
      <c r="T571"/>
      <c r="U571"/>
      <c r="V571"/>
      <c r="W571"/>
      <c r="X571"/>
      <c r="Y571"/>
      <c r="Z571"/>
    </row>
    <row r="572" spans="17:26" ht="12.75" customHeight="1">
      <c r="Q572"/>
      <c r="R572"/>
      <c r="S572"/>
      <c r="T572"/>
      <c r="U572"/>
      <c r="V572"/>
      <c r="W572"/>
      <c r="X572"/>
      <c r="Y572"/>
      <c r="Z572"/>
    </row>
    <row r="573" spans="17:26" ht="12.75" customHeight="1">
      <c r="Q573"/>
      <c r="R573"/>
      <c r="S573"/>
      <c r="T573"/>
      <c r="U573"/>
      <c r="V573"/>
      <c r="W573"/>
      <c r="X573"/>
      <c r="Y573"/>
      <c r="Z573"/>
    </row>
    <row r="574" spans="17:26" ht="12.75" customHeight="1">
      <c r="Q574"/>
      <c r="R574"/>
      <c r="S574"/>
      <c r="T574"/>
      <c r="U574"/>
      <c r="V574"/>
      <c r="W574"/>
      <c r="X574"/>
      <c r="Y574"/>
      <c r="Z574"/>
    </row>
    <row r="575" spans="17:26" ht="12.75" customHeight="1">
      <c r="Q575"/>
      <c r="R575"/>
      <c r="S575"/>
      <c r="T575"/>
      <c r="U575"/>
      <c r="V575"/>
      <c r="W575"/>
      <c r="X575"/>
      <c r="Y575"/>
      <c r="Z575"/>
    </row>
    <row r="576" spans="17:26" ht="12.75" customHeight="1">
      <c r="Q576"/>
      <c r="R576"/>
      <c r="S576"/>
      <c r="T576"/>
      <c r="U576"/>
      <c r="V576"/>
      <c r="W576"/>
      <c r="X576"/>
      <c r="Y576"/>
      <c r="Z576"/>
    </row>
    <row r="577" spans="17:26" ht="12.75" customHeight="1">
      <c r="Q577"/>
      <c r="R577"/>
      <c r="S577"/>
      <c r="T577"/>
      <c r="U577"/>
      <c r="V577"/>
      <c r="W577"/>
      <c r="X577"/>
      <c r="Y577"/>
      <c r="Z577"/>
    </row>
    <row r="578" spans="17:26" ht="12.75" customHeight="1">
      <c r="Q578"/>
      <c r="R578"/>
      <c r="S578"/>
      <c r="T578"/>
      <c r="U578"/>
      <c r="V578"/>
      <c r="W578"/>
      <c r="X578"/>
      <c r="Y578"/>
      <c r="Z578"/>
    </row>
    <row r="579" spans="17:26" ht="12.75" customHeight="1">
      <c r="Q579"/>
      <c r="R579"/>
      <c r="S579"/>
      <c r="T579"/>
      <c r="U579"/>
      <c r="V579"/>
      <c r="W579"/>
      <c r="X579"/>
      <c r="Y579"/>
      <c r="Z579"/>
    </row>
    <row r="580" spans="17:26" ht="12.75" customHeight="1">
      <c r="Q580"/>
      <c r="R580"/>
      <c r="S580"/>
      <c r="T580"/>
      <c r="U580"/>
      <c r="V580"/>
      <c r="W580"/>
      <c r="X580"/>
      <c r="Y580"/>
      <c r="Z580"/>
    </row>
    <row r="581" spans="17:26" ht="12.75" customHeight="1">
      <c r="Q581"/>
      <c r="R581"/>
      <c r="S581"/>
      <c r="T581"/>
      <c r="U581"/>
      <c r="V581"/>
      <c r="W581"/>
      <c r="X581"/>
      <c r="Y581"/>
      <c r="Z581"/>
    </row>
    <row r="582" spans="17:26" ht="12.75" customHeight="1">
      <c r="Q582"/>
      <c r="R582"/>
      <c r="S582"/>
      <c r="T582"/>
      <c r="U582"/>
      <c r="V582"/>
      <c r="W582"/>
      <c r="X582"/>
      <c r="Y582"/>
      <c r="Z582"/>
    </row>
    <row r="583" spans="17:26" ht="12.75" customHeight="1">
      <c r="Q583"/>
      <c r="R583"/>
      <c r="S583"/>
      <c r="T583"/>
      <c r="U583"/>
      <c r="V583"/>
      <c r="W583"/>
      <c r="X583"/>
      <c r="Y583"/>
      <c r="Z583"/>
    </row>
    <row r="584" spans="17:26" ht="12.75" customHeight="1">
      <c r="Q584"/>
      <c r="R584"/>
      <c r="S584"/>
      <c r="T584"/>
      <c r="U584"/>
      <c r="V584"/>
      <c r="W584"/>
      <c r="X584"/>
      <c r="Y584"/>
      <c r="Z584"/>
    </row>
    <row r="585" spans="17:26" ht="12.75" customHeight="1">
      <c r="Q585"/>
      <c r="R585"/>
      <c r="S585"/>
      <c r="T585"/>
      <c r="U585"/>
      <c r="V585"/>
      <c r="W585"/>
      <c r="X585"/>
      <c r="Y585"/>
      <c r="Z585"/>
    </row>
    <row r="586" spans="17:26" ht="12.75" customHeight="1">
      <c r="Q586"/>
      <c r="R586"/>
      <c r="S586"/>
      <c r="T586"/>
      <c r="U586"/>
      <c r="V586"/>
      <c r="W586"/>
      <c r="X586"/>
      <c r="Y586"/>
      <c r="Z586"/>
    </row>
    <row r="587" spans="17:26" ht="12.75" customHeight="1">
      <c r="Q587"/>
      <c r="R587"/>
      <c r="S587"/>
      <c r="T587"/>
      <c r="U587"/>
      <c r="V587"/>
      <c r="W587"/>
      <c r="X587"/>
      <c r="Y587"/>
      <c r="Z587"/>
    </row>
    <row r="588" spans="17:26" ht="12.75" customHeight="1">
      <c r="Q588"/>
      <c r="R588"/>
      <c r="S588"/>
      <c r="T588"/>
      <c r="U588"/>
      <c r="V588"/>
      <c r="W588"/>
      <c r="X588"/>
      <c r="Y588"/>
      <c r="Z588"/>
    </row>
    <row r="589" spans="17:26" ht="12.75" customHeight="1">
      <c r="Q589"/>
      <c r="R589"/>
      <c r="S589"/>
      <c r="T589"/>
      <c r="U589"/>
      <c r="V589"/>
      <c r="W589"/>
      <c r="X589"/>
      <c r="Y589"/>
      <c r="Z589"/>
    </row>
    <row r="590" spans="17:26" ht="12.75" customHeight="1">
      <c r="Q590"/>
      <c r="R590"/>
      <c r="S590"/>
      <c r="T590"/>
      <c r="U590"/>
      <c r="V590"/>
      <c r="W590"/>
      <c r="X590"/>
      <c r="Y590"/>
      <c r="Z590"/>
    </row>
    <row r="591" spans="17:26" ht="12.75" customHeight="1">
      <c r="Q591"/>
      <c r="R591"/>
      <c r="S591"/>
      <c r="T591"/>
      <c r="U591"/>
      <c r="V591"/>
      <c r="W591"/>
      <c r="X591"/>
      <c r="Y591"/>
      <c r="Z591"/>
    </row>
    <row r="592" spans="17:26" ht="12.75" customHeight="1">
      <c r="Q592"/>
      <c r="R592"/>
      <c r="S592"/>
      <c r="T592"/>
      <c r="U592"/>
      <c r="V592"/>
      <c r="W592"/>
      <c r="X592"/>
      <c r="Y592"/>
      <c r="Z592"/>
    </row>
    <row r="593" spans="17:26" ht="12.75" customHeight="1">
      <c r="Q593"/>
      <c r="R593"/>
      <c r="S593"/>
      <c r="T593"/>
      <c r="U593"/>
      <c r="V593"/>
      <c r="W593"/>
      <c r="X593"/>
      <c r="Y593"/>
      <c r="Z593"/>
    </row>
    <row r="594" spans="17:26" ht="12.75" customHeight="1">
      <c r="Q594"/>
      <c r="R594"/>
      <c r="S594"/>
      <c r="T594"/>
      <c r="U594"/>
      <c r="V594"/>
      <c r="W594"/>
      <c r="X594"/>
      <c r="Y594"/>
      <c r="Z594"/>
    </row>
    <row r="595" spans="17:26" ht="12.75" customHeight="1">
      <c r="Q595"/>
      <c r="R595"/>
      <c r="S595"/>
      <c r="T595"/>
      <c r="U595"/>
      <c r="V595"/>
      <c r="W595"/>
      <c r="X595"/>
      <c r="Y595"/>
      <c r="Z595"/>
    </row>
    <row r="596" spans="17:26" ht="12.75" customHeight="1">
      <c r="Q596"/>
      <c r="R596"/>
      <c r="S596"/>
      <c r="T596"/>
      <c r="U596"/>
      <c r="V596"/>
      <c r="W596"/>
      <c r="X596"/>
      <c r="Y596"/>
      <c r="Z596"/>
    </row>
    <row r="597" spans="17:26" ht="12.75" customHeight="1">
      <c r="Q597"/>
      <c r="R597"/>
      <c r="S597"/>
      <c r="T597"/>
      <c r="U597"/>
      <c r="V597"/>
      <c r="W597"/>
      <c r="X597"/>
      <c r="Y597"/>
      <c r="Z597"/>
    </row>
    <row r="598" spans="17:26" ht="12.75" customHeight="1">
      <c r="Q598"/>
      <c r="R598"/>
      <c r="S598"/>
      <c r="T598"/>
      <c r="U598"/>
      <c r="V598"/>
      <c r="W598"/>
      <c r="X598"/>
      <c r="Y598"/>
      <c r="Z598"/>
    </row>
    <row r="599" spans="17:26" ht="12.75" customHeight="1">
      <c r="Q599"/>
      <c r="R599"/>
      <c r="S599"/>
      <c r="T599"/>
      <c r="U599"/>
      <c r="V599"/>
      <c r="W599"/>
      <c r="X599"/>
      <c r="Y599"/>
      <c r="Z599"/>
    </row>
    <row r="600" spans="17:26" ht="12.75" customHeight="1">
      <c r="Q600"/>
      <c r="R600"/>
      <c r="S600"/>
      <c r="T600"/>
      <c r="U600"/>
      <c r="V600"/>
      <c r="W600"/>
      <c r="X600"/>
      <c r="Y600"/>
      <c r="Z600"/>
    </row>
    <row r="601" spans="17:26" ht="12.75" customHeight="1">
      <c r="Q601"/>
      <c r="R601"/>
      <c r="S601"/>
      <c r="T601"/>
      <c r="U601"/>
      <c r="V601"/>
      <c r="W601"/>
      <c r="X601"/>
      <c r="Y601"/>
      <c r="Z601"/>
    </row>
    <row r="602" spans="17:26" ht="12.75" customHeight="1">
      <c r="Q602"/>
      <c r="R602"/>
      <c r="S602"/>
      <c r="T602"/>
      <c r="U602"/>
      <c r="V602"/>
      <c r="W602"/>
      <c r="X602"/>
      <c r="Y602"/>
      <c r="Z602"/>
    </row>
    <row r="603" spans="17:26" ht="12.75" customHeight="1">
      <c r="Q603"/>
      <c r="R603"/>
      <c r="S603"/>
      <c r="T603"/>
      <c r="U603"/>
      <c r="V603"/>
      <c r="W603"/>
      <c r="X603"/>
      <c r="Y603"/>
      <c r="Z603"/>
    </row>
    <row r="604" spans="17:26" ht="12.75" customHeight="1">
      <c r="Q604"/>
      <c r="R604"/>
      <c r="S604"/>
      <c r="T604"/>
      <c r="U604"/>
      <c r="V604"/>
      <c r="W604"/>
      <c r="X604"/>
      <c r="Y604"/>
      <c r="Z604"/>
    </row>
    <row r="605" spans="17:26" ht="12.75" customHeight="1">
      <c r="Q605"/>
      <c r="R605"/>
      <c r="S605"/>
      <c r="T605"/>
      <c r="U605"/>
      <c r="V605"/>
      <c r="W605"/>
      <c r="X605"/>
      <c r="Y605"/>
      <c r="Z605"/>
    </row>
    <row r="606" spans="17:26" ht="12.75" customHeight="1">
      <c r="Q606"/>
      <c r="R606"/>
      <c r="S606"/>
      <c r="T606"/>
      <c r="U606"/>
      <c r="V606"/>
      <c r="W606"/>
      <c r="X606"/>
      <c r="Y606"/>
      <c r="Z606"/>
    </row>
    <row r="607" spans="17:26" ht="12.75" customHeight="1">
      <c r="Q607"/>
      <c r="R607"/>
      <c r="S607"/>
      <c r="T607"/>
      <c r="U607"/>
      <c r="V607"/>
      <c r="W607"/>
      <c r="X607"/>
      <c r="Y607"/>
      <c r="Z607"/>
    </row>
    <row r="608" spans="17:26" ht="12.75" customHeight="1">
      <c r="Q608"/>
      <c r="R608"/>
      <c r="S608"/>
      <c r="T608"/>
      <c r="U608"/>
      <c r="V608"/>
      <c r="W608"/>
      <c r="X608"/>
      <c r="Y608"/>
      <c r="Z608"/>
    </row>
    <row r="609" spans="17:26" ht="12.75" customHeight="1">
      <c r="Q609"/>
      <c r="R609"/>
      <c r="S609"/>
      <c r="T609"/>
      <c r="U609"/>
      <c r="V609"/>
      <c r="W609"/>
      <c r="X609"/>
      <c r="Y609"/>
      <c r="Z609"/>
    </row>
    <row r="610" spans="17:26" ht="12.75" customHeight="1">
      <c r="Q610"/>
      <c r="R610"/>
      <c r="S610"/>
      <c r="T610"/>
      <c r="U610"/>
      <c r="V610"/>
      <c r="W610"/>
      <c r="X610"/>
      <c r="Y610"/>
      <c r="Z610"/>
    </row>
    <row r="611" spans="17:26" ht="12.75" customHeight="1">
      <c r="Q611"/>
      <c r="R611"/>
      <c r="S611"/>
      <c r="T611"/>
      <c r="U611"/>
      <c r="V611"/>
      <c r="W611"/>
      <c r="X611"/>
      <c r="Y611"/>
      <c r="Z611"/>
    </row>
    <row r="612" spans="17:26" ht="12.75" customHeight="1">
      <c r="Q612"/>
      <c r="R612"/>
      <c r="S612"/>
      <c r="T612"/>
      <c r="U612"/>
      <c r="V612"/>
      <c r="W612"/>
      <c r="X612"/>
      <c r="Y612"/>
      <c r="Z612"/>
    </row>
    <row r="613" spans="17:26" ht="12.75" customHeight="1">
      <c r="Q613"/>
      <c r="R613"/>
      <c r="S613"/>
      <c r="T613"/>
      <c r="U613"/>
      <c r="V613"/>
      <c r="W613"/>
      <c r="X613"/>
      <c r="Y613"/>
      <c r="Z613"/>
    </row>
    <row r="614" spans="17:26" ht="12.75" customHeight="1">
      <c r="Q614"/>
      <c r="R614"/>
      <c r="S614"/>
      <c r="T614"/>
      <c r="U614"/>
      <c r="V614"/>
      <c r="W614"/>
      <c r="X614"/>
      <c r="Y614"/>
      <c r="Z614"/>
    </row>
    <row r="615" spans="17:26" ht="12.75" customHeight="1">
      <c r="Q615"/>
      <c r="R615"/>
      <c r="S615"/>
      <c r="T615"/>
      <c r="U615"/>
      <c r="V615"/>
      <c r="W615"/>
      <c r="X615"/>
      <c r="Y615"/>
      <c r="Z615"/>
    </row>
    <row r="616" spans="17:26" ht="12.75" customHeight="1">
      <c r="Q616"/>
      <c r="R616"/>
      <c r="S616"/>
      <c r="T616"/>
      <c r="U616"/>
      <c r="V616"/>
      <c r="W616"/>
      <c r="X616"/>
      <c r="Y616"/>
      <c r="Z616"/>
    </row>
    <row r="617" spans="17:26" ht="12.75" customHeight="1">
      <c r="Q617"/>
      <c r="R617"/>
      <c r="S617"/>
      <c r="T617"/>
      <c r="U617"/>
      <c r="V617"/>
      <c r="W617"/>
      <c r="X617"/>
      <c r="Y617"/>
      <c r="Z617"/>
    </row>
    <row r="618" spans="17:26" ht="12.75" customHeight="1">
      <c r="Q618"/>
      <c r="R618"/>
      <c r="S618"/>
      <c r="T618"/>
      <c r="U618"/>
      <c r="V618"/>
      <c r="W618"/>
      <c r="X618"/>
      <c r="Y618"/>
      <c r="Z618"/>
    </row>
    <row r="619" spans="17:26" ht="12.75" customHeight="1">
      <c r="Q619"/>
      <c r="R619"/>
      <c r="S619"/>
      <c r="T619"/>
      <c r="U619"/>
      <c r="V619"/>
      <c r="W619"/>
      <c r="X619"/>
      <c r="Y619"/>
      <c r="Z619"/>
    </row>
    <row r="620" spans="17:26" ht="12.75" customHeight="1">
      <c r="Q620"/>
      <c r="R620"/>
      <c r="S620"/>
      <c r="T620"/>
      <c r="U620"/>
      <c r="V620"/>
      <c r="W620"/>
      <c r="X620"/>
      <c r="Y620"/>
      <c r="Z620"/>
    </row>
    <row r="621" spans="17:26" ht="12.75" customHeight="1">
      <c r="Q621"/>
      <c r="R621"/>
      <c r="S621"/>
      <c r="T621"/>
      <c r="U621"/>
      <c r="V621"/>
      <c r="W621"/>
      <c r="X621"/>
      <c r="Y621"/>
      <c r="Z621"/>
    </row>
    <row r="622" spans="17:26" ht="12.75" customHeight="1">
      <c r="Q622"/>
      <c r="R622"/>
      <c r="S622"/>
      <c r="T622"/>
      <c r="U622"/>
      <c r="V622"/>
      <c r="W622"/>
      <c r="X622"/>
      <c r="Y622"/>
      <c r="Z622"/>
    </row>
    <row r="623" spans="17:26" ht="12.75" customHeight="1">
      <c r="Q623"/>
      <c r="R623"/>
      <c r="S623"/>
      <c r="T623"/>
      <c r="U623"/>
      <c r="V623"/>
      <c r="W623"/>
      <c r="X623"/>
      <c r="Y623"/>
      <c r="Z623"/>
    </row>
    <row r="624" spans="17:26" ht="12.75" customHeight="1">
      <c r="Q624" s="23"/>
      <c r="R624" s="1"/>
      <c r="S624" s="1"/>
      <c r="T624" s="1"/>
      <c r="U624" s="1"/>
      <c r="V624" s="1"/>
      <c r="W624" s="1"/>
      <c r="X624" s="1"/>
      <c r="Y624" s="1"/>
      <c r="Z624" s="1"/>
    </row>
    <row r="625" spans="17:26" ht="12.75" customHeight="1">
      <c r="Q625" s="23"/>
      <c r="R625" s="1"/>
      <c r="S625" s="1"/>
      <c r="T625" s="1"/>
      <c r="U625" s="1"/>
      <c r="V625" s="1"/>
      <c r="W625" s="1"/>
      <c r="X625" s="1"/>
      <c r="Y625" s="1"/>
      <c r="Z625" s="1"/>
    </row>
    <row r="626" spans="17:26" ht="12.75" customHeight="1">
      <c r="Q626" s="23"/>
      <c r="R626" s="1"/>
      <c r="S626" s="1"/>
      <c r="T626" s="1"/>
      <c r="U626" s="1"/>
      <c r="V626" s="1"/>
      <c r="W626" s="1"/>
      <c r="X626" s="1"/>
      <c r="Y626" s="1"/>
      <c r="Z626" s="1"/>
    </row>
    <row r="627" spans="17:26" ht="12.75" customHeight="1">
      <c r="Q627" s="23"/>
      <c r="R627" s="1"/>
      <c r="S627" s="1"/>
      <c r="T627" s="1"/>
      <c r="U627" s="1"/>
      <c r="V627" s="1"/>
      <c r="W627" s="1"/>
      <c r="X627" s="1"/>
      <c r="Y627" s="1"/>
      <c r="Z627" s="1"/>
    </row>
    <row r="628" spans="17:26" ht="12.75" customHeight="1">
      <c r="Q628" s="23"/>
      <c r="R628" s="1"/>
      <c r="S628" s="1"/>
      <c r="T628" s="1"/>
      <c r="U628" s="1"/>
      <c r="V628" s="1"/>
      <c r="W628" s="1"/>
      <c r="X628" s="1"/>
      <c r="Y628" s="1"/>
      <c r="Z628" s="1"/>
    </row>
    <row r="629" spans="17:26" ht="12.75" customHeight="1">
      <c r="Q629" s="23"/>
      <c r="R629" s="1"/>
      <c r="S629" s="1"/>
      <c r="T629" s="1"/>
      <c r="U629" s="1"/>
      <c r="V629" s="1"/>
      <c r="W629" s="1"/>
      <c r="X629" s="1"/>
      <c r="Y629" s="1"/>
      <c r="Z629" s="1"/>
    </row>
    <row r="630" spans="17:26" ht="12.75" customHeight="1">
      <c r="Q630" s="23"/>
      <c r="R630" s="1"/>
      <c r="S630" s="1"/>
      <c r="T630" s="1"/>
      <c r="U630" s="1"/>
      <c r="V630" s="1"/>
      <c r="W630" s="1"/>
      <c r="X630" s="1"/>
      <c r="Y630" s="1"/>
      <c r="Z630" s="1"/>
    </row>
    <row r="631" spans="17:26" ht="12.75" customHeight="1">
      <c r="Q631" s="23"/>
      <c r="R631" s="1"/>
      <c r="S631" s="1"/>
      <c r="T631" s="1"/>
      <c r="U631" s="1"/>
      <c r="V631" s="1"/>
      <c r="W631" s="1"/>
      <c r="X631" s="1"/>
      <c r="Y631" s="1"/>
      <c r="Z631" s="1"/>
    </row>
    <row r="632" spans="17:26" ht="12.75" customHeight="1">
      <c r="Q632" s="23"/>
      <c r="R632" s="1"/>
      <c r="S632" s="1"/>
      <c r="T632" s="1"/>
      <c r="U632" s="1"/>
      <c r="V632" s="1"/>
      <c r="W632" s="1"/>
      <c r="X632" s="1"/>
      <c r="Y632" s="1"/>
      <c r="Z632" s="1"/>
    </row>
    <row r="633" spans="17:26" ht="12.75" customHeight="1">
      <c r="Q633" s="23"/>
      <c r="R633" s="1"/>
      <c r="S633" s="1"/>
      <c r="T633" s="1"/>
      <c r="U633" s="1"/>
      <c r="V633" s="1"/>
      <c r="W633" s="1"/>
      <c r="X633" s="1"/>
      <c r="Y633" s="1"/>
      <c r="Z633" s="1"/>
    </row>
    <row r="634" spans="17:26" ht="12.75" customHeight="1">
      <c r="Q634" s="23"/>
      <c r="R634" s="1"/>
      <c r="S634" s="1"/>
      <c r="T634" s="1"/>
      <c r="U634" s="1"/>
      <c r="V634" s="1"/>
      <c r="W634" s="1"/>
      <c r="X634" s="1"/>
      <c r="Y634" s="1"/>
      <c r="Z634" s="1"/>
    </row>
    <row r="635" spans="17:26" ht="12.75" customHeight="1">
      <c r="Q635" s="23"/>
      <c r="R635" s="1"/>
      <c r="S635" s="1"/>
      <c r="T635" s="1"/>
      <c r="U635" s="1"/>
      <c r="V635" s="1"/>
      <c r="W635" s="1"/>
      <c r="X635" s="1"/>
      <c r="Y635" s="1"/>
      <c r="Z635" s="1"/>
    </row>
    <row r="636" spans="17:26" ht="12.75" customHeight="1">
      <c r="Q636" s="23"/>
      <c r="R636" s="1"/>
      <c r="S636" s="1"/>
      <c r="T636" s="1"/>
      <c r="U636" s="1"/>
      <c r="V636" s="1"/>
      <c r="W636" s="1"/>
      <c r="X636" s="1"/>
      <c r="Y636" s="1"/>
      <c r="Z636" s="1"/>
    </row>
    <row r="637" spans="17:26" ht="12.75" customHeight="1">
      <c r="Q637" s="23"/>
      <c r="R637" s="1"/>
      <c r="S637" s="1"/>
      <c r="T637" s="1"/>
      <c r="U637" s="1"/>
      <c r="V637" s="1"/>
      <c r="W637" s="1"/>
      <c r="X637" s="1"/>
      <c r="Y637" s="1"/>
      <c r="Z637" s="1"/>
    </row>
    <row r="638" spans="17:26" ht="12.75" customHeight="1">
      <c r="Q638" s="23"/>
      <c r="R638" s="1"/>
      <c r="S638" s="1"/>
      <c r="T638" s="1"/>
      <c r="U638" s="1"/>
      <c r="V638" s="1"/>
      <c r="W638" s="1"/>
      <c r="X638" s="1"/>
      <c r="Y638" s="1"/>
      <c r="Z638" s="1"/>
    </row>
    <row r="639" spans="17:26" ht="12.75" customHeight="1">
      <c r="Q639" s="23"/>
      <c r="R639" s="1"/>
      <c r="S639" s="1"/>
      <c r="T639" s="1"/>
      <c r="U639" s="1"/>
      <c r="V639" s="1"/>
      <c r="W639" s="1"/>
      <c r="X639" s="1"/>
      <c r="Y639" s="1"/>
      <c r="Z639" s="1"/>
    </row>
    <row r="640" spans="17:26" ht="12.75" customHeight="1">
      <c r="Q640" s="23"/>
      <c r="R640" s="1"/>
      <c r="S640" s="1"/>
      <c r="T640" s="1"/>
      <c r="U640" s="1"/>
      <c r="V640" s="1"/>
      <c r="W640" s="1"/>
      <c r="X640" s="1"/>
      <c r="Y640" s="1"/>
      <c r="Z640" s="1"/>
    </row>
    <row r="641" spans="17:26" ht="12.75" customHeight="1">
      <c r="Q641" s="23"/>
      <c r="R641" s="1"/>
      <c r="S641" s="1"/>
      <c r="T641" s="1"/>
      <c r="U641" s="1"/>
      <c r="V641" s="1"/>
      <c r="W641" s="1"/>
      <c r="X641" s="1"/>
      <c r="Y641" s="1"/>
      <c r="Z641" s="1"/>
    </row>
    <row r="642" spans="17:26" ht="12.75" customHeight="1">
      <c r="Q642" s="23"/>
      <c r="R642" s="1"/>
      <c r="S642" s="1"/>
      <c r="T642" s="1"/>
      <c r="U642" s="1"/>
      <c r="V642" s="1"/>
      <c r="W642" s="1"/>
      <c r="X642" s="1"/>
      <c r="Y642" s="1"/>
      <c r="Z642" s="1"/>
    </row>
    <row r="643" spans="17:26" ht="12.75" customHeight="1">
      <c r="Q643" s="23"/>
      <c r="R643" s="1"/>
      <c r="S643" s="1"/>
      <c r="T643" s="1"/>
      <c r="U643" s="1"/>
      <c r="V643" s="1"/>
      <c r="W643" s="1"/>
      <c r="X643" s="1"/>
      <c r="Y643" s="1"/>
      <c r="Z643" s="1"/>
    </row>
    <row r="644" spans="17:26" ht="12.75" customHeight="1">
      <c r="Q644" s="23"/>
      <c r="R644" s="1"/>
      <c r="S644" s="1"/>
      <c r="T644" s="1"/>
      <c r="U644" s="1"/>
      <c r="V644" s="1"/>
      <c r="W644" s="1"/>
      <c r="X644" s="1"/>
      <c r="Y644" s="1"/>
      <c r="Z644" s="1"/>
    </row>
    <row r="645" spans="17:26" ht="12.75" customHeight="1">
      <c r="Q645" s="23"/>
      <c r="R645" s="1"/>
      <c r="S645" s="1"/>
      <c r="T645" s="1"/>
      <c r="U645" s="1"/>
      <c r="V645" s="1"/>
      <c r="W645" s="1"/>
      <c r="X645" s="1"/>
      <c r="Y645" s="1"/>
      <c r="Z645" s="1"/>
    </row>
    <row r="646" spans="17:26" ht="12.75" customHeight="1">
      <c r="Q646" s="23"/>
      <c r="R646" s="1"/>
      <c r="S646" s="1"/>
      <c r="T646" s="1"/>
      <c r="U646" s="1"/>
      <c r="V646" s="1"/>
      <c r="W646" s="1"/>
      <c r="X646" s="1"/>
      <c r="Y646" s="1"/>
      <c r="Z646" s="1"/>
    </row>
    <row r="647" spans="17:26" ht="12.75" customHeight="1">
      <c r="Q647" s="23"/>
      <c r="R647" s="1"/>
      <c r="S647" s="1"/>
      <c r="T647" s="1"/>
      <c r="U647" s="1"/>
      <c r="V647" s="1"/>
      <c r="W647" s="1"/>
      <c r="X647" s="1"/>
      <c r="Y647" s="1"/>
      <c r="Z647" s="1"/>
    </row>
    <row r="648" spans="17:26" ht="12.75" customHeight="1">
      <c r="Q648" s="23"/>
      <c r="R648" s="1"/>
      <c r="S648" s="1"/>
      <c r="T648" s="1"/>
      <c r="U648" s="1"/>
      <c r="V648" s="1"/>
      <c r="W648" s="1"/>
      <c r="X648" s="1"/>
      <c r="Y648" s="1"/>
      <c r="Z648" s="1"/>
    </row>
    <row r="649" spans="17:26" ht="12.75" customHeight="1">
      <c r="Q649" s="23"/>
      <c r="R649" s="1"/>
      <c r="S649" s="1"/>
      <c r="T649" s="1"/>
      <c r="U649" s="1"/>
      <c r="V649" s="1"/>
      <c r="W649" s="1"/>
      <c r="X649" s="1"/>
      <c r="Y649" s="1"/>
      <c r="Z649" s="1"/>
    </row>
    <row r="650" spans="17:26" ht="12.75" customHeight="1">
      <c r="Q650" s="23"/>
      <c r="R650" s="1"/>
      <c r="S650" s="1"/>
      <c r="T650" s="1"/>
      <c r="U650" s="1"/>
      <c r="V650" s="1"/>
      <c r="W650" s="1"/>
      <c r="X650" s="1"/>
      <c r="Y650" s="1"/>
      <c r="Z650" s="1"/>
    </row>
    <row r="651" spans="17:26" ht="12.75" customHeight="1">
      <c r="Q651" s="23"/>
      <c r="R651" s="1"/>
      <c r="S651" s="1"/>
      <c r="T651" s="1"/>
      <c r="U651" s="1"/>
      <c r="V651" s="1"/>
      <c r="W651" s="1"/>
      <c r="X651" s="1"/>
      <c r="Y651" s="1"/>
      <c r="Z651" s="1"/>
    </row>
    <row r="652" spans="17:26" ht="12.75" customHeight="1">
      <c r="Q652" s="23"/>
      <c r="R652" s="1"/>
      <c r="S652" s="1"/>
      <c r="T652" s="1"/>
      <c r="U652" s="1"/>
      <c r="V652" s="1"/>
      <c r="W652" s="1"/>
      <c r="X652" s="1"/>
      <c r="Y652" s="1"/>
      <c r="Z652" s="1"/>
    </row>
    <row r="653" spans="17:26" ht="12.75" customHeight="1">
      <c r="Q653" s="23"/>
      <c r="R653" s="1"/>
      <c r="S653" s="1"/>
      <c r="T653" s="1"/>
      <c r="U653" s="1"/>
      <c r="V653" s="1"/>
      <c r="W653" s="1"/>
      <c r="X653" s="1"/>
      <c r="Y653" s="1"/>
      <c r="Z653" s="1"/>
    </row>
    <row r="654" spans="17:26" ht="12.75" customHeight="1">
      <c r="Q654" s="23"/>
      <c r="R654" s="1"/>
      <c r="S654" s="1"/>
      <c r="T654" s="1"/>
      <c r="U654" s="1"/>
      <c r="V654" s="1"/>
      <c r="W654" s="1"/>
      <c r="X654" s="1"/>
      <c r="Y654" s="1"/>
      <c r="Z654" s="1"/>
    </row>
    <row r="655" spans="17:26" ht="12.75" customHeight="1">
      <c r="Q655" s="23"/>
      <c r="R655" s="1"/>
      <c r="S655" s="1"/>
      <c r="T655" s="1"/>
      <c r="U655" s="1"/>
      <c r="V655" s="1"/>
      <c r="W655" s="1"/>
      <c r="X655" s="1"/>
      <c r="Y655" s="1"/>
      <c r="Z655" s="1"/>
    </row>
    <row r="656" spans="17:26" ht="12.75" customHeight="1">
      <c r="Q656" s="23"/>
      <c r="R656" s="1"/>
      <c r="S656" s="1"/>
      <c r="T656" s="1"/>
      <c r="U656" s="1"/>
      <c r="V656" s="1"/>
      <c r="W656" s="1"/>
      <c r="X656" s="1"/>
      <c r="Y656" s="1"/>
      <c r="Z656" s="1"/>
    </row>
    <row r="657" spans="17:26" ht="12.75" customHeight="1">
      <c r="Q657" s="23"/>
      <c r="R657" s="1"/>
      <c r="S657" s="1"/>
      <c r="T657" s="1"/>
      <c r="U657" s="1"/>
      <c r="V657" s="1"/>
      <c r="W657" s="1"/>
      <c r="X657" s="1"/>
      <c r="Y657" s="1"/>
      <c r="Z657" s="1"/>
    </row>
    <row r="658" spans="17:26" ht="12.75" customHeight="1">
      <c r="Q658" s="23"/>
      <c r="R658" s="1"/>
      <c r="S658" s="1"/>
      <c r="T658" s="1"/>
      <c r="U658" s="1"/>
      <c r="V658" s="1"/>
      <c r="W658" s="1"/>
      <c r="X658" s="1"/>
      <c r="Y658" s="1"/>
      <c r="Z658" s="1"/>
    </row>
    <row r="659" spans="17:26" ht="12.75" customHeight="1">
      <c r="Q659" s="23"/>
      <c r="R659" s="1"/>
      <c r="S659" s="1"/>
      <c r="T659" s="1"/>
      <c r="U659" s="1"/>
      <c r="V659" s="1"/>
      <c r="W659" s="1"/>
      <c r="X659" s="1"/>
      <c r="Y659" s="1"/>
      <c r="Z659" s="1"/>
    </row>
    <row r="660" spans="17:26" ht="12.75" customHeight="1">
      <c r="Q660" s="23"/>
      <c r="R660" s="1"/>
      <c r="S660" s="1"/>
      <c r="T660" s="1"/>
      <c r="U660" s="1"/>
      <c r="V660" s="1"/>
      <c r="W660" s="1"/>
      <c r="X660" s="1"/>
      <c r="Y660" s="1"/>
      <c r="Z660" s="1"/>
    </row>
    <row r="661" spans="17:26" ht="12.75" customHeight="1">
      <c r="Q661" s="23"/>
      <c r="R661" s="1"/>
      <c r="S661" s="1"/>
      <c r="T661" s="1"/>
      <c r="U661" s="1"/>
      <c r="V661" s="1"/>
      <c r="W661" s="1"/>
      <c r="X661" s="1"/>
      <c r="Y661" s="1"/>
      <c r="Z661" s="1"/>
    </row>
    <row r="662" spans="17:26" ht="12.75" customHeight="1">
      <c r="Q662" s="23"/>
      <c r="R662" s="1"/>
      <c r="S662" s="1"/>
      <c r="T662" s="1"/>
      <c r="U662" s="1"/>
      <c r="V662" s="1"/>
      <c r="W662" s="1"/>
      <c r="X662" s="1"/>
      <c r="Y662" s="1"/>
      <c r="Z662" s="1"/>
    </row>
    <row r="663" spans="17:26" ht="12.75" customHeight="1">
      <c r="Q663" s="23"/>
      <c r="R663" s="1"/>
      <c r="S663" s="1"/>
      <c r="T663" s="1"/>
      <c r="U663" s="1"/>
      <c r="V663" s="1"/>
      <c r="W663" s="1"/>
      <c r="X663" s="1"/>
      <c r="Y663" s="1"/>
      <c r="Z663" s="1"/>
    </row>
    <row r="664" spans="17:26" ht="12.75" customHeight="1">
      <c r="Q664" s="23"/>
      <c r="R664" s="1"/>
      <c r="S664" s="1"/>
      <c r="T664" s="1"/>
      <c r="U664" s="1"/>
      <c r="V664" s="1"/>
      <c r="W664" s="1"/>
      <c r="X664" s="1"/>
      <c r="Y664" s="1"/>
      <c r="Z664" s="1"/>
    </row>
    <row r="665" spans="17:26" ht="12.75" customHeight="1">
      <c r="Q665" s="23"/>
      <c r="R665" s="1"/>
      <c r="S665" s="1"/>
      <c r="T665" s="1"/>
      <c r="U665" s="1"/>
      <c r="V665" s="1"/>
      <c r="W665" s="1"/>
      <c r="X665" s="1"/>
      <c r="Y665" s="1"/>
      <c r="Z665" s="1"/>
    </row>
    <row r="666" spans="17:26" ht="12.75" customHeight="1">
      <c r="Q666" s="23"/>
      <c r="R666" s="1"/>
      <c r="S666" s="1"/>
      <c r="T666" s="1"/>
      <c r="U666" s="1"/>
      <c r="V666" s="1"/>
      <c r="W666" s="1"/>
      <c r="X666" s="1"/>
      <c r="Y666" s="1"/>
      <c r="Z666" s="1"/>
    </row>
    <row r="667" spans="17:26" ht="12.75" customHeight="1">
      <c r="Q667" s="23"/>
      <c r="R667" s="1"/>
      <c r="S667" s="1"/>
      <c r="T667" s="1"/>
      <c r="U667" s="1"/>
      <c r="V667" s="1"/>
      <c r="W667" s="1"/>
      <c r="X667" s="1"/>
      <c r="Y667" s="1"/>
      <c r="Z667" s="1"/>
    </row>
    <row r="668" spans="17:26" ht="12.75" customHeight="1">
      <c r="Q668" s="23"/>
      <c r="R668" s="1"/>
      <c r="S668" s="1"/>
      <c r="T668" s="1"/>
      <c r="U668" s="1"/>
      <c r="V668" s="1"/>
      <c r="W668" s="1"/>
      <c r="X668" s="1"/>
      <c r="Y668" s="1"/>
      <c r="Z668" s="1"/>
    </row>
    <row r="669" spans="17:26" ht="12.75" customHeight="1">
      <c r="Q669" s="23"/>
      <c r="R669" s="1"/>
      <c r="S669" s="1"/>
      <c r="T669" s="1"/>
      <c r="U669" s="1"/>
      <c r="V669" s="1"/>
      <c r="W669" s="1"/>
      <c r="X669" s="1"/>
      <c r="Y669" s="1"/>
      <c r="Z669" s="1"/>
    </row>
    <row r="670" spans="17:26" ht="12.75" customHeight="1">
      <c r="Q670" s="23"/>
      <c r="R670" s="1"/>
      <c r="S670" s="1"/>
      <c r="T670" s="1"/>
      <c r="U670" s="1"/>
      <c r="V670" s="1"/>
      <c r="W670" s="1"/>
      <c r="X670" s="1"/>
      <c r="Y670" s="1"/>
      <c r="Z670" s="1"/>
    </row>
    <row r="671" spans="17:26" ht="12.75" customHeight="1">
      <c r="Q671" s="23"/>
      <c r="R671" s="1"/>
      <c r="S671" s="1"/>
      <c r="T671" s="1"/>
      <c r="U671" s="1"/>
      <c r="V671" s="1"/>
      <c r="W671" s="1"/>
      <c r="X671" s="1"/>
      <c r="Y671" s="1"/>
      <c r="Z671" s="1"/>
    </row>
    <row r="672" spans="17:26" ht="12.75" customHeight="1">
      <c r="Q672" s="23"/>
      <c r="R672" s="1"/>
      <c r="S672" s="1"/>
      <c r="T672" s="1"/>
      <c r="U672" s="1"/>
      <c r="V672" s="1"/>
      <c r="W672" s="1"/>
      <c r="X672" s="1"/>
      <c r="Y672" s="1"/>
      <c r="Z672" s="1"/>
    </row>
    <row r="673" spans="17:26" ht="12.75" customHeight="1">
      <c r="Q673" s="23"/>
      <c r="R673" s="1"/>
      <c r="S673" s="1"/>
      <c r="T673" s="1"/>
      <c r="U673" s="1"/>
      <c r="V673" s="1"/>
      <c r="W673" s="1"/>
      <c r="X673" s="1"/>
      <c r="Y673" s="1"/>
      <c r="Z673" s="1"/>
    </row>
    <row r="674" spans="17:26" ht="12.75" customHeight="1">
      <c r="Q674" s="23"/>
      <c r="R674" s="1"/>
      <c r="S674" s="1"/>
      <c r="T674" s="1"/>
      <c r="U674" s="1"/>
      <c r="V674" s="1"/>
      <c r="W674" s="1"/>
      <c r="X674" s="1"/>
      <c r="Y674" s="1"/>
      <c r="Z674" s="1"/>
    </row>
    <row r="675" spans="17:26" ht="12.75" customHeight="1">
      <c r="Q675" s="23"/>
      <c r="R675" s="1"/>
      <c r="S675" s="1"/>
      <c r="T675" s="1"/>
      <c r="U675" s="1"/>
      <c r="V675" s="1"/>
      <c r="W675" s="1"/>
      <c r="X675" s="1"/>
      <c r="Y675" s="1"/>
      <c r="Z675" s="1"/>
    </row>
    <row r="676" spans="17:26" ht="12.75" customHeight="1">
      <c r="Q676" s="23"/>
      <c r="R676" s="1"/>
      <c r="S676" s="1"/>
      <c r="T676" s="1"/>
      <c r="U676" s="1"/>
      <c r="V676" s="1"/>
      <c r="W676" s="1"/>
      <c r="X676" s="1"/>
      <c r="Y676" s="1"/>
      <c r="Z676" s="1"/>
    </row>
    <row r="677" spans="17:26" ht="12.75" customHeight="1">
      <c r="Q677" s="23"/>
      <c r="R677" s="1"/>
      <c r="S677" s="1"/>
      <c r="T677" s="1"/>
      <c r="U677" s="1"/>
      <c r="V677" s="1"/>
      <c r="W677" s="1"/>
      <c r="X677" s="1"/>
      <c r="Y677" s="1"/>
      <c r="Z677" s="1"/>
    </row>
    <row r="678" spans="17:26" ht="12.75" customHeight="1">
      <c r="Q678" s="23"/>
      <c r="R678" s="1"/>
      <c r="S678" s="1"/>
      <c r="T678" s="1"/>
      <c r="U678" s="1"/>
      <c r="V678" s="1"/>
      <c r="W678" s="1"/>
      <c r="X678" s="1"/>
      <c r="Y678" s="1"/>
      <c r="Z678" s="1"/>
    </row>
    <row r="679" spans="17:26" ht="12.75" customHeight="1">
      <c r="Q679" s="23"/>
      <c r="R679" s="1"/>
      <c r="S679" s="1"/>
      <c r="T679" s="1"/>
      <c r="U679" s="1"/>
      <c r="V679" s="1"/>
      <c r="W679" s="1"/>
      <c r="X679" s="1"/>
      <c r="Y679" s="1"/>
      <c r="Z679" s="1"/>
    </row>
    <row r="680" spans="17:26" ht="12.75" customHeight="1">
      <c r="Q680" s="23"/>
      <c r="R680" s="1"/>
      <c r="S680" s="1"/>
      <c r="T680" s="1"/>
      <c r="U680" s="1"/>
      <c r="V680" s="1"/>
      <c r="W680" s="1"/>
      <c r="X680" s="1"/>
      <c r="Y680" s="1"/>
      <c r="Z680" s="1"/>
    </row>
    <row r="681" spans="17:26" ht="12.75" customHeight="1">
      <c r="Q681" s="23"/>
      <c r="R681" s="1"/>
      <c r="S681" s="1"/>
      <c r="T681" s="1"/>
      <c r="U681" s="1"/>
      <c r="V681" s="1"/>
      <c r="W681" s="1"/>
      <c r="X681" s="1"/>
      <c r="Y681" s="1"/>
      <c r="Z681" s="1"/>
    </row>
    <row r="682" spans="17:26" ht="12.75" customHeight="1">
      <c r="Q682" s="23"/>
      <c r="R682" s="1"/>
      <c r="S682" s="1"/>
      <c r="T682" s="1"/>
      <c r="U682" s="1"/>
      <c r="V682" s="1"/>
      <c r="W682" s="1"/>
      <c r="X682" s="1"/>
      <c r="Y682" s="1"/>
      <c r="Z682" s="1"/>
    </row>
    <row r="683" spans="17:26" ht="12.75" customHeight="1">
      <c r="Q683" s="23"/>
      <c r="R683" s="1"/>
      <c r="S683" s="1"/>
      <c r="T683" s="1"/>
      <c r="U683" s="1"/>
      <c r="V683" s="1"/>
      <c r="W683" s="1"/>
      <c r="X683" s="1"/>
      <c r="Y683" s="1"/>
      <c r="Z683" s="1"/>
    </row>
    <row r="684" spans="17:26" ht="12.75" customHeight="1">
      <c r="Q684" s="23"/>
      <c r="R684" s="1"/>
      <c r="S684" s="1"/>
      <c r="T684" s="1"/>
      <c r="U684" s="1"/>
      <c r="V684" s="1"/>
      <c r="W684" s="1"/>
      <c r="X684" s="1"/>
      <c r="Y684" s="1"/>
      <c r="Z684" s="1"/>
    </row>
    <row r="685" spans="17:26" ht="12.75" customHeight="1">
      <c r="Q685" s="23"/>
      <c r="R685" s="1"/>
      <c r="S685" s="1"/>
      <c r="T685" s="1"/>
      <c r="U685" s="1"/>
      <c r="V685" s="1"/>
      <c r="W685" s="1"/>
      <c r="X685" s="1"/>
      <c r="Y685" s="1"/>
      <c r="Z685" s="1"/>
    </row>
    <row r="686" spans="17:26" ht="12.75" customHeight="1">
      <c r="Q686" s="23"/>
      <c r="R686" s="1"/>
      <c r="S686" s="1"/>
      <c r="T686" s="1"/>
      <c r="U686" s="1"/>
      <c r="V686" s="1"/>
      <c r="W686" s="1"/>
      <c r="X686" s="1"/>
      <c r="Y686" s="1"/>
      <c r="Z686" s="1"/>
    </row>
    <row r="687" spans="17:26" ht="12.75" customHeight="1">
      <c r="Q687" s="23"/>
      <c r="R687" s="1"/>
      <c r="S687" s="1"/>
      <c r="T687" s="1"/>
      <c r="U687" s="1"/>
      <c r="V687" s="1"/>
      <c r="W687" s="1"/>
      <c r="X687" s="1"/>
      <c r="Y687" s="1"/>
      <c r="Z687" s="1"/>
    </row>
    <row r="688" spans="17:26" ht="12.75" customHeight="1">
      <c r="Q688" s="23"/>
      <c r="R688" s="1"/>
      <c r="S688" s="1"/>
      <c r="T688" s="1"/>
      <c r="U688" s="1"/>
      <c r="V688" s="1"/>
      <c r="W688" s="1"/>
      <c r="X688" s="1"/>
      <c r="Y688" s="1"/>
      <c r="Z688" s="1"/>
    </row>
    <row r="689" spans="17:26" ht="12.75" customHeight="1">
      <c r="Q689" s="23"/>
      <c r="R689" s="1"/>
      <c r="S689" s="1"/>
      <c r="T689" s="1"/>
      <c r="U689" s="1"/>
      <c r="V689" s="1"/>
      <c r="W689" s="1"/>
      <c r="X689" s="1"/>
      <c r="Y689" s="1"/>
      <c r="Z689" s="1"/>
    </row>
    <row r="690" spans="17:26">
      <c r="Q690" s="23"/>
      <c r="R690" s="1"/>
      <c r="S690" s="1"/>
      <c r="T690" s="1"/>
      <c r="U690" s="1"/>
      <c r="V690" s="1"/>
      <c r="W690" s="1"/>
      <c r="X690" s="1"/>
      <c r="Y690" s="1"/>
      <c r="Z690" s="1"/>
    </row>
    <row r="691" spans="17:26">
      <c r="Q691" s="23"/>
      <c r="R691" s="1"/>
      <c r="S691" s="1"/>
      <c r="T691" s="1"/>
      <c r="U691" s="1"/>
      <c r="V691" s="1"/>
      <c r="W691" s="1"/>
      <c r="X691" s="1"/>
      <c r="Y691" s="1"/>
      <c r="Z691" s="1"/>
    </row>
    <row r="692" spans="17:26">
      <c r="Q692" s="23"/>
      <c r="R692" s="1"/>
      <c r="S692" s="1"/>
      <c r="T692" s="1"/>
      <c r="U692" s="1"/>
      <c r="V692" s="1"/>
      <c r="W692" s="1"/>
      <c r="X692" s="1"/>
      <c r="Y692" s="1"/>
      <c r="Z692" s="1"/>
    </row>
    <row r="693" spans="17:26">
      <c r="Q693" s="23"/>
      <c r="R693" s="1"/>
      <c r="S693" s="1"/>
      <c r="T693" s="1"/>
      <c r="U693" s="1"/>
      <c r="V693" s="1"/>
      <c r="W693" s="1"/>
      <c r="X693" s="1"/>
      <c r="Y693" s="1"/>
      <c r="Z693" s="1"/>
    </row>
    <row r="694" spans="17:26">
      <c r="Q694" s="23"/>
      <c r="R694" s="1"/>
      <c r="S694" s="1"/>
      <c r="T694" s="1"/>
      <c r="U694" s="1"/>
      <c r="V694" s="1"/>
      <c r="W694" s="1"/>
      <c r="X694" s="1"/>
      <c r="Y694" s="1"/>
      <c r="Z694" s="1"/>
    </row>
    <row r="695" spans="17:26">
      <c r="Q695" s="23"/>
      <c r="R695" s="1"/>
      <c r="S695" s="1"/>
      <c r="T695" s="1"/>
      <c r="U695" s="1"/>
      <c r="V695" s="1"/>
      <c r="W695" s="1"/>
      <c r="X695" s="1"/>
      <c r="Y695" s="1"/>
      <c r="Z695" s="1"/>
    </row>
    <row r="696" spans="17:26">
      <c r="Q696" s="23"/>
      <c r="R696" s="1"/>
      <c r="S696" s="1"/>
      <c r="T696" s="1"/>
      <c r="U696" s="1"/>
      <c r="V696" s="1"/>
      <c r="W696" s="1"/>
      <c r="X696" s="1"/>
      <c r="Y696" s="1"/>
      <c r="Z696" s="1"/>
    </row>
    <row r="697" spans="17:26">
      <c r="Q697" s="23"/>
      <c r="R697" s="1"/>
      <c r="S697" s="1"/>
      <c r="T697" s="1"/>
      <c r="U697" s="1"/>
      <c r="V697" s="1"/>
      <c r="W697" s="1"/>
      <c r="X697" s="1"/>
      <c r="Y697" s="1"/>
      <c r="Z697" s="1"/>
    </row>
    <row r="698" spans="17:26">
      <c r="Q698" s="23"/>
      <c r="R698" s="1"/>
      <c r="S698" s="1"/>
      <c r="T698" s="1"/>
      <c r="U698" s="1"/>
      <c r="V698" s="1"/>
      <c r="W698" s="1"/>
      <c r="X698" s="1"/>
      <c r="Y698" s="1"/>
      <c r="Z698" s="1"/>
    </row>
    <row r="699" spans="17:26">
      <c r="Q699" s="23"/>
      <c r="R699" s="1"/>
      <c r="S699" s="1"/>
      <c r="T699" s="1"/>
      <c r="U699" s="1"/>
      <c r="V699" s="1"/>
      <c r="W699" s="1"/>
      <c r="X699" s="1"/>
      <c r="Y699" s="1"/>
      <c r="Z699" s="1"/>
    </row>
    <row r="700" spans="17:26">
      <c r="Q700" s="23"/>
      <c r="R700" s="1"/>
      <c r="S700" s="1"/>
      <c r="T700" s="1"/>
      <c r="U700" s="1"/>
      <c r="V700" s="1"/>
      <c r="W700" s="1"/>
      <c r="X700" s="1"/>
      <c r="Y700" s="1"/>
      <c r="Z700" s="1"/>
    </row>
    <row r="701" spans="17:26">
      <c r="Q701" s="23"/>
      <c r="R701" s="1"/>
      <c r="S701" s="1"/>
      <c r="T701" s="1"/>
      <c r="U701" s="1"/>
      <c r="V701" s="1"/>
      <c r="W701" s="1"/>
      <c r="X701" s="1"/>
      <c r="Y701" s="1"/>
      <c r="Z701" s="1"/>
    </row>
    <row r="702" spans="17:26">
      <c r="Q702" s="23"/>
      <c r="R702" s="1"/>
      <c r="S702" s="1"/>
      <c r="T702" s="1"/>
      <c r="U702" s="1"/>
      <c r="V702" s="1"/>
      <c r="W702" s="1"/>
      <c r="X702" s="1"/>
      <c r="Y702" s="1"/>
      <c r="Z702" s="1"/>
    </row>
    <row r="703" spans="17:26">
      <c r="Q703" s="23"/>
      <c r="R703" s="1"/>
      <c r="S703" s="1"/>
      <c r="T703" s="1"/>
      <c r="U703" s="1"/>
      <c r="V703" s="1"/>
      <c r="W703" s="1"/>
      <c r="X703" s="1"/>
      <c r="Y703" s="1"/>
      <c r="Z703" s="1"/>
    </row>
    <row r="704" spans="17:26">
      <c r="Q704" s="23"/>
      <c r="R704" s="1"/>
      <c r="S704" s="1"/>
      <c r="T704" s="1"/>
      <c r="U704" s="1"/>
      <c r="V704" s="1"/>
      <c r="W704" s="1"/>
      <c r="X704" s="1"/>
      <c r="Y704" s="1"/>
      <c r="Z704" s="1"/>
    </row>
    <row r="705" spans="17:26">
      <c r="Q705" s="23"/>
      <c r="R705" s="1"/>
      <c r="S705" s="1"/>
      <c r="T705" s="1"/>
      <c r="U705" s="1"/>
      <c r="V705" s="1"/>
      <c r="W705" s="1"/>
      <c r="X705" s="1"/>
      <c r="Y705" s="1"/>
      <c r="Z705" s="1"/>
    </row>
    <row r="706" spans="17:26">
      <c r="Q706" s="23"/>
      <c r="R706" s="1"/>
      <c r="S706" s="1"/>
      <c r="T706" s="1"/>
      <c r="U706" s="1"/>
      <c r="V706" s="1"/>
      <c r="W706" s="1"/>
      <c r="X706" s="1"/>
      <c r="Y706" s="1"/>
      <c r="Z706" s="1"/>
    </row>
    <row r="707" spans="17:26">
      <c r="Q707" s="23"/>
      <c r="R707" s="1"/>
      <c r="S707" s="1"/>
      <c r="T707" s="1"/>
      <c r="U707" s="1"/>
      <c r="V707" s="1"/>
      <c r="W707" s="1"/>
      <c r="X707" s="1"/>
      <c r="Y707" s="1"/>
      <c r="Z707" s="1"/>
    </row>
    <row r="708" spans="17:26">
      <c r="Q708" s="23"/>
      <c r="R708" s="1"/>
      <c r="S708" s="1"/>
      <c r="T708" s="1"/>
      <c r="U708" s="1"/>
      <c r="V708" s="1"/>
      <c r="W708" s="1"/>
      <c r="X708" s="1"/>
      <c r="Y708" s="1"/>
      <c r="Z708" s="1"/>
    </row>
    <row r="709" spans="17:26">
      <c r="Q709" s="23"/>
      <c r="R709" s="1"/>
      <c r="S709" s="1"/>
      <c r="T709" s="1"/>
      <c r="U709" s="1"/>
      <c r="V709" s="1"/>
      <c r="W709" s="1"/>
      <c r="X709" s="1"/>
      <c r="Y709" s="1"/>
      <c r="Z709" s="1"/>
    </row>
    <row r="710" spans="17:26">
      <c r="Q710" s="23"/>
      <c r="R710" s="1"/>
      <c r="S710" s="1"/>
      <c r="T710" s="1"/>
      <c r="U710" s="1"/>
      <c r="V710" s="1"/>
      <c r="W710" s="1"/>
      <c r="X710" s="1"/>
      <c r="Y710" s="1"/>
      <c r="Z710" s="1"/>
    </row>
    <row r="711" spans="17:26">
      <c r="Q711" s="23"/>
      <c r="R711" s="1"/>
      <c r="S711" s="1"/>
      <c r="T711" s="1"/>
      <c r="U711" s="1"/>
      <c r="V711" s="1"/>
      <c r="W711" s="1"/>
      <c r="X711" s="1"/>
      <c r="Y711" s="1"/>
      <c r="Z711" s="1"/>
    </row>
    <row r="712" spans="17:26">
      <c r="Q712" s="23"/>
      <c r="R712" s="1"/>
      <c r="S712" s="1"/>
      <c r="T712" s="1"/>
      <c r="U712" s="1"/>
      <c r="V712" s="1"/>
      <c r="W712" s="1"/>
      <c r="X712" s="1"/>
      <c r="Y712" s="1"/>
      <c r="Z712" s="1"/>
    </row>
    <row r="713" spans="17:26">
      <c r="Q713" s="23"/>
      <c r="R713" s="1"/>
      <c r="S713" s="1"/>
      <c r="T713" s="1"/>
      <c r="U713" s="1"/>
      <c r="V713" s="1"/>
      <c r="W713" s="1"/>
      <c r="X713" s="1"/>
      <c r="Y713" s="1"/>
      <c r="Z713" s="1"/>
    </row>
    <row r="714" spans="17:26">
      <c r="Q714" s="23"/>
      <c r="R714" s="1"/>
      <c r="S714" s="1"/>
      <c r="T714" s="1"/>
      <c r="U714" s="1"/>
      <c r="V714" s="1"/>
      <c r="W714" s="1"/>
      <c r="X714" s="1"/>
      <c r="Y714" s="1"/>
      <c r="Z714" s="1"/>
    </row>
    <row r="715" spans="17:26">
      <c r="Q715" s="23"/>
      <c r="R715" s="1"/>
      <c r="S715" s="1"/>
      <c r="T715" s="1"/>
      <c r="U715" s="1"/>
      <c r="V715" s="1"/>
      <c r="W715" s="1"/>
      <c r="X715" s="1"/>
      <c r="Y715" s="1"/>
      <c r="Z715" s="1"/>
    </row>
    <row r="716" spans="17:26">
      <c r="Q716" s="23"/>
      <c r="R716" s="1"/>
      <c r="S716" s="1"/>
      <c r="T716" s="1"/>
      <c r="U716" s="1"/>
      <c r="V716" s="1"/>
      <c r="W716" s="1"/>
      <c r="X716" s="1"/>
      <c r="Y716" s="1"/>
      <c r="Z716" s="1"/>
    </row>
    <row r="717" spans="17:26">
      <c r="Q717" s="23"/>
      <c r="R717" s="1"/>
      <c r="S717" s="1"/>
      <c r="T717" s="1"/>
      <c r="U717" s="1"/>
      <c r="V717" s="1"/>
      <c r="W717" s="1"/>
      <c r="X717" s="1"/>
      <c r="Y717" s="1"/>
      <c r="Z717" s="1"/>
    </row>
    <row r="718" spans="17:26">
      <c r="Q718" s="23"/>
      <c r="R718" s="1"/>
      <c r="S718" s="1"/>
      <c r="T718" s="1"/>
      <c r="U718" s="1"/>
      <c r="V718" s="1"/>
      <c r="W718" s="1"/>
      <c r="X718" s="1"/>
      <c r="Y718" s="1"/>
      <c r="Z718" s="1"/>
    </row>
    <row r="719" spans="17:26">
      <c r="Q719" s="23"/>
      <c r="R719" s="1"/>
      <c r="S719" s="1"/>
      <c r="T719" s="1"/>
      <c r="U719" s="1"/>
      <c r="V719" s="1"/>
      <c r="W719" s="1"/>
      <c r="X719" s="1"/>
      <c r="Y719" s="1"/>
      <c r="Z719" s="1"/>
    </row>
    <row r="720" spans="17:26">
      <c r="Q720" s="23"/>
      <c r="R720" s="1"/>
      <c r="S720" s="1"/>
      <c r="T720" s="1"/>
      <c r="U720" s="1"/>
      <c r="V720" s="1"/>
      <c r="W720" s="1"/>
      <c r="X720" s="1"/>
      <c r="Y720" s="1"/>
      <c r="Z720" s="1"/>
    </row>
    <row r="721" spans="17:26">
      <c r="Q721" s="23"/>
      <c r="R721" s="1"/>
      <c r="S721" s="1"/>
      <c r="T721" s="1"/>
      <c r="U721" s="1"/>
      <c r="V721" s="1"/>
      <c r="W721" s="1"/>
      <c r="X721" s="1"/>
      <c r="Y721" s="1"/>
      <c r="Z721" s="1"/>
    </row>
    <row r="722" spans="17:26">
      <c r="Q722" s="23"/>
      <c r="R722" s="1"/>
      <c r="S722" s="1"/>
      <c r="T722" s="1"/>
      <c r="U722" s="1"/>
      <c r="V722" s="1"/>
      <c r="W722" s="1"/>
      <c r="X722" s="1"/>
      <c r="Y722" s="1"/>
      <c r="Z722" s="1"/>
    </row>
    <row r="723" spans="17:26">
      <c r="Q723" s="23"/>
      <c r="R723" s="1"/>
      <c r="S723" s="1"/>
      <c r="T723" s="1"/>
      <c r="U723" s="1"/>
      <c r="V723" s="1"/>
      <c r="W723" s="1"/>
      <c r="X723" s="1"/>
      <c r="Y723" s="1"/>
      <c r="Z723" s="1"/>
    </row>
    <row r="724" spans="17:26">
      <c r="Q724" s="23"/>
      <c r="R724" s="1"/>
      <c r="S724" s="1"/>
      <c r="T724" s="1"/>
      <c r="U724" s="1"/>
      <c r="V724" s="1"/>
      <c r="W724" s="1"/>
      <c r="X724" s="1"/>
      <c r="Y724" s="1"/>
      <c r="Z724" s="1"/>
    </row>
    <row r="725" spans="17:26">
      <c r="Q725" s="23"/>
      <c r="R725" s="1"/>
      <c r="S725" s="1"/>
      <c r="T725" s="1"/>
      <c r="U725" s="1"/>
      <c r="V725" s="1"/>
      <c r="W725" s="1"/>
      <c r="X725" s="1"/>
      <c r="Y725" s="1"/>
      <c r="Z725" s="1"/>
    </row>
    <row r="726" spans="17:26">
      <c r="Q726" s="23"/>
      <c r="R726" s="1"/>
      <c r="S726" s="1"/>
      <c r="T726" s="1"/>
      <c r="U726" s="1"/>
      <c r="V726" s="1"/>
      <c r="W726" s="1"/>
      <c r="X726" s="1"/>
      <c r="Y726" s="1"/>
      <c r="Z726" s="1"/>
    </row>
    <row r="727" spans="17:26">
      <c r="Q727" s="23"/>
      <c r="R727" s="1"/>
      <c r="S727" s="1"/>
      <c r="T727" s="1"/>
      <c r="U727" s="1"/>
      <c r="V727" s="1"/>
      <c r="W727" s="1"/>
      <c r="X727" s="1"/>
      <c r="Y727" s="1"/>
      <c r="Z727" s="1"/>
    </row>
    <row r="728" spans="17:26">
      <c r="Q728" s="23"/>
      <c r="R728" s="1"/>
      <c r="S728" s="1"/>
      <c r="T728" s="1"/>
      <c r="U728" s="1"/>
      <c r="V728" s="1"/>
      <c r="W728" s="1"/>
      <c r="X728" s="1"/>
      <c r="Y728" s="1"/>
      <c r="Z728" s="1"/>
    </row>
    <row r="729" spans="17:26">
      <c r="Q729" s="23"/>
      <c r="R729" s="1"/>
      <c r="S729" s="1"/>
      <c r="T729" s="1"/>
      <c r="U729" s="1"/>
      <c r="V729" s="1"/>
      <c r="W729" s="1"/>
      <c r="X729" s="1"/>
      <c r="Y729" s="1"/>
      <c r="Z729" s="1"/>
    </row>
    <row r="730" spans="17:26">
      <c r="Q730" s="23"/>
      <c r="R730" s="1"/>
      <c r="S730" s="1"/>
      <c r="T730" s="1"/>
      <c r="U730" s="1"/>
      <c r="V730" s="1"/>
      <c r="W730" s="1"/>
      <c r="X730" s="1"/>
      <c r="Y730" s="1"/>
      <c r="Z730" s="1"/>
    </row>
    <row r="731" spans="17:26">
      <c r="Q731" s="23"/>
      <c r="R731" s="1"/>
      <c r="S731" s="1"/>
      <c r="T731" s="1"/>
      <c r="U731" s="1"/>
      <c r="V731" s="1"/>
      <c r="W731" s="1"/>
      <c r="X731" s="1"/>
      <c r="Y731" s="1"/>
      <c r="Z731" s="1"/>
    </row>
    <row r="732" spans="17:26">
      <c r="Q732" s="23"/>
      <c r="R732" s="1"/>
      <c r="S732" s="1"/>
      <c r="T732" s="1"/>
      <c r="U732" s="1"/>
      <c r="V732" s="1"/>
      <c r="W732" s="1"/>
      <c r="X732" s="1"/>
      <c r="Y732" s="1"/>
      <c r="Z732" s="1"/>
    </row>
    <row r="733" spans="17:26">
      <c r="Q733" s="23"/>
      <c r="R733" s="1"/>
      <c r="S733" s="1"/>
      <c r="T733" s="1"/>
      <c r="U733" s="1"/>
      <c r="V733" s="1"/>
      <c r="W733" s="1"/>
      <c r="X733" s="1"/>
      <c r="Y733" s="1"/>
      <c r="Z733" s="1"/>
    </row>
    <row r="734" spans="17:26">
      <c r="Q734" s="23"/>
      <c r="R734" s="1"/>
      <c r="S734" s="1"/>
      <c r="T734" s="1"/>
      <c r="U734" s="1"/>
      <c r="V734" s="1"/>
      <c r="W734" s="1"/>
      <c r="X734" s="1"/>
      <c r="Y734" s="1"/>
      <c r="Z734" s="1"/>
    </row>
    <row r="735" spans="17:26">
      <c r="Q735" s="23"/>
      <c r="R735" s="1"/>
      <c r="S735" s="1"/>
      <c r="T735" s="1"/>
      <c r="U735" s="1"/>
      <c r="V735" s="1"/>
      <c r="W735" s="1"/>
      <c r="X735" s="1"/>
      <c r="Y735" s="1"/>
      <c r="Z735" s="1"/>
    </row>
    <row r="736" spans="17:26">
      <c r="Q736" s="23"/>
      <c r="R736" s="1"/>
      <c r="S736" s="1"/>
      <c r="T736" s="1"/>
      <c r="U736" s="1"/>
      <c r="V736" s="1"/>
      <c r="W736" s="1"/>
      <c r="X736" s="1"/>
      <c r="Y736" s="1"/>
      <c r="Z736" s="1"/>
    </row>
    <row r="737" spans="17:26">
      <c r="Q737" s="23"/>
      <c r="R737" s="1"/>
      <c r="S737" s="1"/>
      <c r="T737" s="1"/>
      <c r="U737" s="1"/>
      <c r="V737" s="1"/>
      <c r="W737" s="1"/>
      <c r="X737" s="1"/>
      <c r="Y737" s="1"/>
      <c r="Z737" s="1"/>
    </row>
    <row r="738" spans="17:26">
      <c r="Q738" s="23"/>
      <c r="R738" s="1"/>
      <c r="S738" s="1"/>
      <c r="T738" s="1"/>
      <c r="U738" s="1"/>
      <c r="V738" s="1"/>
      <c r="W738" s="1"/>
      <c r="X738" s="1"/>
      <c r="Y738" s="1"/>
      <c r="Z738" s="1"/>
    </row>
    <row r="739" spans="17:26">
      <c r="Q739" s="23"/>
      <c r="R739" s="1"/>
      <c r="S739" s="1"/>
      <c r="T739" s="1"/>
      <c r="U739" s="1"/>
      <c r="V739" s="1"/>
      <c r="W739" s="1"/>
      <c r="X739" s="1"/>
      <c r="Y739" s="1"/>
      <c r="Z739" s="1"/>
    </row>
    <row r="740" spans="17:26">
      <c r="Q740" s="23"/>
      <c r="R740" s="1"/>
      <c r="S740" s="1"/>
      <c r="T740" s="1"/>
      <c r="U740" s="1"/>
      <c r="V740" s="1"/>
      <c r="W740" s="1"/>
      <c r="X740" s="1"/>
      <c r="Y740" s="1"/>
      <c r="Z740" s="1"/>
    </row>
    <row r="741" spans="17:26">
      <c r="Q741" s="23"/>
      <c r="R741" s="1"/>
      <c r="S741" s="1"/>
      <c r="T741" s="1"/>
      <c r="U741" s="1"/>
      <c r="V741" s="1"/>
      <c r="W741" s="1"/>
      <c r="X741" s="1"/>
      <c r="Y741" s="1"/>
      <c r="Z741" s="1"/>
    </row>
    <row r="742" spans="17:26">
      <c r="Q742" s="23"/>
      <c r="R742" s="1"/>
      <c r="S742" s="1"/>
      <c r="T742" s="1"/>
      <c r="U742" s="1"/>
      <c r="V742" s="1"/>
      <c r="W742" s="1"/>
      <c r="X742" s="1"/>
      <c r="Y742" s="1"/>
      <c r="Z742" s="1"/>
    </row>
    <row r="743" spans="17:26">
      <c r="Q743" s="23"/>
      <c r="R743" s="1"/>
      <c r="S743" s="1"/>
      <c r="T743" s="1"/>
      <c r="U743" s="1"/>
      <c r="V743" s="1"/>
      <c r="W743" s="1"/>
      <c r="X743" s="1"/>
      <c r="Y743" s="1"/>
      <c r="Z743" s="1"/>
    </row>
    <row r="744" spans="17:26">
      <c r="Q744" s="23"/>
      <c r="R744" s="1"/>
      <c r="S744" s="1"/>
      <c r="T744" s="1"/>
      <c r="U744" s="1"/>
      <c r="V744" s="1"/>
      <c r="W744" s="1"/>
      <c r="X744" s="1"/>
      <c r="Y744" s="1"/>
      <c r="Z744" s="1"/>
    </row>
    <row r="745" spans="17:26">
      <c r="Q745" s="23"/>
      <c r="R745" s="1"/>
      <c r="S745" s="1"/>
      <c r="T745" s="1"/>
      <c r="U745" s="1"/>
      <c r="V745" s="1"/>
      <c r="W745" s="1"/>
      <c r="X745" s="1"/>
      <c r="Y745" s="1"/>
      <c r="Z745" s="1"/>
    </row>
    <row r="746" spans="17:26">
      <c r="Q746" s="23"/>
      <c r="R746" s="1"/>
      <c r="S746" s="1"/>
      <c r="T746" s="1"/>
      <c r="U746" s="1"/>
      <c r="V746" s="1"/>
      <c r="W746" s="1"/>
      <c r="X746" s="1"/>
      <c r="Y746" s="1"/>
      <c r="Z746" s="1"/>
    </row>
    <row r="747" spans="17:26">
      <c r="Q747" s="23"/>
      <c r="R747" s="1"/>
      <c r="S747" s="1"/>
      <c r="T747" s="1"/>
      <c r="U747" s="1"/>
      <c r="V747" s="1"/>
      <c r="W747" s="1"/>
      <c r="X747" s="1"/>
      <c r="Y747" s="1"/>
      <c r="Z747" s="1"/>
    </row>
    <row r="748" spans="17:26">
      <c r="Q748" s="23"/>
      <c r="R748" s="1"/>
      <c r="S748" s="1"/>
      <c r="T748" s="1"/>
      <c r="U748" s="1"/>
      <c r="V748" s="1"/>
      <c r="W748" s="1"/>
      <c r="X748" s="1"/>
      <c r="Y748" s="1"/>
      <c r="Z748" s="1"/>
    </row>
    <row r="749" spans="17:26">
      <c r="Q749" s="23"/>
      <c r="R749" s="1"/>
      <c r="S749" s="1"/>
      <c r="T749" s="1"/>
      <c r="U749" s="1"/>
      <c r="V749" s="1"/>
      <c r="W749" s="1"/>
      <c r="X749" s="1"/>
      <c r="Y749" s="1"/>
      <c r="Z749" s="1"/>
    </row>
    <row r="750" spans="17:26">
      <c r="Q750" s="23"/>
      <c r="R750" s="1"/>
      <c r="S750" s="1"/>
      <c r="T750" s="1"/>
      <c r="U750" s="1"/>
      <c r="V750" s="1"/>
      <c r="W750" s="1"/>
      <c r="X750" s="1"/>
      <c r="Y750" s="1"/>
      <c r="Z750" s="1"/>
    </row>
    <row r="751" spans="17:26">
      <c r="Q751" s="23"/>
      <c r="R751" s="1"/>
      <c r="S751" s="1"/>
      <c r="T751" s="1"/>
      <c r="U751" s="1"/>
      <c r="V751" s="1"/>
      <c r="W751" s="1"/>
      <c r="X751" s="1"/>
      <c r="Y751" s="1"/>
      <c r="Z751" s="1"/>
    </row>
    <row r="752" spans="17:26">
      <c r="Q752" s="23"/>
      <c r="R752" s="1"/>
      <c r="S752" s="1"/>
      <c r="T752" s="1"/>
      <c r="U752" s="1"/>
      <c r="V752" s="1"/>
      <c r="W752" s="1"/>
      <c r="X752" s="1"/>
      <c r="Y752" s="1"/>
      <c r="Z752" s="1"/>
    </row>
    <row r="753" spans="17:26">
      <c r="Q753" s="23"/>
      <c r="R753" s="1"/>
      <c r="S753" s="1"/>
      <c r="T753" s="1"/>
      <c r="U753" s="1"/>
      <c r="V753" s="1"/>
      <c r="W753" s="1"/>
      <c r="X753" s="1"/>
      <c r="Y753" s="1"/>
      <c r="Z753" s="1"/>
    </row>
    <row r="754" spans="17:26">
      <c r="Q754" s="23"/>
      <c r="R754" s="1"/>
      <c r="S754" s="1"/>
      <c r="T754" s="1"/>
      <c r="U754" s="1"/>
      <c r="V754" s="1"/>
      <c r="W754" s="1"/>
      <c r="X754" s="1"/>
      <c r="Y754" s="1"/>
      <c r="Z754" s="1"/>
    </row>
    <row r="755" spans="17:26">
      <c r="Q755" s="23"/>
      <c r="R755" s="1"/>
      <c r="S755" s="1"/>
      <c r="T755" s="1"/>
      <c r="U755" s="1"/>
      <c r="V755" s="1"/>
      <c r="W755" s="1"/>
      <c r="X755" s="1"/>
      <c r="Y755" s="1"/>
      <c r="Z755" s="1"/>
    </row>
    <row r="756" spans="17:26">
      <c r="Q756" s="23"/>
      <c r="R756" s="1"/>
      <c r="S756" s="1"/>
      <c r="T756" s="1"/>
      <c r="U756" s="1"/>
      <c r="V756" s="1"/>
      <c r="W756" s="1"/>
      <c r="X756" s="1"/>
      <c r="Y756" s="1"/>
      <c r="Z756" s="1"/>
    </row>
    <row r="757" spans="17:26">
      <c r="Q757" s="23"/>
      <c r="R757" s="1"/>
      <c r="S757" s="1"/>
      <c r="T757" s="1"/>
      <c r="U757" s="1"/>
      <c r="V757" s="1"/>
      <c r="W757" s="1"/>
      <c r="X757" s="1"/>
      <c r="Y757" s="1"/>
      <c r="Z757" s="1"/>
    </row>
    <row r="758" spans="17:26">
      <c r="Q758" s="23"/>
      <c r="R758" s="1"/>
      <c r="S758" s="1"/>
      <c r="T758" s="1"/>
      <c r="U758" s="1"/>
      <c r="V758" s="1"/>
      <c r="W758" s="1"/>
      <c r="X758" s="1"/>
      <c r="Y758" s="1"/>
      <c r="Z758" s="1"/>
    </row>
    <row r="759" spans="17:26">
      <c r="Q759" s="23"/>
      <c r="R759" s="1"/>
      <c r="S759" s="1"/>
      <c r="T759" s="1"/>
      <c r="U759" s="1"/>
      <c r="V759" s="1"/>
      <c r="W759" s="1"/>
      <c r="X759" s="1"/>
      <c r="Y759" s="1"/>
      <c r="Z759" s="1"/>
    </row>
    <row r="760" spans="17:26">
      <c r="Q760" s="23"/>
      <c r="R760" s="1"/>
      <c r="S760" s="1"/>
      <c r="T760" s="1"/>
      <c r="U760" s="1"/>
      <c r="V760" s="1"/>
      <c r="W760" s="1"/>
      <c r="X760" s="1"/>
      <c r="Y760" s="1"/>
      <c r="Z760" s="1"/>
    </row>
    <row r="761" spans="17:26">
      <c r="Q761" s="23"/>
      <c r="R761" s="1"/>
      <c r="S761" s="1"/>
      <c r="T761" s="1"/>
      <c r="U761" s="1"/>
      <c r="V761" s="1"/>
      <c r="W761" s="1"/>
      <c r="X761" s="1"/>
      <c r="Y761" s="1"/>
      <c r="Z761" s="1"/>
    </row>
    <row r="762" spans="17:26">
      <c r="Q762" s="23"/>
      <c r="R762" s="1"/>
      <c r="S762" s="1"/>
      <c r="T762" s="1"/>
      <c r="U762" s="1"/>
      <c r="V762" s="1"/>
      <c r="W762" s="1"/>
      <c r="X762" s="1"/>
      <c r="Y762" s="1"/>
      <c r="Z762" s="1"/>
    </row>
    <row r="763" spans="17:26">
      <c r="Q763" s="23"/>
      <c r="R763" s="1"/>
      <c r="S763" s="1"/>
      <c r="T763" s="1"/>
      <c r="U763" s="1"/>
      <c r="V763" s="1"/>
      <c r="W763" s="1"/>
      <c r="X763" s="1"/>
      <c r="Y763" s="1"/>
      <c r="Z763" s="1"/>
    </row>
    <row r="764" spans="17:26">
      <c r="Q764" s="23"/>
      <c r="R764" s="1"/>
      <c r="S764" s="1"/>
      <c r="T764" s="1"/>
      <c r="U764" s="1"/>
      <c r="V764" s="1"/>
      <c r="W764" s="1"/>
      <c r="X764" s="1"/>
      <c r="Y764" s="1"/>
      <c r="Z764" s="1"/>
    </row>
    <row r="765" spans="17:26">
      <c r="Q765" s="23"/>
      <c r="R765" s="1"/>
      <c r="S765" s="1"/>
      <c r="T765" s="1"/>
      <c r="U765" s="1"/>
      <c r="V765" s="1"/>
      <c r="W765" s="1"/>
      <c r="X765" s="1"/>
      <c r="Y765" s="1"/>
      <c r="Z765" s="1"/>
    </row>
    <row r="766" spans="17:26">
      <c r="Q766" s="23"/>
      <c r="R766" s="1"/>
      <c r="S766" s="1"/>
      <c r="T766" s="1"/>
      <c r="U766" s="1"/>
      <c r="V766" s="1"/>
      <c r="W766" s="1"/>
      <c r="X766" s="1"/>
      <c r="Y766" s="1"/>
      <c r="Z766" s="1"/>
    </row>
    <row r="767" spans="17:26">
      <c r="Q767" s="23"/>
      <c r="R767" s="1"/>
      <c r="S767" s="1"/>
      <c r="T767" s="1"/>
      <c r="U767" s="1"/>
      <c r="V767" s="1"/>
      <c r="W767" s="1"/>
      <c r="X767" s="1"/>
      <c r="Y767" s="1"/>
      <c r="Z767" s="1"/>
    </row>
    <row r="768" spans="17:26">
      <c r="Q768" s="23"/>
      <c r="R768" s="1"/>
      <c r="S768" s="1"/>
      <c r="T768" s="1"/>
      <c r="U768" s="1"/>
      <c r="V768" s="1"/>
      <c r="W768" s="1"/>
      <c r="X768" s="1"/>
      <c r="Y768" s="1"/>
      <c r="Z768" s="1"/>
    </row>
    <row r="769" spans="17:26">
      <c r="Q769" s="23"/>
      <c r="R769" s="1"/>
      <c r="S769" s="1"/>
      <c r="T769" s="1"/>
      <c r="U769" s="1"/>
      <c r="V769" s="1"/>
      <c r="W769" s="1"/>
      <c r="X769" s="1"/>
      <c r="Y769" s="1"/>
      <c r="Z769" s="1"/>
    </row>
    <row r="770" spans="17:26">
      <c r="Q770" s="23"/>
      <c r="R770" s="1"/>
      <c r="S770" s="1"/>
      <c r="T770" s="1"/>
      <c r="U770" s="1"/>
      <c r="V770" s="1"/>
      <c r="W770" s="1"/>
      <c r="X770" s="1"/>
      <c r="Y770" s="1"/>
      <c r="Z770" s="1"/>
    </row>
    <row r="771" spans="17:26">
      <c r="Q771" s="23"/>
      <c r="R771" s="1"/>
      <c r="S771" s="1"/>
      <c r="T771" s="1"/>
      <c r="U771" s="1"/>
      <c r="V771" s="1"/>
      <c r="W771" s="1"/>
      <c r="X771" s="1"/>
      <c r="Y771" s="1"/>
      <c r="Z771" s="1"/>
    </row>
    <row r="772" spans="17:26">
      <c r="Q772" s="23"/>
      <c r="R772" s="1"/>
      <c r="S772" s="1"/>
      <c r="T772" s="1"/>
      <c r="U772" s="1"/>
      <c r="V772" s="1"/>
      <c r="W772" s="1"/>
      <c r="X772" s="1"/>
      <c r="Y772" s="1"/>
      <c r="Z772" s="1"/>
    </row>
    <row r="773" spans="17:26">
      <c r="Q773" s="23"/>
      <c r="R773" s="1"/>
      <c r="S773" s="1"/>
      <c r="T773" s="1"/>
      <c r="U773" s="1"/>
      <c r="V773" s="1"/>
      <c r="W773" s="1"/>
      <c r="X773" s="1"/>
      <c r="Y773" s="1"/>
      <c r="Z773" s="1"/>
    </row>
    <row r="774" spans="17:26">
      <c r="Q774" s="23"/>
      <c r="R774" s="1"/>
      <c r="S774" s="1"/>
      <c r="T774" s="1"/>
      <c r="U774" s="1"/>
      <c r="V774" s="1"/>
      <c r="W774" s="1"/>
      <c r="X774" s="1"/>
      <c r="Y774" s="1"/>
      <c r="Z774" s="1"/>
    </row>
    <row r="775" spans="17:26">
      <c r="Q775" s="23"/>
      <c r="R775" s="1"/>
      <c r="S775" s="1"/>
      <c r="T775" s="1"/>
      <c r="U775" s="1"/>
      <c r="V775" s="1"/>
      <c r="W775" s="1"/>
      <c r="X775" s="1"/>
      <c r="Y775" s="1"/>
      <c r="Z775" s="1"/>
    </row>
    <row r="776" spans="17:26">
      <c r="Q776" s="23"/>
      <c r="R776" s="1"/>
      <c r="S776" s="1"/>
      <c r="T776" s="1"/>
      <c r="U776" s="1"/>
      <c r="V776" s="1"/>
      <c r="W776" s="1"/>
      <c r="X776" s="1"/>
      <c r="Y776" s="1"/>
      <c r="Z776" s="1"/>
    </row>
    <row r="777" spans="17:26">
      <c r="Q777" s="23"/>
      <c r="R777" s="1"/>
      <c r="S777" s="1"/>
      <c r="T777" s="1"/>
      <c r="U777" s="1"/>
      <c r="V777" s="1"/>
      <c r="W777" s="1"/>
      <c r="X777" s="1"/>
      <c r="Y777" s="1"/>
      <c r="Z777" s="1"/>
    </row>
    <row r="778" spans="17:26">
      <c r="Q778" s="23"/>
      <c r="R778" s="1"/>
      <c r="S778" s="1"/>
      <c r="T778" s="1"/>
      <c r="U778" s="1"/>
      <c r="V778" s="1"/>
      <c r="W778" s="1"/>
      <c r="X778" s="1"/>
      <c r="Y778" s="1"/>
      <c r="Z778" s="1"/>
    </row>
    <row r="779" spans="17:26">
      <c r="Q779" s="23"/>
      <c r="R779" s="1"/>
      <c r="S779" s="1"/>
      <c r="T779" s="1"/>
      <c r="U779" s="1"/>
      <c r="V779" s="1"/>
      <c r="W779" s="1"/>
      <c r="X779" s="1"/>
      <c r="Y779" s="1"/>
      <c r="Z779" s="1"/>
    </row>
    <row r="780" spans="17:26">
      <c r="Q780" s="23"/>
      <c r="R780" s="1"/>
      <c r="S780" s="1"/>
      <c r="T780" s="1"/>
      <c r="U780" s="1"/>
      <c r="V780" s="1"/>
      <c r="W780" s="1"/>
      <c r="X780" s="1"/>
      <c r="Y780" s="1"/>
      <c r="Z780" s="1"/>
    </row>
    <row r="781" spans="17:26">
      <c r="Q781" s="23"/>
      <c r="R781" s="1"/>
      <c r="S781" s="1"/>
      <c r="T781" s="1"/>
      <c r="U781" s="1"/>
      <c r="V781" s="1"/>
      <c r="W781" s="1"/>
      <c r="X781" s="1"/>
      <c r="Y781" s="1"/>
      <c r="Z781" s="1"/>
    </row>
    <row r="782" spans="17:26">
      <c r="Q782" s="23"/>
      <c r="R782" s="1"/>
      <c r="S782" s="1"/>
      <c r="T782" s="1"/>
      <c r="U782" s="1"/>
      <c r="V782" s="1"/>
      <c r="W782" s="1"/>
      <c r="X782" s="1"/>
      <c r="Y782" s="1"/>
      <c r="Z782" s="1"/>
    </row>
    <row r="783" spans="17:26">
      <c r="Q783" s="23"/>
      <c r="R783" s="1"/>
      <c r="S783" s="1"/>
      <c r="T783" s="1"/>
      <c r="U783" s="1"/>
      <c r="V783" s="1"/>
      <c r="W783" s="1"/>
      <c r="X783" s="1"/>
      <c r="Y783" s="1"/>
      <c r="Z783" s="1"/>
    </row>
    <row r="784" spans="17:26">
      <c r="Q784" s="23"/>
      <c r="R784" s="1"/>
      <c r="S784" s="1"/>
      <c r="T784" s="1"/>
      <c r="U784" s="1"/>
      <c r="V784" s="1"/>
      <c r="W784" s="1"/>
      <c r="X784" s="1"/>
      <c r="Y784" s="1"/>
      <c r="Z784" s="1"/>
    </row>
    <row r="785" spans="17:26">
      <c r="Q785" s="23"/>
      <c r="R785" s="1"/>
      <c r="S785" s="1"/>
      <c r="T785" s="1"/>
      <c r="U785" s="1"/>
      <c r="V785" s="1"/>
      <c r="W785" s="1"/>
      <c r="X785" s="1"/>
      <c r="Y785" s="1"/>
      <c r="Z785" s="1"/>
    </row>
    <row r="786" spans="17:26">
      <c r="Q786" s="23"/>
      <c r="R786" s="1"/>
      <c r="S786" s="1"/>
      <c r="T786" s="1"/>
      <c r="U786" s="1"/>
      <c r="V786" s="1"/>
      <c r="W786" s="1"/>
      <c r="X786" s="1"/>
      <c r="Y786" s="1"/>
      <c r="Z786" s="1"/>
    </row>
    <row r="787" spans="17:26">
      <c r="Q787" s="23"/>
      <c r="R787" s="1"/>
      <c r="S787" s="1"/>
      <c r="T787" s="1"/>
      <c r="U787" s="1"/>
      <c r="V787" s="1"/>
      <c r="W787" s="1"/>
      <c r="X787" s="1"/>
      <c r="Y787" s="1"/>
      <c r="Z787" s="1"/>
    </row>
    <row r="788" spans="17:26">
      <c r="Q788" s="23"/>
      <c r="R788" s="1"/>
      <c r="S788" s="1"/>
      <c r="T788" s="1"/>
      <c r="U788" s="1"/>
      <c r="V788" s="1"/>
      <c r="W788" s="1"/>
      <c r="X788" s="1"/>
      <c r="Y788" s="1"/>
      <c r="Z788" s="1"/>
    </row>
    <row r="789" spans="17:26">
      <c r="Q789" s="23"/>
      <c r="R789" s="1"/>
      <c r="S789" s="1"/>
      <c r="T789" s="1"/>
      <c r="U789" s="1"/>
      <c r="V789" s="1"/>
      <c r="W789" s="1"/>
      <c r="X789" s="1"/>
      <c r="Y789" s="1"/>
      <c r="Z789" s="1"/>
    </row>
    <row r="790" spans="17:26">
      <c r="Q790" s="23"/>
      <c r="R790" s="1"/>
      <c r="S790" s="1"/>
      <c r="T790" s="1"/>
      <c r="U790" s="1"/>
      <c r="V790" s="1"/>
      <c r="W790" s="1"/>
      <c r="X790" s="1"/>
      <c r="Y790" s="1"/>
      <c r="Z790" s="1"/>
    </row>
    <row r="791" spans="17:26">
      <c r="Q791" s="23"/>
      <c r="R791" s="1"/>
      <c r="S791" s="1"/>
      <c r="T791" s="1"/>
      <c r="U791" s="1"/>
      <c r="V791" s="1"/>
      <c r="W791" s="1"/>
      <c r="X791" s="1"/>
      <c r="Y791" s="1"/>
      <c r="Z791" s="1"/>
    </row>
    <row r="792" spans="17:26">
      <c r="Q792" s="23"/>
      <c r="R792" s="1"/>
      <c r="S792" s="1"/>
      <c r="T792" s="1"/>
      <c r="U792" s="1"/>
      <c r="V792" s="1"/>
      <c r="W792" s="1"/>
      <c r="X792" s="1"/>
      <c r="Y792" s="1"/>
      <c r="Z792" s="1"/>
    </row>
    <row r="793" spans="17:26">
      <c r="Q793" s="23"/>
      <c r="R793" s="1"/>
      <c r="S793" s="1"/>
      <c r="T793" s="1"/>
      <c r="U793" s="1"/>
      <c r="V793" s="1"/>
      <c r="W793" s="1"/>
      <c r="X793" s="1"/>
      <c r="Y793" s="1"/>
      <c r="Z793" s="1"/>
    </row>
    <row r="794" spans="17:26">
      <c r="Q794" s="23"/>
      <c r="R794" s="1"/>
      <c r="S794" s="1"/>
      <c r="T794" s="1"/>
      <c r="U794" s="1"/>
      <c r="V794" s="1"/>
      <c r="W794" s="1"/>
      <c r="X794" s="1"/>
      <c r="Y794" s="1"/>
      <c r="Z794" s="1"/>
    </row>
    <row r="795" spans="17:26">
      <c r="Q795" s="23"/>
      <c r="R795" s="1"/>
      <c r="S795" s="1"/>
      <c r="T795" s="1"/>
      <c r="U795" s="1"/>
      <c r="V795" s="1"/>
      <c r="W795" s="1"/>
      <c r="X795" s="1"/>
      <c r="Y795" s="1"/>
      <c r="Z795" s="1"/>
    </row>
    <row r="796" spans="17:26">
      <c r="Q796" s="23"/>
      <c r="R796" s="1"/>
      <c r="S796" s="1"/>
      <c r="T796" s="1"/>
      <c r="U796" s="1"/>
      <c r="V796" s="1"/>
      <c r="W796" s="1"/>
      <c r="X796" s="1"/>
      <c r="Y796" s="1"/>
      <c r="Z796" s="1"/>
    </row>
    <row r="797" spans="17:26">
      <c r="Q797" s="23"/>
      <c r="R797" s="1"/>
      <c r="S797" s="1"/>
      <c r="T797" s="1"/>
      <c r="U797" s="1"/>
      <c r="V797" s="1"/>
      <c r="W797" s="1"/>
      <c r="X797" s="1"/>
      <c r="Y797" s="1"/>
      <c r="Z797" s="1"/>
    </row>
    <row r="798" spans="17:26">
      <c r="Q798" s="23"/>
      <c r="R798" s="1"/>
      <c r="S798" s="1"/>
      <c r="T798" s="1"/>
      <c r="U798" s="1"/>
      <c r="V798" s="1"/>
      <c r="W798" s="1"/>
      <c r="X798" s="1"/>
      <c r="Y798" s="1"/>
      <c r="Z798" s="1"/>
    </row>
    <row r="799" spans="17:26">
      <c r="Q799" s="23"/>
      <c r="R799" s="1"/>
      <c r="S799" s="1"/>
      <c r="T799" s="1"/>
      <c r="U799" s="1"/>
      <c r="V799" s="1"/>
      <c r="W799" s="1"/>
      <c r="X799" s="1"/>
      <c r="Y799" s="1"/>
      <c r="Z799" s="1"/>
    </row>
    <row r="800" spans="17:26">
      <c r="Q800" s="23"/>
      <c r="R800" s="1"/>
      <c r="S800" s="1"/>
      <c r="T800" s="1"/>
      <c r="U800" s="1"/>
      <c r="V800" s="1"/>
      <c r="W800" s="1"/>
      <c r="X800" s="1"/>
      <c r="Y800" s="1"/>
      <c r="Z800" s="1"/>
    </row>
    <row r="801" spans="17:26">
      <c r="Q801" s="23"/>
      <c r="R801" s="1"/>
      <c r="S801" s="1"/>
      <c r="T801" s="1"/>
      <c r="U801" s="1"/>
      <c r="V801" s="1"/>
      <c r="W801" s="1"/>
      <c r="X801" s="1"/>
      <c r="Y801" s="1"/>
      <c r="Z801" s="1"/>
    </row>
    <row r="802" spans="17:26">
      <c r="Q802" s="23"/>
      <c r="R802" s="1"/>
      <c r="S802" s="1"/>
      <c r="T802" s="1"/>
      <c r="U802" s="1"/>
      <c r="V802" s="1"/>
      <c r="W802" s="1"/>
      <c r="X802" s="1"/>
      <c r="Y802" s="1"/>
      <c r="Z802" s="1"/>
    </row>
    <row r="803" spans="17:26">
      <c r="Q803" s="23"/>
      <c r="R803" s="1"/>
      <c r="S803" s="1"/>
      <c r="T803" s="1"/>
      <c r="U803" s="1"/>
      <c r="V803" s="1"/>
      <c r="W803" s="1"/>
      <c r="X803" s="1"/>
      <c r="Y803" s="1"/>
      <c r="Z803" s="1"/>
    </row>
    <row r="804" spans="17:26">
      <c r="Q804" s="23"/>
      <c r="R804" s="1"/>
      <c r="S804" s="1"/>
      <c r="T804" s="1"/>
      <c r="U804" s="1"/>
      <c r="V804" s="1"/>
      <c r="W804" s="1"/>
      <c r="X804" s="1"/>
      <c r="Y804" s="1"/>
      <c r="Z804" s="1"/>
    </row>
    <row r="805" spans="17:26">
      <c r="Q805" s="23"/>
      <c r="R805" s="1"/>
      <c r="S805" s="1"/>
      <c r="T805" s="1"/>
      <c r="U805" s="1"/>
      <c r="V805" s="1"/>
      <c r="W805" s="1"/>
      <c r="X805" s="1"/>
      <c r="Y805" s="1"/>
      <c r="Z805" s="1"/>
    </row>
    <row r="806" spans="17:26">
      <c r="Q806" s="23"/>
      <c r="R806" s="1"/>
      <c r="S806" s="1"/>
      <c r="T806" s="1"/>
      <c r="U806" s="1"/>
      <c r="V806" s="1"/>
      <c r="W806" s="1"/>
      <c r="X806" s="1"/>
      <c r="Y806" s="1"/>
      <c r="Z806" s="1"/>
    </row>
    <row r="807" spans="17:26">
      <c r="Q807" s="23"/>
      <c r="R807" s="1"/>
      <c r="S807" s="1"/>
      <c r="T807" s="1"/>
      <c r="U807" s="1"/>
      <c r="V807" s="1"/>
      <c r="W807" s="1"/>
      <c r="X807" s="1"/>
      <c r="Y807" s="1"/>
      <c r="Z807" s="1"/>
    </row>
    <row r="808" spans="17:26">
      <c r="Q808" s="23"/>
      <c r="R808" s="1"/>
      <c r="S808" s="1"/>
      <c r="T808" s="1"/>
      <c r="U808" s="1"/>
      <c r="V808" s="1"/>
      <c r="W808" s="1"/>
      <c r="X808" s="1"/>
      <c r="Y808" s="1"/>
      <c r="Z808" s="1"/>
    </row>
    <row r="809" spans="17:26">
      <c r="Q809" s="23"/>
      <c r="R809" s="1"/>
      <c r="S809" s="1"/>
      <c r="T809" s="1"/>
      <c r="U809" s="1"/>
      <c r="V809" s="1"/>
      <c r="W809" s="1"/>
      <c r="X809" s="1"/>
      <c r="Y809" s="1"/>
      <c r="Z809" s="1"/>
    </row>
    <row r="810" spans="17:26">
      <c r="Q810" s="23"/>
      <c r="R810" s="1"/>
      <c r="S810" s="1"/>
      <c r="T810" s="1"/>
      <c r="U810" s="1"/>
      <c r="V810" s="1"/>
      <c r="W810" s="1"/>
      <c r="X810" s="1"/>
      <c r="Y810" s="1"/>
      <c r="Z810" s="1"/>
    </row>
    <row r="811" spans="17:26">
      <c r="Q811" s="23"/>
      <c r="R811" s="1"/>
      <c r="S811" s="1"/>
      <c r="T811" s="1"/>
      <c r="U811" s="1"/>
      <c r="V811" s="1"/>
      <c r="W811" s="1"/>
      <c r="X811" s="1"/>
      <c r="Y811" s="1"/>
      <c r="Z811" s="1"/>
    </row>
    <row r="812" spans="17:26">
      <c r="Q812" s="23"/>
      <c r="R812" s="1"/>
      <c r="S812" s="1"/>
      <c r="T812" s="1"/>
      <c r="U812" s="1"/>
      <c r="V812" s="1"/>
      <c r="W812" s="1"/>
      <c r="X812" s="1"/>
      <c r="Y812" s="1"/>
      <c r="Z812" s="1"/>
    </row>
    <row r="813" spans="17:26">
      <c r="Q813" s="23"/>
      <c r="R813" s="1"/>
      <c r="S813" s="1"/>
      <c r="T813" s="1"/>
      <c r="U813" s="1"/>
      <c r="V813" s="1"/>
      <c r="W813" s="1"/>
      <c r="X813" s="1"/>
      <c r="Y813" s="1"/>
      <c r="Z813" s="1"/>
    </row>
    <row r="814" spans="17:26">
      <c r="Q814" s="23"/>
      <c r="R814" s="1"/>
      <c r="S814" s="1"/>
      <c r="T814" s="1"/>
      <c r="U814" s="1"/>
      <c r="V814" s="1"/>
      <c r="W814" s="1"/>
      <c r="X814" s="1"/>
      <c r="Y814" s="1"/>
      <c r="Z814" s="1"/>
    </row>
    <row r="815" spans="17:26">
      <c r="Q815" s="23"/>
      <c r="R815" s="1"/>
      <c r="S815" s="1"/>
      <c r="T815" s="1"/>
      <c r="U815" s="1"/>
      <c r="V815" s="1"/>
      <c r="W815" s="1"/>
      <c r="X815" s="1"/>
      <c r="Y815" s="1"/>
      <c r="Z815" s="1"/>
    </row>
    <row r="816" spans="17:26">
      <c r="Q816" s="23"/>
      <c r="R816" s="1"/>
      <c r="S816" s="1"/>
      <c r="T816" s="1"/>
      <c r="U816" s="1"/>
      <c r="V816" s="1"/>
      <c r="W816" s="1"/>
      <c r="X816" s="1"/>
      <c r="Y816" s="1"/>
      <c r="Z816" s="1"/>
    </row>
    <row r="817" spans="17:26">
      <c r="Q817" s="23"/>
      <c r="R817" s="1"/>
      <c r="S817" s="1"/>
      <c r="T817" s="1"/>
      <c r="U817" s="1"/>
      <c r="V817" s="1"/>
      <c r="W817" s="1"/>
      <c r="X817" s="1"/>
      <c r="Y817" s="1"/>
      <c r="Z817" s="1"/>
    </row>
    <row r="818" spans="17:26">
      <c r="Q818" s="23"/>
      <c r="R818" s="1"/>
      <c r="S818" s="1"/>
      <c r="T818" s="1"/>
      <c r="U818" s="1"/>
      <c r="V818" s="1"/>
      <c r="W818" s="1"/>
      <c r="X818" s="1"/>
      <c r="Y818" s="1"/>
      <c r="Z818" s="1"/>
    </row>
    <row r="819" spans="17:26">
      <c r="Q819" s="23"/>
      <c r="R819" s="1"/>
      <c r="S819" s="1"/>
      <c r="T819" s="1"/>
      <c r="U819" s="1"/>
      <c r="V819" s="1"/>
      <c r="W819" s="1"/>
      <c r="X819" s="1"/>
      <c r="Y819" s="1"/>
      <c r="Z819" s="1"/>
    </row>
    <row r="820" spans="17:26">
      <c r="Q820" s="23"/>
      <c r="R820" s="1"/>
      <c r="S820" s="1"/>
      <c r="T820" s="1"/>
      <c r="U820" s="1"/>
      <c r="V820" s="1"/>
      <c r="W820" s="1"/>
      <c r="X820" s="1"/>
      <c r="Y820" s="1"/>
      <c r="Z820" s="1"/>
    </row>
    <row r="821" spans="17:26">
      <c r="Q821" s="23"/>
      <c r="R821" s="1"/>
      <c r="S821" s="1"/>
      <c r="T821" s="1"/>
      <c r="U821" s="1"/>
      <c r="V821" s="1"/>
      <c r="W821" s="1"/>
      <c r="X821" s="1"/>
      <c r="Y821" s="1"/>
      <c r="Z821" s="1"/>
    </row>
    <row r="822" spans="17:26">
      <c r="Q822" s="23"/>
      <c r="R822" s="1"/>
      <c r="S822" s="1"/>
      <c r="T822" s="1"/>
      <c r="U822" s="1"/>
      <c r="V822" s="1"/>
      <c r="W822" s="1"/>
      <c r="X822" s="1"/>
      <c r="Y822" s="1"/>
      <c r="Z822" s="1"/>
    </row>
    <row r="823" spans="17:26">
      <c r="Q823" s="23"/>
      <c r="R823" s="1"/>
      <c r="S823" s="1"/>
      <c r="T823" s="1"/>
      <c r="U823" s="1"/>
      <c r="V823" s="1"/>
      <c r="W823" s="1"/>
      <c r="X823" s="1"/>
      <c r="Y823" s="1"/>
      <c r="Z823" s="1"/>
    </row>
    <row r="824" spans="17:26">
      <c r="Q824" s="23"/>
      <c r="R824" s="1"/>
      <c r="S824" s="1"/>
      <c r="T824" s="1"/>
      <c r="U824" s="1"/>
      <c r="V824" s="1"/>
      <c r="W824" s="1"/>
      <c r="X824" s="1"/>
      <c r="Y824" s="1"/>
      <c r="Z824" s="1"/>
    </row>
    <row r="825" spans="17:26">
      <c r="Q825" s="23"/>
      <c r="R825" s="1"/>
      <c r="S825" s="1"/>
      <c r="T825" s="1"/>
      <c r="U825" s="1"/>
      <c r="V825" s="1"/>
      <c r="W825" s="1"/>
      <c r="X825" s="1"/>
      <c r="Y825" s="1"/>
      <c r="Z825" s="1"/>
    </row>
    <row r="826" spans="17:26">
      <c r="Q826" s="23"/>
      <c r="R826" s="1"/>
      <c r="S826" s="1"/>
      <c r="T826" s="1"/>
      <c r="U826" s="1"/>
      <c r="V826" s="1"/>
      <c r="W826" s="1"/>
      <c r="X826" s="1"/>
      <c r="Y826" s="1"/>
      <c r="Z826" s="1"/>
    </row>
    <row r="827" spans="17:26">
      <c r="Q827" s="23"/>
      <c r="R827" s="1"/>
      <c r="S827" s="1"/>
      <c r="T827" s="1"/>
      <c r="U827" s="1"/>
      <c r="V827" s="1"/>
      <c r="W827" s="1"/>
      <c r="X827" s="1"/>
      <c r="Y827" s="1"/>
      <c r="Z827" s="1"/>
    </row>
    <row r="828" spans="17:26">
      <c r="Q828" s="23"/>
      <c r="R828" s="1"/>
      <c r="S828" s="1"/>
      <c r="T828" s="1"/>
      <c r="U828" s="1"/>
      <c r="V828" s="1"/>
      <c r="W828" s="1"/>
      <c r="X828" s="1"/>
      <c r="Y828" s="1"/>
      <c r="Z828" s="1"/>
    </row>
    <row r="829" spans="17:26">
      <c r="Q829" s="23"/>
      <c r="R829" s="1"/>
      <c r="S829" s="1"/>
      <c r="T829" s="1"/>
      <c r="U829" s="1"/>
      <c r="V829" s="1"/>
      <c r="W829" s="1"/>
      <c r="X829" s="1"/>
      <c r="Y829" s="1"/>
      <c r="Z829" s="1"/>
    </row>
    <row r="830" spans="17:26">
      <c r="Q830" s="23"/>
      <c r="R830" s="1"/>
      <c r="S830" s="1"/>
      <c r="T830" s="1"/>
      <c r="U830" s="1"/>
      <c r="V830" s="1"/>
      <c r="W830" s="1"/>
      <c r="X830" s="1"/>
      <c r="Y830" s="1"/>
      <c r="Z830" s="1"/>
    </row>
    <row r="831" spans="17:26">
      <c r="Q831" s="23"/>
      <c r="R831" s="1"/>
      <c r="S831" s="1"/>
      <c r="T831" s="1"/>
      <c r="U831" s="1"/>
      <c r="V831" s="1"/>
      <c r="W831" s="1"/>
      <c r="X831" s="1"/>
      <c r="Y831" s="1"/>
      <c r="Z831" s="1"/>
    </row>
    <row r="832" spans="17:26">
      <c r="Q832" s="23"/>
      <c r="R832" s="1"/>
      <c r="S832" s="1"/>
      <c r="T832" s="1"/>
      <c r="U832" s="1"/>
      <c r="V832" s="1"/>
      <c r="W832" s="1"/>
      <c r="X832" s="1"/>
      <c r="Y832" s="1"/>
      <c r="Z832" s="1"/>
    </row>
    <row r="833" spans="17:26">
      <c r="Q833" s="23"/>
      <c r="R833" s="1"/>
      <c r="S833" s="1"/>
      <c r="T833" s="1"/>
      <c r="U833" s="1"/>
      <c r="V833" s="1"/>
      <c r="W833" s="1"/>
      <c r="X833" s="1"/>
      <c r="Y833" s="1"/>
      <c r="Z833" s="1"/>
    </row>
    <row r="834" spans="17:26">
      <c r="Q834" s="23"/>
      <c r="R834" s="1"/>
      <c r="S834" s="1"/>
      <c r="T834" s="1"/>
      <c r="U834" s="1"/>
      <c r="V834" s="1"/>
      <c r="W834" s="1"/>
      <c r="X834" s="1"/>
      <c r="Y834" s="1"/>
      <c r="Z834" s="1"/>
    </row>
    <row r="835" spans="17:26">
      <c r="Q835" s="23"/>
      <c r="R835" s="1"/>
      <c r="S835" s="1"/>
      <c r="T835" s="1"/>
      <c r="U835" s="1"/>
      <c r="V835" s="1"/>
      <c r="W835" s="1"/>
      <c r="X835" s="1"/>
      <c r="Y835" s="1"/>
      <c r="Z835" s="1"/>
    </row>
    <row r="836" spans="17:26">
      <c r="Q836" s="23"/>
      <c r="R836" s="1"/>
      <c r="S836" s="1"/>
      <c r="T836" s="1"/>
      <c r="U836" s="1"/>
      <c r="V836" s="1"/>
      <c r="W836" s="1"/>
      <c r="X836" s="1"/>
      <c r="Y836" s="1"/>
      <c r="Z836" s="1"/>
    </row>
    <row r="837" spans="17:26">
      <c r="Q837" s="23"/>
      <c r="R837" s="1"/>
      <c r="S837" s="1"/>
      <c r="T837" s="1"/>
      <c r="U837" s="1"/>
      <c r="V837" s="1"/>
      <c r="W837" s="1"/>
      <c r="X837" s="1"/>
      <c r="Y837" s="1"/>
      <c r="Z837" s="1"/>
    </row>
    <row r="838" spans="17:26">
      <c r="Q838" s="23"/>
      <c r="R838" s="1"/>
      <c r="S838" s="1"/>
      <c r="T838" s="1"/>
      <c r="U838" s="1"/>
      <c r="V838" s="1"/>
      <c r="W838" s="1"/>
      <c r="X838" s="1"/>
      <c r="Y838" s="1"/>
      <c r="Z838" s="1"/>
    </row>
    <row r="839" spans="17:26">
      <c r="Q839" s="23"/>
      <c r="R839" s="1"/>
      <c r="S839" s="1"/>
      <c r="T839" s="1"/>
      <c r="U839" s="1"/>
      <c r="V839" s="1"/>
      <c r="W839" s="1"/>
      <c r="X839" s="1"/>
      <c r="Y839" s="1"/>
      <c r="Z839" s="1"/>
    </row>
    <row r="840" spans="17:26">
      <c r="Q840" s="23"/>
      <c r="R840" s="1"/>
      <c r="S840" s="1"/>
      <c r="T840" s="1"/>
      <c r="U840" s="1"/>
      <c r="V840" s="1"/>
      <c r="W840" s="1"/>
      <c r="X840" s="1"/>
      <c r="Y840" s="1"/>
      <c r="Z840" s="1"/>
    </row>
    <row r="841" spans="17:26">
      <c r="Q841" s="23"/>
      <c r="R841" s="1"/>
      <c r="S841" s="1"/>
      <c r="T841" s="1"/>
      <c r="U841" s="1"/>
      <c r="V841" s="1"/>
      <c r="W841" s="1"/>
      <c r="X841" s="1"/>
      <c r="Y841" s="1"/>
      <c r="Z841" s="1"/>
    </row>
    <row r="842" spans="17:26">
      <c r="Q842" s="23"/>
      <c r="R842" s="1"/>
      <c r="S842" s="1"/>
      <c r="T842" s="1"/>
      <c r="U842" s="1"/>
      <c r="V842" s="1"/>
      <c r="W842" s="1"/>
      <c r="X842" s="1"/>
      <c r="Y842" s="1"/>
      <c r="Z842" s="1"/>
    </row>
    <row r="843" spans="17:26">
      <c r="Q843" s="23"/>
      <c r="R843" s="1"/>
      <c r="S843" s="1"/>
      <c r="T843" s="1"/>
      <c r="U843" s="1"/>
      <c r="V843" s="1"/>
      <c r="W843" s="1"/>
      <c r="X843" s="1"/>
      <c r="Y843" s="1"/>
      <c r="Z843" s="1"/>
    </row>
    <row r="844" spans="17:26">
      <c r="Q844" s="23"/>
      <c r="R844" s="1"/>
      <c r="S844" s="1"/>
      <c r="T844" s="1"/>
      <c r="U844" s="1"/>
      <c r="V844" s="1"/>
      <c r="W844" s="1"/>
      <c r="X844" s="1"/>
      <c r="Y844" s="1"/>
      <c r="Z844" s="1"/>
    </row>
    <row r="845" spans="17:26">
      <c r="Q845" s="23"/>
      <c r="R845" s="1"/>
      <c r="S845" s="1"/>
      <c r="T845" s="1"/>
      <c r="U845" s="1"/>
      <c r="V845" s="1"/>
      <c r="W845" s="1"/>
      <c r="X845" s="1"/>
      <c r="Y845" s="1"/>
      <c r="Z845" s="1"/>
    </row>
    <row r="846" spans="17:26">
      <c r="Q846" s="23"/>
      <c r="R846" s="1"/>
      <c r="S846" s="1"/>
      <c r="T846" s="1"/>
      <c r="U846" s="1"/>
      <c r="V846" s="1"/>
      <c r="W846" s="1"/>
      <c r="X846" s="1"/>
      <c r="Y846" s="1"/>
      <c r="Z846" s="1"/>
    </row>
    <row r="847" spans="17:26">
      <c r="Q847" s="23"/>
      <c r="R847" s="1"/>
      <c r="S847" s="1"/>
      <c r="T847" s="1"/>
      <c r="U847" s="1"/>
      <c r="V847" s="1"/>
      <c r="W847" s="1"/>
      <c r="X847" s="1"/>
      <c r="Y847" s="1"/>
      <c r="Z847" s="1"/>
    </row>
    <row r="848" spans="17:26">
      <c r="Q848" s="23"/>
      <c r="R848" s="1"/>
      <c r="S848" s="1"/>
      <c r="T848" s="1"/>
      <c r="U848" s="1"/>
      <c r="V848" s="1"/>
      <c r="W848" s="1"/>
      <c r="X848" s="1"/>
      <c r="Y848" s="1"/>
      <c r="Z848" s="1"/>
    </row>
    <row r="849" spans="17:26">
      <c r="Q849" s="23"/>
      <c r="R849" s="1"/>
      <c r="S849" s="1"/>
      <c r="T849" s="1"/>
      <c r="U849" s="1"/>
      <c r="V849" s="1"/>
      <c r="W849" s="1"/>
      <c r="X849" s="1"/>
      <c r="Y849" s="1"/>
      <c r="Z849" s="1"/>
    </row>
    <row r="850" spans="17:26">
      <c r="Q850" s="23"/>
      <c r="R850" s="1"/>
      <c r="S850" s="1"/>
      <c r="T850" s="1"/>
      <c r="U850" s="1"/>
      <c r="V850" s="1"/>
      <c r="W850" s="1"/>
      <c r="X850" s="1"/>
      <c r="Y850" s="1"/>
      <c r="Z850" s="1"/>
    </row>
    <row r="851" spans="17:26">
      <c r="Q851" s="23"/>
      <c r="R851" s="1"/>
      <c r="S851" s="1"/>
      <c r="T851" s="1"/>
      <c r="U851" s="1"/>
      <c r="V851" s="1"/>
      <c r="W851" s="1"/>
      <c r="X851" s="1"/>
      <c r="Y851" s="1"/>
      <c r="Z851" s="1"/>
    </row>
    <row r="852" spans="17:26">
      <c r="Q852" s="23"/>
      <c r="R852" s="1"/>
      <c r="S852" s="1"/>
      <c r="T852" s="1"/>
      <c r="U852" s="1"/>
      <c r="V852" s="1"/>
      <c r="W852" s="1"/>
      <c r="X852" s="1"/>
      <c r="Y852" s="1"/>
      <c r="Z852" s="1"/>
    </row>
    <row r="853" spans="17:26">
      <c r="Q853" s="23"/>
      <c r="R853" s="1"/>
      <c r="S853" s="1"/>
      <c r="T853" s="1"/>
      <c r="U853" s="1"/>
      <c r="V853" s="1"/>
      <c r="W853" s="1"/>
      <c r="X853" s="1"/>
      <c r="Y853" s="1"/>
      <c r="Z853" s="1"/>
    </row>
    <row r="854" spans="17:26">
      <c r="Q854" s="23"/>
      <c r="R854" s="1"/>
      <c r="S854" s="1"/>
      <c r="T854" s="1"/>
      <c r="U854" s="1"/>
      <c r="V854" s="1"/>
      <c r="W854" s="1"/>
      <c r="X854" s="1"/>
      <c r="Y854" s="1"/>
      <c r="Z854" s="1"/>
    </row>
    <row r="855" spans="17:26">
      <c r="Q855" s="23"/>
      <c r="R855" s="1"/>
      <c r="S855" s="1"/>
      <c r="T855" s="1"/>
      <c r="U855" s="1"/>
      <c r="V855" s="1"/>
      <c r="W855" s="1"/>
      <c r="X855" s="1"/>
      <c r="Y855" s="1"/>
      <c r="Z855" s="1"/>
    </row>
    <row r="856" spans="17:26">
      <c r="Q856" s="23"/>
      <c r="R856" s="1"/>
      <c r="S856" s="1"/>
      <c r="T856" s="1"/>
      <c r="U856" s="1"/>
      <c r="V856" s="1"/>
      <c r="W856" s="1"/>
      <c r="X856" s="1"/>
      <c r="Y856" s="1"/>
      <c r="Z856" s="1"/>
    </row>
    <row r="857" spans="17:26">
      <c r="Q857" s="23"/>
      <c r="R857" s="1"/>
      <c r="S857" s="1"/>
      <c r="T857" s="1"/>
      <c r="U857" s="1"/>
      <c r="V857" s="1"/>
      <c r="W857" s="1"/>
      <c r="X857" s="1"/>
      <c r="Y857" s="1"/>
      <c r="Z857" s="1"/>
    </row>
    <row r="858" spans="17:26">
      <c r="Q858" s="23"/>
      <c r="R858" s="1"/>
      <c r="S858" s="1"/>
      <c r="T858" s="1"/>
      <c r="U858" s="1"/>
      <c r="V858" s="1"/>
      <c r="W858" s="1"/>
      <c r="X858" s="1"/>
      <c r="Y858" s="1"/>
      <c r="Z858" s="1"/>
    </row>
    <row r="859" spans="17:26">
      <c r="Q859" s="23"/>
      <c r="R859" s="1"/>
      <c r="S859" s="1"/>
      <c r="T859" s="1"/>
      <c r="U859" s="1"/>
      <c r="V859" s="1"/>
      <c r="W859" s="1"/>
      <c r="X859" s="1"/>
      <c r="Y859" s="1"/>
      <c r="Z859" s="1"/>
    </row>
    <row r="860" spans="17:26">
      <c r="Q860" s="23"/>
      <c r="R860" s="1"/>
      <c r="S860" s="1"/>
      <c r="T860" s="1"/>
      <c r="U860" s="1"/>
      <c r="V860" s="1"/>
      <c r="W860" s="1"/>
      <c r="X860" s="1"/>
      <c r="Y860" s="1"/>
      <c r="Z860" s="1"/>
    </row>
    <row r="861" spans="17:26">
      <c r="Q861" s="23"/>
      <c r="R861" s="1"/>
      <c r="S861" s="1"/>
      <c r="T861" s="1"/>
      <c r="U861" s="1"/>
      <c r="V861" s="1"/>
      <c r="W861" s="1"/>
      <c r="X861" s="1"/>
      <c r="Y861" s="1"/>
      <c r="Z861" s="1"/>
    </row>
    <row r="862" spans="17:26">
      <c r="Q862" s="23"/>
      <c r="R862" s="1"/>
      <c r="S862" s="1"/>
      <c r="T862" s="1"/>
      <c r="U862" s="1"/>
      <c r="V862" s="1"/>
      <c r="W862" s="1"/>
      <c r="X862" s="1"/>
      <c r="Y862" s="1"/>
      <c r="Z862" s="1"/>
    </row>
    <row r="863" spans="17:26">
      <c r="Q863" s="23"/>
      <c r="R863" s="1"/>
      <c r="S863" s="1"/>
      <c r="T863" s="1"/>
      <c r="U863" s="1"/>
      <c r="V863" s="1"/>
      <c r="W863" s="1"/>
      <c r="X863" s="1"/>
      <c r="Y863" s="1"/>
      <c r="Z863" s="1"/>
    </row>
    <row r="864" spans="17:26">
      <c r="Q864" s="23"/>
      <c r="R864" s="1"/>
      <c r="S864" s="1"/>
      <c r="T864" s="1"/>
      <c r="U864" s="1"/>
      <c r="V864" s="1"/>
      <c r="W864" s="1"/>
      <c r="X864" s="1"/>
      <c r="Y864" s="1"/>
      <c r="Z864" s="1"/>
    </row>
    <row r="865" spans="17:26">
      <c r="Q865" s="23"/>
      <c r="R865" s="1"/>
      <c r="S865" s="1"/>
      <c r="T865" s="1"/>
      <c r="U865" s="1"/>
      <c r="V865" s="1"/>
      <c r="W865" s="1"/>
      <c r="X865" s="1"/>
      <c r="Y865" s="1"/>
      <c r="Z865" s="1"/>
    </row>
    <row r="866" spans="17:26">
      <c r="Q866" s="23"/>
      <c r="R866" s="1"/>
      <c r="S866" s="1"/>
      <c r="T866" s="1"/>
      <c r="U866" s="1"/>
      <c r="V866" s="1"/>
      <c r="W866" s="1"/>
      <c r="X866" s="1"/>
      <c r="Y866" s="1"/>
      <c r="Z866" s="1"/>
    </row>
    <row r="867" spans="17:26">
      <c r="Q867" s="23"/>
      <c r="R867" s="1"/>
      <c r="S867" s="1"/>
      <c r="T867" s="1"/>
      <c r="U867" s="1"/>
      <c r="V867" s="1"/>
      <c r="W867" s="1"/>
      <c r="X867" s="1"/>
      <c r="Y867" s="1"/>
      <c r="Z867" s="1"/>
    </row>
    <row r="868" spans="17:26">
      <c r="Q868" s="23"/>
      <c r="R868" s="1"/>
      <c r="S868" s="1"/>
      <c r="T868" s="1"/>
      <c r="U868" s="1"/>
      <c r="V868" s="1"/>
      <c r="W868" s="1"/>
      <c r="X868" s="1"/>
      <c r="Y868" s="1"/>
      <c r="Z868" s="1"/>
    </row>
    <row r="869" spans="17:26">
      <c r="Q869" s="23"/>
      <c r="R869" s="1"/>
      <c r="S869" s="1"/>
      <c r="T869" s="1"/>
      <c r="U869" s="1"/>
      <c r="V869" s="1"/>
      <c r="W869" s="1"/>
      <c r="X869" s="1"/>
      <c r="Y869" s="1"/>
      <c r="Z869" s="1"/>
    </row>
    <row r="870" spans="17:26">
      <c r="Q870" s="23"/>
      <c r="R870" s="1"/>
      <c r="S870" s="1"/>
      <c r="T870" s="1"/>
      <c r="U870" s="1"/>
      <c r="V870" s="1"/>
      <c r="W870" s="1"/>
      <c r="X870" s="1"/>
      <c r="Y870" s="1"/>
      <c r="Z870" s="1"/>
    </row>
    <row r="871" spans="17:26">
      <c r="Q871" s="23"/>
      <c r="R871" s="1"/>
      <c r="S871" s="1"/>
      <c r="T871" s="1"/>
      <c r="U871" s="1"/>
      <c r="V871" s="1"/>
      <c r="W871" s="1"/>
      <c r="X871" s="1"/>
      <c r="Y871" s="1"/>
      <c r="Z871" s="1"/>
    </row>
    <row r="872" spans="17:26">
      <c r="Q872" s="23"/>
      <c r="R872" s="1"/>
      <c r="S872" s="1"/>
      <c r="T872" s="1"/>
      <c r="U872" s="1"/>
      <c r="V872" s="1"/>
      <c r="W872" s="1"/>
      <c r="X872" s="1"/>
      <c r="Y872" s="1"/>
      <c r="Z872" s="1"/>
    </row>
    <row r="873" spans="17:26">
      <c r="Q873" s="23"/>
      <c r="R873" s="1"/>
      <c r="S873" s="1"/>
      <c r="T873" s="1"/>
      <c r="U873" s="1"/>
      <c r="V873" s="1"/>
      <c r="W873" s="1"/>
      <c r="X873" s="1"/>
      <c r="Y873" s="1"/>
      <c r="Z873" s="1"/>
    </row>
    <row r="874" spans="17:26">
      <c r="Q874" s="23"/>
      <c r="R874" s="1"/>
      <c r="S874" s="1"/>
      <c r="T874" s="1"/>
      <c r="U874" s="1"/>
      <c r="V874" s="1"/>
      <c r="W874" s="1"/>
      <c r="X874" s="1"/>
      <c r="Y874" s="1"/>
      <c r="Z874" s="1"/>
    </row>
    <row r="875" spans="17:26">
      <c r="Q875" s="23"/>
      <c r="R875" s="1"/>
      <c r="S875" s="1"/>
      <c r="T875" s="1"/>
      <c r="U875" s="1"/>
      <c r="V875" s="1"/>
      <c r="W875" s="1"/>
      <c r="X875" s="1"/>
      <c r="Y875" s="1"/>
      <c r="Z875" s="1"/>
    </row>
    <row r="876" spans="17:26">
      <c r="Q876" s="23"/>
      <c r="R876" s="1"/>
      <c r="S876" s="1"/>
      <c r="T876" s="1"/>
      <c r="U876" s="1"/>
      <c r="V876" s="1"/>
      <c r="W876" s="1"/>
      <c r="X876" s="1"/>
      <c r="Y876" s="1"/>
      <c r="Z876" s="1"/>
    </row>
    <row r="877" spans="17:26">
      <c r="Q877" s="23"/>
      <c r="R877" s="1"/>
      <c r="S877" s="1"/>
      <c r="T877" s="1"/>
      <c r="U877" s="1"/>
      <c r="V877" s="1"/>
      <c r="W877" s="1"/>
      <c r="X877" s="1"/>
      <c r="Y877" s="1"/>
      <c r="Z877" s="1"/>
    </row>
    <row r="878" spans="17:26">
      <c r="Q878" s="23"/>
      <c r="R878" s="1"/>
      <c r="S878" s="1"/>
      <c r="T878" s="1"/>
      <c r="U878" s="1"/>
      <c r="V878" s="1"/>
      <c r="W878" s="1"/>
      <c r="X878" s="1"/>
      <c r="Y878" s="1"/>
      <c r="Z878" s="1"/>
    </row>
    <row r="879" spans="17:26">
      <c r="Q879" s="23"/>
      <c r="R879" s="1"/>
      <c r="S879" s="1"/>
      <c r="T879" s="1"/>
      <c r="U879" s="1"/>
      <c r="V879" s="1"/>
      <c r="W879" s="1"/>
      <c r="X879" s="1"/>
      <c r="Y879" s="1"/>
      <c r="Z879" s="1"/>
    </row>
    <row r="880" spans="17:26">
      <c r="Q880" s="23"/>
      <c r="R880" s="1"/>
      <c r="S880" s="1"/>
      <c r="T880" s="1"/>
      <c r="U880" s="1"/>
      <c r="V880" s="1"/>
      <c r="W880" s="1"/>
      <c r="X880" s="1"/>
      <c r="Y880" s="1"/>
      <c r="Z880" s="1"/>
    </row>
    <row r="881" spans="17:26">
      <c r="Q881" s="23"/>
      <c r="R881" s="1"/>
      <c r="S881" s="1"/>
      <c r="T881" s="1"/>
      <c r="U881" s="1"/>
      <c r="V881" s="1"/>
      <c r="W881" s="1"/>
      <c r="X881" s="1"/>
      <c r="Y881" s="1"/>
      <c r="Z881" s="1"/>
    </row>
    <row r="882" spans="17:26">
      <c r="Q882" s="23"/>
      <c r="R882" s="1"/>
      <c r="S882" s="1"/>
      <c r="T882" s="1"/>
      <c r="U882" s="1"/>
      <c r="V882" s="1"/>
      <c r="W882" s="1"/>
      <c r="X882" s="1"/>
      <c r="Y882" s="1"/>
      <c r="Z882" s="1"/>
    </row>
    <row r="883" spans="17:26">
      <c r="Q883" s="23"/>
      <c r="R883" s="1"/>
      <c r="S883" s="1"/>
      <c r="T883" s="1"/>
      <c r="U883" s="1"/>
      <c r="V883" s="1"/>
      <c r="W883" s="1"/>
      <c r="X883" s="1"/>
      <c r="Y883" s="1"/>
      <c r="Z883" s="1"/>
    </row>
    <row r="884" spans="17:26">
      <c r="Q884" s="23"/>
      <c r="R884" s="1"/>
      <c r="S884" s="1"/>
      <c r="T884" s="1"/>
      <c r="U884" s="1"/>
      <c r="V884" s="1"/>
      <c r="W884" s="1"/>
      <c r="X884" s="1"/>
      <c r="Y884" s="1"/>
      <c r="Z884" s="1"/>
    </row>
    <row r="885" spans="17:26">
      <c r="Q885" s="23"/>
      <c r="R885" s="1"/>
      <c r="S885" s="1"/>
      <c r="T885" s="1"/>
      <c r="U885" s="1"/>
      <c r="V885" s="1"/>
      <c r="W885" s="1"/>
      <c r="X885" s="1"/>
      <c r="Y885" s="1"/>
      <c r="Z885" s="1"/>
    </row>
    <row r="886" spans="17:26">
      <c r="Q886" s="23"/>
      <c r="R886" s="1"/>
      <c r="S886" s="1"/>
      <c r="T886" s="1"/>
      <c r="U886" s="1"/>
      <c r="V886" s="1"/>
      <c r="W886" s="1"/>
      <c r="X886" s="1"/>
      <c r="Y886" s="1"/>
      <c r="Z886" s="1"/>
    </row>
    <row r="887" spans="17:26">
      <c r="Q887" s="23"/>
      <c r="R887" s="1"/>
      <c r="S887" s="1"/>
      <c r="T887" s="1"/>
      <c r="U887" s="1"/>
      <c r="V887" s="1"/>
      <c r="W887" s="1"/>
      <c r="X887" s="1"/>
      <c r="Y887" s="1"/>
      <c r="Z887" s="1"/>
    </row>
    <row r="888" spans="17:26">
      <c r="Q888" s="23"/>
      <c r="R888" s="1"/>
      <c r="S888" s="1"/>
      <c r="T888" s="1"/>
      <c r="U888" s="1"/>
      <c r="V888" s="1"/>
      <c r="W888" s="1"/>
      <c r="X888" s="1"/>
      <c r="Y888" s="1"/>
      <c r="Z888" s="1"/>
    </row>
    <row r="889" spans="17:26">
      <c r="Q889" s="23"/>
      <c r="R889" s="1"/>
      <c r="S889" s="1"/>
      <c r="T889" s="1"/>
      <c r="U889" s="1"/>
      <c r="V889" s="1"/>
      <c r="W889" s="1"/>
      <c r="X889" s="1"/>
      <c r="Y889" s="1"/>
      <c r="Z889" s="1"/>
    </row>
    <row r="890" spans="17:26">
      <c r="Q890" s="23"/>
      <c r="R890" s="1"/>
      <c r="S890" s="1"/>
      <c r="T890" s="1"/>
      <c r="U890" s="1"/>
      <c r="V890" s="1"/>
      <c r="W890" s="1"/>
      <c r="X890" s="1"/>
      <c r="Y890" s="1"/>
      <c r="Z890" s="1"/>
    </row>
    <row r="891" spans="17:26">
      <c r="Q891" s="23"/>
      <c r="R891" s="1"/>
      <c r="S891" s="1"/>
      <c r="T891" s="1"/>
      <c r="U891" s="1"/>
      <c r="V891" s="1"/>
      <c r="W891" s="1"/>
      <c r="X891" s="1"/>
      <c r="Y891" s="1"/>
      <c r="Z891" s="1"/>
    </row>
    <row r="892" spans="17:26">
      <c r="Q892" s="23"/>
      <c r="R892" s="1"/>
      <c r="S892" s="1"/>
      <c r="T892" s="1"/>
      <c r="U892" s="1"/>
      <c r="V892" s="1"/>
      <c r="W892" s="1"/>
      <c r="X892" s="1"/>
      <c r="Y892" s="1"/>
      <c r="Z892" s="1"/>
    </row>
    <row r="893" spans="17:26">
      <c r="Q893" s="23"/>
      <c r="R893" s="1"/>
      <c r="S893" s="1"/>
      <c r="T893" s="1"/>
      <c r="U893" s="1"/>
      <c r="V893" s="1"/>
      <c r="W893" s="1"/>
      <c r="X893" s="1"/>
      <c r="Y893" s="1"/>
      <c r="Z893" s="1"/>
    </row>
    <row r="894" spans="17:26">
      <c r="Q894" s="23"/>
      <c r="R894" s="1"/>
      <c r="S894" s="1"/>
      <c r="T894" s="1"/>
      <c r="U894" s="1"/>
      <c r="V894" s="1"/>
      <c r="W894" s="1"/>
      <c r="X894" s="1"/>
      <c r="Y894" s="1"/>
      <c r="Z894" s="1"/>
    </row>
    <row r="895" spans="17:26">
      <c r="Q895" s="23"/>
      <c r="R895" s="1"/>
      <c r="S895" s="1"/>
      <c r="T895" s="1"/>
      <c r="U895" s="1"/>
      <c r="V895" s="1"/>
      <c r="W895" s="1"/>
      <c r="X895" s="1"/>
      <c r="Y895" s="1"/>
      <c r="Z895" s="1"/>
    </row>
    <row r="896" spans="17:26">
      <c r="Q896" s="23"/>
      <c r="R896" s="1"/>
      <c r="S896" s="1"/>
      <c r="T896" s="1"/>
      <c r="U896" s="1"/>
      <c r="V896" s="1"/>
      <c r="W896" s="1"/>
      <c r="X896" s="1"/>
      <c r="Y896" s="1"/>
      <c r="Z896" s="1"/>
    </row>
    <row r="897" spans="17:26">
      <c r="Q897" s="23"/>
      <c r="R897" s="1"/>
      <c r="S897" s="1"/>
      <c r="T897" s="1"/>
      <c r="U897" s="1"/>
      <c r="V897" s="1"/>
      <c r="W897" s="1"/>
      <c r="X897" s="1"/>
      <c r="Y897" s="1"/>
      <c r="Z897" s="1"/>
    </row>
    <row r="898" spans="17:26">
      <c r="Q898" s="23"/>
      <c r="R898" s="1"/>
      <c r="S898" s="1"/>
      <c r="T898" s="1"/>
      <c r="U898" s="1"/>
      <c r="V898" s="1"/>
      <c r="W898" s="1"/>
      <c r="X898" s="1"/>
      <c r="Y898" s="1"/>
      <c r="Z898" s="1"/>
    </row>
    <row r="899" spans="17:26">
      <c r="Q899" s="1"/>
      <c r="R899" s="1"/>
      <c r="S899" s="1"/>
      <c r="T899" s="1"/>
      <c r="U899" s="1"/>
      <c r="V899" s="1"/>
      <c r="W899" s="1"/>
      <c r="X899" s="1"/>
      <c r="Y899" s="1"/>
      <c r="Z899" s="1"/>
    </row>
    <row r="900" spans="17:26">
      <c r="Q900" s="1"/>
      <c r="R900" s="1"/>
      <c r="S900" s="1"/>
      <c r="T900" s="1"/>
      <c r="U900" s="1"/>
      <c r="V900" s="1"/>
      <c r="W900" s="1"/>
      <c r="X900" s="1"/>
      <c r="Y900" s="1"/>
      <c r="Z900" s="1"/>
    </row>
    <row r="901" spans="17:26">
      <c r="Q901" s="1"/>
      <c r="R901" s="1"/>
      <c r="S901" s="1"/>
      <c r="T901" s="1"/>
      <c r="U901" s="1"/>
      <c r="V901" s="1"/>
      <c r="W901" s="1"/>
      <c r="X901" s="1"/>
      <c r="Y901" s="1"/>
      <c r="Z901" s="1"/>
    </row>
    <row r="902" spans="17:26">
      <c r="Q902" s="1"/>
      <c r="R902" s="1"/>
      <c r="S902" s="1"/>
      <c r="T902" s="1"/>
      <c r="U902" s="1"/>
      <c r="V902" s="1"/>
      <c r="W902" s="1"/>
      <c r="X902" s="1"/>
      <c r="Y902" s="1"/>
      <c r="Z902" s="1"/>
    </row>
    <row r="903" spans="17:26">
      <c r="Q903" s="1"/>
      <c r="R903" s="1"/>
      <c r="S903" s="1"/>
      <c r="T903" s="1"/>
      <c r="U903" s="1"/>
      <c r="V903" s="1"/>
      <c r="W903" s="1"/>
      <c r="X903" s="1"/>
      <c r="Y903" s="1"/>
      <c r="Z903" s="1"/>
    </row>
    <row r="904" spans="17:26">
      <c r="Q904" s="1"/>
      <c r="R904" s="1"/>
      <c r="S904" s="1"/>
      <c r="T904" s="1"/>
      <c r="U904" s="1"/>
      <c r="V904" s="1"/>
      <c r="W904" s="1"/>
      <c r="X904" s="1"/>
      <c r="Y904" s="1"/>
      <c r="Z904" s="1"/>
    </row>
    <row r="905" spans="17:26">
      <c r="Q905" s="1"/>
      <c r="R905" s="1"/>
      <c r="S905" s="1"/>
      <c r="T905" s="1"/>
      <c r="U905" s="1"/>
      <c r="V905" s="1"/>
      <c r="W905" s="1"/>
      <c r="X905" s="1"/>
      <c r="Y905" s="1"/>
      <c r="Z905" s="1"/>
    </row>
    <row r="906" spans="17:26">
      <c r="Q906" s="1"/>
      <c r="R906" s="1"/>
      <c r="S906" s="1"/>
      <c r="T906" s="1"/>
      <c r="U906" s="1"/>
      <c r="V906" s="1"/>
      <c r="W906" s="1"/>
      <c r="X906" s="1"/>
      <c r="Y906" s="1"/>
      <c r="Z906" s="1"/>
    </row>
    <row r="907" spans="17:26">
      <c r="Q907" s="1"/>
      <c r="R907" s="1"/>
      <c r="S907" s="1"/>
      <c r="T907" s="1"/>
      <c r="U907" s="1"/>
      <c r="V907" s="1"/>
      <c r="W907" s="1"/>
      <c r="X907" s="1"/>
      <c r="Y907" s="1"/>
      <c r="Z907" s="1"/>
    </row>
  </sheetData>
  <mergeCells count="540">
    <mergeCell ref="R380:S384"/>
    <mergeCell ref="W394:W395"/>
    <mergeCell ref="R399:W399"/>
    <mergeCell ref="U429:U430"/>
    <mergeCell ref="V429:V430"/>
    <mergeCell ref="W429:W430"/>
    <mergeCell ref="R429:S432"/>
    <mergeCell ref="T429:T430"/>
    <mergeCell ref="R377:W377"/>
    <mergeCell ref="R378:W378"/>
    <mergeCell ref="T380:T382"/>
    <mergeCell ref="U380:U382"/>
    <mergeCell ref="R415:W415"/>
    <mergeCell ref="B5:D5"/>
    <mergeCell ref="R2:Y3"/>
    <mergeCell ref="R5:U5"/>
    <mergeCell ref="R7:Y7"/>
    <mergeCell ref="B2:K3"/>
    <mergeCell ref="R10:U10"/>
    <mergeCell ref="R11:U11"/>
    <mergeCell ref="R12:U12"/>
    <mergeCell ref="R13:U13"/>
    <mergeCell ref="R14:U14"/>
    <mergeCell ref="R15:U15"/>
    <mergeCell ref="R16:U16"/>
    <mergeCell ref="R19:U19"/>
    <mergeCell ref="R20:U20"/>
    <mergeCell ref="R21:U21"/>
    <mergeCell ref="R22:U22"/>
    <mergeCell ref="R23:U23"/>
    <mergeCell ref="R24:U24"/>
    <mergeCell ref="R25:U25"/>
    <mergeCell ref="R26:U26"/>
    <mergeCell ref="R28:Y28"/>
    <mergeCell ref="X31:X32"/>
    <mergeCell ref="R33:T33"/>
    <mergeCell ref="R34:T34"/>
    <mergeCell ref="R35:T35"/>
    <mergeCell ref="R31:T32"/>
    <mergeCell ref="U31:U32"/>
    <mergeCell ref="V31:V32"/>
    <mergeCell ref="W31:W32"/>
    <mergeCell ref="R36:T36"/>
    <mergeCell ref="R39:T40"/>
    <mergeCell ref="U39:U40"/>
    <mergeCell ref="V39:V40"/>
    <mergeCell ref="W39:W40"/>
    <mergeCell ref="X39:X40"/>
    <mergeCell ref="R41:T41"/>
    <mergeCell ref="R42:T42"/>
    <mergeCell ref="R43:T43"/>
    <mergeCell ref="R44:T44"/>
    <mergeCell ref="R46:Y46"/>
    <mergeCell ref="R49:T50"/>
    <mergeCell ref="U49:U50"/>
    <mergeCell ref="V49:V50"/>
    <mergeCell ref="W49:W50"/>
    <mergeCell ref="X49:X50"/>
    <mergeCell ref="R51:T51"/>
    <mergeCell ref="R54:T55"/>
    <mergeCell ref="U54:U55"/>
    <mergeCell ref="V54:V55"/>
    <mergeCell ref="W54:W55"/>
    <mergeCell ref="X54:X55"/>
    <mergeCell ref="R56:T56"/>
    <mergeCell ref="R59:T60"/>
    <mergeCell ref="U59:U60"/>
    <mergeCell ref="V59:V60"/>
    <mergeCell ref="W59:W60"/>
    <mergeCell ref="X59:X60"/>
    <mergeCell ref="R61:T61"/>
    <mergeCell ref="R62:T62"/>
    <mergeCell ref="R64:Y64"/>
    <mergeCell ref="R67:T68"/>
    <mergeCell ref="U67:U68"/>
    <mergeCell ref="V67:V68"/>
    <mergeCell ref="W67:W68"/>
    <mergeCell ref="X67:X68"/>
    <mergeCell ref="R69:T69"/>
    <mergeCell ref="R70:T70"/>
    <mergeCell ref="R71:T71"/>
    <mergeCell ref="R74:T75"/>
    <mergeCell ref="U74:U75"/>
    <mergeCell ref="V74:V75"/>
    <mergeCell ref="W74:W75"/>
    <mergeCell ref="X74:X75"/>
    <mergeCell ref="R76:T76"/>
    <mergeCell ref="R77:T77"/>
    <mergeCell ref="R78:T78"/>
    <mergeCell ref="R80:Y80"/>
    <mergeCell ref="X83:X84"/>
    <mergeCell ref="R85:T85"/>
    <mergeCell ref="R86:T86"/>
    <mergeCell ref="R87:T87"/>
    <mergeCell ref="R83:T84"/>
    <mergeCell ref="U83:U84"/>
    <mergeCell ref="V83:V84"/>
    <mergeCell ref="W83:W84"/>
    <mergeCell ref="X90:X91"/>
    <mergeCell ref="R92:T92"/>
    <mergeCell ref="R93:T93"/>
    <mergeCell ref="R94:T94"/>
    <mergeCell ref="R90:T91"/>
    <mergeCell ref="U90:U91"/>
    <mergeCell ref="V90:V91"/>
    <mergeCell ref="W90:W91"/>
    <mergeCell ref="R96:Y96"/>
    <mergeCell ref="R100:T101"/>
    <mergeCell ref="U100:U101"/>
    <mergeCell ref="V100:V101"/>
    <mergeCell ref="W100:W101"/>
    <mergeCell ref="X100:X101"/>
    <mergeCell ref="R102:T102"/>
    <mergeCell ref="R103:T103"/>
    <mergeCell ref="R106:T107"/>
    <mergeCell ref="U106:U107"/>
    <mergeCell ref="V106:V107"/>
    <mergeCell ref="W106:W107"/>
    <mergeCell ref="X106:X107"/>
    <mergeCell ref="R108:T108"/>
    <mergeCell ref="R109:T109"/>
    <mergeCell ref="R112:T113"/>
    <mergeCell ref="U112:U113"/>
    <mergeCell ref="V112:V113"/>
    <mergeCell ref="W112:W113"/>
    <mergeCell ref="X112:X113"/>
    <mergeCell ref="R114:T114"/>
    <mergeCell ref="R115:T115"/>
    <mergeCell ref="V126:V127"/>
    <mergeCell ref="W126:W127"/>
    <mergeCell ref="X118:X119"/>
    <mergeCell ref="R120:T120"/>
    <mergeCell ref="R121:T121"/>
    <mergeCell ref="R123:Y123"/>
    <mergeCell ref="R118:T119"/>
    <mergeCell ref="U118:U119"/>
    <mergeCell ref="V118:V119"/>
    <mergeCell ref="W118:W119"/>
    <mergeCell ref="X126:X127"/>
    <mergeCell ref="R128:T128"/>
    <mergeCell ref="R130:Y130"/>
    <mergeCell ref="R132:T133"/>
    <mergeCell ref="U132:U133"/>
    <mergeCell ref="V132:V133"/>
    <mergeCell ref="W132:W133"/>
    <mergeCell ref="X132:X133"/>
    <mergeCell ref="R126:T127"/>
    <mergeCell ref="U126:U127"/>
    <mergeCell ref="R134:T134"/>
    <mergeCell ref="R135:T135"/>
    <mergeCell ref="R137:Y137"/>
    <mergeCell ref="R142:W142"/>
    <mergeCell ref="X143:X144"/>
    <mergeCell ref="R145:T145"/>
    <mergeCell ref="U145:U146"/>
    <mergeCell ref="R146:T146"/>
    <mergeCell ref="R143:T144"/>
    <mergeCell ref="U143:U144"/>
    <mergeCell ref="V143:V144"/>
    <mergeCell ref="W143:W144"/>
    <mergeCell ref="R147:T147"/>
    <mergeCell ref="R148:T148"/>
    <mergeCell ref="R149:X149"/>
    <mergeCell ref="R150:T151"/>
    <mergeCell ref="U150:U151"/>
    <mergeCell ref="V150:V151"/>
    <mergeCell ref="W150:W151"/>
    <mergeCell ref="X150:X151"/>
    <mergeCell ref="R152:T152"/>
    <mergeCell ref="U152:U154"/>
    <mergeCell ref="R153:T153"/>
    <mergeCell ref="R154:T154"/>
    <mergeCell ref="R155:X155"/>
    <mergeCell ref="R156:T157"/>
    <mergeCell ref="U156:U157"/>
    <mergeCell ref="V156:V157"/>
    <mergeCell ref="W156:W157"/>
    <mergeCell ref="X156:X157"/>
    <mergeCell ref="V162:V163"/>
    <mergeCell ref="W162:W163"/>
    <mergeCell ref="R158:T158"/>
    <mergeCell ref="U158:U160"/>
    <mergeCell ref="R159:T159"/>
    <mergeCell ref="R160:T160"/>
    <mergeCell ref="X162:X163"/>
    <mergeCell ref="R164:T164"/>
    <mergeCell ref="R165:T165"/>
    <mergeCell ref="R167:T168"/>
    <mergeCell ref="U167:U168"/>
    <mergeCell ref="V167:V168"/>
    <mergeCell ref="W167:W168"/>
    <mergeCell ref="X167:X168"/>
    <mergeCell ref="R162:T163"/>
    <mergeCell ref="U162:U163"/>
    <mergeCell ref="R174:T174"/>
    <mergeCell ref="R179:T179"/>
    <mergeCell ref="R180:T180"/>
    <mergeCell ref="R175:T175"/>
    <mergeCell ref="R177:T178"/>
    <mergeCell ref="R169:T169"/>
    <mergeCell ref="R170:T170"/>
    <mergeCell ref="R172:T173"/>
    <mergeCell ref="W177:W178"/>
    <mergeCell ref="X177:X178"/>
    <mergeCell ref="U177:U178"/>
    <mergeCell ref="V177:V178"/>
    <mergeCell ref="X183:X184"/>
    <mergeCell ref="X172:X173"/>
    <mergeCell ref="U172:U173"/>
    <mergeCell ref="V172:V173"/>
    <mergeCell ref="W172:W173"/>
    <mergeCell ref="R185:T185"/>
    <mergeCell ref="R186:T186"/>
    <mergeCell ref="R181:T181"/>
    <mergeCell ref="R183:T184"/>
    <mergeCell ref="W188:W189"/>
    <mergeCell ref="W183:W184"/>
    <mergeCell ref="V188:V189"/>
    <mergeCell ref="U183:U184"/>
    <mergeCell ref="V183:V184"/>
    <mergeCell ref="X188:X189"/>
    <mergeCell ref="V193:V194"/>
    <mergeCell ref="W193:W194"/>
    <mergeCell ref="X193:X194"/>
    <mergeCell ref="R188:T189"/>
    <mergeCell ref="U188:U189"/>
    <mergeCell ref="R190:T190"/>
    <mergeCell ref="R191:T191"/>
    <mergeCell ref="R193:T194"/>
    <mergeCell ref="U193:U194"/>
    <mergeCell ref="R195:T195"/>
    <mergeCell ref="R196:T196"/>
    <mergeCell ref="R198:T199"/>
    <mergeCell ref="U198:U199"/>
    <mergeCell ref="V198:V199"/>
    <mergeCell ref="W198:W199"/>
    <mergeCell ref="X198:X199"/>
    <mergeCell ref="R200:T200"/>
    <mergeCell ref="R201:T201"/>
    <mergeCell ref="R202:T202"/>
    <mergeCell ref="R204:Y208"/>
    <mergeCell ref="R210:W211"/>
    <mergeCell ref="X210:X211"/>
    <mergeCell ref="Y210:Y211"/>
    <mergeCell ref="Y213:Y214"/>
    <mergeCell ref="R215:U215"/>
    <mergeCell ref="R216:U216"/>
    <mergeCell ref="R217:U217"/>
    <mergeCell ref="R213:U214"/>
    <mergeCell ref="V213:V214"/>
    <mergeCell ref="W213:W214"/>
    <mergeCell ref="X213:X214"/>
    <mergeCell ref="R218:U218"/>
    <mergeCell ref="R219:U219"/>
    <mergeCell ref="R220:U220"/>
    <mergeCell ref="R221:U221"/>
    <mergeCell ref="R222:U222"/>
    <mergeCell ref="R223:U223"/>
    <mergeCell ref="R224:U224"/>
    <mergeCell ref="R225:U225"/>
    <mergeCell ref="R226:U226"/>
    <mergeCell ref="R227:U227"/>
    <mergeCell ref="R228:U228"/>
    <mergeCell ref="R229:U229"/>
    <mergeCell ref="R231:U231"/>
    <mergeCell ref="R235:T236"/>
    <mergeCell ref="U235:U236"/>
    <mergeCell ref="V235:V236"/>
    <mergeCell ref="W235:W236"/>
    <mergeCell ref="X235:X236"/>
    <mergeCell ref="R237:T237"/>
    <mergeCell ref="U237:U239"/>
    <mergeCell ref="R238:T238"/>
    <mergeCell ref="R239:T239"/>
    <mergeCell ref="X241:X242"/>
    <mergeCell ref="R243:T243"/>
    <mergeCell ref="U243:U245"/>
    <mergeCell ref="R244:T244"/>
    <mergeCell ref="R245:T245"/>
    <mergeCell ref="R241:T242"/>
    <mergeCell ref="U241:U242"/>
    <mergeCell ref="V241:V242"/>
    <mergeCell ref="W241:W242"/>
    <mergeCell ref="X247:X248"/>
    <mergeCell ref="R249:T249"/>
    <mergeCell ref="U249:U251"/>
    <mergeCell ref="R250:T250"/>
    <mergeCell ref="R251:T251"/>
    <mergeCell ref="R247:T248"/>
    <mergeCell ref="U247:U248"/>
    <mergeCell ref="V247:V248"/>
    <mergeCell ref="W247:W248"/>
    <mergeCell ref="X254:X255"/>
    <mergeCell ref="R257:T257"/>
    <mergeCell ref="R260:Y260"/>
    <mergeCell ref="R264:S265"/>
    <mergeCell ref="U264:V264"/>
    <mergeCell ref="U265:V265"/>
    <mergeCell ref="R254:T255"/>
    <mergeCell ref="U254:U255"/>
    <mergeCell ref="V254:V255"/>
    <mergeCell ref="W254:W255"/>
    <mergeCell ref="X267:X268"/>
    <mergeCell ref="R268:R271"/>
    <mergeCell ref="S268:T268"/>
    <mergeCell ref="S269:T269"/>
    <mergeCell ref="S270:T270"/>
    <mergeCell ref="S271:T271"/>
    <mergeCell ref="R267:T267"/>
    <mergeCell ref="U267:U268"/>
    <mergeCell ref="V267:V268"/>
    <mergeCell ref="W267:W268"/>
    <mergeCell ref="R272:X272"/>
    <mergeCell ref="R273:T273"/>
    <mergeCell ref="U273:U274"/>
    <mergeCell ref="V273:V274"/>
    <mergeCell ref="W273:W274"/>
    <mergeCell ref="X273:X274"/>
    <mergeCell ref="R274:R277"/>
    <mergeCell ref="S274:T274"/>
    <mergeCell ref="S275:T275"/>
    <mergeCell ref="S276:T276"/>
    <mergeCell ref="S277:T277"/>
    <mergeCell ref="R278:X278"/>
    <mergeCell ref="R279:T279"/>
    <mergeCell ref="U279:U280"/>
    <mergeCell ref="V279:V280"/>
    <mergeCell ref="W279:W280"/>
    <mergeCell ref="X279:X280"/>
    <mergeCell ref="R280:R283"/>
    <mergeCell ref="S280:T280"/>
    <mergeCell ref="S281:T281"/>
    <mergeCell ref="S282:T282"/>
    <mergeCell ref="S283:T283"/>
    <mergeCell ref="R286:U287"/>
    <mergeCell ref="V286:V287"/>
    <mergeCell ref="W286:W287"/>
    <mergeCell ref="X286:X287"/>
    <mergeCell ref="Y286:Y287"/>
    <mergeCell ref="R288:U288"/>
    <mergeCell ref="R289:U289"/>
    <mergeCell ref="R290:U290"/>
    <mergeCell ref="R291:U291"/>
    <mergeCell ref="R292:U292"/>
    <mergeCell ref="R293:U293"/>
    <mergeCell ref="R294:U294"/>
    <mergeCell ref="R295:U295"/>
    <mergeCell ref="R296:U296"/>
    <mergeCell ref="R297:U297"/>
    <mergeCell ref="R298:U298"/>
    <mergeCell ref="R299:U299"/>
    <mergeCell ref="T301:U301"/>
    <mergeCell ref="T302:U302"/>
    <mergeCell ref="R305:V305"/>
    <mergeCell ref="R306:R307"/>
    <mergeCell ref="S306:S307"/>
    <mergeCell ref="T306:T307"/>
    <mergeCell ref="U306:U307"/>
    <mergeCell ref="V306:V307"/>
    <mergeCell ref="R316:W318"/>
    <mergeCell ref="R336:S339"/>
    <mergeCell ref="T336:T337"/>
    <mergeCell ref="R319:W319"/>
    <mergeCell ref="R320:W320"/>
    <mergeCell ref="R322:S326"/>
    <mergeCell ref="T322:T324"/>
    <mergeCell ref="U322:U324"/>
    <mergeCell ref="V322:V324"/>
    <mergeCell ref="W322:W324"/>
    <mergeCell ref="R328:W328"/>
    <mergeCell ref="R329:S332"/>
    <mergeCell ref="T329:T330"/>
    <mergeCell ref="U329:U330"/>
    <mergeCell ref="V329:V330"/>
    <mergeCell ref="W329:W330"/>
    <mergeCell ref="T342:T343"/>
    <mergeCell ref="U342:U343"/>
    <mergeCell ref="V342:V343"/>
    <mergeCell ref="W342:W343"/>
    <mergeCell ref="U336:U337"/>
    <mergeCell ref="R348:W348"/>
    <mergeCell ref="R341:W341"/>
    <mergeCell ref="R342:S345"/>
    <mergeCell ref="V336:V337"/>
    <mergeCell ref="W336:W337"/>
    <mergeCell ref="R349:W349"/>
    <mergeCell ref="R351:S355"/>
    <mergeCell ref="T351:T353"/>
    <mergeCell ref="U351:U353"/>
    <mergeCell ref="V351:V353"/>
    <mergeCell ref="W351:W353"/>
    <mergeCell ref="V365:V366"/>
    <mergeCell ref="R357:W357"/>
    <mergeCell ref="R358:S361"/>
    <mergeCell ref="T358:T359"/>
    <mergeCell ref="U358:U359"/>
    <mergeCell ref="V358:V359"/>
    <mergeCell ref="W358:W359"/>
    <mergeCell ref="W365:W366"/>
    <mergeCell ref="R365:S368"/>
    <mergeCell ref="T365:T366"/>
    <mergeCell ref="R370:W370"/>
    <mergeCell ref="R371:S374"/>
    <mergeCell ref="T371:T372"/>
    <mergeCell ref="U371:U372"/>
    <mergeCell ref="V371:V372"/>
    <mergeCell ref="W371:W372"/>
    <mergeCell ref="U365:U366"/>
    <mergeCell ref="V394:V395"/>
    <mergeCell ref="V380:V382"/>
    <mergeCell ref="W380:W382"/>
    <mergeCell ref="R386:W386"/>
    <mergeCell ref="R387:S390"/>
    <mergeCell ref="T387:T388"/>
    <mergeCell ref="U387:U388"/>
    <mergeCell ref="V387:V388"/>
    <mergeCell ref="W387:W388"/>
    <mergeCell ref="W400:W401"/>
    <mergeCell ref="R394:S397"/>
    <mergeCell ref="T394:T395"/>
    <mergeCell ref="U394:U395"/>
    <mergeCell ref="R406:W406"/>
    <mergeCell ref="R407:W407"/>
    <mergeCell ref="R400:S403"/>
    <mergeCell ref="T400:T401"/>
    <mergeCell ref="U400:U401"/>
    <mergeCell ref="V400:V401"/>
    <mergeCell ref="R409:S413"/>
    <mergeCell ref="T409:T411"/>
    <mergeCell ref="U409:U411"/>
    <mergeCell ref="V409:V411"/>
    <mergeCell ref="W409:W411"/>
    <mergeCell ref="U416:U417"/>
    <mergeCell ref="V416:V417"/>
    <mergeCell ref="W416:W417"/>
    <mergeCell ref="R416:S419"/>
    <mergeCell ref="T416:T417"/>
    <mergeCell ref="R423:S426"/>
    <mergeCell ref="T423:T424"/>
    <mergeCell ref="U423:U424"/>
    <mergeCell ref="V423:V424"/>
    <mergeCell ref="W423:W424"/>
    <mergeCell ref="R428:W428"/>
    <mergeCell ref="R435:W437"/>
    <mergeCell ref="R438:W438"/>
    <mergeCell ref="R439:W439"/>
    <mergeCell ref="R441:S445"/>
    <mergeCell ref="T441:T443"/>
    <mergeCell ref="W455:W456"/>
    <mergeCell ref="U441:U443"/>
    <mergeCell ref="V441:V443"/>
    <mergeCell ref="V455:V456"/>
    <mergeCell ref="W441:W443"/>
    <mergeCell ref="R447:W447"/>
    <mergeCell ref="R448:S451"/>
    <mergeCell ref="T448:T449"/>
    <mergeCell ref="U448:U449"/>
    <mergeCell ref="V448:V449"/>
    <mergeCell ref="W448:W449"/>
    <mergeCell ref="W461:W462"/>
    <mergeCell ref="R455:S458"/>
    <mergeCell ref="T455:T456"/>
    <mergeCell ref="U455:U456"/>
    <mergeCell ref="R461:S464"/>
    <mergeCell ref="T461:T462"/>
    <mergeCell ref="U461:U462"/>
    <mergeCell ref="V461:V462"/>
    <mergeCell ref="R460:W460"/>
    <mergeCell ref="R467:W467"/>
    <mergeCell ref="R468:W468"/>
    <mergeCell ref="R470:S474"/>
    <mergeCell ref="T470:T472"/>
    <mergeCell ref="U470:U472"/>
    <mergeCell ref="V470:V472"/>
    <mergeCell ref="W470:W472"/>
    <mergeCell ref="R476:W476"/>
    <mergeCell ref="R477:S480"/>
    <mergeCell ref="T477:T478"/>
    <mergeCell ref="U477:U478"/>
    <mergeCell ref="V477:V478"/>
    <mergeCell ref="W477:W478"/>
    <mergeCell ref="U484:U485"/>
    <mergeCell ref="R497:W497"/>
    <mergeCell ref="R499:S503"/>
    <mergeCell ref="T499:T501"/>
    <mergeCell ref="U499:U501"/>
    <mergeCell ref="V484:V485"/>
    <mergeCell ref="W484:W485"/>
    <mergeCell ref="R484:S487"/>
    <mergeCell ref="T484:T485"/>
    <mergeCell ref="R496:W496"/>
    <mergeCell ref="R518:W518"/>
    <mergeCell ref="T490:T491"/>
    <mergeCell ref="U490:U491"/>
    <mergeCell ref="V490:V491"/>
    <mergeCell ref="W490:W491"/>
    <mergeCell ref="V513:V514"/>
    <mergeCell ref="R505:W505"/>
    <mergeCell ref="R506:S509"/>
    <mergeCell ref="T506:T507"/>
    <mergeCell ref="U506:U507"/>
    <mergeCell ref="R513:S516"/>
    <mergeCell ref="T513:T514"/>
    <mergeCell ref="U513:U514"/>
    <mergeCell ref="V499:V501"/>
    <mergeCell ref="W499:W501"/>
    <mergeCell ref="R489:W489"/>
    <mergeCell ref="R490:S493"/>
    <mergeCell ref="W513:W514"/>
    <mergeCell ref="V506:V507"/>
    <mergeCell ref="W506:W507"/>
    <mergeCell ref="R534:W534"/>
    <mergeCell ref="R535:S538"/>
    <mergeCell ref="R519:S522"/>
    <mergeCell ref="T519:T520"/>
    <mergeCell ref="U519:U520"/>
    <mergeCell ref="V519:V520"/>
    <mergeCell ref="W519:W520"/>
    <mergeCell ref="R525:W525"/>
    <mergeCell ref="R526:W526"/>
    <mergeCell ref="R528:S532"/>
    <mergeCell ref="T528:T530"/>
    <mergeCell ref="U528:U530"/>
    <mergeCell ref="V528:V530"/>
    <mergeCell ref="W528:W530"/>
    <mergeCell ref="T535:T536"/>
    <mergeCell ref="U535:U536"/>
    <mergeCell ref="V535:V536"/>
    <mergeCell ref="W535:W536"/>
    <mergeCell ref="U542:U543"/>
    <mergeCell ref="R547:W547"/>
    <mergeCell ref="T542:T543"/>
    <mergeCell ref="R548:S551"/>
    <mergeCell ref="T548:T549"/>
    <mergeCell ref="U548:U549"/>
    <mergeCell ref="V548:V549"/>
    <mergeCell ref="W548:W549"/>
    <mergeCell ref="V542:V543"/>
    <mergeCell ref="W542:W543"/>
    <mergeCell ref="R542:S545"/>
  </mergeCells>
  <phoneticPr fontId="0" type="noConversion"/>
  <conditionalFormatting sqref="U108:X109">
    <cfRule type="cellIs" dxfId="402" priority="1" stopIfTrue="1" operator="equal">
      <formula>"yes"</formula>
    </cfRule>
    <cfRule type="cellIs" dxfId="401" priority="2" stopIfTrue="1" operator="equal">
      <formula>"no"</formula>
    </cfRule>
  </conditionalFormatting>
  <conditionalFormatting sqref="X254:X255 X106:X107 X247:X248 X49:X50 X235:X236 X54:X55 X67:X68 X74:X75 X100:X101 X112:X113 X118:X119 X132:X133 X279:X280 X126:X127 X241:X242 X59:X60 Y286:Y287 S306:S307 X143:X144 X183:X184 X177:X178 X267:X268 X273:X274 Y213:Y214 X83 X90 X156:X157 X150:X151 X198:X199 X162:X163 X167:X168 X172:X173 X188:X189 X193:X194">
    <cfRule type="cellIs" dxfId="400" priority="3" stopIfTrue="1" operator="equal">
      <formula>$U$31</formula>
    </cfRule>
    <cfRule type="cellIs" dxfId="399" priority="4" stopIfTrue="1" operator="equal">
      <formula>$W$31</formula>
    </cfRule>
    <cfRule type="cellIs" dxfId="398" priority="5" stopIfTrue="1" operator="equal">
      <formula>$Y$31</formula>
    </cfRule>
  </conditionalFormatting>
  <conditionalFormatting sqref="V106:V107 V247:V248 V49:V50 V241:V242 V54:V55 V59:V60 V67:V68 V74:V75 W286:W287 V100:V101 V112:V113 V118:V119 V126:V127 V132:V133 V279:V280 V235:V236 V254:V255 T306:T307 V143:V144 V183:V184 V177:V178 V267:V268 V273:V274 W213:W214 V83 V90 V156:V157 V150:V151 V198:V199 V162:V163 V167:V168 V172:V173 V188:V189 V193:V194">
    <cfRule type="cellIs" dxfId="397" priority="6" stopIfTrue="1" operator="equal">
      <formula>$R$6</formula>
    </cfRule>
    <cfRule type="cellIs" dxfId="396" priority="7" stopIfTrue="1" operator="equal">
      <formula>$V$33</formula>
    </cfRule>
    <cfRule type="cellIs" dxfId="395" priority="8" stopIfTrue="1" operator="equal">
      <formula>$R$8</formula>
    </cfRule>
  </conditionalFormatting>
  <conditionalFormatting sqref="W106:W107 W126:W127 W247:W248 W49:W50 W241:W242 W54:W55 W59:W60 W67:W68 W74:W75 X286:X287 W100:W101 W112:W113 W118:W119 W132:W133 W279:W280 W235:W236 W254:W255 U306:U307 W143:W144 W183:W184 W177:W178 W267:W268 W273:W274 X213:X214 W83 W90 W156:W157 W150:W151 W198:W199 W162:W163 W167:W168 W172:W173 W188:W189 W193:W194">
    <cfRule type="cellIs" dxfId="394" priority="9" stopIfTrue="1" operator="equal">
      <formula>$R$6</formula>
    </cfRule>
    <cfRule type="cellIs" dxfId="393" priority="10" stopIfTrue="1" operator="equal">
      <formula>$R$7</formula>
    </cfRule>
    <cfRule type="cellIs" dxfId="392" priority="11" stopIfTrue="1" operator="equal">
      <formula>$W$33</formula>
    </cfRule>
  </conditionalFormatting>
  <conditionalFormatting sqref="R36 R44">
    <cfRule type="cellIs" dxfId="391" priority="12" stopIfTrue="1" operator="equal">
      <formula>$AI$31</formula>
    </cfRule>
    <cfRule type="cellIs" dxfId="390" priority="13" stopIfTrue="1" operator="equal">
      <formula>$AK$31</formula>
    </cfRule>
    <cfRule type="cellIs" dxfId="389" priority="14" stopIfTrue="1" operator="equal">
      <formula>$AM$31</formula>
    </cfRule>
  </conditionalFormatting>
  <conditionalFormatting sqref="R34 R42">
    <cfRule type="cellIs" dxfId="388" priority="15" stopIfTrue="1" operator="equal">
      <formula>$AF$6</formula>
    </cfRule>
    <cfRule type="cellIs" dxfId="387" priority="16" stopIfTrue="1" operator="equal">
      <formula>$AJ$33</formula>
    </cfRule>
    <cfRule type="cellIs" dxfId="386" priority="17" stopIfTrue="1" operator="equal">
      <formula>$AF$8</formula>
    </cfRule>
  </conditionalFormatting>
  <conditionalFormatting sqref="R35 R43">
    <cfRule type="cellIs" dxfId="385" priority="18" stopIfTrue="1" operator="equal">
      <formula>$AF$6</formula>
    </cfRule>
    <cfRule type="cellIs" dxfId="384" priority="19" stopIfTrue="1" operator="equal">
      <formula>$AF$7</formula>
    </cfRule>
    <cfRule type="cellIs" dxfId="383" priority="20" stopIfTrue="1" operator="equal">
      <formula>$AK$33</formula>
    </cfRule>
  </conditionalFormatting>
  <pageMargins left="0" right="0" top="0.59055118110236227" bottom="0.39370078740157483" header="0.51181102362204722" footer="0.51181102362204722"/>
  <pageSetup paperSize="9" scale="96" fitToHeight="6" orientation="portrait"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sheetPr codeName="Sheet58">
    <pageSetUpPr fitToPage="1"/>
  </sheetPr>
  <dimension ref="A1:AJ907"/>
  <sheetViews>
    <sheetView showRowColHeaders="0" workbookViewId="0">
      <selection activeCell="B2" sqref="B2:K3"/>
    </sheetView>
  </sheetViews>
  <sheetFormatPr defaultRowHeight="12.75"/>
  <cols>
    <col min="1" max="11" width="11.7109375" style="1" customWidth="1"/>
    <col min="12" max="16" width="10.7109375" style="1" customWidth="1"/>
    <col min="17" max="17" width="4.7109375" style="20" customWidth="1"/>
    <col min="18" max="20" width="10.7109375" style="18" customWidth="1"/>
    <col min="21" max="23" width="11.7109375" style="18" customWidth="1"/>
    <col min="24" max="26" width="10.7109375" style="18" customWidth="1"/>
    <col min="27" max="27" width="10.7109375" style="1" customWidth="1"/>
    <col min="28" max="30" width="8.7109375" style="1" customWidth="1"/>
    <col min="31" max="35" width="13.7109375" style="1" customWidth="1"/>
    <col min="36" max="37" width="10.7109375" style="1" customWidth="1"/>
    <col min="38" max="54" width="10.28515625" style="1" customWidth="1"/>
    <col min="55" max="110" width="10.7109375" style="1" customWidth="1"/>
    <col min="111" max="16384" width="9.140625" style="1"/>
  </cols>
  <sheetData>
    <row r="1" spans="1:32" ht="6" customHeight="1" thickBot="1">
      <c r="A1" s="121"/>
      <c r="B1" s="121"/>
      <c r="C1" s="121"/>
      <c r="D1" s="121"/>
      <c r="E1" s="121"/>
      <c r="F1" s="121"/>
      <c r="G1" s="121"/>
      <c r="H1" s="121"/>
      <c r="I1" s="121"/>
      <c r="J1" s="121"/>
      <c r="K1" s="121"/>
      <c r="L1" s="121"/>
      <c r="M1" s="121"/>
      <c r="N1" s="121"/>
      <c r="O1" s="121"/>
      <c r="P1" s="121"/>
      <c r="Q1" s="360"/>
      <c r="R1" s="361"/>
      <c r="S1" s="361"/>
      <c r="T1" s="361"/>
      <c r="U1" s="361"/>
      <c r="V1" s="361"/>
      <c r="W1" s="361"/>
      <c r="X1" s="361"/>
      <c r="Y1" s="361"/>
      <c r="Z1" s="361"/>
      <c r="AA1"/>
      <c r="AB1"/>
      <c r="AC1"/>
      <c r="AD1"/>
      <c r="AE1"/>
      <c r="AF1"/>
    </row>
    <row r="2" spans="1:32" ht="12.75" customHeight="1" thickTop="1">
      <c r="A2" s="121"/>
      <c r="B2" s="753" t="s">
        <v>511</v>
      </c>
      <c r="C2" s="754"/>
      <c r="D2" s="754"/>
      <c r="E2" s="754"/>
      <c r="F2" s="754"/>
      <c r="G2" s="754"/>
      <c r="H2" s="754"/>
      <c r="I2" s="754"/>
      <c r="J2" s="754"/>
      <c r="K2" s="755"/>
      <c r="L2" s="121"/>
      <c r="M2" s="121"/>
      <c r="N2" s="121"/>
      <c r="O2" s="121"/>
      <c r="P2" s="121"/>
      <c r="Q2" s="363"/>
      <c r="R2" s="1024" t="s">
        <v>396</v>
      </c>
      <c r="S2" s="1025"/>
      <c r="T2" s="1025"/>
      <c r="U2" s="1025"/>
      <c r="V2" s="1025"/>
      <c r="W2" s="1025"/>
      <c r="X2" s="1025"/>
      <c r="Y2" s="1026"/>
      <c r="Z2" s="362"/>
      <c r="AA2"/>
      <c r="AB2"/>
      <c r="AC2"/>
      <c r="AD2"/>
      <c r="AE2"/>
      <c r="AF2"/>
    </row>
    <row r="3" spans="1:32" ht="12.75" customHeight="1" thickBot="1">
      <c r="A3" s="121"/>
      <c r="B3" s="756"/>
      <c r="C3" s="757"/>
      <c r="D3" s="757"/>
      <c r="E3" s="757"/>
      <c r="F3" s="757"/>
      <c r="G3" s="757"/>
      <c r="H3" s="757"/>
      <c r="I3" s="757"/>
      <c r="J3" s="757"/>
      <c r="K3" s="758"/>
      <c r="L3" s="121"/>
      <c r="M3" s="121"/>
      <c r="N3" s="121"/>
      <c r="O3" s="121"/>
      <c r="P3" s="121"/>
      <c r="Q3" s="363"/>
      <c r="R3" s="1027"/>
      <c r="S3" s="1028"/>
      <c r="T3" s="1028"/>
      <c r="U3" s="1028"/>
      <c r="V3" s="1028"/>
      <c r="W3" s="1028"/>
      <c r="X3" s="1028"/>
      <c r="Y3" s="1029"/>
      <c r="Z3" s="362"/>
      <c r="AA3"/>
      <c r="AB3"/>
      <c r="AC3"/>
      <c r="AD3"/>
      <c r="AE3"/>
      <c r="AF3"/>
    </row>
    <row r="4" spans="1:32" ht="12.75" customHeight="1" thickTop="1">
      <c r="A4" s="121"/>
      <c r="B4" s="121"/>
      <c r="C4" s="121"/>
      <c r="D4" s="121"/>
      <c r="E4" s="121"/>
      <c r="F4" s="121"/>
      <c r="G4" s="121"/>
      <c r="H4" s="121"/>
      <c r="I4" s="121"/>
      <c r="J4" s="121"/>
      <c r="K4" s="121"/>
      <c r="L4" s="121"/>
      <c r="M4" s="121"/>
      <c r="N4" s="121"/>
      <c r="O4" s="121"/>
      <c r="P4" s="121"/>
      <c r="Q4" s="363"/>
      <c r="R4" s="361"/>
      <c r="S4" s="361"/>
      <c r="T4" s="361"/>
      <c r="U4" s="361"/>
      <c r="V4" s="361"/>
      <c r="W4" s="361"/>
      <c r="X4" s="361"/>
      <c r="Y4" s="361"/>
      <c r="Z4" s="361"/>
      <c r="AA4"/>
      <c r="AB4"/>
      <c r="AC4"/>
      <c r="AD4"/>
      <c r="AE4"/>
      <c r="AF4"/>
    </row>
    <row r="5" spans="1:32" ht="12.75" customHeight="1">
      <c r="A5" s="121"/>
      <c r="B5" s="828" t="s">
        <v>581</v>
      </c>
      <c r="C5" s="829"/>
      <c r="D5" s="830"/>
      <c r="E5" s="460">
        <v>450</v>
      </c>
      <c r="F5" s="461">
        <f>+E5</f>
        <v>450</v>
      </c>
      <c r="G5" s="121"/>
      <c r="H5" s="121"/>
      <c r="I5" s="121"/>
      <c r="J5" s="121"/>
      <c r="K5" s="121"/>
      <c r="L5" s="121"/>
      <c r="M5" s="121"/>
      <c r="N5" s="121"/>
      <c r="O5" s="121"/>
      <c r="P5" s="121"/>
      <c r="Q5" s="360"/>
      <c r="R5" s="951" t="s">
        <v>868</v>
      </c>
      <c r="S5" s="951"/>
      <c r="T5" s="951"/>
      <c r="U5" s="951"/>
      <c r="V5" s="447">
        <f>F5</f>
        <v>450</v>
      </c>
      <c r="W5" s="362"/>
      <c r="X5" s="362"/>
      <c r="Y5" s="362"/>
      <c r="Z5" s="362"/>
      <c r="AA5"/>
      <c r="AB5"/>
      <c r="AC5"/>
      <c r="AD5"/>
      <c r="AE5"/>
      <c r="AF5"/>
    </row>
    <row r="6" spans="1:32" ht="12.75" customHeight="1">
      <c r="A6" s="121"/>
      <c r="B6" s="121"/>
      <c r="C6" s="121"/>
      <c r="D6" s="121"/>
      <c r="E6" s="121"/>
      <c r="F6" s="121"/>
      <c r="G6" s="121"/>
      <c r="H6" s="121"/>
      <c r="I6" s="121"/>
      <c r="J6" s="121"/>
      <c r="K6" s="121"/>
      <c r="L6" s="121"/>
      <c r="M6" s="121"/>
      <c r="N6" s="121"/>
      <c r="O6" s="121"/>
      <c r="P6" s="121"/>
      <c r="Q6" s="360"/>
      <c r="R6" s="362"/>
      <c r="S6" s="362"/>
      <c r="T6" s="362"/>
      <c r="U6" s="362"/>
      <c r="V6" s="361"/>
      <c r="W6" s="361"/>
      <c r="X6" s="361"/>
      <c r="Y6" s="361"/>
      <c r="Z6" s="361"/>
      <c r="AA6"/>
      <c r="AB6"/>
      <c r="AC6"/>
      <c r="AD6"/>
      <c r="AE6"/>
      <c r="AF6"/>
    </row>
    <row r="7" spans="1:32" ht="12.75" customHeight="1">
      <c r="A7" s="121"/>
      <c r="B7" s="121"/>
      <c r="C7" s="121"/>
      <c r="D7" s="121"/>
      <c r="E7" s="121"/>
      <c r="F7" s="121"/>
      <c r="G7" s="121"/>
      <c r="H7" s="121"/>
      <c r="I7" s="121"/>
      <c r="J7" s="121"/>
      <c r="K7" s="121"/>
      <c r="L7" s="121"/>
      <c r="M7" s="121"/>
      <c r="N7" s="121"/>
      <c r="O7" s="121"/>
      <c r="P7" s="121"/>
      <c r="Q7" s="385">
        <v>1</v>
      </c>
      <c r="R7" s="1008" t="s">
        <v>24</v>
      </c>
      <c r="S7" s="1008"/>
      <c r="T7" s="1008"/>
      <c r="U7" s="1008"/>
      <c r="V7" s="1008"/>
      <c r="W7" s="1008"/>
      <c r="X7" s="1008"/>
      <c r="Y7" s="1008"/>
      <c r="Z7" s="536"/>
      <c r="AA7"/>
      <c r="AB7"/>
      <c r="AC7"/>
      <c r="AD7"/>
      <c r="AE7"/>
      <c r="AF7"/>
    </row>
    <row r="8" spans="1:32" ht="12.75" customHeight="1">
      <c r="A8" s="121"/>
      <c r="B8" s="121"/>
      <c r="C8" s="121"/>
      <c r="D8" s="121"/>
      <c r="E8" s="121"/>
      <c r="F8" s="121"/>
      <c r="G8" s="121"/>
      <c r="H8" s="121"/>
      <c r="I8" s="121"/>
      <c r="J8" s="121"/>
      <c r="K8" s="121"/>
      <c r="L8" s="121"/>
      <c r="M8" s="121"/>
      <c r="N8" s="121"/>
      <c r="O8" s="121"/>
      <c r="P8" s="121"/>
      <c r="Q8" s="386"/>
      <c r="R8" s="361"/>
      <c r="S8" s="361"/>
      <c r="T8" s="361"/>
      <c r="U8" s="361"/>
      <c r="V8" s="361"/>
      <c r="W8" s="361"/>
      <c r="X8" s="361"/>
      <c r="Y8" s="361"/>
      <c r="Z8" s="361"/>
      <c r="AA8"/>
      <c r="AB8"/>
      <c r="AC8"/>
      <c r="AD8"/>
      <c r="AE8"/>
      <c r="AF8"/>
    </row>
    <row r="9" spans="1:32" ht="12.75" customHeight="1">
      <c r="A9" s="121"/>
      <c r="B9" s="121"/>
      <c r="C9" s="121"/>
      <c r="D9" s="121"/>
      <c r="E9" s="121"/>
      <c r="F9" s="121"/>
      <c r="G9" s="121"/>
      <c r="H9" s="121"/>
      <c r="I9" s="121"/>
      <c r="J9" s="121"/>
      <c r="K9" s="121"/>
      <c r="L9" s="121"/>
      <c r="M9" s="121"/>
      <c r="N9" s="121"/>
      <c r="O9" s="121"/>
      <c r="P9" s="121"/>
      <c r="Q9" s="360">
        <v>1.1000000000000001</v>
      </c>
      <c r="R9" s="364" t="s">
        <v>586</v>
      </c>
      <c r="S9" s="363"/>
      <c r="T9" s="363"/>
      <c r="U9" s="363"/>
      <c r="V9" s="363"/>
      <c r="W9" s="363"/>
      <c r="X9" s="363"/>
      <c r="Y9" s="363"/>
      <c r="Z9" s="363"/>
      <c r="AA9"/>
      <c r="AB9"/>
      <c r="AC9"/>
      <c r="AD9"/>
      <c r="AE9"/>
      <c r="AF9"/>
    </row>
    <row r="10" spans="1:32" ht="12.75" customHeight="1">
      <c r="A10" s="121"/>
      <c r="B10" s="121"/>
      <c r="C10" s="121"/>
      <c r="D10" s="121"/>
      <c r="E10" s="121"/>
      <c r="F10" s="121"/>
      <c r="G10" s="121"/>
      <c r="H10" s="121"/>
      <c r="I10" s="121"/>
      <c r="J10" s="121"/>
      <c r="K10" s="121"/>
      <c r="L10" s="121"/>
      <c r="M10" s="121"/>
      <c r="N10" s="121"/>
      <c r="O10" s="121"/>
      <c r="P10" s="121"/>
      <c r="Q10" s="360"/>
      <c r="R10" s="969" t="s">
        <v>25</v>
      </c>
      <c r="S10" s="969"/>
      <c r="T10" s="969"/>
      <c r="U10" s="969"/>
      <c r="V10" s="447">
        <f>'Prod Parameters'!$F$8</f>
        <v>23</v>
      </c>
      <c r="W10" s="363"/>
      <c r="X10" s="363"/>
      <c r="Y10" s="363"/>
      <c r="Z10" s="363"/>
      <c r="AA10"/>
      <c r="AB10"/>
      <c r="AC10"/>
      <c r="AD10"/>
      <c r="AE10"/>
      <c r="AF10"/>
    </row>
    <row r="11" spans="1:32" ht="12.75" customHeight="1">
      <c r="A11" s="121"/>
      <c r="B11" s="121"/>
      <c r="C11" s="121"/>
      <c r="D11" s="121"/>
      <c r="E11" s="121"/>
      <c r="F11" s="121"/>
      <c r="G11" s="121"/>
      <c r="H11" s="121"/>
      <c r="I11" s="121"/>
      <c r="J11" s="121"/>
      <c r="K11" s="121"/>
      <c r="L11" s="121"/>
      <c r="M11" s="121"/>
      <c r="N11" s="121"/>
      <c r="O11" s="121"/>
      <c r="P11" s="121"/>
      <c r="Q11" s="360"/>
      <c r="R11" s="969" t="s">
        <v>325</v>
      </c>
      <c r="S11" s="969"/>
      <c r="T11" s="969"/>
      <c r="U11" s="969"/>
      <c r="V11" s="447">
        <f>'Prod Parameters'!$F$9</f>
        <v>23</v>
      </c>
      <c r="W11" s="363"/>
      <c r="X11" s="363"/>
      <c r="Y11" s="363"/>
      <c r="Z11" s="363"/>
      <c r="AA11"/>
      <c r="AB11"/>
      <c r="AC11"/>
      <c r="AD11"/>
      <c r="AE11"/>
      <c r="AF11"/>
    </row>
    <row r="12" spans="1:32" ht="12.75" customHeight="1">
      <c r="A12" s="121"/>
      <c r="B12" s="121"/>
      <c r="C12" s="121"/>
      <c r="D12" s="121"/>
      <c r="E12" s="121"/>
      <c r="F12" s="121"/>
      <c r="G12" s="121"/>
      <c r="H12" s="121"/>
      <c r="I12" s="121"/>
      <c r="J12" s="121"/>
      <c r="K12" s="121"/>
      <c r="L12" s="121"/>
      <c r="M12" s="121"/>
      <c r="N12" s="121"/>
      <c r="O12" s="121"/>
      <c r="P12" s="121"/>
      <c r="Q12" s="360"/>
      <c r="R12" s="1021" t="s">
        <v>26</v>
      </c>
      <c r="S12" s="1022"/>
      <c r="T12" s="1022"/>
      <c r="U12" s="1023"/>
      <c r="V12" s="447">
        <f>'Prod Parameters'!$F$10</f>
        <v>6</v>
      </c>
      <c r="W12" s="363"/>
      <c r="X12" s="363"/>
      <c r="Y12" s="363"/>
      <c r="Z12" s="363"/>
      <c r="AA12"/>
      <c r="AB12"/>
      <c r="AC12"/>
      <c r="AD12"/>
      <c r="AE12"/>
      <c r="AF12"/>
    </row>
    <row r="13" spans="1:32" ht="12.75" customHeight="1">
      <c r="A13" s="121"/>
      <c r="B13" s="121"/>
      <c r="C13" s="121"/>
      <c r="D13" s="121"/>
      <c r="E13" s="121"/>
      <c r="F13" s="121"/>
      <c r="G13" s="121"/>
      <c r="H13" s="121"/>
      <c r="I13" s="121"/>
      <c r="J13" s="121"/>
      <c r="K13" s="121"/>
      <c r="L13" s="121"/>
      <c r="M13" s="121"/>
      <c r="N13" s="121"/>
      <c r="O13" s="121"/>
      <c r="P13" s="121"/>
      <c r="Q13" s="360"/>
      <c r="R13" s="969" t="s">
        <v>27</v>
      </c>
      <c r="S13" s="969"/>
      <c r="T13" s="969"/>
      <c r="U13" s="969"/>
      <c r="V13" s="447">
        <f>'Prod Parameters'!$F$11</f>
        <v>52</v>
      </c>
      <c r="W13" s="363"/>
      <c r="X13" s="363"/>
      <c r="Y13" s="363"/>
      <c r="Z13" s="363"/>
      <c r="AA13"/>
      <c r="AB13"/>
      <c r="AC13"/>
      <c r="AD13"/>
      <c r="AE13"/>
      <c r="AF13"/>
    </row>
    <row r="14" spans="1:32" ht="12.75" customHeight="1">
      <c r="A14" s="121"/>
      <c r="B14" s="121"/>
      <c r="C14" s="121"/>
      <c r="D14" s="121"/>
      <c r="E14" s="121"/>
      <c r="F14" s="121"/>
      <c r="G14" s="121"/>
      <c r="H14" s="121"/>
      <c r="I14" s="121"/>
      <c r="J14" s="121"/>
      <c r="K14" s="121"/>
      <c r="L14" s="121"/>
      <c r="M14" s="121"/>
      <c r="N14" s="121"/>
      <c r="O14" s="121"/>
      <c r="P14" s="121"/>
      <c r="Q14" s="360"/>
      <c r="R14" s="969" t="s">
        <v>28</v>
      </c>
      <c r="S14" s="969"/>
      <c r="T14" s="969"/>
      <c r="U14" s="969"/>
      <c r="V14" s="447">
        <f>'Prod Parameters'!$F$12</f>
        <v>260</v>
      </c>
      <c r="W14" s="363"/>
      <c r="X14" s="363"/>
      <c r="Y14" s="363"/>
      <c r="Z14" s="363"/>
      <c r="AA14"/>
      <c r="AB14"/>
      <c r="AC14"/>
      <c r="AD14"/>
      <c r="AE14"/>
      <c r="AF14"/>
    </row>
    <row r="15" spans="1:32" ht="12.75" customHeight="1">
      <c r="A15" s="121"/>
      <c r="B15" s="121"/>
      <c r="C15" s="121"/>
      <c r="D15" s="121"/>
      <c r="E15" s="121"/>
      <c r="F15" s="121"/>
      <c r="G15" s="121"/>
      <c r="H15" s="121"/>
      <c r="I15" s="121"/>
      <c r="J15" s="121"/>
      <c r="K15" s="121"/>
      <c r="L15" s="121"/>
      <c r="M15" s="121"/>
      <c r="N15" s="121"/>
      <c r="O15" s="121"/>
      <c r="P15" s="121"/>
      <c r="Q15" s="360"/>
      <c r="R15" s="969" t="s">
        <v>29</v>
      </c>
      <c r="S15" s="969"/>
      <c r="T15" s="969"/>
      <c r="U15" s="969"/>
      <c r="V15" s="447">
        <f>'Prod Parameters'!$F$13</f>
        <v>30</v>
      </c>
      <c r="W15" s="363"/>
      <c r="X15" s="363"/>
      <c r="Y15" s="363"/>
      <c r="Z15" s="363"/>
      <c r="AA15"/>
      <c r="AB15"/>
      <c r="AC15"/>
      <c r="AD15"/>
      <c r="AE15"/>
      <c r="AF15"/>
    </row>
    <row r="16" spans="1:32" ht="12.75" customHeight="1">
      <c r="A16" s="121"/>
      <c r="B16" s="121"/>
      <c r="C16" s="121"/>
      <c r="D16" s="121"/>
      <c r="E16" s="121"/>
      <c r="F16" s="121"/>
      <c r="G16" s="121"/>
      <c r="H16" s="121"/>
      <c r="I16" s="121"/>
      <c r="J16" s="121"/>
      <c r="K16" s="121"/>
      <c r="L16" s="121"/>
      <c r="M16" s="121"/>
      <c r="N16" s="121"/>
      <c r="O16" s="121"/>
      <c r="P16" s="121"/>
      <c r="Q16" s="360"/>
      <c r="R16" s="968" t="s">
        <v>30</v>
      </c>
      <c r="S16" s="968"/>
      <c r="T16" s="968"/>
      <c r="U16" s="968"/>
      <c r="V16" s="447">
        <f>'Prod Parameters'!$F$14</f>
        <v>230</v>
      </c>
      <c r="W16" s="363"/>
      <c r="X16" s="363"/>
      <c r="Y16" s="363"/>
      <c r="Z16" s="363"/>
      <c r="AA16"/>
      <c r="AB16"/>
      <c r="AC16"/>
      <c r="AD16"/>
      <c r="AE16"/>
      <c r="AF16"/>
    </row>
    <row r="17" spans="1:32" ht="12.75" customHeight="1">
      <c r="A17" s="121"/>
      <c r="B17" s="121"/>
      <c r="C17" s="121"/>
      <c r="D17" s="121"/>
      <c r="E17" s="121"/>
      <c r="F17" s="121"/>
      <c r="G17" s="121"/>
      <c r="H17" s="121"/>
      <c r="I17" s="121"/>
      <c r="J17" s="121"/>
      <c r="K17" s="121"/>
      <c r="L17" s="121"/>
      <c r="M17" s="121"/>
      <c r="N17" s="121"/>
      <c r="O17" s="121"/>
      <c r="P17" s="121"/>
      <c r="Q17" s="360"/>
      <c r="R17" s="363"/>
      <c r="S17" s="363"/>
      <c r="T17" s="363"/>
      <c r="U17" s="363"/>
      <c r="V17" s="363"/>
      <c r="W17" s="363"/>
      <c r="X17" s="363"/>
      <c r="Y17" s="363"/>
      <c r="Z17" s="363"/>
      <c r="AA17"/>
      <c r="AB17"/>
      <c r="AC17"/>
      <c r="AD17"/>
      <c r="AE17"/>
      <c r="AF17"/>
    </row>
    <row r="18" spans="1:32" ht="12.75" customHeight="1">
      <c r="A18" s="121"/>
      <c r="B18" s="121"/>
      <c r="C18" s="121"/>
      <c r="D18" s="121"/>
      <c r="E18" s="121"/>
      <c r="F18" s="121"/>
      <c r="G18" s="121"/>
      <c r="H18" s="121"/>
      <c r="I18" s="121"/>
      <c r="J18" s="121"/>
      <c r="K18" s="121"/>
      <c r="L18" s="121"/>
      <c r="M18" s="121"/>
      <c r="N18" s="121"/>
      <c r="O18" s="121"/>
      <c r="P18" s="121"/>
      <c r="Q18" s="360">
        <v>1.2</v>
      </c>
      <c r="R18" s="364" t="s">
        <v>19</v>
      </c>
      <c r="S18" s="363"/>
      <c r="T18" s="363"/>
      <c r="U18" s="363"/>
      <c r="V18" s="363"/>
      <c r="W18" s="363"/>
      <c r="X18" s="363"/>
      <c r="Y18" s="363"/>
      <c r="Z18" s="363"/>
      <c r="AA18"/>
      <c r="AB18"/>
      <c r="AC18"/>
      <c r="AD18"/>
      <c r="AE18"/>
      <c r="AF18"/>
    </row>
    <row r="19" spans="1:32" ht="12.75" customHeight="1">
      <c r="A19" s="121"/>
      <c r="B19" s="121"/>
      <c r="C19" s="121"/>
      <c r="D19" s="121"/>
      <c r="E19" s="121"/>
      <c r="F19" s="121"/>
      <c r="G19" s="121"/>
      <c r="H19" s="121"/>
      <c r="I19" s="121"/>
      <c r="J19" s="121"/>
      <c r="K19" s="121"/>
      <c r="L19" s="121"/>
      <c r="M19" s="121"/>
      <c r="N19" s="121"/>
      <c r="O19" s="121"/>
      <c r="P19" s="121"/>
      <c r="Q19" s="360"/>
      <c r="R19" s="969" t="s">
        <v>314</v>
      </c>
      <c r="S19" s="969"/>
      <c r="T19" s="969"/>
      <c r="U19" s="969"/>
      <c r="V19" s="447">
        <f>'Prod Parameters'!$F$17</f>
        <v>160</v>
      </c>
      <c r="W19" s="363"/>
      <c r="X19" s="363"/>
      <c r="Y19" s="363"/>
      <c r="Z19" s="363"/>
      <c r="AA19"/>
      <c r="AB19"/>
      <c r="AC19"/>
      <c r="AD19"/>
      <c r="AE19"/>
      <c r="AF19"/>
    </row>
    <row r="20" spans="1:32" ht="12.75" customHeight="1">
      <c r="A20" s="121"/>
      <c r="B20" s="121"/>
      <c r="C20" s="121"/>
      <c r="D20" s="121"/>
      <c r="E20" s="121"/>
      <c r="F20" s="121"/>
      <c r="G20" s="121"/>
      <c r="H20" s="121"/>
      <c r="I20" s="121"/>
      <c r="J20" s="121"/>
      <c r="K20" s="121"/>
      <c r="L20" s="121"/>
      <c r="M20" s="121"/>
      <c r="N20" s="121"/>
      <c r="O20" s="121"/>
      <c r="P20" s="121"/>
      <c r="Q20" s="360"/>
      <c r="R20" s="969" t="s">
        <v>31</v>
      </c>
      <c r="S20" s="969"/>
      <c r="T20" s="969"/>
      <c r="U20" s="969"/>
      <c r="V20" s="447">
        <f>'Prod Parameters'!$F$18</f>
        <v>1.2</v>
      </c>
      <c r="W20" s="363"/>
      <c r="X20" s="363"/>
      <c r="Y20" s="363"/>
      <c r="Z20" s="363"/>
      <c r="AA20"/>
      <c r="AB20"/>
      <c r="AC20"/>
      <c r="AD20"/>
      <c r="AE20"/>
      <c r="AF20"/>
    </row>
    <row r="21" spans="1:32" ht="12.75" customHeight="1">
      <c r="A21" s="121"/>
      <c r="B21" s="121"/>
      <c r="C21" s="121"/>
      <c r="D21" s="121"/>
      <c r="E21" s="121"/>
      <c r="F21" s="121"/>
      <c r="G21" s="121"/>
      <c r="H21" s="121"/>
      <c r="I21" s="121"/>
      <c r="J21" s="121"/>
      <c r="K21" s="121"/>
      <c r="L21" s="121"/>
      <c r="M21" s="121"/>
      <c r="N21" s="121"/>
      <c r="O21" s="121"/>
      <c r="P21" s="121"/>
      <c r="Q21" s="360"/>
      <c r="R21" s="969" t="s">
        <v>199</v>
      </c>
      <c r="S21" s="969"/>
      <c r="T21" s="969"/>
      <c r="U21" s="969"/>
      <c r="V21" s="447">
        <f>'Prod Parameters'!$F$19</f>
        <v>4</v>
      </c>
      <c r="W21" s="363"/>
      <c r="X21" s="363"/>
      <c r="Y21" s="363"/>
      <c r="Z21" s="363"/>
      <c r="AA21"/>
      <c r="AB21"/>
      <c r="AC21"/>
      <c r="AD21"/>
      <c r="AE21"/>
      <c r="AF21"/>
    </row>
    <row r="22" spans="1:32" ht="12.75" customHeight="1">
      <c r="A22" s="121"/>
      <c r="B22" s="121"/>
      <c r="C22" s="121"/>
      <c r="D22" s="121"/>
      <c r="E22" s="121"/>
      <c r="F22" s="121"/>
      <c r="G22" s="121"/>
      <c r="H22" s="121"/>
      <c r="I22" s="121"/>
      <c r="J22" s="121"/>
      <c r="K22" s="121"/>
      <c r="L22" s="121"/>
      <c r="M22" s="121"/>
      <c r="N22" s="121"/>
      <c r="O22" s="121"/>
      <c r="P22" s="121"/>
      <c r="Q22" s="360"/>
      <c r="R22" s="969" t="s">
        <v>20</v>
      </c>
      <c r="S22" s="969"/>
      <c r="T22" s="969"/>
      <c r="U22" s="969"/>
      <c r="V22" s="447">
        <f>'Prod Parameters'!$F$20</f>
        <v>40</v>
      </c>
      <c r="W22" s="363"/>
      <c r="X22" s="363"/>
      <c r="Y22" s="363"/>
      <c r="Z22" s="363"/>
      <c r="AA22"/>
      <c r="AB22"/>
      <c r="AC22"/>
      <c r="AD22"/>
      <c r="AE22"/>
      <c r="AF22"/>
    </row>
    <row r="23" spans="1:32" ht="12.75" customHeight="1">
      <c r="A23" s="121"/>
      <c r="B23" s="121"/>
      <c r="C23" s="121"/>
      <c r="D23" s="121"/>
      <c r="E23" s="121"/>
      <c r="F23" s="121"/>
      <c r="G23" s="121"/>
      <c r="H23" s="121"/>
      <c r="I23" s="121"/>
      <c r="J23" s="121"/>
      <c r="K23" s="121"/>
      <c r="L23" s="121"/>
      <c r="M23" s="121"/>
      <c r="N23" s="121"/>
      <c r="O23" s="121"/>
      <c r="P23" s="121"/>
      <c r="Q23" s="360"/>
      <c r="R23" s="969" t="s">
        <v>310</v>
      </c>
      <c r="S23" s="969"/>
      <c r="T23" s="969"/>
      <c r="U23" s="969"/>
      <c r="V23" s="447">
        <f>'Prod Parameters'!$F$21</f>
        <v>160</v>
      </c>
      <c r="W23" s="363"/>
      <c r="X23" s="363"/>
      <c r="Y23" s="363"/>
      <c r="Z23" s="363"/>
      <c r="AA23"/>
      <c r="AB23"/>
      <c r="AC23"/>
      <c r="AD23"/>
      <c r="AE23"/>
      <c r="AF23"/>
    </row>
    <row r="24" spans="1:32" ht="12.75" customHeight="1">
      <c r="A24" s="121"/>
      <c r="B24" s="121"/>
      <c r="C24" s="121"/>
      <c r="D24" s="121"/>
      <c r="E24" s="121"/>
      <c r="F24" s="121"/>
      <c r="G24" s="121"/>
      <c r="H24" s="121"/>
      <c r="I24" s="121"/>
      <c r="J24" s="121"/>
      <c r="K24" s="121"/>
      <c r="L24" s="121"/>
      <c r="M24" s="121"/>
      <c r="N24" s="121"/>
      <c r="O24" s="121"/>
      <c r="P24" s="121"/>
      <c r="Q24" s="360"/>
      <c r="R24" s="969" t="s">
        <v>315</v>
      </c>
      <c r="S24" s="969"/>
      <c r="T24" s="969"/>
      <c r="U24" s="969"/>
      <c r="V24" s="549">
        <f>'Prod Parameters'!$F$22</f>
        <v>6400</v>
      </c>
      <c r="W24" s="363"/>
      <c r="X24" s="363"/>
      <c r="Y24" s="363"/>
      <c r="Z24" s="363"/>
      <c r="AA24"/>
      <c r="AB24"/>
      <c r="AC24"/>
      <c r="AD24"/>
      <c r="AE24"/>
      <c r="AF24"/>
    </row>
    <row r="25" spans="1:32" ht="12.75" customHeight="1">
      <c r="A25" s="121"/>
      <c r="B25" s="121"/>
      <c r="C25" s="121"/>
      <c r="D25" s="121"/>
      <c r="E25" s="121"/>
      <c r="F25" s="121"/>
      <c r="G25" s="121"/>
      <c r="H25" s="121"/>
      <c r="I25" s="121"/>
      <c r="J25" s="121"/>
      <c r="K25" s="121"/>
      <c r="L25" s="121"/>
      <c r="M25" s="121"/>
      <c r="N25" s="121"/>
      <c r="O25" s="121"/>
      <c r="P25" s="121"/>
      <c r="Q25" s="360"/>
      <c r="R25" s="969" t="s">
        <v>187</v>
      </c>
      <c r="S25" s="969"/>
      <c r="T25" s="969"/>
      <c r="U25" s="969"/>
      <c r="V25" s="549">
        <f>'Prod Parameters'!$F$23</f>
        <v>7680</v>
      </c>
      <c r="W25" s="363"/>
      <c r="X25" s="363"/>
      <c r="Y25" s="363"/>
      <c r="Z25" s="363"/>
      <c r="AA25"/>
      <c r="AB25"/>
      <c r="AC25"/>
      <c r="AD25"/>
      <c r="AE25"/>
      <c r="AF25"/>
    </row>
    <row r="26" spans="1:32" ht="12.75" customHeight="1">
      <c r="A26" s="121"/>
      <c r="B26" s="121"/>
      <c r="C26" s="121"/>
      <c r="D26" s="121"/>
      <c r="E26" s="121"/>
      <c r="F26" s="121"/>
      <c r="G26" s="121"/>
      <c r="H26" s="121"/>
      <c r="I26" s="121"/>
      <c r="J26" s="121"/>
      <c r="K26" s="121"/>
      <c r="L26" s="121"/>
      <c r="M26" s="121"/>
      <c r="N26" s="121"/>
      <c r="O26" s="121"/>
      <c r="P26" s="121"/>
      <c r="Q26" s="360"/>
      <c r="R26" s="969" t="s">
        <v>200</v>
      </c>
      <c r="S26" s="969"/>
      <c r="T26" s="969"/>
      <c r="U26" s="969"/>
      <c r="V26" s="549">
        <f>'Prod Parameters'!$F$24</f>
        <v>176640</v>
      </c>
      <c r="W26" s="363"/>
      <c r="X26" s="363"/>
      <c r="Y26" s="363"/>
      <c r="Z26" s="363"/>
      <c r="AA26"/>
      <c r="AB26"/>
      <c r="AC26"/>
      <c r="AD26"/>
      <c r="AE26"/>
      <c r="AF26"/>
    </row>
    <row r="27" spans="1:32" ht="12.75" customHeight="1">
      <c r="A27" s="121"/>
      <c r="B27" s="121"/>
      <c r="C27" s="121"/>
      <c r="D27" s="121"/>
      <c r="E27" s="121"/>
      <c r="F27" s="121"/>
      <c r="G27" s="121"/>
      <c r="H27" s="121"/>
      <c r="I27" s="121"/>
      <c r="J27" s="121"/>
      <c r="K27" s="121"/>
      <c r="L27" s="121"/>
      <c r="M27" s="121"/>
      <c r="N27" s="121"/>
      <c r="O27" s="121"/>
      <c r="P27" s="121"/>
      <c r="Q27" s="360"/>
      <c r="R27" s="363"/>
      <c r="S27" s="363"/>
      <c r="T27" s="363"/>
      <c r="U27" s="363"/>
      <c r="V27" s="363"/>
      <c r="W27" s="363"/>
      <c r="X27" s="363"/>
      <c r="Y27" s="363"/>
      <c r="Z27" s="363"/>
      <c r="AA27"/>
      <c r="AB27"/>
      <c r="AC27"/>
      <c r="AD27"/>
      <c r="AE27"/>
      <c r="AF27"/>
    </row>
    <row r="28" spans="1:32" ht="12.75" customHeight="1">
      <c r="A28" s="121"/>
      <c r="B28" s="121"/>
      <c r="C28" s="121"/>
      <c r="D28" s="121"/>
      <c r="E28" s="121"/>
      <c r="F28" s="121"/>
      <c r="G28" s="121"/>
      <c r="H28" s="121"/>
      <c r="I28" s="121"/>
      <c r="J28" s="121"/>
      <c r="K28" s="121"/>
      <c r="L28" s="121"/>
      <c r="M28" s="121"/>
      <c r="N28" s="121"/>
      <c r="O28" s="121"/>
      <c r="P28" s="121"/>
      <c r="Q28" s="385" t="s">
        <v>33</v>
      </c>
      <c r="R28" s="1008" t="s">
        <v>821</v>
      </c>
      <c r="S28" s="1008"/>
      <c r="T28" s="1008"/>
      <c r="U28" s="1008"/>
      <c r="V28" s="1008"/>
      <c r="W28" s="1008"/>
      <c r="X28" s="1008"/>
      <c r="Y28" s="1008"/>
      <c r="Z28" s="536"/>
      <c r="AA28"/>
      <c r="AB28"/>
      <c r="AC28"/>
      <c r="AD28"/>
      <c r="AE28"/>
      <c r="AF28"/>
    </row>
    <row r="29" spans="1:32" ht="12.75" customHeight="1">
      <c r="A29" s="121"/>
      <c r="B29" s="121"/>
      <c r="C29" s="121"/>
      <c r="D29" s="121"/>
      <c r="E29" s="121"/>
      <c r="F29" s="121"/>
      <c r="G29" s="121"/>
      <c r="H29" s="121"/>
      <c r="I29" s="121"/>
      <c r="J29" s="121"/>
      <c r="K29" s="121"/>
      <c r="L29" s="121"/>
      <c r="M29" s="121"/>
      <c r="N29" s="121"/>
      <c r="O29" s="121"/>
      <c r="P29" s="121"/>
      <c r="Q29" s="546"/>
      <c r="R29" s="363"/>
      <c r="S29" s="363"/>
      <c r="T29" s="363"/>
      <c r="U29" s="363"/>
      <c r="V29" s="363"/>
      <c r="W29" s="363"/>
      <c r="X29" s="363"/>
      <c r="Y29" s="363"/>
      <c r="Z29" s="363"/>
      <c r="AA29"/>
      <c r="AB29"/>
      <c r="AC29"/>
      <c r="AD29"/>
      <c r="AE29"/>
      <c r="AF29"/>
    </row>
    <row r="30" spans="1:32" ht="12.75" customHeight="1">
      <c r="A30" s="121"/>
      <c r="B30" s="121"/>
      <c r="C30" s="121"/>
      <c r="D30" s="121"/>
      <c r="E30" s="121"/>
      <c r="F30" s="121"/>
      <c r="G30" s="121"/>
      <c r="H30" s="121"/>
      <c r="I30" s="121"/>
      <c r="J30" s="121"/>
      <c r="K30" s="121"/>
      <c r="L30" s="121"/>
      <c r="M30" s="121"/>
      <c r="N30" s="121"/>
      <c r="O30" s="121"/>
      <c r="P30" s="121"/>
      <c r="Q30" s="546">
        <v>2.1</v>
      </c>
      <c r="R30" s="363" t="s">
        <v>831</v>
      </c>
      <c r="S30" s="363"/>
      <c r="T30" s="363"/>
      <c r="U30" s="550"/>
      <c r="V30" s="550"/>
      <c r="W30" s="550"/>
      <c r="X30" s="550"/>
      <c r="Y30" s="551"/>
      <c r="Z30" s="551"/>
      <c r="AA30"/>
      <c r="AB30"/>
      <c r="AC30"/>
      <c r="AD30"/>
      <c r="AE30"/>
      <c r="AF30"/>
    </row>
    <row r="31" spans="1:32" ht="12.75" customHeight="1">
      <c r="A31" s="121"/>
      <c r="B31" s="121"/>
      <c r="C31" s="121"/>
      <c r="D31" s="121"/>
      <c r="E31" s="121"/>
      <c r="F31" s="121"/>
      <c r="G31" s="121"/>
      <c r="H31" s="121"/>
      <c r="I31" s="121"/>
      <c r="J31" s="121"/>
      <c r="K31" s="121"/>
      <c r="L31" s="121"/>
      <c r="M31" s="121"/>
      <c r="N31" s="121"/>
      <c r="O31" s="121"/>
      <c r="P31" s="121"/>
      <c r="Q31" s="546"/>
      <c r="R31" s="998" t="s">
        <v>77</v>
      </c>
      <c r="S31" s="999"/>
      <c r="T31" s="1000"/>
      <c r="U31" s="1019" t="s">
        <v>824</v>
      </c>
      <c r="V31" s="1019" t="s">
        <v>828</v>
      </c>
      <c r="W31" s="1019" t="s">
        <v>826</v>
      </c>
      <c r="X31" s="1019" t="s">
        <v>23</v>
      </c>
      <c r="Y31" s="552"/>
      <c r="Z31" s="552"/>
      <c r="AA31"/>
      <c r="AB31"/>
      <c r="AC31"/>
      <c r="AD31"/>
      <c r="AE31"/>
      <c r="AF31"/>
    </row>
    <row r="32" spans="1:32" ht="12.75" customHeight="1">
      <c r="A32" s="121"/>
      <c r="B32" s="121"/>
      <c r="C32" s="121"/>
      <c r="D32" s="121"/>
      <c r="E32" s="121"/>
      <c r="F32" s="121"/>
      <c r="G32" s="121"/>
      <c r="H32" s="121"/>
      <c r="I32" s="121"/>
      <c r="J32" s="121"/>
      <c r="K32" s="121"/>
      <c r="L32" s="121"/>
      <c r="M32" s="121"/>
      <c r="N32" s="121"/>
      <c r="O32" s="121"/>
      <c r="P32" s="121"/>
      <c r="Q32" s="546"/>
      <c r="R32" s="1001"/>
      <c r="S32" s="1002"/>
      <c r="T32" s="1003"/>
      <c r="U32" s="1019"/>
      <c r="V32" s="1019"/>
      <c r="W32" s="1019"/>
      <c r="X32" s="1019"/>
      <c r="Y32" s="364"/>
      <c r="Z32" s="364"/>
      <c r="AA32"/>
      <c r="AB32"/>
      <c r="AC32"/>
      <c r="AD32"/>
      <c r="AE32"/>
      <c r="AF32"/>
    </row>
    <row r="33" spans="1:32" ht="12.75" customHeight="1">
      <c r="A33" s="121"/>
      <c r="B33" s="121"/>
      <c r="C33" s="121"/>
      <c r="D33" s="121"/>
      <c r="E33" s="121"/>
      <c r="F33" s="121"/>
      <c r="G33" s="121"/>
      <c r="H33" s="121"/>
      <c r="I33" s="121"/>
      <c r="J33" s="121"/>
      <c r="K33" s="121"/>
      <c r="L33" s="121"/>
      <c r="M33" s="121"/>
      <c r="N33" s="121"/>
      <c r="O33" s="121"/>
      <c r="P33" s="121"/>
      <c r="Q33" s="546"/>
      <c r="R33" s="1020" t="s">
        <v>500</v>
      </c>
      <c r="S33" s="1020"/>
      <c r="T33" s="1020"/>
      <c r="U33" s="369">
        <v>23.9</v>
      </c>
      <c r="V33" s="369">
        <f>'Lookup Properties'!$C$7</f>
        <v>15.4</v>
      </c>
      <c r="W33" s="369">
        <f>'Lookup Properties'!$D$7</f>
        <v>4.8</v>
      </c>
      <c r="X33" s="553">
        <f>SUM(U33:W33)</f>
        <v>44.099999999999994</v>
      </c>
      <c r="Y33" s="364"/>
      <c r="Z33" s="364"/>
      <c r="AA33"/>
      <c r="AB33"/>
      <c r="AC33"/>
      <c r="AD33"/>
      <c r="AE33"/>
      <c r="AF33"/>
    </row>
    <row r="34" spans="1:32" ht="12.75" customHeight="1">
      <c r="A34" s="121"/>
      <c r="B34" s="121"/>
      <c r="C34" s="121"/>
      <c r="D34" s="121"/>
      <c r="E34" s="121"/>
      <c r="F34" s="121"/>
      <c r="G34" s="121"/>
      <c r="H34" s="121"/>
      <c r="I34" s="121"/>
      <c r="J34" s="121"/>
      <c r="K34" s="121"/>
      <c r="L34" s="121"/>
      <c r="M34" s="121"/>
      <c r="N34" s="121"/>
      <c r="O34" s="121"/>
      <c r="P34" s="121"/>
      <c r="Q34" s="546"/>
      <c r="R34" s="1017" t="s">
        <v>22</v>
      </c>
      <c r="S34" s="1017"/>
      <c r="T34" s="1017"/>
      <c r="U34" s="369">
        <f>'Lookup Properties'!$B$5</f>
        <v>22.35</v>
      </c>
      <c r="V34" s="369">
        <f>'Lookup Properties'!$C$5</f>
        <v>17.399999999999999</v>
      </c>
      <c r="W34" s="369">
        <f>'Lookup Properties'!$D$5</f>
        <v>5</v>
      </c>
      <c r="X34" s="553">
        <f>SUM(U34:W34)</f>
        <v>44.75</v>
      </c>
      <c r="Y34" s="364"/>
      <c r="Z34" s="364"/>
      <c r="AA34"/>
      <c r="AB34"/>
      <c r="AC34"/>
      <c r="AD34"/>
      <c r="AE34"/>
      <c r="AF34"/>
    </row>
    <row r="35" spans="1:32" ht="12.75" customHeight="1">
      <c r="A35" s="121"/>
      <c r="B35" s="121"/>
      <c r="C35" s="121"/>
      <c r="D35" s="121"/>
      <c r="E35" s="121"/>
      <c r="F35" s="121"/>
      <c r="G35" s="121"/>
      <c r="H35" s="121"/>
      <c r="I35" s="121"/>
      <c r="J35" s="121"/>
      <c r="K35" s="121"/>
      <c r="L35" s="121"/>
      <c r="M35" s="121"/>
      <c r="N35" s="121"/>
      <c r="O35" s="121"/>
      <c r="P35" s="121"/>
      <c r="Q35" s="546"/>
      <c r="R35" s="1018" t="s">
        <v>579</v>
      </c>
      <c r="S35" s="1018"/>
      <c r="T35" s="1018"/>
      <c r="U35" s="369">
        <f>'Lookup Properties'!$B$6</f>
        <v>22.15</v>
      </c>
      <c r="V35" s="369">
        <f>'Lookup Properties'!$C$6</f>
        <v>18.149999999999999</v>
      </c>
      <c r="W35" s="369">
        <f>'Lookup Properties'!$D$6</f>
        <v>5</v>
      </c>
      <c r="X35" s="553">
        <f>SUM(U35:W35)</f>
        <v>45.3</v>
      </c>
      <c r="Y35" s="364"/>
      <c r="Z35" s="364"/>
      <c r="AA35"/>
      <c r="AB35"/>
      <c r="AC35"/>
      <c r="AD35"/>
      <c r="AE35"/>
      <c r="AF35"/>
    </row>
    <row r="36" spans="1:32" ht="12.75" customHeight="1">
      <c r="A36" s="121"/>
      <c r="B36" s="121"/>
      <c r="C36" s="121"/>
      <c r="D36" s="121"/>
      <c r="E36" s="121"/>
      <c r="F36" s="121"/>
      <c r="G36" s="121"/>
      <c r="H36" s="121"/>
      <c r="I36" s="121"/>
      <c r="J36" s="121"/>
      <c r="K36" s="121"/>
      <c r="L36" s="121"/>
      <c r="M36" s="121"/>
      <c r="N36" s="121"/>
      <c r="O36" s="121"/>
      <c r="P36" s="121"/>
      <c r="Q36" s="546"/>
      <c r="R36" s="1016" t="s">
        <v>21</v>
      </c>
      <c r="S36" s="1016"/>
      <c r="T36" s="1016"/>
      <c r="U36" s="369">
        <f>'Lookup Properties'!$B$4</f>
        <v>21.25</v>
      </c>
      <c r="V36" s="369">
        <f>'Lookup Properties'!$C$4</f>
        <v>17.399999999999999</v>
      </c>
      <c r="W36" s="369">
        <f>'Lookup Properties'!$D$4</f>
        <v>5</v>
      </c>
      <c r="X36" s="553">
        <f>SUM(U36:W36)</f>
        <v>43.65</v>
      </c>
      <c r="Y36" s="364"/>
      <c r="Z36" s="364"/>
      <c r="AA36"/>
      <c r="AB36"/>
      <c r="AC36"/>
      <c r="AD36"/>
      <c r="AE36"/>
      <c r="AF36"/>
    </row>
    <row r="37" spans="1:32" ht="12.75" customHeight="1">
      <c r="A37" s="121"/>
      <c r="B37" s="121"/>
      <c r="C37" s="121"/>
      <c r="D37" s="121"/>
      <c r="E37" s="121"/>
      <c r="F37" s="121"/>
      <c r="G37" s="121"/>
      <c r="H37" s="121"/>
      <c r="I37" s="121"/>
      <c r="J37" s="121"/>
      <c r="K37" s="121"/>
      <c r="L37" s="121"/>
      <c r="M37" s="121"/>
      <c r="N37" s="121"/>
      <c r="O37" s="121"/>
      <c r="P37" s="121"/>
      <c r="Q37" s="364"/>
      <c r="R37" s="364"/>
      <c r="S37" s="364"/>
      <c r="T37" s="364"/>
      <c r="U37" s="555"/>
      <c r="V37" s="555"/>
      <c r="W37" s="555"/>
      <c r="X37" s="555"/>
      <c r="Y37" s="555"/>
      <c r="Z37" s="364"/>
      <c r="AA37"/>
      <c r="AB37"/>
      <c r="AC37"/>
      <c r="AD37"/>
      <c r="AE37"/>
      <c r="AF37"/>
    </row>
    <row r="38" spans="1:32" ht="12.75" customHeight="1">
      <c r="A38" s="121"/>
      <c r="B38" s="121"/>
      <c r="C38" s="121"/>
      <c r="D38" s="121"/>
      <c r="E38" s="121"/>
      <c r="F38" s="121"/>
      <c r="G38" s="121"/>
      <c r="H38" s="121"/>
      <c r="I38" s="121"/>
      <c r="J38" s="121"/>
      <c r="K38" s="121"/>
      <c r="L38" s="121"/>
      <c r="M38" s="121"/>
      <c r="N38" s="121"/>
      <c r="O38" s="121"/>
      <c r="P38" s="121"/>
      <c r="Q38" s="360">
        <v>2.2000000000000002</v>
      </c>
      <c r="R38" s="363" t="s">
        <v>832</v>
      </c>
      <c r="S38" s="363"/>
      <c r="T38" s="363"/>
      <c r="U38" s="363"/>
      <c r="V38" s="363"/>
      <c r="W38" s="363"/>
      <c r="X38" s="363"/>
      <c r="Y38" s="363"/>
      <c r="Z38" s="364"/>
      <c r="AA38"/>
      <c r="AB38"/>
      <c r="AC38"/>
      <c r="AD38"/>
      <c r="AE38"/>
      <c r="AF38"/>
    </row>
    <row r="39" spans="1:32" ht="12.75" customHeight="1">
      <c r="A39" s="121"/>
      <c r="B39" s="121"/>
      <c r="C39" s="121"/>
      <c r="D39" s="121"/>
      <c r="E39" s="121"/>
      <c r="F39" s="121"/>
      <c r="G39" s="121"/>
      <c r="H39" s="121"/>
      <c r="I39" s="121"/>
      <c r="J39" s="121"/>
      <c r="K39" s="121"/>
      <c r="L39" s="121"/>
      <c r="M39" s="121"/>
      <c r="N39" s="121"/>
      <c r="O39" s="121"/>
      <c r="P39" s="121"/>
      <c r="Q39" s="360"/>
      <c r="R39" s="998" t="s">
        <v>77</v>
      </c>
      <c r="S39" s="999"/>
      <c r="T39" s="1000"/>
      <c r="U39" s="1019" t="s">
        <v>824</v>
      </c>
      <c r="V39" s="1019" t="s">
        <v>828</v>
      </c>
      <c r="W39" s="1019" t="s">
        <v>826</v>
      </c>
      <c r="X39" s="1019" t="s">
        <v>23</v>
      </c>
      <c r="Y39" s="364"/>
      <c r="Z39" s="364"/>
      <c r="AA39"/>
      <c r="AB39"/>
      <c r="AC39"/>
      <c r="AD39"/>
      <c r="AE39"/>
      <c r="AF39"/>
    </row>
    <row r="40" spans="1:32" ht="12.75" customHeight="1">
      <c r="A40" s="121"/>
      <c r="B40" s="121"/>
      <c r="C40" s="121"/>
      <c r="D40" s="121"/>
      <c r="E40" s="121"/>
      <c r="F40" s="121"/>
      <c r="G40" s="121"/>
      <c r="H40" s="121"/>
      <c r="I40" s="121"/>
      <c r="J40" s="121"/>
      <c r="K40" s="121"/>
      <c r="L40" s="121"/>
      <c r="M40" s="121"/>
      <c r="N40" s="121"/>
      <c r="O40" s="121"/>
      <c r="P40" s="121"/>
      <c r="Q40" s="360"/>
      <c r="R40" s="1001"/>
      <c r="S40" s="1002"/>
      <c r="T40" s="1003"/>
      <c r="U40" s="1019"/>
      <c r="V40" s="1019"/>
      <c r="W40" s="1019"/>
      <c r="X40" s="1019"/>
      <c r="Y40" s="364"/>
      <c r="Z40" s="364"/>
      <c r="AA40"/>
      <c r="AB40"/>
      <c r="AC40"/>
      <c r="AD40"/>
      <c r="AE40"/>
      <c r="AF40"/>
    </row>
    <row r="41" spans="1:32" ht="12.75" customHeight="1">
      <c r="A41" s="121"/>
      <c r="B41" s="121"/>
      <c r="C41" s="121"/>
      <c r="D41" s="121"/>
      <c r="E41" s="121"/>
      <c r="F41" s="121"/>
      <c r="G41" s="121"/>
      <c r="H41" s="121"/>
      <c r="I41" s="121"/>
      <c r="J41" s="121"/>
      <c r="K41" s="121"/>
      <c r="L41" s="121"/>
      <c r="M41" s="121"/>
      <c r="N41" s="121"/>
      <c r="O41" s="121"/>
      <c r="P41" s="121"/>
      <c r="Q41" s="360"/>
      <c r="R41" s="1020" t="s">
        <v>500</v>
      </c>
      <c r="S41" s="1020"/>
      <c r="T41" s="1020"/>
      <c r="U41" s="556">
        <f>'Lookup Properties'!$B$13</f>
        <v>0.74</v>
      </c>
      <c r="V41" s="556">
        <f>'Lookup Properties'!$C$13</f>
        <v>0.78</v>
      </c>
      <c r="W41" s="556">
        <f>'Lookup Properties'!$D$13</f>
        <v>1.26</v>
      </c>
      <c r="X41" s="553">
        <f>SUM(U41:W41)</f>
        <v>2.7800000000000002</v>
      </c>
      <c r="Y41" s="364"/>
      <c r="Z41" s="364"/>
      <c r="AA41"/>
      <c r="AB41"/>
      <c r="AC41"/>
      <c r="AD41"/>
      <c r="AE41"/>
      <c r="AF41"/>
    </row>
    <row r="42" spans="1:32" ht="12.75" customHeight="1">
      <c r="A42" s="121"/>
      <c r="B42" s="121"/>
      <c r="C42" s="121"/>
      <c r="D42" s="121"/>
      <c r="E42" s="121"/>
      <c r="F42" s="121"/>
      <c r="G42" s="121"/>
      <c r="H42" s="121"/>
      <c r="I42" s="121"/>
      <c r="J42" s="121"/>
      <c r="K42" s="121"/>
      <c r="L42" s="121"/>
      <c r="M42" s="121"/>
      <c r="N42" s="121"/>
      <c r="O42" s="121"/>
      <c r="P42" s="121"/>
      <c r="Q42" s="360"/>
      <c r="R42" s="1017" t="s">
        <v>22</v>
      </c>
      <c r="S42" s="1017"/>
      <c r="T42" s="1017"/>
      <c r="U42" s="557">
        <f>'Lookup Properties'!$B$11</f>
        <v>0.71499999999999997</v>
      </c>
      <c r="V42" s="557">
        <f>'Lookup Properties'!$C$11</f>
        <v>1.03</v>
      </c>
      <c r="W42" s="557">
        <f>'Lookup Properties'!$D$11</f>
        <v>1.29</v>
      </c>
      <c r="X42" s="553">
        <f>SUM(U42:W42)</f>
        <v>3.0350000000000001</v>
      </c>
      <c r="Y42" s="364"/>
      <c r="Z42" s="364"/>
      <c r="AA42"/>
      <c r="AB42"/>
      <c r="AC42"/>
      <c r="AD42"/>
      <c r="AE42"/>
      <c r="AF42"/>
    </row>
    <row r="43" spans="1:32" ht="12.75" customHeight="1">
      <c r="A43" s="121"/>
      <c r="B43" s="121"/>
      <c r="C43" s="121"/>
      <c r="D43" s="121"/>
      <c r="E43" s="121"/>
      <c r="F43" s="121"/>
      <c r="G43" s="121"/>
      <c r="H43" s="121"/>
      <c r="I43" s="121"/>
      <c r="J43" s="121"/>
      <c r="K43" s="121"/>
      <c r="L43" s="121"/>
      <c r="M43" s="121"/>
      <c r="N43" s="121"/>
      <c r="O43" s="121"/>
      <c r="P43" s="121"/>
      <c r="Q43" s="360"/>
      <c r="R43" s="1018" t="s">
        <v>579</v>
      </c>
      <c r="S43" s="1018"/>
      <c r="T43" s="1018"/>
      <c r="U43" s="557">
        <f>'Lookup Properties'!$B$12</f>
        <v>0.755</v>
      </c>
      <c r="V43" s="557">
        <f>'Lookup Properties'!$C$12</f>
        <v>1.07</v>
      </c>
      <c r="W43" s="557">
        <f>'Lookup Properties'!$D$12</f>
        <v>1.2949999999999999</v>
      </c>
      <c r="X43" s="553">
        <f>SUM(U43:W43)</f>
        <v>3.12</v>
      </c>
      <c r="Y43" s="364"/>
      <c r="Z43" s="364"/>
      <c r="AA43"/>
      <c r="AB43"/>
      <c r="AC43"/>
      <c r="AD43"/>
      <c r="AE43"/>
      <c r="AF43"/>
    </row>
    <row r="44" spans="1:32" ht="12.75" customHeight="1">
      <c r="A44" s="121"/>
      <c r="B44" s="121"/>
      <c r="C44" s="121"/>
      <c r="D44" s="121"/>
      <c r="E44" s="121"/>
      <c r="F44" s="121"/>
      <c r="G44" s="121"/>
      <c r="H44" s="121"/>
      <c r="I44" s="121"/>
      <c r="J44" s="121"/>
      <c r="K44" s="121"/>
      <c r="L44" s="121"/>
      <c r="M44" s="121"/>
      <c r="N44" s="121"/>
      <c r="O44" s="121"/>
      <c r="P44" s="121"/>
      <c r="Q44" s="360"/>
      <c r="R44" s="1016" t="s">
        <v>21</v>
      </c>
      <c r="S44" s="1016"/>
      <c r="T44" s="1016"/>
      <c r="U44" s="557">
        <f>'Lookup Properties'!$B$10</f>
        <v>0.71</v>
      </c>
      <c r="V44" s="557">
        <f>'Lookup Properties'!$C$10</f>
        <v>1.03</v>
      </c>
      <c r="W44" s="557">
        <f>'Lookup Properties'!$D$10</f>
        <v>1.29</v>
      </c>
      <c r="X44" s="553">
        <f>SUM(U44:W44)</f>
        <v>3.0300000000000002</v>
      </c>
      <c r="Y44" s="364"/>
      <c r="Z44" s="364"/>
      <c r="AA44"/>
      <c r="AB44"/>
      <c r="AC44"/>
      <c r="AD44"/>
      <c r="AE44"/>
      <c r="AF44"/>
    </row>
    <row r="45" spans="1:32" ht="12.75" customHeight="1">
      <c r="A45" s="121"/>
      <c r="B45" s="121"/>
      <c r="C45" s="121"/>
      <c r="D45" s="121"/>
      <c r="E45" s="121"/>
      <c r="F45" s="121"/>
      <c r="G45" s="121"/>
      <c r="H45" s="121"/>
      <c r="I45" s="121"/>
      <c r="J45" s="121"/>
      <c r="K45" s="121"/>
      <c r="L45" s="121"/>
      <c r="M45" s="121"/>
      <c r="N45" s="121"/>
      <c r="O45" s="121"/>
      <c r="P45" s="121"/>
      <c r="Q45" s="364"/>
      <c r="R45" s="364"/>
      <c r="S45" s="364"/>
      <c r="T45" s="364"/>
      <c r="U45" s="555"/>
      <c r="V45" s="555"/>
      <c r="W45" s="555"/>
      <c r="X45" s="555"/>
      <c r="Y45" s="555"/>
      <c r="Z45" s="364"/>
      <c r="AA45"/>
      <c r="AB45"/>
      <c r="AC45"/>
      <c r="AD45"/>
      <c r="AE45"/>
      <c r="AF45"/>
    </row>
    <row r="46" spans="1:32" ht="12.75" customHeight="1">
      <c r="A46" s="121"/>
      <c r="B46" s="121"/>
      <c r="C46" s="121"/>
      <c r="D46" s="121"/>
      <c r="E46" s="121"/>
      <c r="F46" s="121"/>
      <c r="G46" s="121"/>
      <c r="H46" s="121"/>
      <c r="I46" s="121"/>
      <c r="J46" s="121"/>
      <c r="K46" s="121"/>
      <c r="L46" s="121"/>
      <c r="M46" s="121"/>
      <c r="N46" s="121"/>
      <c r="O46" s="121"/>
      <c r="P46" s="121"/>
      <c r="Q46" s="387" t="s">
        <v>817</v>
      </c>
      <c r="R46" s="1015" t="s">
        <v>206</v>
      </c>
      <c r="S46" s="1015"/>
      <c r="T46" s="1015"/>
      <c r="U46" s="1015"/>
      <c r="V46" s="1015"/>
      <c r="W46" s="1015"/>
      <c r="X46" s="1015"/>
      <c r="Y46" s="1015"/>
      <c r="Z46" s="536"/>
      <c r="AA46"/>
      <c r="AB46"/>
      <c r="AC46"/>
      <c r="AD46"/>
      <c r="AE46"/>
      <c r="AF46"/>
    </row>
    <row r="47" spans="1:32" ht="12.75" customHeight="1">
      <c r="A47" s="121"/>
      <c r="B47" s="121"/>
      <c r="C47" s="121"/>
      <c r="D47" s="121"/>
      <c r="E47" s="121"/>
      <c r="F47" s="121"/>
      <c r="G47" s="121"/>
      <c r="H47" s="121"/>
      <c r="I47" s="121"/>
      <c r="J47" s="121"/>
      <c r="K47" s="121"/>
      <c r="L47" s="121"/>
      <c r="M47" s="121"/>
      <c r="N47" s="121"/>
      <c r="O47" s="121"/>
      <c r="P47" s="121"/>
      <c r="Q47" s="668"/>
      <c r="R47" s="364"/>
      <c r="S47" s="364"/>
      <c r="T47" s="364"/>
      <c r="U47" s="555"/>
      <c r="V47" s="555"/>
      <c r="W47" s="555"/>
      <c r="X47" s="555"/>
      <c r="Y47" s="555"/>
      <c r="Z47" s="364"/>
      <c r="AA47"/>
      <c r="AB47"/>
      <c r="AC47"/>
      <c r="AD47"/>
      <c r="AE47"/>
      <c r="AF47"/>
    </row>
    <row r="48" spans="1:32" ht="12.75" customHeight="1">
      <c r="A48" s="121"/>
      <c r="B48" s="121"/>
      <c r="C48" s="121"/>
      <c r="D48" s="121"/>
      <c r="E48" s="121"/>
      <c r="F48" s="121"/>
      <c r="G48" s="121"/>
      <c r="H48" s="121"/>
      <c r="I48" s="121"/>
      <c r="J48" s="121"/>
      <c r="K48" s="121"/>
      <c r="L48" s="121"/>
      <c r="M48" s="121"/>
      <c r="N48" s="121"/>
      <c r="O48" s="121"/>
      <c r="P48" s="121"/>
      <c r="Q48" s="668" t="s">
        <v>196</v>
      </c>
      <c r="R48" s="364" t="s">
        <v>207</v>
      </c>
      <c r="S48" s="364"/>
      <c r="T48" s="364"/>
      <c r="U48" s="555"/>
      <c r="V48" s="555"/>
      <c r="W48" s="555"/>
      <c r="X48" s="555"/>
      <c r="Y48" s="555"/>
      <c r="Z48" s="364"/>
      <c r="AA48"/>
      <c r="AB48"/>
      <c r="AC48"/>
      <c r="AD48"/>
      <c r="AE48"/>
      <c r="AF48"/>
    </row>
    <row r="49" spans="1:32" ht="12.75" customHeight="1">
      <c r="A49" s="121"/>
      <c r="B49" s="121"/>
      <c r="C49" s="121"/>
      <c r="D49" s="121"/>
      <c r="E49" s="121"/>
      <c r="F49" s="121"/>
      <c r="G49" s="121"/>
      <c r="H49" s="121"/>
      <c r="I49" s="121"/>
      <c r="J49" s="121"/>
      <c r="K49" s="121"/>
      <c r="L49" s="121"/>
      <c r="M49" s="121"/>
      <c r="N49" s="121"/>
      <c r="O49" s="121"/>
      <c r="P49" s="121"/>
      <c r="Q49" s="364"/>
      <c r="R49" s="962" t="s">
        <v>678</v>
      </c>
      <c r="S49" s="963"/>
      <c r="T49" s="964"/>
      <c r="U49" s="949" t="s">
        <v>500</v>
      </c>
      <c r="V49" s="938" t="s">
        <v>22</v>
      </c>
      <c r="W49" s="940" t="s">
        <v>579</v>
      </c>
      <c r="X49" s="942" t="s">
        <v>21</v>
      </c>
      <c r="Y49" s="361"/>
      <c r="Z49" s="364"/>
      <c r="AA49"/>
      <c r="AB49"/>
      <c r="AC49"/>
      <c r="AD49"/>
      <c r="AE49"/>
      <c r="AF49"/>
    </row>
    <row r="50" spans="1:32" ht="12.75" customHeight="1">
      <c r="A50" s="121"/>
      <c r="B50" s="121"/>
      <c r="C50" s="121"/>
      <c r="D50" s="121"/>
      <c r="E50" s="121"/>
      <c r="F50" s="121"/>
      <c r="G50" s="121"/>
      <c r="H50" s="121"/>
      <c r="I50" s="121"/>
      <c r="J50" s="121"/>
      <c r="K50" s="121"/>
      <c r="L50" s="121"/>
      <c r="M50" s="121"/>
      <c r="N50" s="121"/>
      <c r="O50" s="121"/>
      <c r="P50" s="121"/>
      <c r="Q50" s="364"/>
      <c r="R50" s="965"/>
      <c r="S50" s="966"/>
      <c r="T50" s="967"/>
      <c r="U50" s="950"/>
      <c r="V50" s="939"/>
      <c r="W50" s="941"/>
      <c r="X50" s="943"/>
      <c r="Y50" s="361"/>
      <c r="Z50" s="364"/>
      <c r="AA50"/>
      <c r="AB50"/>
      <c r="AC50"/>
      <c r="AD50"/>
      <c r="AE50"/>
      <c r="AF50"/>
    </row>
    <row r="51" spans="1:32" ht="12.75" customHeight="1">
      <c r="A51" s="121"/>
      <c r="B51" s="121"/>
      <c r="C51" s="121"/>
      <c r="D51" s="121"/>
      <c r="E51" s="121"/>
      <c r="F51" s="121"/>
      <c r="G51" s="121"/>
      <c r="H51" s="121"/>
      <c r="I51" s="121"/>
      <c r="J51" s="121"/>
      <c r="K51" s="121"/>
      <c r="L51" s="121"/>
      <c r="M51" s="121"/>
      <c r="N51" s="121"/>
      <c r="O51" s="121"/>
      <c r="P51" s="121"/>
      <c r="Q51" s="364"/>
      <c r="R51" s="969" t="s">
        <v>210</v>
      </c>
      <c r="S51" s="969"/>
      <c r="T51" s="969"/>
      <c r="U51" s="560">
        <v>0.3</v>
      </c>
      <c r="V51" s="537">
        <f>VLOOKUP($V$5,'Lookup Penetration Rate'!$B$8:$E$208,3)</f>
        <v>0.4</v>
      </c>
      <c r="W51" s="537">
        <f>VLOOKUP($V$5,'Lookup Penetration Rate'!$B$8:$E$208,4)</f>
        <v>0.46</v>
      </c>
      <c r="X51" s="537">
        <f>VLOOKUP($V$5,'Lookup Penetration Rate'!$B$8:$E$208,2)</f>
        <v>0.56000000000000005</v>
      </c>
      <c r="Y51" s="361"/>
      <c r="Z51" s="364"/>
      <c r="AA51"/>
      <c r="AB51"/>
      <c r="AC51"/>
      <c r="AD51"/>
      <c r="AE51"/>
      <c r="AF51"/>
    </row>
    <row r="52" spans="1:32" ht="12.75" customHeight="1">
      <c r="A52" s="121"/>
      <c r="B52" s="121"/>
      <c r="C52" s="121"/>
      <c r="D52" s="121"/>
      <c r="E52" s="121"/>
      <c r="F52" s="121"/>
      <c r="G52" s="121"/>
      <c r="H52" s="121"/>
      <c r="I52" s="121"/>
      <c r="J52" s="121"/>
      <c r="K52" s="121"/>
      <c r="L52" s="121"/>
      <c r="M52" s="121"/>
      <c r="N52" s="121"/>
      <c r="O52" s="121"/>
      <c r="P52" s="121"/>
      <c r="Q52" s="364"/>
      <c r="R52" s="364"/>
      <c r="S52" s="364"/>
      <c r="T52" s="364"/>
      <c r="U52" s="555"/>
      <c r="V52" s="555"/>
      <c r="W52" s="555"/>
      <c r="X52" s="555"/>
      <c r="Y52" s="555"/>
      <c r="Z52" s="364"/>
      <c r="AA52"/>
      <c r="AB52"/>
      <c r="AC52"/>
      <c r="AD52"/>
      <c r="AE52"/>
      <c r="AF52"/>
    </row>
    <row r="53" spans="1:32" ht="12.75" customHeight="1">
      <c r="A53" s="121"/>
      <c r="B53" s="121"/>
      <c r="C53" s="121"/>
      <c r="D53" s="121"/>
      <c r="E53" s="121"/>
      <c r="F53" s="121"/>
      <c r="G53" s="121"/>
      <c r="H53" s="121"/>
      <c r="I53" s="121"/>
      <c r="J53" s="121"/>
      <c r="K53" s="121"/>
      <c r="L53" s="121"/>
      <c r="M53" s="121"/>
      <c r="N53" s="121"/>
      <c r="O53" s="121"/>
      <c r="P53" s="121"/>
      <c r="Q53" s="668" t="s">
        <v>197</v>
      </c>
      <c r="R53" s="364" t="s">
        <v>208</v>
      </c>
      <c r="S53" s="364"/>
      <c r="T53" s="364"/>
      <c r="U53" s="555"/>
      <c r="V53" s="555"/>
      <c r="W53" s="555"/>
      <c r="X53" s="555"/>
      <c r="Y53" s="555"/>
      <c r="Z53" s="364"/>
      <c r="AA53"/>
      <c r="AB53"/>
      <c r="AC53"/>
      <c r="AD53"/>
      <c r="AE53"/>
      <c r="AF53"/>
    </row>
    <row r="54" spans="1:32" ht="12.75" customHeight="1">
      <c r="A54" s="121"/>
      <c r="B54" s="121"/>
      <c r="C54" s="121"/>
      <c r="D54" s="121"/>
      <c r="E54" s="121"/>
      <c r="F54" s="121"/>
      <c r="G54" s="121"/>
      <c r="H54" s="121"/>
      <c r="I54" s="121"/>
      <c r="J54" s="121"/>
      <c r="K54" s="121"/>
      <c r="L54" s="121"/>
      <c r="M54" s="121"/>
      <c r="N54" s="121"/>
      <c r="O54" s="121"/>
      <c r="P54" s="121"/>
      <c r="Q54" s="668"/>
      <c r="R54" s="962" t="s">
        <v>678</v>
      </c>
      <c r="S54" s="963"/>
      <c r="T54" s="964"/>
      <c r="U54" s="949" t="s">
        <v>500</v>
      </c>
      <c r="V54" s="938" t="s">
        <v>22</v>
      </c>
      <c r="W54" s="940" t="s">
        <v>579</v>
      </c>
      <c r="X54" s="942" t="s">
        <v>21</v>
      </c>
      <c r="Y54" s="361"/>
      <c r="Z54" s="364"/>
      <c r="AA54"/>
      <c r="AB54"/>
      <c r="AC54"/>
      <c r="AD54"/>
      <c r="AE54"/>
      <c r="AF54"/>
    </row>
    <row r="55" spans="1:32" ht="12.75" customHeight="1">
      <c r="A55" s="121"/>
      <c r="B55" s="121"/>
      <c r="C55" s="121"/>
      <c r="D55" s="121"/>
      <c r="E55" s="121"/>
      <c r="F55" s="121"/>
      <c r="G55" s="121"/>
      <c r="H55" s="121"/>
      <c r="I55" s="121"/>
      <c r="J55" s="121"/>
      <c r="K55" s="121"/>
      <c r="L55" s="121"/>
      <c r="M55" s="121"/>
      <c r="N55" s="121"/>
      <c r="O55" s="121"/>
      <c r="P55" s="121"/>
      <c r="Q55" s="668"/>
      <c r="R55" s="965"/>
      <c r="S55" s="966"/>
      <c r="T55" s="967"/>
      <c r="U55" s="950"/>
      <c r="V55" s="939"/>
      <c r="W55" s="941"/>
      <c r="X55" s="943"/>
      <c r="Y55" s="361"/>
      <c r="Z55" s="364"/>
      <c r="AA55"/>
      <c r="AB55"/>
      <c r="AC55"/>
      <c r="AD55"/>
      <c r="AE55"/>
      <c r="AF55"/>
    </row>
    <row r="56" spans="1:32" ht="12.75" customHeight="1">
      <c r="A56" s="121"/>
      <c r="B56" s="121"/>
      <c r="C56" s="121"/>
      <c r="D56" s="121"/>
      <c r="E56" s="121"/>
      <c r="F56" s="121"/>
      <c r="G56" s="121"/>
      <c r="H56" s="121"/>
      <c r="I56" s="121"/>
      <c r="J56" s="121"/>
      <c r="K56" s="121"/>
      <c r="L56" s="121"/>
      <c r="M56" s="121"/>
      <c r="N56" s="121"/>
      <c r="O56" s="121"/>
      <c r="P56" s="121"/>
      <c r="Q56" s="668"/>
      <c r="R56" s="969" t="s">
        <v>209</v>
      </c>
      <c r="S56" s="969"/>
      <c r="T56" s="969"/>
      <c r="U56" s="560">
        <f>$V$20/U51</f>
        <v>4</v>
      </c>
      <c r="V56" s="669">
        <f>$V$20/V51</f>
        <v>2.9999999999999996</v>
      </c>
      <c r="W56" s="669">
        <f>$V$20/W51</f>
        <v>2.6086956521739126</v>
      </c>
      <c r="X56" s="669">
        <f>$V$20/X51</f>
        <v>2.1428571428571428</v>
      </c>
      <c r="Y56" s="361"/>
      <c r="Z56" s="364"/>
      <c r="AA56"/>
      <c r="AB56"/>
      <c r="AC56"/>
      <c r="AD56"/>
      <c r="AE56"/>
      <c r="AF56"/>
    </row>
    <row r="57" spans="1:32" ht="12.75" customHeight="1">
      <c r="A57" s="121"/>
      <c r="B57" s="121"/>
      <c r="C57" s="121"/>
      <c r="D57" s="121"/>
      <c r="E57" s="121"/>
      <c r="F57" s="121"/>
      <c r="G57" s="121"/>
      <c r="H57" s="121"/>
      <c r="I57" s="121"/>
      <c r="J57" s="121"/>
      <c r="K57" s="121"/>
      <c r="L57" s="121"/>
      <c r="M57" s="121"/>
      <c r="N57" s="121"/>
      <c r="O57" s="121"/>
      <c r="P57" s="121"/>
      <c r="Q57" s="364"/>
      <c r="R57" s="364"/>
      <c r="S57" s="364"/>
      <c r="T57" s="364"/>
      <c r="U57" s="555"/>
      <c r="V57" s="555"/>
      <c r="W57" s="555"/>
      <c r="X57" s="555"/>
      <c r="Y57" s="555"/>
      <c r="Z57" s="364"/>
      <c r="AA57"/>
      <c r="AB57"/>
      <c r="AC57"/>
      <c r="AD57"/>
      <c r="AE57"/>
      <c r="AF57"/>
    </row>
    <row r="58" spans="1:32" ht="12.75" customHeight="1">
      <c r="A58" s="121"/>
      <c r="B58" s="121"/>
      <c r="C58" s="121"/>
      <c r="D58" s="121"/>
      <c r="E58" s="121"/>
      <c r="F58" s="121"/>
      <c r="G58" s="121"/>
      <c r="H58" s="121"/>
      <c r="I58" s="121"/>
      <c r="J58" s="121"/>
      <c r="K58" s="121"/>
      <c r="L58" s="121"/>
      <c r="M58" s="121"/>
      <c r="N58" s="121"/>
      <c r="O58" s="121"/>
      <c r="P58" s="121"/>
      <c r="Q58" s="563">
        <v>3.3</v>
      </c>
      <c r="R58" s="363" t="s">
        <v>211</v>
      </c>
      <c r="S58" s="363"/>
      <c r="T58" s="363"/>
      <c r="U58" s="363"/>
      <c r="V58" s="363"/>
      <c r="W58" s="363"/>
      <c r="X58" s="363"/>
      <c r="Y58" s="363"/>
      <c r="Z58" s="364"/>
      <c r="AA58"/>
      <c r="AB58"/>
      <c r="AC58"/>
      <c r="AD58"/>
      <c r="AE58"/>
      <c r="AF58"/>
    </row>
    <row r="59" spans="1:32" ht="12.75" customHeight="1">
      <c r="A59" s="121"/>
      <c r="B59" s="121"/>
      <c r="C59" s="121"/>
      <c r="D59" s="121"/>
      <c r="E59" s="121"/>
      <c r="F59" s="121"/>
      <c r="G59" s="121"/>
      <c r="H59" s="121"/>
      <c r="I59" s="121"/>
      <c r="J59" s="121"/>
      <c r="K59" s="121"/>
      <c r="L59" s="121"/>
      <c r="M59" s="121"/>
      <c r="N59" s="121"/>
      <c r="O59" s="121"/>
      <c r="P59" s="121"/>
      <c r="Q59" s="563"/>
      <c r="R59" s="962" t="s">
        <v>678</v>
      </c>
      <c r="S59" s="963"/>
      <c r="T59" s="964"/>
      <c r="U59" s="949" t="s">
        <v>500</v>
      </c>
      <c r="V59" s="938" t="s">
        <v>22</v>
      </c>
      <c r="W59" s="940" t="s">
        <v>579</v>
      </c>
      <c r="X59" s="942" t="s">
        <v>21</v>
      </c>
      <c r="Y59" s="361"/>
      <c r="Z59" s="364"/>
      <c r="AA59"/>
      <c r="AB59"/>
      <c r="AC59"/>
      <c r="AD59"/>
      <c r="AE59"/>
      <c r="AF59"/>
    </row>
    <row r="60" spans="1:32" ht="12.75" customHeight="1">
      <c r="A60" s="121"/>
      <c r="B60" s="121"/>
      <c r="C60" s="121"/>
      <c r="D60" s="121"/>
      <c r="E60" s="121"/>
      <c r="F60" s="121"/>
      <c r="G60" s="121"/>
      <c r="H60" s="121"/>
      <c r="I60" s="121"/>
      <c r="J60" s="121"/>
      <c r="K60" s="121"/>
      <c r="L60" s="121"/>
      <c r="M60" s="121"/>
      <c r="N60" s="121"/>
      <c r="O60" s="121"/>
      <c r="P60" s="121"/>
      <c r="Q60" s="563"/>
      <c r="R60" s="965"/>
      <c r="S60" s="966"/>
      <c r="T60" s="967"/>
      <c r="U60" s="950"/>
      <c r="V60" s="939"/>
      <c r="W60" s="941"/>
      <c r="X60" s="943"/>
      <c r="Y60" s="361"/>
      <c r="Z60" s="364"/>
      <c r="AA60"/>
      <c r="AB60"/>
      <c r="AC60"/>
      <c r="AD60"/>
      <c r="AE60"/>
      <c r="AF60"/>
    </row>
    <row r="61" spans="1:32" ht="12.75" customHeight="1">
      <c r="A61" s="121"/>
      <c r="B61" s="121"/>
      <c r="C61" s="121"/>
      <c r="D61" s="121"/>
      <c r="E61" s="121"/>
      <c r="F61" s="121"/>
      <c r="G61" s="121"/>
      <c r="H61" s="121"/>
      <c r="I61" s="121"/>
      <c r="J61" s="121"/>
      <c r="K61" s="121"/>
      <c r="L61" s="121"/>
      <c r="M61" s="121"/>
      <c r="N61" s="121"/>
      <c r="O61" s="121"/>
      <c r="P61" s="121"/>
      <c r="Q61" s="563"/>
      <c r="R61" s="969" t="s">
        <v>209</v>
      </c>
      <c r="S61" s="969"/>
      <c r="T61" s="969"/>
      <c r="U61" s="562">
        <f>(U56*$V$24)/$V$23</f>
        <v>160</v>
      </c>
      <c r="V61" s="670">
        <f>(V56*$V$24)/$V$23</f>
        <v>119.99999999999997</v>
      </c>
      <c r="W61" s="670">
        <f>(W56*$V$24)/$V$23</f>
        <v>104.3478260869565</v>
      </c>
      <c r="X61" s="670">
        <f>(X56*$V$24)/$V$23</f>
        <v>85.714285714285708</v>
      </c>
      <c r="Y61" s="361"/>
      <c r="Z61" s="364"/>
      <c r="AA61"/>
      <c r="AB61"/>
      <c r="AC61"/>
      <c r="AD61"/>
      <c r="AE61"/>
      <c r="AF61"/>
    </row>
    <row r="62" spans="1:32" ht="12.75" customHeight="1">
      <c r="A62" s="121"/>
      <c r="B62" s="121"/>
      <c r="C62" s="121"/>
      <c r="D62" s="121"/>
      <c r="E62" s="121"/>
      <c r="F62" s="121"/>
      <c r="G62" s="121"/>
      <c r="H62" s="121"/>
      <c r="I62" s="121"/>
      <c r="J62" s="121"/>
      <c r="K62" s="121"/>
      <c r="L62" s="121"/>
      <c r="M62" s="121"/>
      <c r="N62" s="121"/>
      <c r="O62" s="121"/>
      <c r="P62" s="121"/>
      <c r="Q62" s="563"/>
      <c r="R62" s="931" t="s">
        <v>212</v>
      </c>
      <c r="S62" s="931"/>
      <c r="T62" s="931"/>
      <c r="U62" s="537">
        <f>U61/60</f>
        <v>2.6666666666666665</v>
      </c>
      <c r="V62" s="557">
        <f>V61/60</f>
        <v>1.9999999999999996</v>
      </c>
      <c r="W62" s="557">
        <f>W61/60</f>
        <v>1.7391304347826084</v>
      </c>
      <c r="X62" s="557">
        <f>X61/60</f>
        <v>1.4285714285714284</v>
      </c>
      <c r="Y62" s="361"/>
      <c r="Z62" s="364"/>
      <c r="AA62"/>
      <c r="AB62"/>
      <c r="AC62"/>
      <c r="AD62"/>
      <c r="AE62"/>
      <c r="AF62"/>
    </row>
    <row r="63" spans="1:32" ht="12.75" customHeight="1">
      <c r="A63" s="121"/>
      <c r="B63" s="121"/>
      <c r="C63" s="121"/>
      <c r="D63" s="121"/>
      <c r="E63" s="121"/>
      <c r="F63" s="121"/>
      <c r="G63" s="121"/>
      <c r="H63" s="121"/>
      <c r="I63" s="121"/>
      <c r="J63" s="121"/>
      <c r="K63" s="121"/>
      <c r="L63" s="121"/>
      <c r="M63" s="121"/>
      <c r="N63" s="121"/>
      <c r="O63" s="121"/>
      <c r="P63" s="121"/>
      <c r="Q63" s="563"/>
      <c r="R63" s="363"/>
      <c r="S63" s="363"/>
      <c r="T63" s="363"/>
      <c r="U63" s="363"/>
      <c r="V63" s="363"/>
      <c r="W63" s="363"/>
      <c r="X63" s="363"/>
      <c r="Y63" s="363"/>
      <c r="Z63" s="364"/>
      <c r="AA63"/>
      <c r="AB63"/>
      <c r="AC63"/>
      <c r="AD63"/>
      <c r="AE63"/>
      <c r="AF63"/>
    </row>
    <row r="64" spans="1:32" ht="12.75" customHeight="1">
      <c r="A64" s="121"/>
      <c r="B64" s="121"/>
      <c r="C64" s="121"/>
      <c r="D64" s="121"/>
      <c r="E64" s="121"/>
      <c r="F64" s="121"/>
      <c r="G64" s="121"/>
      <c r="H64" s="121"/>
      <c r="I64" s="121"/>
      <c r="J64" s="121"/>
      <c r="K64" s="121"/>
      <c r="L64" s="121"/>
      <c r="M64" s="121"/>
      <c r="N64" s="121"/>
      <c r="O64" s="121"/>
      <c r="P64" s="121"/>
      <c r="Q64" s="388" t="s">
        <v>295</v>
      </c>
      <c r="R64" s="1015" t="s">
        <v>216</v>
      </c>
      <c r="S64" s="1015"/>
      <c r="T64" s="1015"/>
      <c r="U64" s="1015"/>
      <c r="V64" s="1015"/>
      <c r="W64" s="1015"/>
      <c r="X64" s="1015"/>
      <c r="Y64" s="1015"/>
      <c r="Z64" s="536"/>
      <c r="AA64"/>
      <c r="AB64"/>
      <c r="AC64"/>
      <c r="AD64"/>
      <c r="AE64"/>
      <c r="AF64"/>
    </row>
    <row r="65" spans="1:36" ht="12.75" customHeight="1">
      <c r="A65" s="121"/>
      <c r="B65" s="121"/>
      <c r="C65" s="121"/>
      <c r="D65" s="121"/>
      <c r="E65" s="121"/>
      <c r="F65" s="121"/>
      <c r="G65" s="121"/>
      <c r="H65" s="121"/>
      <c r="I65" s="121"/>
      <c r="J65" s="121"/>
      <c r="K65" s="121"/>
      <c r="L65" s="121"/>
      <c r="M65" s="121"/>
      <c r="N65" s="121"/>
      <c r="O65" s="121"/>
      <c r="P65" s="121"/>
      <c r="Q65" s="563"/>
      <c r="R65" s="363"/>
      <c r="S65" s="363"/>
      <c r="T65" s="363"/>
      <c r="U65" s="363"/>
      <c r="V65" s="363"/>
      <c r="W65" s="363"/>
      <c r="X65" s="363"/>
      <c r="Y65" s="363"/>
      <c r="Z65" s="364"/>
      <c r="AA65"/>
      <c r="AB65"/>
      <c r="AC65"/>
      <c r="AD65"/>
      <c r="AE65"/>
      <c r="AF65"/>
    </row>
    <row r="66" spans="1:36" ht="12.75" customHeight="1">
      <c r="A66" s="121"/>
      <c r="B66" s="121"/>
      <c r="C66" s="121"/>
      <c r="D66" s="121"/>
      <c r="E66" s="121"/>
      <c r="F66" s="121"/>
      <c r="G66" s="121"/>
      <c r="H66" s="121"/>
      <c r="I66" s="121"/>
      <c r="J66" s="121"/>
      <c r="K66" s="121"/>
      <c r="L66" s="121"/>
      <c r="M66" s="121"/>
      <c r="N66" s="121"/>
      <c r="O66" s="121"/>
      <c r="P66" s="121"/>
      <c r="Q66" s="360" t="s">
        <v>502</v>
      </c>
      <c r="R66" s="364" t="s">
        <v>527</v>
      </c>
      <c r="S66" s="364"/>
      <c r="T66" s="364"/>
      <c r="U66" s="555"/>
      <c r="V66" s="555"/>
      <c r="W66" s="555"/>
      <c r="X66" s="555"/>
      <c r="Y66" s="555"/>
      <c r="Z66" s="364"/>
      <c r="AA66"/>
      <c r="AB66"/>
      <c r="AC66"/>
      <c r="AD66"/>
      <c r="AE66"/>
      <c r="AF66"/>
      <c r="AG66" s="23"/>
      <c r="AH66" s="23"/>
      <c r="AI66" s="23"/>
    </row>
    <row r="67" spans="1:36" ht="12.75" customHeight="1">
      <c r="A67" s="121"/>
      <c r="B67" s="121"/>
      <c r="C67" s="121"/>
      <c r="D67" s="121"/>
      <c r="E67" s="121"/>
      <c r="F67" s="121"/>
      <c r="G67" s="121"/>
      <c r="H67" s="121"/>
      <c r="I67" s="121"/>
      <c r="J67" s="121"/>
      <c r="K67" s="121"/>
      <c r="L67" s="121"/>
      <c r="M67" s="121"/>
      <c r="N67" s="121"/>
      <c r="O67" s="121"/>
      <c r="P67" s="121"/>
      <c r="Q67" s="360"/>
      <c r="R67" s="962" t="s">
        <v>678</v>
      </c>
      <c r="S67" s="963"/>
      <c r="T67" s="964"/>
      <c r="U67" s="949" t="s">
        <v>500</v>
      </c>
      <c r="V67" s="938" t="s">
        <v>22</v>
      </c>
      <c r="W67" s="940" t="s">
        <v>579</v>
      </c>
      <c r="X67" s="942" t="s">
        <v>21</v>
      </c>
      <c r="Y67" s="361"/>
      <c r="Z67" s="364"/>
      <c r="AA67"/>
      <c r="AB67"/>
      <c r="AC67"/>
      <c r="AD67"/>
      <c r="AE67"/>
      <c r="AF67"/>
      <c r="AJ67" s="17"/>
    </row>
    <row r="68" spans="1:36" ht="12.75" customHeight="1">
      <c r="A68" s="121"/>
      <c r="B68" s="121"/>
      <c r="C68" s="121"/>
      <c r="D68" s="121"/>
      <c r="E68" s="121"/>
      <c r="F68" s="121"/>
      <c r="G68" s="121"/>
      <c r="H68" s="121"/>
      <c r="I68" s="121"/>
      <c r="J68" s="121"/>
      <c r="K68" s="121"/>
      <c r="L68" s="121"/>
      <c r="M68" s="121"/>
      <c r="N68" s="121"/>
      <c r="O68" s="121"/>
      <c r="P68" s="121"/>
      <c r="Q68" s="360"/>
      <c r="R68" s="965"/>
      <c r="S68" s="966"/>
      <c r="T68" s="967"/>
      <c r="U68" s="950"/>
      <c r="V68" s="939"/>
      <c r="W68" s="941"/>
      <c r="X68" s="943"/>
      <c r="Y68" s="361"/>
      <c r="Z68" s="364"/>
      <c r="AA68"/>
      <c r="AB68"/>
      <c r="AC68"/>
      <c r="AD68"/>
      <c r="AE68"/>
      <c r="AF68"/>
      <c r="AJ68" s="17"/>
    </row>
    <row r="69" spans="1:36" ht="12.75" customHeight="1">
      <c r="A69" s="121"/>
      <c r="B69" s="121"/>
      <c r="C69" s="121"/>
      <c r="D69" s="121"/>
      <c r="E69" s="121"/>
      <c r="F69" s="121"/>
      <c r="G69" s="121"/>
      <c r="H69" s="121"/>
      <c r="I69" s="121"/>
      <c r="J69" s="121"/>
      <c r="K69" s="121"/>
      <c r="L69" s="121"/>
      <c r="M69" s="121"/>
      <c r="N69" s="121"/>
      <c r="O69" s="121"/>
      <c r="P69" s="121"/>
      <c r="Q69" s="360"/>
      <c r="R69" s="969" t="s">
        <v>63</v>
      </c>
      <c r="S69" s="969"/>
      <c r="T69" s="969"/>
      <c r="U69" s="369">
        <v>102</v>
      </c>
      <c r="V69" s="369">
        <f>VLOOKUP($V$5,'Lookup dBA'!$B$8:$E$208,3)</f>
        <v>108</v>
      </c>
      <c r="W69" s="369">
        <f>VLOOKUP($V$5,'Lookup dBA'!$B$8:$E$208,4)</f>
        <v>109</v>
      </c>
      <c r="X69" s="369">
        <f>VLOOKUP($V$5,'Lookup dBA'!$B$8:$E$208,2)</f>
        <v>116</v>
      </c>
      <c r="Y69" s="361"/>
      <c r="Z69" s="364"/>
      <c r="AA69"/>
      <c r="AB69"/>
      <c r="AC69"/>
      <c r="AD69"/>
      <c r="AE69"/>
      <c r="AF69"/>
      <c r="AJ69" s="17"/>
    </row>
    <row r="70" spans="1:36" ht="12.75" customHeight="1">
      <c r="A70" s="121"/>
      <c r="B70" s="121"/>
      <c r="C70" s="121"/>
      <c r="D70" s="121"/>
      <c r="E70" s="121"/>
      <c r="F70" s="121"/>
      <c r="G70" s="121"/>
      <c r="H70" s="121"/>
      <c r="I70" s="121"/>
      <c r="J70" s="121"/>
      <c r="K70" s="121"/>
      <c r="L70" s="121"/>
      <c r="M70" s="121"/>
      <c r="N70" s="121"/>
      <c r="O70" s="121"/>
      <c r="P70" s="121"/>
      <c r="Q70" s="360"/>
      <c r="R70" s="969" t="s">
        <v>64</v>
      </c>
      <c r="S70" s="969"/>
      <c r="T70" s="969"/>
      <c r="U70" s="369">
        <f>U69-PPE!$I$15</f>
        <v>89</v>
      </c>
      <c r="V70" s="369">
        <f>V69-PPE!$I$15</f>
        <v>95</v>
      </c>
      <c r="W70" s="369">
        <f>W69-PPE!$I$15</f>
        <v>96</v>
      </c>
      <c r="X70" s="369">
        <f>X69-PPE!$I$15</f>
        <v>103</v>
      </c>
      <c r="Y70" s="361"/>
      <c r="Z70" s="364"/>
      <c r="AA70"/>
      <c r="AB70"/>
      <c r="AC70"/>
      <c r="AD70"/>
      <c r="AE70"/>
      <c r="AF70"/>
      <c r="AJ70" s="32"/>
    </row>
    <row r="71" spans="1:36" ht="12.75" customHeight="1">
      <c r="A71" s="121"/>
      <c r="B71" s="121"/>
      <c r="C71" s="121"/>
      <c r="D71" s="121"/>
      <c r="E71" s="121"/>
      <c r="F71" s="121"/>
      <c r="G71" s="121"/>
      <c r="H71" s="121"/>
      <c r="I71" s="121"/>
      <c r="J71" s="121"/>
      <c r="K71" s="121"/>
      <c r="L71" s="121"/>
      <c r="M71" s="121"/>
      <c r="N71" s="121"/>
      <c r="O71" s="121"/>
      <c r="P71" s="121"/>
      <c r="Q71" s="360"/>
      <c r="R71" s="969" t="s">
        <v>529</v>
      </c>
      <c r="S71" s="969"/>
      <c r="T71" s="969"/>
      <c r="U71" s="369">
        <v>110</v>
      </c>
      <c r="V71" s="369">
        <v>110</v>
      </c>
      <c r="W71" s="369">
        <v>110</v>
      </c>
      <c r="X71" s="369">
        <v>110</v>
      </c>
      <c r="Y71" s="361"/>
      <c r="Z71" s="364"/>
      <c r="AA71"/>
      <c r="AB71"/>
      <c r="AC71"/>
      <c r="AD71"/>
      <c r="AE71"/>
      <c r="AF71"/>
      <c r="AJ71" s="32"/>
    </row>
    <row r="72" spans="1:36" ht="12.75" customHeight="1">
      <c r="A72" s="121"/>
      <c r="B72" s="121"/>
      <c r="C72" s="121"/>
      <c r="D72" s="121"/>
      <c r="E72" s="121"/>
      <c r="F72" s="121"/>
      <c r="G72" s="121"/>
      <c r="H72" s="121"/>
      <c r="I72" s="121"/>
      <c r="J72" s="121"/>
      <c r="K72" s="121"/>
      <c r="L72" s="121"/>
      <c r="M72" s="121"/>
      <c r="N72" s="121"/>
      <c r="O72" s="121"/>
      <c r="P72" s="121"/>
      <c r="Q72" s="360"/>
      <c r="R72" s="363"/>
      <c r="S72" s="363"/>
      <c r="T72" s="363"/>
      <c r="U72" s="363"/>
      <c r="V72" s="363"/>
      <c r="W72" s="363"/>
      <c r="X72" s="363"/>
      <c r="Y72" s="555"/>
      <c r="Z72" s="364"/>
      <c r="AA72"/>
      <c r="AB72"/>
      <c r="AC72"/>
      <c r="AD72"/>
      <c r="AE72"/>
      <c r="AF72"/>
      <c r="AJ72" s="32"/>
    </row>
    <row r="73" spans="1:36" ht="12.75" customHeight="1">
      <c r="A73" s="121"/>
      <c r="B73" s="121"/>
      <c r="C73" s="121"/>
      <c r="D73" s="121"/>
      <c r="E73" s="121"/>
      <c r="F73" s="121"/>
      <c r="G73" s="121"/>
      <c r="H73" s="121"/>
      <c r="I73" s="121"/>
      <c r="J73" s="121"/>
      <c r="K73" s="121"/>
      <c r="L73" s="121"/>
      <c r="M73" s="121"/>
      <c r="N73" s="121"/>
      <c r="O73" s="121"/>
      <c r="P73" s="121"/>
      <c r="Q73" s="360" t="s">
        <v>503</v>
      </c>
      <c r="R73" s="364" t="s">
        <v>528</v>
      </c>
      <c r="S73" s="364"/>
      <c r="T73" s="364"/>
      <c r="U73" s="555"/>
      <c r="V73" s="555"/>
      <c r="W73" s="555"/>
      <c r="X73" s="555"/>
      <c r="Y73" s="555"/>
      <c r="Z73" s="364"/>
      <c r="AA73"/>
      <c r="AB73"/>
      <c r="AC73"/>
      <c r="AD73"/>
      <c r="AE73"/>
      <c r="AF73"/>
      <c r="AJ73" s="17"/>
    </row>
    <row r="74" spans="1:36" ht="12.75" customHeight="1">
      <c r="A74" s="121"/>
      <c r="B74" s="121"/>
      <c r="C74" s="121"/>
      <c r="D74" s="121"/>
      <c r="E74" s="121"/>
      <c r="F74" s="121"/>
      <c r="G74" s="121"/>
      <c r="H74" s="121"/>
      <c r="I74" s="121"/>
      <c r="J74" s="121"/>
      <c r="K74" s="121"/>
      <c r="L74" s="121"/>
      <c r="M74" s="121"/>
      <c r="N74" s="121"/>
      <c r="O74" s="121"/>
      <c r="P74" s="121"/>
      <c r="Q74" s="360"/>
      <c r="R74" s="935" t="s">
        <v>678</v>
      </c>
      <c r="S74" s="935"/>
      <c r="T74" s="935"/>
      <c r="U74" s="930" t="s">
        <v>500</v>
      </c>
      <c r="V74" s="928" t="s">
        <v>22</v>
      </c>
      <c r="W74" s="929" t="s">
        <v>579</v>
      </c>
      <c r="X74" s="927" t="s">
        <v>21</v>
      </c>
      <c r="Y74" s="361"/>
      <c r="Z74" s="364"/>
      <c r="AA74"/>
      <c r="AB74"/>
      <c r="AC74"/>
      <c r="AD74"/>
      <c r="AE74"/>
      <c r="AF74"/>
      <c r="AJ74" s="17"/>
    </row>
    <row r="75" spans="1:36" ht="12.75" customHeight="1">
      <c r="A75" s="121"/>
      <c r="B75" s="121"/>
      <c r="C75" s="121"/>
      <c r="D75" s="121"/>
      <c r="E75" s="121"/>
      <c r="F75" s="121"/>
      <c r="G75" s="121"/>
      <c r="H75" s="121"/>
      <c r="I75" s="121"/>
      <c r="J75" s="121"/>
      <c r="K75" s="121"/>
      <c r="L75" s="121"/>
      <c r="M75" s="121"/>
      <c r="N75" s="121"/>
      <c r="O75" s="121"/>
      <c r="P75" s="121"/>
      <c r="Q75" s="360"/>
      <c r="R75" s="935"/>
      <c r="S75" s="935"/>
      <c r="T75" s="935"/>
      <c r="U75" s="930"/>
      <c r="V75" s="928"/>
      <c r="W75" s="929"/>
      <c r="X75" s="927"/>
      <c r="Y75" s="361"/>
      <c r="Z75" s="364"/>
      <c r="AA75"/>
      <c r="AB75"/>
      <c r="AC75"/>
      <c r="AD75"/>
      <c r="AE75"/>
      <c r="AF75"/>
      <c r="AJ75" s="17"/>
    </row>
    <row r="76" spans="1:36" ht="12.75" customHeight="1">
      <c r="A76" s="121"/>
      <c r="B76" s="121"/>
      <c r="C76" s="121"/>
      <c r="D76" s="121"/>
      <c r="E76" s="121"/>
      <c r="F76" s="121"/>
      <c r="G76" s="121"/>
      <c r="H76" s="121"/>
      <c r="I76" s="121"/>
      <c r="J76" s="121"/>
      <c r="K76" s="121"/>
      <c r="L76" s="121"/>
      <c r="M76" s="121"/>
      <c r="N76" s="121"/>
      <c r="O76" s="121"/>
      <c r="P76" s="121"/>
      <c r="Q76" s="360"/>
      <c r="R76" s="969" t="s">
        <v>63</v>
      </c>
      <c r="S76" s="969"/>
      <c r="T76" s="969"/>
      <c r="U76" s="369">
        <f>VLOOKUP($V$21,$R$309:$Z$314,5)</f>
        <v>108.02059991327964</v>
      </c>
      <c r="V76" s="369">
        <f>VLOOKUP($V$21,$R$309:$Z$314,3)</f>
        <v>114.02059991327963</v>
      </c>
      <c r="W76" s="369">
        <f>VLOOKUP($V$21,$R$309:$Z$314,4)</f>
        <v>115.02059991327963</v>
      </c>
      <c r="X76" s="369">
        <f>VLOOKUP($V$21,$R$309:$Z$314,2)</f>
        <v>122.02059991327964</v>
      </c>
      <c r="Y76" s="361"/>
      <c r="Z76" s="364"/>
      <c r="AA76"/>
      <c r="AB76"/>
      <c r="AC76"/>
      <c r="AD76"/>
      <c r="AE76"/>
      <c r="AF76"/>
      <c r="AJ76" s="17"/>
    </row>
    <row r="77" spans="1:36" ht="12.75" customHeight="1">
      <c r="Q77" s="360"/>
      <c r="R77" s="969" t="s">
        <v>64</v>
      </c>
      <c r="S77" s="969"/>
      <c r="T77" s="969"/>
      <c r="U77" s="369">
        <f>U76-PPE!$I$15</f>
        <v>95.020599913279639</v>
      </c>
      <c r="V77" s="369">
        <f>V76-PPE!$I$15</f>
        <v>101.02059991327963</v>
      </c>
      <c r="W77" s="369">
        <f>W76-PPE!$I$15</f>
        <v>102.02059991327963</v>
      </c>
      <c r="X77" s="369">
        <f>X76-PPE!$I$15</f>
        <v>109.02059991327964</v>
      </c>
      <c r="Y77" s="361"/>
      <c r="Z77" s="364"/>
      <c r="AA77"/>
      <c r="AB77"/>
      <c r="AC77"/>
      <c r="AD77"/>
      <c r="AE77"/>
      <c r="AF77"/>
      <c r="AJ77" s="17"/>
    </row>
    <row r="78" spans="1:36" ht="12.75" customHeight="1">
      <c r="Q78" s="360"/>
      <c r="R78" s="969" t="s">
        <v>529</v>
      </c>
      <c r="S78" s="969"/>
      <c r="T78" s="969"/>
      <c r="U78" s="369">
        <v>110</v>
      </c>
      <c r="V78" s="369">
        <v>110</v>
      </c>
      <c r="W78" s="369">
        <v>110</v>
      </c>
      <c r="X78" s="369">
        <v>110</v>
      </c>
      <c r="Y78" s="361"/>
      <c r="Z78" s="364"/>
      <c r="AA78"/>
      <c r="AB78"/>
      <c r="AC78"/>
      <c r="AD78"/>
      <c r="AE78"/>
      <c r="AF78"/>
      <c r="AJ78" s="17"/>
    </row>
    <row r="79" spans="1:36" ht="12.75" customHeight="1">
      <c r="Q79" s="360"/>
      <c r="R79" s="364"/>
      <c r="S79" s="364"/>
      <c r="T79" s="364"/>
      <c r="U79" s="555"/>
      <c r="V79" s="555"/>
      <c r="W79" s="555"/>
      <c r="X79" s="555"/>
      <c r="Y79" s="555"/>
      <c r="Z79" s="364"/>
      <c r="AA79"/>
      <c r="AB79"/>
      <c r="AC79"/>
      <c r="AD79"/>
      <c r="AE79"/>
      <c r="AF79"/>
      <c r="AJ79" s="17"/>
    </row>
    <row r="80" spans="1:36" ht="12.75" customHeight="1">
      <c r="Q80" s="385" t="s">
        <v>305</v>
      </c>
      <c r="R80" s="1008" t="s">
        <v>218</v>
      </c>
      <c r="S80" s="1008"/>
      <c r="T80" s="1008"/>
      <c r="U80" s="1008"/>
      <c r="V80" s="1008"/>
      <c r="W80" s="1008"/>
      <c r="X80" s="1008"/>
      <c r="Y80" s="1008"/>
      <c r="Z80" s="536"/>
      <c r="AA80"/>
      <c r="AB80"/>
      <c r="AC80"/>
      <c r="AD80"/>
      <c r="AE80"/>
      <c r="AF80"/>
      <c r="AJ80" s="17"/>
    </row>
    <row r="81" spans="17:36" ht="12.75" customHeight="1">
      <c r="Q81" s="546"/>
      <c r="R81" s="363"/>
      <c r="S81" s="363"/>
      <c r="T81" s="363"/>
      <c r="U81" s="363"/>
      <c r="V81" s="363"/>
      <c r="W81" s="363"/>
      <c r="X81" s="363"/>
      <c r="Y81" s="363"/>
      <c r="Z81" s="364"/>
      <c r="AA81"/>
      <c r="AB81"/>
      <c r="AC81"/>
      <c r="AD81"/>
      <c r="AE81"/>
      <c r="AF81"/>
      <c r="AJ81" s="43"/>
    </row>
    <row r="82" spans="17:36" ht="12.75" customHeight="1">
      <c r="Q82" s="546"/>
      <c r="R82" s="363" t="s">
        <v>436</v>
      </c>
      <c r="S82" s="363"/>
      <c r="T82" s="363"/>
      <c r="U82" s="363"/>
      <c r="V82" s="363"/>
      <c r="W82" s="363"/>
      <c r="X82" s="363"/>
      <c r="Y82" s="363"/>
      <c r="Z82" s="364"/>
      <c r="AA82"/>
      <c r="AB82"/>
      <c r="AC82"/>
      <c r="AD82"/>
      <c r="AE82"/>
      <c r="AF82"/>
      <c r="AJ82" s="43"/>
    </row>
    <row r="83" spans="17:36" ht="12.75" customHeight="1">
      <c r="Q83" s="360"/>
      <c r="R83" s="935" t="s">
        <v>678</v>
      </c>
      <c r="S83" s="935"/>
      <c r="T83" s="935"/>
      <c r="U83" s="949" t="s">
        <v>500</v>
      </c>
      <c r="V83" s="1011" t="s">
        <v>22</v>
      </c>
      <c r="W83" s="1013" t="s">
        <v>579</v>
      </c>
      <c r="X83" s="1009" t="s">
        <v>21</v>
      </c>
      <c r="Y83" s="361"/>
      <c r="Z83" s="364"/>
      <c r="AA83"/>
      <c r="AB83"/>
      <c r="AC83"/>
      <c r="AD83"/>
      <c r="AE83"/>
      <c r="AF83"/>
      <c r="AJ83" s="43"/>
    </row>
    <row r="84" spans="17:36" ht="12.75" customHeight="1">
      <c r="Q84" s="360"/>
      <c r="R84" s="935"/>
      <c r="S84" s="935"/>
      <c r="T84" s="935"/>
      <c r="U84" s="950"/>
      <c r="V84" s="1012"/>
      <c r="W84" s="1014"/>
      <c r="X84" s="1010"/>
      <c r="Y84" s="361"/>
      <c r="Z84" s="364"/>
      <c r="AA84"/>
      <c r="AB84"/>
      <c r="AC84"/>
      <c r="AD84"/>
      <c r="AE84"/>
      <c r="AF84"/>
    </row>
    <row r="85" spans="17:36" ht="12.75" customHeight="1">
      <c r="Q85" s="360"/>
      <c r="R85" s="969" t="s">
        <v>63</v>
      </c>
      <c r="S85" s="969"/>
      <c r="T85" s="969"/>
      <c r="U85" s="369">
        <f>U414</f>
        <v>97.15</v>
      </c>
      <c r="V85" s="369">
        <f>U356</f>
        <v>101.95</v>
      </c>
      <c r="W85" s="369">
        <f>U385</f>
        <v>102.4</v>
      </c>
      <c r="X85" s="369">
        <f>U327</f>
        <v>108.5</v>
      </c>
      <c r="Y85" s="361"/>
      <c r="Z85" s="364"/>
      <c r="AA85"/>
      <c r="AB85"/>
      <c r="AC85"/>
      <c r="AD85"/>
      <c r="AE85"/>
      <c r="AF85"/>
    </row>
    <row r="86" spans="17:36" ht="12.75" customHeight="1">
      <c r="Q86" s="360"/>
      <c r="R86" s="969" t="s">
        <v>64</v>
      </c>
      <c r="S86" s="969"/>
      <c r="T86" s="969"/>
      <c r="U86" s="369">
        <f>U427</f>
        <v>84.15</v>
      </c>
      <c r="V86" s="369">
        <f>U369</f>
        <v>88.95</v>
      </c>
      <c r="W86" s="369">
        <f>U398</f>
        <v>89.3</v>
      </c>
      <c r="X86" s="369">
        <f>U340</f>
        <v>95.55</v>
      </c>
      <c r="Y86" s="361"/>
      <c r="Z86" s="364"/>
      <c r="AA86"/>
      <c r="AB86"/>
      <c r="AC86"/>
      <c r="AD86"/>
      <c r="AE86"/>
      <c r="AF86"/>
    </row>
    <row r="87" spans="17:36" ht="12.75" customHeight="1">
      <c r="Q87" s="360"/>
      <c r="R87" s="969" t="s">
        <v>530</v>
      </c>
      <c r="S87" s="969"/>
      <c r="T87" s="969"/>
      <c r="U87" s="369">
        <v>85</v>
      </c>
      <c r="V87" s="369">
        <v>85</v>
      </c>
      <c r="W87" s="369">
        <v>85</v>
      </c>
      <c r="X87" s="369">
        <v>85</v>
      </c>
      <c r="Y87" s="361"/>
      <c r="Z87" s="364"/>
      <c r="AA87"/>
      <c r="AB87"/>
      <c r="AC87"/>
      <c r="AD87"/>
      <c r="AE87"/>
      <c r="AF87"/>
    </row>
    <row r="88" spans="17:36" ht="12.75" customHeight="1">
      <c r="Q88" s="360"/>
      <c r="R88" s="363"/>
      <c r="S88" s="363"/>
      <c r="T88" s="363"/>
      <c r="U88" s="363"/>
      <c r="V88" s="363"/>
      <c r="W88" s="363"/>
      <c r="X88" s="363"/>
      <c r="Y88" s="363"/>
      <c r="Z88" s="364"/>
      <c r="AA88"/>
      <c r="AB88"/>
      <c r="AC88"/>
      <c r="AD88"/>
      <c r="AE88"/>
      <c r="AF88"/>
    </row>
    <row r="89" spans="17:36" ht="12.75" customHeight="1">
      <c r="Q89" s="360"/>
      <c r="R89" s="363" t="s">
        <v>437</v>
      </c>
      <c r="S89" s="363"/>
      <c r="T89" s="363"/>
      <c r="U89" s="363"/>
      <c r="V89" s="363"/>
      <c r="W89" s="363"/>
      <c r="X89" s="363"/>
      <c r="Y89" s="363"/>
      <c r="Z89" s="364"/>
      <c r="AA89"/>
      <c r="AB89"/>
      <c r="AC89"/>
      <c r="AD89"/>
      <c r="AE89"/>
      <c r="AF89"/>
    </row>
    <row r="90" spans="17:36" ht="12.75" customHeight="1">
      <c r="Q90" s="360"/>
      <c r="R90" s="935" t="s">
        <v>678</v>
      </c>
      <c r="S90" s="935"/>
      <c r="T90" s="935"/>
      <c r="U90" s="949" t="s">
        <v>500</v>
      </c>
      <c r="V90" s="1011" t="s">
        <v>22</v>
      </c>
      <c r="W90" s="1013" t="s">
        <v>579</v>
      </c>
      <c r="X90" s="1009" t="s">
        <v>21</v>
      </c>
      <c r="Y90" s="361"/>
      <c r="Z90" s="364"/>
      <c r="AA90"/>
      <c r="AB90"/>
      <c r="AC90"/>
      <c r="AD90"/>
      <c r="AE90"/>
      <c r="AF90"/>
    </row>
    <row r="91" spans="17:36" ht="12.75" customHeight="1">
      <c r="Q91" s="360"/>
      <c r="R91" s="935"/>
      <c r="S91" s="935"/>
      <c r="T91" s="935"/>
      <c r="U91" s="950"/>
      <c r="V91" s="1012"/>
      <c r="W91" s="1014"/>
      <c r="X91" s="1010"/>
      <c r="Y91" s="361"/>
      <c r="Z91" s="364"/>
      <c r="AA91"/>
      <c r="AB91"/>
      <c r="AC91"/>
      <c r="AD91"/>
      <c r="AE91"/>
      <c r="AF91"/>
    </row>
    <row r="92" spans="17:36" ht="12.75" customHeight="1">
      <c r="Q92" s="360"/>
      <c r="R92" s="969" t="s">
        <v>63</v>
      </c>
      <c r="S92" s="969"/>
      <c r="T92" s="969"/>
      <c r="U92" s="369">
        <f>U533</f>
        <v>103.15</v>
      </c>
      <c r="V92" s="369">
        <f>U475</f>
        <v>107.95</v>
      </c>
      <c r="W92" s="369">
        <f>U504</f>
        <v>108.4</v>
      </c>
      <c r="X92" s="369">
        <f>U446</f>
        <v>113.95</v>
      </c>
      <c r="Y92" s="361"/>
      <c r="Z92" s="364"/>
      <c r="AA92"/>
      <c r="AB92"/>
      <c r="AC92"/>
      <c r="AD92"/>
      <c r="AE92"/>
      <c r="AF92"/>
    </row>
    <row r="93" spans="17:36" ht="12.75" customHeight="1">
      <c r="Q93" s="360"/>
      <c r="R93" s="969" t="s">
        <v>64</v>
      </c>
      <c r="S93" s="969"/>
      <c r="T93" s="969"/>
      <c r="U93" s="369">
        <f>U546</f>
        <v>90.15</v>
      </c>
      <c r="V93" s="369">
        <f>U488</f>
        <v>94.95</v>
      </c>
      <c r="W93" s="369">
        <f>U517</f>
        <v>95.3</v>
      </c>
      <c r="X93" s="369">
        <f>U459</f>
        <v>101.55</v>
      </c>
      <c r="Y93" s="361"/>
      <c r="Z93" s="364"/>
      <c r="AA93"/>
      <c r="AB93"/>
      <c r="AC93"/>
      <c r="AD93"/>
      <c r="AE93"/>
      <c r="AF93"/>
    </row>
    <row r="94" spans="17:36" ht="12.75" customHeight="1">
      <c r="Q94" s="360"/>
      <c r="R94" s="969" t="s">
        <v>530</v>
      </c>
      <c r="S94" s="969"/>
      <c r="T94" s="969"/>
      <c r="U94" s="369">
        <v>85</v>
      </c>
      <c r="V94" s="369">
        <v>85</v>
      </c>
      <c r="W94" s="369">
        <v>85</v>
      </c>
      <c r="X94" s="369">
        <v>85</v>
      </c>
      <c r="Y94" s="361"/>
      <c r="Z94" s="364"/>
      <c r="AA94"/>
      <c r="AB94"/>
      <c r="AC94"/>
      <c r="AD94"/>
      <c r="AE94"/>
      <c r="AF94"/>
    </row>
    <row r="95" spans="17:36" ht="12.75" customHeight="1">
      <c r="Q95" s="360"/>
      <c r="R95" s="363"/>
      <c r="S95" s="363"/>
      <c r="T95" s="363"/>
      <c r="U95" s="363"/>
      <c r="V95" s="363"/>
      <c r="W95" s="363"/>
      <c r="X95" s="363"/>
      <c r="Y95" s="363"/>
      <c r="Z95" s="364"/>
      <c r="AA95"/>
      <c r="AB95"/>
      <c r="AC95"/>
      <c r="AD95"/>
      <c r="AE95"/>
      <c r="AF95"/>
    </row>
    <row r="96" spans="17:36" ht="12.75" customHeight="1">
      <c r="Q96" s="385" t="s">
        <v>222</v>
      </c>
      <c r="R96" s="1008" t="s">
        <v>504</v>
      </c>
      <c r="S96" s="1008"/>
      <c r="T96" s="1008"/>
      <c r="U96" s="1008"/>
      <c r="V96" s="1008"/>
      <c r="W96" s="1008"/>
      <c r="X96" s="1008"/>
      <c r="Y96" s="1008"/>
      <c r="Z96" s="547"/>
      <c r="AA96"/>
      <c r="AB96"/>
      <c r="AC96"/>
      <c r="AD96"/>
      <c r="AE96"/>
      <c r="AF96"/>
    </row>
    <row r="97" spans="1:32" s="133" customFormat="1" ht="12.75" customHeight="1">
      <c r="A97" s="1"/>
      <c r="Q97" s="360"/>
      <c r="R97" s="363"/>
      <c r="S97" s="363"/>
      <c r="T97" s="363"/>
      <c r="U97" s="363"/>
      <c r="V97" s="363"/>
      <c r="W97" s="363"/>
      <c r="X97" s="363"/>
      <c r="Y97" s="363"/>
      <c r="Z97" s="364"/>
      <c r="AA97"/>
      <c r="AB97"/>
      <c r="AC97"/>
      <c r="AD97"/>
      <c r="AE97"/>
      <c r="AF97"/>
    </row>
    <row r="98" spans="1:32" ht="12.75" customHeight="1">
      <c r="Q98" s="360" t="s">
        <v>505</v>
      </c>
      <c r="R98" s="363" t="s">
        <v>514</v>
      </c>
      <c r="S98" s="363"/>
      <c r="T98" s="363"/>
      <c r="U98" s="363"/>
      <c r="V98" s="363"/>
      <c r="W98" s="363"/>
      <c r="X98" s="363"/>
      <c r="Y98" s="363"/>
      <c r="Z98" s="364"/>
      <c r="AA98"/>
      <c r="AB98"/>
      <c r="AC98"/>
      <c r="AD98"/>
      <c r="AE98"/>
      <c r="AF98"/>
    </row>
    <row r="99" spans="1:32" ht="12.75" customHeight="1">
      <c r="Q99" s="360"/>
      <c r="R99" s="363" t="s">
        <v>512</v>
      </c>
      <c r="S99" s="363"/>
      <c r="T99" s="363"/>
      <c r="U99" s="363"/>
      <c r="V99" s="363"/>
      <c r="W99" s="363"/>
      <c r="X99" s="363"/>
      <c r="Y99" s="363"/>
      <c r="Z99" s="364"/>
      <c r="AA99"/>
      <c r="AB99"/>
      <c r="AC99"/>
      <c r="AD99"/>
      <c r="AE99"/>
      <c r="AF99"/>
    </row>
    <row r="100" spans="1:32" ht="12.75" customHeight="1">
      <c r="Q100" s="360"/>
      <c r="R100" s="998" t="s">
        <v>191</v>
      </c>
      <c r="S100" s="999"/>
      <c r="T100" s="1000"/>
      <c r="U100" s="949" t="s">
        <v>500</v>
      </c>
      <c r="V100" s="938" t="s">
        <v>22</v>
      </c>
      <c r="W100" s="940" t="s">
        <v>579</v>
      </c>
      <c r="X100" s="942" t="s">
        <v>21</v>
      </c>
      <c r="Y100" s="361"/>
      <c r="Z100" s="364"/>
      <c r="AA100"/>
      <c r="AB100"/>
      <c r="AC100"/>
      <c r="AD100"/>
      <c r="AE100"/>
      <c r="AF100"/>
    </row>
    <row r="101" spans="1:32" ht="12.75" customHeight="1">
      <c r="Q101" s="360"/>
      <c r="R101" s="1001"/>
      <c r="S101" s="1002"/>
      <c r="T101" s="1003"/>
      <c r="U101" s="950"/>
      <c r="V101" s="939"/>
      <c r="W101" s="941"/>
      <c r="X101" s="943"/>
      <c r="Y101" s="361"/>
      <c r="Z101" s="364"/>
      <c r="AA101"/>
      <c r="AB101"/>
      <c r="AC101"/>
      <c r="AD101"/>
      <c r="AE101"/>
      <c r="AF101"/>
    </row>
    <row r="102" spans="1:32" ht="12.75" customHeight="1">
      <c r="Q102" s="360"/>
      <c r="R102" s="969" t="s">
        <v>63</v>
      </c>
      <c r="S102" s="969"/>
      <c r="T102" s="969"/>
      <c r="U102" s="537">
        <f>VLOOKUP(U69,'Lookup Exposure Time'!$B$12:$C$732,2)</f>
        <v>10</v>
      </c>
      <c r="V102" s="537">
        <f>VLOOKUP(V69,'Lookup Exposure Time'!$B$12:$C$732,2)</f>
        <v>2.5</v>
      </c>
      <c r="W102" s="537">
        <f>VLOOKUP(W69,'Lookup Exposure Time'!$B$12:$C$732,2)</f>
        <v>1.875</v>
      </c>
      <c r="X102" s="537">
        <f>VLOOKUP(X69,'Lookup Exposure Time'!$B$12:$C$732,2)</f>
        <v>0.39061999999999986</v>
      </c>
      <c r="Y102" s="361"/>
      <c r="Z102" s="364"/>
      <c r="AA102"/>
      <c r="AB102"/>
      <c r="AC102"/>
      <c r="AD102"/>
      <c r="AE102"/>
      <c r="AF102"/>
    </row>
    <row r="103" spans="1:32" ht="12.75" customHeight="1">
      <c r="Q103" s="360"/>
      <c r="R103" s="969" t="s">
        <v>64</v>
      </c>
      <c r="S103" s="969"/>
      <c r="T103" s="969"/>
      <c r="U103" s="537">
        <f>VLOOKUP(U70,'Lookup Exposure Time'!$B$12:$C$732,2)</f>
        <v>200</v>
      </c>
      <c r="V103" s="537">
        <f>VLOOKUP(V70,'Lookup Exposure Time'!$B$12:$C$732,2)</f>
        <v>50</v>
      </c>
      <c r="W103" s="537">
        <f>VLOOKUP(W70,'Lookup Exposure Time'!$B$12:$C$732,2)</f>
        <v>40</v>
      </c>
      <c r="X103" s="537">
        <f>VLOOKUP(X70,'Lookup Exposure Time'!$B$12:$C$732,2)</f>
        <v>7.5</v>
      </c>
      <c r="Y103" s="361"/>
      <c r="Z103" s="364"/>
      <c r="AA103"/>
      <c r="AB103"/>
      <c r="AC103"/>
      <c r="AD103"/>
      <c r="AE103"/>
      <c r="AF103"/>
    </row>
    <row r="104" spans="1:32" ht="12.75" customHeight="1">
      <c r="Q104" s="360"/>
      <c r="R104" s="364"/>
      <c r="S104" s="364"/>
      <c r="T104" s="364"/>
      <c r="U104" s="364"/>
      <c r="V104" s="364"/>
      <c r="W104" s="364"/>
      <c r="X104" s="364"/>
      <c r="Y104" s="363"/>
      <c r="Z104" s="364"/>
      <c r="AA104"/>
      <c r="AB104"/>
      <c r="AC104"/>
      <c r="AD104"/>
      <c r="AE104"/>
      <c r="AF104"/>
    </row>
    <row r="105" spans="1:32" ht="12.75" customHeight="1">
      <c r="Q105" s="360" t="s">
        <v>507</v>
      </c>
      <c r="R105" s="363" t="s">
        <v>513</v>
      </c>
      <c r="S105" s="363"/>
      <c r="T105" s="363"/>
      <c r="U105" s="363"/>
      <c r="V105" s="363"/>
      <c r="W105" s="363"/>
      <c r="X105" s="363"/>
      <c r="Y105" s="363"/>
      <c r="Z105" s="364"/>
      <c r="AA105"/>
      <c r="AB105"/>
      <c r="AC105"/>
      <c r="AD105"/>
      <c r="AE105"/>
      <c r="AF105"/>
    </row>
    <row r="106" spans="1:32" ht="12.75" customHeight="1">
      <c r="Q106" s="360"/>
      <c r="R106" s="998" t="s">
        <v>191</v>
      </c>
      <c r="S106" s="999"/>
      <c r="T106" s="1000"/>
      <c r="U106" s="949" t="s">
        <v>500</v>
      </c>
      <c r="V106" s="938" t="s">
        <v>22</v>
      </c>
      <c r="W106" s="940" t="s">
        <v>579</v>
      </c>
      <c r="X106" s="942" t="s">
        <v>21</v>
      </c>
      <c r="Y106" s="361"/>
      <c r="Z106" s="364"/>
      <c r="AA106"/>
      <c r="AB106"/>
      <c r="AC106"/>
      <c r="AD106"/>
      <c r="AE106"/>
      <c r="AF106"/>
    </row>
    <row r="107" spans="1:32" ht="12.75" customHeight="1">
      <c r="Q107" s="360"/>
      <c r="R107" s="1001"/>
      <c r="S107" s="1002"/>
      <c r="T107" s="1003"/>
      <c r="U107" s="950"/>
      <c r="V107" s="939"/>
      <c r="W107" s="941"/>
      <c r="X107" s="943"/>
      <c r="Y107" s="361"/>
      <c r="Z107" s="364"/>
      <c r="AA107"/>
      <c r="AB107"/>
      <c r="AC107"/>
      <c r="AD107"/>
      <c r="AE107"/>
      <c r="AF107"/>
    </row>
    <row r="108" spans="1:32" ht="12.75" customHeight="1">
      <c r="Q108" s="360"/>
      <c r="R108" s="969" t="s">
        <v>63</v>
      </c>
      <c r="S108" s="969"/>
      <c r="T108" s="969"/>
      <c r="U108" s="671">
        <f>VLOOKUP(U76,'Lookup Exposure Time'!$B$12:$C$732,2)</f>
        <v>2.5</v>
      </c>
      <c r="V108" s="671">
        <f>VLOOKUP(V76,'Lookup Exposure Time'!$B$12:$C$732,2)</f>
        <v>0.625</v>
      </c>
      <c r="W108" s="671">
        <f>VLOOKUP(W76,'Lookup Exposure Time'!$B$12:$C$732,2)</f>
        <v>0.46875</v>
      </c>
      <c r="X108" s="671">
        <f>VLOOKUP(X76,'Lookup Exposure Time'!$B$12:$C$732,2)</f>
        <v>9.765625E-2</v>
      </c>
      <c r="Y108" s="361"/>
      <c r="Z108" s="364"/>
      <c r="AA108"/>
      <c r="AB108"/>
      <c r="AC108"/>
      <c r="AD108"/>
      <c r="AE108"/>
      <c r="AF108"/>
    </row>
    <row r="109" spans="1:32" ht="12.75" customHeight="1">
      <c r="Q109" s="360"/>
      <c r="R109" s="969" t="s">
        <v>64</v>
      </c>
      <c r="S109" s="969"/>
      <c r="T109" s="969"/>
      <c r="U109" s="557">
        <f>VLOOKUP(U77,'Lookup Exposure Time'!$B$12:$C$732,2)</f>
        <v>50</v>
      </c>
      <c r="V109" s="557">
        <f>VLOOKUP(V77,'Lookup Exposure Time'!$B$12:$C$732,2)</f>
        <v>12.5</v>
      </c>
      <c r="W109" s="557">
        <f>VLOOKUP(W77,'Lookup Exposure Time'!$B$12:$C$732,2)</f>
        <v>10</v>
      </c>
      <c r="X109" s="557">
        <f>VLOOKUP(X77,'Lookup Exposure Time'!$B$12:$C$732,2)</f>
        <v>1.875</v>
      </c>
      <c r="Y109" s="361"/>
      <c r="Z109" s="364"/>
      <c r="AA109"/>
      <c r="AB109"/>
      <c r="AC109"/>
      <c r="AD109"/>
      <c r="AE109"/>
      <c r="AF109"/>
    </row>
    <row r="110" spans="1:32" ht="12.75" customHeight="1">
      <c r="Q110" s="360"/>
      <c r="R110" s="363"/>
      <c r="S110" s="363"/>
      <c r="T110" s="363"/>
      <c r="U110" s="363"/>
      <c r="V110" s="363"/>
      <c r="W110" s="363"/>
      <c r="X110" s="363"/>
      <c r="Y110" s="363"/>
      <c r="Z110" s="364"/>
      <c r="AA110"/>
      <c r="AB110"/>
      <c r="AC110"/>
      <c r="AD110"/>
      <c r="AE110"/>
      <c r="AF110"/>
    </row>
    <row r="111" spans="1:32" ht="12.75" customHeight="1">
      <c r="Q111" s="360" t="s">
        <v>508</v>
      </c>
      <c r="R111" s="363" t="s">
        <v>531</v>
      </c>
      <c r="S111" s="363"/>
      <c r="T111" s="363"/>
      <c r="U111" s="363"/>
      <c r="V111" s="363"/>
      <c r="W111" s="363"/>
      <c r="X111" s="363"/>
      <c r="Y111" s="363"/>
      <c r="Z111" s="364"/>
      <c r="AA111"/>
      <c r="AB111"/>
      <c r="AC111"/>
      <c r="AD111"/>
      <c r="AE111"/>
      <c r="AF111"/>
    </row>
    <row r="112" spans="1:32" ht="12.75" customHeight="1">
      <c r="Q112" s="360"/>
      <c r="R112" s="998" t="s">
        <v>191</v>
      </c>
      <c r="S112" s="999"/>
      <c r="T112" s="1000"/>
      <c r="U112" s="949" t="s">
        <v>500</v>
      </c>
      <c r="V112" s="938" t="s">
        <v>22</v>
      </c>
      <c r="W112" s="940" t="s">
        <v>579</v>
      </c>
      <c r="X112" s="942" t="s">
        <v>21</v>
      </c>
      <c r="Y112" s="361"/>
      <c r="Z112" s="364"/>
      <c r="AA112"/>
      <c r="AB112"/>
      <c r="AC112"/>
      <c r="AD112"/>
      <c r="AE112"/>
      <c r="AF112"/>
    </row>
    <row r="113" spans="17:32" ht="12.75" customHeight="1">
      <c r="Q113" s="360"/>
      <c r="R113" s="1001"/>
      <c r="S113" s="1002"/>
      <c r="T113" s="1003"/>
      <c r="U113" s="950"/>
      <c r="V113" s="939"/>
      <c r="W113" s="941"/>
      <c r="X113" s="943"/>
      <c r="Y113" s="361"/>
      <c r="Z113" s="364"/>
      <c r="AA113"/>
      <c r="AB113"/>
      <c r="AC113"/>
      <c r="AD113"/>
      <c r="AE113"/>
      <c r="AF113"/>
    </row>
    <row r="114" spans="17:32" ht="12.75" customHeight="1">
      <c r="Q114" s="360"/>
      <c r="R114" s="969" t="s">
        <v>63</v>
      </c>
      <c r="S114" s="969"/>
      <c r="T114" s="969"/>
      <c r="U114" s="537">
        <f t="shared" ref="U114:X115" si="0">U102/60</f>
        <v>0.16666666666666666</v>
      </c>
      <c r="V114" s="537">
        <f t="shared" si="0"/>
        <v>4.1666666666666664E-2</v>
      </c>
      <c r="W114" s="537">
        <f t="shared" si="0"/>
        <v>3.125E-2</v>
      </c>
      <c r="X114" s="537">
        <f t="shared" si="0"/>
        <v>6.5103333333333306E-3</v>
      </c>
      <c r="Y114" s="361"/>
      <c r="Z114" s="364"/>
      <c r="AA114"/>
      <c r="AB114"/>
      <c r="AC114"/>
      <c r="AD114"/>
      <c r="AE114"/>
      <c r="AF114"/>
    </row>
    <row r="115" spans="17:32" ht="12.75" customHeight="1">
      <c r="Q115" s="360"/>
      <c r="R115" s="969" t="s">
        <v>64</v>
      </c>
      <c r="S115" s="969"/>
      <c r="T115" s="969"/>
      <c r="U115" s="537">
        <f t="shared" si="0"/>
        <v>3.3333333333333335</v>
      </c>
      <c r="V115" s="537">
        <f t="shared" si="0"/>
        <v>0.83333333333333337</v>
      </c>
      <c r="W115" s="537">
        <f t="shared" si="0"/>
        <v>0.66666666666666663</v>
      </c>
      <c r="X115" s="537">
        <f t="shared" si="0"/>
        <v>0.125</v>
      </c>
      <c r="Y115" s="361"/>
      <c r="Z115" s="364"/>
      <c r="AA115"/>
      <c r="AB115"/>
      <c r="AC115"/>
      <c r="AD115"/>
      <c r="AE115"/>
      <c r="AF115"/>
    </row>
    <row r="116" spans="17:32" ht="12.75" customHeight="1">
      <c r="Q116" s="360"/>
      <c r="R116" s="364"/>
      <c r="S116" s="364"/>
      <c r="T116" s="364"/>
      <c r="U116" s="364"/>
      <c r="V116" s="364"/>
      <c r="W116" s="364"/>
      <c r="X116" s="364"/>
      <c r="Y116" s="363"/>
      <c r="Z116" s="364"/>
      <c r="AA116"/>
      <c r="AB116"/>
      <c r="AC116"/>
      <c r="AD116"/>
      <c r="AE116"/>
      <c r="AF116"/>
    </row>
    <row r="117" spans="17:32" ht="12.75" customHeight="1">
      <c r="Q117" s="360" t="s">
        <v>506</v>
      </c>
      <c r="R117" s="363" t="s">
        <v>532</v>
      </c>
      <c r="S117" s="363"/>
      <c r="T117" s="363"/>
      <c r="U117" s="363"/>
      <c r="V117" s="363"/>
      <c r="W117" s="363"/>
      <c r="X117" s="363"/>
      <c r="Y117" s="363"/>
      <c r="Z117" s="364"/>
      <c r="AA117"/>
      <c r="AB117"/>
      <c r="AC117"/>
      <c r="AD117"/>
      <c r="AE117"/>
      <c r="AF117"/>
    </row>
    <row r="118" spans="17:32" ht="12.75" customHeight="1">
      <c r="Q118" s="360"/>
      <c r="R118" s="998" t="s">
        <v>191</v>
      </c>
      <c r="S118" s="999"/>
      <c r="T118" s="1000"/>
      <c r="U118" s="949" t="s">
        <v>500</v>
      </c>
      <c r="V118" s="938" t="s">
        <v>22</v>
      </c>
      <c r="W118" s="940" t="s">
        <v>579</v>
      </c>
      <c r="X118" s="942" t="s">
        <v>21</v>
      </c>
      <c r="Y118" s="361"/>
      <c r="Z118" s="364"/>
      <c r="AA118"/>
      <c r="AB118"/>
      <c r="AC118"/>
      <c r="AD118"/>
      <c r="AE118"/>
      <c r="AF118"/>
    </row>
    <row r="119" spans="17:32" ht="12.75" customHeight="1">
      <c r="Q119" s="360"/>
      <c r="R119" s="1001"/>
      <c r="S119" s="1002"/>
      <c r="T119" s="1003"/>
      <c r="U119" s="950"/>
      <c r="V119" s="939"/>
      <c r="W119" s="941"/>
      <c r="X119" s="943"/>
      <c r="Y119" s="361"/>
      <c r="Z119" s="364"/>
      <c r="AA119"/>
      <c r="AB119"/>
      <c r="AC119"/>
      <c r="AD119"/>
      <c r="AE119"/>
      <c r="AF119"/>
    </row>
    <row r="120" spans="17:32" ht="12.75" customHeight="1">
      <c r="Q120" s="360"/>
      <c r="R120" s="969" t="s">
        <v>63</v>
      </c>
      <c r="S120" s="969"/>
      <c r="T120" s="969"/>
      <c r="U120" s="537">
        <f t="shared" ref="U120:X121" si="1">U108/60</f>
        <v>4.1666666666666664E-2</v>
      </c>
      <c r="V120" s="537">
        <f t="shared" si="1"/>
        <v>1.0416666666666666E-2</v>
      </c>
      <c r="W120" s="537">
        <f t="shared" si="1"/>
        <v>7.8125E-3</v>
      </c>
      <c r="X120" s="537">
        <f t="shared" si="1"/>
        <v>1.6276041666666667E-3</v>
      </c>
      <c r="Y120" s="361"/>
      <c r="Z120" s="364"/>
      <c r="AA120"/>
      <c r="AB120"/>
      <c r="AC120"/>
      <c r="AD120"/>
      <c r="AE120"/>
      <c r="AF120"/>
    </row>
    <row r="121" spans="17:32" ht="12.75" customHeight="1">
      <c r="Q121" s="360"/>
      <c r="R121" s="969" t="s">
        <v>64</v>
      </c>
      <c r="S121" s="969"/>
      <c r="T121" s="969"/>
      <c r="U121" s="537">
        <f t="shared" si="1"/>
        <v>0.83333333333333337</v>
      </c>
      <c r="V121" s="537">
        <f t="shared" si="1"/>
        <v>0.20833333333333334</v>
      </c>
      <c r="W121" s="537">
        <f t="shared" si="1"/>
        <v>0.16666666666666666</v>
      </c>
      <c r="X121" s="537">
        <f t="shared" si="1"/>
        <v>3.125E-2</v>
      </c>
      <c r="Y121" s="361"/>
      <c r="Z121" s="364"/>
      <c r="AA121"/>
      <c r="AB121"/>
      <c r="AC121"/>
      <c r="AD121"/>
      <c r="AE121"/>
      <c r="AF121"/>
    </row>
    <row r="122" spans="17:32" ht="12.75" customHeight="1">
      <c r="Q122" s="360"/>
      <c r="R122" s="363"/>
      <c r="S122" s="363"/>
      <c r="T122" s="363"/>
      <c r="U122" s="363"/>
      <c r="V122" s="363"/>
      <c r="W122" s="363"/>
      <c r="X122" s="363"/>
      <c r="Y122" s="363"/>
      <c r="Z122" s="364"/>
      <c r="AA122"/>
      <c r="AB122"/>
      <c r="AC122"/>
      <c r="AD122"/>
      <c r="AE122"/>
      <c r="AF122"/>
    </row>
    <row r="123" spans="17:32" ht="12.75" customHeight="1">
      <c r="Q123" s="546" t="s">
        <v>231</v>
      </c>
      <c r="R123" s="952" t="s">
        <v>232</v>
      </c>
      <c r="S123" s="952"/>
      <c r="T123" s="952"/>
      <c r="U123" s="952"/>
      <c r="V123" s="952"/>
      <c r="W123" s="952"/>
      <c r="X123" s="952"/>
      <c r="Y123" s="952"/>
      <c r="Z123" s="360"/>
      <c r="AA123"/>
      <c r="AB123"/>
      <c r="AC123"/>
      <c r="AD123"/>
      <c r="AE123"/>
      <c r="AF123"/>
    </row>
    <row r="124" spans="17:32" ht="12.75" customHeight="1">
      <c r="Q124" s="546"/>
      <c r="R124" s="360"/>
      <c r="S124" s="360"/>
      <c r="T124" s="360"/>
      <c r="U124" s="360"/>
      <c r="V124" s="360"/>
      <c r="W124" s="360"/>
      <c r="X124" s="360"/>
      <c r="Y124" s="360"/>
      <c r="Z124" s="360"/>
      <c r="AA124"/>
      <c r="AB124"/>
      <c r="AC124"/>
      <c r="AD124"/>
      <c r="AE124"/>
      <c r="AF124"/>
    </row>
    <row r="125" spans="17:32" ht="12.75" customHeight="1">
      <c r="Q125" s="546"/>
      <c r="R125" s="363" t="s">
        <v>233</v>
      </c>
      <c r="S125" s="363"/>
      <c r="T125" s="363"/>
      <c r="U125" s="363"/>
      <c r="V125" s="363"/>
      <c r="W125" s="363"/>
      <c r="X125" s="363"/>
      <c r="Y125" s="363"/>
      <c r="Z125" s="364"/>
      <c r="AA125"/>
      <c r="AB125"/>
      <c r="AC125"/>
      <c r="AD125"/>
      <c r="AE125"/>
      <c r="AF125"/>
    </row>
    <row r="126" spans="17:32" ht="12.75" customHeight="1">
      <c r="Q126" s="360"/>
      <c r="R126" s="998" t="s">
        <v>678</v>
      </c>
      <c r="S126" s="999"/>
      <c r="T126" s="1000"/>
      <c r="U126" s="949" t="s">
        <v>470</v>
      </c>
      <c r="V126" s="938" t="s">
        <v>22</v>
      </c>
      <c r="W126" s="940" t="s">
        <v>579</v>
      </c>
      <c r="X126" s="942" t="s">
        <v>21</v>
      </c>
      <c r="Y126" s="361"/>
      <c r="Z126" s="364"/>
      <c r="AA126"/>
      <c r="AB126"/>
      <c r="AC126"/>
      <c r="AD126"/>
      <c r="AE126"/>
      <c r="AF126"/>
    </row>
    <row r="127" spans="17:32" ht="12.75" customHeight="1">
      <c r="Q127" s="360"/>
      <c r="R127" s="1001"/>
      <c r="S127" s="1002"/>
      <c r="T127" s="1003"/>
      <c r="U127" s="950"/>
      <c r="V127" s="939"/>
      <c r="W127" s="941"/>
      <c r="X127" s="943"/>
      <c r="Y127" s="361"/>
      <c r="Z127" s="364"/>
      <c r="AA127"/>
      <c r="AB127"/>
      <c r="AC127"/>
      <c r="AD127"/>
      <c r="AE127"/>
      <c r="AF127"/>
    </row>
    <row r="128" spans="17:32" ht="12.75" customHeight="1">
      <c r="Q128" s="360"/>
      <c r="R128" s="969" t="s">
        <v>234</v>
      </c>
      <c r="S128" s="969"/>
      <c r="T128" s="969"/>
      <c r="U128" s="672">
        <v>8.3000000000000007</v>
      </c>
      <c r="V128" s="672">
        <f>VLOOKUP($V$5,'Lookup Vibration'!$B$8:$F$208,3)</f>
        <v>18.049999999999951</v>
      </c>
      <c r="W128" s="672">
        <f>VLOOKUP($V$5,'Lookup Vibration'!$B$8:$F$208,4)</f>
        <v>19.950000000000074</v>
      </c>
      <c r="X128" s="672">
        <f>VLOOKUP($V$5,'Lookup Vibration'!$B$8:$F$208,2)</f>
        <v>18.049999999999951</v>
      </c>
      <c r="Y128" s="361"/>
      <c r="Z128" s="364"/>
      <c r="AA128"/>
      <c r="AB128"/>
      <c r="AC128"/>
      <c r="AD128"/>
      <c r="AE128"/>
      <c r="AF128"/>
    </row>
    <row r="129" spans="17:32" ht="12.75" customHeight="1">
      <c r="Q129" s="360"/>
      <c r="R129" s="363"/>
      <c r="S129" s="363"/>
      <c r="T129" s="363"/>
      <c r="U129" s="363"/>
      <c r="V129" s="363"/>
      <c r="W129" s="363"/>
      <c r="X129" s="363"/>
      <c r="Y129" s="363"/>
      <c r="Z129" s="364"/>
      <c r="AA129"/>
      <c r="AB129"/>
      <c r="AC129"/>
      <c r="AD129"/>
      <c r="AE129"/>
      <c r="AF129"/>
    </row>
    <row r="130" spans="17:32" ht="12.75" customHeight="1">
      <c r="Q130" s="546" t="s">
        <v>235</v>
      </c>
      <c r="R130" s="952" t="s">
        <v>34</v>
      </c>
      <c r="S130" s="952"/>
      <c r="T130" s="952"/>
      <c r="U130" s="952"/>
      <c r="V130" s="952"/>
      <c r="W130" s="952"/>
      <c r="X130" s="952"/>
      <c r="Y130" s="952"/>
      <c r="Z130" s="360"/>
      <c r="AA130"/>
      <c r="AB130"/>
      <c r="AC130"/>
      <c r="AD130"/>
      <c r="AE130"/>
      <c r="AF130"/>
    </row>
    <row r="131" spans="17:32" ht="12.75" customHeight="1">
      <c r="Q131" s="546"/>
      <c r="R131" s="363"/>
      <c r="S131" s="363"/>
      <c r="T131" s="363"/>
      <c r="U131" s="363"/>
      <c r="V131" s="363"/>
      <c r="W131" s="363"/>
      <c r="X131" s="363"/>
      <c r="Y131" s="363"/>
      <c r="Z131" s="364"/>
      <c r="AA131"/>
      <c r="AB131"/>
      <c r="AC131"/>
      <c r="AD131"/>
      <c r="AE131"/>
      <c r="AF131"/>
    </row>
    <row r="132" spans="17:32" ht="12.75" customHeight="1">
      <c r="Q132" s="360"/>
      <c r="R132" s="998" t="s">
        <v>678</v>
      </c>
      <c r="S132" s="999"/>
      <c r="T132" s="1000"/>
      <c r="U132" s="949" t="s">
        <v>500</v>
      </c>
      <c r="V132" s="938" t="s">
        <v>22</v>
      </c>
      <c r="W132" s="940" t="s">
        <v>579</v>
      </c>
      <c r="X132" s="942" t="s">
        <v>21</v>
      </c>
      <c r="Y132" s="361"/>
      <c r="Z132" s="364"/>
      <c r="AA132"/>
      <c r="AB132"/>
      <c r="AC132"/>
      <c r="AD132"/>
      <c r="AE132"/>
      <c r="AF132"/>
    </row>
    <row r="133" spans="17:32" ht="12.75" customHeight="1">
      <c r="Q133" s="360"/>
      <c r="R133" s="1001"/>
      <c r="S133" s="1002"/>
      <c r="T133" s="1003"/>
      <c r="U133" s="950"/>
      <c r="V133" s="939"/>
      <c r="W133" s="941"/>
      <c r="X133" s="943"/>
      <c r="Y133" s="361"/>
      <c r="Z133" s="364"/>
      <c r="AA133"/>
      <c r="AB133"/>
      <c r="AC133"/>
      <c r="AD133"/>
      <c r="AE133"/>
      <c r="AF133"/>
    </row>
    <row r="134" spans="17:32" ht="12.75" customHeight="1">
      <c r="Q134" s="360"/>
      <c r="R134" s="1004" t="s">
        <v>298</v>
      </c>
      <c r="S134" s="1004"/>
      <c r="T134" s="1004"/>
      <c r="U134" s="673" t="s">
        <v>819</v>
      </c>
      <c r="V134" s="673" t="s">
        <v>818</v>
      </c>
      <c r="W134" s="673" t="s">
        <v>819</v>
      </c>
      <c r="X134" s="673" t="s">
        <v>818</v>
      </c>
      <c r="Y134" s="361"/>
      <c r="Z134" s="364"/>
      <c r="AA134"/>
      <c r="AB134"/>
      <c r="AC134"/>
      <c r="AD134"/>
      <c r="AE134"/>
      <c r="AF134"/>
    </row>
    <row r="135" spans="17:32" ht="12.75" customHeight="1">
      <c r="Q135" s="360"/>
      <c r="R135" s="931" t="s">
        <v>299</v>
      </c>
      <c r="S135" s="931"/>
      <c r="T135" s="931"/>
      <c r="U135" s="673" t="s">
        <v>297</v>
      </c>
      <c r="V135" s="673" t="s">
        <v>296</v>
      </c>
      <c r="W135" s="673" t="s">
        <v>296</v>
      </c>
      <c r="X135" s="673" t="s">
        <v>296</v>
      </c>
      <c r="Y135" s="361"/>
      <c r="Z135" s="364"/>
      <c r="AA135"/>
      <c r="AB135"/>
      <c r="AC135"/>
      <c r="AD135"/>
      <c r="AE135"/>
      <c r="AF135"/>
    </row>
    <row r="136" spans="17:32" ht="12.75" customHeight="1">
      <c r="Q136" s="360"/>
      <c r="R136" s="363"/>
      <c r="S136" s="363"/>
      <c r="T136" s="363"/>
      <c r="U136" s="363"/>
      <c r="V136" s="363"/>
      <c r="W136" s="363"/>
      <c r="X136" s="363"/>
      <c r="Y136" s="363"/>
      <c r="Z136" s="363"/>
      <c r="AA136"/>
      <c r="AB136"/>
      <c r="AC136"/>
      <c r="AD136"/>
      <c r="AE136"/>
      <c r="AF136"/>
    </row>
    <row r="137" spans="17:32" ht="12.75" customHeight="1">
      <c r="Q137" s="546" t="s">
        <v>236</v>
      </c>
      <c r="R137" s="952" t="s">
        <v>237</v>
      </c>
      <c r="S137" s="952"/>
      <c r="T137" s="952"/>
      <c r="U137" s="952"/>
      <c r="V137" s="952"/>
      <c r="W137" s="952"/>
      <c r="X137" s="952"/>
      <c r="Y137" s="952"/>
      <c r="Z137" s="360"/>
      <c r="AA137"/>
      <c r="AB137"/>
      <c r="AC137"/>
      <c r="AD137"/>
      <c r="AE137"/>
      <c r="AF137"/>
    </row>
    <row r="138" spans="17:32" ht="12.75" customHeight="1">
      <c r="Q138" s="360"/>
      <c r="R138" s="363"/>
      <c r="S138" s="363"/>
      <c r="T138" s="363"/>
      <c r="U138" s="363"/>
      <c r="V138" s="363"/>
      <c r="W138" s="363"/>
      <c r="X138" s="363"/>
      <c r="Y138" s="363"/>
      <c r="Z138" s="363"/>
      <c r="AA138"/>
      <c r="AB138"/>
      <c r="AC138"/>
      <c r="AD138"/>
      <c r="AE138"/>
      <c r="AF138"/>
    </row>
    <row r="139" spans="17:32" ht="12.75" customHeight="1">
      <c r="Q139" s="668" t="s">
        <v>238</v>
      </c>
      <c r="R139" s="364" t="s">
        <v>239</v>
      </c>
      <c r="S139" s="364"/>
      <c r="T139" s="364"/>
      <c r="U139" s="364"/>
      <c r="V139" s="364"/>
      <c r="W139" s="364"/>
      <c r="X139" s="364"/>
      <c r="Y139" s="364"/>
      <c r="Z139" s="364"/>
      <c r="AA139"/>
      <c r="AB139"/>
      <c r="AC139"/>
      <c r="AD139"/>
      <c r="AE139"/>
      <c r="AF139"/>
    </row>
    <row r="140" spans="17:32" ht="12.75" customHeight="1">
      <c r="Q140" s="668"/>
      <c r="R140" s="364" t="s">
        <v>469</v>
      </c>
      <c r="S140" s="364"/>
      <c r="T140" s="364"/>
      <c r="U140" s="364"/>
      <c r="V140" s="364"/>
      <c r="W140" s="364"/>
      <c r="X140" s="364"/>
      <c r="Y140" s="364"/>
      <c r="Z140" s="364"/>
      <c r="AA140"/>
      <c r="AB140"/>
      <c r="AC140"/>
      <c r="AD140"/>
      <c r="AE140"/>
      <c r="AF140"/>
    </row>
    <row r="141" spans="17:32" ht="12.75" customHeight="1">
      <c r="Q141" s="668"/>
      <c r="R141" s="364"/>
      <c r="S141" s="364"/>
      <c r="T141" s="364"/>
      <c r="U141" s="364"/>
      <c r="V141" s="364"/>
      <c r="W141" s="364"/>
      <c r="X141" s="364"/>
      <c r="Y141" s="364"/>
      <c r="Z141" s="364"/>
      <c r="AA141"/>
      <c r="AB141"/>
      <c r="AC141"/>
      <c r="AD141"/>
      <c r="AE141"/>
      <c r="AF141"/>
    </row>
    <row r="142" spans="17:32" ht="12.75" customHeight="1">
      <c r="Q142" s="668"/>
      <c r="R142" s="1005" t="s">
        <v>734</v>
      </c>
      <c r="S142" s="1006"/>
      <c r="T142" s="1006"/>
      <c r="U142" s="1006"/>
      <c r="V142" s="1006"/>
      <c r="W142" s="1007"/>
      <c r="X142" s="351">
        <f>'Compressor Input Data'!G5</f>
        <v>22800</v>
      </c>
      <c r="Y142" s="364"/>
      <c r="Z142" s="364"/>
      <c r="AA142"/>
      <c r="AB142"/>
      <c r="AC142"/>
      <c r="AD142"/>
      <c r="AE142"/>
      <c r="AF142"/>
    </row>
    <row r="143" spans="17:32" ht="12.75" customHeight="1">
      <c r="Q143" s="668"/>
      <c r="R143" s="990" t="s">
        <v>430</v>
      </c>
      <c r="S143" s="991"/>
      <c r="T143" s="992"/>
      <c r="U143" s="949" t="s">
        <v>500</v>
      </c>
      <c r="V143" s="938" t="s">
        <v>22</v>
      </c>
      <c r="W143" s="940" t="s">
        <v>579</v>
      </c>
      <c r="X143" s="942" t="s">
        <v>21</v>
      </c>
      <c r="Y143" s="361"/>
      <c r="Z143" s="364"/>
      <c r="AA143"/>
      <c r="AB143"/>
      <c r="AC143"/>
      <c r="AD143"/>
      <c r="AE143"/>
      <c r="AF143"/>
    </row>
    <row r="144" spans="17:32" ht="12.75" customHeight="1">
      <c r="Q144" s="668"/>
      <c r="R144" s="993"/>
      <c r="S144" s="994"/>
      <c r="T144" s="995"/>
      <c r="U144" s="950"/>
      <c r="V144" s="939"/>
      <c r="W144" s="941"/>
      <c r="X144" s="943"/>
      <c r="Y144" s="361"/>
      <c r="Z144" s="364"/>
      <c r="AA144"/>
      <c r="AB144"/>
      <c r="AC144"/>
      <c r="AD144"/>
      <c r="AE144"/>
      <c r="AF144"/>
    </row>
    <row r="145" spans="17:32" ht="12.75" customHeight="1">
      <c r="Q145" s="668"/>
      <c r="R145" s="973" t="s">
        <v>555</v>
      </c>
      <c r="S145" s="973"/>
      <c r="T145" s="973"/>
      <c r="U145" s="996"/>
      <c r="V145" s="544">
        <f>X145</f>
        <v>22800</v>
      </c>
      <c r="W145" s="544">
        <f>X145</f>
        <v>22800</v>
      </c>
      <c r="X145" s="544">
        <f>X142</f>
        <v>22800</v>
      </c>
      <c r="Y145" s="361"/>
      <c r="Z145" s="364"/>
      <c r="AA145"/>
      <c r="AB145"/>
      <c r="AC145"/>
      <c r="AD145"/>
      <c r="AE145"/>
      <c r="AF145"/>
    </row>
    <row r="146" spans="17:32" ht="12.75" customHeight="1">
      <c r="Q146" s="668"/>
      <c r="R146" s="973" t="s">
        <v>549</v>
      </c>
      <c r="S146" s="973"/>
      <c r="T146" s="973"/>
      <c r="U146" s="997"/>
      <c r="V146" s="544">
        <f>X146</f>
        <v>24</v>
      </c>
      <c r="W146" s="544">
        <f>V146</f>
        <v>24</v>
      </c>
      <c r="X146" s="544">
        <f>'Compressor Input Data'!J15</f>
        <v>24</v>
      </c>
      <c r="Y146" s="361"/>
      <c r="Z146" s="364"/>
      <c r="AA146"/>
      <c r="AB146"/>
      <c r="AC146"/>
      <c r="AD146"/>
      <c r="AE146"/>
      <c r="AF146"/>
    </row>
    <row r="147" spans="17:32" ht="12.75" customHeight="1">
      <c r="Q147" s="668"/>
      <c r="R147" s="970" t="s">
        <v>556</v>
      </c>
      <c r="S147" s="971"/>
      <c r="T147" s="972"/>
      <c r="U147" s="566">
        <f>U62</f>
        <v>2.6666666666666665</v>
      </c>
      <c r="V147" s="566">
        <f>V62</f>
        <v>1.9999999999999996</v>
      </c>
      <c r="W147" s="566">
        <f>W62</f>
        <v>1.7391304347826084</v>
      </c>
      <c r="X147" s="566">
        <f>X62</f>
        <v>1.4285714285714284</v>
      </c>
      <c r="Y147" s="361"/>
      <c r="Z147" s="364"/>
      <c r="AA147"/>
      <c r="AB147"/>
      <c r="AC147"/>
      <c r="AD147"/>
      <c r="AE147"/>
      <c r="AF147"/>
    </row>
    <row r="148" spans="17:32" ht="12.75" customHeight="1">
      <c r="Q148" s="668"/>
      <c r="R148" s="973" t="s">
        <v>575</v>
      </c>
      <c r="S148" s="973"/>
      <c r="T148" s="973"/>
      <c r="U148" s="531">
        <f>W148</f>
        <v>0.22500000000000001</v>
      </c>
      <c r="V148" s="531">
        <f>X148</f>
        <v>0.22500000000000001</v>
      </c>
      <c r="W148" s="531">
        <f>V148</f>
        <v>0.22500000000000001</v>
      </c>
      <c r="X148" s="531">
        <f>'Compressor Input Data'!J17</f>
        <v>0.22500000000000001</v>
      </c>
      <c r="Y148" s="361"/>
      <c r="Z148" s="364"/>
      <c r="AA148"/>
      <c r="AB148"/>
      <c r="AC148"/>
      <c r="AD148"/>
      <c r="AE148"/>
      <c r="AF148"/>
    </row>
    <row r="149" spans="17:32" ht="12.75" customHeight="1">
      <c r="Q149" s="668"/>
      <c r="R149" s="987"/>
      <c r="S149" s="988"/>
      <c r="T149" s="988"/>
      <c r="U149" s="988"/>
      <c r="V149" s="988"/>
      <c r="W149" s="988"/>
      <c r="X149" s="989"/>
      <c r="Y149" s="364"/>
      <c r="Z149" s="364"/>
      <c r="AA149"/>
      <c r="AB149"/>
      <c r="AC149"/>
      <c r="AD149"/>
      <c r="AE149"/>
      <c r="AF149"/>
    </row>
    <row r="150" spans="17:32" ht="12.75" customHeight="1">
      <c r="Q150" s="668"/>
      <c r="R150" s="990" t="s">
        <v>467</v>
      </c>
      <c r="S150" s="991"/>
      <c r="T150" s="992"/>
      <c r="U150" s="949" t="s">
        <v>500</v>
      </c>
      <c r="V150" s="938" t="s">
        <v>22</v>
      </c>
      <c r="W150" s="940" t="s">
        <v>579</v>
      </c>
      <c r="X150" s="942" t="s">
        <v>21</v>
      </c>
      <c r="Y150" s="361"/>
      <c r="Z150" s="364"/>
      <c r="AA150"/>
      <c r="AB150"/>
      <c r="AC150"/>
      <c r="AD150"/>
      <c r="AE150"/>
      <c r="AF150"/>
    </row>
    <row r="151" spans="17:32" ht="12.75" customHeight="1">
      <c r="Q151" s="668"/>
      <c r="R151" s="993"/>
      <c r="S151" s="994"/>
      <c r="T151" s="995"/>
      <c r="U151" s="950"/>
      <c r="V151" s="939"/>
      <c r="W151" s="941"/>
      <c r="X151" s="943"/>
      <c r="Y151" s="361"/>
      <c r="Z151" s="364"/>
      <c r="AA151"/>
      <c r="AB151"/>
      <c r="AC151"/>
      <c r="AD151"/>
      <c r="AE151"/>
      <c r="AF151"/>
    </row>
    <row r="152" spans="17:32" ht="12.75" customHeight="1">
      <c r="Q152" s="668"/>
      <c r="R152" s="973" t="s">
        <v>554</v>
      </c>
      <c r="S152" s="973"/>
      <c r="T152" s="973"/>
      <c r="U152" s="986"/>
      <c r="V152" s="569">
        <f>X152</f>
        <v>1</v>
      </c>
      <c r="W152" s="570">
        <f>V152</f>
        <v>1</v>
      </c>
      <c r="X152" s="570">
        <f>'Compressor Input Data'!J20</f>
        <v>1</v>
      </c>
      <c r="Y152" s="361"/>
      <c r="Z152" s="364"/>
      <c r="AA152"/>
      <c r="AB152"/>
      <c r="AC152"/>
      <c r="AD152"/>
      <c r="AE152"/>
      <c r="AF152"/>
    </row>
    <row r="153" spans="17:32" ht="12.75" customHeight="1">
      <c r="Q153" s="668"/>
      <c r="R153" s="983" t="s">
        <v>551</v>
      </c>
      <c r="S153" s="984"/>
      <c r="T153" s="985"/>
      <c r="U153" s="986"/>
      <c r="V153" s="571">
        <f>V147/V146</f>
        <v>8.3333333333333315E-2</v>
      </c>
      <c r="W153" s="571">
        <f>W147/W146</f>
        <v>7.2463768115942018E-2</v>
      </c>
      <c r="X153" s="571">
        <f>X147/X146</f>
        <v>5.9523809523809514E-2</v>
      </c>
      <c r="Y153" s="361"/>
      <c r="Z153" s="364"/>
      <c r="AA153"/>
      <c r="AB153"/>
      <c r="AC153"/>
      <c r="AD153"/>
      <c r="AE153"/>
      <c r="AF153"/>
    </row>
    <row r="154" spans="17:32" ht="12.75" customHeight="1">
      <c r="Q154" s="668"/>
      <c r="R154" s="973" t="s">
        <v>552</v>
      </c>
      <c r="S154" s="973"/>
      <c r="T154" s="973"/>
      <c r="U154" s="986"/>
      <c r="V154" s="572">
        <f>X154</f>
        <v>0.6</v>
      </c>
      <c r="W154" s="572">
        <f>V154</f>
        <v>0.6</v>
      </c>
      <c r="X154" s="572">
        <f>'Compressor Input Data'!J22</f>
        <v>0.6</v>
      </c>
      <c r="Y154" s="361"/>
      <c r="Z154" s="364"/>
      <c r="AA154"/>
      <c r="AB154"/>
      <c r="AC154"/>
      <c r="AD154"/>
      <c r="AE154"/>
      <c r="AF154"/>
    </row>
    <row r="155" spans="17:32" ht="12.75" customHeight="1">
      <c r="Q155" s="668"/>
      <c r="R155" s="987"/>
      <c r="S155" s="988"/>
      <c r="T155" s="988"/>
      <c r="U155" s="988"/>
      <c r="V155" s="988"/>
      <c r="W155" s="988"/>
      <c r="X155" s="989"/>
      <c r="Y155" s="364"/>
      <c r="Z155" s="364"/>
      <c r="AA155"/>
      <c r="AB155"/>
      <c r="AC155"/>
      <c r="AD155"/>
      <c r="AE155"/>
      <c r="AF155"/>
    </row>
    <row r="156" spans="17:32" ht="12.75" customHeight="1">
      <c r="Q156" s="668"/>
      <c r="R156" s="990" t="s">
        <v>468</v>
      </c>
      <c r="S156" s="991"/>
      <c r="T156" s="992"/>
      <c r="U156" s="949" t="s">
        <v>500</v>
      </c>
      <c r="V156" s="938" t="s">
        <v>22</v>
      </c>
      <c r="W156" s="940" t="s">
        <v>579</v>
      </c>
      <c r="X156" s="942" t="s">
        <v>21</v>
      </c>
      <c r="Y156" s="361"/>
      <c r="Z156" s="364"/>
      <c r="AA156"/>
      <c r="AB156"/>
      <c r="AC156"/>
      <c r="AD156"/>
      <c r="AE156"/>
      <c r="AF156"/>
    </row>
    <row r="157" spans="17:32" ht="12.75" customHeight="1">
      <c r="Q157" s="668"/>
      <c r="R157" s="993"/>
      <c r="S157" s="994"/>
      <c r="T157" s="995"/>
      <c r="U157" s="950"/>
      <c r="V157" s="939"/>
      <c r="W157" s="941"/>
      <c r="X157" s="943"/>
      <c r="Y157" s="361"/>
      <c r="Z157" s="364"/>
      <c r="AA157"/>
      <c r="AB157"/>
      <c r="AC157"/>
      <c r="AD157"/>
      <c r="AE157"/>
      <c r="AF157"/>
    </row>
    <row r="158" spans="17:32" ht="12.75" customHeight="1">
      <c r="Q158" s="668"/>
      <c r="R158" s="973" t="s">
        <v>554</v>
      </c>
      <c r="S158" s="973"/>
      <c r="T158" s="973"/>
      <c r="U158" s="980"/>
      <c r="V158" s="572">
        <f>X158</f>
        <v>0.5</v>
      </c>
      <c r="W158" s="572">
        <f>V158</f>
        <v>0.5</v>
      </c>
      <c r="X158" s="572">
        <f>'Compressor Input Data'!J25</f>
        <v>0.5</v>
      </c>
      <c r="Y158" s="361"/>
      <c r="Z158" s="364"/>
      <c r="AA158"/>
      <c r="AB158"/>
      <c r="AC158"/>
      <c r="AD158"/>
      <c r="AE158"/>
      <c r="AF158"/>
    </row>
    <row r="159" spans="17:32" ht="12.75" customHeight="1">
      <c r="Q159" s="668"/>
      <c r="R159" s="983" t="s">
        <v>551</v>
      </c>
      <c r="S159" s="984"/>
      <c r="T159" s="985"/>
      <c r="U159" s="981"/>
      <c r="V159" s="572">
        <f>V152-V153</f>
        <v>0.91666666666666674</v>
      </c>
      <c r="W159" s="572">
        <f>W152-W153</f>
        <v>0.92753623188405798</v>
      </c>
      <c r="X159" s="572">
        <f>X152-X153</f>
        <v>0.94047619047619047</v>
      </c>
      <c r="Y159" s="361"/>
      <c r="Z159" s="364"/>
      <c r="AA159"/>
      <c r="AB159"/>
      <c r="AC159"/>
      <c r="AD159"/>
      <c r="AE159"/>
      <c r="AF159"/>
    </row>
    <row r="160" spans="17:32" ht="12.75" customHeight="1">
      <c r="Q160" s="668"/>
      <c r="R160" s="973" t="s">
        <v>552</v>
      </c>
      <c r="S160" s="973"/>
      <c r="T160" s="973"/>
      <c r="U160" s="982"/>
      <c r="V160" s="572">
        <f>X160</f>
        <v>0.6</v>
      </c>
      <c r="W160" s="572">
        <f>V160</f>
        <v>0.6</v>
      </c>
      <c r="X160" s="572">
        <f>'Compressor Input Data'!J27</f>
        <v>0.6</v>
      </c>
      <c r="Y160" s="361"/>
      <c r="Z160" s="364"/>
      <c r="AA160"/>
      <c r="AB160"/>
      <c r="AC160"/>
      <c r="AD160"/>
      <c r="AE160"/>
      <c r="AF160"/>
    </row>
    <row r="161" spans="17:32" ht="12.75" customHeight="1">
      <c r="Q161" s="668"/>
      <c r="R161" s="567"/>
      <c r="S161" s="568"/>
      <c r="T161" s="568"/>
      <c r="U161" s="573"/>
      <c r="V161" s="573"/>
      <c r="W161" s="573"/>
      <c r="X161" s="574"/>
      <c r="Y161" s="364"/>
      <c r="Z161" s="364"/>
      <c r="AA161"/>
      <c r="AB161"/>
      <c r="AC161"/>
      <c r="AD161"/>
      <c r="AE161"/>
      <c r="AF161"/>
    </row>
    <row r="162" spans="17:32" ht="12.75" customHeight="1">
      <c r="Q162" s="668"/>
      <c r="R162" s="901" t="s">
        <v>471</v>
      </c>
      <c r="S162" s="901"/>
      <c r="T162" s="901"/>
      <c r="U162" s="930" t="s">
        <v>500</v>
      </c>
      <c r="V162" s="928" t="s">
        <v>22</v>
      </c>
      <c r="W162" s="929" t="s">
        <v>579</v>
      </c>
      <c r="X162" s="927" t="s">
        <v>21</v>
      </c>
      <c r="Y162" s="361"/>
      <c r="Z162" s="364"/>
      <c r="AA162"/>
      <c r="AB162"/>
      <c r="AC162"/>
      <c r="AD162"/>
      <c r="AE162"/>
      <c r="AF162"/>
    </row>
    <row r="163" spans="17:32" ht="12.75" customHeight="1">
      <c r="Q163" s="668"/>
      <c r="R163" s="901"/>
      <c r="S163" s="901"/>
      <c r="T163" s="901"/>
      <c r="U163" s="930"/>
      <c r="V163" s="928"/>
      <c r="W163" s="929"/>
      <c r="X163" s="927"/>
      <c r="Y163" s="361"/>
      <c r="Z163" s="364"/>
      <c r="AA163"/>
      <c r="AB163"/>
      <c r="AC163"/>
      <c r="AD163"/>
      <c r="AE163"/>
      <c r="AF163"/>
    </row>
    <row r="164" spans="17:32" ht="12.75" customHeight="1">
      <c r="Q164" s="668"/>
      <c r="R164" s="973" t="s">
        <v>472</v>
      </c>
      <c r="S164" s="973"/>
      <c r="T164" s="973"/>
      <c r="U164" s="544">
        <f>$V$224</f>
        <v>938.66666666666674</v>
      </c>
      <c r="V164" s="544">
        <f>($V$145*$V$146*$V$153*$V$152)/$V$154</f>
        <v>75999.999999999985</v>
      </c>
      <c r="W164" s="544">
        <f>($W$145*$W$146*$W$153*$W$152)/$W$154</f>
        <v>66086.956521739121</v>
      </c>
      <c r="X164" s="544">
        <f>($X$145*$X$146*$X$153*$X$152)/$X$154</f>
        <v>54285.714285714275</v>
      </c>
      <c r="Y164" s="361"/>
      <c r="Z164" s="364"/>
      <c r="AA164"/>
      <c r="AB164"/>
      <c r="AC164"/>
      <c r="AD164"/>
      <c r="AE164"/>
      <c r="AF164"/>
    </row>
    <row r="165" spans="17:32" ht="12.75" customHeight="1">
      <c r="Q165" s="668"/>
      <c r="R165" s="973" t="s">
        <v>473</v>
      </c>
      <c r="S165" s="973"/>
      <c r="T165" s="973"/>
      <c r="U165" s="543"/>
      <c r="V165" s="544">
        <f>($V$145*$V$146*$V$159*$V$158)/$V$160</f>
        <v>418000.00000000006</v>
      </c>
      <c r="W165" s="544">
        <f>($W$145*$W$146*$W$159*$W$158)/$W$160</f>
        <v>422956.52173913049</v>
      </c>
      <c r="X165" s="544">
        <f>($X$145*$X$146*$X$159*$X$158)/$X$160</f>
        <v>428857.14285714284</v>
      </c>
      <c r="Y165" s="361"/>
      <c r="Z165" s="364"/>
      <c r="AA165"/>
      <c r="AB165"/>
      <c r="AC165"/>
      <c r="AD165"/>
      <c r="AE165"/>
      <c r="AF165"/>
    </row>
    <row r="166" spans="17:32" ht="12.75" customHeight="1">
      <c r="Q166" s="668"/>
      <c r="R166" s="567"/>
      <c r="S166" s="568"/>
      <c r="T166" s="568"/>
      <c r="U166" s="573"/>
      <c r="V166" s="573"/>
      <c r="W166" s="573"/>
      <c r="X166" s="574"/>
      <c r="Y166" s="364"/>
      <c r="Z166" s="364"/>
      <c r="AA166"/>
      <c r="AB166"/>
      <c r="AC166"/>
      <c r="AD166"/>
      <c r="AE166"/>
      <c r="AF166"/>
    </row>
    <row r="167" spans="17:32" ht="12.75" customHeight="1">
      <c r="Q167" s="668"/>
      <c r="R167" s="901" t="s">
        <v>474</v>
      </c>
      <c r="S167" s="901"/>
      <c r="T167" s="901"/>
      <c r="U167" s="930" t="s">
        <v>500</v>
      </c>
      <c r="V167" s="928" t="s">
        <v>22</v>
      </c>
      <c r="W167" s="929" t="s">
        <v>579</v>
      </c>
      <c r="X167" s="927" t="s">
        <v>21</v>
      </c>
      <c r="Y167" s="361"/>
      <c r="Z167" s="364"/>
      <c r="AA167"/>
      <c r="AB167"/>
      <c r="AC167"/>
      <c r="AD167"/>
      <c r="AE167"/>
      <c r="AF167"/>
    </row>
    <row r="168" spans="17:32" ht="12.75" customHeight="1">
      <c r="Q168" s="668"/>
      <c r="R168" s="901"/>
      <c r="S168" s="901"/>
      <c r="T168" s="901"/>
      <c r="U168" s="930"/>
      <c r="V168" s="928"/>
      <c r="W168" s="929"/>
      <c r="X168" s="927"/>
      <c r="Y168" s="361"/>
      <c r="Z168" s="364"/>
      <c r="AA168"/>
      <c r="AB168"/>
      <c r="AC168"/>
      <c r="AD168"/>
      <c r="AE168"/>
      <c r="AF168"/>
    </row>
    <row r="169" spans="17:32" ht="12.75" customHeight="1">
      <c r="Q169" s="668"/>
      <c r="R169" s="973" t="s">
        <v>472</v>
      </c>
      <c r="S169" s="973"/>
      <c r="T169" s="973"/>
      <c r="U169" s="544">
        <f>U164*$V$11</f>
        <v>21589.333333333336</v>
      </c>
      <c r="V169" s="544">
        <f>V164*$V$11</f>
        <v>1747999.9999999998</v>
      </c>
      <c r="W169" s="544">
        <f>W164*$V$11</f>
        <v>1519999.9999999998</v>
      </c>
      <c r="X169" s="544">
        <f>X164*$V$11</f>
        <v>1248571.4285714284</v>
      </c>
      <c r="Y169" s="361"/>
      <c r="Z169" s="364"/>
      <c r="AA169"/>
      <c r="AB169"/>
      <c r="AC169"/>
      <c r="AD169"/>
      <c r="AE169"/>
      <c r="AF169"/>
    </row>
    <row r="170" spans="17:32" ht="12.75" customHeight="1">
      <c r="Q170" s="668"/>
      <c r="R170" s="973" t="s">
        <v>473</v>
      </c>
      <c r="S170" s="973"/>
      <c r="T170" s="973"/>
      <c r="U170" s="543"/>
      <c r="V170" s="544">
        <f>V165*$V$11</f>
        <v>9614000.0000000019</v>
      </c>
      <c r="W170" s="544">
        <f>W165*$V$11</f>
        <v>9728000.0000000019</v>
      </c>
      <c r="X170" s="544">
        <f>X165*$V$11</f>
        <v>9863714.2857142854</v>
      </c>
      <c r="Y170" s="361"/>
      <c r="Z170" s="364"/>
      <c r="AA170"/>
      <c r="AB170"/>
      <c r="AC170"/>
      <c r="AD170"/>
      <c r="AE170"/>
      <c r="AF170"/>
    </row>
    <row r="171" spans="17:32" ht="12.75" customHeight="1">
      <c r="Q171" s="668"/>
      <c r="R171" s="567"/>
      <c r="S171" s="568"/>
      <c r="T171" s="568"/>
      <c r="U171" s="573"/>
      <c r="V171" s="573"/>
      <c r="W171" s="573"/>
      <c r="X171" s="574"/>
      <c r="Y171" s="364"/>
      <c r="Z171" s="364"/>
      <c r="AA171"/>
      <c r="AB171"/>
      <c r="AC171"/>
      <c r="AD171"/>
      <c r="AE171"/>
      <c r="AF171"/>
    </row>
    <row r="172" spans="17:32" ht="12.75" customHeight="1">
      <c r="Q172" s="668"/>
      <c r="R172" s="901" t="s">
        <v>474</v>
      </c>
      <c r="S172" s="901"/>
      <c r="T172" s="901"/>
      <c r="U172" s="930" t="s">
        <v>500</v>
      </c>
      <c r="V172" s="928" t="s">
        <v>22</v>
      </c>
      <c r="W172" s="929" t="s">
        <v>579</v>
      </c>
      <c r="X172" s="927" t="s">
        <v>21</v>
      </c>
      <c r="Y172" s="361"/>
      <c r="Z172" s="364"/>
      <c r="AA172"/>
      <c r="AB172"/>
      <c r="AC172"/>
      <c r="AD172"/>
      <c r="AE172"/>
      <c r="AF172"/>
    </row>
    <row r="173" spans="17:32" ht="12.75" customHeight="1">
      <c r="Q173" s="668"/>
      <c r="R173" s="901"/>
      <c r="S173" s="901"/>
      <c r="T173" s="901"/>
      <c r="U173" s="930"/>
      <c r="V173" s="928"/>
      <c r="W173" s="929"/>
      <c r="X173" s="927"/>
      <c r="Y173" s="361"/>
      <c r="Z173" s="364"/>
      <c r="AA173"/>
      <c r="AB173"/>
      <c r="AC173"/>
      <c r="AD173"/>
      <c r="AE173"/>
      <c r="AF173"/>
    </row>
    <row r="174" spans="17:32" ht="12.75" customHeight="1">
      <c r="Q174" s="668"/>
      <c r="R174" s="973" t="s">
        <v>472</v>
      </c>
      <c r="S174" s="973"/>
      <c r="T174" s="973"/>
      <c r="U174" s="544">
        <f>U169*12</f>
        <v>259072.00000000003</v>
      </c>
      <c r="V174" s="544">
        <f>V169*12</f>
        <v>20975999.999999996</v>
      </c>
      <c r="W174" s="544">
        <f>W169*12</f>
        <v>18239999.999999996</v>
      </c>
      <c r="X174" s="544">
        <f>X169*12</f>
        <v>14982857.142857142</v>
      </c>
      <c r="Y174" s="361"/>
      <c r="Z174" s="364"/>
      <c r="AA174"/>
      <c r="AB174"/>
      <c r="AC174"/>
      <c r="AD174"/>
      <c r="AE174"/>
      <c r="AF174"/>
    </row>
    <row r="175" spans="17:32" ht="12.75" customHeight="1">
      <c r="Q175" s="668"/>
      <c r="R175" s="973" t="s">
        <v>473</v>
      </c>
      <c r="S175" s="973"/>
      <c r="T175" s="973"/>
      <c r="U175" s="543"/>
      <c r="V175" s="544">
        <f>V170*12</f>
        <v>115368000.00000003</v>
      </c>
      <c r="W175" s="544">
        <f>W170*12</f>
        <v>116736000.00000003</v>
      </c>
      <c r="X175" s="544">
        <f>X170*12</f>
        <v>118364571.42857143</v>
      </c>
      <c r="Y175" s="361"/>
      <c r="Z175" s="364"/>
      <c r="AA175"/>
      <c r="AB175"/>
      <c r="AC175"/>
      <c r="AD175"/>
      <c r="AE175"/>
      <c r="AF175"/>
    </row>
    <row r="176" spans="17:32" ht="12.75" customHeight="1">
      <c r="Q176" s="668"/>
      <c r="R176" s="381"/>
      <c r="S176" s="381"/>
      <c r="T176" s="381"/>
      <c r="U176" s="381"/>
      <c r="V176" s="381"/>
      <c r="W176" s="381"/>
      <c r="X176" s="381"/>
      <c r="Y176" s="364"/>
      <c r="Z176" s="364"/>
      <c r="AA176"/>
      <c r="AB176"/>
      <c r="AC176"/>
      <c r="AD176"/>
      <c r="AE176"/>
      <c r="AF176"/>
    </row>
    <row r="177" spans="17:32" ht="12.75" customHeight="1">
      <c r="Q177" s="668"/>
      <c r="R177" s="901" t="s">
        <v>433</v>
      </c>
      <c r="S177" s="901"/>
      <c r="T177" s="901"/>
      <c r="U177" s="949" t="s">
        <v>500</v>
      </c>
      <c r="V177" s="938" t="s">
        <v>22</v>
      </c>
      <c r="W177" s="940" t="s">
        <v>579</v>
      </c>
      <c r="X177" s="942" t="s">
        <v>21</v>
      </c>
      <c r="Y177" s="361"/>
      <c r="Z177" s="364"/>
      <c r="AA177"/>
      <c r="AB177"/>
      <c r="AC177"/>
      <c r="AD177"/>
      <c r="AE177"/>
      <c r="AF177"/>
    </row>
    <row r="178" spans="17:32" ht="12.75" customHeight="1">
      <c r="Q178" s="668"/>
      <c r="R178" s="901"/>
      <c r="S178" s="901"/>
      <c r="T178" s="901"/>
      <c r="U178" s="950"/>
      <c r="V178" s="939"/>
      <c r="W178" s="941"/>
      <c r="X178" s="943"/>
      <c r="Y178" s="361"/>
      <c r="Z178" s="364"/>
      <c r="AA178"/>
      <c r="AB178"/>
      <c r="AC178"/>
      <c r="AD178"/>
      <c r="AE178"/>
      <c r="AF178"/>
    </row>
    <row r="179" spans="17:32" ht="12.75" customHeight="1">
      <c r="Q179" s="668"/>
      <c r="R179" s="970" t="s">
        <v>459</v>
      </c>
      <c r="S179" s="971"/>
      <c r="T179" s="972"/>
      <c r="U179" s="544">
        <f>U164</f>
        <v>938.66666666666674</v>
      </c>
      <c r="V179" s="544">
        <f>V164+V165</f>
        <v>494000.00000000006</v>
      </c>
      <c r="W179" s="544">
        <f>W164+W165</f>
        <v>489043.47826086963</v>
      </c>
      <c r="X179" s="544">
        <f>X164+X165</f>
        <v>483142.8571428571</v>
      </c>
      <c r="Y179" s="361"/>
      <c r="Z179" s="364"/>
      <c r="AA179"/>
      <c r="AB179"/>
      <c r="AC179"/>
      <c r="AD179"/>
      <c r="AE179"/>
      <c r="AF179"/>
    </row>
    <row r="180" spans="17:32" ht="12.75" customHeight="1">
      <c r="Q180" s="668"/>
      <c r="R180" s="973" t="s">
        <v>307</v>
      </c>
      <c r="S180" s="973"/>
      <c r="T180" s="973"/>
      <c r="U180" s="544">
        <f>U169</f>
        <v>21589.333333333336</v>
      </c>
      <c r="V180" s="544">
        <f>V169+V170</f>
        <v>11362000.000000002</v>
      </c>
      <c r="W180" s="544">
        <f>W169+W170</f>
        <v>11248000.000000002</v>
      </c>
      <c r="X180" s="544">
        <f>X169+X170</f>
        <v>11112285.714285715</v>
      </c>
      <c r="Y180" s="361"/>
      <c r="Z180" s="364"/>
      <c r="AA180"/>
      <c r="AB180"/>
      <c r="AC180"/>
      <c r="AD180"/>
      <c r="AE180"/>
      <c r="AF180"/>
    </row>
    <row r="181" spans="17:32" ht="12.75" customHeight="1">
      <c r="Q181" s="668"/>
      <c r="R181" s="973" t="s">
        <v>308</v>
      </c>
      <c r="S181" s="973"/>
      <c r="T181" s="973"/>
      <c r="U181" s="544">
        <f>U174</f>
        <v>259072.00000000003</v>
      </c>
      <c r="V181" s="544">
        <f>V174+V175</f>
        <v>136344000.00000003</v>
      </c>
      <c r="W181" s="544">
        <f>W174+W175</f>
        <v>134976000.00000003</v>
      </c>
      <c r="X181" s="544">
        <f>X174+X175</f>
        <v>133347428.57142857</v>
      </c>
      <c r="Y181" s="361"/>
      <c r="Z181" s="364"/>
      <c r="AA181"/>
      <c r="AB181"/>
      <c r="AC181"/>
      <c r="AD181"/>
      <c r="AE181"/>
      <c r="AF181"/>
    </row>
    <row r="182" spans="17:32" ht="12.75" customHeight="1">
      <c r="Q182" s="668"/>
      <c r="R182" s="381"/>
      <c r="S182" s="381"/>
      <c r="T182" s="381"/>
      <c r="U182" s="381"/>
      <c r="V182" s="381"/>
      <c r="W182" s="381"/>
      <c r="X182" s="381"/>
      <c r="Y182" s="364"/>
      <c r="Z182" s="364"/>
      <c r="AA182"/>
      <c r="AB182"/>
      <c r="AC182"/>
      <c r="AD182"/>
      <c r="AE182"/>
      <c r="AF182"/>
    </row>
    <row r="183" spans="17:32" ht="12.75" customHeight="1">
      <c r="Q183" s="668"/>
      <c r="R183" s="901" t="s">
        <v>475</v>
      </c>
      <c r="S183" s="901"/>
      <c r="T183" s="901"/>
      <c r="U183" s="930" t="s">
        <v>500</v>
      </c>
      <c r="V183" s="928" t="s">
        <v>22</v>
      </c>
      <c r="W183" s="929" t="s">
        <v>579</v>
      </c>
      <c r="X183" s="927" t="s">
        <v>21</v>
      </c>
      <c r="Y183" s="361"/>
      <c r="Z183" s="364"/>
      <c r="AA183"/>
      <c r="AB183"/>
      <c r="AC183"/>
      <c r="AD183"/>
      <c r="AE183"/>
      <c r="AF183"/>
    </row>
    <row r="184" spans="17:32" ht="12.75" customHeight="1">
      <c r="Q184" s="668"/>
      <c r="R184" s="901"/>
      <c r="S184" s="901"/>
      <c r="T184" s="901"/>
      <c r="U184" s="930"/>
      <c r="V184" s="928"/>
      <c r="W184" s="929"/>
      <c r="X184" s="927"/>
      <c r="Y184" s="361"/>
      <c r="Z184" s="364"/>
      <c r="AA184"/>
      <c r="AB184"/>
      <c r="AC184"/>
      <c r="AD184"/>
      <c r="AE184"/>
      <c r="AF184"/>
    </row>
    <row r="185" spans="17:32" ht="12.75" customHeight="1">
      <c r="Q185" s="668"/>
      <c r="R185" s="973" t="s">
        <v>472</v>
      </c>
      <c r="S185" s="973"/>
      <c r="T185" s="973"/>
      <c r="U185" s="593">
        <f>$V$224*$U$148</f>
        <v>211.20000000000002</v>
      </c>
      <c r="V185" s="593">
        <f>($V$145*$V$146*$V$153*$V$152*$V$148)/$V$154</f>
        <v>17099.999999999996</v>
      </c>
      <c r="W185" s="593">
        <f>($W$145*$W$146*$W$153*$W$152*$W$148)/$W$154</f>
        <v>14869.565217391304</v>
      </c>
      <c r="X185" s="593">
        <f>($X$145*$X$146*$X$153*$X$152*$X$148)/$X$154</f>
        <v>12214.285714285714</v>
      </c>
      <c r="Y185" s="361"/>
      <c r="Z185" s="364"/>
      <c r="AA185"/>
      <c r="AB185"/>
      <c r="AC185"/>
      <c r="AD185"/>
      <c r="AE185"/>
      <c r="AF185"/>
    </row>
    <row r="186" spans="17:32" ht="12.75" customHeight="1">
      <c r="Q186" s="668"/>
      <c r="R186" s="973" t="s">
        <v>473</v>
      </c>
      <c r="S186" s="973"/>
      <c r="T186" s="973"/>
      <c r="U186" s="543"/>
      <c r="V186" s="593">
        <f>($V$145*$V$146*$V$159*$V$158*$V$148)/$V$160</f>
        <v>94050.000000000015</v>
      </c>
      <c r="W186" s="593">
        <f>($W$145*$W$146*$W$159*$W$158*$W$148)/$W$160</f>
        <v>95165.217391304366</v>
      </c>
      <c r="X186" s="593">
        <f>($X$145*$X$146*$X$159*$X$158*$X$148)/$X$160</f>
        <v>96492.857142857145</v>
      </c>
      <c r="Y186" s="361"/>
      <c r="Z186" s="364"/>
      <c r="AA186"/>
      <c r="AB186"/>
      <c r="AC186"/>
      <c r="AD186"/>
      <c r="AE186"/>
      <c r="AF186"/>
    </row>
    <row r="187" spans="17:32" ht="12.75" customHeight="1">
      <c r="Q187" s="668"/>
      <c r="R187" s="381"/>
      <c r="S187" s="381"/>
      <c r="T187" s="381"/>
      <c r="U187" s="381"/>
      <c r="V187" s="381"/>
      <c r="W187" s="381"/>
      <c r="X187" s="381"/>
      <c r="Y187" s="552"/>
      <c r="Z187" s="364"/>
      <c r="AA187"/>
      <c r="AB187"/>
      <c r="AC187"/>
      <c r="AD187"/>
      <c r="AE187"/>
      <c r="AF187"/>
    </row>
    <row r="188" spans="17:32" ht="12.75" customHeight="1">
      <c r="Q188" s="668"/>
      <c r="R188" s="901" t="s">
        <v>476</v>
      </c>
      <c r="S188" s="901"/>
      <c r="T188" s="901"/>
      <c r="U188" s="930" t="s">
        <v>500</v>
      </c>
      <c r="V188" s="928" t="s">
        <v>22</v>
      </c>
      <c r="W188" s="929" t="s">
        <v>579</v>
      </c>
      <c r="X188" s="927" t="s">
        <v>21</v>
      </c>
      <c r="Y188" s="361"/>
      <c r="Z188" s="364"/>
      <c r="AA188"/>
      <c r="AB188"/>
      <c r="AC188"/>
      <c r="AD188"/>
      <c r="AE188"/>
      <c r="AF188"/>
    </row>
    <row r="189" spans="17:32" ht="12.75" customHeight="1">
      <c r="Q189" s="668"/>
      <c r="R189" s="901"/>
      <c r="S189" s="901"/>
      <c r="T189" s="901"/>
      <c r="U189" s="930"/>
      <c r="V189" s="928"/>
      <c r="W189" s="929"/>
      <c r="X189" s="927"/>
      <c r="Y189" s="361"/>
      <c r="Z189" s="364"/>
      <c r="AA189"/>
      <c r="AB189"/>
      <c r="AC189"/>
      <c r="AD189"/>
      <c r="AE189"/>
      <c r="AF189"/>
    </row>
    <row r="190" spans="17:32" ht="12.75" customHeight="1">
      <c r="Q190" s="668"/>
      <c r="R190" s="973" t="s">
        <v>472</v>
      </c>
      <c r="S190" s="973"/>
      <c r="T190" s="973"/>
      <c r="U190" s="593">
        <f>U185*$V$11</f>
        <v>4857.6000000000004</v>
      </c>
      <c r="V190" s="593">
        <f>V185*$V$11</f>
        <v>393299.99999999994</v>
      </c>
      <c r="W190" s="593">
        <f>W185*$V$11</f>
        <v>342000</v>
      </c>
      <c r="X190" s="593">
        <f>X185*$V$11</f>
        <v>280928.57142857142</v>
      </c>
      <c r="Y190" s="361"/>
      <c r="Z190" s="364"/>
      <c r="AA190"/>
      <c r="AB190"/>
      <c r="AC190"/>
      <c r="AD190"/>
      <c r="AE190"/>
      <c r="AF190"/>
    </row>
    <row r="191" spans="17:32" ht="12.75" customHeight="1">
      <c r="Q191" s="668"/>
      <c r="R191" s="973" t="s">
        <v>473</v>
      </c>
      <c r="S191" s="973"/>
      <c r="T191" s="973"/>
      <c r="U191" s="543"/>
      <c r="V191" s="593">
        <f>V186*$V$11</f>
        <v>2163150.0000000005</v>
      </c>
      <c r="W191" s="593">
        <f>W186*$V$11</f>
        <v>2188800.0000000005</v>
      </c>
      <c r="X191" s="593">
        <f>X186*$V$11</f>
        <v>2219335.7142857146</v>
      </c>
      <c r="Y191" s="361"/>
      <c r="Z191" s="364"/>
      <c r="AA191"/>
      <c r="AB191"/>
      <c r="AC191"/>
      <c r="AD191"/>
      <c r="AE191"/>
      <c r="AF191"/>
    </row>
    <row r="192" spans="17:32" ht="12.75" customHeight="1">
      <c r="Q192" s="668"/>
      <c r="R192" s="367"/>
      <c r="S192" s="367"/>
      <c r="T192" s="367"/>
      <c r="U192" s="367"/>
      <c r="V192" s="367"/>
      <c r="W192" s="367"/>
      <c r="X192" s="367"/>
      <c r="Y192" s="364"/>
      <c r="Z192" s="364"/>
      <c r="AA192"/>
      <c r="AB192"/>
      <c r="AC192"/>
      <c r="AD192"/>
      <c r="AE192"/>
      <c r="AF192"/>
    </row>
    <row r="193" spans="17:32" ht="12.75" customHeight="1">
      <c r="Q193" s="668"/>
      <c r="R193" s="901" t="s">
        <v>477</v>
      </c>
      <c r="S193" s="901"/>
      <c r="T193" s="901"/>
      <c r="U193" s="930" t="s">
        <v>500</v>
      </c>
      <c r="V193" s="928" t="s">
        <v>22</v>
      </c>
      <c r="W193" s="929" t="s">
        <v>579</v>
      </c>
      <c r="X193" s="927" t="s">
        <v>21</v>
      </c>
      <c r="Y193" s="361"/>
      <c r="Z193" s="364"/>
      <c r="AA193"/>
      <c r="AB193"/>
      <c r="AC193"/>
      <c r="AD193"/>
      <c r="AE193"/>
      <c r="AF193"/>
    </row>
    <row r="194" spans="17:32" ht="12.75" customHeight="1">
      <c r="Q194" s="668"/>
      <c r="R194" s="901"/>
      <c r="S194" s="901"/>
      <c r="T194" s="901"/>
      <c r="U194" s="930"/>
      <c r="V194" s="928"/>
      <c r="W194" s="929"/>
      <c r="X194" s="927"/>
      <c r="Y194" s="361"/>
      <c r="Z194" s="364"/>
      <c r="AA194"/>
      <c r="AB194"/>
      <c r="AC194"/>
      <c r="AD194"/>
      <c r="AE194"/>
      <c r="AF194"/>
    </row>
    <row r="195" spans="17:32" ht="12.75" customHeight="1">
      <c r="Q195" s="668"/>
      <c r="R195" s="973" t="s">
        <v>472</v>
      </c>
      <c r="S195" s="973"/>
      <c r="T195" s="973"/>
      <c r="U195" s="593">
        <f>U190*12</f>
        <v>58291.200000000004</v>
      </c>
      <c r="V195" s="593">
        <f>V190*12</f>
        <v>4719599.9999999991</v>
      </c>
      <c r="W195" s="593">
        <f>W190*12</f>
        <v>4104000</v>
      </c>
      <c r="X195" s="593">
        <f>X190*12</f>
        <v>3371142.8571428573</v>
      </c>
      <c r="Y195" s="361"/>
      <c r="Z195" s="364"/>
      <c r="AA195"/>
      <c r="AB195"/>
      <c r="AC195"/>
      <c r="AD195"/>
      <c r="AE195"/>
      <c r="AF195"/>
    </row>
    <row r="196" spans="17:32" ht="12.75" customHeight="1">
      <c r="Q196" s="668"/>
      <c r="R196" s="973" t="s">
        <v>473</v>
      </c>
      <c r="S196" s="973"/>
      <c r="T196" s="973"/>
      <c r="U196" s="543"/>
      <c r="V196" s="593">
        <f>V191*12</f>
        <v>25957800.000000007</v>
      </c>
      <c r="W196" s="593">
        <f>W191*12</f>
        <v>26265600.000000007</v>
      </c>
      <c r="X196" s="593">
        <f>X191*12</f>
        <v>26632028.571428575</v>
      </c>
      <c r="Y196" s="361"/>
      <c r="Z196" s="364"/>
      <c r="AA196"/>
      <c r="AB196"/>
      <c r="AC196"/>
      <c r="AD196"/>
      <c r="AE196"/>
      <c r="AF196"/>
    </row>
    <row r="197" spans="17:32" ht="12.75" customHeight="1">
      <c r="Q197" s="668"/>
      <c r="R197" s="367"/>
      <c r="S197" s="367"/>
      <c r="T197" s="367"/>
      <c r="U197" s="367"/>
      <c r="V197" s="367"/>
      <c r="W197" s="367"/>
      <c r="X197" s="367"/>
      <c r="Y197" s="364"/>
      <c r="Z197" s="364"/>
      <c r="AA197"/>
      <c r="AB197"/>
      <c r="AC197"/>
      <c r="AD197"/>
      <c r="AE197"/>
      <c r="AF197"/>
    </row>
    <row r="198" spans="17:32" ht="12.75" customHeight="1">
      <c r="Q198" s="668"/>
      <c r="R198" s="901" t="s">
        <v>116</v>
      </c>
      <c r="S198" s="901"/>
      <c r="T198" s="901"/>
      <c r="U198" s="949" t="s">
        <v>500</v>
      </c>
      <c r="V198" s="938" t="s">
        <v>22</v>
      </c>
      <c r="W198" s="940" t="s">
        <v>579</v>
      </c>
      <c r="X198" s="942" t="s">
        <v>21</v>
      </c>
      <c r="Y198" s="361"/>
      <c r="Z198" s="364"/>
      <c r="AA198"/>
      <c r="AB198"/>
      <c r="AC198"/>
      <c r="AD198"/>
      <c r="AE198"/>
      <c r="AF198"/>
    </row>
    <row r="199" spans="17:32" ht="12.75" customHeight="1">
      <c r="Q199" s="668"/>
      <c r="R199" s="901"/>
      <c r="S199" s="901"/>
      <c r="T199" s="901"/>
      <c r="U199" s="950"/>
      <c r="V199" s="939"/>
      <c r="W199" s="941"/>
      <c r="X199" s="943"/>
      <c r="Y199" s="361"/>
      <c r="Z199" s="364"/>
      <c r="AA199"/>
      <c r="AB199"/>
      <c r="AC199"/>
      <c r="AD199"/>
      <c r="AE199"/>
      <c r="AF199"/>
    </row>
    <row r="200" spans="17:32" ht="12.75" customHeight="1">
      <c r="Q200" s="668"/>
      <c r="R200" s="970" t="s">
        <v>459</v>
      </c>
      <c r="S200" s="971"/>
      <c r="T200" s="972"/>
      <c r="U200" s="593">
        <f>U185</f>
        <v>211.20000000000002</v>
      </c>
      <c r="V200" s="593">
        <f>V185+V186</f>
        <v>111150.00000000001</v>
      </c>
      <c r="W200" s="593">
        <f>W185+W186</f>
        <v>110034.78260869568</v>
      </c>
      <c r="X200" s="593">
        <f>X185+X186</f>
        <v>108707.14285714286</v>
      </c>
      <c r="Y200" s="361"/>
      <c r="Z200" s="364"/>
      <c r="AA200"/>
      <c r="AB200"/>
      <c r="AC200"/>
      <c r="AD200"/>
      <c r="AE200"/>
      <c r="AF200"/>
    </row>
    <row r="201" spans="17:32" ht="12.75" customHeight="1">
      <c r="Q201" s="668"/>
      <c r="R201" s="973" t="s">
        <v>307</v>
      </c>
      <c r="S201" s="973"/>
      <c r="T201" s="973"/>
      <c r="U201" s="593">
        <f>U190</f>
        <v>4857.6000000000004</v>
      </c>
      <c r="V201" s="593">
        <f>V190+V191</f>
        <v>2556450.0000000005</v>
      </c>
      <c r="W201" s="593">
        <f>W190+W191</f>
        <v>2530800.0000000005</v>
      </c>
      <c r="X201" s="593">
        <f>X190+X191</f>
        <v>2500264.2857142859</v>
      </c>
      <c r="Y201" s="361"/>
      <c r="Z201" s="364"/>
      <c r="AA201"/>
      <c r="AB201"/>
      <c r="AC201"/>
      <c r="AD201"/>
      <c r="AE201"/>
      <c r="AF201"/>
    </row>
    <row r="202" spans="17:32" ht="12.75" customHeight="1">
      <c r="Q202" s="668"/>
      <c r="R202" s="973" t="s">
        <v>308</v>
      </c>
      <c r="S202" s="973"/>
      <c r="T202" s="973"/>
      <c r="U202" s="593">
        <f>U195</f>
        <v>58291.200000000004</v>
      </c>
      <c r="V202" s="593">
        <f>V195+V196</f>
        <v>30677400.000000007</v>
      </c>
      <c r="W202" s="593">
        <f>W195+W196</f>
        <v>30369600.000000007</v>
      </c>
      <c r="X202" s="593">
        <f>X195+X196</f>
        <v>30003171.428571433</v>
      </c>
      <c r="Y202" s="361"/>
      <c r="Z202" s="364"/>
      <c r="AA202"/>
      <c r="AB202"/>
      <c r="AC202"/>
      <c r="AD202"/>
      <c r="AE202"/>
      <c r="AF202"/>
    </row>
    <row r="203" spans="17:32" ht="12.75" customHeight="1">
      <c r="Q203" s="668"/>
      <c r="R203" s="575"/>
      <c r="S203" s="575"/>
      <c r="T203" s="575"/>
      <c r="U203" s="382"/>
      <c r="V203" s="382"/>
      <c r="W203" s="382"/>
      <c r="X203" s="382"/>
      <c r="Y203" s="364"/>
      <c r="Z203" s="364"/>
      <c r="AA203"/>
      <c r="AB203"/>
      <c r="AC203"/>
      <c r="AD203"/>
      <c r="AE203"/>
      <c r="AF203"/>
    </row>
    <row r="204" spans="17:32" ht="12.75" customHeight="1">
      <c r="Q204" s="668"/>
      <c r="R204" s="974" t="s">
        <v>775</v>
      </c>
      <c r="S204" s="974"/>
      <c r="T204" s="974"/>
      <c r="U204" s="974"/>
      <c r="V204" s="974"/>
      <c r="W204" s="974"/>
      <c r="X204" s="974"/>
      <c r="Y204" s="974"/>
      <c r="Z204" s="364"/>
      <c r="AA204"/>
      <c r="AB204"/>
      <c r="AC204"/>
      <c r="AD204"/>
      <c r="AE204"/>
      <c r="AF204"/>
    </row>
    <row r="205" spans="17:32" ht="12.75" customHeight="1">
      <c r="Q205" s="668"/>
      <c r="R205" s="974"/>
      <c r="S205" s="974"/>
      <c r="T205" s="974"/>
      <c r="U205" s="974"/>
      <c r="V205" s="974"/>
      <c r="W205" s="974"/>
      <c r="X205" s="974"/>
      <c r="Y205" s="974"/>
      <c r="Z205" s="576"/>
      <c r="AA205"/>
      <c r="AB205"/>
      <c r="AC205"/>
      <c r="AD205"/>
      <c r="AE205"/>
      <c r="AF205"/>
    </row>
    <row r="206" spans="17:32" ht="12.75" customHeight="1">
      <c r="Q206" s="668"/>
      <c r="R206" s="974"/>
      <c r="S206" s="974"/>
      <c r="T206" s="974"/>
      <c r="U206" s="974"/>
      <c r="V206" s="974"/>
      <c r="W206" s="974"/>
      <c r="X206" s="974"/>
      <c r="Y206" s="974"/>
      <c r="Z206" s="576"/>
      <c r="AA206"/>
      <c r="AB206"/>
      <c r="AC206"/>
      <c r="AD206"/>
      <c r="AE206"/>
      <c r="AF206"/>
    </row>
    <row r="207" spans="17:32" ht="12.75" customHeight="1">
      <c r="Q207" s="668"/>
      <c r="R207" s="974"/>
      <c r="S207" s="974"/>
      <c r="T207" s="974"/>
      <c r="U207" s="974"/>
      <c r="V207" s="974"/>
      <c r="W207" s="974"/>
      <c r="X207" s="974"/>
      <c r="Y207" s="974"/>
      <c r="Z207" s="576"/>
      <c r="AA207"/>
      <c r="AB207"/>
      <c r="AC207"/>
      <c r="AD207"/>
      <c r="AE207"/>
      <c r="AF207"/>
    </row>
    <row r="208" spans="17:32" ht="12.75" customHeight="1">
      <c r="Q208" s="668"/>
      <c r="R208" s="974"/>
      <c r="S208" s="974"/>
      <c r="T208" s="974"/>
      <c r="U208" s="974"/>
      <c r="V208" s="974"/>
      <c r="W208" s="974"/>
      <c r="X208" s="974"/>
      <c r="Y208" s="974"/>
      <c r="Z208" s="576"/>
      <c r="AA208"/>
      <c r="AB208"/>
      <c r="AC208"/>
      <c r="AD208"/>
      <c r="AE208"/>
      <c r="AF208"/>
    </row>
    <row r="209" spans="17:32" ht="12.75" customHeight="1">
      <c r="Q209" s="668"/>
      <c r="R209" s="364"/>
      <c r="S209" s="375"/>
      <c r="T209" s="375"/>
      <c r="U209" s="577"/>
      <c r="V209" s="577"/>
      <c r="W209" s="577"/>
      <c r="X209" s="577"/>
      <c r="Y209" s="551"/>
      <c r="Z209" s="363"/>
      <c r="AA209"/>
      <c r="AB209"/>
      <c r="AC209"/>
      <c r="AD209"/>
      <c r="AE209"/>
      <c r="AF209"/>
    </row>
    <row r="210" spans="17:32" ht="12.75" customHeight="1">
      <c r="Q210" s="668"/>
      <c r="R210" s="975" t="s">
        <v>667</v>
      </c>
      <c r="S210" s="976"/>
      <c r="T210" s="976"/>
      <c r="U210" s="976"/>
      <c r="V210" s="976"/>
      <c r="W210" s="976"/>
      <c r="X210" s="979">
        <f>10*V25</f>
        <v>76800</v>
      </c>
      <c r="Y210" s="935" t="s">
        <v>668</v>
      </c>
      <c r="Z210" s="364"/>
      <c r="AA210"/>
      <c r="AB210"/>
      <c r="AC210"/>
      <c r="AD210"/>
      <c r="AE210"/>
      <c r="AF210"/>
    </row>
    <row r="211" spans="17:32" ht="12.75" customHeight="1">
      <c r="Q211" s="668"/>
      <c r="R211" s="977"/>
      <c r="S211" s="978"/>
      <c r="T211" s="978"/>
      <c r="U211" s="978"/>
      <c r="V211" s="978"/>
      <c r="W211" s="978"/>
      <c r="X211" s="979"/>
      <c r="Y211" s="935"/>
      <c r="Z211" s="364"/>
      <c r="AA211"/>
      <c r="AB211"/>
      <c r="AC211"/>
      <c r="AD211"/>
      <c r="AE211"/>
      <c r="AF211"/>
    </row>
    <row r="212" spans="17:32" ht="12.75" customHeight="1">
      <c r="Q212" s="668"/>
      <c r="R212" s="578"/>
      <c r="S212" s="578"/>
      <c r="T212" s="578"/>
      <c r="U212" s="578"/>
      <c r="V212" s="578"/>
      <c r="W212" s="578"/>
      <c r="X212" s="578"/>
      <c r="Y212" s="579"/>
      <c r="Z212" s="551"/>
      <c r="AA212"/>
      <c r="AB212"/>
      <c r="AC212"/>
      <c r="AD212"/>
      <c r="AE212"/>
      <c r="AF212"/>
    </row>
    <row r="213" spans="17:32" ht="12.75" customHeight="1">
      <c r="Q213" s="668"/>
      <c r="R213" s="937" t="s">
        <v>678</v>
      </c>
      <c r="S213" s="937"/>
      <c r="T213" s="937"/>
      <c r="U213" s="937"/>
      <c r="V213" s="949" t="s">
        <v>500</v>
      </c>
      <c r="W213" s="938" t="s">
        <v>22</v>
      </c>
      <c r="X213" s="940" t="s">
        <v>579</v>
      </c>
      <c r="Y213" s="942" t="s">
        <v>21</v>
      </c>
      <c r="Z213" s="361"/>
      <c r="AA213"/>
      <c r="AB213"/>
      <c r="AC213"/>
      <c r="AD213"/>
      <c r="AE213"/>
      <c r="AF213"/>
    </row>
    <row r="214" spans="17:32" ht="12.75" customHeight="1">
      <c r="Q214" s="668"/>
      <c r="R214" s="937"/>
      <c r="S214" s="937"/>
      <c r="T214" s="937"/>
      <c r="U214" s="937"/>
      <c r="V214" s="950"/>
      <c r="W214" s="939"/>
      <c r="X214" s="941"/>
      <c r="Y214" s="943"/>
      <c r="Z214" s="361"/>
      <c r="AA214"/>
      <c r="AB214"/>
      <c r="AC214"/>
      <c r="AD214"/>
      <c r="AE214"/>
      <c r="AF214"/>
    </row>
    <row r="215" spans="17:32" ht="12.75" customHeight="1">
      <c r="Q215" s="668"/>
      <c r="R215" s="968" t="s">
        <v>533</v>
      </c>
      <c r="S215" s="968"/>
      <c r="T215" s="968"/>
      <c r="U215" s="968"/>
      <c r="V215" s="580">
        <v>0.107</v>
      </c>
      <c r="W215" s="581">
        <f>VLOOKUP($V$5,'Lookup Energy kWhm'!$B$8:$E$208,3)</f>
        <v>0.13</v>
      </c>
      <c r="X215" s="581">
        <f>VLOOKUP($V$5,'Lookup Energy kWhm'!$B$8:$E$208,4)</f>
        <v>0.14799999999999999</v>
      </c>
      <c r="Y215" s="581">
        <f>VLOOKUP($V$5,'Lookup Energy kWhm'!$B$8:$E$208,2)</f>
        <v>0.1</v>
      </c>
      <c r="Z215" s="361"/>
      <c r="AA215"/>
      <c r="AB215"/>
      <c r="AC215"/>
      <c r="AD215"/>
      <c r="AE215"/>
      <c r="AF215"/>
    </row>
    <row r="216" spans="17:32" ht="12.75" customHeight="1">
      <c r="Q216" s="668"/>
      <c r="R216" s="969" t="s">
        <v>31</v>
      </c>
      <c r="S216" s="969"/>
      <c r="T216" s="969"/>
      <c r="U216" s="969"/>
      <c r="V216" s="556">
        <f t="shared" ref="V216:W219" si="2">X216</f>
        <v>1.2</v>
      </c>
      <c r="W216" s="556">
        <f t="shared" si="2"/>
        <v>1.2</v>
      </c>
      <c r="X216" s="556">
        <f>W216</f>
        <v>1.2</v>
      </c>
      <c r="Y216" s="556">
        <f>V20</f>
        <v>1.2</v>
      </c>
      <c r="Z216" s="361"/>
      <c r="AA216"/>
      <c r="AB216"/>
      <c r="AC216"/>
      <c r="AD216"/>
      <c r="AE216"/>
      <c r="AF216"/>
    </row>
    <row r="217" spans="17:32" ht="12.75" customHeight="1">
      <c r="Q217" s="668"/>
      <c r="R217" s="969" t="s">
        <v>314</v>
      </c>
      <c r="S217" s="969"/>
      <c r="T217" s="969"/>
      <c r="U217" s="969"/>
      <c r="V217" s="556">
        <f t="shared" si="2"/>
        <v>160</v>
      </c>
      <c r="W217" s="556">
        <f t="shared" si="2"/>
        <v>160</v>
      </c>
      <c r="X217" s="556">
        <f>W217</f>
        <v>160</v>
      </c>
      <c r="Y217" s="556">
        <f>V19</f>
        <v>160</v>
      </c>
      <c r="Z217" s="361"/>
      <c r="AA217"/>
      <c r="AB217"/>
      <c r="AC217"/>
      <c r="AD217"/>
      <c r="AE217"/>
      <c r="AF217"/>
    </row>
    <row r="218" spans="17:32" ht="12.75" customHeight="1">
      <c r="Q218" s="668"/>
      <c r="R218" s="969" t="s">
        <v>20</v>
      </c>
      <c r="S218" s="969"/>
      <c r="T218" s="969"/>
      <c r="U218" s="969"/>
      <c r="V218" s="556">
        <f t="shared" si="2"/>
        <v>40</v>
      </c>
      <c r="W218" s="556">
        <f t="shared" si="2"/>
        <v>40</v>
      </c>
      <c r="X218" s="556">
        <f>W218</f>
        <v>40</v>
      </c>
      <c r="Y218" s="556">
        <f>V22</f>
        <v>40</v>
      </c>
      <c r="Z218" s="361"/>
      <c r="AA218"/>
      <c r="AB218"/>
      <c r="AC218"/>
      <c r="AD218"/>
      <c r="AE218"/>
      <c r="AF218"/>
    </row>
    <row r="219" spans="17:32" ht="12.75" customHeight="1">
      <c r="Q219" s="668"/>
      <c r="R219" s="969" t="s">
        <v>310</v>
      </c>
      <c r="S219" s="969"/>
      <c r="T219" s="969"/>
      <c r="U219" s="969"/>
      <c r="V219" s="556">
        <f t="shared" si="2"/>
        <v>160</v>
      </c>
      <c r="W219" s="556">
        <f t="shared" si="2"/>
        <v>160</v>
      </c>
      <c r="X219" s="556">
        <f>W219</f>
        <v>160</v>
      </c>
      <c r="Y219" s="556">
        <f>V23</f>
        <v>160</v>
      </c>
      <c r="Z219" s="361"/>
      <c r="AA219"/>
      <c r="AB219"/>
      <c r="AC219"/>
      <c r="AD219"/>
      <c r="AE219"/>
      <c r="AF219"/>
    </row>
    <row r="220" spans="17:32" ht="12.75" customHeight="1">
      <c r="Q220" s="668"/>
      <c r="R220" s="968" t="s">
        <v>543</v>
      </c>
      <c r="S220" s="968"/>
      <c r="T220" s="968"/>
      <c r="U220" s="968"/>
      <c r="V220" s="582">
        <f>V215*V216*V217*V218</f>
        <v>821.75999999999988</v>
      </c>
      <c r="W220" s="582">
        <f>W215*W216*W217*W218</f>
        <v>998.40000000000009</v>
      </c>
      <c r="X220" s="582">
        <f>X215*X216*X217*X218</f>
        <v>1136.6399999999999</v>
      </c>
      <c r="Y220" s="582">
        <f>Y215*Y216*Y217*Y218</f>
        <v>768</v>
      </c>
      <c r="Z220" s="361"/>
      <c r="AA220"/>
      <c r="AB220"/>
      <c r="AC220"/>
      <c r="AD220"/>
      <c r="AE220"/>
      <c r="AF220"/>
    </row>
    <row r="221" spans="17:32" ht="12.75" customHeight="1">
      <c r="Q221" s="668"/>
      <c r="R221" s="968" t="s">
        <v>542</v>
      </c>
      <c r="S221" s="968"/>
      <c r="T221" s="968"/>
      <c r="U221" s="968"/>
      <c r="V221" s="583">
        <f>V220/V219</f>
        <v>5.1359999999999992</v>
      </c>
      <c r="W221" s="583">
        <f>W220/W219</f>
        <v>6.24</v>
      </c>
      <c r="X221" s="583">
        <f>X220/X219</f>
        <v>7.1039999999999992</v>
      </c>
      <c r="Y221" s="583">
        <f>Y220/Y219</f>
        <v>4.8</v>
      </c>
      <c r="Z221" s="361"/>
      <c r="AA221"/>
      <c r="AB221"/>
      <c r="AC221"/>
      <c r="AD221"/>
      <c r="AE221"/>
      <c r="AF221"/>
    </row>
    <row r="222" spans="17:32" ht="12.75" customHeight="1">
      <c r="Q222" s="668"/>
      <c r="R222" s="968" t="s">
        <v>538</v>
      </c>
      <c r="S222" s="968"/>
      <c r="T222" s="968"/>
      <c r="U222" s="968"/>
      <c r="V222" s="537">
        <f>U62</f>
        <v>2.6666666666666665</v>
      </c>
      <c r="W222" s="537">
        <f>V62</f>
        <v>1.9999999999999996</v>
      </c>
      <c r="X222" s="537">
        <f>W62</f>
        <v>1.7391304347826084</v>
      </c>
      <c r="Y222" s="537">
        <f>X62</f>
        <v>1.4285714285714284</v>
      </c>
      <c r="Z222" s="361"/>
      <c r="AA222"/>
      <c r="AB222"/>
      <c r="AC222"/>
      <c r="AD222"/>
      <c r="AE222"/>
      <c r="AF222"/>
    </row>
    <row r="223" spans="17:32" ht="12.75" customHeight="1">
      <c r="Q223" s="668"/>
      <c r="R223" s="968" t="s">
        <v>546</v>
      </c>
      <c r="S223" s="968"/>
      <c r="T223" s="968"/>
      <c r="U223" s="968"/>
      <c r="V223" s="584">
        <f>2.2*V222</f>
        <v>5.8666666666666671</v>
      </c>
      <c r="W223" s="584">
        <f>W222/W215</f>
        <v>15.384615384615381</v>
      </c>
      <c r="X223" s="584">
        <f>X222/X215</f>
        <v>11.750881316098706</v>
      </c>
      <c r="Y223" s="584">
        <f>Y222/Y215</f>
        <v>14.285714285714283</v>
      </c>
      <c r="Z223" s="361"/>
      <c r="AA223"/>
      <c r="AB223"/>
      <c r="AC223"/>
      <c r="AD223"/>
      <c r="AE223"/>
      <c r="AF223"/>
    </row>
    <row r="224" spans="17:32" ht="12.75" customHeight="1">
      <c r="Q224" s="668"/>
      <c r="R224" s="968" t="s">
        <v>544</v>
      </c>
      <c r="S224" s="968"/>
      <c r="T224" s="968"/>
      <c r="U224" s="968"/>
      <c r="V224" s="582">
        <f>V219*V223</f>
        <v>938.66666666666674</v>
      </c>
      <c r="W224" s="582">
        <f>W219*W223</f>
        <v>2461.538461538461</v>
      </c>
      <c r="X224" s="582">
        <f>X219*X223</f>
        <v>1880.141010575793</v>
      </c>
      <c r="Y224" s="674">
        <f>Y219*Y223</f>
        <v>2285.7142857142853</v>
      </c>
      <c r="Z224" s="361"/>
      <c r="AA224"/>
      <c r="AB224"/>
      <c r="AC224"/>
      <c r="AD224"/>
      <c r="AE224"/>
      <c r="AF224"/>
    </row>
    <row r="225" spans="17:32" ht="12.75" customHeight="1">
      <c r="Q225" s="668"/>
      <c r="R225" s="969" t="s">
        <v>535</v>
      </c>
      <c r="S225" s="969"/>
      <c r="T225" s="969"/>
      <c r="U225" s="969"/>
      <c r="V225" s="556">
        <f>V217/V222</f>
        <v>60</v>
      </c>
      <c r="W225" s="556">
        <f>W217/W222</f>
        <v>80.000000000000014</v>
      </c>
      <c r="X225" s="556">
        <f>X217/X222</f>
        <v>92.000000000000014</v>
      </c>
      <c r="Y225" s="556">
        <f>Y217/Y222</f>
        <v>112.00000000000001</v>
      </c>
      <c r="Z225" s="361"/>
      <c r="AA225"/>
      <c r="AB225"/>
      <c r="AC225"/>
      <c r="AD225"/>
      <c r="AE225"/>
      <c r="AF225"/>
    </row>
    <row r="226" spans="17:32" ht="12.75" customHeight="1">
      <c r="Q226" s="668"/>
      <c r="R226" s="969" t="s">
        <v>536</v>
      </c>
      <c r="S226" s="969"/>
      <c r="T226" s="969"/>
      <c r="U226" s="969"/>
      <c r="V226" s="675">
        <f>V216*V225</f>
        <v>72</v>
      </c>
      <c r="W226" s="675">
        <f>W216*W225</f>
        <v>96.000000000000014</v>
      </c>
      <c r="X226" s="675">
        <f>X216*X225</f>
        <v>110.40000000000002</v>
      </c>
      <c r="Y226" s="675">
        <f>Y216*Y225</f>
        <v>134.4</v>
      </c>
      <c r="Z226" s="361"/>
      <c r="AA226"/>
      <c r="AB226"/>
      <c r="AC226"/>
      <c r="AD226"/>
      <c r="AE226"/>
      <c r="AF226"/>
    </row>
    <row r="227" spans="17:32" ht="12.75" customHeight="1">
      <c r="Q227" s="668"/>
      <c r="R227" s="968" t="s">
        <v>534</v>
      </c>
      <c r="S227" s="968"/>
      <c r="T227" s="968"/>
      <c r="U227" s="968"/>
      <c r="V227" s="583">
        <f>U56</f>
        <v>4</v>
      </c>
      <c r="W227" s="583">
        <f>V56</f>
        <v>2.9999999999999996</v>
      </c>
      <c r="X227" s="583">
        <f>W56</f>
        <v>2.6086956521739126</v>
      </c>
      <c r="Y227" s="583">
        <f>X56</f>
        <v>2.1428571428571428</v>
      </c>
      <c r="Z227" s="361"/>
      <c r="AA227"/>
      <c r="AB227"/>
      <c r="AC227"/>
      <c r="AD227"/>
      <c r="AE227"/>
      <c r="AF227"/>
    </row>
    <row r="228" spans="17:32" ht="12.75" customHeight="1">
      <c r="Q228" s="668"/>
      <c r="R228" s="968" t="s">
        <v>537</v>
      </c>
      <c r="S228" s="968"/>
      <c r="T228" s="968"/>
      <c r="U228" s="968"/>
      <c r="V228" s="584">
        <f>V225*V227</f>
        <v>240</v>
      </c>
      <c r="W228" s="584">
        <f>W225*W227</f>
        <v>240</v>
      </c>
      <c r="X228" s="584">
        <f>X225*X227</f>
        <v>240</v>
      </c>
      <c r="Y228" s="584">
        <f>Y225*Y227</f>
        <v>240.00000000000003</v>
      </c>
      <c r="Z228" s="361"/>
      <c r="AA228"/>
      <c r="AB228"/>
      <c r="AC228"/>
      <c r="AD228"/>
      <c r="AE228"/>
      <c r="AF228"/>
    </row>
    <row r="229" spans="17:32" ht="12.75" customHeight="1">
      <c r="Q229" s="668"/>
      <c r="R229" s="968" t="s">
        <v>545</v>
      </c>
      <c r="S229" s="968"/>
      <c r="T229" s="968"/>
      <c r="U229" s="968"/>
      <c r="V229" s="585">
        <f>V221/V223</f>
        <v>0.87545454545454526</v>
      </c>
      <c r="W229" s="585">
        <f>W221/W223</f>
        <v>0.40560000000000007</v>
      </c>
      <c r="X229" s="585">
        <f>X221/X223</f>
        <v>0.60455040000000004</v>
      </c>
      <c r="Y229" s="585">
        <f>Y221/Y223</f>
        <v>0.33600000000000008</v>
      </c>
      <c r="Z229" s="361"/>
      <c r="AA229"/>
      <c r="AB229"/>
      <c r="AC229"/>
      <c r="AD229"/>
      <c r="AE229"/>
      <c r="AF229"/>
    </row>
    <row r="230" spans="17:32" ht="12.75" customHeight="1">
      <c r="Q230" s="668"/>
      <c r="R230" s="540" t="s">
        <v>547</v>
      </c>
      <c r="S230" s="540"/>
      <c r="T230" s="540"/>
      <c r="U230" s="540"/>
      <c r="V230" s="585"/>
      <c r="W230" s="586">
        <f>10*W217*W216*W218</f>
        <v>76800</v>
      </c>
      <c r="X230" s="586">
        <f>10*X217*X216*X218</f>
        <v>76800</v>
      </c>
      <c r="Y230" s="586">
        <f>10*Y217*Y216*Y218</f>
        <v>76800</v>
      </c>
      <c r="Z230" s="361"/>
      <c r="AA230"/>
      <c r="AB230"/>
      <c r="AC230"/>
      <c r="AD230"/>
      <c r="AE230"/>
      <c r="AF230"/>
    </row>
    <row r="231" spans="17:32" ht="12.75" customHeight="1">
      <c r="Q231" s="668"/>
      <c r="R231" s="968" t="s">
        <v>548</v>
      </c>
      <c r="S231" s="968"/>
      <c r="T231" s="968"/>
      <c r="U231" s="968"/>
      <c r="V231" s="585">
        <f>V229</f>
        <v>0.87545454545454526</v>
      </c>
      <c r="W231" s="585">
        <f>W220/W230</f>
        <v>1.3000000000000001E-2</v>
      </c>
      <c r="X231" s="585">
        <f>X220/X230</f>
        <v>1.4799999999999999E-2</v>
      </c>
      <c r="Y231" s="585">
        <f>Y220/Y230</f>
        <v>0.01</v>
      </c>
      <c r="Z231" s="361"/>
      <c r="AA231"/>
      <c r="AB231"/>
      <c r="AC231"/>
      <c r="AD231"/>
      <c r="AE231"/>
      <c r="AF231"/>
    </row>
    <row r="232" spans="17:32" ht="12.75" customHeight="1">
      <c r="Q232" s="668"/>
      <c r="R232" s="587"/>
      <c r="S232" s="587"/>
      <c r="T232" s="587"/>
      <c r="U232" s="587"/>
      <c r="V232" s="588"/>
      <c r="W232" s="588"/>
      <c r="X232" s="588"/>
      <c r="Y232" s="588"/>
      <c r="Z232" s="589"/>
      <c r="AA232"/>
      <c r="AB232"/>
      <c r="AC232"/>
      <c r="AD232"/>
      <c r="AE232"/>
      <c r="AF232"/>
    </row>
    <row r="233" spans="17:32" ht="12.75" customHeight="1">
      <c r="Q233" s="668"/>
      <c r="R233" s="587"/>
      <c r="S233" s="587"/>
      <c r="T233" s="587"/>
      <c r="U233" s="587"/>
      <c r="V233" s="676"/>
      <c r="W233" s="676"/>
      <c r="X233" s="676"/>
      <c r="Y233" s="588"/>
      <c r="Z233" s="364"/>
      <c r="AA233"/>
      <c r="AB233"/>
      <c r="AC233"/>
      <c r="AD233"/>
      <c r="AE233"/>
      <c r="AF233"/>
    </row>
    <row r="234" spans="17:32" ht="12.75" customHeight="1">
      <c r="Q234" s="668" t="s">
        <v>240</v>
      </c>
      <c r="R234" s="364" t="s">
        <v>241</v>
      </c>
      <c r="S234" s="364"/>
      <c r="T234" s="364"/>
      <c r="U234" s="364"/>
      <c r="V234" s="364"/>
      <c r="W234" s="364"/>
      <c r="X234" s="364"/>
      <c r="Y234" s="364"/>
      <c r="Z234" s="364"/>
      <c r="AA234"/>
      <c r="AB234"/>
      <c r="AC234"/>
      <c r="AD234"/>
      <c r="AE234"/>
      <c r="AF234"/>
    </row>
    <row r="235" spans="17:32" ht="12.75" customHeight="1">
      <c r="Q235" s="364"/>
      <c r="R235" s="962" t="s">
        <v>301</v>
      </c>
      <c r="S235" s="963"/>
      <c r="T235" s="964"/>
      <c r="U235" s="949" t="s">
        <v>500</v>
      </c>
      <c r="V235" s="938" t="s">
        <v>22</v>
      </c>
      <c r="W235" s="940" t="s">
        <v>579</v>
      </c>
      <c r="X235" s="942" t="s">
        <v>21</v>
      </c>
      <c r="Y235" s="361"/>
      <c r="Z235" s="364"/>
      <c r="AA235"/>
      <c r="AB235"/>
      <c r="AC235"/>
      <c r="AD235"/>
      <c r="AE235"/>
      <c r="AF235"/>
    </row>
    <row r="236" spans="17:32" ht="12.75" customHeight="1">
      <c r="Q236" s="364"/>
      <c r="R236" s="965"/>
      <c r="S236" s="966"/>
      <c r="T236" s="967"/>
      <c r="U236" s="950"/>
      <c r="V236" s="939"/>
      <c r="W236" s="941"/>
      <c r="X236" s="943"/>
      <c r="Y236" s="361"/>
      <c r="Z236" s="364"/>
      <c r="AA236"/>
      <c r="AB236"/>
      <c r="AC236"/>
      <c r="AD236"/>
      <c r="AE236"/>
      <c r="AF236"/>
    </row>
    <row r="237" spans="17:32" ht="12.75" customHeight="1">
      <c r="Q237" s="364"/>
      <c r="R237" s="931" t="s">
        <v>662</v>
      </c>
      <c r="S237" s="931"/>
      <c r="T237" s="931"/>
      <c r="U237" s="901" t="s">
        <v>427</v>
      </c>
      <c r="V237" s="562">
        <f>VLOOKUP($V$5,'Lookup Air Consumption'!$B$8:$E$208,3)</f>
        <v>38</v>
      </c>
      <c r="W237" s="562">
        <f>VLOOKUP($V$5,'Lookup Air Consumption'!$B$8:$E$208,4)</f>
        <v>50</v>
      </c>
      <c r="X237" s="562">
        <f>VLOOKUP($V$5,'Lookup Air Consumption'!$B$8:$E$208,2)</f>
        <v>41</v>
      </c>
      <c r="Y237" s="361"/>
      <c r="Z237" s="364"/>
      <c r="AA237"/>
      <c r="AB237"/>
      <c r="AC237"/>
      <c r="AD237"/>
      <c r="AE237"/>
      <c r="AF237"/>
    </row>
    <row r="238" spans="17:32" ht="12.75" customHeight="1">
      <c r="Q238" s="364"/>
      <c r="R238" s="931" t="s">
        <v>663</v>
      </c>
      <c r="S238" s="931"/>
      <c r="T238" s="931"/>
      <c r="U238" s="901"/>
      <c r="V238" s="590">
        <f>V237/1000</f>
        <v>3.7999999999999999E-2</v>
      </c>
      <c r="W238" s="590">
        <f>W237/1000</f>
        <v>0.05</v>
      </c>
      <c r="X238" s="590">
        <f>X237/1000</f>
        <v>4.1000000000000002E-2</v>
      </c>
      <c r="Y238" s="361"/>
      <c r="Z238" s="364"/>
      <c r="AA238"/>
      <c r="AB238"/>
      <c r="AC238"/>
      <c r="AD238"/>
      <c r="AE238"/>
      <c r="AF238"/>
    </row>
    <row r="239" spans="17:32" ht="12.75" customHeight="1">
      <c r="Q239" s="364"/>
      <c r="R239" s="931" t="s">
        <v>664</v>
      </c>
      <c r="S239" s="931"/>
      <c r="T239" s="931"/>
      <c r="U239" s="901"/>
      <c r="V239" s="560">
        <f>V238*35.31467</f>
        <v>1.3419574599999999</v>
      </c>
      <c r="W239" s="560">
        <f>W238*35.31467</f>
        <v>1.7657335000000001</v>
      </c>
      <c r="X239" s="560">
        <f>X238*35.31467</f>
        <v>1.4479014700000001</v>
      </c>
      <c r="Y239" s="361"/>
      <c r="Z239" s="364"/>
      <c r="AA239"/>
      <c r="AB239"/>
      <c r="AC239"/>
      <c r="AD239"/>
      <c r="AE239"/>
      <c r="AF239"/>
    </row>
    <row r="240" spans="17:32" ht="12.75" customHeight="1">
      <c r="Q240" s="360"/>
      <c r="R240" s="551"/>
      <c r="S240" s="551"/>
      <c r="T240" s="551"/>
      <c r="U240" s="591"/>
      <c r="V240" s="551"/>
      <c r="W240" s="551"/>
      <c r="X240" s="551"/>
      <c r="Y240" s="361"/>
      <c r="Z240" s="364"/>
      <c r="AA240"/>
      <c r="AB240"/>
      <c r="AC240"/>
      <c r="AD240"/>
      <c r="AE240"/>
      <c r="AF240"/>
    </row>
    <row r="241" spans="17:32" ht="12.75" customHeight="1">
      <c r="Q241" s="360"/>
      <c r="R241" s="962" t="s">
        <v>302</v>
      </c>
      <c r="S241" s="963"/>
      <c r="T241" s="964"/>
      <c r="U241" s="949" t="s">
        <v>500</v>
      </c>
      <c r="V241" s="938" t="s">
        <v>22</v>
      </c>
      <c r="W241" s="940" t="s">
        <v>579</v>
      </c>
      <c r="X241" s="942" t="s">
        <v>21</v>
      </c>
      <c r="Y241" s="361"/>
      <c r="Z241" s="364"/>
      <c r="AA241"/>
      <c r="AB241"/>
      <c r="AC241"/>
      <c r="AD241"/>
      <c r="AE241"/>
      <c r="AF241"/>
    </row>
    <row r="242" spans="17:32" ht="12.75" customHeight="1">
      <c r="Q242" s="360"/>
      <c r="R242" s="965"/>
      <c r="S242" s="966"/>
      <c r="T242" s="967"/>
      <c r="U242" s="950"/>
      <c r="V242" s="939"/>
      <c r="W242" s="941"/>
      <c r="X242" s="943"/>
      <c r="Y242" s="361"/>
      <c r="Z242" s="364"/>
      <c r="AA242"/>
      <c r="AB242"/>
      <c r="AC242"/>
      <c r="AD242"/>
      <c r="AE242"/>
      <c r="AF242"/>
    </row>
    <row r="243" spans="17:32" ht="12.75" customHeight="1">
      <c r="Q243" s="360"/>
      <c r="R243" s="931" t="s">
        <v>662</v>
      </c>
      <c r="S243" s="931"/>
      <c r="T243" s="931"/>
      <c r="U243" s="901" t="s">
        <v>427</v>
      </c>
      <c r="V243" s="549">
        <f t="shared" ref="V243:W245" si="3">V237*$V$23</f>
        <v>6080</v>
      </c>
      <c r="W243" s="549">
        <f t="shared" si="3"/>
        <v>8000</v>
      </c>
      <c r="X243" s="549">
        <f>X237*$V$23</f>
        <v>6560</v>
      </c>
      <c r="Y243" s="361"/>
      <c r="Z243" s="364"/>
      <c r="AA243"/>
      <c r="AB243"/>
      <c r="AC243"/>
      <c r="AD243"/>
      <c r="AE243"/>
      <c r="AF243"/>
    </row>
    <row r="244" spans="17:32" ht="12.75" customHeight="1">
      <c r="Q244" s="360"/>
      <c r="R244" s="931" t="s">
        <v>663</v>
      </c>
      <c r="S244" s="931"/>
      <c r="T244" s="931"/>
      <c r="U244" s="901"/>
      <c r="V244" s="560">
        <f t="shared" si="3"/>
        <v>6.08</v>
      </c>
      <c r="W244" s="560">
        <f t="shared" si="3"/>
        <v>8</v>
      </c>
      <c r="X244" s="560">
        <f>X238*$V$23</f>
        <v>6.5600000000000005</v>
      </c>
      <c r="Y244" s="361"/>
      <c r="Z244" s="364"/>
      <c r="AA244"/>
      <c r="AB244"/>
      <c r="AC244"/>
      <c r="AD244"/>
      <c r="AE244"/>
      <c r="AF244"/>
    </row>
    <row r="245" spans="17:32" ht="12.75" customHeight="1">
      <c r="Q245" s="360"/>
      <c r="R245" s="931" t="s">
        <v>664</v>
      </c>
      <c r="S245" s="931"/>
      <c r="T245" s="931"/>
      <c r="U245" s="901"/>
      <c r="V245" s="560">
        <f t="shared" si="3"/>
        <v>214.71319359999998</v>
      </c>
      <c r="W245" s="560">
        <f t="shared" si="3"/>
        <v>282.51736</v>
      </c>
      <c r="X245" s="560">
        <f>X239*$V$23</f>
        <v>231.66423520000001</v>
      </c>
      <c r="Y245" s="361"/>
      <c r="Z245" s="364"/>
      <c r="AA245"/>
      <c r="AB245"/>
      <c r="AC245"/>
      <c r="AD245"/>
      <c r="AE245"/>
      <c r="AF245"/>
    </row>
    <row r="246" spans="17:32" ht="12.75" customHeight="1">
      <c r="Q246" s="360"/>
      <c r="R246" s="364"/>
      <c r="S246" s="364"/>
      <c r="T246" s="364"/>
      <c r="U246" s="364"/>
      <c r="V246" s="555"/>
      <c r="W246" s="555"/>
      <c r="X246" s="555"/>
      <c r="Y246" s="361"/>
      <c r="Z246" s="364"/>
      <c r="AA246"/>
      <c r="AB246"/>
      <c r="AC246"/>
      <c r="AD246"/>
      <c r="AE246"/>
      <c r="AF246"/>
    </row>
    <row r="247" spans="17:32" ht="12.75" customHeight="1">
      <c r="Q247" s="360"/>
      <c r="R247" s="962" t="s">
        <v>303</v>
      </c>
      <c r="S247" s="963"/>
      <c r="T247" s="964"/>
      <c r="U247" s="949" t="s">
        <v>500</v>
      </c>
      <c r="V247" s="938" t="s">
        <v>22</v>
      </c>
      <c r="W247" s="940" t="s">
        <v>579</v>
      </c>
      <c r="X247" s="942" t="s">
        <v>21</v>
      </c>
      <c r="Y247" s="361"/>
      <c r="Z247" s="364"/>
      <c r="AA247"/>
      <c r="AB247"/>
      <c r="AC247"/>
      <c r="AD247"/>
      <c r="AE247"/>
      <c r="AF247"/>
    </row>
    <row r="248" spans="17:32" ht="12.75" customHeight="1">
      <c r="Q248" s="360"/>
      <c r="R248" s="965"/>
      <c r="S248" s="966"/>
      <c r="T248" s="967"/>
      <c r="U248" s="950"/>
      <c r="V248" s="939"/>
      <c r="W248" s="941"/>
      <c r="X248" s="943"/>
      <c r="Y248" s="361"/>
      <c r="Z248" s="364"/>
      <c r="AA248"/>
      <c r="AB248"/>
      <c r="AC248"/>
      <c r="AD248"/>
      <c r="AE248"/>
      <c r="AF248"/>
    </row>
    <row r="249" spans="17:32" ht="12.75" customHeight="1">
      <c r="Q249" s="563"/>
      <c r="R249" s="951" t="s">
        <v>517</v>
      </c>
      <c r="S249" s="951"/>
      <c r="T249" s="951"/>
      <c r="U249" s="901" t="s">
        <v>427</v>
      </c>
      <c r="V249" s="549">
        <f t="shared" ref="V249:X251" si="4">($V$25/$X$51)*60*V237</f>
        <v>31268571.428571429</v>
      </c>
      <c r="W249" s="549">
        <f t="shared" si="4"/>
        <v>41142857.142857142</v>
      </c>
      <c r="X249" s="549">
        <f t="shared" si="4"/>
        <v>33737142.857142858</v>
      </c>
      <c r="Y249" s="361"/>
      <c r="Z249" s="364"/>
      <c r="AA249"/>
      <c r="AB249"/>
      <c r="AC249"/>
      <c r="AD249"/>
      <c r="AE249"/>
      <c r="AF249"/>
    </row>
    <row r="250" spans="17:32" ht="12.75" customHeight="1">
      <c r="Q250" s="364"/>
      <c r="R250" s="951" t="s">
        <v>666</v>
      </c>
      <c r="S250" s="951"/>
      <c r="T250" s="951"/>
      <c r="U250" s="901"/>
      <c r="V250" s="549">
        <f t="shared" si="4"/>
        <v>31268.571428571428</v>
      </c>
      <c r="W250" s="549">
        <f t="shared" si="4"/>
        <v>41142.857142857145</v>
      </c>
      <c r="X250" s="549">
        <f t="shared" si="4"/>
        <v>33737.142857142855</v>
      </c>
      <c r="Y250" s="361"/>
      <c r="Z250" s="364"/>
      <c r="AA250"/>
      <c r="AB250"/>
      <c r="AC250"/>
      <c r="AD250"/>
      <c r="AE250"/>
      <c r="AF250"/>
    </row>
    <row r="251" spans="17:32" ht="12.75" customHeight="1">
      <c r="Q251" s="364"/>
      <c r="R251" s="951" t="s">
        <v>583</v>
      </c>
      <c r="S251" s="951"/>
      <c r="T251" s="951"/>
      <c r="U251" s="901"/>
      <c r="V251" s="549">
        <f t="shared" si="4"/>
        <v>1104239.2813714284</v>
      </c>
      <c r="W251" s="549">
        <f t="shared" si="4"/>
        <v>1452946.422857143</v>
      </c>
      <c r="X251" s="549">
        <f t="shared" si="4"/>
        <v>1191416.0667428572</v>
      </c>
      <c r="Y251" s="361"/>
      <c r="Z251" s="364"/>
      <c r="AA251"/>
      <c r="AB251"/>
      <c r="AC251"/>
      <c r="AD251"/>
      <c r="AE251"/>
      <c r="AF251"/>
    </row>
    <row r="252" spans="17:32" ht="12.75" customHeight="1">
      <c r="Q252" s="364"/>
      <c r="R252" s="364"/>
      <c r="S252" s="364"/>
      <c r="T252" s="364"/>
      <c r="U252" s="364"/>
      <c r="V252" s="364"/>
      <c r="W252" s="364"/>
      <c r="X252" s="364"/>
      <c r="Y252" s="361"/>
      <c r="Z252" s="364"/>
      <c r="AA252"/>
      <c r="AB252"/>
      <c r="AC252"/>
      <c r="AD252"/>
      <c r="AE252"/>
      <c r="AF252"/>
    </row>
    <row r="253" spans="17:32" ht="12.75" customHeight="1">
      <c r="Q253" s="668" t="s">
        <v>753</v>
      </c>
      <c r="R253" s="364" t="s">
        <v>300</v>
      </c>
      <c r="S253" s="364"/>
      <c r="T253" s="364"/>
      <c r="U253" s="364"/>
      <c r="V253" s="364"/>
      <c r="W253" s="364"/>
      <c r="X253" s="364"/>
      <c r="Y253" s="361"/>
      <c r="Z253" s="364"/>
      <c r="AA253"/>
      <c r="AB253"/>
      <c r="AC253"/>
      <c r="AD253"/>
      <c r="AE253"/>
      <c r="AF253"/>
    </row>
    <row r="254" spans="17:32" ht="12.75" customHeight="1">
      <c r="Q254" s="364"/>
      <c r="R254" s="957" t="s">
        <v>669</v>
      </c>
      <c r="S254" s="958"/>
      <c r="T254" s="959"/>
      <c r="U254" s="949" t="s">
        <v>500</v>
      </c>
      <c r="V254" s="938" t="s">
        <v>22</v>
      </c>
      <c r="W254" s="940" t="s">
        <v>579</v>
      </c>
      <c r="X254" s="942" t="s">
        <v>21</v>
      </c>
      <c r="Y254" s="361"/>
      <c r="Z254" s="364"/>
      <c r="AA254"/>
      <c r="AB254"/>
      <c r="AC254"/>
      <c r="AD254"/>
      <c r="AE254"/>
      <c r="AF254"/>
    </row>
    <row r="255" spans="17:32" ht="12.75" customHeight="1">
      <c r="Q255" s="364"/>
      <c r="R255" s="960"/>
      <c r="S255" s="961"/>
      <c r="T255" s="899"/>
      <c r="U255" s="950"/>
      <c r="V255" s="939"/>
      <c r="W255" s="941"/>
      <c r="X255" s="943"/>
      <c r="Y255" s="361"/>
      <c r="Z255" s="364"/>
      <c r="AA255"/>
      <c r="AB255"/>
      <c r="AC255"/>
      <c r="AD255"/>
      <c r="AE255"/>
      <c r="AF255"/>
    </row>
    <row r="256" spans="17:32" ht="12.75" customHeight="1">
      <c r="Q256" s="364"/>
      <c r="R256" s="541" t="s">
        <v>80</v>
      </c>
      <c r="S256" s="559"/>
      <c r="T256" s="559"/>
      <c r="U256" s="543">
        <v>6.5</v>
      </c>
      <c r="V256" s="669">
        <f>VLOOKUP($V$5,'Lookup Water Flow'!$B$8:$E$208,3)</f>
        <v>6.9</v>
      </c>
      <c r="W256" s="669">
        <f>VLOOKUP($V$5,'Lookup Water Flow'!$B$8:$E$208,4)</f>
        <v>12.1</v>
      </c>
      <c r="X256" s="669">
        <f>VLOOKUP($V$5,'Lookup Water Flow'!$B$8:$E$208,2)</f>
        <v>12.6</v>
      </c>
      <c r="Y256" s="361"/>
      <c r="Z256" s="364"/>
      <c r="AA256"/>
      <c r="AB256"/>
      <c r="AC256"/>
      <c r="AD256"/>
      <c r="AE256"/>
      <c r="AF256"/>
    </row>
    <row r="257" spans="17:32" ht="12.75" customHeight="1">
      <c r="Q257" s="364"/>
      <c r="R257" s="951" t="s">
        <v>81</v>
      </c>
      <c r="S257" s="951"/>
      <c r="T257" s="951"/>
      <c r="U257" s="677">
        <f>U256*V23</f>
        <v>1040</v>
      </c>
      <c r="V257" s="678">
        <f>V256*$V$23</f>
        <v>1104</v>
      </c>
      <c r="W257" s="678">
        <f>W256*$V$23</f>
        <v>1936</v>
      </c>
      <c r="X257" s="678">
        <f>X256*$V$23</f>
        <v>2016</v>
      </c>
      <c r="Y257" s="361"/>
      <c r="Z257" s="364"/>
      <c r="AA257"/>
      <c r="AB257"/>
      <c r="AC257"/>
      <c r="AD257"/>
      <c r="AE257"/>
      <c r="AF257"/>
    </row>
    <row r="258" spans="17:32" ht="12.75" customHeight="1">
      <c r="Q258" s="364"/>
      <c r="R258" s="592" t="s">
        <v>670</v>
      </c>
      <c r="S258" s="559"/>
      <c r="T258" s="559"/>
      <c r="U258" s="549">
        <f>(U256*U56*V24)+(24*2*V24)</f>
        <v>473600</v>
      </c>
      <c r="V258" s="679">
        <f>V256*$X$56*$V$24</f>
        <v>94628.571428571435</v>
      </c>
      <c r="W258" s="679">
        <f>W256*$X$56*$V$24</f>
        <v>165942.85714285713</v>
      </c>
      <c r="X258" s="679">
        <f>X256*$X$56*$V$24</f>
        <v>172800</v>
      </c>
      <c r="Y258" s="361"/>
      <c r="Z258" s="364"/>
      <c r="AA258"/>
      <c r="AB258"/>
      <c r="AC258"/>
      <c r="AD258"/>
      <c r="AE258"/>
      <c r="AF258"/>
    </row>
    <row r="259" spans="17:32" ht="12.75" customHeight="1">
      <c r="Q259" s="364"/>
      <c r="R259" s="364"/>
      <c r="S259" s="364"/>
      <c r="T259" s="364"/>
      <c r="U259" s="364"/>
      <c r="V259" s="364"/>
      <c r="W259" s="364"/>
      <c r="X259" s="364"/>
      <c r="Y259" s="364"/>
      <c r="Z259" s="364"/>
      <c r="AA259"/>
      <c r="AB259"/>
      <c r="AC259"/>
      <c r="AD259"/>
      <c r="AE259"/>
      <c r="AF259"/>
    </row>
    <row r="260" spans="17:32" ht="12.75" customHeight="1">
      <c r="Q260" s="680" t="s">
        <v>754</v>
      </c>
      <c r="R260" s="952" t="s">
        <v>309</v>
      </c>
      <c r="S260" s="952"/>
      <c r="T260" s="952"/>
      <c r="U260" s="952"/>
      <c r="V260" s="952"/>
      <c r="W260" s="952"/>
      <c r="X260" s="952"/>
      <c r="Y260" s="952"/>
      <c r="Z260" s="360"/>
      <c r="AA260"/>
      <c r="AB260"/>
      <c r="AC260"/>
      <c r="AD260"/>
      <c r="AE260"/>
      <c r="AF260"/>
    </row>
    <row r="261" spans="17:32" ht="12.75" customHeight="1">
      <c r="Q261" s="364"/>
      <c r="R261" s="364"/>
      <c r="S261" s="364"/>
      <c r="T261" s="364"/>
      <c r="U261" s="364"/>
      <c r="V261" s="364"/>
      <c r="W261" s="364"/>
      <c r="X261" s="364"/>
      <c r="Y261" s="364"/>
      <c r="Z261" s="364"/>
      <c r="AA261"/>
      <c r="AB261"/>
      <c r="AC261"/>
      <c r="AD261"/>
      <c r="AE261"/>
      <c r="AF261"/>
    </row>
    <row r="262" spans="17:32" ht="12.75" customHeight="1">
      <c r="Q262" s="668" t="s">
        <v>755</v>
      </c>
      <c r="R262" s="364" t="s">
        <v>239</v>
      </c>
      <c r="S262" s="364"/>
      <c r="T262" s="364"/>
      <c r="U262" s="364"/>
      <c r="V262" s="364"/>
      <c r="W262" s="364"/>
      <c r="X262" s="364"/>
      <c r="Y262" s="364"/>
      <c r="Z262" s="364"/>
      <c r="AA262"/>
      <c r="AB262"/>
      <c r="AC262"/>
      <c r="AD262"/>
      <c r="AE262"/>
      <c r="AF262"/>
    </row>
    <row r="263" spans="17:32" ht="12.75" customHeight="1">
      <c r="Q263" s="364"/>
      <c r="R263" s="364"/>
      <c r="S263" s="364"/>
      <c r="T263" s="364"/>
      <c r="U263" s="364"/>
      <c r="V263" s="364"/>
      <c r="W263" s="364"/>
      <c r="X263" s="364"/>
      <c r="Y263" s="364"/>
      <c r="Z263" s="364"/>
      <c r="AA263"/>
      <c r="AB263"/>
      <c r="AC263"/>
      <c r="AD263"/>
      <c r="AE263"/>
      <c r="AF263"/>
    </row>
    <row r="264" spans="17:32" ht="12.75" customHeight="1">
      <c r="Q264" s="364"/>
      <c r="R264" s="953" t="s">
        <v>676</v>
      </c>
      <c r="S264" s="954"/>
      <c r="T264" s="561" t="s">
        <v>320</v>
      </c>
      <c r="U264" s="935" t="s">
        <v>318</v>
      </c>
      <c r="V264" s="935"/>
      <c r="W264" s="681">
        <f>'Compressor Input Data'!G7</f>
        <v>0.19</v>
      </c>
      <c r="X264" s="594"/>
      <c r="Y264" s="595"/>
      <c r="Z264" s="363"/>
      <c r="AA264"/>
      <c r="AB264"/>
      <c r="AC264"/>
      <c r="AD264"/>
      <c r="AE264"/>
      <c r="AF264"/>
    </row>
    <row r="265" spans="17:32" ht="12.75" customHeight="1">
      <c r="Q265" s="364"/>
      <c r="R265" s="955"/>
      <c r="S265" s="956"/>
      <c r="T265" s="561" t="s">
        <v>321</v>
      </c>
      <c r="U265" s="935" t="s">
        <v>319</v>
      </c>
      <c r="V265" s="935"/>
      <c r="W265" s="681">
        <f>'Compressor Input Data'!G8</f>
        <v>0.33</v>
      </c>
      <c r="X265" s="594"/>
      <c r="Y265" s="595"/>
      <c r="Z265" s="595"/>
      <c r="AA265"/>
      <c r="AB265"/>
      <c r="AC265"/>
      <c r="AD265"/>
      <c r="AE265"/>
      <c r="AF265"/>
    </row>
    <row r="266" spans="17:32" ht="12.75" customHeight="1">
      <c r="Q266" s="364"/>
      <c r="R266" s="363"/>
      <c r="S266" s="363"/>
      <c r="T266" s="577"/>
      <c r="U266" s="577"/>
      <c r="V266" s="596"/>
      <c r="W266" s="363"/>
      <c r="X266" s="363"/>
      <c r="Y266" s="363"/>
      <c r="Z266" s="363"/>
      <c r="AA266"/>
      <c r="AB266"/>
      <c r="AC266"/>
      <c r="AD266"/>
      <c r="AE266"/>
      <c r="AF266"/>
    </row>
    <row r="267" spans="17:32" ht="12.75" customHeight="1">
      <c r="Q267" s="364"/>
      <c r="R267" s="935" t="s">
        <v>675</v>
      </c>
      <c r="S267" s="935"/>
      <c r="T267" s="935"/>
      <c r="U267" s="949" t="s">
        <v>500</v>
      </c>
      <c r="V267" s="938" t="s">
        <v>22</v>
      </c>
      <c r="W267" s="940" t="s">
        <v>579</v>
      </c>
      <c r="X267" s="942" t="s">
        <v>21</v>
      </c>
      <c r="Y267" s="361"/>
      <c r="Z267" s="364"/>
      <c r="AA267"/>
      <c r="AB267"/>
      <c r="AC267"/>
      <c r="AD267"/>
      <c r="AE267"/>
      <c r="AF267"/>
    </row>
    <row r="268" spans="17:32" ht="12.75" customHeight="1">
      <c r="Q268" s="364"/>
      <c r="R268" s="944" t="s">
        <v>320</v>
      </c>
      <c r="S268" s="947"/>
      <c r="T268" s="948"/>
      <c r="U268" s="950"/>
      <c r="V268" s="939"/>
      <c r="W268" s="941"/>
      <c r="X268" s="943"/>
      <c r="Y268" s="361"/>
      <c r="Z268" s="364"/>
      <c r="AA268"/>
      <c r="AB268"/>
      <c r="AC268"/>
      <c r="AD268"/>
      <c r="AE268"/>
      <c r="AF268"/>
    </row>
    <row r="269" spans="17:32" ht="12.75" customHeight="1">
      <c r="Q269" s="364"/>
      <c r="R269" s="945"/>
      <c r="S269" s="935" t="s">
        <v>306</v>
      </c>
      <c r="T269" s="935"/>
      <c r="U269" s="599">
        <f>U164*$W$264</f>
        <v>178.34666666666669</v>
      </c>
      <c r="V269" s="599">
        <f>V164*$W$264</f>
        <v>14439.999999999998</v>
      </c>
      <c r="W269" s="599">
        <f>W164*$W$264</f>
        <v>12556.521739130432</v>
      </c>
      <c r="X269" s="599">
        <f>X164*$W$264</f>
        <v>10314.285714285712</v>
      </c>
      <c r="Y269" s="361"/>
      <c r="Z269" s="364"/>
      <c r="AA269"/>
      <c r="AB269"/>
      <c r="AC269"/>
      <c r="AD269"/>
      <c r="AE269"/>
      <c r="AF269"/>
    </row>
    <row r="270" spans="17:32" ht="12.75" customHeight="1">
      <c r="Q270" s="364"/>
      <c r="R270" s="945"/>
      <c r="S270" s="935" t="s">
        <v>307</v>
      </c>
      <c r="T270" s="935"/>
      <c r="U270" s="599">
        <f>U269*$V$11</f>
        <v>4101.9733333333343</v>
      </c>
      <c r="V270" s="599">
        <f>V269*$V$11</f>
        <v>332119.99999999994</v>
      </c>
      <c r="W270" s="599">
        <f>W269*$V$11</f>
        <v>288799.99999999994</v>
      </c>
      <c r="X270" s="599">
        <f>X269*$V$11</f>
        <v>237228.57142857136</v>
      </c>
      <c r="Y270" s="361"/>
      <c r="Z270" s="364"/>
      <c r="AA270"/>
      <c r="AB270"/>
      <c r="AC270"/>
      <c r="AD270"/>
      <c r="AE270"/>
      <c r="AF270"/>
    </row>
    <row r="271" spans="17:32" ht="12.75" customHeight="1">
      <c r="Q271" s="364"/>
      <c r="R271" s="946"/>
      <c r="S271" s="935" t="s">
        <v>308</v>
      </c>
      <c r="T271" s="935"/>
      <c r="U271" s="599">
        <f>U270*9</f>
        <v>36917.760000000009</v>
      </c>
      <c r="V271" s="599">
        <f>V270*9</f>
        <v>2989079.9999999995</v>
      </c>
      <c r="W271" s="599">
        <f>W270*9</f>
        <v>2599199.9999999995</v>
      </c>
      <c r="X271" s="599">
        <f>X270*9</f>
        <v>2135057.1428571423</v>
      </c>
      <c r="Y271" s="361"/>
      <c r="Z271" s="364"/>
      <c r="AA271"/>
      <c r="AB271"/>
      <c r="AC271"/>
      <c r="AD271"/>
      <c r="AE271"/>
      <c r="AF271"/>
    </row>
    <row r="272" spans="17:32" ht="12.75" customHeight="1">
      <c r="Q272" s="597"/>
      <c r="R272" s="937"/>
      <c r="S272" s="937"/>
      <c r="T272" s="937"/>
      <c r="U272" s="937"/>
      <c r="V272" s="937"/>
      <c r="W272" s="937"/>
      <c r="X272" s="937"/>
      <c r="Y272" s="364"/>
      <c r="Z272" s="364"/>
      <c r="AA272"/>
      <c r="AB272"/>
      <c r="AC272"/>
      <c r="AD272"/>
      <c r="AE272"/>
      <c r="AF272"/>
    </row>
    <row r="273" spans="17:32" ht="12.75" customHeight="1">
      <c r="Q273" s="597"/>
      <c r="R273" s="935" t="s">
        <v>675</v>
      </c>
      <c r="S273" s="935"/>
      <c r="T273" s="935"/>
      <c r="U273" s="930" t="s">
        <v>500</v>
      </c>
      <c r="V273" s="928" t="s">
        <v>22</v>
      </c>
      <c r="W273" s="929" t="s">
        <v>579</v>
      </c>
      <c r="X273" s="927" t="s">
        <v>21</v>
      </c>
      <c r="Y273" s="361"/>
      <c r="Z273" s="364"/>
      <c r="AA273"/>
      <c r="AB273"/>
      <c r="AC273"/>
      <c r="AD273"/>
      <c r="AE273"/>
      <c r="AF273"/>
    </row>
    <row r="274" spans="17:32" ht="12.75" customHeight="1">
      <c r="Q274" s="597"/>
      <c r="R274" s="937" t="s">
        <v>321</v>
      </c>
      <c r="S274" s="937"/>
      <c r="T274" s="937"/>
      <c r="U274" s="930"/>
      <c r="V274" s="928"/>
      <c r="W274" s="929"/>
      <c r="X274" s="927"/>
      <c r="Y274" s="361"/>
      <c r="Z274" s="364"/>
      <c r="AA274"/>
      <c r="AB274"/>
      <c r="AC274"/>
      <c r="AD274"/>
      <c r="AE274"/>
      <c r="AF274"/>
    </row>
    <row r="275" spans="17:32" ht="12.75" customHeight="1">
      <c r="Q275" s="364"/>
      <c r="R275" s="937"/>
      <c r="S275" s="935" t="s">
        <v>306</v>
      </c>
      <c r="T275" s="935"/>
      <c r="U275" s="599">
        <f>U164*$W$265</f>
        <v>309.76000000000005</v>
      </c>
      <c r="V275" s="599">
        <f>V164*$W$265</f>
        <v>25079.999999999996</v>
      </c>
      <c r="W275" s="599">
        <f>W164*$W$265</f>
        <v>21808.695652173912</v>
      </c>
      <c r="X275" s="599">
        <f>X164*$W$265</f>
        <v>17914.28571428571</v>
      </c>
      <c r="Y275" s="361"/>
      <c r="Z275" s="364"/>
      <c r="AA275"/>
      <c r="AB275"/>
      <c r="AC275"/>
      <c r="AD275"/>
      <c r="AE275"/>
      <c r="AF275"/>
    </row>
    <row r="276" spans="17:32" ht="12.75" customHeight="1">
      <c r="Q276" s="597"/>
      <c r="R276" s="937"/>
      <c r="S276" s="935" t="s">
        <v>307</v>
      </c>
      <c r="T276" s="935"/>
      <c r="U276" s="599">
        <f>U275*$V$11</f>
        <v>7124.4800000000014</v>
      </c>
      <c r="V276" s="599">
        <f>V275*$V$11</f>
        <v>576839.99999999988</v>
      </c>
      <c r="W276" s="599">
        <f>W275*$V$11</f>
        <v>501600</v>
      </c>
      <c r="X276" s="599">
        <f>X275*$V$11</f>
        <v>412028.57142857136</v>
      </c>
      <c r="Y276" s="361"/>
      <c r="Z276" s="364"/>
      <c r="AA276"/>
      <c r="AB276"/>
      <c r="AC276"/>
      <c r="AD276"/>
      <c r="AE276"/>
      <c r="AF276"/>
    </row>
    <row r="277" spans="17:32" ht="12.75" customHeight="1">
      <c r="Q277" s="364"/>
      <c r="R277" s="937"/>
      <c r="S277" s="935" t="s">
        <v>308</v>
      </c>
      <c r="T277" s="935"/>
      <c r="U277" s="599">
        <f>U276*3</f>
        <v>21373.440000000002</v>
      </c>
      <c r="V277" s="599">
        <f>V276*3</f>
        <v>1730519.9999999995</v>
      </c>
      <c r="W277" s="599">
        <f>W276*3</f>
        <v>1504800</v>
      </c>
      <c r="X277" s="599">
        <f>X276*3</f>
        <v>1236085.7142857141</v>
      </c>
      <c r="Y277" s="361"/>
      <c r="Z277" s="364"/>
      <c r="AA277"/>
      <c r="AB277"/>
      <c r="AC277"/>
      <c r="AD277"/>
      <c r="AE277"/>
      <c r="AF277"/>
    </row>
    <row r="278" spans="17:32" ht="12.75" customHeight="1">
      <c r="Q278" s="364"/>
      <c r="R278" s="937"/>
      <c r="S278" s="937"/>
      <c r="T278" s="937"/>
      <c r="U278" s="937"/>
      <c r="V278" s="937"/>
      <c r="W278" s="937"/>
      <c r="X278" s="937"/>
      <c r="Y278" s="364"/>
      <c r="Z278" s="364"/>
      <c r="AA278"/>
      <c r="AB278"/>
      <c r="AC278"/>
      <c r="AD278"/>
      <c r="AE278"/>
      <c r="AF278"/>
    </row>
    <row r="279" spans="17:32" ht="12.75" customHeight="1">
      <c r="Q279" s="364"/>
      <c r="R279" s="935" t="s">
        <v>675</v>
      </c>
      <c r="S279" s="935"/>
      <c r="T279" s="935"/>
      <c r="U279" s="930" t="s">
        <v>500</v>
      </c>
      <c r="V279" s="928" t="s">
        <v>22</v>
      </c>
      <c r="W279" s="929" t="s">
        <v>579</v>
      </c>
      <c r="X279" s="927" t="s">
        <v>21</v>
      </c>
      <c r="Y279" s="361"/>
      <c r="Z279" s="364"/>
      <c r="AA279"/>
      <c r="AB279"/>
      <c r="AC279"/>
      <c r="AD279"/>
      <c r="AE279"/>
      <c r="AF279"/>
    </row>
    <row r="280" spans="17:32" ht="12.75" customHeight="1">
      <c r="Q280" s="364"/>
      <c r="R280" s="937" t="s">
        <v>322</v>
      </c>
      <c r="S280" s="937"/>
      <c r="T280" s="937"/>
      <c r="U280" s="930"/>
      <c r="V280" s="928"/>
      <c r="W280" s="929"/>
      <c r="X280" s="927"/>
      <c r="Y280" s="361"/>
      <c r="Z280" s="364"/>
      <c r="AA280"/>
      <c r="AB280"/>
      <c r="AC280"/>
      <c r="AD280"/>
      <c r="AE280"/>
      <c r="AF280"/>
    </row>
    <row r="281" spans="17:32" ht="12.75" customHeight="1">
      <c r="Q281" s="364"/>
      <c r="R281" s="937"/>
      <c r="S281" s="935" t="s">
        <v>306</v>
      </c>
      <c r="T281" s="935"/>
      <c r="U281" s="599">
        <f>U282/$V$11</f>
        <v>211.20000000000005</v>
      </c>
      <c r="V281" s="599">
        <f>V282/$V$11</f>
        <v>17099.999999999996</v>
      </c>
      <c r="W281" s="599">
        <f>W282/$V$11</f>
        <v>14869.565217391302</v>
      </c>
      <c r="X281" s="599">
        <f>X282/$V$11</f>
        <v>12214.285714285712</v>
      </c>
      <c r="Y281" s="361"/>
      <c r="Z281" s="364"/>
      <c r="AA281"/>
      <c r="AB281"/>
      <c r="AC281"/>
      <c r="AD281"/>
      <c r="AE281"/>
      <c r="AF281"/>
    </row>
    <row r="282" spans="17:32" ht="12.75" customHeight="1">
      <c r="Q282" s="364"/>
      <c r="R282" s="937"/>
      <c r="S282" s="935" t="s">
        <v>307</v>
      </c>
      <c r="T282" s="935"/>
      <c r="U282" s="599">
        <f>U283/12</f>
        <v>4857.6000000000013</v>
      </c>
      <c r="V282" s="599">
        <f>V283/12</f>
        <v>393299.99999999994</v>
      </c>
      <c r="W282" s="599">
        <f>W283/12</f>
        <v>341999.99999999994</v>
      </c>
      <c r="X282" s="599">
        <f>X283/12</f>
        <v>280928.57142857136</v>
      </c>
      <c r="Y282" s="361"/>
      <c r="Z282" s="364"/>
      <c r="AA282"/>
      <c r="AB282"/>
      <c r="AC282"/>
      <c r="AD282"/>
      <c r="AE282"/>
      <c r="AF282"/>
    </row>
    <row r="283" spans="17:32" ht="12.75" customHeight="1">
      <c r="Q283" s="364"/>
      <c r="R283" s="937"/>
      <c r="S283" s="935" t="s">
        <v>308</v>
      </c>
      <c r="T283" s="935"/>
      <c r="U283" s="599">
        <f>U271+U277</f>
        <v>58291.200000000012</v>
      </c>
      <c r="V283" s="599">
        <f>V271+V277</f>
        <v>4719599.9999999991</v>
      </c>
      <c r="W283" s="599">
        <f>W271+W277</f>
        <v>4103999.9999999995</v>
      </c>
      <c r="X283" s="599">
        <f>X271+X277</f>
        <v>3371142.8571428563</v>
      </c>
      <c r="Y283" s="361"/>
      <c r="Z283" s="364"/>
      <c r="AA283"/>
      <c r="AB283"/>
      <c r="AC283"/>
      <c r="AD283"/>
      <c r="AE283"/>
      <c r="AF283"/>
    </row>
    <row r="284" spans="17:32" ht="12.75" customHeight="1">
      <c r="Q284" s="364"/>
      <c r="R284" s="363"/>
      <c r="S284" s="363"/>
      <c r="T284" s="577"/>
      <c r="U284" s="577"/>
      <c r="V284" s="596"/>
      <c r="W284" s="363"/>
      <c r="X284" s="363"/>
      <c r="Y284" s="363"/>
      <c r="Z284" s="363"/>
      <c r="AA284"/>
      <c r="AB284"/>
      <c r="AC284"/>
      <c r="AD284"/>
      <c r="AE284"/>
      <c r="AF284"/>
    </row>
    <row r="285" spans="17:32" ht="12.75" customHeight="1">
      <c r="Q285" s="668" t="s">
        <v>756</v>
      </c>
      <c r="R285" s="363" t="s">
        <v>758</v>
      </c>
      <c r="S285" s="363"/>
      <c r="T285" s="577"/>
      <c r="U285" s="577"/>
      <c r="V285" s="596"/>
      <c r="W285" s="363"/>
      <c r="X285" s="363"/>
      <c r="Y285" s="363"/>
      <c r="Z285" s="363"/>
      <c r="AA285"/>
      <c r="AB285"/>
      <c r="AC285"/>
      <c r="AD285"/>
      <c r="AE285"/>
      <c r="AF285"/>
    </row>
    <row r="286" spans="17:32" ht="12.75" customHeight="1">
      <c r="Q286" s="364"/>
      <c r="R286" s="935" t="s">
        <v>678</v>
      </c>
      <c r="S286" s="935"/>
      <c r="T286" s="935"/>
      <c r="U286" s="935"/>
      <c r="V286" s="936" t="s">
        <v>500</v>
      </c>
      <c r="W286" s="936" t="s">
        <v>22</v>
      </c>
      <c r="X286" s="936" t="s">
        <v>579</v>
      </c>
      <c r="Y286" s="936" t="s">
        <v>21</v>
      </c>
      <c r="Z286" s="361"/>
      <c r="AA286"/>
      <c r="AB286"/>
      <c r="AC286"/>
      <c r="AD286"/>
      <c r="AE286"/>
      <c r="AF286"/>
    </row>
    <row r="287" spans="17:32" ht="12.75" customHeight="1">
      <c r="Q287" s="364"/>
      <c r="R287" s="935"/>
      <c r="S287" s="935"/>
      <c r="T287" s="935"/>
      <c r="U287" s="935"/>
      <c r="V287" s="936"/>
      <c r="W287" s="936"/>
      <c r="X287" s="936"/>
      <c r="Y287" s="936"/>
      <c r="Z287" s="361"/>
      <c r="AA287"/>
      <c r="AB287"/>
      <c r="AC287"/>
      <c r="AD287"/>
      <c r="AE287"/>
      <c r="AF287"/>
    </row>
    <row r="288" spans="17:32" ht="12.75" customHeight="1">
      <c r="Q288" s="364"/>
      <c r="R288" s="931" t="s">
        <v>35</v>
      </c>
      <c r="S288" s="931"/>
      <c r="T288" s="931"/>
      <c r="U288" s="931"/>
      <c r="V288" s="599">
        <f>AVERAGE(U196:W196)*5%</f>
        <v>1305585.0000000005</v>
      </c>
      <c r="W288" s="599">
        <f>V202*5%</f>
        <v>1533870.0000000005</v>
      </c>
      <c r="X288" s="599">
        <f>W202*5%</f>
        <v>1518480.0000000005</v>
      </c>
      <c r="Y288" s="599">
        <f>X202*5%</f>
        <v>1500158.5714285718</v>
      </c>
      <c r="Z288" s="361"/>
      <c r="AA288"/>
      <c r="AB288"/>
      <c r="AC288"/>
      <c r="AD288"/>
      <c r="AE288"/>
      <c r="AF288"/>
    </row>
    <row r="289" spans="17:32" ht="12.75" customHeight="1">
      <c r="Q289" s="364"/>
      <c r="R289" s="931" t="s">
        <v>481</v>
      </c>
      <c r="S289" s="931"/>
      <c r="T289" s="931"/>
      <c r="U289" s="931"/>
      <c r="V289" s="600" t="s">
        <v>479</v>
      </c>
      <c r="W289" s="599">
        <f>Y289</f>
        <v>1059840</v>
      </c>
      <c r="X289" s="600" t="s">
        <v>479</v>
      </c>
      <c r="Y289" s="599">
        <f>Consumables!E23*12</f>
        <v>1059840</v>
      </c>
      <c r="Z289" s="361"/>
      <c r="AA289"/>
      <c r="AB289"/>
      <c r="AC289"/>
      <c r="AD289"/>
      <c r="AE289"/>
      <c r="AF289"/>
    </row>
    <row r="290" spans="17:32" ht="12.75" customHeight="1">
      <c r="Q290" s="364"/>
      <c r="R290" s="931" t="s">
        <v>311</v>
      </c>
      <c r="S290" s="931"/>
      <c r="T290" s="931"/>
      <c r="U290" s="931"/>
      <c r="V290" s="600" t="s">
        <v>557</v>
      </c>
      <c r="W290" s="599">
        <f>Y290</f>
        <v>416000</v>
      </c>
      <c r="X290" s="599">
        <f>W290</f>
        <v>416000</v>
      </c>
      <c r="Y290" s="599">
        <f>Consumables!E21*12</f>
        <v>416000</v>
      </c>
      <c r="Z290" s="361"/>
      <c r="AA290"/>
      <c r="AB290"/>
      <c r="AC290"/>
      <c r="AD290"/>
      <c r="AE290"/>
      <c r="AF290"/>
    </row>
    <row r="291" spans="17:32" ht="12.75" customHeight="1">
      <c r="Q291" s="364"/>
      <c r="R291" s="931" t="s">
        <v>480</v>
      </c>
      <c r="S291" s="931"/>
      <c r="T291" s="931"/>
      <c r="U291" s="931"/>
      <c r="V291" s="599">
        <f>Consumables!H21*12</f>
        <v>3865001.2800000003</v>
      </c>
      <c r="W291" s="599">
        <v>0</v>
      </c>
      <c r="X291" s="599">
        <v>0</v>
      </c>
      <c r="Y291" s="599">
        <v>0</v>
      </c>
      <c r="Z291" s="361"/>
      <c r="AA291"/>
      <c r="AB291"/>
      <c r="AC291"/>
      <c r="AD291"/>
      <c r="AE291"/>
      <c r="AF291"/>
    </row>
    <row r="292" spans="17:32" ht="12.75" customHeight="1">
      <c r="Q292" s="364"/>
      <c r="R292" s="931" t="s">
        <v>312</v>
      </c>
      <c r="S292" s="931"/>
      <c r="T292" s="931"/>
      <c r="U292" s="931"/>
      <c r="V292" s="599">
        <f>Consumables!H20*12</f>
        <v>2691993.6000000001</v>
      </c>
      <c r="W292" s="599">
        <f>Y292</f>
        <v>2331648.0000000005</v>
      </c>
      <c r="X292" s="599">
        <f>W292</f>
        <v>2331648.0000000005</v>
      </c>
      <c r="Y292" s="599">
        <f>Consumables!E20*12</f>
        <v>2331648.0000000005</v>
      </c>
      <c r="Z292" s="361"/>
      <c r="AA292"/>
      <c r="AB292"/>
      <c r="AC292"/>
      <c r="AD292"/>
      <c r="AE292"/>
      <c r="AF292"/>
    </row>
    <row r="293" spans="17:32" ht="12.75" customHeight="1">
      <c r="Q293" s="364"/>
      <c r="R293" s="931" t="s">
        <v>313</v>
      </c>
      <c r="S293" s="931"/>
      <c r="T293" s="931"/>
      <c r="U293" s="931"/>
      <c r="V293" s="599">
        <f>Consumables!H19*12</f>
        <v>1674547.2000000002</v>
      </c>
      <c r="W293" s="599">
        <f>Y293</f>
        <v>1398988.8</v>
      </c>
      <c r="X293" s="599">
        <f>W293</f>
        <v>1398988.8</v>
      </c>
      <c r="Y293" s="599">
        <f>Consumables!E19*12</f>
        <v>1398988.8</v>
      </c>
      <c r="Z293" s="361"/>
      <c r="AA293"/>
      <c r="AB293"/>
      <c r="AC293"/>
      <c r="AD293"/>
      <c r="AE293"/>
      <c r="AF293"/>
    </row>
    <row r="294" spans="17:32" ht="12.75" customHeight="1">
      <c r="Q294" s="364"/>
      <c r="R294" s="931" t="s">
        <v>190</v>
      </c>
      <c r="S294" s="931"/>
      <c r="T294" s="931"/>
      <c r="U294" s="931"/>
      <c r="V294" s="599">
        <f>Consumables!H22*12</f>
        <v>8294400</v>
      </c>
      <c r="W294" s="599">
        <v>0</v>
      </c>
      <c r="X294" s="599">
        <v>0</v>
      </c>
      <c r="Y294" s="599">
        <v>0</v>
      </c>
      <c r="Z294" s="361"/>
      <c r="AA294"/>
      <c r="AB294"/>
      <c r="AC294"/>
      <c r="AD294"/>
      <c r="AE294"/>
      <c r="AF294"/>
    </row>
    <row r="295" spans="17:32" ht="12.75" customHeight="1">
      <c r="Q295" s="364"/>
      <c r="R295" s="931" t="s">
        <v>482</v>
      </c>
      <c r="S295" s="931"/>
      <c r="T295" s="931"/>
      <c r="U295" s="931"/>
      <c r="V295" s="599">
        <v>0</v>
      </c>
      <c r="W295" s="599">
        <f>Y295</f>
        <v>199600.00000000003</v>
      </c>
      <c r="X295" s="599">
        <f>W295</f>
        <v>199600.00000000003</v>
      </c>
      <c r="Y295" s="599">
        <f>Consumables!E25*12</f>
        <v>199600.00000000003</v>
      </c>
      <c r="Z295" s="361"/>
      <c r="AA295"/>
      <c r="AB295"/>
      <c r="AC295"/>
      <c r="AD295"/>
      <c r="AE295"/>
      <c r="AF295"/>
    </row>
    <row r="296" spans="17:32" ht="12.75" customHeight="1">
      <c r="Q296" s="364"/>
      <c r="R296" s="931" t="s">
        <v>483</v>
      </c>
      <c r="S296" s="931"/>
      <c r="T296" s="931"/>
      <c r="U296" s="931"/>
      <c r="V296" s="599">
        <v>0</v>
      </c>
      <c r="W296" s="599">
        <f>Y296</f>
        <v>40600</v>
      </c>
      <c r="X296" s="599">
        <f>W296</f>
        <v>40600</v>
      </c>
      <c r="Y296" s="599">
        <f>Consumables!E24*12</f>
        <v>40600</v>
      </c>
      <c r="Z296" s="361"/>
      <c r="AA296"/>
      <c r="AB296"/>
      <c r="AC296"/>
      <c r="AD296"/>
      <c r="AE296"/>
      <c r="AF296"/>
    </row>
    <row r="297" spans="17:32" ht="12.75" customHeight="1">
      <c r="Q297" s="364"/>
      <c r="R297" s="931" t="s">
        <v>478</v>
      </c>
      <c r="S297" s="931"/>
      <c r="T297" s="931"/>
      <c r="U297" s="931"/>
      <c r="V297" s="599">
        <f>U283</f>
        <v>58291.200000000012</v>
      </c>
      <c r="W297" s="599">
        <f>V283</f>
        <v>4719599.9999999991</v>
      </c>
      <c r="X297" s="599">
        <f>W283</f>
        <v>4103999.9999999995</v>
      </c>
      <c r="Y297" s="599">
        <f>X283</f>
        <v>3371142.8571428563</v>
      </c>
      <c r="Z297" s="361"/>
      <c r="AA297"/>
      <c r="AB297"/>
      <c r="AC297"/>
      <c r="AD297"/>
      <c r="AE297"/>
      <c r="AF297"/>
    </row>
    <row r="298" spans="17:32" ht="12.75" customHeight="1">
      <c r="Q298" s="364"/>
      <c r="R298" s="931" t="s">
        <v>484</v>
      </c>
      <c r="S298" s="931"/>
      <c r="T298" s="931"/>
      <c r="U298" s="931"/>
      <c r="V298" s="599">
        <f>'NIHL Compenation Cost'!AD21</f>
        <v>1715167.5</v>
      </c>
      <c r="W298" s="599">
        <f>'NIHL Compenation Cost'!Z21</f>
        <v>989115.00000000012</v>
      </c>
      <c r="X298" s="599">
        <f>'NIHL Compenation Cost'!AB21</f>
        <v>1087325</v>
      </c>
      <c r="Y298" s="599">
        <f>'NIHL Compenation Cost'!X21</f>
        <v>596275</v>
      </c>
      <c r="Z298" s="361"/>
      <c r="AA298"/>
      <c r="AB298"/>
      <c r="AC298"/>
      <c r="AD298"/>
      <c r="AE298"/>
      <c r="AF298"/>
    </row>
    <row r="299" spans="17:32" ht="12.75" customHeight="1">
      <c r="Q299" s="364"/>
      <c r="R299" s="932" t="s">
        <v>677</v>
      </c>
      <c r="S299" s="932"/>
      <c r="T299" s="932"/>
      <c r="U299" s="932"/>
      <c r="V299" s="599">
        <f>SUM(V288:V298)</f>
        <v>19604985.780000001</v>
      </c>
      <c r="W299" s="599">
        <f>SUM(W288:W298)</f>
        <v>12689261.800000001</v>
      </c>
      <c r="X299" s="599">
        <f>SUM(X288:X298)</f>
        <v>11096641.800000001</v>
      </c>
      <c r="Y299" s="599">
        <f>SUM(Y288:Y298)</f>
        <v>10914253.22857143</v>
      </c>
      <c r="Z299" s="361"/>
      <c r="AA299"/>
      <c r="AB299"/>
      <c r="AC299"/>
      <c r="AD299"/>
      <c r="AE299"/>
      <c r="AF299"/>
    </row>
    <row r="300" spans="17:32" ht="12.75" customHeight="1">
      <c r="Q300" s="364"/>
      <c r="R300" s="591"/>
      <c r="S300" s="591"/>
      <c r="T300" s="591"/>
      <c r="U300" s="591"/>
      <c r="V300" s="718"/>
      <c r="W300" s="718"/>
      <c r="X300" s="718"/>
      <c r="Y300" s="718"/>
      <c r="Z300" s="361"/>
      <c r="AA300"/>
      <c r="AB300"/>
      <c r="AC300"/>
      <c r="AD300"/>
      <c r="AE300"/>
      <c r="AF300"/>
    </row>
    <row r="301" spans="17:32" ht="12.75" customHeight="1">
      <c r="Q301" s="364"/>
      <c r="R301" s="591"/>
      <c r="S301" s="591"/>
      <c r="T301" s="933" t="s">
        <v>812</v>
      </c>
      <c r="U301" s="933"/>
      <c r="V301" s="718">
        <f>V299-V294</f>
        <v>11310585.780000001</v>
      </c>
      <c r="W301" s="718">
        <f>W299-W294</f>
        <v>12689261.800000001</v>
      </c>
      <c r="X301" s="718">
        <f>X299-X294</f>
        <v>11096641.800000001</v>
      </c>
      <c r="Y301" s="718">
        <f>Y299-Y294</f>
        <v>10914253.22857143</v>
      </c>
      <c r="Z301" s="361"/>
      <c r="AA301"/>
      <c r="AB301"/>
      <c r="AC301"/>
      <c r="AD301"/>
      <c r="AE301"/>
      <c r="AF301"/>
    </row>
    <row r="302" spans="17:32" ht="12.75" customHeight="1">
      <c r="Q302" s="364"/>
      <c r="R302" s="364"/>
      <c r="S302" s="364"/>
      <c r="T302" s="934" t="s">
        <v>350</v>
      </c>
      <c r="U302" s="934"/>
      <c r="V302" s="682">
        <f>V294</f>
        <v>8294400</v>
      </c>
      <c r="W302" s="682"/>
      <c r="X302" s="682"/>
      <c r="Y302" s="682"/>
      <c r="Z302" s="364"/>
      <c r="AA302"/>
      <c r="AB302"/>
      <c r="AC302"/>
      <c r="AD302"/>
      <c r="AE302"/>
      <c r="AF302"/>
    </row>
    <row r="303" spans="17:32" ht="12.75" customHeight="1">
      <c r="Q303" s="364">
        <v>10.3</v>
      </c>
      <c r="R303" s="363"/>
      <c r="S303" s="364"/>
      <c r="T303" s="364"/>
      <c r="U303" s="364"/>
      <c r="V303" s="682"/>
      <c r="W303" s="364"/>
      <c r="X303" s="362"/>
      <c r="Y303" s="682"/>
      <c r="Z303" s="364"/>
      <c r="AA303"/>
      <c r="AB303"/>
      <c r="AC303"/>
      <c r="AD303"/>
      <c r="AE303"/>
      <c r="AF303"/>
    </row>
    <row r="304" spans="17:32" ht="12.75" customHeight="1">
      <c r="Q304" s="364"/>
      <c r="R304" s="364"/>
      <c r="S304" s="364"/>
      <c r="T304" s="364"/>
      <c r="U304" s="364"/>
      <c r="V304" s="364"/>
      <c r="W304" s="364"/>
      <c r="X304" s="364"/>
      <c r="Y304" s="364"/>
      <c r="Z304" s="364"/>
      <c r="AA304"/>
      <c r="AB304"/>
      <c r="AC304"/>
      <c r="AD304"/>
      <c r="AE304"/>
      <c r="AF304"/>
    </row>
    <row r="305" spans="17:32" ht="12.75" customHeight="1">
      <c r="Q305" s="364"/>
      <c r="R305" s="935" t="s">
        <v>195</v>
      </c>
      <c r="S305" s="935"/>
      <c r="T305" s="935"/>
      <c r="U305" s="935"/>
      <c r="V305" s="935"/>
      <c r="W305" s="375"/>
      <c r="X305" s="683"/>
      <c r="Y305" s="375"/>
      <c r="Z305" s="375"/>
      <c r="AA305"/>
      <c r="AB305"/>
      <c r="AC305"/>
      <c r="AD305"/>
      <c r="AE305"/>
      <c r="AF305"/>
    </row>
    <row r="306" spans="17:32" ht="12.75" customHeight="1">
      <c r="Q306" s="364"/>
      <c r="R306" s="926" t="s">
        <v>509</v>
      </c>
      <c r="S306" s="927" t="s">
        <v>21</v>
      </c>
      <c r="T306" s="928" t="s">
        <v>22</v>
      </c>
      <c r="U306" s="929" t="s">
        <v>579</v>
      </c>
      <c r="V306" s="930" t="s">
        <v>500</v>
      </c>
      <c r="W306" s="363"/>
      <c r="X306" s="684"/>
      <c r="Y306" s="363"/>
      <c r="Z306" s="364"/>
      <c r="AA306"/>
      <c r="AB306"/>
      <c r="AC306"/>
      <c r="AD306"/>
      <c r="AE306"/>
      <c r="AF306"/>
    </row>
    <row r="307" spans="17:32" ht="12.75" customHeight="1">
      <c r="Q307" s="364"/>
      <c r="R307" s="926"/>
      <c r="S307" s="927"/>
      <c r="T307" s="928"/>
      <c r="U307" s="929"/>
      <c r="V307" s="930"/>
      <c r="W307" s="363"/>
      <c r="X307" s="684"/>
      <c r="Y307" s="363"/>
      <c r="Z307" s="364"/>
      <c r="AA307"/>
      <c r="AB307"/>
      <c r="AC307"/>
      <c r="AD307"/>
    </row>
    <row r="308" spans="17:32" ht="12.75" customHeight="1">
      <c r="Q308" s="364"/>
      <c r="R308" s="667" t="s">
        <v>204</v>
      </c>
      <c r="S308" s="667" t="s">
        <v>846</v>
      </c>
      <c r="T308" s="667" t="s">
        <v>846</v>
      </c>
      <c r="U308" s="667" t="s">
        <v>846</v>
      </c>
      <c r="V308" s="667" t="s">
        <v>846</v>
      </c>
      <c r="W308" s="363"/>
      <c r="X308" s="363"/>
      <c r="Y308" s="363"/>
      <c r="Z308" s="364"/>
      <c r="AA308"/>
      <c r="AB308"/>
      <c r="AC308"/>
      <c r="AD308"/>
    </row>
    <row r="309" spans="17:32" ht="12.75" customHeight="1">
      <c r="Q309" s="364"/>
      <c r="R309" s="600">
        <v>1</v>
      </c>
      <c r="S309" s="369">
        <f>$X$69</f>
        <v>116</v>
      </c>
      <c r="T309" s="584">
        <f>$V$69</f>
        <v>108</v>
      </c>
      <c r="U309" s="685">
        <f>$W$69</f>
        <v>109</v>
      </c>
      <c r="V309" s="369">
        <f>$U$69</f>
        <v>102</v>
      </c>
      <c r="W309" s="363"/>
      <c r="X309" s="363"/>
      <c r="Y309" s="363"/>
      <c r="Z309" s="364"/>
      <c r="AA309"/>
      <c r="AB309"/>
      <c r="AC309"/>
      <c r="AD309"/>
    </row>
    <row r="310" spans="17:32" ht="12.75" customHeight="1">
      <c r="Q310" s="364"/>
      <c r="R310" s="600">
        <v>2</v>
      </c>
      <c r="S310" s="584">
        <f>(LOG((10^(S309/10))+(10^(S309/10))))*10</f>
        <v>119.01029995663983</v>
      </c>
      <c r="T310" s="584">
        <f>(LOG((10^(T309/10))+(10^(T309/10))))*10</f>
        <v>111.01029995663981</v>
      </c>
      <c r="U310" s="584">
        <f>(LOG((10^(U309/10))+(10^(U309/10))))*10</f>
        <v>112.01029995663981</v>
      </c>
      <c r="V310" s="584">
        <f>(LOG((10^(V309/10))+(10^(V309/10))))*10</f>
        <v>105.01029995663983</v>
      </c>
      <c r="W310" s="363"/>
      <c r="X310" s="363"/>
      <c r="Y310" s="363"/>
      <c r="Z310" s="364"/>
      <c r="AA310"/>
      <c r="AB310"/>
      <c r="AC310"/>
      <c r="AD310"/>
    </row>
    <row r="311" spans="17:32" ht="12.75" customHeight="1">
      <c r="Q311" s="597"/>
      <c r="R311" s="600">
        <v>3</v>
      </c>
      <c r="S311" s="584">
        <f>(LOG((10^(S309/10))+(10^(S309/10))+(10^(S309/10)))*10)</f>
        <v>120.77121254719664</v>
      </c>
      <c r="T311" s="584">
        <f>(LOG((10^(T309/10))+(10^(T309/10))+(10^(T309/10)))*10)</f>
        <v>112.77121254719663</v>
      </c>
      <c r="U311" s="584">
        <f>(LOG((10^(U309/10))+(10^(U309/10))+(10^(U309/10)))*10)</f>
        <v>113.77121254719663</v>
      </c>
      <c r="V311" s="584">
        <f>(LOG((10^(V309/10))+(10^(V309/10))+(10^(V309/10)))*10)</f>
        <v>106.77121254719664</v>
      </c>
      <c r="W311" s="363"/>
      <c r="X311" s="363"/>
      <c r="Y311" s="363"/>
      <c r="Z311" s="364"/>
      <c r="AA311"/>
      <c r="AB311"/>
      <c r="AC311"/>
      <c r="AD311"/>
    </row>
    <row r="312" spans="17:32" ht="12.75" customHeight="1">
      <c r="Q312" s="364"/>
      <c r="R312" s="600">
        <v>4</v>
      </c>
      <c r="S312" s="584">
        <f>(LOG((10^(S309/10))+(10^(S309/10))+(10^(S309/10))+(10^(S309/10))))*10</f>
        <v>122.02059991327964</v>
      </c>
      <c r="T312" s="584">
        <f>(LOG((10^(T309/10))+(10^(T309/10))+(10^(T309/10))+(10^(T309/10))))*10</f>
        <v>114.02059991327963</v>
      </c>
      <c r="U312" s="584">
        <f>(LOG((10^(U309/10))+(10^(U309/10))+(10^(U309/10))+(10^(U309/10))))*10</f>
        <v>115.02059991327963</v>
      </c>
      <c r="V312" s="584">
        <f>(LOG((10^(V309/10))+(10^(V309/10))+(10^(V309/10))+(10^(V309/10))))*10</f>
        <v>108.02059991327964</v>
      </c>
      <c r="W312" s="363"/>
      <c r="X312" s="363"/>
      <c r="Y312" s="363"/>
      <c r="Z312" s="364"/>
      <c r="AA312"/>
      <c r="AB312"/>
      <c r="AC312"/>
      <c r="AD312"/>
    </row>
    <row r="313" spans="17:32" ht="12.75" customHeight="1">
      <c r="Q313" s="364"/>
      <c r="R313" s="600">
        <v>5</v>
      </c>
      <c r="S313" s="584">
        <f>(LOG((10^(S309/10))+(10^(S309/10))+(10^(S309/10))+(10^(S309/10))+(10^(S309/10))))*10</f>
        <v>122.9897000433602</v>
      </c>
      <c r="T313" s="584">
        <f>(LOG((10^(T309/10))+(10^(T309/10))+(10^(T309/10))+(10^(T309/10))+(10^(T309/10))))*10</f>
        <v>114.98970004336019</v>
      </c>
      <c r="U313" s="584">
        <f>(LOG((10^(U309/10))+(10^(U309/10))+(10^(U309/10))+(10^(U309/10))+(10^(U309/10))))*10</f>
        <v>115.98970004336019</v>
      </c>
      <c r="V313" s="584">
        <f>(LOG((10^(V309/10))+(10^(V309/10))+(10^(V309/10))+(10^(V309/10))+(10^(V309/10))))*10</f>
        <v>108.9897000433602</v>
      </c>
      <c r="W313" s="363"/>
      <c r="X313" s="363"/>
      <c r="Y313" s="363"/>
      <c r="Z313" s="364"/>
      <c r="AA313"/>
      <c r="AB313"/>
      <c r="AC313"/>
      <c r="AD313"/>
    </row>
    <row r="314" spans="17:32" ht="12.75" customHeight="1">
      <c r="Q314" s="364"/>
      <c r="R314" s="600">
        <v>6</v>
      </c>
      <c r="S314" s="584">
        <f>(LOG((10^(S309/10))+(10^(S309/10))+(10^(S309/10))+(10^(S309/10))+(10^(S309/10))+(10^(S309/10)))*10)</f>
        <v>123.78151250383645</v>
      </c>
      <c r="T314" s="584">
        <f>(LOG((10^(T309/10))+(10^(T309/10))+(10^(T309/10))+(10^(T309/10))+(10^(T309/10))+(10^(T309/10)))*10)</f>
        <v>115.78151250383644</v>
      </c>
      <c r="U314" s="584">
        <f>(LOG((10^(U309/10))+(10^(U309/10))+(10^(U309/10))+(10^(U309/10))+(10^(U309/10))+(10^(U309/10)))*10)</f>
        <v>116.78151250383644</v>
      </c>
      <c r="V314" s="584">
        <f>(LOG((10^(V309/10))+(10^(V309/10))+(10^(V309/10))+(10^(V309/10))+(10^(V309/10))+(10^(V309/10)))*10)</f>
        <v>109.78151250383645</v>
      </c>
      <c r="W314" s="363"/>
      <c r="X314" s="363"/>
      <c r="Y314" s="363"/>
      <c r="Z314" s="364"/>
      <c r="AA314"/>
      <c r="AB314"/>
      <c r="AC314"/>
      <c r="AD314"/>
    </row>
    <row r="315" spans="17:32" ht="12.75" customHeight="1" thickBot="1">
      <c r="Q315" s="364"/>
      <c r="R315" s="364"/>
      <c r="S315" s="364"/>
      <c r="T315" s="364"/>
      <c r="U315" s="364"/>
      <c r="V315" s="364"/>
      <c r="W315" s="364"/>
      <c r="X315" s="364"/>
      <c r="Y315" s="364"/>
      <c r="Z315" s="364"/>
      <c r="AA315"/>
      <c r="AB315"/>
      <c r="AC315"/>
      <c r="AD315"/>
    </row>
    <row r="316" spans="17:32" ht="12.75" customHeight="1" thickTop="1">
      <c r="Q316" s="364"/>
      <c r="R316" s="916" t="s">
        <v>428</v>
      </c>
      <c r="S316" s="917"/>
      <c r="T316" s="917"/>
      <c r="U316" s="917"/>
      <c r="V316" s="917"/>
      <c r="W316" s="918"/>
      <c r="X316" s="364"/>
      <c r="Y316" s="364"/>
      <c r="Z316" s="364"/>
      <c r="AA316"/>
      <c r="AB316"/>
      <c r="AC316"/>
      <c r="AD316"/>
    </row>
    <row r="317" spans="17:32" ht="12.75" customHeight="1">
      <c r="Q317" s="364"/>
      <c r="R317" s="919"/>
      <c r="S317" s="920"/>
      <c r="T317" s="920"/>
      <c r="U317" s="920"/>
      <c r="V317" s="920"/>
      <c r="W317" s="921"/>
      <c r="X317" s="364"/>
      <c r="Y317" s="364"/>
      <c r="Z317" s="364"/>
      <c r="AA317"/>
      <c r="AB317"/>
      <c r="AC317"/>
      <c r="AD317"/>
    </row>
    <row r="318" spans="17:32" ht="12.75" customHeight="1" thickBot="1">
      <c r="Q318" s="364"/>
      <c r="R318" s="922"/>
      <c r="S318" s="923"/>
      <c r="T318" s="923"/>
      <c r="U318" s="923"/>
      <c r="V318" s="923"/>
      <c r="W318" s="924"/>
      <c r="X318" s="364"/>
      <c r="Y318" s="364"/>
      <c r="Z318" s="364"/>
      <c r="AA318"/>
      <c r="AB318"/>
      <c r="AC318"/>
      <c r="AD318"/>
    </row>
    <row r="319" spans="17:32" ht="12.75" customHeight="1" thickTop="1">
      <c r="Q319" s="364"/>
      <c r="R319" s="925" t="str">
        <f>S306</f>
        <v>Seco S215</v>
      </c>
      <c r="S319" s="925"/>
      <c r="T319" s="925"/>
      <c r="U319" s="925"/>
      <c r="V319" s="925"/>
      <c r="W319" s="925"/>
      <c r="X319" s="364"/>
      <c r="Y319" s="364"/>
      <c r="Z319" s="364"/>
      <c r="AA319"/>
      <c r="AB319"/>
      <c r="AC319"/>
      <c r="AD319"/>
    </row>
    <row r="320" spans="17:32" ht="12.75" customHeight="1" thickBot="1">
      <c r="Q320" s="364"/>
      <c r="R320" s="910" t="s">
        <v>205</v>
      </c>
      <c r="S320" s="911"/>
      <c r="T320" s="911"/>
      <c r="U320" s="911"/>
      <c r="V320" s="911"/>
      <c r="W320" s="912"/>
      <c r="X320" s="364"/>
      <c r="Y320" s="364"/>
      <c r="Z320" s="364"/>
      <c r="AA320"/>
      <c r="AB320"/>
      <c r="AC320"/>
      <c r="AD320"/>
    </row>
    <row r="321" spans="17:30" ht="12.75" customHeight="1" thickBot="1">
      <c r="Q321" s="364"/>
      <c r="R321" s="686" t="s">
        <v>59</v>
      </c>
      <c r="S321" s="577"/>
      <c r="T321" s="687"/>
      <c r="U321" s="687"/>
      <c r="V321" s="687"/>
      <c r="W321" s="688"/>
      <c r="X321" s="364"/>
      <c r="Y321" s="364"/>
      <c r="Z321" s="364"/>
      <c r="AA321"/>
      <c r="AB321"/>
      <c r="AC321"/>
      <c r="AD321"/>
    </row>
    <row r="322" spans="17:30" ht="12.75" customHeight="1">
      <c r="Q322" s="364"/>
      <c r="R322" s="895" t="s">
        <v>845</v>
      </c>
      <c r="S322" s="896"/>
      <c r="T322" s="900" t="s">
        <v>835</v>
      </c>
      <c r="U322" s="900" t="s">
        <v>836</v>
      </c>
      <c r="V322" s="900" t="s">
        <v>837</v>
      </c>
      <c r="W322" s="902" t="s">
        <v>838</v>
      </c>
      <c r="X322" s="364"/>
      <c r="Y322" s="364"/>
      <c r="Z322" s="364"/>
      <c r="AA322"/>
      <c r="AB322"/>
      <c r="AC322"/>
      <c r="AD322"/>
    </row>
    <row r="323" spans="17:30" ht="12.75" customHeight="1">
      <c r="Q323" s="364"/>
      <c r="R323" s="892"/>
      <c r="S323" s="897"/>
      <c r="T323" s="904"/>
      <c r="U323" s="904"/>
      <c r="V323" s="904"/>
      <c r="W323" s="905"/>
      <c r="X323" s="364"/>
      <c r="Y323" s="364"/>
      <c r="Z323" s="364"/>
      <c r="AA323"/>
      <c r="AB323"/>
      <c r="AC323"/>
      <c r="AD323"/>
    </row>
    <row r="324" spans="17:30" ht="12.75" customHeight="1">
      <c r="Q324" s="364"/>
      <c r="R324" s="892"/>
      <c r="S324" s="897"/>
      <c r="T324" s="901"/>
      <c r="U324" s="901"/>
      <c r="V324" s="901"/>
      <c r="W324" s="903"/>
      <c r="X324" s="364"/>
      <c r="Y324" s="364"/>
      <c r="Z324" s="364"/>
      <c r="AA324"/>
      <c r="AB324"/>
      <c r="AC324"/>
      <c r="AD324"/>
    </row>
    <row r="325" spans="17:30" ht="12.75" customHeight="1">
      <c r="Q325" s="364"/>
      <c r="R325" s="892"/>
      <c r="S325" s="897"/>
      <c r="T325" s="689">
        <f>X69</f>
        <v>116</v>
      </c>
      <c r="U325" s="560">
        <f>X62</f>
        <v>1.4285714285714284</v>
      </c>
      <c r="V325" s="690">
        <f>IF(T325&gt;0,W325*U325," ")</f>
        <v>22857.142857142855</v>
      </c>
      <c r="W325" s="691">
        <f>IF(T325&gt;0,(VLOOKUP(T325,'Lookup Ready-reckoner'!$B$5:$E$1207,4))," ")</f>
        <v>16000</v>
      </c>
      <c r="X325" s="364"/>
      <c r="Y325" s="364"/>
      <c r="Z325" s="364"/>
      <c r="AA325"/>
      <c r="AB325"/>
      <c r="AC325"/>
      <c r="AD325"/>
    </row>
    <row r="326" spans="17:30" ht="12.75" customHeight="1">
      <c r="Q326" s="364"/>
      <c r="R326" s="898"/>
      <c r="S326" s="899"/>
      <c r="T326" s="447"/>
      <c r="U326" s="560"/>
      <c r="V326" s="690" t="str">
        <f>IF(T326&gt;0,W326*U326," ")</f>
        <v xml:space="preserve"> </v>
      </c>
      <c r="W326" s="691" t="str">
        <f>IF(T326&gt;0,(VLOOKUP(T326,'Lookup Ready-reckoner'!$B$5:$E$1007,4))," ")</f>
        <v xml:space="preserve"> </v>
      </c>
      <c r="X326" s="364"/>
      <c r="Y326" s="364"/>
      <c r="Z326" s="364"/>
      <c r="AA326"/>
      <c r="AB326"/>
      <c r="AC326"/>
      <c r="AD326"/>
    </row>
    <row r="327" spans="17:30" ht="12.75" customHeight="1" thickBot="1">
      <c r="Q327" s="364"/>
      <c r="R327" s="692" t="s">
        <v>839</v>
      </c>
      <c r="S327" s="693"/>
      <c r="T327" s="693"/>
      <c r="U327" s="694">
        <f>IF(T325&gt;0,(VLOOKUP(V327,'Lookup Ready-reckoner'!$L$5:$M$1207,2))," ")</f>
        <v>108.5</v>
      </c>
      <c r="V327" s="695">
        <f>IF(U325&gt;0,(SUM(V325:V326))," ")</f>
        <v>22857.142857142855</v>
      </c>
      <c r="W327" s="696"/>
      <c r="X327" s="364"/>
      <c r="Y327" s="364"/>
      <c r="Z327" s="364"/>
      <c r="AA327"/>
      <c r="AB327"/>
      <c r="AC327"/>
      <c r="AD327"/>
    </row>
    <row r="328" spans="17:30" ht="12.75" customHeight="1" thickBot="1">
      <c r="Q328" s="364"/>
      <c r="R328" s="892"/>
      <c r="S328" s="893"/>
      <c r="T328" s="893"/>
      <c r="U328" s="893"/>
      <c r="V328" s="893"/>
      <c r="W328" s="894"/>
      <c r="X328" s="364"/>
      <c r="Y328" s="364"/>
      <c r="Z328" s="364"/>
      <c r="AA328"/>
      <c r="AB328"/>
      <c r="AC328"/>
      <c r="AD328"/>
    </row>
    <row r="329" spans="17:30" ht="12.75" customHeight="1">
      <c r="Q329" s="364"/>
      <c r="R329" s="895" t="s">
        <v>886</v>
      </c>
      <c r="S329" s="896"/>
      <c r="T329" s="900" t="s">
        <v>835</v>
      </c>
      <c r="U329" s="900" t="s">
        <v>836</v>
      </c>
      <c r="V329" s="900" t="s">
        <v>837</v>
      </c>
      <c r="W329" s="902" t="s">
        <v>838</v>
      </c>
      <c r="X329" s="364"/>
      <c r="Y329" s="364"/>
      <c r="Z329" s="364"/>
      <c r="AA329"/>
      <c r="AB329"/>
      <c r="AC329"/>
      <c r="AD329"/>
    </row>
    <row r="330" spans="17:30" ht="12.75" customHeight="1">
      <c r="Q330" s="364"/>
      <c r="R330" s="892"/>
      <c r="S330" s="897"/>
      <c r="T330" s="901"/>
      <c r="U330" s="901"/>
      <c r="V330" s="901"/>
      <c r="W330" s="903"/>
      <c r="X330" s="364"/>
      <c r="Y330" s="364"/>
      <c r="Z330" s="364"/>
      <c r="AA330"/>
      <c r="AB330"/>
      <c r="AC330"/>
      <c r="AD330"/>
    </row>
    <row r="331" spans="17:30" ht="12.75" customHeight="1">
      <c r="Q331" s="364"/>
      <c r="R331" s="892"/>
      <c r="S331" s="897"/>
      <c r="T331" s="689">
        <f>T325*(1-0.0178*2)</f>
        <v>111.8704</v>
      </c>
      <c r="U331" s="560">
        <f>U325</f>
        <v>1.4285714285714284</v>
      </c>
      <c r="V331" s="690">
        <f>IF(T331&gt;0,W331*U331," ")</f>
        <v>8842.8571428571413</v>
      </c>
      <c r="W331" s="691">
        <f>IF(T331&gt;0,(VLOOKUP(T331,'Lookup Ready-reckoner'!$B$5:$E$1207,4))," ")</f>
        <v>6190</v>
      </c>
      <c r="X331" s="364"/>
      <c r="Y331" s="364"/>
      <c r="Z331" s="364"/>
      <c r="AA331"/>
      <c r="AB331"/>
      <c r="AC331"/>
      <c r="AD331"/>
    </row>
    <row r="332" spans="17:30" ht="12.75" customHeight="1">
      <c r="Q332" s="364"/>
      <c r="R332" s="898"/>
      <c r="S332" s="899"/>
      <c r="T332" s="447"/>
      <c r="U332" s="560"/>
      <c r="V332" s="690" t="str">
        <f>IF(T332&gt;0,W332*U332," ")</f>
        <v xml:space="preserve"> </v>
      </c>
      <c r="W332" s="691" t="str">
        <f>IF(T332&gt;0,(VLOOKUP(T332,'Lookup Ready-reckoner'!$B$5:$E$1007,4))," ")</f>
        <v xml:space="preserve"> </v>
      </c>
      <c r="X332" s="364"/>
      <c r="Y332" s="364"/>
      <c r="Z332" s="364"/>
      <c r="AA332"/>
      <c r="AB332"/>
      <c r="AC332"/>
      <c r="AD332"/>
    </row>
    <row r="333" spans="17:30" ht="12.75" customHeight="1" thickBot="1">
      <c r="Q333" s="364"/>
      <c r="R333" s="692" t="s">
        <v>839</v>
      </c>
      <c r="S333" s="693"/>
      <c r="T333" s="693"/>
      <c r="U333" s="694">
        <f>IF(T331&gt;0,(VLOOKUP(V333,'Lookup Ready-reckoner'!$L$5:$M$1207,2))," ")</f>
        <v>104.4</v>
      </c>
      <c r="V333" s="695">
        <f>IF(U331&gt;0,(SUM(V331:V332))," ")</f>
        <v>8842.8571428571413</v>
      </c>
      <c r="W333" s="696"/>
      <c r="X333" s="364"/>
      <c r="Y333" s="364"/>
      <c r="Z333" s="364"/>
      <c r="AA333"/>
      <c r="AB333"/>
      <c r="AC333"/>
      <c r="AD333"/>
    </row>
    <row r="334" spans="17:30" ht="12.75" customHeight="1">
      <c r="Q334" s="364"/>
      <c r="R334" s="697"/>
      <c r="S334" s="687"/>
      <c r="T334" s="687"/>
      <c r="U334" s="372"/>
      <c r="V334" s="374"/>
      <c r="W334" s="688"/>
      <c r="X334" s="364"/>
      <c r="Y334" s="364"/>
      <c r="Z334" s="364"/>
      <c r="AA334"/>
      <c r="AB334"/>
      <c r="AC334"/>
      <c r="AD334"/>
    </row>
    <row r="335" spans="17:30" ht="12.75" customHeight="1" thickBot="1">
      <c r="Q335" s="364"/>
      <c r="R335" s="686" t="s">
        <v>60</v>
      </c>
      <c r="S335" s="577"/>
      <c r="T335" s="577"/>
      <c r="U335" s="577"/>
      <c r="V335" s="577"/>
      <c r="W335" s="698"/>
      <c r="X335" s="364"/>
      <c r="Y335" s="364"/>
      <c r="Z335" s="364"/>
      <c r="AA335"/>
      <c r="AB335"/>
      <c r="AC335"/>
      <c r="AD335"/>
    </row>
    <row r="336" spans="17:30" ht="12.75" customHeight="1">
      <c r="Q336" s="364"/>
      <c r="R336" s="895" t="s">
        <v>845</v>
      </c>
      <c r="S336" s="896"/>
      <c r="T336" s="900" t="s">
        <v>835</v>
      </c>
      <c r="U336" s="900" t="s">
        <v>836</v>
      </c>
      <c r="V336" s="900" t="s">
        <v>837</v>
      </c>
      <c r="W336" s="902" t="s">
        <v>838</v>
      </c>
      <c r="X336" s="364"/>
      <c r="Y336" s="364"/>
      <c r="Z336" s="364"/>
      <c r="AA336"/>
      <c r="AB336"/>
      <c r="AC336"/>
      <c r="AD336"/>
    </row>
    <row r="337" spans="17:30" ht="12.75" customHeight="1">
      <c r="Q337" s="364"/>
      <c r="R337" s="892"/>
      <c r="S337" s="897"/>
      <c r="T337" s="901"/>
      <c r="U337" s="901"/>
      <c r="V337" s="901"/>
      <c r="W337" s="903"/>
      <c r="X337" s="364"/>
      <c r="Y337" s="364"/>
      <c r="Z337" s="364"/>
      <c r="AA337"/>
      <c r="AB337"/>
      <c r="AC337"/>
      <c r="AD337"/>
    </row>
    <row r="338" spans="17:30" ht="12.75" customHeight="1">
      <c r="Q338" s="364"/>
      <c r="R338" s="892"/>
      <c r="S338" s="897"/>
      <c r="T338" s="689">
        <f>T325-PPE!$I$15</f>
        <v>103</v>
      </c>
      <c r="U338" s="560">
        <f>U331</f>
        <v>1.4285714285714284</v>
      </c>
      <c r="V338" s="690">
        <f>IF(T338&gt;0,W338*U338," ")</f>
        <v>1142.8571428571427</v>
      </c>
      <c r="W338" s="691">
        <f>IF(T338&gt;0,(VLOOKUP(T338,'Lookup Ready-reckoner'!$B$5:$E$1207,4))," ")</f>
        <v>800</v>
      </c>
      <c r="X338" s="364"/>
      <c r="Y338" s="364"/>
      <c r="Z338" s="364"/>
      <c r="AA338"/>
      <c r="AB338"/>
      <c r="AC338"/>
      <c r="AD338"/>
    </row>
    <row r="339" spans="17:30" ht="12.75" customHeight="1">
      <c r="Q339" s="364"/>
      <c r="R339" s="898"/>
      <c r="S339" s="899"/>
      <c r="T339" s="447"/>
      <c r="U339" s="560"/>
      <c r="V339" s="690" t="str">
        <f>IF(T339&gt;0,W339*U339," ")</f>
        <v xml:space="preserve"> </v>
      </c>
      <c r="W339" s="691" t="str">
        <f>IF(T339&gt;0,(VLOOKUP(T339,'Lookup Ready-reckoner'!$B$5:$E$1007,4))," ")</f>
        <v xml:space="preserve"> </v>
      </c>
      <c r="X339" s="364"/>
      <c r="Y339" s="364"/>
      <c r="Z339" s="364"/>
      <c r="AA339"/>
      <c r="AB339"/>
      <c r="AC339"/>
      <c r="AD339"/>
    </row>
    <row r="340" spans="17:30" ht="12.75" customHeight="1" thickBot="1">
      <c r="Q340" s="364"/>
      <c r="R340" s="699" t="s">
        <v>839</v>
      </c>
      <c r="S340" s="693"/>
      <c r="T340" s="693"/>
      <c r="U340" s="694">
        <f>IF(T338&gt;0,(VLOOKUP(V340,'Lookup Ready-reckoner'!$L$5:$M$1207,2))," ")</f>
        <v>95.55</v>
      </c>
      <c r="V340" s="695">
        <f>IF(U338&gt;0,(SUM(V338:V339))," ")</f>
        <v>1142.8571428571427</v>
      </c>
      <c r="W340" s="696"/>
      <c r="X340" s="364"/>
      <c r="Y340" s="364"/>
      <c r="Z340" s="364"/>
      <c r="AA340"/>
      <c r="AB340"/>
      <c r="AC340"/>
      <c r="AD340"/>
    </row>
    <row r="341" spans="17:30" ht="12.75" customHeight="1" thickBot="1">
      <c r="Q341" s="364"/>
      <c r="R341" s="892"/>
      <c r="S341" s="893"/>
      <c r="T341" s="893"/>
      <c r="U341" s="893"/>
      <c r="V341" s="893"/>
      <c r="W341" s="894"/>
      <c r="X341" s="364"/>
      <c r="Y341" s="364"/>
      <c r="Z341" s="364"/>
      <c r="AA341"/>
      <c r="AB341"/>
      <c r="AC341"/>
      <c r="AD341"/>
    </row>
    <row r="342" spans="17:30" ht="12.75" customHeight="1">
      <c r="Q342" s="364"/>
      <c r="R342" s="895" t="s">
        <v>886</v>
      </c>
      <c r="S342" s="896"/>
      <c r="T342" s="900" t="s">
        <v>835</v>
      </c>
      <c r="U342" s="900" t="s">
        <v>836</v>
      </c>
      <c r="V342" s="900" t="s">
        <v>837</v>
      </c>
      <c r="W342" s="902" t="s">
        <v>838</v>
      </c>
      <c r="X342" s="364"/>
      <c r="Y342" s="364"/>
      <c r="Z342" s="364"/>
      <c r="AA342"/>
      <c r="AB342"/>
      <c r="AC342"/>
      <c r="AD342"/>
    </row>
    <row r="343" spans="17:30" ht="12.75" customHeight="1">
      <c r="Q343" s="364"/>
      <c r="R343" s="892"/>
      <c r="S343" s="897"/>
      <c r="T343" s="901"/>
      <c r="U343" s="901"/>
      <c r="V343" s="901"/>
      <c r="W343" s="903"/>
      <c r="X343" s="364"/>
      <c r="Y343" s="364"/>
      <c r="Z343" s="364"/>
      <c r="AA343"/>
      <c r="AB343"/>
      <c r="AC343"/>
      <c r="AD343"/>
    </row>
    <row r="344" spans="17:30" ht="12.75" customHeight="1">
      <c r="Q344" s="364"/>
      <c r="R344" s="892"/>
      <c r="S344" s="897"/>
      <c r="T344" s="689">
        <f>T331-PPE!$I$15</f>
        <v>98.870400000000004</v>
      </c>
      <c r="U344" s="560">
        <f>U338</f>
        <v>1.4285714285714284</v>
      </c>
      <c r="V344" s="690">
        <f>IF(T344&gt;0,W344*U344," ")</f>
        <v>433.03571428571422</v>
      </c>
      <c r="W344" s="691">
        <f>IF(T344&gt;0,(VLOOKUP(T344,'Lookup Ready-reckoner'!$B$5:$E$1207,4))," ")</f>
        <v>303.125</v>
      </c>
      <c r="X344" s="364"/>
      <c r="Y344" s="364"/>
      <c r="Z344" s="364"/>
      <c r="AA344"/>
      <c r="AB344"/>
      <c r="AC344"/>
      <c r="AD344"/>
    </row>
    <row r="345" spans="17:30" ht="12.75" customHeight="1">
      <c r="Q345" s="364"/>
      <c r="R345" s="898"/>
      <c r="S345" s="899"/>
      <c r="T345" s="447"/>
      <c r="U345" s="560"/>
      <c r="V345" s="690" t="str">
        <f>IF(T345&gt;0,W345*U345," ")</f>
        <v xml:space="preserve"> </v>
      </c>
      <c r="W345" s="691" t="str">
        <f>IF(T345&gt;0,(VLOOKUP(T345,'Lookup Ready-reckoner'!$B$5:$E$1007,4))," ")</f>
        <v xml:space="preserve"> </v>
      </c>
      <c r="X345" s="364"/>
      <c r="Y345" s="364"/>
      <c r="Z345" s="364"/>
      <c r="AA345"/>
      <c r="AB345"/>
      <c r="AC345"/>
      <c r="AD345"/>
    </row>
    <row r="346" spans="17:30" ht="12.75" customHeight="1" thickBot="1">
      <c r="Q346" s="364"/>
      <c r="R346" s="692" t="s">
        <v>839</v>
      </c>
      <c r="S346" s="693"/>
      <c r="T346" s="693"/>
      <c r="U346" s="694">
        <f>IF(T344&gt;0,(VLOOKUP(V346,'Lookup Ready-reckoner'!$L$5:$M$1207,2))," ")</f>
        <v>91.3</v>
      </c>
      <c r="V346" s="695">
        <f>IF(U344&gt;0,(SUM(V344:V345))," ")</f>
        <v>433.03571428571422</v>
      </c>
      <c r="W346" s="696"/>
      <c r="X346" s="364"/>
      <c r="Y346" s="364"/>
      <c r="Z346" s="364"/>
      <c r="AA346"/>
      <c r="AB346"/>
      <c r="AC346"/>
      <c r="AD346"/>
    </row>
    <row r="347" spans="17:30" ht="12.75" customHeight="1">
      <c r="Q347" s="364"/>
      <c r="R347" s="363"/>
      <c r="S347" s="363"/>
      <c r="T347" s="363"/>
      <c r="U347" s="363"/>
      <c r="V347" s="363"/>
      <c r="W347" s="363"/>
      <c r="X347" s="364"/>
      <c r="Y347" s="364"/>
      <c r="Z347" s="364"/>
      <c r="AA347"/>
      <c r="AB347"/>
      <c r="AC347"/>
      <c r="AD347"/>
    </row>
    <row r="348" spans="17:30" ht="12.75" customHeight="1" thickBot="1">
      <c r="Q348" s="364"/>
      <c r="R348" s="915" t="str">
        <f>T306</f>
        <v>Seco S215 Muffled</v>
      </c>
      <c r="S348" s="915"/>
      <c r="T348" s="915"/>
      <c r="U348" s="915"/>
      <c r="V348" s="915"/>
      <c r="W348" s="915"/>
      <c r="X348" s="364"/>
      <c r="Y348" s="363"/>
      <c r="Z348" s="363"/>
      <c r="AA348"/>
      <c r="AB348"/>
      <c r="AC348"/>
      <c r="AD348"/>
    </row>
    <row r="349" spans="17:30" ht="12.75" customHeight="1" thickBot="1">
      <c r="Q349" s="364"/>
      <c r="R349" s="906" t="s">
        <v>205</v>
      </c>
      <c r="S349" s="907"/>
      <c r="T349" s="907"/>
      <c r="U349" s="907"/>
      <c r="V349" s="907"/>
      <c r="W349" s="908"/>
      <c r="X349" s="364"/>
      <c r="Y349" s="363"/>
      <c r="Z349" s="363"/>
      <c r="AA349"/>
      <c r="AB349"/>
      <c r="AC349"/>
      <c r="AD349"/>
    </row>
    <row r="350" spans="17:30" ht="12.75" customHeight="1" thickBot="1">
      <c r="Q350" s="364"/>
      <c r="R350" s="686" t="s">
        <v>59</v>
      </c>
      <c r="S350" s="577"/>
      <c r="T350" s="687"/>
      <c r="U350" s="687"/>
      <c r="V350" s="687"/>
      <c r="W350" s="688"/>
      <c r="X350" s="364"/>
      <c r="Y350" s="363"/>
      <c r="Z350" s="363"/>
      <c r="AA350"/>
      <c r="AB350"/>
      <c r="AC350"/>
      <c r="AD350"/>
    </row>
    <row r="351" spans="17:30" ht="12.75" customHeight="1">
      <c r="Q351" s="364"/>
      <c r="R351" s="895" t="s">
        <v>845</v>
      </c>
      <c r="S351" s="896"/>
      <c r="T351" s="900" t="s">
        <v>835</v>
      </c>
      <c r="U351" s="900" t="s">
        <v>836</v>
      </c>
      <c r="V351" s="900" t="s">
        <v>837</v>
      </c>
      <c r="W351" s="902" t="s">
        <v>838</v>
      </c>
      <c r="X351" s="364"/>
      <c r="Y351" s="363"/>
      <c r="Z351" s="363"/>
      <c r="AA351"/>
      <c r="AB351"/>
      <c r="AC351"/>
      <c r="AD351"/>
    </row>
    <row r="352" spans="17:30" ht="12.75" customHeight="1">
      <c r="Q352" s="364"/>
      <c r="R352" s="892"/>
      <c r="S352" s="897"/>
      <c r="T352" s="904"/>
      <c r="U352" s="904"/>
      <c r="V352" s="904"/>
      <c r="W352" s="905"/>
      <c r="X352" s="364"/>
      <c r="Y352" s="363"/>
      <c r="Z352" s="363"/>
      <c r="AA352"/>
      <c r="AB352"/>
      <c r="AC352"/>
      <c r="AD352"/>
    </row>
    <row r="353" spans="17:30" ht="12.75" customHeight="1">
      <c r="Q353" s="364"/>
      <c r="R353" s="892"/>
      <c r="S353" s="897"/>
      <c r="T353" s="901"/>
      <c r="U353" s="901"/>
      <c r="V353" s="901"/>
      <c r="W353" s="903"/>
      <c r="X353" s="364"/>
      <c r="Y353" s="363"/>
      <c r="Z353" s="363"/>
      <c r="AA353"/>
      <c r="AB353"/>
      <c r="AC353"/>
      <c r="AD353"/>
    </row>
    <row r="354" spans="17:30" ht="12.75" customHeight="1">
      <c r="Q354" s="364"/>
      <c r="R354" s="892"/>
      <c r="S354" s="897"/>
      <c r="T354" s="700">
        <f>V69</f>
        <v>108</v>
      </c>
      <c r="U354" s="560">
        <f>V62</f>
        <v>1.9999999999999996</v>
      </c>
      <c r="V354" s="690">
        <f>IF(T354&gt;0,W354*U354," ")</f>
        <v>4999.9999999999991</v>
      </c>
      <c r="W354" s="691">
        <f>IF(T354&gt;0,(VLOOKUP(T354,'Lookup Ready-reckoner'!$B$5:$E$1207,4))," ")</f>
        <v>2500</v>
      </c>
      <c r="X354" s="364"/>
      <c r="Y354" s="363"/>
      <c r="Z354" s="363"/>
      <c r="AA354"/>
      <c r="AB354"/>
      <c r="AC354"/>
      <c r="AD354"/>
    </row>
    <row r="355" spans="17:30" ht="12.75" customHeight="1">
      <c r="Q355" s="364"/>
      <c r="R355" s="898"/>
      <c r="S355" s="899"/>
      <c r="T355" s="447"/>
      <c r="U355" s="560"/>
      <c r="V355" s="690" t="str">
        <f>IF(T355&gt;0,W355*U355," ")</f>
        <v xml:space="preserve"> </v>
      </c>
      <c r="W355" s="691" t="str">
        <f>IF(T355&gt;0,(VLOOKUP(T355,'Lookup Ready-reckoner'!$B$5:$E$1007,4))," ")</f>
        <v xml:space="preserve"> </v>
      </c>
      <c r="X355" s="364"/>
      <c r="Y355" s="363"/>
      <c r="Z355" s="363"/>
      <c r="AA355"/>
      <c r="AB355"/>
      <c r="AC355"/>
      <c r="AD355"/>
    </row>
    <row r="356" spans="17:30" ht="12.75" customHeight="1" thickBot="1">
      <c r="Q356" s="364"/>
      <c r="R356" s="699" t="s">
        <v>839</v>
      </c>
      <c r="S356" s="693"/>
      <c r="T356" s="693"/>
      <c r="U356" s="701">
        <f>IF(T354&gt;0,(VLOOKUP(V356,'Lookup Ready-reckoner'!$L$5:$M$1207,2))," ")</f>
        <v>101.95</v>
      </c>
      <c r="V356" s="695">
        <f>IF(U354&gt;0,(SUM(V354:V355))," ")</f>
        <v>4999.9999999999991</v>
      </c>
      <c r="W356" s="696"/>
      <c r="X356" s="364"/>
      <c r="Y356" s="363"/>
      <c r="Z356" s="363"/>
      <c r="AA356"/>
      <c r="AB356"/>
      <c r="AC356"/>
      <c r="AD356"/>
    </row>
    <row r="357" spans="17:30" ht="12.75" customHeight="1" thickBot="1">
      <c r="Q357" s="364"/>
      <c r="R357" s="892"/>
      <c r="S357" s="893"/>
      <c r="T357" s="893"/>
      <c r="U357" s="893"/>
      <c r="V357" s="893"/>
      <c r="W357" s="894"/>
      <c r="X357" s="364"/>
      <c r="Y357" s="363"/>
      <c r="Z357" s="363"/>
      <c r="AA357"/>
      <c r="AB357"/>
      <c r="AC357"/>
      <c r="AD357"/>
    </row>
    <row r="358" spans="17:30" ht="12.75" customHeight="1">
      <c r="Q358" s="364"/>
      <c r="R358" s="895" t="s">
        <v>886</v>
      </c>
      <c r="S358" s="896"/>
      <c r="T358" s="900" t="s">
        <v>835</v>
      </c>
      <c r="U358" s="900" t="s">
        <v>836</v>
      </c>
      <c r="V358" s="900" t="s">
        <v>837</v>
      </c>
      <c r="W358" s="902" t="s">
        <v>838</v>
      </c>
      <c r="X358" s="364"/>
      <c r="Y358" s="363"/>
      <c r="Z358" s="363"/>
      <c r="AA358"/>
      <c r="AB358"/>
      <c r="AC358"/>
      <c r="AD358"/>
    </row>
    <row r="359" spans="17:30" ht="12.75" customHeight="1">
      <c r="Q359" s="364"/>
      <c r="R359" s="892"/>
      <c r="S359" s="897"/>
      <c r="T359" s="901"/>
      <c r="U359" s="901"/>
      <c r="V359" s="901"/>
      <c r="W359" s="903"/>
      <c r="X359" s="364"/>
      <c r="Y359" s="363"/>
      <c r="Z359" s="363"/>
      <c r="AA359"/>
      <c r="AB359"/>
      <c r="AC359"/>
      <c r="AD359"/>
    </row>
    <row r="360" spans="17:30" ht="12.75" customHeight="1">
      <c r="Q360" s="364"/>
      <c r="R360" s="892"/>
      <c r="S360" s="897"/>
      <c r="T360" s="700">
        <f>T354*(1-0.0178*2)</f>
        <v>104.15520000000001</v>
      </c>
      <c r="U360" s="560">
        <f>U354</f>
        <v>1.9999999999999996</v>
      </c>
      <c r="V360" s="690">
        <f>IF(T360&gt;0,W360*U360," ")</f>
        <v>2074.9999999999995</v>
      </c>
      <c r="W360" s="691">
        <f>IF(T360&gt;0,(VLOOKUP(T360,'Lookup Ready-reckoner'!$B$5:$E$1207,4))," ")</f>
        <v>1037.5</v>
      </c>
      <c r="X360" s="364"/>
      <c r="Y360" s="363"/>
      <c r="Z360" s="363"/>
      <c r="AA360"/>
      <c r="AB360"/>
      <c r="AC360"/>
      <c r="AD360"/>
    </row>
    <row r="361" spans="17:30" ht="12.75" customHeight="1">
      <c r="Q361" s="364"/>
      <c r="R361" s="898"/>
      <c r="S361" s="899"/>
      <c r="T361" s="447"/>
      <c r="U361" s="560"/>
      <c r="V361" s="690" t="str">
        <f>IF(T361&gt;0,W361*U361," ")</f>
        <v xml:space="preserve"> </v>
      </c>
      <c r="W361" s="691" t="str">
        <f>IF(T361&gt;0,(VLOOKUP(T361,'Lookup Ready-reckoner'!$B$5:$E$1007,4))," ")</f>
        <v xml:space="preserve"> </v>
      </c>
      <c r="X361" s="364"/>
      <c r="Y361" s="363"/>
      <c r="Z361" s="363"/>
      <c r="AA361"/>
      <c r="AB361"/>
      <c r="AC361"/>
      <c r="AD361"/>
    </row>
    <row r="362" spans="17:30" ht="12.75" customHeight="1" thickBot="1">
      <c r="Q362" s="364"/>
      <c r="R362" s="692" t="s">
        <v>839</v>
      </c>
      <c r="S362" s="693"/>
      <c r="T362" s="693"/>
      <c r="U362" s="701">
        <f>IF(T360&gt;0,(VLOOKUP(V362,'Lookup Ready-reckoner'!$L$5:$M$1207,2))," ")</f>
        <v>98.1</v>
      </c>
      <c r="V362" s="695">
        <f>IF(U360&gt;0,(SUM(V360:V361))," ")</f>
        <v>2074.9999999999995</v>
      </c>
      <c r="W362" s="696"/>
      <c r="X362" s="364"/>
      <c r="Y362" s="363"/>
      <c r="Z362" s="363"/>
      <c r="AA362"/>
      <c r="AB362"/>
      <c r="AC362"/>
      <c r="AD362"/>
    </row>
    <row r="363" spans="17:30" ht="12.75" customHeight="1">
      <c r="Q363" s="364"/>
      <c r="R363" s="697"/>
      <c r="S363" s="687"/>
      <c r="T363" s="687"/>
      <c r="U363" s="372"/>
      <c r="V363" s="374"/>
      <c r="W363" s="688"/>
      <c r="X363" s="364"/>
      <c r="Y363" s="363"/>
      <c r="Z363" s="363"/>
      <c r="AA363"/>
      <c r="AB363"/>
      <c r="AC363"/>
      <c r="AD363"/>
    </row>
    <row r="364" spans="17:30" ht="12.75" customHeight="1" thickBot="1">
      <c r="Q364" s="364"/>
      <c r="R364" s="686" t="s">
        <v>60</v>
      </c>
      <c r="S364" s="577"/>
      <c r="T364" s="577"/>
      <c r="U364" s="577"/>
      <c r="V364" s="577"/>
      <c r="W364" s="698"/>
      <c r="X364" s="364"/>
      <c r="Y364" s="363"/>
      <c r="Z364" s="363"/>
      <c r="AA364"/>
      <c r="AB364"/>
      <c r="AC364"/>
      <c r="AD364"/>
    </row>
    <row r="365" spans="17:30" ht="12.75" customHeight="1">
      <c r="Q365" s="364"/>
      <c r="R365" s="895" t="s">
        <v>845</v>
      </c>
      <c r="S365" s="896"/>
      <c r="T365" s="900" t="s">
        <v>835</v>
      </c>
      <c r="U365" s="900" t="s">
        <v>836</v>
      </c>
      <c r="V365" s="900" t="s">
        <v>837</v>
      </c>
      <c r="W365" s="902" t="s">
        <v>838</v>
      </c>
      <c r="X365" s="364"/>
      <c r="Y365" s="363"/>
      <c r="Z365" s="363"/>
      <c r="AA365"/>
      <c r="AB365"/>
      <c r="AC365"/>
      <c r="AD365"/>
    </row>
    <row r="366" spans="17:30" ht="12.75" customHeight="1">
      <c r="Q366" s="364"/>
      <c r="R366" s="892"/>
      <c r="S366" s="897"/>
      <c r="T366" s="901"/>
      <c r="U366" s="901"/>
      <c r="V366" s="901"/>
      <c r="W366" s="903"/>
      <c r="X366" s="364"/>
      <c r="Y366" s="363"/>
      <c r="Z366" s="363"/>
      <c r="AA366"/>
      <c r="AB366"/>
      <c r="AC366"/>
      <c r="AD366"/>
    </row>
    <row r="367" spans="17:30" ht="12.75" customHeight="1">
      <c r="Q367" s="364"/>
      <c r="R367" s="892"/>
      <c r="S367" s="897"/>
      <c r="T367" s="700">
        <f>T354-PPE!$I$15</f>
        <v>95</v>
      </c>
      <c r="U367" s="560">
        <f>U360</f>
        <v>1.9999999999999996</v>
      </c>
      <c r="V367" s="690">
        <f>IF(T367&gt;0,W367*U367," ")</f>
        <v>249.99999999999994</v>
      </c>
      <c r="W367" s="691">
        <f>IF(T367&gt;0,(VLOOKUP(T367,'Lookup Ready-reckoner'!$B$5:$E$1207,4))," ")</f>
        <v>125</v>
      </c>
      <c r="X367" s="364"/>
      <c r="Y367" s="363"/>
      <c r="Z367" s="363"/>
      <c r="AA367"/>
      <c r="AB367"/>
      <c r="AC367"/>
      <c r="AD367"/>
    </row>
    <row r="368" spans="17:30" ht="12.75" customHeight="1">
      <c r="Q368" s="364"/>
      <c r="R368" s="898"/>
      <c r="S368" s="899"/>
      <c r="T368" s="447"/>
      <c r="U368" s="560"/>
      <c r="V368" s="690" t="str">
        <f>IF(T368&gt;0,W368*U368," ")</f>
        <v xml:space="preserve"> </v>
      </c>
      <c r="W368" s="691" t="str">
        <f>IF(T368&gt;0,(VLOOKUP(T368,'Lookup Ready-reckoner'!$B$5:$E$1007,4))," ")</f>
        <v xml:space="preserve"> </v>
      </c>
      <c r="X368" s="364"/>
      <c r="Y368" s="363"/>
      <c r="Z368" s="363"/>
      <c r="AA368"/>
      <c r="AB368"/>
      <c r="AC368"/>
      <c r="AD368"/>
    </row>
    <row r="369" spans="17:30" ht="12.75" customHeight="1" thickBot="1">
      <c r="Q369" s="364"/>
      <c r="R369" s="692" t="s">
        <v>839</v>
      </c>
      <c r="S369" s="693"/>
      <c r="T369" s="693"/>
      <c r="U369" s="701">
        <f>IF(T367&gt;0,(VLOOKUP(V369,'Lookup Ready-reckoner'!$L$5:$M$1207,2))," ")</f>
        <v>88.95</v>
      </c>
      <c r="V369" s="695">
        <f>IF(U367&gt;0,(SUM(V367:V368))," ")</f>
        <v>249.99999999999994</v>
      </c>
      <c r="W369" s="696"/>
      <c r="X369" s="364"/>
      <c r="Y369" s="363"/>
      <c r="Z369" s="363"/>
      <c r="AA369"/>
      <c r="AB369"/>
      <c r="AC369"/>
      <c r="AD369"/>
    </row>
    <row r="370" spans="17:30" ht="12.75" customHeight="1" thickBot="1">
      <c r="Q370" s="364"/>
      <c r="R370" s="892"/>
      <c r="S370" s="893"/>
      <c r="T370" s="893"/>
      <c r="U370" s="893"/>
      <c r="V370" s="893"/>
      <c r="W370" s="894"/>
      <c r="X370" s="364"/>
      <c r="Y370" s="363"/>
      <c r="Z370" s="363"/>
      <c r="AA370"/>
      <c r="AB370"/>
      <c r="AC370"/>
      <c r="AD370"/>
    </row>
    <row r="371" spans="17:30" ht="12.75" customHeight="1">
      <c r="Q371" s="364"/>
      <c r="R371" s="895" t="s">
        <v>886</v>
      </c>
      <c r="S371" s="896"/>
      <c r="T371" s="900" t="s">
        <v>835</v>
      </c>
      <c r="U371" s="900" t="s">
        <v>836</v>
      </c>
      <c r="V371" s="900" t="s">
        <v>837</v>
      </c>
      <c r="W371" s="902" t="s">
        <v>838</v>
      </c>
      <c r="X371" s="364"/>
      <c r="Y371" s="363"/>
      <c r="Z371" s="363"/>
      <c r="AA371"/>
      <c r="AB371"/>
      <c r="AC371"/>
      <c r="AD371"/>
    </row>
    <row r="372" spans="17:30" ht="12.75" customHeight="1">
      <c r="Q372" s="364"/>
      <c r="R372" s="892"/>
      <c r="S372" s="897"/>
      <c r="T372" s="901"/>
      <c r="U372" s="901"/>
      <c r="V372" s="901"/>
      <c r="W372" s="903"/>
      <c r="X372" s="364"/>
      <c r="Y372" s="363"/>
      <c r="Z372" s="363"/>
      <c r="AA372"/>
      <c r="AB372"/>
      <c r="AC372"/>
      <c r="AD372"/>
    </row>
    <row r="373" spans="17:30" ht="12.75" customHeight="1">
      <c r="Q373" s="364"/>
      <c r="R373" s="892"/>
      <c r="S373" s="897"/>
      <c r="T373" s="700">
        <f>T360-PPE!$I$15</f>
        <v>91.155200000000008</v>
      </c>
      <c r="U373" s="560">
        <f>U367</f>
        <v>1.9999999999999996</v>
      </c>
      <c r="V373" s="690">
        <f>IF(T373&gt;0,W373*U373," ")</f>
        <v>103.74999999999997</v>
      </c>
      <c r="W373" s="691">
        <f>IF(T373&gt;0,(VLOOKUP(T373,'Lookup Ready-reckoner'!$B$5:$E$1207,4))," ")</f>
        <v>51.875</v>
      </c>
      <c r="X373" s="364"/>
      <c r="Y373" s="363"/>
      <c r="Z373" s="363"/>
      <c r="AA373"/>
      <c r="AB373"/>
      <c r="AC373"/>
      <c r="AD373"/>
    </row>
    <row r="374" spans="17:30" ht="12.75" customHeight="1">
      <c r="Q374" s="364"/>
      <c r="R374" s="898"/>
      <c r="S374" s="899"/>
      <c r="T374" s="447"/>
      <c r="U374" s="560"/>
      <c r="V374" s="690" t="str">
        <f>IF(T374&gt;0,W374*U374," ")</f>
        <v xml:space="preserve"> </v>
      </c>
      <c r="W374" s="691" t="str">
        <f>IF(T374&gt;0,(VLOOKUP(T374,'Lookup Ready-reckoner'!$B$5:$E$1007,4))," ")</f>
        <v xml:space="preserve"> </v>
      </c>
      <c r="X374" s="364"/>
      <c r="Y374" s="363"/>
      <c r="Z374" s="363"/>
      <c r="AA374"/>
      <c r="AB374"/>
      <c r="AC374"/>
      <c r="AD374"/>
    </row>
    <row r="375" spans="17:30" ht="12.75" customHeight="1" thickBot="1">
      <c r="Q375" s="364"/>
      <c r="R375" s="692" t="s">
        <v>839</v>
      </c>
      <c r="S375" s="693"/>
      <c r="T375" s="693"/>
      <c r="U375" s="701">
        <f>IF(T373&gt;0,(VLOOKUP(V375,'Lookup Ready-reckoner'!$L$5:$M$1207,2))," ")</f>
        <v>85.1</v>
      </c>
      <c r="V375" s="695">
        <f>IF(U373&gt;0,(SUM(V373:V374))," ")</f>
        <v>103.74999999999997</v>
      </c>
      <c r="W375" s="696"/>
      <c r="X375" s="364"/>
      <c r="Y375" s="363"/>
      <c r="Z375" s="363"/>
      <c r="AA375"/>
      <c r="AB375"/>
      <c r="AC375"/>
      <c r="AD375"/>
    </row>
    <row r="376" spans="17:30" ht="12.75" customHeight="1">
      <c r="Q376" s="364"/>
      <c r="R376" s="363"/>
      <c r="S376" s="363"/>
      <c r="T376" s="363"/>
      <c r="U376" s="363"/>
      <c r="V376" s="363"/>
      <c r="W376" s="363"/>
      <c r="X376" s="364"/>
      <c r="Y376" s="364"/>
      <c r="Z376" s="364"/>
      <c r="AA376"/>
      <c r="AB376"/>
      <c r="AC376"/>
      <c r="AD376"/>
    </row>
    <row r="377" spans="17:30" ht="12.75" customHeight="1">
      <c r="Q377" s="364"/>
      <c r="R377" s="913" t="str">
        <f>U306</f>
        <v>Sulzer ADDS</v>
      </c>
      <c r="S377" s="914"/>
      <c r="T377" s="914"/>
      <c r="U377" s="914"/>
      <c r="V377" s="914"/>
      <c r="W377" s="914"/>
      <c r="X377" s="364"/>
      <c r="Y377" s="363"/>
      <c r="Z377" s="363"/>
      <c r="AA377"/>
      <c r="AB377"/>
      <c r="AC377"/>
      <c r="AD377"/>
    </row>
    <row r="378" spans="17:30" ht="12.75" customHeight="1" thickBot="1">
      <c r="Q378" s="364"/>
      <c r="R378" s="910" t="s">
        <v>205</v>
      </c>
      <c r="S378" s="911"/>
      <c r="T378" s="911"/>
      <c r="U378" s="911"/>
      <c r="V378" s="911"/>
      <c r="W378" s="912"/>
      <c r="X378" s="364"/>
      <c r="Y378" s="363"/>
      <c r="Z378" s="363"/>
      <c r="AA378"/>
      <c r="AB378"/>
      <c r="AC378"/>
      <c r="AD378"/>
    </row>
    <row r="379" spans="17:30" ht="12.75" customHeight="1" thickBot="1">
      <c r="Q379" s="364"/>
      <c r="R379" s="686" t="s">
        <v>59</v>
      </c>
      <c r="S379" s="577"/>
      <c r="T379" s="687"/>
      <c r="U379" s="687"/>
      <c r="V379" s="687"/>
      <c r="W379" s="688"/>
      <c r="X379" s="364"/>
      <c r="Y379" s="363"/>
      <c r="Z379" s="363"/>
      <c r="AA379"/>
      <c r="AB379"/>
      <c r="AC379"/>
      <c r="AD379"/>
    </row>
    <row r="380" spans="17:30" ht="12.75" customHeight="1">
      <c r="Q380" s="364"/>
      <c r="R380" s="895" t="s">
        <v>845</v>
      </c>
      <c r="S380" s="896"/>
      <c r="T380" s="900" t="s">
        <v>835</v>
      </c>
      <c r="U380" s="900" t="s">
        <v>836</v>
      </c>
      <c r="V380" s="900" t="s">
        <v>837</v>
      </c>
      <c r="W380" s="902" t="s">
        <v>838</v>
      </c>
      <c r="X380" s="364"/>
      <c r="Y380" s="363"/>
      <c r="Z380" s="363"/>
      <c r="AA380"/>
      <c r="AB380"/>
      <c r="AC380"/>
      <c r="AD380"/>
    </row>
    <row r="381" spans="17:30" ht="12.75" customHeight="1">
      <c r="Q381" s="364"/>
      <c r="R381" s="892"/>
      <c r="S381" s="897"/>
      <c r="T381" s="904"/>
      <c r="U381" s="904"/>
      <c r="V381" s="904"/>
      <c r="W381" s="905"/>
      <c r="X381" s="364"/>
      <c r="Y381" s="363"/>
      <c r="Z381" s="363"/>
      <c r="AA381"/>
      <c r="AB381"/>
      <c r="AC381"/>
      <c r="AD381"/>
    </row>
    <row r="382" spans="17:30" ht="12.75" customHeight="1">
      <c r="Q382" s="364"/>
      <c r="R382" s="892"/>
      <c r="S382" s="897"/>
      <c r="T382" s="901"/>
      <c r="U382" s="901"/>
      <c r="V382" s="901"/>
      <c r="W382" s="903"/>
      <c r="X382" s="364"/>
      <c r="Y382" s="363"/>
      <c r="Z382" s="363"/>
      <c r="AA382"/>
      <c r="AB382"/>
      <c r="AC382"/>
      <c r="AD382"/>
    </row>
    <row r="383" spans="17:30" ht="12.75" customHeight="1">
      <c r="Q383" s="364"/>
      <c r="R383" s="892"/>
      <c r="S383" s="897"/>
      <c r="T383" s="702">
        <f>W69</f>
        <v>109</v>
      </c>
      <c r="U383" s="560">
        <f>W62</f>
        <v>1.7391304347826084</v>
      </c>
      <c r="V383" s="690">
        <f>IF(T383&gt;0,W383*U383," ")</f>
        <v>5565.2173913043471</v>
      </c>
      <c r="W383" s="691">
        <f>IF(T383&gt;0,(VLOOKUP(T383,'Lookup Ready-reckoner'!$B$5:$E$1207,4))," ")</f>
        <v>3200</v>
      </c>
      <c r="X383" s="364"/>
      <c r="Y383" s="363"/>
      <c r="Z383" s="363"/>
      <c r="AA383"/>
      <c r="AB383"/>
      <c r="AC383"/>
      <c r="AD383"/>
    </row>
    <row r="384" spans="17:30" ht="12.75" customHeight="1">
      <c r="Q384" s="364"/>
      <c r="R384" s="898"/>
      <c r="S384" s="899"/>
      <c r="T384" s="447"/>
      <c r="U384" s="560"/>
      <c r="V384" s="690" t="str">
        <f>IF(T384&gt;0,W384*U384," ")</f>
        <v xml:space="preserve"> </v>
      </c>
      <c r="W384" s="691" t="str">
        <f>IF(T384&gt;0,(VLOOKUP(T384,'Lookup Ready-reckoner'!$B$5:$E$1007,4))," ")</f>
        <v xml:space="preserve"> </v>
      </c>
      <c r="X384" s="364"/>
      <c r="Y384" s="363"/>
      <c r="Z384" s="363"/>
      <c r="AA384"/>
      <c r="AB384"/>
      <c r="AC384"/>
      <c r="AD384"/>
    </row>
    <row r="385" spans="17:30" ht="12.75" customHeight="1" thickBot="1">
      <c r="Q385" s="364"/>
      <c r="R385" s="692" t="s">
        <v>839</v>
      </c>
      <c r="S385" s="693"/>
      <c r="T385" s="693"/>
      <c r="U385" s="703">
        <f>IF(T383&gt;0,(VLOOKUP(V385,'Lookup Ready-reckoner'!$L$5:$M$1207,2))," ")</f>
        <v>102.4</v>
      </c>
      <c r="V385" s="695">
        <f>IF(U383&gt;0,(SUM(V383:V384))," ")</f>
        <v>5565.2173913043471</v>
      </c>
      <c r="W385" s="696"/>
      <c r="X385" s="364"/>
      <c r="Y385" s="363"/>
      <c r="Z385" s="363"/>
      <c r="AA385"/>
      <c r="AB385"/>
      <c r="AC385"/>
      <c r="AD385"/>
    </row>
    <row r="386" spans="17:30" ht="12.75" customHeight="1" thickBot="1">
      <c r="Q386" s="364"/>
      <c r="R386" s="892"/>
      <c r="S386" s="893"/>
      <c r="T386" s="893"/>
      <c r="U386" s="893"/>
      <c r="V386" s="893"/>
      <c r="W386" s="894"/>
      <c r="X386" s="364"/>
      <c r="Y386" s="363"/>
      <c r="Z386" s="363"/>
      <c r="AA386"/>
      <c r="AB386"/>
      <c r="AC386"/>
      <c r="AD386"/>
    </row>
    <row r="387" spans="17:30" ht="12.75" customHeight="1">
      <c r="Q387" s="364"/>
      <c r="R387" s="895" t="s">
        <v>886</v>
      </c>
      <c r="S387" s="896"/>
      <c r="T387" s="900" t="s">
        <v>835</v>
      </c>
      <c r="U387" s="900" t="s">
        <v>836</v>
      </c>
      <c r="V387" s="900" t="s">
        <v>837</v>
      </c>
      <c r="W387" s="902" t="s">
        <v>838</v>
      </c>
      <c r="X387" s="364"/>
      <c r="Y387" s="363"/>
      <c r="Z387" s="363"/>
      <c r="AA387"/>
      <c r="AB387"/>
      <c r="AC387"/>
      <c r="AD387"/>
    </row>
    <row r="388" spans="17:30" ht="12.75" customHeight="1">
      <c r="Q388" s="364"/>
      <c r="R388" s="892"/>
      <c r="S388" s="897"/>
      <c r="T388" s="901"/>
      <c r="U388" s="901"/>
      <c r="V388" s="901"/>
      <c r="W388" s="903"/>
      <c r="X388" s="364"/>
      <c r="Y388" s="363"/>
      <c r="Z388" s="363"/>
      <c r="AA388"/>
      <c r="AB388"/>
      <c r="AC388"/>
      <c r="AD388"/>
    </row>
    <row r="389" spans="17:30" ht="12.75" customHeight="1">
      <c r="Q389" s="364"/>
      <c r="R389" s="892"/>
      <c r="S389" s="897"/>
      <c r="T389" s="702">
        <f>T383*(1-0.0178*2)</f>
        <v>105.11960000000001</v>
      </c>
      <c r="U389" s="560">
        <f>U383</f>
        <v>1.7391304347826084</v>
      </c>
      <c r="V389" s="690">
        <f>IF(T389&gt;0,W389*U389," ")</f>
        <v>2234.782608695652</v>
      </c>
      <c r="W389" s="691">
        <f>IF(T389&gt;0,(VLOOKUP(T389,'Lookup Ready-reckoner'!$B$5:$E$1207,4))," ")</f>
        <v>1285</v>
      </c>
      <c r="X389" s="364"/>
      <c r="Y389" s="363"/>
      <c r="Z389" s="363"/>
      <c r="AA389"/>
      <c r="AB389"/>
      <c r="AC389"/>
      <c r="AD389"/>
    </row>
    <row r="390" spans="17:30" ht="12.75" customHeight="1">
      <c r="Q390" s="364"/>
      <c r="R390" s="898"/>
      <c r="S390" s="899"/>
      <c r="T390" s="447"/>
      <c r="U390" s="560"/>
      <c r="V390" s="690" t="str">
        <f>IF(T390&gt;0,W390*U390," ")</f>
        <v xml:space="preserve"> </v>
      </c>
      <c r="W390" s="691" t="str">
        <f>IF(T390&gt;0,(VLOOKUP(T390,'Lookup Ready-reckoner'!$B$5:$E$1007,4))," ")</f>
        <v xml:space="preserve"> </v>
      </c>
      <c r="X390" s="364"/>
      <c r="Y390" s="363"/>
      <c r="Z390" s="363"/>
      <c r="AA390"/>
      <c r="AB390"/>
      <c r="AC390"/>
      <c r="AD390"/>
    </row>
    <row r="391" spans="17:30" ht="12.75" customHeight="1" thickBot="1">
      <c r="Q391" s="364"/>
      <c r="R391" s="692" t="s">
        <v>839</v>
      </c>
      <c r="S391" s="693"/>
      <c r="T391" s="693"/>
      <c r="U391" s="703">
        <f>IF(T389&gt;0,(VLOOKUP(V391,'Lookup Ready-reckoner'!$L$5:$M$1207,2))," ")</f>
        <v>98.45</v>
      </c>
      <c r="V391" s="695">
        <f>IF(U389&gt;0,(SUM(V389:V390))," ")</f>
        <v>2234.782608695652</v>
      </c>
      <c r="W391" s="696"/>
      <c r="X391" s="364"/>
      <c r="Y391" s="363"/>
      <c r="Z391" s="363"/>
      <c r="AA391"/>
      <c r="AB391"/>
      <c r="AC391"/>
      <c r="AD391"/>
    </row>
    <row r="392" spans="17:30" ht="12.75" customHeight="1">
      <c r="Q392" s="364"/>
      <c r="R392" s="697"/>
      <c r="S392" s="687"/>
      <c r="T392" s="687"/>
      <c r="U392" s="372"/>
      <c r="V392" s="374"/>
      <c r="W392" s="688"/>
      <c r="X392" s="364"/>
      <c r="Y392" s="363"/>
      <c r="Z392" s="363"/>
      <c r="AA392"/>
      <c r="AB392"/>
      <c r="AC392"/>
      <c r="AD392"/>
    </row>
    <row r="393" spans="17:30" ht="12.75" customHeight="1" thickBot="1">
      <c r="Q393" s="364"/>
      <c r="R393" s="686" t="s">
        <v>60</v>
      </c>
      <c r="S393" s="577"/>
      <c r="T393" s="577"/>
      <c r="U393" s="577"/>
      <c r="V393" s="577"/>
      <c r="W393" s="698"/>
      <c r="X393" s="364"/>
      <c r="Y393" s="363"/>
      <c r="Z393" s="363"/>
      <c r="AA393"/>
      <c r="AB393"/>
      <c r="AC393"/>
      <c r="AD393"/>
    </row>
    <row r="394" spans="17:30" ht="12.75" customHeight="1">
      <c r="Q394" s="364"/>
      <c r="R394" s="895" t="s">
        <v>845</v>
      </c>
      <c r="S394" s="896"/>
      <c r="T394" s="900" t="s">
        <v>835</v>
      </c>
      <c r="U394" s="900" t="s">
        <v>836</v>
      </c>
      <c r="V394" s="900" t="s">
        <v>837</v>
      </c>
      <c r="W394" s="902" t="s">
        <v>838</v>
      </c>
      <c r="X394" s="364"/>
      <c r="Y394" s="363"/>
      <c r="Z394" s="363"/>
      <c r="AA394"/>
      <c r="AB394"/>
      <c r="AC394"/>
      <c r="AD394"/>
    </row>
    <row r="395" spans="17:30" ht="12.75" customHeight="1">
      <c r="Q395" s="364"/>
      <c r="R395" s="892"/>
      <c r="S395" s="897"/>
      <c r="T395" s="901"/>
      <c r="U395" s="901"/>
      <c r="V395" s="901"/>
      <c r="W395" s="903"/>
      <c r="X395" s="364"/>
      <c r="Y395" s="363"/>
      <c r="Z395" s="363"/>
      <c r="AA395"/>
      <c r="AB395"/>
      <c r="AC395"/>
      <c r="AD395"/>
    </row>
    <row r="396" spans="17:30" ht="12.75" customHeight="1">
      <c r="Q396" s="364"/>
      <c r="R396" s="892"/>
      <c r="S396" s="897"/>
      <c r="T396" s="702">
        <f>T383-PPE!$I$15</f>
        <v>96</v>
      </c>
      <c r="U396" s="560">
        <f>U389</f>
        <v>1.7391304347826084</v>
      </c>
      <c r="V396" s="690">
        <f>IF(T396&gt;0,W396*U396," ")</f>
        <v>271.73913043478257</v>
      </c>
      <c r="W396" s="691">
        <f>IF(T396&gt;0,(VLOOKUP(T396,'Lookup Ready-reckoner'!$B$5:$E$1207,4))," ")</f>
        <v>156.25</v>
      </c>
      <c r="X396" s="364"/>
      <c r="Y396" s="363"/>
      <c r="Z396" s="363"/>
      <c r="AA396"/>
      <c r="AB396"/>
      <c r="AC396"/>
      <c r="AD396"/>
    </row>
    <row r="397" spans="17:30" ht="12.75" customHeight="1">
      <c r="Q397" s="364"/>
      <c r="R397" s="898"/>
      <c r="S397" s="899"/>
      <c r="T397" s="447"/>
      <c r="U397" s="560"/>
      <c r="V397" s="690" t="str">
        <f>IF(T397&gt;0,W397*U397," ")</f>
        <v xml:space="preserve"> </v>
      </c>
      <c r="W397" s="691" t="str">
        <f>IF(T397&gt;0,(VLOOKUP(T397,'Lookup Ready-reckoner'!$B$5:$E$1007,4))," ")</f>
        <v xml:space="preserve"> </v>
      </c>
      <c r="X397" s="364"/>
      <c r="Y397" s="363"/>
      <c r="Z397" s="363"/>
      <c r="AA397"/>
      <c r="AB397"/>
      <c r="AC397"/>
      <c r="AD397"/>
    </row>
    <row r="398" spans="17:30" ht="12.75" customHeight="1" thickBot="1">
      <c r="Q398" s="364"/>
      <c r="R398" s="692" t="s">
        <v>839</v>
      </c>
      <c r="S398" s="693"/>
      <c r="T398" s="693"/>
      <c r="U398" s="703">
        <f>IF(T396&gt;0,(VLOOKUP(V398,'Lookup Ready-reckoner'!$L$5:$M$1207,2))," ")</f>
        <v>89.3</v>
      </c>
      <c r="V398" s="695">
        <f>IF(U396&gt;0,(SUM(V396:V397))," ")</f>
        <v>271.73913043478257</v>
      </c>
      <c r="W398" s="696"/>
      <c r="X398" s="364"/>
      <c r="Y398" s="363"/>
      <c r="Z398" s="363"/>
      <c r="AA398"/>
      <c r="AB398"/>
      <c r="AC398"/>
      <c r="AD398"/>
    </row>
    <row r="399" spans="17:30" ht="12.75" customHeight="1" thickBot="1">
      <c r="Q399" s="364"/>
      <c r="R399" s="892"/>
      <c r="S399" s="893"/>
      <c r="T399" s="893"/>
      <c r="U399" s="893"/>
      <c r="V399" s="893"/>
      <c r="W399" s="894"/>
      <c r="X399" s="364"/>
      <c r="Y399" s="363"/>
      <c r="Z399" s="363"/>
      <c r="AA399"/>
      <c r="AB399"/>
      <c r="AC399"/>
      <c r="AD399"/>
    </row>
    <row r="400" spans="17:30" ht="12.75" customHeight="1">
      <c r="Q400" s="364"/>
      <c r="R400" s="895" t="s">
        <v>886</v>
      </c>
      <c r="S400" s="896"/>
      <c r="T400" s="900" t="s">
        <v>835</v>
      </c>
      <c r="U400" s="900" t="s">
        <v>836</v>
      </c>
      <c r="V400" s="900" t="s">
        <v>837</v>
      </c>
      <c r="W400" s="902" t="s">
        <v>838</v>
      </c>
      <c r="X400" s="364"/>
      <c r="Y400" s="363"/>
      <c r="Z400" s="363"/>
      <c r="AA400"/>
      <c r="AB400"/>
      <c r="AC400"/>
      <c r="AD400"/>
    </row>
    <row r="401" spans="17:30" ht="12.75" customHeight="1">
      <c r="Q401" s="364"/>
      <c r="R401" s="892"/>
      <c r="S401" s="897"/>
      <c r="T401" s="901"/>
      <c r="U401" s="901"/>
      <c r="V401" s="901"/>
      <c r="W401" s="903"/>
      <c r="X401" s="364"/>
      <c r="Y401" s="363"/>
      <c r="Z401" s="363"/>
      <c r="AA401"/>
      <c r="AB401"/>
      <c r="AC401"/>
      <c r="AD401"/>
    </row>
    <row r="402" spans="17:30" ht="12.75" customHeight="1">
      <c r="Q402" s="364"/>
      <c r="R402" s="892"/>
      <c r="S402" s="897"/>
      <c r="T402" s="702">
        <f>T389-PPE!$I$15</f>
        <v>92.119600000000005</v>
      </c>
      <c r="U402" s="560">
        <f>U396</f>
        <v>1.7391304347826084</v>
      </c>
      <c r="V402" s="690">
        <f>IF(T402&gt;0,W402*U402," ")</f>
        <v>111.52173913043477</v>
      </c>
      <c r="W402" s="691">
        <f>IF(T402&gt;0,(VLOOKUP(T402,'Lookup Ready-reckoner'!$B$5:$E$1207,4))," ")</f>
        <v>64.125</v>
      </c>
      <c r="X402" s="364"/>
      <c r="Y402" s="363"/>
      <c r="Z402" s="363"/>
      <c r="AA402"/>
      <c r="AB402"/>
      <c r="AC402"/>
      <c r="AD402"/>
    </row>
    <row r="403" spans="17:30" ht="12.75" customHeight="1">
      <c r="Q403" s="364"/>
      <c r="R403" s="898"/>
      <c r="S403" s="899"/>
      <c r="T403" s="447"/>
      <c r="U403" s="560"/>
      <c r="V403" s="690" t="str">
        <f>IF(T403&gt;0,W403*U403," ")</f>
        <v xml:space="preserve"> </v>
      </c>
      <c r="W403" s="691" t="str">
        <f>IF(T403&gt;0,(VLOOKUP(T403,'Lookup Ready-reckoner'!$B$5:$E$1007,4))," ")</f>
        <v xml:space="preserve"> </v>
      </c>
      <c r="X403" s="364"/>
      <c r="Y403" s="363"/>
      <c r="Z403" s="363"/>
      <c r="AA403"/>
      <c r="AB403"/>
      <c r="AC403"/>
      <c r="AD403"/>
    </row>
    <row r="404" spans="17:30" ht="12.75" customHeight="1" thickBot="1">
      <c r="Q404" s="364"/>
      <c r="R404" s="692" t="s">
        <v>839</v>
      </c>
      <c r="S404" s="693"/>
      <c r="T404" s="693"/>
      <c r="U404" s="703">
        <f>IF(T402&gt;0,(VLOOKUP(V404,'Lookup Ready-reckoner'!$L$5:$M$1207,2))," ")</f>
        <v>85.45</v>
      </c>
      <c r="V404" s="695">
        <f>IF(U402&gt;0,(SUM(V402:V403))," ")</f>
        <v>111.52173913043477</v>
      </c>
      <c r="W404" s="696"/>
      <c r="X404" s="364"/>
      <c r="Y404" s="363"/>
      <c r="Z404" s="363"/>
      <c r="AA404"/>
      <c r="AB404"/>
      <c r="AC404"/>
      <c r="AD404"/>
    </row>
    <row r="405" spans="17:30" ht="12.75" customHeight="1">
      <c r="Q405" s="364"/>
      <c r="R405" s="363"/>
      <c r="S405" s="363"/>
      <c r="T405" s="363"/>
      <c r="U405" s="363"/>
      <c r="V405" s="363"/>
      <c r="W405" s="363"/>
      <c r="X405" s="364"/>
      <c r="Y405" s="364"/>
      <c r="Z405" s="364"/>
      <c r="AA405"/>
      <c r="AB405"/>
      <c r="AC405"/>
      <c r="AD405"/>
    </row>
    <row r="406" spans="17:30" ht="12.75" customHeight="1">
      <c r="Q406" s="364"/>
      <c r="R406" s="909" t="str">
        <f>V306</f>
        <v xml:space="preserve">Hilti TE MD20 </v>
      </c>
      <c r="S406" s="909"/>
      <c r="T406" s="909"/>
      <c r="U406" s="909"/>
      <c r="V406" s="909"/>
      <c r="W406" s="909"/>
      <c r="X406" s="364"/>
      <c r="Y406" s="364"/>
      <c r="Z406" s="364"/>
      <c r="AA406"/>
      <c r="AB406"/>
      <c r="AC406"/>
      <c r="AD406"/>
    </row>
    <row r="407" spans="17:30" ht="12.75" customHeight="1" thickBot="1">
      <c r="Q407" s="364"/>
      <c r="R407" s="910" t="s">
        <v>205</v>
      </c>
      <c r="S407" s="911"/>
      <c r="T407" s="911"/>
      <c r="U407" s="911"/>
      <c r="V407" s="911"/>
      <c r="W407" s="912"/>
      <c r="X407" s="364"/>
      <c r="Y407" s="364"/>
      <c r="Z407" s="364"/>
      <c r="AA407"/>
      <c r="AB407"/>
      <c r="AC407"/>
      <c r="AD407"/>
    </row>
    <row r="408" spans="17:30" ht="12.75" customHeight="1" thickBot="1">
      <c r="Q408" s="364"/>
      <c r="R408" s="686" t="s">
        <v>59</v>
      </c>
      <c r="S408" s="577"/>
      <c r="T408" s="687"/>
      <c r="U408" s="687"/>
      <c r="V408" s="687"/>
      <c r="W408" s="688"/>
      <c r="X408" s="364"/>
      <c r="Y408" s="364"/>
      <c r="Z408" s="364"/>
      <c r="AA408"/>
      <c r="AB408"/>
      <c r="AC408"/>
      <c r="AD408"/>
    </row>
    <row r="409" spans="17:30" ht="12.75" customHeight="1">
      <c r="Q409" s="364"/>
      <c r="R409" s="895" t="s">
        <v>845</v>
      </c>
      <c r="S409" s="896"/>
      <c r="T409" s="900" t="s">
        <v>835</v>
      </c>
      <c r="U409" s="900" t="s">
        <v>836</v>
      </c>
      <c r="V409" s="900" t="s">
        <v>837</v>
      </c>
      <c r="W409" s="902" t="s">
        <v>838</v>
      </c>
      <c r="X409" s="364"/>
      <c r="Y409" s="364"/>
      <c r="Z409" s="364"/>
      <c r="AA409"/>
      <c r="AB409"/>
      <c r="AC409"/>
      <c r="AD409"/>
    </row>
    <row r="410" spans="17:30" ht="12.75" customHeight="1">
      <c r="Q410" s="364"/>
      <c r="R410" s="892"/>
      <c r="S410" s="897"/>
      <c r="T410" s="904"/>
      <c r="U410" s="904"/>
      <c r="V410" s="904"/>
      <c r="W410" s="905"/>
      <c r="X410" s="364"/>
      <c r="Y410" s="364"/>
      <c r="Z410" s="364"/>
      <c r="AA410"/>
      <c r="AB410"/>
      <c r="AC410"/>
      <c r="AD410"/>
    </row>
    <row r="411" spans="17:30" ht="12.75" customHeight="1">
      <c r="Q411" s="364"/>
      <c r="R411" s="892"/>
      <c r="S411" s="897"/>
      <c r="T411" s="901"/>
      <c r="U411" s="901"/>
      <c r="V411" s="901"/>
      <c r="W411" s="903"/>
      <c r="X411" s="364"/>
      <c r="Y411" s="364"/>
      <c r="Z411" s="364"/>
      <c r="AA411"/>
      <c r="AB411"/>
      <c r="AC411"/>
      <c r="AD411"/>
    </row>
    <row r="412" spans="17:30" ht="12.75" customHeight="1">
      <c r="Q412" s="364"/>
      <c r="R412" s="892"/>
      <c r="S412" s="897"/>
      <c r="T412" s="704">
        <f>U69</f>
        <v>102</v>
      </c>
      <c r="U412" s="560">
        <f>U62</f>
        <v>2.6666666666666665</v>
      </c>
      <c r="V412" s="690">
        <f>IF(T412&gt;0,W412*U412," ")</f>
        <v>1666.6666666666665</v>
      </c>
      <c r="W412" s="691">
        <f>IF(T412&gt;0,(VLOOKUP(T412,'Lookup Ready-reckoner'!$B$5:$E$1207,4))," ")</f>
        <v>625</v>
      </c>
      <c r="X412" s="364"/>
      <c r="Y412" s="364"/>
      <c r="Z412" s="364"/>
      <c r="AA412"/>
      <c r="AB412"/>
      <c r="AC412"/>
      <c r="AD412"/>
    </row>
    <row r="413" spans="17:30" ht="12.75" customHeight="1">
      <c r="Q413" s="364"/>
      <c r="R413" s="898"/>
      <c r="S413" s="899"/>
      <c r="T413" s="447"/>
      <c r="U413" s="560"/>
      <c r="V413" s="690" t="str">
        <f>IF(T413&gt;0,W413*U413," ")</f>
        <v xml:space="preserve"> </v>
      </c>
      <c r="W413" s="691" t="str">
        <f>IF(T413&gt;0,(VLOOKUP(T413,'Lookup Ready-reckoner'!$B$5:$E$1007,4))," ")</f>
        <v xml:space="preserve"> </v>
      </c>
      <c r="X413" s="364"/>
      <c r="Y413" s="364"/>
      <c r="Z413" s="364"/>
      <c r="AA413"/>
      <c r="AB413"/>
      <c r="AC413"/>
      <c r="AD413"/>
    </row>
    <row r="414" spans="17:30" ht="12.75" customHeight="1" thickBot="1">
      <c r="Q414" s="364"/>
      <c r="R414" s="692" t="s">
        <v>839</v>
      </c>
      <c r="S414" s="693"/>
      <c r="T414" s="693"/>
      <c r="U414" s="705">
        <f>IF(T412&gt;0,(VLOOKUP(V414,'Lookup Ready-reckoner'!$L$5:$M$1207,2))," ")</f>
        <v>97.15</v>
      </c>
      <c r="V414" s="695">
        <f>IF(U412&gt;0,(SUM(V412:V413))," ")</f>
        <v>1666.6666666666665</v>
      </c>
      <c r="W414" s="696"/>
      <c r="X414" s="364"/>
      <c r="Y414" s="364"/>
      <c r="Z414" s="364"/>
      <c r="AA414"/>
      <c r="AB414"/>
      <c r="AC414"/>
      <c r="AD414"/>
    </row>
    <row r="415" spans="17:30" ht="12.75" customHeight="1" thickBot="1">
      <c r="Q415" s="364"/>
      <c r="R415" s="906"/>
      <c r="S415" s="907"/>
      <c r="T415" s="907"/>
      <c r="U415" s="907"/>
      <c r="V415" s="907"/>
      <c r="W415" s="908"/>
      <c r="X415" s="364"/>
      <c r="Y415" s="364"/>
      <c r="Z415" s="364"/>
      <c r="AA415"/>
      <c r="AB415"/>
      <c r="AC415"/>
      <c r="AD415"/>
    </row>
    <row r="416" spans="17:30" ht="12.75" customHeight="1">
      <c r="Q416" s="364"/>
      <c r="R416" s="895" t="s">
        <v>886</v>
      </c>
      <c r="S416" s="896"/>
      <c r="T416" s="900" t="s">
        <v>835</v>
      </c>
      <c r="U416" s="900" t="s">
        <v>836</v>
      </c>
      <c r="V416" s="900" t="s">
        <v>837</v>
      </c>
      <c r="W416" s="902" t="s">
        <v>838</v>
      </c>
      <c r="X416" s="364"/>
      <c r="Y416" s="364"/>
      <c r="Z416" s="364"/>
      <c r="AA416"/>
      <c r="AB416"/>
      <c r="AC416"/>
      <c r="AD416"/>
    </row>
    <row r="417" spans="17:30" ht="12.75" customHeight="1">
      <c r="Q417" s="364"/>
      <c r="R417" s="892"/>
      <c r="S417" s="897"/>
      <c r="T417" s="901"/>
      <c r="U417" s="901"/>
      <c r="V417" s="901"/>
      <c r="W417" s="903"/>
      <c r="X417" s="364"/>
      <c r="Y417" s="364"/>
      <c r="Z417" s="364"/>
      <c r="AA417"/>
      <c r="AB417"/>
      <c r="AC417"/>
      <c r="AD417"/>
    </row>
    <row r="418" spans="17:30" ht="12.75" customHeight="1">
      <c r="Q418" s="364"/>
      <c r="R418" s="892"/>
      <c r="S418" s="897"/>
      <c r="T418" s="704">
        <f>T412*(1-0.0178*2)</f>
        <v>98.368800000000007</v>
      </c>
      <c r="U418" s="560">
        <f>U412</f>
        <v>2.6666666666666665</v>
      </c>
      <c r="V418" s="690">
        <f>IF(T418&gt;0,W418*U418," ")</f>
        <v>725</v>
      </c>
      <c r="W418" s="691">
        <f>IF(T418&gt;0,(VLOOKUP(T418,'Lookup Ready-reckoner'!$B$5:$E$1207,4))," ")</f>
        <v>271.875</v>
      </c>
      <c r="X418" s="364"/>
      <c r="Y418" s="364"/>
      <c r="Z418" s="364"/>
      <c r="AA418"/>
      <c r="AB418"/>
      <c r="AC418"/>
      <c r="AD418"/>
    </row>
    <row r="419" spans="17:30" ht="12.75" customHeight="1">
      <c r="Q419" s="364"/>
      <c r="R419" s="898"/>
      <c r="S419" s="899"/>
      <c r="T419" s="447"/>
      <c r="U419" s="560"/>
      <c r="V419" s="690" t="str">
        <f>IF(T419&gt;0,W419*U419," ")</f>
        <v xml:space="preserve"> </v>
      </c>
      <c r="W419" s="691" t="str">
        <f>IF(T419&gt;0,(VLOOKUP(T419,'Lookup Ready-reckoner'!$B$5:$E$1007,4))," ")</f>
        <v xml:space="preserve"> </v>
      </c>
      <c r="X419" s="364"/>
      <c r="Y419" s="364"/>
      <c r="Z419" s="364"/>
      <c r="AA419"/>
      <c r="AB419"/>
      <c r="AC419"/>
      <c r="AD419"/>
    </row>
    <row r="420" spans="17:30" ht="12.75" customHeight="1" thickBot="1">
      <c r="Q420" s="364"/>
      <c r="R420" s="692" t="s">
        <v>839</v>
      </c>
      <c r="S420" s="693"/>
      <c r="T420" s="693"/>
      <c r="U420" s="705">
        <f>IF(T418&gt;0,(VLOOKUP(V420,'Lookup Ready-reckoner'!$L$5:$M$1207,2))," ")</f>
        <v>93.55</v>
      </c>
      <c r="V420" s="695">
        <f>IF(U418&gt;0,(SUM(V418:V419))," ")</f>
        <v>725</v>
      </c>
      <c r="W420" s="696"/>
      <c r="X420" s="364"/>
      <c r="Y420" s="364"/>
      <c r="Z420" s="364"/>
      <c r="AA420"/>
      <c r="AB420"/>
      <c r="AC420"/>
      <c r="AD420"/>
    </row>
    <row r="421" spans="17:30" ht="12.75" customHeight="1">
      <c r="Q421" s="364"/>
      <c r="R421" s="697"/>
      <c r="S421" s="687"/>
      <c r="T421" s="687"/>
      <c r="U421" s="372"/>
      <c r="V421" s="374"/>
      <c r="W421" s="688"/>
      <c r="X421" s="364"/>
      <c r="Y421" s="364"/>
      <c r="Z421" s="364"/>
      <c r="AA421"/>
      <c r="AB421"/>
      <c r="AC421"/>
      <c r="AD421"/>
    </row>
    <row r="422" spans="17:30" ht="12.75" customHeight="1" thickBot="1">
      <c r="Q422" s="364"/>
      <c r="R422" s="686" t="s">
        <v>60</v>
      </c>
      <c r="S422" s="577"/>
      <c r="T422" s="577"/>
      <c r="U422" s="577"/>
      <c r="V422" s="577"/>
      <c r="W422" s="698"/>
      <c r="X422" s="364"/>
      <c r="Y422" s="364"/>
      <c r="Z422" s="364"/>
      <c r="AA422"/>
      <c r="AB422"/>
      <c r="AC422"/>
      <c r="AD422"/>
    </row>
    <row r="423" spans="17:30" ht="12.75" customHeight="1">
      <c r="Q423" s="364"/>
      <c r="R423" s="895" t="s">
        <v>845</v>
      </c>
      <c r="S423" s="896"/>
      <c r="T423" s="900" t="s">
        <v>835</v>
      </c>
      <c r="U423" s="900" t="s">
        <v>836</v>
      </c>
      <c r="V423" s="900" t="s">
        <v>837</v>
      </c>
      <c r="W423" s="902" t="s">
        <v>838</v>
      </c>
      <c r="X423" s="364"/>
      <c r="Y423" s="364"/>
      <c r="Z423" s="364"/>
      <c r="AA423"/>
      <c r="AB423"/>
      <c r="AC423"/>
      <c r="AD423"/>
    </row>
    <row r="424" spans="17:30" ht="12.75" customHeight="1">
      <c r="Q424" s="364"/>
      <c r="R424" s="892"/>
      <c r="S424" s="897"/>
      <c r="T424" s="901"/>
      <c r="U424" s="901"/>
      <c r="V424" s="901"/>
      <c r="W424" s="903"/>
      <c r="X424" s="364"/>
      <c r="Y424" s="364"/>
      <c r="Z424" s="364"/>
      <c r="AA424"/>
      <c r="AB424"/>
      <c r="AC424"/>
      <c r="AD424"/>
    </row>
    <row r="425" spans="17:30" ht="12.75" customHeight="1">
      <c r="Q425" s="364"/>
      <c r="R425" s="892"/>
      <c r="S425" s="897"/>
      <c r="T425" s="704">
        <f>T412-PPE!$I$15</f>
        <v>89</v>
      </c>
      <c r="U425" s="560">
        <f>U418</f>
        <v>2.6666666666666665</v>
      </c>
      <c r="V425" s="690">
        <f>IF(T425&gt;0,W425*U425," ")</f>
        <v>83.333333333333329</v>
      </c>
      <c r="W425" s="691">
        <f>IF(T425&gt;0,(VLOOKUP(T425,'Lookup Ready-reckoner'!$B$5:$E$1207,4))," ")</f>
        <v>31.25</v>
      </c>
      <c r="X425" s="364"/>
      <c r="Y425" s="364"/>
      <c r="Z425" s="364"/>
      <c r="AA425"/>
      <c r="AB425"/>
      <c r="AC425"/>
      <c r="AD425"/>
    </row>
    <row r="426" spans="17:30" ht="12.75" customHeight="1">
      <c r="Q426" s="364"/>
      <c r="R426" s="898"/>
      <c r="S426" s="899"/>
      <c r="T426" s="447"/>
      <c r="U426" s="560"/>
      <c r="V426" s="690" t="str">
        <f>IF(T426&gt;0,W426*U426," ")</f>
        <v xml:space="preserve"> </v>
      </c>
      <c r="W426" s="691" t="str">
        <f>IF(T426&gt;0,(VLOOKUP(T426,'Lookup Ready-reckoner'!$B$5:$E$1007,4))," ")</f>
        <v xml:space="preserve"> </v>
      </c>
      <c r="X426" s="364"/>
      <c r="Y426" s="364"/>
      <c r="Z426" s="364"/>
      <c r="AA426"/>
      <c r="AB426"/>
      <c r="AC426"/>
      <c r="AD426"/>
    </row>
    <row r="427" spans="17:30" ht="12.75" customHeight="1" thickBot="1">
      <c r="Q427" s="364"/>
      <c r="R427" s="692" t="s">
        <v>839</v>
      </c>
      <c r="S427" s="693"/>
      <c r="T427" s="693"/>
      <c r="U427" s="705">
        <f>IF(T425&gt;0,(VLOOKUP(V427,'Lookup Ready-reckoner'!$L$5:$M$1207,2))," ")</f>
        <v>84.15</v>
      </c>
      <c r="V427" s="695">
        <f>IF(U425&gt;0,(SUM(V425:V426))," ")</f>
        <v>83.333333333333329</v>
      </c>
      <c r="W427" s="696"/>
      <c r="X427" s="364"/>
      <c r="Y427" s="364"/>
      <c r="Z427" s="364"/>
      <c r="AA427"/>
      <c r="AB427"/>
      <c r="AC427"/>
      <c r="AD427"/>
    </row>
    <row r="428" spans="17:30" ht="12.75" customHeight="1" thickBot="1">
      <c r="Q428" s="364"/>
      <c r="R428" s="892"/>
      <c r="S428" s="893"/>
      <c r="T428" s="893"/>
      <c r="U428" s="893"/>
      <c r="V428" s="893"/>
      <c r="W428" s="894"/>
      <c r="X428" s="364"/>
      <c r="Y428" s="364"/>
      <c r="Z428" s="364"/>
      <c r="AA428"/>
      <c r="AB428"/>
      <c r="AC428"/>
      <c r="AD428"/>
    </row>
    <row r="429" spans="17:30" ht="12.75" customHeight="1">
      <c r="Q429" s="364"/>
      <c r="R429" s="895" t="s">
        <v>886</v>
      </c>
      <c r="S429" s="896"/>
      <c r="T429" s="900" t="s">
        <v>835</v>
      </c>
      <c r="U429" s="900" t="s">
        <v>836</v>
      </c>
      <c r="V429" s="900" t="s">
        <v>837</v>
      </c>
      <c r="W429" s="902" t="s">
        <v>838</v>
      </c>
      <c r="X429" s="364"/>
      <c r="Y429" s="364"/>
      <c r="Z429" s="364"/>
      <c r="AA429"/>
      <c r="AB429"/>
      <c r="AC429"/>
      <c r="AD429"/>
    </row>
    <row r="430" spans="17:30" ht="12.75" customHeight="1">
      <c r="Q430" s="364"/>
      <c r="R430" s="892"/>
      <c r="S430" s="897"/>
      <c r="T430" s="901"/>
      <c r="U430" s="901"/>
      <c r="V430" s="901"/>
      <c r="W430" s="903"/>
      <c r="X430" s="364"/>
      <c r="Y430" s="364"/>
      <c r="Z430" s="364"/>
      <c r="AA430"/>
      <c r="AB430"/>
      <c r="AC430"/>
      <c r="AD430"/>
    </row>
    <row r="431" spans="17:30" ht="12.75" customHeight="1">
      <c r="Q431" s="364"/>
      <c r="R431" s="892"/>
      <c r="S431" s="897"/>
      <c r="T431" s="704">
        <f>T418-PPE!$I$15</f>
        <v>85.368800000000007</v>
      </c>
      <c r="U431" s="560">
        <f>U425</f>
        <v>2.6666666666666665</v>
      </c>
      <c r="V431" s="690">
        <f>IF(T431&gt;0,W431*U431," ")</f>
        <v>36.25</v>
      </c>
      <c r="W431" s="691">
        <f>IF(T431&gt;0,(VLOOKUP(T431,'Lookup Ready-reckoner'!$B$5:$E$1207,4))," ")</f>
        <v>13.59375</v>
      </c>
      <c r="X431" s="364"/>
      <c r="Y431" s="364"/>
      <c r="Z431" s="364"/>
      <c r="AA431"/>
      <c r="AB431"/>
      <c r="AC431"/>
      <c r="AD431"/>
    </row>
    <row r="432" spans="17:30" ht="12.75" customHeight="1">
      <c r="Q432" s="364"/>
      <c r="R432" s="898"/>
      <c r="S432" s="899"/>
      <c r="T432" s="447"/>
      <c r="U432" s="560"/>
      <c r="V432" s="690" t="str">
        <f>IF(T432&gt;0,W432*U432," ")</f>
        <v xml:space="preserve"> </v>
      </c>
      <c r="W432" s="691" t="str">
        <f>IF(T432&gt;0,(VLOOKUP(T432,'Lookup Ready-reckoner'!$B$5:$E$1007,4))," ")</f>
        <v xml:space="preserve"> </v>
      </c>
      <c r="X432" s="364"/>
      <c r="Y432" s="364"/>
      <c r="Z432" s="364"/>
      <c r="AA432"/>
      <c r="AB432"/>
      <c r="AC432"/>
      <c r="AD432"/>
    </row>
    <row r="433" spans="17:30" ht="12.75" customHeight="1" thickBot="1">
      <c r="Q433" s="364"/>
      <c r="R433" s="692" t="s">
        <v>839</v>
      </c>
      <c r="S433" s="693"/>
      <c r="T433" s="693"/>
      <c r="U433" s="705">
        <f>IF(T431&gt;0,(VLOOKUP(V433,'Lookup Ready-reckoner'!$L$5:$M$1207,2))," ")</f>
        <v>80.5</v>
      </c>
      <c r="V433" s="695">
        <f>IF(U431&gt;0,(SUM(V431:V432))," ")</f>
        <v>36.25</v>
      </c>
      <c r="W433" s="696"/>
      <c r="X433" s="364"/>
      <c r="Y433" s="364"/>
      <c r="Z433" s="364"/>
      <c r="AA433"/>
      <c r="AB433"/>
      <c r="AC433"/>
      <c r="AD433"/>
    </row>
    <row r="434" spans="17:30" ht="12.75" customHeight="1" thickBot="1">
      <c r="Q434" s="364"/>
      <c r="R434" s="364"/>
      <c r="S434" s="364"/>
      <c r="T434" s="364"/>
      <c r="U434" s="364"/>
      <c r="V434" s="364"/>
      <c r="W434" s="364"/>
      <c r="X434" s="364"/>
      <c r="Y434" s="364"/>
      <c r="Z434" s="364"/>
      <c r="AA434"/>
      <c r="AB434"/>
      <c r="AC434"/>
      <c r="AD434"/>
    </row>
    <row r="435" spans="17:30" ht="12.75" customHeight="1" thickTop="1">
      <c r="Q435" s="364"/>
      <c r="R435" s="916" t="s">
        <v>429</v>
      </c>
      <c r="S435" s="917"/>
      <c r="T435" s="917"/>
      <c r="U435" s="917"/>
      <c r="V435" s="917"/>
      <c r="W435" s="918"/>
      <c r="X435" s="364"/>
      <c r="Y435" s="364"/>
      <c r="Z435" s="364"/>
      <c r="AA435"/>
      <c r="AB435"/>
      <c r="AC435"/>
      <c r="AD435"/>
    </row>
    <row r="436" spans="17:30" ht="12.75" customHeight="1">
      <c r="Q436" s="364"/>
      <c r="R436" s="919"/>
      <c r="S436" s="920"/>
      <c r="T436" s="920"/>
      <c r="U436" s="920"/>
      <c r="V436" s="920"/>
      <c r="W436" s="921"/>
      <c r="X436" s="364"/>
      <c r="Y436" s="364"/>
      <c r="Z436" s="364"/>
      <c r="AA436"/>
      <c r="AB436"/>
      <c r="AC436"/>
      <c r="AD436"/>
    </row>
    <row r="437" spans="17:30" ht="12.75" customHeight="1" thickBot="1">
      <c r="Q437" s="364"/>
      <c r="R437" s="922"/>
      <c r="S437" s="923"/>
      <c r="T437" s="923"/>
      <c r="U437" s="923"/>
      <c r="V437" s="923"/>
      <c r="W437" s="924"/>
      <c r="X437" s="364"/>
      <c r="Y437" s="364"/>
      <c r="Z437" s="364"/>
      <c r="AA437"/>
      <c r="AB437"/>
      <c r="AC437"/>
      <c r="AD437"/>
    </row>
    <row r="438" spans="17:30" ht="12.75" customHeight="1" thickTop="1">
      <c r="Q438" s="364"/>
      <c r="R438" s="925" t="str">
        <f>R319</f>
        <v>Seco S215</v>
      </c>
      <c r="S438" s="925"/>
      <c r="T438" s="925"/>
      <c r="U438" s="925"/>
      <c r="V438" s="925"/>
      <c r="W438" s="925"/>
      <c r="X438" s="364"/>
      <c r="Y438" s="364"/>
      <c r="Z438" s="364"/>
      <c r="AA438"/>
      <c r="AB438"/>
      <c r="AC438"/>
      <c r="AD438"/>
    </row>
    <row r="439" spans="17:30" ht="12.75" customHeight="1" thickBot="1">
      <c r="Q439" s="364"/>
      <c r="R439" s="910" t="s">
        <v>205</v>
      </c>
      <c r="S439" s="911"/>
      <c r="T439" s="911"/>
      <c r="U439" s="911"/>
      <c r="V439" s="911"/>
      <c r="W439" s="912"/>
      <c r="X439" s="364"/>
      <c r="Y439" s="364"/>
      <c r="Z439" s="364"/>
      <c r="AA439"/>
      <c r="AB439"/>
      <c r="AC439"/>
      <c r="AD439"/>
    </row>
    <row r="440" spans="17:30" ht="12.75" customHeight="1" thickBot="1">
      <c r="Q440" s="364"/>
      <c r="R440" s="686" t="s">
        <v>59</v>
      </c>
      <c r="S440" s="577"/>
      <c r="T440" s="687"/>
      <c r="U440" s="687"/>
      <c r="V440" s="687"/>
      <c r="W440" s="688"/>
      <c r="X440" s="364"/>
      <c r="Y440" s="364"/>
      <c r="Z440" s="364"/>
      <c r="AA440"/>
      <c r="AB440"/>
      <c r="AC440"/>
      <c r="AD440"/>
    </row>
    <row r="441" spans="17:30" ht="12.75" customHeight="1">
      <c r="Q441" s="364"/>
      <c r="R441" s="895" t="s">
        <v>845</v>
      </c>
      <c r="S441" s="896"/>
      <c r="T441" s="900" t="s">
        <v>835</v>
      </c>
      <c r="U441" s="900" t="s">
        <v>836</v>
      </c>
      <c r="V441" s="900" t="s">
        <v>837</v>
      </c>
      <c r="W441" s="902" t="s">
        <v>838</v>
      </c>
      <c r="X441" s="364"/>
      <c r="Y441" s="364"/>
      <c r="Z441" s="364"/>
      <c r="AA441"/>
      <c r="AB441"/>
      <c r="AC441"/>
      <c r="AD441"/>
    </row>
    <row r="442" spans="17:30" ht="12.75" customHeight="1">
      <c r="Q442" s="364"/>
      <c r="R442" s="892"/>
      <c r="S442" s="897"/>
      <c r="T442" s="904"/>
      <c r="U442" s="904"/>
      <c r="V442" s="904"/>
      <c r="W442" s="905"/>
      <c r="X442" s="364"/>
      <c r="Y442" s="364"/>
      <c r="Z442" s="364"/>
      <c r="AA442"/>
      <c r="AB442"/>
      <c r="AC442"/>
      <c r="AD442"/>
    </row>
    <row r="443" spans="17:30" ht="12.75" customHeight="1">
      <c r="Q443" s="364"/>
      <c r="R443" s="892"/>
      <c r="S443" s="897"/>
      <c r="T443" s="901"/>
      <c r="U443" s="901"/>
      <c r="V443" s="901"/>
      <c r="W443" s="903"/>
      <c r="X443" s="364"/>
      <c r="Y443" s="364"/>
      <c r="Z443" s="364"/>
      <c r="AA443"/>
      <c r="AB443"/>
      <c r="AC443"/>
      <c r="AD443"/>
    </row>
    <row r="444" spans="17:30" ht="12.75" customHeight="1">
      <c r="Q444" s="364"/>
      <c r="R444" s="892"/>
      <c r="S444" s="897"/>
      <c r="T444" s="689">
        <f>X76</f>
        <v>122.02059991327964</v>
      </c>
      <c r="U444" s="560">
        <f>X62</f>
        <v>1.4285714285714284</v>
      </c>
      <c r="V444" s="690">
        <f>IF(T444&gt;0,W444*U444," ")</f>
        <v>79999.999999999985</v>
      </c>
      <c r="W444" s="691">
        <f>IF(T444&gt;0,(VLOOKUP(T444,'Lookup Ready-reckoner'!$B$5:$E$1207,4))," ")</f>
        <v>56000</v>
      </c>
      <c r="X444" s="364"/>
      <c r="Y444" s="364"/>
      <c r="Z444" s="364"/>
      <c r="AA444"/>
      <c r="AB444"/>
      <c r="AC444"/>
      <c r="AD444"/>
    </row>
    <row r="445" spans="17:30" ht="12.75" customHeight="1">
      <c r="Q445" s="364"/>
      <c r="R445" s="898"/>
      <c r="S445" s="899"/>
      <c r="T445" s="447"/>
      <c r="U445" s="560"/>
      <c r="V445" s="690" t="str">
        <f>IF(T445&gt;0,W445*U445," ")</f>
        <v xml:space="preserve"> </v>
      </c>
      <c r="W445" s="691" t="str">
        <f>IF(T445&gt;0,(VLOOKUP(T445,'Lookup Ready-reckoner'!$B$5:$E$1007,4))," ")</f>
        <v xml:space="preserve"> </v>
      </c>
      <c r="X445" s="364"/>
      <c r="Y445" s="364"/>
      <c r="Z445" s="364"/>
      <c r="AA445"/>
      <c r="AB445"/>
      <c r="AC445"/>
      <c r="AD445"/>
    </row>
    <row r="446" spans="17:30" ht="12.75" customHeight="1" thickBot="1">
      <c r="Q446" s="364"/>
      <c r="R446" s="692" t="s">
        <v>839</v>
      </c>
      <c r="S446" s="693"/>
      <c r="T446" s="693"/>
      <c r="U446" s="694">
        <f>IF(T444&gt;0,(VLOOKUP(V446,'Lookup Ready-reckoner'!$L$5:$M$1207,2))," ")</f>
        <v>113.95</v>
      </c>
      <c r="V446" s="695">
        <f>IF(U444&gt;0,(SUM(V444:V445))," ")</f>
        <v>79999.999999999985</v>
      </c>
      <c r="W446" s="696"/>
      <c r="X446" s="364"/>
      <c r="Y446" s="364"/>
      <c r="Z446" s="364"/>
      <c r="AA446"/>
      <c r="AB446"/>
      <c r="AC446"/>
      <c r="AD446"/>
    </row>
    <row r="447" spans="17:30" ht="12.75" customHeight="1" thickBot="1">
      <c r="Q447" s="364"/>
      <c r="R447" s="892"/>
      <c r="S447" s="893"/>
      <c r="T447" s="893"/>
      <c r="U447" s="893"/>
      <c r="V447" s="893"/>
      <c r="W447" s="894"/>
      <c r="X447" s="364"/>
      <c r="Y447" s="364"/>
      <c r="Z447" s="364"/>
      <c r="AA447"/>
      <c r="AB447"/>
      <c r="AC447"/>
      <c r="AD447"/>
    </row>
    <row r="448" spans="17:30" ht="12.75" customHeight="1">
      <c r="Q448" s="364"/>
      <c r="R448" s="895" t="s">
        <v>886</v>
      </c>
      <c r="S448" s="896"/>
      <c r="T448" s="900" t="s">
        <v>835</v>
      </c>
      <c r="U448" s="900" t="s">
        <v>836</v>
      </c>
      <c r="V448" s="900" t="s">
        <v>837</v>
      </c>
      <c r="W448" s="902" t="s">
        <v>838</v>
      </c>
      <c r="X448" s="364"/>
      <c r="Y448" s="364"/>
      <c r="Z448" s="364"/>
      <c r="AA448"/>
      <c r="AB448"/>
      <c r="AC448"/>
      <c r="AD448"/>
    </row>
    <row r="449" spans="17:30" ht="12.75" customHeight="1">
      <c r="Q449" s="364"/>
      <c r="R449" s="892"/>
      <c r="S449" s="897"/>
      <c r="T449" s="901"/>
      <c r="U449" s="901"/>
      <c r="V449" s="901"/>
      <c r="W449" s="903"/>
      <c r="X449" s="364"/>
      <c r="Y449" s="364"/>
      <c r="Z449" s="364"/>
      <c r="AA449"/>
      <c r="AB449"/>
      <c r="AC449"/>
      <c r="AD449"/>
    </row>
    <row r="450" spans="17:30" ht="12.75" customHeight="1">
      <c r="Q450" s="364"/>
      <c r="R450" s="892"/>
      <c r="S450" s="897"/>
      <c r="T450" s="689">
        <f>T444*(1-0.0178*2)</f>
        <v>117.67666655636688</v>
      </c>
      <c r="U450" s="560">
        <f>U444</f>
        <v>1.4285714285714284</v>
      </c>
      <c r="V450" s="690">
        <f>IF(T450&gt;0,W450*U450," ")</f>
        <v>33771.428571428565</v>
      </c>
      <c r="W450" s="691">
        <f>IF(T450&gt;0,(VLOOKUP(T450,'Lookup Ready-reckoner'!$B$5:$E$1207,4))," ")</f>
        <v>23640</v>
      </c>
      <c r="X450" s="364"/>
      <c r="Y450" s="364"/>
      <c r="Z450" s="364"/>
      <c r="AA450"/>
      <c r="AB450"/>
      <c r="AC450"/>
      <c r="AD450"/>
    </row>
    <row r="451" spans="17:30" ht="12.75" customHeight="1">
      <c r="Q451" s="364"/>
      <c r="R451" s="898"/>
      <c r="S451" s="899"/>
      <c r="T451" s="447"/>
      <c r="U451" s="560"/>
      <c r="V451" s="690" t="str">
        <f>IF(T451&gt;0,W451*U451," ")</f>
        <v xml:space="preserve"> </v>
      </c>
      <c r="W451" s="691" t="str">
        <f>IF(T451&gt;0,(VLOOKUP(T451,'Lookup Ready-reckoner'!$B$5:$E$1007,4))," ")</f>
        <v xml:space="preserve"> </v>
      </c>
      <c r="X451" s="364"/>
      <c r="Y451" s="364"/>
      <c r="Z451" s="364"/>
      <c r="AA451"/>
      <c r="AB451"/>
      <c r="AC451"/>
      <c r="AD451"/>
    </row>
    <row r="452" spans="17:30" ht="12.75" customHeight="1" thickBot="1">
      <c r="Q452" s="364"/>
      <c r="R452" s="692" t="s">
        <v>839</v>
      </c>
      <c r="S452" s="693"/>
      <c r="T452" s="693"/>
      <c r="U452" s="694">
        <f>IF(T450&gt;0,(VLOOKUP(V452,'Lookup Ready-reckoner'!$L$5:$M$1207,2))," ")</f>
        <v>110.2</v>
      </c>
      <c r="V452" s="695">
        <f>IF(U450&gt;0,(SUM(V450:V451))," ")</f>
        <v>33771.428571428565</v>
      </c>
      <c r="W452" s="696"/>
      <c r="X452" s="364"/>
      <c r="Y452" s="364"/>
      <c r="Z452" s="364"/>
      <c r="AA452"/>
      <c r="AB452"/>
      <c r="AC452"/>
      <c r="AD452"/>
    </row>
    <row r="453" spans="17:30" ht="12.75" customHeight="1">
      <c r="Q453" s="364"/>
      <c r="R453" s="697"/>
      <c r="S453" s="687"/>
      <c r="T453" s="687"/>
      <c r="U453" s="372"/>
      <c r="V453" s="374"/>
      <c r="W453" s="688"/>
      <c r="X453" s="364"/>
      <c r="Y453" s="364"/>
      <c r="Z453" s="364"/>
      <c r="AA453"/>
      <c r="AB453"/>
      <c r="AC453"/>
      <c r="AD453"/>
    </row>
    <row r="454" spans="17:30" ht="12.75" customHeight="1" thickBot="1">
      <c r="Q454" s="364"/>
      <c r="R454" s="686" t="s">
        <v>60</v>
      </c>
      <c r="S454" s="577"/>
      <c r="T454" s="577"/>
      <c r="U454" s="577"/>
      <c r="V454" s="577"/>
      <c r="W454" s="698"/>
      <c r="X454" s="364"/>
      <c r="Y454" s="364"/>
      <c r="Z454" s="364"/>
      <c r="AA454"/>
      <c r="AB454"/>
      <c r="AC454"/>
      <c r="AD454"/>
    </row>
    <row r="455" spans="17:30" ht="12.75" customHeight="1">
      <c r="Q455" s="364"/>
      <c r="R455" s="895" t="s">
        <v>845</v>
      </c>
      <c r="S455" s="896"/>
      <c r="T455" s="900" t="s">
        <v>835</v>
      </c>
      <c r="U455" s="900" t="s">
        <v>836</v>
      </c>
      <c r="V455" s="900" t="s">
        <v>837</v>
      </c>
      <c r="W455" s="902" t="s">
        <v>838</v>
      </c>
      <c r="X455" s="364"/>
      <c r="Y455" s="364"/>
      <c r="Z455" s="364"/>
      <c r="AA455"/>
      <c r="AB455"/>
      <c r="AC455"/>
      <c r="AD455"/>
    </row>
    <row r="456" spans="17:30" ht="12.75" customHeight="1">
      <c r="Q456" s="364"/>
      <c r="R456" s="892"/>
      <c r="S456" s="897"/>
      <c r="T456" s="901"/>
      <c r="U456" s="901"/>
      <c r="V456" s="901"/>
      <c r="W456" s="903"/>
      <c r="X456" s="364"/>
      <c r="Y456" s="364"/>
      <c r="Z456" s="364"/>
      <c r="AA456"/>
      <c r="AB456"/>
      <c r="AC456"/>
      <c r="AD456"/>
    </row>
    <row r="457" spans="17:30" ht="12.75" customHeight="1">
      <c r="Q457" s="364"/>
      <c r="R457" s="892"/>
      <c r="S457" s="897"/>
      <c r="T457" s="689">
        <f>T444-PPE!$I$15</f>
        <v>109.02059991327964</v>
      </c>
      <c r="U457" s="560">
        <f>U450</f>
        <v>1.4285714285714284</v>
      </c>
      <c r="V457" s="690">
        <f>IF(T457&gt;0,W457*U457," ")</f>
        <v>4571.4285714285706</v>
      </c>
      <c r="W457" s="691">
        <f>IF(T457&gt;0,(VLOOKUP(T457,'Lookup Ready-reckoner'!$B$5:$E$1207,4))," ")</f>
        <v>3200</v>
      </c>
      <c r="X457" s="364"/>
      <c r="Y457" s="364"/>
      <c r="Z457" s="364"/>
      <c r="AA457"/>
      <c r="AB457"/>
      <c r="AC457"/>
      <c r="AD457"/>
    </row>
    <row r="458" spans="17:30" ht="12.75" customHeight="1">
      <c r="Q458" s="364"/>
      <c r="R458" s="898"/>
      <c r="S458" s="899"/>
      <c r="T458" s="447"/>
      <c r="U458" s="560"/>
      <c r="V458" s="690" t="str">
        <f>IF(T458&gt;0,W458*U458," ")</f>
        <v xml:space="preserve"> </v>
      </c>
      <c r="W458" s="691" t="str">
        <f>IF(T458&gt;0,(VLOOKUP(T458,'Lookup Ready-reckoner'!$B$5:$E$1007,4))," ")</f>
        <v xml:space="preserve"> </v>
      </c>
      <c r="X458" s="364"/>
      <c r="Y458" s="364"/>
      <c r="Z458" s="364"/>
      <c r="AA458"/>
      <c r="AB458"/>
      <c r="AC458"/>
      <c r="AD458"/>
    </row>
    <row r="459" spans="17:30" ht="12.75" customHeight="1" thickBot="1">
      <c r="Q459" s="364"/>
      <c r="R459" s="699" t="s">
        <v>839</v>
      </c>
      <c r="S459" s="693"/>
      <c r="T459" s="693"/>
      <c r="U459" s="694">
        <f>IF(T457&gt;0,(VLOOKUP(V459,'Lookup Ready-reckoner'!$L$5:$M$1207,2))," ")</f>
        <v>101.55</v>
      </c>
      <c r="V459" s="695">
        <f>IF(U457&gt;0,(SUM(V457:V458))," ")</f>
        <v>4571.4285714285706</v>
      </c>
      <c r="W459" s="696"/>
      <c r="X459" s="364"/>
      <c r="Y459" s="364"/>
      <c r="Z459" s="364"/>
      <c r="AA459"/>
      <c r="AB459"/>
      <c r="AC459"/>
      <c r="AD459"/>
    </row>
    <row r="460" spans="17:30" ht="12.75" customHeight="1" thickBot="1">
      <c r="Q460" s="364"/>
      <c r="R460" s="892"/>
      <c r="S460" s="893"/>
      <c r="T460" s="893"/>
      <c r="U460" s="893"/>
      <c r="V460" s="893"/>
      <c r="W460" s="894"/>
      <c r="X460" s="364"/>
      <c r="Y460" s="364"/>
      <c r="Z460" s="364"/>
      <c r="AA460"/>
      <c r="AB460"/>
      <c r="AC460"/>
      <c r="AD460"/>
    </row>
    <row r="461" spans="17:30" ht="12.75" customHeight="1">
      <c r="Q461" s="364"/>
      <c r="R461" s="895" t="s">
        <v>886</v>
      </c>
      <c r="S461" s="896"/>
      <c r="T461" s="900" t="s">
        <v>835</v>
      </c>
      <c r="U461" s="900" t="s">
        <v>836</v>
      </c>
      <c r="V461" s="900" t="s">
        <v>837</v>
      </c>
      <c r="W461" s="902" t="s">
        <v>838</v>
      </c>
      <c r="X461" s="364"/>
      <c r="Y461" s="364"/>
      <c r="Z461" s="364"/>
      <c r="AA461"/>
      <c r="AB461"/>
      <c r="AC461"/>
      <c r="AD461"/>
    </row>
    <row r="462" spans="17:30" ht="12.75" customHeight="1">
      <c r="Q462" s="364"/>
      <c r="R462" s="892"/>
      <c r="S462" s="897"/>
      <c r="T462" s="901"/>
      <c r="U462" s="901"/>
      <c r="V462" s="901"/>
      <c r="W462" s="903"/>
      <c r="X462" s="364"/>
      <c r="Y462" s="364"/>
      <c r="Z462" s="364"/>
      <c r="AA462"/>
      <c r="AB462"/>
      <c r="AC462"/>
      <c r="AD462"/>
    </row>
    <row r="463" spans="17:30" ht="12.75" customHeight="1">
      <c r="Q463" s="364"/>
      <c r="R463" s="892"/>
      <c r="S463" s="897"/>
      <c r="T463" s="689">
        <f>T450-PPE!$I$15</f>
        <v>104.67666655636688</v>
      </c>
      <c r="U463" s="560">
        <f>U457</f>
        <v>1.4285714285714284</v>
      </c>
      <c r="V463" s="690">
        <f>IF(T463&gt;0,W463*U463," ")</f>
        <v>1660.7142857142856</v>
      </c>
      <c r="W463" s="691">
        <f>IF(T463&gt;0,(VLOOKUP(T463,'Lookup Ready-reckoner'!$B$5:$E$1207,4))," ")</f>
        <v>1162.5</v>
      </c>
      <c r="X463" s="364"/>
      <c r="Y463" s="364"/>
      <c r="Z463" s="364"/>
      <c r="AA463"/>
      <c r="AB463"/>
      <c r="AC463"/>
      <c r="AD463"/>
    </row>
    <row r="464" spans="17:30" ht="12.75" customHeight="1">
      <c r="Q464" s="364"/>
      <c r="R464" s="898"/>
      <c r="S464" s="899"/>
      <c r="T464" s="447"/>
      <c r="U464" s="560"/>
      <c r="V464" s="690" t="str">
        <f>IF(T464&gt;0,W464*U464," ")</f>
        <v xml:space="preserve"> </v>
      </c>
      <c r="W464" s="691" t="str">
        <f>IF(T464&gt;0,(VLOOKUP(T464,'Lookup Ready-reckoner'!$B$5:$E$1007,4))," ")</f>
        <v xml:space="preserve"> </v>
      </c>
      <c r="X464" s="364"/>
      <c r="Y464" s="364"/>
      <c r="Z464" s="364"/>
      <c r="AA464"/>
      <c r="AB464"/>
      <c r="AC464"/>
      <c r="AD464"/>
    </row>
    <row r="465" spans="17:30" ht="12.75" customHeight="1" thickBot="1">
      <c r="Q465" s="364"/>
      <c r="R465" s="692" t="s">
        <v>839</v>
      </c>
      <c r="S465" s="693"/>
      <c r="T465" s="693"/>
      <c r="U465" s="694">
        <f>IF(T463&gt;0,(VLOOKUP(V465,'Lookup Ready-reckoner'!$L$5:$M$1207,2))," ")</f>
        <v>97.15</v>
      </c>
      <c r="V465" s="695">
        <f>IF(U463&gt;0,(SUM(V463:V464))," ")</f>
        <v>1660.7142857142856</v>
      </c>
      <c r="W465" s="696"/>
      <c r="X465" s="364"/>
      <c r="Y465" s="364"/>
      <c r="Z465" s="364"/>
      <c r="AA465"/>
      <c r="AB465"/>
      <c r="AC465"/>
      <c r="AD465"/>
    </row>
    <row r="466" spans="17:30" ht="12.75" customHeight="1">
      <c r="Q466" s="364"/>
      <c r="R466" s="363"/>
      <c r="S466" s="363"/>
      <c r="T466" s="363"/>
      <c r="U466" s="363"/>
      <c r="V466" s="363"/>
      <c r="W466" s="363"/>
      <c r="X466" s="364"/>
      <c r="Y466" s="364"/>
      <c r="Z466" s="364"/>
      <c r="AA466"/>
      <c r="AB466"/>
      <c r="AC466"/>
      <c r="AD466"/>
    </row>
    <row r="467" spans="17:30" ht="12.75" customHeight="1" thickBot="1">
      <c r="Q467" s="364"/>
      <c r="R467" s="915" t="str">
        <f>R348</f>
        <v>Seco S215 Muffled</v>
      </c>
      <c r="S467" s="915"/>
      <c r="T467" s="915"/>
      <c r="U467" s="915"/>
      <c r="V467" s="915"/>
      <c r="W467" s="915"/>
      <c r="X467" s="364"/>
      <c r="Y467" s="364"/>
      <c r="Z467" s="364"/>
      <c r="AA467"/>
      <c r="AB467"/>
      <c r="AC467"/>
      <c r="AD467"/>
    </row>
    <row r="468" spans="17:30" ht="12.75" customHeight="1" thickBot="1">
      <c r="Q468" s="364"/>
      <c r="R468" s="906" t="s">
        <v>205</v>
      </c>
      <c r="S468" s="907"/>
      <c r="T468" s="907"/>
      <c r="U468" s="907"/>
      <c r="V468" s="907"/>
      <c r="W468" s="908"/>
      <c r="X468" s="364"/>
      <c r="Y468" s="364"/>
      <c r="Z468" s="364"/>
      <c r="AA468"/>
      <c r="AB468"/>
      <c r="AC468"/>
      <c r="AD468"/>
    </row>
    <row r="469" spans="17:30" ht="12.75" customHeight="1" thickBot="1">
      <c r="Q469" s="364"/>
      <c r="R469" s="686" t="s">
        <v>59</v>
      </c>
      <c r="S469" s="577"/>
      <c r="T469" s="687"/>
      <c r="U469" s="687"/>
      <c r="V469" s="687"/>
      <c r="W469" s="688"/>
      <c r="X469" s="364"/>
      <c r="Y469" s="364"/>
      <c r="Z469" s="364"/>
      <c r="AA469"/>
      <c r="AB469"/>
      <c r="AC469"/>
      <c r="AD469"/>
    </row>
    <row r="470" spans="17:30" ht="12.75" customHeight="1">
      <c r="Q470" s="364"/>
      <c r="R470" s="895" t="s">
        <v>845</v>
      </c>
      <c r="S470" s="896"/>
      <c r="T470" s="900" t="s">
        <v>835</v>
      </c>
      <c r="U470" s="900" t="s">
        <v>836</v>
      </c>
      <c r="V470" s="900" t="s">
        <v>837</v>
      </c>
      <c r="W470" s="902" t="s">
        <v>838</v>
      </c>
      <c r="X470" s="364"/>
      <c r="Y470" s="364"/>
      <c r="Z470" s="364"/>
      <c r="AA470"/>
      <c r="AB470"/>
      <c r="AC470"/>
      <c r="AD470"/>
    </row>
    <row r="471" spans="17:30" ht="12.75" customHeight="1">
      <c r="Q471" s="364"/>
      <c r="R471" s="892"/>
      <c r="S471" s="897"/>
      <c r="T471" s="904"/>
      <c r="U471" s="904"/>
      <c r="V471" s="904"/>
      <c r="W471" s="905"/>
      <c r="X471" s="364"/>
      <c r="Y471" s="364"/>
      <c r="Z471" s="364"/>
      <c r="AA471"/>
      <c r="AB471"/>
      <c r="AC471"/>
      <c r="AD471"/>
    </row>
    <row r="472" spans="17:30" ht="12.75" customHeight="1">
      <c r="Q472" s="364"/>
      <c r="R472" s="892"/>
      <c r="S472" s="897"/>
      <c r="T472" s="901"/>
      <c r="U472" s="901"/>
      <c r="V472" s="901"/>
      <c r="W472" s="903"/>
      <c r="X472" s="364"/>
      <c r="Y472" s="364"/>
      <c r="Z472" s="364"/>
      <c r="AA472"/>
      <c r="AB472"/>
      <c r="AC472"/>
      <c r="AD472"/>
    </row>
    <row r="473" spans="17:30" ht="12.75" customHeight="1">
      <c r="Q473" s="364"/>
      <c r="R473" s="892"/>
      <c r="S473" s="897"/>
      <c r="T473" s="700">
        <f>V76</f>
        <v>114.02059991327963</v>
      </c>
      <c r="U473" s="560">
        <f>V62</f>
        <v>1.9999999999999996</v>
      </c>
      <c r="V473" s="690">
        <f>IF(T473&gt;0,W473*U473," ")</f>
        <v>19999.999999999996</v>
      </c>
      <c r="W473" s="691">
        <f>IF(T473&gt;0,(VLOOKUP(T473,'Lookup Ready-reckoner'!$B$5:$E$1207,4))," ")</f>
        <v>10000</v>
      </c>
      <c r="X473" s="364"/>
      <c r="Y473" s="364"/>
      <c r="Z473" s="364"/>
      <c r="AA473"/>
      <c r="AB473"/>
      <c r="AC473"/>
      <c r="AD473"/>
    </row>
    <row r="474" spans="17:30" ht="12.75" customHeight="1">
      <c r="Q474" s="364"/>
      <c r="R474" s="898"/>
      <c r="S474" s="899"/>
      <c r="T474" s="447"/>
      <c r="U474" s="560"/>
      <c r="V474" s="690" t="str">
        <f>IF(T474&gt;0,W474*U474," ")</f>
        <v xml:space="preserve"> </v>
      </c>
      <c r="W474" s="691" t="str">
        <f>IF(T474&gt;0,(VLOOKUP(T474,'Lookup Ready-reckoner'!$B$5:$E$1007,4))," ")</f>
        <v xml:space="preserve"> </v>
      </c>
      <c r="X474" s="364"/>
      <c r="Y474" s="364"/>
      <c r="Z474" s="364"/>
      <c r="AA474"/>
      <c r="AB474"/>
      <c r="AC474"/>
      <c r="AD474"/>
    </row>
    <row r="475" spans="17:30" ht="12.75" customHeight="1" thickBot="1">
      <c r="Q475" s="364"/>
      <c r="R475" s="699" t="s">
        <v>839</v>
      </c>
      <c r="S475" s="693"/>
      <c r="T475" s="693"/>
      <c r="U475" s="701">
        <f>IF(T473&gt;0,(VLOOKUP(V475,'Lookup Ready-reckoner'!$L$5:$M$1207,2))," ")</f>
        <v>107.95</v>
      </c>
      <c r="V475" s="695">
        <f>IF(U473&gt;0,(SUM(V473:V474))," ")</f>
        <v>19999.999999999996</v>
      </c>
      <c r="W475" s="696"/>
      <c r="X475" s="364"/>
      <c r="Y475" s="364"/>
      <c r="Z475" s="364"/>
      <c r="AA475"/>
      <c r="AB475"/>
      <c r="AC475"/>
      <c r="AD475"/>
    </row>
    <row r="476" spans="17:30" ht="12.75" customHeight="1" thickBot="1">
      <c r="Q476" s="364"/>
      <c r="R476" s="892"/>
      <c r="S476" s="893"/>
      <c r="T476" s="893"/>
      <c r="U476" s="893"/>
      <c r="V476" s="893"/>
      <c r="W476" s="894"/>
      <c r="X476" s="364"/>
      <c r="Y476" s="364"/>
      <c r="Z476" s="364"/>
      <c r="AA476"/>
      <c r="AB476"/>
      <c r="AC476"/>
      <c r="AD476"/>
    </row>
    <row r="477" spans="17:30" ht="12.75" customHeight="1">
      <c r="Q477" s="364"/>
      <c r="R477" s="895" t="s">
        <v>886</v>
      </c>
      <c r="S477" s="896"/>
      <c r="T477" s="900" t="s">
        <v>835</v>
      </c>
      <c r="U477" s="900" t="s">
        <v>836</v>
      </c>
      <c r="V477" s="900" t="s">
        <v>837</v>
      </c>
      <c r="W477" s="902" t="s">
        <v>838</v>
      </c>
      <c r="X477" s="364"/>
      <c r="Y477" s="364"/>
      <c r="Z477" s="364"/>
      <c r="AA477"/>
      <c r="AB477"/>
      <c r="AC477"/>
      <c r="AD477"/>
    </row>
    <row r="478" spans="17:30" ht="12.75" customHeight="1">
      <c r="Q478" s="364"/>
      <c r="R478" s="892"/>
      <c r="S478" s="897"/>
      <c r="T478" s="901"/>
      <c r="U478" s="901"/>
      <c r="V478" s="901"/>
      <c r="W478" s="903"/>
      <c r="X478" s="364"/>
      <c r="Y478" s="364"/>
      <c r="Z478" s="364"/>
      <c r="AA478"/>
      <c r="AB478"/>
      <c r="AC478"/>
      <c r="AD478"/>
    </row>
    <row r="479" spans="17:30" ht="12.75" customHeight="1">
      <c r="Q479" s="364"/>
      <c r="R479" s="892"/>
      <c r="S479" s="897"/>
      <c r="T479" s="700">
        <f>T473*(1-0.0178*2)</f>
        <v>109.96146655636687</v>
      </c>
      <c r="U479" s="560">
        <f>U473</f>
        <v>1.9999999999999996</v>
      </c>
      <c r="V479" s="690">
        <f>IF(T479&gt;0,W479*U479," ")</f>
        <v>7919.9999999999982</v>
      </c>
      <c r="W479" s="691">
        <f>IF(T479&gt;0,(VLOOKUP(T479,'Lookup Ready-reckoner'!$B$5:$E$1207,4))," ")</f>
        <v>3960</v>
      </c>
      <c r="X479" s="364"/>
      <c r="Y479" s="364"/>
      <c r="Z479" s="364"/>
      <c r="AA479"/>
      <c r="AB479"/>
      <c r="AC479"/>
      <c r="AD479"/>
    </row>
    <row r="480" spans="17:30" ht="12.75" customHeight="1">
      <c r="Q480" s="364"/>
      <c r="R480" s="898"/>
      <c r="S480" s="899"/>
      <c r="T480" s="447"/>
      <c r="U480" s="560"/>
      <c r="V480" s="690" t="str">
        <f>IF(T480&gt;0,W480*U480," ")</f>
        <v xml:space="preserve"> </v>
      </c>
      <c r="W480" s="691" t="str">
        <f>IF(T480&gt;0,(VLOOKUP(T480,'Lookup Ready-reckoner'!$B$5:$E$1007,4))," ")</f>
        <v xml:space="preserve"> </v>
      </c>
      <c r="X480" s="364"/>
      <c r="Y480" s="364"/>
      <c r="Z480" s="364"/>
      <c r="AA480"/>
      <c r="AB480"/>
      <c r="AC480"/>
      <c r="AD480"/>
    </row>
    <row r="481" spans="17:30" ht="12.75" customHeight="1" thickBot="1">
      <c r="Q481" s="364"/>
      <c r="R481" s="692" t="s">
        <v>839</v>
      </c>
      <c r="S481" s="693"/>
      <c r="T481" s="693"/>
      <c r="U481" s="701">
        <f>IF(T479&gt;0,(VLOOKUP(V481,'Lookup Ready-reckoner'!$L$5:$M$1207,2))," ")</f>
        <v>103.9</v>
      </c>
      <c r="V481" s="695">
        <f>IF(U479&gt;0,(SUM(V479:V480))," ")</f>
        <v>7919.9999999999982</v>
      </c>
      <c r="W481" s="696"/>
      <c r="X481" s="364"/>
      <c r="Y481" s="364"/>
      <c r="Z481" s="364"/>
      <c r="AA481"/>
      <c r="AB481"/>
      <c r="AC481"/>
      <c r="AD481"/>
    </row>
    <row r="482" spans="17:30" ht="12.75" customHeight="1">
      <c r="Q482" s="364"/>
      <c r="R482" s="697"/>
      <c r="S482" s="687"/>
      <c r="T482" s="687"/>
      <c r="U482" s="372"/>
      <c r="V482" s="374"/>
      <c r="W482" s="688"/>
      <c r="X482" s="364"/>
      <c r="Y482" s="364"/>
      <c r="Z482" s="364"/>
      <c r="AA482"/>
      <c r="AB482"/>
      <c r="AC482"/>
      <c r="AD482"/>
    </row>
    <row r="483" spans="17:30" ht="12.75" customHeight="1" thickBot="1">
      <c r="Q483" s="364"/>
      <c r="R483" s="686" t="s">
        <v>60</v>
      </c>
      <c r="S483" s="577"/>
      <c r="T483" s="577"/>
      <c r="U483" s="577"/>
      <c r="V483" s="577"/>
      <c r="W483" s="698"/>
      <c r="X483" s="364"/>
      <c r="Y483" s="364"/>
      <c r="Z483" s="364"/>
      <c r="AA483"/>
      <c r="AB483"/>
      <c r="AC483"/>
      <c r="AD483"/>
    </row>
    <row r="484" spans="17:30" ht="12.75" customHeight="1">
      <c r="Q484" s="364"/>
      <c r="R484" s="895" t="s">
        <v>845</v>
      </c>
      <c r="S484" s="896"/>
      <c r="T484" s="900" t="s">
        <v>835</v>
      </c>
      <c r="U484" s="900" t="s">
        <v>836</v>
      </c>
      <c r="V484" s="900" t="s">
        <v>837</v>
      </c>
      <c r="W484" s="902" t="s">
        <v>838</v>
      </c>
      <c r="X484" s="364"/>
      <c r="Y484" s="364"/>
      <c r="Z484" s="364"/>
      <c r="AA484"/>
      <c r="AB484"/>
      <c r="AC484"/>
      <c r="AD484"/>
    </row>
    <row r="485" spans="17:30" ht="12.75" customHeight="1">
      <c r="Q485" s="364"/>
      <c r="R485" s="892"/>
      <c r="S485" s="897"/>
      <c r="T485" s="901"/>
      <c r="U485" s="901"/>
      <c r="V485" s="901"/>
      <c r="W485" s="903"/>
      <c r="X485" s="364"/>
      <c r="Y485" s="364"/>
      <c r="Z485" s="364"/>
      <c r="AA485"/>
      <c r="AB485"/>
      <c r="AC485"/>
      <c r="AD485"/>
    </row>
    <row r="486" spans="17:30" ht="12.75" customHeight="1">
      <c r="Q486" s="364"/>
      <c r="R486" s="892"/>
      <c r="S486" s="897"/>
      <c r="T486" s="700">
        <f>T473-PPE!$I$15</f>
        <v>101.02059991327963</v>
      </c>
      <c r="U486" s="560">
        <f>U479</f>
        <v>1.9999999999999996</v>
      </c>
      <c r="V486" s="690">
        <f>IF(T486&gt;0,W486*U486," ")</f>
        <v>999.99999999999977</v>
      </c>
      <c r="W486" s="691">
        <f>IF(T486&gt;0,(VLOOKUP(T486,'Lookup Ready-reckoner'!$B$5:$E$1207,4))," ")</f>
        <v>500</v>
      </c>
      <c r="X486" s="364"/>
      <c r="Y486" s="364"/>
      <c r="Z486" s="364"/>
      <c r="AA486"/>
      <c r="AB486"/>
      <c r="AC486"/>
      <c r="AD486"/>
    </row>
    <row r="487" spans="17:30" ht="12.75" customHeight="1">
      <c r="Q487" s="364"/>
      <c r="R487" s="898"/>
      <c r="S487" s="899"/>
      <c r="T487" s="447"/>
      <c r="U487" s="560"/>
      <c r="V487" s="690" t="str">
        <f>IF(T487&gt;0,W487*U487," ")</f>
        <v xml:space="preserve"> </v>
      </c>
      <c r="W487" s="691" t="str">
        <f>IF(T487&gt;0,(VLOOKUP(T487,'Lookup Ready-reckoner'!$B$5:$E$1007,4))," ")</f>
        <v xml:space="preserve"> </v>
      </c>
      <c r="X487" s="364"/>
      <c r="Y487" s="364"/>
      <c r="Z487" s="364"/>
      <c r="AA487"/>
      <c r="AB487"/>
      <c r="AC487"/>
      <c r="AD487"/>
    </row>
    <row r="488" spans="17:30" ht="12.75" customHeight="1" thickBot="1">
      <c r="Q488" s="364"/>
      <c r="R488" s="692" t="s">
        <v>839</v>
      </c>
      <c r="S488" s="693"/>
      <c r="T488" s="693"/>
      <c r="U488" s="701">
        <f>IF(T486&gt;0,(VLOOKUP(V488,'Lookup Ready-reckoner'!$L$5:$M$1207,2))," ")</f>
        <v>94.95</v>
      </c>
      <c r="V488" s="695">
        <f>IF(U486&gt;0,(SUM(V486:V487))," ")</f>
        <v>999.99999999999977</v>
      </c>
      <c r="W488" s="696"/>
      <c r="X488" s="364"/>
      <c r="Y488" s="364"/>
      <c r="Z488" s="364"/>
      <c r="AA488"/>
      <c r="AB488"/>
      <c r="AC488"/>
      <c r="AD488"/>
    </row>
    <row r="489" spans="17:30" ht="12.75" customHeight="1" thickBot="1">
      <c r="Q489" s="364"/>
      <c r="R489" s="892"/>
      <c r="S489" s="893"/>
      <c r="T489" s="893"/>
      <c r="U489" s="893"/>
      <c r="V489" s="893"/>
      <c r="W489" s="894"/>
      <c r="X489" s="364"/>
      <c r="Y489" s="364"/>
      <c r="Z489" s="364"/>
      <c r="AA489"/>
      <c r="AB489"/>
      <c r="AC489"/>
      <c r="AD489"/>
    </row>
    <row r="490" spans="17:30" ht="12.75" customHeight="1">
      <c r="Q490" s="364"/>
      <c r="R490" s="895" t="s">
        <v>886</v>
      </c>
      <c r="S490" s="896"/>
      <c r="T490" s="900" t="s">
        <v>835</v>
      </c>
      <c r="U490" s="900" t="s">
        <v>836</v>
      </c>
      <c r="V490" s="900" t="s">
        <v>837</v>
      </c>
      <c r="W490" s="902" t="s">
        <v>838</v>
      </c>
      <c r="X490" s="364"/>
      <c r="Y490" s="364"/>
      <c r="Z490" s="364"/>
      <c r="AA490"/>
      <c r="AB490"/>
      <c r="AC490"/>
      <c r="AD490"/>
    </row>
    <row r="491" spans="17:30" ht="12.75" customHeight="1">
      <c r="Q491" s="364"/>
      <c r="R491" s="892"/>
      <c r="S491" s="897"/>
      <c r="T491" s="901"/>
      <c r="U491" s="901"/>
      <c r="V491" s="901"/>
      <c r="W491" s="903"/>
      <c r="X491" s="364"/>
      <c r="Y491" s="364"/>
      <c r="Z491" s="364"/>
      <c r="AA491"/>
      <c r="AB491"/>
      <c r="AC491"/>
      <c r="AD491"/>
    </row>
    <row r="492" spans="17:30" ht="12.75" customHeight="1">
      <c r="Q492" s="364"/>
      <c r="R492" s="892"/>
      <c r="S492" s="897"/>
      <c r="T492" s="700">
        <f>T479-PPE!$I$15</f>
        <v>96.961466556366872</v>
      </c>
      <c r="U492" s="560">
        <f>U486</f>
        <v>1.9999999999999996</v>
      </c>
      <c r="V492" s="690">
        <f>IF(T492&gt;0,W492*U492," ")</f>
        <v>395.62499999999989</v>
      </c>
      <c r="W492" s="691">
        <f>IF(T492&gt;0,(VLOOKUP(T492,'Lookup Ready-reckoner'!$B$5:$E$1207,4))," ")</f>
        <v>197.8125</v>
      </c>
      <c r="X492" s="364"/>
      <c r="Y492" s="364"/>
      <c r="Z492" s="364"/>
      <c r="AA492"/>
      <c r="AB492"/>
      <c r="AC492"/>
      <c r="AD492"/>
    </row>
    <row r="493" spans="17:30" ht="12.75" customHeight="1">
      <c r="Q493" s="364"/>
      <c r="R493" s="898"/>
      <c r="S493" s="899"/>
      <c r="T493" s="447"/>
      <c r="U493" s="560"/>
      <c r="V493" s="690" t="str">
        <f>IF(T493&gt;0,W493*U493," ")</f>
        <v xml:space="preserve"> </v>
      </c>
      <c r="W493" s="691" t="str">
        <f>IF(T493&gt;0,(VLOOKUP(T493,'Lookup Ready-reckoner'!$B$5:$E$1007,4))," ")</f>
        <v xml:space="preserve"> </v>
      </c>
      <c r="X493" s="364"/>
      <c r="Y493" s="364"/>
      <c r="Z493" s="364"/>
      <c r="AA493"/>
      <c r="AB493"/>
      <c r="AC493"/>
      <c r="AD493"/>
    </row>
    <row r="494" spans="17:30" ht="12.75" customHeight="1" thickBot="1">
      <c r="Q494" s="364"/>
      <c r="R494" s="692" t="s">
        <v>839</v>
      </c>
      <c r="S494" s="693"/>
      <c r="T494" s="693"/>
      <c r="U494" s="701">
        <f>IF(T492&gt;0,(VLOOKUP(V494,'Lookup Ready-reckoner'!$L$5:$M$1207,2))," ")</f>
        <v>90.9</v>
      </c>
      <c r="V494" s="695">
        <f>IF(U492&gt;0,(SUM(V492:V493))," ")</f>
        <v>395.62499999999989</v>
      </c>
      <c r="W494" s="696"/>
      <c r="X494" s="364"/>
      <c r="Y494" s="364"/>
      <c r="Z494" s="364"/>
      <c r="AA494"/>
      <c r="AB494"/>
      <c r="AC494"/>
      <c r="AD494"/>
    </row>
    <row r="495" spans="17:30" ht="12.75" customHeight="1">
      <c r="Q495" s="364"/>
      <c r="R495" s="363"/>
      <c r="S495" s="363"/>
      <c r="T495" s="363"/>
      <c r="U495" s="363"/>
      <c r="V495" s="363"/>
      <c r="W495" s="363"/>
      <c r="X495" s="364"/>
      <c r="Y495" s="364"/>
      <c r="Z495" s="364"/>
      <c r="AA495"/>
      <c r="AB495"/>
      <c r="AC495"/>
      <c r="AD495"/>
    </row>
    <row r="496" spans="17:30" ht="12.75" customHeight="1">
      <c r="Q496" s="364"/>
      <c r="R496" s="913" t="str">
        <f>R377</f>
        <v>Sulzer ADDS</v>
      </c>
      <c r="S496" s="914"/>
      <c r="T496" s="914"/>
      <c r="U496" s="914"/>
      <c r="V496" s="914"/>
      <c r="W496" s="914"/>
      <c r="X496" s="364"/>
      <c r="Y496" s="364"/>
      <c r="Z496" s="364"/>
      <c r="AA496"/>
      <c r="AB496"/>
      <c r="AC496"/>
      <c r="AD496"/>
    </row>
    <row r="497" spans="17:30" ht="12.75" customHeight="1" thickBot="1">
      <c r="Q497" s="364"/>
      <c r="R497" s="910" t="s">
        <v>205</v>
      </c>
      <c r="S497" s="911"/>
      <c r="T497" s="911"/>
      <c r="U497" s="911"/>
      <c r="V497" s="911"/>
      <c r="W497" s="912"/>
      <c r="X497" s="364"/>
      <c r="Y497" s="364"/>
      <c r="Z497" s="364"/>
      <c r="AA497"/>
      <c r="AB497"/>
      <c r="AC497"/>
      <c r="AD497"/>
    </row>
    <row r="498" spans="17:30" ht="12.75" customHeight="1" thickBot="1">
      <c r="Q498" s="364"/>
      <c r="R498" s="686" t="s">
        <v>59</v>
      </c>
      <c r="S498" s="577"/>
      <c r="T498" s="687"/>
      <c r="U498" s="687"/>
      <c r="V498" s="687"/>
      <c r="W498" s="688"/>
      <c r="X498" s="364"/>
      <c r="Y498" s="364"/>
      <c r="Z498" s="364"/>
      <c r="AA498"/>
      <c r="AB498"/>
      <c r="AC498"/>
      <c r="AD498"/>
    </row>
    <row r="499" spans="17:30" ht="12.75" customHeight="1">
      <c r="Q499" s="364"/>
      <c r="R499" s="895" t="s">
        <v>845</v>
      </c>
      <c r="S499" s="896"/>
      <c r="T499" s="900" t="s">
        <v>835</v>
      </c>
      <c r="U499" s="900" t="s">
        <v>836</v>
      </c>
      <c r="V499" s="900" t="s">
        <v>837</v>
      </c>
      <c r="W499" s="902" t="s">
        <v>838</v>
      </c>
      <c r="X499" s="364"/>
      <c r="Y499" s="364"/>
      <c r="Z499" s="364"/>
      <c r="AA499"/>
      <c r="AB499"/>
      <c r="AC499"/>
      <c r="AD499"/>
    </row>
    <row r="500" spans="17:30" ht="12.75" customHeight="1">
      <c r="Q500" s="364"/>
      <c r="R500" s="892"/>
      <c r="S500" s="897"/>
      <c r="T500" s="904"/>
      <c r="U500" s="904"/>
      <c r="V500" s="904"/>
      <c r="W500" s="905"/>
      <c r="X500" s="364"/>
      <c r="Y500" s="364"/>
      <c r="Z500" s="364"/>
      <c r="AA500"/>
      <c r="AB500"/>
      <c r="AC500"/>
      <c r="AD500"/>
    </row>
    <row r="501" spans="17:30" ht="12.75" customHeight="1">
      <c r="Q501" s="364"/>
      <c r="R501" s="892"/>
      <c r="S501" s="897"/>
      <c r="T501" s="901"/>
      <c r="U501" s="901"/>
      <c r="V501" s="901"/>
      <c r="W501" s="903"/>
      <c r="X501" s="364"/>
      <c r="Y501" s="364"/>
      <c r="Z501" s="364"/>
      <c r="AA501"/>
      <c r="AB501"/>
      <c r="AC501"/>
      <c r="AD501"/>
    </row>
    <row r="502" spans="17:30" ht="12.75" customHeight="1">
      <c r="Q502" s="364"/>
      <c r="R502" s="892"/>
      <c r="S502" s="897"/>
      <c r="T502" s="702">
        <f>W76</f>
        <v>115.02059991327963</v>
      </c>
      <c r="U502" s="560">
        <f>W62</f>
        <v>1.7391304347826084</v>
      </c>
      <c r="V502" s="690">
        <f>IF(T502&gt;0,W502*U502," ")</f>
        <v>22260.869565217388</v>
      </c>
      <c r="W502" s="691">
        <f>IF(T502&gt;0,(VLOOKUP(T502,'Lookup Ready-reckoner'!$B$5:$E$1207,4))," ")</f>
        <v>12800</v>
      </c>
      <c r="X502" s="364"/>
      <c r="Y502" s="364"/>
      <c r="Z502" s="364"/>
      <c r="AA502"/>
      <c r="AB502"/>
      <c r="AC502"/>
      <c r="AD502"/>
    </row>
    <row r="503" spans="17:30" ht="12.75" customHeight="1">
      <c r="Q503" s="364"/>
      <c r="R503" s="898"/>
      <c r="S503" s="899"/>
      <c r="T503" s="447"/>
      <c r="U503" s="560"/>
      <c r="V503" s="690" t="str">
        <f>IF(T503&gt;0,W503*U503," ")</f>
        <v xml:space="preserve"> </v>
      </c>
      <c r="W503" s="691" t="str">
        <f>IF(T503&gt;0,(VLOOKUP(T503,'Lookup Ready-reckoner'!$B$5:$E$1007,4))," ")</f>
        <v xml:space="preserve"> </v>
      </c>
      <c r="X503" s="364"/>
      <c r="Y503" s="364"/>
      <c r="Z503" s="364"/>
      <c r="AA503"/>
      <c r="AB503"/>
      <c r="AC503"/>
      <c r="AD503"/>
    </row>
    <row r="504" spans="17:30" ht="12.75" customHeight="1" thickBot="1">
      <c r="Q504" s="364"/>
      <c r="R504" s="692" t="s">
        <v>839</v>
      </c>
      <c r="S504" s="693"/>
      <c r="T504" s="693"/>
      <c r="U504" s="703">
        <f>IF(T502&gt;0,(VLOOKUP(V504,'Lookup Ready-reckoner'!$L$5:$M$1207,2))," ")</f>
        <v>108.4</v>
      </c>
      <c r="V504" s="695">
        <f>IF(U502&gt;0,(SUM(V502:V503))," ")</f>
        <v>22260.869565217388</v>
      </c>
      <c r="W504" s="696"/>
      <c r="X504" s="364"/>
      <c r="Y504" s="364"/>
      <c r="Z504" s="364"/>
      <c r="AA504"/>
      <c r="AB504"/>
      <c r="AC504"/>
      <c r="AD504"/>
    </row>
    <row r="505" spans="17:30" ht="12.75" customHeight="1" thickBot="1">
      <c r="Q505" s="364"/>
      <c r="R505" s="892"/>
      <c r="S505" s="893"/>
      <c r="T505" s="893"/>
      <c r="U505" s="893"/>
      <c r="V505" s="893"/>
      <c r="W505" s="894"/>
      <c r="X505" s="364"/>
      <c r="Y505" s="364"/>
      <c r="Z505" s="364"/>
      <c r="AA505"/>
      <c r="AB505"/>
      <c r="AC505"/>
      <c r="AD505"/>
    </row>
    <row r="506" spans="17:30" ht="12.75" customHeight="1">
      <c r="Q506" s="364"/>
      <c r="R506" s="895" t="s">
        <v>886</v>
      </c>
      <c r="S506" s="896"/>
      <c r="T506" s="900" t="s">
        <v>835</v>
      </c>
      <c r="U506" s="900" t="s">
        <v>836</v>
      </c>
      <c r="V506" s="900" t="s">
        <v>837</v>
      </c>
      <c r="W506" s="902" t="s">
        <v>838</v>
      </c>
      <c r="X506" s="364"/>
      <c r="Y506" s="364"/>
      <c r="Z506" s="364"/>
      <c r="AA506"/>
      <c r="AB506"/>
      <c r="AC506"/>
      <c r="AD506"/>
    </row>
    <row r="507" spans="17:30" ht="12.75" customHeight="1">
      <c r="Q507" s="364"/>
      <c r="R507" s="892"/>
      <c r="S507" s="897"/>
      <c r="T507" s="901"/>
      <c r="U507" s="901"/>
      <c r="V507" s="901"/>
      <c r="W507" s="903"/>
      <c r="X507" s="364"/>
      <c r="Y507" s="364"/>
      <c r="Z507" s="364"/>
      <c r="AA507"/>
      <c r="AB507"/>
      <c r="AC507"/>
      <c r="AD507"/>
    </row>
    <row r="508" spans="17:30" ht="12.75" customHeight="1">
      <c r="Q508" s="364"/>
      <c r="R508" s="892"/>
      <c r="S508" s="897"/>
      <c r="T508" s="702">
        <f>T502*(1-0.0178*2)</f>
        <v>110.92586655636687</v>
      </c>
      <c r="U508" s="560">
        <f>U502</f>
        <v>1.7391304347826084</v>
      </c>
      <c r="V508" s="690">
        <f>IF(T508&gt;0,W508*U508," ")</f>
        <v>8521.7391304347821</v>
      </c>
      <c r="W508" s="691">
        <f>IF(T508&gt;0,(VLOOKUP(T508,'Lookup Ready-reckoner'!$B$5:$E$1207,4))," ")</f>
        <v>4900</v>
      </c>
      <c r="X508" s="364"/>
      <c r="Y508" s="364"/>
      <c r="Z508" s="364"/>
      <c r="AA508"/>
      <c r="AB508"/>
      <c r="AC508"/>
      <c r="AD508"/>
    </row>
    <row r="509" spans="17:30" ht="12.75" customHeight="1">
      <c r="Q509" s="364"/>
      <c r="R509" s="898"/>
      <c r="S509" s="899"/>
      <c r="T509" s="447"/>
      <c r="U509" s="560"/>
      <c r="V509" s="690" t="str">
        <f>IF(T509&gt;0,W509*U509," ")</f>
        <v xml:space="preserve"> </v>
      </c>
      <c r="W509" s="691" t="str">
        <f>IF(T509&gt;0,(VLOOKUP(T509,'Lookup Ready-reckoner'!$B$5:$E$1007,4))," ")</f>
        <v xml:space="preserve"> </v>
      </c>
      <c r="X509" s="364"/>
      <c r="Y509" s="364"/>
      <c r="Z509" s="364"/>
      <c r="AA509"/>
      <c r="AB509"/>
      <c r="AC509"/>
      <c r="AD509"/>
    </row>
    <row r="510" spans="17:30" ht="12.75" customHeight="1" thickBot="1">
      <c r="Q510" s="364"/>
      <c r="R510" s="692" t="s">
        <v>839</v>
      </c>
      <c r="S510" s="693"/>
      <c r="T510" s="693"/>
      <c r="U510" s="703">
        <f>IF(T508&gt;0,(VLOOKUP(V510,'Lookup Ready-reckoner'!$L$5:$M$1207,2))," ")</f>
        <v>104.25</v>
      </c>
      <c r="V510" s="695">
        <f>IF(U508&gt;0,(SUM(V508:V509))," ")</f>
        <v>8521.7391304347821</v>
      </c>
      <c r="W510" s="696"/>
      <c r="X510" s="364"/>
      <c r="Y510" s="364"/>
      <c r="Z510" s="364"/>
      <c r="AA510"/>
      <c r="AB510"/>
      <c r="AC510"/>
      <c r="AD510"/>
    </row>
    <row r="511" spans="17:30" ht="12.75" customHeight="1">
      <c r="Q511" s="364"/>
      <c r="R511" s="697"/>
      <c r="S511" s="687"/>
      <c r="T511" s="687"/>
      <c r="U511" s="372"/>
      <c r="V511" s="374"/>
      <c r="W511" s="688"/>
      <c r="X511" s="364"/>
      <c r="Y511" s="364"/>
      <c r="Z511" s="364"/>
      <c r="AA511"/>
      <c r="AB511"/>
      <c r="AC511"/>
      <c r="AD511"/>
    </row>
    <row r="512" spans="17:30" ht="12.75" customHeight="1" thickBot="1">
      <c r="Q512" s="364"/>
      <c r="R512" s="686" t="s">
        <v>60</v>
      </c>
      <c r="S512" s="577"/>
      <c r="T512" s="577"/>
      <c r="U512" s="577"/>
      <c r="V512" s="577"/>
      <c r="W512" s="698"/>
      <c r="X512" s="364"/>
      <c r="Y512" s="364"/>
      <c r="Z512" s="364"/>
      <c r="AA512"/>
      <c r="AB512"/>
      <c r="AC512"/>
      <c r="AD512"/>
    </row>
    <row r="513" spans="17:30" ht="12.75" customHeight="1">
      <c r="Q513" s="364"/>
      <c r="R513" s="895" t="s">
        <v>845</v>
      </c>
      <c r="S513" s="896"/>
      <c r="T513" s="900" t="s">
        <v>835</v>
      </c>
      <c r="U513" s="900" t="s">
        <v>836</v>
      </c>
      <c r="V513" s="900" t="s">
        <v>837</v>
      </c>
      <c r="W513" s="902" t="s">
        <v>838</v>
      </c>
      <c r="X513" s="364"/>
      <c r="Y513" s="364"/>
      <c r="Z513" s="364"/>
      <c r="AA513"/>
      <c r="AB513"/>
      <c r="AC513"/>
      <c r="AD513"/>
    </row>
    <row r="514" spans="17:30" ht="12.75" customHeight="1">
      <c r="Q514" s="364"/>
      <c r="R514" s="892"/>
      <c r="S514" s="897"/>
      <c r="T514" s="901"/>
      <c r="U514" s="901"/>
      <c r="V514" s="901"/>
      <c r="W514" s="903"/>
      <c r="X514" s="364"/>
      <c r="Y514" s="364"/>
      <c r="Z514" s="364"/>
      <c r="AA514"/>
      <c r="AB514"/>
      <c r="AC514"/>
      <c r="AD514"/>
    </row>
    <row r="515" spans="17:30" ht="12.75" customHeight="1">
      <c r="Q515" s="364"/>
      <c r="R515" s="892"/>
      <c r="S515" s="897"/>
      <c r="T515" s="702">
        <f>T502-PPE!$I$15</f>
        <v>102.02059991327963</v>
      </c>
      <c r="U515" s="560">
        <f>U508</f>
        <v>1.7391304347826084</v>
      </c>
      <c r="V515" s="690">
        <f>IF(T515&gt;0,W515*U515," ")</f>
        <v>1086.9565217391303</v>
      </c>
      <c r="W515" s="691">
        <f>IF(T515&gt;0,(VLOOKUP(T515,'Lookup Ready-reckoner'!$B$5:$E$1207,4))," ")</f>
        <v>625</v>
      </c>
      <c r="X515" s="364"/>
      <c r="Y515" s="364"/>
      <c r="Z515" s="364"/>
      <c r="AA515"/>
      <c r="AB515"/>
      <c r="AC515"/>
      <c r="AD515"/>
    </row>
    <row r="516" spans="17:30" ht="12.75" customHeight="1">
      <c r="Q516" s="364"/>
      <c r="R516" s="898"/>
      <c r="S516" s="899"/>
      <c r="T516" s="447"/>
      <c r="U516" s="560"/>
      <c r="V516" s="690" t="str">
        <f>IF(T516&gt;0,W516*U516," ")</f>
        <v xml:space="preserve"> </v>
      </c>
      <c r="W516" s="691" t="str">
        <f>IF(T516&gt;0,(VLOOKUP(T516,'Lookup Ready-reckoner'!$B$5:$E$1007,4))," ")</f>
        <v xml:space="preserve"> </v>
      </c>
      <c r="X516" s="364"/>
      <c r="Y516" s="364"/>
      <c r="Z516" s="364"/>
      <c r="AA516"/>
      <c r="AB516"/>
      <c r="AC516"/>
      <c r="AD516"/>
    </row>
    <row r="517" spans="17:30" ht="12.75" customHeight="1" thickBot="1">
      <c r="Q517" s="364"/>
      <c r="R517" s="692" t="s">
        <v>839</v>
      </c>
      <c r="S517" s="693"/>
      <c r="T517" s="693"/>
      <c r="U517" s="703">
        <f>IF(T515&gt;0,(VLOOKUP(V517,'Lookup Ready-reckoner'!$L$5:$M$1207,2))," ")</f>
        <v>95.3</v>
      </c>
      <c r="V517" s="695">
        <f>IF(U515&gt;0,(SUM(V515:V516))," ")</f>
        <v>1086.9565217391303</v>
      </c>
      <c r="W517" s="696"/>
      <c r="X517" s="364"/>
      <c r="Y517" s="364"/>
      <c r="Z517" s="364"/>
      <c r="AA517"/>
      <c r="AB517"/>
      <c r="AC517"/>
      <c r="AD517"/>
    </row>
    <row r="518" spans="17:30" ht="12.75" customHeight="1" thickBot="1">
      <c r="Q518" s="364"/>
      <c r="R518" s="892"/>
      <c r="S518" s="893"/>
      <c r="T518" s="893"/>
      <c r="U518" s="893"/>
      <c r="V518" s="893"/>
      <c r="W518" s="894"/>
      <c r="X518" s="364"/>
      <c r="Y518" s="364"/>
      <c r="Z518" s="364"/>
      <c r="AA518"/>
      <c r="AB518"/>
      <c r="AC518"/>
      <c r="AD518"/>
    </row>
    <row r="519" spans="17:30" ht="12.75" customHeight="1">
      <c r="Q519" s="364"/>
      <c r="R519" s="895" t="s">
        <v>886</v>
      </c>
      <c r="S519" s="896"/>
      <c r="T519" s="900" t="s">
        <v>835</v>
      </c>
      <c r="U519" s="900" t="s">
        <v>836</v>
      </c>
      <c r="V519" s="900" t="s">
        <v>837</v>
      </c>
      <c r="W519" s="902" t="s">
        <v>838</v>
      </c>
      <c r="X519" s="364"/>
      <c r="Y519" s="364"/>
      <c r="Z519" s="364"/>
      <c r="AA519"/>
      <c r="AB519"/>
      <c r="AC519"/>
      <c r="AD519"/>
    </row>
    <row r="520" spans="17:30" ht="12.75" customHeight="1">
      <c r="Q520" s="364"/>
      <c r="R520" s="892"/>
      <c r="S520" s="897"/>
      <c r="T520" s="901"/>
      <c r="U520" s="901"/>
      <c r="V520" s="901"/>
      <c r="W520" s="903"/>
      <c r="X520" s="364"/>
      <c r="Y520" s="364"/>
      <c r="Z520" s="364"/>
      <c r="AA520"/>
      <c r="AB520"/>
      <c r="AC520"/>
      <c r="AD520"/>
    </row>
    <row r="521" spans="17:30" ht="12.75" customHeight="1">
      <c r="Q521" s="364"/>
      <c r="R521" s="892"/>
      <c r="S521" s="897"/>
      <c r="T521" s="702">
        <f>T508-PPE!$I$15</f>
        <v>97.92586655636687</v>
      </c>
      <c r="U521" s="560">
        <f>U515</f>
        <v>1.7391304347826084</v>
      </c>
      <c r="V521" s="690">
        <f>IF(T521&gt;0,W521*U521," ")</f>
        <v>426.08695652173907</v>
      </c>
      <c r="W521" s="691">
        <f>IF(T521&gt;0,(VLOOKUP(T521,'Lookup Ready-reckoner'!$B$5:$E$1207,4))," ")</f>
        <v>245</v>
      </c>
      <c r="X521" s="364"/>
      <c r="Y521" s="364"/>
      <c r="Z521" s="364"/>
      <c r="AA521"/>
      <c r="AB521"/>
      <c r="AC521"/>
      <c r="AD521"/>
    </row>
    <row r="522" spans="17:30" ht="12.75" customHeight="1">
      <c r="Q522" s="364"/>
      <c r="R522" s="898"/>
      <c r="S522" s="899"/>
      <c r="T522" s="447"/>
      <c r="U522" s="560"/>
      <c r="V522" s="690" t="str">
        <f>IF(T522&gt;0,W522*U522," ")</f>
        <v xml:space="preserve"> </v>
      </c>
      <c r="W522" s="691" t="str">
        <f>IF(T522&gt;0,(VLOOKUP(T522,'Lookup Ready-reckoner'!$B$5:$E$1007,4))," ")</f>
        <v xml:space="preserve"> </v>
      </c>
      <c r="X522" s="364"/>
      <c r="Y522" s="364"/>
      <c r="Z522" s="364"/>
      <c r="AA522"/>
      <c r="AB522"/>
      <c r="AC522"/>
      <c r="AD522"/>
    </row>
    <row r="523" spans="17:30" ht="12.75" customHeight="1" thickBot="1">
      <c r="Q523" s="364"/>
      <c r="R523" s="692" t="s">
        <v>839</v>
      </c>
      <c r="S523" s="693"/>
      <c r="T523" s="693"/>
      <c r="U523" s="703">
        <f>IF(T521&gt;0,(VLOOKUP(V523,'Lookup Ready-reckoner'!$L$5:$M$1207,2))," ")</f>
        <v>91.25</v>
      </c>
      <c r="V523" s="695">
        <f>IF(U521&gt;0,(SUM(V521:V522))," ")</f>
        <v>426.08695652173907</v>
      </c>
      <c r="W523" s="696"/>
      <c r="X523" s="364"/>
      <c r="Y523" s="364"/>
      <c r="Z523" s="364"/>
      <c r="AA523"/>
      <c r="AB523"/>
      <c r="AC523"/>
      <c r="AD523"/>
    </row>
    <row r="524" spans="17:30" ht="12.75" customHeight="1">
      <c r="Q524" s="364"/>
      <c r="R524" s="363"/>
      <c r="S524" s="363"/>
      <c r="T524" s="363"/>
      <c r="U524" s="363"/>
      <c r="V524" s="363"/>
      <c r="W524" s="363"/>
      <c r="X524" s="364"/>
      <c r="Y524" s="364"/>
      <c r="Z524" s="364"/>
      <c r="AA524"/>
      <c r="AB524"/>
      <c r="AC524"/>
      <c r="AD524"/>
    </row>
    <row r="525" spans="17:30" ht="12.75" customHeight="1">
      <c r="Q525" s="364"/>
      <c r="R525" s="909" t="str">
        <f>R406</f>
        <v xml:space="preserve">Hilti TE MD20 </v>
      </c>
      <c r="S525" s="909"/>
      <c r="T525" s="909"/>
      <c r="U525" s="909"/>
      <c r="V525" s="909"/>
      <c r="W525" s="909"/>
      <c r="X525" s="364"/>
      <c r="Y525" s="364"/>
      <c r="Z525" s="364"/>
      <c r="AA525"/>
      <c r="AB525"/>
      <c r="AC525"/>
      <c r="AD525"/>
    </row>
    <row r="526" spans="17:30" ht="12.75" customHeight="1" thickBot="1">
      <c r="Q526" s="364"/>
      <c r="R526" s="910" t="s">
        <v>205</v>
      </c>
      <c r="S526" s="911"/>
      <c r="T526" s="911"/>
      <c r="U526" s="911"/>
      <c r="V526" s="911"/>
      <c r="W526" s="912"/>
      <c r="X526" s="364"/>
      <c r="Y526" s="364"/>
      <c r="Z526" s="364"/>
      <c r="AA526"/>
      <c r="AB526"/>
      <c r="AC526"/>
      <c r="AD526"/>
    </row>
    <row r="527" spans="17:30" ht="12.75" customHeight="1" thickBot="1">
      <c r="Q527" s="364"/>
      <c r="R527" s="686" t="s">
        <v>59</v>
      </c>
      <c r="S527" s="577"/>
      <c r="T527" s="687"/>
      <c r="U527" s="687"/>
      <c r="V527" s="687"/>
      <c r="W527" s="688"/>
      <c r="X527" s="364"/>
      <c r="Y527" s="364"/>
      <c r="Z527" s="364"/>
      <c r="AA527"/>
      <c r="AB527"/>
      <c r="AC527"/>
      <c r="AD527"/>
    </row>
    <row r="528" spans="17:30" ht="12.75" customHeight="1">
      <c r="Q528" s="364"/>
      <c r="R528" s="895" t="s">
        <v>845</v>
      </c>
      <c r="S528" s="896"/>
      <c r="T528" s="900" t="s">
        <v>835</v>
      </c>
      <c r="U528" s="900" t="s">
        <v>836</v>
      </c>
      <c r="V528" s="900" t="s">
        <v>837</v>
      </c>
      <c r="W528" s="902" t="s">
        <v>838</v>
      </c>
      <c r="X528" s="364"/>
      <c r="Y528" s="364"/>
      <c r="Z528" s="364"/>
      <c r="AA528"/>
      <c r="AB528"/>
      <c r="AC528"/>
      <c r="AD528"/>
    </row>
    <row r="529" spans="17:30" ht="12.75" customHeight="1">
      <c r="Q529" s="364"/>
      <c r="R529" s="892"/>
      <c r="S529" s="897"/>
      <c r="T529" s="904"/>
      <c r="U529" s="904"/>
      <c r="V529" s="904"/>
      <c r="W529" s="905"/>
      <c r="X529" s="364"/>
      <c r="Y529" s="364"/>
      <c r="Z529" s="364"/>
      <c r="AA529"/>
      <c r="AB529"/>
      <c r="AC529"/>
      <c r="AD529"/>
    </row>
    <row r="530" spans="17:30" ht="12.75" customHeight="1">
      <c r="Q530" s="364"/>
      <c r="R530" s="892"/>
      <c r="S530" s="897"/>
      <c r="T530" s="901"/>
      <c r="U530" s="901"/>
      <c r="V530" s="901"/>
      <c r="W530" s="903"/>
      <c r="X530" s="364"/>
      <c r="Y530" s="364"/>
      <c r="Z530" s="364"/>
      <c r="AA530"/>
      <c r="AB530"/>
      <c r="AC530"/>
      <c r="AD530"/>
    </row>
    <row r="531" spans="17:30" ht="12.75" customHeight="1">
      <c r="Q531" s="364"/>
      <c r="R531" s="892"/>
      <c r="S531" s="897"/>
      <c r="T531" s="704">
        <f>U76</f>
        <v>108.02059991327964</v>
      </c>
      <c r="U531" s="560">
        <f>U62</f>
        <v>2.6666666666666665</v>
      </c>
      <c r="V531" s="690">
        <f>IF(T531&gt;0,W531*U531," ")</f>
        <v>6666.6666666666661</v>
      </c>
      <c r="W531" s="691">
        <f>IF(T531&gt;0,(VLOOKUP(T531,'Lookup Ready-reckoner'!$B$5:$E$1207,4))," ")</f>
        <v>2500</v>
      </c>
      <c r="X531" s="364"/>
      <c r="Y531" s="364"/>
      <c r="Z531" s="364"/>
      <c r="AA531"/>
      <c r="AB531"/>
      <c r="AC531"/>
      <c r="AD531"/>
    </row>
    <row r="532" spans="17:30" ht="12.75" customHeight="1">
      <c r="Q532" s="364"/>
      <c r="R532" s="898"/>
      <c r="S532" s="899"/>
      <c r="T532" s="447"/>
      <c r="U532" s="560"/>
      <c r="V532" s="690" t="str">
        <f>IF(T532&gt;0,W532*U532," ")</f>
        <v xml:space="preserve"> </v>
      </c>
      <c r="W532" s="691" t="str">
        <f>IF(T532&gt;0,(VLOOKUP(T532,'Lookup Ready-reckoner'!$B$5:$E$1007,4))," ")</f>
        <v xml:space="preserve"> </v>
      </c>
      <c r="X532" s="364"/>
      <c r="Y532" s="364"/>
      <c r="Z532" s="364"/>
      <c r="AA532"/>
      <c r="AB532"/>
      <c r="AC532"/>
      <c r="AD532"/>
    </row>
    <row r="533" spans="17:30" ht="12.75" customHeight="1" thickBot="1">
      <c r="Q533" s="364"/>
      <c r="R533" s="692" t="s">
        <v>839</v>
      </c>
      <c r="S533" s="693"/>
      <c r="T533" s="693"/>
      <c r="U533" s="705">
        <f>IF(T531&gt;0,(VLOOKUP(V533,'Lookup Ready-reckoner'!$L$5:$M$1207,2))," ")</f>
        <v>103.15</v>
      </c>
      <c r="V533" s="695">
        <f>IF(U531&gt;0,(SUM(V531:V532))," ")</f>
        <v>6666.6666666666661</v>
      </c>
      <c r="W533" s="696"/>
      <c r="X533" s="364"/>
      <c r="Y533" s="364"/>
      <c r="Z533" s="364"/>
      <c r="AA533"/>
      <c r="AB533"/>
      <c r="AC533"/>
      <c r="AD533"/>
    </row>
    <row r="534" spans="17:30" ht="12.75" customHeight="1" thickBot="1">
      <c r="Q534" s="364"/>
      <c r="R534" s="906"/>
      <c r="S534" s="907"/>
      <c r="T534" s="907"/>
      <c r="U534" s="907"/>
      <c r="V534" s="907"/>
      <c r="W534" s="908"/>
      <c r="X534" s="364"/>
      <c r="Y534" s="364"/>
      <c r="Z534" s="364"/>
      <c r="AA534"/>
      <c r="AB534"/>
      <c r="AC534"/>
      <c r="AD534"/>
    </row>
    <row r="535" spans="17:30" ht="12.75" customHeight="1">
      <c r="Q535" s="364"/>
      <c r="R535" s="895" t="s">
        <v>886</v>
      </c>
      <c r="S535" s="896"/>
      <c r="T535" s="900" t="s">
        <v>835</v>
      </c>
      <c r="U535" s="900" t="s">
        <v>836</v>
      </c>
      <c r="V535" s="900" t="s">
        <v>837</v>
      </c>
      <c r="W535" s="902" t="s">
        <v>838</v>
      </c>
      <c r="X535" s="364"/>
      <c r="Y535" s="364"/>
      <c r="Z535" s="364"/>
      <c r="AA535"/>
      <c r="AB535"/>
      <c r="AC535"/>
      <c r="AD535"/>
    </row>
    <row r="536" spans="17:30" ht="12.75" customHeight="1">
      <c r="Q536" s="364"/>
      <c r="R536" s="892"/>
      <c r="S536" s="897"/>
      <c r="T536" s="901"/>
      <c r="U536" s="901"/>
      <c r="V536" s="901"/>
      <c r="W536" s="903"/>
      <c r="X536" s="364"/>
      <c r="Y536" s="364"/>
      <c r="Z536" s="364"/>
      <c r="AA536"/>
      <c r="AB536"/>
      <c r="AC536"/>
      <c r="AD536"/>
    </row>
    <row r="537" spans="17:30" ht="12.75" customHeight="1">
      <c r="Q537" s="364"/>
      <c r="R537" s="892"/>
      <c r="S537" s="897"/>
      <c r="T537" s="704">
        <f>T531*(1-0.0178*2)</f>
        <v>104.17506655636689</v>
      </c>
      <c r="U537" s="560">
        <f>U531</f>
        <v>2.6666666666666665</v>
      </c>
      <c r="V537" s="690">
        <f>IF(T537&gt;0,W537*U537," ")</f>
        <v>2766.6666666666665</v>
      </c>
      <c r="W537" s="691">
        <f>IF(T537&gt;0,(VLOOKUP(T537,'Lookup Ready-reckoner'!$B$5:$E$1207,4))," ")</f>
        <v>1037.5</v>
      </c>
      <c r="X537" s="364"/>
      <c r="Y537" s="364"/>
      <c r="Z537" s="364"/>
      <c r="AA537"/>
      <c r="AB537"/>
      <c r="AC537"/>
      <c r="AD537"/>
    </row>
    <row r="538" spans="17:30" ht="12.75" customHeight="1">
      <c r="Q538" s="364"/>
      <c r="R538" s="898"/>
      <c r="S538" s="899"/>
      <c r="T538" s="447"/>
      <c r="U538" s="560"/>
      <c r="V538" s="690" t="str">
        <f>IF(T538&gt;0,W538*U538," ")</f>
        <v xml:space="preserve"> </v>
      </c>
      <c r="W538" s="691" t="str">
        <f>IF(T538&gt;0,(VLOOKUP(T538,'Lookup Ready-reckoner'!$B$5:$E$1007,4))," ")</f>
        <v xml:space="preserve"> </v>
      </c>
      <c r="X538" s="364"/>
      <c r="Y538" s="364"/>
      <c r="Z538" s="364"/>
      <c r="AA538"/>
      <c r="AB538"/>
      <c r="AC538"/>
      <c r="AD538"/>
    </row>
    <row r="539" spans="17:30" ht="12.75" customHeight="1" thickBot="1">
      <c r="Q539" s="364"/>
      <c r="R539" s="692" t="s">
        <v>839</v>
      </c>
      <c r="S539" s="693"/>
      <c r="T539" s="693"/>
      <c r="U539" s="705">
        <f>IF(T537&gt;0,(VLOOKUP(V539,'Lookup Ready-reckoner'!$L$5:$M$1207,2))," ")</f>
        <v>99.35</v>
      </c>
      <c r="V539" s="695">
        <f>IF(U537&gt;0,(SUM(V537:V538))," ")</f>
        <v>2766.6666666666665</v>
      </c>
      <c r="W539" s="696"/>
      <c r="X539" s="364"/>
      <c r="Y539" s="364"/>
      <c r="Z539" s="364"/>
      <c r="AA539"/>
      <c r="AB539"/>
      <c r="AC539"/>
      <c r="AD539"/>
    </row>
    <row r="540" spans="17:30" ht="12.75" customHeight="1">
      <c r="Q540" s="364"/>
      <c r="R540" s="697"/>
      <c r="S540" s="687"/>
      <c r="T540" s="687"/>
      <c r="U540" s="372"/>
      <c r="V540" s="374"/>
      <c r="W540" s="688"/>
      <c r="X540" s="364"/>
      <c r="Y540" s="364"/>
      <c r="Z540" s="364"/>
      <c r="AA540"/>
      <c r="AB540"/>
      <c r="AC540"/>
      <c r="AD540"/>
    </row>
    <row r="541" spans="17:30" ht="12.75" customHeight="1" thickBot="1">
      <c r="Q541" s="364"/>
      <c r="R541" s="686" t="s">
        <v>60</v>
      </c>
      <c r="S541" s="577"/>
      <c r="T541" s="577"/>
      <c r="U541" s="577"/>
      <c r="V541" s="577"/>
      <c r="W541" s="698"/>
      <c r="X541" s="364"/>
      <c r="Y541" s="364"/>
      <c r="Z541" s="364"/>
      <c r="AA541"/>
      <c r="AB541"/>
      <c r="AC541"/>
      <c r="AD541"/>
    </row>
    <row r="542" spans="17:30" ht="12.75" customHeight="1">
      <c r="Q542" s="364"/>
      <c r="R542" s="895" t="s">
        <v>845</v>
      </c>
      <c r="S542" s="896"/>
      <c r="T542" s="900" t="s">
        <v>835</v>
      </c>
      <c r="U542" s="900" t="s">
        <v>836</v>
      </c>
      <c r="V542" s="900" t="s">
        <v>837</v>
      </c>
      <c r="W542" s="902" t="s">
        <v>838</v>
      </c>
      <c r="X542" s="364"/>
      <c r="Y542" s="364"/>
      <c r="Z542" s="364"/>
      <c r="AA542"/>
      <c r="AB542"/>
      <c r="AC542"/>
      <c r="AD542"/>
    </row>
    <row r="543" spans="17:30" ht="12.75" customHeight="1">
      <c r="Q543" s="364"/>
      <c r="R543" s="892"/>
      <c r="S543" s="897"/>
      <c r="T543" s="901"/>
      <c r="U543" s="901"/>
      <c r="V543" s="901"/>
      <c r="W543" s="903"/>
      <c r="X543" s="364"/>
      <c r="Y543" s="364"/>
      <c r="Z543" s="364"/>
      <c r="AA543"/>
      <c r="AB543"/>
      <c r="AC543"/>
      <c r="AD543"/>
    </row>
    <row r="544" spans="17:30" ht="12.75" customHeight="1">
      <c r="Q544" s="364"/>
      <c r="R544" s="892"/>
      <c r="S544" s="897"/>
      <c r="T544" s="704">
        <f>T531-PPE!$I$15</f>
        <v>95.020599913279639</v>
      </c>
      <c r="U544" s="560">
        <f>U537</f>
        <v>2.6666666666666665</v>
      </c>
      <c r="V544" s="690">
        <f>IF(T544&gt;0,W544*U544," ")</f>
        <v>333.33333333333331</v>
      </c>
      <c r="W544" s="691">
        <f>IF(T544&gt;0,(VLOOKUP(T544,'Lookup Ready-reckoner'!$B$5:$E$1207,4))," ")</f>
        <v>125</v>
      </c>
      <c r="X544" s="364"/>
      <c r="Y544" s="364"/>
      <c r="Z544" s="364"/>
      <c r="AA544"/>
      <c r="AB544"/>
      <c r="AC544"/>
      <c r="AD544"/>
    </row>
    <row r="545" spans="17:30" ht="12.75" customHeight="1">
      <c r="Q545" s="364"/>
      <c r="R545" s="898"/>
      <c r="S545" s="899"/>
      <c r="T545" s="447"/>
      <c r="U545" s="560"/>
      <c r="V545" s="690" t="str">
        <f>IF(T545&gt;0,W545*U545," ")</f>
        <v xml:space="preserve"> </v>
      </c>
      <c r="W545" s="691" t="str">
        <f>IF(T545&gt;0,(VLOOKUP(T545,'Lookup Ready-reckoner'!$B$5:$E$1007,4))," ")</f>
        <v xml:space="preserve"> </v>
      </c>
      <c r="X545" s="364"/>
      <c r="Y545" s="364"/>
      <c r="Z545" s="364"/>
      <c r="AA545"/>
      <c r="AB545"/>
      <c r="AC545"/>
      <c r="AD545"/>
    </row>
    <row r="546" spans="17:30" ht="12.75" customHeight="1" thickBot="1">
      <c r="Q546" s="364"/>
      <c r="R546" s="692" t="s">
        <v>839</v>
      </c>
      <c r="S546" s="693"/>
      <c r="T546" s="693"/>
      <c r="U546" s="705">
        <f>IF(T544&gt;0,(VLOOKUP(V546,'Lookup Ready-reckoner'!$L$5:$M$1207,2))," ")</f>
        <v>90.15</v>
      </c>
      <c r="V546" s="695">
        <f>IF(U544&gt;0,(SUM(V544:V545))," ")</f>
        <v>333.33333333333331</v>
      </c>
      <c r="W546" s="696"/>
      <c r="X546" s="364"/>
      <c r="Y546" s="364"/>
      <c r="Z546" s="364"/>
      <c r="AA546"/>
      <c r="AB546"/>
      <c r="AC546"/>
      <c r="AD546"/>
    </row>
    <row r="547" spans="17:30" ht="12.75" customHeight="1" thickBot="1">
      <c r="Q547" s="364"/>
      <c r="R547" s="892"/>
      <c r="S547" s="893"/>
      <c r="T547" s="893"/>
      <c r="U547" s="893"/>
      <c r="V547" s="893"/>
      <c r="W547" s="894"/>
      <c r="X547" s="364"/>
      <c r="Y547" s="364"/>
      <c r="Z547" s="364"/>
      <c r="AA547"/>
      <c r="AB547"/>
      <c r="AC547"/>
      <c r="AD547"/>
    </row>
    <row r="548" spans="17:30" ht="12.75" customHeight="1">
      <c r="Q548" s="364"/>
      <c r="R548" s="895" t="s">
        <v>886</v>
      </c>
      <c r="S548" s="896"/>
      <c r="T548" s="900" t="s">
        <v>835</v>
      </c>
      <c r="U548" s="900" t="s">
        <v>836</v>
      </c>
      <c r="V548" s="900" t="s">
        <v>837</v>
      </c>
      <c r="W548" s="902" t="s">
        <v>838</v>
      </c>
      <c r="X548" s="364"/>
      <c r="Y548" s="364"/>
      <c r="Z548" s="364"/>
      <c r="AA548"/>
      <c r="AB548"/>
      <c r="AC548"/>
      <c r="AD548"/>
    </row>
    <row r="549" spans="17:30" ht="12.75" customHeight="1">
      <c r="Q549" s="364"/>
      <c r="R549" s="892"/>
      <c r="S549" s="897"/>
      <c r="T549" s="901"/>
      <c r="U549" s="901"/>
      <c r="V549" s="901"/>
      <c r="W549" s="903"/>
      <c r="X549" s="364"/>
      <c r="Y549" s="364"/>
      <c r="Z549" s="364"/>
      <c r="AA549"/>
      <c r="AB549"/>
      <c r="AC549"/>
      <c r="AD549"/>
    </row>
    <row r="550" spans="17:30" ht="12.75" customHeight="1">
      <c r="Q550" s="364"/>
      <c r="R550" s="892"/>
      <c r="S550" s="897"/>
      <c r="T550" s="704">
        <f>T537-PPE!$I$15</f>
        <v>91.175066556366886</v>
      </c>
      <c r="U550" s="560">
        <f>U544</f>
        <v>2.6666666666666665</v>
      </c>
      <c r="V550" s="690">
        <f>IF(T550&gt;0,W550*U550," ")</f>
        <v>138.33333333333331</v>
      </c>
      <c r="W550" s="691">
        <f>IF(T550&gt;0,(VLOOKUP(T550,'Lookup Ready-reckoner'!$B$5:$E$1207,4))," ")</f>
        <v>51.875</v>
      </c>
      <c r="X550" s="364"/>
      <c r="Y550" s="364"/>
      <c r="Z550" s="364"/>
      <c r="AA550"/>
      <c r="AB550"/>
      <c r="AC550"/>
      <c r="AD550"/>
    </row>
    <row r="551" spans="17:30" ht="12.75" customHeight="1">
      <c r="Q551" s="364"/>
      <c r="R551" s="898"/>
      <c r="S551" s="899"/>
      <c r="T551" s="447"/>
      <c r="U551" s="560"/>
      <c r="V551" s="690" t="str">
        <f>IF(T551&gt;0,W551*U551," ")</f>
        <v xml:space="preserve"> </v>
      </c>
      <c r="W551" s="691" t="str">
        <f>IF(T551&gt;0,(VLOOKUP(T551,'Lookup Ready-reckoner'!$B$5:$E$1007,4))," ")</f>
        <v xml:space="preserve"> </v>
      </c>
      <c r="X551" s="364"/>
      <c r="Y551" s="364"/>
      <c r="Z551" s="364"/>
      <c r="AA551"/>
      <c r="AB551"/>
      <c r="AC551"/>
      <c r="AD551"/>
    </row>
    <row r="552" spans="17:30" ht="12.75" customHeight="1" thickBot="1">
      <c r="Q552" s="364"/>
      <c r="R552" s="692" t="s">
        <v>839</v>
      </c>
      <c r="S552" s="693"/>
      <c r="T552" s="693"/>
      <c r="U552" s="705">
        <f>IF(T550&gt;0,(VLOOKUP(V552,'Lookup Ready-reckoner'!$L$5:$M$1207,2))," ")</f>
        <v>86.35</v>
      </c>
      <c r="V552" s="695">
        <f>IF(U550&gt;0,(SUM(V550:V551))," ")</f>
        <v>138.33333333333331</v>
      </c>
      <c r="W552" s="696"/>
      <c r="X552" s="364"/>
      <c r="Y552" s="364"/>
      <c r="Z552" s="364"/>
      <c r="AA552"/>
      <c r="AB552"/>
      <c r="AC552"/>
      <c r="AD552"/>
    </row>
    <row r="553" spans="17:30" ht="12.75" customHeight="1">
      <c r="Q553" s="364"/>
      <c r="R553" s="364"/>
      <c r="S553" s="364"/>
      <c r="T553" s="364"/>
      <c r="U553" s="364"/>
      <c r="V553" s="364"/>
      <c r="W553" s="364"/>
      <c r="X553" s="364"/>
      <c r="Y553" s="364"/>
      <c r="Z553" s="364"/>
      <c r="AA553"/>
      <c r="AB553"/>
      <c r="AC553"/>
      <c r="AD553"/>
    </row>
    <row r="554" spans="17:30" ht="12.75" customHeight="1">
      <c r="Q554"/>
      <c r="R554"/>
      <c r="S554"/>
      <c r="T554"/>
      <c r="U554"/>
      <c r="V554"/>
      <c r="W554"/>
      <c r="X554"/>
      <c r="Y554"/>
      <c r="Z554"/>
      <c r="AA554"/>
      <c r="AB554"/>
      <c r="AC554"/>
      <c r="AD554"/>
    </row>
    <row r="555" spans="17:30" ht="12.75" customHeight="1">
      <c r="Q555"/>
      <c r="R555"/>
      <c r="S555"/>
      <c r="T555"/>
      <c r="U555"/>
      <c r="V555"/>
      <c r="W555"/>
      <c r="X555"/>
      <c r="Y555"/>
      <c r="Z555"/>
      <c r="AA555"/>
      <c r="AB555"/>
      <c r="AC555"/>
      <c r="AD555"/>
    </row>
    <row r="556" spans="17:30" ht="12.75" customHeight="1">
      <c r="Q556"/>
      <c r="R556"/>
      <c r="S556"/>
      <c r="T556"/>
      <c r="U556"/>
      <c r="V556"/>
      <c r="W556"/>
      <c r="X556"/>
      <c r="Y556"/>
      <c r="Z556"/>
      <c r="AA556"/>
      <c r="AB556"/>
      <c r="AC556"/>
      <c r="AD556"/>
    </row>
    <row r="557" spans="17:30" ht="12.75" customHeight="1">
      <c r="Q557"/>
      <c r="R557"/>
      <c r="S557"/>
      <c r="T557"/>
      <c r="U557"/>
      <c r="V557"/>
      <c r="W557"/>
      <c r="X557"/>
      <c r="Y557"/>
      <c r="Z557"/>
      <c r="AA557"/>
      <c r="AB557"/>
      <c r="AC557"/>
      <c r="AD557"/>
    </row>
    <row r="558" spans="17:30" ht="12.75" customHeight="1">
      <c r="Q558"/>
      <c r="R558"/>
      <c r="S558"/>
      <c r="T558"/>
      <c r="U558"/>
      <c r="V558"/>
      <c r="W558"/>
      <c r="X558"/>
      <c r="Y558"/>
      <c r="Z558"/>
      <c r="AA558"/>
      <c r="AB558"/>
      <c r="AC558"/>
      <c r="AD558"/>
    </row>
    <row r="559" spans="17:30" ht="12.75" customHeight="1">
      <c r="Q559"/>
      <c r="R559"/>
      <c r="S559"/>
      <c r="T559"/>
      <c r="U559"/>
      <c r="V559"/>
      <c r="W559"/>
      <c r="X559"/>
      <c r="Y559"/>
      <c r="Z559"/>
      <c r="AA559"/>
      <c r="AB559"/>
      <c r="AC559"/>
      <c r="AD559"/>
    </row>
    <row r="560" spans="17:30" ht="12.75" customHeight="1">
      <c r="Q560"/>
      <c r="R560"/>
      <c r="S560"/>
      <c r="T560"/>
      <c r="U560"/>
      <c r="V560"/>
      <c r="W560"/>
      <c r="X560"/>
      <c r="Y560"/>
      <c r="Z560"/>
      <c r="AA560"/>
      <c r="AB560"/>
      <c r="AC560"/>
      <c r="AD560"/>
    </row>
    <row r="561" spans="17:32" ht="12.75" customHeight="1">
      <c r="Q561"/>
      <c r="R561"/>
      <c r="S561"/>
      <c r="T561"/>
      <c r="U561"/>
      <c r="V561"/>
      <c r="W561"/>
      <c r="X561"/>
      <c r="Y561"/>
      <c r="Z561"/>
    </row>
    <row r="562" spans="17:32" ht="12.75" customHeight="1">
      <c r="Q562"/>
      <c r="R562"/>
      <c r="S562"/>
      <c r="T562"/>
      <c r="U562"/>
      <c r="V562"/>
      <c r="W562"/>
      <c r="X562"/>
      <c r="Y562"/>
      <c r="Z562"/>
    </row>
    <row r="563" spans="17:32" ht="12.75" customHeight="1">
      <c r="Q563"/>
      <c r="R563"/>
      <c r="S563"/>
      <c r="T563"/>
      <c r="U563"/>
      <c r="V563"/>
      <c r="W563"/>
      <c r="X563"/>
      <c r="Y563"/>
      <c r="Z563"/>
    </row>
    <row r="564" spans="17:32" ht="12.75" customHeight="1">
      <c r="Q564"/>
      <c r="R564"/>
      <c r="S564"/>
      <c r="T564"/>
      <c r="U564"/>
      <c r="V564"/>
      <c r="W564"/>
      <c r="X564"/>
      <c r="Y564"/>
      <c r="Z564"/>
    </row>
    <row r="565" spans="17:32" ht="12.75" customHeight="1">
      <c r="Q565"/>
      <c r="R565"/>
      <c r="S565"/>
      <c r="T565"/>
      <c r="U565"/>
      <c r="V565"/>
      <c r="W565"/>
      <c r="X565"/>
      <c r="Y565"/>
      <c r="Z565"/>
    </row>
    <row r="566" spans="17:32" ht="12.75" customHeight="1">
      <c r="Q566"/>
      <c r="R566"/>
      <c r="S566"/>
      <c r="T566"/>
      <c r="U566"/>
      <c r="V566"/>
      <c r="W566"/>
      <c r="X566"/>
      <c r="Y566"/>
      <c r="Z566"/>
    </row>
    <row r="567" spans="17:32" ht="12.75" customHeight="1">
      <c r="Q567"/>
      <c r="R567"/>
      <c r="S567"/>
      <c r="T567"/>
      <c r="U567"/>
      <c r="V567"/>
      <c r="W567"/>
      <c r="X567"/>
      <c r="Y567"/>
      <c r="Z567"/>
    </row>
    <row r="568" spans="17:32" ht="12.75" customHeight="1">
      <c r="Q568"/>
      <c r="R568"/>
      <c r="S568"/>
      <c r="T568"/>
      <c r="U568"/>
      <c r="V568"/>
      <c r="W568"/>
      <c r="X568"/>
      <c r="Y568"/>
      <c r="Z568"/>
    </row>
    <row r="569" spans="17:32" ht="12.75" customHeight="1">
      <c r="Q569"/>
      <c r="R569"/>
      <c r="S569"/>
      <c r="T569"/>
      <c r="U569"/>
      <c r="V569"/>
      <c r="W569"/>
      <c r="X569"/>
      <c r="Y569"/>
      <c r="Z569"/>
    </row>
    <row r="570" spans="17:32" ht="12.75" customHeight="1">
      <c r="Q570"/>
      <c r="R570"/>
      <c r="S570"/>
      <c r="T570"/>
      <c r="U570"/>
      <c r="V570"/>
      <c r="W570"/>
      <c r="X570"/>
      <c r="Y570"/>
      <c r="Z570"/>
    </row>
    <row r="571" spans="17:32" ht="12.75" customHeight="1">
      <c r="Q571"/>
      <c r="R571"/>
      <c r="S571"/>
      <c r="T571"/>
      <c r="U571"/>
      <c r="V571"/>
      <c r="W571"/>
      <c r="X571"/>
      <c r="Y571"/>
      <c r="Z571"/>
    </row>
    <row r="572" spans="17:32" ht="12.75" customHeight="1">
      <c r="Q572"/>
      <c r="R572"/>
      <c r="S572"/>
      <c r="T572"/>
      <c r="U572"/>
      <c r="V572"/>
      <c r="W572"/>
      <c r="X572"/>
      <c r="Y572"/>
      <c r="Z572"/>
      <c r="AA572"/>
      <c r="AB572"/>
      <c r="AC572"/>
      <c r="AD572"/>
      <c r="AE572"/>
      <c r="AF572"/>
    </row>
    <row r="573" spans="17:32" ht="12.75" customHeight="1">
      <c r="Q573"/>
      <c r="R573"/>
      <c r="S573"/>
      <c r="T573"/>
      <c r="U573"/>
      <c r="V573"/>
      <c r="W573"/>
      <c r="X573"/>
      <c r="Y573"/>
      <c r="Z573"/>
      <c r="AA573"/>
      <c r="AB573"/>
      <c r="AC573"/>
      <c r="AD573"/>
      <c r="AE573"/>
      <c r="AF573"/>
    </row>
    <row r="574" spans="17:32" ht="12.75" customHeight="1">
      <c r="Q574"/>
      <c r="R574"/>
      <c r="S574"/>
      <c r="T574"/>
      <c r="U574"/>
      <c r="V574"/>
      <c r="W574"/>
      <c r="X574"/>
      <c r="Y574"/>
      <c r="Z574"/>
      <c r="AA574"/>
      <c r="AB574"/>
      <c r="AC574"/>
      <c r="AD574"/>
      <c r="AE574"/>
      <c r="AF574"/>
    </row>
    <row r="575" spans="17:32" ht="12.75" customHeight="1">
      <c r="Q575"/>
      <c r="R575"/>
      <c r="S575"/>
      <c r="T575"/>
      <c r="U575"/>
      <c r="V575"/>
      <c r="W575"/>
      <c r="X575"/>
      <c r="Y575"/>
      <c r="Z575"/>
      <c r="AA575"/>
      <c r="AB575"/>
      <c r="AC575"/>
      <c r="AD575"/>
      <c r="AE575"/>
      <c r="AF575"/>
    </row>
    <row r="576" spans="17:32" ht="12.75" customHeight="1">
      <c r="Q576"/>
      <c r="R576"/>
      <c r="S576"/>
      <c r="T576"/>
      <c r="U576"/>
      <c r="V576"/>
      <c r="W576"/>
      <c r="X576"/>
      <c r="Y576"/>
      <c r="Z576"/>
      <c r="AA576"/>
      <c r="AB576"/>
      <c r="AC576"/>
      <c r="AD576"/>
      <c r="AE576"/>
      <c r="AF576"/>
    </row>
    <row r="577" spans="17:32" ht="12.75" customHeight="1">
      <c r="Q577"/>
      <c r="R577"/>
      <c r="S577"/>
      <c r="T577"/>
      <c r="U577"/>
      <c r="V577"/>
      <c r="W577"/>
      <c r="X577"/>
      <c r="Y577"/>
      <c r="Z577"/>
      <c r="AA577"/>
      <c r="AB577"/>
      <c r="AC577"/>
      <c r="AD577"/>
      <c r="AE577"/>
      <c r="AF577"/>
    </row>
    <row r="578" spans="17:32" ht="12.75" customHeight="1">
      <c r="Q578"/>
      <c r="R578"/>
      <c r="S578"/>
      <c r="T578"/>
      <c r="U578"/>
      <c r="V578"/>
      <c r="W578"/>
      <c r="X578"/>
      <c r="Y578"/>
      <c r="Z578"/>
      <c r="AA578"/>
      <c r="AB578"/>
      <c r="AC578"/>
      <c r="AD578"/>
      <c r="AE578"/>
      <c r="AF578"/>
    </row>
    <row r="579" spans="17:32" ht="12.75" customHeight="1">
      <c r="Q579"/>
      <c r="R579"/>
      <c r="S579"/>
      <c r="T579"/>
      <c r="U579"/>
      <c r="V579"/>
      <c r="W579"/>
      <c r="X579"/>
      <c r="Y579"/>
      <c r="Z579"/>
      <c r="AA579"/>
      <c r="AB579"/>
      <c r="AC579"/>
      <c r="AD579"/>
      <c r="AE579"/>
      <c r="AF579"/>
    </row>
    <row r="580" spans="17:32" ht="12.75" customHeight="1">
      <c r="Q580"/>
      <c r="R580"/>
      <c r="S580"/>
      <c r="T580"/>
      <c r="U580"/>
      <c r="V580"/>
      <c r="W580"/>
      <c r="X580"/>
      <c r="Y580"/>
      <c r="Z580"/>
      <c r="AA580"/>
      <c r="AB580"/>
      <c r="AC580"/>
      <c r="AD580"/>
      <c r="AE580"/>
      <c r="AF580"/>
    </row>
    <row r="581" spans="17:32" ht="12.75" customHeight="1">
      <c r="Q581"/>
      <c r="R581"/>
      <c r="S581"/>
      <c r="T581"/>
      <c r="U581"/>
      <c r="V581"/>
      <c r="W581"/>
      <c r="X581"/>
      <c r="Y581"/>
      <c r="Z581"/>
      <c r="AA581"/>
      <c r="AB581"/>
      <c r="AC581"/>
      <c r="AD581"/>
      <c r="AE581"/>
      <c r="AF581"/>
    </row>
    <row r="582" spans="17:32" ht="12.75" customHeight="1">
      <c r="Q582"/>
      <c r="R582"/>
      <c r="S582"/>
      <c r="T582"/>
      <c r="U582"/>
      <c r="V582"/>
      <c r="W582"/>
      <c r="X582"/>
      <c r="Y582"/>
      <c r="Z582"/>
      <c r="AA582"/>
      <c r="AB582"/>
      <c r="AC582"/>
      <c r="AD582"/>
      <c r="AE582"/>
      <c r="AF582"/>
    </row>
    <row r="583" spans="17:32" ht="12.75" customHeight="1">
      <c r="Q583"/>
      <c r="R583"/>
      <c r="S583"/>
      <c r="T583"/>
      <c r="U583"/>
      <c r="V583"/>
      <c r="W583"/>
      <c r="X583"/>
      <c r="Y583"/>
      <c r="Z583"/>
      <c r="AA583"/>
      <c r="AB583"/>
      <c r="AC583"/>
      <c r="AD583"/>
      <c r="AE583"/>
      <c r="AF583"/>
    </row>
    <row r="584" spans="17:32" ht="12.75" customHeight="1">
      <c r="Q584"/>
      <c r="R584"/>
      <c r="S584"/>
      <c r="T584"/>
      <c r="U584"/>
      <c r="V584"/>
      <c r="W584"/>
      <c r="X584"/>
      <c r="Y584"/>
      <c r="Z584"/>
      <c r="AA584"/>
      <c r="AB584"/>
      <c r="AC584"/>
      <c r="AD584"/>
      <c r="AE584"/>
      <c r="AF584"/>
    </row>
    <row r="585" spans="17:32" ht="12.75" customHeight="1">
      <c r="Q585"/>
      <c r="R585"/>
      <c r="S585"/>
      <c r="T585"/>
      <c r="U585"/>
      <c r="V585"/>
      <c r="W585"/>
      <c r="X585"/>
      <c r="Y585"/>
      <c r="Z585"/>
      <c r="AA585"/>
      <c r="AB585"/>
      <c r="AC585"/>
      <c r="AD585"/>
      <c r="AE585"/>
      <c r="AF585"/>
    </row>
    <row r="586" spans="17:32" ht="12.75" customHeight="1">
      <c r="Q586"/>
      <c r="R586"/>
      <c r="S586"/>
      <c r="T586"/>
      <c r="U586"/>
      <c r="V586"/>
      <c r="W586"/>
      <c r="X586"/>
      <c r="Y586"/>
      <c r="Z586"/>
      <c r="AA586"/>
      <c r="AB586"/>
      <c r="AC586"/>
      <c r="AD586"/>
      <c r="AE586"/>
      <c r="AF586"/>
    </row>
    <row r="587" spans="17:32" ht="12.75" customHeight="1">
      <c r="Q587"/>
      <c r="R587"/>
      <c r="S587"/>
      <c r="T587"/>
      <c r="U587"/>
      <c r="V587"/>
      <c r="W587"/>
      <c r="X587"/>
      <c r="Y587"/>
      <c r="Z587"/>
      <c r="AA587"/>
      <c r="AB587"/>
      <c r="AC587"/>
      <c r="AD587"/>
      <c r="AE587"/>
      <c r="AF587"/>
    </row>
    <row r="588" spans="17:32" ht="12.75" customHeight="1">
      <c r="Q588"/>
      <c r="R588"/>
      <c r="S588"/>
      <c r="T588"/>
      <c r="U588"/>
      <c r="V588"/>
      <c r="W588"/>
      <c r="X588"/>
      <c r="Y588"/>
      <c r="Z588"/>
      <c r="AA588"/>
      <c r="AB588"/>
      <c r="AC588"/>
      <c r="AD588"/>
      <c r="AE588"/>
      <c r="AF588"/>
    </row>
    <row r="589" spans="17:32" ht="12.75" customHeight="1">
      <c r="Q589"/>
      <c r="R589"/>
      <c r="S589"/>
      <c r="T589"/>
      <c r="U589"/>
      <c r="V589"/>
      <c r="W589"/>
      <c r="X589"/>
      <c r="Y589"/>
      <c r="Z589"/>
      <c r="AA589"/>
      <c r="AB589"/>
      <c r="AC589"/>
      <c r="AD589"/>
      <c r="AE589"/>
      <c r="AF589"/>
    </row>
    <row r="590" spans="17:32" ht="12.75" customHeight="1">
      <c r="Q590"/>
      <c r="R590"/>
      <c r="S590"/>
      <c r="T590"/>
      <c r="U590"/>
      <c r="V590"/>
      <c r="W590"/>
      <c r="X590"/>
      <c r="Y590"/>
      <c r="Z590"/>
      <c r="AA590"/>
      <c r="AB590"/>
      <c r="AC590"/>
      <c r="AD590"/>
      <c r="AE590"/>
      <c r="AF590"/>
    </row>
    <row r="591" spans="17:32" ht="12.75" customHeight="1">
      <c r="Q591"/>
      <c r="R591"/>
      <c r="S591"/>
      <c r="T591"/>
      <c r="U591"/>
      <c r="V591"/>
      <c r="W591"/>
      <c r="X591"/>
      <c r="Y591"/>
      <c r="Z591"/>
      <c r="AA591"/>
      <c r="AB591"/>
      <c r="AC591"/>
      <c r="AD591"/>
      <c r="AE591"/>
      <c r="AF591"/>
    </row>
    <row r="592" spans="17:32" ht="12.75" customHeight="1">
      <c r="Q592"/>
      <c r="R592"/>
      <c r="S592"/>
      <c r="T592"/>
      <c r="U592"/>
      <c r="V592"/>
      <c r="W592"/>
      <c r="X592"/>
      <c r="Y592"/>
      <c r="Z592"/>
      <c r="AA592"/>
      <c r="AB592"/>
      <c r="AC592"/>
      <c r="AD592"/>
      <c r="AE592"/>
      <c r="AF592"/>
    </row>
    <row r="593" spans="17:32" ht="12.75" customHeight="1">
      <c r="Q593"/>
      <c r="R593"/>
      <c r="S593"/>
      <c r="T593"/>
      <c r="U593"/>
      <c r="V593"/>
      <c r="W593"/>
      <c r="X593"/>
      <c r="Y593"/>
      <c r="Z593"/>
      <c r="AA593"/>
      <c r="AB593"/>
      <c r="AC593"/>
      <c r="AD593"/>
      <c r="AE593"/>
      <c r="AF593"/>
    </row>
    <row r="594" spans="17:32" ht="12.75" customHeight="1">
      <c r="Q594"/>
      <c r="R594"/>
      <c r="S594"/>
      <c r="T594"/>
      <c r="U594"/>
      <c r="V594"/>
      <c r="W594"/>
      <c r="X594"/>
      <c r="Y594"/>
      <c r="Z594"/>
      <c r="AA594"/>
      <c r="AB594"/>
      <c r="AC594"/>
      <c r="AD594"/>
      <c r="AE594"/>
      <c r="AF594"/>
    </row>
    <row r="595" spans="17:32" ht="12.75" customHeight="1">
      <c r="Q595"/>
      <c r="R595"/>
      <c r="S595"/>
      <c r="T595"/>
      <c r="U595"/>
      <c r="V595"/>
      <c r="W595"/>
      <c r="X595"/>
      <c r="Y595"/>
      <c r="Z595"/>
      <c r="AA595"/>
      <c r="AB595"/>
      <c r="AC595"/>
      <c r="AD595"/>
      <c r="AE595"/>
      <c r="AF595"/>
    </row>
    <row r="596" spans="17:32" ht="12.75" customHeight="1">
      <c r="Q596"/>
      <c r="R596"/>
      <c r="S596"/>
      <c r="T596"/>
      <c r="U596"/>
      <c r="V596"/>
      <c r="W596"/>
      <c r="X596"/>
      <c r="Y596"/>
      <c r="Z596"/>
      <c r="AA596"/>
      <c r="AB596"/>
      <c r="AC596"/>
      <c r="AD596"/>
      <c r="AE596"/>
      <c r="AF596"/>
    </row>
    <row r="597" spans="17:32" ht="12.75" customHeight="1">
      <c r="Q597"/>
      <c r="R597"/>
      <c r="S597"/>
      <c r="T597"/>
      <c r="U597"/>
      <c r="V597"/>
      <c r="W597"/>
      <c r="X597"/>
      <c r="Y597"/>
      <c r="Z597"/>
      <c r="AA597"/>
      <c r="AB597"/>
      <c r="AC597"/>
      <c r="AD597"/>
      <c r="AE597"/>
      <c r="AF597"/>
    </row>
    <row r="598" spans="17:32" ht="12.75" customHeight="1">
      <c r="Q598"/>
      <c r="R598"/>
      <c r="S598"/>
      <c r="T598"/>
      <c r="U598"/>
      <c r="V598"/>
      <c r="W598"/>
      <c r="X598"/>
      <c r="Y598"/>
      <c r="Z598"/>
      <c r="AA598"/>
      <c r="AB598"/>
      <c r="AC598"/>
      <c r="AD598"/>
      <c r="AE598"/>
      <c r="AF598"/>
    </row>
    <row r="599" spans="17:32" ht="12.75" customHeight="1">
      <c r="Q599"/>
      <c r="R599"/>
      <c r="S599"/>
      <c r="T599"/>
      <c r="U599"/>
      <c r="V599"/>
      <c r="W599"/>
      <c r="X599"/>
      <c r="Y599"/>
      <c r="Z599"/>
      <c r="AA599"/>
      <c r="AB599"/>
      <c r="AC599"/>
      <c r="AD599"/>
      <c r="AE599"/>
      <c r="AF599"/>
    </row>
    <row r="600" spans="17:32" ht="12.75" customHeight="1">
      <c r="Q600"/>
      <c r="R600"/>
      <c r="S600"/>
      <c r="T600"/>
      <c r="U600"/>
      <c r="V600"/>
      <c r="W600"/>
      <c r="X600"/>
      <c r="Y600"/>
      <c r="Z600"/>
      <c r="AA600"/>
      <c r="AB600"/>
      <c r="AC600"/>
      <c r="AD600"/>
      <c r="AE600"/>
      <c r="AF600"/>
    </row>
    <row r="601" spans="17:32" ht="12.75" customHeight="1">
      <c r="Q601"/>
      <c r="R601"/>
      <c r="S601"/>
      <c r="T601"/>
      <c r="U601"/>
      <c r="V601"/>
      <c r="W601"/>
      <c r="X601"/>
      <c r="Y601"/>
      <c r="Z601"/>
      <c r="AA601"/>
      <c r="AB601"/>
      <c r="AC601"/>
      <c r="AD601"/>
      <c r="AE601"/>
      <c r="AF601"/>
    </row>
    <row r="602" spans="17:32" ht="12.75" customHeight="1">
      <c r="Q602"/>
      <c r="R602"/>
      <c r="S602"/>
      <c r="T602"/>
      <c r="U602"/>
      <c r="V602"/>
      <c r="W602"/>
      <c r="X602"/>
      <c r="Y602"/>
      <c r="Z602"/>
      <c r="AA602"/>
      <c r="AB602"/>
      <c r="AC602"/>
      <c r="AD602"/>
      <c r="AE602"/>
      <c r="AF602"/>
    </row>
    <row r="603" spans="17:32" ht="12.75" customHeight="1">
      <c r="Q603"/>
      <c r="R603"/>
      <c r="S603"/>
      <c r="T603"/>
      <c r="U603"/>
      <c r="V603"/>
      <c r="W603"/>
      <c r="X603"/>
      <c r="Y603"/>
      <c r="Z603"/>
      <c r="AA603"/>
      <c r="AB603"/>
      <c r="AC603"/>
      <c r="AD603"/>
      <c r="AE603"/>
      <c r="AF603"/>
    </row>
    <row r="604" spans="17:32" ht="12.75" customHeight="1">
      <c r="Q604"/>
      <c r="R604"/>
      <c r="S604"/>
      <c r="T604"/>
      <c r="U604"/>
      <c r="V604"/>
      <c r="W604"/>
      <c r="X604"/>
      <c r="Y604"/>
      <c r="Z604"/>
      <c r="AA604"/>
      <c r="AB604"/>
      <c r="AC604"/>
      <c r="AD604"/>
      <c r="AE604"/>
      <c r="AF604"/>
    </row>
    <row r="605" spans="17:32" ht="12.75" customHeight="1">
      <c r="Q605"/>
      <c r="R605"/>
      <c r="S605"/>
      <c r="T605"/>
      <c r="U605"/>
      <c r="V605"/>
      <c r="W605"/>
      <c r="X605"/>
      <c r="Y605"/>
      <c r="Z605"/>
      <c r="AA605"/>
      <c r="AB605"/>
      <c r="AC605"/>
      <c r="AD605"/>
      <c r="AE605"/>
      <c r="AF605"/>
    </row>
    <row r="606" spans="17:32" ht="12.75" customHeight="1">
      <c r="Q606"/>
      <c r="R606"/>
      <c r="S606"/>
      <c r="T606"/>
      <c r="U606"/>
      <c r="V606"/>
      <c r="W606"/>
      <c r="X606"/>
      <c r="Y606"/>
      <c r="Z606"/>
      <c r="AA606"/>
      <c r="AB606"/>
      <c r="AC606"/>
      <c r="AD606"/>
      <c r="AE606"/>
      <c r="AF606"/>
    </row>
    <row r="607" spans="17:32" ht="12.75" customHeight="1">
      <c r="Q607"/>
      <c r="R607"/>
      <c r="S607"/>
      <c r="T607"/>
      <c r="U607"/>
      <c r="V607"/>
      <c r="W607"/>
      <c r="X607"/>
      <c r="Y607"/>
      <c r="Z607"/>
      <c r="AA607"/>
      <c r="AB607"/>
      <c r="AC607"/>
      <c r="AD607"/>
      <c r="AE607"/>
      <c r="AF607"/>
    </row>
    <row r="608" spans="17:32" ht="12.75" customHeight="1">
      <c r="Q608"/>
      <c r="R608"/>
      <c r="S608"/>
      <c r="T608"/>
      <c r="U608"/>
      <c r="V608"/>
      <c r="W608"/>
      <c r="X608"/>
      <c r="Y608"/>
      <c r="Z608"/>
      <c r="AA608"/>
      <c r="AB608"/>
      <c r="AC608"/>
      <c r="AD608"/>
      <c r="AE608"/>
      <c r="AF608"/>
    </row>
    <row r="609" spans="17:32" ht="12.75" customHeight="1">
      <c r="Q609"/>
      <c r="R609"/>
      <c r="S609"/>
      <c r="T609"/>
      <c r="U609"/>
      <c r="V609"/>
      <c r="W609"/>
      <c r="X609"/>
      <c r="Y609"/>
      <c r="Z609"/>
      <c r="AA609"/>
      <c r="AB609"/>
      <c r="AC609"/>
      <c r="AD609"/>
      <c r="AE609"/>
      <c r="AF609"/>
    </row>
    <row r="610" spans="17:32" ht="12.75" customHeight="1">
      <c r="Q610"/>
      <c r="R610"/>
      <c r="S610"/>
      <c r="T610"/>
      <c r="U610"/>
      <c r="V610"/>
      <c r="W610"/>
      <c r="X610"/>
      <c r="Y610"/>
      <c r="Z610"/>
      <c r="AA610"/>
      <c r="AB610"/>
      <c r="AC610"/>
      <c r="AD610"/>
      <c r="AE610"/>
      <c r="AF610"/>
    </row>
    <row r="611" spans="17:32" ht="12.75" customHeight="1">
      <c r="Q611"/>
      <c r="R611"/>
      <c r="S611"/>
      <c r="T611"/>
      <c r="U611"/>
      <c r="V611"/>
      <c r="W611"/>
      <c r="X611"/>
      <c r="Y611"/>
      <c r="Z611"/>
      <c r="AA611"/>
      <c r="AB611"/>
      <c r="AC611"/>
      <c r="AD611"/>
      <c r="AE611"/>
      <c r="AF611"/>
    </row>
    <row r="612" spans="17:32" ht="12.75" customHeight="1">
      <c r="Q612"/>
      <c r="R612"/>
      <c r="S612"/>
      <c r="T612"/>
      <c r="U612"/>
      <c r="V612"/>
      <c r="W612"/>
      <c r="X612"/>
      <c r="Y612"/>
      <c r="Z612"/>
      <c r="AA612"/>
      <c r="AB612"/>
      <c r="AC612"/>
      <c r="AD612"/>
      <c r="AE612"/>
      <c r="AF612"/>
    </row>
    <row r="613" spans="17:32" ht="12.75" customHeight="1">
      <c r="Q613"/>
      <c r="R613"/>
      <c r="S613"/>
      <c r="T613"/>
      <c r="U613"/>
      <c r="V613"/>
      <c r="W613"/>
      <c r="X613"/>
      <c r="Y613"/>
      <c r="Z613"/>
      <c r="AA613"/>
      <c r="AB613"/>
      <c r="AC613"/>
      <c r="AD613"/>
      <c r="AE613"/>
      <c r="AF613"/>
    </row>
    <row r="614" spans="17:32" ht="12.75" customHeight="1">
      <c r="Q614"/>
      <c r="R614"/>
      <c r="S614"/>
      <c r="T614"/>
      <c r="U614"/>
      <c r="V614"/>
      <c r="W614"/>
      <c r="X614"/>
      <c r="Y614"/>
      <c r="Z614"/>
      <c r="AA614"/>
      <c r="AB614"/>
      <c r="AC614"/>
      <c r="AD614"/>
      <c r="AE614"/>
      <c r="AF614"/>
    </row>
    <row r="615" spans="17:32" ht="12.75" customHeight="1">
      <c r="Q615"/>
      <c r="R615"/>
      <c r="S615"/>
      <c r="T615"/>
      <c r="U615"/>
      <c r="V615"/>
      <c r="W615"/>
      <c r="X615"/>
      <c r="Y615"/>
      <c r="Z615"/>
      <c r="AA615"/>
      <c r="AB615"/>
      <c r="AC615"/>
      <c r="AD615"/>
      <c r="AE615"/>
      <c r="AF615"/>
    </row>
    <row r="616" spans="17:32" ht="12.75" customHeight="1">
      <c r="Q616"/>
      <c r="R616"/>
      <c r="S616"/>
      <c r="T616"/>
      <c r="U616"/>
      <c r="V616"/>
      <c r="W616"/>
      <c r="X616"/>
      <c r="Y616"/>
      <c r="Z616"/>
      <c r="AA616"/>
      <c r="AB616"/>
      <c r="AC616"/>
      <c r="AD616"/>
      <c r="AE616"/>
      <c r="AF616"/>
    </row>
    <row r="617" spans="17:32" ht="12.75" customHeight="1">
      <c r="Q617"/>
      <c r="R617"/>
      <c r="S617"/>
      <c r="T617"/>
      <c r="U617"/>
      <c r="V617"/>
      <c r="W617"/>
      <c r="X617"/>
      <c r="Y617"/>
      <c r="Z617"/>
      <c r="AA617"/>
      <c r="AB617"/>
      <c r="AC617"/>
      <c r="AD617"/>
      <c r="AE617"/>
      <c r="AF617"/>
    </row>
    <row r="618" spans="17:32" ht="12.75" customHeight="1">
      <c r="Q618"/>
      <c r="R618"/>
      <c r="S618"/>
      <c r="T618"/>
      <c r="U618"/>
      <c r="V618"/>
      <c r="W618"/>
      <c r="X618"/>
      <c r="Y618"/>
      <c r="Z618"/>
      <c r="AA618"/>
      <c r="AB618"/>
      <c r="AC618"/>
      <c r="AD618"/>
      <c r="AE618"/>
      <c r="AF618"/>
    </row>
    <row r="619" spans="17:32" ht="12.75" customHeight="1">
      <c r="Q619"/>
      <c r="R619"/>
      <c r="S619"/>
      <c r="T619"/>
      <c r="U619"/>
      <c r="V619"/>
      <c r="W619"/>
      <c r="X619"/>
      <c r="Y619"/>
      <c r="Z619"/>
      <c r="AA619"/>
      <c r="AB619"/>
      <c r="AC619"/>
      <c r="AD619"/>
      <c r="AE619"/>
      <c r="AF619"/>
    </row>
    <row r="620" spans="17:32" ht="12.75" customHeight="1">
      <c r="Q620"/>
      <c r="R620"/>
      <c r="S620"/>
      <c r="T620"/>
      <c r="U620"/>
      <c r="V620"/>
      <c r="W620"/>
      <c r="X620"/>
      <c r="Y620"/>
      <c r="Z620"/>
      <c r="AA620"/>
      <c r="AB620"/>
      <c r="AC620"/>
      <c r="AD620"/>
      <c r="AE620"/>
      <c r="AF620"/>
    </row>
    <row r="621" spans="17:32" ht="12.75" customHeight="1">
      <c r="Q621"/>
      <c r="R621"/>
      <c r="S621"/>
      <c r="T621"/>
      <c r="U621"/>
      <c r="V621"/>
      <c r="W621"/>
      <c r="X621"/>
      <c r="Y621"/>
      <c r="Z621"/>
      <c r="AA621"/>
      <c r="AB621"/>
      <c r="AC621"/>
      <c r="AD621"/>
      <c r="AE621"/>
      <c r="AF621"/>
    </row>
    <row r="622" spans="17:32" ht="12.75" customHeight="1">
      <c r="Q622"/>
      <c r="R622"/>
      <c r="S622"/>
      <c r="T622"/>
      <c r="U622"/>
      <c r="V622"/>
      <c r="W622"/>
      <c r="X622"/>
      <c r="Y622"/>
      <c r="Z622"/>
      <c r="AA622"/>
      <c r="AB622"/>
      <c r="AC622"/>
      <c r="AD622"/>
      <c r="AE622"/>
      <c r="AF622"/>
    </row>
    <row r="623" spans="17:32" ht="12.75" customHeight="1">
      <c r="Q623"/>
      <c r="R623"/>
      <c r="S623"/>
      <c r="T623"/>
      <c r="U623"/>
      <c r="V623"/>
      <c r="W623"/>
      <c r="X623"/>
      <c r="Y623"/>
      <c r="Z623"/>
      <c r="AA623"/>
      <c r="AB623"/>
      <c r="AC623"/>
      <c r="AD623"/>
      <c r="AE623"/>
      <c r="AF623"/>
    </row>
    <row r="624" spans="17:32" ht="12.75" customHeight="1">
      <c r="Q624"/>
      <c r="R624"/>
      <c r="S624"/>
      <c r="T624"/>
      <c r="U624"/>
      <c r="V624"/>
      <c r="W624"/>
      <c r="X624"/>
      <c r="Y624"/>
      <c r="Z624"/>
      <c r="AA624"/>
      <c r="AB624"/>
      <c r="AC624"/>
      <c r="AD624"/>
      <c r="AE624"/>
      <c r="AF624"/>
    </row>
    <row r="625" spans="17:32" ht="12.75" customHeight="1">
      <c r="Q625"/>
      <c r="R625"/>
      <c r="S625"/>
      <c r="T625"/>
      <c r="U625"/>
      <c r="V625"/>
      <c r="W625"/>
      <c r="X625"/>
      <c r="Y625"/>
      <c r="Z625"/>
      <c r="AA625"/>
      <c r="AB625"/>
      <c r="AC625"/>
      <c r="AD625"/>
      <c r="AE625"/>
      <c r="AF625"/>
    </row>
    <row r="626" spans="17:32" ht="12.75" customHeight="1">
      <c r="Q626"/>
      <c r="R626"/>
      <c r="S626"/>
      <c r="T626"/>
      <c r="U626"/>
      <c r="V626"/>
      <c r="W626"/>
      <c r="X626"/>
      <c r="Y626"/>
      <c r="Z626"/>
      <c r="AA626"/>
      <c r="AB626"/>
      <c r="AC626"/>
      <c r="AD626"/>
      <c r="AE626"/>
      <c r="AF626"/>
    </row>
    <row r="627" spans="17:32" ht="12.75" customHeight="1">
      <c r="Q627"/>
      <c r="R627"/>
      <c r="S627"/>
      <c r="T627"/>
      <c r="U627"/>
      <c r="V627"/>
      <c r="W627"/>
      <c r="X627"/>
      <c r="Y627"/>
      <c r="Z627"/>
      <c r="AA627"/>
      <c r="AB627"/>
      <c r="AC627"/>
      <c r="AD627"/>
      <c r="AE627"/>
      <c r="AF627"/>
    </row>
    <row r="628" spans="17:32" ht="12.75" customHeight="1">
      <c r="Q628"/>
      <c r="R628"/>
      <c r="S628"/>
      <c r="T628"/>
      <c r="U628"/>
      <c r="V628"/>
      <c r="W628"/>
      <c r="X628"/>
      <c r="Y628"/>
      <c r="Z628"/>
      <c r="AA628"/>
      <c r="AB628"/>
      <c r="AC628"/>
      <c r="AD628"/>
      <c r="AE628"/>
      <c r="AF628"/>
    </row>
    <row r="629" spans="17:32" ht="12.75" customHeight="1">
      <c r="Q629"/>
      <c r="R629"/>
      <c r="S629"/>
      <c r="T629"/>
      <c r="U629"/>
      <c r="V629"/>
      <c r="W629"/>
      <c r="X629"/>
      <c r="Y629"/>
      <c r="Z629"/>
      <c r="AA629"/>
      <c r="AB629"/>
      <c r="AC629"/>
      <c r="AD629"/>
      <c r="AE629"/>
      <c r="AF629"/>
    </row>
    <row r="630" spans="17:32" ht="12.75" customHeight="1">
      <c r="Q630"/>
      <c r="R630"/>
      <c r="S630"/>
      <c r="T630"/>
      <c r="U630"/>
      <c r="V630"/>
      <c r="W630"/>
      <c r="X630"/>
      <c r="Y630"/>
      <c r="Z630"/>
      <c r="AA630"/>
      <c r="AB630"/>
      <c r="AC630"/>
      <c r="AD630"/>
      <c r="AE630"/>
      <c r="AF630"/>
    </row>
    <row r="631" spans="17:32" ht="12.75" customHeight="1">
      <c r="Q631"/>
      <c r="R631"/>
      <c r="S631"/>
      <c r="T631"/>
      <c r="U631"/>
      <c r="V631"/>
      <c r="W631"/>
      <c r="X631"/>
      <c r="Y631"/>
      <c r="Z631"/>
      <c r="AA631"/>
      <c r="AB631"/>
      <c r="AC631"/>
      <c r="AD631"/>
      <c r="AE631"/>
      <c r="AF631"/>
    </row>
    <row r="632" spans="17:32" ht="12.75" customHeight="1">
      <c r="Q632"/>
      <c r="R632"/>
      <c r="S632"/>
      <c r="T632"/>
      <c r="U632"/>
      <c r="V632"/>
      <c r="W632"/>
      <c r="X632"/>
      <c r="Y632"/>
      <c r="Z632"/>
      <c r="AA632"/>
      <c r="AB632"/>
      <c r="AC632"/>
      <c r="AD632"/>
      <c r="AE632"/>
      <c r="AF632"/>
    </row>
    <row r="633" spans="17:32" ht="12.75" customHeight="1">
      <c r="Q633"/>
      <c r="R633"/>
      <c r="S633"/>
      <c r="T633"/>
      <c r="U633"/>
      <c r="V633"/>
      <c r="W633"/>
      <c r="X633"/>
      <c r="Y633"/>
      <c r="Z633"/>
      <c r="AA633"/>
      <c r="AB633"/>
      <c r="AC633"/>
      <c r="AD633"/>
      <c r="AE633"/>
      <c r="AF633"/>
    </row>
    <row r="634" spans="17:32" ht="12.75" customHeight="1">
      <c r="Q634"/>
      <c r="R634"/>
      <c r="S634"/>
      <c r="T634"/>
      <c r="U634"/>
      <c r="V634"/>
      <c r="W634"/>
      <c r="X634"/>
      <c r="Y634"/>
      <c r="Z634"/>
      <c r="AA634"/>
      <c r="AB634"/>
      <c r="AC634"/>
      <c r="AD634"/>
      <c r="AE634"/>
      <c r="AF634"/>
    </row>
    <row r="635" spans="17:32" ht="12.75" customHeight="1">
      <c r="Q635"/>
      <c r="R635"/>
      <c r="S635"/>
      <c r="T635"/>
      <c r="U635"/>
      <c r="V635"/>
      <c r="W635"/>
      <c r="X635"/>
      <c r="Y635"/>
      <c r="Z635"/>
      <c r="AA635"/>
      <c r="AB635"/>
      <c r="AC635"/>
      <c r="AD635"/>
      <c r="AE635"/>
      <c r="AF635"/>
    </row>
    <row r="636" spans="17:32" ht="12.75" customHeight="1">
      <c r="Q636"/>
      <c r="R636"/>
      <c r="S636"/>
      <c r="T636"/>
      <c r="U636"/>
      <c r="V636"/>
      <c r="W636"/>
      <c r="X636"/>
      <c r="Y636"/>
      <c r="Z636"/>
      <c r="AA636"/>
      <c r="AB636"/>
      <c r="AC636"/>
      <c r="AD636"/>
      <c r="AE636"/>
      <c r="AF636"/>
    </row>
    <row r="637" spans="17:32" ht="12.75" customHeight="1">
      <c r="Q637"/>
      <c r="R637"/>
      <c r="S637"/>
      <c r="T637"/>
      <c r="U637"/>
      <c r="V637"/>
      <c r="W637"/>
      <c r="X637"/>
      <c r="Y637"/>
      <c r="Z637"/>
      <c r="AA637"/>
      <c r="AB637"/>
      <c r="AC637"/>
      <c r="AD637"/>
      <c r="AE637"/>
      <c r="AF637"/>
    </row>
    <row r="638" spans="17:32" ht="12.75" customHeight="1">
      <c r="Q638"/>
      <c r="R638"/>
      <c r="S638"/>
      <c r="T638"/>
      <c r="U638"/>
      <c r="V638"/>
      <c r="W638"/>
      <c r="X638"/>
      <c r="Y638"/>
      <c r="Z638"/>
      <c r="AA638"/>
      <c r="AB638"/>
      <c r="AC638"/>
      <c r="AD638"/>
      <c r="AE638"/>
      <c r="AF638"/>
    </row>
    <row r="639" spans="17:32" ht="12.75" customHeight="1">
      <c r="Q639"/>
      <c r="R639"/>
      <c r="S639"/>
      <c r="T639"/>
      <c r="U639"/>
      <c r="V639"/>
      <c r="W639"/>
      <c r="X639"/>
      <c r="Y639"/>
      <c r="Z639"/>
      <c r="AA639"/>
      <c r="AB639"/>
      <c r="AC639"/>
      <c r="AD639"/>
      <c r="AE639"/>
      <c r="AF639"/>
    </row>
    <row r="640" spans="17:32" ht="12.75" customHeight="1">
      <c r="Q640"/>
      <c r="R640"/>
      <c r="S640"/>
      <c r="T640"/>
      <c r="U640"/>
      <c r="V640"/>
      <c r="W640"/>
      <c r="X640"/>
      <c r="Y640"/>
      <c r="Z640"/>
      <c r="AA640"/>
      <c r="AB640"/>
      <c r="AC640"/>
      <c r="AD640"/>
      <c r="AE640"/>
      <c r="AF640"/>
    </row>
    <row r="641" spans="17:32" ht="12.75" customHeight="1">
      <c r="Q641"/>
      <c r="R641"/>
      <c r="S641"/>
      <c r="T641"/>
      <c r="U641"/>
      <c r="V641"/>
      <c r="W641"/>
      <c r="X641"/>
      <c r="Y641"/>
      <c r="Z641"/>
      <c r="AA641"/>
      <c r="AB641"/>
      <c r="AC641"/>
      <c r="AD641"/>
      <c r="AE641"/>
      <c r="AF641"/>
    </row>
    <row r="642" spans="17:32" ht="12.75" customHeight="1">
      <c r="Q642"/>
      <c r="R642"/>
      <c r="S642"/>
      <c r="T642"/>
      <c r="U642"/>
      <c r="V642"/>
      <c r="W642"/>
      <c r="X642"/>
      <c r="Y642"/>
      <c r="Z642"/>
      <c r="AA642"/>
      <c r="AB642"/>
      <c r="AC642"/>
      <c r="AD642"/>
      <c r="AE642"/>
      <c r="AF642"/>
    </row>
    <row r="643" spans="17:32" ht="12.75" customHeight="1">
      <c r="Q643"/>
      <c r="R643"/>
      <c r="S643"/>
      <c r="T643"/>
      <c r="U643"/>
      <c r="V643"/>
      <c r="W643"/>
      <c r="X643"/>
      <c r="Y643"/>
      <c r="Z643"/>
      <c r="AA643"/>
      <c r="AB643"/>
      <c r="AC643"/>
      <c r="AD643"/>
      <c r="AE643"/>
      <c r="AF643"/>
    </row>
    <row r="644" spans="17:32" ht="12.75" customHeight="1">
      <c r="Q644"/>
      <c r="R644"/>
      <c r="S644"/>
      <c r="T644"/>
      <c r="U644"/>
      <c r="V644"/>
      <c r="W644"/>
      <c r="X644"/>
      <c r="Y644"/>
      <c r="Z644"/>
      <c r="AA644"/>
      <c r="AB644"/>
      <c r="AC644"/>
      <c r="AD644"/>
      <c r="AE644"/>
      <c r="AF644"/>
    </row>
    <row r="645" spans="17:32" ht="12.75" customHeight="1">
      <c r="Q645"/>
      <c r="R645"/>
      <c r="S645"/>
      <c r="T645"/>
      <c r="U645"/>
      <c r="V645"/>
      <c r="W645"/>
      <c r="X645"/>
      <c r="Y645"/>
      <c r="Z645"/>
      <c r="AA645"/>
      <c r="AB645"/>
      <c r="AC645"/>
      <c r="AD645"/>
      <c r="AE645"/>
      <c r="AF645"/>
    </row>
    <row r="646" spans="17:32" ht="12.75" customHeight="1">
      <c r="Q646"/>
      <c r="R646"/>
      <c r="S646"/>
      <c r="T646"/>
      <c r="U646"/>
      <c r="V646"/>
      <c r="W646"/>
      <c r="X646"/>
      <c r="Y646"/>
      <c r="Z646"/>
      <c r="AA646"/>
      <c r="AB646"/>
      <c r="AC646"/>
      <c r="AD646"/>
      <c r="AE646"/>
      <c r="AF646"/>
    </row>
    <row r="647" spans="17:32" ht="12.75" customHeight="1">
      <c r="Q647"/>
      <c r="R647"/>
      <c r="S647"/>
      <c r="T647"/>
      <c r="U647"/>
      <c r="V647"/>
      <c r="W647"/>
      <c r="X647"/>
      <c r="Y647"/>
      <c r="Z647"/>
      <c r="AA647"/>
      <c r="AB647"/>
      <c r="AC647"/>
      <c r="AD647"/>
      <c r="AE647"/>
      <c r="AF647"/>
    </row>
    <row r="648" spans="17:32" ht="12.75" customHeight="1">
      <c r="Q648"/>
      <c r="R648"/>
      <c r="S648"/>
      <c r="T648"/>
      <c r="U648"/>
      <c r="V648"/>
      <c r="W648"/>
      <c r="X648"/>
      <c r="Y648"/>
      <c r="Z648"/>
      <c r="AA648"/>
      <c r="AB648"/>
      <c r="AC648"/>
      <c r="AD648"/>
      <c r="AE648"/>
      <c r="AF648"/>
    </row>
    <row r="649" spans="17:32" ht="12.75" customHeight="1">
      <c r="Q649"/>
      <c r="R649"/>
      <c r="S649"/>
      <c r="T649"/>
      <c r="U649"/>
      <c r="V649"/>
      <c r="W649"/>
      <c r="X649"/>
      <c r="Y649"/>
      <c r="Z649"/>
      <c r="AA649"/>
      <c r="AB649"/>
      <c r="AC649"/>
      <c r="AD649"/>
      <c r="AE649"/>
      <c r="AF649"/>
    </row>
    <row r="650" spans="17:32" ht="12.75" customHeight="1">
      <c r="Q650"/>
      <c r="R650"/>
      <c r="S650"/>
      <c r="T650"/>
      <c r="U650"/>
      <c r="V650"/>
      <c r="W650"/>
      <c r="X650"/>
      <c r="Y650"/>
      <c r="Z650"/>
      <c r="AA650"/>
      <c r="AB650"/>
      <c r="AC650"/>
      <c r="AD650"/>
      <c r="AE650"/>
      <c r="AF650"/>
    </row>
    <row r="651" spans="17:32" ht="12.75" customHeight="1">
      <c r="Q651"/>
      <c r="R651"/>
      <c r="S651"/>
      <c r="T651"/>
      <c r="U651"/>
      <c r="V651"/>
      <c r="W651"/>
      <c r="X651"/>
      <c r="Y651"/>
      <c r="Z651"/>
      <c r="AA651"/>
      <c r="AB651"/>
      <c r="AC651"/>
      <c r="AD651"/>
      <c r="AE651"/>
      <c r="AF651"/>
    </row>
    <row r="652" spans="17:32" ht="12.75" customHeight="1">
      <c r="Q652"/>
      <c r="R652"/>
      <c r="S652"/>
      <c r="T652"/>
      <c r="U652"/>
      <c r="V652"/>
      <c r="W652"/>
      <c r="X652"/>
      <c r="Y652"/>
      <c r="Z652"/>
      <c r="AA652"/>
      <c r="AB652"/>
      <c r="AC652"/>
      <c r="AD652"/>
      <c r="AE652"/>
      <c r="AF652"/>
    </row>
    <row r="653" spans="17:32" ht="12.75" customHeight="1">
      <c r="Q653"/>
      <c r="R653"/>
      <c r="S653"/>
      <c r="T653"/>
      <c r="U653"/>
      <c r="V653"/>
      <c r="W653"/>
      <c r="X653"/>
      <c r="Y653"/>
      <c r="Z653"/>
      <c r="AA653"/>
      <c r="AB653"/>
      <c r="AC653"/>
      <c r="AD653"/>
      <c r="AE653"/>
      <c r="AF653"/>
    </row>
    <row r="654" spans="17:32" ht="12.75" customHeight="1">
      <c r="Q654"/>
      <c r="R654"/>
      <c r="S654"/>
      <c r="T654"/>
      <c r="U654"/>
      <c r="V654"/>
      <c r="W654"/>
      <c r="X654"/>
      <c r="Y654"/>
      <c r="Z654"/>
      <c r="AA654"/>
      <c r="AB654"/>
      <c r="AC654"/>
      <c r="AD654"/>
      <c r="AE654"/>
      <c r="AF654"/>
    </row>
    <row r="655" spans="17:32" ht="12.75" customHeight="1">
      <c r="Q655"/>
      <c r="R655"/>
      <c r="S655"/>
      <c r="T655"/>
      <c r="U655"/>
      <c r="V655"/>
      <c r="W655"/>
      <c r="X655"/>
      <c r="Y655"/>
      <c r="Z655"/>
      <c r="AA655"/>
      <c r="AB655"/>
      <c r="AC655"/>
      <c r="AD655"/>
      <c r="AE655"/>
      <c r="AF655"/>
    </row>
    <row r="656" spans="17:32" ht="12.75" customHeight="1">
      <c r="Q656"/>
      <c r="R656"/>
      <c r="S656"/>
      <c r="T656"/>
      <c r="U656"/>
      <c r="V656"/>
      <c r="W656"/>
      <c r="X656"/>
      <c r="Y656"/>
      <c r="Z656"/>
      <c r="AA656"/>
      <c r="AB656"/>
      <c r="AC656"/>
      <c r="AD656"/>
      <c r="AE656"/>
      <c r="AF656"/>
    </row>
    <row r="657" spans="17:32" ht="12.75" customHeight="1">
      <c r="Q657"/>
      <c r="R657"/>
      <c r="S657"/>
      <c r="T657"/>
      <c r="U657"/>
      <c r="V657"/>
      <c r="W657"/>
      <c r="X657"/>
      <c r="Y657"/>
      <c r="Z657"/>
      <c r="AA657"/>
      <c r="AB657"/>
      <c r="AC657"/>
      <c r="AD657"/>
      <c r="AE657"/>
      <c r="AF657"/>
    </row>
    <row r="658" spans="17:32" ht="12.75" customHeight="1">
      <c r="Q658"/>
      <c r="R658"/>
      <c r="S658"/>
      <c r="T658"/>
      <c r="U658"/>
      <c r="V658"/>
      <c r="W658"/>
      <c r="X658"/>
      <c r="Y658"/>
      <c r="Z658"/>
      <c r="AA658"/>
      <c r="AB658"/>
      <c r="AC658"/>
      <c r="AD658"/>
      <c r="AE658"/>
      <c r="AF658"/>
    </row>
    <row r="659" spans="17:32" ht="12.75" customHeight="1">
      <c r="Q659"/>
      <c r="R659"/>
      <c r="S659"/>
      <c r="T659"/>
      <c r="U659"/>
      <c r="V659"/>
      <c r="W659"/>
      <c r="X659"/>
      <c r="Y659"/>
      <c r="Z659"/>
      <c r="AA659"/>
      <c r="AB659"/>
      <c r="AC659"/>
      <c r="AD659"/>
      <c r="AE659"/>
      <c r="AF659"/>
    </row>
    <row r="660" spans="17:32" ht="12.75" customHeight="1">
      <c r="Q660"/>
      <c r="R660"/>
      <c r="S660"/>
      <c r="T660"/>
      <c r="U660"/>
      <c r="V660"/>
      <c r="W660"/>
      <c r="X660"/>
      <c r="Y660"/>
      <c r="Z660"/>
      <c r="AA660"/>
      <c r="AB660"/>
      <c r="AC660"/>
      <c r="AD660"/>
      <c r="AE660"/>
      <c r="AF660"/>
    </row>
    <row r="661" spans="17:32" ht="12.75" customHeight="1">
      <c r="Q661"/>
      <c r="R661"/>
      <c r="S661"/>
      <c r="T661"/>
      <c r="U661"/>
      <c r="V661"/>
      <c r="W661"/>
      <c r="X661"/>
      <c r="Y661"/>
      <c r="Z661"/>
      <c r="AA661"/>
      <c r="AB661"/>
      <c r="AC661"/>
      <c r="AD661"/>
      <c r="AE661"/>
      <c r="AF661"/>
    </row>
    <row r="662" spans="17:32" ht="12.75" customHeight="1">
      <c r="Q662"/>
      <c r="R662"/>
      <c r="S662"/>
      <c r="T662"/>
      <c r="U662"/>
      <c r="V662"/>
      <c r="W662"/>
      <c r="X662"/>
      <c r="Y662"/>
      <c r="Z662"/>
      <c r="AA662"/>
      <c r="AB662"/>
      <c r="AC662"/>
      <c r="AD662"/>
      <c r="AE662"/>
      <c r="AF662"/>
    </row>
    <row r="663" spans="17:32" ht="12.75" customHeight="1">
      <c r="Q663"/>
      <c r="R663"/>
      <c r="S663"/>
      <c r="T663"/>
      <c r="U663"/>
      <c r="V663"/>
      <c r="W663"/>
      <c r="X663"/>
      <c r="Y663"/>
      <c r="Z663"/>
      <c r="AA663"/>
      <c r="AB663"/>
      <c r="AC663"/>
      <c r="AD663"/>
      <c r="AE663"/>
      <c r="AF663"/>
    </row>
    <row r="664" spans="17:32" ht="12.75" customHeight="1">
      <c r="Q664"/>
      <c r="R664"/>
      <c r="S664"/>
      <c r="T664"/>
      <c r="U664"/>
      <c r="V664"/>
      <c r="W664"/>
      <c r="X664"/>
      <c r="Y664"/>
      <c r="Z664"/>
      <c r="AA664"/>
      <c r="AB664"/>
      <c r="AC664"/>
      <c r="AD664"/>
      <c r="AE664"/>
      <c r="AF664"/>
    </row>
    <row r="665" spans="17:32" ht="12.75" customHeight="1">
      <c r="Q665"/>
      <c r="R665"/>
      <c r="S665"/>
      <c r="T665"/>
      <c r="U665"/>
      <c r="V665"/>
      <c r="W665"/>
      <c r="X665"/>
      <c r="Y665"/>
      <c r="Z665"/>
      <c r="AA665"/>
      <c r="AB665"/>
      <c r="AC665"/>
      <c r="AD665"/>
      <c r="AE665"/>
      <c r="AF665"/>
    </row>
    <row r="666" spans="17:32" ht="12.75" customHeight="1">
      <c r="Q666"/>
      <c r="R666"/>
      <c r="S666"/>
      <c r="T666"/>
      <c r="U666"/>
      <c r="V666"/>
      <c r="W666"/>
      <c r="X666"/>
      <c r="Y666"/>
      <c r="Z666"/>
      <c r="AA666"/>
      <c r="AB666"/>
      <c r="AC666"/>
      <c r="AD666"/>
      <c r="AE666"/>
      <c r="AF666"/>
    </row>
    <row r="667" spans="17:32" ht="12.75" customHeight="1">
      <c r="Q667"/>
      <c r="R667"/>
      <c r="S667"/>
      <c r="T667"/>
      <c r="U667"/>
      <c r="V667"/>
      <c r="W667"/>
      <c r="X667"/>
      <c r="Y667"/>
      <c r="Z667"/>
      <c r="AA667"/>
      <c r="AB667"/>
      <c r="AC667"/>
      <c r="AD667"/>
      <c r="AE667"/>
      <c r="AF667"/>
    </row>
    <row r="668" spans="17:32" ht="12.75" customHeight="1">
      <c r="Q668"/>
      <c r="R668"/>
      <c r="S668"/>
      <c r="T668"/>
      <c r="U668"/>
      <c r="V668"/>
      <c r="W668"/>
      <c r="X668"/>
      <c r="Y668"/>
      <c r="Z668"/>
      <c r="AA668"/>
      <c r="AB668"/>
      <c r="AC668"/>
      <c r="AD668"/>
      <c r="AE668"/>
      <c r="AF668"/>
    </row>
    <row r="669" spans="17:32" ht="12.75" customHeight="1">
      <c r="Q669"/>
      <c r="R669"/>
      <c r="S669"/>
      <c r="T669"/>
      <c r="U669"/>
      <c r="V669"/>
      <c r="W669"/>
      <c r="X669"/>
      <c r="Y669"/>
      <c r="Z669"/>
      <c r="AA669"/>
      <c r="AB669"/>
      <c r="AC669"/>
      <c r="AD669"/>
      <c r="AE669"/>
      <c r="AF669"/>
    </row>
    <row r="670" spans="17:32" ht="12.75" customHeight="1">
      <c r="Q670"/>
      <c r="R670"/>
      <c r="S670"/>
      <c r="T670"/>
      <c r="U670"/>
      <c r="V670"/>
      <c r="W670"/>
      <c r="X670"/>
      <c r="Y670"/>
      <c r="Z670"/>
      <c r="AA670"/>
      <c r="AB670"/>
      <c r="AC670"/>
      <c r="AD670"/>
      <c r="AE670"/>
      <c r="AF670"/>
    </row>
    <row r="671" spans="17:32" ht="12.75" customHeight="1">
      <c r="Q671"/>
      <c r="R671"/>
      <c r="S671"/>
      <c r="T671"/>
      <c r="U671"/>
      <c r="V671"/>
      <c r="W671"/>
      <c r="X671"/>
      <c r="Y671"/>
      <c r="Z671"/>
      <c r="AA671"/>
      <c r="AB671"/>
      <c r="AC671"/>
      <c r="AD671"/>
      <c r="AE671"/>
      <c r="AF671"/>
    </row>
    <row r="672" spans="17:32" ht="12.75" customHeight="1">
      <c r="Q672"/>
      <c r="R672"/>
      <c r="S672"/>
      <c r="T672"/>
      <c r="U672"/>
      <c r="V672"/>
      <c r="W672"/>
      <c r="X672"/>
      <c r="Y672"/>
      <c r="Z672"/>
      <c r="AA672"/>
      <c r="AB672"/>
      <c r="AC672"/>
      <c r="AD672"/>
      <c r="AE672"/>
      <c r="AF672"/>
    </row>
    <row r="673" spans="17:32" ht="12.75" customHeight="1">
      <c r="Q673"/>
      <c r="R673"/>
      <c r="S673"/>
      <c r="T673"/>
      <c r="U673"/>
      <c r="V673"/>
      <c r="W673"/>
      <c r="X673"/>
      <c r="Y673"/>
      <c r="Z673"/>
      <c r="AA673"/>
      <c r="AB673"/>
      <c r="AC673"/>
      <c r="AD673"/>
      <c r="AE673"/>
      <c r="AF673"/>
    </row>
    <row r="674" spans="17:32" ht="12.75" customHeight="1">
      <c r="Q674"/>
      <c r="R674"/>
      <c r="S674"/>
      <c r="T674"/>
      <c r="U674"/>
      <c r="V674"/>
      <c r="W674"/>
      <c r="X674"/>
      <c r="Y674"/>
      <c r="Z674"/>
      <c r="AA674"/>
      <c r="AB674"/>
      <c r="AC674"/>
      <c r="AD674"/>
      <c r="AE674"/>
      <c r="AF674"/>
    </row>
    <row r="675" spans="17:32" ht="12.75" customHeight="1">
      <c r="Q675"/>
      <c r="R675"/>
      <c r="S675"/>
      <c r="T675"/>
      <c r="U675"/>
      <c r="V675"/>
      <c r="W675"/>
      <c r="X675"/>
      <c r="Y675"/>
      <c r="Z675"/>
      <c r="AA675"/>
      <c r="AB675"/>
      <c r="AC675"/>
      <c r="AD675"/>
      <c r="AE675"/>
      <c r="AF675"/>
    </row>
    <row r="676" spans="17:32" ht="12.75" customHeight="1">
      <c r="Q676"/>
      <c r="R676"/>
      <c r="S676"/>
      <c r="T676"/>
      <c r="U676"/>
      <c r="V676"/>
      <c r="W676"/>
      <c r="X676"/>
      <c r="Y676"/>
      <c r="Z676"/>
      <c r="AA676"/>
      <c r="AB676"/>
      <c r="AC676"/>
      <c r="AD676"/>
      <c r="AE676"/>
      <c r="AF676"/>
    </row>
    <row r="677" spans="17:32" ht="12.75" customHeight="1">
      <c r="Q677"/>
      <c r="R677"/>
      <c r="S677"/>
      <c r="T677"/>
      <c r="U677"/>
      <c r="V677"/>
      <c r="W677"/>
      <c r="X677"/>
      <c r="Y677"/>
      <c r="Z677"/>
      <c r="AA677"/>
      <c r="AB677"/>
      <c r="AC677"/>
      <c r="AD677"/>
      <c r="AE677"/>
      <c r="AF677"/>
    </row>
    <row r="678" spans="17:32" ht="12.75" customHeight="1">
      <c r="Q678"/>
      <c r="R678"/>
      <c r="S678"/>
      <c r="T678"/>
      <c r="U678"/>
      <c r="V678"/>
      <c r="W678"/>
      <c r="X678"/>
      <c r="Y678"/>
      <c r="Z678"/>
      <c r="AA678"/>
      <c r="AB678"/>
      <c r="AC678"/>
      <c r="AD678"/>
      <c r="AE678"/>
      <c r="AF678"/>
    </row>
    <row r="679" spans="17:32" ht="12.75" customHeight="1">
      <c r="Q679"/>
      <c r="R679"/>
      <c r="S679"/>
      <c r="T679"/>
      <c r="U679"/>
      <c r="V679"/>
      <c r="W679"/>
      <c r="X679"/>
      <c r="Y679"/>
      <c r="Z679"/>
      <c r="AA679"/>
      <c r="AB679"/>
      <c r="AC679"/>
      <c r="AD679"/>
      <c r="AE679"/>
      <c r="AF679"/>
    </row>
    <row r="680" spans="17:32" ht="12.75" customHeight="1">
      <c r="Q680"/>
      <c r="R680"/>
      <c r="S680"/>
      <c r="T680"/>
      <c r="U680"/>
      <c r="V680"/>
      <c r="W680"/>
      <c r="X680"/>
      <c r="Y680"/>
      <c r="Z680"/>
      <c r="AA680"/>
      <c r="AB680"/>
      <c r="AC680"/>
      <c r="AD680"/>
      <c r="AE680"/>
      <c r="AF680"/>
    </row>
    <row r="681" spans="17:32" ht="12.75" customHeight="1">
      <c r="Q681"/>
      <c r="R681"/>
      <c r="S681"/>
      <c r="T681"/>
      <c r="U681"/>
      <c r="V681"/>
      <c r="W681"/>
      <c r="X681"/>
      <c r="Y681"/>
      <c r="Z681"/>
      <c r="AA681"/>
      <c r="AB681"/>
      <c r="AC681"/>
      <c r="AD681"/>
      <c r="AE681"/>
      <c r="AF681"/>
    </row>
    <row r="682" spans="17:32" ht="12.75" customHeight="1">
      <c r="Q682"/>
      <c r="R682"/>
      <c r="S682"/>
      <c r="T682"/>
      <c r="U682"/>
      <c r="V682"/>
      <c r="W682"/>
      <c r="X682"/>
      <c r="Y682"/>
      <c r="Z682"/>
      <c r="AA682"/>
      <c r="AB682"/>
      <c r="AC682"/>
      <c r="AD682"/>
      <c r="AE682"/>
      <c r="AF682"/>
    </row>
    <row r="683" spans="17:32" ht="12.75" customHeight="1">
      <c r="Q683"/>
      <c r="R683"/>
      <c r="S683"/>
      <c r="T683"/>
      <c r="U683"/>
      <c r="V683"/>
      <c r="W683"/>
      <c r="X683"/>
      <c r="Y683"/>
      <c r="Z683"/>
      <c r="AA683"/>
      <c r="AB683"/>
      <c r="AC683"/>
      <c r="AD683"/>
      <c r="AE683"/>
      <c r="AF683"/>
    </row>
    <row r="684" spans="17:32" ht="12.75" customHeight="1">
      <c r="Q684"/>
      <c r="R684"/>
      <c r="S684"/>
      <c r="T684"/>
      <c r="U684"/>
      <c r="V684"/>
      <c r="W684"/>
      <c r="X684"/>
      <c r="Y684"/>
      <c r="Z684"/>
      <c r="AA684"/>
      <c r="AB684"/>
      <c r="AC684"/>
      <c r="AD684"/>
      <c r="AE684"/>
      <c r="AF684"/>
    </row>
    <row r="685" spans="17:32" ht="12.75" customHeight="1">
      <c r="Q685"/>
      <c r="R685"/>
      <c r="S685"/>
      <c r="T685"/>
      <c r="U685"/>
      <c r="V685"/>
      <c r="W685"/>
      <c r="X685"/>
      <c r="Y685"/>
      <c r="Z685"/>
      <c r="AA685"/>
      <c r="AB685"/>
      <c r="AC685"/>
      <c r="AD685"/>
      <c r="AE685"/>
      <c r="AF685"/>
    </row>
    <row r="686" spans="17:32" ht="12.75" customHeight="1">
      <c r="Q686"/>
      <c r="R686"/>
      <c r="S686"/>
      <c r="T686"/>
      <c r="U686"/>
      <c r="V686"/>
      <c r="W686"/>
      <c r="X686"/>
      <c r="Y686"/>
      <c r="Z686"/>
      <c r="AA686"/>
      <c r="AB686"/>
      <c r="AC686"/>
      <c r="AD686"/>
      <c r="AE686"/>
      <c r="AF686"/>
    </row>
    <row r="687" spans="17:32" ht="12.75" customHeight="1">
      <c r="Q687"/>
      <c r="R687"/>
      <c r="S687"/>
      <c r="T687"/>
      <c r="U687"/>
      <c r="V687"/>
      <c r="W687"/>
      <c r="X687"/>
      <c r="Y687"/>
      <c r="Z687"/>
      <c r="AA687"/>
      <c r="AB687"/>
      <c r="AC687"/>
      <c r="AD687"/>
      <c r="AE687"/>
      <c r="AF687"/>
    </row>
    <row r="688" spans="17:32" ht="12.75" customHeight="1">
      <c r="Q688"/>
      <c r="R688"/>
      <c r="S688"/>
      <c r="T688"/>
      <c r="U688"/>
      <c r="V688"/>
      <c r="W688"/>
      <c r="X688"/>
      <c r="Y688"/>
      <c r="Z688"/>
      <c r="AA688"/>
      <c r="AB688"/>
      <c r="AC688"/>
      <c r="AD688"/>
      <c r="AE688"/>
      <c r="AF688"/>
    </row>
    <row r="689" spans="17:32" ht="12.75" customHeight="1">
      <c r="Q689"/>
      <c r="R689"/>
      <c r="S689"/>
      <c r="T689"/>
      <c r="U689"/>
      <c r="V689"/>
      <c r="W689"/>
      <c r="X689"/>
      <c r="Y689"/>
      <c r="Z689"/>
      <c r="AA689"/>
      <c r="AB689"/>
      <c r="AC689"/>
      <c r="AD689"/>
      <c r="AE689"/>
      <c r="AF689"/>
    </row>
    <row r="690" spans="17:32">
      <c r="Q690"/>
      <c r="R690"/>
      <c r="S690"/>
      <c r="T690"/>
      <c r="U690"/>
      <c r="V690"/>
      <c r="W690"/>
      <c r="X690"/>
      <c r="Y690"/>
      <c r="Z690"/>
      <c r="AA690"/>
      <c r="AB690"/>
      <c r="AC690"/>
      <c r="AD690"/>
      <c r="AE690"/>
      <c r="AF690"/>
    </row>
    <row r="691" spans="17:32">
      <c r="Q691"/>
      <c r="R691"/>
      <c r="S691"/>
      <c r="T691"/>
      <c r="U691"/>
      <c r="V691"/>
      <c r="W691"/>
      <c r="X691"/>
      <c r="Y691"/>
      <c r="Z691"/>
      <c r="AA691"/>
      <c r="AB691"/>
      <c r="AC691"/>
      <c r="AD691"/>
      <c r="AE691"/>
      <c r="AF691"/>
    </row>
    <row r="692" spans="17:32">
      <c r="Q692"/>
      <c r="R692"/>
      <c r="S692"/>
      <c r="T692"/>
      <c r="U692"/>
      <c r="V692"/>
      <c r="W692"/>
      <c r="X692"/>
      <c r="Y692"/>
      <c r="Z692"/>
      <c r="AA692"/>
      <c r="AB692"/>
      <c r="AC692"/>
      <c r="AD692"/>
      <c r="AE692"/>
      <c r="AF692"/>
    </row>
    <row r="693" spans="17:32">
      <c r="Q693"/>
      <c r="R693"/>
      <c r="S693"/>
      <c r="T693"/>
      <c r="U693"/>
      <c r="V693"/>
      <c r="W693"/>
      <c r="X693"/>
      <c r="Y693"/>
      <c r="Z693"/>
      <c r="AA693"/>
      <c r="AB693"/>
      <c r="AC693"/>
      <c r="AD693"/>
      <c r="AE693"/>
      <c r="AF693"/>
    </row>
    <row r="694" spans="17:32">
      <c r="Q694"/>
      <c r="R694"/>
      <c r="S694"/>
      <c r="T694"/>
      <c r="U694"/>
      <c r="V694"/>
      <c r="W694"/>
      <c r="X694"/>
      <c r="Y694"/>
      <c r="Z694"/>
      <c r="AA694"/>
      <c r="AB694"/>
      <c r="AC694"/>
      <c r="AD694"/>
      <c r="AE694"/>
      <c r="AF694"/>
    </row>
    <row r="695" spans="17:32">
      <c r="Q695"/>
      <c r="R695"/>
      <c r="S695"/>
      <c r="T695"/>
      <c r="U695"/>
      <c r="V695"/>
      <c r="W695"/>
      <c r="X695"/>
      <c r="Y695"/>
      <c r="Z695"/>
      <c r="AA695"/>
      <c r="AB695"/>
      <c r="AC695"/>
      <c r="AD695"/>
      <c r="AE695"/>
      <c r="AF695"/>
    </row>
    <row r="696" spans="17:32">
      <c r="Q696"/>
      <c r="R696"/>
      <c r="S696"/>
      <c r="T696"/>
      <c r="U696"/>
      <c r="V696"/>
      <c r="W696"/>
      <c r="X696"/>
      <c r="Y696"/>
      <c r="Z696"/>
      <c r="AA696"/>
      <c r="AB696"/>
      <c r="AC696"/>
      <c r="AD696"/>
      <c r="AE696"/>
      <c r="AF696"/>
    </row>
    <row r="697" spans="17:32">
      <c r="Q697"/>
      <c r="R697"/>
      <c r="S697"/>
      <c r="T697"/>
      <c r="U697"/>
      <c r="V697"/>
      <c r="W697"/>
      <c r="X697"/>
      <c r="Y697"/>
      <c r="Z697"/>
      <c r="AA697"/>
      <c r="AB697"/>
      <c r="AC697"/>
      <c r="AD697"/>
      <c r="AE697"/>
      <c r="AF697"/>
    </row>
    <row r="698" spans="17:32">
      <c r="Q698"/>
      <c r="R698"/>
      <c r="S698"/>
      <c r="T698"/>
      <c r="U698"/>
      <c r="V698"/>
      <c r="W698"/>
      <c r="X698"/>
      <c r="Y698"/>
      <c r="Z698"/>
      <c r="AA698"/>
      <c r="AB698"/>
      <c r="AC698"/>
      <c r="AD698"/>
      <c r="AE698"/>
      <c r="AF698"/>
    </row>
    <row r="699" spans="17:32">
      <c r="Q699"/>
      <c r="R699"/>
      <c r="S699"/>
      <c r="T699"/>
      <c r="U699"/>
      <c r="V699"/>
      <c r="W699"/>
      <c r="X699"/>
      <c r="Y699"/>
      <c r="Z699"/>
      <c r="AA699"/>
      <c r="AB699"/>
      <c r="AC699"/>
      <c r="AD699"/>
      <c r="AE699"/>
      <c r="AF699"/>
    </row>
    <row r="700" spans="17:32">
      <c r="Q700"/>
      <c r="R700"/>
      <c r="S700"/>
      <c r="T700"/>
      <c r="U700"/>
      <c r="V700"/>
      <c r="W700"/>
      <c r="X700"/>
      <c r="Y700"/>
      <c r="Z700"/>
      <c r="AA700"/>
      <c r="AB700"/>
      <c r="AC700"/>
      <c r="AD700"/>
      <c r="AE700"/>
      <c r="AF700"/>
    </row>
    <row r="701" spans="17:32">
      <c r="Q701"/>
      <c r="R701"/>
      <c r="S701"/>
      <c r="T701"/>
      <c r="U701"/>
      <c r="V701"/>
      <c r="W701"/>
      <c r="X701"/>
      <c r="Y701"/>
      <c r="Z701"/>
      <c r="AA701"/>
      <c r="AB701"/>
      <c r="AC701"/>
      <c r="AD701"/>
      <c r="AE701"/>
      <c r="AF701"/>
    </row>
    <row r="702" spans="17:32">
      <c r="Q702"/>
      <c r="R702"/>
      <c r="S702"/>
      <c r="T702"/>
      <c r="U702"/>
      <c r="V702"/>
      <c r="W702"/>
      <c r="X702"/>
      <c r="Y702"/>
      <c r="Z702"/>
      <c r="AA702"/>
      <c r="AB702"/>
      <c r="AC702"/>
      <c r="AD702"/>
      <c r="AE702"/>
      <c r="AF702"/>
    </row>
    <row r="703" spans="17:32">
      <c r="Q703"/>
      <c r="R703"/>
      <c r="S703"/>
      <c r="T703"/>
      <c r="U703"/>
      <c r="V703"/>
      <c r="W703"/>
      <c r="X703"/>
      <c r="Y703"/>
      <c r="Z703"/>
      <c r="AA703"/>
      <c r="AB703"/>
      <c r="AC703"/>
      <c r="AD703"/>
      <c r="AE703"/>
      <c r="AF703"/>
    </row>
    <row r="704" spans="17:32">
      <c r="Q704"/>
      <c r="R704"/>
      <c r="S704"/>
      <c r="T704"/>
      <c r="U704"/>
      <c r="V704"/>
      <c r="W704"/>
      <c r="X704"/>
      <c r="Y704"/>
      <c r="Z704"/>
      <c r="AA704"/>
      <c r="AB704"/>
      <c r="AC704"/>
      <c r="AD704"/>
      <c r="AE704"/>
      <c r="AF704"/>
    </row>
    <row r="705" spans="17:32">
      <c r="Q705"/>
      <c r="R705"/>
      <c r="S705"/>
      <c r="T705"/>
      <c r="U705"/>
      <c r="V705"/>
      <c r="W705"/>
      <c r="X705"/>
      <c r="Y705"/>
      <c r="Z705"/>
      <c r="AA705"/>
      <c r="AB705"/>
      <c r="AC705"/>
      <c r="AD705"/>
      <c r="AE705"/>
      <c r="AF705"/>
    </row>
    <row r="706" spans="17:32">
      <c r="Q706"/>
      <c r="R706"/>
      <c r="S706"/>
      <c r="T706"/>
      <c r="U706"/>
      <c r="V706"/>
      <c r="W706"/>
      <c r="X706"/>
      <c r="Y706"/>
      <c r="Z706"/>
      <c r="AA706"/>
      <c r="AB706"/>
      <c r="AC706"/>
      <c r="AD706"/>
      <c r="AE706"/>
      <c r="AF706"/>
    </row>
    <row r="707" spans="17:32">
      <c r="Q707"/>
      <c r="R707"/>
      <c r="S707"/>
      <c r="T707"/>
      <c r="U707"/>
      <c r="V707"/>
      <c r="W707"/>
      <c r="X707"/>
      <c r="Y707"/>
      <c r="Z707"/>
      <c r="AA707"/>
      <c r="AB707"/>
      <c r="AC707"/>
      <c r="AD707"/>
      <c r="AE707"/>
      <c r="AF707"/>
    </row>
    <row r="708" spans="17:32">
      <c r="Q708"/>
      <c r="R708"/>
      <c r="S708"/>
      <c r="T708"/>
      <c r="U708"/>
      <c r="V708"/>
      <c r="W708"/>
      <c r="X708"/>
      <c r="Y708"/>
      <c r="Z708"/>
      <c r="AA708"/>
      <c r="AB708"/>
      <c r="AC708"/>
      <c r="AD708"/>
      <c r="AE708"/>
      <c r="AF708"/>
    </row>
    <row r="709" spans="17:32">
      <c r="Q709"/>
      <c r="R709"/>
      <c r="S709"/>
      <c r="T709"/>
      <c r="U709"/>
      <c r="V709"/>
      <c r="W709"/>
      <c r="X709"/>
      <c r="Y709"/>
      <c r="Z709"/>
      <c r="AA709"/>
      <c r="AB709"/>
      <c r="AC709"/>
      <c r="AD709"/>
      <c r="AE709"/>
      <c r="AF709"/>
    </row>
    <row r="710" spans="17:32">
      <c r="Q710"/>
      <c r="R710"/>
      <c r="S710"/>
      <c r="T710"/>
      <c r="U710"/>
      <c r="V710"/>
      <c r="W710"/>
      <c r="X710"/>
      <c r="Y710"/>
      <c r="Z710"/>
      <c r="AA710"/>
      <c r="AB710"/>
      <c r="AC710"/>
      <c r="AD710"/>
      <c r="AE710"/>
      <c r="AF710"/>
    </row>
    <row r="711" spans="17:32">
      <c r="Q711"/>
      <c r="R711"/>
      <c r="S711"/>
      <c r="T711"/>
      <c r="U711"/>
      <c r="V711"/>
      <c r="W711"/>
      <c r="X711"/>
      <c r="Y711"/>
      <c r="Z711"/>
      <c r="AA711"/>
      <c r="AB711"/>
      <c r="AC711"/>
      <c r="AD711"/>
      <c r="AE711"/>
      <c r="AF711"/>
    </row>
    <row r="712" spans="17:32">
      <c r="Q712"/>
      <c r="R712"/>
      <c r="S712"/>
      <c r="T712"/>
      <c r="U712"/>
      <c r="V712"/>
      <c r="W712"/>
      <c r="X712"/>
      <c r="Y712"/>
      <c r="Z712"/>
      <c r="AA712"/>
      <c r="AB712"/>
      <c r="AC712"/>
      <c r="AD712"/>
      <c r="AE712"/>
      <c r="AF712"/>
    </row>
    <row r="713" spans="17:32">
      <c r="Q713"/>
      <c r="R713"/>
      <c r="S713"/>
      <c r="T713"/>
      <c r="U713"/>
      <c r="V713"/>
      <c r="W713"/>
      <c r="X713"/>
      <c r="Y713"/>
      <c r="Z713"/>
      <c r="AA713"/>
      <c r="AB713"/>
      <c r="AC713"/>
      <c r="AD713"/>
      <c r="AE713"/>
      <c r="AF713"/>
    </row>
    <row r="714" spans="17:32">
      <c r="Q714"/>
      <c r="R714"/>
      <c r="S714"/>
      <c r="T714"/>
      <c r="U714"/>
      <c r="V714"/>
      <c r="W714"/>
      <c r="X714"/>
      <c r="Y714"/>
      <c r="Z714"/>
      <c r="AA714"/>
      <c r="AB714"/>
      <c r="AC714"/>
      <c r="AD714"/>
      <c r="AE714"/>
      <c r="AF714"/>
    </row>
    <row r="715" spans="17:32">
      <c r="Q715"/>
      <c r="R715"/>
      <c r="S715"/>
      <c r="T715"/>
      <c r="U715"/>
      <c r="V715"/>
      <c r="W715"/>
      <c r="X715"/>
      <c r="Y715"/>
      <c r="Z715"/>
      <c r="AA715"/>
      <c r="AB715"/>
      <c r="AC715"/>
      <c r="AD715"/>
      <c r="AE715"/>
      <c r="AF715"/>
    </row>
    <row r="716" spans="17:32">
      <c r="Q716"/>
      <c r="R716"/>
      <c r="S716"/>
      <c r="T716"/>
      <c r="U716"/>
      <c r="V716"/>
      <c r="W716"/>
      <c r="X716"/>
      <c r="Y716"/>
      <c r="Z716"/>
      <c r="AA716"/>
      <c r="AB716"/>
      <c r="AC716"/>
      <c r="AD716"/>
      <c r="AE716"/>
      <c r="AF716"/>
    </row>
    <row r="717" spans="17:32">
      <c r="Q717"/>
      <c r="R717"/>
      <c r="S717"/>
      <c r="T717"/>
      <c r="U717"/>
      <c r="V717"/>
      <c r="W717"/>
      <c r="X717"/>
      <c r="Y717"/>
      <c r="Z717"/>
      <c r="AA717"/>
      <c r="AB717"/>
      <c r="AC717"/>
      <c r="AD717"/>
      <c r="AE717"/>
      <c r="AF717"/>
    </row>
    <row r="718" spans="17:32">
      <c r="Q718"/>
      <c r="R718"/>
      <c r="S718"/>
      <c r="T718"/>
      <c r="U718"/>
      <c r="V718"/>
      <c r="W718"/>
      <c r="X718"/>
      <c r="Y718"/>
      <c r="Z718"/>
      <c r="AA718"/>
      <c r="AB718"/>
      <c r="AC718"/>
      <c r="AD718"/>
      <c r="AE718"/>
      <c r="AF718"/>
    </row>
    <row r="719" spans="17:32">
      <c r="Q719"/>
      <c r="R719"/>
      <c r="S719"/>
      <c r="T719"/>
      <c r="U719"/>
      <c r="V719"/>
      <c r="W719"/>
      <c r="X719"/>
      <c r="Y719"/>
      <c r="Z719"/>
      <c r="AA719"/>
      <c r="AB719"/>
      <c r="AC719"/>
      <c r="AD719"/>
      <c r="AE719"/>
      <c r="AF719"/>
    </row>
    <row r="720" spans="17:32">
      <c r="Q720"/>
      <c r="R720"/>
      <c r="S720"/>
      <c r="T720"/>
      <c r="U720"/>
      <c r="V720"/>
      <c r="W720"/>
      <c r="X720"/>
      <c r="Y720"/>
      <c r="Z720"/>
      <c r="AA720"/>
      <c r="AB720"/>
      <c r="AC720"/>
      <c r="AD720"/>
      <c r="AE720"/>
      <c r="AF720"/>
    </row>
    <row r="721" spans="17:32">
      <c r="Q721"/>
      <c r="R721"/>
      <c r="S721"/>
      <c r="T721"/>
      <c r="U721"/>
      <c r="V721"/>
      <c r="W721"/>
      <c r="X721"/>
      <c r="Y721"/>
      <c r="Z721"/>
      <c r="AA721"/>
      <c r="AB721"/>
      <c r="AC721"/>
      <c r="AD721"/>
      <c r="AE721"/>
      <c r="AF721"/>
    </row>
    <row r="722" spans="17:32">
      <c r="Q722"/>
      <c r="R722"/>
      <c r="S722"/>
      <c r="T722"/>
      <c r="U722"/>
      <c r="V722"/>
      <c r="W722"/>
      <c r="X722"/>
      <c r="Y722"/>
      <c r="Z722"/>
      <c r="AA722"/>
      <c r="AB722"/>
      <c r="AC722"/>
      <c r="AD722"/>
      <c r="AE722"/>
      <c r="AF722"/>
    </row>
    <row r="723" spans="17:32">
      <c r="Q723" s="23"/>
      <c r="R723" s="1"/>
      <c r="S723" s="1"/>
      <c r="T723" s="1"/>
      <c r="U723" s="1"/>
      <c r="V723" s="1"/>
      <c r="W723" s="1"/>
      <c r="X723" s="1"/>
      <c r="Y723" s="1"/>
      <c r="Z723" s="1"/>
    </row>
    <row r="724" spans="17:32">
      <c r="Q724" s="23"/>
      <c r="R724" s="1"/>
      <c r="S724" s="1"/>
      <c r="T724" s="1"/>
      <c r="U724" s="1"/>
      <c r="V724" s="1"/>
      <c r="W724" s="1"/>
      <c r="X724" s="1"/>
      <c r="Y724" s="1"/>
      <c r="Z724" s="1"/>
    </row>
    <row r="725" spans="17:32">
      <c r="Q725" s="23"/>
      <c r="R725" s="1"/>
      <c r="S725" s="1"/>
      <c r="T725" s="1"/>
      <c r="U725" s="1"/>
      <c r="V725" s="1"/>
      <c r="W725" s="1"/>
      <c r="X725" s="1"/>
      <c r="Y725" s="1"/>
      <c r="Z725" s="1"/>
    </row>
    <row r="726" spans="17:32">
      <c r="Q726" s="23"/>
      <c r="R726" s="1"/>
      <c r="S726" s="1"/>
      <c r="T726" s="1"/>
      <c r="U726" s="1"/>
      <c r="V726" s="1"/>
      <c r="W726" s="1"/>
      <c r="X726" s="1"/>
      <c r="Y726" s="1"/>
      <c r="Z726" s="1"/>
    </row>
    <row r="727" spans="17:32">
      <c r="Q727" s="23"/>
      <c r="R727" s="1"/>
      <c r="S727" s="1"/>
      <c r="T727" s="1"/>
      <c r="U727" s="1"/>
      <c r="V727" s="1"/>
      <c r="W727" s="1"/>
      <c r="X727" s="1"/>
      <c r="Y727" s="1"/>
      <c r="Z727" s="1"/>
    </row>
    <row r="728" spans="17:32">
      <c r="Q728" s="23"/>
      <c r="R728" s="1"/>
      <c r="S728" s="1"/>
      <c r="T728" s="1"/>
      <c r="U728" s="1"/>
      <c r="V728" s="1"/>
      <c r="W728" s="1"/>
      <c r="X728" s="1"/>
      <c r="Y728" s="1"/>
      <c r="Z728" s="1"/>
    </row>
    <row r="729" spans="17:32">
      <c r="Q729" s="23"/>
      <c r="R729" s="1"/>
      <c r="S729" s="1"/>
      <c r="T729" s="1"/>
      <c r="U729" s="1"/>
      <c r="V729" s="1"/>
      <c r="W729" s="1"/>
      <c r="X729" s="1"/>
      <c r="Y729" s="1"/>
      <c r="Z729" s="1"/>
    </row>
    <row r="730" spans="17:32">
      <c r="Q730" s="23"/>
      <c r="R730" s="1"/>
      <c r="S730" s="1"/>
      <c r="T730" s="1"/>
      <c r="U730" s="1"/>
      <c r="V730" s="1"/>
      <c r="W730" s="1"/>
      <c r="X730" s="1"/>
      <c r="Y730" s="1"/>
      <c r="Z730" s="1"/>
    </row>
    <row r="731" spans="17:32">
      <c r="Q731" s="23"/>
      <c r="R731" s="1"/>
      <c r="S731" s="1"/>
      <c r="T731" s="1"/>
      <c r="U731" s="1"/>
      <c r="V731" s="1"/>
      <c r="W731" s="1"/>
      <c r="X731" s="1"/>
      <c r="Y731" s="1"/>
      <c r="Z731" s="1"/>
    </row>
    <row r="732" spans="17:32">
      <c r="Q732" s="23"/>
      <c r="R732" s="1"/>
      <c r="S732" s="1"/>
      <c r="T732" s="1"/>
      <c r="U732" s="1"/>
      <c r="V732" s="1"/>
      <c r="W732" s="1"/>
      <c r="X732" s="1"/>
      <c r="Y732" s="1"/>
      <c r="Z732" s="1"/>
    </row>
    <row r="733" spans="17:32">
      <c r="Q733" s="23"/>
      <c r="R733" s="1"/>
      <c r="S733" s="1"/>
      <c r="T733" s="1"/>
      <c r="U733" s="1"/>
      <c r="V733" s="1"/>
      <c r="W733" s="1"/>
      <c r="X733" s="1"/>
      <c r="Y733" s="1"/>
      <c r="Z733" s="1"/>
    </row>
    <row r="734" spans="17:32">
      <c r="Q734" s="23"/>
      <c r="R734" s="1"/>
      <c r="S734" s="1"/>
      <c r="T734" s="1"/>
      <c r="U734" s="1"/>
      <c r="V734" s="1"/>
      <c r="W734" s="1"/>
      <c r="X734" s="1"/>
      <c r="Y734" s="1"/>
      <c r="Z734" s="1"/>
    </row>
    <row r="735" spans="17:32">
      <c r="Q735" s="23"/>
      <c r="R735" s="1"/>
      <c r="S735" s="1"/>
      <c r="T735" s="1"/>
      <c r="U735" s="1"/>
      <c r="V735" s="1"/>
      <c r="W735" s="1"/>
      <c r="X735" s="1"/>
      <c r="Y735" s="1"/>
      <c r="Z735" s="1"/>
    </row>
    <row r="736" spans="17:32">
      <c r="Q736" s="23"/>
      <c r="R736" s="1"/>
      <c r="S736" s="1"/>
      <c r="T736" s="1"/>
      <c r="U736" s="1"/>
      <c r="V736" s="1"/>
      <c r="W736" s="1"/>
      <c r="X736" s="1"/>
      <c r="Y736" s="1"/>
      <c r="Z736" s="1"/>
    </row>
    <row r="737" spans="17:26">
      <c r="Q737" s="23"/>
      <c r="R737" s="1"/>
      <c r="S737" s="1"/>
      <c r="T737" s="1"/>
      <c r="U737" s="1"/>
      <c r="V737" s="1"/>
      <c r="W737" s="1"/>
      <c r="X737" s="1"/>
      <c r="Y737" s="1"/>
      <c r="Z737" s="1"/>
    </row>
    <row r="738" spans="17:26">
      <c r="Q738" s="23"/>
      <c r="R738" s="1"/>
      <c r="S738" s="1"/>
      <c r="T738" s="1"/>
      <c r="U738" s="1"/>
      <c r="V738" s="1"/>
      <c r="W738" s="1"/>
      <c r="X738" s="1"/>
      <c r="Y738" s="1"/>
      <c r="Z738" s="1"/>
    </row>
    <row r="739" spans="17:26">
      <c r="Q739" s="23"/>
      <c r="R739" s="1"/>
      <c r="S739" s="1"/>
      <c r="T739" s="1"/>
      <c r="U739" s="1"/>
      <c r="V739" s="1"/>
      <c r="W739" s="1"/>
      <c r="X739" s="1"/>
      <c r="Y739" s="1"/>
      <c r="Z739" s="1"/>
    </row>
    <row r="740" spans="17:26">
      <c r="Q740" s="23"/>
      <c r="R740" s="1"/>
      <c r="S740" s="1"/>
      <c r="T740" s="1"/>
      <c r="U740" s="1"/>
      <c r="V740" s="1"/>
      <c r="W740" s="1"/>
      <c r="X740" s="1"/>
      <c r="Y740" s="1"/>
      <c r="Z740" s="1"/>
    </row>
    <row r="741" spans="17:26">
      <c r="Q741" s="23"/>
      <c r="R741" s="1"/>
      <c r="S741" s="1"/>
      <c r="T741" s="1"/>
      <c r="U741" s="1"/>
      <c r="V741" s="1"/>
      <c r="W741" s="1"/>
      <c r="X741" s="1"/>
      <c r="Y741" s="1"/>
      <c r="Z741" s="1"/>
    </row>
    <row r="742" spans="17:26">
      <c r="Q742" s="23"/>
      <c r="R742" s="1"/>
      <c r="S742" s="1"/>
      <c r="T742" s="1"/>
      <c r="U742" s="1"/>
      <c r="V742" s="1"/>
      <c r="W742" s="1"/>
      <c r="X742" s="1"/>
      <c r="Y742" s="1"/>
      <c r="Z742" s="1"/>
    </row>
    <row r="743" spans="17:26">
      <c r="Q743" s="23"/>
      <c r="R743" s="1"/>
      <c r="S743" s="1"/>
      <c r="T743" s="1"/>
      <c r="U743" s="1"/>
      <c r="V743" s="1"/>
      <c r="W743" s="1"/>
      <c r="X743" s="1"/>
      <c r="Y743" s="1"/>
      <c r="Z743" s="1"/>
    </row>
    <row r="744" spans="17:26">
      <c r="Q744" s="23"/>
      <c r="R744" s="1"/>
      <c r="S744" s="1"/>
      <c r="T744" s="1"/>
      <c r="U744" s="1"/>
      <c r="V744" s="1"/>
      <c r="W744" s="1"/>
      <c r="X744" s="1"/>
      <c r="Y744" s="1"/>
      <c r="Z744" s="1"/>
    </row>
    <row r="745" spans="17:26">
      <c r="Q745" s="23"/>
      <c r="R745" s="1"/>
      <c r="S745" s="1"/>
      <c r="T745" s="1"/>
      <c r="U745" s="1"/>
      <c r="V745" s="1"/>
      <c r="W745" s="1"/>
      <c r="X745" s="1"/>
      <c r="Y745" s="1"/>
      <c r="Z745" s="1"/>
    </row>
    <row r="746" spans="17:26">
      <c r="Q746" s="23"/>
      <c r="R746" s="1"/>
      <c r="S746" s="1"/>
      <c r="T746" s="1"/>
      <c r="U746" s="1"/>
      <c r="V746" s="1"/>
      <c r="W746" s="1"/>
      <c r="X746" s="1"/>
      <c r="Y746" s="1"/>
      <c r="Z746" s="1"/>
    </row>
    <row r="747" spans="17:26">
      <c r="Q747" s="23"/>
      <c r="R747" s="1"/>
      <c r="S747" s="1"/>
      <c r="T747" s="1"/>
      <c r="U747" s="1"/>
      <c r="V747" s="1"/>
      <c r="W747" s="1"/>
      <c r="X747" s="1"/>
      <c r="Y747" s="1"/>
      <c r="Z747" s="1"/>
    </row>
    <row r="748" spans="17:26">
      <c r="Q748" s="23"/>
      <c r="R748" s="1"/>
      <c r="S748" s="1"/>
      <c r="T748" s="1"/>
      <c r="U748" s="1"/>
      <c r="V748" s="1"/>
      <c r="W748" s="1"/>
      <c r="X748" s="1"/>
      <c r="Y748" s="1"/>
      <c r="Z748" s="1"/>
    </row>
    <row r="749" spans="17:26">
      <c r="Q749" s="23"/>
      <c r="R749" s="1"/>
      <c r="S749" s="1"/>
      <c r="T749" s="1"/>
      <c r="U749" s="1"/>
      <c r="V749" s="1"/>
      <c r="W749" s="1"/>
      <c r="X749" s="1"/>
      <c r="Y749" s="1"/>
      <c r="Z749" s="1"/>
    </row>
    <row r="750" spans="17:26">
      <c r="Q750" s="23"/>
      <c r="R750" s="1"/>
      <c r="S750" s="1"/>
      <c r="T750" s="1"/>
      <c r="U750" s="1"/>
      <c r="V750" s="1"/>
      <c r="W750" s="1"/>
      <c r="X750" s="1"/>
      <c r="Y750" s="1"/>
      <c r="Z750" s="1"/>
    </row>
    <row r="751" spans="17:26">
      <c r="Q751" s="23"/>
      <c r="R751" s="1"/>
      <c r="S751" s="1"/>
      <c r="T751" s="1"/>
      <c r="U751" s="1"/>
      <c r="V751" s="1"/>
      <c r="W751" s="1"/>
      <c r="X751" s="1"/>
      <c r="Y751" s="1"/>
      <c r="Z751" s="1"/>
    </row>
    <row r="752" spans="17:26">
      <c r="Q752" s="23"/>
      <c r="R752" s="1"/>
      <c r="S752" s="1"/>
      <c r="T752" s="1"/>
      <c r="U752" s="1"/>
      <c r="V752" s="1"/>
      <c r="W752" s="1"/>
      <c r="X752" s="1"/>
      <c r="Y752" s="1"/>
      <c r="Z752" s="1"/>
    </row>
    <row r="753" spans="17:26">
      <c r="Q753" s="23"/>
      <c r="R753" s="1"/>
      <c r="S753" s="1"/>
      <c r="T753" s="1"/>
      <c r="U753" s="1"/>
      <c r="V753" s="1"/>
      <c r="W753" s="1"/>
      <c r="X753" s="1"/>
      <c r="Y753" s="1"/>
      <c r="Z753" s="1"/>
    </row>
    <row r="754" spans="17:26">
      <c r="Q754" s="23"/>
      <c r="R754" s="1"/>
      <c r="S754" s="1"/>
      <c r="T754" s="1"/>
      <c r="U754" s="1"/>
      <c r="V754" s="1"/>
      <c r="W754" s="1"/>
      <c r="X754" s="1"/>
      <c r="Y754" s="1"/>
      <c r="Z754" s="1"/>
    </row>
    <row r="755" spans="17:26">
      <c r="Q755" s="23"/>
      <c r="R755" s="1"/>
      <c r="S755" s="1"/>
      <c r="T755" s="1"/>
      <c r="U755" s="1"/>
      <c r="V755" s="1"/>
      <c r="W755" s="1"/>
      <c r="X755" s="1"/>
      <c r="Y755" s="1"/>
      <c r="Z755" s="1"/>
    </row>
    <row r="756" spans="17:26">
      <c r="Q756" s="23"/>
      <c r="R756" s="1"/>
      <c r="S756" s="1"/>
      <c r="T756" s="1"/>
      <c r="U756" s="1"/>
      <c r="V756" s="1"/>
      <c r="W756" s="1"/>
      <c r="X756" s="1"/>
      <c r="Y756" s="1"/>
      <c r="Z756" s="1"/>
    </row>
    <row r="757" spans="17:26">
      <c r="Q757" s="23"/>
      <c r="R757" s="1"/>
      <c r="S757" s="1"/>
      <c r="T757" s="1"/>
      <c r="U757" s="1"/>
      <c r="V757" s="1"/>
      <c r="W757" s="1"/>
      <c r="X757" s="1"/>
      <c r="Y757" s="1"/>
      <c r="Z757" s="1"/>
    </row>
    <row r="758" spans="17:26">
      <c r="Q758" s="23"/>
      <c r="R758" s="1"/>
      <c r="S758" s="1"/>
      <c r="T758" s="1"/>
      <c r="U758" s="1"/>
      <c r="V758" s="1"/>
      <c r="W758" s="1"/>
      <c r="X758" s="1"/>
      <c r="Y758" s="1"/>
      <c r="Z758" s="1"/>
    </row>
    <row r="759" spans="17:26">
      <c r="Q759" s="23"/>
      <c r="R759" s="1"/>
      <c r="S759" s="1"/>
      <c r="T759" s="1"/>
      <c r="U759" s="1"/>
      <c r="V759" s="1"/>
      <c r="W759" s="1"/>
      <c r="X759" s="1"/>
      <c r="Y759" s="1"/>
      <c r="Z759" s="1"/>
    </row>
    <row r="760" spans="17:26">
      <c r="Q760" s="23"/>
      <c r="R760" s="1"/>
      <c r="S760" s="1"/>
      <c r="T760" s="1"/>
      <c r="U760" s="1"/>
      <c r="V760" s="1"/>
      <c r="W760" s="1"/>
      <c r="X760" s="1"/>
      <c r="Y760" s="1"/>
      <c r="Z760" s="1"/>
    </row>
    <row r="761" spans="17:26">
      <c r="Q761" s="23"/>
      <c r="R761" s="1"/>
      <c r="S761" s="1"/>
      <c r="T761" s="1"/>
      <c r="U761" s="1"/>
      <c r="V761" s="1"/>
      <c r="W761" s="1"/>
      <c r="X761" s="1"/>
      <c r="Y761" s="1"/>
      <c r="Z761" s="1"/>
    </row>
    <row r="762" spans="17:26">
      <c r="Q762" s="23"/>
      <c r="R762" s="1"/>
      <c r="S762" s="1"/>
      <c r="T762" s="1"/>
      <c r="U762" s="1"/>
      <c r="V762" s="1"/>
      <c r="W762" s="1"/>
      <c r="X762" s="1"/>
      <c r="Y762" s="1"/>
      <c r="Z762" s="1"/>
    </row>
    <row r="763" spans="17:26">
      <c r="Q763" s="23"/>
      <c r="R763" s="1"/>
      <c r="S763" s="1"/>
      <c r="T763" s="1"/>
      <c r="U763" s="1"/>
      <c r="V763" s="1"/>
      <c r="W763" s="1"/>
      <c r="X763" s="1"/>
      <c r="Y763" s="1"/>
      <c r="Z763" s="1"/>
    </row>
    <row r="764" spans="17:26">
      <c r="Q764" s="23"/>
      <c r="R764" s="1"/>
      <c r="S764" s="1"/>
      <c r="T764" s="1"/>
      <c r="U764" s="1"/>
      <c r="V764" s="1"/>
      <c r="W764" s="1"/>
      <c r="X764" s="1"/>
      <c r="Y764" s="1"/>
      <c r="Z764" s="1"/>
    </row>
    <row r="765" spans="17:26">
      <c r="Q765" s="23"/>
      <c r="R765" s="1"/>
      <c r="S765" s="1"/>
      <c r="T765" s="1"/>
      <c r="U765" s="1"/>
      <c r="V765" s="1"/>
      <c r="W765" s="1"/>
      <c r="X765" s="1"/>
      <c r="Y765" s="1"/>
      <c r="Z765" s="1"/>
    </row>
    <row r="766" spans="17:26">
      <c r="Q766" s="23"/>
      <c r="R766" s="1"/>
      <c r="S766" s="1"/>
      <c r="T766" s="1"/>
      <c r="U766" s="1"/>
      <c r="V766" s="1"/>
      <c r="W766" s="1"/>
      <c r="X766" s="1"/>
      <c r="Y766" s="1"/>
      <c r="Z766" s="1"/>
    </row>
    <row r="767" spans="17:26">
      <c r="Q767" s="23"/>
      <c r="R767" s="1"/>
      <c r="S767" s="1"/>
      <c r="T767" s="1"/>
      <c r="U767" s="1"/>
      <c r="V767" s="1"/>
      <c r="W767" s="1"/>
      <c r="X767" s="1"/>
      <c r="Y767" s="1"/>
      <c r="Z767" s="1"/>
    </row>
    <row r="768" spans="17:26">
      <c r="Q768" s="23"/>
      <c r="R768" s="1"/>
      <c r="S768" s="1"/>
      <c r="T768" s="1"/>
      <c r="U768" s="1"/>
      <c r="V768" s="1"/>
      <c r="W768" s="1"/>
      <c r="X768" s="1"/>
      <c r="Y768" s="1"/>
      <c r="Z768" s="1"/>
    </row>
    <row r="769" spans="17:26">
      <c r="Q769" s="23"/>
      <c r="R769" s="1"/>
      <c r="S769" s="1"/>
      <c r="T769" s="1"/>
      <c r="U769" s="1"/>
      <c r="V769" s="1"/>
      <c r="W769" s="1"/>
      <c r="X769" s="1"/>
      <c r="Y769" s="1"/>
      <c r="Z769" s="1"/>
    </row>
    <row r="770" spans="17:26">
      <c r="Q770" s="23"/>
      <c r="R770" s="1"/>
      <c r="S770" s="1"/>
      <c r="T770" s="1"/>
      <c r="U770" s="1"/>
      <c r="V770" s="1"/>
      <c r="W770" s="1"/>
      <c r="X770" s="1"/>
      <c r="Y770" s="1"/>
      <c r="Z770" s="1"/>
    </row>
    <row r="771" spans="17:26">
      <c r="Q771" s="23"/>
      <c r="R771" s="1"/>
      <c r="S771" s="1"/>
      <c r="T771" s="1"/>
      <c r="U771" s="1"/>
      <c r="V771" s="1"/>
      <c r="W771" s="1"/>
      <c r="X771" s="1"/>
      <c r="Y771" s="1"/>
      <c r="Z771" s="1"/>
    </row>
    <row r="772" spans="17:26">
      <c r="Q772" s="23"/>
      <c r="R772" s="1"/>
      <c r="S772" s="1"/>
      <c r="T772" s="1"/>
      <c r="U772" s="1"/>
      <c r="V772" s="1"/>
      <c r="W772" s="1"/>
      <c r="X772" s="1"/>
      <c r="Y772" s="1"/>
      <c r="Z772" s="1"/>
    </row>
    <row r="773" spans="17:26">
      <c r="Q773" s="23"/>
      <c r="R773" s="1"/>
      <c r="S773" s="1"/>
      <c r="T773" s="1"/>
      <c r="U773" s="1"/>
      <c r="V773" s="1"/>
      <c r="W773" s="1"/>
      <c r="X773" s="1"/>
      <c r="Y773" s="1"/>
      <c r="Z773" s="1"/>
    </row>
    <row r="774" spans="17:26">
      <c r="Q774" s="23"/>
      <c r="R774" s="1"/>
      <c r="S774" s="1"/>
      <c r="T774" s="1"/>
      <c r="U774" s="1"/>
      <c r="V774" s="1"/>
      <c r="W774" s="1"/>
      <c r="X774" s="1"/>
      <c r="Y774" s="1"/>
      <c r="Z774" s="1"/>
    </row>
    <row r="775" spans="17:26">
      <c r="Q775" s="23"/>
      <c r="R775" s="1"/>
      <c r="S775" s="1"/>
      <c r="T775" s="1"/>
      <c r="U775" s="1"/>
      <c r="V775" s="1"/>
      <c r="W775" s="1"/>
      <c r="X775" s="1"/>
      <c r="Y775" s="1"/>
      <c r="Z775" s="1"/>
    </row>
    <row r="776" spans="17:26">
      <c r="Q776" s="23"/>
      <c r="R776" s="1"/>
      <c r="S776" s="1"/>
      <c r="T776" s="1"/>
      <c r="U776" s="1"/>
      <c r="V776" s="1"/>
      <c r="W776" s="1"/>
      <c r="X776" s="1"/>
      <c r="Y776" s="1"/>
      <c r="Z776" s="1"/>
    </row>
    <row r="777" spans="17:26">
      <c r="Q777" s="23"/>
      <c r="R777" s="1"/>
      <c r="S777" s="1"/>
      <c r="T777" s="1"/>
      <c r="U777" s="1"/>
      <c r="V777" s="1"/>
      <c r="W777" s="1"/>
      <c r="X777" s="1"/>
      <c r="Y777" s="1"/>
      <c r="Z777" s="1"/>
    </row>
    <row r="778" spans="17:26">
      <c r="Q778" s="23"/>
      <c r="R778" s="1"/>
      <c r="S778" s="1"/>
      <c r="T778" s="1"/>
      <c r="U778" s="1"/>
      <c r="V778" s="1"/>
      <c r="W778" s="1"/>
      <c r="X778" s="1"/>
      <c r="Y778" s="1"/>
      <c r="Z778" s="1"/>
    </row>
    <row r="779" spans="17:26">
      <c r="Q779" s="23"/>
      <c r="R779" s="1"/>
      <c r="S779" s="1"/>
      <c r="T779" s="1"/>
      <c r="U779" s="1"/>
      <c r="V779" s="1"/>
      <c r="W779" s="1"/>
      <c r="X779" s="1"/>
      <c r="Y779" s="1"/>
      <c r="Z779" s="1"/>
    </row>
    <row r="780" spans="17:26">
      <c r="Q780" s="23"/>
      <c r="R780" s="1"/>
      <c r="S780" s="1"/>
      <c r="T780" s="1"/>
      <c r="U780" s="1"/>
      <c r="V780" s="1"/>
      <c r="W780" s="1"/>
      <c r="X780" s="1"/>
      <c r="Y780" s="1"/>
      <c r="Z780" s="1"/>
    </row>
    <row r="781" spans="17:26">
      <c r="Q781" s="23"/>
      <c r="R781" s="1"/>
      <c r="S781" s="1"/>
      <c r="T781" s="1"/>
      <c r="U781" s="1"/>
      <c r="V781" s="1"/>
      <c r="W781" s="1"/>
      <c r="X781" s="1"/>
      <c r="Y781" s="1"/>
      <c r="Z781" s="1"/>
    </row>
    <row r="782" spans="17:26">
      <c r="Q782" s="23"/>
      <c r="R782" s="1"/>
      <c r="S782" s="1"/>
      <c r="T782" s="1"/>
      <c r="U782" s="1"/>
      <c r="V782" s="1"/>
      <c r="W782" s="1"/>
      <c r="X782" s="1"/>
      <c r="Y782" s="1"/>
      <c r="Z782" s="1"/>
    </row>
    <row r="783" spans="17:26">
      <c r="Q783" s="23"/>
      <c r="R783" s="1"/>
      <c r="S783" s="1"/>
      <c r="T783" s="1"/>
      <c r="U783" s="1"/>
      <c r="V783" s="1"/>
      <c r="W783" s="1"/>
      <c r="X783" s="1"/>
      <c r="Y783" s="1"/>
      <c r="Z783" s="1"/>
    </row>
    <row r="784" spans="17:26">
      <c r="Q784" s="23"/>
      <c r="R784" s="1"/>
      <c r="S784" s="1"/>
      <c r="T784" s="1"/>
      <c r="U784" s="1"/>
      <c r="V784" s="1"/>
      <c r="W784" s="1"/>
      <c r="X784" s="1"/>
      <c r="Y784" s="1"/>
      <c r="Z784" s="1"/>
    </row>
    <row r="785" spans="17:26">
      <c r="Q785" s="23"/>
      <c r="R785" s="1"/>
      <c r="S785" s="1"/>
      <c r="T785" s="1"/>
      <c r="U785" s="1"/>
      <c r="V785" s="1"/>
      <c r="W785" s="1"/>
      <c r="X785" s="1"/>
      <c r="Y785" s="1"/>
      <c r="Z785" s="1"/>
    </row>
    <row r="786" spans="17:26">
      <c r="Q786" s="23"/>
      <c r="R786" s="1"/>
      <c r="S786" s="1"/>
      <c r="T786" s="1"/>
      <c r="U786" s="1"/>
      <c r="V786" s="1"/>
      <c r="W786" s="1"/>
      <c r="X786" s="1"/>
      <c r="Y786" s="1"/>
      <c r="Z786" s="1"/>
    </row>
    <row r="787" spans="17:26">
      <c r="Q787" s="23"/>
      <c r="R787" s="1"/>
      <c r="S787" s="1"/>
      <c r="T787" s="1"/>
      <c r="U787" s="1"/>
      <c r="V787" s="1"/>
      <c r="W787" s="1"/>
      <c r="X787" s="1"/>
      <c r="Y787" s="1"/>
      <c r="Z787" s="1"/>
    </row>
    <row r="788" spans="17:26">
      <c r="Q788" s="23"/>
      <c r="R788" s="1"/>
      <c r="S788" s="1"/>
      <c r="T788" s="1"/>
      <c r="U788" s="1"/>
      <c r="V788" s="1"/>
      <c r="W788" s="1"/>
      <c r="X788" s="1"/>
      <c r="Y788" s="1"/>
      <c r="Z788" s="1"/>
    </row>
    <row r="789" spans="17:26">
      <c r="Q789" s="23"/>
      <c r="R789" s="1"/>
      <c r="S789" s="1"/>
      <c r="T789" s="1"/>
      <c r="U789" s="1"/>
      <c r="V789" s="1"/>
      <c r="W789" s="1"/>
      <c r="X789" s="1"/>
      <c r="Y789" s="1"/>
      <c r="Z789" s="1"/>
    </row>
    <row r="790" spans="17:26">
      <c r="Q790" s="23"/>
      <c r="R790" s="1"/>
      <c r="S790" s="1"/>
      <c r="T790" s="1"/>
      <c r="U790" s="1"/>
      <c r="V790" s="1"/>
      <c r="W790" s="1"/>
      <c r="X790" s="1"/>
      <c r="Y790" s="1"/>
      <c r="Z790" s="1"/>
    </row>
    <row r="791" spans="17:26">
      <c r="Q791" s="23"/>
      <c r="R791" s="1"/>
      <c r="S791" s="1"/>
      <c r="T791" s="1"/>
      <c r="U791" s="1"/>
      <c r="V791" s="1"/>
      <c r="W791" s="1"/>
      <c r="X791" s="1"/>
      <c r="Y791" s="1"/>
      <c r="Z791" s="1"/>
    </row>
    <row r="792" spans="17:26">
      <c r="Q792" s="23"/>
      <c r="R792" s="1"/>
      <c r="S792" s="1"/>
      <c r="T792" s="1"/>
      <c r="U792" s="1"/>
      <c r="V792" s="1"/>
      <c r="W792" s="1"/>
      <c r="X792" s="1"/>
      <c r="Y792" s="1"/>
      <c r="Z792" s="1"/>
    </row>
    <row r="793" spans="17:26">
      <c r="Q793" s="23"/>
      <c r="R793" s="1"/>
      <c r="S793" s="1"/>
      <c r="T793" s="1"/>
      <c r="U793" s="1"/>
      <c r="V793" s="1"/>
      <c r="W793" s="1"/>
      <c r="X793" s="1"/>
      <c r="Y793" s="1"/>
      <c r="Z793" s="1"/>
    </row>
    <row r="794" spans="17:26">
      <c r="Q794" s="23"/>
      <c r="R794" s="1"/>
      <c r="S794" s="1"/>
      <c r="T794" s="1"/>
      <c r="U794" s="1"/>
      <c r="V794" s="1"/>
      <c r="W794" s="1"/>
      <c r="X794" s="1"/>
      <c r="Y794" s="1"/>
      <c r="Z794" s="1"/>
    </row>
    <row r="795" spans="17:26">
      <c r="Q795" s="23"/>
      <c r="R795" s="1"/>
      <c r="S795" s="1"/>
      <c r="T795" s="1"/>
      <c r="U795" s="1"/>
      <c r="V795" s="1"/>
      <c r="W795" s="1"/>
      <c r="X795" s="1"/>
      <c r="Y795" s="1"/>
      <c r="Z795" s="1"/>
    </row>
    <row r="796" spans="17:26">
      <c r="Q796" s="23"/>
      <c r="R796" s="1"/>
      <c r="S796" s="1"/>
      <c r="T796" s="1"/>
      <c r="U796" s="1"/>
      <c r="V796" s="1"/>
      <c r="W796" s="1"/>
      <c r="X796" s="1"/>
      <c r="Y796" s="1"/>
      <c r="Z796" s="1"/>
    </row>
    <row r="797" spans="17:26">
      <c r="Q797" s="23"/>
      <c r="R797" s="1"/>
      <c r="S797" s="1"/>
      <c r="T797" s="1"/>
      <c r="U797" s="1"/>
      <c r="V797" s="1"/>
      <c r="W797" s="1"/>
      <c r="X797" s="1"/>
      <c r="Y797" s="1"/>
      <c r="Z797" s="1"/>
    </row>
    <row r="798" spans="17:26">
      <c r="Q798" s="23"/>
      <c r="R798" s="1"/>
      <c r="S798" s="1"/>
      <c r="T798" s="1"/>
      <c r="U798" s="1"/>
      <c r="V798" s="1"/>
      <c r="W798" s="1"/>
      <c r="X798" s="1"/>
      <c r="Y798" s="1"/>
      <c r="Z798" s="1"/>
    </row>
    <row r="799" spans="17:26">
      <c r="Q799" s="23"/>
      <c r="R799" s="1"/>
      <c r="S799" s="1"/>
      <c r="T799" s="1"/>
      <c r="U799" s="1"/>
      <c r="V799" s="1"/>
      <c r="W799" s="1"/>
      <c r="X799" s="1"/>
      <c r="Y799" s="1"/>
      <c r="Z799" s="1"/>
    </row>
    <row r="800" spans="17:26">
      <c r="Q800" s="23"/>
      <c r="R800" s="1"/>
      <c r="S800" s="1"/>
      <c r="T800" s="1"/>
      <c r="U800" s="1"/>
      <c r="V800" s="1"/>
      <c r="W800" s="1"/>
      <c r="X800" s="1"/>
      <c r="Y800" s="1"/>
      <c r="Z800" s="1"/>
    </row>
    <row r="801" spans="17:26">
      <c r="Q801" s="23"/>
      <c r="R801" s="1"/>
      <c r="S801" s="1"/>
      <c r="T801" s="1"/>
      <c r="U801" s="1"/>
      <c r="V801" s="1"/>
      <c r="W801" s="1"/>
      <c r="X801" s="1"/>
      <c r="Y801" s="1"/>
      <c r="Z801" s="1"/>
    </row>
    <row r="802" spans="17:26">
      <c r="Q802" s="23"/>
      <c r="R802" s="1"/>
      <c r="S802" s="1"/>
      <c r="T802" s="1"/>
      <c r="U802" s="1"/>
      <c r="V802" s="1"/>
      <c r="W802" s="1"/>
      <c r="X802" s="1"/>
      <c r="Y802" s="1"/>
      <c r="Z802" s="1"/>
    </row>
    <row r="803" spans="17:26">
      <c r="Q803" s="23"/>
      <c r="R803" s="1"/>
      <c r="S803" s="1"/>
      <c r="T803" s="1"/>
      <c r="U803" s="1"/>
      <c r="V803" s="1"/>
      <c r="W803" s="1"/>
      <c r="X803" s="1"/>
      <c r="Y803" s="1"/>
      <c r="Z803" s="1"/>
    </row>
    <row r="804" spans="17:26">
      <c r="Q804" s="23"/>
      <c r="R804" s="1"/>
      <c r="S804" s="1"/>
      <c r="T804" s="1"/>
      <c r="U804" s="1"/>
      <c r="V804" s="1"/>
      <c r="W804" s="1"/>
      <c r="X804" s="1"/>
      <c r="Y804" s="1"/>
      <c r="Z804" s="1"/>
    </row>
    <row r="805" spans="17:26">
      <c r="Q805" s="23"/>
      <c r="R805" s="1"/>
      <c r="S805" s="1"/>
      <c r="T805" s="1"/>
      <c r="U805" s="1"/>
      <c r="V805" s="1"/>
      <c r="W805" s="1"/>
      <c r="X805" s="1"/>
      <c r="Y805" s="1"/>
      <c r="Z805" s="1"/>
    </row>
    <row r="806" spans="17:26">
      <c r="Q806" s="23"/>
      <c r="R806" s="1"/>
      <c r="S806" s="1"/>
      <c r="T806" s="1"/>
      <c r="U806" s="1"/>
      <c r="V806" s="1"/>
      <c r="W806" s="1"/>
      <c r="X806" s="1"/>
      <c r="Y806" s="1"/>
      <c r="Z806" s="1"/>
    </row>
    <row r="807" spans="17:26">
      <c r="Q807" s="23"/>
      <c r="R807" s="1"/>
      <c r="S807" s="1"/>
      <c r="T807" s="1"/>
      <c r="U807" s="1"/>
      <c r="V807" s="1"/>
      <c r="W807" s="1"/>
      <c r="X807" s="1"/>
      <c r="Y807" s="1"/>
      <c r="Z807" s="1"/>
    </row>
    <row r="808" spans="17:26">
      <c r="Q808" s="23"/>
      <c r="R808" s="1"/>
      <c r="S808" s="1"/>
      <c r="T808" s="1"/>
      <c r="U808" s="1"/>
      <c r="V808" s="1"/>
      <c r="W808" s="1"/>
      <c r="X808" s="1"/>
      <c r="Y808" s="1"/>
      <c r="Z808" s="1"/>
    </row>
    <row r="809" spans="17:26">
      <c r="Q809" s="23"/>
      <c r="R809" s="1"/>
      <c r="S809" s="1"/>
      <c r="T809" s="1"/>
      <c r="U809" s="1"/>
      <c r="V809" s="1"/>
      <c r="W809" s="1"/>
      <c r="X809" s="1"/>
      <c r="Y809" s="1"/>
      <c r="Z809" s="1"/>
    </row>
    <row r="810" spans="17:26">
      <c r="Q810" s="23"/>
      <c r="R810" s="1"/>
      <c r="S810" s="1"/>
      <c r="T810" s="1"/>
      <c r="U810" s="1"/>
      <c r="V810" s="1"/>
      <c r="W810" s="1"/>
      <c r="X810" s="1"/>
      <c r="Y810" s="1"/>
      <c r="Z810" s="1"/>
    </row>
    <row r="811" spans="17:26">
      <c r="Q811" s="23"/>
      <c r="R811" s="1"/>
      <c r="S811" s="1"/>
      <c r="T811" s="1"/>
      <c r="U811" s="1"/>
      <c r="V811" s="1"/>
      <c r="W811" s="1"/>
      <c r="X811" s="1"/>
      <c r="Y811" s="1"/>
      <c r="Z811" s="1"/>
    </row>
    <row r="812" spans="17:26">
      <c r="Q812" s="23"/>
      <c r="R812" s="1"/>
      <c r="S812" s="1"/>
      <c r="T812" s="1"/>
      <c r="U812" s="1"/>
      <c r="V812" s="1"/>
      <c r="W812" s="1"/>
      <c r="X812" s="1"/>
      <c r="Y812" s="1"/>
      <c r="Z812" s="1"/>
    </row>
    <row r="813" spans="17:26">
      <c r="Q813" s="23"/>
      <c r="R813" s="1"/>
      <c r="S813" s="1"/>
      <c r="T813" s="1"/>
      <c r="U813" s="1"/>
      <c r="V813" s="1"/>
      <c r="W813" s="1"/>
      <c r="X813" s="1"/>
      <c r="Y813" s="1"/>
      <c r="Z813" s="1"/>
    </row>
    <row r="814" spans="17:26">
      <c r="Q814" s="23"/>
      <c r="R814" s="1"/>
      <c r="S814" s="1"/>
      <c r="T814" s="1"/>
      <c r="U814" s="1"/>
      <c r="V814" s="1"/>
      <c r="W814" s="1"/>
      <c r="X814" s="1"/>
      <c r="Y814" s="1"/>
      <c r="Z814" s="1"/>
    </row>
    <row r="815" spans="17:26">
      <c r="Q815" s="23"/>
      <c r="R815" s="1"/>
      <c r="S815" s="1"/>
      <c r="T815" s="1"/>
      <c r="U815" s="1"/>
      <c r="V815" s="1"/>
      <c r="W815" s="1"/>
      <c r="X815" s="1"/>
      <c r="Y815" s="1"/>
      <c r="Z815" s="1"/>
    </row>
    <row r="816" spans="17:26">
      <c r="Q816" s="23"/>
      <c r="R816" s="1"/>
      <c r="S816" s="1"/>
      <c r="T816" s="1"/>
      <c r="U816" s="1"/>
      <c r="V816" s="1"/>
      <c r="W816" s="1"/>
      <c r="X816" s="1"/>
      <c r="Y816" s="1"/>
      <c r="Z816" s="1"/>
    </row>
    <row r="817" spans="17:26">
      <c r="Q817" s="23"/>
      <c r="R817" s="1"/>
      <c r="S817" s="1"/>
      <c r="T817" s="1"/>
      <c r="U817" s="1"/>
      <c r="V817" s="1"/>
      <c r="W817" s="1"/>
      <c r="X817" s="1"/>
      <c r="Y817" s="1"/>
      <c r="Z817" s="1"/>
    </row>
    <row r="818" spans="17:26">
      <c r="Q818" s="23"/>
      <c r="R818" s="1"/>
      <c r="S818" s="1"/>
      <c r="T818" s="1"/>
      <c r="U818" s="1"/>
      <c r="V818" s="1"/>
      <c r="W818" s="1"/>
      <c r="X818" s="1"/>
      <c r="Y818" s="1"/>
      <c r="Z818" s="1"/>
    </row>
    <row r="819" spans="17:26">
      <c r="Q819" s="23"/>
      <c r="R819" s="1"/>
      <c r="S819" s="1"/>
      <c r="T819" s="1"/>
      <c r="U819" s="1"/>
      <c r="V819" s="1"/>
      <c r="W819" s="1"/>
      <c r="X819" s="1"/>
      <c r="Y819" s="1"/>
      <c r="Z819" s="1"/>
    </row>
    <row r="820" spans="17:26">
      <c r="Q820" s="23"/>
      <c r="R820" s="1"/>
      <c r="S820" s="1"/>
      <c r="T820" s="1"/>
      <c r="U820" s="1"/>
      <c r="V820" s="1"/>
      <c r="W820" s="1"/>
      <c r="X820" s="1"/>
      <c r="Y820" s="1"/>
      <c r="Z820" s="1"/>
    </row>
    <row r="821" spans="17:26">
      <c r="Q821" s="23"/>
      <c r="R821" s="1"/>
      <c r="S821" s="1"/>
      <c r="T821" s="1"/>
      <c r="U821" s="1"/>
      <c r="V821" s="1"/>
      <c r="W821" s="1"/>
      <c r="X821" s="1"/>
      <c r="Y821" s="1"/>
      <c r="Z821" s="1"/>
    </row>
    <row r="822" spans="17:26">
      <c r="Q822" s="23"/>
      <c r="R822" s="1"/>
      <c r="S822" s="1"/>
      <c r="T822" s="1"/>
      <c r="U822" s="1"/>
      <c r="V822" s="1"/>
      <c r="W822" s="1"/>
      <c r="X822" s="1"/>
      <c r="Y822" s="1"/>
      <c r="Z822" s="1"/>
    </row>
    <row r="823" spans="17:26">
      <c r="Q823" s="23"/>
      <c r="R823" s="1"/>
      <c r="S823" s="1"/>
      <c r="T823" s="1"/>
      <c r="U823" s="1"/>
      <c r="V823" s="1"/>
      <c r="W823" s="1"/>
      <c r="X823" s="1"/>
      <c r="Y823" s="1"/>
      <c r="Z823" s="1"/>
    </row>
    <row r="824" spans="17:26">
      <c r="Q824" s="23"/>
      <c r="R824" s="1"/>
      <c r="S824" s="1"/>
      <c r="T824" s="1"/>
      <c r="U824" s="1"/>
      <c r="V824" s="1"/>
      <c r="W824" s="1"/>
      <c r="X824" s="1"/>
      <c r="Y824" s="1"/>
      <c r="Z824" s="1"/>
    </row>
    <row r="825" spans="17:26">
      <c r="Q825" s="23"/>
      <c r="R825" s="1"/>
      <c r="S825" s="1"/>
      <c r="T825" s="1"/>
      <c r="U825" s="1"/>
      <c r="V825" s="1"/>
      <c r="W825" s="1"/>
      <c r="X825" s="1"/>
      <c r="Y825" s="1"/>
      <c r="Z825" s="1"/>
    </row>
    <row r="826" spans="17:26">
      <c r="Q826" s="23"/>
      <c r="R826" s="1"/>
      <c r="S826" s="1"/>
      <c r="T826" s="1"/>
      <c r="U826" s="1"/>
      <c r="V826" s="1"/>
      <c r="W826" s="1"/>
      <c r="X826" s="1"/>
      <c r="Y826" s="1"/>
      <c r="Z826" s="1"/>
    </row>
    <row r="827" spans="17:26">
      <c r="Q827" s="23"/>
      <c r="R827" s="1"/>
      <c r="S827" s="1"/>
      <c r="T827" s="1"/>
      <c r="U827" s="1"/>
      <c r="V827" s="1"/>
      <c r="W827" s="1"/>
      <c r="X827" s="1"/>
      <c r="Y827" s="1"/>
      <c r="Z827" s="1"/>
    </row>
    <row r="828" spans="17:26">
      <c r="Q828" s="23"/>
      <c r="R828" s="1"/>
      <c r="S828" s="1"/>
      <c r="T828" s="1"/>
      <c r="U828" s="1"/>
      <c r="V828" s="1"/>
      <c r="W828" s="1"/>
      <c r="X828" s="1"/>
      <c r="Y828" s="1"/>
      <c r="Z828" s="1"/>
    </row>
    <row r="829" spans="17:26">
      <c r="Q829" s="23"/>
      <c r="R829" s="1"/>
      <c r="S829" s="1"/>
      <c r="T829" s="1"/>
      <c r="U829" s="1"/>
      <c r="V829" s="1"/>
      <c r="W829" s="1"/>
      <c r="X829" s="1"/>
      <c r="Y829" s="1"/>
      <c r="Z829" s="1"/>
    </row>
    <row r="830" spans="17:26">
      <c r="Q830" s="23"/>
      <c r="R830" s="1"/>
      <c r="S830" s="1"/>
      <c r="T830" s="1"/>
      <c r="U830" s="1"/>
      <c r="V830" s="1"/>
      <c r="W830" s="1"/>
      <c r="X830" s="1"/>
      <c r="Y830" s="1"/>
      <c r="Z830" s="1"/>
    </row>
    <row r="831" spans="17:26">
      <c r="Q831" s="23"/>
      <c r="R831" s="1"/>
      <c r="S831" s="1"/>
      <c r="T831" s="1"/>
      <c r="U831" s="1"/>
      <c r="V831" s="1"/>
      <c r="W831" s="1"/>
      <c r="X831" s="1"/>
      <c r="Y831" s="1"/>
      <c r="Z831" s="1"/>
    </row>
    <row r="832" spans="17:26">
      <c r="Q832" s="23"/>
      <c r="R832" s="1"/>
      <c r="S832" s="1"/>
      <c r="T832" s="1"/>
      <c r="U832" s="1"/>
      <c r="V832" s="1"/>
      <c r="W832" s="1"/>
      <c r="X832" s="1"/>
      <c r="Y832" s="1"/>
      <c r="Z832" s="1"/>
    </row>
    <row r="833" spans="17:26">
      <c r="Q833" s="23"/>
      <c r="R833" s="1"/>
      <c r="S833" s="1"/>
      <c r="T833" s="1"/>
      <c r="U833" s="1"/>
      <c r="V833" s="1"/>
      <c r="W833" s="1"/>
      <c r="X833" s="1"/>
      <c r="Y833" s="1"/>
      <c r="Z833" s="1"/>
    </row>
    <row r="834" spans="17:26">
      <c r="Q834" s="23"/>
      <c r="R834" s="1"/>
      <c r="S834" s="1"/>
      <c r="T834" s="1"/>
      <c r="U834" s="1"/>
      <c r="V834" s="1"/>
      <c r="W834" s="1"/>
      <c r="X834" s="1"/>
      <c r="Y834" s="1"/>
      <c r="Z834" s="1"/>
    </row>
    <row r="835" spans="17:26">
      <c r="Q835" s="23"/>
      <c r="R835" s="1"/>
      <c r="S835" s="1"/>
      <c r="T835" s="1"/>
      <c r="U835" s="1"/>
      <c r="V835" s="1"/>
      <c r="W835" s="1"/>
      <c r="X835" s="1"/>
      <c r="Y835" s="1"/>
      <c r="Z835" s="1"/>
    </row>
    <row r="836" spans="17:26">
      <c r="Q836" s="23"/>
      <c r="R836" s="1"/>
      <c r="S836" s="1"/>
      <c r="T836" s="1"/>
      <c r="U836" s="1"/>
      <c r="V836" s="1"/>
      <c r="W836" s="1"/>
      <c r="X836" s="1"/>
      <c r="Y836" s="1"/>
      <c r="Z836" s="1"/>
    </row>
    <row r="837" spans="17:26">
      <c r="Q837" s="23"/>
      <c r="R837" s="1"/>
      <c r="S837" s="1"/>
      <c r="T837" s="1"/>
      <c r="U837" s="1"/>
      <c r="V837" s="1"/>
      <c r="W837" s="1"/>
      <c r="X837" s="1"/>
      <c r="Y837" s="1"/>
      <c r="Z837" s="1"/>
    </row>
    <row r="838" spans="17:26">
      <c r="Q838" s="23"/>
      <c r="R838" s="1"/>
      <c r="S838" s="1"/>
      <c r="T838" s="1"/>
      <c r="U838" s="1"/>
      <c r="V838" s="1"/>
      <c r="W838" s="1"/>
      <c r="X838" s="1"/>
      <c r="Y838" s="1"/>
      <c r="Z838" s="1"/>
    </row>
    <row r="839" spans="17:26">
      <c r="Q839" s="23"/>
      <c r="R839" s="1"/>
      <c r="S839" s="1"/>
      <c r="T839" s="1"/>
      <c r="U839" s="1"/>
      <c r="V839" s="1"/>
      <c r="W839" s="1"/>
      <c r="X839" s="1"/>
      <c r="Y839" s="1"/>
      <c r="Z839" s="1"/>
    </row>
    <row r="840" spans="17:26">
      <c r="Q840" s="23"/>
      <c r="R840" s="1"/>
      <c r="S840" s="1"/>
      <c r="T840" s="1"/>
      <c r="U840" s="1"/>
      <c r="V840" s="1"/>
      <c r="W840" s="1"/>
      <c r="X840" s="1"/>
      <c r="Y840" s="1"/>
      <c r="Z840" s="1"/>
    </row>
    <row r="841" spans="17:26">
      <c r="Q841" s="23"/>
      <c r="R841" s="1"/>
      <c r="S841" s="1"/>
      <c r="T841" s="1"/>
      <c r="U841" s="1"/>
      <c r="V841" s="1"/>
      <c r="W841" s="1"/>
      <c r="X841" s="1"/>
      <c r="Y841" s="1"/>
      <c r="Z841" s="1"/>
    </row>
    <row r="842" spans="17:26">
      <c r="Q842" s="23"/>
      <c r="R842" s="1"/>
      <c r="S842" s="1"/>
      <c r="T842" s="1"/>
      <c r="U842" s="1"/>
      <c r="V842" s="1"/>
      <c r="W842" s="1"/>
      <c r="X842" s="1"/>
      <c r="Y842" s="1"/>
      <c r="Z842" s="1"/>
    </row>
    <row r="843" spans="17:26">
      <c r="Q843" s="23"/>
      <c r="R843" s="1"/>
      <c r="S843" s="1"/>
      <c r="T843" s="1"/>
      <c r="U843" s="1"/>
      <c r="V843" s="1"/>
      <c r="W843" s="1"/>
      <c r="X843" s="1"/>
      <c r="Y843" s="1"/>
      <c r="Z843" s="1"/>
    </row>
    <row r="844" spans="17:26">
      <c r="Q844" s="23"/>
      <c r="R844" s="1"/>
      <c r="S844" s="1"/>
      <c r="T844" s="1"/>
      <c r="U844" s="1"/>
      <c r="V844" s="1"/>
      <c r="W844" s="1"/>
      <c r="X844" s="1"/>
      <c r="Y844" s="1"/>
      <c r="Z844" s="1"/>
    </row>
    <row r="845" spans="17:26">
      <c r="Q845" s="23"/>
      <c r="R845" s="1"/>
      <c r="S845" s="1"/>
      <c r="T845" s="1"/>
      <c r="U845" s="1"/>
      <c r="V845" s="1"/>
      <c r="W845" s="1"/>
      <c r="X845" s="1"/>
      <c r="Y845" s="1"/>
      <c r="Z845" s="1"/>
    </row>
    <row r="846" spans="17:26">
      <c r="Q846" s="23"/>
      <c r="R846" s="1"/>
      <c r="S846" s="1"/>
      <c r="T846" s="1"/>
      <c r="U846" s="1"/>
      <c r="V846" s="1"/>
      <c r="W846" s="1"/>
      <c r="X846" s="1"/>
      <c r="Y846" s="1"/>
      <c r="Z846" s="1"/>
    </row>
    <row r="847" spans="17:26">
      <c r="Q847" s="23"/>
      <c r="R847" s="1"/>
      <c r="S847" s="1"/>
      <c r="T847" s="1"/>
      <c r="U847" s="1"/>
      <c r="V847" s="1"/>
      <c r="W847" s="1"/>
      <c r="X847" s="1"/>
      <c r="Y847" s="1"/>
      <c r="Z847" s="1"/>
    </row>
    <row r="848" spans="17:26">
      <c r="Q848" s="23"/>
      <c r="R848" s="1"/>
      <c r="S848" s="1"/>
      <c r="T848" s="1"/>
      <c r="U848" s="1"/>
      <c r="V848" s="1"/>
      <c r="W848" s="1"/>
      <c r="X848" s="1"/>
      <c r="Y848" s="1"/>
      <c r="Z848" s="1"/>
    </row>
    <row r="849" spans="17:26">
      <c r="Q849" s="23"/>
      <c r="R849" s="1"/>
      <c r="S849" s="1"/>
      <c r="T849" s="1"/>
      <c r="U849" s="1"/>
      <c r="V849" s="1"/>
      <c r="W849" s="1"/>
      <c r="X849" s="1"/>
      <c r="Y849" s="1"/>
      <c r="Z849" s="1"/>
    </row>
    <row r="850" spans="17:26">
      <c r="Q850" s="23"/>
      <c r="R850" s="1"/>
      <c r="S850" s="1"/>
      <c r="T850" s="1"/>
      <c r="U850" s="1"/>
      <c r="V850" s="1"/>
      <c r="W850" s="1"/>
      <c r="X850" s="1"/>
      <c r="Y850" s="1"/>
      <c r="Z850" s="1"/>
    </row>
    <row r="851" spans="17:26">
      <c r="Q851" s="23"/>
      <c r="R851" s="1"/>
      <c r="S851" s="1"/>
      <c r="T851" s="1"/>
      <c r="U851" s="1"/>
      <c r="V851" s="1"/>
      <c r="W851" s="1"/>
      <c r="X851" s="1"/>
      <c r="Y851" s="1"/>
      <c r="Z851" s="1"/>
    </row>
    <row r="852" spans="17:26">
      <c r="Q852" s="23"/>
      <c r="R852" s="1"/>
      <c r="S852" s="1"/>
      <c r="T852" s="1"/>
      <c r="U852" s="1"/>
      <c r="V852" s="1"/>
      <c r="W852" s="1"/>
      <c r="X852" s="1"/>
      <c r="Y852" s="1"/>
      <c r="Z852" s="1"/>
    </row>
    <row r="853" spans="17:26">
      <c r="Q853" s="23"/>
      <c r="R853" s="1"/>
      <c r="S853" s="1"/>
      <c r="T853" s="1"/>
      <c r="U853" s="1"/>
      <c r="V853" s="1"/>
      <c r="W853" s="1"/>
      <c r="X853" s="1"/>
      <c r="Y853" s="1"/>
      <c r="Z853" s="1"/>
    </row>
    <row r="854" spans="17:26">
      <c r="Q854" s="23"/>
      <c r="R854" s="1"/>
      <c r="S854" s="1"/>
      <c r="T854" s="1"/>
      <c r="U854" s="1"/>
      <c r="V854" s="1"/>
      <c r="W854" s="1"/>
      <c r="X854" s="1"/>
      <c r="Y854" s="1"/>
      <c r="Z854" s="1"/>
    </row>
    <row r="855" spans="17:26">
      <c r="Q855" s="23"/>
      <c r="R855" s="1"/>
      <c r="S855" s="1"/>
      <c r="T855" s="1"/>
      <c r="U855" s="1"/>
      <c r="V855" s="1"/>
      <c r="W855" s="1"/>
      <c r="X855" s="1"/>
      <c r="Y855" s="1"/>
      <c r="Z855" s="1"/>
    </row>
    <row r="856" spans="17:26">
      <c r="Q856" s="23"/>
      <c r="R856" s="1"/>
      <c r="S856" s="1"/>
      <c r="T856" s="1"/>
      <c r="U856" s="1"/>
      <c r="V856" s="1"/>
      <c r="W856" s="1"/>
      <c r="X856" s="1"/>
      <c r="Y856" s="1"/>
      <c r="Z856" s="1"/>
    </row>
    <row r="857" spans="17:26">
      <c r="Q857" s="23"/>
      <c r="R857" s="1"/>
      <c r="S857" s="1"/>
      <c r="T857" s="1"/>
      <c r="U857" s="1"/>
      <c r="V857" s="1"/>
      <c r="W857" s="1"/>
      <c r="X857" s="1"/>
      <c r="Y857" s="1"/>
      <c r="Z857" s="1"/>
    </row>
    <row r="858" spans="17:26">
      <c r="Q858" s="23"/>
      <c r="R858" s="1"/>
      <c r="S858" s="1"/>
      <c r="T858" s="1"/>
      <c r="U858" s="1"/>
      <c r="V858" s="1"/>
      <c r="W858" s="1"/>
      <c r="X858" s="1"/>
      <c r="Y858" s="1"/>
      <c r="Z858" s="1"/>
    </row>
    <row r="859" spans="17:26">
      <c r="Q859" s="23"/>
      <c r="R859" s="1"/>
      <c r="S859" s="1"/>
      <c r="T859" s="1"/>
      <c r="U859" s="1"/>
      <c r="V859" s="1"/>
      <c r="W859" s="1"/>
      <c r="X859" s="1"/>
      <c r="Y859" s="1"/>
      <c r="Z859" s="1"/>
    </row>
    <row r="860" spans="17:26">
      <c r="Q860" s="23"/>
      <c r="R860" s="1"/>
      <c r="S860" s="1"/>
      <c r="T860" s="1"/>
      <c r="U860" s="1"/>
      <c r="V860" s="1"/>
      <c r="W860" s="1"/>
      <c r="X860" s="1"/>
      <c r="Y860" s="1"/>
      <c r="Z860" s="1"/>
    </row>
    <row r="861" spans="17:26">
      <c r="Q861" s="23"/>
      <c r="R861" s="1"/>
      <c r="S861" s="1"/>
      <c r="T861" s="1"/>
      <c r="U861" s="1"/>
      <c r="V861" s="1"/>
      <c r="W861" s="1"/>
      <c r="X861" s="1"/>
      <c r="Y861" s="1"/>
      <c r="Z861" s="1"/>
    </row>
    <row r="862" spans="17:26">
      <c r="Q862" s="23"/>
      <c r="R862" s="1"/>
      <c r="S862" s="1"/>
      <c r="T862" s="1"/>
      <c r="U862" s="1"/>
      <c r="V862" s="1"/>
      <c r="W862" s="1"/>
      <c r="X862" s="1"/>
      <c r="Y862" s="1"/>
      <c r="Z862" s="1"/>
    </row>
    <row r="863" spans="17:26">
      <c r="Q863" s="23"/>
      <c r="R863" s="1"/>
      <c r="S863" s="1"/>
      <c r="T863" s="1"/>
      <c r="U863" s="1"/>
      <c r="V863" s="1"/>
      <c r="W863" s="1"/>
      <c r="X863" s="1"/>
      <c r="Y863" s="1"/>
      <c r="Z863" s="1"/>
    </row>
    <row r="864" spans="17:26">
      <c r="Q864" s="23"/>
      <c r="R864" s="1"/>
      <c r="S864" s="1"/>
      <c r="T864" s="1"/>
      <c r="U864" s="1"/>
      <c r="V864" s="1"/>
      <c r="W864" s="1"/>
      <c r="X864" s="1"/>
      <c r="Y864" s="1"/>
      <c r="Z864" s="1"/>
    </row>
    <row r="865" spans="17:26">
      <c r="Q865" s="23"/>
      <c r="R865" s="1"/>
      <c r="S865" s="1"/>
      <c r="T865" s="1"/>
      <c r="U865" s="1"/>
      <c r="V865" s="1"/>
      <c r="W865" s="1"/>
      <c r="X865" s="1"/>
      <c r="Y865" s="1"/>
      <c r="Z865" s="1"/>
    </row>
    <row r="866" spans="17:26">
      <c r="Q866" s="23"/>
      <c r="R866" s="1"/>
      <c r="S866" s="1"/>
      <c r="T866" s="1"/>
      <c r="U866" s="1"/>
      <c r="V866" s="1"/>
      <c r="W866" s="1"/>
      <c r="X866" s="1"/>
      <c r="Y866" s="1"/>
      <c r="Z866" s="1"/>
    </row>
    <row r="867" spans="17:26">
      <c r="Q867" s="23"/>
      <c r="R867" s="1"/>
      <c r="S867" s="1"/>
      <c r="T867" s="1"/>
      <c r="U867" s="1"/>
      <c r="V867" s="1"/>
      <c r="W867" s="1"/>
      <c r="X867" s="1"/>
      <c r="Y867" s="1"/>
      <c r="Z867" s="1"/>
    </row>
    <row r="868" spans="17:26">
      <c r="Q868" s="23"/>
      <c r="R868" s="1"/>
      <c r="S868" s="1"/>
      <c r="T868" s="1"/>
      <c r="U868" s="1"/>
      <c r="V868" s="1"/>
      <c r="W868" s="1"/>
      <c r="X868" s="1"/>
      <c r="Y868" s="1"/>
      <c r="Z868" s="1"/>
    </row>
    <row r="869" spans="17:26">
      <c r="Q869" s="23"/>
      <c r="R869" s="1"/>
      <c r="S869" s="1"/>
      <c r="T869" s="1"/>
      <c r="U869" s="1"/>
      <c r="V869" s="1"/>
      <c r="W869" s="1"/>
      <c r="X869" s="1"/>
      <c r="Y869" s="1"/>
      <c r="Z869" s="1"/>
    </row>
    <row r="870" spans="17:26">
      <c r="Q870" s="23"/>
      <c r="R870" s="1"/>
      <c r="S870" s="1"/>
      <c r="T870" s="1"/>
      <c r="U870" s="1"/>
      <c r="V870" s="1"/>
      <c r="W870" s="1"/>
      <c r="X870" s="1"/>
      <c r="Y870" s="1"/>
      <c r="Z870" s="1"/>
    </row>
    <row r="871" spans="17:26">
      <c r="Q871" s="23"/>
      <c r="R871" s="1"/>
      <c r="S871" s="1"/>
      <c r="T871" s="1"/>
      <c r="U871" s="1"/>
      <c r="V871" s="1"/>
      <c r="W871" s="1"/>
      <c r="X871" s="1"/>
      <c r="Y871" s="1"/>
      <c r="Z871" s="1"/>
    </row>
    <row r="872" spans="17:26">
      <c r="Q872" s="23"/>
      <c r="R872" s="1"/>
      <c r="S872" s="1"/>
      <c r="T872" s="1"/>
      <c r="U872" s="1"/>
      <c r="V872" s="1"/>
      <c r="W872" s="1"/>
      <c r="X872" s="1"/>
      <c r="Y872" s="1"/>
      <c r="Z872" s="1"/>
    </row>
    <row r="873" spans="17:26">
      <c r="Q873" s="23"/>
      <c r="R873" s="1"/>
      <c r="S873" s="1"/>
      <c r="T873" s="1"/>
      <c r="U873" s="1"/>
      <c r="V873" s="1"/>
      <c r="W873" s="1"/>
      <c r="X873" s="1"/>
      <c r="Y873" s="1"/>
      <c r="Z873" s="1"/>
    </row>
    <row r="874" spans="17:26">
      <c r="Q874" s="23"/>
      <c r="R874" s="1"/>
      <c r="S874" s="1"/>
      <c r="T874" s="1"/>
      <c r="U874" s="1"/>
      <c r="V874" s="1"/>
      <c r="W874" s="1"/>
      <c r="X874" s="1"/>
      <c r="Y874" s="1"/>
      <c r="Z874" s="1"/>
    </row>
    <row r="875" spans="17:26">
      <c r="Q875" s="23"/>
      <c r="R875" s="1"/>
      <c r="S875" s="1"/>
      <c r="T875" s="1"/>
      <c r="U875" s="1"/>
      <c r="V875" s="1"/>
      <c r="W875" s="1"/>
      <c r="X875" s="1"/>
      <c r="Y875" s="1"/>
      <c r="Z875" s="1"/>
    </row>
    <row r="876" spans="17:26">
      <c r="Q876" s="23"/>
      <c r="R876" s="1"/>
      <c r="S876" s="1"/>
      <c r="T876" s="1"/>
      <c r="U876" s="1"/>
      <c r="V876" s="1"/>
      <c r="W876" s="1"/>
      <c r="X876" s="1"/>
      <c r="Y876" s="1"/>
      <c r="Z876" s="1"/>
    </row>
    <row r="877" spans="17:26">
      <c r="Q877" s="23"/>
      <c r="R877" s="1"/>
      <c r="S877" s="1"/>
      <c r="T877" s="1"/>
      <c r="U877" s="1"/>
      <c r="V877" s="1"/>
      <c r="W877" s="1"/>
      <c r="X877" s="1"/>
      <c r="Y877" s="1"/>
      <c r="Z877" s="1"/>
    </row>
    <row r="878" spans="17:26">
      <c r="Q878" s="23"/>
      <c r="R878" s="1"/>
      <c r="S878" s="1"/>
      <c r="T878" s="1"/>
      <c r="U878" s="1"/>
      <c r="V878" s="1"/>
      <c r="W878" s="1"/>
      <c r="X878" s="1"/>
      <c r="Y878" s="1"/>
      <c r="Z878" s="1"/>
    </row>
    <row r="879" spans="17:26">
      <c r="Q879" s="23"/>
      <c r="R879" s="1"/>
      <c r="S879" s="1"/>
      <c r="T879" s="1"/>
      <c r="U879" s="1"/>
      <c r="V879" s="1"/>
      <c r="W879" s="1"/>
      <c r="X879" s="1"/>
      <c r="Y879" s="1"/>
      <c r="Z879" s="1"/>
    </row>
    <row r="880" spans="17:26">
      <c r="Q880" s="23"/>
      <c r="R880" s="1"/>
      <c r="S880" s="1"/>
      <c r="T880" s="1"/>
      <c r="U880" s="1"/>
      <c r="V880" s="1"/>
      <c r="W880" s="1"/>
      <c r="X880" s="1"/>
      <c r="Y880" s="1"/>
      <c r="Z880" s="1"/>
    </row>
    <row r="881" spans="17:26">
      <c r="Q881" s="23"/>
      <c r="R881" s="1"/>
      <c r="S881" s="1"/>
      <c r="T881" s="1"/>
      <c r="U881" s="1"/>
      <c r="V881" s="1"/>
      <c r="W881" s="1"/>
      <c r="X881" s="1"/>
      <c r="Y881" s="1"/>
      <c r="Z881" s="1"/>
    </row>
    <row r="882" spans="17:26">
      <c r="Q882" s="23"/>
      <c r="R882" s="1"/>
      <c r="S882" s="1"/>
      <c r="T882" s="1"/>
      <c r="U882" s="1"/>
      <c r="V882" s="1"/>
      <c r="W882" s="1"/>
      <c r="X882" s="1"/>
      <c r="Y882" s="1"/>
      <c r="Z882" s="1"/>
    </row>
    <row r="883" spans="17:26">
      <c r="Q883" s="23"/>
      <c r="R883" s="1"/>
      <c r="S883" s="1"/>
      <c r="T883" s="1"/>
      <c r="U883" s="1"/>
      <c r="V883" s="1"/>
      <c r="W883" s="1"/>
      <c r="X883" s="1"/>
      <c r="Y883" s="1"/>
      <c r="Z883" s="1"/>
    </row>
    <row r="884" spans="17:26">
      <c r="Q884" s="23"/>
      <c r="R884" s="1"/>
      <c r="S884" s="1"/>
      <c r="T884" s="1"/>
      <c r="U884" s="1"/>
      <c r="V884" s="1"/>
      <c r="W884" s="1"/>
      <c r="X884" s="1"/>
      <c r="Y884" s="1"/>
      <c r="Z884" s="1"/>
    </row>
    <row r="885" spans="17:26">
      <c r="Q885" s="23"/>
      <c r="R885" s="1"/>
      <c r="S885" s="1"/>
      <c r="T885" s="1"/>
      <c r="U885" s="1"/>
      <c r="V885" s="1"/>
      <c r="W885" s="1"/>
      <c r="X885" s="1"/>
      <c r="Y885" s="1"/>
      <c r="Z885" s="1"/>
    </row>
    <row r="886" spans="17:26">
      <c r="Q886" s="23"/>
      <c r="R886" s="1"/>
      <c r="S886" s="1"/>
      <c r="T886" s="1"/>
      <c r="U886" s="1"/>
      <c r="V886" s="1"/>
      <c r="W886" s="1"/>
      <c r="X886" s="1"/>
      <c r="Y886" s="1"/>
      <c r="Z886" s="1"/>
    </row>
    <row r="887" spans="17:26">
      <c r="Q887" s="23"/>
      <c r="R887" s="1"/>
      <c r="S887" s="1"/>
      <c r="T887" s="1"/>
      <c r="U887" s="1"/>
      <c r="V887" s="1"/>
      <c r="W887" s="1"/>
      <c r="X887" s="1"/>
      <c r="Y887" s="1"/>
      <c r="Z887" s="1"/>
    </row>
    <row r="888" spans="17:26">
      <c r="Q888" s="23"/>
      <c r="R888" s="1"/>
      <c r="S888" s="1"/>
      <c r="T888" s="1"/>
      <c r="U888" s="1"/>
      <c r="V888" s="1"/>
      <c r="W888" s="1"/>
      <c r="X888" s="1"/>
      <c r="Y888" s="1"/>
      <c r="Z888" s="1"/>
    </row>
    <row r="889" spans="17:26">
      <c r="Q889" s="23"/>
      <c r="R889" s="1"/>
      <c r="S889" s="1"/>
      <c r="T889" s="1"/>
      <c r="U889" s="1"/>
      <c r="V889" s="1"/>
      <c r="W889" s="1"/>
      <c r="X889" s="1"/>
      <c r="Y889" s="1"/>
      <c r="Z889" s="1"/>
    </row>
    <row r="890" spans="17:26">
      <c r="Q890" s="23"/>
      <c r="R890" s="1"/>
      <c r="S890" s="1"/>
      <c r="T890" s="1"/>
      <c r="U890" s="1"/>
      <c r="V890" s="1"/>
      <c r="W890" s="1"/>
      <c r="X890" s="1"/>
      <c r="Y890" s="1"/>
      <c r="Z890" s="1"/>
    </row>
    <row r="891" spans="17:26">
      <c r="Q891" s="23"/>
      <c r="R891" s="1"/>
      <c r="S891" s="1"/>
      <c r="T891" s="1"/>
      <c r="U891" s="1"/>
      <c r="V891" s="1"/>
      <c r="W891" s="1"/>
      <c r="X891" s="1"/>
      <c r="Y891" s="1"/>
      <c r="Z891" s="1"/>
    </row>
    <row r="892" spans="17:26">
      <c r="Q892" s="23"/>
      <c r="R892" s="1"/>
      <c r="S892" s="1"/>
      <c r="T892" s="1"/>
      <c r="U892" s="1"/>
      <c r="V892" s="1"/>
      <c r="W892" s="1"/>
      <c r="X892" s="1"/>
      <c r="Y892" s="1"/>
      <c r="Z892" s="1"/>
    </row>
    <row r="893" spans="17:26">
      <c r="Q893" s="23"/>
      <c r="R893" s="1"/>
      <c r="S893" s="1"/>
      <c r="T893" s="1"/>
      <c r="U893" s="1"/>
      <c r="V893" s="1"/>
      <c r="W893" s="1"/>
      <c r="X893" s="1"/>
      <c r="Y893" s="1"/>
      <c r="Z893" s="1"/>
    </row>
    <row r="894" spans="17:26">
      <c r="Q894" s="23"/>
      <c r="R894" s="1"/>
      <c r="S894" s="1"/>
      <c r="T894" s="1"/>
      <c r="U894" s="1"/>
      <c r="V894" s="1"/>
      <c r="W894" s="1"/>
      <c r="X894" s="1"/>
      <c r="Y894" s="1"/>
      <c r="Z894" s="1"/>
    </row>
    <row r="895" spans="17:26">
      <c r="Q895" s="23"/>
      <c r="R895" s="1"/>
      <c r="S895" s="1"/>
      <c r="T895" s="1"/>
      <c r="U895" s="1"/>
      <c r="V895" s="1"/>
      <c r="W895" s="1"/>
      <c r="X895" s="1"/>
      <c r="Y895" s="1"/>
      <c r="Z895" s="1"/>
    </row>
    <row r="896" spans="17:26">
      <c r="Q896" s="23"/>
      <c r="R896" s="1"/>
      <c r="S896" s="1"/>
      <c r="T896" s="1"/>
      <c r="U896" s="1"/>
      <c r="V896" s="1"/>
      <c r="W896" s="1"/>
      <c r="X896" s="1"/>
      <c r="Y896" s="1"/>
      <c r="Z896" s="1"/>
    </row>
    <row r="897" spans="17:26">
      <c r="Q897" s="23"/>
      <c r="R897" s="1"/>
      <c r="S897" s="1"/>
      <c r="T897" s="1"/>
      <c r="U897" s="1"/>
      <c r="V897" s="1"/>
      <c r="W897" s="1"/>
      <c r="X897" s="1"/>
      <c r="Y897" s="1"/>
      <c r="Z897" s="1"/>
    </row>
    <row r="898" spans="17:26">
      <c r="Q898" s="23"/>
      <c r="R898" s="1"/>
      <c r="S898" s="1"/>
      <c r="T898" s="1"/>
      <c r="U898" s="1"/>
      <c r="V898" s="1"/>
      <c r="W898" s="1"/>
      <c r="X898" s="1"/>
      <c r="Y898" s="1"/>
      <c r="Z898" s="1"/>
    </row>
    <row r="899" spans="17:26">
      <c r="Q899" s="1"/>
      <c r="R899" s="1"/>
      <c r="S899" s="1"/>
      <c r="T899" s="1"/>
      <c r="U899" s="1"/>
      <c r="V899" s="1"/>
      <c r="W899" s="1"/>
      <c r="X899" s="1"/>
      <c r="Y899" s="1"/>
      <c r="Z899" s="1"/>
    </row>
    <row r="900" spans="17:26">
      <c r="Q900" s="1"/>
      <c r="R900" s="1"/>
      <c r="S900" s="1"/>
      <c r="T900" s="1"/>
      <c r="U900" s="1"/>
      <c r="V900" s="1"/>
      <c r="W900" s="1"/>
      <c r="X900" s="1"/>
      <c r="Y900" s="1"/>
      <c r="Z900" s="1"/>
    </row>
    <row r="901" spans="17:26">
      <c r="Q901" s="1"/>
      <c r="R901" s="1"/>
      <c r="S901" s="1"/>
      <c r="T901" s="1"/>
      <c r="U901" s="1"/>
      <c r="V901" s="1"/>
      <c r="W901" s="1"/>
      <c r="X901" s="1"/>
      <c r="Y901" s="1"/>
      <c r="Z901" s="1"/>
    </row>
    <row r="902" spans="17:26">
      <c r="Q902" s="1"/>
      <c r="R902" s="1"/>
      <c r="S902" s="1"/>
      <c r="T902" s="1"/>
      <c r="U902" s="1"/>
      <c r="V902" s="1"/>
      <c r="W902" s="1"/>
      <c r="X902" s="1"/>
      <c r="Y902" s="1"/>
      <c r="Z902" s="1"/>
    </row>
    <row r="903" spans="17:26">
      <c r="Q903" s="1"/>
      <c r="R903" s="1"/>
      <c r="S903" s="1"/>
      <c r="T903" s="1"/>
      <c r="U903" s="1"/>
      <c r="V903" s="1"/>
      <c r="W903" s="1"/>
      <c r="X903" s="1"/>
      <c r="Y903" s="1"/>
      <c r="Z903" s="1"/>
    </row>
    <row r="904" spans="17:26">
      <c r="Q904" s="1"/>
      <c r="R904" s="1"/>
      <c r="S904" s="1"/>
      <c r="T904" s="1"/>
      <c r="U904" s="1"/>
      <c r="V904" s="1"/>
      <c r="W904" s="1"/>
      <c r="X904" s="1"/>
      <c r="Y904" s="1"/>
      <c r="Z904" s="1"/>
    </row>
    <row r="905" spans="17:26">
      <c r="Q905" s="1"/>
      <c r="R905" s="1"/>
      <c r="S905" s="1"/>
      <c r="T905" s="1"/>
      <c r="U905" s="1"/>
      <c r="V905" s="1"/>
      <c r="W905" s="1"/>
      <c r="X905" s="1"/>
      <c r="Y905" s="1"/>
      <c r="Z905" s="1"/>
    </row>
    <row r="906" spans="17:26">
      <c r="Q906" s="1"/>
      <c r="R906" s="1"/>
      <c r="S906" s="1"/>
      <c r="T906" s="1"/>
      <c r="U906" s="1"/>
      <c r="V906" s="1"/>
      <c r="W906" s="1"/>
      <c r="X906" s="1"/>
      <c r="Y906" s="1"/>
      <c r="Z906" s="1"/>
    </row>
    <row r="907" spans="17:26">
      <c r="Q907" s="1"/>
      <c r="R907" s="1"/>
      <c r="S907" s="1"/>
      <c r="T907" s="1"/>
      <c r="U907" s="1"/>
      <c r="V907" s="1"/>
      <c r="W907" s="1"/>
      <c r="X907" s="1"/>
      <c r="Y907" s="1"/>
      <c r="Z907" s="1"/>
    </row>
  </sheetData>
  <mergeCells count="540">
    <mergeCell ref="B2:K3"/>
    <mergeCell ref="B5:D5"/>
    <mergeCell ref="R2:Y3"/>
    <mergeCell ref="R5:U5"/>
    <mergeCell ref="R7:Y7"/>
    <mergeCell ref="R10:U10"/>
    <mergeCell ref="R11:U11"/>
    <mergeCell ref="R12:U12"/>
    <mergeCell ref="R13:U13"/>
    <mergeCell ref="R14:U14"/>
    <mergeCell ref="R15:U15"/>
    <mergeCell ref="R16:U16"/>
    <mergeCell ref="R19:U19"/>
    <mergeCell ref="R20:U20"/>
    <mergeCell ref="R21:U21"/>
    <mergeCell ref="R22:U22"/>
    <mergeCell ref="R23:U23"/>
    <mergeCell ref="R24:U24"/>
    <mergeCell ref="R25:U25"/>
    <mergeCell ref="R26:U26"/>
    <mergeCell ref="R28:Y28"/>
    <mergeCell ref="R31:T32"/>
    <mergeCell ref="U31:U32"/>
    <mergeCell ref="V31:V32"/>
    <mergeCell ref="W31:W32"/>
    <mergeCell ref="X31:X32"/>
    <mergeCell ref="R33:T33"/>
    <mergeCell ref="R34:T34"/>
    <mergeCell ref="R35:T35"/>
    <mergeCell ref="R36:T36"/>
    <mergeCell ref="X39:X40"/>
    <mergeCell ref="R41:T41"/>
    <mergeCell ref="R42:T42"/>
    <mergeCell ref="R43:T43"/>
    <mergeCell ref="R39:T40"/>
    <mergeCell ref="U39:U40"/>
    <mergeCell ref="V39:V40"/>
    <mergeCell ref="W39:W40"/>
    <mergeCell ref="R44:T44"/>
    <mergeCell ref="R46:Y46"/>
    <mergeCell ref="R49:T50"/>
    <mergeCell ref="U49:U50"/>
    <mergeCell ref="V49:V50"/>
    <mergeCell ref="W49:W50"/>
    <mergeCell ref="X49:X50"/>
    <mergeCell ref="R51:T51"/>
    <mergeCell ref="R54:T55"/>
    <mergeCell ref="U54:U55"/>
    <mergeCell ref="V54:V55"/>
    <mergeCell ref="W54:W55"/>
    <mergeCell ref="X54:X55"/>
    <mergeCell ref="R56:T56"/>
    <mergeCell ref="R59:T60"/>
    <mergeCell ref="U59:U60"/>
    <mergeCell ref="V59:V60"/>
    <mergeCell ref="W59:W60"/>
    <mergeCell ref="X59:X60"/>
    <mergeCell ref="R61:T61"/>
    <mergeCell ref="R62:T62"/>
    <mergeCell ref="R64:Y64"/>
    <mergeCell ref="R67:T68"/>
    <mergeCell ref="U67:U68"/>
    <mergeCell ref="V67:V68"/>
    <mergeCell ref="W67:W68"/>
    <mergeCell ref="X67:X68"/>
    <mergeCell ref="R69:T69"/>
    <mergeCell ref="R70:T70"/>
    <mergeCell ref="R71:T71"/>
    <mergeCell ref="R74:T75"/>
    <mergeCell ref="U74:U75"/>
    <mergeCell ref="V74:V75"/>
    <mergeCell ref="W74:W75"/>
    <mergeCell ref="X74:X75"/>
    <mergeCell ref="R76:T76"/>
    <mergeCell ref="R77:T77"/>
    <mergeCell ref="R78:T78"/>
    <mergeCell ref="R80:Y80"/>
    <mergeCell ref="X83:X84"/>
    <mergeCell ref="R85:T85"/>
    <mergeCell ref="R86:T86"/>
    <mergeCell ref="R87:T87"/>
    <mergeCell ref="R83:T84"/>
    <mergeCell ref="U83:U84"/>
    <mergeCell ref="V83:V84"/>
    <mergeCell ref="W83:W84"/>
    <mergeCell ref="X90:X91"/>
    <mergeCell ref="R92:T92"/>
    <mergeCell ref="R93:T93"/>
    <mergeCell ref="R94:T94"/>
    <mergeCell ref="R90:T91"/>
    <mergeCell ref="U90:U91"/>
    <mergeCell ref="V90:V91"/>
    <mergeCell ref="W90:W91"/>
    <mergeCell ref="R96:Y96"/>
    <mergeCell ref="R100:T101"/>
    <mergeCell ref="U100:U101"/>
    <mergeCell ref="V100:V101"/>
    <mergeCell ref="W100:W101"/>
    <mergeCell ref="X100:X101"/>
    <mergeCell ref="R102:T102"/>
    <mergeCell ref="R103:T103"/>
    <mergeCell ref="R106:T107"/>
    <mergeCell ref="U106:U107"/>
    <mergeCell ref="V106:V107"/>
    <mergeCell ref="W106:W107"/>
    <mergeCell ref="X106:X107"/>
    <mergeCell ref="R108:T108"/>
    <mergeCell ref="R109:T109"/>
    <mergeCell ref="R112:T113"/>
    <mergeCell ref="U112:U113"/>
    <mergeCell ref="V112:V113"/>
    <mergeCell ref="W112:W113"/>
    <mergeCell ref="X112:X113"/>
    <mergeCell ref="R114:T114"/>
    <mergeCell ref="R115:T115"/>
    <mergeCell ref="V126:V127"/>
    <mergeCell ref="W126:W127"/>
    <mergeCell ref="X118:X119"/>
    <mergeCell ref="R120:T120"/>
    <mergeCell ref="R121:T121"/>
    <mergeCell ref="R123:Y123"/>
    <mergeCell ref="R118:T119"/>
    <mergeCell ref="U118:U119"/>
    <mergeCell ref="V118:V119"/>
    <mergeCell ref="W118:W119"/>
    <mergeCell ref="X126:X127"/>
    <mergeCell ref="R128:T128"/>
    <mergeCell ref="R130:Y130"/>
    <mergeCell ref="R132:T133"/>
    <mergeCell ref="U132:U133"/>
    <mergeCell ref="V132:V133"/>
    <mergeCell ref="W132:W133"/>
    <mergeCell ref="X132:X133"/>
    <mergeCell ref="R126:T127"/>
    <mergeCell ref="U126:U127"/>
    <mergeCell ref="R134:T134"/>
    <mergeCell ref="R135:T135"/>
    <mergeCell ref="R137:Y137"/>
    <mergeCell ref="R142:W142"/>
    <mergeCell ref="X143:X144"/>
    <mergeCell ref="R145:T145"/>
    <mergeCell ref="U145:U146"/>
    <mergeCell ref="R146:T146"/>
    <mergeCell ref="R143:T144"/>
    <mergeCell ref="U143:U144"/>
    <mergeCell ref="V143:V144"/>
    <mergeCell ref="W143:W144"/>
    <mergeCell ref="R147:T147"/>
    <mergeCell ref="R148:T148"/>
    <mergeCell ref="R149:X149"/>
    <mergeCell ref="R150:T151"/>
    <mergeCell ref="U150:U151"/>
    <mergeCell ref="V150:V151"/>
    <mergeCell ref="W150:W151"/>
    <mergeCell ref="X150:X151"/>
    <mergeCell ref="R152:T152"/>
    <mergeCell ref="U152:U154"/>
    <mergeCell ref="R153:T153"/>
    <mergeCell ref="R154:T154"/>
    <mergeCell ref="R155:X155"/>
    <mergeCell ref="R156:T157"/>
    <mergeCell ref="U156:U157"/>
    <mergeCell ref="V156:V157"/>
    <mergeCell ref="W156:W157"/>
    <mergeCell ref="X156:X157"/>
    <mergeCell ref="V162:V163"/>
    <mergeCell ref="W162:W163"/>
    <mergeCell ref="R158:T158"/>
    <mergeCell ref="U158:U160"/>
    <mergeCell ref="R159:T159"/>
    <mergeCell ref="R160:T160"/>
    <mergeCell ref="X162:X163"/>
    <mergeCell ref="R164:T164"/>
    <mergeCell ref="R165:T165"/>
    <mergeCell ref="R167:T168"/>
    <mergeCell ref="U167:U168"/>
    <mergeCell ref="V167:V168"/>
    <mergeCell ref="W167:W168"/>
    <mergeCell ref="X167:X168"/>
    <mergeCell ref="R162:T163"/>
    <mergeCell ref="U162:U163"/>
    <mergeCell ref="R174:T174"/>
    <mergeCell ref="R179:T179"/>
    <mergeCell ref="R180:T180"/>
    <mergeCell ref="R175:T175"/>
    <mergeCell ref="R177:T178"/>
    <mergeCell ref="R169:T169"/>
    <mergeCell ref="R170:T170"/>
    <mergeCell ref="R172:T173"/>
    <mergeCell ref="W177:W178"/>
    <mergeCell ref="X177:X178"/>
    <mergeCell ref="U177:U178"/>
    <mergeCell ref="V177:V178"/>
    <mergeCell ref="X183:X184"/>
    <mergeCell ref="X172:X173"/>
    <mergeCell ref="U172:U173"/>
    <mergeCell ref="V172:V173"/>
    <mergeCell ref="W172:W173"/>
    <mergeCell ref="R185:T185"/>
    <mergeCell ref="R186:T186"/>
    <mergeCell ref="R181:T181"/>
    <mergeCell ref="R183:T184"/>
    <mergeCell ref="W188:W189"/>
    <mergeCell ref="W183:W184"/>
    <mergeCell ref="V188:V189"/>
    <mergeCell ref="U183:U184"/>
    <mergeCell ref="V183:V184"/>
    <mergeCell ref="X188:X189"/>
    <mergeCell ref="V193:V194"/>
    <mergeCell ref="W193:W194"/>
    <mergeCell ref="X193:X194"/>
    <mergeCell ref="R188:T189"/>
    <mergeCell ref="U188:U189"/>
    <mergeCell ref="R190:T190"/>
    <mergeCell ref="R191:T191"/>
    <mergeCell ref="R193:T194"/>
    <mergeCell ref="U193:U194"/>
    <mergeCell ref="R195:T195"/>
    <mergeCell ref="R196:T196"/>
    <mergeCell ref="R198:T199"/>
    <mergeCell ref="U198:U199"/>
    <mergeCell ref="V198:V199"/>
    <mergeCell ref="W198:W199"/>
    <mergeCell ref="X198:X199"/>
    <mergeCell ref="R200:T200"/>
    <mergeCell ref="R201:T201"/>
    <mergeCell ref="R202:T202"/>
    <mergeCell ref="R204:Y208"/>
    <mergeCell ref="R210:W211"/>
    <mergeCell ref="X210:X211"/>
    <mergeCell ref="Y210:Y211"/>
    <mergeCell ref="Y213:Y214"/>
    <mergeCell ref="R215:U215"/>
    <mergeCell ref="R216:U216"/>
    <mergeCell ref="R217:U217"/>
    <mergeCell ref="R213:U214"/>
    <mergeCell ref="V213:V214"/>
    <mergeCell ref="W213:W214"/>
    <mergeCell ref="X213:X214"/>
    <mergeCell ref="R218:U218"/>
    <mergeCell ref="R219:U219"/>
    <mergeCell ref="R220:U220"/>
    <mergeCell ref="R221:U221"/>
    <mergeCell ref="R222:U222"/>
    <mergeCell ref="R223:U223"/>
    <mergeCell ref="R224:U224"/>
    <mergeCell ref="R225:U225"/>
    <mergeCell ref="R226:U226"/>
    <mergeCell ref="R227:U227"/>
    <mergeCell ref="R228:U228"/>
    <mergeCell ref="R229:U229"/>
    <mergeCell ref="R231:U231"/>
    <mergeCell ref="R235:T236"/>
    <mergeCell ref="U235:U236"/>
    <mergeCell ref="V235:V236"/>
    <mergeCell ref="W235:W236"/>
    <mergeCell ref="X235:X236"/>
    <mergeCell ref="R237:T237"/>
    <mergeCell ref="U237:U239"/>
    <mergeCell ref="R238:T238"/>
    <mergeCell ref="R239:T239"/>
    <mergeCell ref="X241:X242"/>
    <mergeCell ref="R243:T243"/>
    <mergeCell ref="U243:U245"/>
    <mergeCell ref="R244:T244"/>
    <mergeCell ref="R245:T245"/>
    <mergeCell ref="R241:T242"/>
    <mergeCell ref="U241:U242"/>
    <mergeCell ref="V241:V242"/>
    <mergeCell ref="W241:W242"/>
    <mergeCell ref="X247:X248"/>
    <mergeCell ref="R249:T249"/>
    <mergeCell ref="U249:U251"/>
    <mergeCell ref="R250:T250"/>
    <mergeCell ref="R251:T251"/>
    <mergeCell ref="R247:T248"/>
    <mergeCell ref="U247:U248"/>
    <mergeCell ref="V247:V248"/>
    <mergeCell ref="W247:W248"/>
    <mergeCell ref="X254:X255"/>
    <mergeCell ref="R257:T257"/>
    <mergeCell ref="R260:Y260"/>
    <mergeCell ref="R264:S265"/>
    <mergeCell ref="U264:V264"/>
    <mergeCell ref="U265:V265"/>
    <mergeCell ref="R254:T255"/>
    <mergeCell ref="U254:U255"/>
    <mergeCell ref="V254:V255"/>
    <mergeCell ref="W254:W255"/>
    <mergeCell ref="X267:X268"/>
    <mergeCell ref="R268:R271"/>
    <mergeCell ref="S268:T268"/>
    <mergeCell ref="S269:T269"/>
    <mergeCell ref="S270:T270"/>
    <mergeCell ref="S271:T271"/>
    <mergeCell ref="R267:T267"/>
    <mergeCell ref="U267:U268"/>
    <mergeCell ref="V267:V268"/>
    <mergeCell ref="W267:W268"/>
    <mergeCell ref="R272:X272"/>
    <mergeCell ref="R273:T273"/>
    <mergeCell ref="U273:U274"/>
    <mergeCell ref="V273:V274"/>
    <mergeCell ref="W273:W274"/>
    <mergeCell ref="X273:X274"/>
    <mergeCell ref="R274:R277"/>
    <mergeCell ref="S274:T274"/>
    <mergeCell ref="S275:T275"/>
    <mergeCell ref="S276:T276"/>
    <mergeCell ref="S277:T277"/>
    <mergeCell ref="R278:X278"/>
    <mergeCell ref="R279:T279"/>
    <mergeCell ref="U279:U280"/>
    <mergeCell ref="V279:V280"/>
    <mergeCell ref="W279:W280"/>
    <mergeCell ref="X279:X280"/>
    <mergeCell ref="R280:R283"/>
    <mergeCell ref="S280:T280"/>
    <mergeCell ref="S281:T281"/>
    <mergeCell ref="S282:T282"/>
    <mergeCell ref="S283:T283"/>
    <mergeCell ref="R286:U287"/>
    <mergeCell ref="V286:V287"/>
    <mergeCell ref="W286:W287"/>
    <mergeCell ref="X286:X287"/>
    <mergeCell ref="Y286:Y287"/>
    <mergeCell ref="R288:U288"/>
    <mergeCell ref="R289:U289"/>
    <mergeCell ref="R290:U290"/>
    <mergeCell ref="R291:U291"/>
    <mergeCell ref="R292:U292"/>
    <mergeCell ref="R293:U293"/>
    <mergeCell ref="R294:U294"/>
    <mergeCell ref="R295:U295"/>
    <mergeCell ref="R296:U296"/>
    <mergeCell ref="R297:U297"/>
    <mergeCell ref="R298:U298"/>
    <mergeCell ref="R299:U299"/>
    <mergeCell ref="T301:U301"/>
    <mergeCell ref="T302:U302"/>
    <mergeCell ref="R305:V305"/>
    <mergeCell ref="R306:R307"/>
    <mergeCell ref="S306:S307"/>
    <mergeCell ref="T306:T307"/>
    <mergeCell ref="U306:U307"/>
    <mergeCell ref="V306:V307"/>
    <mergeCell ref="R316:W318"/>
    <mergeCell ref="R336:S339"/>
    <mergeCell ref="T336:T337"/>
    <mergeCell ref="R319:W319"/>
    <mergeCell ref="R320:W320"/>
    <mergeCell ref="R322:S326"/>
    <mergeCell ref="T322:T324"/>
    <mergeCell ref="U322:U324"/>
    <mergeCell ref="V322:V324"/>
    <mergeCell ref="W322:W324"/>
    <mergeCell ref="R328:W328"/>
    <mergeCell ref="R329:S332"/>
    <mergeCell ref="T329:T330"/>
    <mergeCell ref="U329:U330"/>
    <mergeCell ref="V329:V330"/>
    <mergeCell ref="W329:W330"/>
    <mergeCell ref="T342:T343"/>
    <mergeCell ref="U342:U343"/>
    <mergeCell ref="V342:V343"/>
    <mergeCell ref="W342:W343"/>
    <mergeCell ref="U336:U337"/>
    <mergeCell ref="R348:W348"/>
    <mergeCell ref="R341:W341"/>
    <mergeCell ref="R342:S345"/>
    <mergeCell ref="V336:V337"/>
    <mergeCell ref="W336:W337"/>
    <mergeCell ref="R365:S368"/>
    <mergeCell ref="T365:T366"/>
    <mergeCell ref="R349:W349"/>
    <mergeCell ref="R351:S355"/>
    <mergeCell ref="T351:T353"/>
    <mergeCell ref="U351:U353"/>
    <mergeCell ref="V351:V353"/>
    <mergeCell ref="W351:W353"/>
    <mergeCell ref="R357:W357"/>
    <mergeCell ref="R358:S361"/>
    <mergeCell ref="T358:T359"/>
    <mergeCell ref="U358:U359"/>
    <mergeCell ref="V358:V359"/>
    <mergeCell ref="W358:W359"/>
    <mergeCell ref="T371:T372"/>
    <mergeCell ref="U371:U372"/>
    <mergeCell ref="V371:V372"/>
    <mergeCell ref="W371:W372"/>
    <mergeCell ref="U365:U366"/>
    <mergeCell ref="R377:W377"/>
    <mergeCell ref="R370:W370"/>
    <mergeCell ref="R371:S374"/>
    <mergeCell ref="V365:V366"/>
    <mergeCell ref="W365:W366"/>
    <mergeCell ref="R394:S397"/>
    <mergeCell ref="T394:T395"/>
    <mergeCell ref="R378:W378"/>
    <mergeCell ref="R380:S384"/>
    <mergeCell ref="T380:T382"/>
    <mergeCell ref="U380:U382"/>
    <mergeCell ref="V380:V382"/>
    <mergeCell ref="W380:W382"/>
    <mergeCell ref="R386:W386"/>
    <mergeCell ref="R387:S390"/>
    <mergeCell ref="T387:T388"/>
    <mergeCell ref="U387:U388"/>
    <mergeCell ref="V387:V388"/>
    <mergeCell ref="W387:W388"/>
    <mergeCell ref="T400:T401"/>
    <mergeCell ref="U400:U401"/>
    <mergeCell ref="V400:V401"/>
    <mergeCell ref="W400:W401"/>
    <mergeCell ref="U394:U395"/>
    <mergeCell ref="R406:W406"/>
    <mergeCell ref="R399:W399"/>
    <mergeCell ref="R400:S403"/>
    <mergeCell ref="V394:V395"/>
    <mergeCell ref="W394:W395"/>
    <mergeCell ref="R407:W407"/>
    <mergeCell ref="R409:S413"/>
    <mergeCell ref="T409:T411"/>
    <mergeCell ref="U409:U411"/>
    <mergeCell ref="V409:V411"/>
    <mergeCell ref="W409:W411"/>
    <mergeCell ref="V423:V424"/>
    <mergeCell ref="R415:W415"/>
    <mergeCell ref="R416:S419"/>
    <mergeCell ref="T416:T417"/>
    <mergeCell ref="U416:U417"/>
    <mergeCell ref="V416:V417"/>
    <mergeCell ref="W416:W417"/>
    <mergeCell ref="W423:W424"/>
    <mergeCell ref="R423:S426"/>
    <mergeCell ref="T423:T424"/>
    <mergeCell ref="U423:U424"/>
    <mergeCell ref="R435:W437"/>
    <mergeCell ref="R438:W438"/>
    <mergeCell ref="R439:W439"/>
    <mergeCell ref="R428:W428"/>
    <mergeCell ref="R429:S432"/>
    <mergeCell ref="T429:T430"/>
    <mergeCell ref="U429:U430"/>
    <mergeCell ref="V429:V430"/>
    <mergeCell ref="W429:W430"/>
    <mergeCell ref="R441:S445"/>
    <mergeCell ref="T441:T443"/>
    <mergeCell ref="U441:U443"/>
    <mergeCell ref="V441:V443"/>
    <mergeCell ref="W441:W443"/>
    <mergeCell ref="V455:V456"/>
    <mergeCell ref="R447:W447"/>
    <mergeCell ref="R448:S451"/>
    <mergeCell ref="T448:T449"/>
    <mergeCell ref="U448:U449"/>
    <mergeCell ref="V448:V449"/>
    <mergeCell ref="W448:W449"/>
    <mergeCell ref="W455:W456"/>
    <mergeCell ref="R455:S458"/>
    <mergeCell ref="T455:T456"/>
    <mergeCell ref="U455:U456"/>
    <mergeCell ref="R467:W467"/>
    <mergeCell ref="R468:W468"/>
    <mergeCell ref="R460:W460"/>
    <mergeCell ref="R461:S464"/>
    <mergeCell ref="T461:T462"/>
    <mergeCell ref="U461:U462"/>
    <mergeCell ref="V461:V462"/>
    <mergeCell ref="W461:W462"/>
    <mergeCell ref="R470:S474"/>
    <mergeCell ref="T470:T472"/>
    <mergeCell ref="U470:U472"/>
    <mergeCell ref="V470:V472"/>
    <mergeCell ref="W470:W472"/>
    <mergeCell ref="V484:V485"/>
    <mergeCell ref="R476:W476"/>
    <mergeCell ref="R477:S480"/>
    <mergeCell ref="T477:T478"/>
    <mergeCell ref="U477:U478"/>
    <mergeCell ref="V477:V478"/>
    <mergeCell ref="W477:W478"/>
    <mergeCell ref="W484:W485"/>
    <mergeCell ref="R484:S487"/>
    <mergeCell ref="T484:T485"/>
    <mergeCell ref="U484:U485"/>
    <mergeCell ref="R496:W496"/>
    <mergeCell ref="R497:W497"/>
    <mergeCell ref="R489:W489"/>
    <mergeCell ref="R490:S493"/>
    <mergeCell ref="T490:T491"/>
    <mergeCell ref="U490:U491"/>
    <mergeCell ref="V490:V491"/>
    <mergeCell ref="W490:W491"/>
    <mergeCell ref="R499:S503"/>
    <mergeCell ref="T499:T501"/>
    <mergeCell ref="U499:U501"/>
    <mergeCell ref="V499:V501"/>
    <mergeCell ref="W499:W501"/>
    <mergeCell ref="V513:V514"/>
    <mergeCell ref="R505:W505"/>
    <mergeCell ref="R506:S509"/>
    <mergeCell ref="T506:T507"/>
    <mergeCell ref="U506:U507"/>
    <mergeCell ref="V506:V507"/>
    <mergeCell ref="W506:W507"/>
    <mergeCell ref="W513:W514"/>
    <mergeCell ref="R513:S516"/>
    <mergeCell ref="T513:T514"/>
    <mergeCell ref="U513:U514"/>
    <mergeCell ref="R525:W525"/>
    <mergeCell ref="R526:W526"/>
    <mergeCell ref="R518:W518"/>
    <mergeCell ref="R519:S522"/>
    <mergeCell ref="T519:T520"/>
    <mergeCell ref="U519:U520"/>
    <mergeCell ref="V519:V520"/>
    <mergeCell ref="W519:W520"/>
    <mergeCell ref="R528:S532"/>
    <mergeCell ref="T528:T530"/>
    <mergeCell ref="U528:U530"/>
    <mergeCell ref="V528:V530"/>
    <mergeCell ref="W528:W530"/>
    <mergeCell ref="V542:V543"/>
    <mergeCell ref="R534:W534"/>
    <mergeCell ref="R535:S538"/>
    <mergeCell ref="T535:T536"/>
    <mergeCell ref="U535:U536"/>
    <mergeCell ref="V535:V536"/>
    <mergeCell ref="W535:W536"/>
    <mergeCell ref="W542:W543"/>
    <mergeCell ref="R542:S545"/>
    <mergeCell ref="T542:T543"/>
    <mergeCell ref="U542:U543"/>
    <mergeCell ref="R547:W547"/>
    <mergeCell ref="R548:S551"/>
    <mergeCell ref="T548:T549"/>
    <mergeCell ref="U548:U549"/>
    <mergeCell ref="V548:V549"/>
    <mergeCell ref="W548:W549"/>
  </mergeCells>
  <phoneticPr fontId="0" type="noConversion"/>
  <conditionalFormatting sqref="U108:X109">
    <cfRule type="cellIs" dxfId="382" priority="1" stopIfTrue="1" operator="equal">
      <formula>"yes"</formula>
    </cfRule>
    <cfRule type="cellIs" dxfId="381" priority="2" stopIfTrue="1" operator="equal">
      <formula>"no"</formula>
    </cfRule>
  </conditionalFormatting>
  <conditionalFormatting sqref="X254:X255 X106:X107 X247:X248 X49:X50 X235:X236 X54:X55 X67:X68 X74:X75 X100:X101 X112:X113 X118:X119 X132:X133 X279:X280 X126:X127 X241:X242 X59:X60 Y286:Y287 S306:S307 X143:X144 X183:X184 X177:X178 X267:X268 X273:X274 Y213:Y214 X83 X90 X156:X157 X150:X151 X198:X199 X162:X163 X167:X168 X172:X173 X188:X189 X193:X194">
    <cfRule type="cellIs" dxfId="380" priority="3" stopIfTrue="1" operator="equal">
      <formula>$U$31</formula>
    </cfRule>
    <cfRule type="cellIs" dxfId="379" priority="4" stopIfTrue="1" operator="equal">
      <formula>$W$31</formula>
    </cfRule>
    <cfRule type="cellIs" dxfId="378" priority="5" stopIfTrue="1" operator="equal">
      <formula>$Y$31</formula>
    </cfRule>
  </conditionalFormatting>
  <conditionalFormatting sqref="V106:V107 V247:V248 V49:V50 V241:V242 V54:V55 V59:V60 V67:V68 V74:V75 W286:W287 V100:V101 V112:V113 V118:V119 V126:V127 V132:V133 V279:V280 V235:V236 V254:V255 T306:T307 V143:V144 V183:V184 V177:V178 V267:V268 V273:V274 W213:W214 V83 V90 V156:V157 V150:V151 V198:V199 V162:V163 V167:V168 V172:V173 V188:V189 V193:V194">
    <cfRule type="cellIs" dxfId="377" priority="6" stopIfTrue="1" operator="equal">
      <formula>$R$6</formula>
    </cfRule>
    <cfRule type="cellIs" dxfId="376" priority="7" stopIfTrue="1" operator="equal">
      <formula>$V$33</formula>
    </cfRule>
    <cfRule type="cellIs" dxfId="375" priority="8" stopIfTrue="1" operator="equal">
      <formula>$R$8</formula>
    </cfRule>
  </conditionalFormatting>
  <conditionalFormatting sqref="W106:W107 W126:W127 W247:W248 W49:W50 W241:W242 W54:W55 W59:W60 W67:W68 W74:W75 X286:X287 W100:W101 W112:W113 W118:W119 W132:W133 W279:W280 W235:W236 W254:W255 U306:U307 W143:W144 W183:W184 W177:W178 W267:W268 W273:W274 X213:X214 W83 W90 W156:W157 W150:W151 W198:W199 W162:W163 W167:W168 W172:W173 W188:W189 W193:W194">
    <cfRule type="cellIs" dxfId="374" priority="9" stopIfTrue="1" operator="equal">
      <formula>$R$6</formula>
    </cfRule>
    <cfRule type="cellIs" dxfId="373" priority="10" stopIfTrue="1" operator="equal">
      <formula>$R$7</formula>
    </cfRule>
    <cfRule type="cellIs" dxfId="372" priority="11" stopIfTrue="1" operator="equal">
      <formula>$W$33</formula>
    </cfRule>
  </conditionalFormatting>
  <conditionalFormatting sqref="R36 R44">
    <cfRule type="cellIs" dxfId="371" priority="12" stopIfTrue="1" operator="equal">
      <formula>$AI$31</formula>
    </cfRule>
    <cfRule type="cellIs" dxfId="370" priority="13" stopIfTrue="1" operator="equal">
      <formula>$AK$31</formula>
    </cfRule>
    <cfRule type="cellIs" dxfId="369" priority="14" stopIfTrue="1" operator="equal">
      <formula>$AM$31</formula>
    </cfRule>
  </conditionalFormatting>
  <conditionalFormatting sqref="R34 R42">
    <cfRule type="cellIs" dxfId="368" priority="15" stopIfTrue="1" operator="equal">
      <formula>$AF$6</formula>
    </cfRule>
    <cfRule type="cellIs" dxfId="367" priority="16" stopIfTrue="1" operator="equal">
      <formula>$AJ$33</formula>
    </cfRule>
    <cfRule type="cellIs" dxfId="366" priority="17" stopIfTrue="1" operator="equal">
      <formula>$AF$8</formula>
    </cfRule>
  </conditionalFormatting>
  <conditionalFormatting sqref="R35 R43">
    <cfRule type="cellIs" dxfId="365" priority="18" stopIfTrue="1" operator="equal">
      <formula>$AF$6</formula>
    </cfRule>
    <cfRule type="cellIs" dxfId="364" priority="19" stopIfTrue="1" operator="equal">
      <formula>$AF$7</formula>
    </cfRule>
    <cfRule type="cellIs" dxfId="363" priority="20" stopIfTrue="1" operator="equal">
      <formula>$AK$33</formula>
    </cfRule>
  </conditionalFormatting>
  <printOptions headings="1"/>
  <pageMargins left="0" right="0" top="0.59055118110236227" bottom="0.39370078740157483" header="0.51181102362204722" footer="0.51181102362204722"/>
  <pageSetup paperSize="9" scale="92" fitToHeight="6"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sheetPr codeName="Sheet59">
    <pageSetUpPr fitToPage="1"/>
  </sheetPr>
  <dimension ref="A1:AJ1126"/>
  <sheetViews>
    <sheetView showRowColHeaders="0" workbookViewId="0">
      <selection activeCell="B2" sqref="B2:K3"/>
    </sheetView>
  </sheetViews>
  <sheetFormatPr defaultRowHeight="12.75"/>
  <cols>
    <col min="1" max="11" width="11.7109375" style="1" customWidth="1"/>
    <col min="12" max="16" width="10.7109375" style="1" customWidth="1"/>
    <col min="17" max="17" width="4.7109375" style="20" customWidth="1"/>
    <col min="18" max="20" width="10.7109375" style="18" customWidth="1"/>
    <col min="21" max="23" width="11.7109375" style="18" customWidth="1"/>
    <col min="24" max="26" width="10.7109375" style="18" customWidth="1"/>
    <col min="27" max="27" width="10.7109375" style="1" customWidth="1"/>
    <col min="28" max="30" width="8.7109375" style="1" customWidth="1"/>
    <col min="31" max="35" width="13.7109375" style="1" customWidth="1"/>
    <col min="36" max="37" width="10.7109375" style="1" customWidth="1"/>
    <col min="38" max="54" width="10.28515625" style="1" customWidth="1"/>
    <col min="55" max="110" width="10.7109375" style="1" customWidth="1"/>
    <col min="111" max="16384" width="9.140625" style="1"/>
  </cols>
  <sheetData>
    <row r="1" spans="1:34" ht="6" customHeight="1" thickBot="1">
      <c r="A1" s="121"/>
      <c r="B1" s="121"/>
      <c r="C1" s="121"/>
      <c r="D1" s="121"/>
      <c r="E1" s="121"/>
      <c r="F1" s="121"/>
      <c r="G1" s="121"/>
      <c r="H1" s="121"/>
      <c r="I1" s="121"/>
      <c r="J1" s="121"/>
      <c r="K1" s="121"/>
      <c r="L1" s="121"/>
      <c r="M1" s="121"/>
      <c r="N1" s="121"/>
      <c r="O1" s="121"/>
      <c r="P1" s="121"/>
      <c r="Q1" s="360"/>
      <c r="R1" s="361"/>
      <c r="S1" s="361"/>
      <c r="T1" s="361"/>
      <c r="U1" s="361"/>
      <c r="V1" s="361"/>
      <c r="W1" s="361"/>
      <c r="X1" s="361"/>
      <c r="Y1" s="361"/>
      <c r="Z1" s="361"/>
      <c r="AA1"/>
      <c r="AB1"/>
      <c r="AC1"/>
      <c r="AD1"/>
      <c r="AE1"/>
      <c r="AF1"/>
      <c r="AG1"/>
      <c r="AH1"/>
    </row>
    <row r="2" spans="1:34" ht="12.75" customHeight="1" thickTop="1">
      <c r="A2" s="121"/>
      <c r="B2" s="753" t="s">
        <v>442</v>
      </c>
      <c r="C2" s="754"/>
      <c r="D2" s="754"/>
      <c r="E2" s="754"/>
      <c r="F2" s="754"/>
      <c r="G2" s="754"/>
      <c r="H2" s="754"/>
      <c r="I2" s="754"/>
      <c r="J2" s="754"/>
      <c r="K2" s="755"/>
      <c r="L2" s="121"/>
      <c r="M2" s="121"/>
      <c r="N2" s="121"/>
      <c r="O2" s="121"/>
      <c r="P2" s="121"/>
      <c r="Q2" s="363"/>
      <c r="R2" s="1024" t="s">
        <v>396</v>
      </c>
      <c r="S2" s="1025"/>
      <c r="T2" s="1025"/>
      <c r="U2" s="1025"/>
      <c r="V2" s="1025"/>
      <c r="W2" s="1025"/>
      <c r="X2" s="1025"/>
      <c r="Y2" s="1026"/>
      <c r="Z2" s="362"/>
      <c r="AA2"/>
      <c r="AB2"/>
      <c r="AC2"/>
      <c r="AD2"/>
      <c r="AE2"/>
      <c r="AF2"/>
      <c r="AG2"/>
      <c r="AH2"/>
    </row>
    <row r="3" spans="1:34" ht="12.75" customHeight="1" thickBot="1">
      <c r="A3" s="121"/>
      <c r="B3" s="756"/>
      <c r="C3" s="757"/>
      <c r="D3" s="757"/>
      <c r="E3" s="757"/>
      <c r="F3" s="757"/>
      <c r="G3" s="757"/>
      <c r="H3" s="757"/>
      <c r="I3" s="757"/>
      <c r="J3" s="757"/>
      <c r="K3" s="758"/>
      <c r="L3" s="121"/>
      <c r="M3" s="121"/>
      <c r="N3" s="121"/>
      <c r="O3" s="121"/>
      <c r="P3" s="121"/>
      <c r="Q3" s="363"/>
      <c r="R3" s="1027"/>
      <c r="S3" s="1028"/>
      <c r="T3" s="1028"/>
      <c r="U3" s="1028"/>
      <c r="V3" s="1028"/>
      <c r="W3" s="1028"/>
      <c r="X3" s="1028"/>
      <c r="Y3" s="1029"/>
      <c r="Z3" s="362"/>
      <c r="AA3"/>
      <c r="AB3"/>
      <c r="AC3"/>
      <c r="AD3"/>
      <c r="AE3"/>
      <c r="AF3"/>
      <c r="AG3"/>
      <c r="AH3"/>
    </row>
    <row r="4" spans="1:34" ht="12.75" customHeight="1" thickTop="1">
      <c r="A4" s="121"/>
      <c r="B4" s="121"/>
      <c r="C4" s="121"/>
      <c r="D4" s="121"/>
      <c r="E4" s="121"/>
      <c r="F4" s="121"/>
      <c r="G4" s="121"/>
      <c r="H4" s="121"/>
      <c r="I4" s="121"/>
      <c r="J4" s="121"/>
      <c r="K4" s="121"/>
      <c r="L4" s="121"/>
      <c r="M4" s="121"/>
      <c r="N4" s="121"/>
      <c r="O4" s="121"/>
      <c r="P4" s="121"/>
      <c r="Q4" s="363"/>
      <c r="R4" s="361"/>
      <c r="S4" s="361"/>
      <c r="T4" s="361"/>
      <c r="U4" s="361"/>
      <c r="V4" s="361"/>
      <c r="W4" s="361"/>
      <c r="X4" s="361"/>
      <c r="Y4" s="361"/>
      <c r="Z4" s="361"/>
      <c r="AA4"/>
      <c r="AB4"/>
      <c r="AC4"/>
      <c r="AD4"/>
      <c r="AE4"/>
      <c r="AF4"/>
      <c r="AG4"/>
      <c r="AH4"/>
    </row>
    <row r="5" spans="1:34" ht="12.75" customHeight="1">
      <c r="A5" s="121"/>
      <c r="B5" s="828" t="s">
        <v>581</v>
      </c>
      <c r="C5" s="829"/>
      <c r="D5" s="830"/>
      <c r="E5" s="460">
        <v>450</v>
      </c>
      <c r="F5" s="461">
        <f>+E5</f>
        <v>450</v>
      </c>
      <c r="G5" s="121"/>
      <c r="H5" s="121"/>
      <c r="I5" s="121"/>
      <c r="J5" s="121"/>
      <c r="K5" s="121"/>
      <c r="L5" s="121"/>
      <c r="M5" s="121"/>
      <c r="N5" s="121"/>
      <c r="O5" s="121"/>
      <c r="P5" s="121"/>
      <c r="Q5" s="360"/>
      <c r="R5" s="951" t="s">
        <v>868</v>
      </c>
      <c r="S5" s="951"/>
      <c r="T5" s="951"/>
      <c r="U5" s="951"/>
      <c r="V5" s="447">
        <f>F5</f>
        <v>450</v>
      </c>
      <c r="W5" s="362"/>
      <c r="X5" s="362"/>
      <c r="Y5" s="362"/>
      <c r="Z5" s="362"/>
      <c r="AA5"/>
      <c r="AB5"/>
      <c r="AC5"/>
      <c r="AD5"/>
      <c r="AE5"/>
      <c r="AF5"/>
      <c r="AG5"/>
      <c r="AH5"/>
    </row>
    <row r="6" spans="1:34" ht="12.75" customHeight="1">
      <c r="A6" s="121"/>
      <c r="B6" s="121"/>
      <c r="C6" s="121"/>
      <c r="D6" s="121"/>
      <c r="E6" s="121"/>
      <c r="F6" s="121"/>
      <c r="G6" s="121"/>
      <c r="H6" s="121"/>
      <c r="I6" s="121"/>
      <c r="J6" s="121"/>
      <c r="K6" s="121"/>
      <c r="L6" s="121"/>
      <c r="M6" s="121"/>
      <c r="N6" s="121"/>
      <c r="O6" s="121"/>
      <c r="P6" s="121"/>
      <c r="Q6" s="360"/>
      <c r="R6" s="362"/>
      <c r="S6" s="362"/>
      <c r="T6" s="362"/>
      <c r="U6" s="362"/>
      <c r="V6" s="361"/>
      <c r="W6" s="361"/>
      <c r="X6" s="361"/>
      <c r="Y6" s="361"/>
      <c r="Z6" s="361"/>
      <c r="AA6"/>
      <c r="AB6"/>
      <c r="AC6"/>
      <c r="AD6"/>
      <c r="AE6"/>
      <c r="AF6"/>
      <c r="AG6"/>
      <c r="AH6"/>
    </row>
    <row r="7" spans="1:34" ht="12.75" customHeight="1">
      <c r="A7" s="121"/>
      <c r="B7" s="121"/>
      <c r="C7" s="121"/>
      <c r="D7" s="121"/>
      <c r="E7" s="121"/>
      <c r="F7" s="121"/>
      <c r="G7" s="121"/>
      <c r="H7" s="121"/>
      <c r="I7" s="121"/>
      <c r="J7" s="121"/>
      <c r="K7" s="121"/>
      <c r="L7" s="121"/>
      <c r="M7" s="121"/>
      <c r="N7" s="121"/>
      <c r="O7" s="121"/>
      <c r="P7" s="121"/>
      <c r="Q7" s="385">
        <v>1</v>
      </c>
      <c r="R7" s="1008" t="s">
        <v>24</v>
      </c>
      <c r="S7" s="1008"/>
      <c r="T7" s="1008"/>
      <c r="U7" s="1008"/>
      <c r="V7" s="1008"/>
      <c r="W7" s="1008"/>
      <c r="X7" s="1008"/>
      <c r="Y7" s="1008"/>
      <c r="Z7" s="536"/>
      <c r="AA7"/>
      <c r="AB7"/>
      <c r="AC7"/>
      <c r="AD7"/>
      <c r="AE7"/>
      <c r="AF7"/>
      <c r="AG7"/>
      <c r="AH7"/>
    </row>
    <row r="8" spans="1:34" ht="12.75" customHeight="1">
      <c r="A8" s="121"/>
      <c r="B8" s="121"/>
      <c r="C8" s="121"/>
      <c r="D8" s="121"/>
      <c r="E8" s="121"/>
      <c r="F8" s="121"/>
      <c r="G8" s="121"/>
      <c r="H8" s="121"/>
      <c r="I8" s="121"/>
      <c r="J8" s="121"/>
      <c r="K8" s="121"/>
      <c r="L8" s="121"/>
      <c r="M8" s="121"/>
      <c r="N8" s="121"/>
      <c r="O8" s="121"/>
      <c r="P8" s="121"/>
      <c r="Q8" s="386"/>
      <c r="R8" s="361"/>
      <c r="S8" s="361"/>
      <c r="T8" s="361"/>
      <c r="U8" s="361"/>
      <c r="V8" s="361"/>
      <c r="W8" s="361"/>
      <c r="X8" s="361"/>
      <c r="Y8" s="361"/>
      <c r="Z8" s="361"/>
      <c r="AA8"/>
      <c r="AB8"/>
      <c r="AC8"/>
      <c r="AD8"/>
      <c r="AE8"/>
      <c r="AF8"/>
      <c r="AG8"/>
      <c r="AH8"/>
    </row>
    <row r="9" spans="1:34" ht="12.75" customHeight="1">
      <c r="A9" s="121"/>
      <c r="B9" s="121"/>
      <c r="C9" s="121"/>
      <c r="D9" s="121"/>
      <c r="E9" s="121"/>
      <c r="F9" s="121"/>
      <c r="G9" s="121"/>
      <c r="H9" s="121"/>
      <c r="I9" s="121"/>
      <c r="J9" s="121"/>
      <c r="K9" s="121"/>
      <c r="L9" s="121"/>
      <c r="M9" s="121"/>
      <c r="N9" s="121"/>
      <c r="O9" s="121"/>
      <c r="P9" s="121"/>
      <c r="Q9" s="360">
        <v>1.1000000000000001</v>
      </c>
      <c r="R9" s="364" t="s">
        <v>586</v>
      </c>
      <c r="S9" s="363"/>
      <c r="T9" s="363"/>
      <c r="U9" s="363"/>
      <c r="V9" s="363"/>
      <c r="W9" s="363"/>
      <c r="X9" s="363"/>
      <c r="Y9" s="363"/>
      <c r="Z9" s="363"/>
      <c r="AA9"/>
      <c r="AB9"/>
      <c r="AC9"/>
      <c r="AD9"/>
      <c r="AE9"/>
      <c r="AF9"/>
      <c r="AG9"/>
      <c r="AH9"/>
    </row>
    <row r="10" spans="1:34" ht="12.75" customHeight="1">
      <c r="A10" s="121"/>
      <c r="B10" s="121"/>
      <c r="C10" s="121"/>
      <c r="D10" s="121"/>
      <c r="E10" s="121"/>
      <c r="F10" s="121"/>
      <c r="G10" s="121"/>
      <c r="H10" s="121"/>
      <c r="I10" s="121"/>
      <c r="J10" s="121"/>
      <c r="K10" s="121"/>
      <c r="L10" s="121"/>
      <c r="M10" s="121"/>
      <c r="N10" s="121"/>
      <c r="O10" s="121"/>
      <c r="P10" s="121"/>
      <c r="Q10" s="360"/>
      <c r="R10" s="969" t="s">
        <v>25</v>
      </c>
      <c r="S10" s="969"/>
      <c r="T10" s="969"/>
      <c r="U10" s="969"/>
      <c r="V10" s="447">
        <f>'Prod Parameters'!$F$8</f>
        <v>23</v>
      </c>
      <c r="W10" s="363"/>
      <c r="X10" s="363"/>
      <c r="Y10" s="363"/>
      <c r="Z10" s="363"/>
      <c r="AA10"/>
      <c r="AB10"/>
      <c r="AC10"/>
      <c r="AD10"/>
      <c r="AE10"/>
      <c r="AF10"/>
      <c r="AG10"/>
      <c r="AH10"/>
    </row>
    <row r="11" spans="1:34" ht="12.75" customHeight="1">
      <c r="A11" s="121"/>
      <c r="B11" s="121"/>
      <c r="C11" s="121"/>
      <c r="D11" s="121"/>
      <c r="E11" s="121"/>
      <c r="F11" s="121"/>
      <c r="G11" s="121"/>
      <c r="H11" s="121"/>
      <c r="I11" s="121"/>
      <c r="J11" s="121"/>
      <c r="K11" s="121"/>
      <c r="L11" s="121"/>
      <c r="M11" s="121"/>
      <c r="N11" s="121"/>
      <c r="O11" s="121"/>
      <c r="P11" s="121"/>
      <c r="Q11" s="360"/>
      <c r="R11" s="969" t="s">
        <v>325</v>
      </c>
      <c r="S11" s="969"/>
      <c r="T11" s="969"/>
      <c r="U11" s="969"/>
      <c r="V11" s="447">
        <f>'Prod Parameters'!$F$9</f>
        <v>23</v>
      </c>
      <c r="W11" s="363"/>
      <c r="X11" s="363"/>
      <c r="Y11" s="363"/>
      <c r="Z11" s="363"/>
      <c r="AA11"/>
      <c r="AB11"/>
      <c r="AC11"/>
      <c r="AD11"/>
      <c r="AE11"/>
      <c r="AF11"/>
      <c r="AG11"/>
      <c r="AH11"/>
    </row>
    <row r="12" spans="1:34" ht="12.75" customHeight="1">
      <c r="A12" s="121"/>
      <c r="B12" s="121"/>
      <c r="C12" s="121"/>
      <c r="D12" s="121"/>
      <c r="E12" s="121"/>
      <c r="F12" s="121"/>
      <c r="G12" s="121"/>
      <c r="H12" s="121"/>
      <c r="I12" s="121"/>
      <c r="J12" s="121"/>
      <c r="K12" s="121"/>
      <c r="L12" s="121"/>
      <c r="M12" s="121"/>
      <c r="N12" s="121"/>
      <c r="O12" s="121"/>
      <c r="P12" s="121"/>
      <c r="Q12" s="360"/>
      <c r="R12" s="1021" t="s">
        <v>26</v>
      </c>
      <c r="S12" s="1022"/>
      <c r="T12" s="1022"/>
      <c r="U12" s="1023"/>
      <c r="V12" s="447">
        <f>'Prod Parameters'!$F$10</f>
        <v>6</v>
      </c>
      <c r="W12" s="363"/>
      <c r="X12" s="363"/>
      <c r="Y12" s="363"/>
      <c r="Z12" s="363"/>
      <c r="AA12"/>
      <c r="AB12"/>
      <c r="AC12"/>
      <c r="AD12"/>
      <c r="AE12"/>
      <c r="AF12"/>
      <c r="AG12"/>
      <c r="AH12"/>
    </row>
    <row r="13" spans="1:34" ht="12.75" customHeight="1">
      <c r="A13" s="121"/>
      <c r="B13" s="121"/>
      <c r="C13" s="121"/>
      <c r="D13" s="121"/>
      <c r="E13" s="121"/>
      <c r="F13" s="121"/>
      <c r="G13" s="121"/>
      <c r="H13" s="121"/>
      <c r="I13" s="121"/>
      <c r="J13" s="121"/>
      <c r="K13" s="121"/>
      <c r="L13" s="121"/>
      <c r="M13" s="121"/>
      <c r="N13" s="121"/>
      <c r="O13" s="121"/>
      <c r="P13" s="121"/>
      <c r="Q13" s="360"/>
      <c r="R13" s="969" t="s">
        <v>27</v>
      </c>
      <c r="S13" s="969"/>
      <c r="T13" s="969"/>
      <c r="U13" s="969"/>
      <c r="V13" s="447">
        <f>'Prod Parameters'!$F$11</f>
        <v>52</v>
      </c>
      <c r="W13" s="363"/>
      <c r="X13" s="363"/>
      <c r="Y13" s="363"/>
      <c r="Z13" s="363"/>
      <c r="AA13"/>
      <c r="AB13"/>
      <c r="AC13"/>
      <c r="AD13"/>
      <c r="AE13"/>
      <c r="AF13"/>
      <c r="AG13"/>
      <c r="AH13"/>
    </row>
    <row r="14" spans="1:34" ht="12.75" customHeight="1">
      <c r="A14" s="121"/>
      <c r="B14" s="121"/>
      <c r="C14" s="121"/>
      <c r="D14" s="121"/>
      <c r="E14" s="121"/>
      <c r="F14" s="121"/>
      <c r="G14" s="121"/>
      <c r="H14" s="121"/>
      <c r="I14" s="121"/>
      <c r="J14" s="121"/>
      <c r="K14" s="121"/>
      <c r="L14" s="121"/>
      <c r="M14" s="121"/>
      <c r="N14" s="121"/>
      <c r="O14" s="121"/>
      <c r="P14" s="121"/>
      <c r="Q14" s="360"/>
      <c r="R14" s="969" t="s">
        <v>28</v>
      </c>
      <c r="S14" s="969"/>
      <c r="T14" s="969"/>
      <c r="U14" s="969"/>
      <c r="V14" s="447">
        <f>'Prod Parameters'!$F$12</f>
        <v>260</v>
      </c>
      <c r="W14" s="363"/>
      <c r="X14" s="363"/>
      <c r="Y14" s="363"/>
      <c r="Z14" s="363"/>
      <c r="AA14"/>
      <c r="AB14"/>
      <c r="AC14"/>
      <c r="AD14"/>
      <c r="AE14"/>
      <c r="AF14"/>
      <c r="AG14"/>
      <c r="AH14"/>
    </row>
    <row r="15" spans="1:34" ht="12.75" customHeight="1">
      <c r="A15" s="121"/>
      <c r="B15" s="121"/>
      <c r="C15" s="121"/>
      <c r="D15" s="121"/>
      <c r="E15" s="121"/>
      <c r="F15" s="121"/>
      <c r="G15" s="121"/>
      <c r="H15" s="121"/>
      <c r="I15" s="121"/>
      <c r="J15" s="121"/>
      <c r="K15" s="121"/>
      <c r="L15" s="121"/>
      <c r="M15" s="121"/>
      <c r="N15" s="121"/>
      <c r="O15" s="121"/>
      <c r="P15" s="121"/>
      <c r="Q15" s="360"/>
      <c r="R15" s="969" t="s">
        <v>29</v>
      </c>
      <c r="S15" s="969"/>
      <c r="T15" s="969"/>
      <c r="U15" s="969"/>
      <c r="V15" s="447">
        <f>'Prod Parameters'!$F$13</f>
        <v>30</v>
      </c>
      <c r="W15" s="363"/>
      <c r="X15" s="363"/>
      <c r="Y15" s="363"/>
      <c r="Z15" s="363"/>
      <c r="AA15"/>
      <c r="AB15"/>
      <c r="AC15"/>
      <c r="AD15"/>
      <c r="AE15"/>
      <c r="AF15"/>
      <c r="AG15"/>
      <c r="AH15"/>
    </row>
    <row r="16" spans="1:34" ht="12.75" customHeight="1">
      <c r="A16" s="121"/>
      <c r="B16" s="121"/>
      <c r="C16" s="121"/>
      <c r="D16" s="121"/>
      <c r="E16" s="121"/>
      <c r="F16" s="121"/>
      <c r="G16" s="121"/>
      <c r="H16" s="121"/>
      <c r="I16" s="121"/>
      <c r="J16" s="121"/>
      <c r="K16" s="121"/>
      <c r="L16" s="121"/>
      <c r="M16" s="121"/>
      <c r="N16" s="121"/>
      <c r="O16" s="121"/>
      <c r="P16" s="121"/>
      <c r="Q16" s="360"/>
      <c r="R16" s="968" t="s">
        <v>30</v>
      </c>
      <c r="S16" s="968"/>
      <c r="T16" s="968"/>
      <c r="U16" s="968"/>
      <c r="V16" s="447">
        <f>'Prod Parameters'!$F$14</f>
        <v>230</v>
      </c>
      <c r="W16" s="363"/>
      <c r="X16" s="363"/>
      <c r="Y16" s="363"/>
      <c r="Z16" s="363"/>
      <c r="AA16"/>
      <c r="AB16"/>
      <c r="AC16"/>
      <c r="AD16"/>
      <c r="AE16"/>
      <c r="AF16"/>
      <c r="AG16"/>
      <c r="AH16"/>
    </row>
    <row r="17" spans="1:34" ht="12.75" customHeight="1">
      <c r="A17" s="121"/>
      <c r="B17" s="121"/>
      <c r="C17" s="121"/>
      <c r="D17" s="121"/>
      <c r="E17" s="121"/>
      <c r="F17" s="121"/>
      <c r="G17" s="121"/>
      <c r="H17" s="121"/>
      <c r="I17" s="121"/>
      <c r="J17" s="121"/>
      <c r="K17" s="121"/>
      <c r="L17" s="121"/>
      <c r="M17" s="121"/>
      <c r="N17" s="121"/>
      <c r="O17" s="121"/>
      <c r="P17" s="121"/>
      <c r="Q17" s="360"/>
      <c r="R17" s="363"/>
      <c r="S17" s="363"/>
      <c r="T17" s="363"/>
      <c r="U17" s="363"/>
      <c r="V17" s="363"/>
      <c r="W17" s="363"/>
      <c r="X17" s="363"/>
      <c r="Y17" s="363"/>
      <c r="Z17" s="363"/>
      <c r="AA17"/>
      <c r="AB17"/>
      <c r="AC17"/>
      <c r="AD17"/>
      <c r="AE17"/>
      <c r="AF17"/>
      <c r="AG17"/>
      <c r="AH17"/>
    </row>
    <row r="18" spans="1:34" ht="12.75" customHeight="1">
      <c r="A18" s="121"/>
      <c r="B18" s="121"/>
      <c r="C18" s="121"/>
      <c r="D18" s="121"/>
      <c r="E18" s="121"/>
      <c r="F18" s="121"/>
      <c r="G18" s="121"/>
      <c r="H18" s="121"/>
      <c r="I18" s="121"/>
      <c r="J18" s="121"/>
      <c r="K18" s="121"/>
      <c r="L18" s="121"/>
      <c r="M18" s="121"/>
      <c r="N18" s="121"/>
      <c r="O18" s="121"/>
      <c r="P18" s="121"/>
      <c r="Q18" s="360">
        <v>1.2</v>
      </c>
      <c r="R18" s="364" t="s">
        <v>19</v>
      </c>
      <c r="S18" s="363"/>
      <c r="T18" s="363"/>
      <c r="U18" s="363"/>
      <c r="V18" s="363"/>
      <c r="W18" s="363"/>
      <c r="X18" s="363"/>
      <c r="Y18" s="363"/>
      <c r="Z18" s="363"/>
      <c r="AA18"/>
      <c r="AB18"/>
      <c r="AC18"/>
      <c r="AD18"/>
      <c r="AE18"/>
      <c r="AF18"/>
      <c r="AG18"/>
      <c r="AH18"/>
    </row>
    <row r="19" spans="1:34" ht="12.75" customHeight="1">
      <c r="A19" s="121"/>
      <c r="B19" s="121"/>
      <c r="C19" s="121"/>
      <c r="D19" s="121"/>
      <c r="E19" s="121"/>
      <c r="F19" s="121"/>
      <c r="G19" s="121"/>
      <c r="H19" s="121"/>
      <c r="I19" s="121"/>
      <c r="J19" s="121"/>
      <c r="K19" s="121"/>
      <c r="L19" s="121"/>
      <c r="M19" s="121"/>
      <c r="N19" s="121"/>
      <c r="O19" s="121"/>
      <c r="P19" s="121"/>
      <c r="Q19" s="360"/>
      <c r="R19" s="969" t="s">
        <v>314</v>
      </c>
      <c r="S19" s="969"/>
      <c r="T19" s="969"/>
      <c r="U19" s="969"/>
      <c r="V19" s="447">
        <f>'Prod Parameters'!$F$17</f>
        <v>160</v>
      </c>
      <c r="W19" s="363"/>
      <c r="X19" s="363"/>
      <c r="Y19" s="363"/>
      <c r="Z19" s="363"/>
      <c r="AA19"/>
      <c r="AB19"/>
      <c r="AC19"/>
      <c r="AD19"/>
      <c r="AE19"/>
      <c r="AF19"/>
      <c r="AG19"/>
      <c r="AH19"/>
    </row>
    <row r="20" spans="1:34" ht="12.75" customHeight="1">
      <c r="A20" s="121"/>
      <c r="B20" s="121"/>
      <c r="C20" s="121"/>
      <c r="D20" s="121"/>
      <c r="E20" s="121"/>
      <c r="F20" s="121"/>
      <c r="G20" s="121"/>
      <c r="H20" s="121"/>
      <c r="I20" s="121"/>
      <c r="J20" s="121"/>
      <c r="K20" s="121"/>
      <c r="L20" s="121"/>
      <c r="M20" s="121"/>
      <c r="N20" s="121"/>
      <c r="O20" s="121"/>
      <c r="P20" s="121"/>
      <c r="Q20" s="360"/>
      <c r="R20" s="969" t="s">
        <v>31</v>
      </c>
      <c r="S20" s="969"/>
      <c r="T20" s="969"/>
      <c r="U20" s="969"/>
      <c r="V20" s="447">
        <f>'Prod Parameters'!$F$18</f>
        <v>1.2</v>
      </c>
      <c r="W20" s="363"/>
      <c r="X20" s="363"/>
      <c r="Y20" s="363"/>
      <c r="Z20" s="363"/>
      <c r="AA20"/>
      <c r="AB20"/>
      <c r="AC20"/>
      <c r="AD20"/>
      <c r="AE20"/>
      <c r="AF20"/>
      <c r="AG20"/>
      <c r="AH20"/>
    </row>
    <row r="21" spans="1:34" ht="12.75" customHeight="1">
      <c r="A21" s="121"/>
      <c r="B21" s="121"/>
      <c r="C21" s="121"/>
      <c r="D21" s="121"/>
      <c r="E21" s="121"/>
      <c r="F21" s="121"/>
      <c r="G21" s="121"/>
      <c r="H21" s="121"/>
      <c r="I21" s="121"/>
      <c r="J21" s="121"/>
      <c r="K21" s="121"/>
      <c r="L21" s="121"/>
      <c r="M21" s="121"/>
      <c r="N21" s="121"/>
      <c r="O21" s="121"/>
      <c r="P21" s="121"/>
      <c r="Q21" s="360"/>
      <c r="R21" s="969" t="s">
        <v>199</v>
      </c>
      <c r="S21" s="969"/>
      <c r="T21" s="969"/>
      <c r="U21" s="969"/>
      <c r="V21" s="447">
        <f>'Prod Parameters'!$F$19</f>
        <v>4</v>
      </c>
      <c r="W21" s="363"/>
      <c r="X21" s="363"/>
      <c r="Y21" s="363"/>
      <c r="Z21" s="363"/>
      <c r="AA21"/>
      <c r="AB21"/>
      <c r="AC21"/>
      <c r="AD21"/>
      <c r="AE21"/>
      <c r="AF21"/>
      <c r="AG21"/>
      <c r="AH21"/>
    </row>
    <row r="22" spans="1:34" ht="12.75" customHeight="1">
      <c r="A22" s="121"/>
      <c r="B22" s="121"/>
      <c r="C22" s="121"/>
      <c r="D22" s="121"/>
      <c r="E22" s="121"/>
      <c r="F22" s="121"/>
      <c r="G22" s="121"/>
      <c r="H22" s="121"/>
      <c r="I22" s="121"/>
      <c r="J22" s="121"/>
      <c r="K22" s="121"/>
      <c r="L22" s="121"/>
      <c r="M22" s="121"/>
      <c r="N22" s="121"/>
      <c r="O22" s="121"/>
      <c r="P22" s="121"/>
      <c r="Q22" s="360"/>
      <c r="R22" s="969" t="s">
        <v>20</v>
      </c>
      <c r="S22" s="969"/>
      <c r="T22" s="969"/>
      <c r="U22" s="969"/>
      <c r="V22" s="447">
        <f>'Prod Parameters'!$F$20</f>
        <v>40</v>
      </c>
      <c r="W22" s="363"/>
      <c r="X22" s="363"/>
      <c r="Y22" s="363"/>
      <c r="Z22" s="363"/>
      <c r="AA22"/>
      <c r="AB22"/>
      <c r="AC22"/>
      <c r="AD22"/>
      <c r="AE22"/>
      <c r="AF22"/>
      <c r="AG22"/>
      <c r="AH22"/>
    </row>
    <row r="23" spans="1:34" ht="12.75" customHeight="1">
      <c r="A23" s="121"/>
      <c r="B23" s="121"/>
      <c r="C23" s="121"/>
      <c r="D23" s="121"/>
      <c r="E23" s="121"/>
      <c r="F23" s="121"/>
      <c r="G23" s="121"/>
      <c r="H23" s="121"/>
      <c r="I23" s="121"/>
      <c r="J23" s="121"/>
      <c r="K23" s="121"/>
      <c r="L23" s="121"/>
      <c r="M23" s="121"/>
      <c r="N23" s="121"/>
      <c r="O23" s="121"/>
      <c r="P23" s="121"/>
      <c r="Q23" s="360"/>
      <c r="R23" s="969" t="s">
        <v>310</v>
      </c>
      <c r="S23" s="969"/>
      <c r="T23" s="969"/>
      <c r="U23" s="969"/>
      <c r="V23" s="447">
        <f>'Prod Parameters'!$F$21</f>
        <v>160</v>
      </c>
      <c r="W23" s="363"/>
      <c r="X23" s="363"/>
      <c r="Y23" s="363"/>
      <c r="Z23" s="363"/>
      <c r="AA23"/>
      <c r="AB23"/>
      <c r="AC23"/>
      <c r="AD23"/>
      <c r="AE23"/>
      <c r="AF23"/>
      <c r="AG23"/>
      <c r="AH23"/>
    </row>
    <row r="24" spans="1:34" ht="12.75" customHeight="1">
      <c r="A24" s="121"/>
      <c r="B24" s="121"/>
      <c r="C24" s="121"/>
      <c r="D24" s="121"/>
      <c r="E24" s="121"/>
      <c r="F24" s="121"/>
      <c r="G24" s="121"/>
      <c r="H24" s="121"/>
      <c r="I24" s="121"/>
      <c r="J24" s="121"/>
      <c r="K24" s="121"/>
      <c r="L24" s="121"/>
      <c r="M24" s="121"/>
      <c r="N24" s="121"/>
      <c r="O24" s="121"/>
      <c r="P24" s="121"/>
      <c r="Q24" s="360"/>
      <c r="R24" s="969" t="s">
        <v>315</v>
      </c>
      <c r="S24" s="969"/>
      <c r="T24" s="969"/>
      <c r="U24" s="969"/>
      <c r="V24" s="549">
        <f>'Prod Parameters'!$F$22</f>
        <v>6400</v>
      </c>
      <c r="W24" s="363"/>
      <c r="X24" s="363"/>
      <c r="Y24" s="363"/>
      <c r="Z24" s="363"/>
      <c r="AA24"/>
      <c r="AB24"/>
      <c r="AC24"/>
      <c r="AD24"/>
      <c r="AE24"/>
      <c r="AF24"/>
      <c r="AG24"/>
      <c r="AH24"/>
    </row>
    <row r="25" spans="1:34" ht="12.75" customHeight="1">
      <c r="A25" s="121"/>
      <c r="B25" s="121"/>
      <c r="C25" s="121"/>
      <c r="D25" s="121"/>
      <c r="E25" s="121"/>
      <c r="F25" s="121"/>
      <c r="G25" s="121"/>
      <c r="H25" s="121"/>
      <c r="I25" s="121"/>
      <c r="J25" s="121"/>
      <c r="K25" s="121"/>
      <c r="L25" s="121"/>
      <c r="M25" s="121"/>
      <c r="N25" s="121"/>
      <c r="O25" s="121"/>
      <c r="P25" s="121"/>
      <c r="Q25" s="360"/>
      <c r="R25" s="969" t="s">
        <v>187</v>
      </c>
      <c r="S25" s="969"/>
      <c r="T25" s="969"/>
      <c r="U25" s="969"/>
      <c r="V25" s="549">
        <f>'Prod Parameters'!$F$23</f>
        <v>7680</v>
      </c>
      <c r="W25" s="363"/>
      <c r="X25" s="363"/>
      <c r="Y25" s="363"/>
      <c r="Z25" s="363"/>
      <c r="AA25"/>
      <c r="AB25"/>
      <c r="AC25"/>
      <c r="AD25"/>
      <c r="AE25"/>
      <c r="AF25"/>
      <c r="AG25"/>
      <c r="AH25"/>
    </row>
    <row r="26" spans="1:34" ht="12.75" customHeight="1">
      <c r="A26" s="121"/>
      <c r="B26" s="121"/>
      <c r="C26" s="121"/>
      <c r="D26" s="121"/>
      <c r="E26" s="121"/>
      <c r="F26" s="121"/>
      <c r="G26" s="121"/>
      <c r="H26" s="121"/>
      <c r="I26" s="121"/>
      <c r="J26" s="121"/>
      <c r="K26" s="121"/>
      <c r="L26" s="121"/>
      <c r="M26" s="121"/>
      <c r="N26" s="121"/>
      <c r="O26" s="121"/>
      <c r="P26" s="121"/>
      <c r="Q26" s="360"/>
      <c r="R26" s="969" t="s">
        <v>200</v>
      </c>
      <c r="S26" s="969"/>
      <c r="T26" s="969"/>
      <c r="U26" s="969"/>
      <c r="V26" s="549">
        <f>'Prod Parameters'!$F$24</f>
        <v>176640</v>
      </c>
      <c r="W26" s="363"/>
      <c r="X26" s="363"/>
      <c r="Y26" s="363"/>
      <c r="Z26" s="363"/>
      <c r="AA26"/>
      <c r="AB26"/>
      <c r="AC26"/>
      <c r="AD26"/>
      <c r="AE26"/>
      <c r="AF26"/>
      <c r="AG26"/>
      <c r="AH26"/>
    </row>
    <row r="27" spans="1:34" ht="12.75" customHeight="1">
      <c r="A27" s="121"/>
      <c r="B27" s="121"/>
      <c r="C27" s="121"/>
      <c r="D27" s="121"/>
      <c r="E27" s="121"/>
      <c r="F27" s="121"/>
      <c r="G27" s="121"/>
      <c r="H27" s="121"/>
      <c r="I27" s="121"/>
      <c r="J27" s="121"/>
      <c r="K27" s="121"/>
      <c r="L27" s="121"/>
      <c r="M27" s="121"/>
      <c r="N27" s="121"/>
      <c r="O27" s="121"/>
      <c r="P27" s="121"/>
      <c r="Q27" s="360"/>
      <c r="R27" s="363"/>
      <c r="S27" s="363"/>
      <c r="T27" s="363"/>
      <c r="U27" s="363"/>
      <c r="V27" s="363"/>
      <c r="W27" s="363"/>
      <c r="X27" s="363"/>
      <c r="Y27" s="363"/>
      <c r="Z27" s="363"/>
      <c r="AA27"/>
      <c r="AB27"/>
      <c r="AC27"/>
      <c r="AD27"/>
      <c r="AE27"/>
      <c r="AF27"/>
      <c r="AG27"/>
      <c r="AH27"/>
    </row>
    <row r="28" spans="1:34" ht="12.75" customHeight="1">
      <c r="A28" s="121"/>
      <c r="B28" s="121"/>
      <c r="C28" s="121"/>
      <c r="D28" s="121"/>
      <c r="E28" s="121"/>
      <c r="F28" s="121"/>
      <c r="G28" s="121"/>
      <c r="H28" s="121"/>
      <c r="I28" s="121"/>
      <c r="J28" s="121"/>
      <c r="K28" s="121"/>
      <c r="L28" s="121"/>
      <c r="M28" s="121"/>
      <c r="N28" s="121"/>
      <c r="O28" s="121"/>
      <c r="P28" s="121"/>
      <c r="Q28" s="385" t="s">
        <v>33</v>
      </c>
      <c r="R28" s="1008" t="s">
        <v>821</v>
      </c>
      <c r="S28" s="1008"/>
      <c r="T28" s="1008"/>
      <c r="U28" s="1008"/>
      <c r="V28" s="1008"/>
      <c r="W28" s="1008"/>
      <c r="X28" s="1008"/>
      <c r="Y28" s="1008"/>
      <c r="Z28" s="536"/>
      <c r="AA28"/>
      <c r="AB28"/>
      <c r="AC28"/>
      <c r="AD28"/>
      <c r="AE28"/>
      <c r="AF28"/>
      <c r="AG28"/>
      <c r="AH28"/>
    </row>
    <row r="29" spans="1:34" ht="12.75" customHeight="1">
      <c r="A29" s="121"/>
      <c r="B29" s="121"/>
      <c r="C29" s="121"/>
      <c r="D29" s="121"/>
      <c r="E29" s="121"/>
      <c r="F29" s="121"/>
      <c r="G29" s="121"/>
      <c r="H29" s="121"/>
      <c r="I29" s="121"/>
      <c r="J29" s="121"/>
      <c r="K29" s="121"/>
      <c r="L29" s="121"/>
      <c r="M29" s="121"/>
      <c r="N29" s="121"/>
      <c r="O29" s="121"/>
      <c r="P29" s="121"/>
      <c r="Q29" s="546"/>
      <c r="R29" s="363"/>
      <c r="S29" s="363"/>
      <c r="T29" s="363"/>
      <c r="U29" s="363"/>
      <c r="V29" s="363"/>
      <c r="W29" s="363"/>
      <c r="X29" s="363"/>
      <c r="Y29" s="363"/>
      <c r="Z29" s="363"/>
      <c r="AA29"/>
      <c r="AB29"/>
      <c r="AC29"/>
      <c r="AD29"/>
      <c r="AE29"/>
      <c r="AF29"/>
      <c r="AG29"/>
      <c r="AH29"/>
    </row>
    <row r="30" spans="1:34" ht="12.75" customHeight="1">
      <c r="A30" s="121"/>
      <c r="B30" s="121"/>
      <c r="C30" s="121"/>
      <c r="D30" s="121"/>
      <c r="E30" s="121"/>
      <c r="F30" s="121"/>
      <c r="G30" s="121"/>
      <c r="H30" s="121"/>
      <c r="I30" s="121"/>
      <c r="J30" s="121"/>
      <c r="K30" s="121"/>
      <c r="L30" s="121"/>
      <c r="M30" s="121"/>
      <c r="N30" s="121"/>
      <c r="O30" s="121"/>
      <c r="P30" s="121"/>
      <c r="Q30" s="546">
        <v>2.1</v>
      </c>
      <c r="R30" s="363" t="s">
        <v>831</v>
      </c>
      <c r="S30" s="363"/>
      <c r="T30" s="363"/>
      <c r="U30" s="550"/>
      <c r="V30" s="550"/>
      <c r="W30" s="550"/>
      <c r="X30" s="550"/>
      <c r="Y30" s="551"/>
      <c r="Z30" s="551"/>
      <c r="AA30"/>
      <c r="AB30"/>
      <c r="AC30"/>
      <c r="AD30"/>
      <c r="AE30"/>
      <c r="AF30"/>
      <c r="AG30"/>
      <c r="AH30"/>
    </row>
    <row r="31" spans="1:34" ht="12.75" customHeight="1">
      <c r="A31" s="121"/>
      <c r="B31" s="121"/>
      <c r="C31" s="121"/>
      <c r="D31" s="121"/>
      <c r="E31" s="121"/>
      <c r="F31" s="121"/>
      <c r="G31" s="121"/>
      <c r="H31" s="121"/>
      <c r="I31" s="121"/>
      <c r="J31" s="121"/>
      <c r="K31" s="121"/>
      <c r="L31" s="121"/>
      <c r="M31" s="121"/>
      <c r="N31" s="121"/>
      <c r="O31" s="121"/>
      <c r="P31" s="121"/>
      <c r="Q31" s="546"/>
      <c r="R31" s="998" t="s">
        <v>77</v>
      </c>
      <c r="S31" s="999"/>
      <c r="T31" s="1000"/>
      <c r="U31" s="1019" t="s">
        <v>824</v>
      </c>
      <c r="V31" s="1019" t="s">
        <v>828</v>
      </c>
      <c r="W31" s="1019" t="s">
        <v>826</v>
      </c>
      <c r="X31" s="1019" t="s">
        <v>23</v>
      </c>
      <c r="Y31" s="552"/>
      <c r="Z31" s="552"/>
      <c r="AA31"/>
      <c r="AB31"/>
      <c r="AC31"/>
      <c r="AD31"/>
      <c r="AE31"/>
      <c r="AF31"/>
      <c r="AG31"/>
      <c r="AH31"/>
    </row>
    <row r="32" spans="1:34" ht="12.75" customHeight="1">
      <c r="A32" s="121"/>
      <c r="B32" s="121"/>
      <c r="C32" s="121"/>
      <c r="D32" s="121"/>
      <c r="E32" s="121"/>
      <c r="F32" s="121"/>
      <c r="G32" s="121"/>
      <c r="H32" s="121"/>
      <c r="I32" s="121"/>
      <c r="J32" s="121"/>
      <c r="K32" s="121"/>
      <c r="L32" s="121"/>
      <c r="M32" s="121"/>
      <c r="N32" s="121"/>
      <c r="O32" s="121"/>
      <c r="P32" s="121"/>
      <c r="Q32" s="546"/>
      <c r="R32" s="1001"/>
      <c r="S32" s="1002"/>
      <c r="T32" s="1003"/>
      <c r="U32" s="1019"/>
      <c r="V32" s="1019"/>
      <c r="W32" s="1019"/>
      <c r="X32" s="1019"/>
      <c r="Y32" s="364"/>
      <c r="Z32" s="364"/>
      <c r="AA32"/>
      <c r="AB32"/>
      <c r="AC32"/>
      <c r="AD32"/>
      <c r="AE32"/>
      <c r="AF32"/>
      <c r="AG32"/>
      <c r="AH32"/>
    </row>
    <row r="33" spans="1:34" ht="12.75" customHeight="1">
      <c r="A33" s="121"/>
      <c r="B33" s="121"/>
      <c r="C33" s="121"/>
      <c r="D33" s="121"/>
      <c r="E33" s="121"/>
      <c r="F33" s="121"/>
      <c r="G33" s="121"/>
      <c r="H33" s="121"/>
      <c r="I33" s="121"/>
      <c r="J33" s="121"/>
      <c r="K33" s="121"/>
      <c r="L33" s="121"/>
      <c r="M33" s="121"/>
      <c r="N33" s="121"/>
      <c r="O33" s="121"/>
      <c r="P33" s="121"/>
      <c r="Q33" s="546"/>
      <c r="R33" s="1020" t="s">
        <v>500</v>
      </c>
      <c r="S33" s="1020"/>
      <c r="T33" s="1020"/>
      <c r="U33" s="369">
        <v>23.9</v>
      </c>
      <c r="V33" s="369">
        <f>'Lookup Properties'!$C$7</f>
        <v>15.4</v>
      </c>
      <c r="W33" s="369">
        <f>'Lookup Properties'!$D$7</f>
        <v>4.8</v>
      </c>
      <c r="X33" s="553">
        <f>SUM(U33:W33)</f>
        <v>44.099999999999994</v>
      </c>
      <c r="Y33" s="364"/>
      <c r="Z33" s="364"/>
      <c r="AA33"/>
      <c r="AB33"/>
      <c r="AC33"/>
      <c r="AD33"/>
      <c r="AE33"/>
      <c r="AF33"/>
      <c r="AG33"/>
      <c r="AH33"/>
    </row>
    <row r="34" spans="1:34" ht="12.75" customHeight="1">
      <c r="A34" s="121"/>
      <c r="B34" s="121"/>
      <c r="C34" s="121"/>
      <c r="D34" s="121"/>
      <c r="E34" s="121"/>
      <c r="F34" s="121"/>
      <c r="G34" s="121"/>
      <c r="H34" s="121"/>
      <c r="I34" s="121"/>
      <c r="J34" s="121"/>
      <c r="K34" s="121"/>
      <c r="L34" s="121"/>
      <c r="M34" s="121"/>
      <c r="N34" s="121"/>
      <c r="O34" s="121"/>
      <c r="P34" s="121"/>
      <c r="Q34" s="546"/>
      <c r="R34" s="1017" t="s">
        <v>22</v>
      </c>
      <c r="S34" s="1017"/>
      <c r="T34" s="1017"/>
      <c r="U34" s="369">
        <f>'Lookup Properties'!$B$5</f>
        <v>22.35</v>
      </c>
      <c r="V34" s="369">
        <f>'Lookup Properties'!$C$5</f>
        <v>17.399999999999999</v>
      </c>
      <c r="W34" s="369">
        <f>'Lookup Properties'!$D$5</f>
        <v>5</v>
      </c>
      <c r="X34" s="553">
        <f>SUM(U34:W34)</f>
        <v>44.75</v>
      </c>
      <c r="Y34" s="364"/>
      <c r="Z34" s="364"/>
      <c r="AA34"/>
      <c r="AB34"/>
      <c r="AC34"/>
      <c r="AD34"/>
      <c r="AE34"/>
      <c r="AF34"/>
      <c r="AG34"/>
      <c r="AH34"/>
    </row>
    <row r="35" spans="1:34" ht="12.75" customHeight="1">
      <c r="A35" s="121"/>
      <c r="B35" s="121"/>
      <c r="C35" s="121"/>
      <c r="D35" s="121"/>
      <c r="E35" s="121"/>
      <c r="F35" s="121"/>
      <c r="G35" s="121"/>
      <c r="H35" s="121"/>
      <c r="I35" s="121"/>
      <c r="J35" s="121"/>
      <c r="K35" s="121"/>
      <c r="L35" s="121"/>
      <c r="M35" s="121"/>
      <c r="N35" s="121"/>
      <c r="O35" s="121"/>
      <c r="P35" s="121"/>
      <c r="Q35" s="546"/>
      <c r="R35" s="1018" t="s">
        <v>579</v>
      </c>
      <c r="S35" s="1018"/>
      <c r="T35" s="1018"/>
      <c r="U35" s="369">
        <f>'Lookup Properties'!$B$6</f>
        <v>22.15</v>
      </c>
      <c r="V35" s="369">
        <f>'Lookup Properties'!$C$6</f>
        <v>18.149999999999999</v>
      </c>
      <c r="W35" s="369">
        <f>'Lookup Properties'!$D$6</f>
        <v>5</v>
      </c>
      <c r="X35" s="553">
        <f>SUM(U35:W35)</f>
        <v>45.3</v>
      </c>
      <c r="Y35" s="364"/>
      <c r="Z35" s="364"/>
      <c r="AA35"/>
      <c r="AB35"/>
      <c r="AC35"/>
      <c r="AD35"/>
      <c r="AE35"/>
      <c r="AF35"/>
      <c r="AG35"/>
      <c r="AH35"/>
    </row>
    <row r="36" spans="1:34" ht="12.75" customHeight="1">
      <c r="A36" s="121"/>
      <c r="B36" s="121"/>
      <c r="C36" s="121"/>
      <c r="D36" s="121"/>
      <c r="E36" s="121"/>
      <c r="F36" s="121"/>
      <c r="G36" s="121"/>
      <c r="H36" s="121"/>
      <c r="I36" s="121"/>
      <c r="J36" s="121"/>
      <c r="K36" s="121"/>
      <c r="L36" s="121"/>
      <c r="M36" s="121"/>
      <c r="N36" s="121"/>
      <c r="O36" s="121"/>
      <c r="P36" s="121"/>
      <c r="Q36" s="546"/>
      <c r="R36" s="1016" t="s">
        <v>21</v>
      </c>
      <c r="S36" s="1016"/>
      <c r="T36" s="1016"/>
      <c r="U36" s="369">
        <f>'Lookup Properties'!$B$4</f>
        <v>21.25</v>
      </c>
      <c r="V36" s="369">
        <f>'Lookup Properties'!$C$4</f>
        <v>17.399999999999999</v>
      </c>
      <c r="W36" s="369">
        <f>'Lookup Properties'!$D$4</f>
        <v>5</v>
      </c>
      <c r="X36" s="553">
        <f>SUM(U36:W36)</f>
        <v>43.65</v>
      </c>
      <c r="Y36" s="364"/>
      <c r="Z36" s="364"/>
      <c r="AA36"/>
      <c r="AB36"/>
      <c r="AC36"/>
      <c r="AD36"/>
      <c r="AE36"/>
      <c r="AF36"/>
      <c r="AG36"/>
      <c r="AH36"/>
    </row>
    <row r="37" spans="1:34" ht="12.75" customHeight="1">
      <c r="A37" s="121"/>
      <c r="B37" s="121"/>
      <c r="C37" s="121"/>
      <c r="D37" s="121"/>
      <c r="E37" s="121"/>
      <c r="F37" s="121"/>
      <c r="G37" s="121"/>
      <c r="H37" s="121"/>
      <c r="I37" s="121"/>
      <c r="J37" s="121"/>
      <c r="K37" s="121"/>
      <c r="L37" s="121"/>
      <c r="M37" s="121"/>
      <c r="N37" s="121"/>
      <c r="O37" s="121"/>
      <c r="P37" s="121"/>
      <c r="Q37" s="364"/>
      <c r="R37" s="364"/>
      <c r="S37" s="364"/>
      <c r="T37" s="364"/>
      <c r="U37" s="555"/>
      <c r="V37" s="555"/>
      <c r="W37" s="555"/>
      <c r="X37" s="555"/>
      <c r="Y37" s="555"/>
      <c r="Z37" s="364"/>
      <c r="AA37"/>
      <c r="AB37"/>
      <c r="AC37"/>
      <c r="AD37"/>
      <c r="AE37"/>
      <c r="AF37"/>
      <c r="AG37"/>
      <c r="AH37"/>
    </row>
    <row r="38" spans="1:34" ht="12.75" customHeight="1">
      <c r="A38" s="121"/>
      <c r="B38" s="121"/>
      <c r="C38" s="121"/>
      <c r="D38" s="121"/>
      <c r="E38" s="121"/>
      <c r="F38" s="121"/>
      <c r="G38" s="121"/>
      <c r="H38" s="121"/>
      <c r="I38" s="121"/>
      <c r="J38" s="121"/>
      <c r="K38" s="121"/>
      <c r="L38" s="121"/>
      <c r="M38" s="121"/>
      <c r="N38" s="121"/>
      <c r="O38" s="121"/>
      <c r="P38" s="121"/>
      <c r="Q38" s="360">
        <v>2.2000000000000002</v>
      </c>
      <c r="R38" s="363" t="s">
        <v>832</v>
      </c>
      <c r="S38" s="363"/>
      <c r="T38" s="363"/>
      <c r="U38" s="363"/>
      <c r="V38" s="363"/>
      <c r="W38" s="363"/>
      <c r="X38" s="363"/>
      <c r="Y38" s="363"/>
      <c r="Z38" s="364"/>
      <c r="AA38"/>
      <c r="AB38"/>
      <c r="AC38"/>
      <c r="AD38"/>
      <c r="AE38"/>
      <c r="AF38"/>
      <c r="AG38"/>
      <c r="AH38"/>
    </row>
    <row r="39" spans="1:34" ht="12.75" customHeight="1">
      <c r="A39" s="121"/>
      <c r="B39" s="121"/>
      <c r="C39" s="121"/>
      <c r="D39" s="121"/>
      <c r="E39" s="121"/>
      <c r="F39" s="121"/>
      <c r="G39" s="121"/>
      <c r="H39" s="121"/>
      <c r="I39" s="121"/>
      <c r="J39" s="121"/>
      <c r="K39" s="121"/>
      <c r="L39" s="121"/>
      <c r="M39" s="121"/>
      <c r="N39" s="121"/>
      <c r="O39" s="121"/>
      <c r="P39" s="121"/>
      <c r="Q39" s="360"/>
      <c r="R39" s="998" t="s">
        <v>77</v>
      </c>
      <c r="S39" s="999"/>
      <c r="T39" s="1000"/>
      <c r="U39" s="1019" t="s">
        <v>824</v>
      </c>
      <c r="V39" s="1019" t="s">
        <v>828</v>
      </c>
      <c r="W39" s="1019" t="s">
        <v>826</v>
      </c>
      <c r="X39" s="1019" t="s">
        <v>23</v>
      </c>
      <c r="Y39" s="364"/>
      <c r="Z39" s="364"/>
      <c r="AA39"/>
      <c r="AB39"/>
      <c r="AC39"/>
      <c r="AD39"/>
      <c r="AE39"/>
      <c r="AF39"/>
      <c r="AG39"/>
      <c r="AH39"/>
    </row>
    <row r="40" spans="1:34" ht="12.75" customHeight="1">
      <c r="A40" s="121"/>
      <c r="B40" s="121"/>
      <c r="C40" s="121"/>
      <c r="D40" s="121"/>
      <c r="E40" s="121"/>
      <c r="F40" s="121"/>
      <c r="G40" s="121"/>
      <c r="H40" s="121"/>
      <c r="I40" s="121"/>
      <c r="J40" s="121"/>
      <c r="K40" s="121"/>
      <c r="L40" s="121"/>
      <c r="M40" s="121"/>
      <c r="N40" s="121"/>
      <c r="O40" s="121"/>
      <c r="P40" s="121"/>
      <c r="Q40" s="360"/>
      <c r="R40" s="1001"/>
      <c r="S40" s="1002"/>
      <c r="T40" s="1003"/>
      <c r="U40" s="1019"/>
      <c r="V40" s="1019"/>
      <c r="W40" s="1019"/>
      <c r="X40" s="1019"/>
      <c r="Y40" s="364"/>
      <c r="Z40" s="364"/>
      <c r="AA40"/>
      <c r="AB40"/>
      <c r="AC40"/>
      <c r="AD40"/>
      <c r="AE40"/>
      <c r="AF40"/>
      <c r="AG40"/>
      <c r="AH40"/>
    </row>
    <row r="41" spans="1:34" ht="12.75" customHeight="1">
      <c r="A41" s="121"/>
      <c r="B41" s="121"/>
      <c r="C41" s="121"/>
      <c r="D41" s="121"/>
      <c r="E41" s="121"/>
      <c r="F41" s="121"/>
      <c r="G41" s="121"/>
      <c r="H41" s="121"/>
      <c r="I41" s="121"/>
      <c r="J41" s="121"/>
      <c r="K41" s="121"/>
      <c r="L41" s="121"/>
      <c r="M41" s="121"/>
      <c r="N41" s="121"/>
      <c r="O41" s="121"/>
      <c r="P41" s="121"/>
      <c r="Q41" s="360"/>
      <c r="R41" s="1020" t="s">
        <v>500</v>
      </c>
      <c r="S41" s="1020"/>
      <c r="T41" s="1020"/>
      <c r="U41" s="556">
        <f>'Lookup Properties'!$B$13</f>
        <v>0.74</v>
      </c>
      <c r="V41" s="556">
        <f>'Lookup Properties'!$C$13</f>
        <v>0.78</v>
      </c>
      <c r="W41" s="556">
        <f>'Lookup Properties'!$D$13</f>
        <v>1.26</v>
      </c>
      <c r="X41" s="553">
        <f>SUM(U41:W41)</f>
        <v>2.7800000000000002</v>
      </c>
      <c r="Y41" s="364"/>
      <c r="Z41" s="364"/>
      <c r="AA41"/>
      <c r="AB41"/>
      <c r="AC41"/>
      <c r="AD41"/>
      <c r="AE41"/>
      <c r="AF41"/>
      <c r="AG41"/>
      <c r="AH41"/>
    </row>
    <row r="42" spans="1:34" ht="12.75" customHeight="1">
      <c r="A42" s="121"/>
      <c r="B42" s="121"/>
      <c r="C42" s="121"/>
      <c r="D42" s="121"/>
      <c r="E42" s="121"/>
      <c r="F42" s="121"/>
      <c r="G42" s="121"/>
      <c r="H42" s="121"/>
      <c r="I42" s="121"/>
      <c r="J42" s="121"/>
      <c r="K42" s="121"/>
      <c r="L42" s="121"/>
      <c r="M42" s="121"/>
      <c r="N42" s="121"/>
      <c r="O42" s="121"/>
      <c r="P42" s="121"/>
      <c r="Q42" s="360"/>
      <c r="R42" s="1017" t="s">
        <v>22</v>
      </c>
      <c r="S42" s="1017"/>
      <c r="T42" s="1017"/>
      <c r="U42" s="557">
        <f>'Lookup Properties'!$B$11</f>
        <v>0.71499999999999997</v>
      </c>
      <c r="V42" s="557">
        <f>'Lookup Properties'!$C$11</f>
        <v>1.03</v>
      </c>
      <c r="W42" s="557">
        <f>'Lookup Properties'!$D$11</f>
        <v>1.29</v>
      </c>
      <c r="X42" s="553">
        <f>SUM(U42:W42)</f>
        <v>3.0350000000000001</v>
      </c>
      <c r="Y42" s="364"/>
      <c r="Z42" s="364"/>
      <c r="AA42"/>
      <c r="AB42"/>
      <c r="AC42"/>
      <c r="AD42"/>
      <c r="AE42"/>
      <c r="AF42"/>
      <c r="AG42"/>
      <c r="AH42"/>
    </row>
    <row r="43" spans="1:34" ht="12.75" customHeight="1">
      <c r="A43" s="121"/>
      <c r="B43" s="121"/>
      <c r="C43" s="121"/>
      <c r="D43" s="121"/>
      <c r="E43" s="121"/>
      <c r="F43" s="121"/>
      <c r="G43" s="121"/>
      <c r="H43" s="121"/>
      <c r="I43" s="121"/>
      <c r="J43" s="121"/>
      <c r="K43" s="121"/>
      <c r="L43" s="121"/>
      <c r="M43" s="121"/>
      <c r="N43" s="121"/>
      <c r="O43" s="121"/>
      <c r="P43" s="121"/>
      <c r="Q43" s="360"/>
      <c r="R43" s="1018" t="s">
        <v>579</v>
      </c>
      <c r="S43" s="1018"/>
      <c r="T43" s="1018"/>
      <c r="U43" s="557">
        <f>'Lookup Properties'!$B$12</f>
        <v>0.755</v>
      </c>
      <c r="V43" s="557">
        <f>'Lookup Properties'!$C$12</f>
        <v>1.07</v>
      </c>
      <c r="W43" s="557">
        <f>'Lookup Properties'!$D$12</f>
        <v>1.2949999999999999</v>
      </c>
      <c r="X43" s="553">
        <f>SUM(U43:W43)</f>
        <v>3.12</v>
      </c>
      <c r="Y43" s="364"/>
      <c r="Z43" s="364"/>
      <c r="AA43"/>
      <c r="AB43"/>
      <c r="AC43"/>
      <c r="AD43"/>
      <c r="AE43"/>
      <c r="AF43"/>
      <c r="AG43"/>
      <c r="AH43"/>
    </row>
    <row r="44" spans="1:34" ht="12.75" customHeight="1">
      <c r="A44" s="121"/>
      <c r="B44" s="121"/>
      <c r="C44" s="121"/>
      <c r="D44" s="121"/>
      <c r="E44" s="121"/>
      <c r="F44" s="121"/>
      <c r="G44" s="121"/>
      <c r="H44" s="121"/>
      <c r="I44" s="121"/>
      <c r="J44" s="121"/>
      <c r="K44" s="121"/>
      <c r="L44" s="121"/>
      <c r="M44" s="121"/>
      <c r="N44" s="121"/>
      <c r="O44" s="121"/>
      <c r="P44" s="121"/>
      <c r="Q44" s="360"/>
      <c r="R44" s="1016" t="s">
        <v>21</v>
      </c>
      <c r="S44" s="1016"/>
      <c r="T44" s="1016"/>
      <c r="U44" s="557">
        <f>'Lookup Properties'!$B$10</f>
        <v>0.71</v>
      </c>
      <c r="V44" s="557">
        <f>'Lookup Properties'!$C$10</f>
        <v>1.03</v>
      </c>
      <c r="W44" s="557">
        <f>'Lookup Properties'!$D$10</f>
        <v>1.29</v>
      </c>
      <c r="X44" s="553">
        <f>SUM(U44:W44)</f>
        <v>3.0300000000000002</v>
      </c>
      <c r="Y44" s="364"/>
      <c r="Z44" s="364"/>
      <c r="AA44"/>
      <c r="AB44"/>
      <c r="AC44"/>
      <c r="AD44"/>
      <c r="AE44"/>
      <c r="AF44"/>
      <c r="AG44"/>
      <c r="AH44"/>
    </row>
    <row r="45" spans="1:34" ht="12.75" customHeight="1">
      <c r="A45" s="121"/>
      <c r="B45" s="121"/>
      <c r="C45" s="121"/>
      <c r="D45" s="121"/>
      <c r="E45" s="121"/>
      <c r="F45" s="121"/>
      <c r="G45" s="121"/>
      <c r="H45" s="121"/>
      <c r="I45" s="121"/>
      <c r="J45" s="121"/>
      <c r="K45" s="121"/>
      <c r="L45" s="121"/>
      <c r="M45" s="121"/>
      <c r="N45" s="121"/>
      <c r="O45" s="121"/>
      <c r="P45" s="121"/>
      <c r="Q45" s="364"/>
      <c r="R45" s="364"/>
      <c r="S45" s="364"/>
      <c r="T45" s="364"/>
      <c r="U45" s="555"/>
      <c r="V45" s="555"/>
      <c r="W45" s="555"/>
      <c r="X45" s="555"/>
      <c r="Y45" s="555"/>
      <c r="Z45" s="364"/>
      <c r="AA45"/>
      <c r="AB45"/>
      <c r="AC45"/>
      <c r="AD45"/>
      <c r="AE45"/>
      <c r="AF45"/>
      <c r="AG45"/>
      <c r="AH45"/>
    </row>
    <row r="46" spans="1:34" ht="12.75" customHeight="1">
      <c r="A46" s="121"/>
      <c r="B46" s="121"/>
      <c r="C46" s="121"/>
      <c r="D46" s="121"/>
      <c r="E46" s="121"/>
      <c r="F46" s="121"/>
      <c r="G46" s="121"/>
      <c r="H46" s="121"/>
      <c r="I46" s="121"/>
      <c r="J46" s="121"/>
      <c r="K46" s="121"/>
      <c r="L46" s="121"/>
      <c r="M46" s="121"/>
      <c r="N46" s="121"/>
      <c r="O46" s="121"/>
      <c r="P46" s="121"/>
      <c r="Q46" s="387" t="s">
        <v>817</v>
      </c>
      <c r="R46" s="1015" t="s">
        <v>206</v>
      </c>
      <c r="S46" s="1015"/>
      <c r="T46" s="1015"/>
      <c r="U46" s="1015"/>
      <c r="V46" s="1015"/>
      <c r="W46" s="1015"/>
      <c r="X46" s="1015"/>
      <c r="Y46" s="1015"/>
      <c r="Z46" s="536"/>
      <c r="AA46"/>
      <c r="AB46"/>
      <c r="AC46"/>
      <c r="AD46"/>
      <c r="AE46"/>
      <c r="AF46"/>
      <c r="AG46"/>
      <c r="AH46"/>
    </row>
    <row r="47" spans="1:34" ht="12.75" customHeight="1">
      <c r="A47" s="121"/>
      <c r="B47" s="121"/>
      <c r="C47" s="121"/>
      <c r="D47" s="121"/>
      <c r="E47" s="121"/>
      <c r="F47" s="121"/>
      <c r="G47" s="121"/>
      <c r="H47" s="121"/>
      <c r="I47" s="121"/>
      <c r="J47" s="121"/>
      <c r="K47" s="121"/>
      <c r="L47" s="121"/>
      <c r="M47" s="121"/>
      <c r="N47" s="121"/>
      <c r="O47" s="121"/>
      <c r="P47" s="121"/>
      <c r="Q47" s="668"/>
      <c r="R47" s="364"/>
      <c r="S47" s="364"/>
      <c r="T47" s="364"/>
      <c r="U47" s="555"/>
      <c r="V47" s="555"/>
      <c r="W47" s="555"/>
      <c r="X47" s="555"/>
      <c r="Y47" s="555"/>
      <c r="Z47" s="364"/>
      <c r="AA47"/>
      <c r="AB47"/>
      <c r="AC47"/>
      <c r="AD47"/>
      <c r="AE47"/>
      <c r="AF47"/>
      <c r="AG47"/>
      <c r="AH47"/>
    </row>
    <row r="48" spans="1:34" ht="12.75" customHeight="1">
      <c r="A48" s="121"/>
      <c r="B48" s="121"/>
      <c r="C48" s="121"/>
      <c r="D48" s="121"/>
      <c r="E48" s="121"/>
      <c r="F48" s="121"/>
      <c r="G48" s="121"/>
      <c r="H48" s="121"/>
      <c r="I48" s="121"/>
      <c r="J48" s="121"/>
      <c r="K48" s="121"/>
      <c r="L48" s="121"/>
      <c r="M48" s="121"/>
      <c r="N48" s="121"/>
      <c r="O48" s="121"/>
      <c r="P48" s="121"/>
      <c r="Q48" s="668" t="s">
        <v>196</v>
      </c>
      <c r="R48" s="364" t="s">
        <v>207</v>
      </c>
      <c r="S48" s="364"/>
      <c r="T48" s="364"/>
      <c r="U48" s="555"/>
      <c r="V48" s="555"/>
      <c r="W48" s="555"/>
      <c r="X48" s="555"/>
      <c r="Y48" s="555"/>
      <c r="Z48" s="364"/>
      <c r="AA48"/>
      <c r="AB48"/>
      <c r="AC48"/>
      <c r="AD48"/>
      <c r="AE48"/>
      <c r="AF48"/>
      <c r="AG48"/>
      <c r="AH48"/>
    </row>
    <row r="49" spans="1:34" ht="12.75" customHeight="1">
      <c r="A49" s="121"/>
      <c r="B49" s="121"/>
      <c r="C49" s="121"/>
      <c r="D49" s="121"/>
      <c r="E49" s="121"/>
      <c r="F49" s="121"/>
      <c r="G49" s="121"/>
      <c r="H49" s="121"/>
      <c r="I49" s="121"/>
      <c r="J49" s="121"/>
      <c r="K49" s="121"/>
      <c r="L49" s="121"/>
      <c r="M49" s="121"/>
      <c r="N49" s="121"/>
      <c r="O49" s="121"/>
      <c r="P49" s="121"/>
      <c r="Q49" s="364"/>
      <c r="R49" s="962" t="s">
        <v>678</v>
      </c>
      <c r="S49" s="963"/>
      <c r="T49" s="964"/>
      <c r="U49" s="949" t="s">
        <v>500</v>
      </c>
      <c r="V49" s="938" t="s">
        <v>22</v>
      </c>
      <c r="W49" s="940" t="s">
        <v>579</v>
      </c>
      <c r="X49" s="942" t="s">
        <v>21</v>
      </c>
      <c r="Y49" s="361"/>
      <c r="Z49" s="364"/>
      <c r="AA49"/>
      <c r="AB49"/>
      <c r="AC49"/>
      <c r="AD49"/>
      <c r="AE49"/>
      <c r="AF49"/>
      <c r="AG49"/>
      <c r="AH49"/>
    </row>
    <row r="50" spans="1:34" ht="12.75" customHeight="1">
      <c r="A50" s="121"/>
      <c r="B50" s="121"/>
      <c r="C50" s="121"/>
      <c r="D50" s="121"/>
      <c r="E50" s="121"/>
      <c r="F50" s="121"/>
      <c r="G50" s="121"/>
      <c r="H50" s="121"/>
      <c r="I50" s="121"/>
      <c r="J50" s="121"/>
      <c r="K50" s="121"/>
      <c r="L50" s="121"/>
      <c r="M50" s="121"/>
      <c r="N50" s="121"/>
      <c r="O50" s="121"/>
      <c r="P50" s="121"/>
      <c r="Q50" s="364"/>
      <c r="R50" s="965"/>
      <c r="S50" s="966"/>
      <c r="T50" s="967"/>
      <c r="U50" s="950"/>
      <c r="V50" s="939"/>
      <c r="W50" s="941"/>
      <c r="X50" s="943"/>
      <c r="Y50" s="361"/>
      <c r="Z50" s="364"/>
      <c r="AA50"/>
      <c r="AB50"/>
      <c r="AC50"/>
      <c r="AD50"/>
      <c r="AE50"/>
      <c r="AF50"/>
      <c r="AG50"/>
      <c r="AH50"/>
    </row>
    <row r="51" spans="1:34" ht="12.75" customHeight="1">
      <c r="A51" s="121"/>
      <c r="B51" s="121"/>
      <c r="C51" s="121"/>
      <c r="D51" s="121"/>
      <c r="E51" s="121"/>
      <c r="F51" s="121"/>
      <c r="G51" s="121"/>
      <c r="H51" s="121"/>
      <c r="I51" s="121"/>
      <c r="J51" s="121"/>
      <c r="K51" s="121"/>
      <c r="L51" s="121"/>
      <c r="M51" s="121"/>
      <c r="N51" s="121"/>
      <c r="O51" s="121"/>
      <c r="P51" s="121"/>
      <c r="Q51" s="364"/>
      <c r="R51" s="969" t="s">
        <v>210</v>
      </c>
      <c r="S51" s="969"/>
      <c r="T51" s="969"/>
      <c r="U51" s="560">
        <v>0.3</v>
      </c>
      <c r="V51" s="537">
        <f>VLOOKUP($V$5,'Lookup Penetration Rate'!$B$8:$E$208,3)</f>
        <v>0.4</v>
      </c>
      <c r="W51" s="537">
        <f>VLOOKUP($V$5,'Lookup Penetration Rate'!$B$8:$E$208,4)</f>
        <v>0.46</v>
      </c>
      <c r="X51" s="537">
        <f>VLOOKUP($V$5,'Lookup Penetration Rate'!$B$8:$E$208,2)</f>
        <v>0.56000000000000005</v>
      </c>
      <c r="Y51" s="361"/>
      <c r="Z51" s="364"/>
      <c r="AA51"/>
      <c r="AB51"/>
      <c r="AC51"/>
      <c r="AD51"/>
      <c r="AE51"/>
      <c r="AF51"/>
      <c r="AG51"/>
      <c r="AH51"/>
    </row>
    <row r="52" spans="1:34" ht="12.75" customHeight="1">
      <c r="A52" s="121"/>
      <c r="B52" s="121"/>
      <c r="C52" s="121"/>
      <c r="D52" s="121"/>
      <c r="E52" s="121"/>
      <c r="F52" s="121"/>
      <c r="G52" s="121"/>
      <c r="H52" s="121"/>
      <c r="I52" s="121"/>
      <c r="J52" s="121"/>
      <c r="K52" s="121"/>
      <c r="L52" s="121"/>
      <c r="M52" s="121"/>
      <c r="N52" s="121"/>
      <c r="O52" s="121"/>
      <c r="P52" s="121"/>
      <c r="Q52" s="364"/>
      <c r="R52" s="364"/>
      <c r="S52" s="364"/>
      <c r="T52" s="364"/>
      <c r="U52" s="555"/>
      <c r="V52" s="555"/>
      <c r="W52" s="555"/>
      <c r="X52" s="555"/>
      <c r="Y52" s="555"/>
      <c r="Z52" s="364"/>
      <c r="AA52"/>
      <c r="AB52"/>
      <c r="AC52"/>
      <c r="AD52"/>
      <c r="AE52"/>
      <c r="AF52"/>
      <c r="AG52"/>
      <c r="AH52"/>
    </row>
    <row r="53" spans="1:34" ht="12.75" customHeight="1">
      <c r="A53" s="121"/>
      <c r="B53" s="121"/>
      <c r="C53" s="121"/>
      <c r="D53" s="121"/>
      <c r="E53" s="121"/>
      <c r="F53" s="121"/>
      <c r="G53" s="121"/>
      <c r="H53" s="121"/>
      <c r="I53" s="121"/>
      <c r="J53" s="121"/>
      <c r="K53" s="121"/>
      <c r="L53" s="121"/>
      <c r="M53" s="121"/>
      <c r="N53" s="121"/>
      <c r="O53" s="121"/>
      <c r="P53" s="121"/>
      <c r="Q53" s="668" t="s">
        <v>197</v>
      </c>
      <c r="R53" s="364" t="s">
        <v>208</v>
      </c>
      <c r="S53" s="364"/>
      <c r="T53" s="364"/>
      <c r="U53" s="555"/>
      <c r="V53" s="555"/>
      <c r="W53" s="555"/>
      <c r="X53" s="555"/>
      <c r="Y53" s="555"/>
      <c r="Z53" s="364"/>
      <c r="AA53"/>
      <c r="AB53"/>
      <c r="AC53"/>
      <c r="AD53"/>
      <c r="AE53"/>
      <c r="AF53"/>
      <c r="AG53"/>
      <c r="AH53"/>
    </row>
    <row r="54" spans="1:34" ht="12.75" customHeight="1">
      <c r="A54" s="121"/>
      <c r="B54" s="121"/>
      <c r="C54" s="121"/>
      <c r="D54" s="121"/>
      <c r="E54" s="121"/>
      <c r="F54" s="121"/>
      <c r="G54" s="121"/>
      <c r="H54" s="121"/>
      <c r="I54" s="121"/>
      <c r="J54" s="121"/>
      <c r="K54" s="121"/>
      <c r="L54" s="121"/>
      <c r="M54" s="121"/>
      <c r="N54" s="121"/>
      <c r="O54" s="121"/>
      <c r="P54" s="121"/>
      <c r="Q54" s="668"/>
      <c r="R54" s="962" t="s">
        <v>678</v>
      </c>
      <c r="S54" s="963"/>
      <c r="T54" s="964"/>
      <c r="U54" s="949" t="s">
        <v>500</v>
      </c>
      <c r="V54" s="938" t="s">
        <v>22</v>
      </c>
      <c r="W54" s="940" t="s">
        <v>579</v>
      </c>
      <c r="X54" s="942" t="s">
        <v>21</v>
      </c>
      <c r="Y54" s="361"/>
      <c r="Z54" s="364"/>
      <c r="AA54"/>
      <c r="AB54"/>
      <c r="AC54"/>
      <c r="AD54"/>
      <c r="AE54"/>
      <c r="AF54"/>
      <c r="AG54"/>
      <c r="AH54"/>
    </row>
    <row r="55" spans="1:34" ht="12.75" customHeight="1">
      <c r="A55" s="121"/>
      <c r="B55" s="121"/>
      <c r="C55" s="121"/>
      <c r="D55" s="121"/>
      <c r="E55" s="121"/>
      <c r="F55" s="121"/>
      <c r="G55" s="121"/>
      <c r="H55" s="121"/>
      <c r="I55" s="121"/>
      <c r="J55" s="121"/>
      <c r="K55" s="121"/>
      <c r="L55" s="121"/>
      <c r="M55" s="121"/>
      <c r="N55" s="121"/>
      <c r="O55" s="121"/>
      <c r="P55" s="121"/>
      <c r="Q55" s="668"/>
      <c r="R55" s="965"/>
      <c r="S55" s="966"/>
      <c r="T55" s="967"/>
      <c r="U55" s="950"/>
      <c r="V55" s="939"/>
      <c r="W55" s="941"/>
      <c r="X55" s="943"/>
      <c r="Y55" s="361"/>
      <c r="Z55" s="364"/>
      <c r="AA55"/>
      <c r="AB55"/>
      <c r="AC55"/>
      <c r="AD55"/>
      <c r="AE55"/>
      <c r="AF55"/>
      <c r="AG55"/>
      <c r="AH55"/>
    </row>
    <row r="56" spans="1:34" ht="12.75" customHeight="1">
      <c r="A56" s="121"/>
      <c r="B56" s="121"/>
      <c r="C56" s="121"/>
      <c r="D56" s="121"/>
      <c r="E56" s="121"/>
      <c r="F56" s="121"/>
      <c r="G56" s="121"/>
      <c r="H56" s="121"/>
      <c r="I56" s="121"/>
      <c r="J56" s="121"/>
      <c r="K56" s="121"/>
      <c r="L56" s="121"/>
      <c r="M56" s="121"/>
      <c r="N56" s="121"/>
      <c r="O56" s="121"/>
      <c r="P56" s="121"/>
      <c r="Q56" s="668"/>
      <c r="R56" s="969" t="s">
        <v>209</v>
      </c>
      <c r="S56" s="969"/>
      <c r="T56" s="969"/>
      <c r="U56" s="560">
        <f>$V$20/U51</f>
        <v>4</v>
      </c>
      <c r="V56" s="669">
        <f>$V$20/V51</f>
        <v>2.9999999999999996</v>
      </c>
      <c r="W56" s="669">
        <f>$V$20/W51</f>
        <v>2.6086956521739126</v>
      </c>
      <c r="X56" s="669">
        <f>$V$20/X51</f>
        <v>2.1428571428571428</v>
      </c>
      <c r="Y56" s="361"/>
      <c r="Z56" s="364"/>
      <c r="AA56"/>
      <c r="AB56"/>
      <c r="AC56"/>
      <c r="AD56"/>
      <c r="AE56"/>
      <c r="AF56"/>
      <c r="AG56"/>
      <c r="AH56"/>
    </row>
    <row r="57" spans="1:34" ht="12.75" customHeight="1">
      <c r="A57" s="121"/>
      <c r="B57" s="121"/>
      <c r="C57" s="121"/>
      <c r="D57" s="121"/>
      <c r="E57" s="121"/>
      <c r="F57" s="121"/>
      <c r="G57" s="121"/>
      <c r="H57" s="121"/>
      <c r="I57" s="121"/>
      <c r="J57" s="121"/>
      <c r="K57" s="121"/>
      <c r="L57" s="121"/>
      <c r="M57" s="121"/>
      <c r="N57" s="121"/>
      <c r="O57" s="121"/>
      <c r="P57" s="121"/>
      <c r="Q57" s="364"/>
      <c r="R57" s="364"/>
      <c r="S57" s="364"/>
      <c r="T57" s="364"/>
      <c r="U57" s="555"/>
      <c r="V57" s="555"/>
      <c r="W57" s="555"/>
      <c r="X57" s="555"/>
      <c r="Y57" s="555"/>
      <c r="Z57" s="364"/>
      <c r="AA57"/>
      <c r="AB57"/>
      <c r="AC57"/>
      <c r="AD57"/>
      <c r="AE57"/>
      <c r="AF57"/>
      <c r="AG57"/>
      <c r="AH57"/>
    </row>
    <row r="58" spans="1:34" ht="12.75" customHeight="1">
      <c r="A58" s="121"/>
      <c r="B58" s="121"/>
      <c r="C58" s="121"/>
      <c r="D58" s="121"/>
      <c r="E58" s="121"/>
      <c r="F58" s="121"/>
      <c r="G58" s="121"/>
      <c r="H58" s="121"/>
      <c r="I58" s="121"/>
      <c r="J58" s="121"/>
      <c r="K58" s="121"/>
      <c r="L58" s="121"/>
      <c r="M58" s="121"/>
      <c r="N58" s="121"/>
      <c r="O58" s="121"/>
      <c r="P58" s="121"/>
      <c r="Q58" s="563">
        <v>3.3</v>
      </c>
      <c r="R58" s="363" t="s">
        <v>211</v>
      </c>
      <c r="S58" s="363"/>
      <c r="T58" s="363"/>
      <c r="U58" s="363"/>
      <c r="V58" s="363"/>
      <c r="W58" s="363"/>
      <c r="X58" s="363"/>
      <c r="Y58" s="363"/>
      <c r="Z58" s="364"/>
      <c r="AA58"/>
      <c r="AB58"/>
      <c r="AC58"/>
      <c r="AD58"/>
      <c r="AE58"/>
      <c r="AF58"/>
      <c r="AG58"/>
      <c r="AH58"/>
    </row>
    <row r="59" spans="1:34" ht="12.75" customHeight="1">
      <c r="A59" s="121"/>
      <c r="B59" s="121"/>
      <c r="C59" s="121"/>
      <c r="D59" s="121"/>
      <c r="E59" s="121"/>
      <c r="F59" s="121"/>
      <c r="G59" s="121"/>
      <c r="H59" s="121"/>
      <c r="I59" s="121"/>
      <c r="J59" s="121"/>
      <c r="K59" s="121"/>
      <c r="L59" s="121"/>
      <c r="M59" s="121"/>
      <c r="N59" s="121"/>
      <c r="O59" s="121"/>
      <c r="P59" s="121"/>
      <c r="Q59" s="563"/>
      <c r="R59" s="962" t="s">
        <v>678</v>
      </c>
      <c r="S59" s="963"/>
      <c r="T59" s="964"/>
      <c r="U59" s="949" t="s">
        <v>500</v>
      </c>
      <c r="V59" s="938" t="s">
        <v>22</v>
      </c>
      <c r="W59" s="940" t="s">
        <v>579</v>
      </c>
      <c r="X59" s="942" t="s">
        <v>21</v>
      </c>
      <c r="Y59" s="361"/>
      <c r="Z59" s="364"/>
      <c r="AA59"/>
      <c r="AB59"/>
      <c r="AC59"/>
      <c r="AD59"/>
      <c r="AE59"/>
      <c r="AF59"/>
      <c r="AG59"/>
      <c r="AH59"/>
    </row>
    <row r="60" spans="1:34" ht="12.75" customHeight="1">
      <c r="A60" s="121"/>
      <c r="B60" s="121"/>
      <c r="C60" s="121"/>
      <c r="D60" s="121"/>
      <c r="E60" s="121"/>
      <c r="F60" s="121"/>
      <c r="G60" s="121"/>
      <c r="H60" s="121"/>
      <c r="I60" s="121"/>
      <c r="J60" s="121"/>
      <c r="K60" s="121"/>
      <c r="L60" s="121"/>
      <c r="M60" s="121"/>
      <c r="N60" s="121"/>
      <c r="O60" s="121"/>
      <c r="P60" s="121"/>
      <c r="Q60" s="563"/>
      <c r="R60" s="965"/>
      <c r="S60" s="966"/>
      <c r="T60" s="967"/>
      <c r="U60" s="950"/>
      <c r="V60" s="939"/>
      <c r="W60" s="941"/>
      <c r="X60" s="943"/>
      <c r="Y60" s="361"/>
      <c r="Z60" s="364"/>
      <c r="AA60"/>
      <c r="AB60"/>
      <c r="AC60"/>
      <c r="AD60"/>
      <c r="AE60"/>
      <c r="AF60"/>
      <c r="AG60"/>
      <c r="AH60"/>
    </row>
    <row r="61" spans="1:34" ht="12.75" customHeight="1">
      <c r="A61" s="121"/>
      <c r="B61" s="121"/>
      <c r="C61" s="121"/>
      <c r="D61" s="121"/>
      <c r="E61" s="121"/>
      <c r="F61" s="121"/>
      <c r="G61" s="121"/>
      <c r="H61" s="121"/>
      <c r="I61" s="121"/>
      <c r="J61" s="121"/>
      <c r="K61" s="121"/>
      <c r="L61" s="121"/>
      <c r="M61" s="121"/>
      <c r="N61" s="121"/>
      <c r="O61" s="121"/>
      <c r="P61" s="121"/>
      <c r="Q61" s="563"/>
      <c r="R61" s="969" t="s">
        <v>209</v>
      </c>
      <c r="S61" s="969"/>
      <c r="T61" s="969"/>
      <c r="U61" s="562">
        <f>(U56*$V$24)/$V$23</f>
        <v>160</v>
      </c>
      <c r="V61" s="670">
        <f>(V56*$V$24)/$V$23</f>
        <v>119.99999999999997</v>
      </c>
      <c r="W61" s="670">
        <f>(W56*$V$24)/$V$23</f>
        <v>104.3478260869565</v>
      </c>
      <c r="X61" s="670">
        <f>(X56*$V$24)/$V$23</f>
        <v>85.714285714285708</v>
      </c>
      <c r="Y61" s="361"/>
      <c r="Z61" s="364"/>
      <c r="AA61"/>
      <c r="AB61"/>
      <c r="AC61"/>
      <c r="AD61"/>
      <c r="AE61"/>
      <c r="AF61"/>
      <c r="AG61"/>
      <c r="AH61"/>
    </row>
    <row r="62" spans="1:34" ht="12.75" customHeight="1">
      <c r="A62" s="121"/>
      <c r="B62" s="121"/>
      <c r="C62" s="121"/>
      <c r="D62" s="121"/>
      <c r="E62" s="121"/>
      <c r="F62" s="121"/>
      <c r="G62" s="121"/>
      <c r="H62" s="121"/>
      <c r="I62" s="121"/>
      <c r="J62" s="121"/>
      <c r="K62" s="121"/>
      <c r="L62" s="121"/>
      <c r="M62" s="121"/>
      <c r="N62" s="121"/>
      <c r="O62" s="121"/>
      <c r="P62" s="121"/>
      <c r="Q62" s="563"/>
      <c r="R62" s="931" t="s">
        <v>212</v>
      </c>
      <c r="S62" s="931"/>
      <c r="T62" s="931"/>
      <c r="U62" s="537">
        <f>U61/60</f>
        <v>2.6666666666666665</v>
      </c>
      <c r="V62" s="557">
        <f>V61/60</f>
        <v>1.9999999999999996</v>
      </c>
      <c r="W62" s="557">
        <f>W61/60</f>
        <v>1.7391304347826084</v>
      </c>
      <c r="X62" s="557">
        <f>X61/60</f>
        <v>1.4285714285714284</v>
      </c>
      <c r="Y62" s="361"/>
      <c r="Z62" s="364"/>
      <c r="AA62"/>
      <c r="AB62"/>
      <c r="AC62"/>
      <c r="AD62"/>
      <c r="AE62"/>
      <c r="AF62"/>
      <c r="AG62"/>
      <c r="AH62"/>
    </row>
    <row r="63" spans="1:34" ht="12.75" customHeight="1">
      <c r="A63" s="121"/>
      <c r="B63" s="121"/>
      <c r="C63" s="121"/>
      <c r="D63" s="121"/>
      <c r="E63" s="121"/>
      <c r="F63" s="121"/>
      <c r="G63" s="121"/>
      <c r="H63" s="121"/>
      <c r="I63" s="121"/>
      <c r="J63" s="121"/>
      <c r="K63" s="121"/>
      <c r="L63" s="121"/>
      <c r="M63" s="121"/>
      <c r="N63" s="121"/>
      <c r="O63" s="121"/>
      <c r="P63" s="121"/>
      <c r="Q63" s="563"/>
      <c r="R63" s="363"/>
      <c r="S63" s="363"/>
      <c r="T63" s="363"/>
      <c r="U63" s="363"/>
      <c r="V63" s="363"/>
      <c r="W63" s="363"/>
      <c r="X63" s="363"/>
      <c r="Y63" s="363"/>
      <c r="Z63" s="364"/>
      <c r="AA63"/>
      <c r="AB63"/>
      <c r="AC63"/>
      <c r="AD63"/>
      <c r="AE63"/>
      <c r="AF63"/>
      <c r="AG63"/>
      <c r="AH63"/>
    </row>
    <row r="64" spans="1:34" ht="12.75" customHeight="1">
      <c r="A64" s="121"/>
      <c r="B64" s="121"/>
      <c r="C64" s="121"/>
      <c r="D64" s="121"/>
      <c r="E64" s="121"/>
      <c r="F64" s="121"/>
      <c r="G64" s="121"/>
      <c r="H64" s="121"/>
      <c r="I64" s="121"/>
      <c r="J64" s="121"/>
      <c r="K64" s="121"/>
      <c r="L64" s="121"/>
      <c r="M64" s="121"/>
      <c r="N64" s="121"/>
      <c r="O64" s="121"/>
      <c r="P64" s="121"/>
      <c r="Q64" s="388" t="s">
        <v>295</v>
      </c>
      <c r="R64" s="1015" t="s">
        <v>216</v>
      </c>
      <c r="S64" s="1015"/>
      <c r="T64" s="1015"/>
      <c r="U64" s="1015"/>
      <c r="V64" s="1015"/>
      <c r="W64" s="1015"/>
      <c r="X64" s="1015"/>
      <c r="Y64" s="1015"/>
      <c r="Z64" s="536"/>
      <c r="AA64"/>
      <c r="AB64"/>
      <c r="AC64"/>
      <c r="AD64"/>
      <c r="AE64"/>
      <c r="AF64"/>
      <c r="AG64"/>
      <c r="AH64"/>
    </row>
    <row r="65" spans="1:36" ht="12.75" customHeight="1">
      <c r="A65" s="121"/>
      <c r="B65" s="121"/>
      <c r="C65" s="121"/>
      <c r="D65" s="121"/>
      <c r="E65" s="121"/>
      <c r="F65" s="121"/>
      <c r="G65" s="121"/>
      <c r="H65" s="121"/>
      <c r="I65" s="121"/>
      <c r="J65" s="121"/>
      <c r="K65" s="121"/>
      <c r="L65" s="121"/>
      <c r="M65" s="121"/>
      <c r="N65" s="121"/>
      <c r="O65" s="121"/>
      <c r="P65" s="121"/>
      <c r="Q65" s="563"/>
      <c r="R65" s="363"/>
      <c r="S65" s="363"/>
      <c r="T65" s="363"/>
      <c r="U65" s="363"/>
      <c r="V65" s="363"/>
      <c r="W65" s="363"/>
      <c r="X65" s="363"/>
      <c r="Y65" s="363"/>
      <c r="Z65" s="364"/>
      <c r="AA65"/>
      <c r="AB65"/>
      <c r="AC65"/>
      <c r="AD65"/>
      <c r="AE65"/>
      <c r="AF65"/>
      <c r="AG65"/>
      <c r="AH65"/>
      <c r="AI65" s="23"/>
    </row>
    <row r="66" spans="1:36" ht="12.75" customHeight="1">
      <c r="A66" s="121"/>
      <c r="B66" s="121"/>
      <c r="C66" s="121"/>
      <c r="D66" s="121"/>
      <c r="E66" s="121"/>
      <c r="F66" s="121"/>
      <c r="G66" s="121"/>
      <c r="H66" s="121"/>
      <c r="I66" s="121"/>
      <c r="J66" s="121"/>
      <c r="K66" s="121"/>
      <c r="L66" s="121"/>
      <c r="M66" s="121"/>
      <c r="N66" s="121"/>
      <c r="O66" s="121"/>
      <c r="P66" s="121"/>
      <c r="Q66" s="360" t="s">
        <v>502</v>
      </c>
      <c r="R66" s="364" t="s">
        <v>527</v>
      </c>
      <c r="S66" s="364"/>
      <c r="T66" s="364"/>
      <c r="U66" s="555"/>
      <c r="V66" s="555"/>
      <c r="W66" s="555"/>
      <c r="X66" s="555"/>
      <c r="Y66" s="555"/>
      <c r="Z66" s="364"/>
      <c r="AA66"/>
      <c r="AB66"/>
      <c r="AC66"/>
      <c r="AD66"/>
      <c r="AE66"/>
      <c r="AF66"/>
      <c r="AG66"/>
      <c r="AH66"/>
      <c r="AJ66" s="17"/>
    </row>
    <row r="67" spans="1:36" ht="12.75" customHeight="1">
      <c r="A67" s="121"/>
      <c r="B67" s="121"/>
      <c r="C67" s="121"/>
      <c r="D67" s="121"/>
      <c r="E67" s="121"/>
      <c r="F67" s="121"/>
      <c r="G67" s="121"/>
      <c r="H67" s="121"/>
      <c r="I67" s="121"/>
      <c r="J67" s="121"/>
      <c r="K67" s="121"/>
      <c r="L67" s="121"/>
      <c r="M67" s="121"/>
      <c r="N67" s="121"/>
      <c r="O67" s="121"/>
      <c r="P67" s="121"/>
      <c r="Q67" s="360"/>
      <c r="R67" s="962" t="s">
        <v>678</v>
      </c>
      <c r="S67" s="963"/>
      <c r="T67" s="964"/>
      <c r="U67" s="949" t="s">
        <v>500</v>
      </c>
      <c r="V67" s="938" t="s">
        <v>22</v>
      </c>
      <c r="W67" s="940" t="s">
        <v>579</v>
      </c>
      <c r="X67" s="942" t="s">
        <v>21</v>
      </c>
      <c r="Y67" s="361"/>
      <c r="Z67" s="364"/>
      <c r="AA67"/>
      <c r="AB67"/>
      <c r="AC67"/>
      <c r="AD67"/>
      <c r="AE67"/>
      <c r="AF67"/>
      <c r="AG67"/>
      <c r="AH67"/>
      <c r="AJ67" s="17"/>
    </row>
    <row r="68" spans="1:36" ht="12.75" customHeight="1">
      <c r="A68" s="121"/>
      <c r="B68" s="121"/>
      <c r="C68" s="121"/>
      <c r="D68" s="121"/>
      <c r="E68" s="121"/>
      <c r="F68" s="121"/>
      <c r="G68" s="121"/>
      <c r="H68" s="121"/>
      <c r="I68" s="121"/>
      <c r="J68" s="121"/>
      <c r="K68" s="121"/>
      <c r="L68" s="121"/>
      <c r="M68" s="121"/>
      <c r="N68" s="121"/>
      <c r="O68" s="121"/>
      <c r="P68" s="121"/>
      <c r="Q68" s="360"/>
      <c r="R68" s="965"/>
      <c r="S68" s="966"/>
      <c r="T68" s="967"/>
      <c r="U68" s="950"/>
      <c r="V68" s="939"/>
      <c r="W68" s="941"/>
      <c r="X68" s="943"/>
      <c r="Y68" s="361"/>
      <c r="Z68" s="364"/>
      <c r="AA68"/>
      <c r="AB68"/>
      <c r="AC68"/>
      <c r="AD68"/>
      <c r="AE68"/>
      <c r="AF68"/>
      <c r="AG68"/>
      <c r="AH68"/>
      <c r="AJ68" s="17"/>
    </row>
    <row r="69" spans="1:36" ht="12.75" customHeight="1">
      <c r="A69" s="121"/>
      <c r="B69" s="121"/>
      <c r="C69" s="121"/>
      <c r="D69" s="121"/>
      <c r="E69" s="121"/>
      <c r="F69" s="121"/>
      <c r="G69" s="121"/>
      <c r="H69" s="121"/>
      <c r="I69" s="121"/>
      <c r="J69" s="121"/>
      <c r="K69" s="121"/>
      <c r="L69" s="121"/>
      <c r="M69" s="121"/>
      <c r="N69" s="121"/>
      <c r="O69" s="121"/>
      <c r="P69" s="121"/>
      <c r="Q69" s="360"/>
      <c r="R69" s="969" t="s">
        <v>63</v>
      </c>
      <c r="S69" s="969"/>
      <c r="T69" s="969"/>
      <c r="U69" s="369">
        <v>102</v>
      </c>
      <c r="V69" s="369">
        <f>VLOOKUP($V$5,'Lookup dBA'!$B$8:$E$208,3)</f>
        <v>108</v>
      </c>
      <c r="W69" s="369">
        <f>VLOOKUP($V$5,'Lookup dBA'!$B$8:$E$208,4)</f>
        <v>109</v>
      </c>
      <c r="X69" s="369">
        <f>VLOOKUP($V$5,'Lookup dBA'!$B$8:$E$208,2)</f>
        <v>116</v>
      </c>
      <c r="Y69" s="361"/>
      <c r="Z69" s="364"/>
      <c r="AA69"/>
      <c r="AB69"/>
      <c r="AC69"/>
      <c r="AD69"/>
      <c r="AE69"/>
      <c r="AF69"/>
      <c r="AG69"/>
      <c r="AH69"/>
      <c r="AJ69" s="32"/>
    </row>
    <row r="70" spans="1:36" ht="12.75" customHeight="1">
      <c r="A70" s="121"/>
      <c r="B70" s="121"/>
      <c r="C70" s="121"/>
      <c r="D70" s="121"/>
      <c r="E70" s="121"/>
      <c r="F70" s="121"/>
      <c r="G70" s="121"/>
      <c r="H70" s="121"/>
      <c r="I70" s="121"/>
      <c r="J70" s="121"/>
      <c r="K70" s="121"/>
      <c r="L70" s="121"/>
      <c r="M70" s="121"/>
      <c r="N70" s="121"/>
      <c r="O70" s="121"/>
      <c r="P70" s="121"/>
      <c r="Q70" s="360"/>
      <c r="R70" s="969" t="s">
        <v>64</v>
      </c>
      <c r="S70" s="969"/>
      <c r="T70" s="969"/>
      <c r="U70" s="369">
        <f>U69-PPE!$I$15</f>
        <v>89</v>
      </c>
      <c r="V70" s="369">
        <f>V69-PPE!$I$15</f>
        <v>95</v>
      </c>
      <c r="W70" s="369">
        <f>W69-PPE!$I$15</f>
        <v>96</v>
      </c>
      <c r="X70" s="369">
        <f>X69-PPE!$I$15</f>
        <v>103</v>
      </c>
      <c r="Y70" s="361"/>
      <c r="Z70" s="364"/>
      <c r="AA70"/>
      <c r="AB70"/>
      <c r="AC70"/>
      <c r="AD70"/>
      <c r="AE70"/>
      <c r="AF70"/>
      <c r="AG70"/>
      <c r="AH70"/>
      <c r="AJ70" s="32"/>
    </row>
    <row r="71" spans="1:36" ht="12.75" customHeight="1">
      <c r="A71" s="121"/>
      <c r="B71" s="121"/>
      <c r="C71" s="121"/>
      <c r="D71" s="121"/>
      <c r="E71" s="121"/>
      <c r="F71" s="121"/>
      <c r="G71" s="121"/>
      <c r="H71" s="121"/>
      <c r="I71" s="121"/>
      <c r="J71" s="121"/>
      <c r="K71" s="121"/>
      <c r="L71" s="121"/>
      <c r="M71" s="121"/>
      <c r="N71" s="121"/>
      <c r="O71" s="121"/>
      <c r="P71" s="121"/>
      <c r="Q71" s="360"/>
      <c r="R71" s="969" t="s">
        <v>529</v>
      </c>
      <c r="S71" s="969"/>
      <c r="T71" s="969"/>
      <c r="U71" s="369">
        <v>110</v>
      </c>
      <c r="V71" s="369">
        <v>110</v>
      </c>
      <c r="W71" s="369">
        <v>110</v>
      </c>
      <c r="X71" s="369">
        <v>110</v>
      </c>
      <c r="Y71" s="361"/>
      <c r="Z71" s="364"/>
      <c r="AA71"/>
      <c r="AB71"/>
      <c r="AC71"/>
      <c r="AD71"/>
      <c r="AE71"/>
      <c r="AF71"/>
      <c r="AG71"/>
      <c r="AH71"/>
      <c r="AJ71" s="32"/>
    </row>
    <row r="72" spans="1:36" ht="12.75" customHeight="1">
      <c r="A72" s="121"/>
      <c r="B72" s="121"/>
      <c r="C72" s="121"/>
      <c r="D72" s="121"/>
      <c r="E72" s="121"/>
      <c r="F72" s="121"/>
      <c r="G72" s="121"/>
      <c r="H72" s="121"/>
      <c r="I72" s="121"/>
      <c r="J72" s="121"/>
      <c r="K72" s="121"/>
      <c r="L72" s="121"/>
      <c r="M72" s="121"/>
      <c r="N72" s="121"/>
      <c r="O72" s="121"/>
      <c r="P72" s="121"/>
      <c r="Q72" s="360"/>
      <c r="R72" s="363"/>
      <c r="S72" s="363"/>
      <c r="T72" s="363"/>
      <c r="U72" s="363"/>
      <c r="V72" s="363"/>
      <c r="W72" s="363"/>
      <c r="X72" s="363"/>
      <c r="Y72" s="555"/>
      <c r="Z72" s="364"/>
      <c r="AA72"/>
      <c r="AB72"/>
      <c r="AC72"/>
      <c r="AD72"/>
      <c r="AE72"/>
      <c r="AF72"/>
      <c r="AG72"/>
      <c r="AH72"/>
      <c r="AJ72" s="17"/>
    </row>
    <row r="73" spans="1:36" ht="12.75" customHeight="1">
      <c r="A73" s="121"/>
      <c r="B73" s="121"/>
      <c r="C73" s="121"/>
      <c r="D73" s="121"/>
      <c r="E73" s="121"/>
      <c r="F73" s="121"/>
      <c r="G73" s="121"/>
      <c r="H73" s="121"/>
      <c r="I73" s="121"/>
      <c r="J73" s="121"/>
      <c r="K73" s="121"/>
      <c r="L73" s="121"/>
      <c r="M73" s="121"/>
      <c r="N73" s="121"/>
      <c r="O73" s="121"/>
      <c r="P73" s="121"/>
      <c r="Q73" s="360" t="s">
        <v>503</v>
      </c>
      <c r="R73" s="364" t="s">
        <v>528</v>
      </c>
      <c r="S73" s="364"/>
      <c r="T73" s="364"/>
      <c r="U73" s="555"/>
      <c r="V73" s="555"/>
      <c r="W73" s="555"/>
      <c r="X73" s="555"/>
      <c r="Y73" s="555"/>
      <c r="Z73" s="364"/>
      <c r="AA73"/>
      <c r="AB73"/>
      <c r="AC73"/>
      <c r="AD73"/>
      <c r="AE73"/>
      <c r="AF73"/>
      <c r="AG73"/>
      <c r="AH73"/>
      <c r="AJ73" s="17"/>
    </row>
    <row r="74" spans="1:36" ht="12.75" customHeight="1">
      <c r="A74" s="121"/>
      <c r="B74" s="121"/>
      <c r="C74" s="121"/>
      <c r="D74" s="121"/>
      <c r="E74" s="121"/>
      <c r="F74" s="121"/>
      <c r="G74" s="121"/>
      <c r="H74" s="121"/>
      <c r="I74" s="121"/>
      <c r="J74" s="121"/>
      <c r="K74" s="121"/>
      <c r="L74" s="121"/>
      <c r="M74" s="121"/>
      <c r="N74" s="121"/>
      <c r="O74" s="121"/>
      <c r="P74" s="121"/>
      <c r="Q74" s="360"/>
      <c r="R74" s="935" t="s">
        <v>678</v>
      </c>
      <c r="S74" s="935"/>
      <c r="T74" s="935"/>
      <c r="U74" s="930" t="s">
        <v>500</v>
      </c>
      <c r="V74" s="928" t="s">
        <v>22</v>
      </c>
      <c r="W74" s="929" t="s">
        <v>579</v>
      </c>
      <c r="X74" s="927" t="s">
        <v>21</v>
      </c>
      <c r="Y74" s="361"/>
      <c r="Z74" s="364"/>
      <c r="AA74"/>
      <c r="AB74"/>
      <c r="AC74"/>
      <c r="AD74"/>
      <c r="AE74"/>
      <c r="AF74"/>
      <c r="AG74"/>
      <c r="AH74"/>
      <c r="AJ74" s="17"/>
    </row>
    <row r="75" spans="1:36" ht="12.75" customHeight="1">
      <c r="A75" s="121"/>
      <c r="B75" s="121"/>
      <c r="C75" s="121"/>
      <c r="D75" s="121"/>
      <c r="E75" s="121"/>
      <c r="F75" s="121"/>
      <c r="G75" s="121"/>
      <c r="H75" s="121"/>
      <c r="I75" s="121"/>
      <c r="J75" s="121"/>
      <c r="K75" s="121"/>
      <c r="L75" s="121"/>
      <c r="M75" s="121"/>
      <c r="N75" s="121"/>
      <c r="O75" s="121"/>
      <c r="P75" s="121"/>
      <c r="Q75" s="360"/>
      <c r="R75" s="935"/>
      <c r="S75" s="935"/>
      <c r="T75" s="935"/>
      <c r="U75" s="930"/>
      <c r="V75" s="928"/>
      <c r="W75" s="929"/>
      <c r="X75" s="927"/>
      <c r="Y75" s="361"/>
      <c r="Z75" s="364"/>
      <c r="AA75"/>
      <c r="AB75"/>
      <c r="AC75"/>
      <c r="AD75"/>
      <c r="AE75"/>
      <c r="AF75"/>
      <c r="AG75"/>
      <c r="AH75"/>
      <c r="AJ75" s="17"/>
    </row>
    <row r="76" spans="1:36" ht="12.75" customHeight="1">
      <c r="A76" s="121"/>
      <c r="B76" s="121"/>
      <c r="C76" s="121"/>
      <c r="D76" s="121"/>
      <c r="E76" s="121"/>
      <c r="F76" s="121"/>
      <c r="G76" s="121"/>
      <c r="H76" s="121"/>
      <c r="I76" s="121"/>
      <c r="J76" s="121"/>
      <c r="K76" s="121"/>
      <c r="L76" s="121"/>
      <c r="M76" s="121"/>
      <c r="N76" s="121"/>
      <c r="O76" s="121"/>
      <c r="P76" s="121"/>
      <c r="Q76" s="360"/>
      <c r="R76" s="969" t="s">
        <v>63</v>
      </c>
      <c r="S76" s="969"/>
      <c r="T76" s="969"/>
      <c r="U76" s="369">
        <f>VLOOKUP($V$21,$R$309:$Z$314,5)</f>
        <v>108.02059991327964</v>
      </c>
      <c r="V76" s="369">
        <f>VLOOKUP($V$21,$R$309:$Z$314,3)</f>
        <v>114.02059991327963</v>
      </c>
      <c r="W76" s="369">
        <f>VLOOKUP($V$21,$R$309:$Z$314,4)</f>
        <v>115.02059991327963</v>
      </c>
      <c r="X76" s="369">
        <f>VLOOKUP($V$21,$R$309:$Z$314,2)</f>
        <v>122.02059991327964</v>
      </c>
      <c r="Y76" s="361"/>
      <c r="Z76" s="364"/>
      <c r="AA76"/>
      <c r="AB76"/>
      <c r="AC76"/>
      <c r="AD76"/>
      <c r="AE76"/>
      <c r="AF76"/>
      <c r="AG76"/>
      <c r="AH76"/>
      <c r="AJ76" s="17"/>
    </row>
    <row r="77" spans="1:36" ht="12.75" customHeight="1">
      <c r="Q77" s="360"/>
      <c r="R77" s="969" t="s">
        <v>64</v>
      </c>
      <c r="S77" s="969"/>
      <c r="T77" s="969"/>
      <c r="U77" s="369">
        <f>U76-PPE!$I$15</f>
        <v>95.020599913279639</v>
      </c>
      <c r="V77" s="369">
        <f>V76-PPE!$I$15</f>
        <v>101.02059991327963</v>
      </c>
      <c r="W77" s="369">
        <f>W76-PPE!$I$15</f>
        <v>102.02059991327963</v>
      </c>
      <c r="X77" s="369">
        <f>X76-PPE!$I$15</f>
        <v>109.02059991327964</v>
      </c>
      <c r="Y77" s="361"/>
      <c r="Z77" s="364"/>
      <c r="AA77"/>
      <c r="AB77"/>
      <c r="AC77"/>
      <c r="AD77"/>
      <c r="AE77"/>
      <c r="AF77"/>
      <c r="AG77"/>
      <c r="AH77"/>
      <c r="AJ77" s="17"/>
    </row>
    <row r="78" spans="1:36" ht="12.75" customHeight="1">
      <c r="Q78" s="360"/>
      <c r="R78" s="969" t="s">
        <v>529</v>
      </c>
      <c r="S78" s="969"/>
      <c r="T78" s="969"/>
      <c r="U78" s="369">
        <v>110</v>
      </c>
      <c r="V78" s="369">
        <v>110</v>
      </c>
      <c r="W78" s="369">
        <v>110</v>
      </c>
      <c r="X78" s="369">
        <v>110</v>
      </c>
      <c r="Y78" s="361"/>
      <c r="Z78" s="364"/>
      <c r="AA78"/>
      <c r="AB78"/>
      <c r="AC78"/>
      <c r="AD78"/>
      <c r="AE78"/>
      <c r="AF78"/>
      <c r="AG78"/>
      <c r="AH78"/>
      <c r="AJ78" s="17"/>
    </row>
    <row r="79" spans="1:36" ht="12.75" customHeight="1">
      <c r="Q79" s="360"/>
      <c r="R79" s="364"/>
      <c r="S79" s="364"/>
      <c r="T79" s="364"/>
      <c r="U79" s="555"/>
      <c r="V79" s="555"/>
      <c r="W79" s="555"/>
      <c r="X79" s="555"/>
      <c r="Y79" s="555"/>
      <c r="Z79" s="364"/>
      <c r="AA79"/>
      <c r="AB79"/>
      <c r="AC79"/>
      <c r="AD79"/>
      <c r="AE79"/>
      <c r="AF79"/>
      <c r="AG79"/>
      <c r="AH79"/>
      <c r="AJ79" s="17"/>
    </row>
    <row r="80" spans="1:36" ht="12.75" customHeight="1">
      <c r="Q80" s="385" t="s">
        <v>305</v>
      </c>
      <c r="R80" s="1008" t="s">
        <v>218</v>
      </c>
      <c r="S80" s="1008"/>
      <c r="T80" s="1008"/>
      <c r="U80" s="1008"/>
      <c r="V80" s="1008"/>
      <c r="W80" s="1008"/>
      <c r="X80" s="1008"/>
      <c r="Y80" s="1008"/>
      <c r="Z80" s="536"/>
      <c r="AA80"/>
      <c r="AB80"/>
      <c r="AC80"/>
      <c r="AD80"/>
      <c r="AE80"/>
      <c r="AF80"/>
      <c r="AG80"/>
      <c r="AH80"/>
      <c r="AJ80" s="43"/>
    </row>
    <row r="81" spans="17:36" ht="12.75" customHeight="1">
      <c r="Q81" s="546"/>
      <c r="R81" s="363"/>
      <c r="S81" s="363"/>
      <c r="T81" s="363"/>
      <c r="U81" s="363"/>
      <c r="V81" s="363"/>
      <c r="W81" s="363"/>
      <c r="X81" s="363"/>
      <c r="Y81" s="363"/>
      <c r="Z81" s="364"/>
      <c r="AA81"/>
      <c r="AB81"/>
      <c r="AC81"/>
      <c r="AD81"/>
      <c r="AE81"/>
      <c r="AF81"/>
      <c r="AG81"/>
      <c r="AH81"/>
      <c r="AJ81" s="43"/>
    </row>
    <row r="82" spans="17:36" ht="12.75" customHeight="1">
      <c r="Q82" s="546"/>
      <c r="R82" s="363" t="s">
        <v>436</v>
      </c>
      <c r="S82" s="363"/>
      <c r="T82" s="363"/>
      <c r="U82" s="363"/>
      <c r="V82" s="363"/>
      <c r="W82" s="363"/>
      <c r="X82" s="363"/>
      <c r="Y82" s="363"/>
      <c r="Z82" s="364"/>
      <c r="AA82"/>
      <c r="AB82"/>
      <c r="AC82"/>
      <c r="AD82"/>
      <c r="AE82"/>
      <c r="AF82"/>
      <c r="AG82"/>
      <c r="AH82"/>
      <c r="AJ82" s="43"/>
    </row>
    <row r="83" spans="17:36" ht="12.75" customHeight="1">
      <c r="Q83" s="360"/>
      <c r="R83" s="935" t="s">
        <v>678</v>
      </c>
      <c r="S83" s="935"/>
      <c r="T83" s="935"/>
      <c r="U83" s="949" t="s">
        <v>500</v>
      </c>
      <c r="V83" s="1011" t="s">
        <v>22</v>
      </c>
      <c r="W83" s="1013" t="s">
        <v>579</v>
      </c>
      <c r="X83" s="1009" t="s">
        <v>21</v>
      </c>
      <c r="Y83" s="361"/>
      <c r="Z83" s="364"/>
      <c r="AA83"/>
      <c r="AB83"/>
      <c r="AC83"/>
      <c r="AD83"/>
      <c r="AE83"/>
      <c r="AF83"/>
      <c r="AG83"/>
      <c r="AH83"/>
    </row>
    <row r="84" spans="17:36" ht="12.75" customHeight="1">
      <c r="Q84" s="360"/>
      <c r="R84" s="935"/>
      <c r="S84" s="935"/>
      <c r="T84" s="935"/>
      <c r="U84" s="950"/>
      <c r="V84" s="1012"/>
      <c r="W84" s="1014"/>
      <c r="X84" s="1010"/>
      <c r="Y84" s="361"/>
      <c r="Z84" s="364"/>
      <c r="AA84"/>
      <c r="AB84"/>
      <c r="AC84"/>
      <c r="AD84"/>
      <c r="AE84"/>
      <c r="AF84"/>
      <c r="AG84"/>
      <c r="AH84"/>
    </row>
    <row r="85" spans="17:36" ht="12.75" customHeight="1">
      <c r="Q85" s="360"/>
      <c r="R85" s="969" t="s">
        <v>63</v>
      </c>
      <c r="S85" s="969"/>
      <c r="T85" s="969"/>
      <c r="U85" s="369">
        <f>U414</f>
        <v>97.15</v>
      </c>
      <c r="V85" s="369">
        <f>U356</f>
        <v>101.95</v>
      </c>
      <c r="W85" s="369">
        <f>U385</f>
        <v>102.4</v>
      </c>
      <c r="X85" s="369">
        <f>U327</f>
        <v>108.5</v>
      </c>
      <c r="Y85" s="361"/>
      <c r="Z85" s="364"/>
      <c r="AA85"/>
      <c r="AB85"/>
      <c r="AC85"/>
      <c r="AD85"/>
      <c r="AE85"/>
      <c r="AF85"/>
      <c r="AG85"/>
      <c r="AH85"/>
    </row>
    <row r="86" spans="17:36" ht="12.75" customHeight="1">
      <c r="Q86" s="360"/>
      <c r="R86" s="969" t="s">
        <v>64</v>
      </c>
      <c r="S86" s="969"/>
      <c r="T86" s="969"/>
      <c r="U86" s="369">
        <f>U427</f>
        <v>84.15</v>
      </c>
      <c r="V86" s="369">
        <f>U369</f>
        <v>88.95</v>
      </c>
      <c r="W86" s="369">
        <f>U398</f>
        <v>89.3</v>
      </c>
      <c r="X86" s="369">
        <f>U340</f>
        <v>95.55</v>
      </c>
      <c r="Y86" s="361"/>
      <c r="Z86" s="364"/>
      <c r="AA86"/>
      <c r="AB86"/>
      <c r="AC86"/>
      <c r="AD86"/>
      <c r="AE86"/>
      <c r="AF86"/>
      <c r="AG86"/>
      <c r="AH86"/>
    </row>
    <row r="87" spans="17:36" ht="12.75" customHeight="1">
      <c r="Q87" s="360"/>
      <c r="R87" s="969" t="s">
        <v>530</v>
      </c>
      <c r="S87" s="969"/>
      <c r="T87" s="969"/>
      <c r="U87" s="369">
        <v>85</v>
      </c>
      <c r="V87" s="369">
        <v>85</v>
      </c>
      <c r="W87" s="369">
        <v>85</v>
      </c>
      <c r="X87" s="369">
        <v>85</v>
      </c>
      <c r="Y87" s="361"/>
      <c r="Z87" s="364"/>
      <c r="AA87"/>
      <c r="AB87"/>
      <c r="AC87"/>
      <c r="AD87"/>
      <c r="AE87"/>
      <c r="AF87"/>
      <c r="AG87"/>
      <c r="AH87"/>
    </row>
    <row r="88" spans="17:36" ht="12.75" customHeight="1">
      <c r="Q88" s="360"/>
      <c r="R88" s="363"/>
      <c r="S88" s="363"/>
      <c r="T88" s="363"/>
      <c r="U88" s="363"/>
      <c r="V88" s="363"/>
      <c r="W88" s="363"/>
      <c r="X88" s="363"/>
      <c r="Y88" s="363"/>
      <c r="Z88" s="364"/>
      <c r="AA88"/>
      <c r="AB88"/>
      <c r="AC88"/>
      <c r="AD88"/>
      <c r="AE88"/>
      <c r="AF88"/>
      <c r="AG88"/>
      <c r="AH88"/>
    </row>
    <row r="89" spans="17:36" ht="12.75" customHeight="1">
      <c r="Q89" s="360"/>
      <c r="R89" s="363" t="s">
        <v>437</v>
      </c>
      <c r="S89" s="363"/>
      <c r="T89" s="363"/>
      <c r="U89" s="363"/>
      <c r="V89" s="363"/>
      <c r="W89" s="363"/>
      <c r="X89" s="363"/>
      <c r="Y89" s="363"/>
      <c r="Z89" s="364"/>
      <c r="AA89"/>
      <c r="AB89"/>
      <c r="AC89"/>
      <c r="AD89"/>
      <c r="AE89"/>
      <c r="AF89"/>
      <c r="AG89"/>
      <c r="AH89"/>
    </row>
    <row r="90" spans="17:36" ht="12.75" customHeight="1">
      <c r="Q90" s="360"/>
      <c r="R90" s="935" t="s">
        <v>678</v>
      </c>
      <c r="S90" s="935"/>
      <c r="T90" s="935"/>
      <c r="U90" s="949" t="s">
        <v>500</v>
      </c>
      <c r="V90" s="1011" t="s">
        <v>22</v>
      </c>
      <c r="W90" s="1013" t="s">
        <v>579</v>
      </c>
      <c r="X90" s="1009" t="s">
        <v>21</v>
      </c>
      <c r="Y90" s="361"/>
      <c r="Z90" s="364"/>
      <c r="AA90"/>
      <c r="AB90"/>
      <c r="AC90"/>
      <c r="AD90"/>
      <c r="AE90"/>
      <c r="AF90"/>
      <c r="AG90"/>
      <c r="AH90"/>
    </row>
    <row r="91" spans="17:36" ht="12.75" customHeight="1">
      <c r="Q91" s="360"/>
      <c r="R91" s="935"/>
      <c r="S91" s="935"/>
      <c r="T91" s="935"/>
      <c r="U91" s="950"/>
      <c r="V91" s="1012"/>
      <c r="W91" s="1014"/>
      <c r="X91" s="1010"/>
      <c r="Y91" s="361"/>
      <c r="Z91" s="364"/>
      <c r="AA91"/>
      <c r="AB91"/>
      <c r="AC91"/>
      <c r="AD91"/>
      <c r="AE91"/>
      <c r="AF91"/>
      <c r="AG91"/>
      <c r="AH91"/>
    </row>
    <row r="92" spans="17:36" ht="12.75" customHeight="1">
      <c r="Q92" s="360"/>
      <c r="R92" s="969" t="s">
        <v>63</v>
      </c>
      <c r="S92" s="969"/>
      <c r="T92" s="969"/>
      <c r="U92" s="369">
        <f>U533</f>
        <v>103.15</v>
      </c>
      <c r="V92" s="369">
        <f>U475</f>
        <v>107.95</v>
      </c>
      <c r="W92" s="369">
        <f>U504</f>
        <v>108.4</v>
      </c>
      <c r="X92" s="369">
        <f>U446</f>
        <v>113.95</v>
      </c>
      <c r="Y92" s="361"/>
      <c r="Z92" s="364"/>
      <c r="AA92"/>
      <c r="AB92"/>
      <c r="AC92"/>
      <c r="AD92"/>
      <c r="AE92"/>
      <c r="AF92"/>
      <c r="AG92"/>
      <c r="AH92"/>
    </row>
    <row r="93" spans="17:36" ht="12.75" customHeight="1">
      <c r="Q93" s="360"/>
      <c r="R93" s="969" t="s">
        <v>64</v>
      </c>
      <c r="S93" s="969"/>
      <c r="T93" s="969"/>
      <c r="U93" s="369">
        <f>U546</f>
        <v>90.15</v>
      </c>
      <c r="V93" s="369">
        <f>U488</f>
        <v>94.95</v>
      </c>
      <c r="W93" s="369">
        <f>U517</f>
        <v>95.3</v>
      </c>
      <c r="X93" s="369">
        <f>U459</f>
        <v>101.55</v>
      </c>
      <c r="Y93" s="361"/>
      <c r="Z93" s="364"/>
      <c r="AA93"/>
      <c r="AB93"/>
      <c r="AC93"/>
      <c r="AD93"/>
      <c r="AE93"/>
      <c r="AF93"/>
      <c r="AG93"/>
      <c r="AH93"/>
    </row>
    <row r="94" spans="17:36" ht="12.75" customHeight="1">
      <c r="Q94" s="360"/>
      <c r="R94" s="969" t="s">
        <v>530</v>
      </c>
      <c r="S94" s="969"/>
      <c r="T94" s="969"/>
      <c r="U94" s="369">
        <v>85</v>
      </c>
      <c r="V94" s="369">
        <v>85</v>
      </c>
      <c r="W94" s="369">
        <v>85</v>
      </c>
      <c r="X94" s="369">
        <v>85</v>
      </c>
      <c r="Y94" s="361"/>
      <c r="Z94" s="364"/>
      <c r="AA94"/>
      <c r="AB94"/>
      <c r="AC94"/>
      <c r="AD94"/>
      <c r="AE94"/>
      <c r="AF94"/>
      <c r="AG94"/>
      <c r="AH94"/>
    </row>
    <row r="95" spans="17:36" ht="12.75" customHeight="1">
      <c r="Q95" s="360"/>
      <c r="R95" s="363"/>
      <c r="S95" s="363"/>
      <c r="T95" s="363"/>
      <c r="U95" s="363"/>
      <c r="V95" s="363"/>
      <c r="W95" s="363"/>
      <c r="X95" s="363"/>
      <c r="Y95" s="363"/>
      <c r="Z95" s="364"/>
      <c r="AA95"/>
      <c r="AB95"/>
      <c r="AC95"/>
      <c r="AD95"/>
      <c r="AE95"/>
      <c r="AF95"/>
      <c r="AG95"/>
      <c r="AH95"/>
    </row>
    <row r="96" spans="17:36" s="133" customFormat="1" ht="12.75" customHeight="1">
      <c r="Q96" s="385" t="s">
        <v>222</v>
      </c>
      <c r="R96" s="1008" t="s">
        <v>504</v>
      </c>
      <c r="S96" s="1008"/>
      <c r="T96" s="1008"/>
      <c r="U96" s="1008"/>
      <c r="V96" s="1008"/>
      <c r="W96" s="1008"/>
      <c r="X96" s="1008"/>
      <c r="Y96" s="1008"/>
      <c r="Z96" s="547"/>
      <c r="AA96"/>
      <c r="AB96"/>
      <c r="AC96"/>
      <c r="AD96"/>
      <c r="AE96"/>
      <c r="AF96"/>
      <c r="AG96"/>
      <c r="AH96"/>
    </row>
    <row r="97" spans="17:34" ht="12.75" customHeight="1">
      <c r="Q97" s="360"/>
      <c r="R97" s="363"/>
      <c r="S97" s="363"/>
      <c r="T97" s="363"/>
      <c r="U97" s="363"/>
      <c r="V97" s="363"/>
      <c r="W97" s="363"/>
      <c r="X97" s="363"/>
      <c r="Y97" s="363"/>
      <c r="Z97" s="364"/>
      <c r="AA97"/>
      <c r="AB97"/>
      <c r="AC97"/>
      <c r="AD97"/>
      <c r="AE97"/>
      <c r="AF97"/>
      <c r="AG97"/>
      <c r="AH97"/>
    </row>
    <row r="98" spans="17:34" ht="12.75" customHeight="1">
      <c r="Q98" s="360" t="s">
        <v>505</v>
      </c>
      <c r="R98" s="363" t="s">
        <v>514</v>
      </c>
      <c r="S98" s="363"/>
      <c r="T98" s="363"/>
      <c r="U98" s="363"/>
      <c r="V98" s="363"/>
      <c r="W98" s="363"/>
      <c r="X98" s="363"/>
      <c r="Y98" s="363"/>
      <c r="Z98" s="364"/>
      <c r="AA98"/>
      <c r="AB98"/>
      <c r="AC98"/>
      <c r="AD98"/>
      <c r="AE98"/>
      <c r="AF98"/>
      <c r="AG98"/>
      <c r="AH98"/>
    </row>
    <row r="99" spans="17:34" ht="12.75" customHeight="1">
      <c r="Q99" s="360"/>
      <c r="R99" s="363" t="s">
        <v>512</v>
      </c>
      <c r="S99" s="363"/>
      <c r="T99" s="363"/>
      <c r="U99" s="363"/>
      <c r="V99" s="363"/>
      <c r="W99" s="363"/>
      <c r="X99" s="363"/>
      <c r="Y99" s="363"/>
      <c r="Z99" s="364"/>
      <c r="AA99"/>
      <c r="AB99"/>
      <c r="AC99"/>
      <c r="AD99"/>
      <c r="AE99"/>
      <c r="AF99"/>
      <c r="AG99"/>
      <c r="AH99"/>
    </row>
    <row r="100" spans="17:34" ht="12.75" customHeight="1">
      <c r="Q100" s="360"/>
      <c r="R100" s="998" t="s">
        <v>191</v>
      </c>
      <c r="S100" s="999"/>
      <c r="T100" s="1000"/>
      <c r="U100" s="949" t="s">
        <v>500</v>
      </c>
      <c r="V100" s="938" t="s">
        <v>22</v>
      </c>
      <c r="W100" s="940" t="s">
        <v>579</v>
      </c>
      <c r="X100" s="942" t="s">
        <v>21</v>
      </c>
      <c r="Y100" s="361"/>
      <c r="Z100" s="364"/>
      <c r="AA100"/>
      <c r="AB100"/>
      <c r="AC100"/>
      <c r="AD100"/>
      <c r="AE100"/>
      <c r="AF100"/>
      <c r="AG100"/>
      <c r="AH100"/>
    </row>
    <row r="101" spans="17:34" ht="12.75" customHeight="1">
      <c r="Q101" s="360"/>
      <c r="R101" s="1001"/>
      <c r="S101" s="1002"/>
      <c r="T101" s="1003"/>
      <c r="U101" s="950"/>
      <c r="V101" s="939"/>
      <c r="W101" s="941"/>
      <c r="X101" s="943"/>
      <c r="Y101" s="361"/>
      <c r="Z101" s="364"/>
      <c r="AA101"/>
      <c r="AB101"/>
      <c r="AC101"/>
      <c r="AD101"/>
      <c r="AE101"/>
      <c r="AF101"/>
      <c r="AG101"/>
      <c r="AH101"/>
    </row>
    <row r="102" spans="17:34" ht="12.75" customHeight="1">
      <c r="Q102" s="360"/>
      <c r="R102" s="969" t="s">
        <v>63</v>
      </c>
      <c r="S102" s="969"/>
      <c r="T102" s="969"/>
      <c r="U102" s="537">
        <f>VLOOKUP(U69,'Lookup Exposure Time'!$B$12:$C$732,2)</f>
        <v>10</v>
      </c>
      <c r="V102" s="537">
        <f>VLOOKUP(V69,'Lookup Exposure Time'!$B$12:$C$732,2)</f>
        <v>2.5</v>
      </c>
      <c r="W102" s="537">
        <f>VLOOKUP(W69,'Lookup Exposure Time'!$B$12:$C$732,2)</f>
        <v>1.875</v>
      </c>
      <c r="X102" s="537">
        <f>VLOOKUP(X69,'Lookup Exposure Time'!$B$12:$C$732,2)</f>
        <v>0.39061999999999986</v>
      </c>
      <c r="Y102" s="361"/>
      <c r="Z102" s="364"/>
      <c r="AA102"/>
      <c r="AB102"/>
      <c r="AC102"/>
      <c r="AD102"/>
      <c r="AE102"/>
      <c r="AF102"/>
      <c r="AG102"/>
      <c r="AH102"/>
    </row>
    <row r="103" spans="17:34" ht="12.75" customHeight="1">
      <c r="Q103" s="360"/>
      <c r="R103" s="969" t="s">
        <v>64</v>
      </c>
      <c r="S103" s="969"/>
      <c r="T103" s="969"/>
      <c r="U103" s="537">
        <f>VLOOKUP(U70,'Lookup Exposure Time'!$B$12:$C$732,2)</f>
        <v>200</v>
      </c>
      <c r="V103" s="537">
        <f>VLOOKUP(V70,'Lookup Exposure Time'!$B$12:$C$732,2)</f>
        <v>50</v>
      </c>
      <c r="W103" s="537">
        <f>VLOOKUP(W70,'Lookup Exposure Time'!$B$12:$C$732,2)</f>
        <v>40</v>
      </c>
      <c r="X103" s="537">
        <f>VLOOKUP(X70,'Lookup Exposure Time'!$B$12:$C$732,2)</f>
        <v>7.5</v>
      </c>
      <c r="Y103" s="361"/>
      <c r="Z103" s="364"/>
      <c r="AA103"/>
      <c r="AB103"/>
      <c r="AC103"/>
      <c r="AD103"/>
      <c r="AE103"/>
      <c r="AF103"/>
      <c r="AG103"/>
      <c r="AH103"/>
    </row>
    <row r="104" spans="17:34" ht="12.75" customHeight="1">
      <c r="Q104" s="360"/>
      <c r="R104" s="364"/>
      <c r="S104" s="364"/>
      <c r="T104" s="364"/>
      <c r="U104" s="364"/>
      <c r="V104" s="364"/>
      <c r="W104" s="364"/>
      <c r="X104" s="364"/>
      <c r="Y104" s="363"/>
      <c r="Z104" s="364"/>
      <c r="AA104"/>
      <c r="AB104"/>
      <c r="AC104"/>
      <c r="AD104"/>
      <c r="AE104"/>
      <c r="AF104"/>
      <c r="AG104"/>
      <c r="AH104"/>
    </row>
    <row r="105" spans="17:34" ht="12.75" customHeight="1">
      <c r="Q105" s="360" t="s">
        <v>507</v>
      </c>
      <c r="R105" s="363" t="s">
        <v>513</v>
      </c>
      <c r="S105" s="363"/>
      <c r="T105" s="363"/>
      <c r="U105" s="363"/>
      <c r="V105" s="363"/>
      <c r="W105" s="363"/>
      <c r="X105" s="363"/>
      <c r="Y105" s="363"/>
      <c r="Z105" s="364"/>
      <c r="AA105"/>
      <c r="AB105"/>
      <c r="AC105"/>
      <c r="AD105"/>
      <c r="AE105"/>
      <c r="AF105"/>
      <c r="AG105"/>
      <c r="AH105"/>
    </row>
    <row r="106" spans="17:34" ht="12.75" customHeight="1">
      <c r="Q106" s="360"/>
      <c r="R106" s="998" t="s">
        <v>191</v>
      </c>
      <c r="S106" s="999"/>
      <c r="T106" s="1000"/>
      <c r="U106" s="949" t="s">
        <v>500</v>
      </c>
      <c r="V106" s="938" t="s">
        <v>22</v>
      </c>
      <c r="W106" s="940" t="s">
        <v>579</v>
      </c>
      <c r="X106" s="942" t="s">
        <v>21</v>
      </c>
      <c r="Y106" s="361"/>
      <c r="Z106" s="364"/>
      <c r="AA106"/>
      <c r="AB106"/>
      <c r="AC106"/>
      <c r="AD106"/>
      <c r="AE106"/>
      <c r="AF106"/>
      <c r="AG106"/>
      <c r="AH106"/>
    </row>
    <row r="107" spans="17:34" ht="12.75" customHeight="1">
      <c r="Q107" s="360"/>
      <c r="R107" s="1001"/>
      <c r="S107" s="1002"/>
      <c r="T107" s="1003"/>
      <c r="U107" s="950"/>
      <c r="V107" s="939"/>
      <c r="W107" s="941"/>
      <c r="X107" s="943"/>
      <c r="Y107" s="361"/>
      <c r="Z107" s="364"/>
      <c r="AA107"/>
      <c r="AB107"/>
      <c r="AC107"/>
      <c r="AD107"/>
      <c r="AE107"/>
      <c r="AF107"/>
      <c r="AG107"/>
      <c r="AH107"/>
    </row>
    <row r="108" spans="17:34" ht="12.75" customHeight="1">
      <c r="Q108" s="360"/>
      <c r="R108" s="969" t="s">
        <v>63</v>
      </c>
      <c r="S108" s="969"/>
      <c r="T108" s="969"/>
      <c r="U108" s="671">
        <f>VLOOKUP(U76,'Lookup Exposure Time'!$B$12:$C$732,2)</f>
        <v>2.5</v>
      </c>
      <c r="V108" s="671">
        <f>VLOOKUP(V76,'Lookup Exposure Time'!$B$12:$C$732,2)</f>
        <v>0.625</v>
      </c>
      <c r="W108" s="671">
        <f>VLOOKUP(W76,'Lookup Exposure Time'!$B$12:$C$732,2)</f>
        <v>0.46875</v>
      </c>
      <c r="X108" s="671">
        <f>VLOOKUP(X76,'Lookup Exposure Time'!$B$12:$C$732,2)</f>
        <v>9.765625E-2</v>
      </c>
      <c r="Y108" s="361"/>
      <c r="Z108" s="364"/>
      <c r="AA108"/>
      <c r="AB108"/>
      <c r="AC108"/>
      <c r="AD108"/>
      <c r="AE108"/>
      <c r="AF108"/>
      <c r="AG108"/>
      <c r="AH108"/>
    </row>
    <row r="109" spans="17:34" ht="12.75" customHeight="1">
      <c r="Q109" s="360"/>
      <c r="R109" s="969" t="s">
        <v>64</v>
      </c>
      <c r="S109" s="969"/>
      <c r="T109" s="969"/>
      <c r="U109" s="557">
        <f>VLOOKUP(U77,'Lookup Exposure Time'!$B$12:$C$732,2)</f>
        <v>50</v>
      </c>
      <c r="V109" s="557">
        <f>VLOOKUP(V77,'Lookup Exposure Time'!$B$12:$C$732,2)</f>
        <v>12.5</v>
      </c>
      <c r="W109" s="557">
        <f>VLOOKUP(W77,'Lookup Exposure Time'!$B$12:$C$732,2)</f>
        <v>10</v>
      </c>
      <c r="X109" s="557">
        <f>VLOOKUP(X77,'Lookup Exposure Time'!$B$12:$C$732,2)</f>
        <v>1.875</v>
      </c>
      <c r="Y109" s="361"/>
      <c r="Z109" s="364"/>
      <c r="AA109"/>
      <c r="AB109"/>
      <c r="AC109"/>
      <c r="AD109"/>
      <c r="AE109"/>
      <c r="AF109"/>
      <c r="AG109"/>
      <c r="AH109"/>
    </row>
    <row r="110" spans="17:34" ht="12.75" customHeight="1">
      <c r="Q110" s="360"/>
      <c r="R110" s="363"/>
      <c r="S110" s="363"/>
      <c r="T110" s="363"/>
      <c r="U110" s="363"/>
      <c r="V110" s="363"/>
      <c r="W110" s="363"/>
      <c r="X110" s="363"/>
      <c r="Y110" s="363"/>
      <c r="Z110" s="364"/>
      <c r="AA110"/>
      <c r="AB110"/>
      <c r="AC110"/>
      <c r="AD110"/>
      <c r="AE110"/>
      <c r="AF110"/>
      <c r="AG110"/>
      <c r="AH110"/>
    </row>
    <row r="111" spans="17:34" ht="12.75" customHeight="1">
      <c r="Q111" s="360" t="s">
        <v>508</v>
      </c>
      <c r="R111" s="363" t="s">
        <v>531</v>
      </c>
      <c r="S111" s="363"/>
      <c r="T111" s="363"/>
      <c r="U111" s="363"/>
      <c r="V111" s="363"/>
      <c r="W111" s="363"/>
      <c r="X111" s="363"/>
      <c r="Y111" s="363"/>
      <c r="Z111" s="364"/>
      <c r="AA111"/>
      <c r="AB111"/>
      <c r="AC111"/>
      <c r="AD111"/>
      <c r="AE111"/>
      <c r="AF111"/>
      <c r="AG111"/>
      <c r="AH111"/>
    </row>
    <row r="112" spans="17:34" ht="12.75" customHeight="1">
      <c r="Q112" s="360"/>
      <c r="R112" s="998" t="s">
        <v>191</v>
      </c>
      <c r="S112" s="999"/>
      <c r="T112" s="1000"/>
      <c r="U112" s="949" t="s">
        <v>500</v>
      </c>
      <c r="V112" s="938" t="s">
        <v>22</v>
      </c>
      <c r="W112" s="940" t="s">
        <v>579</v>
      </c>
      <c r="X112" s="942" t="s">
        <v>21</v>
      </c>
      <c r="Y112" s="361"/>
      <c r="Z112" s="364"/>
      <c r="AA112"/>
      <c r="AB112"/>
      <c r="AC112"/>
      <c r="AD112"/>
      <c r="AE112"/>
      <c r="AF112"/>
      <c r="AG112"/>
      <c r="AH112"/>
    </row>
    <row r="113" spans="17:34" ht="12.75" customHeight="1">
      <c r="Q113" s="360"/>
      <c r="R113" s="1001"/>
      <c r="S113" s="1002"/>
      <c r="T113" s="1003"/>
      <c r="U113" s="950"/>
      <c r="V113" s="939"/>
      <c r="W113" s="941"/>
      <c r="X113" s="943"/>
      <c r="Y113" s="361"/>
      <c r="Z113" s="364"/>
      <c r="AA113"/>
      <c r="AB113"/>
      <c r="AC113"/>
      <c r="AD113"/>
      <c r="AE113"/>
      <c r="AF113"/>
      <c r="AG113"/>
      <c r="AH113"/>
    </row>
    <row r="114" spans="17:34" ht="12.75" customHeight="1">
      <c r="Q114" s="360"/>
      <c r="R114" s="969" t="s">
        <v>63</v>
      </c>
      <c r="S114" s="969"/>
      <c r="T114" s="969"/>
      <c r="U114" s="537">
        <f t="shared" ref="U114:X115" si="0">U102/60</f>
        <v>0.16666666666666666</v>
      </c>
      <c r="V114" s="537">
        <f t="shared" si="0"/>
        <v>4.1666666666666664E-2</v>
      </c>
      <c r="W114" s="537">
        <f t="shared" si="0"/>
        <v>3.125E-2</v>
      </c>
      <c r="X114" s="537">
        <f t="shared" si="0"/>
        <v>6.5103333333333306E-3</v>
      </c>
      <c r="Y114" s="361"/>
      <c r="Z114" s="364"/>
      <c r="AA114"/>
      <c r="AB114"/>
      <c r="AC114"/>
      <c r="AD114"/>
      <c r="AE114"/>
      <c r="AF114"/>
      <c r="AG114"/>
      <c r="AH114"/>
    </row>
    <row r="115" spans="17:34" ht="12.75" customHeight="1">
      <c r="Q115" s="360"/>
      <c r="R115" s="969" t="s">
        <v>64</v>
      </c>
      <c r="S115" s="969"/>
      <c r="T115" s="969"/>
      <c r="U115" s="537">
        <f t="shared" si="0"/>
        <v>3.3333333333333335</v>
      </c>
      <c r="V115" s="537">
        <f t="shared" si="0"/>
        <v>0.83333333333333337</v>
      </c>
      <c r="W115" s="537">
        <f t="shared" si="0"/>
        <v>0.66666666666666663</v>
      </c>
      <c r="X115" s="537">
        <f t="shared" si="0"/>
        <v>0.125</v>
      </c>
      <c r="Y115" s="361"/>
      <c r="Z115" s="364"/>
      <c r="AA115"/>
      <c r="AB115"/>
      <c r="AC115"/>
      <c r="AD115"/>
      <c r="AE115"/>
      <c r="AF115"/>
      <c r="AG115"/>
      <c r="AH115"/>
    </row>
    <row r="116" spans="17:34" ht="12.75" customHeight="1">
      <c r="Q116" s="360"/>
      <c r="R116" s="364"/>
      <c r="S116" s="364"/>
      <c r="T116" s="364"/>
      <c r="U116" s="364"/>
      <c r="V116" s="364"/>
      <c r="W116" s="364"/>
      <c r="X116" s="364"/>
      <c r="Y116" s="363"/>
      <c r="Z116" s="364"/>
      <c r="AA116"/>
      <c r="AB116"/>
      <c r="AC116"/>
      <c r="AD116"/>
      <c r="AE116"/>
      <c r="AF116"/>
      <c r="AG116"/>
      <c r="AH116"/>
    </row>
    <row r="117" spans="17:34" ht="12.75" customHeight="1">
      <c r="Q117" s="360" t="s">
        <v>506</v>
      </c>
      <c r="R117" s="363" t="s">
        <v>532</v>
      </c>
      <c r="S117" s="363"/>
      <c r="T117" s="363"/>
      <c r="U117" s="363"/>
      <c r="V117" s="363"/>
      <c r="W117" s="363"/>
      <c r="X117" s="363"/>
      <c r="Y117" s="363"/>
      <c r="Z117" s="364"/>
      <c r="AA117"/>
      <c r="AB117"/>
      <c r="AC117"/>
      <c r="AD117"/>
      <c r="AE117"/>
      <c r="AF117"/>
      <c r="AG117"/>
      <c r="AH117"/>
    </row>
    <row r="118" spans="17:34" ht="12.75" customHeight="1">
      <c r="Q118" s="360"/>
      <c r="R118" s="998" t="s">
        <v>191</v>
      </c>
      <c r="S118" s="999"/>
      <c r="T118" s="1000"/>
      <c r="U118" s="949" t="s">
        <v>500</v>
      </c>
      <c r="V118" s="938" t="s">
        <v>22</v>
      </c>
      <c r="W118" s="940" t="s">
        <v>579</v>
      </c>
      <c r="X118" s="942" t="s">
        <v>21</v>
      </c>
      <c r="Y118" s="361"/>
      <c r="Z118" s="364"/>
      <c r="AA118"/>
      <c r="AB118"/>
      <c r="AC118"/>
      <c r="AD118"/>
      <c r="AE118"/>
      <c r="AF118"/>
      <c r="AG118"/>
      <c r="AH118"/>
    </row>
    <row r="119" spans="17:34" ht="12.75" customHeight="1">
      <c r="Q119" s="360"/>
      <c r="R119" s="1001"/>
      <c r="S119" s="1002"/>
      <c r="T119" s="1003"/>
      <c r="U119" s="950"/>
      <c r="V119" s="939"/>
      <c r="W119" s="941"/>
      <c r="X119" s="943"/>
      <c r="Y119" s="361"/>
      <c r="Z119" s="364"/>
      <c r="AA119"/>
      <c r="AB119"/>
      <c r="AC119"/>
      <c r="AD119"/>
      <c r="AE119"/>
      <c r="AF119"/>
      <c r="AG119"/>
      <c r="AH119"/>
    </row>
    <row r="120" spans="17:34" ht="12.75" customHeight="1">
      <c r="Q120" s="360"/>
      <c r="R120" s="969" t="s">
        <v>63</v>
      </c>
      <c r="S120" s="969"/>
      <c r="T120" s="969"/>
      <c r="U120" s="537">
        <f t="shared" ref="U120:X121" si="1">U108/60</f>
        <v>4.1666666666666664E-2</v>
      </c>
      <c r="V120" s="537">
        <f t="shared" si="1"/>
        <v>1.0416666666666666E-2</v>
      </c>
      <c r="W120" s="537">
        <f t="shared" si="1"/>
        <v>7.8125E-3</v>
      </c>
      <c r="X120" s="537">
        <f t="shared" si="1"/>
        <v>1.6276041666666667E-3</v>
      </c>
      <c r="Y120" s="361"/>
      <c r="Z120" s="364"/>
      <c r="AA120"/>
      <c r="AB120"/>
      <c r="AC120"/>
      <c r="AD120"/>
      <c r="AE120"/>
      <c r="AF120"/>
      <c r="AG120"/>
      <c r="AH120"/>
    </row>
    <row r="121" spans="17:34" ht="12.75" customHeight="1">
      <c r="Q121" s="360"/>
      <c r="R121" s="969" t="s">
        <v>64</v>
      </c>
      <c r="S121" s="969"/>
      <c r="T121" s="969"/>
      <c r="U121" s="537">
        <f t="shared" si="1"/>
        <v>0.83333333333333337</v>
      </c>
      <c r="V121" s="537">
        <f t="shared" si="1"/>
        <v>0.20833333333333334</v>
      </c>
      <c r="W121" s="537">
        <f t="shared" si="1"/>
        <v>0.16666666666666666</v>
      </c>
      <c r="X121" s="537">
        <f t="shared" si="1"/>
        <v>3.125E-2</v>
      </c>
      <c r="Y121" s="361"/>
      <c r="Z121" s="364"/>
      <c r="AA121"/>
      <c r="AB121"/>
      <c r="AC121"/>
      <c r="AD121"/>
      <c r="AE121"/>
      <c r="AF121"/>
      <c r="AG121"/>
      <c r="AH121"/>
    </row>
    <row r="122" spans="17:34" ht="12.75" customHeight="1">
      <c r="Q122" s="360"/>
      <c r="R122" s="363"/>
      <c r="S122" s="363"/>
      <c r="T122" s="363"/>
      <c r="U122" s="363"/>
      <c r="V122" s="363"/>
      <c r="W122" s="363"/>
      <c r="X122" s="363"/>
      <c r="Y122" s="363"/>
      <c r="Z122" s="364"/>
      <c r="AA122"/>
      <c r="AB122"/>
      <c r="AC122"/>
      <c r="AD122"/>
      <c r="AE122"/>
      <c r="AF122"/>
      <c r="AG122"/>
      <c r="AH122"/>
    </row>
    <row r="123" spans="17:34" ht="12.75" customHeight="1">
      <c r="Q123" s="546" t="s">
        <v>231</v>
      </c>
      <c r="R123" s="952" t="s">
        <v>232</v>
      </c>
      <c r="S123" s="952"/>
      <c r="T123" s="952"/>
      <c r="U123" s="952"/>
      <c r="V123" s="952"/>
      <c r="W123" s="952"/>
      <c r="X123" s="952"/>
      <c r="Y123" s="952"/>
      <c r="Z123" s="360"/>
      <c r="AA123"/>
      <c r="AB123"/>
      <c r="AC123"/>
      <c r="AD123"/>
      <c r="AE123"/>
      <c r="AF123"/>
      <c r="AG123"/>
      <c r="AH123"/>
    </row>
    <row r="124" spans="17:34" ht="12.75" customHeight="1">
      <c r="Q124" s="546"/>
      <c r="R124" s="360"/>
      <c r="S124" s="360"/>
      <c r="T124" s="360"/>
      <c r="U124" s="360"/>
      <c r="V124" s="360"/>
      <c r="W124" s="360"/>
      <c r="X124" s="360"/>
      <c r="Y124" s="360"/>
      <c r="Z124" s="360"/>
      <c r="AA124"/>
      <c r="AB124"/>
      <c r="AC124"/>
      <c r="AD124"/>
      <c r="AE124"/>
      <c r="AF124"/>
      <c r="AG124"/>
      <c r="AH124"/>
    </row>
    <row r="125" spans="17:34" ht="12.75" customHeight="1">
      <c r="Q125" s="546"/>
      <c r="R125" s="363" t="s">
        <v>233</v>
      </c>
      <c r="S125" s="363"/>
      <c r="T125" s="363"/>
      <c r="U125" s="363"/>
      <c r="V125" s="363"/>
      <c r="W125" s="363"/>
      <c r="X125" s="363"/>
      <c r="Y125" s="363"/>
      <c r="Z125" s="364"/>
      <c r="AA125"/>
      <c r="AB125"/>
      <c r="AC125"/>
      <c r="AD125"/>
      <c r="AE125"/>
      <c r="AF125"/>
      <c r="AG125"/>
      <c r="AH125"/>
    </row>
    <row r="126" spans="17:34" ht="12.75" customHeight="1">
      <c r="Q126" s="360"/>
      <c r="R126" s="998" t="s">
        <v>678</v>
      </c>
      <c r="S126" s="999"/>
      <c r="T126" s="1000"/>
      <c r="U126" s="949" t="s">
        <v>470</v>
      </c>
      <c r="V126" s="938" t="s">
        <v>22</v>
      </c>
      <c r="W126" s="940" t="s">
        <v>579</v>
      </c>
      <c r="X126" s="942" t="s">
        <v>21</v>
      </c>
      <c r="Y126" s="361"/>
      <c r="Z126" s="364"/>
      <c r="AA126"/>
      <c r="AB126"/>
      <c r="AC126"/>
      <c r="AD126"/>
      <c r="AE126"/>
      <c r="AF126"/>
      <c r="AG126"/>
      <c r="AH126"/>
    </row>
    <row r="127" spans="17:34" ht="12.75" customHeight="1">
      <c r="Q127" s="360"/>
      <c r="R127" s="1001"/>
      <c r="S127" s="1002"/>
      <c r="T127" s="1003"/>
      <c r="U127" s="950"/>
      <c r="V127" s="939"/>
      <c r="W127" s="941"/>
      <c r="X127" s="943"/>
      <c r="Y127" s="361"/>
      <c r="Z127" s="364"/>
      <c r="AA127"/>
      <c r="AB127"/>
      <c r="AC127"/>
      <c r="AD127"/>
      <c r="AE127"/>
      <c r="AF127"/>
      <c r="AG127"/>
      <c r="AH127"/>
    </row>
    <row r="128" spans="17:34" ht="12.75" customHeight="1">
      <c r="Q128" s="360"/>
      <c r="R128" s="969" t="s">
        <v>234</v>
      </c>
      <c r="S128" s="969"/>
      <c r="T128" s="969"/>
      <c r="U128" s="672">
        <v>8.3000000000000007</v>
      </c>
      <c r="V128" s="672">
        <f>VLOOKUP($V$5,'Lookup Vibration'!$B$8:$F$208,3)</f>
        <v>18.049999999999951</v>
      </c>
      <c r="W128" s="672">
        <f>VLOOKUP($V$5,'Lookup Vibration'!$B$8:$F$208,4)</f>
        <v>19.950000000000074</v>
      </c>
      <c r="X128" s="672">
        <f>VLOOKUP($V$5,'Lookup Vibration'!$B$8:$F$208,2)</f>
        <v>18.049999999999951</v>
      </c>
      <c r="Y128" s="361"/>
      <c r="Z128" s="364"/>
      <c r="AA128"/>
      <c r="AB128"/>
      <c r="AC128"/>
      <c r="AD128"/>
      <c r="AE128"/>
      <c r="AF128"/>
      <c r="AG128"/>
      <c r="AH128"/>
    </row>
    <row r="129" spans="17:34" ht="12.75" customHeight="1">
      <c r="Q129" s="360"/>
      <c r="R129" s="363"/>
      <c r="S129" s="363"/>
      <c r="T129" s="363"/>
      <c r="U129" s="363"/>
      <c r="V129" s="363"/>
      <c r="W129" s="363"/>
      <c r="X129" s="363"/>
      <c r="Y129" s="363"/>
      <c r="Z129" s="364"/>
      <c r="AA129"/>
      <c r="AB129"/>
      <c r="AC129"/>
      <c r="AD129"/>
      <c r="AE129"/>
      <c r="AF129"/>
      <c r="AG129"/>
      <c r="AH129"/>
    </row>
    <row r="130" spans="17:34" ht="12.75" customHeight="1">
      <c r="Q130" s="546" t="s">
        <v>235</v>
      </c>
      <c r="R130" s="952" t="s">
        <v>34</v>
      </c>
      <c r="S130" s="952"/>
      <c r="T130" s="952"/>
      <c r="U130" s="952"/>
      <c r="V130" s="952"/>
      <c r="W130" s="952"/>
      <c r="X130" s="952"/>
      <c r="Y130" s="952"/>
      <c r="Z130" s="360"/>
      <c r="AA130"/>
      <c r="AB130"/>
      <c r="AC130"/>
      <c r="AD130"/>
      <c r="AE130"/>
      <c r="AF130"/>
      <c r="AG130"/>
      <c r="AH130"/>
    </row>
    <row r="131" spans="17:34" ht="12.75" customHeight="1">
      <c r="Q131" s="546"/>
      <c r="R131" s="363"/>
      <c r="S131" s="363"/>
      <c r="T131" s="363"/>
      <c r="U131" s="363"/>
      <c r="V131" s="363"/>
      <c r="W131" s="363"/>
      <c r="X131" s="363"/>
      <c r="Y131" s="363"/>
      <c r="Z131" s="364"/>
      <c r="AA131"/>
      <c r="AB131"/>
      <c r="AC131"/>
      <c r="AD131"/>
      <c r="AE131"/>
      <c r="AF131"/>
      <c r="AG131"/>
      <c r="AH131"/>
    </row>
    <row r="132" spans="17:34" ht="12.75" customHeight="1">
      <c r="Q132" s="360"/>
      <c r="R132" s="998" t="s">
        <v>678</v>
      </c>
      <c r="S132" s="999"/>
      <c r="T132" s="1000"/>
      <c r="U132" s="949" t="s">
        <v>500</v>
      </c>
      <c r="V132" s="938" t="s">
        <v>22</v>
      </c>
      <c r="W132" s="940" t="s">
        <v>579</v>
      </c>
      <c r="X132" s="942" t="s">
        <v>21</v>
      </c>
      <c r="Y132" s="361"/>
      <c r="Z132" s="364"/>
      <c r="AA132"/>
      <c r="AB132"/>
      <c r="AC132"/>
      <c r="AD132"/>
      <c r="AE132"/>
      <c r="AF132"/>
      <c r="AG132"/>
      <c r="AH132"/>
    </row>
    <row r="133" spans="17:34" ht="12.75" customHeight="1">
      <c r="Q133" s="360"/>
      <c r="R133" s="1001"/>
      <c r="S133" s="1002"/>
      <c r="T133" s="1003"/>
      <c r="U133" s="950"/>
      <c r="V133" s="939"/>
      <c r="W133" s="941"/>
      <c r="X133" s="943"/>
      <c r="Y133" s="361"/>
      <c r="Z133" s="364"/>
      <c r="AA133"/>
      <c r="AB133"/>
      <c r="AC133"/>
      <c r="AD133"/>
      <c r="AE133"/>
      <c r="AF133"/>
      <c r="AG133"/>
      <c r="AH133"/>
    </row>
    <row r="134" spans="17:34" ht="12.75" customHeight="1">
      <c r="Q134" s="360"/>
      <c r="R134" s="1004" t="s">
        <v>298</v>
      </c>
      <c r="S134" s="1004"/>
      <c r="T134" s="1004"/>
      <c r="U134" s="673" t="s">
        <v>819</v>
      </c>
      <c r="V134" s="673" t="s">
        <v>818</v>
      </c>
      <c r="W134" s="673" t="s">
        <v>819</v>
      </c>
      <c r="X134" s="673" t="s">
        <v>818</v>
      </c>
      <c r="Y134" s="361"/>
      <c r="Z134" s="364"/>
      <c r="AA134"/>
      <c r="AB134"/>
      <c r="AC134"/>
      <c r="AD134"/>
      <c r="AE134"/>
      <c r="AF134"/>
      <c r="AG134"/>
      <c r="AH134"/>
    </row>
    <row r="135" spans="17:34" ht="12.75" customHeight="1">
      <c r="Q135" s="360"/>
      <c r="R135" s="931" t="s">
        <v>299</v>
      </c>
      <c r="S135" s="931"/>
      <c r="T135" s="931"/>
      <c r="U135" s="673" t="s">
        <v>297</v>
      </c>
      <c r="V135" s="673" t="s">
        <v>296</v>
      </c>
      <c r="W135" s="673" t="s">
        <v>296</v>
      </c>
      <c r="X135" s="673" t="s">
        <v>296</v>
      </c>
      <c r="Y135" s="361"/>
      <c r="Z135" s="364"/>
      <c r="AA135"/>
      <c r="AB135"/>
      <c r="AC135"/>
      <c r="AD135"/>
      <c r="AE135"/>
      <c r="AF135"/>
      <c r="AG135"/>
      <c r="AH135"/>
    </row>
    <row r="136" spans="17:34" ht="12.75" customHeight="1">
      <c r="Q136" s="360"/>
      <c r="R136" s="363"/>
      <c r="S136" s="363"/>
      <c r="T136" s="363"/>
      <c r="U136" s="363"/>
      <c r="V136" s="363"/>
      <c r="W136" s="363"/>
      <c r="X136" s="363"/>
      <c r="Y136" s="363"/>
      <c r="Z136" s="363"/>
      <c r="AA136"/>
      <c r="AB136"/>
      <c r="AC136"/>
      <c r="AD136"/>
      <c r="AE136"/>
      <c r="AF136"/>
      <c r="AG136"/>
      <c r="AH136"/>
    </row>
    <row r="137" spans="17:34" ht="12.75" customHeight="1">
      <c r="Q137" s="546" t="s">
        <v>236</v>
      </c>
      <c r="R137" s="952" t="s">
        <v>237</v>
      </c>
      <c r="S137" s="952"/>
      <c r="T137" s="952"/>
      <c r="U137" s="952"/>
      <c r="V137" s="952"/>
      <c r="W137" s="952"/>
      <c r="X137" s="952"/>
      <c r="Y137" s="952"/>
      <c r="Z137" s="360"/>
      <c r="AA137"/>
      <c r="AB137"/>
      <c r="AC137"/>
      <c r="AD137"/>
      <c r="AE137"/>
      <c r="AF137"/>
      <c r="AG137"/>
      <c r="AH137"/>
    </row>
    <row r="138" spans="17:34" ht="12.75" customHeight="1">
      <c r="Q138" s="360"/>
      <c r="R138" s="363"/>
      <c r="S138" s="363"/>
      <c r="T138" s="363"/>
      <c r="U138" s="363"/>
      <c r="V138" s="363"/>
      <c r="W138" s="363"/>
      <c r="X138" s="363"/>
      <c r="Y138" s="363"/>
      <c r="Z138" s="363"/>
      <c r="AA138"/>
      <c r="AB138"/>
      <c r="AC138"/>
      <c r="AD138"/>
      <c r="AE138"/>
      <c r="AF138"/>
      <c r="AG138"/>
      <c r="AH138"/>
    </row>
    <row r="139" spans="17:34" ht="12.75" customHeight="1">
      <c r="Q139" s="668" t="s">
        <v>238</v>
      </c>
      <c r="R139" s="364" t="s">
        <v>239</v>
      </c>
      <c r="S139" s="364"/>
      <c r="T139" s="364"/>
      <c r="U139" s="364"/>
      <c r="V139" s="364"/>
      <c r="W139" s="364"/>
      <c r="X139" s="364"/>
      <c r="Y139" s="364"/>
      <c r="Z139" s="364"/>
      <c r="AA139"/>
      <c r="AB139"/>
      <c r="AC139"/>
      <c r="AD139"/>
      <c r="AE139"/>
      <c r="AF139"/>
      <c r="AG139"/>
      <c r="AH139"/>
    </row>
    <row r="140" spans="17:34" ht="12.75" customHeight="1">
      <c r="Q140" s="668"/>
      <c r="R140" s="364" t="s">
        <v>469</v>
      </c>
      <c r="S140" s="364"/>
      <c r="T140" s="364"/>
      <c r="U140" s="364"/>
      <c r="V140" s="364"/>
      <c r="W140" s="364"/>
      <c r="X140" s="364"/>
      <c r="Y140" s="364"/>
      <c r="Z140" s="364"/>
      <c r="AA140"/>
      <c r="AB140"/>
      <c r="AC140"/>
      <c r="AD140"/>
      <c r="AE140"/>
      <c r="AF140"/>
      <c r="AG140"/>
      <c r="AH140"/>
    </row>
    <row r="141" spans="17:34" ht="12.75" customHeight="1">
      <c r="Q141" s="668"/>
      <c r="R141" s="364"/>
      <c r="S141" s="364"/>
      <c r="T141" s="364"/>
      <c r="U141" s="364"/>
      <c r="V141" s="364"/>
      <c r="W141" s="364"/>
      <c r="X141" s="364"/>
      <c r="Y141" s="364"/>
      <c r="Z141" s="364"/>
      <c r="AA141"/>
      <c r="AB141"/>
      <c r="AC141"/>
      <c r="AD141"/>
      <c r="AE141"/>
      <c r="AF141"/>
      <c r="AG141"/>
      <c r="AH141"/>
    </row>
    <row r="142" spans="17:34" ht="12.75" customHeight="1">
      <c r="Q142" s="668"/>
      <c r="R142" s="1005" t="s">
        <v>734</v>
      </c>
      <c r="S142" s="1006"/>
      <c r="T142" s="1006"/>
      <c r="U142" s="1006"/>
      <c r="V142" s="1006"/>
      <c r="W142" s="1007"/>
      <c r="X142" s="351">
        <f>'Compressor Input Data'!G5</f>
        <v>22800</v>
      </c>
      <c r="Y142" s="364"/>
      <c r="Z142" s="364"/>
      <c r="AA142"/>
      <c r="AB142"/>
      <c r="AC142"/>
      <c r="AD142"/>
      <c r="AE142"/>
      <c r="AF142"/>
      <c r="AG142"/>
      <c r="AH142"/>
    </row>
    <row r="143" spans="17:34" ht="12.75" customHeight="1">
      <c r="Q143" s="668"/>
      <c r="R143" s="990" t="s">
        <v>430</v>
      </c>
      <c r="S143" s="991"/>
      <c r="T143" s="992"/>
      <c r="U143" s="949" t="s">
        <v>500</v>
      </c>
      <c r="V143" s="938" t="s">
        <v>22</v>
      </c>
      <c r="W143" s="940" t="s">
        <v>579</v>
      </c>
      <c r="X143" s="942" t="s">
        <v>21</v>
      </c>
      <c r="Y143" s="361"/>
      <c r="Z143" s="364"/>
      <c r="AA143"/>
      <c r="AB143"/>
      <c r="AC143"/>
      <c r="AD143"/>
      <c r="AE143"/>
      <c r="AF143"/>
      <c r="AG143"/>
      <c r="AH143"/>
    </row>
    <row r="144" spans="17:34" ht="12.75" customHeight="1">
      <c r="Q144" s="668"/>
      <c r="R144" s="993"/>
      <c r="S144" s="994"/>
      <c r="T144" s="995"/>
      <c r="U144" s="950"/>
      <c r="V144" s="939"/>
      <c r="W144" s="941"/>
      <c r="X144" s="943"/>
      <c r="Y144" s="361"/>
      <c r="Z144" s="364"/>
      <c r="AA144"/>
      <c r="AB144"/>
      <c r="AC144"/>
      <c r="AD144"/>
      <c r="AE144"/>
      <c r="AF144"/>
      <c r="AG144"/>
      <c r="AH144"/>
    </row>
    <row r="145" spans="17:34" ht="12.75" customHeight="1">
      <c r="Q145" s="668"/>
      <c r="R145" s="973" t="s">
        <v>555</v>
      </c>
      <c r="S145" s="973"/>
      <c r="T145" s="973"/>
      <c r="U145" s="996"/>
      <c r="V145" s="544">
        <f>X145</f>
        <v>22800</v>
      </c>
      <c r="W145" s="544">
        <f>X145</f>
        <v>22800</v>
      </c>
      <c r="X145" s="544">
        <f>X142</f>
        <v>22800</v>
      </c>
      <c r="Y145" s="361"/>
      <c r="Z145" s="364"/>
      <c r="AA145"/>
      <c r="AB145"/>
      <c r="AC145"/>
      <c r="AD145"/>
      <c r="AE145"/>
      <c r="AF145"/>
      <c r="AG145"/>
      <c r="AH145"/>
    </row>
    <row r="146" spans="17:34" ht="12.75" customHeight="1">
      <c r="Q146" s="668"/>
      <c r="R146" s="973" t="s">
        <v>549</v>
      </c>
      <c r="S146" s="973"/>
      <c r="T146" s="973"/>
      <c r="U146" s="997"/>
      <c r="V146" s="544">
        <f>X146</f>
        <v>24</v>
      </c>
      <c r="W146" s="544">
        <f>V146</f>
        <v>24</v>
      </c>
      <c r="X146" s="544">
        <f>'Compressor Input Data'!J15</f>
        <v>24</v>
      </c>
      <c r="Y146" s="361"/>
      <c r="Z146" s="364"/>
      <c r="AA146"/>
      <c r="AB146"/>
      <c r="AC146"/>
      <c r="AD146"/>
      <c r="AE146"/>
      <c r="AF146"/>
      <c r="AG146"/>
      <c r="AH146"/>
    </row>
    <row r="147" spans="17:34" ht="12.75" customHeight="1">
      <c r="Q147" s="668"/>
      <c r="R147" s="970" t="s">
        <v>556</v>
      </c>
      <c r="S147" s="971"/>
      <c r="T147" s="972"/>
      <c r="U147" s="566">
        <f>U62</f>
        <v>2.6666666666666665</v>
      </c>
      <c r="V147" s="566">
        <f>V62</f>
        <v>1.9999999999999996</v>
      </c>
      <c r="W147" s="566">
        <f>W62</f>
        <v>1.7391304347826084</v>
      </c>
      <c r="X147" s="566">
        <f>X62</f>
        <v>1.4285714285714284</v>
      </c>
      <c r="Y147" s="361"/>
      <c r="Z147" s="364"/>
      <c r="AA147"/>
      <c r="AB147"/>
      <c r="AC147"/>
      <c r="AD147"/>
      <c r="AE147"/>
      <c r="AF147"/>
      <c r="AG147"/>
      <c r="AH147"/>
    </row>
    <row r="148" spans="17:34" ht="12.75" customHeight="1">
      <c r="Q148" s="668"/>
      <c r="R148" s="973" t="s">
        <v>575</v>
      </c>
      <c r="S148" s="973"/>
      <c r="T148" s="973"/>
      <c r="U148" s="531">
        <f>W148</f>
        <v>0.22500000000000001</v>
      </c>
      <c r="V148" s="531">
        <f>X148</f>
        <v>0.22500000000000001</v>
      </c>
      <c r="W148" s="531">
        <f>V148</f>
        <v>0.22500000000000001</v>
      </c>
      <c r="X148" s="531">
        <f>'Compressor Input Data'!J17</f>
        <v>0.22500000000000001</v>
      </c>
      <c r="Y148" s="361"/>
      <c r="Z148" s="364"/>
      <c r="AA148"/>
      <c r="AB148"/>
      <c r="AC148"/>
      <c r="AD148"/>
      <c r="AE148"/>
      <c r="AF148"/>
      <c r="AG148"/>
      <c r="AH148"/>
    </row>
    <row r="149" spans="17:34" ht="12.75" customHeight="1">
      <c r="Q149" s="668"/>
      <c r="R149" s="987"/>
      <c r="S149" s="988"/>
      <c r="T149" s="988"/>
      <c r="U149" s="988"/>
      <c r="V149" s="988"/>
      <c r="W149" s="988"/>
      <c r="X149" s="989"/>
      <c r="Y149" s="364"/>
      <c r="Z149" s="364"/>
      <c r="AA149"/>
      <c r="AB149"/>
      <c r="AC149"/>
      <c r="AD149"/>
      <c r="AE149"/>
      <c r="AF149"/>
      <c r="AG149"/>
      <c r="AH149"/>
    </row>
    <row r="150" spans="17:34" ht="12.75" customHeight="1">
      <c r="Q150" s="668"/>
      <c r="R150" s="990" t="s">
        <v>467</v>
      </c>
      <c r="S150" s="991"/>
      <c r="T150" s="992"/>
      <c r="U150" s="949" t="s">
        <v>500</v>
      </c>
      <c r="V150" s="938" t="s">
        <v>22</v>
      </c>
      <c r="W150" s="940" t="s">
        <v>579</v>
      </c>
      <c r="X150" s="942" t="s">
        <v>21</v>
      </c>
      <c r="Y150" s="361"/>
      <c r="Z150" s="364"/>
      <c r="AA150"/>
      <c r="AB150"/>
      <c r="AC150"/>
      <c r="AD150"/>
      <c r="AE150"/>
      <c r="AF150"/>
      <c r="AG150"/>
      <c r="AH150"/>
    </row>
    <row r="151" spans="17:34" ht="12.75" customHeight="1">
      <c r="Q151" s="668"/>
      <c r="R151" s="993"/>
      <c r="S151" s="994"/>
      <c r="T151" s="995"/>
      <c r="U151" s="950"/>
      <c r="V151" s="939"/>
      <c r="W151" s="941"/>
      <c r="X151" s="943"/>
      <c r="Y151" s="361"/>
      <c r="Z151" s="364"/>
      <c r="AA151"/>
      <c r="AB151"/>
      <c r="AC151"/>
      <c r="AD151"/>
      <c r="AE151"/>
      <c r="AF151"/>
      <c r="AG151"/>
      <c r="AH151"/>
    </row>
    <row r="152" spans="17:34" ht="12.75" customHeight="1">
      <c r="Q152" s="668"/>
      <c r="R152" s="973" t="s">
        <v>554</v>
      </c>
      <c r="S152" s="973"/>
      <c r="T152" s="973"/>
      <c r="U152" s="986"/>
      <c r="V152" s="569">
        <f>X152</f>
        <v>1</v>
      </c>
      <c r="W152" s="570">
        <f>V152</f>
        <v>1</v>
      </c>
      <c r="X152" s="570">
        <f>'Compressor Input Data'!J20</f>
        <v>1</v>
      </c>
      <c r="Y152" s="361"/>
      <c r="Z152" s="364"/>
      <c r="AA152"/>
      <c r="AB152"/>
      <c r="AC152"/>
      <c r="AD152"/>
      <c r="AE152"/>
      <c r="AF152"/>
      <c r="AG152"/>
      <c r="AH152"/>
    </row>
    <row r="153" spans="17:34" ht="12.75" customHeight="1">
      <c r="Q153" s="668"/>
      <c r="R153" s="983" t="s">
        <v>551</v>
      </c>
      <c r="S153" s="984"/>
      <c r="T153" s="985"/>
      <c r="U153" s="986"/>
      <c r="V153" s="571">
        <f>V147/V146</f>
        <v>8.3333333333333315E-2</v>
      </c>
      <c r="W153" s="571">
        <f>W147/W146</f>
        <v>7.2463768115942018E-2</v>
      </c>
      <c r="X153" s="571">
        <f>X147/X146</f>
        <v>5.9523809523809514E-2</v>
      </c>
      <c r="Y153" s="361"/>
      <c r="Z153" s="364"/>
      <c r="AA153"/>
      <c r="AB153"/>
      <c r="AC153"/>
      <c r="AD153"/>
      <c r="AE153"/>
      <c r="AF153"/>
      <c r="AG153"/>
      <c r="AH153"/>
    </row>
    <row r="154" spans="17:34" ht="12.75" customHeight="1">
      <c r="Q154" s="668"/>
      <c r="R154" s="973" t="s">
        <v>552</v>
      </c>
      <c r="S154" s="973"/>
      <c r="T154" s="973"/>
      <c r="U154" s="986"/>
      <c r="V154" s="572">
        <f>X154</f>
        <v>0.6</v>
      </c>
      <c r="W154" s="572">
        <f>V154</f>
        <v>0.6</v>
      </c>
      <c r="X154" s="572">
        <f>'Compressor Input Data'!J22</f>
        <v>0.6</v>
      </c>
      <c r="Y154" s="361"/>
      <c r="Z154" s="364"/>
      <c r="AA154"/>
      <c r="AB154"/>
      <c r="AC154"/>
      <c r="AD154"/>
      <c r="AE154"/>
      <c r="AF154"/>
      <c r="AG154"/>
      <c r="AH154"/>
    </row>
    <row r="155" spans="17:34" ht="12.75" customHeight="1">
      <c r="Q155" s="668"/>
      <c r="R155" s="987"/>
      <c r="S155" s="988"/>
      <c r="T155" s="988"/>
      <c r="U155" s="988"/>
      <c r="V155" s="988"/>
      <c r="W155" s="988"/>
      <c r="X155" s="989"/>
      <c r="Y155" s="364"/>
      <c r="Z155" s="364"/>
      <c r="AA155"/>
      <c r="AB155"/>
      <c r="AC155"/>
      <c r="AD155"/>
      <c r="AE155"/>
      <c r="AF155"/>
      <c r="AG155"/>
      <c r="AH155"/>
    </row>
    <row r="156" spans="17:34" ht="12.75" customHeight="1">
      <c r="Q156" s="668"/>
      <c r="R156" s="990" t="s">
        <v>468</v>
      </c>
      <c r="S156" s="991"/>
      <c r="T156" s="992"/>
      <c r="U156" s="949" t="s">
        <v>500</v>
      </c>
      <c r="V156" s="938" t="s">
        <v>22</v>
      </c>
      <c r="W156" s="940" t="s">
        <v>579</v>
      </c>
      <c r="X156" s="942" t="s">
        <v>21</v>
      </c>
      <c r="Y156" s="361"/>
      <c r="Z156" s="364"/>
      <c r="AA156"/>
      <c r="AB156"/>
      <c r="AC156"/>
      <c r="AD156"/>
      <c r="AE156"/>
      <c r="AF156"/>
      <c r="AG156"/>
      <c r="AH156"/>
    </row>
    <row r="157" spans="17:34" ht="12.75" customHeight="1">
      <c r="Q157" s="668"/>
      <c r="R157" s="993"/>
      <c r="S157" s="994"/>
      <c r="T157" s="995"/>
      <c r="U157" s="950"/>
      <c r="V157" s="939"/>
      <c r="W157" s="941"/>
      <c r="X157" s="943"/>
      <c r="Y157" s="361"/>
      <c r="Z157" s="364"/>
      <c r="AA157"/>
      <c r="AB157"/>
      <c r="AC157"/>
      <c r="AD157"/>
      <c r="AE157"/>
      <c r="AF157"/>
      <c r="AG157"/>
      <c r="AH157"/>
    </row>
    <row r="158" spans="17:34" ht="12.75" customHeight="1">
      <c r="Q158" s="668"/>
      <c r="R158" s="973" t="s">
        <v>554</v>
      </c>
      <c r="S158" s="973"/>
      <c r="T158" s="973"/>
      <c r="U158" s="980"/>
      <c r="V158" s="572">
        <f>X158</f>
        <v>0.5</v>
      </c>
      <c r="W158" s="572">
        <f>V158</f>
        <v>0.5</v>
      </c>
      <c r="X158" s="572">
        <f>'Compressor Input Data'!J25</f>
        <v>0.5</v>
      </c>
      <c r="Y158" s="361"/>
      <c r="Z158" s="364"/>
      <c r="AA158"/>
      <c r="AB158"/>
      <c r="AC158"/>
      <c r="AD158"/>
      <c r="AE158"/>
      <c r="AF158"/>
      <c r="AG158"/>
      <c r="AH158"/>
    </row>
    <row r="159" spans="17:34" ht="12.75" customHeight="1">
      <c r="Q159" s="668"/>
      <c r="R159" s="983" t="s">
        <v>551</v>
      </c>
      <c r="S159" s="984"/>
      <c r="T159" s="985"/>
      <c r="U159" s="981"/>
      <c r="V159" s="572">
        <f>V152-V153</f>
        <v>0.91666666666666674</v>
      </c>
      <c r="W159" s="572">
        <f>W152-W153</f>
        <v>0.92753623188405798</v>
      </c>
      <c r="X159" s="572">
        <f>X152-X153</f>
        <v>0.94047619047619047</v>
      </c>
      <c r="Y159" s="361"/>
      <c r="Z159" s="364"/>
      <c r="AA159"/>
      <c r="AB159"/>
      <c r="AC159"/>
      <c r="AD159"/>
      <c r="AE159"/>
      <c r="AF159"/>
      <c r="AG159"/>
      <c r="AH159"/>
    </row>
    <row r="160" spans="17:34" ht="12.75" customHeight="1">
      <c r="Q160" s="668"/>
      <c r="R160" s="973" t="s">
        <v>552</v>
      </c>
      <c r="S160" s="973"/>
      <c r="T160" s="973"/>
      <c r="U160" s="982"/>
      <c r="V160" s="572">
        <f>X160</f>
        <v>0.6</v>
      </c>
      <c r="W160" s="572">
        <f>V160</f>
        <v>0.6</v>
      </c>
      <c r="X160" s="572">
        <f>'Compressor Input Data'!J27</f>
        <v>0.6</v>
      </c>
      <c r="Y160" s="361"/>
      <c r="Z160" s="364"/>
      <c r="AA160"/>
      <c r="AB160"/>
      <c r="AC160"/>
      <c r="AD160"/>
      <c r="AE160"/>
      <c r="AF160"/>
      <c r="AG160"/>
      <c r="AH160"/>
    </row>
    <row r="161" spans="17:34" ht="12.75" customHeight="1">
      <c r="Q161" s="668"/>
      <c r="R161" s="567"/>
      <c r="S161" s="568"/>
      <c r="T161" s="568"/>
      <c r="U161" s="573"/>
      <c r="V161" s="573"/>
      <c r="W161" s="573"/>
      <c r="X161" s="574"/>
      <c r="Y161" s="364"/>
      <c r="Z161" s="364"/>
      <c r="AA161"/>
      <c r="AB161"/>
      <c r="AC161"/>
      <c r="AD161"/>
      <c r="AE161"/>
      <c r="AF161"/>
      <c r="AG161"/>
      <c r="AH161"/>
    </row>
    <row r="162" spans="17:34" ht="12.75" customHeight="1">
      <c r="Q162" s="668"/>
      <c r="R162" s="901" t="s">
        <v>471</v>
      </c>
      <c r="S162" s="901"/>
      <c r="T162" s="901"/>
      <c r="U162" s="930" t="s">
        <v>500</v>
      </c>
      <c r="V162" s="928" t="s">
        <v>22</v>
      </c>
      <c r="W162" s="929" t="s">
        <v>579</v>
      </c>
      <c r="X162" s="927" t="s">
        <v>21</v>
      </c>
      <c r="Y162" s="361"/>
      <c r="Z162" s="364"/>
      <c r="AA162"/>
      <c r="AB162"/>
      <c r="AC162"/>
      <c r="AD162"/>
      <c r="AE162"/>
      <c r="AF162"/>
      <c r="AG162"/>
      <c r="AH162"/>
    </row>
    <row r="163" spans="17:34" ht="12.75" customHeight="1">
      <c r="Q163" s="668"/>
      <c r="R163" s="901"/>
      <c r="S163" s="901"/>
      <c r="T163" s="901"/>
      <c r="U163" s="930"/>
      <c r="V163" s="928"/>
      <c r="W163" s="929"/>
      <c r="X163" s="927"/>
      <c r="Y163" s="361"/>
      <c r="Z163" s="364"/>
      <c r="AA163"/>
      <c r="AB163"/>
      <c r="AC163"/>
      <c r="AD163"/>
      <c r="AE163"/>
      <c r="AF163"/>
      <c r="AG163"/>
      <c r="AH163"/>
    </row>
    <row r="164" spans="17:34" ht="12.75" customHeight="1">
      <c r="Q164" s="668"/>
      <c r="R164" s="973" t="s">
        <v>472</v>
      </c>
      <c r="S164" s="973"/>
      <c r="T164" s="973"/>
      <c r="U164" s="544">
        <f>$V$224</f>
        <v>938.66666666666674</v>
      </c>
      <c r="V164" s="544">
        <f>($V$145*$V$146*$V$153*$V$152)/$V$154</f>
        <v>75999.999999999985</v>
      </c>
      <c r="W164" s="544">
        <f>($W$145*$W$146*$W$153*$W$152)/$W$154</f>
        <v>66086.956521739121</v>
      </c>
      <c r="X164" s="544">
        <f>($X$145*$X$146*$X$153*$X$152)/$X$154</f>
        <v>54285.714285714275</v>
      </c>
      <c r="Y164" s="361"/>
      <c r="Z164" s="364"/>
      <c r="AA164"/>
      <c r="AB164"/>
      <c r="AC164"/>
      <c r="AD164"/>
      <c r="AE164"/>
      <c r="AF164"/>
      <c r="AG164"/>
      <c r="AH164"/>
    </row>
    <row r="165" spans="17:34" ht="12.75" customHeight="1">
      <c r="Q165" s="668"/>
      <c r="R165" s="973" t="s">
        <v>473</v>
      </c>
      <c r="S165" s="973"/>
      <c r="T165" s="973"/>
      <c r="U165" s="543"/>
      <c r="V165" s="544">
        <f>($V$145*$V$146*$V$159*$V$158)/$V$160</f>
        <v>418000.00000000006</v>
      </c>
      <c r="W165" s="544">
        <f>($W$145*$W$146*$W$159*$W$158)/$W$160</f>
        <v>422956.52173913049</v>
      </c>
      <c r="X165" s="544">
        <f>($X$145*$X$146*$X$159*$X$158)/$X$160</f>
        <v>428857.14285714284</v>
      </c>
      <c r="Y165" s="361"/>
      <c r="Z165" s="364"/>
      <c r="AA165"/>
      <c r="AB165"/>
      <c r="AC165"/>
      <c r="AD165"/>
      <c r="AE165"/>
      <c r="AF165"/>
      <c r="AG165"/>
      <c r="AH165"/>
    </row>
    <row r="166" spans="17:34" ht="12.75" customHeight="1">
      <c r="Q166" s="668"/>
      <c r="R166" s="567"/>
      <c r="S166" s="568"/>
      <c r="T166" s="568"/>
      <c r="U166" s="573"/>
      <c r="V166" s="573"/>
      <c r="W166" s="573"/>
      <c r="X166" s="574"/>
      <c r="Y166" s="364"/>
      <c r="Z166" s="364"/>
      <c r="AA166"/>
      <c r="AB166"/>
      <c r="AC166"/>
      <c r="AD166"/>
      <c r="AE166"/>
      <c r="AF166"/>
      <c r="AG166"/>
      <c r="AH166"/>
    </row>
    <row r="167" spans="17:34" ht="12.75" customHeight="1">
      <c r="Q167" s="668"/>
      <c r="R167" s="901" t="s">
        <v>474</v>
      </c>
      <c r="S167" s="901"/>
      <c r="T167" s="901"/>
      <c r="U167" s="930" t="s">
        <v>500</v>
      </c>
      <c r="V167" s="928" t="s">
        <v>22</v>
      </c>
      <c r="W167" s="929" t="s">
        <v>579</v>
      </c>
      <c r="X167" s="927" t="s">
        <v>21</v>
      </c>
      <c r="Y167" s="361"/>
      <c r="Z167" s="364"/>
      <c r="AA167"/>
      <c r="AB167"/>
      <c r="AC167"/>
      <c r="AD167"/>
      <c r="AE167"/>
      <c r="AF167"/>
      <c r="AG167"/>
      <c r="AH167"/>
    </row>
    <row r="168" spans="17:34" ht="12.75" customHeight="1">
      <c r="Q168" s="668"/>
      <c r="R168" s="901"/>
      <c r="S168" s="901"/>
      <c r="T168" s="901"/>
      <c r="U168" s="930"/>
      <c r="V168" s="928"/>
      <c r="W168" s="929"/>
      <c r="X168" s="927"/>
      <c r="Y168" s="361"/>
      <c r="Z168" s="364"/>
      <c r="AA168"/>
      <c r="AB168"/>
      <c r="AC168"/>
      <c r="AD168"/>
      <c r="AE168"/>
      <c r="AF168"/>
      <c r="AG168"/>
      <c r="AH168"/>
    </row>
    <row r="169" spans="17:34" ht="12.75" customHeight="1">
      <c r="Q169" s="668"/>
      <c r="R169" s="973" t="s">
        <v>472</v>
      </c>
      <c r="S169" s="973"/>
      <c r="T169" s="973"/>
      <c r="U169" s="544">
        <f>U164*$V$11</f>
        <v>21589.333333333336</v>
      </c>
      <c r="V169" s="544">
        <f>V164*$V$11</f>
        <v>1747999.9999999998</v>
      </c>
      <c r="W169" s="544">
        <f>W164*$V$11</f>
        <v>1519999.9999999998</v>
      </c>
      <c r="X169" s="544">
        <f>X164*$V$11</f>
        <v>1248571.4285714284</v>
      </c>
      <c r="Y169" s="361"/>
      <c r="Z169" s="364"/>
      <c r="AA169"/>
      <c r="AB169"/>
      <c r="AC169"/>
      <c r="AD169"/>
      <c r="AE169"/>
      <c r="AF169"/>
      <c r="AG169"/>
      <c r="AH169"/>
    </row>
    <row r="170" spans="17:34" ht="12.75" customHeight="1">
      <c r="Q170" s="668"/>
      <c r="R170" s="973" t="s">
        <v>473</v>
      </c>
      <c r="S170" s="973"/>
      <c r="T170" s="973"/>
      <c r="U170" s="543"/>
      <c r="V170" s="544">
        <f>V165*$V$11</f>
        <v>9614000.0000000019</v>
      </c>
      <c r="W170" s="544">
        <f>W165*$V$11</f>
        <v>9728000.0000000019</v>
      </c>
      <c r="X170" s="544">
        <f>X165*$V$11</f>
        <v>9863714.2857142854</v>
      </c>
      <c r="Y170" s="361"/>
      <c r="Z170" s="364"/>
      <c r="AA170"/>
      <c r="AB170"/>
      <c r="AC170"/>
      <c r="AD170"/>
      <c r="AE170"/>
      <c r="AF170"/>
      <c r="AG170"/>
      <c r="AH170"/>
    </row>
    <row r="171" spans="17:34" ht="12.75" customHeight="1">
      <c r="Q171" s="668"/>
      <c r="R171" s="567"/>
      <c r="S171" s="568"/>
      <c r="T171" s="568"/>
      <c r="U171" s="573"/>
      <c r="V171" s="573"/>
      <c r="W171" s="573"/>
      <c r="X171" s="574"/>
      <c r="Y171" s="364"/>
      <c r="Z171" s="364"/>
      <c r="AA171"/>
      <c r="AB171"/>
      <c r="AC171"/>
      <c r="AD171"/>
      <c r="AE171"/>
      <c r="AF171"/>
      <c r="AG171"/>
      <c r="AH171"/>
    </row>
    <row r="172" spans="17:34" ht="12.75" customHeight="1">
      <c r="Q172" s="668"/>
      <c r="R172" s="901" t="s">
        <v>474</v>
      </c>
      <c r="S172" s="901"/>
      <c r="T172" s="901"/>
      <c r="U172" s="930" t="s">
        <v>500</v>
      </c>
      <c r="V172" s="928" t="s">
        <v>22</v>
      </c>
      <c r="W172" s="929" t="s">
        <v>579</v>
      </c>
      <c r="X172" s="927" t="s">
        <v>21</v>
      </c>
      <c r="Y172" s="361"/>
      <c r="Z172" s="364"/>
      <c r="AA172"/>
      <c r="AB172"/>
      <c r="AC172"/>
      <c r="AD172"/>
      <c r="AE172"/>
      <c r="AF172"/>
      <c r="AG172"/>
      <c r="AH172"/>
    </row>
    <row r="173" spans="17:34" ht="12.75" customHeight="1">
      <c r="Q173" s="668"/>
      <c r="R173" s="901"/>
      <c r="S173" s="901"/>
      <c r="T173" s="901"/>
      <c r="U173" s="930"/>
      <c r="V173" s="928"/>
      <c r="W173" s="929"/>
      <c r="X173" s="927"/>
      <c r="Y173" s="361"/>
      <c r="Z173" s="364"/>
      <c r="AA173"/>
      <c r="AB173"/>
      <c r="AC173"/>
      <c r="AD173"/>
      <c r="AE173"/>
      <c r="AF173"/>
      <c r="AG173"/>
      <c r="AH173"/>
    </row>
    <row r="174" spans="17:34" ht="12.75" customHeight="1">
      <c r="Q174" s="668"/>
      <c r="R174" s="973" t="s">
        <v>472</v>
      </c>
      <c r="S174" s="973"/>
      <c r="T174" s="973"/>
      <c r="U174" s="544">
        <f>U169*12</f>
        <v>259072.00000000003</v>
      </c>
      <c r="V174" s="544">
        <f>V169*12</f>
        <v>20975999.999999996</v>
      </c>
      <c r="W174" s="544">
        <f>W169*12</f>
        <v>18239999.999999996</v>
      </c>
      <c r="X174" s="544">
        <f>X169*12</f>
        <v>14982857.142857142</v>
      </c>
      <c r="Y174" s="361"/>
      <c r="Z174" s="364"/>
      <c r="AA174"/>
      <c r="AB174"/>
      <c r="AC174"/>
      <c r="AD174"/>
      <c r="AE174"/>
      <c r="AF174"/>
      <c r="AG174"/>
      <c r="AH174"/>
    </row>
    <row r="175" spans="17:34" ht="12.75" customHeight="1">
      <c r="Q175" s="668"/>
      <c r="R175" s="973" t="s">
        <v>473</v>
      </c>
      <c r="S175" s="973"/>
      <c r="T175" s="973"/>
      <c r="U175" s="543"/>
      <c r="V175" s="544">
        <f>V170*12</f>
        <v>115368000.00000003</v>
      </c>
      <c r="W175" s="544">
        <f>W170*12</f>
        <v>116736000.00000003</v>
      </c>
      <c r="X175" s="544">
        <f>X170*12</f>
        <v>118364571.42857143</v>
      </c>
      <c r="Y175" s="361"/>
      <c r="Z175" s="364"/>
      <c r="AA175"/>
      <c r="AB175"/>
      <c r="AC175"/>
      <c r="AD175"/>
      <c r="AE175"/>
      <c r="AF175"/>
      <c r="AG175"/>
      <c r="AH175"/>
    </row>
    <row r="176" spans="17:34" ht="12.75" customHeight="1">
      <c r="Q176" s="668"/>
      <c r="R176" s="381"/>
      <c r="S176" s="381"/>
      <c r="T176" s="381"/>
      <c r="U176" s="381"/>
      <c r="V176" s="381"/>
      <c r="W176" s="381"/>
      <c r="X176" s="381"/>
      <c r="Y176" s="364"/>
      <c r="Z176" s="364"/>
      <c r="AA176"/>
      <c r="AB176"/>
      <c r="AC176"/>
      <c r="AD176"/>
      <c r="AE176"/>
      <c r="AF176"/>
      <c r="AG176"/>
      <c r="AH176"/>
    </row>
    <row r="177" spans="17:34" ht="12.75" customHeight="1">
      <c r="Q177" s="668"/>
      <c r="R177" s="901" t="s">
        <v>433</v>
      </c>
      <c r="S177" s="901"/>
      <c r="T177" s="901"/>
      <c r="U177" s="949" t="s">
        <v>500</v>
      </c>
      <c r="V177" s="938" t="s">
        <v>22</v>
      </c>
      <c r="W177" s="940" t="s">
        <v>579</v>
      </c>
      <c r="X177" s="942" t="s">
        <v>21</v>
      </c>
      <c r="Y177" s="361"/>
      <c r="Z177" s="364"/>
      <c r="AA177"/>
      <c r="AB177"/>
      <c r="AC177"/>
      <c r="AD177"/>
      <c r="AE177"/>
      <c r="AF177"/>
      <c r="AG177"/>
      <c r="AH177"/>
    </row>
    <row r="178" spans="17:34" ht="12.75" customHeight="1">
      <c r="Q178" s="668"/>
      <c r="R178" s="901"/>
      <c r="S178" s="901"/>
      <c r="T178" s="901"/>
      <c r="U178" s="950"/>
      <c r="V178" s="939"/>
      <c r="W178" s="941"/>
      <c r="X178" s="943"/>
      <c r="Y178" s="361"/>
      <c r="Z178" s="364"/>
      <c r="AA178"/>
      <c r="AB178"/>
      <c r="AC178"/>
      <c r="AD178"/>
      <c r="AE178"/>
      <c r="AF178"/>
      <c r="AG178"/>
      <c r="AH178"/>
    </row>
    <row r="179" spans="17:34" ht="12.75" customHeight="1">
      <c r="Q179" s="668"/>
      <c r="R179" s="970" t="s">
        <v>459</v>
      </c>
      <c r="S179" s="971"/>
      <c r="T179" s="972"/>
      <c r="U179" s="544">
        <f>U164</f>
        <v>938.66666666666674</v>
      </c>
      <c r="V179" s="544">
        <f>V164+V165</f>
        <v>494000.00000000006</v>
      </c>
      <c r="W179" s="544">
        <f>W164+W165</f>
        <v>489043.47826086963</v>
      </c>
      <c r="X179" s="544">
        <f>X164+X165</f>
        <v>483142.8571428571</v>
      </c>
      <c r="Y179" s="361"/>
      <c r="Z179" s="364"/>
      <c r="AA179"/>
      <c r="AB179"/>
      <c r="AC179"/>
      <c r="AD179"/>
      <c r="AE179"/>
      <c r="AF179"/>
      <c r="AG179"/>
      <c r="AH179"/>
    </row>
    <row r="180" spans="17:34" ht="12.75" customHeight="1">
      <c r="Q180" s="668"/>
      <c r="R180" s="973" t="s">
        <v>307</v>
      </c>
      <c r="S180" s="973"/>
      <c r="T180" s="973"/>
      <c r="U180" s="544">
        <f>U169</f>
        <v>21589.333333333336</v>
      </c>
      <c r="V180" s="544">
        <f>V169+V170</f>
        <v>11362000.000000002</v>
      </c>
      <c r="W180" s="544">
        <f>W169+W170</f>
        <v>11248000.000000002</v>
      </c>
      <c r="X180" s="544">
        <f>X169+X170</f>
        <v>11112285.714285715</v>
      </c>
      <c r="Y180" s="361"/>
      <c r="Z180" s="364"/>
      <c r="AA180"/>
      <c r="AB180"/>
      <c r="AC180"/>
      <c r="AD180"/>
      <c r="AE180"/>
      <c r="AF180"/>
      <c r="AG180"/>
      <c r="AH180"/>
    </row>
    <row r="181" spans="17:34" ht="12.75" customHeight="1">
      <c r="Q181" s="668"/>
      <c r="R181" s="973" t="s">
        <v>308</v>
      </c>
      <c r="S181" s="973"/>
      <c r="T181" s="973"/>
      <c r="U181" s="544">
        <f>U174</f>
        <v>259072.00000000003</v>
      </c>
      <c r="V181" s="544">
        <f>V174+V175</f>
        <v>136344000.00000003</v>
      </c>
      <c r="W181" s="544">
        <f>W174+W175</f>
        <v>134976000.00000003</v>
      </c>
      <c r="X181" s="544">
        <f>X174+X175</f>
        <v>133347428.57142857</v>
      </c>
      <c r="Y181" s="361"/>
      <c r="Z181" s="364"/>
      <c r="AA181"/>
      <c r="AB181"/>
      <c r="AC181"/>
      <c r="AD181"/>
      <c r="AE181"/>
      <c r="AF181"/>
      <c r="AG181"/>
      <c r="AH181"/>
    </row>
    <row r="182" spans="17:34" ht="12.75" customHeight="1">
      <c r="Q182" s="668"/>
      <c r="R182" s="381"/>
      <c r="S182" s="381"/>
      <c r="T182" s="381"/>
      <c r="U182" s="381"/>
      <c r="V182" s="381"/>
      <c r="W182" s="381"/>
      <c r="X182" s="381"/>
      <c r="Y182" s="364"/>
      <c r="Z182" s="364"/>
      <c r="AA182"/>
      <c r="AB182"/>
      <c r="AC182"/>
      <c r="AD182"/>
      <c r="AE182"/>
      <c r="AF182"/>
      <c r="AG182"/>
      <c r="AH182"/>
    </row>
    <row r="183" spans="17:34" ht="12.75" customHeight="1">
      <c r="Q183" s="668"/>
      <c r="R183" s="901" t="s">
        <v>475</v>
      </c>
      <c r="S183" s="901"/>
      <c r="T183" s="901"/>
      <c r="U183" s="930" t="s">
        <v>500</v>
      </c>
      <c r="V183" s="928" t="s">
        <v>22</v>
      </c>
      <c r="W183" s="929" t="s">
        <v>579</v>
      </c>
      <c r="X183" s="927" t="s">
        <v>21</v>
      </c>
      <c r="Y183" s="361"/>
      <c r="Z183" s="364"/>
      <c r="AA183"/>
      <c r="AB183"/>
      <c r="AC183"/>
      <c r="AD183"/>
      <c r="AE183"/>
      <c r="AF183"/>
      <c r="AG183"/>
      <c r="AH183"/>
    </row>
    <row r="184" spans="17:34" ht="12.75" customHeight="1">
      <c r="Q184" s="668"/>
      <c r="R184" s="901"/>
      <c r="S184" s="901"/>
      <c r="T184" s="901"/>
      <c r="U184" s="930"/>
      <c r="V184" s="928"/>
      <c r="W184" s="929"/>
      <c r="X184" s="927"/>
      <c r="Y184" s="361"/>
      <c r="Z184" s="364"/>
      <c r="AA184"/>
      <c r="AB184"/>
      <c r="AC184"/>
      <c r="AD184"/>
      <c r="AE184"/>
      <c r="AF184"/>
      <c r="AG184"/>
      <c r="AH184"/>
    </row>
    <row r="185" spans="17:34" ht="12.75" customHeight="1">
      <c r="Q185" s="668"/>
      <c r="R185" s="973" t="s">
        <v>472</v>
      </c>
      <c r="S185" s="973"/>
      <c r="T185" s="973"/>
      <c r="U185" s="593">
        <f>$V$224*$U$148</f>
        <v>211.20000000000002</v>
      </c>
      <c r="V185" s="593">
        <f>($V$145*$V$146*$V$153*$V$152*$V$148)/$V$154</f>
        <v>17099.999999999996</v>
      </c>
      <c r="W185" s="593">
        <f>($W$145*$W$146*$W$153*$W$152*$W$148)/$W$154</f>
        <v>14869.565217391304</v>
      </c>
      <c r="X185" s="593">
        <f>($X$145*$X$146*$X$153*$X$152*$X$148)/$X$154</f>
        <v>12214.285714285714</v>
      </c>
      <c r="Y185" s="361"/>
      <c r="Z185" s="364"/>
      <c r="AA185"/>
      <c r="AB185"/>
      <c r="AC185"/>
      <c r="AD185"/>
      <c r="AE185"/>
      <c r="AF185"/>
      <c r="AG185"/>
      <c r="AH185"/>
    </row>
    <row r="186" spans="17:34" ht="12.75" customHeight="1">
      <c r="Q186" s="668"/>
      <c r="R186" s="973" t="s">
        <v>473</v>
      </c>
      <c r="S186" s="973"/>
      <c r="T186" s="973"/>
      <c r="U186" s="543"/>
      <c r="V186" s="593">
        <f>($V$145*$V$146*$V$159*$V$158*$V$148)/$V$160</f>
        <v>94050.000000000015</v>
      </c>
      <c r="W186" s="593">
        <f>($W$145*$W$146*$W$159*$W$158*$W$148)/$W$160</f>
        <v>95165.217391304366</v>
      </c>
      <c r="X186" s="593">
        <f>($X$145*$X$146*$X$159*$X$158*$X$148)/$X$160</f>
        <v>96492.857142857145</v>
      </c>
      <c r="Y186" s="361"/>
      <c r="Z186" s="364"/>
      <c r="AA186"/>
      <c r="AB186"/>
      <c r="AC186"/>
      <c r="AD186"/>
      <c r="AE186"/>
      <c r="AF186"/>
      <c r="AG186"/>
      <c r="AH186"/>
    </row>
    <row r="187" spans="17:34" ht="12.75" customHeight="1">
      <c r="Q187" s="668"/>
      <c r="R187" s="381"/>
      <c r="S187" s="381"/>
      <c r="T187" s="381"/>
      <c r="U187" s="381"/>
      <c r="V187" s="381"/>
      <c r="W187" s="381"/>
      <c r="X187" s="381"/>
      <c r="Y187" s="552"/>
      <c r="Z187" s="364"/>
      <c r="AA187"/>
      <c r="AB187"/>
      <c r="AC187"/>
      <c r="AD187"/>
      <c r="AE187"/>
      <c r="AF187"/>
      <c r="AG187"/>
      <c r="AH187"/>
    </row>
    <row r="188" spans="17:34" ht="12.75" customHeight="1">
      <c r="Q188" s="668"/>
      <c r="R188" s="901" t="s">
        <v>476</v>
      </c>
      <c r="S188" s="901"/>
      <c r="T188" s="901"/>
      <c r="U188" s="930" t="s">
        <v>500</v>
      </c>
      <c r="V188" s="928" t="s">
        <v>22</v>
      </c>
      <c r="W188" s="929" t="s">
        <v>579</v>
      </c>
      <c r="X188" s="927" t="s">
        <v>21</v>
      </c>
      <c r="Y188" s="361"/>
      <c r="Z188" s="364"/>
      <c r="AA188"/>
      <c r="AB188"/>
      <c r="AC188"/>
      <c r="AD188"/>
      <c r="AE188"/>
      <c r="AF188"/>
      <c r="AG188"/>
      <c r="AH188"/>
    </row>
    <row r="189" spans="17:34" ht="12.75" customHeight="1">
      <c r="Q189" s="668"/>
      <c r="R189" s="901"/>
      <c r="S189" s="901"/>
      <c r="T189" s="901"/>
      <c r="U189" s="930"/>
      <c r="V189" s="928"/>
      <c r="W189" s="929"/>
      <c r="X189" s="927"/>
      <c r="Y189" s="361"/>
      <c r="Z189" s="364"/>
      <c r="AA189"/>
      <c r="AB189"/>
      <c r="AC189"/>
      <c r="AD189"/>
      <c r="AE189"/>
      <c r="AF189"/>
      <c r="AG189"/>
      <c r="AH189"/>
    </row>
    <row r="190" spans="17:34" ht="12.75" customHeight="1">
      <c r="Q190" s="668"/>
      <c r="R190" s="973" t="s">
        <v>472</v>
      </c>
      <c r="S190" s="973"/>
      <c r="T190" s="973"/>
      <c r="U190" s="593">
        <f>U185*$V$11</f>
        <v>4857.6000000000004</v>
      </c>
      <c r="V190" s="593">
        <f>V185*$V$11</f>
        <v>393299.99999999994</v>
      </c>
      <c r="W190" s="593">
        <f>W185*$V$11</f>
        <v>342000</v>
      </c>
      <c r="X190" s="593">
        <f>X185*$V$11</f>
        <v>280928.57142857142</v>
      </c>
      <c r="Y190" s="361"/>
      <c r="Z190" s="364"/>
      <c r="AA190"/>
      <c r="AB190"/>
      <c r="AC190"/>
      <c r="AD190"/>
      <c r="AE190"/>
      <c r="AF190"/>
      <c r="AG190"/>
      <c r="AH190"/>
    </row>
    <row r="191" spans="17:34" ht="12.75" customHeight="1">
      <c r="Q191" s="668"/>
      <c r="R191" s="973" t="s">
        <v>473</v>
      </c>
      <c r="S191" s="973"/>
      <c r="T191" s="973"/>
      <c r="U191" s="543"/>
      <c r="V191" s="593">
        <f>V186*$V$11</f>
        <v>2163150.0000000005</v>
      </c>
      <c r="W191" s="593">
        <f>W186*$V$11</f>
        <v>2188800.0000000005</v>
      </c>
      <c r="X191" s="593">
        <f>X186*$V$11</f>
        <v>2219335.7142857146</v>
      </c>
      <c r="Y191" s="361"/>
      <c r="Z191" s="364"/>
      <c r="AA191"/>
      <c r="AB191"/>
      <c r="AC191"/>
      <c r="AD191"/>
      <c r="AE191"/>
      <c r="AF191"/>
      <c r="AG191"/>
      <c r="AH191"/>
    </row>
    <row r="192" spans="17:34" ht="12.75" customHeight="1">
      <c r="Q192" s="668"/>
      <c r="R192" s="367"/>
      <c r="S192" s="367"/>
      <c r="T192" s="367"/>
      <c r="U192" s="367"/>
      <c r="V192" s="367"/>
      <c r="W192" s="367"/>
      <c r="X192" s="367"/>
      <c r="Y192" s="364"/>
      <c r="Z192" s="364"/>
      <c r="AA192"/>
      <c r="AB192"/>
      <c r="AC192"/>
      <c r="AD192"/>
      <c r="AE192"/>
      <c r="AF192"/>
      <c r="AG192"/>
      <c r="AH192"/>
    </row>
    <row r="193" spans="17:34" ht="12.75" customHeight="1">
      <c r="Q193" s="668"/>
      <c r="R193" s="901" t="s">
        <v>477</v>
      </c>
      <c r="S193" s="901"/>
      <c r="T193" s="901"/>
      <c r="U193" s="930" t="s">
        <v>500</v>
      </c>
      <c r="V193" s="928" t="s">
        <v>22</v>
      </c>
      <c r="W193" s="929" t="s">
        <v>579</v>
      </c>
      <c r="X193" s="927" t="s">
        <v>21</v>
      </c>
      <c r="Y193" s="361"/>
      <c r="Z193" s="364"/>
      <c r="AA193"/>
      <c r="AB193"/>
      <c r="AC193"/>
      <c r="AD193"/>
      <c r="AE193"/>
      <c r="AF193"/>
      <c r="AG193"/>
      <c r="AH193"/>
    </row>
    <row r="194" spans="17:34" ht="12.75" customHeight="1">
      <c r="Q194" s="668"/>
      <c r="R194" s="901"/>
      <c r="S194" s="901"/>
      <c r="T194" s="901"/>
      <c r="U194" s="930"/>
      <c r="V194" s="928"/>
      <c r="W194" s="929"/>
      <c r="X194" s="927"/>
      <c r="Y194" s="361"/>
      <c r="Z194" s="364"/>
      <c r="AA194"/>
      <c r="AB194"/>
      <c r="AC194"/>
      <c r="AD194"/>
      <c r="AE194"/>
      <c r="AF194"/>
      <c r="AG194"/>
      <c r="AH194"/>
    </row>
    <row r="195" spans="17:34" ht="12.75" customHeight="1">
      <c r="Q195" s="668"/>
      <c r="R195" s="973" t="s">
        <v>472</v>
      </c>
      <c r="S195" s="973"/>
      <c r="T195" s="973"/>
      <c r="U195" s="593">
        <f>U190*12</f>
        <v>58291.200000000004</v>
      </c>
      <c r="V195" s="593">
        <f>V190*12</f>
        <v>4719599.9999999991</v>
      </c>
      <c r="W195" s="593">
        <f>W190*12</f>
        <v>4104000</v>
      </c>
      <c r="X195" s="593">
        <f>X190*12</f>
        <v>3371142.8571428573</v>
      </c>
      <c r="Y195" s="361"/>
      <c r="Z195" s="364"/>
      <c r="AA195"/>
      <c r="AB195"/>
      <c r="AC195"/>
      <c r="AD195"/>
      <c r="AE195"/>
      <c r="AF195"/>
      <c r="AG195"/>
      <c r="AH195"/>
    </row>
    <row r="196" spans="17:34" ht="12.75" customHeight="1">
      <c r="Q196" s="668"/>
      <c r="R196" s="973" t="s">
        <v>473</v>
      </c>
      <c r="S196" s="973"/>
      <c r="T196" s="973"/>
      <c r="U196" s="543"/>
      <c r="V196" s="593">
        <f>V191*12</f>
        <v>25957800.000000007</v>
      </c>
      <c r="W196" s="593">
        <f>W191*12</f>
        <v>26265600.000000007</v>
      </c>
      <c r="X196" s="593">
        <f>X191*12</f>
        <v>26632028.571428575</v>
      </c>
      <c r="Y196" s="361"/>
      <c r="Z196" s="364"/>
      <c r="AA196"/>
      <c r="AB196"/>
      <c r="AC196"/>
      <c r="AD196"/>
      <c r="AE196"/>
      <c r="AF196"/>
      <c r="AG196"/>
      <c r="AH196"/>
    </row>
    <row r="197" spans="17:34" ht="12.75" customHeight="1">
      <c r="Q197" s="668"/>
      <c r="R197" s="367"/>
      <c r="S197" s="367"/>
      <c r="T197" s="367"/>
      <c r="U197" s="367"/>
      <c r="V197" s="367"/>
      <c r="W197" s="367"/>
      <c r="X197" s="367"/>
      <c r="Y197" s="364"/>
      <c r="Z197" s="364"/>
      <c r="AA197"/>
      <c r="AB197"/>
      <c r="AC197"/>
      <c r="AD197"/>
      <c r="AE197"/>
      <c r="AF197"/>
      <c r="AG197"/>
      <c r="AH197"/>
    </row>
    <row r="198" spans="17:34" ht="12.75" customHeight="1">
      <c r="Q198" s="668"/>
      <c r="R198" s="901" t="s">
        <v>116</v>
      </c>
      <c r="S198" s="901"/>
      <c r="T198" s="901"/>
      <c r="U198" s="949" t="s">
        <v>500</v>
      </c>
      <c r="V198" s="938" t="s">
        <v>22</v>
      </c>
      <c r="W198" s="940" t="s">
        <v>579</v>
      </c>
      <c r="X198" s="942" t="s">
        <v>21</v>
      </c>
      <c r="Y198" s="361"/>
      <c r="Z198" s="364"/>
      <c r="AA198"/>
      <c r="AB198"/>
      <c r="AC198"/>
      <c r="AD198"/>
      <c r="AE198"/>
      <c r="AF198"/>
      <c r="AG198"/>
      <c r="AH198"/>
    </row>
    <row r="199" spans="17:34" ht="12.75" customHeight="1">
      <c r="Q199" s="668"/>
      <c r="R199" s="901"/>
      <c r="S199" s="901"/>
      <c r="T199" s="901"/>
      <c r="U199" s="950"/>
      <c r="V199" s="939"/>
      <c r="W199" s="941"/>
      <c r="X199" s="943"/>
      <c r="Y199" s="361"/>
      <c r="Z199" s="364"/>
      <c r="AA199"/>
      <c r="AB199"/>
      <c r="AC199"/>
      <c r="AD199"/>
      <c r="AE199"/>
      <c r="AF199"/>
      <c r="AG199"/>
      <c r="AH199"/>
    </row>
    <row r="200" spans="17:34" ht="12.75" customHeight="1">
      <c r="Q200" s="668"/>
      <c r="R200" s="970" t="s">
        <v>459</v>
      </c>
      <c r="S200" s="971"/>
      <c r="T200" s="972"/>
      <c r="U200" s="593">
        <f>U185</f>
        <v>211.20000000000002</v>
      </c>
      <c r="V200" s="593">
        <f>V185+V186</f>
        <v>111150.00000000001</v>
      </c>
      <c r="W200" s="593">
        <f>W185+W186</f>
        <v>110034.78260869568</v>
      </c>
      <c r="X200" s="593">
        <f>X185+X186</f>
        <v>108707.14285714286</v>
      </c>
      <c r="Y200" s="361"/>
      <c r="Z200" s="364"/>
      <c r="AA200"/>
      <c r="AB200"/>
      <c r="AC200"/>
      <c r="AD200"/>
      <c r="AE200"/>
      <c r="AF200"/>
      <c r="AG200"/>
      <c r="AH200"/>
    </row>
    <row r="201" spans="17:34" ht="12.75" customHeight="1">
      <c r="Q201" s="668"/>
      <c r="R201" s="973" t="s">
        <v>307</v>
      </c>
      <c r="S201" s="973"/>
      <c r="T201" s="973"/>
      <c r="U201" s="593">
        <f>U190</f>
        <v>4857.6000000000004</v>
      </c>
      <c r="V201" s="593">
        <f>V190+V191</f>
        <v>2556450.0000000005</v>
      </c>
      <c r="W201" s="593">
        <f>W190+W191</f>
        <v>2530800.0000000005</v>
      </c>
      <c r="X201" s="593">
        <f>X190+X191</f>
        <v>2500264.2857142859</v>
      </c>
      <c r="Y201" s="361"/>
      <c r="Z201" s="364"/>
      <c r="AA201"/>
      <c r="AB201"/>
      <c r="AC201"/>
      <c r="AD201"/>
      <c r="AE201"/>
      <c r="AF201"/>
      <c r="AG201"/>
      <c r="AH201"/>
    </row>
    <row r="202" spans="17:34" ht="12.75" customHeight="1">
      <c r="Q202" s="668"/>
      <c r="R202" s="973" t="s">
        <v>308</v>
      </c>
      <c r="S202" s="973"/>
      <c r="T202" s="973"/>
      <c r="U202" s="593">
        <f>U195</f>
        <v>58291.200000000004</v>
      </c>
      <c r="V202" s="593">
        <f>V195+V196</f>
        <v>30677400.000000007</v>
      </c>
      <c r="W202" s="593">
        <f>W195+W196</f>
        <v>30369600.000000007</v>
      </c>
      <c r="X202" s="593">
        <f>X195+X196</f>
        <v>30003171.428571433</v>
      </c>
      <c r="Y202" s="361"/>
      <c r="Z202" s="364"/>
      <c r="AA202"/>
      <c r="AB202"/>
      <c r="AC202"/>
      <c r="AD202"/>
      <c r="AE202"/>
      <c r="AF202"/>
      <c r="AG202"/>
      <c r="AH202"/>
    </row>
    <row r="203" spans="17:34" ht="12.75" customHeight="1">
      <c r="Q203" s="668"/>
      <c r="R203" s="575"/>
      <c r="S203" s="575"/>
      <c r="T203" s="575"/>
      <c r="U203" s="382"/>
      <c r="V203" s="382"/>
      <c r="W203" s="382"/>
      <c r="X203" s="382"/>
      <c r="Y203" s="364"/>
      <c r="Z203" s="364"/>
      <c r="AA203"/>
      <c r="AB203"/>
      <c r="AC203"/>
      <c r="AD203"/>
      <c r="AE203"/>
      <c r="AF203"/>
      <c r="AG203"/>
      <c r="AH203"/>
    </row>
    <row r="204" spans="17:34" ht="12.75" customHeight="1">
      <c r="Q204" s="668"/>
      <c r="R204" s="974" t="s">
        <v>775</v>
      </c>
      <c r="S204" s="974"/>
      <c r="T204" s="974"/>
      <c r="U204" s="974"/>
      <c r="V204" s="974"/>
      <c r="W204" s="974"/>
      <c r="X204" s="974"/>
      <c r="Y204" s="974"/>
      <c r="Z204" s="364"/>
      <c r="AA204"/>
      <c r="AB204"/>
      <c r="AC204"/>
      <c r="AD204"/>
      <c r="AE204"/>
      <c r="AF204"/>
      <c r="AG204"/>
      <c r="AH204"/>
    </row>
    <row r="205" spans="17:34" ht="12.75" customHeight="1">
      <c r="Q205" s="668"/>
      <c r="R205" s="974"/>
      <c r="S205" s="974"/>
      <c r="T205" s="974"/>
      <c r="U205" s="974"/>
      <c r="V205" s="974"/>
      <c r="W205" s="974"/>
      <c r="X205" s="974"/>
      <c r="Y205" s="974"/>
      <c r="Z205" s="576"/>
      <c r="AA205"/>
      <c r="AB205"/>
      <c r="AC205"/>
      <c r="AD205"/>
      <c r="AE205"/>
      <c r="AF205"/>
      <c r="AG205"/>
      <c r="AH205"/>
    </row>
    <row r="206" spans="17:34" ht="12.75" customHeight="1">
      <c r="Q206" s="668"/>
      <c r="R206" s="974"/>
      <c r="S206" s="974"/>
      <c r="T206" s="974"/>
      <c r="U206" s="974"/>
      <c r="V206" s="974"/>
      <c r="W206" s="974"/>
      <c r="X206" s="974"/>
      <c r="Y206" s="974"/>
      <c r="Z206" s="576"/>
      <c r="AA206"/>
      <c r="AB206"/>
      <c r="AC206"/>
      <c r="AD206"/>
      <c r="AE206"/>
      <c r="AF206"/>
      <c r="AG206"/>
      <c r="AH206"/>
    </row>
    <row r="207" spans="17:34" ht="12.75" customHeight="1">
      <c r="Q207" s="668"/>
      <c r="R207" s="974"/>
      <c r="S207" s="974"/>
      <c r="T207" s="974"/>
      <c r="U207" s="974"/>
      <c r="V207" s="974"/>
      <c r="W207" s="974"/>
      <c r="X207" s="974"/>
      <c r="Y207" s="974"/>
      <c r="Z207" s="576"/>
      <c r="AA207"/>
      <c r="AB207"/>
      <c r="AC207"/>
      <c r="AD207"/>
      <c r="AE207"/>
      <c r="AF207"/>
      <c r="AG207"/>
      <c r="AH207"/>
    </row>
    <row r="208" spans="17:34" ht="12.75" customHeight="1">
      <c r="Q208" s="668"/>
      <c r="R208" s="974"/>
      <c r="S208" s="974"/>
      <c r="T208" s="974"/>
      <c r="U208" s="974"/>
      <c r="V208" s="974"/>
      <c r="W208" s="974"/>
      <c r="X208" s="974"/>
      <c r="Y208" s="974"/>
      <c r="Z208" s="576"/>
      <c r="AA208"/>
      <c r="AB208"/>
      <c r="AC208"/>
      <c r="AD208"/>
      <c r="AE208"/>
      <c r="AF208"/>
      <c r="AG208"/>
      <c r="AH208"/>
    </row>
    <row r="209" spans="17:34" ht="12.75" customHeight="1">
      <c r="Q209" s="668"/>
      <c r="R209" s="364"/>
      <c r="S209" s="375"/>
      <c r="T209" s="375"/>
      <c r="U209" s="577"/>
      <c r="V209" s="577"/>
      <c r="W209" s="577"/>
      <c r="X209" s="577"/>
      <c r="Y209" s="551"/>
      <c r="Z209" s="363"/>
      <c r="AA209"/>
      <c r="AB209"/>
      <c r="AC209"/>
      <c r="AD209"/>
      <c r="AE209"/>
      <c r="AF209"/>
      <c r="AG209"/>
      <c r="AH209"/>
    </row>
    <row r="210" spans="17:34" ht="12.75" customHeight="1">
      <c r="Q210" s="668"/>
      <c r="R210" s="975" t="s">
        <v>667</v>
      </c>
      <c r="S210" s="976"/>
      <c r="T210" s="976"/>
      <c r="U210" s="976"/>
      <c r="V210" s="976"/>
      <c r="W210" s="976"/>
      <c r="X210" s="979">
        <f>10*V25</f>
        <v>76800</v>
      </c>
      <c r="Y210" s="935" t="s">
        <v>668</v>
      </c>
      <c r="Z210" s="364"/>
      <c r="AA210"/>
      <c r="AB210"/>
      <c r="AC210"/>
      <c r="AD210"/>
      <c r="AE210"/>
      <c r="AF210"/>
      <c r="AG210"/>
      <c r="AH210"/>
    </row>
    <row r="211" spans="17:34" ht="12.75" customHeight="1">
      <c r="Q211" s="668"/>
      <c r="R211" s="977"/>
      <c r="S211" s="978"/>
      <c r="T211" s="978"/>
      <c r="U211" s="978"/>
      <c r="V211" s="978"/>
      <c r="W211" s="978"/>
      <c r="X211" s="979"/>
      <c r="Y211" s="935"/>
      <c r="Z211" s="364"/>
      <c r="AA211"/>
      <c r="AB211"/>
      <c r="AC211"/>
      <c r="AD211"/>
      <c r="AE211"/>
      <c r="AF211"/>
      <c r="AG211"/>
      <c r="AH211"/>
    </row>
    <row r="212" spans="17:34" ht="12.75" customHeight="1">
      <c r="Q212" s="668"/>
      <c r="R212" s="578"/>
      <c r="S212" s="578"/>
      <c r="T212" s="578"/>
      <c r="U212" s="578"/>
      <c r="V212" s="578"/>
      <c r="W212" s="578"/>
      <c r="X212" s="578"/>
      <c r="Y212" s="579"/>
      <c r="Z212" s="551"/>
      <c r="AA212"/>
      <c r="AB212"/>
      <c r="AC212"/>
      <c r="AD212"/>
      <c r="AE212"/>
      <c r="AF212"/>
      <c r="AG212"/>
      <c r="AH212"/>
    </row>
    <row r="213" spans="17:34" ht="12.75" customHeight="1">
      <c r="Q213" s="668"/>
      <c r="R213" s="937" t="s">
        <v>678</v>
      </c>
      <c r="S213" s="937"/>
      <c r="T213" s="937"/>
      <c r="U213" s="937"/>
      <c r="V213" s="949" t="s">
        <v>500</v>
      </c>
      <c r="W213" s="938" t="s">
        <v>22</v>
      </c>
      <c r="X213" s="940" t="s">
        <v>579</v>
      </c>
      <c r="Y213" s="942" t="s">
        <v>21</v>
      </c>
      <c r="Z213" s="361"/>
      <c r="AA213"/>
      <c r="AB213"/>
      <c r="AC213"/>
      <c r="AD213"/>
      <c r="AE213"/>
      <c r="AF213"/>
      <c r="AG213"/>
      <c r="AH213"/>
    </row>
    <row r="214" spans="17:34" ht="12.75" customHeight="1">
      <c r="Q214" s="668"/>
      <c r="R214" s="937"/>
      <c r="S214" s="937"/>
      <c r="T214" s="937"/>
      <c r="U214" s="937"/>
      <c r="V214" s="950"/>
      <c r="W214" s="939"/>
      <c r="X214" s="941"/>
      <c r="Y214" s="943"/>
      <c r="Z214" s="361"/>
      <c r="AA214"/>
      <c r="AB214"/>
      <c r="AC214"/>
      <c r="AD214"/>
      <c r="AE214"/>
      <c r="AF214"/>
      <c r="AG214"/>
      <c r="AH214"/>
    </row>
    <row r="215" spans="17:34" ht="12.75" customHeight="1">
      <c r="Q215" s="668"/>
      <c r="R215" s="968" t="s">
        <v>533</v>
      </c>
      <c r="S215" s="968"/>
      <c r="T215" s="968"/>
      <c r="U215" s="968"/>
      <c r="V215" s="580">
        <v>0.107</v>
      </c>
      <c r="W215" s="581">
        <f>VLOOKUP($V$5,'Lookup Energy kWhm'!$B$8:$E$208,3)</f>
        <v>0.13</v>
      </c>
      <c r="X215" s="581">
        <f>VLOOKUP($V$5,'Lookup Energy kWhm'!$B$8:$E$208,4)</f>
        <v>0.14799999999999999</v>
      </c>
      <c r="Y215" s="581">
        <f>VLOOKUP($V$5,'Lookup Energy kWhm'!$B$8:$E$208,2)</f>
        <v>0.1</v>
      </c>
      <c r="Z215" s="361"/>
      <c r="AA215"/>
      <c r="AB215"/>
      <c r="AC215"/>
      <c r="AD215"/>
      <c r="AE215"/>
      <c r="AF215"/>
      <c r="AG215"/>
      <c r="AH215"/>
    </row>
    <row r="216" spans="17:34" ht="12.75" customHeight="1">
      <c r="Q216" s="668"/>
      <c r="R216" s="969" t="s">
        <v>31</v>
      </c>
      <c r="S216" s="969"/>
      <c r="T216" s="969"/>
      <c r="U216" s="969"/>
      <c r="V216" s="556">
        <f t="shared" ref="V216:W219" si="2">X216</f>
        <v>1.2</v>
      </c>
      <c r="W216" s="556">
        <f t="shared" si="2"/>
        <v>1.2</v>
      </c>
      <c r="X216" s="556">
        <f>W216</f>
        <v>1.2</v>
      </c>
      <c r="Y216" s="556">
        <f>V20</f>
        <v>1.2</v>
      </c>
      <c r="Z216" s="361"/>
      <c r="AA216"/>
      <c r="AB216"/>
      <c r="AC216"/>
      <c r="AD216"/>
      <c r="AE216"/>
      <c r="AF216"/>
      <c r="AG216"/>
      <c r="AH216"/>
    </row>
    <row r="217" spans="17:34" ht="12.75" customHeight="1">
      <c r="Q217" s="668"/>
      <c r="R217" s="969" t="s">
        <v>314</v>
      </c>
      <c r="S217" s="969"/>
      <c r="T217" s="969"/>
      <c r="U217" s="969"/>
      <c r="V217" s="556">
        <f t="shared" si="2"/>
        <v>160</v>
      </c>
      <c r="W217" s="556">
        <f t="shared" si="2"/>
        <v>160</v>
      </c>
      <c r="X217" s="556">
        <f>W217</f>
        <v>160</v>
      </c>
      <c r="Y217" s="556">
        <f>V19</f>
        <v>160</v>
      </c>
      <c r="Z217" s="361"/>
      <c r="AA217"/>
      <c r="AB217"/>
      <c r="AC217"/>
      <c r="AD217"/>
      <c r="AE217"/>
      <c r="AF217"/>
      <c r="AG217"/>
      <c r="AH217"/>
    </row>
    <row r="218" spans="17:34" ht="12.75" customHeight="1">
      <c r="Q218" s="668"/>
      <c r="R218" s="969" t="s">
        <v>20</v>
      </c>
      <c r="S218" s="969"/>
      <c r="T218" s="969"/>
      <c r="U218" s="969"/>
      <c r="V218" s="556">
        <f t="shared" si="2"/>
        <v>40</v>
      </c>
      <c r="W218" s="556">
        <f t="shared" si="2"/>
        <v>40</v>
      </c>
      <c r="X218" s="556">
        <f>W218</f>
        <v>40</v>
      </c>
      <c r="Y218" s="556">
        <f>V22</f>
        <v>40</v>
      </c>
      <c r="Z218" s="361"/>
      <c r="AA218"/>
      <c r="AB218"/>
      <c r="AC218"/>
      <c r="AD218"/>
      <c r="AE218"/>
      <c r="AF218"/>
      <c r="AG218"/>
      <c r="AH218"/>
    </row>
    <row r="219" spans="17:34" ht="12.75" customHeight="1">
      <c r="Q219" s="668"/>
      <c r="R219" s="969" t="s">
        <v>310</v>
      </c>
      <c r="S219" s="969"/>
      <c r="T219" s="969"/>
      <c r="U219" s="969"/>
      <c r="V219" s="556">
        <f t="shared" si="2"/>
        <v>160</v>
      </c>
      <c r="W219" s="556">
        <f t="shared" si="2"/>
        <v>160</v>
      </c>
      <c r="X219" s="556">
        <f>W219</f>
        <v>160</v>
      </c>
      <c r="Y219" s="556">
        <f>V23</f>
        <v>160</v>
      </c>
      <c r="Z219" s="361"/>
      <c r="AA219"/>
      <c r="AB219"/>
      <c r="AC219"/>
      <c r="AD219"/>
      <c r="AE219"/>
      <c r="AF219"/>
      <c r="AG219"/>
      <c r="AH219"/>
    </row>
    <row r="220" spans="17:34" ht="12.75" customHeight="1">
      <c r="Q220" s="668"/>
      <c r="R220" s="968" t="s">
        <v>543</v>
      </c>
      <c r="S220" s="968"/>
      <c r="T220" s="968"/>
      <c r="U220" s="968"/>
      <c r="V220" s="582">
        <f>V215*V216*V217*V218</f>
        <v>821.75999999999988</v>
      </c>
      <c r="W220" s="582">
        <f>W215*W216*W217*W218</f>
        <v>998.40000000000009</v>
      </c>
      <c r="X220" s="582">
        <f>X215*X216*X217*X218</f>
        <v>1136.6399999999999</v>
      </c>
      <c r="Y220" s="582">
        <f>Y215*Y216*Y217*Y218</f>
        <v>768</v>
      </c>
      <c r="Z220" s="361"/>
      <c r="AA220"/>
      <c r="AB220"/>
      <c r="AC220"/>
      <c r="AD220"/>
      <c r="AE220"/>
      <c r="AF220"/>
      <c r="AG220"/>
      <c r="AH220"/>
    </row>
    <row r="221" spans="17:34" ht="12.75" customHeight="1">
      <c r="Q221" s="668"/>
      <c r="R221" s="968" t="s">
        <v>542</v>
      </c>
      <c r="S221" s="968"/>
      <c r="T221" s="968"/>
      <c r="U221" s="968"/>
      <c r="V221" s="583">
        <f>V220/V219</f>
        <v>5.1359999999999992</v>
      </c>
      <c r="W221" s="583">
        <f>W220/W219</f>
        <v>6.24</v>
      </c>
      <c r="X221" s="583">
        <f>X220/X219</f>
        <v>7.1039999999999992</v>
      </c>
      <c r="Y221" s="583">
        <f>Y220/Y219</f>
        <v>4.8</v>
      </c>
      <c r="Z221" s="361"/>
      <c r="AA221"/>
      <c r="AB221"/>
      <c r="AC221"/>
      <c r="AD221"/>
      <c r="AE221"/>
      <c r="AF221"/>
      <c r="AG221"/>
      <c r="AH221"/>
    </row>
    <row r="222" spans="17:34" ht="12.75" customHeight="1">
      <c r="Q222" s="668"/>
      <c r="R222" s="968" t="s">
        <v>538</v>
      </c>
      <c r="S222" s="968"/>
      <c r="T222" s="968"/>
      <c r="U222" s="968"/>
      <c r="V222" s="537">
        <f>U62</f>
        <v>2.6666666666666665</v>
      </c>
      <c r="W222" s="537">
        <f>V62</f>
        <v>1.9999999999999996</v>
      </c>
      <c r="X222" s="537">
        <f>W62</f>
        <v>1.7391304347826084</v>
      </c>
      <c r="Y222" s="537">
        <f>X62</f>
        <v>1.4285714285714284</v>
      </c>
      <c r="Z222" s="361"/>
      <c r="AA222"/>
      <c r="AB222"/>
      <c r="AC222"/>
      <c r="AD222"/>
      <c r="AE222"/>
      <c r="AF222"/>
      <c r="AG222"/>
      <c r="AH222"/>
    </row>
    <row r="223" spans="17:34" ht="12.75" customHeight="1">
      <c r="Q223" s="668"/>
      <c r="R223" s="968" t="s">
        <v>546</v>
      </c>
      <c r="S223" s="968"/>
      <c r="T223" s="968"/>
      <c r="U223" s="968"/>
      <c r="V223" s="584">
        <f>2.2*V222</f>
        <v>5.8666666666666671</v>
      </c>
      <c r="W223" s="584">
        <f>W222/W215</f>
        <v>15.384615384615381</v>
      </c>
      <c r="X223" s="584">
        <f>X222/X215</f>
        <v>11.750881316098706</v>
      </c>
      <c r="Y223" s="584">
        <f>Y222/Y215</f>
        <v>14.285714285714283</v>
      </c>
      <c r="Z223" s="361"/>
      <c r="AA223"/>
      <c r="AB223"/>
      <c r="AC223"/>
      <c r="AD223"/>
      <c r="AE223"/>
      <c r="AF223"/>
      <c r="AG223"/>
      <c r="AH223"/>
    </row>
    <row r="224" spans="17:34" ht="12.75" customHeight="1">
      <c r="Q224" s="668"/>
      <c r="R224" s="968" t="s">
        <v>544</v>
      </c>
      <c r="S224" s="968"/>
      <c r="T224" s="968"/>
      <c r="U224" s="968"/>
      <c r="V224" s="582">
        <f>V219*V223</f>
        <v>938.66666666666674</v>
      </c>
      <c r="W224" s="582">
        <f>W219*W223</f>
        <v>2461.538461538461</v>
      </c>
      <c r="X224" s="582">
        <f>X219*X223</f>
        <v>1880.141010575793</v>
      </c>
      <c r="Y224" s="674">
        <f>Y219*Y223</f>
        <v>2285.7142857142853</v>
      </c>
      <c r="Z224" s="361"/>
      <c r="AA224"/>
      <c r="AB224"/>
      <c r="AC224"/>
      <c r="AD224"/>
      <c r="AE224"/>
      <c r="AF224"/>
      <c r="AG224"/>
      <c r="AH224"/>
    </row>
    <row r="225" spans="17:34" ht="12.75" customHeight="1">
      <c r="Q225" s="668"/>
      <c r="R225" s="969" t="s">
        <v>535</v>
      </c>
      <c r="S225" s="969"/>
      <c r="T225" s="969"/>
      <c r="U225" s="969"/>
      <c r="V225" s="556">
        <f>V217/V222</f>
        <v>60</v>
      </c>
      <c r="W225" s="556">
        <f>W217/W222</f>
        <v>80.000000000000014</v>
      </c>
      <c r="X225" s="556">
        <f>X217/X222</f>
        <v>92.000000000000014</v>
      </c>
      <c r="Y225" s="556">
        <f>Y217/Y222</f>
        <v>112.00000000000001</v>
      </c>
      <c r="Z225" s="361"/>
      <c r="AA225"/>
      <c r="AB225"/>
      <c r="AC225"/>
      <c r="AD225"/>
      <c r="AE225"/>
      <c r="AF225"/>
      <c r="AG225"/>
      <c r="AH225"/>
    </row>
    <row r="226" spans="17:34" ht="12.75" customHeight="1">
      <c r="Q226" s="668"/>
      <c r="R226" s="969" t="s">
        <v>536</v>
      </c>
      <c r="S226" s="969"/>
      <c r="T226" s="969"/>
      <c r="U226" s="969"/>
      <c r="V226" s="675">
        <f>V216*V225</f>
        <v>72</v>
      </c>
      <c r="W226" s="675">
        <f>W216*W225</f>
        <v>96.000000000000014</v>
      </c>
      <c r="X226" s="675">
        <f>X216*X225</f>
        <v>110.40000000000002</v>
      </c>
      <c r="Y226" s="675">
        <f>Y216*Y225</f>
        <v>134.4</v>
      </c>
      <c r="Z226" s="361"/>
      <c r="AA226"/>
      <c r="AB226"/>
      <c r="AC226"/>
      <c r="AD226"/>
      <c r="AE226"/>
      <c r="AF226"/>
      <c r="AG226"/>
      <c r="AH226"/>
    </row>
    <row r="227" spans="17:34" ht="12.75" customHeight="1">
      <c r="Q227" s="668"/>
      <c r="R227" s="968" t="s">
        <v>534</v>
      </c>
      <c r="S227" s="968"/>
      <c r="T227" s="968"/>
      <c r="U227" s="968"/>
      <c r="V227" s="583">
        <f>U56</f>
        <v>4</v>
      </c>
      <c r="W227" s="583">
        <f>V56</f>
        <v>2.9999999999999996</v>
      </c>
      <c r="X227" s="583">
        <f>W56</f>
        <v>2.6086956521739126</v>
      </c>
      <c r="Y227" s="583">
        <f>X56</f>
        <v>2.1428571428571428</v>
      </c>
      <c r="Z227" s="361"/>
      <c r="AA227"/>
      <c r="AB227"/>
      <c r="AC227"/>
      <c r="AD227"/>
      <c r="AE227"/>
      <c r="AF227"/>
      <c r="AG227"/>
      <c r="AH227"/>
    </row>
    <row r="228" spans="17:34" ht="12.75" customHeight="1">
      <c r="Q228" s="668"/>
      <c r="R228" s="968" t="s">
        <v>537</v>
      </c>
      <c r="S228" s="968"/>
      <c r="T228" s="968"/>
      <c r="U228" s="968"/>
      <c r="V228" s="584">
        <f>V225*V227</f>
        <v>240</v>
      </c>
      <c r="W228" s="584">
        <f>W225*W227</f>
        <v>240</v>
      </c>
      <c r="X228" s="584">
        <f>X225*X227</f>
        <v>240</v>
      </c>
      <c r="Y228" s="584">
        <f>Y225*Y227</f>
        <v>240.00000000000003</v>
      </c>
      <c r="Z228" s="361"/>
      <c r="AA228"/>
      <c r="AB228"/>
      <c r="AC228"/>
      <c r="AD228"/>
      <c r="AE228"/>
      <c r="AF228"/>
      <c r="AG228"/>
      <c r="AH228"/>
    </row>
    <row r="229" spans="17:34" ht="12.75" customHeight="1">
      <c r="Q229" s="668"/>
      <c r="R229" s="968" t="s">
        <v>545</v>
      </c>
      <c r="S229" s="968"/>
      <c r="T229" s="968"/>
      <c r="U229" s="968"/>
      <c r="V229" s="585">
        <f>V221/V223</f>
        <v>0.87545454545454526</v>
      </c>
      <c r="W229" s="585">
        <f>W221/W223</f>
        <v>0.40560000000000007</v>
      </c>
      <c r="X229" s="585">
        <f>X221/X223</f>
        <v>0.60455040000000004</v>
      </c>
      <c r="Y229" s="585">
        <f>Y221/Y223</f>
        <v>0.33600000000000008</v>
      </c>
      <c r="Z229" s="361"/>
      <c r="AA229"/>
      <c r="AB229"/>
      <c r="AC229"/>
      <c r="AD229"/>
      <c r="AE229"/>
      <c r="AF229"/>
      <c r="AG229"/>
      <c r="AH229"/>
    </row>
    <row r="230" spans="17:34" ht="12.75" customHeight="1">
      <c r="Q230" s="668"/>
      <c r="R230" s="540" t="s">
        <v>547</v>
      </c>
      <c r="S230" s="540"/>
      <c r="T230" s="540"/>
      <c r="U230" s="540"/>
      <c r="V230" s="585"/>
      <c r="W230" s="586">
        <f>10*W217*W216*W218</f>
        <v>76800</v>
      </c>
      <c r="X230" s="586">
        <f>10*X217*X216*X218</f>
        <v>76800</v>
      </c>
      <c r="Y230" s="586">
        <f>10*Y217*Y216*Y218</f>
        <v>76800</v>
      </c>
      <c r="Z230" s="361"/>
      <c r="AA230"/>
      <c r="AB230"/>
      <c r="AC230"/>
      <c r="AD230"/>
      <c r="AE230"/>
      <c r="AF230"/>
      <c r="AG230"/>
      <c r="AH230"/>
    </row>
    <row r="231" spans="17:34" ht="12.75" customHeight="1">
      <c r="Q231" s="668"/>
      <c r="R231" s="968" t="s">
        <v>548</v>
      </c>
      <c r="S231" s="968"/>
      <c r="T231" s="968"/>
      <c r="U231" s="968"/>
      <c r="V231" s="585">
        <f>V229</f>
        <v>0.87545454545454526</v>
      </c>
      <c r="W231" s="585">
        <f>W220/W230</f>
        <v>1.3000000000000001E-2</v>
      </c>
      <c r="X231" s="585">
        <f>X220/X230</f>
        <v>1.4799999999999999E-2</v>
      </c>
      <c r="Y231" s="585">
        <f>Y220/Y230</f>
        <v>0.01</v>
      </c>
      <c r="Z231" s="361"/>
      <c r="AA231"/>
      <c r="AB231"/>
      <c r="AC231"/>
      <c r="AD231"/>
      <c r="AE231"/>
      <c r="AF231"/>
      <c r="AG231"/>
      <c r="AH231"/>
    </row>
    <row r="232" spans="17:34" ht="12.75" customHeight="1">
      <c r="Q232" s="668"/>
      <c r="R232" s="587"/>
      <c r="S232" s="587"/>
      <c r="T232" s="587"/>
      <c r="U232" s="587"/>
      <c r="V232" s="588"/>
      <c r="W232" s="588"/>
      <c r="X232" s="588"/>
      <c r="Y232" s="588"/>
      <c r="Z232" s="589"/>
      <c r="AA232"/>
      <c r="AB232"/>
      <c r="AC232"/>
      <c r="AD232"/>
      <c r="AE232"/>
      <c r="AF232"/>
      <c r="AG232"/>
      <c r="AH232"/>
    </row>
    <row r="233" spans="17:34" ht="12.75" customHeight="1">
      <c r="Q233" s="668"/>
      <c r="R233" s="587"/>
      <c r="S233" s="587"/>
      <c r="T233" s="587"/>
      <c r="U233" s="587"/>
      <c r="V233" s="676"/>
      <c r="W233" s="676"/>
      <c r="X233" s="676"/>
      <c r="Y233" s="588"/>
      <c r="Z233" s="364"/>
      <c r="AA233"/>
      <c r="AB233"/>
      <c r="AC233"/>
      <c r="AD233"/>
      <c r="AE233"/>
      <c r="AF233"/>
      <c r="AG233"/>
      <c r="AH233"/>
    </row>
    <row r="234" spans="17:34" ht="12.75" customHeight="1">
      <c r="Q234" s="668" t="s">
        <v>240</v>
      </c>
      <c r="R234" s="364" t="s">
        <v>241</v>
      </c>
      <c r="S234" s="364"/>
      <c r="T234" s="364"/>
      <c r="U234" s="364"/>
      <c r="V234" s="364"/>
      <c r="W234" s="364"/>
      <c r="X234" s="364"/>
      <c r="Y234" s="364"/>
      <c r="Z234" s="364"/>
      <c r="AA234"/>
      <c r="AB234"/>
      <c r="AC234"/>
      <c r="AD234"/>
      <c r="AE234"/>
      <c r="AF234"/>
      <c r="AG234"/>
      <c r="AH234"/>
    </row>
    <row r="235" spans="17:34" ht="12.75" customHeight="1">
      <c r="Q235" s="364"/>
      <c r="R235" s="962" t="s">
        <v>301</v>
      </c>
      <c r="S235" s="963"/>
      <c r="T235" s="964"/>
      <c r="U235" s="949" t="s">
        <v>500</v>
      </c>
      <c r="V235" s="938" t="s">
        <v>22</v>
      </c>
      <c r="W235" s="940" t="s">
        <v>579</v>
      </c>
      <c r="X235" s="942" t="s">
        <v>21</v>
      </c>
      <c r="Y235" s="361"/>
      <c r="Z235" s="364"/>
      <c r="AA235"/>
      <c r="AB235"/>
      <c r="AC235"/>
      <c r="AD235"/>
      <c r="AE235"/>
      <c r="AF235"/>
      <c r="AG235"/>
      <c r="AH235"/>
    </row>
    <row r="236" spans="17:34" ht="12.75" customHeight="1">
      <c r="Q236" s="364"/>
      <c r="R236" s="965"/>
      <c r="S236" s="966"/>
      <c r="T236" s="967"/>
      <c r="U236" s="950"/>
      <c r="V236" s="939"/>
      <c r="W236" s="941"/>
      <c r="X236" s="943"/>
      <c r="Y236" s="361"/>
      <c r="Z236" s="364"/>
      <c r="AA236"/>
      <c r="AB236"/>
      <c r="AC236"/>
      <c r="AD236"/>
      <c r="AE236"/>
      <c r="AF236"/>
      <c r="AG236"/>
      <c r="AH236"/>
    </row>
    <row r="237" spans="17:34" ht="12.75" customHeight="1">
      <c r="Q237" s="364"/>
      <c r="R237" s="931" t="s">
        <v>662</v>
      </c>
      <c r="S237" s="931"/>
      <c r="T237" s="931"/>
      <c r="U237" s="901" t="s">
        <v>427</v>
      </c>
      <c r="V237" s="562">
        <f>VLOOKUP($V$5,'Lookup Air Consumption'!$B$8:$E$208,3)</f>
        <v>38</v>
      </c>
      <c r="W237" s="562">
        <f>VLOOKUP($V$5,'Lookup Air Consumption'!$B$8:$E$208,4)</f>
        <v>50</v>
      </c>
      <c r="X237" s="562">
        <f>VLOOKUP($V$5,'Lookup Air Consumption'!$B$8:$E$208,2)</f>
        <v>41</v>
      </c>
      <c r="Y237" s="361"/>
      <c r="Z237" s="364"/>
      <c r="AA237"/>
      <c r="AB237"/>
      <c r="AC237"/>
      <c r="AD237"/>
      <c r="AE237"/>
      <c r="AF237"/>
      <c r="AG237"/>
      <c r="AH237"/>
    </row>
    <row r="238" spans="17:34" ht="12.75" customHeight="1">
      <c r="Q238" s="364"/>
      <c r="R238" s="931" t="s">
        <v>663</v>
      </c>
      <c r="S238" s="931"/>
      <c r="T238" s="931"/>
      <c r="U238" s="901"/>
      <c r="V238" s="590">
        <f>V237/1000</f>
        <v>3.7999999999999999E-2</v>
      </c>
      <c r="W238" s="590">
        <f>W237/1000</f>
        <v>0.05</v>
      </c>
      <c r="X238" s="590">
        <f>X237/1000</f>
        <v>4.1000000000000002E-2</v>
      </c>
      <c r="Y238" s="361"/>
      <c r="Z238" s="364"/>
      <c r="AA238"/>
      <c r="AB238"/>
      <c r="AC238"/>
      <c r="AD238"/>
      <c r="AE238"/>
      <c r="AF238"/>
      <c r="AG238"/>
      <c r="AH238"/>
    </row>
    <row r="239" spans="17:34" ht="12.75" customHeight="1">
      <c r="Q239" s="364"/>
      <c r="R239" s="931" t="s">
        <v>664</v>
      </c>
      <c r="S239" s="931"/>
      <c r="T239" s="931"/>
      <c r="U239" s="901"/>
      <c r="V239" s="560">
        <f>V238*35.31467</f>
        <v>1.3419574599999999</v>
      </c>
      <c r="W239" s="560">
        <f>W238*35.31467</f>
        <v>1.7657335000000001</v>
      </c>
      <c r="X239" s="560">
        <f>X238*35.31467</f>
        <v>1.4479014700000001</v>
      </c>
      <c r="Y239" s="361"/>
      <c r="Z239" s="364"/>
      <c r="AA239"/>
      <c r="AB239"/>
      <c r="AC239"/>
      <c r="AD239"/>
      <c r="AE239"/>
      <c r="AF239"/>
      <c r="AG239"/>
      <c r="AH239"/>
    </row>
    <row r="240" spans="17:34" ht="12.75" customHeight="1">
      <c r="Q240" s="360"/>
      <c r="R240" s="551"/>
      <c r="S240" s="551"/>
      <c r="T240" s="551"/>
      <c r="U240" s="591"/>
      <c r="V240" s="551"/>
      <c r="W240" s="551"/>
      <c r="X240" s="551"/>
      <c r="Y240" s="361"/>
      <c r="Z240" s="364"/>
      <c r="AA240"/>
      <c r="AB240"/>
      <c r="AC240"/>
      <c r="AD240"/>
      <c r="AE240"/>
      <c r="AF240"/>
      <c r="AG240"/>
      <c r="AH240"/>
    </row>
    <row r="241" spans="17:34" ht="12.75" customHeight="1">
      <c r="Q241" s="360"/>
      <c r="R241" s="962" t="s">
        <v>302</v>
      </c>
      <c r="S241" s="963"/>
      <c r="T241" s="964"/>
      <c r="U241" s="949" t="s">
        <v>500</v>
      </c>
      <c r="V241" s="938" t="s">
        <v>22</v>
      </c>
      <c r="W241" s="940" t="s">
        <v>579</v>
      </c>
      <c r="X241" s="942" t="s">
        <v>21</v>
      </c>
      <c r="Y241" s="361"/>
      <c r="Z241" s="364"/>
      <c r="AA241"/>
      <c r="AB241"/>
      <c r="AC241"/>
      <c r="AD241"/>
      <c r="AE241"/>
      <c r="AF241"/>
      <c r="AG241"/>
      <c r="AH241"/>
    </row>
    <row r="242" spans="17:34" ht="12.75" customHeight="1">
      <c r="Q242" s="360"/>
      <c r="R242" s="965"/>
      <c r="S242" s="966"/>
      <c r="T242" s="967"/>
      <c r="U242" s="950"/>
      <c r="V242" s="939"/>
      <c r="W242" s="941"/>
      <c r="X242" s="943"/>
      <c r="Y242" s="361"/>
      <c r="Z242" s="364"/>
      <c r="AA242"/>
      <c r="AB242"/>
      <c r="AC242"/>
      <c r="AD242"/>
      <c r="AE242"/>
      <c r="AF242"/>
      <c r="AG242"/>
      <c r="AH242"/>
    </row>
    <row r="243" spans="17:34" ht="12.75" customHeight="1">
      <c r="Q243" s="360"/>
      <c r="R243" s="931" t="s">
        <v>662</v>
      </c>
      <c r="S243" s="931"/>
      <c r="T243" s="931"/>
      <c r="U243" s="901" t="s">
        <v>427</v>
      </c>
      <c r="V243" s="549">
        <f t="shared" ref="V243:W245" si="3">V237*$V$23</f>
        <v>6080</v>
      </c>
      <c r="W243" s="549">
        <f t="shared" si="3"/>
        <v>8000</v>
      </c>
      <c r="X243" s="549">
        <f>X237*$V$23</f>
        <v>6560</v>
      </c>
      <c r="Y243" s="361"/>
      <c r="Z243" s="364"/>
      <c r="AA243"/>
      <c r="AB243"/>
      <c r="AC243"/>
      <c r="AD243"/>
      <c r="AE243"/>
      <c r="AF243"/>
      <c r="AG243"/>
      <c r="AH243"/>
    </row>
    <row r="244" spans="17:34" ht="12.75" customHeight="1">
      <c r="Q244" s="360"/>
      <c r="R244" s="931" t="s">
        <v>663</v>
      </c>
      <c r="S244" s="931"/>
      <c r="T244" s="931"/>
      <c r="U244" s="901"/>
      <c r="V244" s="560">
        <f t="shared" si="3"/>
        <v>6.08</v>
      </c>
      <c r="W244" s="560">
        <f t="shared" si="3"/>
        <v>8</v>
      </c>
      <c r="X244" s="560">
        <f>X238*$V$23</f>
        <v>6.5600000000000005</v>
      </c>
      <c r="Y244" s="361"/>
      <c r="Z244" s="364"/>
      <c r="AA244"/>
      <c r="AB244"/>
      <c r="AC244"/>
      <c r="AD244"/>
      <c r="AE244"/>
      <c r="AF244"/>
      <c r="AG244"/>
      <c r="AH244"/>
    </row>
    <row r="245" spans="17:34" ht="12.75" customHeight="1">
      <c r="Q245" s="360"/>
      <c r="R245" s="931" t="s">
        <v>664</v>
      </c>
      <c r="S245" s="931"/>
      <c r="T245" s="931"/>
      <c r="U245" s="901"/>
      <c r="V245" s="560">
        <f t="shared" si="3"/>
        <v>214.71319359999998</v>
      </c>
      <c r="W245" s="560">
        <f t="shared" si="3"/>
        <v>282.51736</v>
      </c>
      <c r="X245" s="560">
        <f>X239*$V$23</f>
        <v>231.66423520000001</v>
      </c>
      <c r="Y245" s="361"/>
      <c r="Z245" s="364"/>
      <c r="AA245"/>
      <c r="AB245"/>
      <c r="AC245"/>
      <c r="AD245"/>
      <c r="AE245"/>
      <c r="AF245"/>
      <c r="AG245"/>
      <c r="AH245"/>
    </row>
    <row r="246" spans="17:34" ht="12.75" customHeight="1">
      <c r="Q246" s="360"/>
      <c r="R246" s="364"/>
      <c r="S246" s="364"/>
      <c r="T246" s="364"/>
      <c r="U246" s="364"/>
      <c r="V246" s="555"/>
      <c r="W246" s="555"/>
      <c r="X246" s="555"/>
      <c r="Y246" s="361"/>
      <c r="Z246" s="364"/>
      <c r="AA246"/>
      <c r="AB246"/>
      <c r="AC246"/>
      <c r="AD246"/>
      <c r="AE246"/>
      <c r="AF246"/>
      <c r="AG246"/>
      <c r="AH246"/>
    </row>
    <row r="247" spans="17:34" ht="12.75" customHeight="1">
      <c r="Q247" s="360"/>
      <c r="R247" s="962" t="s">
        <v>303</v>
      </c>
      <c r="S247" s="963"/>
      <c r="T247" s="964"/>
      <c r="U247" s="949" t="s">
        <v>500</v>
      </c>
      <c r="V247" s="938" t="s">
        <v>22</v>
      </c>
      <c r="W247" s="940" t="s">
        <v>579</v>
      </c>
      <c r="X247" s="942" t="s">
        <v>21</v>
      </c>
      <c r="Y247" s="361"/>
      <c r="Z247" s="364"/>
      <c r="AA247"/>
      <c r="AB247"/>
      <c r="AC247"/>
      <c r="AD247"/>
      <c r="AE247"/>
      <c r="AF247"/>
      <c r="AG247"/>
      <c r="AH247"/>
    </row>
    <row r="248" spans="17:34" ht="12.75" customHeight="1">
      <c r="Q248" s="360"/>
      <c r="R248" s="965"/>
      <c r="S248" s="966"/>
      <c r="T248" s="967"/>
      <c r="U248" s="950"/>
      <c r="V248" s="939"/>
      <c r="W248" s="941"/>
      <c r="X248" s="943"/>
      <c r="Y248" s="361"/>
      <c r="Z248" s="364"/>
      <c r="AA248"/>
      <c r="AB248"/>
      <c r="AC248"/>
      <c r="AD248"/>
      <c r="AE248"/>
      <c r="AF248"/>
      <c r="AG248"/>
      <c r="AH248"/>
    </row>
    <row r="249" spans="17:34" ht="12.75" customHeight="1">
      <c r="Q249" s="563"/>
      <c r="R249" s="951" t="s">
        <v>517</v>
      </c>
      <c r="S249" s="951"/>
      <c r="T249" s="951"/>
      <c r="U249" s="901" t="s">
        <v>427</v>
      </c>
      <c r="V249" s="549">
        <f t="shared" ref="V249:X251" si="4">($V$25/$X$51)*60*V237</f>
        <v>31268571.428571429</v>
      </c>
      <c r="W249" s="549">
        <f t="shared" si="4"/>
        <v>41142857.142857142</v>
      </c>
      <c r="X249" s="549">
        <f t="shared" si="4"/>
        <v>33737142.857142858</v>
      </c>
      <c r="Y249" s="361"/>
      <c r="Z249" s="364"/>
      <c r="AA249"/>
      <c r="AB249"/>
      <c r="AC249"/>
      <c r="AD249"/>
      <c r="AE249"/>
      <c r="AF249"/>
      <c r="AG249"/>
      <c r="AH249"/>
    </row>
    <row r="250" spans="17:34" ht="12.75" customHeight="1">
      <c r="Q250" s="364"/>
      <c r="R250" s="951" t="s">
        <v>666</v>
      </c>
      <c r="S250" s="951"/>
      <c r="T250" s="951"/>
      <c r="U250" s="901"/>
      <c r="V250" s="549">
        <f t="shared" si="4"/>
        <v>31268.571428571428</v>
      </c>
      <c r="W250" s="549">
        <f t="shared" si="4"/>
        <v>41142.857142857145</v>
      </c>
      <c r="X250" s="549">
        <f t="shared" si="4"/>
        <v>33737.142857142855</v>
      </c>
      <c r="Y250" s="361"/>
      <c r="Z250" s="364"/>
      <c r="AA250"/>
      <c r="AB250"/>
      <c r="AC250"/>
      <c r="AD250"/>
      <c r="AE250"/>
      <c r="AF250"/>
      <c r="AG250"/>
      <c r="AH250"/>
    </row>
    <row r="251" spans="17:34" ht="12.75" customHeight="1">
      <c r="Q251" s="364"/>
      <c r="R251" s="951" t="s">
        <v>583</v>
      </c>
      <c r="S251" s="951"/>
      <c r="T251" s="951"/>
      <c r="U251" s="901"/>
      <c r="V251" s="549">
        <f t="shared" si="4"/>
        <v>1104239.2813714284</v>
      </c>
      <c r="W251" s="549">
        <f t="shared" si="4"/>
        <v>1452946.422857143</v>
      </c>
      <c r="X251" s="549">
        <f t="shared" si="4"/>
        <v>1191416.0667428572</v>
      </c>
      <c r="Y251" s="361"/>
      <c r="Z251" s="364"/>
      <c r="AA251"/>
      <c r="AB251"/>
      <c r="AC251"/>
      <c r="AD251"/>
      <c r="AE251"/>
      <c r="AF251"/>
      <c r="AG251"/>
      <c r="AH251"/>
    </row>
    <row r="252" spans="17:34" ht="12.75" customHeight="1">
      <c r="Q252" s="364"/>
      <c r="R252" s="364"/>
      <c r="S252" s="364"/>
      <c r="T252" s="364"/>
      <c r="U252" s="364"/>
      <c r="V252" s="364"/>
      <c r="W252" s="364"/>
      <c r="X252" s="364"/>
      <c r="Y252" s="361"/>
      <c r="Z252" s="364"/>
      <c r="AA252"/>
      <c r="AB252"/>
      <c r="AC252"/>
      <c r="AD252"/>
      <c r="AE252"/>
      <c r="AF252"/>
      <c r="AG252"/>
      <c r="AH252"/>
    </row>
    <row r="253" spans="17:34" ht="12.75" customHeight="1">
      <c r="Q253" s="668" t="s">
        <v>753</v>
      </c>
      <c r="R253" s="364" t="s">
        <v>300</v>
      </c>
      <c r="S253" s="364"/>
      <c r="T253" s="364"/>
      <c r="U253" s="364"/>
      <c r="V253" s="364"/>
      <c r="W253" s="364"/>
      <c r="X253" s="364"/>
      <c r="Y253" s="361"/>
      <c r="Z253" s="364"/>
      <c r="AA253"/>
      <c r="AB253"/>
      <c r="AC253"/>
      <c r="AD253"/>
      <c r="AE253"/>
      <c r="AF253"/>
      <c r="AG253"/>
      <c r="AH253"/>
    </row>
    <row r="254" spans="17:34" ht="12.75" customHeight="1">
      <c r="Q254" s="364"/>
      <c r="R254" s="957" t="s">
        <v>669</v>
      </c>
      <c r="S254" s="958"/>
      <c r="T254" s="959"/>
      <c r="U254" s="949" t="s">
        <v>500</v>
      </c>
      <c r="V254" s="938" t="s">
        <v>22</v>
      </c>
      <c r="W254" s="940" t="s">
        <v>579</v>
      </c>
      <c r="X254" s="942" t="s">
        <v>21</v>
      </c>
      <c r="Y254" s="361"/>
      <c r="Z254" s="364"/>
      <c r="AA254"/>
      <c r="AB254"/>
      <c r="AC254"/>
      <c r="AD254"/>
      <c r="AE254"/>
      <c r="AF254"/>
      <c r="AG254"/>
      <c r="AH254"/>
    </row>
    <row r="255" spans="17:34" ht="12.75" customHeight="1">
      <c r="Q255" s="364"/>
      <c r="R255" s="960"/>
      <c r="S255" s="961"/>
      <c r="T255" s="899"/>
      <c r="U255" s="950"/>
      <c r="V255" s="939"/>
      <c r="W255" s="941"/>
      <c r="X255" s="943"/>
      <c r="Y255" s="361"/>
      <c r="Z255" s="364"/>
      <c r="AA255"/>
      <c r="AB255"/>
      <c r="AC255"/>
      <c r="AD255"/>
      <c r="AE255"/>
      <c r="AF255"/>
      <c r="AG255"/>
      <c r="AH255"/>
    </row>
    <row r="256" spans="17:34" ht="12.75" customHeight="1">
      <c r="Q256" s="364"/>
      <c r="R256" s="541" t="s">
        <v>80</v>
      </c>
      <c r="S256" s="559"/>
      <c r="T256" s="559"/>
      <c r="U256" s="543">
        <v>6.5</v>
      </c>
      <c r="V256" s="669">
        <f>VLOOKUP($V$5,'Lookup Water Flow'!$B$8:$E$208,3)</f>
        <v>6.9</v>
      </c>
      <c r="W256" s="669">
        <f>VLOOKUP($V$5,'Lookup Water Flow'!$B$8:$E$208,4)</f>
        <v>12.1</v>
      </c>
      <c r="X256" s="669">
        <f>VLOOKUP($V$5,'Lookup Water Flow'!$B$8:$E$208,2)</f>
        <v>12.6</v>
      </c>
      <c r="Y256" s="361"/>
      <c r="Z256" s="364"/>
      <c r="AA256"/>
      <c r="AB256"/>
      <c r="AC256"/>
      <c r="AD256"/>
      <c r="AE256"/>
      <c r="AF256"/>
      <c r="AG256"/>
      <c r="AH256"/>
    </row>
    <row r="257" spans="17:34" ht="12.75" customHeight="1">
      <c r="Q257" s="364"/>
      <c r="R257" s="951" t="s">
        <v>81</v>
      </c>
      <c r="S257" s="951"/>
      <c r="T257" s="951"/>
      <c r="U257" s="677">
        <f>U256*V23</f>
        <v>1040</v>
      </c>
      <c r="V257" s="678">
        <f>V256*$V$23</f>
        <v>1104</v>
      </c>
      <c r="W257" s="678">
        <f>W256*$V$23</f>
        <v>1936</v>
      </c>
      <c r="X257" s="678">
        <f>X256*$V$23</f>
        <v>2016</v>
      </c>
      <c r="Y257" s="361"/>
      <c r="Z257" s="364"/>
      <c r="AA257"/>
      <c r="AB257"/>
      <c r="AC257"/>
      <c r="AD257"/>
      <c r="AE257"/>
      <c r="AF257"/>
      <c r="AG257"/>
      <c r="AH257"/>
    </row>
    <row r="258" spans="17:34" ht="12.75" customHeight="1">
      <c r="Q258" s="364"/>
      <c r="R258" s="592" t="s">
        <v>670</v>
      </c>
      <c r="S258" s="559"/>
      <c r="T258" s="559"/>
      <c r="U258" s="549">
        <f>(U256*U56*V24)+(24*2*V24)</f>
        <v>473600</v>
      </c>
      <c r="V258" s="679">
        <f>V256*$X$56*$V$24</f>
        <v>94628.571428571435</v>
      </c>
      <c r="W258" s="679">
        <f>W256*$X$56*$V$24</f>
        <v>165942.85714285713</v>
      </c>
      <c r="X258" s="679">
        <f>X256*$X$56*$V$24</f>
        <v>172800</v>
      </c>
      <c r="Y258" s="361"/>
      <c r="Z258" s="364"/>
      <c r="AA258"/>
      <c r="AB258"/>
      <c r="AC258"/>
      <c r="AD258"/>
      <c r="AE258"/>
      <c r="AF258"/>
      <c r="AG258"/>
      <c r="AH258"/>
    </row>
    <row r="259" spans="17:34" ht="12.75" customHeight="1">
      <c r="Q259" s="364"/>
      <c r="R259" s="364"/>
      <c r="S259" s="364"/>
      <c r="T259" s="364"/>
      <c r="U259" s="364"/>
      <c r="V259" s="364"/>
      <c r="W259" s="364"/>
      <c r="X259" s="364"/>
      <c r="Y259" s="364"/>
      <c r="Z259" s="364"/>
      <c r="AA259"/>
      <c r="AB259"/>
      <c r="AC259"/>
      <c r="AD259"/>
      <c r="AE259"/>
      <c r="AF259"/>
      <c r="AG259"/>
      <c r="AH259"/>
    </row>
    <row r="260" spans="17:34" ht="12.75" customHeight="1">
      <c r="Q260" s="680" t="s">
        <v>754</v>
      </c>
      <c r="R260" s="952" t="s">
        <v>309</v>
      </c>
      <c r="S260" s="952"/>
      <c r="T260" s="952"/>
      <c r="U260" s="952"/>
      <c r="V260" s="952"/>
      <c r="W260" s="952"/>
      <c r="X260" s="952"/>
      <c r="Y260" s="952"/>
      <c r="Z260" s="360"/>
      <c r="AA260"/>
      <c r="AB260"/>
      <c r="AC260"/>
      <c r="AD260"/>
      <c r="AE260"/>
      <c r="AF260"/>
      <c r="AG260"/>
      <c r="AH260"/>
    </row>
    <row r="261" spans="17:34" ht="12.75" customHeight="1">
      <c r="Q261" s="364"/>
      <c r="R261" s="364"/>
      <c r="S261" s="364"/>
      <c r="T261" s="364"/>
      <c r="U261" s="364"/>
      <c r="V261" s="364"/>
      <c r="W261" s="364"/>
      <c r="X261" s="364"/>
      <c r="Y261" s="364"/>
      <c r="Z261" s="364"/>
      <c r="AA261"/>
      <c r="AB261"/>
      <c r="AC261"/>
      <c r="AD261"/>
      <c r="AE261"/>
      <c r="AF261"/>
      <c r="AG261"/>
      <c r="AH261"/>
    </row>
    <row r="262" spans="17:34" ht="12.75" customHeight="1">
      <c r="Q262" s="668" t="s">
        <v>755</v>
      </c>
      <c r="R262" s="364" t="s">
        <v>239</v>
      </c>
      <c r="S262" s="364"/>
      <c r="T262" s="364"/>
      <c r="U262" s="364"/>
      <c r="V262" s="364"/>
      <c r="W262" s="364"/>
      <c r="X262" s="364"/>
      <c r="Y262" s="364"/>
      <c r="Z262" s="364"/>
      <c r="AA262"/>
      <c r="AB262"/>
      <c r="AC262"/>
      <c r="AD262"/>
      <c r="AE262"/>
      <c r="AF262"/>
      <c r="AG262"/>
      <c r="AH262"/>
    </row>
    <row r="263" spans="17:34" ht="12.75" customHeight="1">
      <c r="Q263" s="364"/>
      <c r="R263" s="364"/>
      <c r="S263" s="364"/>
      <c r="T263" s="364"/>
      <c r="U263" s="364"/>
      <c r="V263" s="364"/>
      <c r="W263" s="364"/>
      <c r="X263" s="364"/>
      <c r="Y263" s="364"/>
      <c r="Z263" s="364"/>
      <c r="AA263"/>
      <c r="AB263"/>
      <c r="AC263"/>
      <c r="AD263"/>
      <c r="AE263"/>
      <c r="AF263"/>
      <c r="AG263"/>
      <c r="AH263"/>
    </row>
    <row r="264" spans="17:34" ht="12.75" customHeight="1">
      <c r="Q264" s="364"/>
      <c r="R264" s="953" t="s">
        <v>676</v>
      </c>
      <c r="S264" s="954"/>
      <c r="T264" s="561" t="s">
        <v>320</v>
      </c>
      <c r="U264" s="935" t="s">
        <v>318</v>
      </c>
      <c r="V264" s="935"/>
      <c r="W264" s="681">
        <f>'Compressor Input Data'!G7</f>
        <v>0.19</v>
      </c>
      <c r="X264" s="594"/>
      <c r="Y264" s="595"/>
      <c r="Z264" s="363"/>
      <c r="AA264"/>
      <c r="AB264"/>
      <c r="AC264"/>
      <c r="AD264"/>
      <c r="AE264"/>
      <c r="AF264"/>
      <c r="AG264"/>
      <c r="AH264"/>
    </row>
    <row r="265" spans="17:34" ht="12.75" customHeight="1">
      <c r="Q265" s="364"/>
      <c r="R265" s="955"/>
      <c r="S265" s="956"/>
      <c r="T265" s="561" t="s">
        <v>321</v>
      </c>
      <c r="U265" s="935" t="s">
        <v>319</v>
      </c>
      <c r="V265" s="935"/>
      <c r="W265" s="681">
        <f>'Compressor Input Data'!G8</f>
        <v>0.33</v>
      </c>
      <c r="X265" s="594"/>
      <c r="Y265" s="595"/>
      <c r="Z265" s="595"/>
      <c r="AA265"/>
      <c r="AB265"/>
      <c r="AC265"/>
      <c r="AD265"/>
      <c r="AE265"/>
      <c r="AF265"/>
      <c r="AG265"/>
      <c r="AH265"/>
    </row>
    <row r="266" spans="17:34" ht="12.75" customHeight="1">
      <c r="Q266" s="364"/>
      <c r="R266" s="363"/>
      <c r="S266" s="363"/>
      <c r="T266" s="577"/>
      <c r="U266" s="577"/>
      <c r="V266" s="596"/>
      <c r="W266" s="363"/>
      <c r="X266" s="363"/>
      <c r="Y266" s="363"/>
      <c r="Z266" s="363"/>
      <c r="AA266"/>
      <c r="AB266"/>
      <c r="AC266"/>
      <c r="AD266"/>
      <c r="AE266"/>
      <c r="AF266"/>
      <c r="AG266"/>
      <c r="AH266"/>
    </row>
    <row r="267" spans="17:34" ht="12.75" customHeight="1">
      <c r="Q267" s="364"/>
      <c r="R267" s="935" t="s">
        <v>675</v>
      </c>
      <c r="S267" s="935"/>
      <c r="T267" s="935"/>
      <c r="U267" s="949" t="s">
        <v>500</v>
      </c>
      <c r="V267" s="938" t="s">
        <v>22</v>
      </c>
      <c r="W267" s="940" t="s">
        <v>579</v>
      </c>
      <c r="X267" s="942" t="s">
        <v>21</v>
      </c>
      <c r="Y267" s="361"/>
      <c r="Z267" s="364"/>
      <c r="AA267"/>
      <c r="AB267"/>
      <c r="AC267"/>
      <c r="AD267"/>
      <c r="AE267"/>
      <c r="AF267"/>
      <c r="AG267"/>
      <c r="AH267"/>
    </row>
    <row r="268" spans="17:34" ht="12.75" customHeight="1">
      <c r="Q268" s="364"/>
      <c r="R268" s="944" t="s">
        <v>320</v>
      </c>
      <c r="S268" s="947"/>
      <c r="T268" s="948"/>
      <c r="U268" s="950"/>
      <c r="V268" s="939"/>
      <c r="W268" s="941"/>
      <c r="X268" s="943"/>
      <c r="Y268" s="361"/>
      <c r="Z268" s="364"/>
      <c r="AA268"/>
      <c r="AB268"/>
      <c r="AC268"/>
      <c r="AD268"/>
      <c r="AE268"/>
      <c r="AF268"/>
      <c r="AG268"/>
      <c r="AH268"/>
    </row>
    <row r="269" spans="17:34" ht="12.75" customHeight="1">
      <c r="Q269" s="364"/>
      <c r="R269" s="945"/>
      <c r="S269" s="935" t="s">
        <v>306</v>
      </c>
      <c r="T269" s="935"/>
      <c r="U269" s="599">
        <f>U164*$W$264</f>
        <v>178.34666666666669</v>
      </c>
      <c r="V269" s="599">
        <f>V164*$W$264</f>
        <v>14439.999999999998</v>
      </c>
      <c r="W269" s="599">
        <f>W164*$W$264</f>
        <v>12556.521739130432</v>
      </c>
      <c r="X269" s="599">
        <f>X164*$W$264</f>
        <v>10314.285714285712</v>
      </c>
      <c r="Y269" s="361"/>
      <c r="Z269" s="364"/>
      <c r="AA269"/>
      <c r="AB269"/>
      <c r="AC269"/>
      <c r="AD269"/>
      <c r="AE269"/>
      <c r="AF269"/>
      <c r="AG269"/>
      <c r="AH269"/>
    </row>
    <row r="270" spans="17:34" ht="12.75" customHeight="1">
      <c r="Q270" s="364"/>
      <c r="R270" s="945"/>
      <c r="S270" s="935" t="s">
        <v>307</v>
      </c>
      <c r="T270" s="935"/>
      <c r="U270" s="599">
        <f>U269*$V$11</f>
        <v>4101.9733333333343</v>
      </c>
      <c r="V270" s="599">
        <f>V269*$V$11</f>
        <v>332119.99999999994</v>
      </c>
      <c r="W270" s="599">
        <f>W269*$V$11</f>
        <v>288799.99999999994</v>
      </c>
      <c r="X270" s="599">
        <f>X269*$V$11</f>
        <v>237228.57142857136</v>
      </c>
      <c r="Y270" s="361"/>
      <c r="Z270" s="364"/>
      <c r="AA270"/>
      <c r="AB270"/>
      <c r="AC270"/>
      <c r="AD270"/>
      <c r="AE270"/>
      <c r="AF270"/>
      <c r="AG270"/>
      <c r="AH270"/>
    </row>
    <row r="271" spans="17:34" ht="12.75" customHeight="1">
      <c r="Q271" s="364"/>
      <c r="R271" s="946"/>
      <c r="S271" s="935" t="s">
        <v>308</v>
      </c>
      <c r="T271" s="935"/>
      <c r="U271" s="599">
        <f>U270*9</f>
        <v>36917.760000000009</v>
      </c>
      <c r="V271" s="599">
        <f>V270*9</f>
        <v>2989079.9999999995</v>
      </c>
      <c r="W271" s="599">
        <f>W270*9</f>
        <v>2599199.9999999995</v>
      </c>
      <c r="X271" s="599">
        <f>X270*9</f>
        <v>2135057.1428571423</v>
      </c>
      <c r="Y271" s="361"/>
      <c r="Z271" s="364"/>
      <c r="AA271"/>
      <c r="AB271"/>
      <c r="AC271"/>
      <c r="AD271"/>
      <c r="AE271"/>
      <c r="AF271"/>
      <c r="AG271"/>
      <c r="AH271"/>
    </row>
    <row r="272" spans="17:34" ht="12.75" customHeight="1">
      <c r="Q272" s="597"/>
      <c r="R272" s="937"/>
      <c r="S272" s="937"/>
      <c r="T272" s="937"/>
      <c r="U272" s="937"/>
      <c r="V272" s="937"/>
      <c r="W272" s="937"/>
      <c r="X272" s="937"/>
      <c r="Y272" s="364"/>
      <c r="Z272" s="364"/>
      <c r="AA272"/>
      <c r="AB272"/>
      <c r="AC272"/>
      <c r="AD272"/>
      <c r="AE272"/>
      <c r="AF272"/>
      <c r="AG272"/>
      <c r="AH272"/>
    </row>
    <row r="273" spans="17:34" ht="12.75" customHeight="1">
      <c r="Q273" s="597"/>
      <c r="R273" s="935" t="s">
        <v>675</v>
      </c>
      <c r="S273" s="935"/>
      <c r="T273" s="935"/>
      <c r="U273" s="930" t="s">
        <v>500</v>
      </c>
      <c r="V273" s="928" t="s">
        <v>22</v>
      </c>
      <c r="W273" s="929" t="s">
        <v>579</v>
      </c>
      <c r="X273" s="927" t="s">
        <v>21</v>
      </c>
      <c r="Y273" s="361"/>
      <c r="Z273" s="364"/>
      <c r="AA273"/>
      <c r="AB273"/>
      <c r="AC273"/>
      <c r="AD273"/>
      <c r="AE273"/>
      <c r="AF273"/>
      <c r="AG273"/>
      <c r="AH273"/>
    </row>
    <row r="274" spans="17:34" ht="12.75" customHeight="1">
      <c r="Q274" s="597"/>
      <c r="R274" s="937" t="s">
        <v>321</v>
      </c>
      <c r="S274" s="937"/>
      <c r="T274" s="937"/>
      <c r="U274" s="930"/>
      <c r="V274" s="928"/>
      <c r="W274" s="929"/>
      <c r="X274" s="927"/>
      <c r="Y274" s="361"/>
      <c r="Z274" s="364"/>
      <c r="AA274"/>
      <c r="AB274"/>
      <c r="AC274"/>
      <c r="AD274"/>
      <c r="AE274"/>
      <c r="AF274"/>
      <c r="AG274"/>
      <c r="AH274"/>
    </row>
    <row r="275" spans="17:34" ht="12.75" customHeight="1">
      <c r="Q275" s="364"/>
      <c r="R275" s="937"/>
      <c r="S275" s="935" t="s">
        <v>306</v>
      </c>
      <c r="T275" s="935"/>
      <c r="U275" s="599">
        <f>U164*$W$265</f>
        <v>309.76000000000005</v>
      </c>
      <c r="V275" s="599">
        <f>V164*$W$265</f>
        <v>25079.999999999996</v>
      </c>
      <c r="W275" s="599">
        <f>W164*$W$265</f>
        <v>21808.695652173912</v>
      </c>
      <c r="X275" s="599">
        <f>X164*$W$265</f>
        <v>17914.28571428571</v>
      </c>
      <c r="Y275" s="361"/>
      <c r="Z275" s="364"/>
      <c r="AA275"/>
      <c r="AB275"/>
      <c r="AC275"/>
      <c r="AD275"/>
      <c r="AE275"/>
      <c r="AF275"/>
      <c r="AG275"/>
      <c r="AH275"/>
    </row>
    <row r="276" spans="17:34" ht="12.75" customHeight="1">
      <c r="Q276" s="597"/>
      <c r="R276" s="937"/>
      <c r="S276" s="935" t="s">
        <v>307</v>
      </c>
      <c r="T276" s="935"/>
      <c r="U276" s="599">
        <f>U275*$V$11</f>
        <v>7124.4800000000014</v>
      </c>
      <c r="V276" s="599">
        <f>V275*$V$11</f>
        <v>576839.99999999988</v>
      </c>
      <c r="W276" s="599">
        <f>W275*$V$11</f>
        <v>501600</v>
      </c>
      <c r="X276" s="599">
        <f>X275*$V$11</f>
        <v>412028.57142857136</v>
      </c>
      <c r="Y276" s="361"/>
      <c r="Z276" s="364"/>
      <c r="AA276"/>
      <c r="AB276"/>
      <c r="AC276"/>
      <c r="AD276"/>
      <c r="AE276"/>
      <c r="AF276"/>
      <c r="AG276"/>
      <c r="AH276"/>
    </row>
    <row r="277" spans="17:34" ht="12.75" customHeight="1">
      <c r="Q277" s="364"/>
      <c r="R277" s="937"/>
      <c r="S277" s="935" t="s">
        <v>308</v>
      </c>
      <c r="T277" s="935"/>
      <c r="U277" s="599">
        <f>U276*3</f>
        <v>21373.440000000002</v>
      </c>
      <c r="V277" s="599">
        <f>V276*3</f>
        <v>1730519.9999999995</v>
      </c>
      <c r="W277" s="599">
        <f>W276*3</f>
        <v>1504800</v>
      </c>
      <c r="X277" s="599">
        <f>X276*3</f>
        <v>1236085.7142857141</v>
      </c>
      <c r="Y277" s="361"/>
      <c r="Z277" s="364"/>
      <c r="AA277"/>
      <c r="AB277"/>
      <c r="AC277"/>
      <c r="AD277"/>
      <c r="AE277"/>
      <c r="AF277"/>
      <c r="AG277"/>
      <c r="AH277"/>
    </row>
    <row r="278" spans="17:34" ht="12.75" customHeight="1">
      <c r="Q278" s="364"/>
      <c r="R278" s="937"/>
      <c r="S278" s="937"/>
      <c r="T278" s="937"/>
      <c r="U278" s="937"/>
      <c r="V278" s="937"/>
      <c r="W278" s="937"/>
      <c r="X278" s="937"/>
      <c r="Y278" s="364"/>
      <c r="Z278" s="364"/>
      <c r="AA278"/>
      <c r="AB278"/>
      <c r="AC278"/>
      <c r="AD278"/>
      <c r="AE278"/>
      <c r="AF278"/>
      <c r="AG278"/>
      <c r="AH278"/>
    </row>
    <row r="279" spans="17:34" ht="12.75" customHeight="1">
      <c r="Q279" s="364"/>
      <c r="R279" s="935" t="s">
        <v>675</v>
      </c>
      <c r="S279" s="935"/>
      <c r="T279" s="935"/>
      <c r="U279" s="930" t="s">
        <v>500</v>
      </c>
      <c r="V279" s="928" t="s">
        <v>22</v>
      </c>
      <c r="W279" s="929" t="s">
        <v>579</v>
      </c>
      <c r="X279" s="927" t="s">
        <v>21</v>
      </c>
      <c r="Y279" s="361"/>
      <c r="Z279" s="364"/>
      <c r="AA279"/>
      <c r="AB279"/>
      <c r="AC279"/>
      <c r="AD279"/>
      <c r="AE279"/>
      <c r="AF279"/>
      <c r="AG279"/>
      <c r="AH279"/>
    </row>
    <row r="280" spans="17:34" ht="12.75" customHeight="1">
      <c r="Q280" s="364"/>
      <c r="R280" s="937" t="s">
        <v>322</v>
      </c>
      <c r="S280" s="937"/>
      <c r="T280" s="937"/>
      <c r="U280" s="930"/>
      <c r="V280" s="928"/>
      <c r="W280" s="929"/>
      <c r="X280" s="927"/>
      <c r="Y280" s="361"/>
      <c r="Z280" s="364"/>
      <c r="AA280"/>
      <c r="AB280"/>
      <c r="AC280"/>
      <c r="AD280"/>
      <c r="AE280"/>
      <c r="AF280"/>
      <c r="AG280"/>
      <c r="AH280"/>
    </row>
    <row r="281" spans="17:34" ht="12.75" customHeight="1">
      <c r="Q281" s="364"/>
      <c r="R281" s="937"/>
      <c r="S281" s="935" t="s">
        <v>306</v>
      </c>
      <c r="T281" s="935"/>
      <c r="U281" s="599">
        <f>U282/$V$11</f>
        <v>211.20000000000005</v>
      </c>
      <c r="V281" s="599">
        <f>V282/$V$11</f>
        <v>17099.999999999996</v>
      </c>
      <c r="W281" s="599">
        <f>W282/$V$11</f>
        <v>14869.565217391302</v>
      </c>
      <c r="X281" s="599">
        <f>X282/$V$11</f>
        <v>12214.285714285712</v>
      </c>
      <c r="Y281" s="361"/>
      <c r="Z281" s="364"/>
      <c r="AA281"/>
      <c r="AB281"/>
      <c r="AC281"/>
      <c r="AD281"/>
      <c r="AE281"/>
      <c r="AF281"/>
      <c r="AG281"/>
      <c r="AH281"/>
    </row>
    <row r="282" spans="17:34" ht="12.75" customHeight="1">
      <c r="Q282" s="364"/>
      <c r="R282" s="937"/>
      <c r="S282" s="935" t="s">
        <v>307</v>
      </c>
      <c r="T282" s="935"/>
      <c r="U282" s="599">
        <f>U283/12</f>
        <v>4857.6000000000013</v>
      </c>
      <c r="V282" s="599">
        <f>V283/12</f>
        <v>393299.99999999994</v>
      </c>
      <c r="W282" s="599">
        <f>W283/12</f>
        <v>341999.99999999994</v>
      </c>
      <c r="X282" s="599">
        <f>X283/12</f>
        <v>280928.57142857136</v>
      </c>
      <c r="Y282" s="361"/>
      <c r="Z282" s="364"/>
      <c r="AA282"/>
      <c r="AB282"/>
      <c r="AC282"/>
      <c r="AD282"/>
      <c r="AE282"/>
      <c r="AF282"/>
      <c r="AG282"/>
      <c r="AH282"/>
    </row>
    <row r="283" spans="17:34" ht="12.75" customHeight="1">
      <c r="Q283" s="364"/>
      <c r="R283" s="937"/>
      <c r="S283" s="935" t="s">
        <v>308</v>
      </c>
      <c r="T283" s="935"/>
      <c r="U283" s="599">
        <f>U271+U277</f>
        <v>58291.200000000012</v>
      </c>
      <c r="V283" s="599">
        <f>V271+V277</f>
        <v>4719599.9999999991</v>
      </c>
      <c r="W283" s="599">
        <f>W271+W277</f>
        <v>4103999.9999999995</v>
      </c>
      <c r="X283" s="599">
        <f>X271+X277</f>
        <v>3371142.8571428563</v>
      </c>
      <c r="Y283" s="361"/>
      <c r="Z283" s="364"/>
      <c r="AA283"/>
      <c r="AB283"/>
      <c r="AC283"/>
      <c r="AD283"/>
      <c r="AE283"/>
      <c r="AF283"/>
      <c r="AG283"/>
      <c r="AH283"/>
    </row>
    <row r="284" spans="17:34" ht="12.75" customHeight="1">
      <c r="Q284" s="364"/>
      <c r="R284" s="363"/>
      <c r="S284" s="363"/>
      <c r="T284" s="577"/>
      <c r="U284" s="577"/>
      <c r="V284" s="596"/>
      <c r="W284" s="363"/>
      <c r="X284" s="363"/>
      <c r="Y284" s="363"/>
      <c r="Z284" s="363"/>
      <c r="AA284"/>
      <c r="AB284"/>
      <c r="AC284"/>
      <c r="AD284"/>
      <c r="AE284"/>
      <c r="AF284"/>
      <c r="AG284"/>
      <c r="AH284"/>
    </row>
    <row r="285" spans="17:34" ht="12.75" customHeight="1">
      <c r="Q285" s="668" t="s">
        <v>756</v>
      </c>
      <c r="R285" s="363" t="s">
        <v>758</v>
      </c>
      <c r="S285" s="363"/>
      <c r="T285" s="577"/>
      <c r="U285" s="577"/>
      <c r="V285" s="596"/>
      <c r="W285" s="363"/>
      <c r="X285" s="363"/>
      <c r="Y285" s="363"/>
      <c r="Z285" s="363"/>
      <c r="AA285"/>
      <c r="AB285"/>
      <c r="AC285"/>
      <c r="AD285"/>
      <c r="AE285"/>
      <c r="AF285"/>
      <c r="AG285"/>
      <c r="AH285"/>
    </row>
    <row r="286" spans="17:34" ht="12.75" customHeight="1">
      <c r="Q286" s="364"/>
      <c r="R286" s="935" t="s">
        <v>678</v>
      </c>
      <c r="S286" s="935"/>
      <c r="T286" s="935"/>
      <c r="U286" s="935"/>
      <c r="V286" s="936" t="s">
        <v>500</v>
      </c>
      <c r="W286" s="936" t="s">
        <v>22</v>
      </c>
      <c r="X286" s="936" t="s">
        <v>579</v>
      </c>
      <c r="Y286" s="936" t="s">
        <v>21</v>
      </c>
      <c r="Z286" s="361"/>
      <c r="AA286"/>
      <c r="AB286"/>
      <c r="AC286"/>
      <c r="AD286"/>
      <c r="AE286"/>
      <c r="AF286"/>
      <c r="AG286"/>
      <c r="AH286"/>
    </row>
    <row r="287" spans="17:34" ht="12.75" customHeight="1">
      <c r="Q287" s="364"/>
      <c r="R287" s="935"/>
      <c r="S287" s="935"/>
      <c r="T287" s="935"/>
      <c r="U287" s="935"/>
      <c r="V287" s="936"/>
      <c r="W287" s="936"/>
      <c r="X287" s="936"/>
      <c r="Y287" s="936"/>
      <c r="Z287" s="361"/>
      <c r="AA287"/>
      <c r="AB287"/>
      <c r="AC287"/>
      <c r="AD287"/>
      <c r="AE287"/>
      <c r="AF287"/>
      <c r="AG287"/>
      <c r="AH287"/>
    </row>
    <row r="288" spans="17:34" ht="12.75" customHeight="1">
      <c r="Q288" s="364"/>
      <c r="R288" s="931" t="s">
        <v>35</v>
      </c>
      <c r="S288" s="931"/>
      <c r="T288" s="931"/>
      <c r="U288" s="931"/>
      <c r="V288" s="599">
        <f>AVERAGE(U196:W196)*5%</f>
        <v>1305585.0000000005</v>
      </c>
      <c r="W288" s="599">
        <f>V202*5%</f>
        <v>1533870.0000000005</v>
      </c>
      <c r="X288" s="599">
        <f>W202*5%</f>
        <v>1518480.0000000005</v>
      </c>
      <c r="Y288" s="599">
        <f>X202*5%</f>
        <v>1500158.5714285718</v>
      </c>
      <c r="Z288" s="361"/>
      <c r="AA288"/>
      <c r="AB288"/>
      <c r="AC288"/>
      <c r="AD288"/>
      <c r="AE288"/>
      <c r="AF288"/>
      <c r="AG288"/>
      <c r="AH288"/>
    </row>
    <row r="289" spans="17:34" ht="12.75" customHeight="1">
      <c r="Q289" s="364"/>
      <c r="R289" s="931" t="s">
        <v>481</v>
      </c>
      <c r="S289" s="931"/>
      <c r="T289" s="931"/>
      <c r="U289" s="931"/>
      <c r="V289" s="600" t="s">
        <v>479</v>
      </c>
      <c r="W289" s="599">
        <f>Y289</f>
        <v>1059840</v>
      </c>
      <c r="X289" s="600" t="s">
        <v>479</v>
      </c>
      <c r="Y289" s="599">
        <f>Consumables!E23*12</f>
        <v>1059840</v>
      </c>
      <c r="Z289" s="361"/>
      <c r="AA289"/>
      <c r="AB289"/>
      <c r="AC289"/>
      <c r="AD289"/>
      <c r="AE289"/>
      <c r="AF289"/>
      <c r="AG289"/>
      <c r="AH289"/>
    </row>
    <row r="290" spans="17:34" ht="12.75" customHeight="1">
      <c r="Q290" s="364"/>
      <c r="R290" s="931" t="s">
        <v>311</v>
      </c>
      <c r="S290" s="931"/>
      <c r="T290" s="931"/>
      <c r="U290" s="931"/>
      <c r="V290" s="600" t="s">
        <v>557</v>
      </c>
      <c r="W290" s="599">
        <f>Y290</f>
        <v>416000</v>
      </c>
      <c r="X290" s="599">
        <f>W290</f>
        <v>416000</v>
      </c>
      <c r="Y290" s="599">
        <f>Consumables!E21*12</f>
        <v>416000</v>
      </c>
      <c r="Z290" s="361"/>
      <c r="AA290"/>
      <c r="AB290"/>
      <c r="AC290"/>
      <c r="AD290"/>
      <c r="AE290"/>
      <c r="AF290"/>
      <c r="AG290"/>
      <c r="AH290"/>
    </row>
    <row r="291" spans="17:34" ht="12.75" customHeight="1">
      <c r="Q291" s="364"/>
      <c r="R291" s="931" t="s">
        <v>480</v>
      </c>
      <c r="S291" s="931"/>
      <c r="T291" s="931"/>
      <c r="U291" s="931"/>
      <c r="V291" s="599">
        <f>Consumables!H21*12</f>
        <v>3865001.2800000003</v>
      </c>
      <c r="W291" s="599">
        <v>0</v>
      </c>
      <c r="X291" s="599">
        <v>0</v>
      </c>
      <c r="Y291" s="599">
        <v>0</v>
      </c>
      <c r="Z291" s="361"/>
      <c r="AA291"/>
      <c r="AB291"/>
      <c r="AC291"/>
      <c r="AD291"/>
      <c r="AE291"/>
      <c r="AF291"/>
      <c r="AG291"/>
      <c r="AH291"/>
    </row>
    <row r="292" spans="17:34" ht="12.75" customHeight="1">
      <c r="Q292" s="364"/>
      <c r="R292" s="931" t="s">
        <v>312</v>
      </c>
      <c r="S292" s="931"/>
      <c r="T292" s="931"/>
      <c r="U292" s="931"/>
      <c r="V292" s="599">
        <f>Consumables!H20*12</f>
        <v>2691993.6000000001</v>
      </c>
      <c r="W292" s="599">
        <f>Y292</f>
        <v>2331648.0000000005</v>
      </c>
      <c r="X292" s="599">
        <f>W292</f>
        <v>2331648.0000000005</v>
      </c>
      <c r="Y292" s="599">
        <f>Consumables!E20*12</f>
        <v>2331648.0000000005</v>
      </c>
      <c r="Z292" s="361"/>
      <c r="AA292"/>
      <c r="AB292"/>
      <c r="AC292"/>
      <c r="AD292"/>
      <c r="AE292"/>
      <c r="AF292"/>
      <c r="AG292"/>
      <c r="AH292"/>
    </row>
    <row r="293" spans="17:34" ht="12.75" customHeight="1">
      <c r="Q293" s="364"/>
      <c r="R293" s="931" t="s">
        <v>313</v>
      </c>
      <c r="S293" s="931"/>
      <c r="T293" s="931"/>
      <c r="U293" s="931"/>
      <c r="V293" s="599">
        <f>Consumables!H19*12</f>
        <v>1674547.2000000002</v>
      </c>
      <c r="W293" s="599">
        <f>Y293</f>
        <v>1398988.8</v>
      </c>
      <c r="X293" s="599">
        <f>W293</f>
        <v>1398988.8</v>
      </c>
      <c r="Y293" s="599">
        <f>Consumables!E19*12</f>
        <v>1398988.8</v>
      </c>
      <c r="Z293" s="361"/>
      <c r="AA293"/>
      <c r="AB293"/>
      <c r="AC293"/>
      <c r="AD293"/>
      <c r="AE293"/>
      <c r="AF293"/>
      <c r="AG293"/>
      <c r="AH293"/>
    </row>
    <row r="294" spans="17:34" ht="12.75" customHeight="1">
      <c r="Q294" s="364"/>
      <c r="R294" s="931" t="s">
        <v>190</v>
      </c>
      <c r="S294" s="931"/>
      <c r="T294" s="931"/>
      <c r="U294" s="931"/>
      <c r="V294" s="599">
        <f>Consumables!H22*12</f>
        <v>8294400</v>
      </c>
      <c r="W294" s="599">
        <v>0</v>
      </c>
      <c r="X294" s="599">
        <v>0</v>
      </c>
      <c r="Y294" s="599">
        <v>0</v>
      </c>
      <c r="Z294" s="361"/>
      <c r="AA294"/>
      <c r="AB294"/>
      <c r="AC294"/>
      <c r="AD294"/>
      <c r="AE294"/>
      <c r="AF294"/>
      <c r="AG294"/>
      <c r="AH294"/>
    </row>
    <row r="295" spans="17:34" ht="12.75" customHeight="1">
      <c r="Q295" s="364"/>
      <c r="R295" s="931" t="s">
        <v>482</v>
      </c>
      <c r="S295" s="931"/>
      <c r="T295" s="931"/>
      <c r="U295" s="931"/>
      <c r="V295" s="599">
        <v>0</v>
      </c>
      <c r="W295" s="599">
        <f>Y295</f>
        <v>199600.00000000003</v>
      </c>
      <c r="X295" s="599">
        <f>W295</f>
        <v>199600.00000000003</v>
      </c>
      <c r="Y295" s="599">
        <f>Consumables!E25*12</f>
        <v>199600.00000000003</v>
      </c>
      <c r="Z295" s="361"/>
      <c r="AA295"/>
      <c r="AB295"/>
      <c r="AC295"/>
      <c r="AD295"/>
      <c r="AE295"/>
      <c r="AF295"/>
      <c r="AG295"/>
      <c r="AH295"/>
    </row>
    <row r="296" spans="17:34" ht="12.75" customHeight="1">
      <c r="Q296" s="364"/>
      <c r="R296" s="931" t="s">
        <v>483</v>
      </c>
      <c r="S296" s="931"/>
      <c r="T296" s="931"/>
      <c r="U296" s="931"/>
      <c r="V296" s="599">
        <v>0</v>
      </c>
      <c r="W296" s="599">
        <f>Y296</f>
        <v>40600</v>
      </c>
      <c r="X296" s="599">
        <f>W296</f>
        <v>40600</v>
      </c>
      <c r="Y296" s="599">
        <f>Consumables!E24*12</f>
        <v>40600</v>
      </c>
      <c r="Z296" s="361"/>
      <c r="AA296"/>
      <c r="AB296"/>
      <c r="AC296"/>
      <c r="AD296"/>
      <c r="AE296"/>
      <c r="AF296"/>
      <c r="AG296"/>
      <c r="AH296"/>
    </row>
    <row r="297" spans="17:34" ht="12.75" customHeight="1">
      <c r="Q297" s="364"/>
      <c r="R297" s="931" t="s">
        <v>478</v>
      </c>
      <c r="S297" s="931"/>
      <c r="T297" s="931"/>
      <c r="U297" s="931"/>
      <c r="V297" s="599">
        <f>U283</f>
        <v>58291.200000000012</v>
      </c>
      <c r="W297" s="599">
        <f>V283</f>
        <v>4719599.9999999991</v>
      </c>
      <c r="X297" s="599">
        <f>W283</f>
        <v>4103999.9999999995</v>
      </c>
      <c r="Y297" s="599">
        <f>X283</f>
        <v>3371142.8571428563</v>
      </c>
      <c r="Z297" s="361"/>
      <c r="AA297"/>
      <c r="AB297"/>
      <c r="AC297"/>
      <c r="AD297"/>
      <c r="AE297"/>
      <c r="AF297"/>
      <c r="AG297"/>
      <c r="AH297"/>
    </row>
    <row r="298" spans="17:34" ht="12.75" customHeight="1">
      <c r="Q298" s="364"/>
      <c r="R298" s="931" t="s">
        <v>484</v>
      </c>
      <c r="S298" s="931"/>
      <c r="T298" s="931"/>
      <c r="U298" s="931"/>
      <c r="V298" s="599">
        <f>'NIHL Compenation Cost'!AD21</f>
        <v>1715167.5</v>
      </c>
      <c r="W298" s="599">
        <f>'NIHL Compenation Cost'!Z21</f>
        <v>989115.00000000012</v>
      </c>
      <c r="X298" s="599">
        <f>'NIHL Compenation Cost'!AB21</f>
        <v>1087325</v>
      </c>
      <c r="Y298" s="599">
        <f>'NIHL Compenation Cost'!X21</f>
        <v>596275</v>
      </c>
      <c r="Z298" s="361"/>
      <c r="AA298"/>
      <c r="AB298"/>
      <c r="AC298"/>
      <c r="AD298"/>
      <c r="AE298"/>
      <c r="AF298"/>
      <c r="AG298"/>
      <c r="AH298"/>
    </row>
    <row r="299" spans="17:34" ht="12.75" customHeight="1">
      <c r="Q299" s="364"/>
      <c r="R299" s="932" t="s">
        <v>677</v>
      </c>
      <c r="S299" s="932"/>
      <c r="T299" s="932"/>
      <c r="U299" s="932"/>
      <c r="V299" s="599">
        <f>SUM(V288:V298)</f>
        <v>19604985.780000001</v>
      </c>
      <c r="W299" s="599">
        <f>SUM(W288:W298)</f>
        <v>12689261.800000001</v>
      </c>
      <c r="X299" s="599">
        <f>SUM(X288:X298)</f>
        <v>11096641.800000001</v>
      </c>
      <c r="Y299" s="599">
        <f>SUM(Y288:Y298)</f>
        <v>10914253.22857143</v>
      </c>
      <c r="Z299" s="361"/>
      <c r="AA299"/>
      <c r="AB299"/>
      <c r="AC299"/>
      <c r="AD299"/>
      <c r="AE299"/>
      <c r="AF299"/>
      <c r="AG299"/>
      <c r="AH299"/>
    </row>
    <row r="300" spans="17:34" ht="12.75" customHeight="1">
      <c r="Q300" s="364"/>
      <c r="R300" s="591"/>
      <c r="S300" s="591"/>
      <c r="T300" s="591"/>
      <c r="U300" s="591"/>
      <c r="V300" s="718"/>
      <c r="W300" s="718"/>
      <c r="X300" s="718"/>
      <c r="Y300" s="718"/>
      <c r="Z300" s="361"/>
      <c r="AA300"/>
      <c r="AB300"/>
      <c r="AC300"/>
      <c r="AD300"/>
      <c r="AE300"/>
      <c r="AF300"/>
      <c r="AG300"/>
      <c r="AH300"/>
    </row>
    <row r="301" spans="17:34" ht="12.75" customHeight="1">
      <c r="Q301" s="364"/>
      <c r="R301" s="591"/>
      <c r="S301" s="591"/>
      <c r="T301" s="933" t="s">
        <v>812</v>
      </c>
      <c r="U301" s="933"/>
      <c r="V301" s="718">
        <f>V299-V294</f>
        <v>11310585.780000001</v>
      </c>
      <c r="W301" s="718">
        <f>W299-W294</f>
        <v>12689261.800000001</v>
      </c>
      <c r="X301" s="718">
        <f>X299-X294</f>
        <v>11096641.800000001</v>
      </c>
      <c r="Y301" s="718">
        <f>Y299-Y294</f>
        <v>10914253.22857143</v>
      </c>
      <c r="Z301" s="361"/>
      <c r="AA301"/>
      <c r="AB301"/>
      <c r="AC301"/>
      <c r="AD301"/>
      <c r="AE301"/>
      <c r="AF301"/>
      <c r="AG301"/>
      <c r="AH301"/>
    </row>
    <row r="302" spans="17:34" ht="12.75" customHeight="1">
      <c r="Q302" s="364"/>
      <c r="R302" s="364"/>
      <c r="S302" s="364"/>
      <c r="T302" s="934" t="s">
        <v>350</v>
      </c>
      <c r="U302" s="934"/>
      <c r="V302" s="682">
        <f>V294</f>
        <v>8294400</v>
      </c>
      <c r="W302" s="682"/>
      <c r="X302" s="682"/>
      <c r="Y302" s="682"/>
      <c r="Z302" s="364"/>
      <c r="AA302"/>
      <c r="AB302"/>
      <c r="AC302"/>
      <c r="AD302"/>
      <c r="AE302"/>
      <c r="AF302"/>
      <c r="AG302"/>
      <c r="AH302"/>
    </row>
    <row r="303" spans="17:34" ht="12.75" customHeight="1">
      <c r="Q303" s="364">
        <v>10.3</v>
      </c>
      <c r="R303" s="363"/>
      <c r="S303" s="364"/>
      <c r="T303" s="364"/>
      <c r="U303" s="364"/>
      <c r="V303" s="682"/>
      <c r="W303" s="364"/>
      <c r="X303" s="362"/>
      <c r="Y303" s="682"/>
      <c r="Z303" s="364"/>
      <c r="AA303"/>
      <c r="AB303"/>
      <c r="AC303"/>
      <c r="AD303"/>
      <c r="AE303"/>
      <c r="AF303"/>
      <c r="AG303"/>
      <c r="AH303"/>
    </row>
    <row r="304" spans="17:34" ht="12.75" customHeight="1">
      <c r="Q304" s="364"/>
      <c r="R304" s="364"/>
      <c r="S304" s="364"/>
      <c r="T304" s="364"/>
      <c r="U304" s="364"/>
      <c r="V304" s="364"/>
      <c r="W304" s="364"/>
      <c r="X304" s="364"/>
      <c r="Y304" s="364"/>
      <c r="Z304" s="364"/>
      <c r="AA304"/>
      <c r="AB304"/>
      <c r="AC304"/>
      <c r="AD304"/>
      <c r="AE304"/>
      <c r="AF304"/>
      <c r="AG304"/>
      <c r="AH304"/>
    </row>
    <row r="305" spans="17:34" ht="12.75" customHeight="1">
      <c r="Q305" s="364"/>
      <c r="R305" s="935" t="s">
        <v>195</v>
      </c>
      <c r="S305" s="935"/>
      <c r="T305" s="935"/>
      <c r="U305" s="935"/>
      <c r="V305" s="935"/>
      <c r="W305" s="375"/>
      <c r="X305" s="683"/>
      <c r="Y305" s="375"/>
      <c r="Z305" s="375"/>
      <c r="AA305"/>
      <c r="AB305"/>
      <c r="AC305"/>
      <c r="AD305"/>
      <c r="AE305"/>
      <c r="AF305"/>
      <c r="AG305"/>
      <c r="AH305"/>
    </row>
    <row r="306" spans="17:34" ht="12.75" customHeight="1">
      <c r="Q306" s="364"/>
      <c r="R306" s="926" t="s">
        <v>509</v>
      </c>
      <c r="S306" s="927" t="s">
        <v>21</v>
      </c>
      <c r="T306" s="928" t="s">
        <v>22</v>
      </c>
      <c r="U306" s="929" t="s">
        <v>579</v>
      </c>
      <c r="V306" s="930" t="s">
        <v>500</v>
      </c>
      <c r="W306" s="363"/>
      <c r="X306" s="684"/>
      <c r="Y306" s="363"/>
      <c r="Z306" s="364"/>
      <c r="AA306"/>
      <c r="AB306"/>
      <c r="AC306"/>
      <c r="AD306"/>
      <c r="AE306"/>
      <c r="AF306"/>
      <c r="AG306"/>
      <c r="AH306"/>
    </row>
    <row r="307" spans="17:34" ht="12.75" customHeight="1">
      <c r="Q307" s="364"/>
      <c r="R307" s="926"/>
      <c r="S307" s="927"/>
      <c r="T307" s="928"/>
      <c r="U307" s="929"/>
      <c r="V307" s="930"/>
      <c r="W307" s="363"/>
      <c r="X307" s="684"/>
      <c r="Y307" s="363"/>
      <c r="Z307" s="364"/>
      <c r="AA307"/>
      <c r="AB307"/>
      <c r="AC307"/>
      <c r="AD307"/>
      <c r="AE307"/>
      <c r="AF307"/>
      <c r="AG307"/>
      <c r="AH307"/>
    </row>
    <row r="308" spans="17:34" ht="12.75" customHeight="1">
      <c r="Q308" s="364"/>
      <c r="R308" s="667" t="s">
        <v>204</v>
      </c>
      <c r="S308" s="667" t="s">
        <v>846</v>
      </c>
      <c r="T308" s="667" t="s">
        <v>846</v>
      </c>
      <c r="U308" s="667" t="s">
        <v>846</v>
      </c>
      <c r="V308" s="667" t="s">
        <v>846</v>
      </c>
      <c r="W308" s="363"/>
      <c r="X308" s="363"/>
      <c r="Y308" s="363"/>
      <c r="Z308" s="364"/>
      <c r="AA308"/>
      <c r="AB308"/>
      <c r="AC308"/>
      <c r="AD308"/>
      <c r="AE308"/>
      <c r="AF308"/>
      <c r="AG308"/>
      <c r="AH308"/>
    </row>
    <row r="309" spans="17:34" ht="12.75" customHeight="1">
      <c r="Q309" s="364"/>
      <c r="R309" s="600">
        <v>1</v>
      </c>
      <c r="S309" s="369">
        <f>$X$69</f>
        <v>116</v>
      </c>
      <c r="T309" s="584">
        <f>$V$69</f>
        <v>108</v>
      </c>
      <c r="U309" s="685">
        <f>$W$69</f>
        <v>109</v>
      </c>
      <c r="V309" s="369">
        <f>$U$69</f>
        <v>102</v>
      </c>
      <c r="W309" s="363"/>
      <c r="X309" s="363"/>
      <c r="Y309" s="363"/>
      <c r="Z309" s="364"/>
      <c r="AA309"/>
      <c r="AB309"/>
      <c r="AC309"/>
      <c r="AD309"/>
      <c r="AE309"/>
      <c r="AF309"/>
      <c r="AG309"/>
      <c r="AH309"/>
    </row>
    <row r="310" spans="17:34" ht="12.75" customHeight="1">
      <c r="Q310" s="364"/>
      <c r="R310" s="600">
        <v>2</v>
      </c>
      <c r="S310" s="584">
        <f>(LOG((10^(S309/10))+(10^(S309/10))))*10</f>
        <v>119.01029995663983</v>
      </c>
      <c r="T310" s="584">
        <f>(LOG((10^(T309/10))+(10^(T309/10))))*10</f>
        <v>111.01029995663981</v>
      </c>
      <c r="U310" s="584">
        <f>(LOG((10^(U309/10))+(10^(U309/10))))*10</f>
        <v>112.01029995663981</v>
      </c>
      <c r="V310" s="584">
        <f>(LOG((10^(V309/10))+(10^(V309/10))))*10</f>
        <v>105.01029995663983</v>
      </c>
      <c r="W310" s="363"/>
      <c r="X310" s="363"/>
      <c r="Y310" s="363"/>
      <c r="Z310" s="364"/>
      <c r="AA310"/>
      <c r="AB310"/>
      <c r="AC310"/>
      <c r="AD310"/>
      <c r="AE310"/>
      <c r="AF310"/>
      <c r="AG310"/>
      <c r="AH310"/>
    </row>
    <row r="311" spans="17:34" ht="12.75" customHeight="1">
      <c r="Q311" s="597"/>
      <c r="R311" s="600">
        <v>3</v>
      </c>
      <c r="S311" s="584">
        <f>(LOG((10^(S309/10))+(10^(S309/10))+(10^(S309/10)))*10)</f>
        <v>120.77121254719664</v>
      </c>
      <c r="T311" s="584">
        <f>(LOG((10^(T309/10))+(10^(T309/10))+(10^(T309/10)))*10)</f>
        <v>112.77121254719663</v>
      </c>
      <c r="U311" s="584">
        <f>(LOG((10^(U309/10))+(10^(U309/10))+(10^(U309/10)))*10)</f>
        <v>113.77121254719663</v>
      </c>
      <c r="V311" s="584">
        <f>(LOG((10^(V309/10))+(10^(V309/10))+(10^(V309/10)))*10)</f>
        <v>106.77121254719664</v>
      </c>
      <c r="W311" s="363"/>
      <c r="X311" s="363"/>
      <c r="Y311" s="363"/>
      <c r="Z311" s="364"/>
      <c r="AA311"/>
      <c r="AB311"/>
      <c r="AC311"/>
      <c r="AD311"/>
      <c r="AE311"/>
      <c r="AF311"/>
      <c r="AG311"/>
      <c r="AH311"/>
    </row>
    <row r="312" spans="17:34" ht="12.75" customHeight="1">
      <c r="Q312" s="364"/>
      <c r="R312" s="600">
        <v>4</v>
      </c>
      <c r="S312" s="584">
        <f>(LOG((10^(S309/10))+(10^(S309/10))+(10^(S309/10))+(10^(S309/10))))*10</f>
        <v>122.02059991327964</v>
      </c>
      <c r="T312" s="584">
        <f>(LOG((10^(T309/10))+(10^(T309/10))+(10^(T309/10))+(10^(T309/10))))*10</f>
        <v>114.02059991327963</v>
      </c>
      <c r="U312" s="584">
        <f>(LOG((10^(U309/10))+(10^(U309/10))+(10^(U309/10))+(10^(U309/10))))*10</f>
        <v>115.02059991327963</v>
      </c>
      <c r="V312" s="584">
        <f>(LOG((10^(V309/10))+(10^(V309/10))+(10^(V309/10))+(10^(V309/10))))*10</f>
        <v>108.02059991327964</v>
      </c>
      <c r="W312" s="363"/>
      <c r="X312" s="363"/>
      <c r="Y312" s="363"/>
      <c r="Z312" s="364"/>
      <c r="AA312"/>
      <c r="AB312"/>
      <c r="AC312"/>
      <c r="AD312"/>
      <c r="AE312"/>
      <c r="AF312"/>
      <c r="AG312"/>
      <c r="AH312"/>
    </row>
    <row r="313" spans="17:34" ht="12.75" customHeight="1">
      <c r="Q313" s="364"/>
      <c r="R313" s="600">
        <v>5</v>
      </c>
      <c r="S313" s="584">
        <f>(LOG((10^(S309/10))+(10^(S309/10))+(10^(S309/10))+(10^(S309/10))+(10^(S309/10))))*10</f>
        <v>122.9897000433602</v>
      </c>
      <c r="T313" s="584">
        <f>(LOG((10^(T309/10))+(10^(T309/10))+(10^(T309/10))+(10^(T309/10))+(10^(T309/10))))*10</f>
        <v>114.98970004336019</v>
      </c>
      <c r="U313" s="584">
        <f>(LOG((10^(U309/10))+(10^(U309/10))+(10^(U309/10))+(10^(U309/10))+(10^(U309/10))))*10</f>
        <v>115.98970004336019</v>
      </c>
      <c r="V313" s="584">
        <f>(LOG((10^(V309/10))+(10^(V309/10))+(10^(V309/10))+(10^(V309/10))+(10^(V309/10))))*10</f>
        <v>108.9897000433602</v>
      </c>
      <c r="W313" s="363"/>
      <c r="X313" s="363"/>
      <c r="Y313" s="363"/>
      <c r="Z313" s="364"/>
      <c r="AA313"/>
      <c r="AB313"/>
      <c r="AC313"/>
      <c r="AD313"/>
      <c r="AE313"/>
      <c r="AF313"/>
      <c r="AG313"/>
      <c r="AH313"/>
    </row>
    <row r="314" spans="17:34" ht="12.75" customHeight="1">
      <c r="Q314" s="364"/>
      <c r="R314" s="600">
        <v>6</v>
      </c>
      <c r="S314" s="584">
        <f>(LOG((10^(S309/10))+(10^(S309/10))+(10^(S309/10))+(10^(S309/10))+(10^(S309/10))+(10^(S309/10)))*10)</f>
        <v>123.78151250383645</v>
      </c>
      <c r="T314" s="584">
        <f>(LOG((10^(T309/10))+(10^(T309/10))+(10^(T309/10))+(10^(T309/10))+(10^(T309/10))+(10^(T309/10)))*10)</f>
        <v>115.78151250383644</v>
      </c>
      <c r="U314" s="584">
        <f>(LOG((10^(U309/10))+(10^(U309/10))+(10^(U309/10))+(10^(U309/10))+(10^(U309/10))+(10^(U309/10)))*10)</f>
        <v>116.78151250383644</v>
      </c>
      <c r="V314" s="584">
        <f>(LOG((10^(V309/10))+(10^(V309/10))+(10^(V309/10))+(10^(V309/10))+(10^(V309/10))+(10^(V309/10)))*10)</f>
        <v>109.78151250383645</v>
      </c>
      <c r="W314" s="363"/>
      <c r="X314" s="363"/>
      <c r="Y314" s="363"/>
      <c r="Z314" s="364"/>
      <c r="AA314"/>
      <c r="AB314"/>
      <c r="AC314"/>
      <c r="AD314"/>
      <c r="AE314"/>
      <c r="AF314"/>
      <c r="AG314"/>
      <c r="AH314"/>
    </row>
    <row r="315" spans="17:34" ht="12.75" customHeight="1" thickBot="1">
      <c r="Q315" s="364"/>
      <c r="R315" s="364"/>
      <c r="S315" s="364"/>
      <c r="T315" s="364"/>
      <c r="U315" s="364"/>
      <c r="V315" s="364"/>
      <c r="W315" s="364"/>
      <c r="X315" s="364"/>
      <c r="Y315" s="364"/>
      <c r="Z315" s="364"/>
      <c r="AA315"/>
      <c r="AB315"/>
      <c r="AC315"/>
      <c r="AD315"/>
      <c r="AE315"/>
      <c r="AF315"/>
      <c r="AG315"/>
      <c r="AH315"/>
    </row>
    <row r="316" spans="17:34" ht="12.75" customHeight="1" thickTop="1">
      <c r="Q316" s="364"/>
      <c r="R316" s="916" t="s">
        <v>428</v>
      </c>
      <c r="S316" s="917"/>
      <c r="T316" s="917"/>
      <c r="U316" s="917"/>
      <c r="V316" s="917"/>
      <c r="W316" s="918"/>
      <c r="X316" s="364"/>
      <c r="Y316" s="364"/>
      <c r="Z316" s="364"/>
      <c r="AA316"/>
      <c r="AB316"/>
      <c r="AC316"/>
      <c r="AD316"/>
      <c r="AE316"/>
      <c r="AF316"/>
      <c r="AG316"/>
      <c r="AH316"/>
    </row>
    <row r="317" spans="17:34" ht="12.75" customHeight="1">
      <c r="Q317" s="364"/>
      <c r="R317" s="919"/>
      <c r="S317" s="920"/>
      <c r="T317" s="920"/>
      <c r="U317" s="920"/>
      <c r="V317" s="920"/>
      <c r="W317" s="921"/>
      <c r="X317" s="364"/>
      <c r="Y317" s="364"/>
      <c r="Z317" s="364"/>
      <c r="AA317"/>
      <c r="AB317"/>
      <c r="AC317"/>
      <c r="AD317"/>
      <c r="AE317"/>
      <c r="AF317"/>
      <c r="AG317"/>
      <c r="AH317"/>
    </row>
    <row r="318" spans="17:34" ht="12.75" customHeight="1" thickBot="1">
      <c r="Q318" s="364"/>
      <c r="R318" s="922"/>
      <c r="S318" s="923"/>
      <c r="T318" s="923"/>
      <c r="U318" s="923"/>
      <c r="V318" s="923"/>
      <c r="W318" s="924"/>
      <c r="X318" s="364"/>
      <c r="Y318" s="364"/>
      <c r="Z318" s="364"/>
      <c r="AA318"/>
      <c r="AB318"/>
      <c r="AC318"/>
      <c r="AD318"/>
      <c r="AE318"/>
      <c r="AF318"/>
      <c r="AG318"/>
      <c r="AH318"/>
    </row>
    <row r="319" spans="17:34" ht="12.75" customHeight="1" thickTop="1">
      <c r="Q319" s="364"/>
      <c r="R319" s="925" t="str">
        <f>S306</f>
        <v>Seco S215</v>
      </c>
      <c r="S319" s="925"/>
      <c r="T319" s="925"/>
      <c r="U319" s="925"/>
      <c r="V319" s="925"/>
      <c r="W319" s="925"/>
      <c r="X319" s="364"/>
      <c r="Y319" s="364"/>
      <c r="Z319" s="364"/>
      <c r="AA319"/>
      <c r="AB319"/>
      <c r="AC319"/>
      <c r="AD319"/>
      <c r="AE319"/>
      <c r="AF319"/>
      <c r="AG319"/>
      <c r="AH319"/>
    </row>
    <row r="320" spans="17:34" ht="12.75" customHeight="1" thickBot="1">
      <c r="Q320" s="364"/>
      <c r="R320" s="910" t="s">
        <v>205</v>
      </c>
      <c r="S320" s="911"/>
      <c r="T320" s="911"/>
      <c r="U320" s="911"/>
      <c r="V320" s="911"/>
      <c r="W320" s="912"/>
      <c r="X320" s="364"/>
      <c r="Y320" s="364"/>
      <c r="Z320" s="364"/>
      <c r="AA320"/>
      <c r="AB320"/>
      <c r="AC320"/>
      <c r="AD320"/>
      <c r="AE320"/>
      <c r="AF320"/>
      <c r="AG320"/>
      <c r="AH320"/>
    </row>
    <row r="321" spans="17:34" ht="12.75" customHeight="1" thickBot="1">
      <c r="Q321" s="364"/>
      <c r="R321" s="686" t="s">
        <v>59</v>
      </c>
      <c r="S321" s="577"/>
      <c r="T321" s="687"/>
      <c r="U321" s="687"/>
      <c r="V321" s="687"/>
      <c r="W321" s="688"/>
      <c r="X321" s="364"/>
      <c r="Y321" s="364"/>
      <c r="Z321" s="364"/>
      <c r="AA321"/>
      <c r="AB321"/>
      <c r="AC321"/>
      <c r="AD321"/>
      <c r="AE321"/>
      <c r="AF321"/>
      <c r="AG321"/>
      <c r="AH321"/>
    </row>
    <row r="322" spans="17:34" ht="12.75" customHeight="1">
      <c r="Q322" s="364"/>
      <c r="R322" s="895" t="s">
        <v>845</v>
      </c>
      <c r="S322" s="896"/>
      <c r="T322" s="900" t="s">
        <v>835</v>
      </c>
      <c r="U322" s="900" t="s">
        <v>836</v>
      </c>
      <c r="V322" s="900" t="s">
        <v>837</v>
      </c>
      <c r="W322" s="902" t="s">
        <v>838</v>
      </c>
      <c r="X322" s="364"/>
      <c r="Y322" s="364"/>
      <c r="Z322" s="364"/>
      <c r="AA322"/>
      <c r="AB322"/>
      <c r="AC322"/>
      <c r="AD322"/>
      <c r="AE322"/>
      <c r="AF322"/>
      <c r="AG322"/>
      <c r="AH322"/>
    </row>
    <row r="323" spans="17:34" ht="12.75" customHeight="1">
      <c r="Q323" s="364"/>
      <c r="R323" s="892"/>
      <c r="S323" s="897"/>
      <c r="T323" s="904"/>
      <c r="U323" s="904"/>
      <c r="V323" s="904"/>
      <c r="W323" s="905"/>
      <c r="X323" s="364"/>
      <c r="Y323" s="364"/>
      <c r="Z323" s="364"/>
      <c r="AA323"/>
      <c r="AB323"/>
      <c r="AC323"/>
      <c r="AD323"/>
      <c r="AE323"/>
      <c r="AF323"/>
      <c r="AG323"/>
      <c r="AH323"/>
    </row>
    <row r="324" spans="17:34" ht="12.75" customHeight="1">
      <c r="Q324" s="364"/>
      <c r="R324" s="892"/>
      <c r="S324" s="897"/>
      <c r="T324" s="901"/>
      <c r="U324" s="901"/>
      <c r="V324" s="901"/>
      <c r="W324" s="903"/>
      <c r="X324" s="364"/>
      <c r="Y324" s="364"/>
      <c r="Z324" s="364"/>
      <c r="AA324"/>
      <c r="AB324"/>
      <c r="AC324"/>
      <c r="AD324"/>
      <c r="AE324"/>
      <c r="AF324"/>
      <c r="AG324"/>
      <c r="AH324"/>
    </row>
    <row r="325" spans="17:34" ht="12.75" customHeight="1">
      <c r="Q325" s="364"/>
      <c r="R325" s="892"/>
      <c r="S325" s="897"/>
      <c r="T325" s="689">
        <f>X69</f>
        <v>116</v>
      </c>
      <c r="U325" s="560">
        <f>X62</f>
        <v>1.4285714285714284</v>
      </c>
      <c r="V325" s="690">
        <f>IF(T325&gt;0,W325*U325," ")</f>
        <v>22857.142857142855</v>
      </c>
      <c r="W325" s="691">
        <f>IF(T325&gt;0,(VLOOKUP(T325,'Lookup Ready-reckoner'!$B$5:$E$1207,4))," ")</f>
        <v>16000</v>
      </c>
      <c r="X325" s="364"/>
      <c r="Y325" s="364"/>
      <c r="Z325" s="364"/>
      <c r="AA325"/>
      <c r="AB325"/>
      <c r="AC325"/>
      <c r="AD325"/>
      <c r="AE325"/>
      <c r="AF325"/>
      <c r="AG325"/>
      <c r="AH325"/>
    </row>
    <row r="326" spans="17:34" ht="12.75" customHeight="1">
      <c r="Q326" s="364"/>
      <c r="R326" s="898"/>
      <c r="S326" s="899"/>
      <c r="T326" s="447"/>
      <c r="U326" s="560"/>
      <c r="V326" s="690" t="str">
        <f>IF(T326&gt;0,W326*U326," ")</f>
        <v xml:space="preserve"> </v>
      </c>
      <c r="W326" s="691" t="str">
        <f>IF(T326&gt;0,(VLOOKUP(T326,'Lookup Ready-reckoner'!$B$5:$E$1007,4))," ")</f>
        <v xml:space="preserve"> </v>
      </c>
      <c r="X326" s="364"/>
      <c r="Y326" s="364"/>
      <c r="Z326" s="364"/>
      <c r="AA326"/>
      <c r="AB326"/>
      <c r="AC326"/>
      <c r="AD326"/>
      <c r="AE326"/>
      <c r="AF326"/>
      <c r="AG326"/>
      <c r="AH326"/>
    </row>
    <row r="327" spans="17:34" ht="12.75" customHeight="1" thickBot="1">
      <c r="Q327" s="364"/>
      <c r="R327" s="692" t="s">
        <v>839</v>
      </c>
      <c r="S327" s="693"/>
      <c r="T327" s="693"/>
      <c r="U327" s="694">
        <f>IF(T325&gt;0,(VLOOKUP(V327,'Lookup Ready-reckoner'!$L$5:$M$1207,2))," ")</f>
        <v>108.5</v>
      </c>
      <c r="V327" s="695">
        <f>IF(U325&gt;0,(SUM(V325:V326))," ")</f>
        <v>22857.142857142855</v>
      </c>
      <c r="W327" s="696"/>
      <c r="X327" s="364"/>
      <c r="Y327" s="364"/>
      <c r="Z327" s="364"/>
      <c r="AA327"/>
      <c r="AB327"/>
      <c r="AC327"/>
      <c r="AD327"/>
      <c r="AE327"/>
      <c r="AF327"/>
      <c r="AG327"/>
      <c r="AH327"/>
    </row>
    <row r="328" spans="17:34" ht="12.75" customHeight="1" thickBot="1">
      <c r="Q328" s="364"/>
      <c r="R328" s="892"/>
      <c r="S328" s="893"/>
      <c r="T328" s="893"/>
      <c r="U328" s="893"/>
      <c r="V328" s="893"/>
      <c r="W328" s="894"/>
      <c r="X328" s="364"/>
      <c r="Y328" s="364"/>
      <c r="Z328" s="364"/>
      <c r="AA328"/>
      <c r="AB328"/>
      <c r="AC328"/>
      <c r="AD328"/>
      <c r="AE328"/>
      <c r="AF328"/>
      <c r="AG328"/>
      <c r="AH328"/>
    </row>
    <row r="329" spans="17:34" ht="12.75" customHeight="1">
      <c r="Q329" s="364"/>
      <c r="R329" s="895" t="s">
        <v>886</v>
      </c>
      <c r="S329" s="896"/>
      <c r="T329" s="900" t="s">
        <v>835</v>
      </c>
      <c r="U329" s="900" t="s">
        <v>836</v>
      </c>
      <c r="V329" s="900" t="s">
        <v>837</v>
      </c>
      <c r="W329" s="902" t="s">
        <v>838</v>
      </c>
      <c r="X329" s="364"/>
      <c r="Y329" s="364"/>
      <c r="Z329" s="364"/>
      <c r="AA329"/>
      <c r="AB329"/>
      <c r="AC329"/>
      <c r="AD329"/>
      <c r="AE329"/>
      <c r="AF329"/>
      <c r="AG329"/>
      <c r="AH329"/>
    </row>
    <row r="330" spans="17:34" ht="12.75" customHeight="1">
      <c r="Q330" s="364"/>
      <c r="R330" s="892"/>
      <c r="S330" s="897"/>
      <c r="T330" s="901"/>
      <c r="U330" s="901"/>
      <c r="V330" s="901"/>
      <c r="W330" s="903"/>
      <c r="X330" s="364"/>
      <c r="Y330" s="364"/>
      <c r="Z330" s="364"/>
      <c r="AA330"/>
      <c r="AB330"/>
      <c r="AC330"/>
      <c r="AD330"/>
      <c r="AE330"/>
      <c r="AF330"/>
      <c r="AG330"/>
      <c r="AH330"/>
    </row>
    <row r="331" spans="17:34" ht="12.75" customHeight="1">
      <c r="Q331" s="364"/>
      <c r="R331" s="892"/>
      <c r="S331" s="897"/>
      <c r="T331" s="689">
        <f>T325*(1-0.0178*2)</f>
        <v>111.8704</v>
      </c>
      <c r="U331" s="560">
        <f>U325</f>
        <v>1.4285714285714284</v>
      </c>
      <c r="V331" s="690">
        <f>IF(T331&gt;0,W331*U331," ")</f>
        <v>8842.8571428571413</v>
      </c>
      <c r="W331" s="691">
        <f>IF(T331&gt;0,(VLOOKUP(T331,'Lookup Ready-reckoner'!$B$5:$E$1207,4))," ")</f>
        <v>6190</v>
      </c>
      <c r="X331" s="364"/>
      <c r="Y331" s="364"/>
      <c r="Z331" s="364"/>
      <c r="AA331"/>
      <c r="AB331"/>
      <c r="AC331"/>
      <c r="AD331"/>
      <c r="AE331"/>
      <c r="AF331"/>
      <c r="AG331"/>
      <c r="AH331"/>
    </row>
    <row r="332" spans="17:34" ht="12.75" customHeight="1">
      <c r="Q332" s="364"/>
      <c r="R332" s="898"/>
      <c r="S332" s="899"/>
      <c r="T332" s="447"/>
      <c r="U332" s="560"/>
      <c r="V332" s="690" t="str">
        <f>IF(T332&gt;0,W332*U332," ")</f>
        <v xml:space="preserve"> </v>
      </c>
      <c r="W332" s="691" t="str">
        <f>IF(T332&gt;0,(VLOOKUP(T332,'Lookup Ready-reckoner'!$B$5:$E$1007,4))," ")</f>
        <v xml:space="preserve"> </v>
      </c>
      <c r="X332" s="364"/>
      <c r="Y332" s="364"/>
      <c r="Z332" s="364"/>
      <c r="AA332"/>
      <c r="AB332"/>
      <c r="AC332"/>
      <c r="AD332"/>
      <c r="AE332"/>
      <c r="AF332"/>
      <c r="AG332"/>
      <c r="AH332"/>
    </row>
    <row r="333" spans="17:34" ht="12.75" customHeight="1" thickBot="1">
      <c r="Q333" s="364"/>
      <c r="R333" s="692" t="s">
        <v>839</v>
      </c>
      <c r="S333" s="693"/>
      <c r="T333" s="693"/>
      <c r="U333" s="694">
        <f>IF(T331&gt;0,(VLOOKUP(V333,'Lookup Ready-reckoner'!$L$5:$M$1207,2))," ")</f>
        <v>104.4</v>
      </c>
      <c r="V333" s="695">
        <f>IF(U331&gt;0,(SUM(V331:V332))," ")</f>
        <v>8842.8571428571413</v>
      </c>
      <c r="W333" s="696"/>
      <c r="X333" s="364"/>
      <c r="Y333" s="364"/>
      <c r="Z333" s="364"/>
      <c r="AA333"/>
      <c r="AB333"/>
      <c r="AC333"/>
      <c r="AD333"/>
      <c r="AE333"/>
      <c r="AF333"/>
      <c r="AG333"/>
      <c r="AH333"/>
    </row>
    <row r="334" spans="17:34" ht="12.75" customHeight="1">
      <c r="Q334" s="364"/>
      <c r="R334" s="697"/>
      <c r="S334" s="687"/>
      <c r="T334" s="687"/>
      <c r="U334" s="372"/>
      <c r="V334" s="374"/>
      <c r="W334" s="688"/>
      <c r="X334" s="364"/>
      <c r="Y334" s="364"/>
      <c r="Z334" s="364"/>
      <c r="AA334"/>
      <c r="AB334"/>
      <c r="AC334"/>
      <c r="AD334"/>
      <c r="AE334"/>
      <c r="AF334"/>
      <c r="AG334"/>
      <c r="AH334"/>
    </row>
    <row r="335" spans="17:34" ht="12.75" customHeight="1" thickBot="1">
      <c r="Q335" s="364"/>
      <c r="R335" s="686" t="s">
        <v>60</v>
      </c>
      <c r="S335" s="577"/>
      <c r="T335" s="577"/>
      <c r="U335" s="577"/>
      <c r="V335" s="577"/>
      <c r="W335" s="698"/>
      <c r="X335" s="364"/>
      <c r="Y335" s="364"/>
      <c r="Z335" s="364"/>
      <c r="AA335"/>
      <c r="AB335"/>
      <c r="AC335"/>
      <c r="AD335"/>
      <c r="AE335"/>
      <c r="AF335"/>
      <c r="AG335"/>
      <c r="AH335"/>
    </row>
    <row r="336" spans="17:34" ht="12.75" customHeight="1">
      <c r="Q336" s="364"/>
      <c r="R336" s="895" t="s">
        <v>845</v>
      </c>
      <c r="S336" s="896"/>
      <c r="T336" s="900" t="s">
        <v>835</v>
      </c>
      <c r="U336" s="900" t="s">
        <v>836</v>
      </c>
      <c r="V336" s="900" t="s">
        <v>837</v>
      </c>
      <c r="W336" s="902" t="s">
        <v>838</v>
      </c>
      <c r="X336" s="364"/>
      <c r="Y336" s="364"/>
      <c r="Z336" s="364"/>
      <c r="AA336"/>
      <c r="AB336"/>
      <c r="AC336"/>
      <c r="AD336"/>
      <c r="AE336"/>
      <c r="AF336"/>
      <c r="AG336"/>
      <c r="AH336"/>
    </row>
    <row r="337" spans="17:34" ht="12.75" customHeight="1">
      <c r="Q337" s="364"/>
      <c r="R337" s="892"/>
      <c r="S337" s="897"/>
      <c r="T337" s="901"/>
      <c r="U337" s="901"/>
      <c r="V337" s="901"/>
      <c r="W337" s="903"/>
      <c r="X337" s="364"/>
      <c r="Y337" s="364"/>
      <c r="Z337" s="364"/>
      <c r="AA337"/>
      <c r="AB337"/>
      <c r="AC337"/>
      <c r="AD337"/>
      <c r="AE337"/>
      <c r="AF337"/>
      <c r="AG337"/>
      <c r="AH337"/>
    </row>
    <row r="338" spans="17:34" ht="12.75" customHeight="1">
      <c r="Q338" s="364"/>
      <c r="R338" s="892"/>
      <c r="S338" s="897"/>
      <c r="T338" s="689">
        <f>T325-PPE!$I$15</f>
        <v>103</v>
      </c>
      <c r="U338" s="560">
        <f>U331</f>
        <v>1.4285714285714284</v>
      </c>
      <c r="V338" s="690">
        <f>IF(T338&gt;0,W338*U338," ")</f>
        <v>1142.8571428571427</v>
      </c>
      <c r="W338" s="691">
        <f>IF(T338&gt;0,(VLOOKUP(T338,'Lookup Ready-reckoner'!$B$5:$E$1207,4))," ")</f>
        <v>800</v>
      </c>
      <c r="X338" s="364"/>
      <c r="Y338" s="364"/>
      <c r="Z338" s="364"/>
      <c r="AA338"/>
      <c r="AB338"/>
      <c r="AC338"/>
      <c r="AD338"/>
      <c r="AE338"/>
      <c r="AF338"/>
      <c r="AG338"/>
      <c r="AH338"/>
    </row>
    <row r="339" spans="17:34" ht="12.75" customHeight="1">
      <c r="Q339" s="364"/>
      <c r="R339" s="898"/>
      <c r="S339" s="899"/>
      <c r="T339" s="447"/>
      <c r="U339" s="560"/>
      <c r="V339" s="690" t="str">
        <f>IF(T339&gt;0,W339*U339," ")</f>
        <v xml:space="preserve"> </v>
      </c>
      <c r="W339" s="691" t="str">
        <f>IF(T339&gt;0,(VLOOKUP(T339,'Lookup Ready-reckoner'!$B$5:$E$1007,4))," ")</f>
        <v xml:space="preserve"> </v>
      </c>
      <c r="X339" s="364"/>
      <c r="Y339" s="364"/>
      <c r="Z339" s="364"/>
      <c r="AA339"/>
      <c r="AB339"/>
      <c r="AC339"/>
      <c r="AD339"/>
      <c r="AE339"/>
      <c r="AF339"/>
      <c r="AG339"/>
      <c r="AH339"/>
    </row>
    <row r="340" spans="17:34" ht="12.75" customHeight="1" thickBot="1">
      <c r="Q340" s="364"/>
      <c r="R340" s="699" t="s">
        <v>839</v>
      </c>
      <c r="S340" s="693"/>
      <c r="T340" s="693"/>
      <c r="U340" s="694">
        <f>IF(T338&gt;0,(VLOOKUP(V340,'Lookup Ready-reckoner'!$L$5:$M$1207,2))," ")</f>
        <v>95.55</v>
      </c>
      <c r="V340" s="695">
        <f>IF(U338&gt;0,(SUM(V338:V339))," ")</f>
        <v>1142.8571428571427</v>
      </c>
      <c r="W340" s="696"/>
      <c r="X340" s="364"/>
      <c r="Y340" s="364"/>
      <c r="Z340" s="364"/>
      <c r="AA340"/>
      <c r="AB340"/>
      <c r="AC340"/>
      <c r="AD340"/>
      <c r="AE340"/>
      <c r="AF340"/>
      <c r="AG340"/>
      <c r="AH340"/>
    </row>
    <row r="341" spans="17:34" ht="12.75" customHeight="1" thickBot="1">
      <c r="Q341" s="364"/>
      <c r="R341" s="892"/>
      <c r="S341" s="893"/>
      <c r="T341" s="893"/>
      <c r="U341" s="893"/>
      <c r="V341" s="893"/>
      <c r="W341" s="894"/>
      <c r="X341" s="364"/>
      <c r="Y341" s="364"/>
      <c r="Z341" s="364"/>
      <c r="AA341"/>
      <c r="AB341"/>
      <c r="AC341"/>
      <c r="AD341"/>
      <c r="AE341"/>
      <c r="AF341"/>
      <c r="AG341"/>
      <c r="AH341"/>
    </row>
    <row r="342" spans="17:34" ht="12.75" customHeight="1">
      <c r="Q342" s="364"/>
      <c r="R342" s="895" t="s">
        <v>886</v>
      </c>
      <c r="S342" s="896"/>
      <c r="T342" s="900" t="s">
        <v>835</v>
      </c>
      <c r="U342" s="900" t="s">
        <v>836</v>
      </c>
      <c r="V342" s="900" t="s">
        <v>837</v>
      </c>
      <c r="W342" s="902" t="s">
        <v>838</v>
      </c>
      <c r="X342" s="364"/>
      <c r="Y342" s="364"/>
      <c r="Z342" s="364"/>
      <c r="AA342"/>
      <c r="AB342"/>
      <c r="AC342"/>
      <c r="AD342"/>
      <c r="AE342"/>
      <c r="AF342"/>
      <c r="AG342"/>
      <c r="AH342"/>
    </row>
    <row r="343" spans="17:34" ht="12.75" customHeight="1">
      <c r="Q343" s="364"/>
      <c r="R343" s="892"/>
      <c r="S343" s="897"/>
      <c r="T343" s="901"/>
      <c r="U343" s="901"/>
      <c r="V343" s="901"/>
      <c r="W343" s="903"/>
      <c r="X343" s="364"/>
      <c r="Y343" s="364"/>
      <c r="Z343" s="364"/>
      <c r="AA343"/>
      <c r="AB343"/>
      <c r="AC343"/>
      <c r="AD343"/>
      <c r="AE343"/>
      <c r="AF343"/>
      <c r="AG343"/>
      <c r="AH343"/>
    </row>
    <row r="344" spans="17:34" ht="12.75" customHeight="1">
      <c r="Q344" s="364"/>
      <c r="R344" s="892"/>
      <c r="S344" s="897"/>
      <c r="T344" s="689">
        <f>T331-PPE!$I$15</f>
        <v>98.870400000000004</v>
      </c>
      <c r="U344" s="560">
        <f>U338</f>
        <v>1.4285714285714284</v>
      </c>
      <c r="V344" s="690">
        <f>IF(T344&gt;0,W344*U344," ")</f>
        <v>433.03571428571422</v>
      </c>
      <c r="W344" s="691">
        <f>IF(T344&gt;0,(VLOOKUP(T344,'Lookup Ready-reckoner'!$B$5:$E$1207,4))," ")</f>
        <v>303.125</v>
      </c>
      <c r="X344" s="364"/>
      <c r="Y344" s="364"/>
      <c r="Z344" s="364"/>
      <c r="AA344"/>
      <c r="AB344"/>
      <c r="AC344"/>
      <c r="AD344"/>
      <c r="AE344"/>
      <c r="AF344"/>
      <c r="AG344"/>
      <c r="AH344"/>
    </row>
    <row r="345" spans="17:34" ht="12.75" customHeight="1">
      <c r="Q345" s="364"/>
      <c r="R345" s="898"/>
      <c r="S345" s="899"/>
      <c r="T345" s="447"/>
      <c r="U345" s="560"/>
      <c r="V345" s="690" t="str">
        <f>IF(T345&gt;0,W345*U345," ")</f>
        <v xml:space="preserve"> </v>
      </c>
      <c r="W345" s="691" t="str">
        <f>IF(T345&gt;0,(VLOOKUP(T345,'Lookup Ready-reckoner'!$B$5:$E$1007,4))," ")</f>
        <v xml:space="preserve"> </v>
      </c>
      <c r="X345" s="364"/>
      <c r="Y345" s="364"/>
      <c r="Z345" s="364"/>
      <c r="AA345"/>
      <c r="AB345"/>
      <c r="AC345"/>
      <c r="AD345"/>
      <c r="AE345"/>
      <c r="AF345"/>
      <c r="AG345"/>
      <c r="AH345"/>
    </row>
    <row r="346" spans="17:34" ht="12.75" customHeight="1" thickBot="1">
      <c r="Q346" s="364"/>
      <c r="R346" s="692" t="s">
        <v>839</v>
      </c>
      <c r="S346" s="693"/>
      <c r="T346" s="693"/>
      <c r="U346" s="694">
        <f>IF(T344&gt;0,(VLOOKUP(V346,'Lookup Ready-reckoner'!$L$5:$M$1207,2))," ")</f>
        <v>91.3</v>
      </c>
      <c r="V346" s="695">
        <f>IF(U344&gt;0,(SUM(V344:V345))," ")</f>
        <v>433.03571428571422</v>
      </c>
      <c r="W346" s="696"/>
      <c r="X346" s="364"/>
      <c r="Y346" s="364"/>
      <c r="Z346" s="364"/>
      <c r="AA346"/>
      <c r="AB346"/>
      <c r="AC346"/>
      <c r="AD346"/>
      <c r="AE346"/>
      <c r="AF346"/>
      <c r="AG346"/>
      <c r="AH346"/>
    </row>
    <row r="347" spans="17:34" ht="12.75" customHeight="1">
      <c r="Q347" s="364"/>
      <c r="R347" s="363"/>
      <c r="S347" s="363"/>
      <c r="T347" s="363"/>
      <c r="U347" s="363"/>
      <c r="V347" s="363"/>
      <c r="W347" s="363"/>
      <c r="X347" s="364"/>
      <c r="Y347" s="364"/>
      <c r="Z347" s="364"/>
      <c r="AA347"/>
      <c r="AB347"/>
      <c r="AC347"/>
      <c r="AD347"/>
      <c r="AE347"/>
      <c r="AF347"/>
      <c r="AG347"/>
      <c r="AH347"/>
    </row>
    <row r="348" spans="17:34" ht="12.75" customHeight="1" thickBot="1">
      <c r="Q348" s="364"/>
      <c r="R348" s="915" t="str">
        <f>T306</f>
        <v>Seco S215 Muffled</v>
      </c>
      <c r="S348" s="915"/>
      <c r="T348" s="915"/>
      <c r="U348" s="915"/>
      <c r="V348" s="915"/>
      <c r="W348" s="915"/>
      <c r="X348" s="364"/>
      <c r="Y348" s="363"/>
      <c r="Z348" s="363"/>
      <c r="AA348"/>
      <c r="AB348"/>
      <c r="AC348"/>
      <c r="AD348"/>
      <c r="AE348"/>
      <c r="AF348"/>
      <c r="AG348"/>
      <c r="AH348"/>
    </row>
    <row r="349" spans="17:34" ht="12.75" customHeight="1" thickBot="1">
      <c r="Q349" s="364"/>
      <c r="R349" s="906" t="s">
        <v>205</v>
      </c>
      <c r="S349" s="907"/>
      <c r="T349" s="907"/>
      <c r="U349" s="907"/>
      <c r="V349" s="907"/>
      <c r="W349" s="908"/>
      <c r="X349" s="364"/>
      <c r="Y349" s="363"/>
      <c r="Z349" s="363"/>
      <c r="AA349"/>
      <c r="AB349"/>
      <c r="AC349"/>
      <c r="AD349"/>
      <c r="AE349"/>
      <c r="AF349"/>
      <c r="AG349"/>
      <c r="AH349"/>
    </row>
    <row r="350" spans="17:34" ht="12.75" customHeight="1" thickBot="1">
      <c r="Q350" s="364"/>
      <c r="R350" s="686" t="s">
        <v>59</v>
      </c>
      <c r="S350" s="577"/>
      <c r="T350" s="687"/>
      <c r="U350" s="687"/>
      <c r="V350" s="687"/>
      <c r="W350" s="688"/>
      <c r="X350" s="364"/>
      <c r="Y350" s="363"/>
      <c r="Z350" s="363"/>
      <c r="AA350"/>
      <c r="AB350"/>
      <c r="AC350"/>
      <c r="AD350"/>
      <c r="AE350"/>
      <c r="AF350"/>
      <c r="AG350"/>
      <c r="AH350"/>
    </row>
    <row r="351" spans="17:34" ht="12.75" customHeight="1">
      <c r="Q351" s="364"/>
      <c r="R351" s="895" t="s">
        <v>845</v>
      </c>
      <c r="S351" s="896"/>
      <c r="T351" s="900" t="s">
        <v>835</v>
      </c>
      <c r="U351" s="900" t="s">
        <v>836</v>
      </c>
      <c r="V351" s="900" t="s">
        <v>837</v>
      </c>
      <c r="W351" s="902" t="s">
        <v>838</v>
      </c>
      <c r="X351" s="364"/>
      <c r="Y351" s="363"/>
      <c r="Z351" s="363"/>
      <c r="AA351"/>
      <c r="AB351"/>
      <c r="AC351"/>
      <c r="AD351"/>
      <c r="AE351"/>
      <c r="AF351"/>
      <c r="AG351"/>
      <c r="AH351"/>
    </row>
    <row r="352" spans="17:34" ht="12.75" customHeight="1">
      <c r="Q352" s="364"/>
      <c r="R352" s="892"/>
      <c r="S352" s="897"/>
      <c r="T352" s="904"/>
      <c r="U352" s="904"/>
      <c r="V352" s="904"/>
      <c r="W352" s="905"/>
      <c r="X352" s="364"/>
      <c r="Y352" s="363"/>
      <c r="Z352" s="363"/>
      <c r="AA352"/>
      <c r="AB352"/>
      <c r="AC352"/>
      <c r="AD352"/>
      <c r="AE352"/>
      <c r="AF352"/>
      <c r="AG352"/>
      <c r="AH352"/>
    </row>
    <row r="353" spans="17:34" ht="12.75" customHeight="1">
      <c r="Q353" s="364"/>
      <c r="R353" s="892"/>
      <c r="S353" s="897"/>
      <c r="T353" s="901"/>
      <c r="U353" s="901"/>
      <c r="V353" s="901"/>
      <c r="W353" s="903"/>
      <c r="X353" s="364"/>
      <c r="Y353" s="363"/>
      <c r="Z353" s="363"/>
      <c r="AA353"/>
      <c r="AB353"/>
      <c r="AC353"/>
      <c r="AD353"/>
      <c r="AE353"/>
      <c r="AF353"/>
      <c r="AG353"/>
      <c r="AH353"/>
    </row>
    <row r="354" spans="17:34" ht="12.75" customHeight="1">
      <c r="Q354" s="364"/>
      <c r="R354" s="892"/>
      <c r="S354" s="897"/>
      <c r="T354" s="700">
        <f>V69</f>
        <v>108</v>
      </c>
      <c r="U354" s="560">
        <f>V62</f>
        <v>1.9999999999999996</v>
      </c>
      <c r="V354" s="690">
        <f>IF(T354&gt;0,W354*U354," ")</f>
        <v>4999.9999999999991</v>
      </c>
      <c r="W354" s="691">
        <f>IF(T354&gt;0,(VLOOKUP(T354,'Lookup Ready-reckoner'!$B$5:$E$1207,4))," ")</f>
        <v>2500</v>
      </c>
      <c r="X354" s="364"/>
      <c r="Y354" s="363"/>
      <c r="Z354" s="363"/>
      <c r="AA354"/>
      <c r="AB354"/>
      <c r="AC354"/>
      <c r="AD354"/>
      <c r="AE354"/>
      <c r="AF354"/>
      <c r="AG354"/>
      <c r="AH354"/>
    </row>
    <row r="355" spans="17:34" ht="12.75" customHeight="1">
      <c r="Q355" s="364"/>
      <c r="R355" s="898"/>
      <c r="S355" s="899"/>
      <c r="T355" s="447"/>
      <c r="U355" s="560"/>
      <c r="V355" s="690" t="str">
        <f>IF(T355&gt;0,W355*U355," ")</f>
        <v xml:space="preserve"> </v>
      </c>
      <c r="W355" s="691" t="str">
        <f>IF(T355&gt;0,(VLOOKUP(T355,'Lookup Ready-reckoner'!$B$5:$E$1007,4))," ")</f>
        <v xml:space="preserve"> </v>
      </c>
      <c r="X355" s="364"/>
      <c r="Y355" s="363"/>
      <c r="Z355" s="363"/>
      <c r="AA355"/>
      <c r="AB355"/>
      <c r="AC355"/>
      <c r="AD355"/>
      <c r="AE355"/>
      <c r="AF355"/>
      <c r="AG355"/>
      <c r="AH355"/>
    </row>
    <row r="356" spans="17:34" ht="12.75" customHeight="1" thickBot="1">
      <c r="Q356" s="364"/>
      <c r="R356" s="699" t="s">
        <v>839</v>
      </c>
      <c r="S356" s="693"/>
      <c r="T356" s="693"/>
      <c r="U356" s="701">
        <f>IF(T354&gt;0,(VLOOKUP(V356,'Lookup Ready-reckoner'!$L$5:$M$1207,2))," ")</f>
        <v>101.95</v>
      </c>
      <c r="V356" s="695">
        <f>IF(U354&gt;0,(SUM(V354:V355))," ")</f>
        <v>4999.9999999999991</v>
      </c>
      <c r="W356" s="696"/>
      <c r="X356" s="364"/>
      <c r="Y356" s="363"/>
      <c r="Z356" s="363"/>
      <c r="AA356"/>
      <c r="AB356"/>
      <c r="AC356"/>
      <c r="AD356"/>
      <c r="AE356"/>
      <c r="AF356"/>
      <c r="AG356"/>
      <c r="AH356"/>
    </row>
    <row r="357" spans="17:34" ht="12.75" customHeight="1" thickBot="1">
      <c r="Q357" s="364"/>
      <c r="R357" s="892"/>
      <c r="S357" s="893"/>
      <c r="T357" s="893"/>
      <c r="U357" s="893"/>
      <c r="V357" s="893"/>
      <c r="W357" s="894"/>
      <c r="X357" s="364"/>
      <c r="Y357" s="363"/>
      <c r="Z357" s="363"/>
      <c r="AA357"/>
      <c r="AB357"/>
      <c r="AC357"/>
      <c r="AD357"/>
      <c r="AE357"/>
      <c r="AF357"/>
      <c r="AG357"/>
      <c r="AH357"/>
    </row>
    <row r="358" spans="17:34" ht="12.75" customHeight="1">
      <c r="Q358" s="364"/>
      <c r="R358" s="895" t="s">
        <v>886</v>
      </c>
      <c r="S358" s="896"/>
      <c r="T358" s="900" t="s">
        <v>835</v>
      </c>
      <c r="U358" s="900" t="s">
        <v>836</v>
      </c>
      <c r="V358" s="900" t="s">
        <v>837</v>
      </c>
      <c r="W358" s="902" t="s">
        <v>838</v>
      </c>
      <c r="X358" s="364"/>
      <c r="Y358" s="363"/>
      <c r="Z358" s="363"/>
      <c r="AA358"/>
      <c r="AB358"/>
      <c r="AC358"/>
      <c r="AD358"/>
      <c r="AE358"/>
      <c r="AF358"/>
      <c r="AG358"/>
      <c r="AH358"/>
    </row>
    <row r="359" spans="17:34" ht="12.75" customHeight="1">
      <c r="Q359" s="364"/>
      <c r="R359" s="892"/>
      <c r="S359" s="897"/>
      <c r="T359" s="901"/>
      <c r="U359" s="901"/>
      <c r="V359" s="901"/>
      <c r="W359" s="903"/>
      <c r="X359" s="364"/>
      <c r="Y359" s="363"/>
      <c r="Z359" s="363"/>
      <c r="AA359"/>
      <c r="AB359"/>
      <c r="AC359"/>
      <c r="AD359"/>
      <c r="AE359"/>
      <c r="AF359"/>
      <c r="AG359"/>
      <c r="AH359"/>
    </row>
    <row r="360" spans="17:34" ht="12.75" customHeight="1">
      <c r="Q360" s="364"/>
      <c r="R360" s="892"/>
      <c r="S360" s="897"/>
      <c r="T360" s="700">
        <f>T354*(1-0.0178*2)</f>
        <v>104.15520000000001</v>
      </c>
      <c r="U360" s="560">
        <f>U354</f>
        <v>1.9999999999999996</v>
      </c>
      <c r="V360" s="690">
        <f>IF(T360&gt;0,W360*U360," ")</f>
        <v>2074.9999999999995</v>
      </c>
      <c r="W360" s="691">
        <f>IF(T360&gt;0,(VLOOKUP(T360,'Lookup Ready-reckoner'!$B$5:$E$1207,4))," ")</f>
        <v>1037.5</v>
      </c>
      <c r="X360" s="364"/>
      <c r="Y360" s="363"/>
      <c r="Z360" s="363"/>
      <c r="AA360"/>
      <c r="AB360"/>
      <c r="AC360"/>
      <c r="AD360"/>
      <c r="AE360"/>
      <c r="AF360"/>
      <c r="AG360"/>
      <c r="AH360"/>
    </row>
    <row r="361" spans="17:34" ht="12.75" customHeight="1">
      <c r="Q361" s="364"/>
      <c r="R361" s="898"/>
      <c r="S361" s="899"/>
      <c r="T361" s="447"/>
      <c r="U361" s="560"/>
      <c r="V361" s="690" t="str">
        <f>IF(T361&gt;0,W361*U361," ")</f>
        <v xml:space="preserve"> </v>
      </c>
      <c r="W361" s="691" t="str">
        <f>IF(T361&gt;0,(VLOOKUP(T361,'Lookup Ready-reckoner'!$B$5:$E$1007,4))," ")</f>
        <v xml:space="preserve"> </v>
      </c>
      <c r="X361" s="364"/>
      <c r="Y361" s="363"/>
      <c r="Z361" s="363"/>
      <c r="AA361"/>
      <c r="AB361"/>
      <c r="AC361"/>
      <c r="AD361"/>
      <c r="AE361"/>
      <c r="AF361"/>
      <c r="AG361"/>
      <c r="AH361"/>
    </row>
    <row r="362" spans="17:34" ht="12.75" customHeight="1" thickBot="1">
      <c r="Q362" s="364"/>
      <c r="R362" s="692" t="s">
        <v>839</v>
      </c>
      <c r="S362" s="693"/>
      <c r="T362" s="693"/>
      <c r="U362" s="701">
        <f>IF(T360&gt;0,(VLOOKUP(V362,'Lookup Ready-reckoner'!$L$5:$M$1207,2))," ")</f>
        <v>98.1</v>
      </c>
      <c r="V362" s="695">
        <f>IF(U360&gt;0,(SUM(V360:V361))," ")</f>
        <v>2074.9999999999995</v>
      </c>
      <c r="W362" s="696"/>
      <c r="X362" s="364"/>
      <c r="Y362" s="363"/>
      <c r="Z362" s="363"/>
      <c r="AA362"/>
      <c r="AB362"/>
      <c r="AC362"/>
      <c r="AD362"/>
      <c r="AE362"/>
      <c r="AF362"/>
      <c r="AG362"/>
      <c r="AH362"/>
    </row>
    <row r="363" spans="17:34" ht="12.75" customHeight="1">
      <c r="Q363" s="364"/>
      <c r="R363" s="697"/>
      <c r="S363" s="687"/>
      <c r="T363" s="687"/>
      <c r="U363" s="372"/>
      <c r="V363" s="374"/>
      <c r="W363" s="688"/>
      <c r="X363" s="364"/>
      <c r="Y363" s="363"/>
      <c r="Z363" s="363"/>
      <c r="AA363"/>
      <c r="AB363"/>
      <c r="AC363"/>
      <c r="AD363"/>
      <c r="AE363"/>
      <c r="AF363"/>
      <c r="AG363"/>
      <c r="AH363"/>
    </row>
    <row r="364" spans="17:34" ht="12.75" customHeight="1" thickBot="1">
      <c r="Q364" s="364"/>
      <c r="R364" s="686" t="s">
        <v>60</v>
      </c>
      <c r="S364" s="577"/>
      <c r="T364" s="577"/>
      <c r="U364" s="577"/>
      <c r="V364" s="577"/>
      <c r="W364" s="698"/>
      <c r="X364" s="364"/>
      <c r="Y364" s="363"/>
      <c r="Z364" s="363"/>
      <c r="AA364"/>
      <c r="AB364"/>
      <c r="AC364"/>
      <c r="AD364"/>
      <c r="AE364"/>
      <c r="AF364"/>
      <c r="AG364"/>
      <c r="AH364"/>
    </row>
    <row r="365" spans="17:34" ht="12.75" customHeight="1">
      <c r="Q365" s="364"/>
      <c r="R365" s="895" t="s">
        <v>845</v>
      </c>
      <c r="S365" s="896"/>
      <c r="T365" s="900" t="s">
        <v>835</v>
      </c>
      <c r="U365" s="900" t="s">
        <v>836</v>
      </c>
      <c r="V365" s="900" t="s">
        <v>837</v>
      </c>
      <c r="W365" s="902" t="s">
        <v>838</v>
      </c>
      <c r="X365" s="364"/>
      <c r="Y365" s="363"/>
      <c r="Z365" s="363"/>
      <c r="AA365"/>
      <c r="AB365"/>
      <c r="AC365"/>
      <c r="AD365"/>
      <c r="AE365"/>
      <c r="AF365"/>
      <c r="AG365"/>
      <c r="AH365"/>
    </row>
    <row r="366" spans="17:34" ht="12.75" customHeight="1">
      <c r="Q366" s="364"/>
      <c r="R366" s="892"/>
      <c r="S366" s="897"/>
      <c r="T366" s="901"/>
      <c r="U366" s="901"/>
      <c r="V366" s="901"/>
      <c r="W366" s="903"/>
      <c r="X366" s="364"/>
      <c r="Y366" s="363"/>
      <c r="Z366" s="363"/>
      <c r="AA366"/>
      <c r="AB366"/>
      <c r="AC366"/>
      <c r="AD366"/>
      <c r="AE366"/>
      <c r="AF366"/>
      <c r="AG366"/>
      <c r="AH366"/>
    </row>
    <row r="367" spans="17:34" ht="12.75" customHeight="1">
      <c r="Q367" s="364"/>
      <c r="R367" s="892"/>
      <c r="S367" s="897"/>
      <c r="T367" s="700">
        <f>T354-PPE!$I$15</f>
        <v>95</v>
      </c>
      <c r="U367" s="560">
        <f>U360</f>
        <v>1.9999999999999996</v>
      </c>
      <c r="V367" s="690">
        <f>IF(T367&gt;0,W367*U367," ")</f>
        <v>249.99999999999994</v>
      </c>
      <c r="W367" s="691">
        <f>IF(T367&gt;0,(VLOOKUP(T367,'Lookup Ready-reckoner'!$B$5:$E$1207,4))," ")</f>
        <v>125</v>
      </c>
      <c r="X367" s="364"/>
      <c r="Y367" s="363"/>
      <c r="Z367" s="363"/>
      <c r="AA367"/>
      <c r="AB367"/>
      <c r="AC367"/>
      <c r="AD367"/>
      <c r="AE367"/>
      <c r="AF367"/>
      <c r="AG367"/>
      <c r="AH367"/>
    </row>
    <row r="368" spans="17:34" ht="12.75" customHeight="1">
      <c r="Q368" s="364"/>
      <c r="R368" s="898"/>
      <c r="S368" s="899"/>
      <c r="T368" s="447"/>
      <c r="U368" s="560"/>
      <c r="V368" s="690" t="str">
        <f>IF(T368&gt;0,W368*U368," ")</f>
        <v xml:space="preserve"> </v>
      </c>
      <c r="W368" s="691" t="str">
        <f>IF(T368&gt;0,(VLOOKUP(T368,'Lookup Ready-reckoner'!$B$5:$E$1007,4))," ")</f>
        <v xml:space="preserve"> </v>
      </c>
      <c r="X368" s="364"/>
      <c r="Y368" s="363"/>
      <c r="Z368" s="363"/>
      <c r="AA368"/>
      <c r="AB368"/>
      <c r="AC368"/>
      <c r="AD368"/>
      <c r="AE368"/>
      <c r="AF368"/>
      <c r="AG368"/>
      <c r="AH368"/>
    </row>
    <row r="369" spans="17:34" ht="12.75" customHeight="1" thickBot="1">
      <c r="Q369" s="364"/>
      <c r="R369" s="692" t="s">
        <v>839</v>
      </c>
      <c r="S369" s="693"/>
      <c r="T369" s="693"/>
      <c r="U369" s="701">
        <f>IF(T367&gt;0,(VLOOKUP(V369,'Lookup Ready-reckoner'!$L$5:$M$1207,2))," ")</f>
        <v>88.95</v>
      </c>
      <c r="V369" s="695">
        <f>IF(U367&gt;0,(SUM(V367:V368))," ")</f>
        <v>249.99999999999994</v>
      </c>
      <c r="W369" s="696"/>
      <c r="X369" s="364"/>
      <c r="Y369" s="363"/>
      <c r="Z369" s="363"/>
      <c r="AA369"/>
      <c r="AB369"/>
      <c r="AC369"/>
      <c r="AD369"/>
      <c r="AE369"/>
      <c r="AF369"/>
      <c r="AG369"/>
      <c r="AH369"/>
    </row>
    <row r="370" spans="17:34" ht="12.75" customHeight="1" thickBot="1">
      <c r="Q370" s="364"/>
      <c r="R370" s="892"/>
      <c r="S370" s="893"/>
      <c r="T370" s="893"/>
      <c r="U370" s="893"/>
      <c r="V370" s="893"/>
      <c r="W370" s="894"/>
      <c r="X370" s="364"/>
      <c r="Y370" s="363"/>
      <c r="Z370" s="363"/>
      <c r="AA370"/>
      <c r="AB370"/>
      <c r="AC370"/>
      <c r="AD370"/>
      <c r="AE370"/>
      <c r="AF370"/>
      <c r="AG370"/>
      <c r="AH370"/>
    </row>
    <row r="371" spans="17:34" ht="12.75" customHeight="1">
      <c r="Q371" s="364"/>
      <c r="R371" s="895" t="s">
        <v>886</v>
      </c>
      <c r="S371" s="896"/>
      <c r="T371" s="900" t="s">
        <v>835</v>
      </c>
      <c r="U371" s="900" t="s">
        <v>836</v>
      </c>
      <c r="V371" s="900" t="s">
        <v>837</v>
      </c>
      <c r="W371" s="902" t="s">
        <v>838</v>
      </c>
      <c r="X371" s="364"/>
      <c r="Y371" s="363"/>
      <c r="Z371" s="363"/>
      <c r="AA371"/>
      <c r="AB371"/>
      <c r="AC371"/>
      <c r="AD371"/>
      <c r="AE371"/>
      <c r="AF371"/>
      <c r="AG371"/>
      <c r="AH371"/>
    </row>
    <row r="372" spans="17:34" ht="12.75" customHeight="1">
      <c r="Q372" s="364"/>
      <c r="R372" s="892"/>
      <c r="S372" s="897"/>
      <c r="T372" s="901"/>
      <c r="U372" s="901"/>
      <c r="V372" s="901"/>
      <c r="W372" s="903"/>
      <c r="X372" s="364"/>
      <c r="Y372" s="363"/>
      <c r="Z372" s="363"/>
      <c r="AA372"/>
      <c r="AB372"/>
      <c r="AC372"/>
      <c r="AD372"/>
      <c r="AE372"/>
      <c r="AF372"/>
      <c r="AG372"/>
      <c r="AH372"/>
    </row>
    <row r="373" spans="17:34" ht="12.75" customHeight="1">
      <c r="Q373" s="364"/>
      <c r="R373" s="892"/>
      <c r="S373" s="897"/>
      <c r="T373" s="700">
        <f>T360-PPE!$I$15</f>
        <v>91.155200000000008</v>
      </c>
      <c r="U373" s="560">
        <f>U367</f>
        <v>1.9999999999999996</v>
      </c>
      <c r="V373" s="690">
        <f>IF(T373&gt;0,W373*U373," ")</f>
        <v>103.74999999999997</v>
      </c>
      <c r="W373" s="691">
        <f>IF(T373&gt;0,(VLOOKUP(T373,'Lookup Ready-reckoner'!$B$5:$E$1207,4))," ")</f>
        <v>51.875</v>
      </c>
      <c r="X373" s="364"/>
      <c r="Y373" s="363"/>
      <c r="Z373" s="363"/>
      <c r="AA373"/>
      <c r="AB373"/>
      <c r="AC373"/>
      <c r="AD373"/>
      <c r="AE373"/>
      <c r="AF373"/>
      <c r="AG373"/>
      <c r="AH373"/>
    </row>
    <row r="374" spans="17:34" ht="12.75" customHeight="1">
      <c r="Q374" s="364"/>
      <c r="R374" s="898"/>
      <c r="S374" s="899"/>
      <c r="T374" s="447"/>
      <c r="U374" s="560"/>
      <c r="V374" s="690" t="str">
        <f>IF(T374&gt;0,W374*U374," ")</f>
        <v xml:space="preserve"> </v>
      </c>
      <c r="W374" s="691" t="str">
        <f>IF(T374&gt;0,(VLOOKUP(T374,'Lookup Ready-reckoner'!$B$5:$E$1007,4))," ")</f>
        <v xml:space="preserve"> </v>
      </c>
      <c r="X374" s="364"/>
      <c r="Y374" s="363"/>
      <c r="Z374" s="363"/>
      <c r="AA374"/>
      <c r="AB374"/>
      <c r="AC374"/>
      <c r="AD374"/>
      <c r="AE374"/>
      <c r="AF374"/>
      <c r="AG374"/>
      <c r="AH374"/>
    </row>
    <row r="375" spans="17:34" ht="12.75" customHeight="1" thickBot="1">
      <c r="Q375" s="364"/>
      <c r="R375" s="692" t="s">
        <v>839</v>
      </c>
      <c r="S375" s="693"/>
      <c r="T375" s="693"/>
      <c r="U375" s="701">
        <f>IF(T373&gt;0,(VLOOKUP(V375,'Lookup Ready-reckoner'!$L$5:$M$1207,2))," ")</f>
        <v>85.1</v>
      </c>
      <c r="V375" s="695">
        <f>IF(U373&gt;0,(SUM(V373:V374))," ")</f>
        <v>103.74999999999997</v>
      </c>
      <c r="W375" s="696"/>
      <c r="X375" s="364"/>
      <c r="Y375" s="363"/>
      <c r="Z375" s="363"/>
      <c r="AA375"/>
      <c r="AB375"/>
      <c r="AC375"/>
      <c r="AD375"/>
      <c r="AE375"/>
      <c r="AF375"/>
      <c r="AG375"/>
      <c r="AH375"/>
    </row>
    <row r="376" spans="17:34" ht="12.75" customHeight="1">
      <c r="Q376" s="364"/>
      <c r="R376" s="363"/>
      <c r="S376" s="363"/>
      <c r="T376" s="363"/>
      <c r="U376" s="363"/>
      <c r="V376" s="363"/>
      <c r="W376" s="363"/>
      <c r="X376" s="364"/>
      <c r="Y376" s="364"/>
      <c r="Z376" s="364"/>
      <c r="AA376"/>
      <c r="AB376"/>
      <c r="AC376"/>
      <c r="AD376"/>
      <c r="AE376"/>
      <c r="AF376"/>
      <c r="AG376"/>
      <c r="AH376"/>
    </row>
    <row r="377" spans="17:34" ht="12.75" customHeight="1">
      <c r="Q377" s="364"/>
      <c r="R377" s="913" t="str">
        <f>U306</f>
        <v>Sulzer ADDS</v>
      </c>
      <c r="S377" s="914"/>
      <c r="T377" s="914"/>
      <c r="U377" s="914"/>
      <c r="V377" s="914"/>
      <c r="W377" s="914"/>
      <c r="X377" s="364"/>
      <c r="Y377" s="363"/>
      <c r="Z377" s="363"/>
      <c r="AA377"/>
      <c r="AB377"/>
      <c r="AC377"/>
      <c r="AD377"/>
      <c r="AE377"/>
      <c r="AF377"/>
      <c r="AG377"/>
      <c r="AH377"/>
    </row>
    <row r="378" spans="17:34" ht="12.75" customHeight="1" thickBot="1">
      <c r="Q378" s="364"/>
      <c r="R378" s="910" t="s">
        <v>205</v>
      </c>
      <c r="S378" s="911"/>
      <c r="T378" s="911"/>
      <c r="U378" s="911"/>
      <c r="V378" s="911"/>
      <c r="W378" s="912"/>
      <c r="X378" s="364"/>
      <c r="Y378" s="363"/>
      <c r="Z378" s="363"/>
      <c r="AA378"/>
      <c r="AB378"/>
      <c r="AC378"/>
      <c r="AD378"/>
      <c r="AE378"/>
      <c r="AF378"/>
      <c r="AG378"/>
      <c r="AH378"/>
    </row>
    <row r="379" spans="17:34" ht="12.75" customHeight="1" thickBot="1">
      <c r="Q379" s="364"/>
      <c r="R379" s="686" t="s">
        <v>59</v>
      </c>
      <c r="S379" s="577"/>
      <c r="T379" s="687"/>
      <c r="U379" s="687"/>
      <c r="V379" s="687"/>
      <c r="W379" s="688"/>
      <c r="X379" s="364"/>
      <c r="Y379" s="363"/>
      <c r="Z379" s="363"/>
      <c r="AA379"/>
      <c r="AB379"/>
      <c r="AC379"/>
      <c r="AD379"/>
      <c r="AE379"/>
      <c r="AF379"/>
      <c r="AG379"/>
      <c r="AH379"/>
    </row>
    <row r="380" spans="17:34" ht="12.75" customHeight="1">
      <c r="Q380" s="364"/>
      <c r="R380" s="895" t="s">
        <v>845</v>
      </c>
      <c r="S380" s="896"/>
      <c r="T380" s="900" t="s">
        <v>835</v>
      </c>
      <c r="U380" s="900" t="s">
        <v>836</v>
      </c>
      <c r="V380" s="900" t="s">
        <v>837</v>
      </c>
      <c r="W380" s="902" t="s">
        <v>838</v>
      </c>
      <c r="X380" s="364"/>
      <c r="Y380" s="363"/>
      <c r="Z380" s="363"/>
      <c r="AA380"/>
      <c r="AB380"/>
      <c r="AC380"/>
      <c r="AD380"/>
      <c r="AE380"/>
      <c r="AF380"/>
      <c r="AG380"/>
      <c r="AH380"/>
    </row>
    <row r="381" spans="17:34" ht="12.75" customHeight="1">
      <c r="Q381" s="364"/>
      <c r="R381" s="892"/>
      <c r="S381" s="897"/>
      <c r="T381" s="904"/>
      <c r="U381" s="904"/>
      <c r="V381" s="904"/>
      <c r="W381" s="905"/>
      <c r="X381" s="364"/>
      <c r="Y381" s="363"/>
      <c r="Z381" s="363"/>
      <c r="AA381"/>
      <c r="AB381"/>
      <c r="AC381"/>
      <c r="AD381"/>
      <c r="AE381"/>
      <c r="AF381"/>
      <c r="AG381"/>
      <c r="AH381"/>
    </row>
    <row r="382" spans="17:34" ht="12.75" customHeight="1">
      <c r="Q382" s="364"/>
      <c r="R382" s="892"/>
      <c r="S382" s="897"/>
      <c r="T382" s="901"/>
      <c r="U382" s="901"/>
      <c r="V382" s="901"/>
      <c r="W382" s="903"/>
      <c r="X382" s="364"/>
      <c r="Y382" s="363"/>
      <c r="Z382" s="363"/>
      <c r="AA382"/>
      <c r="AB382"/>
      <c r="AC382"/>
      <c r="AD382"/>
      <c r="AE382"/>
      <c r="AF382"/>
      <c r="AG382"/>
      <c r="AH382"/>
    </row>
    <row r="383" spans="17:34" ht="12.75" customHeight="1">
      <c r="Q383" s="364"/>
      <c r="R383" s="892"/>
      <c r="S383" s="897"/>
      <c r="T383" s="702">
        <f>W69</f>
        <v>109</v>
      </c>
      <c r="U383" s="560">
        <f>W62</f>
        <v>1.7391304347826084</v>
      </c>
      <c r="V383" s="690">
        <f>IF(T383&gt;0,W383*U383," ")</f>
        <v>5565.2173913043471</v>
      </c>
      <c r="W383" s="691">
        <f>IF(T383&gt;0,(VLOOKUP(T383,'Lookup Ready-reckoner'!$B$5:$E$1207,4))," ")</f>
        <v>3200</v>
      </c>
      <c r="X383" s="364"/>
      <c r="Y383" s="363"/>
      <c r="Z383" s="363"/>
      <c r="AA383"/>
      <c r="AB383"/>
      <c r="AC383"/>
      <c r="AD383"/>
      <c r="AE383"/>
      <c r="AF383"/>
      <c r="AG383"/>
      <c r="AH383"/>
    </row>
    <row r="384" spans="17:34" ht="12.75" customHeight="1">
      <c r="Q384" s="364"/>
      <c r="R384" s="898"/>
      <c r="S384" s="899"/>
      <c r="T384" s="447"/>
      <c r="U384" s="560"/>
      <c r="V384" s="690" t="str">
        <f>IF(T384&gt;0,W384*U384," ")</f>
        <v xml:space="preserve"> </v>
      </c>
      <c r="W384" s="691" t="str">
        <f>IF(T384&gt;0,(VLOOKUP(T384,'Lookup Ready-reckoner'!$B$5:$E$1007,4))," ")</f>
        <v xml:space="preserve"> </v>
      </c>
      <c r="X384" s="364"/>
      <c r="Y384" s="363"/>
      <c r="Z384" s="363"/>
      <c r="AA384"/>
      <c r="AB384"/>
      <c r="AC384"/>
      <c r="AD384"/>
      <c r="AE384"/>
      <c r="AF384"/>
      <c r="AG384"/>
      <c r="AH384"/>
    </row>
    <row r="385" spans="17:34" ht="12.75" customHeight="1" thickBot="1">
      <c r="Q385" s="364"/>
      <c r="R385" s="692" t="s">
        <v>839</v>
      </c>
      <c r="S385" s="693"/>
      <c r="T385" s="693"/>
      <c r="U385" s="703">
        <f>IF(T383&gt;0,(VLOOKUP(V385,'Lookup Ready-reckoner'!$L$5:$M$1207,2))," ")</f>
        <v>102.4</v>
      </c>
      <c r="V385" s="695">
        <f>IF(U383&gt;0,(SUM(V383:V384))," ")</f>
        <v>5565.2173913043471</v>
      </c>
      <c r="W385" s="696"/>
      <c r="X385" s="364"/>
      <c r="Y385" s="363"/>
      <c r="Z385" s="363"/>
      <c r="AA385"/>
      <c r="AB385"/>
      <c r="AC385"/>
      <c r="AD385"/>
      <c r="AE385"/>
      <c r="AF385"/>
      <c r="AG385"/>
      <c r="AH385"/>
    </row>
    <row r="386" spans="17:34" ht="12.75" customHeight="1" thickBot="1">
      <c r="Q386" s="364"/>
      <c r="R386" s="892"/>
      <c r="S386" s="893"/>
      <c r="T386" s="893"/>
      <c r="U386" s="893"/>
      <c r="V386" s="893"/>
      <c r="W386" s="894"/>
      <c r="X386" s="364"/>
      <c r="Y386" s="363"/>
      <c r="Z386" s="363"/>
      <c r="AA386"/>
      <c r="AB386"/>
      <c r="AC386"/>
      <c r="AD386"/>
      <c r="AE386"/>
      <c r="AF386"/>
      <c r="AG386"/>
      <c r="AH386"/>
    </row>
    <row r="387" spans="17:34" ht="12.75" customHeight="1">
      <c r="Q387" s="364"/>
      <c r="R387" s="895" t="s">
        <v>886</v>
      </c>
      <c r="S387" s="896"/>
      <c r="T387" s="900" t="s">
        <v>835</v>
      </c>
      <c r="U387" s="900" t="s">
        <v>836</v>
      </c>
      <c r="V387" s="900" t="s">
        <v>837</v>
      </c>
      <c r="W387" s="902" t="s">
        <v>838</v>
      </c>
      <c r="X387" s="364"/>
      <c r="Y387" s="363"/>
      <c r="Z387" s="363"/>
      <c r="AA387"/>
      <c r="AB387"/>
      <c r="AC387"/>
      <c r="AD387"/>
      <c r="AE387"/>
      <c r="AF387"/>
      <c r="AG387"/>
      <c r="AH387"/>
    </row>
    <row r="388" spans="17:34" ht="12.75" customHeight="1">
      <c r="Q388" s="364"/>
      <c r="R388" s="892"/>
      <c r="S388" s="897"/>
      <c r="T388" s="901"/>
      <c r="U388" s="901"/>
      <c r="V388" s="901"/>
      <c r="W388" s="903"/>
      <c r="X388" s="364"/>
      <c r="Y388" s="363"/>
      <c r="Z388" s="363"/>
      <c r="AA388"/>
      <c r="AB388"/>
      <c r="AC388"/>
      <c r="AD388"/>
      <c r="AE388"/>
      <c r="AF388"/>
      <c r="AG388"/>
      <c r="AH388"/>
    </row>
    <row r="389" spans="17:34" ht="12.75" customHeight="1">
      <c r="Q389" s="364"/>
      <c r="R389" s="892"/>
      <c r="S389" s="897"/>
      <c r="T389" s="702">
        <f>T383*(1-0.0178*2)</f>
        <v>105.11960000000001</v>
      </c>
      <c r="U389" s="560">
        <f>U383</f>
        <v>1.7391304347826084</v>
      </c>
      <c r="V389" s="690">
        <f>IF(T389&gt;0,W389*U389," ")</f>
        <v>2234.782608695652</v>
      </c>
      <c r="W389" s="691">
        <f>IF(T389&gt;0,(VLOOKUP(T389,'Lookup Ready-reckoner'!$B$5:$E$1207,4))," ")</f>
        <v>1285</v>
      </c>
      <c r="X389" s="364"/>
      <c r="Y389" s="363"/>
      <c r="Z389" s="363"/>
      <c r="AA389"/>
      <c r="AB389"/>
      <c r="AC389"/>
      <c r="AD389"/>
      <c r="AE389"/>
      <c r="AF389"/>
      <c r="AG389"/>
      <c r="AH389"/>
    </row>
    <row r="390" spans="17:34" ht="12.75" customHeight="1">
      <c r="Q390" s="364"/>
      <c r="R390" s="898"/>
      <c r="S390" s="899"/>
      <c r="T390" s="447"/>
      <c r="U390" s="560"/>
      <c r="V390" s="690" t="str">
        <f>IF(T390&gt;0,W390*U390," ")</f>
        <v xml:space="preserve"> </v>
      </c>
      <c r="W390" s="691" t="str">
        <f>IF(T390&gt;0,(VLOOKUP(T390,'Lookup Ready-reckoner'!$B$5:$E$1007,4))," ")</f>
        <v xml:space="preserve"> </v>
      </c>
      <c r="X390" s="364"/>
      <c r="Y390" s="363"/>
      <c r="Z390" s="363"/>
      <c r="AA390"/>
      <c r="AB390"/>
      <c r="AC390"/>
      <c r="AD390"/>
      <c r="AE390"/>
      <c r="AF390"/>
      <c r="AG390"/>
      <c r="AH390"/>
    </row>
    <row r="391" spans="17:34" ht="12.75" customHeight="1" thickBot="1">
      <c r="Q391" s="364"/>
      <c r="R391" s="692" t="s">
        <v>839</v>
      </c>
      <c r="S391" s="693"/>
      <c r="T391" s="693"/>
      <c r="U391" s="703">
        <f>IF(T389&gt;0,(VLOOKUP(V391,'Lookup Ready-reckoner'!$L$5:$M$1207,2))," ")</f>
        <v>98.45</v>
      </c>
      <c r="V391" s="695">
        <f>IF(U389&gt;0,(SUM(V389:V390))," ")</f>
        <v>2234.782608695652</v>
      </c>
      <c r="W391" s="696"/>
      <c r="X391" s="364"/>
      <c r="Y391" s="363"/>
      <c r="Z391" s="363"/>
      <c r="AA391"/>
      <c r="AB391"/>
      <c r="AC391"/>
      <c r="AD391"/>
      <c r="AE391"/>
      <c r="AF391"/>
      <c r="AG391"/>
      <c r="AH391"/>
    </row>
    <row r="392" spans="17:34" ht="12.75" customHeight="1">
      <c r="Q392" s="364"/>
      <c r="R392" s="697"/>
      <c r="S392" s="687"/>
      <c r="T392" s="687"/>
      <c r="U392" s="372"/>
      <c r="V392" s="374"/>
      <c r="W392" s="688"/>
      <c r="X392" s="364"/>
      <c r="Y392" s="363"/>
      <c r="Z392" s="363"/>
      <c r="AA392"/>
      <c r="AB392"/>
      <c r="AC392"/>
      <c r="AD392"/>
      <c r="AE392"/>
      <c r="AF392"/>
      <c r="AG392"/>
      <c r="AH392"/>
    </row>
    <row r="393" spans="17:34" ht="12.75" customHeight="1" thickBot="1">
      <c r="Q393" s="364"/>
      <c r="R393" s="686" t="s">
        <v>60</v>
      </c>
      <c r="S393" s="577"/>
      <c r="T393" s="577"/>
      <c r="U393" s="577"/>
      <c r="V393" s="577"/>
      <c r="W393" s="698"/>
      <c r="X393" s="364"/>
      <c r="Y393" s="363"/>
      <c r="Z393" s="363"/>
      <c r="AA393"/>
      <c r="AB393"/>
      <c r="AC393"/>
      <c r="AD393"/>
      <c r="AE393"/>
      <c r="AF393"/>
      <c r="AG393"/>
      <c r="AH393"/>
    </row>
    <row r="394" spans="17:34" ht="12.75" customHeight="1">
      <c r="Q394" s="364"/>
      <c r="R394" s="895" t="s">
        <v>845</v>
      </c>
      <c r="S394" s="896"/>
      <c r="T394" s="900" t="s">
        <v>835</v>
      </c>
      <c r="U394" s="900" t="s">
        <v>836</v>
      </c>
      <c r="V394" s="900" t="s">
        <v>837</v>
      </c>
      <c r="W394" s="902" t="s">
        <v>838</v>
      </c>
      <c r="X394" s="364"/>
      <c r="Y394" s="363"/>
      <c r="Z394" s="363"/>
      <c r="AA394"/>
      <c r="AB394"/>
      <c r="AC394"/>
      <c r="AD394"/>
      <c r="AE394"/>
      <c r="AF394"/>
      <c r="AG394"/>
      <c r="AH394"/>
    </row>
    <row r="395" spans="17:34" ht="12.75" customHeight="1">
      <c r="Q395" s="364"/>
      <c r="R395" s="892"/>
      <c r="S395" s="897"/>
      <c r="T395" s="901"/>
      <c r="U395" s="901"/>
      <c r="V395" s="901"/>
      <c r="W395" s="903"/>
      <c r="X395" s="364"/>
      <c r="Y395" s="363"/>
      <c r="Z395" s="363"/>
      <c r="AA395"/>
      <c r="AB395"/>
      <c r="AC395"/>
      <c r="AD395"/>
      <c r="AE395"/>
      <c r="AF395"/>
      <c r="AG395"/>
      <c r="AH395"/>
    </row>
    <row r="396" spans="17:34" ht="12.75" customHeight="1">
      <c r="Q396" s="364"/>
      <c r="R396" s="892"/>
      <c r="S396" s="897"/>
      <c r="T396" s="702">
        <f>T383-PPE!$I$15</f>
        <v>96</v>
      </c>
      <c r="U396" s="560">
        <f>U389</f>
        <v>1.7391304347826084</v>
      </c>
      <c r="V396" s="690">
        <f>IF(T396&gt;0,W396*U396," ")</f>
        <v>271.73913043478257</v>
      </c>
      <c r="W396" s="691">
        <f>IF(T396&gt;0,(VLOOKUP(T396,'Lookup Ready-reckoner'!$B$5:$E$1207,4))," ")</f>
        <v>156.25</v>
      </c>
      <c r="X396" s="364"/>
      <c r="Y396" s="363"/>
      <c r="Z396" s="363"/>
      <c r="AA396"/>
      <c r="AB396"/>
      <c r="AC396"/>
      <c r="AD396"/>
      <c r="AE396"/>
      <c r="AF396"/>
      <c r="AG396"/>
      <c r="AH396"/>
    </row>
    <row r="397" spans="17:34" ht="12.75" customHeight="1">
      <c r="Q397" s="364"/>
      <c r="R397" s="898"/>
      <c r="S397" s="899"/>
      <c r="T397" s="447"/>
      <c r="U397" s="560"/>
      <c r="V397" s="690" t="str">
        <f>IF(T397&gt;0,W397*U397," ")</f>
        <v xml:space="preserve"> </v>
      </c>
      <c r="W397" s="691" t="str">
        <f>IF(T397&gt;0,(VLOOKUP(T397,'Lookup Ready-reckoner'!$B$5:$E$1007,4))," ")</f>
        <v xml:space="preserve"> </v>
      </c>
      <c r="X397" s="364"/>
      <c r="Y397" s="363"/>
      <c r="Z397" s="363"/>
      <c r="AA397"/>
      <c r="AB397"/>
      <c r="AC397"/>
      <c r="AD397"/>
      <c r="AE397"/>
      <c r="AF397"/>
      <c r="AG397"/>
      <c r="AH397"/>
    </row>
    <row r="398" spans="17:34" ht="12.75" customHeight="1" thickBot="1">
      <c r="Q398" s="364"/>
      <c r="R398" s="692" t="s">
        <v>839</v>
      </c>
      <c r="S398" s="693"/>
      <c r="T398" s="693"/>
      <c r="U398" s="703">
        <f>IF(T396&gt;0,(VLOOKUP(V398,'Lookup Ready-reckoner'!$L$5:$M$1207,2))," ")</f>
        <v>89.3</v>
      </c>
      <c r="V398" s="695">
        <f>IF(U396&gt;0,(SUM(V396:V397))," ")</f>
        <v>271.73913043478257</v>
      </c>
      <c r="W398" s="696"/>
      <c r="X398" s="364"/>
      <c r="Y398" s="363"/>
      <c r="Z398" s="363"/>
      <c r="AA398"/>
      <c r="AB398"/>
      <c r="AC398"/>
      <c r="AD398"/>
      <c r="AE398"/>
      <c r="AF398"/>
      <c r="AG398"/>
      <c r="AH398"/>
    </row>
    <row r="399" spans="17:34" ht="12.75" customHeight="1" thickBot="1">
      <c r="Q399" s="364"/>
      <c r="R399" s="892"/>
      <c r="S399" s="893"/>
      <c r="T399" s="893"/>
      <c r="U399" s="893"/>
      <c r="V399" s="893"/>
      <c r="W399" s="894"/>
      <c r="X399" s="364"/>
      <c r="Y399" s="363"/>
      <c r="Z399" s="363"/>
      <c r="AA399"/>
      <c r="AB399"/>
      <c r="AC399"/>
      <c r="AD399"/>
      <c r="AE399"/>
      <c r="AF399"/>
      <c r="AG399"/>
      <c r="AH399"/>
    </row>
    <row r="400" spans="17:34" ht="12.75" customHeight="1">
      <c r="Q400" s="364"/>
      <c r="R400" s="895" t="s">
        <v>886</v>
      </c>
      <c r="S400" s="896"/>
      <c r="T400" s="900" t="s">
        <v>835</v>
      </c>
      <c r="U400" s="900" t="s">
        <v>836</v>
      </c>
      <c r="V400" s="900" t="s">
        <v>837</v>
      </c>
      <c r="W400" s="902" t="s">
        <v>838</v>
      </c>
      <c r="X400" s="364"/>
      <c r="Y400" s="363"/>
      <c r="Z400" s="363"/>
      <c r="AA400"/>
      <c r="AB400"/>
      <c r="AC400"/>
      <c r="AD400"/>
      <c r="AE400"/>
      <c r="AF400"/>
      <c r="AG400"/>
      <c r="AH400"/>
    </row>
    <row r="401" spans="17:34" ht="12.75" customHeight="1">
      <c r="Q401" s="364"/>
      <c r="R401" s="892"/>
      <c r="S401" s="897"/>
      <c r="T401" s="901"/>
      <c r="U401" s="901"/>
      <c r="V401" s="901"/>
      <c r="W401" s="903"/>
      <c r="X401" s="364"/>
      <c r="Y401" s="363"/>
      <c r="Z401" s="363"/>
      <c r="AA401"/>
      <c r="AB401"/>
      <c r="AC401"/>
      <c r="AD401"/>
      <c r="AE401"/>
      <c r="AF401"/>
      <c r="AG401"/>
      <c r="AH401"/>
    </row>
    <row r="402" spans="17:34" ht="12.75" customHeight="1">
      <c r="Q402" s="364"/>
      <c r="R402" s="892"/>
      <c r="S402" s="897"/>
      <c r="T402" s="702">
        <f>T389-PPE!$I$15</f>
        <v>92.119600000000005</v>
      </c>
      <c r="U402" s="560">
        <f>U396</f>
        <v>1.7391304347826084</v>
      </c>
      <c r="V402" s="690">
        <f>IF(T402&gt;0,W402*U402," ")</f>
        <v>111.52173913043477</v>
      </c>
      <c r="W402" s="691">
        <f>IF(T402&gt;0,(VLOOKUP(T402,'Lookup Ready-reckoner'!$B$5:$E$1207,4))," ")</f>
        <v>64.125</v>
      </c>
      <c r="X402" s="364"/>
      <c r="Y402" s="363"/>
      <c r="Z402" s="363"/>
      <c r="AA402"/>
      <c r="AB402"/>
      <c r="AC402"/>
      <c r="AD402"/>
      <c r="AE402"/>
      <c r="AF402"/>
      <c r="AG402"/>
      <c r="AH402"/>
    </row>
    <row r="403" spans="17:34" ht="12.75" customHeight="1">
      <c r="Q403" s="364"/>
      <c r="R403" s="898"/>
      <c r="S403" s="899"/>
      <c r="T403" s="447"/>
      <c r="U403" s="560"/>
      <c r="V403" s="690" t="str">
        <f>IF(T403&gt;0,W403*U403," ")</f>
        <v xml:space="preserve"> </v>
      </c>
      <c r="W403" s="691" t="str">
        <f>IF(T403&gt;0,(VLOOKUP(T403,'Lookup Ready-reckoner'!$B$5:$E$1007,4))," ")</f>
        <v xml:space="preserve"> </v>
      </c>
      <c r="X403" s="364"/>
      <c r="Y403" s="363"/>
      <c r="Z403" s="363"/>
      <c r="AA403"/>
      <c r="AB403"/>
      <c r="AC403"/>
      <c r="AD403"/>
      <c r="AE403"/>
      <c r="AF403"/>
      <c r="AG403"/>
      <c r="AH403"/>
    </row>
    <row r="404" spans="17:34" ht="12.75" customHeight="1" thickBot="1">
      <c r="Q404" s="364"/>
      <c r="R404" s="692" t="s">
        <v>839</v>
      </c>
      <c r="S404" s="693"/>
      <c r="T404" s="693"/>
      <c r="U404" s="703">
        <f>IF(T402&gt;0,(VLOOKUP(V404,'Lookup Ready-reckoner'!$L$5:$M$1207,2))," ")</f>
        <v>85.45</v>
      </c>
      <c r="V404" s="695">
        <f>IF(U402&gt;0,(SUM(V402:V403))," ")</f>
        <v>111.52173913043477</v>
      </c>
      <c r="W404" s="696"/>
      <c r="X404" s="364"/>
      <c r="Y404" s="363"/>
      <c r="Z404" s="363"/>
      <c r="AA404"/>
      <c r="AB404"/>
      <c r="AC404"/>
      <c r="AD404"/>
      <c r="AE404"/>
      <c r="AF404"/>
      <c r="AG404"/>
      <c r="AH404"/>
    </row>
    <row r="405" spans="17:34" ht="12.75" customHeight="1">
      <c r="Q405" s="364"/>
      <c r="R405" s="363"/>
      <c r="S405" s="363"/>
      <c r="T405" s="363"/>
      <c r="U405" s="363"/>
      <c r="V405" s="363"/>
      <c r="W405" s="363"/>
      <c r="X405" s="364"/>
      <c r="Y405" s="364"/>
      <c r="Z405" s="364"/>
      <c r="AA405"/>
      <c r="AB405"/>
      <c r="AC405"/>
      <c r="AD405"/>
      <c r="AE405"/>
      <c r="AF405"/>
      <c r="AG405"/>
      <c r="AH405"/>
    </row>
    <row r="406" spans="17:34" ht="12.75" customHeight="1">
      <c r="Q406" s="364"/>
      <c r="R406" s="909" t="str">
        <f>V306</f>
        <v xml:space="preserve">Hilti TE MD20 </v>
      </c>
      <c r="S406" s="909"/>
      <c r="T406" s="909"/>
      <c r="U406" s="909"/>
      <c r="V406" s="909"/>
      <c r="W406" s="909"/>
      <c r="X406" s="364"/>
      <c r="Y406" s="364"/>
      <c r="Z406" s="364"/>
      <c r="AA406"/>
      <c r="AB406"/>
      <c r="AC406"/>
      <c r="AD406"/>
      <c r="AE406"/>
      <c r="AF406"/>
      <c r="AG406"/>
      <c r="AH406"/>
    </row>
    <row r="407" spans="17:34" ht="12.75" customHeight="1" thickBot="1">
      <c r="Q407" s="364"/>
      <c r="R407" s="910" t="s">
        <v>205</v>
      </c>
      <c r="S407" s="911"/>
      <c r="T407" s="911"/>
      <c r="U407" s="911"/>
      <c r="V407" s="911"/>
      <c r="W407" s="912"/>
      <c r="X407" s="364"/>
      <c r="Y407" s="364"/>
      <c r="Z407" s="364"/>
      <c r="AA407"/>
      <c r="AB407"/>
      <c r="AC407"/>
      <c r="AD407"/>
      <c r="AE407"/>
      <c r="AF407"/>
      <c r="AG407"/>
      <c r="AH407"/>
    </row>
    <row r="408" spans="17:34" ht="12.75" customHeight="1" thickBot="1">
      <c r="Q408" s="364"/>
      <c r="R408" s="686" t="s">
        <v>59</v>
      </c>
      <c r="S408" s="577"/>
      <c r="T408" s="687"/>
      <c r="U408" s="687"/>
      <c r="V408" s="687"/>
      <c r="W408" s="688"/>
      <c r="X408" s="364"/>
      <c r="Y408" s="364"/>
      <c r="Z408" s="364"/>
      <c r="AA408"/>
      <c r="AB408"/>
      <c r="AC408"/>
      <c r="AD408"/>
      <c r="AE408"/>
      <c r="AF408"/>
      <c r="AG408"/>
      <c r="AH408"/>
    </row>
    <row r="409" spans="17:34" ht="12.75" customHeight="1">
      <c r="Q409" s="364"/>
      <c r="R409" s="895" t="s">
        <v>845</v>
      </c>
      <c r="S409" s="896"/>
      <c r="T409" s="900" t="s">
        <v>835</v>
      </c>
      <c r="U409" s="900" t="s">
        <v>836</v>
      </c>
      <c r="V409" s="900" t="s">
        <v>837</v>
      </c>
      <c r="W409" s="902" t="s">
        <v>838</v>
      </c>
      <c r="X409" s="364"/>
      <c r="Y409" s="364"/>
      <c r="Z409" s="364"/>
      <c r="AA409"/>
      <c r="AB409"/>
      <c r="AC409"/>
      <c r="AD409"/>
      <c r="AE409"/>
      <c r="AF409"/>
      <c r="AG409"/>
      <c r="AH409"/>
    </row>
    <row r="410" spans="17:34" ht="12.75" customHeight="1">
      <c r="Q410" s="364"/>
      <c r="R410" s="892"/>
      <c r="S410" s="897"/>
      <c r="T410" s="904"/>
      <c r="U410" s="904"/>
      <c r="V410" s="904"/>
      <c r="W410" s="905"/>
      <c r="X410" s="364"/>
      <c r="Y410" s="364"/>
      <c r="Z410" s="364"/>
      <c r="AA410"/>
      <c r="AB410"/>
      <c r="AC410"/>
      <c r="AD410"/>
      <c r="AE410"/>
      <c r="AF410"/>
      <c r="AG410"/>
      <c r="AH410"/>
    </row>
    <row r="411" spans="17:34" ht="12.75" customHeight="1">
      <c r="Q411" s="364"/>
      <c r="R411" s="892"/>
      <c r="S411" s="897"/>
      <c r="T411" s="901"/>
      <c r="U411" s="901"/>
      <c r="V411" s="901"/>
      <c r="W411" s="903"/>
      <c r="X411" s="364"/>
      <c r="Y411" s="364"/>
      <c r="Z411" s="364"/>
      <c r="AA411"/>
      <c r="AB411"/>
      <c r="AC411"/>
      <c r="AD411"/>
      <c r="AE411"/>
      <c r="AF411"/>
      <c r="AG411"/>
      <c r="AH411"/>
    </row>
    <row r="412" spans="17:34" ht="12.75" customHeight="1">
      <c r="Q412" s="364"/>
      <c r="R412" s="892"/>
      <c r="S412" s="897"/>
      <c r="T412" s="704">
        <f>U69</f>
        <v>102</v>
      </c>
      <c r="U412" s="560">
        <f>U62</f>
        <v>2.6666666666666665</v>
      </c>
      <c r="V412" s="690">
        <f>IF(T412&gt;0,W412*U412," ")</f>
        <v>1666.6666666666665</v>
      </c>
      <c r="W412" s="691">
        <f>IF(T412&gt;0,(VLOOKUP(T412,'Lookup Ready-reckoner'!$B$5:$E$1207,4))," ")</f>
        <v>625</v>
      </c>
      <c r="X412" s="364"/>
      <c r="Y412" s="364"/>
      <c r="Z412" s="364"/>
      <c r="AA412"/>
      <c r="AB412"/>
      <c r="AC412"/>
      <c r="AD412"/>
      <c r="AE412"/>
      <c r="AF412"/>
      <c r="AG412"/>
      <c r="AH412"/>
    </row>
    <row r="413" spans="17:34" ht="12.75" customHeight="1">
      <c r="Q413" s="364"/>
      <c r="R413" s="898"/>
      <c r="S413" s="899"/>
      <c r="T413" s="447"/>
      <c r="U413" s="560"/>
      <c r="V413" s="690" t="str">
        <f>IF(T413&gt;0,W413*U413," ")</f>
        <v xml:space="preserve"> </v>
      </c>
      <c r="W413" s="691" t="str">
        <f>IF(T413&gt;0,(VLOOKUP(T413,'Lookup Ready-reckoner'!$B$5:$E$1007,4))," ")</f>
        <v xml:space="preserve"> </v>
      </c>
      <c r="X413" s="364"/>
      <c r="Y413" s="364"/>
      <c r="Z413" s="364"/>
      <c r="AA413"/>
      <c r="AB413"/>
      <c r="AC413"/>
      <c r="AD413"/>
      <c r="AE413"/>
      <c r="AF413"/>
      <c r="AG413"/>
      <c r="AH413"/>
    </row>
    <row r="414" spans="17:34" ht="12.75" customHeight="1" thickBot="1">
      <c r="Q414" s="364"/>
      <c r="R414" s="692" t="s">
        <v>839</v>
      </c>
      <c r="S414" s="693"/>
      <c r="T414" s="693"/>
      <c r="U414" s="705">
        <f>IF(T412&gt;0,(VLOOKUP(V414,'Lookup Ready-reckoner'!$L$5:$M$1207,2))," ")</f>
        <v>97.15</v>
      </c>
      <c r="V414" s="695">
        <f>IF(U412&gt;0,(SUM(V412:V413))," ")</f>
        <v>1666.6666666666665</v>
      </c>
      <c r="W414" s="696"/>
      <c r="X414" s="364"/>
      <c r="Y414" s="364"/>
      <c r="Z414" s="364"/>
      <c r="AA414"/>
      <c r="AB414"/>
      <c r="AC414"/>
      <c r="AD414"/>
      <c r="AE414"/>
      <c r="AF414"/>
      <c r="AG414"/>
      <c r="AH414"/>
    </row>
    <row r="415" spans="17:34" ht="12.75" customHeight="1" thickBot="1">
      <c r="Q415" s="364"/>
      <c r="R415" s="906"/>
      <c r="S415" s="907"/>
      <c r="T415" s="907"/>
      <c r="U415" s="907"/>
      <c r="V415" s="907"/>
      <c r="W415" s="908"/>
      <c r="X415" s="364"/>
      <c r="Y415" s="364"/>
      <c r="Z415" s="364"/>
      <c r="AA415"/>
      <c r="AB415"/>
      <c r="AC415"/>
      <c r="AD415"/>
      <c r="AE415"/>
      <c r="AF415"/>
      <c r="AG415"/>
      <c r="AH415"/>
    </row>
    <row r="416" spans="17:34" ht="12.75" customHeight="1">
      <c r="Q416" s="364"/>
      <c r="R416" s="895" t="s">
        <v>886</v>
      </c>
      <c r="S416" s="896"/>
      <c r="T416" s="900" t="s">
        <v>835</v>
      </c>
      <c r="U416" s="900" t="s">
        <v>836</v>
      </c>
      <c r="V416" s="900" t="s">
        <v>837</v>
      </c>
      <c r="W416" s="902" t="s">
        <v>838</v>
      </c>
      <c r="X416" s="364"/>
      <c r="Y416" s="364"/>
      <c r="Z416" s="364"/>
      <c r="AA416"/>
      <c r="AB416"/>
      <c r="AC416"/>
      <c r="AD416"/>
      <c r="AE416"/>
      <c r="AF416"/>
      <c r="AG416"/>
      <c r="AH416"/>
    </row>
    <row r="417" spans="17:34" ht="12.75" customHeight="1">
      <c r="Q417" s="364"/>
      <c r="R417" s="892"/>
      <c r="S417" s="897"/>
      <c r="T417" s="901"/>
      <c r="U417" s="901"/>
      <c r="V417" s="901"/>
      <c r="W417" s="903"/>
      <c r="X417" s="364"/>
      <c r="Y417" s="364"/>
      <c r="Z417" s="364"/>
      <c r="AA417"/>
      <c r="AB417"/>
      <c r="AC417"/>
      <c r="AD417"/>
      <c r="AE417"/>
      <c r="AF417"/>
      <c r="AG417"/>
      <c r="AH417"/>
    </row>
    <row r="418" spans="17:34" ht="12.75" customHeight="1">
      <c r="Q418" s="364"/>
      <c r="R418" s="892"/>
      <c r="S418" s="897"/>
      <c r="T418" s="704">
        <f>T412*(1-0.0178*2)</f>
        <v>98.368800000000007</v>
      </c>
      <c r="U418" s="560">
        <f>U412</f>
        <v>2.6666666666666665</v>
      </c>
      <c r="V418" s="690">
        <f>IF(T418&gt;0,W418*U418," ")</f>
        <v>725</v>
      </c>
      <c r="W418" s="691">
        <f>IF(T418&gt;0,(VLOOKUP(T418,'Lookup Ready-reckoner'!$B$5:$E$1207,4))," ")</f>
        <v>271.875</v>
      </c>
      <c r="X418" s="364"/>
      <c r="Y418" s="364"/>
      <c r="Z418" s="364"/>
      <c r="AA418"/>
      <c r="AB418"/>
      <c r="AC418"/>
      <c r="AD418"/>
      <c r="AE418"/>
      <c r="AF418"/>
      <c r="AG418"/>
      <c r="AH418"/>
    </row>
    <row r="419" spans="17:34" ht="12.75" customHeight="1">
      <c r="Q419" s="364"/>
      <c r="R419" s="898"/>
      <c r="S419" s="899"/>
      <c r="T419" s="447"/>
      <c r="U419" s="560"/>
      <c r="V419" s="690" t="str">
        <f>IF(T419&gt;0,W419*U419," ")</f>
        <v xml:space="preserve"> </v>
      </c>
      <c r="W419" s="691" t="str">
        <f>IF(T419&gt;0,(VLOOKUP(T419,'Lookup Ready-reckoner'!$B$5:$E$1007,4))," ")</f>
        <v xml:space="preserve"> </v>
      </c>
      <c r="X419" s="364"/>
      <c r="Y419" s="364"/>
      <c r="Z419" s="364"/>
      <c r="AA419"/>
      <c r="AB419"/>
      <c r="AC419"/>
      <c r="AD419"/>
      <c r="AE419"/>
      <c r="AF419"/>
      <c r="AG419"/>
      <c r="AH419"/>
    </row>
    <row r="420" spans="17:34" ht="12.75" customHeight="1" thickBot="1">
      <c r="Q420" s="364"/>
      <c r="R420" s="692" t="s">
        <v>839</v>
      </c>
      <c r="S420" s="693"/>
      <c r="T420" s="693"/>
      <c r="U420" s="705">
        <f>IF(T418&gt;0,(VLOOKUP(V420,'Lookup Ready-reckoner'!$L$5:$M$1207,2))," ")</f>
        <v>93.55</v>
      </c>
      <c r="V420" s="695">
        <f>IF(U418&gt;0,(SUM(V418:V419))," ")</f>
        <v>725</v>
      </c>
      <c r="W420" s="696"/>
      <c r="X420" s="364"/>
      <c r="Y420" s="364"/>
      <c r="Z420" s="364"/>
      <c r="AA420"/>
      <c r="AB420"/>
      <c r="AC420"/>
      <c r="AD420"/>
      <c r="AE420"/>
      <c r="AF420"/>
      <c r="AG420"/>
      <c r="AH420"/>
    </row>
    <row r="421" spans="17:34" ht="12.75" customHeight="1">
      <c r="Q421" s="364"/>
      <c r="R421" s="697"/>
      <c r="S421" s="687"/>
      <c r="T421" s="687"/>
      <c r="U421" s="372"/>
      <c r="V421" s="374"/>
      <c r="W421" s="688"/>
      <c r="X421" s="364"/>
      <c r="Y421" s="364"/>
      <c r="Z421" s="364"/>
      <c r="AA421"/>
      <c r="AB421"/>
      <c r="AC421"/>
      <c r="AD421"/>
      <c r="AE421"/>
      <c r="AF421"/>
      <c r="AG421"/>
      <c r="AH421"/>
    </row>
    <row r="422" spans="17:34" ht="12.75" customHeight="1" thickBot="1">
      <c r="Q422" s="364"/>
      <c r="R422" s="686" t="s">
        <v>60</v>
      </c>
      <c r="S422" s="577"/>
      <c r="T422" s="577"/>
      <c r="U422" s="577"/>
      <c r="V422" s="577"/>
      <c r="W422" s="698"/>
      <c r="X422" s="364"/>
      <c r="Y422" s="364"/>
      <c r="Z422" s="364"/>
      <c r="AA422"/>
      <c r="AB422"/>
      <c r="AC422"/>
      <c r="AD422"/>
      <c r="AE422"/>
      <c r="AF422"/>
      <c r="AG422"/>
      <c r="AH422"/>
    </row>
    <row r="423" spans="17:34" ht="12.75" customHeight="1">
      <c r="Q423" s="364"/>
      <c r="R423" s="895" t="s">
        <v>845</v>
      </c>
      <c r="S423" s="896"/>
      <c r="T423" s="900" t="s">
        <v>835</v>
      </c>
      <c r="U423" s="900" t="s">
        <v>836</v>
      </c>
      <c r="V423" s="900" t="s">
        <v>837</v>
      </c>
      <c r="W423" s="902" t="s">
        <v>838</v>
      </c>
      <c r="X423" s="364"/>
      <c r="Y423" s="364"/>
      <c r="Z423" s="364"/>
      <c r="AA423"/>
      <c r="AB423"/>
      <c r="AC423"/>
      <c r="AD423"/>
      <c r="AE423"/>
      <c r="AF423"/>
      <c r="AG423"/>
      <c r="AH423"/>
    </row>
    <row r="424" spans="17:34" ht="12.75" customHeight="1">
      <c r="Q424" s="364"/>
      <c r="R424" s="892"/>
      <c r="S424" s="897"/>
      <c r="T424" s="901"/>
      <c r="U424" s="901"/>
      <c r="V424" s="901"/>
      <c r="W424" s="903"/>
      <c r="X424" s="364"/>
      <c r="Y424" s="364"/>
      <c r="Z424" s="364"/>
      <c r="AA424"/>
      <c r="AB424"/>
      <c r="AC424"/>
      <c r="AD424"/>
      <c r="AE424"/>
      <c r="AF424"/>
      <c r="AG424"/>
      <c r="AH424"/>
    </row>
    <row r="425" spans="17:34" ht="12.75" customHeight="1">
      <c r="Q425" s="364"/>
      <c r="R425" s="892"/>
      <c r="S425" s="897"/>
      <c r="T425" s="704">
        <f>T412-PPE!$I$15</f>
        <v>89</v>
      </c>
      <c r="U425" s="560">
        <f>U418</f>
        <v>2.6666666666666665</v>
      </c>
      <c r="V425" s="690">
        <f>IF(T425&gt;0,W425*U425," ")</f>
        <v>83.333333333333329</v>
      </c>
      <c r="W425" s="691">
        <f>IF(T425&gt;0,(VLOOKUP(T425,'Lookup Ready-reckoner'!$B$5:$E$1207,4))," ")</f>
        <v>31.25</v>
      </c>
      <c r="X425" s="364"/>
      <c r="Y425" s="364"/>
      <c r="Z425" s="364"/>
      <c r="AA425"/>
      <c r="AB425"/>
      <c r="AC425"/>
      <c r="AD425"/>
      <c r="AE425"/>
      <c r="AF425"/>
      <c r="AG425"/>
      <c r="AH425"/>
    </row>
    <row r="426" spans="17:34" ht="12.75" customHeight="1">
      <c r="Q426" s="364"/>
      <c r="R426" s="898"/>
      <c r="S426" s="899"/>
      <c r="T426" s="447"/>
      <c r="U426" s="560"/>
      <c r="V426" s="690" t="str">
        <f>IF(T426&gt;0,W426*U426," ")</f>
        <v xml:space="preserve"> </v>
      </c>
      <c r="W426" s="691" t="str">
        <f>IF(T426&gt;0,(VLOOKUP(T426,'Lookup Ready-reckoner'!$B$5:$E$1007,4))," ")</f>
        <v xml:space="preserve"> </v>
      </c>
      <c r="X426" s="364"/>
      <c r="Y426" s="364"/>
      <c r="Z426" s="364"/>
      <c r="AA426"/>
      <c r="AB426"/>
      <c r="AC426"/>
      <c r="AD426"/>
      <c r="AE426"/>
      <c r="AF426"/>
      <c r="AG426"/>
      <c r="AH426"/>
    </row>
    <row r="427" spans="17:34" ht="12.75" customHeight="1" thickBot="1">
      <c r="Q427" s="364"/>
      <c r="R427" s="692" t="s">
        <v>839</v>
      </c>
      <c r="S427" s="693"/>
      <c r="T427" s="693"/>
      <c r="U427" s="705">
        <f>IF(T425&gt;0,(VLOOKUP(V427,'Lookup Ready-reckoner'!$L$5:$M$1207,2))," ")</f>
        <v>84.15</v>
      </c>
      <c r="V427" s="695">
        <f>IF(U425&gt;0,(SUM(V425:V426))," ")</f>
        <v>83.333333333333329</v>
      </c>
      <c r="W427" s="696"/>
      <c r="X427" s="364"/>
      <c r="Y427" s="364"/>
      <c r="Z427" s="364"/>
      <c r="AA427"/>
      <c r="AB427"/>
      <c r="AC427"/>
      <c r="AD427"/>
      <c r="AE427"/>
      <c r="AF427"/>
      <c r="AG427"/>
      <c r="AH427"/>
    </row>
    <row r="428" spans="17:34" ht="12.75" customHeight="1" thickBot="1">
      <c r="Q428" s="364"/>
      <c r="R428" s="892"/>
      <c r="S428" s="893"/>
      <c r="T428" s="893"/>
      <c r="U428" s="893"/>
      <c r="V428" s="893"/>
      <c r="W428" s="894"/>
      <c r="X428" s="364"/>
      <c r="Y428" s="364"/>
      <c r="Z428" s="364"/>
      <c r="AA428"/>
      <c r="AB428"/>
      <c r="AC428"/>
      <c r="AD428"/>
      <c r="AE428"/>
      <c r="AF428"/>
      <c r="AG428"/>
      <c r="AH428"/>
    </row>
    <row r="429" spans="17:34" ht="12.75" customHeight="1">
      <c r="Q429" s="364"/>
      <c r="R429" s="895" t="s">
        <v>886</v>
      </c>
      <c r="S429" s="896"/>
      <c r="T429" s="900" t="s">
        <v>835</v>
      </c>
      <c r="U429" s="900" t="s">
        <v>836</v>
      </c>
      <c r="V429" s="900" t="s">
        <v>837</v>
      </c>
      <c r="W429" s="902" t="s">
        <v>838</v>
      </c>
      <c r="X429" s="364"/>
      <c r="Y429" s="364"/>
      <c r="Z429" s="364"/>
      <c r="AA429"/>
      <c r="AB429"/>
      <c r="AC429"/>
      <c r="AD429"/>
      <c r="AE429"/>
      <c r="AF429"/>
      <c r="AG429"/>
      <c r="AH429"/>
    </row>
    <row r="430" spans="17:34" ht="12.75" customHeight="1">
      <c r="Q430" s="364"/>
      <c r="R430" s="892"/>
      <c r="S430" s="897"/>
      <c r="T430" s="901"/>
      <c r="U430" s="901"/>
      <c r="V430" s="901"/>
      <c r="W430" s="903"/>
      <c r="X430" s="364"/>
      <c r="Y430" s="364"/>
      <c r="Z430" s="364"/>
      <c r="AA430"/>
      <c r="AB430"/>
      <c r="AC430"/>
      <c r="AD430"/>
      <c r="AE430"/>
      <c r="AF430"/>
      <c r="AG430"/>
      <c r="AH430"/>
    </row>
    <row r="431" spans="17:34" ht="12.75" customHeight="1">
      <c r="Q431" s="364"/>
      <c r="R431" s="892"/>
      <c r="S431" s="897"/>
      <c r="T431" s="704">
        <f>T418-PPE!$I$15</f>
        <v>85.368800000000007</v>
      </c>
      <c r="U431" s="560">
        <f>U425</f>
        <v>2.6666666666666665</v>
      </c>
      <c r="V431" s="690">
        <f>IF(T431&gt;0,W431*U431," ")</f>
        <v>36.25</v>
      </c>
      <c r="W431" s="691">
        <f>IF(T431&gt;0,(VLOOKUP(T431,'Lookup Ready-reckoner'!$B$5:$E$1207,4))," ")</f>
        <v>13.59375</v>
      </c>
      <c r="X431" s="364"/>
      <c r="Y431" s="364"/>
      <c r="Z431" s="364"/>
      <c r="AA431"/>
      <c r="AB431"/>
      <c r="AC431"/>
      <c r="AD431"/>
      <c r="AE431"/>
      <c r="AF431"/>
      <c r="AG431"/>
      <c r="AH431"/>
    </row>
    <row r="432" spans="17:34" ht="12.75" customHeight="1">
      <c r="Q432" s="364"/>
      <c r="R432" s="898"/>
      <c r="S432" s="899"/>
      <c r="T432" s="447"/>
      <c r="U432" s="560"/>
      <c r="V432" s="690" t="str">
        <f>IF(T432&gt;0,W432*U432," ")</f>
        <v xml:space="preserve"> </v>
      </c>
      <c r="W432" s="691" t="str">
        <f>IF(T432&gt;0,(VLOOKUP(T432,'Lookup Ready-reckoner'!$B$5:$E$1007,4))," ")</f>
        <v xml:space="preserve"> </v>
      </c>
      <c r="X432" s="364"/>
      <c r="Y432" s="364"/>
      <c r="Z432" s="364"/>
      <c r="AA432"/>
      <c r="AB432"/>
      <c r="AC432"/>
      <c r="AD432"/>
      <c r="AE432"/>
      <c r="AF432"/>
      <c r="AG432"/>
      <c r="AH432"/>
    </row>
    <row r="433" spans="17:34" ht="12.75" customHeight="1" thickBot="1">
      <c r="Q433" s="364"/>
      <c r="R433" s="692" t="s">
        <v>839</v>
      </c>
      <c r="S433" s="693"/>
      <c r="T433" s="693"/>
      <c r="U433" s="705">
        <f>IF(T431&gt;0,(VLOOKUP(V433,'Lookup Ready-reckoner'!$L$5:$M$1207,2))," ")</f>
        <v>80.5</v>
      </c>
      <c r="V433" s="695">
        <f>IF(U431&gt;0,(SUM(V431:V432))," ")</f>
        <v>36.25</v>
      </c>
      <c r="W433" s="696"/>
      <c r="X433" s="364"/>
      <c r="Y433" s="364"/>
      <c r="Z433" s="364"/>
      <c r="AA433"/>
      <c r="AB433"/>
      <c r="AC433"/>
      <c r="AD433"/>
      <c r="AE433"/>
      <c r="AF433"/>
      <c r="AG433"/>
      <c r="AH433"/>
    </row>
    <row r="434" spans="17:34" ht="12.75" customHeight="1" thickBot="1">
      <c r="Q434" s="364"/>
      <c r="R434" s="364"/>
      <c r="S434" s="364"/>
      <c r="T434" s="364"/>
      <c r="U434" s="364"/>
      <c r="V434" s="364"/>
      <c r="W434" s="364"/>
      <c r="X434" s="364"/>
      <c r="Y434" s="364"/>
      <c r="Z434" s="364"/>
      <c r="AA434"/>
      <c r="AB434"/>
      <c r="AC434"/>
      <c r="AD434"/>
      <c r="AE434"/>
      <c r="AF434"/>
      <c r="AG434"/>
      <c r="AH434"/>
    </row>
    <row r="435" spans="17:34" ht="12.75" customHeight="1" thickTop="1">
      <c r="Q435" s="364"/>
      <c r="R435" s="916" t="s">
        <v>429</v>
      </c>
      <c r="S435" s="917"/>
      <c r="T435" s="917"/>
      <c r="U435" s="917"/>
      <c r="V435" s="917"/>
      <c r="W435" s="918"/>
      <c r="X435" s="364"/>
      <c r="Y435" s="364"/>
      <c r="Z435" s="364"/>
      <c r="AA435"/>
      <c r="AB435"/>
      <c r="AC435"/>
      <c r="AD435"/>
      <c r="AE435"/>
      <c r="AF435"/>
      <c r="AG435"/>
      <c r="AH435"/>
    </row>
    <row r="436" spans="17:34" ht="12.75" customHeight="1">
      <c r="Q436" s="364"/>
      <c r="R436" s="919"/>
      <c r="S436" s="920"/>
      <c r="T436" s="920"/>
      <c r="U436" s="920"/>
      <c r="V436" s="920"/>
      <c r="W436" s="921"/>
      <c r="X436" s="364"/>
      <c r="Y436" s="364"/>
      <c r="Z436" s="364"/>
      <c r="AA436"/>
      <c r="AB436"/>
      <c r="AC436"/>
      <c r="AD436"/>
      <c r="AE436"/>
      <c r="AF436"/>
      <c r="AG436"/>
      <c r="AH436"/>
    </row>
    <row r="437" spans="17:34" ht="12.75" customHeight="1" thickBot="1">
      <c r="Q437" s="364"/>
      <c r="R437" s="922"/>
      <c r="S437" s="923"/>
      <c r="T437" s="923"/>
      <c r="U437" s="923"/>
      <c r="V437" s="923"/>
      <c r="W437" s="924"/>
      <c r="X437" s="364"/>
      <c r="Y437" s="364"/>
      <c r="Z437" s="364"/>
      <c r="AA437"/>
      <c r="AB437"/>
      <c r="AC437"/>
      <c r="AD437"/>
      <c r="AE437"/>
      <c r="AF437"/>
      <c r="AG437"/>
      <c r="AH437"/>
    </row>
    <row r="438" spans="17:34" ht="12.75" customHeight="1" thickTop="1">
      <c r="Q438" s="364"/>
      <c r="R438" s="925" t="str">
        <f>R319</f>
        <v>Seco S215</v>
      </c>
      <c r="S438" s="925"/>
      <c r="T438" s="925"/>
      <c r="U438" s="925"/>
      <c r="V438" s="925"/>
      <c r="W438" s="925"/>
      <c r="X438" s="364"/>
      <c r="Y438" s="364"/>
      <c r="Z438" s="364"/>
      <c r="AA438"/>
      <c r="AB438"/>
      <c r="AC438"/>
      <c r="AD438"/>
      <c r="AE438"/>
      <c r="AF438"/>
      <c r="AG438"/>
      <c r="AH438"/>
    </row>
    <row r="439" spans="17:34" ht="12.75" customHeight="1" thickBot="1">
      <c r="Q439" s="364"/>
      <c r="R439" s="910" t="s">
        <v>205</v>
      </c>
      <c r="S439" s="911"/>
      <c r="T439" s="911"/>
      <c r="U439" s="911"/>
      <c r="V439" s="911"/>
      <c r="W439" s="912"/>
      <c r="X439" s="364"/>
      <c r="Y439" s="364"/>
      <c r="Z439" s="364"/>
      <c r="AA439"/>
      <c r="AB439"/>
      <c r="AC439"/>
      <c r="AD439"/>
      <c r="AE439"/>
      <c r="AF439"/>
      <c r="AG439"/>
      <c r="AH439"/>
    </row>
    <row r="440" spans="17:34" ht="12.75" customHeight="1" thickBot="1">
      <c r="Q440" s="364"/>
      <c r="R440" s="686" t="s">
        <v>59</v>
      </c>
      <c r="S440" s="577"/>
      <c r="T440" s="687"/>
      <c r="U440" s="687"/>
      <c r="V440" s="687"/>
      <c r="W440" s="688"/>
      <c r="X440" s="364"/>
      <c r="Y440" s="364"/>
      <c r="Z440" s="364"/>
      <c r="AA440"/>
      <c r="AB440"/>
      <c r="AC440"/>
      <c r="AD440"/>
      <c r="AE440"/>
      <c r="AF440"/>
      <c r="AG440"/>
      <c r="AH440"/>
    </row>
    <row r="441" spans="17:34" ht="12.75" customHeight="1">
      <c r="Q441" s="364"/>
      <c r="R441" s="895" t="s">
        <v>845</v>
      </c>
      <c r="S441" s="896"/>
      <c r="T441" s="900" t="s">
        <v>835</v>
      </c>
      <c r="U441" s="900" t="s">
        <v>836</v>
      </c>
      <c r="V441" s="900" t="s">
        <v>837</v>
      </c>
      <c r="W441" s="902" t="s">
        <v>838</v>
      </c>
      <c r="X441" s="364"/>
      <c r="Y441" s="364"/>
      <c r="Z441" s="364"/>
      <c r="AA441"/>
      <c r="AB441"/>
      <c r="AC441"/>
      <c r="AD441"/>
      <c r="AE441"/>
      <c r="AF441"/>
      <c r="AG441"/>
      <c r="AH441"/>
    </row>
    <row r="442" spans="17:34" ht="12.75" customHeight="1">
      <c r="Q442" s="364"/>
      <c r="R442" s="892"/>
      <c r="S442" s="897"/>
      <c r="T442" s="904"/>
      <c r="U442" s="904"/>
      <c r="V442" s="904"/>
      <c r="W442" s="905"/>
      <c r="X442" s="364"/>
      <c r="Y442" s="364"/>
      <c r="Z442" s="364"/>
      <c r="AA442"/>
      <c r="AB442"/>
      <c r="AC442"/>
      <c r="AD442"/>
      <c r="AE442"/>
      <c r="AF442"/>
      <c r="AG442"/>
      <c r="AH442"/>
    </row>
    <row r="443" spans="17:34" ht="12.75" customHeight="1">
      <c r="Q443" s="364"/>
      <c r="R443" s="892"/>
      <c r="S443" s="897"/>
      <c r="T443" s="901"/>
      <c r="U443" s="901"/>
      <c r="V443" s="901"/>
      <c r="W443" s="903"/>
      <c r="X443" s="364"/>
      <c r="Y443" s="364"/>
      <c r="Z443" s="364"/>
      <c r="AA443"/>
      <c r="AB443"/>
      <c r="AC443"/>
      <c r="AD443"/>
      <c r="AE443"/>
      <c r="AF443"/>
      <c r="AG443"/>
      <c r="AH443"/>
    </row>
    <row r="444" spans="17:34" ht="12.75" customHeight="1">
      <c r="Q444" s="364"/>
      <c r="R444" s="892"/>
      <c r="S444" s="897"/>
      <c r="T444" s="689">
        <f>X76</f>
        <v>122.02059991327964</v>
      </c>
      <c r="U444" s="560">
        <f>X62</f>
        <v>1.4285714285714284</v>
      </c>
      <c r="V444" s="690">
        <f>IF(T444&gt;0,W444*U444," ")</f>
        <v>79999.999999999985</v>
      </c>
      <c r="W444" s="691">
        <f>IF(T444&gt;0,(VLOOKUP(T444,'Lookup Ready-reckoner'!$B$5:$E$1207,4))," ")</f>
        <v>56000</v>
      </c>
      <c r="X444" s="364"/>
      <c r="Y444" s="364"/>
      <c r="Z444" s="364"/>
      <c r="AA444"/>
      <c r="AB444"/>
      <c r="AC444"/>
      <c r="AD444"/>
      <c r="AE444"/>
      <c r="AF444"/>
      <c r="AG444"/>
      <c r="AH444"/>
    </row>
    <row r="445" spans="17:34" ht="12.75" customHeight="1">
      <c r="Q445" s="364"/>
      <c r="R445" s="898"/>
      <c r="S445" s="899"/>
      <c r="T445" s="447"/>
      <c r="U445" s="560"/>
      <c r="V445" s="690" t="str">
        <f>IF(T445&gt;0,W445*U445," ")</f>
        <v xml:space="preserve"> </v>
      </c>
      <c r="W445" s="691" t="str">
        <f>IF(T445&gt;0,(VLOOKUP(T445,'Lookup Ready-reckoner'!$B$5:$E$1007,4))," ")</f>
        <v xml:space="preserve"> </v>
      </c>
      <c r="X445" s="364"/>
      <c r="Y445" s="364"/>
      <c r="Z445" s="364"/>
      <c r="AA445"/>
      <c r="AB445"/>
      <c r="AC445"/>
      <c r="AD445"/>
      <c r="AE445"/>
      <c r="AF445"/>
      <c r="AG445"/>
      <c r="AH445"/>
    </row>
    <row r="446" spans="17:34" ht="12.75" customHeight="1" thickBot="1">
      <c r="Q446" s="364"/>
      <c r="R446" s="692" t="s">
        <v>839</v>
      </c>
      <c r="S446" s="693"/>
      <c r="T446" s="693"/>
      <c r="U446" s="694">
        <f>IF(T444&gt;0,(VLOOKUP(V446,'Lookup Ready-reckoner'!$L$5:$M$1207,2))," ")</f>
        <v>113.95</v>
      </c>
      <c r="V446" s="695">
        <f>IF(U444&gt;0,(SUM(V444:V445))," ")</f>
        <v>79999.999999999985</v>
      </c>
      <c r="W446" s="696"/>
      <c r="X446" s="364"/>
      <c r="Y446" s="364"/>
      <c r="Z446" s="364"/>
      <c r="AA446"/>
      <c r="AB446"/>
      <c r="AC446"/>
      <c r="AD446"/>
      <c r="AE446"/>
      <c r="AF446"/>
      <c r="AG446"/>
      <c r="AH446"/>
    </row>
    <row r="447" spans="17:34" ht="12.75" customHeight="1" thickBot="1">
      <c r="Q447" s="364"/>
      <c r="R447" s="892"/>
      <c r="S447" s="893"/>
      <c r="T447" s="893"/>
      <c r="U447" s="893"/>
      <c r="V447" s="893"/>
      <c r="W447" s="894"/>
      <c r="X447" s="364"/>
      <c r="Y447" s="364"/>
      <c r="Z447" s="364"/>
      <c r="AA447"/>
      <c r="AB447"/>
      <c r="AC447"/>
      <c r="AD447"/>
      <c r="AE447"/>
      <c r="AF447"/>
      <c r="AG447"/>
      <c r="AH447"/>
    </row>
    <row r="448" spans="17:34" ht="12.75" customHeight="1">
      <c r="Q448" s="364"/>
      <c r="R448" s="895" t="s">
        <v>886</v>
      </c>
      <c r="S448" s="896"/>
      <c r="T448" s="900" t="s">
        <v>835</v>
      </c>
      <c r="U448" s="900" t="s">
        <v>836</v>
      </c>
      <c r="V448" s="900" t="s">
        <v>837</v>
      </c>
      <c r="W448" s="902" t="s">
        <v>838</v>
      </c>
      <c r="X448" s="364"/>
      <c r="Y448" s="364"/>
      <c r="Z448" s="364"/>
      <c r="AA448"/>
      <c r="AB448"/>
      <c r="AC448"/>
      <c r="AD448"/>
      <c r="AE448"/>
      <c r="AF448"/>
      <c r="AG448"/>
      <c r="AH448"/>
    </row>
    <row r="449" spans="17:34" ht="12.75" customHeight="1">
      <c r="Q449" s="364"/>
      <c r="R449" s="892"/>
      <c r="S449" s="897"/>
      <c r="T449" s="901"/>
      <c r="U449" s="901"/>
      <c r="V449" s="901"/>
      <c r="W449" s="903"/>
      <c r="X449" s="364"/>
      <c r="Y449" s="364"/>
      <c r="Z449" s="364"/>
      <c r="AA449"/>
      <c r="AB449"/>
      <c r="AC449"/>
      <c r="AD449"/>
      <c r="AE449"/>
      <c r="AF449"/>
      <c r="AG449"/>
      <c r="AH449"/>
    </row>
    <row r="450" spans="17:34" ht="12.75" customHeight="1">
      <c r="Q450" s="364"/>
      <c r="R450" s="892"/>
      <c r="S450" s="897"/>
      <c r="T450" s="689">
        <f>T444*(1-0.0178*2)</f>
        <v>117.67666655636688</v>
      </c>
      <c r="U450" s="560">
        <f>U444</f>
        <v>1.4285714285714284</v>
      </c>
      <c r="V450" s="690">
        <f>IF(T450&gt;0,W450*U450," ")</f>
        <v>33771.428571428565</v>
      </c>
      <c r="W450" s="691">
        <f>IF(T450&gt;0,(VLOOKUP(T450,'Lookup Ready-reckoner'!$B$5:$E$1207,4))," ")</f>
        <v>23640</v>
      </c>
      <c r="X450" s="364"/>
      <c r="Y450" s="364"/>
      <c r="Z450" s="364"/>
      <c r="AA450"/>
      <c r="AB450"/>
      <c r="AC450"/>
      <c r="AD450"/>
      <c r="AE450"/>
      <c r="AF450"/>
      <c r="AG450"/>
      <c r="AH450"/>
    </row>
    <row r="451" spans="17:34" ht="12.75" customHeight="1">
      <c r="Q451" s="364"/>
      <c r="R451" s="898"/>
      <c r="S451" s="899"/>
      <c r="T451" s="447"/>
      <c r="U451" s="560"/>
      <c r="V451" s="690" t="str">
        <f>IF(T451&gt;0,W451*U451," ")</f>
        <v xml:space="preserve"> </v>
      </c>
      <c r="W451" s="691" t="str">
        <f>IF(T451&gt;0,(VLOOKUP(T451,'Lookup Ready-reckoner'!$B$5:$E$1007,4))," ")</f>
        <v xml:space="preserve"> </v>
      </c>
      <c r="X451" s="364"/>
      <c r="Y451" s="364"/>
      <c r="Z451" s="364"/>
      <c r="AA451"/>
      <c r="AB451"/>
      <c r="AC451"/>
      <c r="AD451"/>
      <c r="AE451"/>
      <c r="AF451"/>
      <c r="AG451"/>
      <c r="AH451"/>
    </row>
    <row r="452" spans="17:34" ht="12.75" customHeight="1" thickBot="1">
      <c r="Q452" s="364"/>
      <c r="R452" s="692" t="s">
        <v>839</v>
      </c>
      <c r="S452" s="693"/>
      <c r="T452" s="693"/>
      <c r="U452" s="694">
        <f>IF(T450&gt;0,(VLOOKUP(V452,'Lookup Ready-reckoner'!$L$5:$M$1207,2))," ")</f>
        <v>110.2</v>
      </c>
      <c r="V452" s="695">
        <f>IF(U450&gt;0,(SUM(V450:V451))," ")</f>
        <v>33771.428571428565</v>
      </c>
      <c r="W452" s="696"/>
      <c r="X452" s="364"/>
      <c r="Y452" s="364"/>
      <c r="Z452" s="364"/>
      <c r="AA452"/>
      <c r="AB452"/>
      <c r="AC452"/>
      <c r="AD452"/>
      <c r="AE452"/>
      <c r="AF452"/>
      <c r="AG452"/>
      <c r="AH452"/>
    </row>
    <row r="453" spans="17:34" ht="12.75" customHeight="1">
      <c r="Q453" s="364"/>
      <c r="R453" s="697"/>
      <c r="S453" s="687"/>
      <c r="T453" s="687"/>
      <c r="U453" s="372"/>
      <c r="V453" s="374"/>
      <c r="W453" s="688"/>
      <c r="X453" s="364"/>
      <c r="Y453" s="364"/>
      <c r="Z453" s="364"/>
      <c r="AA453"/>
      <c r="AB453"/>
      <c r="AC453"/>
      <c r="AD453"/>
      <c r="AE453"/>
      <c r="AF453"/>
      <c r="AG453"/>
      <c r="AH453"/>
    </row>
    <row r="454" spans="17:34" ht="12.75" customHeight="1" thickBot="1">
      <c r="Q454" s="364"/>
      <c r="R454" s="686" t="s">
        <v>60</v>
      </c>
      <c r="S454" s="577"/>
      <c r="T454" s="577"/>
      <c r="U454" s="577"/>
      <c r="V454" s="577"/>
      <c r="W454" s="698"/>
      <c r="X454" s="364"/>
      <c r="Y454" s="364"/>
      <c r="Z454" s="364"/>
      <c r="AA454"/>
      <c r="AB454"/>
      <c r="AC454"/>
      <c r="AD454"/>
      <c r="AE454"/>
      <c r="AF454"/>
      <c r="AG454"/>
      <c r="AH454"/>
    </row>
    <row r="455" spans="17:34" ht="12.75" customHeight="1">
      <c r="Q455" s="364"/>
      <c r="R455" s="895" t="s">
        <v>845</v>
      </c>
      <c r="S455" s="896"/>
      <c r="T455" s="900" t="s">
        <v>835</v>
      </c>
      <c r="U455" s="900" t="s">
        <v>836</v>
      </c>
      <c r="V455" s="900" t="s">
        <v>837</v>
      </c>
      <c r="W455" s="902" t="s">
        <v>838</v>
      </c>
      <c r="X455" s="364"/>
      <c r="Y455" s="364"/>
      <c r="Z455" s="364"/>
      <c r="AA455"/>
      <c r="AB455"/>
      <c r="AC455"/>
      <c r="AD455"/>
      <c r="AE455"/>
      <c r="AF455"/>
      <c r="AG455"/>
      <c r="AH455"/>
    </row>
    <row r="456" spans="17:34" ht="12.75" customHeight="1">
      <c r="Q456" s="364"/>
      <c r="R456" s="892"/>
      <c r="S456" s="897"/>
      <c r="T456" s="901"/>
      <c r="U456" s="901"/>
      <c r="V456" s="901"/>
      <c r="W456" s="903"/>
      <c r="X456" s="364"/>
      <c r="Y456" s="364"/>
      <c r="Z456" s="364"/>
      <c r="AA456"/>
      <c r="AB456"/>
      <c r="AC456"/>
      <c r="AD456"/>
      <c r="AE456"/>
      <c r="AF456"/>
      <c r="AG456"/>
      <c r="AH456"/>
    </row>
    <row r="457" spans="17:34" ht="12.75" customHeight="1">
      <c r="Q457" s="364"/>
      <c r="R457" s="892"/>
      <c r="S457" s="897"/>
      <c r="T457" s="689">
        <f>T444-PPE!$I$15</f>
        <v>109.02059991327964</v>
      </c>
      <c r="U457" s="560">
        <f>U450</f>
        <v>1.4285714285714284</v>
      </c>
      <c r="V457" s="690">
        <f>IF(T457&gt;0,W457*U457," ")</f>
        <v>4571.4285714285706</v>
      </c>
      <c r="W457" s="691">
        <f>IF(T457&gt;0,(VLOOKUP(T457,'Lookup Ready-reckoner'!$B$5:$E$1207,4))," ")</f>
        <v>3200</v>
      </c>
      <c r="X457" s="364"/>
      <c r="Y457" s="364"/>
      <c r="Z457" s="364"/>
      <c r="AA457"/>
      <c r="AB457"/>
      <c r="AC457"/>
      <c r="AD457"/>
      <c r="AE457"/>
      <c r="AF457"/>
      <c r="AG457"/>
      <c r="AH457"/>
    </row>
    <row r="458" spans="17:34" ht="12.75" customHeight="1">
      <c r="Q458" s="364"/>
      <c r="R458" s="898"/>
      <c r="S458" s="899"/>
      <c r="T458" s="447"/>
      <c r="U458" s="560"/>
      <c r="V458" s="690" t="str">
        <f>IF(T458&gt;0,W458*U458," ")</f>
        <v xml:space="preserve"> </v>
      </c>
      <c r="W458" s="691" t="str">
        <f>IF(T458&gt;0,(VLOOKUP(T458,'Lookup Ready-reckoner'!$B$5:$E$1007,4))," ")</f>
        <v xml:space="preserve"> </v>
      </c>
      <c r="X458" s="364"/>
      <c r="Y458" s="364"/>
      <c r="Z458" s="364"/>
      <c r="AA458"/>
      <c r="AB458"/>
      <c r="AC458"/>
      <c r="AD458"/>
      <c r="AE458"/>
      <c r="AF458"/>
      <c r="AG458"/>
      <c r="AH458"/>
    </row>
    <row r="459" spans="17:34" ht="12.75" customHeight="1" thickBot="1">
      <c r="Q459" s="364"/>
      <c r="R459" s="699" t="s">
        <v>839</v>
      </c>
      <c r="S459" s="693"/>
      <c r="T459" s="693"/>
      <c r="U459" s="694">
        <f>IF(T457&gt;0,(VLOOKUP(V459,'Lookup Ready-reckoner'!$L$5:$M$1207,2))," ")</f>
        <v>101.55</v>
      </c>
      <c r="V459" s="695">
        <f>IF(U457&gt;0,(SUM(V457:V458))," ")</f>
        <v>4571.4285714285706</v>
      </c>
      <c r="W459" s="696"/>
      <c r="X459" s="364"/>
      <c r="Y459" s="364"/>
      <c r="Z459" s="364"/>
      <c r="AA459"/>
      <c r="AB459"/>
      <c r="AC459"/>
      <c r="AD459"/>
      <c r="AE459"/>
      <c r="AF459"/>
      <c r="AG459"/>
      <c r="AH459"/>
    </row>
    <row r="460" spans="17:34" ht="12.75" customHeight="1" thickBot="1">
      <c r="Q460" s="364"/>
      <c r="R460" s="892"/>
      <c r="S460" s="893"/>
      <c r="T460" s="893"/>
      <c r="U460" s="893"/>
      <c r="V460" s="893"/>
      <c r="W460" s="894"/>
      <c r="X460" s="364"/>
      <c r="Y460" s="364"/>
      <c r="Z460" s="364"/>
      <c r="AA460"/>
      <c r="AB460"/>
      <c r="AC460"/>
      <c r="AD460"/>
      <c r="AE460"/>
      <c r="AF460"/>
      <c r="AG460"/>
      <c r="AH460"/>
    </row>
    <row r="461" spans="17:34" ht="12.75" customHeight="1">
      <c r="Q461" s="364"/>
      <c r="R461" s="895" t="s">
        <v>886</v>
      </c>
      <c r="S461" s="896"/>
      <c r="T461" s="900" t="s">
        <v>835</v>
      </c>
      <c r="U461" s="900" t="s">
        <v>836</v>
      </c>
      <c r="V461" s="900" t="s">
        <v>837</v>
      </c>
      <c r="W461" s="902" t="s">
        <v>838</v>
      </c>
      <c r="X461" s="364"/>
      <c r="Y461" s="364"/>
      <c r="Z461" s="364"/>
      <c r="AA461"/>
      <c r="AB461"/>
      <c r="AC461"/>
      <c r="AD461"/>
      <c r="AE461"/>
      <c r="AF461"/>
      <c r="AG461"/>
      <c r="AH461"/>
    </row>
    <row r="462" spans="17:34" ht="12.75" customHeight="1">
      <c r="Q462" s="364"/>
      <c r="R462" s="892"/>
      <c r="S462" s="897"/>
      <c r="T462" s="901"/>
      <c r="U462" s="901"/>
      <c r="V462" s="901"/>
      <c r="W462" s="903"/>
      <c r="X462" s="364"/>
      <c r="Y462" s="364"/>
      <c r="Z462" s="364"/>
      <c r="AA462"/>
      <c r="AB462"/>
      <c r="AC462"/>
      <c r="AD462"/>
      <c r="AE462"/>
      <c r="AF462"/>
      <c r="AG462"/>
      <c r="AH462"/>
    </row>
    <row r="463" spans="17:34" ht="12.75" customHeight="1">
      <c r="Q463" s="364"/>
      <c r="R463" s="892"/>
      <c r="S463" s="897"/>
      <c r="T463" s="689">
        <f>T450-PPE!$I$15</f>
        <v>104.67666655636688</v>
      </c>
      <c r="U463" s="560">
        <f>U457</f>
        <v>1.4285714285714284</v>
      </c>
      <c r="V463" s="690">
        <f>IF(T463&gt;0,W463*U463," ")</f>
        <v>1660.7142857142856</v>
      </c>
      <c r="W463" s="691">
        <f>IF(T463&gt;0,(VLOOKUP(T463,'Lookup Ready-reckoner'!$B$5:$E$1207,4))," ")</f>
        <v>1162.5</v>
      </c>
      <c r="X463" s="364"/>
      <c r="Y463" s="364"/>
      <c r="Z463" s="364"/>
      <c r="AA463"/>
      <c r="AB463"/>
      <c r="AC463"/>
      <c r="AD463"/>
      <c r="AE463"/>
      <c r="AF463"/>
      <c r="AG463"/>
      <c r="AH463"/>
    </row>
    <row r="464" spans="17:34" ht="12.75" customHeight="1">
      <c r="Q464" s="364"/>
      <c r="R464" s="898"/>
      <c r="S464" s="899"/>
      <c r="T464" s="447"/>
      <c r="U464" s="560"/>
      <c r="V464" s="690" t="str">
        <f>IF(T464&gt;0,W464*U464," ")</f>
        <v xml:space="preserve"> </v>
      </c>
      <c r="W464" s="691" t="str">
        <f>IF(T464&gt;0,(VLOOKUP(T464,'Lookup Ready-reckoner'!$B$5:$E$1007,4))," ")</f>
        <v xml:space="preserve"> </v>
      </c>
      <c r="X464" s="364"/>
      <c r="Y464" s="364"/>
      <c r="Z464" s="364"/>
      <c r="AA464"/>
      <c r="AB464"/>
      <c r="AC464"/>
      <c r="AD464"/>
      <c r="AE464"/>
      <c r="AF464"/>
      <c r="AG464"/>
      <c r="AH464"/>
    </row>
    <row r="465" spans="17:34" ht="12.75" customHeight="1" thickBot="1">
      <c r="Q465" s="364"/>
      <c r="R465" s="692" t="s">
        <v>839</v>
      </c>
      <c r="S465" s="693"/>
      <c r="T465" s="693"/>
      <c r="U465" s="694">
        <f>IF(T463&gt;0,(VLOOKUP(V465,'Lookup Ready-reckoner'!$L$5:$M$1207,2))," ")</f>
        <v>97.15</v>
      </c>
      <c r="V465" s="695">
        <f>IF(U463&gt;0,(SUM(V463:V464))," ")</f>
        <v>1660.7142857142856</v>
      </c>
      <c r="W465" s="696"/>
      <c r="X465" s="364"/>
      <c r="Y465" s="364"/>
      <c r="Z465" s="364"/>
      <c r="AA465"/>
      <c r="AB465"/>
      <c r="AC465"/>
      <c r="AD465"/>
      <c r="AE465"/>
      <c r="AF465"/>
      <c r="AG465"/>
      <c r="AH465"/>
    </row>
    <row r="466" spans="17:34" ht="12.75" customHeight="1">
      <c r="Q466" s="364"/>
      <c r="R466" s="363"/>
      <c r="S466" s="363"/>
      <c r="T466" s="363"/>
      <c r="U466" s="363"/>
      <c r="V466" s="363"/>
      <c r="W466" s="363"/>
      <c r="X466" s="364"/>
      <c r="Y466" s="364"/>
      <c r="Z466" s="364"/>
      <c r="AA466"/>
      <c r="AB466"/>
      <c r="AC466"/>
      <c r="AD466"/>
      <c r="AE466"/>
      <c r="AF466"/>
      <c r="AG466"/>
      <c r="AH466"/>
    </row>
    <row r="467" spans="17:34" ht="12.75" customHeight="1" thickBot="1">
      <c r="Q467" s="364"/>
      <c r="R467" s="915" t="str">
        <f>R348</f>
        <v>Seco S215 Muffled</v>
      </c>
      <c r="S467" s="915"/>
      <c r="T467" s="915"/>
      <c r="U467" s="915"/>
      <c r="V467" s="915"/>
      <c r="W467" s="915"/>
      <c r="X467" s="364"/>
      <c r="Y467" s="364"/>
      <c r="Z467" s="364"/>
      <c r="AA467"/>
      <c r="AB467"/>
      <c r="AC467"/>
      <c r="AD467"/>
      <c r="AE467"/>
      <c r="AF467"/>
      <c r="AG467"/>
      <c r="AH467"/>
    </row>
    <row r="468" spans="17:34" ht="12.75" customHeight="1" thickBot="1">
      <c r="Q468" s="364"/>
      <c r="R468" s="906" t="s">
        <v>205</v>
      </c>
      <c r="S468" s="907"/>
      <c r="T468" s="907"/>
      <c r="U468" s="907"/>
      <c r="V468" s="907"/>
      <c r="W468" s="908"/>
      <c r="X468" s="364"/>
      <c r="Y468" s="364"/>
      <c r="Z468" s="364"/>
      <c r="AA468"/>
      <c r="AB468"/>
      <c r="AC468"/>
      <c r="AD468"/>
      <c r="AE468"/>
      <c r="AF468"/>
      <c r="AG468"/>
      <c r="AH468"/>
    </row>
    <row r="469" spans="17:34" ht="12.75" customHeight="1" thickBot="1">
      <c r="Q469" s="364"/>
      <c r="R469" s="686" t="s">
        <v>59</v>
      </c>
      <c r="S469" s="577"/>
      <c r="T469" s="687"/>
      <c r="U469" s="687"/>
      <c r="V469" s="687"/>
      <c r="W469" s="688"/>
      <c r="X469" s="364"/>
      <c r="Y469" s="364"/>
      <c r="Z469" s="364"/>
      <c r="AA469"/>
      <c r="AB469"/>
      <c r="AC469"/>
      <c r="AD469"/>
      <c r="AE469"/>
      <c r="AF469"/>
      <c r="AG469"/>
      <c r="AH469"/>
    </row>
    <row r="470" spans="17:34" ht="12.75" customHeight="1">
      <c r="Q470" s="364"/>
      <c r="R470" s="895" t="s">
        <v>845</v>
      </c>
      <c r="S470" s="896"/>
      <c r="T470" s="900" t="s">
        <v>835</v>
      </c>
      <c r="U470" s="900" t="s">
        <v>836</v>
      </c>
      <c r="V470" s="900" t="s">
        <v>837</v>
      </c>
      <c r="W470" s="902" t="s">
        <v>838</v>
      </c>
      <c r="X470" s="364"/>
      <c r="Y470" s="364"/>
      <c r="Z470" s="364"/>
      <c r="AA470"/>
      <c r="AB470"/>
      <c r="AC470"/>
      <c r="AD470"/>
      <c r="AE470"/>
      <c r="AF470"/>
      <c r="AG470"/>
      <c r="AH470"/>
    </row>
    <row r="471" spans="17:34" ht="12.75" customHeight="1">
      <c r="Q471" s="364"/>
      <c r="R471" s="892"/>
      <c r="S471" s="897"/>
      <c r="T471" s="904"/>
      <c r="U471" s="904"/>
      <c r="V471" s="904"/>
      <c r="W471" s="905"/>
      <c r="X471" s="364"/>
      <c r="Y471" s="364"/>
      <c r="Z471" s="364"/>
      <c r="AA471"/>
      <c r="AB471"/>
      <c r="AC471"/>
      <c r="AD471"/>
      <c r="AE471"/>
      <c r="AF471"/>
      <c r="AG471"/>
      <c r="AH471"/>
    </row>
    <row r="472" spans="17:34" ht="12.75" customHeight="1">
      <c r="Q472" s="364"/>
      <c r="R472" s="892"/>
      <c r="S472" s="897"/>
      <c r="T472" s="901"/>
      <c r="U472" s="901"/>
      <c r="V472" s="901"/>
      <c r="W472" s="903"/>
      <c r="X472" s="364"/>
      <c r="Y472" s="364"/>
      <c r="Z472" s="364"/>
      <c r="AA472"/>
      <c r="AB472"/>
      <c r="AC472"/>
      <c r="AD472"/>
      <c r="AE472"/>
      <c r="AF472"/>
      <c r="AG472"/>
      <c r="AH472"/>
    </row>
    <row r="473" spans="17:34" ht="12.75" customHeight="1">
      <c r="Q473" s="364"/>
      <c r="R473" s="892"/>
      <c r="S473" s="897"/>
      <c r="T473" s="700">
        <f>V76</f>
        <v>114.02059991327963</v>
      </c>
      <c r="U473" s="560">
        <f>V62</f>
        <v>1.9999999999999996</v>
      </c>
      <c r="V473" s="690">
        <f>IF(T473&gt;0,W473*U473," ")</f>
        <v>19999.999999999996</v>
      </c>
      <c r="W473" s="691">
        <f>IF(T473&gt;0,(VLOOKUP(T473,'Lookup Ready-reckoner'!$B$5:$E$1207,4))," ")</f>
        <v>10000</v>
      </c>
      <c r="X473" s="364"/>
      <c r="Y473" s="364"/>
      <c r="Z473" s="364"/>
      <c r="AA473"/>
      <c r="AB473"/>
      <c r="AC473"/>
      <c r="AD473"/>
      <c r="AE473"/>
      <c r="AF473"/>
      <c r="AG473"/>
      <c r="AH473"/>
    </row>
    <row r="474" spans="17:34" ht="12.75" customHeight="1">
      <c r="Q474" s="364"/>
      <c r="R474" s="898"/>
      <c r="S474" s="899"/>
      <c r="T474" s="447"/>
      <c r="U474" s="560"/>
      <c r="V474" s="690" t="str">
        <f>IF(T474&gt;0,W474*U474," ")</f>
        <v xml:space="preserve"> </v>
      </c>
      <c r="W474" s="691" t="str">
        <f>IF(T474&gt;0,(VLOOKUP(T474,'Lookup Ready-reckoner'!$B$5:$E$1007,4))," ")</f>
        <v xml:space="preserve"> </v>
      </c>
      <c r="X474" s="364"/>
      <c r="Y474" s="364"/>
      <c r="Z474" s="364"/>
      <c r="AA474"/>
      <c r="AB474"/>
      <c r="AC474"/>
      <c r="AD474"/>
      <c r="AE474"/>
      <c r="AF474"/>
      <c r="AG474"/>
      <c r="AH474"/>
    </row>
    <row r="475" spans="17:34" ht="12.75" customHeight="1" thickBot="1">
      <c r="Q475" s="364"/>
      <c r="R475" s="699" t="s">
        <v>839</v>
      </c>
      <c r="S475" s="693"/>
      <c r="T475" s="693"/>
      <c r="U475" s="701">
        <f>IF(T473&gt;0,(VLOOKUP(V475,'Lookup Ready-reckoner'!$L$5:$M$1207,2))," ")</f>
        <v>107.95</v>
      </c>
      <c r="V475" s="695">
        <f>IF(U473&gt;0,(SUM(V473:V474))," ")</f>
        <v>19999.999999999996</v>
      </c>
      <c r="W475" s="696"/>
      <c r="X475" s="364"/>
      <c r="Y475" s="364"/>
      <c r="Z475" s="364"/>
      <c r="AA475"/>
      <c r="AB475"/>
      <c r="AC475"/>
      <c r="AD475"/>
      <c r="AE475"/>
      <c r="AF475"/>
      <c r="AG475"/>
      <c r="AH475"/>
    </row>
    <row r="476" spans="17:34" ht="12.75" customHeight="1" thickBot="1">
      <c r="Q476" s="364"/>
      <c r="R476" s="892"/>
      <c r="S476" s="893"/>
      <c r="T476" s="893"/>
      <c r="U476" s="893"/>
      <c r="V476" s="893"/>
      <c r="W476" s="894"/>
      <c r="X476" s="364"/>
      <c r="Y476" s="364"/>
      <c r="Z476" s="364"/>
      <c r="AA476"/>
      <c r="AB476"/>
      <c r="AC476"/>
      <c r="AD476"/>
      <c r="AE476"/>
      <c r="AF476"/>
      <c r="AG476"/>
      <c r="AH476"/>
    </row>
    <row r="477" spans="17:34" ht="12.75" customHeight="1">
      <c r="Q477" s="364"/>
      <c r="R477" s="895" t="s">
        <v>886</v>
      </c>
      <c r="S477" s="896"/>
      <c r="T477" s="900" t="s">
        <v>835</v>
      </c>
      <c r="U477" s="900" t="s">
        <v>836</v>
      </c>
      <c r="V477" s="900" t="s">
        <v>837</v>
      </c>
      <c r="W477" s="902" t="s">
        <v>838</v>
      </c>
      <c r="X477" s="364"/>
      <c r="Y477" s="364"/>
      <c r="Z477" s="364"/>
      <c r="AA477"/>
      <c r="AB477"/>
      <c r="AC477"/>
      <c r="AD477"/>
      <c r="AE477"/>
      <c r="AF477"/>
      <c r="AG477"/>
      <c r="AH477"/>
    </row>
    <row r="478" spans="17:34" ht="12.75" customHeight="1">
      <c r="Q478" s="364"/>
      <c r="R478" s="892"/>
      <c r="S478" s="897"/>
      <c r="T478" s="901"/>
      <c r="U478" s="901"/>
      <c r="V478" s="901"/>
      <c r="W478" s="903"/>
      <c r="X478" s="364"/>
      <c r="Y478" s="364"/>
      <c r="Z478" s="364"/>
      <c r="AA478"/>
      <c r="AB478"/>
      <c r="AC478"/>
      <c r="AD478"/>
      <c r="AE478"/>
      <c r="AF478"/>
      <c r="AG478"/>
      <c r="AH478"/>
    </row>
    <row r="479" spans="17:34" ht="12.75" customHeight="1">
      <c r="Q479" s="364"/>
      <c r="R479" s="892"/>
      <c r="S479" s="897"/>
      <c r="T479" s="700">
        <f>T473*(1-0.0178*2)</f>
        <v>109.96146655636687</v>
      </c>
      <c r="U479" s="560">
        <f>U473</f>
        <v>1.9999999999999996</v>
      </c>
      <c r="V479" s="690">
        <f>IF(T479&gt;0,W479*U479," ")</f>
        <v>7919.9999999999982</v>
      </c>
      <c r="W479" s="691">
        <f>IF(T479&gt;0,(VLOOKUP(T479,'Lookup Ready-reckoner'!$B$5:$E$1207,4))," ")</f>
        <v>3960</v>
      </c>
      <c r="X479" s="364"/>
      <c r="Y479" s="364"/>
      <c r="Z479" s="364"/>
      <c r="AA479"/>
      <c r="AB479"/>
      <c r="AC479"/>
      <c r="AD479"/>
      <c r="AE479"/>
      <c r="AF479"/>
      <c r="AG479"/>
      <c r="AH479"/>
    </row>
    <row r="480" spans="17:34" ht="12.75" customHeight="1">
      <c r="Q480" s="364"/>
      <c r="R480" s="898"/>
      <c r="S480" s="899"/>
      <c r="T480" s="447"/>
      <c r="U480" s="560"/>
      <c r="V480" s="690" t="str">
        <f>IF(T480&gt;0,W480*U480," ")</f>
        <v xml:space="preserve"> </v>
      </c>
      <c r="W480" s="691" t="str">
        <f>IF(T480&gt;0,(VLOOKUP(T480,'Lookup Ready-reckoner'!$B$5:$E$1007,4))," ")</f>
        <v xml:space="preserve"> </v>
      </c>
      <c r="X480" s="364"/>
      <c r="Y480" s="364"/>
      <c r="Z480" s="364"/>
      <c r="AA480"/>
      <c r="AB480"/>
      <c r="AC480"/>
      <c r="AD480"/>
      <c r="AE480"/>
      <c r="AF480"/>
      <c r="AG480"/>
      <c r="AH480"/>
    </row>
    <row r="481" spans="17:34" ht="12.75" customHeight="1" thickBot="1">
      <c r="Q481" s="364"/>
      <c r="R481" s="692" t="s">
        <v>839</v>
      </c>
      <c r="S481" s="693"/>
      <c r="T481" s="693"/>
      <c r="U481" s="701">
        <f>IF(T479&gt;0,(VLOOKUP(V481,'Lookup Ready-reckoner'!$L$5:$M$1207,2))," ")</f>
        <v>103.9</v>
      </c>
      <c r="V481" s="695">
        <f>IF(U479&gt;0,(SUM(V479:V480))," ")</f>
        <v>7919.9999999999982</v>
      </c>
      <c r="W481" s="696"/>
      <c r="X481" s="364"/>
      <c r="Y481" s="364"/>
      <c r="Z481" s="364"/>
      <c r="AA481"/>
      <c r="AB481"/>
      <c r="AC481"/>
      <c r="AD481"/>
      <c r="AE481"/>
      <c r="AF481"/>
      <c r="AG481"/>
      <c r="AH481"/>
    </row>
    <row r="482" spans="17:34" ht="12.75" customHeight="1">
      <c r="Q482" s="364"/>
      <c r="R482" s="697"/>
      <c r="S482" s="687"/>
      <c r="T482" s="687"/>
      <c r="U482" s="372"/>
      <c r="V482" s="374"/>
      <c r="W482" s="688"/>
      <c r="X482" s="364"/>
      <c r="Y482" s="364"/>
      <c r="Z482" s="364"/>
      <c r="AA482"/>
      <c r="AB482"/>
      <c r="AC482"/>
      <c r="AD482"/>
      <c r="AE482"/>
      <c r="AF482"/>
      <c r="AG482"/>
      <c r="AH482"/>
    </row>
    <row r="483" spans="17:34" ht="12.75" customHeight="1" thickBot="1">
      <c r="Q483" s="364"/>
      <c r="R483" s="686" t="s">
        <v>60</v>
      </c>
      <c r="S483" s="577"/>
      <c r="T483" s="577"/>
      <c r="U483" s="577"/>
      <c r="V483" s="577"/>
      <c r="W483" s="698"/>
      <c r="X483" s="364"/>
      <c r="Y483" s="364"/>
      <c r="Z483" s="364"/>
      <c r="AA483"/>
      <c r="AB483"/>
      <c r="AC483"/>
      <c r="AD483"/>
      <c r="AE483"/>
      <c r="AF483"/>
      <c r="AG483"/>
      <c r="AH483"/>
    </row>
    <row r="484" spans="17:34" ht="12.75" customHeight="1">
      <c r="Q484" s="364"/>
      <c r="R484" s="895" t="s">
        <v>845</v>
      </c>
      <c r="S484" s="896"/>
      <c r="T484" s="900" t="s">
        <v>835</v>
      </c>
      <c r="U484" s="900" t="s">
        <v>836</v>
      </c>
      <c r="V484" s="900" t="s">
        <v>837</v>
      </c>
      <c r="W484" s="902" t="s">
        <v>838</v>
      </c>
      <c r="X484" s="364"/>
      <c r="Y484" s="364"/>
      <c r="Z484" s="364"/>
      <c r="AA484"/>
      <c r="AB484"/>
      <c r="AC484"/>
      <c r="AD484"/>
      <c r="AE484"/>
      <c r="AF484"/>
      <c r="AG484"/>
      <c r="AH484"/>
    </row>
    <row r="485" spans="17:34" ht="12.75" customHeight="1">
      <c r="Q485" s="364"/>
      <c r="R485" s="892"/>
      <c r="S485" s="897"/>
      <c r="T485" s="901"/>
      <c r="U485" s="901"/>
      <c r="V485" s="901"/>
      <c r="W485" s="903"/>
      <c r="X485" s="364"/>
      <c r="Y485" s="364"/>
      <c r="Z485" s="364"/>
      <c r="AA485"/>
      <c r="AB485"/>
      <c r="AC485"/>
      <c r="AD485"/>
      <c r="AE485"/>
      <c r="AF485"/>
      <c r="AG485"/>
      <c r="AH485"/>
    </row>
    <row r="486" spans="17:34" ht="12.75" customHeight="1">
      <c r="Q486" s="364"/>
      <c r="R486" s="892"/>
      <c r="S486" s="897"/>
      <c r="T486" s="700">
        <f>T473-PPE!$I$15</f>
        <v>101.02059991327963</v>
      </c>
      <c r="U486" s="560">
        <f>U479</f>
        <v>1.9999999999999996</v>
      </c>
      <c r="V486" s="690">
        <f>IF(T486&gt;0,W486*U486," ")</f>
        <v>999.99999999999977</v>
      </c>
      <c r="W486" s="691">
        <f>IF(T486&gt;0,(VLOOKUP(T486,'Lookup Ready-reckoner'!$B$5:$E$1207,4))," ")</f>
        <v>500</v>
      </c>
      <c r="X486" s="364"/>
      <c r="Y486" s="364"/>
      <c r="Z486" s="364"/>
      <c r="AA486"/>
      <c r="AB486"/>
      <c r="AC486"/>
      <c r="AD486"/>
      <c r="AE486"/>
      <c r="AF486"/>
      <c r="AG486"/>
      <c r="AH486"/>
    </row>
    <row r="487" spans="17:34" ht="12.75" customHeight="1">
      <c r="Q487" s="364"/>
      <c r="R487" s="898"/>
      <c r="S487" s="899"/>
      <c r="T487" s="447"/>
      <c r="U487" s="560"/>
      <c r="V487" s="690" t="str">
        <f>IF(T487&gt;0,W487*U487," ")</f>
        <v xml:space="preserve"> </v>
      </c>
      <c r="W487" s="691" t="str">
        <f>IF(T487&gt;0,(VLOOKUP(T487,'Lookup Ready-reckoner'!$B$5:$E$1007,4))," ")</f>
        <v xml:space="preserve"> </v>
      </c>
      <c r="X487" s="364"/>
      <c r="Y487" s="364"/>
      <c r="Z487" s="364"/>
      <c r="AA487"/>
      <c r="AB487"/>
      <c r="AC487"/>
      <c r="AD487"/>
      <c r="AE487"/>
      <c r="AF487"/>
      <c r="AG487"/>
      <c r="AH487"/>
    </row>
    <row r="488" spans="17:34" ht="12.75" customHeight="1" thickBot="1">
      <c r="Q488" s="364"/>
      <c r="R488" s="692" t="s">
        <v>839</v>
      </c>
      <c r="S488" s="693"/>
      <c r="T488" s="693"/>
      <c r="U488" s="701">
        <f>IF(T486&gt;0,(VLOOKUP(V488,'Lookup Ready-reckoner'!$L$5:$M$1207,2))," ")</f>
        <v>94.95</v>
      </c>
      <c r="V488" s="695">
        <f>IF(U486&gt;0,(SUM(V486:V487))," ")</f>
        <v>999.99999999999977</v>
      </c>
      <c r="W488" s="696"/>
      <c r="X488" s="364"/>
      <c r="Y488" s="364"/>
      <c r="Z488" s="364"/>
      <c r="AA488"/>
      <c r="AB488"/>
      <c r="AC488"/>
      <c r="AD488"/>
      <c r="AE488"/>
      <c r="AF488"/>
      <c r="AG488"/>
      <c r="AH488"/>
    </row>
    <row r="489" spans="17:34" ht="12.75" customHeight="1" thickBot="1">
      <c r="Q489" s="364"/>
      <c r="R489" s="892"/>
      <c r="S489" s="893"/>
      <c r="T489" s="893"/>
      <c r="U489" s="893"/>
      <c r="V489" s="893"/>
      <c r="W489" s="894"/>
      <c r="X489" s="364"/>
      <c r="Y489" s="364"/>
      <c r="Z489" s="364"/>
      <c r="AA489"/>
      <c r="AB489"/>
      <c r="AC489"/>
      <c r="AD489"/>
      <c r="AE489"/>
      <c r="AF489"/>
      <c r="AG489"/>
      <c r="AH489"/>
    </row>
    <row r="490" spans="17:34" ht="12.75" customHeight="1">
      <c r="Q490" s="364"/>
      <c r="R490" s="895" t="s">
        <v>886</v>
      </c>
      <c r="S490" s="896"/>
      <c r="T490" s="900" t="s">
        <v>835</v>
      </c>
      <c r="U490" s="900" t="s">
        <v>836</v>
      </c>
      <c r="V490" s="900" t="s">
        <v>837</v>
      </c>
      <c r="W490" s="902" t="s">
        <v>838</v>
      </c>
      <c r="X490" s="364"/>
      <c r="Y490" s="364"/>
      <c r="Z490" s="364"/>
      <c r="AA490"/>
      <c r="AB490"/>
      <c r="AC490"/>
      <c r="AD490"/>
      <c r="AE490"/>
      <c r="AF490"/>
      <c r="AG490"/>
      <c r="AH490"/>
    </row>
    <row r="491" spans="17:34" ht="12.75" customHeight="1">
      <c r="Q491" s="364"/>
      <c r="R491" s="892"/>
      <c r="S491" s="897"/>
      <c r="T491" s="901"/>
      <c r="U491" s="901"/>
      <c r="V491" s="901"/>
      <c r="W491" s="903"/>
      <c r="X491" s="364"/>
      <c r="Y491" s="364"/>
      <c r="Z491" s="364"/>
      <c r="AA491"/>
      <c r="AB491"/>
      <c r="AC491"/>
      <c r="AD491"/>
      <c r="AE491"/>
      <c r="AF491"/>
      <c r="AG491"/>
      <c r="AH491"/>
    </row>
    <row r="492" spans="17:34" ht="12.75" customHeight="1">
      <c r="Q492" s="364"/>
      <c r="R492" s="892"/>
      <c r="S492" s="897"/>
      <c r="T492" s="700">
        <f>T479-PPE!$I$15</f>
        <v>96.961466556366872</v>
      </c>
      <c r="U492" s="560">
        <f>U486</f>
        <v>1.9999999999999996</v>
      </c>
      <c r="V492" s="690">
        <f>IF(T492&gt;0,W492*U492," ")</f>
        <v>395.62499999999989</v>
      </c>
      <c r="W492" s="691">
        <f>IF(T492&gt;0,(VLOOKUP(T492,'Lookup Ready-reckoner'!$B$5:$E$1207,4))," ")</f>
        <v>197.8125</v>
      </c>
      <c r="X492" s="364"/>
      <c r="Y492" s="364"/>
      <c r="Z492" s="364"/>
      <c r="AA492"/>
      <c r="AB492"/>
      <c r="AC492"/>
      <c r="AD492"/>
      <c r="AE492"/>
      <c r="AF492"/>
      <c r="AG492"/>
      <c r="AH492"/>
    </row>
    <row r="493" spans="17:34" ht="12.75" customHeight="1">
      <c r="Q493" s="364"/>
      <c r="R493" s="898"/>
      <c r="S493" s="899"/>
      <c r="T493" s="447"/>
      <c r="U493" s="560"/>
      <c r="V493" s="690" t="str">
        <f>IF(T493&gt;0,W493*U493," ")</f>
        <v xml:space="preserve"> </v>
      </c>
      <c r="W493" s="691" t="str">
        <f>IF(T493&gt;0,(VLOOKUP(T493,'Lookup Ready-reckoner'!$B$5:$E$1007,4))," ")</f>
        <v xml:space="preserve"> </v>
      </c>
      <c r="X493" s="364"/>
      <c r="Y493" s="364"/>
      <c r="Z493" s="364"/>
      <c r="AA493"/>
      <c r="AB493"/>
      <c r="AC493"/>
      <c r="AD493"/>
      <c r="AE493"/>
      <c r="AF493"/>
      <c r="AG493"/>
      <c r="AH493"/>
    </row>
    <row r="494" spans="17:34" ht="12.75" customHeight="1" thickBot="1">
      <c r="Q494" s="364"/>
      <c r="R494" s="692" t="s">
        <v>839</v>
      </c>
      <c r="S494" s="693"/>
      <c r="T494" s="693"/>
      <c r="U494" s="701">
        <f>IF(T492&gt;0,(VLOOKUP(V494,'Lookup Ready-reckoner'!$L$5:$M$1207,2))," ")</f>
        <v>90.9</v>
      </c>
      <c r="V494" s="695">
        <f>IF(U492&gt;0,(SUM(V492:V493))," ")</f>
        <v>395.62499999999989</v>
      </c>
      <c r="W494" s="696"/>
      <c r="X494" s="364"/>
      <c r="Y494" s="364"/>
      <c r="Z494" s="364"/>
      <c r="AA494"/>
      <c r="AB494"/>
      <c r="AC494"/>
      <c r="AD494"/>
      <c r="AE494"/>
      <c r="AF494"/>
      <c r="AG494"/>
      <c r="AH494"/>
    </row>
    <row r="495" spans="17:34" ht="12.75" customHeight="1">
      <c r="Q495" s="364"/>
      <c r="R495" s="363"/>
      <c r="S495" s="363"/>
      <c r="T495" s="363"/>
      <c r="U495" s="363"/>
      <c r="V495" s="363"/>
      <c r="W495" s="363"/>
      <c r="X495" s="364"/>
      <c r="Y495" s="364"/>
      <c r="Z495" s="364"/>
      <c r="AA495"/>
      <c r="AB495"/>
      <c r="AC495"/>
      <c r="AD495"/>
      <c r="AE495"/>
      <c r="AF495"/>
      <c r="AG495"/>
      <c r="AH495"/>
    </row>
    <row r="496" spans="17:34" ht="12.75" customHeight="1">
      <c r="Q496" s="364"/>
      <c r="R496" s="913" t="str">
        <f>R377</f>
        <v>Sulzer ADDS</v>
      </c>
      <c r="S496" s="914"/>
      <c r="T496" s="914"/>
      <c r="U496" s="914"/>
      <c r="V496" s="914"/>
      <c r="W496" s="914"/>
      <c r="X496" s="364"/>
      <c r="Y496" s="364"/>
      <c r="Z496" s="364"/>
      <c r="AA496"/>
      <c r="AB496"/>
      <c r="AC496"/>
      <c r="AD496"/>
      <c r="AE496"/>
      <c r="AF496"/>
      <c r="AG496"/>
      <c r="AH496"/>
    </row>
    <row r="497" spans="17:34" ht="12.75" customHeight="1" thickBot="1">
      <c r="Q497" s="364"/>
      <c r="R497" s="910" t="s">
        <v>205</v>
      </c>
      <c r="S497" s="911"/>
      <c r="T497" s="911"/>
      <c r="U497" s="911"/>
      <c r="V497" s="911"/>
      <c r="W497" s="912"/>
      <c r="X497" s="364"/>
      <c r="Y497" s="364"/>
      <c r="Z497" s="364"/>
      <c r="AA497"/>
      <c r="AB497"/>
      <c r="AC497"/>
      <c r="AD497"/>
      <c r="AE497"/>
      <c r="AF497"/>
      <c r="AG497"/>
      <c r="AH497"/>
    </row>
    <row r="498" spans="17:34" ht="12.75" customHeight="1" thickBot="1">
      <c r="Q498" s="364"/>
      <c r="R498" s="686" t="s">
        <v>59</v>
      </c>
      <c r="S498" s="577"/>
      <c r="T498" s="687"/>
      <c r="U498" s="687"/>
      <c r="V498" s="687"/>
      <c r="W498" s="688"/>
      <c r="X498" s="364"/>
      <c r="Y498" s="364"/>
      <c r="Z498" s="364"/>
      <c r="AA498"/>
      <c r="AB498"/>
      <c r="AC498"/>
      <c r="AD498"/>
      <c r="AE498"/>
      <c r="AF498"/>
      <c r="AG498"/>
      <c r="AH498"/>
    </row>
    <row r="499" spans="17:34" ht="12.75" customHeight="1">
      <c r="Q499" s="364"/>
      <c r="R499" s="895" t="s">
        <v>845</v>
      </c>
      <c r="S499" s="896"/>
      <c r="T499" s="900" t="s">
        <v>835</v>
      </c>
      <c r="U499" s="900" t="s">
        <v>836</v>
      </c>
      <c r="V499" s="900" t="s">
        <v>837</v>
      </c>
      <c r="W499" s="902" t="s">
        <v>838</v>
      </c>
      <c r="X499" s="364"/>
      <c r="Y499" s="364"/>
      <c r="Z499" s="364"/>
      <c r="AA499"/>
      <c r="AB499"/>
      <c r="AC499"/>
      <c r="AD499"/>
      <c r="AE499"/>
      <c r="AF499"/>
      <c r="AG499"/>
      <c r="AH499"/>
    </row>
    <row r="500" spans="17:34" ht="12.75" customHeight="1">
      <c r="Q500" s="364"/>
      <c r="R500" s="892"/>
      <c r="S500" s="897"/>
      <c r="T500" s="904"/>
      <c r="U500" s="904"/>
      <c r="V500" s="904"/>
      <c r="W500" s="905"/>
      <c r="X500" s="364"/>
      <c r="Y500" s="364"/>
      <c r="Z500" s="364"/>
      <c r="AA500"/>
      <c r="AB500"/>
      <c r="AC500"/>
      <c r="AD500"/>
      <c r="AE500"/>
      <c r="AF500"/>
      <c r="AG500"/>
      <c r="AH500"/>
    </row>
    <row r="501" spans="17:34" ht="12.75" customHeight="1">
      <c r="Q501" s="364"/>
      <c r="R501" s="892"/>
      <c r="S501" s="897"/>
      <c r="T501" s="901"/>
      <c r="U501" s="901"/>
      <c r="V501" s="901"/>
      <c r="W501" s="903"/>
      <c r="X501" s="364"/>
      <c r="Y501" s="364"/>
      <c r="Z501" s="364"/>
      <c r="AA501"/>
      <c r="AB501"/>
      <c r="AC501"/>
      <c r="AD501"/>
      <c r="AE501"/>
      <c r="AF501"/>
      <c r="AG501"/>
      <c r="AH501"/>
    </row>
    <row r="502" spans="17:34" ht="12.75" customHeight="1">
      <c r="Q502" s="364"/>
      <c r="R502" s="892"/>
      <c r="S502" s="897"/>
      <c r="T502" s="702">
        <f>W76</f>
        <v>115.02059991327963</v>
      </c>
      <c r="U502" s="560">
        <f>W62</f>
        <v>1.7391304347826084</v>
      </c>
      <c r="V502" s="690">
        <f>IF(T502&gt;0,W502*U502," ")</f>
        <v>22260.869565217388</v>
      </c>
      <c r="W502" s="691">
        <f>IF(T502&gt;0,(VLOOKUP(T502,'Lookup Ready-reckoner'!$B$5:$E$1207,4))," ")</f>
        <v>12800</v>
      </c>
      <c r="X502" s="364"/>
      <c r="Y502" s="364"/>
      <c r="Z502" s="364"/>
      <c r="AA502"/>
      <c r="AB502"/>
      <c r="AC502"/>
      <c r="AD502"/>
      <c r="AE502"/>
      <c r="AF502"/>
      <c r="AG502"/>
      <c r="AH502"/>
    </row>
    <row r="503" spans="17:34" ht="12.75" customHeight="1">
      <c r="Q503" s="364"/>
      <c r="R503" s="898"/>
      <c r="S503" s="899"/>
      <c r="T503" s="447"/>
      <c r="U503" s="560"/>
      <c r="V503" s="690" t="str">
        <f>IF(T503&gt;0,W503*U503," ")</f>
        <v xml:space="preserve"> </v>
      </c>
      <c r="W503" s="691" t="str">
        <f>IF(T503&gt;0,(VLOOKUP(T503,'Lookup Ready-reckoner'!$B$5:$E$1007,4))," ")</f>
        <v xml:space="preserve"> </v>
      </c>
      <c r="X503" s="364"/>
      <c r="Y503" s="364"/>
      <c r="Z503" s="364"/>
      <c r="AA503"/>
      <c r="AB503"/>
      <c r="AC503"/>
      <c r="AD503"/>
      <c r="AE503"/>
      <c r="AF503"/>
      <c r="AG503"/>
      <c r="AH503"/>
    </row>
    <row r="504" spans="17:34" ht="12.75" customHeight="1" thickBot="1">
      <c r="Q504" s="364"/>
      <c r="R504" s="692" t="s">
        <v>839</v>
      </c>
      <c r="S504" s="693"/>
      <c r="T504" s="693"/>
      <c r="U504" s="703">
        <f>IF(T502&gt;0,(VLOOKUP(V504,'Lookup Ready-reckoner'!$L$5:$M$1207,2))," ")</f>
        <v>108.4</v>
      </c>
      <c r="V504" s="695">
        <f>IF(U502&gt;0,(SUM(V502:V503))," ")</f>
        <v>22260.869565217388</v>
      </c>
      <c r="W504" s="696"/>
      <c r="X504" s="364"/>
      <c r="Y504" s="364"/>
      <c r="Z504" s="364"/>
      <c r="AA504"/>
      <c r="AB504"/>
      <c r="AC504"/>
      <c r="AD504"/>
      <c r="AE504"/>
      <c r="AF504"/>
      <c r="AG504"/>
      <c r="AH504"/>
    </row>
    <row r="505" spans="17:34" ht="12.75" customHeight="1" thickBot="1">
      <c r="Q505" s="364"/>
      <c r="R505" s="892"/>
      <c r="S505" s="893"/>
      <c r="T505" s="893"/>
      <c r="U505" s="893"/>
      <c r="V505" s="893"/>
      <c r="W505" s="894"/>
      <c r="X505" s="364"/>
      <c r="Y505" s="364"/>
      <c r="Z505" s="364"/>
      <c r="AA505"/>
      <c r="AB505"/>
      <c r="AC505"/>
      <c r="AD505"/>
      <c r="AE505"/>
      <c r="AF505"/>
      <c r="AG505"/>
      <c r="AH505"/>
    </row>
    <row r="506" spans="17:34" ht="12.75" customHeight="1">
      <c r="Q506" s="364"/>
      <c r="R506" s="895" t="s">
        <v>886</v>
      </c>
      <c r="S506" s="896"/>
      <c r="T506" s="900" t="s">
        <v>835</v>
      </c>
      <c r="U506" s="900" t="s">
        <v>836</v>
      </c>
      <c r="V506" s="900" t="s">
        <v>837</v>
      </c>
      <c r="W506" s="902" t="s">
        <v>838</v>
      </c>
      <c r="X506" s="364"/>
      <c r="Y506" s="364"/>
      <c r="Z506" s="364"/>
      <c r="AA506"/>
      <c r="AB506"/>
      <c r="AC506"/>
      <c r="AD506"/>
      <c r="AE506"/>
      <c r="AF506"/>
      <c r="AG506"/>
      <c r="AH506"/>
    </row>
    <row r="507" spans="17:34" ht="12.75" customHeight="1">
      <c r="Q507" s="364"/>
      <c r="R507" s="892"/>
      <c r="S507" s="897"/>
      <c r="T507" s="901"/>
      <c r="U507" s="901"/>
      <c r="V507" s="901"/>
      <c r="W507" s="903"/>
      <c r="X507" s="364"/>
      <c r="Y507" s="364"/>
      <c r="Z507" s="364"/>
      <c r="AA507"/>
      <c r="AB507"/>
      <c r="AC507"/>
      <c r="AD507"/>
      <c r="AE507"/>
      <c r="AF507"/>
      <c r="AG507"/>
      <c r="AH507"/>
    </row>
    <row r="508" spans="17:34" ht="12.75" customHeight="1">
      <c r="Q508" s="364"/>
      <c r="R508" s="892"/>
      <c r="S508" s="897"/>
      <c r="T508" s="702">
        <f>T502*(1-0.0178*2)</f>
        <v>110.92586655636687</v>
      </c>
      <c r="U508" s="560">
        <f>U502</f>
        <v>1.7391304347826084</v>
      </c>
      <c r="V508" s="690">
        <f>IF(T508&gt;0,W508*U508," ")</f>
        <v>8521.7391304347821</v>
      </c>
      <c r="W508" s="691">
        <f>IF(T508&gt;0,(VLOOKUP(T508,'Lookup Ready-reckoner'!$B$5:$E$1207,4))," ")</f>
        <v>4900</v>
      </c>
      <c r="X508" s="364"/>
      <c r="Y508" s="364"/>
      <c r="Z508" s="364"/>
      <c r="AA508"/>
      <c r="AB508"/>
      <c r="AC508"/>
      <c r="AD508"/>
      <c r="AE508"/>
      <c r="AF508"/>
      <c r="AG508"/>
      <c r="AH508"/>
    </row>
    <row r="509" spans="17:34" ht="12.75" customHeight="1">
      <c r="Q509" s="364"/>
      <c r="R509" s="898"/>
      <c r="S509" s="899"/>
      <c r="T509" s="447"/>
      <c r="U509" s="560"/>
      <c r="V509" s="690" t="str">
        <f>IF(T509&gt;0,W509*U509," ")</f>
        <v xml:space="preserve"> </v>
      </c>
      <c r="W509" s="691" t="str">
        <f>IF(T509&gt;0,(VLOOKUP(T509,'Lookup Ready-reckoner'!$B$5:$E$1007,4))," ")</f>
        <v xml:space="preserve"> </v>
      </c>
      <c r="X509" s="364"/>
      <c r="Y509" s="364"/>
      <c r="Z509" s="364"/>
      <c r="AA509"/>
      <c r="AB509"/>
      <c r="AC509"/>
      <c r="AD509"/>
      <c r="AE509"/>
      <c r="AF509"/>
      <c r="AG509"/>
      <c r="AH509"/>
    </row>
    <row r="510" spans="17:34" ht="12.75" customHeight="1" thickBot="1">
      <c r="Q510" s="364"/>
      <c r="R510" s="692" t="s">
        <v>839</v>
      </c>
      <c r="S510" s="693"/>
      <c r="T510" s="693"/>
      <c r="U510" s="703">
        <f>IF(T508&gt;0,(VLOOKUP(V510,'Lookup Ready-reckoner'!$L$5:$M$1207,2))," ")</f>
        <v>104.25</v>
      </c>
      <c r="V510" s="695">
        <f>IF(U508&gt;0,(SUM(V508:V509))," ")</f>
        <v>8521.7391304347821</v>
      </c>
      <c r="W510" s="696"/>
      <c r="X510" s="364"/>
      <c r="Y510" s="364"/>
      <c r="Z510" s="364"/>
      <c r="AA510"/>
      <c r="AB510"/>
      <c r="AC510"/>
      <c r="AD510"/>
      <c r="AE510"/>
      <c r="AF510"/>
      <c r="AG510"/>
      <c r="AH510"/>
    </row>
    <row r="511" spans="17:34" ht="12.75" customHeight="1">
      <c r="Q511" s="364"/>
      <c r="R511" s="697"/>
      <c r="S511" s="687"/>
      <c r="T511" s="687"/>
      <c r="U511" s="372"/>
      <c r="V511" s="374"/>
      <c r="W511" s="688"/>
      <c r="X511" s="364"/>
      <c r="Y511" s="364"/>
      <c r="Z511" s="364"/>
      <c r="AA511"/>
      <c r="AB511"/>
      <c r="AC511"/>
      <c r="AD511"/>
      <c r="AE511"/>
      <c r="AF511"/>
      <c r="AG511"/>
      <c r="AH511"/>
    </row>
    <row r="512" spans="17:34" ht="12.75" customHeight="1" thickBot="1">
      <c r="Q512" s="364"/>
      <c r="R512" s="686" t="s">
        <v>60</v>
      </c>
      <c r="S512" s="577"/>
      <c r="T512" s="577"/>
      <c r="U512" s="577"/>
      <c r="V512" s="577"/>
      <c r="W512" s="698"/>
      <c r="X512" s="364"/>
      <c r="Y512" s="364"/>
      <c r="Z512" s="364"/>
      <c r="AA512"/>
      <c r="AB512"/>
      <c r="AC512"/>
      <c r="AD512"/>
      <c r="AE512"/>
      <c r="AF512"/>
      <c r="AG512"/>
      <c r="AH512"/>
    </row>
    <row r="513" spans="17:34" ht="12.75" customHeight="1">
      <c r="Q513" s="364"/>
      <c r="R513" s="895" t="s">
        <v>845</v>
      </c>
      <c r="S513" s="896"/>
      <c r="T513" s="900" t="s">
        <v>835</v>
      </c>
      <c r="U513" s="900" t="s">
        <v>836</v>
      </c>
      <c r="V513" s="900" t="s">
        <v>837</v>
      </c>
      <c r="W513" s="902" t="s">
        <v>838</v>
      </c>
      <c r="X513" s="364"/>
      <c r="Y513" s="364"/>
      <c r="Z513" s="364"/>
      <c r="AA513"/>
      <c r="AB513"/>
      <c r="AC513"/>
      <c r="AD513"/>
      <c r="AE513"/>
      <c r="AF513"/>
      <c r="AG513"/>
      <c r="AH513"/>
    </row>
    <row r="514" spans="17:34" ht="12.75" customHeight="1">
      <c r="Q514" s="364"/>
      <c r="R514" s="892"/>
      <c r="S514" s="897"/>
      <c r="T514" s="901"/>
      <c r="U514" s="901"/>
      <c r="V514" s="901"/>
      <c r="W514" s="903"/>
      <c r="X514" s="364"/>
      <c r="Y514" s="364"/>
      <c r="Z514" s="364"/>
      <c r="AA514"/>
      <c r="AB514"/>
      <c r="AC514"/>
      <c r="AD514"/>
      <c r="AE514"/>
      <c r="AF514"/>
      <c r="AG514"/>
      <c r="AH514"/>
    </row>
    <row r="515" spans="17:34" ht="12.75" customHeight="1">
      <c r="Q515" s="364"/>
      <c r="R515" s="892"/>
      <c r="S515" s="897"/>
      <c r="T515" s="702">
        <f>T502-PPE!$I$15</f>
        <v>102.02059991327963</v>
      </c>
      <c r="U515" s="560">
        <f>U508</f>
        <v>1.7391304347826084</v>
      </c>
      <c r="V515" s="690">
        <f>IF(T515&gt;0,W515*U515," ")</f>
        <v>1086.9565217391303</v>
      </c>
      <c r="W515" s="691">
        <f>IF(T515&gt;0,(VLOOKUP(T515,'Lookup Ready-reckoner'!$B$5:$E$1207,4))," ")</f>
        <v>625</v>
      </c>
      <c r="X515" s="364"/>
      <c r="Y515" s="364"/>
      <c r="Z515" s="364"/>
      <c r="AA515"/>
      <c r="AB515"/>
      <c r="AC515"/>
      <c r="AD515"/>
      <c r="AE515"/>
      <c r="AF515"/>
      <c r="AG515"/>
      <c r="AH515"/>
    </row>
    <row r="516" spans="17:34" ht="12.75" customHeight="1">
      <c r="Q516" s="364"/>
      <c r="R516" s="898"/>
      <c r="S516" s="899"/>
      <c r="T516" s="447"/>
      <c r="U516" s="560"/>
      <c r="V516" s="690" t="str">
        <f>IF(T516&gt;0,W516*U516," ")</f>
        <v xml:space="preserve"> </v>
      </c>
      <c r="W516" s="691" t="str">
        <f>IF(T516&gt;0,(VLOOKUP(T516,'Lookup Ready-reckoner'!$B$5:$E$1007,4))," ")</f>
        <v xml:space="preserve"> </v>
      </c>
      <c r="X516" s="364"/>
      <c r="Y516" s="364"/>
      <c r="Z516" s="364"/>
      <c r="AA516"/>
      <c r="AB516"/>
      <c r="AC516"/>
      <c r="AD516"/>
      <c r="AE516"/>
      <c r="AF516"/>
      <c r="AG516"/>
      <c r="AH516"/>
    </row>
    <row r="517" spans="17:34" ht="12.75" customHeight="1" thickBot="1">
      <c r="Q517" s="364"/>
      <c r="R517" s="692" t="s">
        <v>839</v>
      </c>
      <c r="S517" s="693"/>
      <c r="T517" s="693"/>
      <c r="U517" s="703">
        <f>IF(T515&gt;0,(VLOOKUP(V517,'Lookup Ready-reckoner'!$L$5:$M$1207,2))," ")</f>
        <v>95.3</v>
      </c>
      <c r="V517" s="695">
        <f>IF(U515&gt;0,(SUM(V515:V516))," ")</f>
        <v>1086.9565217391303</v>
      </c>
      <c r="W517" s="696"/>
      <c r="X517" s="364"/>
      <c r="Y517" s="364"/>
      <c r="Z517" s="364"/>
      <c r="AA517"/>
      <c r="AB517"/>
      <c r="AC517"/>
      <c r="AD517"/>
      <c r="AE517"/>
      <c r="AF517"/>
      <c r="AG517"/>
      <c r="AH517"/>
    </row>
    <row r="518" spans="17:34" ht="12.75" customHeight="1" thickBot="1">
      <c r="Q518" s="364"/>
      <c r="R518" s="892"/>
      <c r="S518" s="893"/>
      <c r="T518" s="893"/>
      <c r="U518" s="893"/>
      <c r="V518" s="893"/>
      <c r="W518" s="894"/>
      <c r="X518" s="364"/>
      <c r="Y518" s="364"/>
      <c r="Z518" s="364"/>
      <c r="AA518"/>
      <c r="AB518"/>
      <c r="AC518"/>
      <c r="AD518"/>
      <c r="AE518"/>
      <c r="AF518"/>
      <c r="AG518"/>
      <c r="AH518"/>
    </row>
    <row r="519" spans="17:34" ht="12.75" customHeight="1">
      <c r="Q519" s="364"/>
      <c r="R519" s="895" t="s">
        <v>886</v>
      </c>
      <c r="S519" s="896"/>
      <c r="T519" s="900" t="s">
        <v>835</v>
      </c>
      <c r="U519" s="900" t="s">
        <v>836</v>
      </c>
      <c r="V519" s="900" t="s">
        <v>837</v>
      </c>
      <c r="W519" s="902" t="s">
        <v>838</v>
      </c>
      <c r="X519" s="364"/>
      <c r="Y519" s="364"/>
      <c r="Z519" s="364"/>
      <c r="AA519"/>
      <c r="AB519"/>
      <c r="AC519"/>
      <c r="AD519"/>
      <c r="AE519"/>
      <c r="AF519"/>
      <c r="AG519"/>
      <c r="AH519"/>
    </row>
    <row r="520" spans="17:34" ht="12.75" customHeight="1">
      <c r="Q520" s="364"/>
      <c r="R520" s="892"/>
      <c r="S520" s="897"/>
      <c r="T520" s="901"/>
      <c r="U520" s="901"/>
      <c r="V520" s="901"/>
      <c r="W520" s="903"/>
      <c r="X520" s="364"/>
      <c r="Y520" s="364"/>
      <c r="Z520" s="364"/>
      <c r="AA520"/>
      <c r="AB520"/>
      <c r="AC520"/>
      <c r="AD520"/>
      <c r="AE520"/>
      <c r="AF520"/>
      <c r="AG520"/>
      <c r="AH520"/>
    </row>
    <row r="521" spans="17:34" ht="12.75" customHeight="1">
      <c r="Q521" s="364"/>
      <c r="R521" s="892"/>
      <c r="S521" s="897"/>
      <c r="T521" s="702">
        <f>T508-PPE!$I$15</f>
        <v>97.92586655636687</v>
      </c>
      <c r="U521" s="560">
        <f>U515</f>
        <v>1.7391304347826084</v>
      </c>
      <c r="V521" s="690">
        <f>IF(T521&gt;0,W521*U521," ")</f>
        <v>426.08695652173907</v>
      </c>
      <c r="W521" s="691">
        <f>IF(T521&gt;0,(VLOOKUP(T521,'Lookup Ready-reckoner'!$B$5:$E$1207,4))," ")</f>
        <v>245</v>
      </c>
      <c r="X521" s="364"/>
      <c r="Y521" s="364"/>
      <c r="Z521" s="364"/>
      <c r="AA521"/>
      <c r="AB521"/>
      <c r="AC521"/>
      <c r="AD521"/>
      <c r="AE521"/>
      <c r="AF521"/>
      <c r="AG521"/>
      <c r="AH521"/>
    </row>
    <row r="522" spans="17:34" ht="12.75" customHeight="1">
      <c r="Q522" s="364"/>
      <c r="R522" s="898"/>
      <c r="S522" s="899"/>
      <c r="T522" s="447"/>
      <c r="U522" s="560"/>
      <c r="V522" s="690" t="str">
        <f>IF(T522&gt;0,W522*U522," ")</f>
        <v xml:space="preserve"> </v>
      </c>
      <c r="W522" s="691" t="str">
        <f>IF(T522&gt;0,(VLOOKUP(T522,'Lookup Ready-reckoner'!$B$5:$E$1007,4))," ")</f>
        <v xml:space="preserve"> </v>
      </c>
      <c r="X522" s="364"/>
      <c r="Y522" s="364"/>
      <c r="Z522" s="364"/>
      <c r="AA522"/>
      <c r="AB522"/>
      <c r="AC522"/>
      <c r="AD522"/>
      <c r="AE522"/>
      <c r="AF522"/>
      <c r="AG522"/>
      <c r="AH522"/>
    </row>
    <row r="523" spans="17:34" ht="12.75" customHeight="1" thickBot="1">
      <c r="Q523" s="364"/>
      <c r="R523" s="692" t="s">
        <v>839</v>
      </c>
      <c r="S523" s="693"/>
      <c r="T523" s="693"/>
      <c r="U523" s="703">
        <f>IF(T521&gt;0,(VLOOKUP(V523,'Lookup Ready-reckoner'!$L$5:$M$1207,2))," ")</f>
        <v>91.25</v>
      </c>
      <c r="V523" s="695">
        <f>IF(U521&gt;0,(SUM(V521:V522))," ")</f>
        <v>426.08695652173907</v>
      </c>
      <c r="W523" s="696"/>
      <c r="X523" s="364"/>
      <c r="Y523" s="364"/>
      <c r="Z523" s="364"/>
      <c r="AA523"/>
      <c r="AB523"/>
      <c r="AC523"/>
      <c r="AD523"/>
      <c r="AE523"/>
      <c r="AF523"/>
      <c r="AG523"/>
      <c r="AH523"/>
    </row>
    <row r="524" spans="17:34" ht="12.75" customHeight="1">
      <c r="Q524" s="364"/>
      <c r="R524" s="363"/>
      <c r="S524" s="363"/>
      <c r="T524" s="363"/>
      <c r="U524" s="363"/>
      <c r="V524" s="363"/>
      <c r="W524" s="363"/>
      <c r="X524" s="364"/>
      <c r="Y524" s="364"/>
      <c r="Z524" s="364"/>
      <c r="AA524"/>
      <c r="AB524"/>
      <c r="AC524"/>
      <c r="AD524"/>
      <c r="AE524"/>
      <c r="AF524"/>
      <c r="AG524"/>
      <c r="AH524"/>
    </row>
    <row r="525" spans="17:34" ht="12.75" customHeight="1">
      <c r="Q525" s="364"/>
      <c r="R525" s="909" t="str">
        <f>R406</f>
        <v xml:space="preserve">Hilti TE MD20 </v>
      </c>
      <c r="S525" s="909"/>
      <c r="T525" s="909"/>
      <c r="U525" s="909"/>
      <c r="V525" s="909"/>
      <c r="W525" s="909"/>
      <c r="X525" s="364"/>
      <c r="Y525" s="364"/>
      <c r="Z525" s="364"/>
      <c r="AA525"/>
      <c r="AB525"/>
      <c r="AC525"/>
      <c r="AD525"/>
      <c r="AE525"/>
      <c r="AF525"/>
      <c r="AG525"/>
      <c r="AH525"/>
    </row>
    <row r="526" spans="17:34" ht="12.75" customHeight="1" thickBot="1">
      <c r="Q526" s="364"/>
      <c r="R526" s="910" t="s">
        <v>205</v>
      </c>
      <c r="S526" s="911"/>
      <c r="T526" s="911"/>
      <c r="U526" s="911"/>
      <c r="V526" s="911"/>
      <c r="W526" s="912"/>
      <c r="X526" s="364"/>
      <c r="Y526" s="364"/>
      <c r="Z526" s="364"/>
      <c r="AA526"/>
      <c r="AB526"/>
      <c r="AC526"/>
      <c r="AD526"/>
      <c r="AE526"/>
      <c r="AF526"/>
      <c r="AG526"/>
      <c r="AH526"/>
    </row>
    <row r="527" spans="17:34" ht="12.75" customHeight="1" thickBot="1">
      <c r="Q527" s="364"/>
      <c r="R527" s="686" t="s">
        <v>59</v>
      </c>
      <c r="S527" s="577"/>
      <c r="T527" s="687"/>
      <c r="U527" s="687"/>
      <c r="V527" s="687"/>
      <c r="W527" s="688"/>
      <c r="X527" s="364"/>
      <c r="Y527" s="364"/>
      <c r="Z527" s="364"/>
      <c r="AA527"/>
      <c r="AB527"/>
      <c r="AC527"/>
      <c r="AD527"/>
      <c r="AE527"/>
      <c r="AF527"/>
      <c r="AG527"/>
      <c r="AH527"/>
    </row>
    <row r="528" spans="17:34" ht="12.75" customHeight="1">
      <c r="Q528" s="364"/>
      <c r="R528" s="895" t="s">
        <v>845</v>
      </c>
      <c r="S528" s="896"/>
      <c r="T528" s="900" t="s">
        <v>835</v>
      </c>
      <c r="U528" s="900" t="s">
        <v>836</v>
      </c>
      <c r="V528" s="900" t="s">
        <v>837</v>
      </c>
      <c r="W528" s="902" t="s">
        <v>838</v>
      </c>
      <c r="X528" s="364"/>
      <c r="Y528" s="364"/>
      <c r="Z528" s="364"/>
      <c r="AA528"/>
      <c r="AB528"/>
      <c r="AC528"/>
      <c r="AD528"/>
      <c r="AE528"/>
      <c r="AF528"/>
      <c r="AG528"/>
      <c r="AH528"/>
    </row>
    <row r="529" spans="17:34" ht="12.75" customHeight="1">
      <c r="Q529" s="364"/>
      <c r="R529" s="892"/>
      <c r="S529" s="897"/>
      <c r="T529" s="904"/>
      <c r="U529" s="904"/>
      <c r="V529" s="904"/>
      <c r="W529" s="905"/>
      <c r="X529" s="364"/>
      <c r="Y529" s="364"/>
      <c r="Z529" s="364"/>
      <c r="AA529"/>
      <c r="AB529"/>
      <c r="AC529"/>
      <c r="AD529"/>
      <c r="AE529"/>
      <c r="AF529"/>
      <c r="AG529"/>
      <c r="AH529"/>
    </row>
    <row r="530" spans="17:34" ht="12.75" customHeight="1">
      <c r="Q530" s="364"/>
      <c r="R530" s="892"/>
      <c r="S530" s="897"/>
      <c r="T530" s="901"/>
      <c r="U530" s="901"/>
      <c r="V530" s="901"/>
      <c r="W530" s="903"/>
      <c r="X530" s="364"/>
      <c r="Y530" s="364"/>
      <c r="Z530" s="364"/>
      <c r="AA530"/>
      <c r="AB530"/>
      <c r="AC530"/>
      <c r="AD530"/>
      <c r="AE530"/>
      <c r="AF530"/>
      <c r="AG530"/>
      <c r="AH530"/>
    </row>
    <row r="531" spans="17:34" ht="12.75" customHeight="1">
      <c r="Q531" s="364"/>
      <c r="R531" s="892"/>
      <c r="S531" s="897"/>
      <c r="T531" s="704">
        <f>U76</f>
        <v>108.02059991327964</v>
      </c>
      <c r="U531" s="560">
        <f>U62</f>
        <v>2.6666666666666665</v>
      </c>
      <c r="V531" s="690">
        <f>IF(T531&gt;0,W531*U531," ")</f>
        <v>6666.6666666666661</v>
      </c>
      <c r="W531" s="691">
        <f>IF(T531&gt;0,(VLOOKUP(T531,'Lookup Ready-reckoner'!$B$5:$E$1207,4))," ")</f>
        <v>2500</v>
      </c>
      <c r="X531" s="364"/>
      <c r="Y531" s="364"/>
      <c r="Z531" s="364"/>
      <c r="AA531"/>
      <c r="AB531"/>
      <c r="AC531"/>
      <c r="AD531"/>
      <c r="AE531"/>
      <c r="AF531"/>
      <c r="AG531"/>
      <c r="AH531"/>
    </row>
    <row r="532" spans="17:34" ht="12.75" customHeight="1">
      <c r="Q532" s="364"/>
      <c r="R532" s="898"/>
      <c r="S532" s="899"/>
      <c r="T532" s="447"/>
      <c r="U532" s="560"/>
      <c r="V532" s="690" t="str">
        <f>IF(T532&gt;0,W532*U532," ")</f>
        <v xml:space="preserve"> </v>
      </c>
      <c r="W532" s="691" t="str">
        <f>IF(T532&gt;0,(VLOOKUP(T532,'Lookup Ready-reckoner'!$B$5:$E$1007,4))," ")</f>
        <v xml:space="preserve"> </v>
      </c>
      <c r="X532" s="364"/>
      <c r="Y532" s="364"/>
      <c r="Z532" s="364"/>
      <c r="AA532"/>
      <c r="AB532"/>
      <c r="AC532"/>
      <c r="AD532"/>
      <c r="AE532"/>
      <c r="AF532"/>
      <c r="AG532"/>
      <c r="AH532"/>
    </row>
    <row r="533" spans="17:34" ht="12.75" customHeight="1" thickBot="1">
      <c r="Q533" s="364"/>
      <c r="R533" s="692" t="s">
        <v>839</v>
      </c>
      <c r="S533" s="693"/>
      <c r="T533" s="693"/>
      <c r="U533" s="705">
        <f>IF(T531&gt;0,(VLOOKUP(V533,'Lookup Ready-reckoner'!$L$5:$M$1207,2))," ")</f>
        <v>103.15</v>
      </c>
      <c r="V533" s="695">
        <f>IF(U531&gt;0,(SUM(V531:V532))," ")</f>
        <v>6666.6666666666661</v>
      </c>
      <c r="W533" s="696"/>
      <c r="X533" s="364"/>
      <c r="Y533" s="364"/>
      <c r="Z533" s="364"/>
      <c r="AA533"/>
      <c r="AB533"/>
      <c r="AC533"/>
      <c r="AD533"/>
      <c r="AE533"/>
      <c r="AF533"/>
      <c r="AG533"/>
      <c r="AH533"/>
    </row>
    <row r="534" spans="17:34" ht="12.75" customHeight="1" thickBot="1">
      <c r="Q534" s="364"/>
      <c r="R534" s="906"/>
      <c r="S534" s="907"/>
      <c r="T534" s="907"/>
      <c r="U534" s="907"/>
      <c r="V534" s="907"/>
      <c r="W534" s="908"/>
      <c r="X534" s="364"/>
      <c r="Y534" s="364"/>
      <c r="Z534" s="364"/>
      <c r="AA534"/>
      <c r="AB534"/>
      <c r="AC534"/>
      <c r="AD534"/>
      <c r="AE534"/>
      <c r="AF534"/>
      <c r="AG534"/>
      <c r="AH534"/>
    </row>
    <row r="535" spans="17:34" ht="12.75" customHeight="1">
      <c r="Q535" s="364"/>
      <c r="R535" s="895" t="s">
        <v>886</v>
      </c>
      <c r="S535" s="896"/>
      <c r="T535" s="900" t="s">
        <v>835</v>
      </c>
      <c r="U535" s="900" t="s">
        <v>836</v>
      </c>
      <c r="V535" s="900" t="s">
        <v>837</v>
      </c>
      <c r="W535" s="902" t="s">
        <v>838</v>
      </c>
      <c r="X535" s="364"/>
      <c r="Y535" s="364"/>
      <c r="Z535" s="364"/>
      <c r="AA535"/>
      <c r="AB535"/>
      <c r="AC535"/>
      <c r="AD535"/>
      <c r="AE535"/>
      <c r="AF535"/>
      <c r="AG535"/>
      <c r="AH535"/>
    </row>
    <row r="536" spans="17:34" ht="12.75" customHeight="1">
      <c r="Q536" s="364"/>
      <c r="R536" s="892"/>
      <c r="S536" s="897"/>
      <c r="T536" s="901"/>
      <c r="U536" s="901"/>
      <c r="V536" s="901"/>
      <c r="W536" s="903"/>
      <c r="X536" s="364"/>
      <c r="Y536" s="364"/>
      <c r="Z536" s="364"/>
      <c r="AA536"/>
      <c r="AB536"/>
      <c r="AC536"/>
      <c r="AD536"/>
      <c r="AE536"/>
      <c r="AF536"/>
      <c r="AG536"/>
      <c r="AH536"/>
    </row>
    <row r="537" spans="17:34" ht="12.75" customHeight="1">
      <c r="Q537" s="364"/>
      <c r="R537" s="892"/>
      <c r="S537" s="897"/>
      <c r="T537" s="704">
        <f>T531*(1-0.0178*2)</f>
        <v>104.17506655636689</v>
      </c>
      <c r="U537" s="560">
        <f>U531</f>
        <v>2.6666666666666665</v>
      </c>
      <c r="V537" s="690">
        <f>IF(T537&gt;0,W537*U537," ")</f>
        <v>2766.6666666666665</v>
      </c>
      <c r="W537" s="691">
        <f>IF(T537&gt;0,(VLOOKUP(T537,'Lookup Ready-reckoner'!$B$5:$E$1207,4))," ")</f>
        <v>1037.5</v>
      </c>
      <c r="X537" s="364"/>
      <c r="Y537" s="364"/>
      <c r="Z537" s="364"/>
      <c r="AA537"/>
      <c r="AB537"/>
      <c r="AC537"/>
      <c r="AD537"/>
      <c r="AE537"/>
      <c r="AF537"/>
      <c r="AG537"/>
      <c r="AH537"/>
    </row>
    <row r="538" spans="17:34" ht="12.75" customHeight="1">
      <c r="Q538" s="364"/>
      <c r="R538" s="898"/>
      <c r="S538" s="899"/>
      <c r="T538" s="447"/>
      <c r="U538" s="560"/>
      <c r="V538" s="690" t="str">
        <f>IF(T538&gt;0,W538*U538," ")</f>
        <v xml:space="preserve"> </v>
      </c>
      <c r="W538" s="691" t="str">
        <f>IF(T538&gt;0,(VLOOKUP(T538,'Lookup Ready-reckoner'!$B$5:$E$1007,4))," ")</f>
        <v xml:space="preserve"> </v>
      </c>
      <c r="X538" s="364"/>
      <c r="Y538" s="364"/>
      <c r="Z538" s="364"/>
      <c r="AA538"/>
      <c r="AB538"/>
      <c r="AC538"/>
      <c r="AD538"/>
      <c r="AE538"/>
      <c r="AF538"/>
      <c r="AG538"/>
      <c r="AH538"/>
    </row>
    <row r="539" spans="17:34" ht="12.75" customHeight="1" thickBot="1">
      <c r="Q539" s="364"/>
      <c r="R539" s="692" t="s">
        <v>839</v>
      </c>
      <c r="S539" s="693"/>
      <c r="T539" s="693"/>
      <c r="U539" s="705">
        <f>IF(T537&gt;0,(VLOOKUP(V539,'Lookup Ready-reckoner'!$L$5:$M$1207,2))," ")</f>
        <v>99.35</v>
      </c>
      <c r="V539" s="695">
        <f>IF(U537&gt;0,(SUM(V537:V538))," ")</f>
        <v>2766.6666666666665</v>
      </c>
      <c r="W539" s="696"/>
      <c r="X539" s="364"/>
      <c r="Y539" s="364"/>
      <c r="Z539" s="364"/>
      <c r="AA539"/>
      <c r="AB539"/>
      <c r="AC539"/>
      <c r="AD539"/>
      <c r="AE539"/>
      <c r="AF539"/>
      <c r="AG539"/>
      <c r="AH539"/>
    </row>
    <row r="540" spans="17:34" ht="12.75" customHeight="1">
      <c r="Q540" s="364"/>
      <c r="R540" s="697"/>
      <c r="S540" s="687"/>
      <c r="T540" s="687"/>
      <c r="U540" s="372"/>
      <c r="V540" s="374"/>
      <c r="W540" s="688"/>
      <c r="X540" s="364"/>
      <c r="Y540" s="364"/>
      <c r="Z540" s="364"/>
      <c r="AA540"/>
      <c r="AB540"/>
      <c r="AC540"/>
      <c r="AD540"/>
      <c r="AE540"/>
      <c r="AF540"/>
      <c r="AG540"/>
      <c r="AH540"/>
    </row>
    <row r="541" spans="17:34" ht="12.75" customHeight="1" thickBot="1">
      <c r="Q541" s="364"/>
      <c r="R541" s="686" t="s">
        <v>60</v>
      </c>
      <c r="S541" s="577"/>
      <c r="T541" s="577"/>
      <c r="U541" s="577"/>
      <c r="V541" s="577"/>
      <c r="W541" s="698"/>
      <c r="X541" s="364"/>
      <c r="Y541" s="364"/>
      <c r="Z541" s="364"/>
      <c r="AA541"/>
      <c r="AB541"/>
      <c r="AC541"/>
      <c r="AD541"/>
      <c r="AE541"/>
      <c r="AF541"/>
      <c r="AG541"/>
      <c r="AH541"/>
    </row>
    <row r="542" spans="17:34" ht="12.75" customHeight="1">
      <c r="Q542" s="364"/>
      <c r="R542" s="895" t="s">
        <v>845</v>
      </c>
      <c r="S542" s="896"/>
      <c r="T542" s="900" t="s">
        <v>835</v>
      </c>
      <c r="U542" s="900" t="s">
        <v>836</v>
      </c>
      <c r="V542" s="900" t="s">
        <v>837</v>
      </c>
      <c r="W542" s="902" t="s">
        <v>838</v>
      </c>
      <c r="X542" s="364"/>
      <c r="Y542" s="364"/>
      <c r="Z542" s="364"/>
      <c r="AA542"/>
      <c r="AB542"/>
      <c r="AC542"/>
      <c r="AD542"/>
      <c r="AE542"/>
      <c r="AF542"/>
      <c r="AG542"/>
      <c r="AH542"/>
    </row>
    <row r="543" spans="17:34" ht="12.75" customHeight="1">
      <c r="Q543" s="364"/>
      <c r="R543" s="892"/>
      <c r="S543" s="897"/>
      <c r="T543" s="901"/>
      <c r="U543" s="901"/>
      <c r="V543" s="901"/>
      <c r="W543" s="903"/>
      <c r="X543" s="364"/>
      <c r="Y543" s="364"/>
      <c r="Z543" s="364"/>
      <c r="AA543"/>
      <c r="AB543"/>
      <c r="AC543"/>
      <c r="AD543"/>
      <c r="AE543"/>
      <c r="AF543"/>
      <c r="AG543"/>
      <c r="AH543"/>
    </row>
    <row r="544" spans="17:34" ht="12.75" customHeight="1">
      <c r="Q544" s="364"/>
      <c r="R544" s="892"/>
      <c r="S544" s="897"/>
      <c r="T544" s="704">
        <f>T531-PPE!$I$15</f>
        <v>95.020599913279639</v>
      </c>
      <c r="U544" s="560">
        <f>U537</f>
        <v>2.6666666666666665</v>
      </c>
      <c r="V544" s="690">
        <f>IF(T544&gt;0,W544*U544," ")</f>
        <v>333.33333333333331</v>
      </c>
      <c r="W544" s="691">
        <f>IF(T544&gt;0,(VLOOKUP(T544,'Lookup Ready-reckoner'!$B$5:$E$1207,4))," ")</f>
        <v>125</v>
      </c>
      <c r="X544" s="364"/>
      <c r="Y544" s="364"/>
      <c r="Z544" s="364"/>
      <c r="AA544"/>
      <c r="AB544"/>
      <c r="AC544"/>
      <c r="AD544"/>
      <c r="AE544"/>
      <c r="AF544"/>
      <c r="AG544"/>
      <c r="AH544"/>
    </row>
    <row r="545" spans="17:34" ht="12.75" customHeight="1">
      <c r="Q545" s="364"/>
      <c r="R545" s="898"/>
      <c r="S545" s="899"/>
      <c r="T545" s="447"/>
      <c r="U545" s="560"/>
      <c r="V545" s="690" t="str">
        <f>IF(T545&gt;0,W545*U545," ")</f>
        <v xml:space="preserve"> </v>
      </c>
      <c r="W545" s="691" t="str">
        <f>IF(T545&gt;0,(VLOOKUP(T545,'Lookup Ready-reckoner'!$B$5:$E$1007,4))," ")</f>
        <v xml:space="preserve"> </v>
      </c>
      <c r="X545" s="364"/>
      <c r="Y545" s="364"/>
      <c r="Z545" s="364"/>
      <c r="AA545"/>
      <c r="AB545"/>
      <c r="AC545"/>
      <c r="AD545"/>
      <c r="AE545"/>
      <c r="AF545"/>
      <c r="AG545"/>
      <c r="AH545"/>
    </row>
    <row r="546" spans="17:34" ht="12.75" customHeight="1" thickBot="1">
      <c r="Q546" s="364"/>
      <c r="R546" s="692" t="s">
        <v>839</v>
      </c>
      <c r="S546" s="693"/>
      <c r="T546" s="693"/>
      <c r="U546" s="705">
        <f>IF(T544&gt;0,(VLOOKUP(V546,'Lookup Ready-reckoner'!$L$5:$M$1207,2))," ")</f>
        <v>90.15</v>
      </c>
      <c r="V546" s="695">
        <f>IF(U544&gt;0,(SUM(V544:V545))," ")</f>
        <v>333.33333333333331</v>
      </c>
      <c r="W546" s="696"/>
      <c r="X546" s="364"/>
      <c r="Y546" s="364"/>
      <c r="Z546" s="364"/>
      <c r="AA546"/>
      <c r="AB546"/>
      <c r="AC546"/>
      <c r="AD546"/>
      <c r="AE546"/>
      <c r="AF546"/>
      <c r="AG546"/>
      <c r="AH546"/>
    </row>
    <row r="547" spans="17:34" ht="12.75" customHeight="1" thickBot="1">
      <c r="Q547" s="364"/>
      <c r="R547" s="892"/>
      <c r="S547" s="893"/>
      <c r="T547" s="893"/>
      <c r="U547" s="893"/>
      <c r="V547" s="893"/>
      <c r="W547" s="894"/>
      <c r="X547" s="364"/>
      <c r="Y547" s="364"/>
      <c r="Z547" s="364"/>
      <c r="AA547"/>
      <c r="AB547"/>
      <c r="AC547"/>
      <c r="AD547"/>
      <c r="AE547"/>
      <c r="AF547"/>
      <c r="AG547"/>
      <c r="AH547"/>
    </row>
    <row r="548" spans="17:34" ht="12.75" customHeight="1">
      <c r="Q548" s="364"/>
      <c r="R548" s="895" t="s">
        <v>886</v>
      </c>
      <c r="S548" s="896"/>
      <c r="T548" s="900" t="s">
        <v>835</v>
      </c>
      <c r="U548" s="900" t="s">
        <v>836</v>
      </c>
      <c r="V548" s="900" t="s">
        <v>837</v>
      </c>
      <c r="W548" s="902" t="s">
        <v>838</v>
      </c>
      <c r="X548" s="364"/>
      <c r="Y548" s="364"/>
      <c r="Z548" s="364"/>
      <c r="AA548"/>
      <c r="AB548"/>
      <c r="AC548"/>
      <c r="AD548"/>
      <c r="AE548"/>
      <c r="AF548"/>
      <c r="AG548"/>
      <c r="AH548"/>
    </row>
    <row r="549" spans="17:34" ht="12.75" customHeight="1">
      <c r="Q549" s="364"/>
      <c r="R549" s="892"/>
      <c r="S549" s="897"/>
      <c r="T549" s="901"/>
      <c r="U549" s="901"/>
      <c r="V549" s="901"/>
      <c r="W549" s="903"/>
      <c r="X549" s="364"/>
      <c r="Y549" s="364"/>
      <c r="Z549" s="364"/>
      <c r="AA549"/>
      <c r="AB549"/>
      <c r="AC549"/>
      <c r="AD549"/>
      <c r="AE549"/>
      <c r="AF549"/>
      <c r="AG549"/>
      <c r="AH549"/>
    </row>
    <row r="550" spans="17:34" ht="12.75" customHeight="1">
      <c r="Q550" s="364"/>
      <c r="R550" s="892"/>
      <c r="S550" s="897"/>
      <c r="T550" s="704">
        <f>T537-PPE!$I$15</f>
        <v>91.175066556366886</v>
      </c>
      <c r="U550" s="560">
        <f>U544</f>
        <v>2.6666666666666665</v>
      </c>
      <c r="V550" s="690">
        <f>IF(T550&gt;0,W550*U550," ")</f>
        <v>138.33333333333331</v>
      </c>
      <c r="W550" s="691">
        <f>IF(T550&gt;0,(VLOOKUP(T550,'Lookup Ready-reckoner'!$B$5:$E$1207,4))," ")</f>
        <v>51.875</v>
      </c>
      <c r="X550" s="364"/>
      <c r="Y550" s="364"/>
      <c r="Z550" s="364"/>
      <c r="AA550"/>
      <c r="AB550"/>
      <c r="AC550"/>
      <c r="AD550"/>
      <c r="AE550"/>
      <c r="AF550"/>
      <c r="AG550"/>
      <c r="AH550"/>
    </row>
    <row r="551" spans="17:34" ht="12.75" customHeight="1">
      <c r="Q551" s="364"/>
      <c r="R551" s="898"/>
      <c r="S551" s="899"/>
      <c r="T551" s="447"/>
      <c r="U551" s="560"/>
      <c r="V551" s="690" t="str">
        <f>IF(T551&gt;0,W551*U551," ")</f>
        <v xml:space="preserve"> </v>
      </c>
      <c r="W551" s="691" t="str">
        <f>IF(T551&gt;0,(VLOOKUP(T551,'Lookup Ready-reckoner'!$B$5:$E$1007,4))," ")</f>
        <v xml:space="preserve"> </v>
      </c>
      <c r="X551" s="364"/>
      <c r="Y551" s="364"/>
      <c r="Z551" s="364"/>
      <c r="AA551"/>
      <c r="AB551"/>
      <c r="AC551"/>
      <c r="AD551"/>
      <c r="AE551"/>
      <c r="AF551"/>
      <c r="AG551"/>
      <c r="AH551"/>
    </row>
    <row r="552" spans="17:34" ht="12.75" customHeight="1" thickBot="1">
      <c r="Q552" s="364"/>
      <c r="R552" s="692" t="s">
        <v>839</v>
      </c>
      <c r="S552" s="693"/>
      <c r="T552" s="693"/>
      <c r="U552" s="705">
        <f>IF(T550&gt;0,(VLOOKUP(V552,'Lookup Ready-reckoner'!$L$5:$M$1207,2))," ")</f>
        <v>86.35</v>
      </c>
      <c r="V552" s="695">
        <f>IF(U550&gt;0,(SUM(V550:V551))," ")</f>
        <v>138.33333333333331</v>
      </c>
      <c r="W552" s="696"/>
      <c r="X552" s="364"/>
      <c r="Y552" s="364"/>
      <c r="Z552" s="364"/>
      <c r="AA552"/>
      <c r="AB552"/>
      <c r="AC552"/>
      <c r="AD552"/>
      <c r="AE552"/>
      <c r="AF552"/>
      <c r="AG552"/>
      <c r="AH552"/>
    </row>
    <row r="553" spans="17:34" ht="12.75" customHeight="1">
      <c r="Q553" s="364"/>
      <c r="R553" s="364"/>
      <c r="S553" s="364"/>
      <c r="T553" s="364"/>
      <c r="U553" s="364"/>
      <c r="V553" s="364"/>
      <c r="W553" s="364"/>
      <c r="X553" s="364"/>
      <c r="Y553" s="364"/>
      <c r="Z553" s="364"/>
      <c r="AA553"/>
      <c r="AB553"/>
      <c r="AC553"/>
      <c r="AD553"/>
      <c r="AE553"/>
      <c r="AF553"/>
      <c r="AG553"/>
      <c r="AH553"/>
    </row>
    <row r="554" spans="17:34" ht="12.75" customHeight="1">
      <c r="Q554"/>
      <c r="R554"/>
      <c r="S554"/>
      <c r="T554"/>
      <c r="U554"/>
      <c r="V554"/>
      <c r="W554"/>
      <c r="X554"/>
      <c r="Y554"/>
      <c r="Z554"/>
      <c r="AA554"/>
      <c r="AB554"/>
      <c r="AC554"/>
      <c r="AD554"/>
      <c r="AE554"/>
      <c r="AF554"/>
      <c r="AG554"/>
      <c r="AH554"/>
    </row>
    <row r="555" spans="17:34" ht="12.75" customHeight="1">
      <c r="Q555"/>
      <c r="R555"/>
      <c r="S555"/>
      <c r="T555"/>
      <c r="U555"/>
      <c r="V555"/>
      <c r="W555"/>
      <c r="X555"/>
      <c r="Y555"/>
      <c r="Z555"/>
      <c r="AA555"/>
      <c r="AB555"/>
      <c r="AC555"/>
      <c r="AD555"/>
      <c r="AE555"/>
      <c r="AF555"/>
      <c r="AG555"/>
      <c r="AH555"/>
    </row>
    <row r="556" spans="17:34" ht="12.75" customHeight="1">
      <c r="Q556"/>
      <c r="R556"/>
      <c r="S556"/>
      <c r="T556"/>
      <c r="U556"/>
      <c r="V556"/>
      <c r="W556"/>
      <c r="X556"/>
      <c r="Y556"/>
      <c r="Z556"/>
      <c r="AA556"/>
      <c r="AB556"/>
      <c r="AC556"/>
      <c r="AD556"/>
      <c r="AE556"/>
      <c r="AF556"/>
      <c r="AG556"/>
      <c r="AH556"/>
    </row>
    <row r="557" spans="17:34" ht="12.75" customHeight="1">
      <c r="Q557"/>
      <c r="R557"/>
      <c r="S557"/>
      <c r="T557"/>
      <c r="U557"/>
      <c r="V557"/>
      <c r="W557"/>
      <c r="X557"/>
      <c r="Y557"/>
      <c r="Z557"/>
      <c r="AA557"/>
      <c r="AB557"/>
      <c r="AC557"/>
      <c r="AD557"/>
      <c r="AE557"/>
      <c r="AF557"/>
      <c r="AG557"/>
      <c r="AH557"/>
    </row>
    <row r="558" spans="17:34" ht="12.75" customHeight="1">
      <c r="Q558"/>
      <c r="R558"/>
      <c r="S558"/>
      <c r="T558"/>
      <c r="U558"/>
      <c r="V558"/>
      <c r="W558"/>
      <c r="X558"/>
      <c r="Y558"/>
      <c r="Z558"/>
      <c r="AA558"/>
      <c r="AB558"/>
      <c r="AC558"/>
      <c r="AD558"/>
      <c r="AE558"/>
      <c r="AF558"/>
      <c r="AG558"/>
      <c r="AH558"/>
    </row>
    <row r="559" spans="17:34" ht="12.75" customHeight="1">
      <c r="Q559"/>
      <c r="R559"/>
      <c r="S559"/>
      <c r="T559"/>
      <c r="U559"/>
      <c r="V559"/>
      <c r="W559"/>
      <c r="X559"/>
      <c r="Y559"/>
      <c r="Z559"/>
      <c r="AA559"/>
      <c r="AB559"/>
      <c r="AC559"/>
      <c r="AD559"/>
      <c r="AE559"/>
      <c r="AF559"/>
      <c r="AG559"/>
      <c r="AH559"/>
    </row>
    <row r="560" spans="17:34" ht="12.75" customHeight="1">
      <c r="Q560"/>
      <c r="R560"/>
      <c r="S560"/>
      <c r="T560"/>
      <c r="U560"/>
      <c r="V560"/>
      <c r="W560"/>
      <c r="X560"/>
      <c r="Y560"/>
      <c r="Z560"/>
      <c r="AA560"/>
      <c r="AB560"/>
      <c r="AC560"/>
      <c r="AD560"/>
      <c r="AE560"/>
      <c r="AF560"/>
      <c r="AG560"/>
      <c r="AH560"/>
    </row>
    <row r="561" spans="17:34" ht="12.75" customHeight="1">
      <c r="Q561"/>
      <c r="R561"/>
      <c r="S561"/>
      <c r="T561"/>
      <c r="U561"/>
      <c r="V561"/>
      <c r="W561"/>
      <c r="X561"/>
      <c r="Y561"/>
      <c r="Z561"/>
      <c r="AE561"/>
      <c r="AF561"/>
      <c r="AG561"/>
      <c r="AH561"/>
    </row>
    <row r="562" spans="17:34" ht="12.75" customHeight="1">
      <c r="Q562"/>
      <c r="R562"/>
      <c r="S562"/>
      <c r="T562"/>
      <c r="U562"/>
      <c r="V562"/>
      <c r="W562"/>
      <c r="X562"/>
      <c r="Y562"/>
      <c r="Z562"/>
      <c r="AE562"/>
      <c r="AF562"/>
      <c r="AG562"/>
      <c r="AH562"/>
    </row>
    <row r="563" spans="17:34" ht="12.75" customHeight="1">
      <c r="Q563"/>
      <c r="R563"/>
      <c r="S563"/>
      <c r="T563"/>
      <c r="U563"/>
      <c r="V563"/>
      <c r="W563"/>
      <c r="X563"/>
      <c r="Y563"/>
      <c r="Z563"/>
      <c r="AE563"/>
      <c r="AF563"/>
      <c r="AG563"/>
      <c r="AH563"/>
    </row>
    <row r="564" spans="17:34" ht="12.75" customHeight="1">
      <c r="Q564"/>
      <c r="R564"/>
      <c r="S564"/>
      <c r="T564"/>
      <c r="U564"/>
      <c r="V564"/>
      <c r="W564"/>
      <c r="X564"/>
      <c r="Y564"/>
      <c r="Z564"/>
      <c r="AE564"/>
      <c r="AF564"/>
      <c r="AG564"/>
      <c r="AH564"/>
    </row>
    <row r="565" spans="17:34" ht="12.75" customHeight="1">
      <c r="Q565"/>
      <c r="R565"/>
      <c r="S565"/>
      <c r="T565"/>
      <c r="U565"/>
      <c r="V565"/>
      <c r="W565"/>
      <c r="X565"/>
      <c r="Y565"/>
      <c r="Z565"/>
      <c r="AE565"/>
      <c r="AF565"/>
      <c r="AG565"/>
      <c r="AH565"/>
    </row>
    <row r="566" spans="17:34" ht="12.75" customHeight="1">
      <c r="Q566"/>
      <c r="R566"/>
      <c r="S566"/>
      <c r="T566"/>
      <c r="U566"/>
      <c r="V566"/>
      <c r="W566"/>
      <c r="X566"/>
      <c r="Y566"/>
      <c r="Z566"/>
      <c r="AE566"/>
      <c r="AF566"/>
      <c r="AG566"/>
      <c r="AH566"/>
    </row>
    <row r="567" spans="17:34" ht="12.75" customHeight="1">
      <c r="Q567"/>
      <c r="R567"/>
      <c r="S567"/>
      <c r="T567"/>
      <c r="U567"/>
      <c r="V567"/>
      <c r="W567"/>
      <c r="X567"/>
      <c r="Y567"/>
      <c r="Z567"/>
      <c r="AE567"/>
      <c r="AF567"/>
      <c r="AG567"/>
      <c r="AH567"/>
    </row>
    <row r="568" spans="17:34" ht="12.75" customHeight="1">
      <c r="Q568"/>
      <c r="R568"/>
      <c r="S568"/>
      <c r="T568"/>
      <c r="U568"/>
      <c r="V568"/>
      <c r="W568"/>
      <c r="X568"/>
      <c r="Y568"/>
      <c r="Z568"/>
      <c r="AE568"/>
      <c r="AF568"/>
      <c r="AG568"/>
      <c r="AH568"/>
    </row>
    <row r="569" spans="17:34" ht="12.75" customHeight="1">
      <c r="Q569"/>
      <c r="R569"/>
      <c r="S569"/>
      <c r="T569"/>
      <c r="U569"/>
      <c r="V569"/>
      <c r="W569"/>
      <c r="X569"/>
      <c r="Y569"/>
      <c r="Z569"/>
      <c r="AE569"/>
      <c r="AF569"/>
      <c r="AG569"/>
      <c r="AH569"/>
    </row>
    <row r="570" spans="17:34" ht="12.75" customHeight="1">
      <c r="Q570"/>
      <c r="R570"/>
      <c r="S570"/>
      <c r="T570"/>
      <c r="U570"/>
      <c r="V570"/>
      <c r="W570"/>
      <c r="X570"/>
      <c r="Y570"/>
      <c r="Z570"/>
      <c r="AE570"/>
      <c r="AF570"/>
      <c r="AG570"/>
      <c r="AH570"/>
    </row>
    <row r="571" spans="17:34" ht="12.75" customHeight="1">
      <c r="Q571"/>
      <c r="R571"/>
      <c r="S571"/>
      <c r="T571"/>
      <c r="U571"/>
      <c r="V571"/>
      <c r="W571"/>
      <c r="X571"/>
      <c r="Y571"/>
      <c r="Z571"/>
      <c r="AE571"/>
      <c r="AF571"/>
      <c r="AG571"/>
      <c r="AH571"/>
    </row>
    <row r="572" spans="17:34" ht="12.75" customHeight="1">
      <c r="Q572"/>
      <c r="R572"/>
      <c r="S572"/>
      <c r="T572"/>
      <c r="U572"/>
      <c r="V572"/>
      <c r="W572"/>
      <c r="X572"/>
      <c r="Y572"/>
      <c r="Z572"/>
      <c r="AA572"/>
      <c r="AB572"/>
      <c r="AC572"/>
      <c r="AD572"/>
      <c r="AE572"/>
      <c r="AF572"/>
      <c r="AG572"/>
      <c r="AH572"/>
    </row>
    <row r="573" spans="17:34" ht="12.75" customHeight="1">
      <c r="Q573"/>
      <c r="R573"/>
      <c r="S573"/>
      <c r="T573"/>
      <c r="U573"/>
      <c r="V573"/>
      <c r="W573"/>
      <c r="X573"/>
      <c r="Y573"/>
      <c r="Z573"/>
      <c r="AA573"/>
      <c r="AB573"/>
      <c r="AC573"/>
      <c r="AD573"/>
      <c r="AE573"/>
      <c r="AF573"/>
      <c r="AG573"/>
      <c r="AH573"/>
    </row>
    <row r="574" spans="17:34" ht="12.75" customHeight="1">
      <c r="Q574"/>
      <c r="R574"/>
      <c r="S574"/>
      <c r="T574"/>
      <c r="U574"/>
      <c r="V574"/>
      <c r="W574"/>
      <c r="X574"/>
      <c r="Y574"/>
      <c r="Z574"/>
      <c r="AA574"/>
      <c r="AB574"/>
      <c r="AC574"/>
      <c r="AD574"/>
      <c r="AE574"/>
      <c r="AF574"/>
      <c r="AG574"/>
      <c r="AH574"/>
    </row>
    <row r="575" spans="17:34" ht="12.75" customHeight="1">
      <c r="Q575"/>
      <c r="R575"/>
      <c r="S575"/>
      <c r="T575"/>
      <c r="U575"/>
      <c r="V575"/>
      <c r="W575"/>
      <c r="X575"/>
      <c r="Y575"/>
      <c r="Z575"/>
      <c r="AA575"/>
      <c r="AB575"/>
      <c r="AC575"/>
      <c r="AD575"/>
      <c r="AE575"/>
      <c r="AF575"/>
      <c r="AG575"/>
      <c r="AH575"/>
    </row>
    <row r="576" spans="17:34" ht="12.75" customHeight="1">
      <c r="Q576"/>
      <c r="R576"/>
      <c r="S576"/>
      <c r="T576"/>
      <c r="U576"/>
      <c r="V576"/>
      <c r="W576"/>
      <c r="X576"/>
      <c r="Y576"/>
      <c r="Z576"/>
      <c r="AA576"/>
      <c r="AB576"/>
      <c r="AC576"/>
      <c r="AD576"/>
      <c r="AE576"/>
      <c r="AF576"/>
      <c r="AG576"/>
      <c r="AH576"/>
    </row>
    <row r="577" spans="17:34" ht="12.75" customHeight="1">
      <c r="Q577"/>
      <c r="R577"/>
      <c r="S577"/>
      <c r="T577"/>
      <c r="U577"/>
      <c r="V577"/>
      <c r="W577"/>
      <c r="X577"/>
      <c r="Y577"/>
      <c r="Z577"/>
      <c r="AA577"/>
      <c r="AB577"/>
      <c r="AC577"/>
      <c r="AD577"/>
      <c r="AE577"/>
      <c r="AF577"/>
      <c r="AG577"/>
      <c r="AH577"/>
    </row>
    <row r="578" spans="17:34" ht="12.75" customHeight="1">
      <c r="Q578"/>
      <c r="R578"/>
      <c r="S578"/>
      <c r="T578"/>
      <c r="U578"/>
      <c r="V578"/>
      <c r="W578"/>
      <c r="X578"/>
      <c r="Y578"/>
      <c r="Z578"/>
      <c r="AA578"/>
      <c r="AB578"/>
      <c r="AC578"/>
      <c r="AD578"/>
      <c r="AE578"/>
      <c r="AF578"/>
      <c r="AG578"/>
      <c r="AH578"/>
    </row>
    <row r="579" spans="17:34" ht="12.75" customHeight="1">
      <c r="Q579"/>
      <c r="R579"/>
      <c r="S579"/>
      <c r="T579"/>
      <c r="U579"/>
      <c r="V579"/>
      <c r="W579"/>
      <c r="X579"/>
      <c r="Y579"/>
      <c r="Z579"/>
      <c r="AA579"/>
      <c r="AB579"/>
      <c r="AC579"/>
      <c r="AD579"/>
      <c r="AE579"/>
      <c r="AF579"/>
      <c r="AG579"/>
      <c r="AH579"/>
    </row>
    <row r="580" spans="17:34" ht="12.75" customHeight="1">
      <c r="Q580"/>
      <c r="R580"/>
      <c r="S580"/>
      <c r="T580"/>
      <c r="U580"/>
      <c r="V580"/>
      <c r="W580"/>
      <c r="X580"/>
      <c r="Y580"/>
      <c r="Z580"/>
      <c r="AA580"/>
      <c r="AB580"/>
      <c r="AC580"/>
      <c r="AD580"/>
      <c r="AE580"/>
      <c r="AF580"/>
      <c r="AG580"/>
      <c r="AH580"/>
    </row>
    <row r="581" spans="17:34" ht="12.75" customHeight="1">
      <c r="Q581"/>
      <c r="R581"/>
      <c r="S581"/>
      <c r="T581"/>
      <c r="U581"/>
      <c r="V581"/>
      <c r="W581"/>
      <c r="X581"/>
      <c r="Y581"/>
      <c r="Z581"/>
      <c r="AA581"/>
      <c r="AB581"/>
      <c r="AC581"/>
      <c r="AD581"/>
      <c r="AE581"/>
      <c r="AF581"/>
      <c r="AG581"/>
      <c r="AH581"/>
    </row>
    <row r="582" spans="17:34" ht="12.75" customHeight="1">
      <c r="Q582"/>
      <c r="R582"/>
      <c r="S582"/>
      <c r="T582"/>
      <c r="U582"/>
      <c r="V582"/>
      <c r="W582"/>
      <c r="X582"/>
      <c r="Y582"/>
      <c r="Z582"/>
      <c r="AA582"/>
      <c r="AB582"/>
      <c r="AC582"/>
      <c r="AD582"/>
      <c r="AE582"/>
      <c r="AF582"/>
      <c r="AG582"/>
      <c r="AH582"/>
    </row>
    <row r="583" spans="17:34" ht="12.75" customHeight="1">
      <c r="Q583"/>
      <c r="R583"/>
      <c r="S583"/>
      <c r="T583"/>
      <c r="U583"/>
      <c r="V583"/>
      <c r="W583"/>
      <c r="X583"/>
      <c r="Y583"/>
      <c r="Z583"/>
      <c r="AA583"/>
      <c r="AB583"/>
      <c r="AC583"/>
      <c r="AD583"/>
      <c r="AE583"/>
      <c r="AF583"/>
      <c r="AG583"/>
      <c r="AH583"/>
    </row>
    <row r="584" spans="17:34" ht="12.75" customHeight="1">
      <c r="Q584"/>
      <c r="R584"/>
      <c r="S584"/>
      <c r="T584"/>
      <c r="U584"/>
      <c r="V584"/>
      <c r="W584"/>
      <c r="X584"/>
      <c r="Y584"/>
      <c r="Z584"/>
      <c r="AA584"/>
      <c r="AB584"/>
      <c r="AC584"/>
      <c r="AD584"/>
      <c r="AE584"/>
      <c r="AF584"/>
      <c r="AG584"/>
      <c r="AH584"/>
    </row>
    <row r="585" spans="17:34" ht="12.75" customHeight="1">
      <c r="Q585"/>
      <c r="R585"/>
      <c r="S585"/>
      <c r="T585"/>
      <c r="U585"/>
      <c r="V585"/>
      <c r="W585"/>
      <c r="X585"/>
      <c r="Y585"/>
      <c r="Z585"/>
      <c r="AA585"/>
      <c r="AB585"/>
      <c r="AC585"/>
      <c r="AD585"/>
      <c r="AE585"/>
      <c r="AF585"/>
      <c r="AG585"/>
      <c r="AH585"/>
    </row>
    <row r="586" spans="17:34" ht="12.75" customHeight="1">
      <c r="Q586"/>
      <c r="R586"/>
      <c r="S586"/>
      <c r="T586"/>
      <c r="U586"/>
      <c r="V586"/>
      <c r="W586"/>
      <c r="X586"/>
      <c r="Y586"/>
      <c r="Z586"/>
      <c r="AA586"/>
      <c r="AB586"/>
      <c r="AC586"/>
      <c r="AD586"/>
      <c r="AE586"/>
      <c r="AF586"/>
      <c r="AG586"/>
      <c r="AH586"/>
    </row>
    <row r="587" spans="17:34" ht="12.75" customHeight="1">
      <c r="Q587"/>
      <c r="R587"/>
      <c r="S587"/>
      <c r="T587"/>
      <c r="U587"/>
      <c r="V587"/>
      <c r="W587"/>
      <c r="X587"/>
      <c r="Y587"/>
      <c r="Z587"/>
      <c r="AA587"/>
      <c r="AB587"/>
      <c r="AC587"/>
      <c r="AD587"/>
      <c r="AE587"/>
      <c r="AF587"/>
      <c r="AG587"/>
      <c r="AH587"/>
    </row>
    <row r="588" spans="17:34" ht="12.75" customHeight="1">
      <c r="Q588"/>
      <c r="R588"/>
      <c r="S588"/>
      <c r="T588"/>
      <c r="U588"/>
      <c r="V588"/>
      <c r="W588"/>
      <c r="X588"/>
      <c r="Y588"/>
      <c r="Z588"/>
      <c r="AA588"/>
      <c r="AB588"/>
      <c r="AC588"/>
      <c r="AD588"/>
      <c r="AE588"/>
      <c r="AF588"/>
      <c r="AG588"/>
      <c r="AH588"/>
    </row>
    <row r="589" spans="17:34" ht="12.75" customHeight="1">
      <c r="Q589"/>
      <c r="R589"/>
      <c r="S589"/>
      <c r="T589"/>
      <c r="U589"/>
      <c r="V589"/>
      <c r="W589"/>
      <c r="X589"/>
      <c r="Y589"/>
      <c r="Z589"/>
      <c r="AA589"/>
      <c r="AB589"/>
      <c r="AC589"/>
      <c r="AD589"/>
      <c r="AE589"/>
      <c r="AF589"/>
      <c r="AG589"/>
      <c r="AH589"/>
    </row>
    <row r="590" spans="17:34" ht="12.75" customHeight="1">
      <c r="Q590"/>
      <c r="R590"/>
      <c r="S590"/>
      <c r="T590"/>
      <c r="U590"/>
      <c r="V590"/>
      <c r="W590"/>
      <c r="X590"/>
      <c r="Y590"/>
      <c r="Z590"/>
      <c r="AA590"/>
      <c r="AB590"/>
      <c r="AC590"/>
      <c r="AD590"/>
      <c r="AE590"/>
      <c r="AF590"/>
      <c r="AG590"/>
      <c r="AH590"/>
    </row>
    <row r="591" spans="17:34" ht="12.75" customHeight="1">
      <c r="Q591"/>
      <c r="R591"/>
      <c r="S591"/>
      <c r="T591"/>
      <c r="U591"/>
      <c r="V591"/>
      <c r="W591"/>
      <c r="X591"/>
      <c r="Y591"/>
      <c r="Z591"/>
      <c r="AA591"/>
      <c r="AB591"/>
      <c r="AC591"/>
      <c r="AD591"/>
      <c r="AE591"/>
      <c r="AF591"/>
      <c r="AG591"/>
      <c r="AH591"/>
    </row>
    <row r="592" spans="17:34" ht="12.75" customHeight="1">
      <c r="Q592"/>
      <c r="R592"/>
      <c r="S592"/>
      <c r="T592"/>
      <c r="U592"/>
      <c r="V592"/>
      <c r="W592"/>
      <c r="X592"/>
      <c r="Y592"/>
      <c r="Z592"/>
      <c r="AA592"/>
      <c r="AB592"/>
      <c r="AC592"/>
      <c r="AD592"/>
      <c r="AE592"/>
      <c r="AF592"/>
      <c r="AG592"/>
      <c r="AH592"/>
    </row>
    <row r="593" spans="17:34" ht="12.75" customHeight="1">
      <c r="Q593"/>
      <c r="R593"/>
      <c r="S593"/>
      <c r="T593"/>
      <c r="U593"/>
      <c r="V593"/>
      <c r="W593"/>
      <c r="X593"/>
      <c r="Y593"/>
      <c r="Z593"/>
      <c r="AA593"/>
      <c r="AB593"/>
      <c r="AC593"/>
      <c r="AD593"/>
      <c r="AE593"/>
      <c r="AF593"/>
      <c r="AG593"/>
      <c r="AH593"/>
    </row>
    <row r="594" spans="17:34" ht="12.75" customHeight="1">
      <c r="Q594"/>
      <c r="R594"/>
      <c r="S594"/>
      <c r="T594"/>
      <c r="U594"/>
      <c r="V594"/>
      <c r="W594"/>
      <c r="X594"/>
      <c r="Y594"/>
      <c r="Z594"/>
      <c r="AA594"/>
      <c r="AB594"/>
      <c r="AC594"/>
      <c r="AD594"/>
      <c r="AE594"/>
      <c r="AF594"/>
      <c r="AG594"/>
      <c r="AH594"/>
    </row>
    <row r="595" spans="17:34" ht="12.75" customHeight="1">
      <c r="Q595"/>
      <c r="R595"/>
      <c r="S595"/>
      <c r="T595"/>
      <c r="U595"/>
      <c r="V595"/>
      <c r="W595"/>
      <c r="X595"/>
      <c r="Y595"/>
      <c r="Z595"/>
      <c r="AA595"/>
      <c r="AB595"/>
      <c r="AC595"/>
      <c r="AD595"/>
      <c r="AE595"/>
      <c r="AF595"/>
      <c r="AG595"/>
      <c r="AH595"/>
    </row>
    <row r="596" spans="17:34" ht="12.75" customHeight="1">
      <c r="Q596"/>
      <c r="R596"/>
      <c r="S596"/>
      <c r="T596"/>
      <c r="U596"/>
      <c r="V596"/>
      <c r="W596"/>
      <c r="X596"/>
      <c r="Y596"/>
      <c r="Z596"/>
      <c r="AA596"/>
      <c r="AB596"/>
      <c r="AC596"/>
      <c r="AD596"/>
      <c r="AE596"/>
      <c r="AF596"/>
      <c r="AG596"/>
      <c r="AH596"/>
    </row>
    <row r="597" spans="17:34" ht="12.75" customHeight="1">
      <c r="Q597"/>
      <c r="R597"/>
      <c r="S597"/>
      <c r="T597"/>
      <c r="U597"/>
      <c r="V597"/>
      <c r="W597"/>
      <c r="X597"/>
      <c r="Y597"/>
      <c r="Z597"/>
      <c r="AA597"/>
      <c r="AB597"/>
      <c r="AC597"/>
      <c r="AD597"/>
      <c r="AE597"/>
      <c r="AF597"/>
      <c r="AG597"/>
      <c r="AH597"/>
    </row>
    <row r="598" spans="17:34" ht="12.75" customHeight="1">
      <c r="Q598"/>
      <c r="R598"/>
      <c r="S598"/>
      <c r="T598"/>
      <c r="U598"/>
      <c r="V598"/>
      <c r="W598"/>
      <c r="X598"/>
      <c r="Y598"/>
      <c r="Z598"/>
      <c r="AA598"/>
      <c r="AB598"/>
      <c r="AC598"/>
      <c r="AD598"/>
      <c r="AE598"/>
      <c r="AF598"/>
      <c r="AG598"/>
      <c r="AH598"/>
    </row>
    <row r="599" spans="17:34" ht="12.75" customHeight="1">
      <c r="Q599"/>
      <c r="R599"/>
      <c r="S599"/>
      <c r="T599"/>
      <c r="U599"/>
      <c r="V599"/>
      <c r="W599"/>
      <c r="X599"/>
      <c r="Y599"/>
      <c r="Z599"/>
      <c r="AA599"/>
      <c r="AB599"/>
      <c r="AC599"/>
      <c r="AD599"/>
      <c r="AE599"/>
      <c r="AF599"/>
      <c r="AG599"/>
      <c r="AH599"/>
    </row>
    <row r="600" spans="17:34" ht="12.75" customHeight="1">
      <c r="Q600"/>
      <c r="R600"/>
      <c r="S600"/>
      <c r="T600"/>
      <c r="U600"/>
      <c r="V600"/>
      <c r="W600"/>
      <c r="X600"/>
      <c r="Y600"/>
      <c r="Z600"/>
      <c r="AA600"/>
      <c r="AB600"/>
      <c r="AC600"/>
      <c r="AD600"/>
      <c r="AE600"/>
      <c r="AF600"/>
      <c r="AG600"/>
      <c r="AH600"/>
    </row>
    <row r="601" spans="17:34" ht="12.75" customHeight="1">
      <c r="Q601"/>
      <c r="R601"/>
      <c r="S601"/>
      <c r="T601"/>
      <c r="U601"/>
      <c r="V601"/>
      <c r="W601"/>
      <c r="X601"/>
      <c r="Y601"/>
      <c r="Z601"/>
      <c r="AA601"/>
      <c r="AB601"/>
      <c r="AC601"/>
      <c r="AD601"/>
      <c r="AE601"/>
      <c r="AF601"/>
      <c r="AG601"/>
      <c r="AH601"/>
    </row>
    <row r="602" spans="17:34" ht="12.75" customHeight="1">
      <c r="Q602"/>
      <c r="R602"/>
      <c r="S602"/>
      <c r="T602"/>
      <c r="U602"/>
      <c r="V602"/>
      <c r="W602"/>
      <c r="X602"/>
      <c r="Y602"/>
      <c r="Z602"/>
      <c r="AA602"/>
      <c r="AB602"/>
      <c r="AC602"/>
      <c r="AD602"/>
      <c r="AE602"/>
      <c r="AF602"/>
      <c r="AG602"/>
      <c r="AH602"/>
    </row>
    <row r="603" spans="17:34" ht="12.75" customHeight="1">
      <c r="Q603"/>
      <c r="R603"/>
      <c r="S603"/>
      <c r="T603"/>
      <c r="U603"/>
      <c r="V603"/>
      <c r="W603"/>
      <c r="X603"/>
      <c r="Y603"/>
      <c r="Z603"/>
      <c r="AA603"/>
      <c r="AB603"/>
      <c r="AC603"/>
      <c r="AD603"/>
      <c r="AE603"/>
      <c r="AF603"/>
      <c r="AG603"/>
      <c r="AH603"/>
    </row>
    <row r="604" spans="17:34" ht="12.75" customHeight="1">
      <c r="Q604"/>
      <c r="R604"/>
      <c r="S604"/>
      <c r="T604"/>
      <c r="U604"/>
      <c r="V604"/>
      <c r="W604"/>
      <c r="X604"/>
      <c r="Y604"/>
      <c r="Z604"/>
      <c r="AA604"/>
      <c r="AB604"/>
      <c r="AC604"/>
      <c r="AD604"/>
      <c r="AE604"/>
      <c r="AF604"/>
      <c r="AG604"/>
      <c r="AH604"/>
    </row>
    <row r="605" spans="17:34" ht="12.75" customHeight="1">
      <c r="Q605"/>
      <c r="R605"/>
      <c r="S605"/>
      <c r="T605"/>
      <c r="U605"/>
      <c r="V605"/>
      <c r="W605"/>
      <c r="X605"/>
      <c r="Y605"/>
      <c r="Z605"/>
      <c r="AA605"/>
      <c r="AB605"/>
      <c r="AC605"/>
      <c r="AD605"/>
      <c r="AE605"/>
      <c r="AF605"/>
      <c r="AG605"/>
      <c r="AH605"/>
    </row>
    <row r="606" spans="17:34" ht="12.75" customHeight="1">
      <c r="Q606"/>
      <c r="R606"/>
      <c r="S606"/>
      <c r="T606"/>
      <c r="U606"/>
      <c r="V606"/>
      <c r="W606"/>
      <c r="X606"/>
      <c r="Y606"/>
      <c r="Z606"/>
      <c r="AA606"/>
      <c r="AB606"/>
      <c r="AC606"/>
      <c r="AD606"/>
      <c r="AE606"/>
      <c r="AF606"/>
      <c r="AG606"/>
      <c r="AH606"/>
    </row>
    <row r="607" spans="17:34" ht="12.75" customHeight="1">
      <c r="Q607"/>
      <c r="R607"/>
      <c r="S607"/>
      <c r="T607"/>
      <c r="U607"/>
      <c r="V607"/>
      <c r="W607"/>
      <c r="X607"/>
      <c r="Y607"/>
      <c r="Z607"/>
      <c r="AA607"/>
      <c r="AB607"/>
      <c r="AC607"/>
      <c r="AD607"/>
      <c r="AE607"/>
      <c r="AF607"/>
      <c r="AG607"/>
      <c r="AH607"/>
    </row>
    <row r="608" spans="17:34" ht="12.75" customHeight="1">
      <c r="Q608"/>
      <c r="R608"/>
      <c r="S608"/>
      <c r="T608"/>
      <c r="U608"/>
      <c r="V608"/>
      <c r="W608"/>
      <c r="X608"/>
      <c r="Y608"/>
      <c r="Z608"/>
      <c r="AA608"/>
      <c r="AB608"/>
      <c r="AC608"/>
      <c r="AD608"/>
      <c r="AE608"/>
      <c r="AF608"/>
      <c r="AG608"/>
      <c r="AH608"/>
    </row>
    <row r="609" spans="17:34" ht="12.75" customHeight="1">
      <c r="Q609"/>
      <c r="R609"/>
      <c r="S609"/>
      <c r="T609"/>
      <c r="U609"/>
      <c r="V609"/>
      <c r="W609"/>
      <c r="X609"/>
      <c r="Y609"/>
      <c r="Z609"/>
      <c r="AA609"/>
      <c r="AB609"/>
      <c r="AC609"/>
      <c r="AD609"/>
      <c r="AE609"/>
      <c r="AF609"/>
      <c r="AG609"/>
      <c r="AH609"/>
    </row>
    <row r="610" spans="17:34" ht="12.75" customHeight="1">
      <c r="Q610"/>
      <c r="R610"/>
      <c r="S610"/>
      <c r="T610"/>
      <c r="U610"/>
      <c r="V610"/>
      <c r="W610"/>
      <c r="X610"/>
      <c r="Y610"/>
      <c r="Z610"/>
      <c r="AA610"/>
      <c r="AB610"/>
      <c r="AC610"/>
      <c r="AD610"/>
      <c r="AE610"/>
      <c r="AF610"/>
      <c r="AG610"/>
      <c r="AH610"/>
    </row>
    <row r="611" spans="17:34" ht="12.75" customHeight="1">
      <c r="Q611"/>
      <c r="R611"/>
      <c r="S611"/>
      <c r="T611"/>
      <c r="U611"/>
      <c r="V611"/>
      <c r="W611"/>
      <c r="X611"/>
      <c r="Y611"/>
      <c r="Z611"/>
      <c r="AA611"/>
      <c r="AB611"/>
      <c r="AC611"/>
      <c r="AD611"/>
      <c r="AE611"/>
      <c r="AF611"/>
      <c r="AG611"/>
      <c r="AH611"/>
    </row>
    <row r="612" spans="17:34" ht="12.75" customHeight="1">
      <c r="Q612"/>
      <c r="R612"/>
      <c r="S612"/>
      <c r="T612"/>
      <c r="U612"/>
      <c r="V612"/>
      <c r="W612"/>
      <c r="X612"/>
      <c r="Y612"/>
      <c r="Z612"/>
      <c r="AA612"/>
      <c r="AB612"/>
      <c r="AC612"/>
      <c r="AD612"/>
      <c r="AE612"/>
      <c r="AF612"/>
      <c r="AG612"/>
      <c r="AH612"/>
    </row>
    <row r="613" spans="17:34" ht="12.75" customHeight="1">
      <c r="Q613"/>
      <c r="R613"/>
      <c r="S613"/>
      <c r="T613"/>
      <c r="U613"/>
      <c r="V613"/>
      <c r="W613"/>
      <c r="X613"/>
      <c r="Y613"/>
      <c r="Z613"/>
      <c r="AA613"/>
      <c r="AB613"/>
      <c r="AC613"/>
      <c r="AD613"/>
      <c r="AE613"/>
      <c r="AF613"/>
      <c r="AG613"/>
      <c r="AH613"/>
    </row>
    <row r="614" spans="17:34" ht="12.75" customHeight="1">
      <c r="Q614"/>
      <c r="R614"/>
      <c r="S614"/>
      <c r="T614"/>
      <c r="U614"/>
      <c r="V614"/>
      <c r="W614"/>
      <c r="X614"/>
      <c r="Y614"/>
      <c r="Z614"/>
      <c r="AA614"/>
      <c r="AB614"/>
      <c r="AC614"/>
      <c r="AD614"/>
      <c r="AE614"/>
      <c r="AF614"/>
      <c r="AG614"/>
      <c r="AH614"/>
    </row>
    <row r="615" spans="17:34" ht="12.75" customHeight="1">
      <c r="Q615"/>
      <c r="R615"/>
      <c r="S615"/>
      <c r="T615"/>
      <c r="U615"/>
      <c r="V615"/>
      <c r="W615"/>
      <c r="X615"/>
      <c r="Y615"/>
      <c r="Z615"/>
      <c r="AA615"/>
      <c r="AB615"/>
      <c r="AC615"/>
      <c r="AD615"/>
      <c r="AE615"/>
      <c r="AF615"/>
      <c r="AG615"/>
      <c r="AH615"/>
    </row>
    <row r="616" spans="17:34" ht="12.75" customHeight="1">
      <c r="Q616"/>
      <c r="R616"/>
      <c r="S616"/>
      <c r="T616"/>
      <c r="U616"/>
      <c r="V616"/>
      <c r="W616"/>
      <c r="X616"/>
      <c r="Y616"/>
      <c r="Z616"/>
      <c r="AA616"/>
      <c r="AB616"/>
      <c r="AC616"/>
      <c r="AD616"/>
      <c r="AE616"/>
      <c r="AF616"/>
      <c r="AG616"/>
      <c r="AH616"/>
    </row>
    <row r="617" spans="17:34" ht="12.75" customHeight="1">
      <c r="Q617"/>
      <c r="R617"/>
      <c r="S617"/>
      <c r="T617"/>
      <c r="U617"/>
      <c r="V617"/>
      <c r="W617"/>
      <c r="X617"/>
      <c r="Y617"/>
      <c r="Z617"/>
      <c r="AA617"/>
      <c r="AB617"/>
      <c r="AC617"/>
      <c r="AD617"/>
      <c r="AE617"/>
      <c r="AF617"/>
      <c r="AG617"/>
      <c r="AH617"/>
    </row>
    <row r="618" spans="17:34" ht="12.75" customHeight="1">
      <c r="Q618"/>
      <c r="R618"/>
      <c r="S618"/>
      <c r="T618"/>
      <c r="U618"/>
      <c r="V618"/>
      <c r="W618"/>
      <c r="X618"/>
      <c r="Y618"/>
      <c r="Z618"/>
      <c r="AA618"/>
      <c r="AB618"/>
      <c r="AC618"/>
      <c r="AD618"/>
      <c r="AE618"/>
      <c r="AF618"/>
      <c r="AG618"/>
      <c r="AH618"/>
    </row>
    <row r="619" spans="17:34" ht="12.75" customHeight="1">
      <c r="Q619"/>
      <c r="R619"/>
      <c r="S619"/>
      <c r="T619"/>
      <c r="U619"/>
      <c r="V619"/>
      <c r="W619"/>
      <c r="X619"/>
      <c r="Y619"/>
      <c r="Z619"/>
      <c r="AA619"/>
      <c r="AB619"/>
      <c r="AC619"/>
      <c r="AD619"/>
      <c r="AE619"/>
      <c r="AF619"/>
      <c r="AG619"/>
      <c r="AH619"/>
    </row>
    <row r="620" spans="17:34" ht="12.75" customHeight="1">
      <c r="Q620"/>
      <c r="R620"/>
      <c r="S620"/>
      <c r="T620"/>
      <c r="U620"/>
      <c r="V620"/>
      <c r="W620"/>
      <c r="X620"/>
      <c r="Y620"/>
      <c r="Z620"/>
      <c r="AA620"/>
      <c r="AB620"/>
      <c r="AC620"/>
      <c r="AD620"/>
      <c r="AE620"/>
      <c r="AF620"/>
      <c r="AG620"/>
      <c r="AH620"/>
    </row>
    <row r="621" spans="17:34" ht="12.75" customHeight="1">
      <c r="Q621"/>
      <c r="R621"/>
      <c r="S621"/>
      <c r="T621"/>
      <c r="U621"/>
      <c r="V621"/>
      <c r="W621"/>
      <c r="X621"/>
      <c r="Y621"/>
      <c r="Z621"/>
      <c r="AA621"/>
      <c r="AB621"/>
      <c r="AC621"/>
      <c r="AD621"/>
      <c r="AE621"/>
      <c r="AF621"/>
      <c r="AG621"/>
      <c r="AH621"/>
    </row>
    <row r="622" spans="17:34" ht="12.75" customHeight="1">
      <c r="Q622"/>
      <c r="R622"/>
      <c r="S622"/>
      <c r="T622"/>
      <c r="U622"/>
      <c r="V622"/>
      <c r="W622"/>
      <c r="X622"/>
      <c r="Y622"/>
      <c r="Z622"/>
      <c r="AA622"/>
      <c r="AB622"/>
      <c r="AC622"/>
      <c r="AD622"/>
      <c r="AE622"/>
      <c r="AF622"/>
      <c r="AG622"/>
      <c r="AH622"/>
    </row>
    <row r="623" spans="17:34" ht="12.75" customHeight="1">
      <c r="Q623"/>
      <c r="R623"/>
      <c r="S623"/>
      <c r="T623"/>
      <c r="U623"/>
      <c r="V623"/>
      <c r="W623"/>
      <c r="X623"/>
      <c r="Y623"/>
      <c r="Z623"/>
      <c r="AA623"/>
      <c r="AB623"/>
      <c r="AC623"/>
      <c r="AD623"/>
      <c r="AE623"/>
      <c r="AF623"/>
      <c r="AG623"/>
      <c r="AH623"/>
    </row>
    <row r="624" spans="17:34" ht="12.75" customHeight="1">
      <c r="Q624"/>
      <c r="R624"/>
      <c r="S624"/>
      <c r="T624"/>
      <c r="U624"/>
      <c r="V624"/>
      <c r="W624"/>
      <c r="X624"/>
      <c r="Y624"/>
      <c r="Z624"/>
      <c r="AA624"/>
      <c r="AB624"/>
      <c r="AC624"/>
      <c r="AD624"/>
      <c r="AE624"/>
      <c r="AF624"/>
      <c r="AG624"/>
      <c r="AH624"/>
    </row>
    <row r="625" spans="17:34" ht="12.75" customHeight="1">
      <c r="Q625"/>
      <c r="R625"/>
      <c r="S625"/>
      <c r="T625"/>
      <c r="U625"/>
      <c r="V625"/>
      <c r="W625"/>
      <c r="X625"/>
      <c r="Y625"/>
      <c r="Z625"/>
      <c r="AA625"/>
      <c r="AB625"/>
      <c r="AC625"/>
      <c r="AD625"/>
      <c r="AE625"/>
      <c r="AF625"/>
      <c r="AG625"/>
      <c r="AH625"/>
    </row>
    <row r="626" spans="17:34" ht="12.75" customHeight="1">
      <c r="Q626"/>
      <c r="R626"/>
      <c r="S626"/>
      <c r="T626"/>
      <c r="U626"/>
      <c r="V626"/>
      <c r="W626"/>
      <c r="X626"/>
      <c r="Y626"/>
      <c r="Z626"/>
      <c r="AA626"/>
      <c r="AB626"/>
      <c r="AC626"/>
      <c r="AD626"/>
      <c r="AE626"/>
      <c r="AF626"/>
      <c r="AG626"/>
      <c r="AH626"/>
    </row>
    <row r="627" spans="17:34" ht="12.75" customHeight="1">
      <c r="Q627"/>
      <c r="R627"/>
      <c r="S627"/>
      <c r="T627"/>
      <c r="U627"/>
      <c r="V627"/>
      <c r="W627"/>
      <c r="X627"/>
      <c r="Y627"/>
      <c r="Z627"/>
      <c r="AA627"/>
      <c r="AB627"/>
      <c r="AC627"/>
      <c r="AD627"/>
      <c r="AE627"/>
      <c r="AF627"/>
      <c r="AG627"/>
      <c r="AH627"/>
    </row>
    <row r="628" spans="17:34" ht="12.75" customHeight="1">
      <c r="Q628"/>
      <c r="R628"/>
      <c r="S628"/>
      <c r="T628"/>
      <c r="U628"/>
      <c r="V628"/>
      <c r="W628"/>
      <c r="X628"/>
      <c r="Y628"/>
      <c r="Z628"/>
      <c r="AA628"/>
      <c r="AB628"/>
      <c r="AC628"/>
      <c r="AD628"/>
      <c r="AE628"/>
      <c r="AF628"/>
      <c r="AG628"/>
      <c r="AH628"/>
    </row>
    <row r="629" spans="17:34" ht="12.75" customHeight="1">
      <c r="Q629"/>
      <c r="R629"/>
      <c r="S629"/>
      <c r="T629"/>
      <c r="U629"/>
      <c r="V629"/>
      <c r="W629"/>
      <c r="X629"/>
      <c r="Y629"/>
      <c r="Z629"/>
      <c r="AA629"/>
      <c r="AB629"/>
      <c r="AC629"/>
      <c r="AD629"/>
      <c r="AE629"/>
      <c r="AF629"/>
      <c r="AG629"/>
      <c r="AH629"/>
    </row>
    <row r="630" spans="17:34" ht="12.75" customHeight="1">
      <c r="Q630"/>
      <c r="R630"/>
      <c r="S630"/>
      <c r="T630"/>
      <c r="U630"/>
      <c r="V630"/>
      <c r="W630"/>
      <c r="X630"/>
      <c r="Y630"/>
      <c r="Z630"/>
      <c r="AA630"/>
      <c r="AB630"/>
      <c r="AC630"/>
      <c r="AD630"/>
      <c r="AE630"/>
      <c r="AF630"/>
      <c r="AG630"/>
      <c r="AH630"/>
    </row>
    <row r="631" spans="17:34" ht="12.75" customHeight="1">
      <c r="Q631"/>
      <c r="R631"/>
      <c r="S631"/>
      <c r="T631"/>
      <c r="U631"/>
      <c r="V631"/>
      <c r="W631"/>
      <c r="X631"/>
      <c r="Y631"/>
      <c r="Z631"/>
      <c r="AA631"/>
      <c r="AB631"/>
      <c r="AC631"/>
      <c r="AD631"/>
      <c r="AE631"/>
      <c r="AF631"/>
      <c r="AG631"/>
      <c r="AH631"/>
    </row>
    <row r="632" spans="17:34" ht="12.75" customHeight="1">
      <c r="Q632"/>
      <c r="R632"/>
      <c r="S632"/>
      <c r="T632"/>
      <c r="U632"/>
      <c r="V632"/>
      <c r="W632"/>
      <c r="X632"/>
      <c r="Y632"/>
      <c r="Z632"/>
      <c r="AA632"/>
      <c r="AB632"/>
      <c r="AC632"/>
      <c r="AD632"/>
      <c r="AE632"/>
      <c r="AF632"/>
      <c r="AG632"/>
      <c r="AH632"/>
    </row>
    <row r="633" spans="17:34" ht="12.75" customHeight="1">
      <c r="Q633"/>
      <c r="R633"/>
      <c r="S633"/>
      <c r="T633"/>
      <c r="U633"/>
      <c r="V633"/>
      <c r="W633"/>
      <c r="X633"/>
      <c r="Y633"/>
      <c r="Z633"/>
      <c r="AA633"/>
      <c r="AB633"/>
      <c r="AC633"/>
      <c r="AD633"/>
      <c r="AE633"/>
      <c r="AF633"/>
      <c r="AG633"/>
      <c r="AH633"/>
    </row>
    <row r="634" spans="17:34" ht="12.75" customHeight="1">
      <c r="Q634"/>
      <c r="R634"/>
      <c r="S634"/>
      <c r="T634"/>
      <c r="U634"/>
      <c r="V634"/>
      <c r="W634"/>
      <c r="X634"/>
      <c r="Y634"/>
      <c r="Z634"/>
      <c r="AA634"/>
      <c r="AB634"/>
      <c r="AC634"/>
      <c r="AD634"/>
      <c r="AE634"/>
      <c r="AF634"/>
      <c r="AG634"/>
      <c r="AH634"/>
    </row>
    <row r="635" spans="17:34" ht="12.75" customHeight="1">
      <c r="Q635"/>
      <c r="R635"/>
      <c r="S635"/>
      <c r="T635"/>
      <c r="U635"/>
      <c r="V635"/>
      <c r="W635"/>
      <c r="X635"/>
      <c r="Y635"/>
      <c r="Z635"/>
      <c r="AA635"/>
      <c r="AB635"/>
      <c r="AC635"/>
      <c r="AD635"/>
      <c r="AE635"/>
      <c r="AF635"/>
      <c r="AG635"/>
      <c r="AH635"/>
    </row>
    <row r="636" spans="17:34" ht="12.75" customHeight="1">
      <c r="Q636"/>
      <c r="R636"/>
      <c r="S636"/>
      <c r="T636"/>
      <c r="U636"/>
      <c r="V636"/>
      <c r="W636"/>
      <c r="X636"/>
      <c r="Y636"/>
      <c r="Z636"/>
      <c r="AA636"/>
      <c r="AB636"/>
      <c r="AC636"/>
      <c r="AD636"/>
      <c r="AE636"/>
      <c r="AF636"/>
      <c r="AG636"/>
      <c r="AH636"/>
    </row>
    <row r="637" spans="17:34" ht="12.75" customHeight="1">
      <c r="Q637"/>
      <c r="R637"/>
      <c r="S637"/>
      <c r="T637"/>
      <c r="U637"/>
      <c r="V637"/>
      <c r="W637"/>
      <c r="X637"/>
      <c r="Y637"/>
      <c r="Z637"/>
      <c r="AA637"/>
      <c r="AB637"/>
      <c r="AC637"/>
      <c r="AD637"/>
      <c r="AE637"/>
      <c r="AF637"/>
      <c r="AG637"/>
      <c r="AH637"/>
    </row>
    <row r="638" spans="17:34" ht="12.75" customHeight="1">
      <c r="Q638"/>
      <c r="R638"/>
      <c r="S638"/>
      <c r="T638"/>
      <c r="U638"/>
      <c r="V638"/>
      <c r="W638"/>
      <c r="X638"/>
      <c r="Y638"/>
      <c r="Z638"/>
      <c r="AA638"/>
      <c r="AB638"/>
      <c r="AC638"/>
      <c r="AD638"/>
      <c r="AE638"/>
      <c r="AF638"/>
      <c r="AG638"/>
      <c r="AH638"/>
    </row>
    <row r="639" spans="17:34" ht="12.75" customHeight="1">
      <c r="Q639"/>
      <c r="R639"/>
      <c r="S639"/>
      <c r="T639"/>
      <c r="U639"/>
      <c r="V639"/>
      <c r="W639"/>
      <c r="X639"/>
      <c r="Y639"/>
      <c r="Z639"/>
      <c r="AA639"/>
      <c r="AB639"/>
      <c r="AC639"/>
      <c r="AD639"/>
      <c r="AE639"/>
      <c r="AF639"/>
      <c r="AG639"/>
      <c r="AH639"/>
    </row>
    <row r="640" spans="17:34" ht="12.75" customHeight="1">
      <c r="Q640"/>
      <c r="R640"/>
      <c r="S640"/>
      <c r="T640"/>
      <c r="U640"/>
      <c r="V640"/>
      <c r="W640"/>
      <c r="X640"/>
      <c r="Y640"/>
      <c r="Z640"/>
      <c r="AA640"/>
      <c r="AB640"/>
      <c r="AC640"/>
      <c r="AD640"/>
      <c r="AE640"/>
      <c r="AF640"/>
      <c r="AG640"/>
      <c r="AH640"/>
    </row>
    <row r="641" spans="17:34" ht="12.75" customHeight="1">
      <c r="Q641"/>
      <c r="R641"/>
      <c r="S641"/>
      <c r="T641"/>
      <c r="U641"/>
      <c r="V641"/>
      <c r="W641"/>
      <c r="X641"/>
      <c r="Y641"/>
      <c r="Z641"/>
      <c r="AA641"/>
      <c r="AB641"/>
      <c r="AC641"/>
      <c r="AD641"/>
      <c r="AE641"/>
      <c r="AF641"/>
      <c r="AG641"/>
      <c r="AH641"/>
    </row>
    <row r="642" spans="17:34" ht="12.75" customHeight="1">
      <c r="Q642"/>
      <c r="R642"/>
      <c r="S642"/>
      <c r="T642"/>
      <c r="U642"/>
      <c r="V642"/>
      <c r="W642"/>
      <c r="X642"/>
      <c r="Y642"/>
      <c r="Z642"/>
      <c r="AA642"/>
      <c r="AB642"/>
      <c r="AC642"/>
      <c r="AD642"/>
      <c r="AE642"/>
      <c r="AF642"/>
      <c r="AG642"/>
      <c r="AH642"/>
    </row>
    <row r="643" spans="17:34" ht="12.75" customHeight="1">
      <c r="Q643"/>
      <c r="R643"/>
      <c r="S643"/>
      <c r="T643"/>
      <c r="U643"/>
      <c r="V643"/>
      <c r="W643"/>
      <c r="X643"/>
      <c r="Y643"/>
      <c r="Z643"/>
      <c r="AA643"/>
      <c r="AB643"/>
      <c r="AC643"/>
      <c r="AD643"/>
      <c r="AE643"/>
      <c r="AF643"/>
      <c r="AG643"/>
      <c r="AH643"/>
    </row>
    <row r="644" spans="17:34" ht="12.75" customHeight="1">
      <c r="Q644"/>
      <c r="R644"/>
      <c r="S644"/>
      <c r="T644"/>
      <c r="U644"/>
      <c r="V644"/>
      <c r="W644"/>
      <c r="X644"/>
      <c r="Y644"/>
      <c r="Z644"/>
      <c r="AA644"/>
      <c r="AB644"/>
      <c r="AC644"/>
      <c r="AD644"/>
      <c r="AE644"/>
      <c r="AF644"/>
      <c r="AG644"/>
      <c r="AH644"/>
    </row>
    <row r="645" spans="17:34" ht="12.75" customHeight="1">
      <c r="Q645"/>
      <c r="R645"/>
      <c r="S645"/>
      <c r="T645"/>
      <c r="U645"/>
      <c r="V645"/>
      <c r="W645"/>
      <c r="X645"/>
      <c r="Y645"/>
      <c r="Z645"/>
      <c r="AA645"/>
      <c r="AB645"/>
      <c r="AC645"/>
      <c r="AD645"/>
      <c r="AE645"/>
      <c r="AF645"/>
      <c r="AG645"/>
      <c r="AH645"/>
    </row>
    <row r="646" spans="17:34" ht="12.75" customHeight="1">
      <c r="Q646"/>
      <c r="R646"/>
      <c r="S646"/>
      <c r="T646"/>
      <c r="U646"/>
      <c r="V646"/>
      <c r="W646"/>
      <c r="X646"/>
      <c r="Y646"/>
      <c r="Z646"/>
      <c r="AA646"/>
      <c r="AB646"/>
      <c r="AC646"/>
      <c r="AD646"/>
      <c r="AE646"/>
      <c r="AF646"/>
      <c r="AG646"/>
      <c r="AH646"/>
    </row>
    <row r="647" spans="17:34" ht="12.75" customHeight="1">
      <c r="Q647"/>
      <c r="R647"/>
      <c r="S647"/>
      <c r="T647"/>
      <c r="U647"/>
      <c r="V647"/>
      <c r="W647"/>
      <c r="X647"/>
      <c r="Y647"/>
      <c r="Z647"/>
      <c r="AA647"/>
      <c r="AB647"/>
      <c r="AC647"/>
      <c r="AD647"/>
      <c r="AE647"/>
      <c r="AF647"/>
      <c r="AG647"/>
      <c r="AH647"/>
    </row>
    <row r="648" spans="17:34" ht="12.75" customHeight="1">
      <c r="Q648"/>
      <c r="R648"/>
      <c r="S648"/>
      <c r="T648"/>
      <c r="U648"/>
      <c r="V648"/>
      <c r="W648"/>
      <c r="X648"/>
      <c r="Y648"/>
      <c r="Z648"/>
      <c r="AA648"/>
      <c r="AB648"/>
      <c r="AC648"/>
      <c r="AD648"/>
      <c r="AE648"/>
      <c r="AF648"/>
      <c r="AG648"/>
      <c r="AH648"/>
    </row>
    <row r="649" spans="17:34" ht="12.75" customHeight="1">
      <c r="Q649"/>
      <c r="R649"/>
      <c r="S649"/>
      <c r="T649"/>
      <c r="U649"/>
      <c r="V649"/>
      <c r="W649"/>
      <c r="X649"/>
      <c r="Y649"/>
      <c r="Z649"/>
      <c r="AA649"/>
      <c r="AB649"/>
      <c r="AC649"/>
      <c r="AD649"/>
      <c r="AE649"/>
      <c r="AF649"/>
      <c r="AG649"/>
      <c r="AH649"/>
    </row>
    <row r="650" spans="17:34" ht="12.75" customHeight="1">
      <c r="Q650"/>
      <c r="R650"/>
      <c r="S650"/>
      <c r="T650"/>
      <c r="U650"/>
      <c r="V650"/>
      <c r="W650"/>
      <c r="X650"/>
      <c r="Y650"/>
      <c r="Z650"/>
      <c r="AA650"/>
      <c r="AB650"/>
      <c r="AC650"/>
      <c r="AD650"/>
      <c r="AE650"/>
      <c r="AF650"/>
      <c r="AG650"/>
      <c r="AH650"/>
    </row>
    <row r="651" spans="17:34" ht="12.75" customHeight="1">
      <c r="Q651"/>
      <c r="R651"/>
      <c r="S651"/>
      <c r="T651"/>
      <c r="U651"/>
      <c r="V651"/>
      <c r="W651"/>
      <c r="X651"/>
      <c r="Y651"/>
      <c r="Z651"/>
      <c r="AA651"/>
      <c r="AB651"/>
      <c r="AC651"/>
      <c r="AD651"/>
      <c r="AE651"/>
      <c r="AF651"/>
      <c r="AG651"/>
      <c r="AH651"/>
    </row>
    <row r="652" spans="17:34" ht="12.75" customHeight="1">
      <c r="Q652"/>
      <c r="R652"/>
      <c r="S652"/>
      <c r="T652"/>
      <c r="U652"/>
      <c r="V652"/>
      <c r="W652"/>
      <c r="X652"/>
      <c r="Y652"/>
      <c r="Z652"/>
      <c r="AA652"/>
      <c r="AB652"/>
      <c r="AC652"/>
      <c r="AD652"/>
      <c r="AE652"/>
      <c r="AF652"/>
      <c r="AG652"/>
      <c r="AH652"/>
    </row>
    <row r="653" spans="17:34" ht="12.75" customHeight="1">
      <c r="Q653"/>
      <c r="R653"/>
      <c r="S653"/>
      <c r="T653"/>
      <c r="U653"/>
      <c r="V653"/>
      <c r="W653"/>
      <c r="X653"/>
      <c r="Y653"/>
      <c r="Z653"/>
      <c r="AA653"/>
      <c r="AB653"/>
      <c r="AC653"/>
      <c r="AD653"/>
      <c r="AE653"/>
      <c r="AF653"/>
      <c r="AG653"/>
      <c r="AH653"/>
    </row>
    <row r="654" spans="17:34" ht="12.75" customHeight="1">
      <c r="Q654"/>
      <c r="R654"/>
      <c r="S654"/>
      <c r="T654"/>
      <c r="U654"/>
      <c r="V654"/>
      <c r="W654"/>
      <c r="X654"/>
      <c r="Y654"/>
      <c r="Z654"/>
      <c r="AA654"/>
      <c r="AB654"/>
      <c r="AC654"/>
      <c r="AD654"/>
      <c r="AE654"/>
      <c r="AF654"/>
      <c r="AG654"/>
      <c r="AH654"/>
    </row>
    <row r="655" spans="17:34" ht="12.75" customHeight="1">
      <c r="Q655"/>
      <c r="R655"/>
      <c r="S655"/>
      <c r="T655"/>
      <c r="U655"/>
      <c r="V655"/>
      <c r="W655"/>
      <c r="X655"/>
      <c r="Y655"/>
      <c r="Z655"/>
      <c r="AA655"/>
      <c r="AB655"/>
      <c r="AC655"/>
      <c r="AD655"/>
      <c r="AE655"/>
      <c r="AF655"/>
      <c r="AG655"/>
      <c r="AH655"/>
    </row>
    <row r="656" spans="17:34" ht="12.75" customHeight="1">
      <c r="Q656"/>
      <c r="R656"/>
      <c r="S656"/>
      <c r="T656"/>
      <c r="U656"/>
      <c r="V656"/>
      <c r="W656"/>
      <c r="X656"/>
      <c r="Y656"/>
      <c r="Z656"/>
      <c r="AA656"/>
      <c r="AB656"/>
      <c r="AC656"/>
      <c r="AD656"/>
      <c r="AE656"/>
      <c r="AF656"/>
      <c r="AG656"/>
      <c r="AH656"/>
    </row>
    <row r="657" spans="17:34" ht="12.75" customHeight="1">
      <c r="Q657"/>
      <c r="R657"/>
      <c r="S657"/>
      <c r="T657"/>
      <c r="U657"/>
      <c r="V657"/>
      <c r="W657"/>
      <c r="X657"/>
      <c r="Y657"/>
      <c r="Z657"/>
      <c r="AA657"/>
      <c r="AB657"/>
      <c r="AC657"/>
      <c r="AD657"/>
      <c r="AE657"/>
      <c r="AF657"/>
      <c r="AG657"/>
      <c r="AH657"/>
    </row>
    <row r="658" spans="17:34" ht="12.75" customHeight="1">
      <c r="Q658"/>
      <c r="R658"/>
      <c r="S658"/>
      <c r="T658"/>
      <c r="U658"/>
      <c r="V658"/>
      <c r="W658"/>
      <c r="X658"/>
      <c r="Y658"/>
      <c r="Z658"/>
      <c r="AA658"/>
      <c r="AB658"/>
      <c r="AC658"/>
      <c r="AD658"/>
      <c r="AE658"/>
      <c r="AF658"/>
      <c r="AG658"/>
      <c r="AH658"/>
    </row>
    <row r="659" spans="17:34" ht="12.75" customHeight="1">
      <c r="Q659"/>
      <c r="R659"/>
      <c r="S659"/>
      <c r="T659"/>
      <c r="U659"/>
      <c r="V659"/>
      <c r="W659"/>
      <c r="X659"/>
      <c r="Y659"/>
      <c r="Z659"/>
      <c r="AA659"/>
      <c r="AB659"/>
      <c r="AC659"/>
      <c r="AD659"/>
      <c r="AE659"/>
      <c r="AF659"/>
      <c r="AG659"/>
      <c r="AH659"/>
    </row>
    <row r="660" spans="17:34" ht="12.75" customHeight="1">
      <c r="Q660"/>
      <c r="R660"/>
      <c r="S660"/>
      <c r="T660"/>
      <c r="U660"/>
      <c r="V660"/>
      <c r="W660"/>
      <c r="X660"/>
      <c r="Y660"/>
      <c r="Z660"/>
      <c r="AA660"/>
      <c r="AB660"/>
      <c r="AC660"/>
      <c r="AD660"/>
      <c r="AE660"/>
      <c r="AF660"/>
      <c r="AG660"/>
      <c r="AH660"/>
    </row>
    <row r="661" spans="17:34" ht="12.75" customHeight="1">
      <c r="Q661"/>
      <c r="R661"/>
      <c r="S661"/>
      <c r="T661"/>
      <c r="U661"/>
      <c r="V661"/>
      <c r="W661"/>
      <c r="X661"/>
      <c r="Y661"/>
      <c r="Z661"/>
      <c r="AA661"/>
      <c r="AB661"/>
      <c r="AC661"/>
      <c r="AD661"/>
      <c r="AE661"/>
      <c r="AF661"/>
      <c r="AG661"/>
      <c r="AH661"/>
    </row>
    <row r="662" spans="17:34" ht="12.75" customHeight="1">
      <c r="Q662"/>
      <c r="R662"/>
      <c r="S662"/>
      <c r="T662"/>
      <c r="U662"/>
      <c r="V662"/>
      <c r="W662"/>
      <c r="X662"/>
      <c r="Y662"/>
      <c r="Z662"/>
      <c r="AA662"/>
      <c r="AB662"/>
      <c r="AC662"/>
      <c r="AD662"/>
      <c r="AE662"/>
      <c r="AF662"/>
      <c r="AG662"/>
      <c r="AH662"/>
    </row>
    <row r="663" spans="17:34" ht="12.75" customHeight="1">
      <c r="Q663"/>
      <c r="R663"/>
      <c r="S663"/>
      <c r="T663"/>
      <c r="U663"/>
      <c r="V663"/>
      <c r="W663"/>
      <c r="X663"/>
      <c r="Y663"/>
      <c r="Z663"/>
      <c r="AA663"/>
      <c r="AB663"/>
      <c r="AC663"/>
      <c r="AD663"/>
      <c r="AE663"/>
      <c r="AF663"/>
      <c r="AG663"/>
      <c r="AH663"/>
    </row>
    <row r="664" spans="17:34" ht="12.75" customHeight="1">
      <c r="Q664"/>
      <c r="R664"/>
      <c r="S664"/>
      <c r="T664"/>
      <c r="U664"/>
      <c r="V664"/>
      <c r="W664"/>
      <c r="X664"/>
      <c r="Y664"/>
      <c r="Z664"/>
      <c r="AA664"/>
      <c r="AB664"/>
      <c r="AC664"/>
      <c r="AD664"/>
      <c r="AE664"/>
      <c r="AF664"/>
      <c r="AG664"/>
      <c r="AH664"/>
    </row>
    <row r="665" spans="17:34" ht="12.75" customHeight="1">
      <c r="Q665"/>
      <c r="R665"/>
      <c r="S665"/>
      <c r="T665"/>
      <c r="U665"/>
      <c r="V665"/>
      <c r="W665"/>
      <c r="X665"/>
      <c r="Y665"/>
      <c r="Z665"/>
      <c r="AA665"/>
      <c r="AB665"/>
      <c r="AC665"/>
      <c r="AD665"/>
      <c r="AE665"/>
      <c r="AF665"/>
      <c r="AG665"/>
      <c r="AH665"/>
    </row>
    <row r="666" spans="17:34" ht="12.75" customHeight="1">
      <c r="Q666"/>
      <c r="R666"/>
      <c r="S666"/>
      <c r="T666"/>
      <c r="U666"/>
      <c r="V666"/>
      <c r="W666"/>
      <c r="X666"/>
      <c r="Y666"/>
      <c r="Z666"/>
      <c r="AA666"/>
      <c r="AB666"/>
      <c r="AC666"/>
      <c r="AD666"/>
      <c r="AE666"/>
      <c r="AF666"/>
      <c r="AG666"/>
      <c r="AH666"/>
    </row>
    <row r="667" spans="17:34" ht="12.75" customHeight="1">
      <c r="Q667"/>
      <c r="R667"/>
      <c r="S667"/>
      <c r="T667"/>
      <c r="U667"/>
      <c r="V667"/>
      <c r="W667"/>
      <c r="X667"/>
      <c r="Y667"/>
      <c r="Z667"/>
      <c r="AA667"/>
      <c r="AB667"/>
      <c r="AC667"/>
      <c r="AD667"/>
      <c r="AE667"/>
      <c r="AF667"/>
      <c r="AG667"/>
      <c r="AH667"/>
    </row>
    <row r="668" spans="17:34" ht="12.75" customHeight="1">
      <c r="Q668"/>
      <c r="R668"/>
      <c r="S668"/>
      <c r="T668"/>
      <c r="U668"/>
      <c r="V668"/>
      <c r="W668"/>
      <c r="X668"/>
      <c r="Y668"/>
      <c r="Z668"/>
      <c r="AA668"/>
      <c r="AB668"/>
      <c r="AC668"/>
      <c r="AD668"/>
      <c r="AE668"/>
      <c r="AF668"/>
      <c r="AG668"/>
      <c r="AH668"/>
    </row>
    <row r="669" spans="17:34" ht="12.75" customHeight="1">
      <c r="Q669"/>
      <c r="R669"/>
      <c r="S669"/>
      <c r="T669"/>
      <c r="U669"/>
      <c r="V669"/>
      <c r="W669"/>
      <c r="X669"/>
      <c r="Y669"/>
      <c r="Z669"/>
      <c r="AA669"/>
      <c r="AB669"/>
      <c r="AC669"/>
      <c r="AD669"/>
      <c r="AE669"/>
      <c r="AF669"/>
      <c r="AG669"/>
      <c r="AH669"/>
    </row>
    <row r="670" spans="17:34" ht="12.75" customHeight="1">
      <c r="Q670"/>
      <c r="R670"/>
      <c r="S670"/>
      <c r="T670"/>
      <c r="U670"/>
      <c r="V670"/>
      <c r="W670"/>
      <c r="X670"/>
      <c r="Y670"/>
      <c r="Z670"/>
      <c r="AA670"/>
      <c r="AB670"/>
      <c r="AC670"/>
      <c r="AD670"/>
      <c r="AE670"/>
      <c r="AF670"/>
      <c r="AG670"/>
      <c r="AH670"/>
    </row>
    <row r="671" spans="17:34" ht="12.75" customHeight="1">
      <c r="Q671"/>
      <c r="R671"/>
      <c r="S671"/>
      <c r="T671"/>
      <c r="U671"/>
      <c r="V671"/>
      <c r="W671"/>
      <c r="X671"/>
      <c r="Y671"/>
      <c r="Z671"/>
      <c r="AA671"/>
      <c r="AB671"/>
      <c r="AC671"/>
      <c r="AD671"/>
      <c r="AE671"/>
      <c r="AF671"/>
      <c r="AG671"/>
      <c r="AH671"/>
    </row>
    <row r="672" spans="17:34" ht="12.75" customHeight="1">
      <c r="Q672"/>
      <c r="R672"/>
      <c r="S672"/>
      <c r="T672"/>
      <c r="U672"/>
      <c r="V672"/>
      <c r="W672"/>
      <c r="X672"/>
      <c r="Y672"/>
      <c r="Z672"/>
      <c r="AA672"/>
      <c r="AB672"/>
      <c r="AC672"/>
      <c r="AD672"/>
      <c r="AE672"/>
      <c r="AF672"/>
      <c r="AG672"/>
      <c r="AH672"/>
    </row>
    <row r="673" spans="17:34" ht="12.75" customHeight="1">
      <c r="Q673"/>
      <c r="R673"/>
      <c r="S673"/>
      <c r="T673"/>
      <c r="U673"/>
      <c r="V673"/>
      <c r="W673"/>
      <c r="X673"/>
      <c r="Y673"/>
      <c r="Z673"/>
      <c r="AA673"/>
      <c r="AB673"/>
      <c r="AC673"/>
      <c r="AD673"/>
      <c r="AE673"/>
      <c r="AF673"/>
      <c r="AG673"/>
      <c r="AH673"/>
    </row>
    <row r="674" spans="17:34" ht="12.75" customHeight="1">
      <c r="Q674"/>
      <c r="R674"/>
      <c r="S674"/>
      <c r="T674"/>
      <c r="U674"/>
      <c r="V674"/>
      <c r="W674"/>
      <c r="X674"/>
      <c r="Y674"/>
      <c r="Z674"/>
      <c r="AA674"/>
      <c r="AB674"/>
      <c r="AC674"/>
      <c r="AD674"/>
      <c r="AE674"/>
      <c r="AF674"/>
      <c r="AG674"/>
      <c r="AH674"/>
    </row>
    <row r="675" spans="17:34" ht="12.75" customHeight="1">
      <c r="Q675"/>
      <c r="R675"/>
      <c r="S675"/>
      <c r="T675"/>
      <c r="U675"/>
      <c r="V675"/>
      <c r="W675"/>
      <c r="X675"/>
      <c r="Y675"/>
      <c r="Z675"/>
      <c r="AA675"/>
      <c r="AB675"/>
      <c r="AC675"/>
      <c r="AD675"/>
      <c r="AE675"/>
      <c r="AF675"/>
      <c r="AG675"/>
      <c r="AH675"/>
    </row>
    <row r="676" spans="17:34" ht="12.75" customHeight="1">
      <c r="Q676"/>
      <c r="R676"/>
      <c r="S676"/>
      <c r="T676"/>
      <c r="U676"/>
      <c r="V676"/>
      <c r="W676"/>
      <c r="X676"/>
      <c r="Y676"/>
      <c r="Z676"/>
      <c r="AA676"/>
      <c r="AB676"/>
      <c r="AC676"/>
      <c r="AD676"/>
      <c r="AE676"/>
      <c r="AF676"/>
      <c r="AG676"/>
      <c r="AH676"/>
    </row>
    <row r="677" spans="17:34" ht="12.75" customHeight="1">
      <c r="Q677"/>
      <c r="R677"/>
      <c r="S677"/>
      <c r="T677"/>
      <c r="U677"/>
      <c r="V677"/>
      <c r="W677"/>
      <c r="X677"/>
      <c r="Y677"/>
      <c r="Z677"/>
      <c r="AA677"/>
      <c r="AB677"/>
      <c r="AC677"/>
      <c r="AD677"/>
      <c r="AE677"/>
      <c r="AF677"/>
      <c r="AG677"/>
      <c r="AH677"/>
    </row>
    <row r="678" spans="17:34" ht="12.75" customHeight="1">
      <c r="Q678"/>
      <c r="R678"/>
      <c r="S678"/>
      <c r="T678"/>
      <c r="U678"/>
      <c r="V678"/>
      <c r="W678"/>
      <c r="X678"/>
      <c r="Y678"/>
      <c r="Z678"/>
      <c r="AA678"/>
      <c r="AB678"/>
      <c r="AC678"/>
      <c r="AD678"/>
      <c r="AE678"/>
      <c r="AF678"/>
      <c r="AG678"/>
      <c r="AH678"/>
    </row>
    <row r="679" spans="17:34" ht="12.75" customHeight="1">
      <c r="Q679"/>
      <c r="R679"/>
      <c r="S679"/>
      <c r="T679"/>
      <c r="U679"/>
      <c r="V679"/>
      <c r="W679"/>
      <c r="X679"/>
      <c r="Y679"/>
      <c r="Z679"/>
      <c r="AA679"/>
      <c r="AB679"/>
      <c r="AC679"/>
      <c r="AD679"/>
      <c r="AE679"/>
      <c r="AF679"/>
      <c r="AG679"/>
      <c r="AH679"/>
    </row>
    <row r="680" spans="17:34" ht="12.75" customHeight="1">
      <c r="Q680"/>
      <c r="R680"/>
      <c r="S680"/>
      <c r="T680"/>
      <c r="U680"/>
      <c r="V680"/>
      <c r="W680"/>
      <c r="X680"/>
      <c r="Y680"/>
      <c r="Z680"/>
      <c r="AA680"/>
      <c r="AB680"/>
      <c r="AC680"/>
      <c r="AD680"/>
      <c r="AE680"/>
      <c r="AF680"/>
      <c r="AG680"/>
      <c r="AH680"/>
    </row>
    <row r="681" spans="17:34" ht="12.75" customHeight="1">
      <c r="Q681"/>
      <c r="R681"/>
      <c r="S681"/>
      <c r="T681"/>
      <c r="U681"/>
      <c r="V681"/>
      <c r="W681"/>
      <c r="X681"/>
      <c r="Y681"/>
      <c r="Z681"/>
      <c r="AA681"/>
      <c r="AB681"/>
      <c r="AC681"/>
      <c r="AD681"/>
      <c r="AE681"/>
      <c r="AF681"/>
      <c r="AG681"/>
      <c r="AH681"/>
    </row>
    <row r="682" spans="17:34" ht="12.75" customHeight="1">
      <c r="Q682"/>
      <c r="R682"/>
      <c r="S682"/>
      <c r="T682"/>
      <c r="U682"/>
      <c r="V682"/>
      <c r="W682"/>
      <c r="X682"/>
      <c r="Y682"/>
      <c r="Z682"/>
      <c r="AA682"/>
      <c r="AB682"/>
      <c r="AC682"/>
      <c r="AD682"/>
      <c r="AE682"/>
      <c r="AF682"/>
      <c r="AG682"/>
      <c r="AH682"/>
    </row>
    <row r="683" spans="17:34" ht="12.75" customHeight="1">
      <c r="Q683"/>
      <c r="R683"/>
      <c r="S683"/>
      <c r="T683"/>
      <c r="U683"/>
      <c r="V683"/>
      <c r="W683"/>
      <c r="X683"/>
      <c r="Y683"/>
      <c r="Z683"/>
      <c r="AA683"/>
      <c r="AB683"/>
      <c r="AC683"/>
      <c r="AD683"/>
      <c r="AE683"/>
      <c r="AF683"/>
      <c r="AG683"/>
      <c r="AH683"/>
    </row>
    <row r="684" spans="17:34" ht="12.75" customHeight="1">
      <c r="Q684"/>
      <c r="R684"/>
      <c r="S684"/>
      <c r="T684"/>
      <c r="U684"/>
      <c r="V684"/>
      <c r="W684"/>
      <c r="X684"/>
      <c r="Y684"/>
      <c r="Z684"/>
      <c r="AA684"/>
      <c r="AB684"/>
      <c r="AC684"/>
      <c r="AD684"/>
      <c r="AE684"/>
      <c r="AF684"/>
      <c r="AG684"/>
      <c r="AH684"/>
    </row>
    <row r="685" spans="17:34" ht="12.75" customHeight="1">
      <c r="Q685"/>
      <c r="R685"/>
      <c r="S685"/>
      <c r="T685"/>
      <c r="U685"/>
      <c r="V685"/>
      <c r="W685"/>
      <c r="X685"/>
      <c r="Y685"/>
      <c r="Z685"/>
      <c r="AA685"/>
      <c r="AB685"/>
      <c r="AC685"/>
      <c r="AD685"/>
      <c r="AE685"/>
      <c r="AF685"/>
      <c r="AG685"/>
      <c r="AH685"/>
    </row>
    <row r="686" spans="17:34" ht="12.75" customHeight="1">
      <c r="Q686"/>
      <c r="R686"/>
      <c r="S686"/>
      <c r="T686"/>
      <c r="U686"/>
      <c r="V686"/>
      <c r="W686"/>
      <c r="X686"/>
      <c r="Y686"/>
      <c r="Z686"/>
      <c r="AA686"/>
      <c r="AB686"/>
      <c r="AC686"/>
      <c r="AD686"/>
      <c r="AE686"/>
      <c r="AF686"/>
      <c r="AG686"/>
      <c r="AH686"/>
    </row>
    <row r="687" spans="17:34" ht="12.75" customHeight="1">
      <c r="Q687"/>
      <c r="R687"/>
      <c r="S687"/>
      <c r="T687"/>
      <c r="U687"/>
      <c r="V687"/>
      <c r="W687"/>
      <c r="X687"/>
      <c r="Y687"/>
      <c r="Z687"/>
      <c r="AA687"/>
      <c r="AB687"/>
      <c r="AC687"/>
      <c r="AD687"/>
      <c r="AE687"/>
      <c r="AF687"/>
      <c r="AG687"/>
      <c r="AH687"/>
    </row>
    <row r="688" spans="17:34" ht="12.75" customHeight="1">
      <c r="Q688"/>
      <c r="R688"/>
      <c r="S688"/>
      <c r="T688"/>
      <c r="U688"/>
      <c r="V688"/>
      <c r="W688"/>
      <c r="X688"/>
      <c r="Y688"/>
      <c r="Z688"/>
      <c r="AA688"/>
      <c r="AB688"/>
      <c r="AC688"/>
      <c r="AD688"/>
      <c r="AE688"/>
      <c r="AF688"/>
      <c r="AG688"/>
      <c r="AH688"/>
    </row>
    <row r="689" spans="17:34">
      <c r="Q689"/>
      <c r="R689"/>
      <c r="S689"/>
      <c r="T689"/>
      <c r="U689"/>
      <c r="V689"/>
      <c r="W689"/>
      <c r="X689"/>
      <c r="Y689"/>
      <c r="Z689"/>
      <c r="AA689"/>
      <c r="AB689"/>
      <c r="AC689"/>
      <c r="AD689"/>
      <c r="AE689"/>
      <c r="AF689"/>
      <c r="AG689"/>
      <c r="AH689"/>
    </row>
    <row r="690" spans="17:34">
      <c r="Q690"/>
      <c r="R690"/>
      <c r="S690"/>
      <c r="T690"/>
      <c r="U690"/>
      <c r="V690"/>
      <c r="W690"/>
      <c r="X690"/>
      <c r="Y690"/>
      <c r="Z690"/>
      <c r="AA690"/>
      <c r="AB690"/>
      <c r="AC690"/>
      <c r="AD690"/>
      <c r="AE690"/>
      <c r="AF690"/>
      <c r="AG690"/>
      <c r="AH690"/>
    </row>
    <row r="691" spans="17:34">
      <c r="Q691"/>
      <c r="R691"/>
      <c r="S691"/>
      <c r="T691"/>
      <c r="U691"/>
      <c r="V691"/>
      <c r="W691"/>
      <c r="X691"/>
      <c r="Y691"/>
      <c r="Z691"/>
      <c r="AA691"/>
      <c r="AB691"/>
      <c r="AC691"/>
      <c r="AD691"/>
      <c r="AE691"/>
      <c r="AF691"/>
      <c r="AG691"/>
      <c r="AH691"/>
    </row>
    <row r="692" spans="17:34">
      <c r="Q692"/>
      <c r="R692"/>
      <c r="S692"/>
      <c r="T692"/>
      <c r="U692"/>
      <c r="V692"/>
      <c r="W692"/>
      <c r="X692"/>
      <c r="Y692"/>
      <c r="Z692"/>
      <c r="AA692"/>
      <c r="AB692"/>
      <c r="AC692"/>
      <c r="AD692"/>
      <c r="AE692"/>
      <c r="AF692"/>
      <c r="AG692"/>
      <c r="AH692"/>
    </row>
    <row r="693" spans="17:34">
      <c r="Q693"/>
      <c r="R693"/>
      <c r="S693"/>
      <c r="T693"/>
      <c r="U693"/>
      <c r="V693"/>
      <c r="W693"/>
      <c r="X693"/>
      <c r="Y693"/>
      <c r="Z693"/>
      <c r="AA693"/>
      <c r="AB693"/>
      <c r="AC693"/>
      <c r="AD693"/>
      <c r="AE693"/>
      <c r="AF693"/>
      <c r="AG693"/>
      <c r="AH693"/>
    </row>
    <row r="694" spans="17:34">
      <c r="Q694"/>
      <c r="R694"/>
      <c r="S694"/>
      <c r="T694"/>
      <c r="U694"/>
      <c r="V694"/>
      <c r="W694"/>
      <c r="X694"/>
      <c r="Y694"/>
      <c r="Z694"/>
      <c r="AA694"/>
      <c r="AB694"/>
      <c r="AC694"/>
      <c r="AD694"/>
      <c r="AE694"/>
      <c r="AF694"/>
      <c r="AG694"/>
      <c r="AH694"/>
    </row>
    <row r="695" spans="17:34">
      <c r="Q695"/>
      <c r="R695"/>
      <c r="S695"/>
      <c r="T695"/>
      <c r="U695"/>
      <c r="V695"/>
      <c r="W695"/>
      <c r="X695"/>
      <c r="Y695"/>
      <c r="Z695"/>
      <c r="AA695"/>
      <c r="AB695"/>
      <c r="AC695"/>
      <c r="AD695"/>
      <c r="AE695"/>
      <c r="AF695"/>
      <c r="AG695"/>
      <c r="AH695"/>
    </row>
    <row r="696" spans="17:34">
      <c r="Q696"/>
      <c r="R696"/>
      <c r="S696"/>
      <c r="T696"/>
      <c r="U696"/>
      <c r="V696"/>
      <c r="W696"/>
      <c r="X696"/>
      <c r="Y696"/>
      <c r="Z696"/>
      <c r="AA696"/>
      <c r="AB696"/>
      <c r="AC696"/>
      <c r="AD696"/>
      <c r="AE696"/>
      <c r="AF696"/>
      <c r="AG696"/>
      <c r="AH696"/>
    </row>
    <row r="697" spans="17:34">
      <c r="Q697"/>
      <c r="R697"/>
      <c r="S697"/>
      <c r="T697"/>
      <c r="U697"/>
      <c r="V697"/>
      <c r="W697"/>
      <c r="X697"/>
      <c r="Y697"/>
      <c r="Z697"/>
      <c r="AA697"/>
      <c r="AB697"/>
      <c r="AC697"/>
      <c r="AD697"/>
      <c r="AE697"/>
      <c r="AF697"/>
      <c r="AG697"/>
      <c r="AH697"/>
    </row>
    <row r="698" spans="17:34">
      <c r="Q698"/>
      <c r="R698"/>
      <c r="S698"/>
      <c r="T698"/>
      <c r="U698"/>
      <c r="V698"/>
      <c r="W698"/>
      <c r="X698"/>
      <c r="Y698"/>
      <c r="Z698"/>
      <c r="AA698"/>
      <c r="AB698"/>
      <c r="AC698"/>
      <c r="AD698"/>
      <c r="AE698"/>
      <c r="AF698"/>
      <c r="AG698"/>
      <c r="AH698"/>
    </row>
    <row r="699" spans="17:34">
      <c r="Q699"/>
      <c r="R699"/>
      <c r="S699"/>
      <c r="T699"/>
      <c r="U699"/>
      <c r="V699"/>
      <c r="W699"/>
      <c r="X699"/>
      <c r="Y699"/>
      <c r="Z699"/>
      <c r="AA699"/>
      <c r="AB699"/>
      <c r="AC699"/>
      <c r="AD699"/>
      <c r="AE699"/>
      <c r="AF699"/>
      <c r="AG699"/>
      <c r="AH699"/>
    </row>
    <row r="700" spans="17:34">
      <c r="Q700"/>
      <c r="R700"/>
      <c r="S700"/>
      <c r="T700"/>
      <c r="U700"/>
      <c r="V700"/>
      <c r="W700"/>
      <c r="X700"/>
      <c r="Y700"/>
      <c r="Z700"/>
      <c r="AA700"/>
      <c r="AB700"/>
      <c r="AC700"/>
      <c r="AD700"/>
      <c r="AE700"/>
      <c r="AF700"/>
      <c r="AG700"/>
      <c r="AH700"/>
    </row>
    <row r="701" spans="17:34">
      <c r="Q701"/>
      <c r="R701"/>
      <c r="S701"/>
      <c r="T701"/>
      <c r="U701"/>
      <c r="V701"/>
      <c r="W701"/>
      <c r="X701"/>
      <c r="Y701"/>
      <c r="Z701"/>
      <c r="AA701"/>
      <c r="AB701"/>
      <c r="AC701"/>
      <c r="AD701"/>
      <c r="AE701"/>
      <c r="AF701"/>
      <c r="AG701"/>
      <c r="AH701"/>
    </row>
    <row r="702" spans="17:34">
      <c r="Q702"/>
      <c r="R702"/>
      <c r="S702"/>
      <c r="T702"/>
      <c r="U702"/>
      <c r="V702"/>
      <c r="W702"/>
      <c r="X702"/>
      <c r="Y702"/>
      <c r="Z702"/>
      <c r="AA702"/>
      <c r="AB702"/>
      <c r="AC702"/>
      <c r="AD702"/>
      <c r="AE702"/>
      <c r="AF702"/>
      <c r="AG702"/>
      <c r="AH702"/>
    </row>
    <row r="703" spans="17:34">
      <c r="Q703"/>
      <c r="R703"/>
      <c r="S703"/>
      <c r="T703"/>
      <c r="U703"/>
      <c r="V703"/>
      <c r="W703"/>
      <c r="X703"/>
      <c r="Y703"/>
      <c r="Z703"/>
      <c r="AA703"/>
      <c r="AB703"/>
      <c r="AC703"/>
      <c r="AD703"/>
      <c r="AE703"/>
      <c r="AF703"/>
      <c r="AG703"/>
      <c r="AH703"/>
    </row>
    <row r="704" spans="17:34">
      <c r="Q704"/>
      <c r="R704"/>
      <c r="S704"/>
      <c r="T704"/>
      <c r="U704"/>
      <c r="V704"/>
      <c r="W704"/>
      <c r="X704"/>
      <c r="Y704"/>
      <c r="Z704"/>
      <c r="AA704"/>
      <c r="AB704"/>
      <c r="AC704"/>
      <c r="AD704"/>
      <c r="AE704"/>
      <c r="AF704"/>
      <c r="AG704"/>
      <c r="AH704"/>
    </row>
    <row r="705" spans="17:34">
      <c r="Q705"/>
      <c r="R705"/>
      <c r="S705"/>
      <c r="T705"/>
      <c r="U705"/>
      <c r="V705"/>
      <c r="W705"/>
      <c r="X705"/>
      <c r="Y705"/>
      <c r="Z705"/>
      <c r="AA705"/>
      <c r="AB705"/>
      <c r="AC705"/>
      <c r="AD705"/>
      <c r="AE705"/>
      <c r="AF705"/>
      <c r="AG705"/>
      <c r="AH705"/>
    </row>
    <row r="706" spans="17:34">
      <c r="Q706"/>
      <c r="R706"/>
      <c r="S706"/>
      <c r="T706"/>
      <c r="U706"/>
      <c r="V706"/>
      <c r="W706"/>
      <c r="X706"/>
      <c r="Y706"/>
      <c r="Z706"/>
      <c r="AA706"/>
      <c r="AB706"/>
      <c r="AC706"/>
      <c r="AD706"/>
      <c r="AE706"/>
      <c r="AF706"/>
      <c r="AG706"/>
      <c r="AH706"/>
    </row>
    <row r="707" spans="17:34">
      <c r="Q707"/>
      <c r="R707"/>
      <c r="S707"/>
      <c r="T707"/>
      <c r="U707"/>
      <c r="V707"/>
      <c r="W707"/>
      <c r="X707"/>
      <c r="Y707"/>
      <c r="Z707"/>
      <c r="AA707"/>
      <c r="AB707"/>
      <c r="AC707"/>
      <c r="AD707"/>
      <c r="AE707"/>
      <c r="AF707"/>
      <c r="AG707"/>
      <c r="AH707"/>
    </row>
    <row r="708" spans="17:34">
      <c r="Q708"/>
      <c r="R708"/>
      <c r="S708"/>
      <c r="T708"/>
      <c r="U708"/>
      <c r="V708"/>
      <c r="W708"/>
      <c r="X708"/>
      <c r="Y708"/>
      <c r="Z708"/>
      <c r="AA708"/>
      <c r="AB708"/>
      <c r="AC708"/>
      <c r="AD708"/>
      <c r="AE708"/>
      <c r="AF708"/>
      <c r="AG708"/>
      <c r="AH708"/>
    </row>
    <row r="709" spans="17:34">
      <c r="Q709"/>
      <c r="R709"/>
      <c r="S709"/>
      <c r="T709"/>
      <c r="U709"/>
      <c r="V709"/>
      <c r="W709"/>
      <c r="X709"/>
      <c r="Y709"/>
      <c r="Z709"/>
      <c r="AA709"/>
      <c r="AB709"/>
      <c r="AC709"/>
      <c r="AD709"/>
      <c r="AE709"/>
      <c r="AF709"/>
      <c r="AG709"/>
      <c r="AH709"/>
    </row>
    <row r="710" spans="17:34">
      <c r="Q710"/>
      <c r="R710"/>
      <c r="S710"/>
      <c r="T710"/>
      <c r="U710"/>
      <c r="V710"/>
      <c r="W710"/>
      <c r="X710"/>
      <c r="Y710"/>
      <c r="Z710"/>
      <c r="AA710"/>
      <c r="AB710"/>
      <c r="AC710"/>
      <c r="AD710"/>
      <c r="AE710"/>
      <c r="AF710"/>
      <c r="AG710"/>
      <c r="AH710"/>
    </row>
    <row r="711" spans="17:34">
      <c r="Q711"/>
      <c r="R711"/>
      <c r="S711"/>
      <c r="T711"/>
      <c r="U711"/>
      <c r="V711"/>
      <c r="W711"/>
      <c r="X711"/>
      <c r="Y711"/>
      <c r="Z711"/>
      <c r="AA711"/>
      <c r="AB711"/>
      <c r="AC711"/>
      <c r="AD711"/>
      <c r="AE711"/>
      <c r="AF711"/>
      <c r="AG711"/>
      <c r="AH711"/>
    </row>
    <row r="712" spans="17:34">
      <c r="Q712"/>
      <c r="R712"/>
      <c r="S712"/>
      <c r="T712"/>
      <c r="U712"/>
      <c r="V712"/>
      <c r="W712"/>
      <c r="X712"/>
      <c r="Y712"/>
      <c r="Z712"/>
      <c r="AA712"/>
      <c r="AB712"/>
      <c r="AC712"/>
      <c r="AD712"/>
      <c r="AE712"/>
      <c r="AF712"/>
      <c r="AG712"/>
      <c r="AH712"/>
    </row>
    <row r="713" spans="17:34">
      <c r="Q713"/>
      <c r="R713"/>
      <c r="S713"/>
      <c r="T713"/>
      <c r="U713"/>
      <c r="V713"/>
      <c r="W713"/>
      <c r="X713"/>
      <c r="Y713"/>
      <c r="Z713"/>
      <c r="AA713"/>
      <c r="AB713"/>
      <c r="AC713"/>
      <c r="AD713"/>
      <c r="AE713"/>
      <c r="AF713"/>
      <c r="AG713"/>
      <c r="AH713"/>
    </row>
    <row r="714" spans="17:34">
      <c r="Q714"/>
      <c r="R714"/>
      <c r="S714"/>
      <c r="T714"/>
      <c r="U714"/>
      <c r="V714"/>
      <c r="W714"/>
      <c r="X714"/>
      <c r="Y714"/>
      <c r="Z714"/>
      <c r="AA714"/>
      <c r="AB714"/>
      <c r="AC714"/>
      <c r="AD714"/>
      <c r="AE714"/>
      <c r="AF714"/>
      <c r="AG714"/>
      <c r="AH714"/>
    </row>
    <row r="715" spans="17:34">
      <c r="Q715"/>
      <c r="R715"/>
      <c r="S715"/>
      <c r="T715"/>
      <c r="U715"/>
      <c r="V715"/>
      <c r="W715"/>
      <c r="X715"/>
      <c r="Y715"/>
      <c r="Z715"/>
      <c r="AA715"/>
      <c r="AB715"/>
      <c r="AC715"/>
      <c r="AD715"/>
      <c r="AE715"/>
      <c r="AF715"/>
      <c r="AG715"/>
      <c r="AH715"/>
    </row>
    <row r="716" spans="17:34">
      <c r="Q716"/>
      <c r="R716"/>
      <c r="S716"/>
      <c r="T716"/>
      <c r="U716"/>
      <c r="V716"/>
      <c r="W716"/>
      <c r="X716"/>
      <c r="Y716"/>
      <c r="Z716"/>
      <c r="AA716"/>
      <c r="AB716"/>
      <c r="AC716"/>
      <c r="AD716"/>
      <c r="AE716"/>
      <c r="AF716"/>
      <c r="AG716"/>
      <c r="AH716"/>
    </row>
    <row r="717" spans="17:34">
      <c r="Q717"/>
      <c r="R717"/>
      <c r="S717"/>
      <c r="T717"/>
      <c r="U717"/>
      <c r="V717"/>
      <c r="W717"/>
      <c r="X717"/>
      <c r="Y717"/>
      <c r="Z717"/>
      <c r="AA717"/>
      <c r="AB717"/>
      <c r="AC717"/>
      <c r="AD717"/>
      <c r="AE717"/>
      <c r="AF717"/>
      <c r="AG717"/>
      <c r="AH717"/>
    </row>
    <row r="718" spans="17:34">
      <c r="Q718"/>
      <c r="R718"/>
      <c r="S718"/>
      <c r="T718"/>
      <c r="U718"/>
      <c r="V718"/>
      <c r="W718"/>
      <c r="X718"/>
      <c r="Y718"/>
      <c r="Z718"/>
      <c r="AA718"/>
      <c r="AB718"/>
      <c r="AC718"/>
      <c r="AD718"/>
      <c r="AE718"/>
      <c r="AF718"/>
      <c r="AG718"/>
      <c r="AH718"/>
    </row>
    <row r="719" spans="17:34">
      <c r="Q719"/>
      <c r="R719"/>
      <c r="S719"/>
      <c r="T719"/>
      <c r="U719"/>
      <c r="V719"/>
      <c r="W719"/>
      <c r="X719"/>
      <c r="Y719"/>
      <c r="Z719"/>
      <c r="AA719"/>
      <c r="AB719"/>
      <c r="AC719"/>
      <c r="AD719"/>
      <c r="AE719"/>
      <c r="AF719"/>
      <c r="AG719"/>
      <c r="AH719"/>
    </row>
    <row r="720" spans="17:34">
      <c r="Q720"/>
      <c r="R720"/>
      <c r="S720"/>
      <c r="T720"/>
      <c r="U720"/>
      <c r="V720"/>
      <c r="W720"/>
      <c r="X720"/>
      <c r="Y720"/>
      <c r="Z720"/>
      <c r="AA720"/>
      <c r="AB720"/>
      <c r="AC720"/>
      <c r="AD720"/>
      <c r="AE720"/>
      <c r="AF720"/>
      <c r="AG720"/>
      <c r="AH720"/>
    </row>
    <row r="721" spans="17:34">
      <c r="Q721"/>
      <c r="R721"/>
      <c r="S721"/>
      <c r="T721"/>
      <c r="U721"/>
      <c r="V721"/>
      <c r="W721"/>
      <c r="X721"/>
      <c r="Y721"/>
      <c r="Z721"/>
      <c r="AA721"/>
      <c r="AB721"/>
      <c r="AC721"/>
      <c r="AD721"/>
      <c r="AE721"/>
      <c r="AF721"/>
      <c r="AG721"/>
      <c r="AH721"/>
    </row>
    <row r="722" spans="17:34">
      <c r="Q722"/>
      <c r="R722"/>
      <c r="S722"/>
      <c r="T722"/>
      <c r="U722"/>
      <c r="V722"/>
      <c r="W722"/>
      <c r="X722"/>
      <c r="Y722"/>
      <c r="Z722"/>
      <c r="AA722"/>
      <c r="AB722"/>
      <c r="AC722"/>
      <c r="AD722"/>
      <c r="AE722"/>
      <c r="AF722"/>
      <c r="AG722"/>
      <c r="AH722"/>
    </row>
    <row r="723" spans="17:34">
      <c r="Q723" s="23"/>
      <c r="R723" s="1"/>
      <c r="S723" s="1"/>
      <c r="T723" s="1"/>
      <c r="U723" s="1"/>
      <c r="V723" s="1"/>
      <c r="W723" s="1"/>
      <c r="X723" s="1"/>
      <c r="Y723" s="1"/>
      <c r="Z723" s="1"/>
      <c r="AE723"/>
      <c r="AF723"/>
      <c r="AG723"/>
      <c r="AH723"/>
    </row>
    <row r="724" spans="17:34">
      <c r="Q724" s="23"/>
      <c r="R724" s="1"/>
      <c r="S724" s="1"/>
      <c r="T724" s="1"/>
      <c r="U724" s="1"/>
      <c r="V724" s="1"/>
      <c r="W724" s="1"/>
      <c r="X724" s="1"/>
      <c r="Y724" s="1"/>
      <c r="Z724" s="1"/>
      <c r="AE724"/>
      <c r="AF724"/>
      <c r="AG724"/>
      <c r="AH724"/>
    </row>
    <row r="725" spans="17:34">
      <c r="Q725" s="23"/>
      <c r="R725" s="1"/>
      <c r="S725" s="1"/>
      <c r="T725" s="1"/>
      <c r="U725" s="1"/>
      <c r="V725" s="1"/>
      <c r="W725" s="1"/>
      <c r="X725" s="1"/>
      <c r="Y725" s="1"/>
      <c r="Z725" s="1"/>
      <c r="AE725"/>
      <c r="AF725"/>
      <c r="AG725"/>
      <c r="AH725"/>
    </row>
    <row r="726" spans="17:34">
      <c r="Q726" s="23"/>
      <c r="R726" s="1"/>
      <c r="S726" s="1"/>
      <c r="T726" s="1"/>
      <c r="U726" s="1"/>
      <c r="V726" s="1"/>
      <c r="W726" s="1"/>
      <c r="X726" s="1"/>
      <c r="Y726" s="1"/>
      <c r="Z726" s="1"/>
      <c r="AE726"/>
      <c r="AF726"/>
      <c r="AG726"/>
      <c r="AH726"/>
    </row>
    <row r="727" spans="17:34">
      <c r="Q727" s="23"/>
      <c r="R727" s="1"/>
      <c r="S727" s="1"/>
      <c r="T727" s="1"/>
      <c r="U727" s="1"/>
      <c r="V727" s="1"/>
      <c r="W727" s="1"/>
      <c r="X727" s="1"/>
      <c r="Y727" s="1"/>
      <c r="Z727" s="1"/>
      <c r="AE727"/>
      <c r="AF727"/>
      <c r="AG727"/>
      <c r="AH727"/>
    </row>
    <row r="728" spans="17:34">
      <c r="Q728"/>
      <c r="R728"/>
      <c r="S728"/>
      <c r="T728"/>
      <c r="U728"/>
      <c r="V728"/>
      <c r="W728"/>
      <c r="X728"/>
      <c r="Y728"/>
      <c r="Z728"/>
      <c r="AA728"/>
      <c r="AB728"/>
      <c r="AC728"/>
      <c r="AD728"/>
      <c r="AE728"/>
      <c r="AF728"/>
      <c r="AG728"/>
      <c r="AH728"/>
    </row>
    <row r="729" spans="17:34">
      <c r="Q729"/>
      <c r="R729"/>
      <c r="S729"/>
      <c r="T729"/>
      <c r="U729"/>
      <c r="V729"/>
      <c r="W729"/>
      <c r="X729"/>
      <c r="Y729"/>
      <c r="Z729"/>
      <c r="AA729"/>
      <c r="AB729"/>
      <c r="AC729"/>
      <c r="AD729"/>
      <c r="AE729"/>
      <c r="AF729"/>
      <c r="AG729"/>
      <c r="AH729"/>
    </row>
    <row r="730" spans="17:34">
      <c r="Q730"/>
      <c r="R730"/>
      <c r="S730"/>
      <c r="T730"/>
      <c r="U730"/>
      <c r="V730"/>
      <c r="W730"/>
      <c r="X730"/>
      <c r="Y730"/>
      <c r="Z730"/>
      <c r="AA730"/>
      <c r="AB730"/>
      <c r="AC730"/>
      <c r="AD730"/>
      <c r="AE730"/>
      <c r="AF730"/>
      <c r="AG730"/>
      <c r="AH730"/>
    </row>
    <row r="731" spans="17:34">
      <c r="Q731"/>
      <c r="R731"/>
      <c r="S731"/>
      <c r="T731"/>
      <c r="U731"/>
      <c r="V731"/>
      <c r="W731"/>
      <c r="X731"/>
      <c r="Y731"/>
      <c r="Z731"/>
      <c r="AA731"/>
      <c r="AB731"/>
      <c r="AC731"/>
      <c r="AD731"/>
      <c r="AE731"/>
      <c r="AF731"/>
      <c r="AG731"/>
      <c r="AH731"/>
    </row>
    <row r="732" spans="17:34">
      <c r="Q732"/>
      <c r="R732"/>
      <c r="S732"/>
      <c r="T732"/>
      <c r="U732"/>
      <c r="V732"/>
      <c r="W732"/>
      <c r="X732"/>
      <c r="Y732"/>
      <c r="Z732"/>
      <c r="AA732"/>
      <c r="AB732"/>
      <c r="AC732"/>
      <c r="AD732"/>
      <c r="AE732"/>
      <c r="AF732"/>
      <c r="AG732"/>
      <c r="AH732"/>
    </row>
    <row r="733" spans="17:34">
      <c r="Q733"/>
      <c r="R733"/>
      <c r="S733"/>
      <c r="T733"/>
      <c r="U733"/>
      <c r="V733"/>
      <c r="W733"/>
      <c r="X733"/>
      <c r="Y733"/>
      <c r="Z733"/>
      <c r="AA733"/>
      <c r="AB733"/>
      <c r="AC733"/>
      <c r="AD733"/>
      <c r="AE733"/>
      <c r="AF733"/>
      <c r="AG733"/>
      <c r="AH733"/>
    </row>
    <row r="734" spans="17:34">
      <c r="Q734"/>
      <c r="R734"/>
      <c r="S734"/>
      <c r="T734"/>
      <c r="U734"/>
      <c r="V734"/>
      <c r="W734"/>
      <c r="X734"/>
      <c r="Y734"/>
      <c r="Z734"/>
      <c r="AA734"/>
      <c r="AB734"/>
      <c r="AC734"/>
      <c r="AD734"/>
      <c r="AE734"/>
      <c r="AF734"/>
      <c r="AG734"/>
      <c r="AH734"/>
    </row>
    <row r="735" spans="17:34">
      <c r="Q735"/>
      <c r="R735"/>
      <c r="S735"/>
      <c r="T735"/>
      <c r="U735"/>
      <c r="V735"/>
      <c r="W735"/>
      <c r="X735"/>
      <c r="Y735"/>
      <c r="Z735"/>
      <c r="AA735"/>
      <c r="AB735"/>
      <c r="AC735"/>
      <c r="AD735"/>
      <c r="AE735"/>
      <c r="AF735"/>
      <c r="AG735"/>
      <c r="AH735"/>
    </row>
    <row r="736" spans="17:34">
      <c r="Q736"/>
      <c r="R736"/>
      <c r="S736"/>
      <c r="T736"/>
      <c r="U736"/>
      <c r="V736"/>
      <c r="W736"/>
      <c r="X736"/>
      <c r="Y736"/>
      <c r="Z736"/>
      <c r="AA736"/>
      <c r="AB736"/>
      <c r="AC736"/>
      <c r="AD736"/>
      <c r="AE736"/>
      <c r="AF736"/>
      <c r="AG736"/>
      <c r="AH736"/>
    </row>
    <row r="737" spans="17:34">
      <c r="Q737"/>
      <c r="R737"/>
      <c r="S737"/>
      <c r="T737"/>
      <c r="U737"/>
      <c r="V737"/>
      <c r="W737"/>
      <c r="X737"/>
      <c r="Y737"/>
      <c r="Z737"/>
      <c r="AA737"/>
      <c r="AB737"/>
      <c r="AC737"/>
      <c r="AD737"/>
      <c r="AE737"/>
      <c r="AF737"/>
      <c r="AG737"/>
      <c r="AH737"/>
    </row>
    <row r="738" spans="17:34">
      <c r="Q738"/>
      <c r="R738"/>
      <c r="S738"/>
      <c r="T738"/>
      <c r="U738"/>
      <c r="V738"/>
      <c r="W738"/>
      <c r="X738"/>
      <c r="Y738"/>
      <c r="Z738"/>
      <c r="AA738"/>
      <c r="AB738"/>
      <c r="AC738"/>
      <c r="AD738"/>
      <c r="AE738"/>
      <c r="AF738"/>
      <c r="AG738"/>
      <c r="AH738"/>
    </row>
    <row r="739" spans="17:34">
      <c r="Q739"/>
      <c r="R739"/>
      <c r="S739"/>
      <c r="T739"/>
      <c r="U739"/>
      <c r="V739"/>
      <c r="W739"/>
      <c r="X739"/>
      <c r="Y739"/>
      <c r="Z739"/>
      <c r="AA739"/>
      <c r="AB739"/>
      <c r="AC739"/>
      <c r="AD739"/>
      <c r="AE739"/>
      <c r="AF739"/>
      <c r="AG739"/>
      <c r="AH739"/>
    </row>
    <row r="740" spans="17:34">
      <c r="Q740"/>
      <c r="R740"/>
      <c r="S740"/>
      <c r="T740"/>
      <c r="U740"/>
      <c r="V740"/>
      <c r="W740"/>
      <c r="X740"/>
      <c r="Y740"/>
      <c r="Z740"/>
      <c r="AA740"/>
      <c r="AB740"/>
      <c r="AC740"/>
      <c r="AD740"/>
      <c r="AE740"/>
      <c r="AF740"/>
      <c r="AG740"/>
      <c r="AH740"/>
    </row>
    <row r="741" spans="17:34">
      <c r="Q741"/>
      <c r="R741"/>
      <c r="S741"/>
      <c r="T741"/>
      <c r="U741"/>
      <c r="V741"/>
      <c r="W741"/>
      <c r="X741"/>
      <c r="Y741"/>
      <c r="Z741"/>
      <c r="AA741"/>
      <c r="AB741"/>
      <c r="AC741"/>
      <c r="AD741"/>
      <c r="AE741"/>
      <c r="AF741"/>
      <c r="AG741"/>
      <c r="AH741"/>
    </row>
    <row r="742" spans="17:34">
      <c r="Q742"/>
      <c r="R742"/>
      <c r="S742"/>
      <c r="T742"/>
      <c r="U742"/>
      <c r="V742"/>
      <c r="W742"/>
      <c r="X742"/>
      <c r="Y742"/>
      <c r="Z742"/>
      <c r="AA742"/>
      <c r="AB742"/>
      <c r="AC742"/>
      <c r="AD742"/>
      <c r="AE742"/>
      <c r="AF742"/>
      <c r="AG742"/>
      <c r="AH742"/>
    </row>
    <row r="743" spans="17:34">
      <c r="Q743"/>
      <c r="R743"/>
      <c r="S743"/>
      <c r="T743"/>
      <c r="U743"/>
      <c r="V743"/>
      <c r="W743"/>
      <c r="X743"/>
      <c r="Y743"/>
      <c r="Z743"/>
      <c r="AA743"/>
      <c r="AB743"/>
      <c r="AC743"/>
      <c r="AD743"/>
      <c r="AE743"/>
      <c r="AF743"/>
      <c r="AG743"/>
      <c r="AH743"/>
    </row>
    <row r="744" spans="17:34">
      <c r="Q744"/>
      <c r="R744"/>
      <c r="S744"/>
      <c r="T744"/>
      <c r="U744"/>
      <c r="V744"/>
      <c r="W744"/>
      <c r="X744"/>
      <c r="Y744"/>
      <c r="Z744"/>
      <c r="AA744"/>
      <c r="AB744"/>
      <c r="AC744"/>
      <c r="AD744"/>
      <c r="AE744"/>
      <c r="AF744"/>
      <c r="AG744"/>
      <c r="AH744"/>
    </row>
    <row r="745" spans="17:34">
      <c r="Q745"/>
      <c r="R745"/>
      <c r="S745"/>
      <c r="T745"/>
      <c r="U745"/>
      <c r="V745"/>
      <c r="W745"/>
      <c r="X745"/>
      <c r="Y745"/>
      <c r="Z745"/>
      <c r="AA745"/>
      <c r="AB745"/>
      <c r="AC745"/>
      <c r="AD745"/>
      <c r="AE745"/>
      <c r="AF745"/>
      <c r="AG745"/>
      <c r="AH745"/>
    </row>
    <row r="746" spans="17:34">
      <c r="Q746"/>
      <c r="R746"/>
      <c r="S746"/>
      <c r="T746"/>
      <c r="U746"/>
      <c r="V746"/>
      <c r="W746"/>
      <c r="X746"/>
      <c r="Y746"/>
      <c r="Z746"/>
      <c r="AA746"/>
      <c r="AB746"/>
      <c r="AC746"/>
      <c r="AD746"/>
      <c r="AE746"/>
      <c r="AF746"/>
      <c r="AG746"/>
      <c r="AH746"/>
    </row>
    <row r="747" spans="17:34">
      <c r="Q747"/>
      <c r="R747"/>
      <c r="S747"/>
      <c r="T747"/>
      <c r="U747"/>
      <c r="V747"/>
      <c r="W747"/>
      <c r="X747"/>
      <c r="Y747"/>
      <c r="Z747"/>
      <c r="AA747"/>
      <c r="AB747"/>
      <c r="AC747"/>
      <c r="AD747"/>
      <c r="AE747"/>
      <c r="AF747"/>
      <c r="AG747"/>
      <c r="AH747"/>
    </row>
    <row r="748" spans="17:34">
      <c r="Q748"/>
      <c r="R748"/>
      <c r="S748"/>
      <c r="T748"/>
      <c r="U748"/>
      <c r="V748"/>
      <c r="W748"/>
      <c r="X748"/>
      <c r="Y748"/>
      <c r="Z748"/>
      <c r="AA748"/>
      <c r="AB748"/>
      <c r="AC748"/>
      <c r="AD748"/>
      <c r="AE748"/>
      <c r="AF748"/>
      <c r="AG748"/>
      <c r="AH748"/>
    </row>
    <row r="749" spans="17:34">
      <c r="Q749"/>
      <c r="R749"/>
      <c r="S749"/>
      <c r="T749"/>
      <c r="U749"/>
      <c r="V749"/>
      <c r="W749"/>
      <c r="X749"/>
      <c r="Y749"/>
      <c r="Z749"/>
      <c r="AA749"/>
      <c r="AB749"/>
      <c r="AC749"/>
      <c r="AD749"/>
      <c r="AE749"/>
      <c r="AF749"/>
      <c r="AG749"/>
      <c r="AH749"/>
    </row>
    <row r="750" spans="17:34">
      <c r="Q750"/>
      <c r="R750"/>
      <c r="S750"/>
      <c r="T750"/>
      <c r="U750"/>
      <c r="V750"/>
      <c r="W750"/>
      <c r="X750"/>
      <c r="Y750"/>
      <c r="Z750"/>
      <c r="AA750"/>
      <c r="AB750"/>
      <c r="AC750"/>
      <c r="AD750"/>
      <c r="AE750"/>
      <c r="AF750"/>
      <c r="AG750"/>
      <c r="AH750"/>
    </row>
    <row r="751" spans="17:34">
      <c r="Q751"/>
      <c r="R751"/>
      <c r="S751"/>
      <c r="T751"/>
      <c r="U751"/>
      <c r="V751"/>
      <c r="W751"/>
      <c r="X751"/>
      <c r="Y751"/>
      <c r="Z751"/>
      <c r="AA751"/>
      <c r="AB751"/>
      <c r="AC751"/>
      <c r="AD751"/>
      <c r="AE751"/>
      <c r="AF751"/>
      <c r="AG751"/>
      <c r="AH751"/>
    </row>
    <row r="752" spans="17:34">
      <c r="Q752"/>
      <c r="R752"/>
      <c r="S752"/>
      <c r="T752"/>
      <c r="U752"/>
      <c r="V752"/>
      <c r="W752"/>
      <c r="X752"/>
      <c r="Y752"/>
      <c r="Z752"/>
      <c r="AA752"/>
      <c r="AB752"/>
      <c r="AC752"/>
      <c r="AD752"/>
      <c r="AE752"/>
      <c r="AF752"/>
      <c r="AG752"/>
      <c r="AH752"/>
    </row>
    <row r="753" spans="17:34">
      <c r="Q753"/>
      <c r="R753"/>
      <c r="S753"/>
      <c r="T753"/>
      <c r="U753"/>
      <c r="V753"/>
      <c r="W753"/>
      <c r="X753"/>
      <c r="Y753"/>
      <c r="Z753"/>
      <c r="AA753"/>
      <c r="AB753"/>
      <c r="AC753"/>
      <c r="AD753"/>
      <c r="AE753"/>
      <c r="AF753"/>
      <c r="AG753"/>
      <c r="AH753"/>
    </row>
    <row r="754" spans="17:34">
      <c r="Q754"/>
      <c r="R754"/>
      <c r="S754"/>
      <c r="T754"/>
      <c r="U754"/>
      <c r="V754"/>
      <c r="W754"/>
      <c r="X754"/>
      <c r="Y754"/>
      <c r="Z754"/>
      <c r="AA754"/>
      <c r="AB754"/>
      <c r="AC754"/>
      <c r="AD754"/>
      <c r="AE754"/>
      <c r="AF754"/>
      <c r="AG754"/>
      <c r="AH754"/>
    </row>
    <row r="755" spans="17:34">
      <c r="Q755"/>
      <c r="R755"/>
      <c r="S755"/>
      <c r="T755"/>
      <c r="U755"/>
      <c r="V755"/>
      <c r="W755"/>
      <c r="X755"/>
      <c r="Y755"/>
      <c r="Z755"/>
      <c r="AA755"/>
      <c r="AB755"/>
      <c r="AC755"/>
      <c r="AD755"/>
      <c r="AE755"/>
      <c r="AF755"/>
      <c r="AG755"/>
      <c r="AH755"/>
    </row>
    <row r="756" spans="17:34">
      <c r="Q756"/>
      <c r="R756"/>
      <c r="S756"/>
      <c r="T756"/>
      <c r="U756"/>
      <c r="V756"/>
      <c r="W756"/>
      <c r="X756"/>
      <c r="Y756"/>
      <c r="Z756"/>
      <c r="AA756"/>
      <c r="AB756"/>
      <c r="AC756"/>
      <c r="AD756"/>
      <c r="AE756"/>
      <c r="AF756"/>
      <c r="AG756"/>
      <c r="AH756"/>
    </row>
    <row r="757" spans="17:34">
      <c r="Q757"/>
      <c r="R757"/>
      <c r="S757"/>
      <c r="T757"/>
      <c r="U757"/>
      <c r="V757"/>
      <c r="W757"/>
      <c r="X757"/>
      <c r="Y757"/>
      <c r="Z757"/>
      <c r="AA757"/>
      <c r="AB757"/>
      <c r="AC757"/>
      <c r="AD757"/>
      <c r="AE757"/>
      <c r="AF757"/>
      <c r="AG757"/>
      <c r="AH757"/>
    </row>
    <row r="758" spans="17:34">
      <c r="Q758"/>
      <c r="R758"/>
      <c r="S758"/>
      <c r="T758"/>
      <c r="U758"/>
      <c r="V758"/>
      <c r="W758"/>
      <c r="X758"/>
      <c r="Y758"/>
      <c r="Z758"/>
      <c r="AA758"/>
      <c r="AB758"/>
      <c r="AC758"/>
      <c r="AD758"/>
      <c r="AE758"/>
      <c r="AF758"/>
      <c r="AG758"/>
      <c r="AH758"/>
    </row>
    <row r="759" spans="17:34">
      <c r="Q759"/>
      <c r="R759"/>
      <c r="S759"/>
      <c r="T759"/>
      <c r="U759"/>
      <c r="V759"/>
      <c r="W759"/>
      <c r="X759"/>
      <c r="Y759"/>
      <c r="Z759"/>
      <c r="AA759"/>
      <c r="AB759"/>
      <c r="AC759"/>
      <c r="AD759"/>
      <c r="AE759"/>
      <c r="AF759"/>
      <c r="AG759"/>
      <c r="AH759"/>
    </row>
    <row r="760" spans="17:34">
      <c r="Q760"/>
      <c r="R760"/>
      <c r="S760"/>
      <c r="T760"/>
      <c r="U760"/>
      <c r="V760"/>
      <c r="W760"/>
      <c r="X760"/>
      <c r="Y760"/>
      <c r="Z760"/>
      <c r="AA760"/>
      <c r="AB760"/>
      <c r="AC760"/>
      <c r="AD760"/>
      <c r="AE760"/>
      <c r="AF760"/>
      <c r="AG760"/>
      <c r="AH760"/>
    </row>
    <row r="761" spans="17:34">
      <c r="Q761"/>
      <c r="R761"/>
      <c r="S761"/>
      <c r="T761"/>
      <c r="U761"/>
      <c r="V761"/>
      <c r="W761"/>
      <c r="X761"/>
      <c r="Y761"/>
      <c r="Z761"/>
      <c r="AA761"/>
      <c r="AB761"/>
      <c r="AC761"/>
      <c r="AD761"/>
      <c r="AE761"/>
      <c r="AF761"/>
      <c r="AG761"/>
      <c r="AH761"/>
    </row>
    <row r="762" spans="17:34">
      <c r="Q762"/>
      <c r="R762"/>
      <c r="S762"/>
      <c r="T762"/>
      <c r="U762"/>
      <c r="V762"/>
      <c r="W762"/>
      <c r="X762"/>
      <c r="Y762"/>
      <c r="Z762"/>
      <c r="AA762"/>
      <c r="AB762"/>
      <c r="AC762"/>
      <c r="AD762"/>
      <c r="AE762"/>
      <c r="AF762"/>
      <c r="AG762"/>
      <c r="AH762"/>
    </row>
    <row r="763" spans="17:34">
      <c r="Q763"/>
      <c r="R763"/>
      <c r="S763"/>
      <c r="T763"/>
      <c r="U763"/>
      <c r="V763"/>
      <c r="W763"/>
      <c r="X763"/>
      <c r="Y763"/>
      <c r="Z763"/>
      <c r="AA763"/>
      <c r="AB763"/>
      <c r="AC763"/>
      <c r="AD763"/>
      <c r="AE763"/>
      <c r="AF763"/>
      <c r="AG763"/>
      <c r="AH763"/>
    </row>
    <row r="764" spans="17:34">
      <c r="Q764"/>
      <c r="R764"/>
      <c r="S764"/>
      <c r="T764"/>
      <c r="U764"/>
      <c r="V764"/>
      <c r="W764"/>
      <c r="X764"/>
      <c r="Y764"/>
      <c r="Z764"/>
      <c r="AA764"/>
      <c r="AB764"/>
      <c r="AC764"/>
      <c r="AD764"/>
      <c r="AE764"/>
      <c r="AF764"/>
      <c r="AG764"/>
      <c r="AH764"/>
    </row>
    <row r="765" spans="17:34">
      <c r="Q765"/>
      <c r="R765"/>
      <c r="S765"/>
      <c r="T765"/>
      <c r="U765"/>
      <c r="V765"/>
      <c r="W765"/>
      <c r="X765"/>
      <c r="Y765"/>
      <c r="Z765"/>
      <c r="AA765"/>
      <c r="AB765"/>
      <c r="AC765"/>
      <c r="AD765"/>
      <c r="AE765"/>
      <c r="AF765"/>
      <c r="AG765"/>
      <c r="AH765"/>
    </row>
    <row r="766" spans="17:34">
      <c r="Q766"/>
      <c r="R766"/>
      <c r="S766"/>
      <c r="T766"/>
      <c r="U766"/>
      <c r="V766"/>
      <c r="W766"/>
      <c r="X766"/>
      <c r="Y766"/>
      <c r="Z766"/>
      <c r="AA766"/>
      <c r="AB766"/>
      <c r="AC766"/>
      <c r="AD766"/>
      <c r="AE766"/>
      <c r="AF766"/>
      <c r="AG766"/>
      <c r="AH766"/>
    </row>
    <row r="767" spans="17:34">
      <c r="Q767"/>
      <c r="R767"/>
      <c r="S767"/>
      <c r="T767"/>
      <c r="U767"/>
      <c r="V767"/>
      <c r="W767"/>
      <c r="X767"/>
      <c r="Y767"/>
      <c r="Z767"/>
      <c r="AA767"/>
      <c r="AB767"/>
      <c r="AC767"/>
      <c r="AD767"/>
      <c r="AE767"/>
      <c r="AF767"/>
      <c r="AG767"/>
      <c r="AH767"/>
    </row>
    <row r="768" spans="17:34">
      <c r="Q768"/>
      <c r="R768"/>
      <c r="S768"/>
      <c r="T768"/>
      <c r="U768"/>
      <c r="V768"/>
      <c r="W768"/>
      <c r="X768"/>
      <c r="Y768"/>
      <c r="Z768"/>
      <c r="AA768"/>
      <c r="AB768"/>
      <c r="AC768"/>
      <c r="AD768"/>
      <c r="AE768"/>
      <c r="AF768"/>
      <c r="AG768"/>
      <c r="AH768"/>
    </row>
    <row r="769" spans="17:34">
      <c r="Q769"/>
      <c r="R769"/>
      <c r="S769"/>
      <c r="T769"/>
      <c r="U769"/>
      <c r="V769"/>
      <c r="W769"/>
      <c r="X769"/>
      <c r="Y769"/>
      <c r="Z769"/>
      <c r="AA769"/>
      <c r="AB769"/>
      <c r="AC769"/>
      <c r="AD769"/>
      <c r="AE769"/>
      <c r="AF769"/>
      <c r="AG769"/>
      <c r="AH769"/>
    </row>
    <row r="770" spans="17:34">
      <c r="Q770"/>
      <c r="R770"/>
      <c r="S770"/>
      <c r="T770"/>
      <c r="U770"/>
      <c r="V770"/>
      <c r="W770"/>
      <c r="X770"/>
      <c r="Y770"/>
      <c r="Z770"/>
      <c r="AA770"/>
      <c r="AB770"/>
      <c r="AC770"/>
      <c r="AD770"/>
      <c r="AE770"/>
      <c r="AF770"/>
      <c r="AG770"/>
      <c r="AH770"/>
    </row>
    <row r="771" spans="17:34">
      <c r="Q771"/>
      <c r="R771"/>
      <c r="S771"/>
      <c r="T771"/>
      <c r="U771"/>
      <c r="V771"/>
      <c r="W771"/>
      <c r="X771"/>
      <c r="Y771"/>
      <c r="Z771"/>
      <c r="AA771"/>
      <c r="AB771"/>
      <c r="AC771"/>
      <c r="AD771"/>
      <c r="AE771"/>
      <c r="AF771"/>
      <c r="AG771"/>
      <c r="AH771"/>
    </row>
    <row r="772" spans="17:34">
      <c r="Q772"/>
      <c r="R772"/>
      <c r="S772"/>
      <c r="T772"/>
      <c r="U772"/>
      <c r="V772"/>
      <c r="W772"/>
      <c r="X772"/>
      <c r="Y772"/>
      <c r="Z772"/>
      <c r="AA772"/>
      <c r="AB772"/>
      <c r="AC772"/>
      <c r="AD772"/>
      <c r="AE772"/>
      <c r="AF772"/>
      <c r="AG772"/>
      <c r="AH772"/>
    </row>
    <row r="773" spans="17:34">
      <c r="Q773"/>
      <c r="R773"/>
      <c r="S773"/>
      <c r="T773"/>
      <c r="U773"/>
      <c r="V773"/>
      <c r="W773"/>
      <c r="X773"/>
      <c r="Y773"/>
      <c r="Z773"/>
      <c r="AA773"/>
      <c r="AB773"/>
      <c r="AC773"/>
      <c r="AD773"/>
      <c r="AE773"/>
      <c r="AF773"/>
      <c r="AG773"/>
      <c r="AH773"/>
    </row>
    <row r="774" spans="17:34">
      <c r="Q774"/>
      <c r="R774"/>
      <c r="S774"/>
      <c r="T774"/>
      <c r="U774"/>
      <c r="V774"/>
      <c r="W774"/>
      <c r="X774"/>
      <c r="Y774"/>
      <c r="Z774"/>
      <c r="AA774"/>
      <c r="AB774"/>
      <c r="AC774"/>
      <c r="AD774"/>
      <c r="AE774"/>
      <c r="AF774"/>
      <c r="AG774"/>
      <c r="AH774"/>
    </row>
    <row r="775" spans="17:34">
      <c r="Q775"/>
      <c r="R775"/>
      <c r="S775"/>
      <c r="T775"/>
      <c r="U775"/>
      <c r="V775"/>
      <c r="W775"/>
      <c r="X775"/>
      <c r="Y775"/>
      <c r="Z775"/>
      <c r="AA775"/>
      <c r="AB775"/>
      <c r="AC775"/>
      <c r="AD775"/>
      <c r="AE775"/>
      <c r="AF775"/>
      <c r="AG775"/>
      <c r="AH775"/>
    </row>
    <row r="776" spans="17:34">
      <c r="Q776"/>
      <c r="R776"/>
      <c r="S776"/>
      <c r="T776"/>
      <c r="U776"/>
      <c r="V776"/>
      <c r="W776"/>
      <c r="X776"/>
      <c r="Y776"/>
      <c r="Z776"/>
      <c r="AA776"/>
      <c r="AB776"/>
      <c r="AC776"/>
      <c r="AD776"/>
      <c r="AE776"/>
      <c r="AF776"/>
      <c r="AG776"/>
      <c r="AH776"/>
    </row>
    <row r="777" spans="17:34">
      <c r="Q777"/>
      <c r="R777"/>
      <c r="S777"/>
      <c r="T777"/>
      <c r="U777"/>
      <c r="V777"/>
      <c r="W777"/>
      <c r="X777"/>
      <c r="Y777"/>
      <c r="Z777"/>
      <c r="AA777"/>
      <c r="AB777"/>
      <c r="AC777"/>
      <c r="AD777"/>
      <c r="AE777"/>
      <c r="AF777"/>
      <c r="AG777"/>
      <c r="AH777"/>
    </row>
    <row r="778" spans="17:34">
      <c r="Q778"/>
      <c r="R778"/>
      <c r="S778"/>
      <c r="T778"/>
      <c r="U778"/>
      <c r="V778"/>
      <c r="W778"/>
      <c r="X778"/>
      <c r="Y778"/>
      <c r="Z778"/>
      <c r="AA778"/>
      <c r="AB778"/>
      <c r="AC778"/>
      <c r="AD778"/>
      <c r="AE778"/>
      <c r="AF778"/>
      <c r="AG778"/>
      <c r="AH778"/>
    </row>
    <row r="779" spans="17:34">
      <c r="Q779"/>
      <c r="R779"/>
      <c r="S779"/>
      <c r="T779"/>
      <c r="U779"/>
      <c r="V779"/>
      <c r="W779"/>
      <c r="X779"/>
      <c r="Y779"/>
      <c r="Z779"/>
      <c r="AA779"/>
      <c r="AB779"/>
      <c r="AC779"/>
      <c r="AD779"/>
      <c r="AE779"/>
      <c r="AF779"/>
      <c r="AG779"/>
      <c r="AH779"/>
    </row>
    <row r="780" spans="17:34">
      <c r="Q780"/>
      <c r="R780"/>
      <c r="S780"/>
      <c r="T780"/>
      <c r="U780"/>
      <c r="V780"/>
      <c r="W780"/>
      <c r="X780"/>
      <c r="Y780"/>
      <c r="Z780"/>
      <c r="AA780"/>
      <c r="AB780"/>
      <c r="AC780"/>
      <c r="AD780"/>
      <c r="AE780"/>
      <c r="AF780"/>
      <c r="AG780"/>
      <c r="AH780"/>
    </row>
    <row r="781" spans="17:34">
      <c r="Q781"/>
      <c r="R781"/>
      <c r="S781"/>
      <c r="T781"/>
      <c r="U781"/>
      <c r="V781"/>
      <c r="W781"/>
      <c r="X781"/>
      <c r="Y781"/>
      <c r="Z781"/>
      <c r="AA781"/>
      <c r="AB781"/>
      <c r="AC781"/>
      <c r="AD781"/>
      <c r="AE781"/>
      <c r="AF781"/>
      <c r="AG781"/>
      <c r="AH781"/>
    </row>
    <row r="782" spans="17:34">
      <c r="Q782"/>
      <c r="R782"/>
      <c r="S782"/>
      <c r="T782"/>
      <c r="U782"/>
      <c r="V782"/>
      <c r="W782"/>
      <c r="X782"/>
      <c r="Y782"/>
      <c r="Z782"/>
      <c r="AA782"/>
      <c r="AB782"/>
      <c r="AC782"/>
      <c r="AD782"/>
      <c r="AE782"/>
      <c r="AF782"/>
      <c r="AG782"/>
      <c r="AH782"/>
    </row>
    <row r="783" spans="17:34">
      <c r="Q783"/>
      <c r="R783"/>
      <c r="S783"/>
      <c r="T783"/>
      <c r="U783"/>
      <c r="V783"/>
      <c r="W783"/>
      <c r="X783"/>
      <c r="Y783"/>
      <c r="Z783"/>
      <c r="AA783"/>
      <c r="AB783"/>
      <c r="AC783"/>
      <c r="AD783"/>
      <c r="AE783"/>
      <c r="AF783"/>
      <c r="AG783"/>
      <c r="AH783"/>
    </row>
    <row r="784" spans="17:34">
      <c r="Q784"/>
      <c r="R784"/>
      <c r="S784"/>
      <c r="T784"/>
      <c r="U784"/>
      <c r="V784"/>
      <c r="W784"/>
      <c r="X784"/>
      <c r="Y784"/>
      <c r="Z784"/>
      <c r="AA784"/>
      <c r="AB784"/>
      <c r="AC784"/>
      <c r="AD784"/>
      <c r="AE784"/>
      <c r="AF784"/>
      <c r="AG784"/>
      <c r="AH784"/>
    </row>
    <row r="785" spans="17:34">
      <c r="Q785"/>
      <c r="R785"/>
      <c r="S785"/>
      <c r="T785"/>
      <c r="U785"/>
      <c r="V785"/>
      <c r="W785"/>
      <c r="X785"/>
      <c r="Y785"/>
      <c r="Z785"/>
      <c r="AA785"/>
      <c r="AB785"/>
      <c r="AC785"/>
      <c r="AD785"/>
      <c r="AE785"/>
      <c r="AF785"/>
      <c r="AG785"/>
      <c r="AH785"/>
    </row>
    <row r="786" spans="17:34">
      <c r="Q786"/>
      <c r="R786"/>
      <c r="S786"/>
      <c r="T786"/>
      <c r="U786"/>
      <c r="V786"/>
      <c r="W786"/>
      <c r="X786"/>
      <c r="Y786"/>
      <c r="Z786"/>
      <c r="AA786"/>
      <c r="AB786"/>
      <c r="AC786"/>
      <c r="AD786"/>
      <c r="AE786"/>
      <c r="AF786"/>
      <c r="AG786"/>
      <c r="AH786"/>
    </row>
    <row r="787" spans="17:34">
      <c r="Q787"/>
      <c r="R787"/>
      <c r="S787"/>
      <c r="T787"/>
      <c r="U787"/>
      <c r="V787"/>
      <c r="W787"/>
      <c r="X787"/>
      <c r="Y787"/>
      <c r="Z787"/>
      <c r="AA787"/>
      <c r="AB787"/>
      <c r="AC787"/>
      <c r="AD787"/>
      <c r="AE787"/>
      <c r="AF787"/>
      <c r="AG787"/>
      <c r="AH787"/>
    </row>
    <row r="788" spans="17:34">
      <c r="Q788"/>
      <c r="R788"/>
      <c r="S788"/>
      <c r="T788"/>
      <c r="U788"/>
      <c r="V788"/>
      <c r="W788"/>
      <c r="X788"/>
      <c r="Y788"/>
      <c r="Z788"/>
      <c r="AA788"/>
      <c r="AB788"/>
      <c r="AC788"/>
      <c r="AD788"/>
      <c r="AE788"/>
      <c r="AF788"/>
      <c r="AG788"/>
      <c r="AH788"/>
    </row>
    <row r="789" spans="17:34">
      <c r="Q789"/>
      <c r="R789"/>
      <c r="S789"/>
      <c r="T789"/>
      <c r="U789"/>
      <c r="V789"/>
      <c r="W789"/>
      <c r="X789"/>
      <c r="Y789"/>
      <c r="Z789"/>
      <c r="AA789"/>
      <c r="AB789"/>
      <c r="AC789"/>
      <c r="AD789"/>
      <c r="AE789"/>
      <c r="AF789"/>
      <c r="AG789"/>
      <c r="AH789"/>
    </row>
    <row r="790" spans="17:34">
      <c r="Q790"/>
      <c r="R790"/>
      <c r="S790"/>
      <c r="T790"/>
      <c r="U790"/>
      <c r="V790"/>
      <c r="W790"/>
      <c r="X790"/>
      <c r="Y790"/>
      <c r="Z790"/>
      <c r="AA790"/>
      <c r="AB790"/>
      <c r="AC790"/>
      <c r="AD790"/>
      <c r="AE790"/>
      <c r="AF790"/>
      <c r="AG790"/>
      <c r="AH790"/>
    </row>
    <row r="791" spans="17:34">
      <c r="Q791"/>
      <c r="R791"/>
      <c r="S791"/>
      <c r="T791"/>
      <c r="U791"/>
      <c r="V791"/>
      <c r="W791"/>
      <c r="X791"/>
      <c r="Y791"/>
      <c r="Z791"/>
      <c r="AA791"/>
      <c r="AB791"/>
      <c r="AC791"/>
      <c r="AD791"/>
      <c r="AE791"/>
      <c r="AF791"/>
      <c r="AG791"/>
      <c r="AH791"/>
    </row>
    <row r="792" spans="17:34">
      <c r="Q792"/>
      <c r="R792"/>
      <c r="S792"/>
      <c r="T792"/>
      <c r="U792"/>
      <c r="V792"/>
      <c r="W792"/>
      <c r="X792"/>
      <c r="Y792"/>
      <c r="Z792"/>
      <c r="AA792"/>
      <c r="AB792"/>
      <c r="AC792"/>
      <c r="AD792"/>
      <c r="AE792"/>
      <c r="AF792"/>
      <c r="AG792"/>
      <c r="AH792"/>
    </row>
    <row r="793" spans="17:34">
      <c r="Q793"/>
      <c r="R793"/>
      <c r="S793"/>
      <c r="T793"/>
      <c r="U793"/>
      <c r="V793"/>
      <c r="W793"/>
      <c r="X793"/>
      <c r="Y793"/>
      <c r="Z793"/>
      <c r="AA793"/>
      <c r="AB793"/>
      <c r="AC793"/>
      <c r="AD793"/>
      <c r="AE793"/>
      <c r="AF793"/>
      <c r="AG793"/>
      <c r="AH793"/>
    </row>
    <row r="794" spans="17:34">
      <c r="Q794"/>
      <c r="R794"/>
      <c r="S794"/>
      <c r="T794"/>
      <c r="U794"/>
      <c r="V794"/>
      <c r="W794"/>
      <c r="X794"/>
      <c r="Y794"/>
      <c r="Z794"/>
      <c r="AA794"/>
      <c r="AB794"/>
      <c r="AC794"/>
      <c r="AD794"/>
      <c r="AE794"/>
      <c r="AF794"/>
      <c r="AG794"/>
      <c r="AH794"/>
    </row>
    <row r="795" spans="17:34">
      <c r="Q795"/>
      <c r="R795"/>
      <c r="S795"/>
      <c r="T795"/>
      <c r="U795"/>
      <c r="V795"/>
      <c r="W795"/>
      <c r="X795"/>
      <c r="Y795"/>
      <c r="Z795"/>
      <c r="AA795"/>
      <c r="AB795"/>
      <c r="AC795"/>
      <c r="AD795"/>
      <c r="AE795"/>
      <c r="AF795"/>
      <c r="AG795"/>
      <c r="AH795"/>
    </row>
    <row r="796" spans="17:34">
      <c r="Q796"/>
      <c r="R796"/>
      <c r="S796"/>
      <c r="T796"/>
      <c r="U796"/>
      <c r="V796"/>
      <c r="W796"/>
      <c r="X796"/>
      <c r="Y796"/>
      <c r="Z796"/>
      <c r="AA796"/>
      <c r="AB796"/>
      <c r="AC796"/>
      <c r="AD796"/>
      <c r="AE796"/>
      <c r="AF796"/>
      <c r="AG796"/>
      <c r="AH796"/>
    </row>
    <row r="797" spans="17:34">
      <c r="Q797"/>
      <c r="R797"/>
      <c r="S797"/>
      <c r="T797"/>
      <c r="U797"/>
      <c r="V797"/>
      <c r="W797"/>
      <c r="X797"/>
      <c r="Y797"/>
      <c r="Z797"/>
      <c r="AA797"/>
      <c r="AB797"/>
      <c r="AC797"/>
      <c r="AD797"/>
      <c r="AE797"/>
      <c r="AF797"/>
      <c r="AG797"/>
      <c r="AH797"/>
    </row>
    <row r="798" spans="17:34">
      <c r="Q798"/>
      <c r="R798"/>
      <c r="S798"/>
      <c r="T798"/>
      <c r="U798"/>
      <c r="V798"/>
      <c r="W798"/>
      <c r="X798"/>
      <c r="Y798"/>
      <c r="Z798"/>
      <c r="AA798"/>
      <c r="AB798"/>
      <c r="AC798"/>
      <c r="AD798"/>
      <c r="AE798"/>
      <c r="AF798"/>
      <c r="AG798"/>
      <c r="AH798"/>
    </row>
    <row r="799" spans="17:34">
      <c r="Q799"/>
      <c r="R799"/>
      <c r="S799"/>
      <c r="T799"/>
      <c r="U799"/>
      <c r="V799"/>
      <c r="W799"/>
      <c r="X799"/>
      <c r="Y799"/>
      <c r="Z799"/>
      <c r="AA799"/>
      <c r="AB799"/>
      <c r="AC799"/>
      <c r="AD799"/>
      <c r="AE799"/>
      <c r="AF799"/>
      <c r="AG799"/>
      <c r="AH799"/>
    </row>
    <row r="800" spans="17:34">
      <c r="Q800"/>
      <c r="R800"/>
      <c r="S800"/>
      <c r="T800"/>
      <c r="U800"/>
      <c r="V800"/>
      <c r="W800"/>
      <c r="X800"/>
      <c r="Y800"/>
      <c r="Z800"/>
      <c r="AA800"/>
      <c r="AB800"/>
      <c r="AC800"/>
      <c r="AD800"/>
      <c r="AE800"/>
      <c r="AF800"/>
      <c r="AG800"/>
      <c r="AH800"/>
    </row>
    <row r="801" spans="17:34">
      <c r="Q801"/>
      <c r="R801"/>
      <c r="S801"/>
      <c r="T801"/>
      <c r="U801"/>
      <c r="V801"/>
      <c r="W801"/>
      <c r="X801"/>
      <c r="Y801"/>
      <c r="Z801"/>
      <c r="AA801"/>
      <c r="AB801"/>
      <c r="AC801"/>
      <c r="AD801"/>
      <c r="AE801"/>
      <c r="AF801"/>
      <c r="AG801"/>
      <c r="AH801"/>
    </row>
    <row r="802" spans="17:34">
      <c r="Q802"/>
      <c r="R802"/>
      <c r="S802"/>
      <c r="T802"/>
      <c r="U802"/>
      <c r="V802"/>
      <c r="W802"/>
      <c r="X802"/>
      <c r="Y802"/>
      <c r="Z802"/>
      <c r="AA802"/>
      <c r="AB802"/>
      <c r="AC802"/>
      <c r="AD802"/>
      <c r="AE802"/>
      <c r="AF802"/>
      <c r="AG802"/>
      <c r="AH802"/>
    </row>
    <row r="803" spans="17:34">
      <c r="Q803"/>
      <c r="R803"/>
      <c r="S803"/>
      <c r="T803"/>
      <c r="U803"/>
      <c r="V803"/>
      <c r="W803"/>
      <c r="X803"/>
      <c r="Y803"/>
      <c r="Z803"/>
      <c r="AA803"/>
      <c r="AB803"/>
      <c r="AC803"/>
      <c r="AD803"/>
      <c r="AE803"/>
      <c r="AF803"/>
      <c r="AG803"/>
      <c r="AH803"/>
    </row>
    <row r="804" spans="17:34">
      <c r="Q804"/>
      <c r="R804"/>
      <c r="S804"/>
      <c r="T804"/>
      <c r="U804"/>
      <c r="V804"/>
      <c r="W804"/>
      <c r="X804"/>
      <c r="Y804"/>
      <c r="Z804"/>
      <c r="AA804"/>
      <c r="AB804"/>
      <c r="AC804"/>
      <c r="AD804"/>
      <c r="AE804"/>
      <c r="AF804"/>
      <c r="AG804"/>
      <c r="AH804"/>
    </row>
    <row r="805" spans="17:34">
      <c r="Q805"/>
      <c r="R805"/>
      <c r="S805"/>
      <c r="T805"/>
      <c r="U805"/>
      <c r="V805"/>
      <c r="W805"/>
      <c r="X805"/>
      <c r="Y805"/>
      <c r="Z805"/>
      <c r="AA805"/>
      <c r="AB805"/>
      <c r="AC805"/>
      <c r="AD805"/>
      <c r="AE805"/>
      <c r="AF805"/>
      <c r="AG805"/>
      <c r="AH805"/>
    </row>
    <row r="806" spans="17:34">
      <c r="Q806"/>
      <c r="R806"/>
      <c r="S806"/>
      <c r="T806"/>
      <c r="U806"/>
      <c r="V806"/>
      <c r="W806"/>
      <c r="X806"/>
      <c r="Y806"/>
      <c r="Z806"/>
      <c r="AA806"/>
      <c r="AB806"/>
      <c r="AC806"/>
      <c r="AD806"/>
      <c r="AE806"/>
      <c r="AF806"/>
      <c r="AG806"/>
      <c r="AH806"/>
    </row>
    <row r="807" spans="17:34">
      <c r="Q807"/>
      <c r="R807"/>
      <c r="S807"/>
      <c r="T807"/>
      <c r="U807"/>
      <c r="V807"/>
      <c r="W807"/>
      <c r="X807"/>
      <c r="Y807"/>
      <c r="Z807"/>
      <c r="AA807"/>
      <c r="AB807"/>
      <c r="AC807"/>
      <c r="AD807"/>
      <c r="AE807"/>
      <c r="AF807"/>
      <c r="AG807"/>
      <c r="AH807"/>
    </row>
    <row r="808" spans="17:34">
      <c r="Q808"/>
      <c r="R808"/>
      <c r="S808"/>
      <c r="T808"/>
      <c r="U808"/>
      <c r="V808"/>
      <c r="W808"/>
      <c r="X808"/>
      <c r="Y808"/>
      <c r="Z808"/>
      <c r="AA808"/>
      <c r="AB808"/>
      <c r="AC808"/>
      <c r="AD808"/>
      <c r="AE808"/>
      <c r="AF808"/>
      <c r="AG808"/>
      <c r="AH808"/>
    </row>
    <row r="809" spans="17:34">
      <c r="Q809"/>
      <c r="R809"/>
      <c r="S809"/>
      <c r="T809"/>
      <c r="U809"/>
      <c r="V809"/>
      <c r="W809"/>
      <c r="X809"/>
      <c r="Y809"/>
      <c r="Z809"/>
      <c r="AA809"/>
      <c r="AB809"/>
      <c r="AC809"/>
      <c r="AD809"/>
      <c r="AE809"/>
      <c r="AF809"/>
      <c r="AG809"/>
      <c r="AH809"/>
    </row>
    <row r="810" spans="17:34">
      <c r="Q810"/>
      <c r="R810"/>
      <c r="S810"/>
      <c r="T810"/>
      <c r="U810"/>
      <c r="V810"/>
      <c r="W810"/>
      <c r="X810"/>
      <c r="Y810"/>
      <c r="Z810"/>
      <c r="AA810"/>
      <c r="AB810"/>
      <c r="AC810"/>
      <c r="AD810"/>
      <c r="AE810"/>
      <c r="AF810"/>
      <c r="AG810"/>
      <c r="AH810"/>
    </row>
    <row r="811" spans="17:34">
      <c r="Q811"/>
      <c r="R811"/>
      <c r="S811"/>
      <c r="T811"/>
      <c r="U811"/>
      <c r="V811"/>
      <c r="W811"/>
      <c r="X811"/>
      <c r="Y811"/>
      <c r="Z811"/>
      <c r="AA811"/>
      <c r="AB811"/>
      <c r="AC811"/>
      <c r="AD811"/>
      <c r="AE811"/>
      <c r="AF811"/>
      <c r="AG811"/>
      <c r="AH811"/>
    </row>
    <row r="812" spans="17:34">
      <c r="Q812"/>
      <c r="R812"/>
      <c r="S812"/>
      <c r="T812"/>
      <c r="U812"/>
      <c r="V812"/>
      <c r="W812"/>
      <c r="X812"/>
      <c r="Y812"/>
      <c r="Z812"/>
      <c r="AA812"/>
      <c r="AB812"/>
      <c r="AC812"/>
      <c r="AD812"/>
      <c r="AE812"/>
      <c r="AF812"/>
      <c r="AG812"/>
      <c r="AH812"/>
    </row>
    <row r="813" spans="17:34">
      <c r="Q813"/>
      <c r="R813"/>
      <c r="S813"/>
      <c r="T813"/>
      <c r="U813"/>
      <c r="V813"/>
      <c r="W813"/>
      <c r="X813"/>
      <c r="Y813"/>
      <c r="Z813"/>
      <c r="AA813"/>
      <c r="AB813"/>
      <c r="AC813"/>
      <c r="AD813"/>
      <c r="AE813"/>
      <c r="AF813"/>
      <c r="AG813"/>
      <c r="AH813"/>
    </row>
    <row r="814" spans="17:34">
      <c r="Q814"/>
      <c r="R814"/>
      <c r="S814"/>
      <c r="T814"/>
      <c r="U814"/>
      <c r="V814"/>
      <c r="W814"/>
      <c r="X814"/>
      <c r="Y814"/>
      <c r="Z814"/>
      <c r="AA814"/>
      <c r="AB814"/>
      <c r="AC814"/>
      <c r="AD814"/>
      <c r="AE814"/>
      <c r="AF814"/>
      <c r="AG814"/>
      <c r="AH814"/>
    </row>
    <row r="815" spans="17:34">
      <c r="Q815"/>
      <c r="R815"/>
      <c r="S815"/>
      <c r="T815"/>
      <c r="U815"/>
      <c r="V815"/>
      <c r="W815"/>
      <c r="X815"/>
      <c r="Y815"/>
      <c r="Z815"/>
      <c r="AA815"/>
      <c r="AB815"/>
      <c r="AC815"/>
      <c r="AD815"/>
      <c r="AE815"/>
      <c r="AF815"/>
      <c r="AG815"/>
      <c r="AH815"/>
    </row>
    <row r="816" spans="17:34">
      <c r="Q816"/>
      <c r="R816"/>
      <c r="S816"/>
      <c r="T816"/>
      <c r="U816"/>
      <c r="V816"/>
      <c r="W816"/>
      <c r="X816"/>
      <c r="Y816"/>
      <c r="Z816"/>
      <c r="AA816"/>
      <c r="AB816"/>
      <c r="AC816"/>
      <c r="AD816"/>
      <c r="AE816"/>
      <c r="AF816"/>
      <c r="AG816"/>
      <c r="AH816"/>
    </row>
    <row r="817" spans="17:34">
      <c r="Q817"/>
      <c r="R817"/>
      <c r="S817"/>
      <c r="T817"/>
      <c r="U817"/>
      <c r="V817"/>
      <c r="W817"/>
      <c r="X817"/>
      <c r="Y817"/>
      <c r="Z817"/>
      <c r="AA817"/>
      <c r="AB817"/>
      <c r="AC817"/>
      <c r="AD817"/>
      <c r="AE817"/>
      <c r="AF817"/>
      <c r="AG817"/>
      <c r="AH817"/>
    </row>
    <row r="818" spans="17:34">
      <c r="Q818"/>
      <c r="R818"/>
      <c r="S818"/>
      <c r="T818"/>
      <c r="U818"/>
      <c r="V818"/>
      <c r="W818"/>
      <c r="X818"/>
      <c r="Y818"/>
      <c r="Z818"/>
      <c r="AA818"/>
      <c r="AB818"/>
      <c r="AC818"/>
      <c r="AD818"/>
      <c r="AE818"/>
      <c r="AF818"/>
      <c r="AG818"/>
      <c r="AH818"/>
    </row>
    <row r="819" spans="17:34">
      <c r="Q819"/>
      <c r="R819"/>
      <c r="S819"/>
      <c r="T819"/>
      <c r="U819"/>
      <c r="V819"/>
      <c r="W819"/>
      <c r="X819"/>
      <c r="Y819"/>
      <c r="Z819"/>
      <c r="AA819"/>
      <c r="AB819"/>
      <c r="AC819"/>
      <c r="AD819"/>
      <c r="AE819"/>
      <c r="AF819"/>
      <c r="AG819"/>
      <c r="AH819"/>
    </row>
    <row r="820" spans="17:34">
      <c r="Q820"/>
      <c r="R820"/>
      <c r="S820"/>
      <c r="T820"/>
      <c r="U820"/>
      <c r="V820"/>
      <c r="W820"/>
      <c r="X820"/>
      <c r="Y820"/>
      <c r="Z820"/>
      <c r="AA820"/>
      <c r="AB820"/>
      <c r="AC820"/>
      <c r="AD820"/>
      <c r="AE820"/>
      <c r="AF820"/>
      <c r="AG820"/>
      <c r="AH820"/>
    </row>
    <row r="821" spans="17:34">
      <c r="Q821"/>
      <c r="R821"/>
      <c r="S821"/>
      <c r="T821"/>
      <c r="U821"/>
      <c r="V821"/>
      <c r="W821"/>
      <c r="X821"/>
      <c r="Y821"/>
      <c r="Z821"/>
      <c r="AA821"/>
      <c r="AB821"/>
      <c r="AC821"/>
      <c r="AD821"/>
      <c r="AE821"/>
      <c r="AF821"/>
      <c r="AG821"/>
      <c r="AH821"/>
    </row>
    <row r="822" spans="17:34">
      <c r="Q822"/>
      <c r="R822"/>
      <c r="S822"/>
      <c r="T822"/>
      <c r="U822"/>
      <c r="V822"/>
      <c r="W822"/>
      <c r="X822"/>
      <c r="Y822"/>
      <c r="Z822"/>
      <c r="AA822"/>
      <c r="AB822"/>
      <c r="AC822"/>
      <c r="AD822"/>
      <c r="AE822"/>
      <c r="AF822"/>
      <c r="AG822"/>
      <c r="AH822"/>
    </row>
    <row r="823" spans="17:34">
      <c r="Q823"/>
      <c r="R823"/>
      <c r="S823"/>
      <c r="T823"/>
      <c r="U823"/>
      <c r="V823"/>
      <c r="W823"/>
      <c r="X823"/>
      <c r="Y823"/>
      <c r="Z823"/>
      <c r="AA823"/>
      <c r="AB823"/>
      <c r="AC823"/>
      <c r="AD823"/>
      <c r="AE823"/>
      <c r="AF823"/>
      <c r="AG823"/>
      <c r="AH823"/>
    </row>
    <row r="824" spans="17:34">
      <c r="Q824"/>
      <c r="R824"/>
      <c r="S824"/>
      <c r="T824"/>
      <c r="U824"/>
      <c r="V824"/>
      <c r="W824"/>
      <c r="X824"/>
      <c r="Y824"/>
      <c r="Z824"/>
      <c r="AA824"/>
      <c r="AB824"/>
      <c r="AC824"/>
      <c r="AD824"/>
      <c r="AE824"/>
      <c r="AF824"/>
      <c r="AG824"/>
      <c r="AH824"/>
    </row>
    <row r="825" spans="17:34">
      <c r="Q825"/>
      <c r="R825"/>
      <c r="S825"/>
      <c r="T825"/>
      <c r="U825"/>
      <c r="V825"/>
      <c r="W825"/>
      <c r="X825"/>
      <c r="Y825"/>
      <c r="Z825"/>
      <c r="AA825"/>
      <c r="AB825"/>
      <c r="AC825"/>
      <c r="AD825"/>
      <c r="AE825"/>
      <c r="AF825"/>
      <c r="AG825"/>
      <c r="AH825"/>
    </row>
    <row r="826" spans="17:34">
      <c r="Q826"/>
      <c r="R826"/>
      <c r="S826"/>
      <c r="T826"/>
      <c r="U826"/>
      <c r="V826"/>
      <c r="W826"/>
      <c r="X826"/>
      <c r="Y826"/>
      <c r="Z826"/>
      <c r="AA826"/>
      <c r="AB826"/>
      <c r="AC826"/>
      <c r="AD826"/>
      <c r="AE826"/>
      <c r="AF826"/>
      <c r="AG826"/>
      <c r="AH826"/>
    </row>
    <row r="827" spans="17:34">
      <c r="Q827"/>
      <c r="R827"/>
      <c r="S827"/>
      <c r="T827"/>
      <c r="U827"/>
      <c r="V827"/>
      <c r="W827"/>
      <c r="X827"/>
      <c r="Y827"/>
      <c r="Z827"/>
      <c r="AA827"/>
      <c r="AB827"/>
      <c r="AC827"/>
      <c r="AD827"/>
      <c r="AE827"/>
      <c r="AF827"/>
      <c r="AG827"/>
      <c r="AH827"/>
    </row>
    <row r="828" spans="17:34">
      <c r="Q828"/>
      <c r="R828"/>
      <c r="S828"/>
      <c r="T828"/>
      <c r="U828"/>
      <c r="V828"/>
      <c r="W828"/>
      <c r="X828"/>
      <c r="Y828"/>
      <c r="Z828"/>
      <c r="AA828"/>
      <c r="AB828"/>
      <c r="AC828"/>
      <c r="AD828"/>
      <c r="AE828"/>
      <c r="AF828"/>
      <c r="AG828"/>
      <c r="AH828"/>
    </row>
    <row r="829" spans="17:34">
      <c r="Q829"/>
      <c r="R829"/>
      <c r="S829"/>
      <c r="T829"/>
      <c r="U829"/>
      <c r="V829"/>
      <c r="W829"/>
      <c r="X829"/>
      <c r="Y829"/>
      <c r="Z829"/>
      <c r="AA829"/>
      <c r="AB829"/>
      <c r="AC829"/>
      <c r="AD829"/>
      <c r="AE829"/>
      <c r="AF829"/>
      <c r="AG829"/>
      <c r="AH829"/>
    </row>
    <row r="830" spans="17:34">
      <c r="Q830"/>
      <c r="R830"/>
      <c r="S830"/>
      <c r="T830"/>
      <c r="U830"/>
      <c r="V830"/>
      <c r="W830"/>
      <c r="X830"/>
      <c r="Y830"/>
      <c r="Z830"/>
      <c r="AA830"/>
      <c r="AB830"/>
      <c r="AC830"/>
      <c r="AD830"/>
      <c r="AE830"/>
      <c r="AF830"/>
      <c r="AG830"/>
      <c r="AH830"/>
    </row>
    <row r="831" spans="17:34">
      <c r="Q831"/>
      <c r="R831"/>
      <c r="S831"/>
      <c r="T831"/>
      <c r="U831"/>
      <c r="V831"/>
      <c r="W831"/>
      <c r="X831"/>
      <c r="Y831"/>
      <c r="Z831"/>
      <c r="AA831"/>
      <c r="AB831"/>
      <c r="AC831"/>
      <c r="AD831"/>
      <c r="AE831"/>
      <c r="AF831"/>
      <c r="AG831"/>
      <c r="AH831"/>
    </row>
    <row r="832" spans="17:34">
      <c r="Q832"/>
      <c r="R832"/>
      <c r="S832"/>
      <c r="T832"/>
      <c r="U832"/>
      <c r="V832"/>
      <c r="W832"/>
      <c r="X832"/>
      <c r="Y832"/>
      <c r="Z832"/>
      <c r="AA832"/>
      <c r="AB832"/>
      <c r="AC832"/>
      <c r="AD832"/>
      <c r="AE832"/>
      <c r="AF832"/>
      <c r="AG832"/>
      <c r="AH832"/>
    </row>
    <row r="833" spans="17:34">
      <c r="Q833"/>
      <c r="R833"/>
      <c r="S833"/>
      <c r="T833"/>
      <c r="U833"/>
      <c r="V833"/>
      <c r="W833"/>
      <c r="X833"/>
      <c r="Y833"/>
      <c r="Z833"/>
      <c r="AA833"/>
      <c r="AB833"/>
      <c r="AC833"/>
      <c r="AD833"/>
      <c r="AE833"/>
      <c r="AF833"/>
      <c r="AG833"/>
      <c r="AH833"/>
    </row>
    <row r="834" spans="17:34">
      <c r="Q834"/>
      <c r="R834"/>
      <c r="S834"/>
      <c r="T834"/>
      <c r="U834"/>
      <c r="V834"/>
      <c r="W834"/>
      <c r="X834"/>
      <c r="Y834"/>
      <c r="Z834"/>
      <c r="AA834"/>
      <c r="AB834"/>
      <c r="AC834"/>
      <c r="AD834"/>
      <c r="AE834"/>
      <c r="AF834"/>
      <c r="AG834"/>
      <c r="AH834"/>
    </row>
    <row r="835" spans="17:34">
      <c r="Q835"/>
      <c r="R835"/>
      <c r="S835"/>
      <c r="T835"/>
      <c r="U835"/>
      <c r="V835"/>
      <c r="W835"/>
      <c r="X835"/>
      <c r="Y835"/>
      <c r="Z835"/>
      <c r="AA835"/>
      <c r="AB835"/>
      <c r="AC835"/>
      <c r="AD835"/>
      <c r="AE835"/>
      <c r="AF835"/>
      <c r="AG835"/>
      <c r="AH835"/>
    </row>
    <row r="836" spans="17:34">
      <c r="Q836"/>
      <c r="R836"/>
      <c r="S836"/>
      <c r="T836"/>
      <c r="U836"/>
      <c r="V836"/>
      <c r="W836"/>
      <c r="X836"/>
      <c r="Y836"/>
      <c r="Z836"/>
      <c r="AA836"/>
      <c r="AB836"/>
      <c r="AC836"/>
      <c r="AD836"/>
      <c r="AE836"/>
      <c r="AF836"/>
      <c r="AG836"/>
      <c r="AH836"/>
    </row>
    <row r="837" spans="17:34">
      <c r="Q837"/>
      <c r="R837"/>
      <c r="S837"/>
      <c r="T837"/>
      <c r="U837"/>
      <c r="V837"/>
      <c r="W837"/>
      <c r="X837"/>
      <c r="Y837"/>
      <c r="Z837"/>
      <c r="AA837"/>
      <c r="AB837"/>
      <c r="AC837"/>
      <c r="AD837"/>
      <c r="AE837"/>
      <c r="AF837"/>
      <c r="AG837"/>
      <c r="AH837"/>
    </row>
    <row r="838" spans="17:34">
      <c r="Q838"/>
      <c r="R838"/>
      <c r="S838"/>
      <c r="T838"/>
      <c r="U838"/>
      <c r="V838"/>
      <c r="W838"/>
      <c r="X838"/>
      <c r="Y838"/>
      <c r="Z838"/>
      <c r="AA838"/>
      <c r="AB838"/>
      <c r="AC838"/>
      <c r="AD838"/>
      <c r="AE838"/>
      <c r="AF838"/>
      <c r="AG838"/>
      <c r="AH838"/>
    </row>
    <row r="839" spans="17:34">
      <c r="Q839"/>
      <c r="R839"/>
      <c r="S839"/>
      <c r="T839"/>
      <c r="U839"/>
      <c r="V839"/>
      <c r="W839"/>
      <c r="X839"/>
      <c r="Y839"/>
      <c r="Z839"/>
      <c r="AA839"/>
      <c r="AB839"/>
      <c r="AC839"/>
      <c r="AD839"/>
      <c r="AE839"/>
      <c r="AF839"/>
      <c r="AG839"/>
      <c r="AH839"/>
    </row>
    <row r="840" spans="17:34">
      <c r="Q840"/>
      <c r="R840"/>
      <c r="S840"/>
      <c r="T840"/>
      <c r="U840"/>
      <c r="V840"/>
      <c r="W840"/>
      <c r="X840"/>
      <c r="Y840"/>
      <c r="Z840"/>
      <c r="AA840"/>
      <c r="AB840"/>
      <c r="AC840"/>
      <c r="AD840"/>
      <c r="AE840"/>
      <c r="AF840"/>
      <c r="AG840"/>
      <c r="AH840"/>
    </row>
    <row r="841" spans="17:34">
      <c r="Q841"/>
      <c r="R841"/>
      <c r="S841"/>
      <c r="T841"/>
      <c r="U841"/>
      <c r="V841"/>
      <c r="W841"/>
      <c r="X841"/>
      <c r="Y841"/>
      <c r="Z841"/>
      <c r="AA841"/>
      <c r="AB841"/>
      <c r="AC841"/>
      <c r="AD841"/>
      <c r="AE841"/>
      <c r="AF841"/>
      <c r="AG841"/>
      <c r="AH841"/>
    </row>
    <row r="842" spans="17:34">
      <c r="Q842"/>
      <c r="R842"/>
      <c r="S842"/>
      <c r="T842"/>
      <c r="U842"/>
      <c r="V842"/>
      <c r="W842"/>
      <c r="X842"/>
      <c r="Y842"/>
      <c r="Z842"/>
      <c r="AA842"/>
      <c r="AB842"/>
      <c r="AC842"/>
      <c r="AD842"/>
      <c r="AE842"/>
      <c r="AF842"/>
      <c r="AG842"/>
      <c r="AH842"/>
    </row>
    <row r="843" spans="17:34">
      <c r="Q843"/>
      <c r="R843"/>
      <c r="S843"/>
      <c r="T843"/>
      <c r="U843"/>
      <c r="V843"/>
      <c r="W843"/>
      <c r="X843"/>
      <c r="Y843"/>
      <c r="Z843"/>
      <c r="AA843"/>
      <c r="AB843"/>
      <c r="AC843"/>
      <c r="AD843"/>
      <c r="AE843"/>
      <c r="AF843"/>
      <c r="AG843"/>
      <c r="AH843"/>
    </row>
    <row r="844" spans="17:34">
      <c r="Q844"/>
      <c r="R844"/>
      <c r="S844"/>
      <c r="T844"/>
      <c r="U844"/>
      <c r="V844"/>
      <c r="W844"/>
      <c r="X844"/>
      <c r="Y844"/>
      <c r="Z844"/>
      <c r="AA844"/>
      <c r="AB844"/>
      <c r="AC844"/>
      <c r="AD844"/>
      <c r="AE844"/>
      <c r="AF844"/>
      <c r="AG844"/>
      <c r="AH844"/>
    </row>
    <row r="845" spans="17:34">
      <c r="Q845"/>
      <c r="R845"/>
      <c r="S845"/>
      <c r="T845"/>
      <c r="U845"/>
      <c r="V845"/>
      <c r="W845"/>
      <c r="X845"/>
      <c r="Y845"/>
      <c r="Z845"/>
      <c r="AA845"/>
      <c r="AB845"/>
      <c r="AC845"/>
      <c r="AD845"/>
      <c r="AE845"/>
      <c r="AF845"/>
      <c r="AG845"/>
      <c r="AH845"/>
    </row>
    <row r="846" spans="17:34">
      <c r="Q846"/>
      <c r="R846"/>
      <c r="S846"/>
      <c r="T846"/>
      <c r="U846"/>
      <c r="V846"/>
      <c r="W846"/>
      <c r="X846"/>
      <c r="Y846"/>
      <c r="Z846"/>
      <c r="AA846"/>
      <c r="AB846"/>
      <c r="AC846"/>
      <c r="AD846"/>
      <c r="AE846"/>
      <c r="AF846"/>
      <c r="AG846"/>
      <c r="AH846"/>
    </row>
    <row r="847" spans="17:34">
      <c r="Q847"/>
      <c r="R847"/>
      <c r="S847"/>
      <c r="T847"/>
      <c r="U847"/>
      <c r="V847"/>
      <c r="W847"/>
      <c r="X847"/>
      <c r="Y847"/>
      <c r="Z847"/>
      <c r="AA847"/>
      <c r="AB847"/>
      <c r="AC847"/>
      <c r="AD847"/>
      <c r="AE847"/>
      <c r="AF847"/>
      <c r="AG847"/>
      <c r="AH847"/>
    </row>
    <row r="848" spans="17:34">
      <c r="Q848"/>
      <c r="R848"/>
      <c r="S848"/>
      <c r="T848"/>
      <c r="U848"/>
      <c r="V848"/>
      <c r="W848"/>
      <c r="X848"/>
      <c r="Y848"/>
      <c r="Z848"/>
      <c r="AA848"/>
      <c r="AB848"/>
      <c r="AC848"/>
      <c r="AD848"/>
      <c r="AE848"/>
      <c r="AF848"/>
      <c r="AG848"/>
      <c r="AH848"/>
    </row>
    <row r="849" spans="17:34">
      <c r="Q849"/>
      <c r="R849"/>
      <c r="S849"/>
      <c r="T849"/>
      <c r="U849"/>
      <c r="V849"/>
      <c r="W849"/>
      <c r="X849"/>
      <c r="Y849"/>
      <c r="Z849"/>
      <c r="AA849"/>
      <c r="AB849"/>
      <c r="AC849"/>
      <c r="AD849"/>
      <c r="AE849"/>
      <c r="AF849"/>
      <c r="AG849"/>
      <c r="AH849"/>
    </row>
    <row r="850" spans="17:34">
      <c r="Q850"/>
      <c r="R850"/>
      <c r="S850"/>
      <c r="T850"/>
      <c r="U850"/>
      <c r="V850"/>
      <c r="W850"/>
      <c r="X850"/>
      <c r="Y850"/>
      <c r="Z850"/>
      <c r="AA850"/>
      <c r="AB850"/>
      <c r="AC850"/>
      <c r="AD850"/>
      <c r="AE850"/>
      <c r="AF850"/>
      <c r="AG850"/>
      <c r="AH850"/>
    </row>
    <row r="851" spans="17:34">
      <c r="Q851"/>
      <c r="R851"/>
      <c r="S851"/>
      <c r="T851"/>
      <c r="U851"/>
      <c r="V851"/>
      <c r="W851"/>
      <c r="X851"/>
      <c r="Y851"/>
      <c r="Z851"/>
      <c r="AA851"/>
      <c r="AB851"/>
      <c r="AC851"/>
      <c r="AD851"/>
      <c r="AE851"/>
      <c r="AF851"/>
      <c r="AG851"/>
      <c r="AH851"/>
    </row>
    <row r="852" spans="17:34">
      <c r="Q852"/>
      <c r="R852"/>
      <c r="S852"/>
      <c r="T852"/>
      <c r="U852"/>
      <c r="V852"/>
      <c r="W852"/>
      <c r="X852"/>
      <c r="Y852"/>
      <c r="Z852"/>
      <c r="AA852"/>
      <c r="AB852"/>
      <c r="AC852"/>
      <c r="AD852"/>
      <c r="AE852"/>
      <c r="AF852"/>
      <c r="AG852"/>
      <c r="AH852"/>
    </row>
    <row r="853" spans="17:34">
      <c r="Q853"/>
      <c r="R853"/>
      <c r="S853"/>
      <c r="T853"/>
      <c r="U853"/>
      <c r="V853"/>
      <c r="W853"/>
      <c r="X853"/>
      <c r="Y853"/>
      <c r="Z853"/>
      <c r="AA853"/>
      <c r="AB853"/>
      <c r="AC853"/>
      <c r="AD853"/>
      <c r="AE853"/>
      <c r="AF853"/>
      <c r="AG853"/>
      <c r="AH853"/>
    </row>
    <row r="854" spans="17:34">
      <c r="Q854"/>
      <c r="R854"/>
      <c r="S854"/>
      <c r="T854"/>
      <c r="U854"/>
      <c r="V854"/>
      <c r="W854"/>
      <c r="X854"/>
      <c r="Y854"/>
      <c r="Z854"/>
      <c r="AA854"/>
      <c r="AB854"/>
      <c r="AC854"/>
      <c r="AD854"/>
      <c r="AE854"/>
      <c r="AF854"/>
      <c r="AG854"/>
      <c r="AH854"/>
    </row>
    <row r="855" spans="17:34">
      <c r="Q855"/>
      <c r="R855"/>
      <c r="S855"/>
      <c r="T855"/>
      <c r="U855"/>
      <c r="V855"/>
      <c r="W855"/>
      <c r="X855"/>
      <c r="Y855"/>
      <c r="Z855"/>
      <c r="AA855"/>
      <c r="AB855"/>
      <c r="AC855"/>
      <c r="AD855"/>
      <c r="AE855"/>
      <c r="AF855"/>
      <c r="AG855"/>
      <c r="AH855"/>
    </row>
    <row r="856" spans="17:34">
      <c r="Q856"/>
      <c r="R856"/>
      <c r="S856"/>
      <c r="T856"/>
      <c r="U856"/>
      <c r="V856"/>
      <c r="W856"/>
      <c r="X856"/>
      <c r="Y856"/>
      <c r="Z856"/>
      <c r="AA856"/>
      <c r="AB856"/>
      <c r="AC856"/>
      <c r="AD856"/>
      <c r="AE856"/>
      <c r="AF856"/>
      <c r="AG856"/>
      <c r="AH856"/>
    </row>
    <row r="857" spans="17:34">
      <c r="Q857"/>
      <c r="R857"/>
      <c r="S857"/>
      <c r="T857"/>
      <c r="U857"/>
      <c r="V857"/>
      <c r="W857"/>
      <c r="X857"/>
      <c r="Y857"/>
      <c r="Z857"/>
      <c r="AA857"/>
      <c r="AB857"/>
      <c r="AC857"/>
      <c r="AD857"/>
      <c r="AE857"/>
      <c r="AF857"/>
      <c r="AG857"/>
      <c r="AH857"/>
    </row>
    <row r="858" spans="17:34">
      <c r="Q858"/>
      <c r="R858"/>
      <c r="S858"/>
      <c r="T858"/>
      <c r="U858"/>
      <c r="V858"/>
      <c r="W858"/>
      <c r="X858"/>
      <c r="Y858"/>
      <c r="Z858"/>
      <c r="AA858"/>
      <c r="AB858"/>
      <c r="AC858"/>
      <c r="AD858"/>
      <c r="AE858"/>
      <c r="AF858"/>
      <c r="AG858"/>
      <c r="AH858"/>
    </row>
    <row r="859" spans="17:34">
      <c r="Q859"/>
      <c r="R859"/>
      <c r="S859"/>
      <c r="T859"/>
      <c r="U859"/>
      <c r="V859"/>
      <c r="W859"/>
      <c r="X859"/>
      <c r="Y859"/>
      <c r="Z859"/>
      <c r="AA859"/>
      <c r="AB859"/>
      <c r="AC859"/>
      <c r="AD859"/>
      <c r="AE859"/>
      <c r="AF859"/>
      <c r="AG859"/>
      <c r="AH859"/>
    </row>
    <row r="860" spans="17:34">
      <c r="Q860"/>
      <c r="R860"/>
      <c r="S860"/>
      <c r="T860"/>
      <c r="U860"/>
      <c r="V860"/>
      <c r="W860"/>
      <c r="X860"/>
      <c r="Y860"/>
      <c r="Z860"/>
      <c r="AA860"/>
      <c r="AB860"/>
      <c r="AC860"/>
      <c r="AD860"/>
      <c r="AE860"/>
      <c r="AF860"/>
      <c r="AG860"/>
      <c r="AH860"/>
    </row>
    <row r="861" spans="17:34">
      <c r="Q861"/>
      <c r="R861"/>
      <c r="S861"/>
      <c r="T861"/>
      <c r="U861"/>
      <c r="V861"/>
      <c r="W861"/>
      <c r="X861"/>
      <c r="Y861"/>
      <c r="Z861"/>
      <c r="AA861"/>
      <c r="AB861"/>
      <c r="AC861"/>
      <c r="AD861"/>
      <c r="AE861"/>
      <c r="AF861"/>
      <c r="AG861"/>
      <c r="AH861"/>
    </row>
    <row r="862" spans="17:34">
      <c r="Q862"/>
      <c r="R862"/>
      <c r="S862"/>
      <c r="T862"/>
      <c r="U862"/>
      <c r="V862"/>
      <c r="W862"/>
      <c r="X862"/>
      <c r="Y862"/>
      <c r="Z862"/>
      <c r="AA862"/>
      <c r="AB862"/>
      <c r="AC862"/>
      <c r="AD862"/>
      <c r="AE862"/>
      <c r="AF862"/>
      <c r="AG862"/>
      <c r="AH862"/>
    </row>
    <row r="863" spans="17:34">
      <c r="Q863"/>
      <c r="R863"/>
      <c r="S863"/>
      <c r="T863"/>
      <c r="U863"/>
      <c r="V863"/>
      <c r="W863"/>
      <c r="X863"/>
      <c r="Y863"/>
      <c r="Z863"/>
      <c r="AA863"/>
      <c r="AB863"/>
      <c r="AC863"/>
      <c r="AD863"/>
      <c r="AE863"/>
      <c r="AF863"/>
      <c r="AG863"/>
      <c r="AH863"/>
    </row>
    <row r="864" spans="17:34">
      <c r="Q864"/>
      <c r="R864"/>
      <c r="S864"/>
      <c r="T864"/>
      <c r="U864"/>
      <c r="V864"/>
      <c r="W864"/>
      <c r="X864"/>
      <c r="Y864"/>
      <c r="Z864"/>
      <c r="AA864"/>
      <c r="AB864"/>
      <c r="AC864"/>
      <c r="AD864"/>
      <c r="AE864"/>
      <c r="AF864"/>
      <c r="AG864"/>
      <c r="AH864"/>
    </row>
    <row r="865" spans="17:34">
      <c r="Q865"/>
      <c r="R865"/>
      <c r="S865"/>
      <c r="T865"/>
      <c r="U865"/>
      <c r="V865"/>
      <c r="W865"/>
      <c r="X865"/>
      <c r="Y865"/>
      <c r="Z865"/>
      <c r="AA865"/>
      <c r="AB865"/>
      <c r="AC865"/>
      <c r="AD865"/>
      <c r="AE865"/>
      <c r="AF865"/>
      <c r="AG865"/>
      <c r="AH865"/>
    </row>
    <row r="866" spans="17:34">
      <c r="Q866"/>
      <c r="R866"/>
      <c r="S866"/>
      <c r="T866"/>
      <c r="U866"/>
      <c r="V866"/>
      <c r="W866"/>
      <c r="X866"/>
      <c r="Y866"/>
      <c r="Z866"/>
      <c r="AA866"/>
      <c r="AB866"/>
      <c r="AC866"/>
      <c r="AD866"/>
      <c r="AE866"/>
      <c r="AF866"/>
      <c r="AG866"/>
      <c r="AH866"/>
    </row>
    <row r="867" spans="17:34">
      <c r="Q867"/>
      <c r="R867"/>
      <c r="S867"/>
      <c r="T867"/>
      <c r="U867"/>
      <c r="V867"/>
      <c r="W867"/>
      <c r="X867"/>
      <c r="Y867"/>
      <c r="Z867"/>
      <c r="AA867"/>
      <c r="AB867"/>
      <c r="AC867"/>
      <c r="AD867"/>
      <c r="AE867"/>
      <c r="AF867"/>
      <c r="AG867"/>
      <c r="AH867"/>
    </row>
    <row r="868" spans="17:34">
      <c r="Q868"/>
      <c r="R868"/>
      <c r="S868"/>
      <c r="T868"/>
      <c r="U868"/>
      <c r="V868"/>
      <c r="W868"/>
      <c r="X868"/>
      <c r="Y868"/>
      <c r="Z868"/>
      <c r="AA868"/>
      <c r="AB868"/>
      <c r="AC868"/>
      <c r="AD868"/>
      <c r="AE868"/>
      <c r="AF868"/>
      <c r="AG868"/>
      <c r="AH868"/>
    </row>
    <row r="869" spans="17:34">
      <c r="Q869"/>
      <c r="R869"/>
      <c r="S869"/>
      <c r="T869"/>
      <c r="U869"/>
      <c r="V869"/>
      <c r="W869"/>
      <c r="X869"/>
      <c r="Y869"/>
      <c r="Z869"/>
      <c r="AA869"/>
      <c r="AB869"/>
      <c r="AC869"/>
      <c r="AD869"/>
      <c r="AE869"/>
      <c r="AF869"/>
      <c r="AG869"/>
      <c r="AH869"/>
    </row>
    <row r="870" spans="17:34">
      <c r="Q870"/>
      <c r="R870"/>
      <c r="S870"/>
      <c r="T870"/>
      <c r="U870"/>
      <c r="V870"/>
      <c r="W870"/>
      <c r="X870"/>
      <c r="Y870"/>
      <c r="Z870"/>
      <c r="AA870"/>
      <c r="AB870"/>
      <c r="AC870"/>
      <c r="AD870"/>
      <c r="AE870"/>
      <c r="AF870"/>
      <c r="AG870"/>
      <c r="AH870"/>
    </row>
    <row r="871" spans="17:34">
      <c r="Q871"/>
      <c r="R871"/>
      <c r="S871"/>
      <c r="T871"/>
      <c r="U871"/>
      <c r="V871"/>
      <c r="W871"/>
      <c r="X871"/>
      <c r="Y871"/>
      <c r="Z871"/>
      <c r="AA871"/>
      <c r="AB871"/>
      <c r="AC871"/>
      <c r="AD871"/>
      <c r="AE871"/>
      <c r="AF871"/>
      <c r="AG871"/>
      <c r="AH871"/>
    </row>
    <row r="872" spans="17:34">
      <c r="Q872"/>
      <c r="R872"/>
      <c r="S872"/>
      <c r="T872"/>
      <c r="U872"/>
      <c r="V872"/>
      <c r="W872"/>
      <c r="X872"/>
      <c r="Y872"/>
      <c r="Z872"/>
      <c r="AA872"/>
      <c r="AB872"/>
      <c r="AC872"/>
      <c r="AD872"/>
      <c r="AE872"/>
      <c r="AF872"/>
      <c r="AG872"/>
      <c r="AH872"/>
    </row>
    <row r="873" spans="17:34">
      <c r="Q873"/>
      <c r="R873"/>
      <c r="S873"/>
      <c r="T873"/>
      <c r="U873"/>
      <c r="V873"/>
      <c r="W873"/>
      <c r="X873"/>
      <c r="Y873"/>
      <c r="Z873"/>
      <c r="AA873"/>
      <c r="AB873"/>
      <c r="AC873"/>
      <c r="AD873"/>
      <c r="AE873"/>
      <c r="AF873"/>
      <c r="AG873"/>
      <c r="AH873"/>
    </row>
    <row r="874" spans="17:34">
      <c r="Q874"/>
      <c r="R874"/>
      <c r="S874"/>
      <c r="T874"/>
      <c r="U874"/>
      <c r="V874"/>
      <c r="W874"/>
      <c r="X874"/>
      <c r="Y874"/>
      <c r="Z874"/>
      <c r="AA874"/>
      <c r="AB874"/>
      <c r="AC874"/>
      <c r="AD874"/>
      <c r="AE874"/>
      <c r="AF874"/>
      <c r="AG874"/>
      <c r="AH874"/>
    </row>
    <row r="875" spans="17:34">
      <c r="Q875"/>
      <c r="R875"/>
      <c r="S875"/>
      <c r="T875"/>
      <c r="U875"/>
      <c r="V875"/>
      <c r="W875"/>
      <c r="X875"/>
      <c r="Y875"/>
      <c r="Z875"/>
      <c r="AA875"/>
      <c r="AB875"/>
      <c r="AC875"/>
      <c r="AD875"/>
      <c r="AE875"/>
      <c r="AF875"/>
      <c r="AG875"/>
      <c r="AH875"/>
    </row>
    <row r="876" spans="17:34">
      <c r="Q876"/>
      <c r="R876"/>
      <c r="S876"/>
      <c r="T876"/>
      <c r="U876"/>
      <c r="V876"/>
      <c r="W876"/>
      <c r="X876"/>
      <c r="Y876"/>
      <c r="Z876"/>
      <c r="AA876"/>
      <c r="AB876"/>
      <c r="AC876"/>
      <c r="AD876"/>
      <c r="AE876"/>
      <c r="AF876"/>
      <c r="AG876"/>
      <c r="AH876"/>
    </row>
    <row r="877" spans="17:34">
      <c r="Q877"/>
      <c r="R877"/>
      <c r="S877"/>
      <c r="T877"/>
      <c r="U877"/>
      <c r="V877"/>
      <c r="W877"/>
      <c r="X877"/>
      <c r="Y877"/>
      <c r="Z877"/>
      <c r="AA877"/>
      <c r="AB877"/>
      <c r="AC877"/>
      <c r="AD877"/>
      <c r="AE877"/>
      <c r="AF877"/>
      <c r="AG877"/>
      <c r="AH877"/>
    </row>
    <row r="878" spans="17:34">
      <c r="Q878"/>
      <c r="R878"/>
      <c r="S878"/>
      <c r="T878"/>
      <c r="U878"/>
      <c r="V878"/>
      <c r="W878"/>
      <c r="X878"/>
      <c r="Y878"/>
      <c r="Z878"/>
      <c r="AA878"/>
      <c r="AB878"/>
      <c r="AC878"/>
      <c r="AD878"/>
      <c r="AE878"/>
      <c r="AF878"/>
      <c r="AG878"/>
      <c r="AH878"/>
    </row>
    <row r="879" spans="17:34">
      <c r="Q879"/>
      <c r="R879"/>
      <c r="S879"/>
      <c r="T879"/>
      <c r="U879"/>
      <c r="V879"/>
      <c r="W879"/>
      <c r="X879"/>
      <c r="Y879"/>
      <c r="Z879"/>
      <c r="AA879"/>
      <c r="AB879"/>
      <c r="AC879"/>
      <c r="AD879"/>
      <c r="AE879"/>
      <c r="AF879"/>
      <c r="AG879"/>
      <c r="AH879"/>
    </row>
    <row r="880" spans="17:34">
      <c r="Q880"/>
      <c r="R880"/>
      <c r="S880"/>
      <c r="T880"/>
      <c r="U880"/>
      <c r="V880"/>
      <c r="W880"/>
      <c r="X880"/>
      <c r="Y880"/>
      <c r="Z880"/>
      <c r="AA880"/>
      <c r="AB880"/>
      <c r="AC880"/>
      <c r="AD880"/>
      <c r="AE880"/>
      <c r="AF880"/>
      <c r="AG880"/>
      <c r="AH880"/>
    </row>
    <row r="881" spans="17:34">
      <c r="Q881"/>
      <c r="R881"/>
      <c r="S881"/>
      <c r="T881"/>
      <c r="U881"/>
      <c r="V881"/>
      <c r="W881"/>
      <c r="X881"/>
      <c r="Y881"/>
      <c r="Z881"/>
      <c r="AA881"/>
      <c r="AB881"/>
      <c r="AC881"/>
      <c r="AD881"/>
      <c r="AE881"/>
      <c r="AF881"/>
      <c r="AG881"/>
      <c r="AH881"/>
    </row>
    <row r="882" spans="17:34">
      <c r="Q882"/>
      <c r="R882"/>
      <c r="S882"/>
      <c r="T882"/>
      <c r="U882"/>
      <c r="V882"/>
      <c r="W882"/>
      <c r="X882"/>
      <c r="Y882"/>
      <c r="Z882"/>
      <c r="AA882"/>
      <c r="AB882"/>
      <c r="AC882"/>
      <c r="AD882"/>
      <c r="AE882"/>
      <c r="AF882"/>
      <c r="AG882"/>
      <c r="AH882"/>
    </row>
    <row r="883" spans="17:34">
      <c r="Q883"/>
      <c r="R883"/>
      <c r="S883"/>
      <c r="T883"/>
      <c r="U883"/>
      <c r="V883"/>
      <c r="W883"/>
      <c r="X883"/>
      <c r="Y883"/>
      <c r="Z883"/>
      <c r="AA883"/>
      <c r="AB883"/>
      <c r="AC883"/>
      <c r="AD883"/>
      <c r="AE883"/>
      <c r="AF883"/>
      <c r="AG883"/>
      <c r="AH883"/>
    </row>
    <row r="884" spans="17:34">
      <c r="Q884"/>
      <c r="R884"/>
      <c r="S884"/>
      <c r="T884"/>
      <c r="U884"/>
      <c r="V884"/>
      <c r="W884"/>
      <c r="X884"/>
      <c r="Y884"/>
      <c r="Z884"/>
      <c r="AA884"/>
      <c r="AB884"/>
      <c r="AC884"/>
      <c r="AD884"/>
      <c r="AE884"/>
      <c r="AF884"/>
      <c r="AG884"/>
      <c r="AH884"/>
    </row>
    <row r="885" spans="17:34">
      <c r="Q885"/>
      <c r="R885"/>
      <c r="S885"/>
      <c r="T885"/>
      <c r="U885"/>
      <c r="V885"/>
      <c r="W885"/>
      <c r="X885"/>
      <c r="Y885"/>
      <c r="Z885"/>
      <c r="AA885"/>
      <c r="AB885"/>
      <c r="AC885"/>
      <c r="AD885"/>
      <c r="AE885"/>
      <c r="AF885"/>
      <c r="AG885"/>
      <c r="AH885"/>
    </row>
    <row r="886" spans="17:34">
      <c r="Q886"/>
      <c r="R886"/>
      <c r="S886"/>
      <c r="T886"/>
      <c r="U886"/>
      <c r="V886"/>
      <c r="W886"/>
      <c r="X886"/>
      <c r="Y886"/>
      <c r="Z886"/>
      <c r="AA886"/>
      <c r="AB886"/>
      <c r="AC886"/>
      <c r="AD886"/>
      <c r="AE886"/>
      <c r="AF886"/>
      <c r="AG886"/>
      <c r="AH886"/>
    </row>
    <row r="887" spans="17:34">
      <c r="Q887"/>
      <c r="R887"/>
      <c r="S887"/>
      <c r="T887"/>
      <c r="U887"/>
      <c r="V887"/>
      <c r="W887"/>
      <c r="X887"/>
      <c r="Y887"/>
      <c r="Z887"/>
      <c r="AA887"/>
      <c r="AB887"/>
      <c r="AC887"/>
      <c r="AD887"/>
      <c r="AE887"/>
      <c r="AF887"/>
      <c r="AG887"/>
      <c r="AH887"/>
    </row>
    <row r="888" spans="17:34">
      <c r="Q888"/>
      <c r="R888"/>
      <c r="S888"/>
      <c r="T888"/>
      <c r="U888"/>
      <c r="V888"/>
      <c r="W888"/>
      <c r="X888"/>
      <c r="Y888"/>
      <c r="Z888"/>
      <c r="AA888"/>
      <c r="AB888"/>
      <c r="AC888"/>
      <c r="AD888"/>
      <c r="AE888"/>
      <c r="AF888"/>
      <c r="AG888"/>
      <c r="AH888"/>
    </row>
    <row r="889" spans="17:34">
      <c r="Q889"/>
      <c r="R889"/>
      <c r="S889"/>
      <c r="T889"/>
      <c r="U889"/>
      <c r="V889"/>
      <c r="W889"/>
      <c r="X889"/>
      <c r="Y889"/>
      <c r="Z889"/>
      <c r="AA889"/>
      <c r="AB889"/>
      <c r="AC889"/>
      <c r="AD889"/>
      <c r="AE889"/>
      <c r="AF889"/>
      <c r="AG889"/>
      <c r="AH889"/>
    </row>
    <row r="890" spans="17:34">
      <c r="Q890"/>
      <c r="R890"/>
      <c r="S890"/>
      <c r="T890"/>
      <c r="U890"/>
      <c r="V890"/>
      <c r="W890"/>
      <c r="X890"/>
      <c r="Y890"/>
      <c r="Z890"/>
      <c r="AA890"/>
      <c r="AB890"/>
      <c r="AC890"/>
      <c r="AD890"/>
      <c r="AE890"/>
      <c r="AF890"/>
      <c r="AG890"/>
      <c r="AH890"/>
    </row>
    <row r="891" spans="17:34">
      <c r="Q891"/>
      <c r="R891"/>
      <c r="S891"/>
      <c r="T891"/>
      <c r="U891"/>
      <c r="V891"/>
      <c r="W891"/>
      <c r="X891"/>
      <c r="Y891"/>
      <c r="Z891"/>
      <c r="AA891"/>
      <c r="AB891"/>
      <c r="AC891"/>
      <c r="AD891"/>
      <c r="AE891"/>
      <c r="AF891"/>
      <c r="AG891"/>
      <c r="AH891"/>
    </row>
    <row r="892" spans="17:34">
      <c r="Q892"/>
      <c r="R892"/>
      <c r="S892"/>
      <c r="T892"/>
      <c r="U892"/>
      <c r="V892"/>
      <c r="W892"/>
      <c r="X892"/>
      <c r="Y892"/>
      <c r="Z892"/>
      <c r="AA892"/>
      <c r="AB892"/>
      <c r="AC892"/>
      <c r="AD892"/>
      <c r="AE892"/>
      <c r="AF892"/>
      <c r="AG892"/>
      <c r="AH892"/>
    </row>
    <row r="893" spans="17:34">
      <c r="Q893"/>
      <c r="R893"/>
      <c r="S893"/>
      <c r="T893"/>
      <c r="U893"/>
      <c r="V893"/>
      <c r="W893"/>
      <c r="X893"/>
      <c r="Y893"/>
      <c r="Z893"/>
      <c r="AA893"/>
      <c r="AB893"/>
      <c r="AC893"/>
      <c r="AD893"/>
      <c r="AE893"/>
      <c r="AF893"/>
      <c r="AG893"/>
      <c r="AH893"/>
    </row>
    <row r="894" spans="17:34">
      <c r="Q894"/>
      <c r="R894"/>
      <c r="S894"/>
      <c r="T894"/>
      <c r="U894"/>
      <c r="V894"/>
      <c r="W894"/>
      <c r="X894"/>
      <c r="Y894"/>
      <c r="Z894"/>
      <c r="AA894"/>
      <c r="AB894"/>
      <c r="AC894"/>
      <c r="AD894"/>
      <c r="AE894"/>
      <c r="AF894"/>
      <c r="AG894"/>
      <c r="AH894"/>
    </row>
    <row r="895" spans="17:34">
      <c r="Q895"/>
      <c r="R895"/>
      <c r="S895"/>
      <c r="T895"/>
      <c r="U895"/>
      <c r="V895"/>
      <c r="W895"/>
      <c r="X895"/>
      <c r="Y895"/>
      <c r="Z895"/>
      <c r="AA895"/>
      <c r="AB895"/>
      <c r="AC895"/>
      <c r="AD895"/>
      <c r="AE895"/>
      <c r="AF895"/>
      <c r="AG895"/>
      <c r="AH895"/>
    </row>
    <row r="896" spans="17:34">
      <c r="Q896"/>
      <c r="R896"/>
      <c r="S896"/>
      <c r="T896"/>
      <c r="U896"/>
      <c r="V896"/>
      <c r="W896"/>
      <c r="X896"/>
      <c r="Y896"/>
      <c r="Z896"/>
      <c r="AA896"/>
      <c r="AB896"/>
      <c r="AC896"/>
      <c r="AD896"/>
      <c r="AE896"/>
      <c r="AF896"/>
      <c r="AG896"/>
      <c r="AH896"/>
    </row>
    <row r="897" spans="17:34">
      <c r="Q897"/>
      <c r="R897"/>
      <c r="S897"/>
      <c r="T897"/>
      <c r="U897"/>
      <c r="V897"/>
      <c r="W897"/>
      <c r="X897"/>
      <c r="Y897"/>
      <c r="Z897"/>
      <c r="AA897"/>
      <c r="AB897"/>
      <c r="AC897"/>
      <c r="AD897"/>
      <c r="AE897"/>
      <c r="AF897"/>
      <c r="AG897"/>
      <c r="AH897"/>
    </row>
    <row r="898" spans="17:34">
      <c r="Q898"/>
      <c r="R898"/>
      <c r="S898"/>
      <c r="T898"/>
      <c r="U898"/>
      <c r="V898"/>
      <c r="W898"/>
      <c r="X898"/>
      <c r="Y898"/>
      <c r="Z898"/>
      <c r="AA898"/>
      <c r="AB898"/>
      <c r="AC898"/>
      <c r="AD898"/>
      <c r="AE898"/>
      <c r="AF898"/>
      <c r="AG898"/>
      <c r="AH898"/>
    </row>
    <row r="899" spans="17:34">
      <c r="Q899"/>
      <c r="R899"/>
      <c r="S899"/>
      <c r="T899"/>
      <c r="U899"/>
      <c r="V899"/>
      <c r="W899"/>
      <c r="X899"/>
      <c r="Y899"/>
      <c r="Z899"/>
      <c r="AA899"/>
      <c r="AB899"/>
      <c r="AC899"/>
      <c r="AD899"/>
      <c r="AE899"/>
      <c r="AF899"/>
      <c r="AG899"/>
      <c r="AH899"/>
    </row>
    <row r="900" spans="17:34">
      <c r="Q900"/>
      <c r="R900"/>
      <c r="S900"/>
      <c r="T900"/>
      <c r="U900"/>
      <c r="V900"/>
      <c r="W900"/>
      <c r="X900"/>
      <c r="Y900"/>
      <c r="Z900"/>
      <c r="AA900"/>
      <c r="AB900"/>
      <c r="AC900"/>
      <c r="AD900"/>
      <c r="AE900"/>
      <c r="AF900"/>
      <c r="AG900"/>
      <c r="AH900"/>
    </row>
    <row r="901" spans="17:34">
      <c r="Q901"/>
      <c r="R901"/>
      <c r="S901"/>
      <c r="T901"/>
      <c r="U901"/>
      <c r="V901"/>
      <c r="W901"/>
      <c r="X901"/>
      <c r="Y901"/>
      <c r="Z901"/>
      <c r="AA901"/>
      <c r="AB901"/>
      <c r="AC901"/>
      <c r="AD901"/>
      <c r="AE901"/>
      <c r="AF901"/>
      <c r="AG901"/>
      <c r="AH901"/>
    </row>
    <row r="902" spans="17:34">
      <c r="Q902"/>
      <c r="R902"/>
      <c r="S902"/>
      <c r="T902"/>
      <c r="U902"/>
      <c r="V902"/>
      <c r="W902"/>
      <c r="X902"/>
      <c r="Y902"/>
      <c r="Z902"/>
      <c r="AA902"/>
      <c r="AB902"/>
      <c r="AC902"/>
      <c r="AD902"/>
      <c r="AE902"/>
      <c r="AF902"/>
      <c r="AG902"/>
      <c r="AH902"/>
    </row>
    <row r="903" spans="17:34">
      <c r="Q903"/>
      <c r="R903"/>
      <c r="S903"/>
      <c r="T903"/>
      <c r="U903"/>
      <c r="V903"/>
      <c r="W903"/>
      <c r="X903"/>
      <c r="Y903"/>
      <c r="Z903"/>
      <c r="AA903"/>
      <c r="AB903"/>
      <c r="AC903"/>
      <c r="AD903"/>
      <c r="AE903"/>
      <c r="AF903"/>
      <c r="AG903"/>
      <c r="AH903"/>
    </row>
    <row r="904" spans="17:34">
      <c r="Q904"/>
      <c r="R904"/>
      <c r="S904"/>
      <c r="T904"/>
      <c r="U904"/>
      <c r="V904"/>
      <c r="W904"/>
      <c r="X904"/>
      <c r="Y904"/>
      <c r="Z904"/>
      <c r="AA904"/>
      <c r="AB904"/>
      <c r="AC904"/>
      <c r="AD904"/>
      <c r="AE904"/>
      <c r="AF904"/>
      <c r="AG904"/>
      <c r="AH904"/>
    </row>
    <row r="905" spans="17:34">
      <c r="Q905"/>
      <c r="R905"/>
      <c r="S905"/>
      <c r="T905"/>
      <c r="U905"/>
      <c r="V905"/>
      <c r="W905"/>
      <c r="X905"/>
      <c r="Y905"/>
      <c r="Z905"/>
      <c r="AA905"/>
      <c r="AB905"/>
      <c r="AC905"/>
      <c r="AD905"/>
      <c r="AE905"/>
      <c r="AF905"/>
      <c r="AG905"/>
      <c r="AH905"/>
    </row>
    <row r="906" spans="17:34">
      <c r="Q906"/>
      <c r="R906"/>
      <c r="S906"/>
      <c r="T906"/>
      <c r="U906"/>
      <c r="V906"/>
      <c r="W906"/>
      <c r="X906"/>
      <c r="Y906"/>
      <c r="Z906"/>
      <c r="AA906"/>
      <c r="AB906"/>
      <c r="AC906"/>
      <c r="AD906"/>
      <c r="AE906"/>
      <c r="AF906"/>
      <c r="AG906"/>
      <c r="AH906"/>
    </row>
    <row r="907" spans="17:34">
      <c r="Q907"/>
      <c r="R907"/>
      <c r="S907"/>
      <c r="T907"/>
      <c r="U907"/>
      <c r="V907"/>
      <c r="W907"/>
      <c r="X907"/>
      <c r="Y907"/>
      <c r="Z907"/>
      <c r="AA907"/>
      <c r="AB907"/>
      <c r="AC907"/>
      <c r="AD907"/>
      <c r="AE907"/>
      <c r="AF907"/>
      <c r="AG907"/>
      <c r="AH907"/>
    </row>
    <row r="908" spans="17:34">
      <c r="Q908"/>
      <c r="R908"/>
      <c r="S908"/>
      <c r="T908"/>
      <c r="U908"/>
      <c r="V908"/>
      <c r="W908"/>
      <c r="X908"/>
      <c r="Y908"/>
      <c r="Z908"/>
      <c r="AA908"/>
      <c r="AB908"/>
      <c r="AC908"/>
      <c r="AD908"/>
      <c r="AE908"/>
      <c r="AF908"/>
      <c r="AG908"/>
      <c r="AH908"/>
    </row>
    <row r="909" spans="17:34">
      <c r="Q909"/>
      <c r="R909"/>
      <c r="S909"/>
      <c r="T909"/>
      <c r="U909"/>
      <c r="V909"/>
      <c r="W909"/>
      <c r="X909"/>
      <c r="Y909"/>
      <c r="Z909"/>
      <c r="AA909"/>
      <c r="AB909"/>
      <c r="AC909"/>
      <c r="AD909"/>
      <c r="AE909"/>
      <c r="AF909"/>
      <c r="AG909"/>
      <c r="AH909"/>
    </row>
    <row r="910" spans="17:34">
      <c r="Q910"/>
      <c r="R910"/>
      <c r="S910"/>
      <c r="T910"/>
      <c r="U910"/>
      <c r="V910"/>
      <c r="W910"/>
      <c r="X910"/>
      <c r="Y910"/>
      <c r="Z910"/>
      <c r="AA910"/>
      <c r="AB910"/>
      <c r="AC910"/>
      <c r="AD910"/>
      <c r="AE910"/>
      <c r="AF910"/>
      <c r="AG910"/>
      <c r="AH910"/>
    </row>
    <row r="911" spans="17:34">
      <c r="Q911"/>
      <c r="R911"/>
      <c r="S911"/>
      <c r="T911"/>
      <c r="U911"/>
      <c r="V911"/>
      <c r="W911"/>
      <c r="X911"/>
      <c r="Y911"/>
      <c r="Z911"/>
      <c r="AA911"/>
      <c r="AB911"/>
      <c r="AC911"/>
      <c r="AD911"/>
      <c r="AE911"/>
      <c r="AF911"/>
      <c r="AG911"/>
      <c r="AH911"/>
    </row>
    <row r="912" spans="17:34">
      <c r="Q912"/>
      <c r="R912"/>
      <c r="S912"/>
      <c r="T912"/>
      <c r="U912"/>
      <c r="V912"/>
      <c r="W912"/>
      <c r="X912"/>
      <c r="Y912"/>
      <c r="Z912"/>
      <c r="AA912"/>
      <c r="AB912"/>
      <c r="AC912"/>
      <c r="AD912"/>
      <c r="AE912"/>
      <c r="AF912"/>
      <c r="AG912"/>
      <c r="AH912"/>
    </row>
    <row r="913" spans="17:34">
      <c r="Q913"/>
      <c r="R913"/>
      <c r="S913"/>
      <c r="T913"/>
      <c r="U913"/>
      <c r="V913"/>
      <c r="W913"/>
      <c r="X913"/>
      <c r="Y913"/>
      <c r="Z913"/>
      <c r="AA913"/>
      <c r="AB913"/>
      <c r="AC913"/>
      <c r="AD913"/>
      <c r="AE913"/>
      <c r="AF913"/>
      <c r="AG913"/>
      <c r="AH913"/>
    </row>
    <row r="914" spans="17:34">
      <c r="Q914"/>
      <c r="R914"/>
      <c r="S914"/>
      <c r="T914"/>
      <c r="U914"/>
      <c r="V914"/>
      <c r="W914"/>
      <c r="X914"/>
      <c r="Y914"/>
      <c r="Z914"/>
      <c r="AA914"/>
      <c r="AB914"/>
      <c r="AC914"/>
      <c r="AD914"/>
      <c r="AE914"/>
      <c r="AF914"/>
      <c r="AG914"/>
      <c r="AH914"/>
    </row>
    <row r="915" spans="17:34">
      <c r="Q915"/>
      <c r="R915"/>
      <c r="S915"/>
      <c r="T915"/>
      <c r="U915"/>
      <c r="V915"/>
      <c r="W915"/>
      <c r="X915"/>
      <c r="Y915"/>
      <c r="Z915"/>
      <c r="AA915"/>
      <c r="AB915"/>
      <c r="AC915"/>
      <c r="AD915"/>
      <c r="AE915"/>
      <c r="AF915"/>
      <c r="AG915"/>
      <c r="AH915"/>
    </row>
    <row r="916" spans="17:34">
      <c r="Q916"/>
      <c r="R916"/>
      <c r="S916"/>
      <c r="T916"/>
      <c r="U916"/>
      <c r="V916"/>
      <c r="W916"/>
      <c r="X916"/>
      <c r="Y916"/>
      <c r="Z916"/>
      <c r="AA916"/>
      <c r="AB916"/>
      <c r="AC916"/>
      <c r="AD916"/>
      <c r="AE916"/>
      <c r="AF916"/>
      <c r="AG916"/>
      <c r="AH916"/>
    </row>
    <row r="917" spans="17:34">
      <c r="Q917"/>
      <c r="R917"/>
      <c r="S917"/>
      <c r="T917"/>
      <c r="U917"/>
      <c r="V917"/>
      <c r="W917"/>
      <c r="X917"/>
      <c r="Y917"/>
      <c r="Z917"/>
      <c r="AA917"/>
      <c r="AB917"/>
      <c r="AC917"/>
      <c r="AD917"/>
      <c r="AE917"/>
      <c r="AF917"/>
      <c r="AG917"/>
      <c r="AH917"/>
    </row>
    <row r="918" spans="17:34">
      <c r="Q918"/>
      <c r="R918"/>
      <c r="S918"/>
      <c r="T918"/>
      <c r="U918"/>
      <c r="V918"/>
      <c r="W918"/>
      <c r="X918"/>
      <c r="Y918"/>
      <c r="Z918"/>
      <c r="AA918"/>
      <c r="AB918"/>
      <c r="AC918"/>
      <c r="AD918"/>
      <c r="AE918"/>
      <c r="AF918"/>
      <c r="AG918"/>
      <c r="AH918"/>
    </row>
    <row r="919" spans="17:34">
      <c r="Q919"/>
      <c r="R919"/>
      <c r="S919"/>
      <c r="T919"/>
      <c r="U919"/>
      <c r="V919"/>
      <c r="W919"/>
      <c r="X919"/>
      <c r="Y919"/>
      <c r="Z919"/>
      <c r="AA919"/>
      <c r="AB919"/>
      <c r="AC919"/>
      <c r="AD919"/>
      <c r="AE919"/>
      <c r="AF919"/>
      <c r="AG919"/>
      <c r="AH919"/>
    </row>
    <row r="920" spans="17:34">
      <c r="Q920"/>
      <c r="R920"/>
      <c r="S920"/>
      <c r="T920"/>
      <c r="U920"/>
      <c r="V920"/>
      <c r="W920"/>
      <c r="X920"/>
      <c r="Y920"/>
      <c r="Z920"/>
      <c r="AA920"/>
      <c r="AB920"/>
      <c r="AC920"/>
      <c r="AD920"/>
      <c r="AE920"/>
      <c r="AF920"/>
      <c r="AG920"/>
      <c r="AH920"/>
    </row>
    <row r="921" spans="17:34">
      <c r="Q921"/>
      <c r="R921"/>
      <c r="S921"/>
      <c r="T921"/>
      <c r="U921"/>
      <c r="V921"/>
      <c r="W921"/>
      <c r="X921"/>
      <c r="Y921"/>
      <c r="Z921"/>
      <c r="AA921"/>
      <c r="AB921"/>
      <c r="AC921"/>
      <c r="AD921"/>
      <c r="AE921"/>
      <c r="AF921"/>
      <c r="AG921"/>
      <c r="AH921"/>
    </row>
    <row r="922" spans="17:34">
      <c r="Q922"/>
      <c r="R922"/>
      <c r="S922"/>
      <c r="T922"/>
      <c r="U922"/>
      <c r="V922"/>
      <c r="W922"/>
      <c r="X922"/>
      <c r="Y922"/>
      <c r="Z922"/>
      <c r="AA922"/>
      <c r="AB922"/>
      <c r="AC922"/>
      <c r="AD922"/>
      <c r="AE922"/>
      <c r="AF922"/>
      <c r="AG922"/>
      <c r="AH922"/>
    </row>
    <row r="923" spans="17:34">
      <c r="Q923"/>
      <c r="R923"/>
      <c r="S923"/>
      <c r="T923"/>
      <c r="U923"/>
      <c r="V923"/>
      <c r="W923"/>
      <c r="X923"/>
      <c r="Y923"/>
      <c r="Z923"/>
      <c r="AA923"/>
      <c r="AB923"/>
      <c r="AC923"/>
      <c r="AD923"/>
      <c r="AE923"/>
      <c r="AF923"/>
      <c r="AG923"/>
      <c r="AH923"/>
    </row>
    <row r="924" spans="17:34">
      <c r="Q924"/>
      <c r="R924"/>
      <c r="S924"/>
      <c r="T924"/>
      <c r="U924"/>
      <c r="V924"/>
      <c r="W924"/>
      <c r="X924"/>
      <c r="Y924"/>
      <c r="Z924"/>
      <c r="AA924"/>
      <c r="AB924"/>
      <c r="AC924"/>
      <c r="AD924"/>
      <c r="AE924"/>
      <c r="AF924"/>
      <c r="AG924"/>
      <c r="AH924"/>
    </row>
    <row r="925" spans="17:34">
      <c r="Q925"/>
      <c r="R925"/>
      <c r="S925"/>
      <c r="T925"/>
      <c r="U925"/>
      <c r="V925"/>
      <c r="W925"/>
      <c r="X925"/>
      <c r="Y925"/>
      <c r="Z925"/>
      <c r="AA925"/>
      <c r="AB925"/>
      <c r="AC925"/>
      <c r="AD925"/>
      <c r="AE925"/>
      <c r="AF925"/>
      <c r="AG925"/>
      <c r="AH925"/>
    </row>
    <row r="926" spans="17:34">
      <c r="Q926"/>
      <c r="R926"/>
      <c r="S926"/>
      <c r="T926"/>
      <c r="U926"/>
      <c r="V926"/>
      <c r="W926"/>
      <c r="X926"/>
      <c r="Y926"/>
      <c r="Z926"/>
      <c r="AA926"/>
      <c r="AB926"/>
      <c r="AC926"/>
      <c r="AD926"/>
      <c r="AE926"/>
      <c r="AF926"/>
      <c r="AG926"/>
      <c r="AH926"/>
    </row>
    <row r="927" spans="17:34">
      <c r="Q927"/>
      <c r="R927"/>
      <c r="S927"/>
      <c r="T927"/>
      <c r="U927"/>
      <c r="V927"/>
      <c r="W927"/>
      <c r="X927"/>
      <c r="Y927"/>
      <c r="Z927"/>
      <c r="AA927"/>
      <c r="AB927"/>
      <c r="AC927"/>
      <c r="AD927"/>
      <c r="AE927"/>
      <c r="AF927"/>
      <c r="AG927"/>
      <c r="AH927"/>
    </row>
    <row r="928" spans="17:34">
      <c r="Q928"/>
      <c r="R928"/>
      <c r="S928"/>
      <c r="T928"/>
      <c r="U928"/>
      <c r="V928"/>
      <c r="W928"/>
      <c r="X928"/>
      <c r="Y928"/>
      <c r="Z928"/>
      <c r="AA928"/>
      <c r="AB928"/>
      <c r="AC928"/>
      <c r="AD928"/>
      <c r="AE928"/>
      <c r="AF928"/>
      <c r="AG928"/>
      <c r="AH928"/>
    </row>
    <row r="929" spans="17:34">
      <c r="Q929"/>
      <c r="R929"/>
      <c r="S929"/>
      <c r="T929"/>
      <c r="U929"/>
      <c r="V929"/>
      <c r="W929"/>
      <c r="X929"/>
      <c r="Y929"/>
      <c r="Z929"/>
      <c r="AA929"/>
      <c r="AB929"/>
      <c r="AC929"/>
      <c r="AD929"/>
      <c r="AE929"/>
      <c r="AF929"/>
      <c r="AG929"/>
      <c r="AH929"/>
    </row>
    <row r="930" spans="17:34">
      <c r="Q930"/>
      <c r="R930"/>
      <c r="S930"/>
      <c r="T930"/>
      <c r="U930"/>
      <c r="V930"/>
      <c r="W930"/>
      <c r="X930"/>
      <c r="Y930"/>
      <c r="Z930"/>
      <c r="AA930"/>
      <c r="AB930"/>
      <c r="AC930"/>
      <c r="AD930"/>
      <c r="AE930"/>
      <c r="AF930"/>
      <c r="AG930"/>
      <c r="AH930"/>
    </row>
    <row r="931" spans="17:34">
      <c r="Q931"/>
      <c r="R931"/>
      <c r="S931"/>
      <c r="T931"/>
      <c r="U931"/>
      <c r="V931"/>
      <c r="W931"/>
      <c r="X931"/>
      <c r="Y931"/>
      <c r="Z931"/>
      <c r="AA931"/>
      <c r="AB931"/>
      <c r="AC931"/>
      <c r="AD931"/>
      <c r="AE931"/>
      <c r="AF931"/>
      <c r="AG931"/>
      <c r="AH931"/>
    </row>
    <row r="932" spans="17:34">
      <c r="Q932"/>
      <c r="R932"/>
      <c r="S932"/>
      <c r="T932"/>
      <c r="U932"/>
      <c r="V932"/>
      <c r="W932"/>
      <c r="X932"/>
      <c r="Y932"/>
      <c r="Z932"/>
      <c r="AA932"/>
      <c r="AB932"/>
      <c r="AC932"/>
      <c r="AD932"/>
      <c r="AE932"/>
      <c r="AF932"/>
      <c r="AG932"/>
      <c r="AH932"/>
    </row>
    <row r="933" spans="17:34">
      <c r="Q933"/>
      <c r="R933"/>
      <c r="S933"/>
      <c r="T933"/>
      <c r="U933"/>
      <c r="V933"/>
      <c r="W933"/>
      <c r="X933"/>
      <c r="Y933"/>
      <c r="Z933"/>
      <c r="AA933"/>
      <c r="AB933"/>
      <c r="AC933"/>
      <c r="AD933"/>
      <c r="AE933"/>
      <c r="AF933"/>
      <c r="AG933"/>
      <c r="AH933"/>
    </row>
    <row r="934" spans="17:34">
      <c r="Q934"/>
      <c r="R934"/>
      <c r="S934"/>
      <c r="T934"/>
      <c r="U934"/>
      <c r="V934"/>
      <c r="W934"/>
      <c r="X934"/>
      <c r="Y934"/>
      <c r="Z934"/>
      <c r="AA934"/>
      <c r="AB934"/>
      <c r="AC934"/>
      <c r="AD934"/>
      <c r="AE934"/>
      <c r="AF934"/>
      <c r="AG934"/>
      <c r="AH934"/>
    </row>
    <row r="935" spans="17:34">
      <c r="Q935"/>
      <c r="R935"/>
      <c r="S935"/>
      <c r="T935"/>
      <c r="U935"/>
      <c r="V935"/>
      <c r="W935"/>
      <c r="X935"/>
      <c r="Y935"/>
      <c r="Z935"/>
      <c r="AA935"/>
      <c r="AB935"/>
      <c r="AC935"/>
      <c r="AD935"/>
      <c r="AE935"/>
      <c r="AF935"/>
      <c r="AG935"/>
      <c r="AH935"/>
    </row>
    <row r="936" spans="17:34">
      <c r="Q936"/>
      <c r="R936"/>
      <c r="S936"/>
      <c r="T936"/>
      <c r="U936"/>
      <c r="V936"/>
      <c r="W936"/>
      <c r="X936"/>
      <c r="Y936"/>
      <c r="Z936"/>
      <c r="AA936"/>
      <c r="AB936"/>
      <c r="AC936"/>
      <c r="AD936"/>
      <c r="AE936"/>
      <c r="AF936"/>
      <c r="AG936"/>
      <c r="AH936"/>
    </row>
    <row r="937" spans="17:34">
      <c r="Q937"/>
      <c r="R937"/>
      <c r="S937"/>
      <c r="T937"/>
      <c r="U937"/>
      <c r="V937"/>
      <c r="W937"/>
      <c r="X937"/>
      <c r="Y937"/>
      <c r="Z937"/>
      <c r="AA937"/>
      <c r="AB937"/>
      <c r="AC937"/>
      <c r="AD937"/>
      <c r="AE937"/>
      <c r="AF937"/>
      <c r="AG937"/>
      <c r="AH937"/>
    </row>
    <row r="938" spans="17:34">
      <c r="Q938"/>
      <c r="R938"/>
      <c r="S938"/>
      <c r="T938"/>
      <c r="U938"/>
      <c r="V938"/>
      <c r="W938"/>
      <c r="X938"/>
      <c r="Y938"/>
      <c r="Z938"/>
      <c r="AA938"/>
      <c r="AB938"/>
      <c r="AC938"/>
      <c r="AD938"/>
      <c r="AE938"/>
      <c r="AF938"/>
      <c r="AG938"/>
      <c r="AH938"/>
    </row>
    <row r="939" spans="17:34">
      <c r="Q939"/>
      <c r="R939"/>
      <c r="S939"/>
      <c r="T939"/>
      <c r="U939"/>
      <c r="V939"/>
      <c r="W939"/>
      <c r="X939"/>
      <c r="Y939"/>
      <c r="Z939"/>
      <c r="AA939"/>
      <c r="AB939"/>
      <c r="AC939"/>
      <c r="AD939"/>
      <c r="AE939"/>
      <c r="AF939"/>
      <c r="AG939"/>
      <c r="AH939"/>
    </row>
    <row r="940" spans="17:34">
      <c r="Q940"/>
      <c r="R940"/>
      <c r="S940"/>
      <c r="T940"/>
      <c r="U940"/>
      <c r="V940"/>
      <c r="W940"/>
      <c r="X940"/>
      <c r="Y940"/>
      <c r="Z940"/>
      <c r="AA940"/>
      <c r="AB940"/>
      <c r="AC940"/>
      <c r="AD940"/>
      <c r="AE940"/>
      <c r="AF940"/>
      <c r="AG940"/>
      <c r="AH940"/>
    </row>
    <row r="941" spans="17:34">
      <c r="Q941"/>
      <c r="R941"/>
      <c r="S941"/>
      <c r="T941"/>
      <c r="U941"/>
      <c r="V941"/>
      <c r="W941"/>
      <c r="X941"/>
      <c r="Y941"/>
      <c r="Z941"/>
      <c r="AA941"/>
      <c r="AB941"/>
      <c r="AC941"/>
      <c r="AD941"/>
      <c r="AE941"/>
      <c r="AF941"/>
      <c r="AG941"/>
      <c r="AH941"/>
    </row>
    <row r="942" spans="17:34">
      <c r="Q942"/>
      <c r="R942"/>
      <c r="S942"/>
      <c r="T942"/>
      <c r="U942"/>
      <c r="V942"/>
      <c r="W942"/>
      <c r="X942"/>
      <c r="Y942"/>
      <c r="Z942"/>
      <c r="AA942"/>
      <c r="AB942"/>
      <c r="AC942"/>
      <c r="AD942"/>
      <c r="AE942"/>
      <c r="AF942"/>
      <c r="AG942"/>
      <c r="AH942"/>
    </row>
    <row r="943" spans="17:34">
      <c r="Q943"/>
      <c r="R943"/>
      <c r="S943"/>
      <c r="T943"/>
      <c r="U943"/>
      <c r="V943"/>
      <c r="W943"/>
      <c r="X943"/>
      <c r="Y943"/>
      <c r="Z943"/>
      <c r="AA943"/>
      <c r="AB943"/>
      <c r="AC943"/>
      <c r="AD943"/>
      <c r="AE943"/>
      <c r="AF943"/>
      <c r="AG943"/>
      <c r="AH943"/>
    </row>
    <row r="944" spans="17:34">
      <c r="Q944"/>
      <c r="R944"/>
      <c r="S944"/>
      <c r="T944"/>
      <c r="U944"/>
      <c r="V944"/>
      <c r="W944"/>
      <c r="X944"/>
      <c r="Y944"/>
      <c r="Z944"/>
      <c r="AA944"/>
      <c r="AB944"/>
      <c r="AC944"/>
      <c r="AD944"/>
      <c r="AE944"/>
      <c r="AF944"/>
      <c r="AG944"/>
      <c r="AH944"/>
    </row>
    <row r="945" spans="17:34">
      <c r="Q945"/>
      <c r="R945"/>
      <c r="S945"/>
      <c r="T945"/>
      <c r="U945"/>
      <c r="V945"/>
      <c r="W945"/>
      <c r="X945"/>
      <c r="Y945"/>
      <c r="Z945"/>
      <c r="AA945"/>
      <c r="AB945"/>
      <c r="AC945"/>
      <c r="AD945"/>
      <c r="AE945"/>
      <c r="AF945"/>
      <c r="AG945"/>
      <c r="AH945"/>
    </row>
    <row r="946" spans="17:34">
      <c r="Q946"/>
      <c r="R946"/>
      <c r="S946"/>
      <c r="T946"/>
      <c r="U946"/>
      <c r="V946"/>
      <c r="W946"/>
      <c r="X946"/>
      <c r="Y946"/>
      <c r="Z946"/>
      <c r="AA946"/>
      <c r="AB946"/>
      <c r="AC946"/>
      <c r="AD946"/>
      <c r="AE946"/>
      <c r="AF946"/>
      <c r="AG946"/>
      <c r="AH946"/>
    </row>
    <row r="947" spans="17:34">
      <c r="Q947"/>
      <c r="R947"/>
      <c r="S947"/>
      <c r="T947"/>
      <c r="U947"/>
      <c r="V947"/>
      <c r="W947"/>
      <c r="X947"/>
      <c r="Y947"/>
      <c r="Z947"/>
      <c r="AA947"/>
      <c r="AB947"/>
      <c r="AC947"/>
      <c r="AD947"/>
      <c r="AE947"/>
      <c r="AF947"/>
      <c r="AG947"/>
      <c r="AH947"/>
    </row>
    <row r="948" spans="17:34">
      <c r="Q948"/>
      <c r="R948"/>
      <c r="S948"/>
      <c r="T948"/>
      <c r="U948"/>
      <c r="V948"/>
      <c r="W948"/>
      <c r="X948"/>
      <c r="Y948"/>
      <c r="Z948"/>
      <c r="AA948"/>
      <c r="AB948"/>
      <c r="AC948"/>
      <c r="AD948"/>
      <c r="AE948"/>
      <c r="AF948"/>
      <c r="AG948"/>
      <c r="AH948"/>
    </row>
    <row r="949" spans="17:34">
      <c r="Q949"/>
      <c r="R949"/>
      <c r="S949"/>
      <c r="T949"/>
      <c r="U949"/>
      <c r="V949"/>
      <c r="W949"/>
      <c r="X949"/>
      <c r="Y949"/>
      <c r="Z949"/>
      <c r="AA949"/>
      <c r="AB949"/>
      <c r="AC949"/>
      <c r="AD949"/>
      <c r="AE949"/>
      <c r="AF949"/>
      <c r="AG949"/>
      <c r="AH949"/>
    </row>
    <row r="950" spans="17:34">
      <c r="Q950"/>
      <c r="R950"/>
      <c r="S950"/>
      <c r="T950"/>
      <c r="U950"/>
      <c r="V950"/>
      <c r="W950"/>
      <c r="X950"/>
      <c r="Y950"/>
      <c r="Z950"/>
      <c r="AA950"/>
      <c r="AB950"/>
      <c r="AC950"/>
      <c r="AD950"/>
      <c r="AE950"/>
      <c r="AF950"/>
      <c r="AG950"/>
      <c r="AH950"/>
    </row>
    <row r="951" spans="17:34">
      <c r="Q951"/>
      <c r="R951"/>
      <c r="S951"/>
      <c r="T951"/>
      <c r="U951"/>
      <c r="V951"/>
      <c r="W951"/>
      <c r="X951"/>
      <c r="Y951"/>
      <c r="Z951"/>
      <c r="AA951"/>
      <c r="AB951"/>
      <c r="AC951"/>
      <c r="AD951"/>
      <c r="AE951"/>
      <c r="AF951"/>
      <c r="AG951"/>
      <c r="AH951"/>
    </row>
    <row r="952" spans="17:34">
      <c r="Q952"/>
      <c r="R952"/>
      <c r="S952"/>
      <c r="T952"/>
      <c r="U952"/>
      <c r="V952"/>
      <c r="W952"/>
      <c r="X952"/>
      <c r="Y952"/>
      <c r="Z952"/>
      <c r="AA952"/>
      <c r="AB952"/>
      <c r="AC952"/>
      <c r="AD952"/>
      <c r="AE952"/>
      <c r="AF952"/>
      <c r="AG952"/>
      <c r="AH952"/>
    </row>
    <row r="953" spans="17:34">
      <c r="Q953"/>
      <c r="R953"/>
      <c r="S953"/>
      <c r="T953"/>
      <c r="U953"/>
      <c r="V953"/>
      <c r="W953"/>
      <c r="X953"/>
      <c r="Y953"/>
      <c r="Z953"/>
      <c r="AA953"/>
      <c r="AB953"/>
      <c r="AC953"/>
      <c r="AD953"/>
      <c r="AE953"/>
      <c r="AF953"/>
      <c r="AG953"/>
      <c r="AH953"/>
    </row>
    <row r="954" spans="17:34">
      <c r="Q954"/>
      <c r="R954"/>
      <c r="S954"/>
      <c r="T954"/>
      <c r="U954"/>
      <c r="V954"/>
      <c r="W954"/>
      <c r="X954"/>
      <c r="Y954"/>
      <c r="Z954"/>
      <c r="AA954"/>
      <c r="AB954"/>
      <c r="AC954"/>
      <c r="AD954"/>
      <c r="AE954"/>
      <c r="AF954"/>
      <c r="AG954"/>
      <c r="AH954"/>
    </row>
    <row r="955" spans="17:34">
      <c r="Q955"/>
      <c r="R955"/>
      <c r="S955"/>
      <c r="T955"/>
      <c r="U955"/>
      <c r="V955"/>
      <c r="W955"/>
      <c r="X955"/>
      <c r="Y955"/>
      <c r="Z955"/>
      <c r="AA955"/>
      <c r="AB955"/>
      <c r="AC955"/>
      <c r="AD955"/>
      <c r="AE955"/>
      <c r="AF955"/>
      <c r="AG955"/>
      <c r="AH955"/>
    </row>
    <row r="956" spans="17:34">
      <c r="Q956"/>
      <c r="R956"/>
      <c r="S956"/>
      <c r="T956"/>
      <c r="U956"/>
      <c r="V956"/>
      <c r="W956"/>
      <c r="X956"/>
      <c r="Y956"/>
      <c r="Z956"/>
      <c r="AA956"/>
      <c r="AB956"/>
      <c r="AC956"/>
      <c r="AD956"/>
      <c r="AE956"/>
      <c r="AF956"/>
      <c r="AG956"/>
      <c r="AH956"/>
    </row>
    <row r="957" spans="17:34">
      <c r="Q957"/>
      <c r="R957"/>
      <c r="S957"/>
      <c r="T957"/>
      <c r="U957"/>
      <c r="V957"/>
      <c r="W957"/>
      <c r="X957"/>
      <c r="Y957"/>
      <c r="Z957"/>
      <c r="AA957"/>
      <c r="AB957"/>
      <c r="AC957"/>
      <c r="AD957"/>
      <c r="AE957"/>
      <c r="AF957"/>
      <c r="AG957"/>
      <c r="AH957"/>
    </row>
    <row r="958" spans="17:34">
      <c r="Q958"/>
      <c r="R958"/>
      <c r="S958"/>
      <c r="T958"/>
      <c r="U958"/>
      <c r="V958"/>
      <c r="W958"/>
      <c r="X958"/>
      <c r="Y958"/>
      <c r="Z958"/>
      <c r="AA958"/>
      <c r="AB958"/>
      <c r="AC958"/>
      <c r="AD958"/>
      <c r="AE958"/>
      <c r="AF958"/>
      <c r="AG958"/>
      <c r="AH958"/>
    </row>
    <row r="959" spans="17:34">
      <c r="Q959"/>
      <c r="R959"/>
      <c r="S959"/>
      <c r="T959"/>
      <c r="U959"/>
      <c r="V959"/>
      <c r="W959"/>
      <c r="X959"/>
      <c r="Y959"/>
      <c r="Z959"/>
      <c r="AA959"/>
      <c r="AB959"/>
      <c r="AC959"/>
      <c r="AD959"/>
      <c r="AE959"/>
      <c r="AF959"/>
      <c r="AG959"/>
      <c r="AH959"/>
    </row>
    <row r="960" spans="17:34">
      <c r="Q960"/>
      <c r="R960"/>
      <c r="S960"/>
      <c r="T960"/>
      <c r="U960"/>
      <c r="V960"/>
      <c r="W960"/>
      <c r="X960"/>
      <c r="Y960"/>
      <c r="Z960"/>
      <c r="AA960"/>
      <c r="AB960"/>
      <c r="AC960"/>
      <c r="AD960"/>
      <c r="AE960"/>
      <c r="AF960"/>
      <c r="AG960"/>
      <c r="AH960"/>
    </row>
    <row r="961" spans="17:34">
      <c r="Q961"/>
      <c r="R961"/>
      <c r="S961"/>
      <c r="T961"/>
      <c r="U961"/>
      <c r="V961"/>
      <c r="W961"/>
      <c r="X961"/>
      <c r="Y961"/>
      <c r="Z961"/>
      <c r="AA961"/>
      <c r="AB961"/>
      <c r="AC961"/>
      <c r="AD961"/>
      <c r="AE961"/>
      <c r="AF961"/>
      <c r="AG961"/>
      <c r="AH961"/>
    </row>
    <row r="962" spans="17:34">
      <c r="Q962"/>
      <c r="R962"/>
      <c r="S962"/>
      <c r="T962"/>
      <c r="U962"/>
      <c r="V962"/>
      <c r="W962"/>
      <c r="X962"/>
      <c r="Y962"/>
      <c r="Z962"/>
      <c r="AA962"/>
      <c r="AB962"/>
      <c r="AC962"/>
      <c r="AD962"/>
      <c r="AE962"/>
      <c r="AF962"/>
      <c r="AG962"/>
      <c r="AH962"/>
    </row>
    <row r="963" spans="17:34">
      <c r="Q963"/>
      <c r="R963"/>
      <c r="S963"/>
      <c r="T963"/>
      <c r="U963"/>
      <c r="V963"/>
      <c r="W963"/>
      <c r="X963"/>
      <c r="Y963"/>
      <c r="Z963"/>
      <c r="AA963"/>
      <c r="AB963"/>
      <c r="AC963"/>
      <c r="AD963"/>
      <c r="AE963"/>
      <c r="AF963"/>
      <c r="AG963"/>
      <c r="AH963"/>
    </row>
    <row r="964" spans="17:34">
      <c r="Q964"/>
      <c r="R964"/>
      <c r="S964"/>
      <c r="T964"/>
      <c r="U964"/>
      <c r="V964"/>
      <c r="W964"/>
      <c r="X964"/>
      <c r="Y964"/>
      <c r="Z964"/>
      <c r="AA964"/>
      <c r="AB964"/>
      <c r="AC964"/>
      <c r="AD964"/>
      <c r="AE964"/>
      <c r="AF964"/>
      <c r="AG964"/>
      <c r="AH964"/>
    </row>
    <row r="965" spans="17:34">
      <c r="Q965"/>
      <c r="R965"/>
      <c r="S965"/>
      <c r="T965"/>
      <c r="U965"/>
      <c r="V965"/>
      <c r="W965"/>
      <c r="X965"/>
      <c r="Y965"/>
      <c r="Z965"/>
      <c r="AA965"/>
      <c r="AB965"/>
      <c r="AC965"/>
      <c r="AD965"/>
      <c r="AE965"/>
      <c r="AF965"/>
      <c r="AG965"/>
      <c r="AH965"/>
    </row>
    <row r="966" spans="17:34">
      <c r="Q966"/>
      <c r="R966"/>
      <c r="S966"/>
      <c r="T966"/>
      <c r="U966"/>
      <c r="V966"/>
      <c r="W966"/>
      <c r="X966"/>
      <c r="Y966"/>
      <c r="Z966"/>
      <c r="AA966"/>
      <c r="AB966"/>
      <c r="AC966"/>
      <c r="AD966"/>
      <c r="AE966"/>
      <c r="AF966"/>
      <c r="AG966"/>
      <c r="AH966"/>
    </row>
    <row r="967" spans="17:34">
      <c r="Q967"/>
      <c r="R967"/>
      <c r="S967"/>
      <c r="T967"/>
      <c r="U967"/>
      <c r="V967"/>
      <c r="W967"/>
      <c r="X967"/>
      <c r="Y967"/>
      <c r="Z967"/>
      <c r="AA967"/>
      <c r="AB967"/>
      <c r="AC967"/>
      <c r="AD967"/>
      <c r="AE967"/>
      <c r="AF967"/>
      <c r="AG967"/>
      <c r="AH967"/>
    </row>
    <row r="968" spans="17:34">
      <c r="Q968"/>
      <c r="R968"/>
      <c r="S968"/>
      <c r="T968"/>
      <c r="U968"/>
      <c r="V968"/>
      <c r="W968"/>
      <c r="X968"/>
      <c r="Y968"/>
      <c r="Z968"/>
      <c r="AA968"/>
      <c r="AB968"/>
      <c r="AC968"/>
      <c r="AD968"/>
      <c r="AE968"/>
      <c r="AF968"/>
      <c r="AG968"/>
      <c r="AH968"/>
    </row>
    <row r="969" spans="17:34">
      <c r="Q969"/>
      <c r="R969"/>
      <c r="S969"/>
      <c r="T969"/>
      <c r="U969"/>
      <c r="V969"/>
      <c r="W969"/>
      <c r="X969"/>
      <c r="Y969"/>
      <c r="Z969"/>
      <c r="AA969"/>
      <c r="AB969"/>
      <c r="AC969"/>
      <c r="AD969"/>
      <c r="AE969"/>
      <c r="AF969"/>
      <c r="AG969"/>
      <c r="AH969"/>
    </row>
    <row r="970" spans="17:34">
      <c r="Q970"/>
      <c r="R970"/>
      <c r="S970"/>
      <c r="T970"/>
      <c r="U970"/>
      <c r="V970"/>
      <c r="W970"/>
      <c r="X970"/>
      <c r="Y970"/>
      <c r="Z970"/>
      <c r="AA970"/>
      <c r="AB970"/>
      <c r="AC970"/>
      <c r="AD970"/>
      <c r="AE970"/>
      <c r="AF970"/>
      <c r="AG970"/>
      <c r="AH970"/>
    </row>
    <row r="971" spans="17:34">
      <c r="Q971"/>
      <c r="R971"/>
      <c r="S971"/>
      <c r="T971"/>
      <c r="U971"/>
      <c r="V971"/>
      <c r="W971"/>
      <c r="X971"/>
      <c r="Y971"/>
      <c r="Z971"/>
      <c r="AA971"/>
      <c r="AB971"/>
      <c r="AC971"/>
      <c r="AD971"/>
      <c r="AE971"/>
      <c r="AF971"/>
      <c r="AG971"/>
      <c r="AH971"/>
    </row>
    <row r="972" spans="17:34">
      <c r="Q972"/>
      <c r="R972"/>
      <c r="S972"/>
      <c r="T972"/>
      <c r="U972"/>
      <c r="V972"/>
      <c r="W972"/>
      <c r="X972"/>
      <c r="Y972"/>
      <c r="Z972"/>
      <c r="AA972"/>
      <c r="AB972"/>
      <c r="AC972"/>
      <c r="AD972"/>
      <c r="AE972"/>
      <c r="AF972"/>
      <c r="AG972"/>
      <c r="AH972"/>
    </row>
    <row r="973" spans="17:34">
      <c r="Q973"/>
      <c r="R973"/>
      <c r="S973"/>
      <c r="T973"/>
      <c r="U973"/>
      <c r="V973"/>
      <c r="W973"/>
      <c r="X973"/>
      <c r="Y973"/>
      <c r="Z973"/>
      <c r="AA973"/>
      <c r="AB973"/>
      <c r="AC973"/>
      <c r="AD973"/>
      <c r="AE973"/>
      <c r="AF973"/>
      <c r="AG973"/>
      <c r="AH973"/>
    </row>
    <row r="974" spans="17:34">
      <c r="Q974"/>
      <c r="R974"/>
      <c r="S974"/>
      <c r="T974"/>
      <c r="U974"/>
      <c r="V974"/>
      <c r="W974"/>
      <c r="X974"/>
      <c r="Y974"/>
      <c r="Z974"/>
      <c r="AA974"/>
      <c r="AB974"/>
      <c r="AC974"/>
      <c r="AD974"/>
      <c r="AE974"/>
      <c r="AF974"/>
      <c r="AG974"/>
      <c r="AH974"/>
    </row>
    <row r="975" spans="17:34">
      <c r="Q975"/>
      <c r="R975"/>
      <c r="S975"/>
      <c r="T975"/>
      <c r="U975"/>
      <c r="V975"/>
      <c r="W975"/>
      <c r="X975"/>
      <c r="Y975"/>
      <c r="Z975"/>
      <c r="AA975"/>
      <c r="AB975"/>
      <c r="AC975"/>
      <c r="AD975"/>
      <c r="AE975"/>
      <c r="AF975"/>
      <c r="AG975"/>
      <c r="AH975"/>
    </row>
    <row r="976" spans="17:34">
      <c r="Q976"/>
      <c r="R976"/>
      <c r="S976"/>
      <c r="T976"/>
      <c r="U976"/>
      <c r="V976"/>
      <c r="W976"/>
      <c r="X976"/>
      <c r="Y976"/>
      <c r="Z976"/>
      <c r="AA976"/>
      <c r="AB976"/>
      <c r="AC976"/>
      <c r="AD976"/>
      <c r="AE976"/>
      <c r="AF976"/>
      <c r="AG976"/>
      <c r="AH976"/>
    </row>
    <row r="977" spans="17:34">
      <c r="Q977"/>
      <c r="R977"/>
      <c r="S977"/>
      <c r="T977"/>
      <c r="U977"/>
      <c r="V977"/>
      <c r="W977"/>
      <c r="X977"/>
      <c r="Y977"/>
      <c r="Z977"/>
      <c r="AA977"/>
      <c r="AB977"/>
      <c r="AC977"/>
      <c r="AD977"/>
      <c r="AE977"/>
      <c r="AF977"/>
      <c r="AG977"/>
      <c r="AH977"/>
    </row>
    <row r="978" spans="17:34">
      <c r="Q978"/>
      <c r="R978"/>
      <c r="S978"/>
      <c r="T978"/>
      <c r="U978"/>
      <c r="V978"/>
      <c r="W978"/>
      <c r="X978"/>
      <c r="Y978"/>
      <c r="Z978"/>
      <c r="AA978"/>
      <c r="AB978"/>
      <c r="AC978"/>
      <c r="AD978"/>
      <c r="AE978"/>
      <c r="AF978"/>
      <c r="AG978"/>
      <c r="AH978"/>
    </row>
    <row r="979" spans="17:34">
      <c r="Q979"/>
      <c r="R979"/>
      <c r="S979"/>
      <c r="T979"/>
      <c r="U979"/>
      <c r="V979"/>
      <c r="W979"/>
      <c r="X979"/>
      <c r="Y979"/>
      <c r="Z979"/>
      <c r="AA979"/>
      <c r="AB979"/>
      <c r="AC979"/>
      <c r="AD979"/>
      <c r="AE979"/>
      <c r="AF979"/>
      <c r="AG979"/>
      <c r="AH979"/>
    </row>
    <row r="980" spans="17:34">
      <c r="Q980"/>
      <c r="R980"/>
      <c r="S980"/>
      <c r="T980"/>
      <c r="U980"/>
      <c r="V980"/>
      <c r="W980"/>
      <c r="X980"/>
      <c r="Y980"/>
      <c r="Z980"/>
      <c r="AA980"/>
      <c r="AB980"/>
      <c r="AC980"/>
      <c r="AD980"/>
      <c r="AE980"/>
      <c r="AF980"/>
      <c r="AG980"/>
      <c r="AH980"/>
    </row>
    <row r="981" spans="17:34">
      <c r="Q981"/>
      <c r="R981"/>
      <c r="S981"/>
      <c r="T981"/>
      <c r="U981"/>
      <c r="V981"/>
      <c r="W981"/>
      <c r="X981"/>
      <c r="Y981"/>
      <c r="Z981"/>
      <c r="AA981"/>
      <c r="AB981"/>
      <c r="AC981"/>
      <c r="AD981"/>
      <c r="AE981"/>
      <c r="AF981"/>
      <c r="AG981"/>
      <c r="AH981"/>
    </row>
    <row r="982" spans="17:34">
      <c r="Q982"/>
      <c r="R982"/>
      <c r="S982"/>
      <c r="T982"/>
      <c r="U982"/>
      <c r="V982"/>
      <c r="W982"/>
      <c r="X982"/>
      <c r="Y982"/>
      <c r="Z982"/>
      <c r="AA982"/>
      <c r="AB982"/>
      <c r="AC982"/>
      <c r="AD982"/>
      <c r="AE982"/>
      <c r="AF982"/>
      <c r="AG982"/>
      <c r="AH982"/>
    </row>
    <row r="983" spans="17:34">
      <c r="Q983"/>
      <c r="R983"/>
      <c r="S983"/>
      <c r="T983"/>
      <c r="U983"/>
      <c r="V983"/>
      <c r="W983"/>
      <c r="X983"/>
      <c r="Y983"/>
      <c r="Z983"/>
      <c r="AA983"/>
      <c r="AB983"/>
      <c r="AC983"/>
      <c r="AD983"/>
      <c r="AE983"/>
      <c r="AF983"/>
      <c r="AG983"/>
      <c r="AH983"/>
    </row>
    <row r="984" spans="17:34">
      <c r="Q984"/>
      <c r="R984"/>
      <c r="S984"/>
      <c r="T984"/>
      <c r="U984"/>
      <c r="V984"/>
      <c r="W984"/>
      <c r="X984"/>
      <c r="Y984"/>
      <c r="Z984"/>
      <c r="AA984"/>
      <c r="AB984"/>
      <c r="AC984"/>
      <c r="AD984"/>
      <c r="AE984"/>
      <c r="AF984"/>
      <c r="AG984"/>
      <c r="AH984"/>
    </row>
    <row r="985" spans="17:34">
      <c r="Q985"/>
      <c r="R985"/>
      <c r="S985"/>
      <c r="T985"/>
      <c r="U985"/>
      <c r="V985"/>
      <c r="W985"/>
      <c r="X985"/>
      <c r="Y985"/>
      <c r="Z985"/>
      <c r="AA985"/>
      <c r="AB985"/>
      <c r="AC985"/>
      <c r="AD985"/>
      <c r="AE985"/>
      <c r="AF985"/>
      <c r="AG985"/>
      <c r="AH985"/>
    </row>
    <row r="986" spans="17:34">
      <c r="Q986"/>
      <c r="R986"/>
      <c r="S986"/>
      <c r="T986"/>
      <c r="U986"/>
      <c r="V986"/>
      <c r="W986"/>
      <c r="X986"/>
      <c r="Y986"/>
      <c r="Z986"/>
      <c r="AA986"/>
      <c r="AB986"/>
      <c r="AC986"/>
      <c r="AD986"/>
      <c r="AE986"/>
      <c r="AF986"/>
      <c r="AG986"/>
      <c r="AH986"/>
    </row>
    <row r="987" spans="17:34">
      <c r="Q987"/>
      <c r="R987"/>
      <c r="S987"/>
      <c r="T987"/>
      <c r="U987"/>
      <c r="V987"/>
      <c r="W987"/>
      <c r="X987"/>
      <c r="Y987"/>
      <c r="Z987"/>
      <c r="AA987"/>
      <c r="AB987"/>
      <c r="AC987"/>
      <c r="AD987"/>
      <c r="AE987"/>
      <c r="AF987"/>
      <c r="AG987"/>
      <c r="AH987"/>
    </row>
    <row r="988" spans="17:34">
      <c r="Q988"/>
      <c r="R988"/>
      <c r="S988"/>
      <c r="T988"/>
      <c r="U988"/>
      <c r="V988"/>
      <c r="W988"/>
      <c r="X988"/>
      <c r="Y988"/>
      <c r="Z988"/>
      <c r="AA988"/>
      <c r="AB988"/>
      <c r="AC988"/>
      <c r="AD988"/>
      <c r="AE988"/>
      <c r="AF988"/>
      <c r="AG988"/>
      <c r="AH988"/>
    </row>
    <row r="989" spans="17:34">
      <c r="Q989"/>
      <c r="R989"/>
      <c r="S989"/>
      <c r="T989"/>
      <c r="U989"/>
      <c r="V989"/>
      <c r="W989"/>
      <c r="X989"/>
      <c r="Y989"/>
      <c r="Z989"/>
      <c r="AA989"/>
      <c r="AB989"/>
      <c r="AC989"/>
      <c r="AD989"/>
      <c r="AE989"/>
      <c r="AF989"/>
      <c r="AG989"/>
      <c r="AH989"/>
    </row>
    <row r="990" spans="17:34">
      <c r="Q990"/>
      <c r="R990"/>
      <c r="S990"/>
      <c r="T990"/>
      <c r="U990"/>
      <c r="V990"/>
      <c r="W990"/>
      <c r="X990"/>
      <c r="Y990"/>
      <c r="Z990"/>
      <c r="AA990"/>
      <c r="AB990"/>
      <c r="AC990"/>
      <c r="AD990"/>
      <c r="AE990"/>
      <c r="AF990"/>
      <c r="AG990"/>
      <c r="AH990"/>
    </row>
    <row r="991" spans="17:34">
      <c r="Q991"/>
      <c r="R991"/>
      <c r="S991"/>
      <c r="T991"/>
      <c r="U991"/>
      <c r="V991"/>
      <c r="W991"/>
      <c r="X991"/>
      <c r="Y991"/>
      <c r="Z991"/>
      <c r="AA991"/>
      <c r="AB991"/>
      <c r="AC991"/>
      <c r="AD991"/>
      <c r="AE991"/>
      <c r="AF991"/>
      <c r="AG991"/>
      <c r="AH991"/>
    </row>
    <row r="992" spans="17:34">
      <c r="Q992"/>
      <c r="R992"/>
      <c r="S992"/>
      <c r="T992"/>
      <c r="U992"/>
      <c r="V992"/>
      <c r="W992"/>
      <c r="X992"/>
      <c r="Y992"/>
      <c r="Z992"/>
      <c r="AA992"/>
      <c r="AB992"/>
      <c r="AC992"/>
      <c r="AD992"/>
      <c r="AE992"/>
      <c r="AF992"/>
      <c r="AG992"/>
      <c r="AH992"/>
    </row>
    <row r="993" spans="17:34">
      <c r="Q993"/>
      <c r="R993"/>
      <c r="S993"/>
      <c r="T993"/>
      <c r="U993"/>
      <c r="V993"/>
      <c r="W993"/>
      <c r="X993"/>
      <c r="Y993"/>
      <c r="Z993"/>
      <c r="AA993"/>
      <c r="AB993"/>
      <c r="AC993"/>
      <c r="AD993"/>
      <c r="AE993"/>
      <c r="AF993"/>
      <c r="AG993"/>
      <c r="AH993"/>
    </row>
    <row r="994" spans="17:34">
      <c r="Q994"/>
      <c r="R994"/>
      <c r="S994"/>
      <c r="T994"/>
      <c r="U994"/>
      <c r="V994"/>
      <c r="W994"/>
      <c r="X994"/>
      <c r="Y994"/>
      <c r="Z994"/>
      <c r="AA994"/>
      <c r="AB994"/>
      <c r="AC994"/>
      <c r="AD994"/>
      <c r="AE994"/>
      <c r="AF994"/>
      <c r="AG994"/>
      <c r="AH994"/>
    </row>
    <row r="995" spans="17:34">
      <c r="Q995"/>
      <c r="R995"/>
      <c r="S995"/>
      <c r="T995"/>
      <c r="U995"/>
      <c r="V995"/>
      <c r="W995"/>
      <c r="X995"/>
      <c r="Y995"/>
      <c r="Z995"/>
      <c r="AA995"/>
      <c r="AB995"/>
      <c r="AC995"/>
      <c r="AD995"/>
      <c r="AE995"/>
      <c r="AF995"/>
      <c r="AG995"/>
      <c r="AH995"/>
    </row>
    <row r="996" spans="17:34">
      <c r="Q996"/>
      <c r="R996"/>
      <c r="S996"/>
      <c r="T996"/>
      <c r="U996"/>
      <c r="V996"/>
      <c r="W996"/>
      <c r="X996"/>
      <c r="Y996"/>
      <c r="Z996"/>
      <c r="AA996"/>
      <c r="AB996"/>
      <c r="AC996"/>
      <c r="AD996"/>
      <c r="AE996"/>
      <c r="AF996"/>
      <c r="AG996"/>
      <c r="AH996"/>
    </row>
    <row r="997" spans="17:34">
      <c r="Q997"/>
      <c r="R997"/>
      <c r="S997"/>
      <c r="T997"/>
      <c r="U997"/>
      <c r="V997"/>
      <c r="W997"/>
      <c r="X997"/>
      <c r="Y997"/>
      <c r="Z997"/>
      <c r="AA997"/>
      <c r="AB997"/>
      <c r="AC997"/>
      <c r="AD997"/>
      <c r="AE997"/>
      <c r="AF997"/>
      <c r="AG997"/>
      <c r="AH997"/>
    </row>
    <row r="998" spans="17:34">
      <c r="Q998"/>
      <c r="R998"/>
      <c r="S998"/>
      <c r="T998"/>
      <c r="U998"/>
      <c r="V998"/>
      <c r="W998"/>
      <c r="X998"/>
      <c r="Y998"/>
      <c r="Z998"/>
      <c r="AA998"/>
      <c r="AB998"/>
      <c r="AC998"/>
      <c r="AD998"/>
      <c r="AE998"/>
      <c r="AF998"/>
      <c r="AG998"/>
      <c r="AH998"/>
    </row>
    <row r="999" spans="17:34">
      <c r="Q999"/>
      <c r="R999"/>
      <c r="S999"/>
      <c r="T999"/>
      <c r="U999"/>
      <c r="V999"/>
      <c r="W999"/>
      <c r="X999"/>
      <c r="Y999"/>
      <c r="Z999"/>
      <c r="AA999"/>
      <c r="AB999"/>
      <c r="AC999"/>
      <c r="AD999"/>
      <c r="AE999"/>
      <c r="AF999"/>
      <c r="AG999"/>
      <c r="AH999"/>
    </row>
    <row r="1000" spans="17:34">
      <c r="Q1000"/>
      <c r="R1000"/>
      <c r="S1000"/>
      <c r="T1000"/>
      <c r="U1000"/>
      <c r="V1000"/>
      <c r="W1000"/>
      <c r="X1000"/>
      <c r="Y1000"/>
      <c r="Z1000"/>
      <c r="AA1000"/>
      <c r="AB1000"/>
      <c r="AC1000"/>
      <c r="AD1000"/>
      <c r="AE1000"/>
      <c r="AF1000"/>
      <c r="AG1000"/>
      <c r="AH1000"/>
    </row>
    <row r="1001" spans="17:34">
      <c r="Q1001"/>
      <c r="R1001"/>
      <c r="S1001"/>
      <c r="T1001"/>
      <c r="U1001"/>
      <c r="V1001"/>
      <c r="W1001"/>
      <c r="X1001"/>
      <c r="Y1001"/>
      <c r="Z1001"/>
      <c r="AA1001"/>
      <c r="AB1001"/>
      <c r="AC1001"/>
      <c r="AD1001"/>
      <c r="AE1001"/>
      <c r="AF1001"/>
      <c r="AG1001"/>
      <c r="AH1001"/>
    </row>
    <row r="1002" spans="17:34">
      <c r="Q1002"/>
      <c r="R1002"/>
      <c r="S1002"/>
      <c r="T1002"/>
      <c r="U1002"/>
      <c r="V1002"/>
      <c r="W1002"/>
      <c r="X1002"/>
      <c r="Y1002"/>
      <c r="Z1002"/>
      <c r="AA1002"/>
      <c r="AB1002"/>
      <c r="AC1002"/>
      <c r="AD1002"/>
      <c r="AE1002"/>
      <c r="AF1002"/>
      <c r="AG1002"/>
      <c r="AH1002"/>
    </row>
    <row r="1003" spans="17:34">
      <c r="Q1003"/>
      <c r="R1003"/>
      <c r="S1003"/>
      <c r="T1003"/>
      <c r="U1003"/>
      <c r="V1003"/>
      <c r="W1003"/>
      <c r="X1003"/>
      <c r="Y1003"/>
      <c r="Z1003"/>
      <c r="AA1003"/>
      <c r="AB1003"/>
      <c r="AC1003"/>
      <c r="AD1003"/>
      <c r="AE1003"/>
      <c r="AF1003"/>
      <c r="AG1003"/>
      <c r="AH1003"/>
    </row>
    <row r="1004" spans="17:34">
      <c r="Q1004"/>
      <c r="R1004"/>
      <c r="S1004"/>
      <c r="T1004"/>
      <c r="U1004"/>
      <c r="V1004"/>
      <c r="W1004"/>
      <c r="X1004"/>
      <c r="Y1004"/>
      <c r="Z1004"/>
      <c r="AA1004"/>
      <c r="AB1004"/>
      <c r="AC1004"/>
      <c r="AD1004"/>
      <c r="AE1004"/>
      <c r="AF1004"/>
      <c r="AG1004"/>
      <c r="AH1004"/>
    </row>
    <row r="1005" spans="17:34">
      <c r="Q1005"/>
      <c r="R1005"/>
      <c r="S1005"/>
      <c r="T1005"/>
      <c r="U1005"/>
      <c r="V1005"/>
      <c r="W1005"/>
      <c r="X1005"/>
      <c r="Y1005"/>
      <c r="Z1005"/>
      <c r="AA1005"/>
      <c r="AB1005"/>
      <c r="AC1005"/>
      <c r="AD1005"/>
      <c r="AE1005"/>
      <c r="AF1005"/>
      <c r="AG1005"/>
      <c r="AH1005"/>
    </row>
    <row r="1006" spans="17:34">
      <c r="Q1006"/>
      <c r="R1006"/>
      <c r="S1006"/>
      <c r="T1006"/>
      <c r="U1006"/>
      <c r="V1006"/>
      <c r="W1006"/>
      <c r="X1006"/>
      <c r="Y1006"/>
      <c r="Z1006"/>
      <c r="AA1006"/>
      <c r="AB1006"/>
      <c r="AC1006"/>
      <c r="AD1006"/>
      <c r="AE1006"/>
      <c r="AF1006"/>
      <c r="AG1006"/>
      <c r="AH1006"/>
    </row>
    <row r="1007" spans="17:34">
      <c r="Q1007"/>
      <c r="R1007"/>
      <c r="S1007"/>
      <c r="T1007"/>
      <c r="U1007"/>
      <c r="V1007"/>
      <c r="W1007"/>
      <c r="X1007"/>
      <c r="Y1007"/>
      <c r="Z1007"/>
      <c r="AA1007"/>
      <c r="AB1007"/>
      <c r="AC1007"/>
      <c r="AD1007"/>
      <c r="AE1007"/>
      <c r="AF1007"/>
      <c r="AG1007"/>
      <c r="AH1007"/>
    </row>
    <row r="1008" spans="17:34">
      <c r="Q1008"/>
      <c r="R1008"/>
      <c r="S1008"/>
      <c r="T1008"/>
      <c r="U1008"/>
      <c r="V1008"/>
      <c r="W1008"/>
      <c r="X1008"/>
      <c r="Y1008"/>
      <c r="Z1008"/>
      <c r="AA1008"/>
      <c r="AB1008"/>
      <c r="AC1008"/>
      <c r="AD1008"/>
      <c r="AE1008"/>
      <c r="AF1008"/>
      <c r="AG1008"/>
      <c r="AH1008"/>
    </row>
    <row r="1009" spans="17:34">
      <c r="Q1009"/>
      <c r="R1009"/>
      <c r="S1009"/>
      <c r="T1009"/>
      <c r="U1009"/>
      <c r="V1009"/>
      <c r="W1009"/>
      <c r="X1009"/>
      <c r="Y1009"/>
      <c r="Z1009"/>
      <c r="AA1009"/>
      <c r="AB1009"/>
      <c r="AC1009"/>
      <c r="AD1009"/>
      <c r="AE1009"/>
      <c r="AF1009"/>
      <c r="AG1009"/>
      <c r="AH1009"/>
    </row>
    <row r="1010" spans="17:34">
      <c r="Q1010"/>
      <c r="R1010"/>
      <c r="S1010"/>
      <c r="T1010"/>
      <c r="U1010"/>
      <c r="V1010"/>
      <c r="W1010"/>
      <c r="X1010"/>
      <c r="Y1010"/>
      <c r="Z1010"/>
      <c r="AA1010"/>
      <c r="AB1010"/>
      <c r="AC1010"/>
      <c r="AD1010"/>
      <c r="AE1010"/>
      <c r="AF1010"/>
      <c r="AG1010"/>
      <c r="AH1010"/>
    </row>
    <row r="1011" spans="17:34">
      <c r="Q1011"/>
      <c r="R1011"/>
      <c r="S1011"/>
      <c r="T1011"/>
      <c r="U1011"/>
      <c r="V1011"/>
      <c r="W1011"/>
      <c r="X1011"/>
      <c r="Y1011"/>
      <c r="Z1011"/>
      <c r="AA1011"/>
      <c r="AB1011"/>
      <c r="AC1011"/>
      <c r="AD1011"/>
      <c r="AE1011"/>
      <c r="AF1011"/>
      <c r="AG1011"/>
      <c r="AH1011"/>
    </row>
    <row r="1012" spans="17:34">
      <c r="Q1012"/>
      <c r="R1012"/>
      <c r="S1012"/>
      <c r="T1012"/>
      <c r="U1012"/>
      <c r="V1012"/>
      <c r="W1012"/>
      <c r="X1012"/>
      <c r="Y1012"/>
      <c r="Z1012"/>
      <c r="AA1012"/>
      <c r="AB1012"/>
      <c r="AC1012"/>
      <c r="AD1012"/>
      <c r="AE1012"/>
      <c r="AF1012"/>
      <c r="AG1012"/>
      <c r="AH1012"/>
    </row>
    <row r="1013" spans="17:34">
      <c r="Q1013"/>
      <c r="R1013"/>
      <c r="S1013"/>
      <c r="T1013"/>
      <c r="U1013"/>
      <c r="V1013"/>
      <c r="W1013"/>
      <c r="X1013"/>
      <c r="Y1013"/>
      <c r="Z1013"/>
      <c r="AA1013"/>
      <c r="AB1013"/>
      <c r="AC1013"/>
      <c r="AD1013"/>
      <c r="AE1013"/>
      <c r="AF1013"/>
      <c r="AG1013"/>
      <c r="AH1013"/>
    </row>
    <row r="1014" spans="17:34">
      <c r="Q1014"/>
      <c r="R1014"/>
      <c r="S1014"/>
      <c r="T1014"/>
      <c r="U1014"/>
      <c r="V1014"/>
      <c r="W1014"/>
      <c r="X1014"/>
      <c r="Y1014"/>
      <c r="Z1014"/>
      <c r="AA1014"/>
      <c r="AB1014"/>
      <c r="AC1014"/>
      <c r="AD1014"/>
      <c r="AE1014"/>
      <c r="AF1014"/>
      <c r="AG1014"/>
      <c r="AH1014"/>
    </row>
    <row r="1015" spans="17:34">
      <c r="Q1015"/>
      <c r="R1015"/>
      <c r="S1015"/>
      <c r="T1015"/>
      <c r="U1015"/>
      <c r="V1015"/>
      <c r="W1015"/>
      <c r="X1015"/>
      <c r="Y1015"/>
      <c r="Z1015"/>
      <c r="AA1015"/>
      <c r="AB1015"/>
      <c r="AC1015"/>
      <c r="AD1015"/>
      <c r="AE1015"/>
      <c r="AF1015"/>
      <c r="AG1015"/>
      <c r="AH1015"/>
    </row>
    <row r="1016" spans="17:34">
      <c r="Q1016"/>
      <c r="R1016"/>
      <c r="S1016"/>
      <c r="T1016"/>
      <c r="U1016"/>
      <c r="V1016"/>
      <c r="W1016"/>
      <c r="X1016"/>
      <c r="Y1016"/>
      <c r="Z1016"/>
      <c r="AA1016"/>
      <c r="AB1016"/>
      <c r="AC1016"/>
      <c r="AD1016"/>
      <c r="AE1016"/>
      <c r="AF1016"/>
      <c r="AG1016"/>
      <c r="AH1016"/>
    </row>
    <row r="1017" spans="17:34">
      <c r="Q1017"/>
      <c r="R1017"/>
      <c r="S1017"/>
      <c r="T1017"/>
      <c r="U1017"/>
      <c r="V1017"/>
      <c r="W1017"/>
      <c r="X1017"/>
      <c r="Y1017"/>
      <c r="Z1017"/>
      <c r="AA1017"/>
      <c r="AB1017"/>
      <c r="AC1017"/>
      <c r="AD1017"/>
      <c r="AE1017"/>
      <c r="AF1017"/>
      <c r="AG1017"/>
      <c r="AH1017"/>
    </row>
    <row r="1018" spans="17:34">
      <c r="Q1018"/>
      <c r="R1018"/>
      <c r="S1018"/>
      <c r="T1018"/>
      <c r="U1018"/>
      <c r="V1018"/>
      <c r="W1018"/>
      <c r="X1018"/>
      <c r="Y1018"/>
      <c r="Z1018"/>
      <c r="AA1018"/>
      <c r="AB1018"/>
      <c r="AC1018"/>
      <c r="AD1018"/>
      <c r="AE1018"/>
      <c r="AF1018"/>
      <c r="AG1018"/>
      <c r="AH1018"/>
    </row>
    <row r="1019" spans="17:34">
      <c r="Q1019"/>
      <c r="R1019"/>
      <c r="S1019"/>
      <c r="T1019"/>
      <c r="U1019"/>
      <c r="V1019"/>
      <c r="W1019"/>
      <c r="X1019"/>
      <c r="Y1019"/>
      <c r="Z1019"/>
      <c r="AA1019"/>
      <c r="AB1019"/>
      <c r="AC1019"/>
      <c r="AD1019"/>
      <c r="AE1019"/>
      <c r="AF1019"/>
      <c r="AG1019"/>
      <c r="AH1019"/>
    </row>
    <row r="1020" spans="17:34">
      <c r="Q1020"/>
      <c r="R1020"/>
      <c r="S1020"/>
      <c r="T1020"/>
      <c r="U1020"/>
      <c r="V1020"/>
      <c r="W1020"/>
      <c r="X1020"/>
      <c r="Y1020"/>
      <c r="Z1020"/>
      <c r="AA1020"/>
      <c r="AB1020"/>
      <c r="AC1020"/>
      <c r="AD1020"/>
      <c r="AE1020"/>
      <c r="AF1020"/>
      <c r="AG1020"/>
      <c r="AH1020"/>
    </row>
    <row r="1021" spans="17:34">
      <c r="Q1021"/>
      <c r="R1021"/>
      <c r="S1021"/>
      <c r="T1021"/>
      <c r="U1021"/>
      <c r="V1021"/>
      <c r="W1021"/>
      <c r="X1021"/>
      <c r="Y1021"/>
      <c r="Z1021"/>
      <c r="AA1021"/>
      <c r="AB1021"/>
      <c r="AC1021"/>
      <c r="AD1021"/>
      <c r="AE1021"/>
      <c r="AF1021"/>
      <c r="AG1021"/>
      <c r="AH1021"/>
    </row>
    <row r="1022" spans="17:34">
      <c r="Q1022"/>
      <c r="R1022"/>
      <c r="S1022"/>
      <c r="T1022"/>
      <c r="U1022"/>
      <c r="V1022"/>
      <c r="W1022"/>
      <c r="X1022"/>
      <c r="Y1022"/>
      <c r="Z1022"/>
      <c r="AA1022"/>
      <c r="AB1022"/>
      <c r="AC1022"/>
      <c r="AD1022"/>
      <c r="AE1022"/>
      <c r="AF1022"/>
      <c r="AG1022"/>
      <c r="AH1022"/>
    </row>
    <row r="1023" spans="17:34">
      <c r="Q1023"/>
      <c r="R1023"/>
      <c r="S1023"/>
      <c r="T1023"/>
      <c r="U1023"/>
      <c r="V1023"/>
      <c r="W1023"/>
      <c r="X1023"/>
      <c r="Y1023"/>
      <c r="Z1023"/>
      <c r="AA1023"/>
      <c r="AB1023"/>
      <c r="AC1023"/>
      <c r="AD1023"/>
      <c r="AE1023"/>
      <c r="AF1023"/>
      <c r="AG1023"/>
      <c r="AH1023"/>
    </row>
    <row r="1024" spans="17:34">
      <c r="Q1024"/>
      <c r="R1024"/>
      <c r="S1024"/>
      <c r="T1024"/>
      <c r="U1024"/>
      <c r="V1024"/>
      <c r="W1024"/>
      <c r="X1024"/>
      <c r="Y1024"/>
      <c r="Z1024"/>
      <c r="AA1024"/>
      <c r="AB1024"/>
      <c r="AC1024"/>
      <c r="AD1024"/>
      <c r="AE1024"/>
      <c r="AF1024"/>
      <c r="AG1024"/>
      <c r="AH1024"/>
    </row>
    <row r="1025" spans="17:34">
      <c r="Q1025"/>
      <c r="R1025"/>
      <c r="S1025"/>
      <c r="T1025"/>
      <c r="U1025"/>
      <c r="V1025"/>
      <c r="W1025"/>
      <c r="X1025"/>
      <c r="Y1025"/>
      <c r="Z1025"/>
      <c r="AA1025"/>
      <c r="AB1025"/>
      <c r="AC1025"/>
      <c r="AD1025"/>
      <c r="AE1025"/>
      <c r="AF1025"/>
      <c r="AG1025"/>
      <c r="AH1025"/>
    </row>
    <row r="1026" spans="17:34">
      <c r="Q1026"/>
      <c r="R1026"/>
      <c r="S1026"/>
      <c r="T1026"/>
      <c r="U1026"/>
      <c r="V1026"/>
      <c r="W1026"/>
      <c r="X1026"/>
      <c r="Y1026"/>
      <c r="Z1026"/>
      <c r="AA1026"/>
      <c r="AB1026"/>
      <c r="AC1026"/>
      <c r="AD1026"/>
      <c r="AE1026"/>
      <c r="AF1026"/>
      <c r="AG1026"/>
      <c r="AH1026"/>
    </row>
    <row r="1027" spans="17:34">
      <c r="Q1027"/>
      <c r="R1027"/>
      <c r="S1027"/>
      <c r="T1027"/>
      <c r="U1027"/>
      <c r="V1027"/>
      <c r="W1027"/>
      <c r="X1027"/>
      <c r="Y1027"/>
      <c r="Z1027"/>
      <c r="AA1027"/>
      <c r="AB1027"/>
      <c r="AC1027"/>
      <c r="AD1027"/>
      <c r="AE1027"/>
      <c r="AF1027"/>
      <c r="AG1027"/>
      <c r="AH1027"/>
    </row>
    <row r="1028" spans="17:34">
      <c r="Q1028"/>
      <c r="R1028"/>
      <c r="S1028"/>
      <c r="T1028"/>
      <c r="U1028"/>
      <c r="V1028"/>
      <c r="W1028"/>
      <c r="X1028"/>
      <c r="Y1028"/>
      <c r="Z1028"/>
      <c r="AA1028"/>
      <c r="AB1028"/>
      <c r="AC1028"/>
      <c r="AD1028"/>
      <c r="AE1028"/>
      <c r="AF1028"/>
      <c r="AG1028"/>
      <c r="AH1028"/>
    </row>
    <row r="1029" spans="17:34">
      <c r="Q1029"/>
      <c r="R1029"/>
      <c r="S1029"/>
      <c r="T1029"/>
      <c r="U1029"/>
      <c r="V1029"/>
      <c r="W1029"/>
      <c r="X1029"/>
      <c r="Y1029"/>
      <c r="Z1029"/>
      <c r="AA1029"/>
      <c r="AB1029"/>
      <c r="AC1029"/>
      <c r="AD1029"/>
      <c r="AE1029"/>
      <c r="AF1029"/>
      <c r="AG1029"/>
      <c r="AH1029"/>
    </row>
    <row r="1030" spans="17:34">
      <c r="Q1030"/>
      <c r="R1030"/>
      <c r="S1030"/>
      <c r="T1030"/>
      <c r="U1030"/>
      <c r="V1030"/>
      <c r="W1030"/>
      <c r="X1030"/>
      <c r="Y1030"/>
      <c r="Z1030"/>
      <c r="AA1030"/>
      <c r="AB1030"/>
      <c r="AC1030"/>
      <c r="AD1030"/>
      <c r="AE1030"/>
      <c r="AF1030"/>
      <c r="AG1030"/>
      <c r="AH1030"/>
    </row>
    <row r="1031" spans="17:34">
      <c r="Q1031"/>
      <c r="R1031"/>
      <c r="S1031"/>
      <c r="T1031"/>
      <c r="U1031"/>
      <c r="V1031"/>
      <c r="W1031"/>
      <c r="X1031"/>
      <c r="Y1031"/>
      <c r="Z1031"/>
      <c r="AA1031"/>
      <c r="AB1031"/>
      <c r="AC1031"/>
      <c r="AD1031"/>
      <c r="AE1031"/>
      <c r="AF1031"/>
      <c r="AG1031"/>
      <c r="AH1031"/>
    </row>
    <row r="1032" spans="17:34">
      <c r="Q1032"/>
      <c r="R1032"/>
      <c r="S1032"/>
      <c r="T1032"/>
      <c r="U1032"/>
      <c r="V1032"/>
      <c r="W1032"/>
      <c r="X1032"/>
      <c r="Y1032"/>
      <c r="Z1032"/>
      <c r="AA1032"/>
      <c r="AB1032"/>
      <c r="AC1032"/>
      <c r="AD1032"/>
      <c r="AE1032"/>
      <c r="AF1032"/>
      <c r="AG1032"/>
      <c r="AH1032"/>
    </row>
    <row r="1033" spans="17:34">
      <c r="Q1033"/>
      <c r="R1033"/>
      <c r="S1033"/>
      <c r="T1033"/>
      <c r="U1033"/>
      <c r="V1033"/>
      <c r="W1033"/>
      <c r="X1033"/>
      <c r="Y1033"/>
      <c r="Z1033"/>
      <c r="AA1033"/>
      <c r="AB1033"/>
      <c r="AC1033"/>
      <c r="AD1033"/>
      <c r="AE1033"/>
      <c r="AF1033"/>
      <c r="AG1033"/>
      <c r="AH1033"/>
    </row>
    <row r="1034" spans="17:34">
      <c r="Q1034"/>
      <c r="R1034"/>
      <c r="S1034"/>
      <c r="T1034"/>
      <c r="U1034"/>
      <c r="V1034"/>
      <c r="W1034"/>
      <c r="X1034"/>
      <c r="Y1034"/>
      <c r="Z1034"/>
      <c r="AA1034"/>
      <c r="AB1034"/>
      <c r="AC1034"/>
      <c r="AD1034"/>
      <c r="AE1034"/>
      <c r="AF1034"/>
      <c r="AG1034"/>
      <c r="AH1034"/>
    </row>
    <row r="1035" spans="17:34">
      <c r="Q1035"/>
      <c r="R1035"/>
      <c r="S1035"/>
      <c r="T1035"/>
      <c r="U1035"/>
      <c r="V1035"/>
      <c r="W1035"/>
      <c r="X1035"/>
      <c r="Y1035"/>
      <c r="Z1035"/>
      <c r="AA1035"/>
      <c r="AB1035"/>
      <c r="AC1035"/>
      <c r="AD1035"/>
      <c r="AE1035"/>
      <c r="AF1035"/>
      <c r="AG1035"/>
      <c r="AH1035"/>
    </row>
    <row r="1036" spans="17:34">
      <c r="Q1036"/>
      <c r="R1036"/>
      <c r="S1036"/>
      <c r="T1036"/>
      <c r="U1036"/>
      <c r="V1036"/>
      <c r="W1036"/>
      <c r="X1036"/>
      <c r="Y1036"/>
      <c r="Z1036"/>
      <c r="AA1036"/>
      <c r="AB1036"/>
      <c r="AC1036"/>
      <c r="AD1036"/>
      <c r="AE1036"/>
      <c r="AF1036"/>
      <c r="AG1036"/>
      <c r="AH1036"/>
    </row>
    <row r="1037" spans="17:34">
      <c r="Q1037"/>
      <c r="R1037"/>
      <c r="S1037"/>
      <c r="T1037"/>
      <c r="U1037"/>
      <c r="V1037"/>
      <c r="W1037"/>
      <c r="X1037"/>
      <c r="Y1037"/>
      <c r="Z1037"/>
      <c r="AA1037"/>
      <c r="AB1037"/>
      <c r="AC1037"/>
      <c r="AD1037"/>
      <c r="AE1037"/>
      <c r="AF1037"/>
      <c r="AG1037"/>
      <c r="AH1037"/>
    </row>
    <row r="1038" spans="17:34">
      <c r="Q1038"/>
      <c r="R1038"/>
      <c r="S1038"/>
      <c r="T1038"/>
      <c r="U1038"/>
      <c r="V1038"/>
      <c r="W1038"/>
      <c r="X1038"/>
      <c r="Y1038"/>
      <c r="Z1038"/>
      <c r="AA1038"/>
      <c r="AB1038"/>
      <c r="AC1038"/>
      <c r="AD1038"/>
      <c r="AE1038"/>
      <c r="AF1038"/>
      <c r="AG1038"/>
      <c r="AH1038"/>
    </row>
    <row r="1039" spans="17:34">
      <c r="Q1039"/>
      <c r="R1039"/>
      <c r="S1039"/>
      <c r="T1039"/>
      <c r="U1039"/>
      <c r="V1039"/>
      <c r="W1039"/>
      <c r="X1039"/>
      <c r="Y1039"/>
      <c r="Z1039"/>
      <c r="AA1039"/>
      <c r="AB1039"/>
      <c r="AC1039"/>
      <c r="AD1039"/>
      <c r="AE1039"/>
      <c r="AF1039"/>
      <c r="AG1039"/>
      <c r="AH1039"/>
    </row>
    <row r="1040" spans="17:34">
      <c r="Q1040"/>
      <c r="R1040"/>
      <c r="S1040"/>
      <c r="T1040"/>
      <c r="U1040"/>
      <c r="V1040"/>
      <c r="W1040"/>
      <c r="X1040"/>
      <c r="Y1040"/>
      <c r="Z1040"/>
      <c r="AA1040"/>
      <c r="AB1040"/>
      <c r="AC1040"/>
      <c r="AD1040"/>
      <c r="AE1040"/>
      <c r="AF1040"/>
      <c r="AG1040"/>
      <c r="AH1040"/>
    </row>
    <row r="1041" spans="17:34">
      <c r="Q1041"/>
      <c r="R1041"/>
      <c r="S1041"/>
      <c r="T1041"/>
      <c r="U1041"/>
      <c r="V1041"/>
      <c r="W1041"/>
      <c r="X1041"/>
      <c r="Y1041"/>
      <c r="Z1041"/>
      <c r="AA1041"/>
      <c r="AB1041"/>
      <c r="AC1041"/>
      <c r="AD1041"/>
      <c r="AE1041"/>
      <c r="AF1041"/>
      <c r="AG1041"/>
      <c r="AH1041"/>
    </row>
    <row r="1042" spans="17:34">
      <c r="Q1042"/>
      <c r="R1042"/>
      <c r="S1042"/>
      <c r="T1042"/>
      <c r="U1042"/>
      <c r="V1042"/>
      <c r="W1042"/>
      <c r="X1042"/>
      <c r="Y1042"/>
      <c r="Z1042"/>
      <c r="AA1042"/>
      <c r="AB1042"/>
      <c r="AC1042"/>
      <c r="AD1042"/>
      <c r="AE1042"/>
      <c r="AF1042"/>
      <c r="AG1042"/>
      <c r="AH1042"/>
    </row>
    <row r="1043" spans="17:34">
      <c r="Q1043"/>
      <c r="R1043"/>
      <c r="S1043"/>
      <c r="T1043"/>
      <c r="U1043"/>
      <c r="V1043"/>
      <c r="W1043"/>
      <c r="X1043"/>
      <c r="Y1043"/>
      <c r="Z1043"/>
      <c r="AA1043"/>
      <c r="AB1043"/>
      <c r="AC1043"/>
      <c r="AD1043"/>
      <c r="AE1043"/>
      <c r="AF1043"/>
      <c r="AG1043"/>
      <c r="AH1043"/>
    </row>
    <row r="1044" spans="17:34">
      <c r="Q1044"/>
      <c r="R1044"/>
      <c r="S1044"/>
      <c r="T1044"/>
      <c r="U1044"/>
      <c r="V1044"/>
      <c r="W1044"/>
      <c r="X1044"/>
      <c r="Y1044"/>
      <c r="Z1044"/>
      <c r="AA1044"/>
      <c r="AB1044"/>
      <c r="AC1044"/>
      <c r="AD1044"/>
      <c r="AE1044"/>
      <c r="AF1044"/>
      <c r="AG1044"/>
      <c r="AH1044"/>
    </row>
    <row r="1045" spans="17:34">
      <c r="Q1045"/>
      <c r="R1045"/>
      <c r="S1045"/>
      <c r="T1045"/>
      <c r="U1045"/>
      <c r="V1045"/>
      <c r="W1045"/>
      <c r="X1045"/>
      <c r="Y1045"/>
      <c r="Z1045"/>
      <c r="AA1045"/>
      <c r="AB1045"/>
      <c r="AC1045"/>
      <c r="AD1045"/>
      <c r="AE1045"/>
      <c r="AF1045"/>
      <c r="AG1045"/>
      <c r="AH1045"/>
    </row>
    <row r="1046" spans="17:34">
      <c r="Q1046"/>
      <c r="R1046"/>
      <c r="S1046"/>
      <c r="T1046"/>
      <c r="U1046"/>
      <c r="V1046"/>
      <c r="W1046"/>
      <c r="X1046"/>
      <c r="Y1046"/>
      <c r="Z1046"/>
      <c r="AA1046"/>
      <c r="AB1046"/>
      <c r="AC1046"/>
      <c r="AD1046"/>
      <c r="AE1046"/>
      <c r="AF1046"/>
      <c r="AG1046"/>
      <c r="AH1046"/>
    </row>
    <row r="1047" spans="17:34">
      <c r="Q1047"/>
      <c r="R1047"/>
      <c r="S1047"/>
      <c r="T1047"/>
      <c r="U1047"/>
      <c r="V1047"/>
      <c r="W1047"/>
      <c r="X1047"/>
      <c r="Y1047"/>
      <c r="Z1047"/>
      <c r="AA1047"/>
      <c r="AB1047"/>
      <c r="AC1047"/>
      <c r="AD1047"/>
      <c r="AE1047"/>
      <c r="AF1047"/>
      <c r="AG1047"/>
      <c r="AH1047"/>
    </row>
    <row r="1048" spans="17:34">
      <c r="Q1048"/>
      <c r="R1048"/>
      <c r="S1048"/>
      <c r="T1048"/>
      <c r="U1048"/>
      <c r="V1048"/>
      <c r="W1048"/>
      <c r="X1048"/>
      <c r="Y1048"/>
      <c r="Z1048"/>
      <c r="AA1048"/>
      <c r="AB1048"/>
      <c r="AC1048"/>
      <c r="AD1048"/>
      <c r="AE1048"/>
      <c r="AF1048"/>
      <c r="AG1048"/>
      <c r="AH1048"/>
    </row>
    <row r="1049" spans="17:34">
      <c r="Q1049"/>
      <c r="R1049"/>
      <c r="S1049"/>
      <c r="T1049"/>
      <c r="U1049"/>
      <c r="V1049"/>
      <c r="W1049"/>
      <c r="X1049"/>
      <c r="Y1049"/>
      <c r="Z1049"/>
      <c r="AA1049"/>
      <c r="AB1049"/>
      <c r="AC1049"/>
      <c r="AD1049"/>
      <c r="AE1049"/>
      <c r="AF1049"/>
      <c r="AG1049"/>
      <c r="AH1049"/>
    </row>
    <row r="1050" spans="17:34">
      <c r="Q1050"/>
      <c r="R1050"/>
      <c r="S1050"/>
      <c r="T1050"/>
      <c r="U1050"/>
      <c r="V1050"/>
      <c r="W1050"/>
      <c r="X1050"/>
      <c r="Y1050"/>
      <c r="Z1050"/>
      <c r="AA1050"/>
      <c r="AB1050"/>
      <c r="AC1050"/>
      <c r="AD1050"/>
      <c r="AE1050"/>
      <c r="AF1050"/>
      <c r="AG1050"/>
      <c r="AH1050"/>
    </row>
    <row r="1051" spans="17:34">
      <c r="Q1051"/>
      <c r="R1051"/>
      <c r="S1051"/>
      <c r="T1051"/>
      <c r="U1051"/>
      <c r="V1051"/>
      <c r="W1051"/>
      <c r="X1051"/>
      <c r="Y1051"/>
      <c r="Z1051"/>
      <c r="AA1051"/>
      <c r="AB1051"/>
      <c r="AC1051"/>
      <c r="AD1051"/>
      <c r="AE1051"/>
      <c r="AF1051"/>
      <c r="AG1051"/>
      <c r="AH1051"/>
    </row>
    <row r="1052" spans="17:34">
      <c r="Q1052"/>
      <c r="R1052"/>
      <c r="S1052"/>
      <c r="T1052"/>
      <c r="U1052"/>
      <c r="V1052"/>
      <c r="W1052"/>
      <c r="X1052"/>
      <c r="Y1052"/>
      <c r="Z1052"/>
      <c r="AA1052"/>
      <c r="AB1052"/>
      <c r="AC1052"/>
      <c r="AD1052"/>
      <c r="AE1052"/>
      <c r="AF1052"/>
      <c r="AG1052"/>
      <c r="AH1052"/>
    </row>
    <row r="1053" spans="17:34">
      <c r="Q1053"/>
      <c r="R1053"/>
      <c r="S1053"/>
      <c r="T1053"/>
      <c r="U1053"/>
      <c r="V1053"/>
      <c r="W1053"/>
      <c r="X1053"/>
      <c r="Y1053"/>
      <c r="Z1053"/>
      <c r="AA1053"/>
      <c r="AB1053"/>
      <c r="AC1053"/>
      <c r="AD1053"/>
      <c r="AE1053"/>
      <c r="AF1053"/>
      <c r="AG1053"/>
      <c r="AH1053"/>
    </row>
    <row r="1054" spans="17:34">
      <c r="Q1054"/>
      <c r="R1054"/>
      <c r="S1054"/>
      <c r="T1054"/>
      <c r="U1054"/>
      <c r="V1054"/>
      <c r="W1054"/>
      <c r="X1054"/>
      <c r="Y1054"/>
      <c r="Z1054"/>
      <c r="AA1054"/>
      <c r="AB1054"/>
      <c r="AC1054"/>
      <c r="AD1054"/>
      <c r="AE1054"/>
      <c r="AF1054"/>
      <c r="AG1054"/>
      <c r="AH1054"/>
    </row>
    <row r="1055" spans="17:34">
      <c r="Q1055"/>
      <c r="R1055"/>
      <c r="S1055"/>
      <c r="T1055"/>
      <c r="U1055"/>
      <c r="V1055"/>
      <c r="W1055"/>
      <c r="X1055"/>
      <c r="Y1055"/>
      <c r="Z1055"/>
      <c r="AA1055"/>
      <c r="AB1055"/>
      <c r="AC1055"/>
      <c r="AD1055"/>
      <c r="AE1055"/>
      <c r="AF1055"/>
      <c r="AG1055"/>
      <c r="AH1055"/>
    </row>
    <row r="1056" spans="17:34">
      <c r="Q1056"/>
      <c r="R1056"/>
      <c r="S1056"/>
      <c r="T1056"/>
      <c r="U1056"/>
      <c r="V1056"/>
      <c r="W1056"/>
      <c r="X1056"/>
      <c r="Y1056"/>
      <c r="Z1056"/>
      <c r="AA1056"/>
      <c r="AB1056"/>
      <c r="AC1056"/>
      <c r="AD1056"/>
      <c r="AE1056"/>
      <c r="AF1056"/>
      <c r="AG1056"/>
      <c r="AH1056"/>
    </row>
    <row r="1057" spans="17:34">
      <c r="Q1057"/>
      <c r="R1057"/>
      <c r="S1057"/>
      <c r="T1057"/>
      <c r="U1057"/>
      <c r="V1057"/>
      <c r="W1057"/>
      <c r="X1057"/>
      <c r="Y1057"/>
      <c r="Z1057"/>
      <c r="AA1057"/>
      <c r="AB1057"/>
      <c r="AC1057"/>
      <c r="AD1057"/>
      <c r="AE1057"/>
      <c r="AF1057"/>
      <c r="AG1057"/>
      <c r="AH1057"/>
    </row>
    <row r="1058" spans="17:34">
      <c r="Q1058"/>
      <c r="R1058"/>
      <c r="S1058"/>
      <c r="T1058"/>
      <c r="U1058"/>
      <c r="V1058"/>
      <c r="W1058"/>
      <c r="X1058"/>
      <c r="Y1058"/>
      <c r="Z1058"/>
      <c r="AA1058"/>
      <c r="AB1058"/>
      <c r="AC1058"/>
      <c r="AD1058"/>
      <c r="AE1058"/>
      <c r="AF1058"/>
      <c r="AG1058"/>
      <c r="AH1058"/>
    </row>
    <row r="1059" spans="17:34">
      <c r="Q1059"/>
      <c r="R1059"/>
      <c r="S1059"/>
      <c r="T1059"/>
      <c r="U1059"/>
      <c r="V1059"/>
      <c r="W1059"/>
      <c r="X1059"/>
      <c r="Y1059"/>
      <c r="Z1059"/>
      <c r="AA1059"/>
      <c r="AB1059"/>
      <c r="AC1059"/>
      <c r="AD1059"/>
      <c r="AE1059"/>
      <c r="AF1059"/>
      <c r="AG1059"/>
      <c r="AH1059"/>
    </row>
    <row r="1060" spans="17:34">
      <c r="Q1060"/>
      <c r="R1060"/>
      <c r="S1060"/>
      <c r="T1060"/>
      <c r="U1060"/>
      <c r="V1060"/>
      <c r="W1060"/>
      <c r="X1060"/>
      <c r="Y1060"/>
      <c r="Z1060"/>
      <c r="AA1060"/>
      <c r="AB1060"/>
      <c r="AC1060"/>
      <c r="AD1060"/>
      <c r="AE1060"/>
      <c r="AF1060"/>
      <c r="AG1060"/>
      <c r="AH1060"/>
    </row>
    <row r="1061" spans="17:34">
      <c r="Q1061"/>
      <c r="R1061"/>
      <c r="S1061"/>
      <c r="T1061"/>
      <c r="U1061"/>
      <c r="V1061"/>
      <c r="W1061"/>
      <c r="X1061"/>
      <c r="Y1061"/>
      <c r="Z1061"/>
      <c r="AA1061"/>
      <c r="AB1061"/>
      <c r="AC1061"/>
      <c r="AD1061"/>
      <c r="AE1061"/>
      <c r="AF1061"/>
      <c r="AG1061"/>
      <c r="AH1061"/>
    </row>
    <row r="1062" spans="17:34">
      <c r="Q1062"/>
      <c r="R1062"/>
      <c r="S1062"/>
      <c r="T1062"/>
      <c r="U1062"/>
      <c r="V1062"/>
      <c r="W1062"/>
      <c r="X1062"/>
      <c r="Y1062"/>
      <c r="Z1062"/>
      <c r="AA1062"/>
      <c r="AB1062"/>
      <c r="AC1062"/>
      <c r="AD1062"/>
      <c r="AE1062"/>
      <c r="AF1062"/>
      <c r="AG1062"/>
      <c r="AH1062"/>
    </row>
    <row r="1063" spans="17:34">
      <c r="Q1063"/>
      <c r="R1063"/>
      <c r="S1063"/>
      <c r="T1063"/>
      <c r="U1063"/>
      <c r="V1063"/>
      <c r="W1063"/>
      <c r="X1063"/>
      <c r="Y1063"/>
      <c r="Z1063"/>
      <c r="AA1063"/>
      <c r="AB1063"/>
      <c r="AC1063"/>
      <c r="AD1063"/>
      <c r="AE1063"/>
      <c r="AF1063"/>
      <c r="AG1063"/>
      <c r="AH1063"/>
    </row>
    <row r="1064" spans="17:34">
      <c r="Q1064"/>
      <c r="R1064"/>
      <c r="S1064"/>
      <c r="T1064"/>
      <c r="U1064"/>
      <c r="V1064"/>
      <c r="W1064"/>
      <c r="X1064"/>
      <c r="Y1064"/>
      <c r="Z1064"/>
      <c r="AA1064"/>
      <c r="AB1064"/>
      <c r="AC1064"/>
      <c r="AD1064"/>
      <c r="AE1064"/>
      <c r="AF1064"/>
      <c r="AG1064"/>
      <c r="AH1064"/>
    </row>
    <row r="1065" spans="17:34">
      <c r="Q1065"/>
      <c r="R1065"/>
      <c r="S1065"/>
      <c r="T1065"/>
      <c r="U1065"/>
      <c r="V1065"/>
      <c r="W1065"/>
      <c r="X1065"/>
      <c r="Y1065"/>
      <c r="Z1065"/>
      <c r="AA1065"/>
      <c r="AB1065"/>
      <c r="AC1065"/>
      <c r="AD1065"/>
      <c r="AE1065"/>
      <c r="AF1065"/>
      <c r="AG1065"/>
      <c r="AH1065"/>
    </row>
    <row r="1066" spans="17:34">
      <c r="Q1066"/>
      <c r="R1066"/>
      <c r="S1066"/>
      <c r="T1066"/>
      <c r="U1066"/>
      <c r="V1066"/>
      <c r="W1066"/>
      <c r="X1066"/>
      <c r="Y1066"/>
      <c r="Z1066"/>
      <c r="AA1066"/>
      <c r="AB1066"/>
      <c r="AC1066"/>
      <c r="AD1066"/>
      <c r="AE1066"/>
      <c r="AF1066"/>
      <c r="AG1066"/>
      <c r="AH1066"/>
    </row>
    <row r="1067" spans="17:34">
      <c r="Q1067"/>
      <c r="R1067"/>
      <c r="S1067"/>
      <c r="T1067"/>
      <c r="U1067"/>
      <c r="V1067"/>
      <c r="W1067"/>
      <c r="X1067"/>
      <c r="Y1067"/>
      <c r="Z1067"/>
      <c r="AA1067"/>
      <c r="AB1067"/>
      <c r="AC1067"/>
      <c r="AD1067"/>
      <c r="AE1067"/>
      <c r="AF1067"/>
      <c r="AG1067"/>
      <c r="AH1067"/>
    </row>
    <row r="1068" spans="17:34">
      <c r="Q1068"/>
      <c r="R1068"/>
      <c r="S1068"/>
      <c r="T1068"/>
      <c r="U1068"/>
      <c r="V1068"/>
      <c r="W1068"/>
      <c r="X1068"/>
      <c r="Y1068"/>
      <c r="Z1068"/>
      <c r="AA1068"/>
      <c r="AB1068"/>
      <c r="AC1068"/>
      <c r="AD1068"/>
      <c r="AE1068"/>
      <c r="AF1068"/>
      <c r="AG1068"/>
      <c r="AH1068"/>
    </row>
    <row r="1069" spans="17:34">
      <c r="Q1069"/>
      <c r="R1069"/>
      <c r="S1069"/>
      <c r="T1069"/>
      <c r="U1069"/>
      <c r="V1069"/>
      <c r="W1069"/>
      <c r="X1069"/>
      <c r="Y1069"/>
      <c r="Z1069"/>
      <c r="AA1069"/>
      <c r="AB1069"/>
      <c r="AC1069"/>
      <c r="AD1069"/>
      <c r="AE1069"/>
      <c r="AF1069"/>
      <c r="AG1069"/>
      <c r="AH1069"/>
    </row>
    <row r="1070" spans="17:34">
      <c r="Q1070"/>
      <c r="R1070"/>
      <c r="S1070"/>
      <c r="T1070"/>
      <c r="U1070"/>
      <c r="V1070"/>
      <c r="W1070"/>
      <c r="X1070"/>
      <c r="Y1070"/>
      <c r="Z1070"/>
      <c r="AA1070"/>
      <c r="AB1070"/>
      <c r="AC1070"/>
      <c r="AD1070"/>
      <c r="AE1070"/>
      <c r="AF1070"/>
      <c r="AG1070"/>
      <c r="AH1070"/>
    </row>
    <row r="1071" spans="17:34">
      <c r="Q1071"/>
      <c r="R1071"/>
      <c r="S1071"/>
      <c r="T1071"/>
      <c r="U1071"/>
      <c r="V1071"/>
      <c r="W1071"/>
      <c r="X1071"/>
      <c r="Y1071"/>
      <c r="Z1071"/>
      <c r="AA1071"/>
      <c r="AB1071"/>
      <c r="AC1071"/>
      <c r="AD1071"/>
      <c r="AE1071"/>
      <c r="AF1071"/>
      <c r="AG1071"/>
      <c r="AH1071"/>
    </row>
    <row r="1072" spans="17:34">
      <c r="Q1072"/>
      <c r="R1072"/>
      <c r="S1072"/>
      <c r="T1072"/>
      <c r="U1072"/>
      <c r="V1072"/>
      <c r="W1072"/>
      <c r="X1072"/>
      <c r="Y1072"/>
      <c r="Z1072"/>
      <c r="AA1072"/>
      <c r="AB1072"/>
      <c r="AC1072"/>
      <c r="AD1072"/>
      <c r="AE1072"/>
      <c r="AF1072"/>
      <c r="AG1072"/>
      <c r="AH1072"/>
    </row>
    <row r="1073" spans="17:34">
      <c r="Q1073"/>
      <c r="R1073"/>
      <c r="S1073"/>
      <c r="T1073"/>
      <c r="U1073"/>
      <c r="V1073"/>
      <c r="W1073"/>
      <c r="X1073"/>
      <c r="Y1073"/>
      <c r="Z1073"/>
      <c r="AA1073"/>
      <c r="AB1073"/>
      <c r="AC1073"/>
      <c r="AD1073"/>
      <c r="AE1073"/>
      <c r="AF1073"/>
      <c r="AG1073"/>
      <c r="AH1073"/>
    </row>
    <row r="1074" spans="17:34">
      <c r="Q1074"/>
      <c r="R1074"/>
      <c r="S1074"/>
      <c r="T1074"/>
      <c r="U1074"/>
      <c r="V1074"/>
      <c r="W1074"/>
      <c r="X1074"/>
      <c r="Y1074"/>
      <c r="Z1074"/>
      <c r="AA1074"/>
      <c r="AB1074"/>
      <c r="AC1074"/>
      <c r="AD1074"/>
      <c r="AE1074"/>
      <c r="AF1074"/>
      <c r="AG1074"/>
      <c r="AH1074"/>
    </row>
    <row r="1075" spans="17:34">
      <c r="Q1075"/>
      <c r="R1075"/>
      <c r="S1075"/>
      <c r="T1075"/>
      <c r="U1075"/>
      <c r="V1075"/>
      <c r="W1075"/>
      <c r="X1075"/>
      <c r="Y1075"/>
      <c r="Z1075"/>
      <c r="AA1075"/>
      <c r="AB1075"/>
      <c r="AC1075"/>
      <c r="AD1075"/>
      <c r="AE1075"/>
      <c r="AF1075"/>
      <c r="AG1075"/>
      <c r="AH1075"/>
    </row>
    <row r="1076" spans="17:34">
      <c r="Q1076"/>
      <c r="R1076"/>
      <c r="S1076"/>
      <c r="T1076"/>
      <c r="U1076"/>
      <c r="V1076"/>
      <c r="W1076"/>
      <c r="X1076"/>
      <c r="Y1076"/>
      <c r="Z1076"/>
      <c r="AA1076"/>
      <c r="AB1076"/>
      <c r="AC1076"/>
      <c r="AD1076"/>
      <c r="AE1076"/>
      <c r="AF1076"/>
      <c r="AG1076"/>
      <c r="AH1076"/>
    </row>
    <row r="1077" spans="17:34">
      <c r="Q1077"/>
      <c r="R1077"/>
      <c r="S1077"/>
      <c r="T1077"/>
      <c r="U1077"/>
      <c r="V1077"/>
      <c r="W1077"/>
      <c r="X1077"/>
      <c r="Y1077"/>
      <c r="Z1077"/>
      <c r="AA1077"/>
      <c r="AB1077"/>
      <c r="AC1077"/>
      <c r="AD1077"/>
      <c r="AE1077"/>
      <c r="AF1077"/>
      <c r="AG1077"/>
      <c r="AH1077"/>
    </row>
    <row r="1078" spans="17:34">
      <c r="Q1078"/>
      <c r="R1078"/>
      <c r="S1078"/>
      <c r="T1078"/>
      <c r="U1078"/>
      <c r="V1078"/>
      <c r="W1078"/>
      <c r="X1078"/>
      <c r="Y1078"/>
      <c r="Z1078"/>
      <c r="AA1078"/>
      <c r="AB1078"/>
      <c r="AC1078"/>
      <c r="AD1078"/>
      <c r="AE1078"/>
      <c r="AF1078"/>
      <c r="AG1078"/>
      <c r="AH1078"/>
    </row>
    <row r="1079" spans="17:34">
      <c r="Q1079"/>
      <c r="R1079"/>
      <c r="S1079"/>
      <c r="T1079"/>
      <c r="U1079"/>
      <c r="V1079"/>
      <c r="W1079"/>
      <c r="X1079"/>
      <c r="Y1079"/>
      <c r="Z1079"/>
      <c r="AA1079"/>
      <c r="AB1079"/>
      <c r="AC1079"/>
      <c r="AD1079"/>
      <c r="AE1079"/>
      <c r="AF1079"/>
      <c r="AG1079"/>
      <c r="AH1079"/>
    </row>
    <row r="1080" spans="17:34">
      <c r="Q1080"/>
      <c r="R1080"/>
      <c r="S1080"/>
      <c r="T1080"/>
      <c r="U1080"/>
      <c r="V1080"/>
      <c r="W1080"/>
      <c r="X1080"/>
      <c r="Y1080"/>
      <c r="Z1080"/>
      <c r="AA1080"/>
      <c r="AB1080"/>
      <c r="AC1080"/>
      <c r="AD1080"/>
      <c r="AE1080"/>
      <c r="AF1080"/>
      <c r="AG1080"/>
      <c r="AH1080"/>
    </row>
    <row r="1081" spans="17:34">
      <c r="Q1081"/>
      <c r="R1081"/>
      <c r="S1081"/>
      <c r="T1081"/>
      <c r="U1081"/>
      <c r="V1081"/>
      <c r="W1081"/>
      <c r="X1081"/>
      <c r="Y1081"/>
      <c r="Z1081"/>
      <c r="AA1081"/>
      <c r="AB1081"/>
      <c r="AC1081"/>
      <c r="AD1081"/>
      <c r="AE1081"/>
      <c r="AF1081"/>
      <c r="AG1081"/>
      <c r="AH1081"/>
    </row>
    <row r="1082" spans="17:34">
      <c r="Q1082"/>
      <c r="R1082"/>
      <c r="S1082"/>
      <c r="T1082"/>
      <c r="U1082"/>
      <c r="V1082"/>
      <c r="W1082"/>
      <c r="X1082"/>
      <c r="Y1082"/>
      <c r="Z1082"/>
      <c r="AA1082"/>
      <c r="AB1082"/>
      <c r="AC1082"/>
      <c r="AD1082"/>
      <c r="AE1082"/>
      <c r="AF1082"/>
      <c r="AG1082"/>
      <c r="AH1082"/>
    </row>
    <row r="1083" spans="17:34">
      <c r="Q1083"/>
      <c r="R1083"/>
      <c r="S1083"/>
      <c r="T1083"/>
      <c r="U1083"/>
      <c r="V1083"/>
      <c r="W1083"/>
      <c r="X1083"/>
      <c r="Y1083"/>
      <c r="Z1083"/>
      <c r="AA1083"/>
      <c r="AB1083"/>
      <c r="AC1083"/>
      <c r="AD1083"/>
      <c r="AE1083"/>
      <c r="AF1083"/>
      <c r="AG1083"/>
      <c r="AH1083"/>
    </row>
    <row r="1084" spans="17:34">
      <c r="Q1084"/>
      <c r="R1084"/>
      <c r="S1084"/>
      <c r="T1084"/>
      <c r="U1084"/>
      <c r="V1084"/>
      <c r="W1084"/>
      <c r="X1084"/>
      <c r="Y1084"/>
      <c r="Z1084"/>
      <c r="AA1084"/>
      <c r="AB1084"/>
      <c r="AC1084"/>
      <c r="AD1084"/>
      <c r="AE1084"/>
      <c r="AF1084"/>
      <c r="AG1084"/>
      <c r="AH1084"/>
    </row>
    <row r="1085" spans="17:34">
      <c r="Q1085"/>
      <c r="R1085"/>
      <c r="S1085"/>
      <c r="T1085"/>
      <c r="U1085"/>
      <c r="V1085"/>
      <c r="W1085"/>
      <c r="X1085"/>
      <c r="Y1085"/>
      <c r="Z1085"/>
      <c r="AA1085"/>
      <c r="AB1085"/>
      <c r="AC1085"/>
      <c r="AD1085"/>
      <c r="AE1085"/>
      <c r="AF1085"/>
      <c r="AG1085"/>
      <c r="AH1085"/>
    </row>
    <row r="1086" spans="17:34">
      <c r="Q1086"/>
      <c r="R1086"/>
      <c r="S1086"/>
      <c r="T1086"/>
      <c r="U1086"/>
      <c r="V1086"/>
      <c r="W1086"/>
      <c r="X1086"/>
      <c r="Y1086"/>
      <c r="Z1086"/>
      <c r="AA1086"/>
      <c r="AB1086"/>
      <c r="AC1086"/>
      <c r="AD1086"/>
      <c r="AE1086"/>
      <c r="AF1086"/>
      <c r="AG1086"/>
      <c r="AH1086"/>
    </row>
    <row r="1087" spans="17:34">
      <c r="Q1087"/>
      <c r="R1087"/>
      <c r="S1087"/>
      <c r="T1087"/>
      <c r="U1087"/>
      <c r="V1087"/>
      <c r="W1087"/>
      <c r="X1087"/>
      <c r="Y1087"/>
      <c r="Z1087"/>
      <c r="AA1087"/>
      <c r="AB1087"/>
      <c r="AC1087"/>
      <c r="AD1087"/>
      <c r="AE1087"/>
      <c r="AF1087"/>
      <c r="AG1087"/>
      <c r="AH1087"/>
    </row>
    <row r="1088" spans="17:34">
      <c r="Q1088"/>
      <c r="R1088"/>
      <c r="S1088"/>
      <c r="T1088"/>
      <c r="U1088"/>
      <c r="V1088"/>
      <c r="W1088"/>
      <c r="X1088"/>
      <c r="Y1088"/>
      <c r="Z1088"/>
      <c r="AA1088"/>
      <c r="AB1088"/>
      <c r="AC1088"/>
      <c r="AD1088"/>
      <c r="AE1088"/>
      <c r="AF1088"/>
      <c r="AG1088"/>
      <c r="AH1088"/>
    </row>
    <row r="1089" spans="17:34">
      <c r="Q1089"/>
      <c r="R1089"/>
      <c r="S1089"/>
      <c r="T1089"/>
      <c r="U1089"/>
      <c r="V1089"/>
      <c r="W1089"/>
      <c r="X1089"/>
      <c r="Y1089"/>
      <c r="Z1089"/>
      <c r="AA1089"/>
      <c r="AB1089"/>
      <c r="AC1089"/>
      <c r="AD1089"/>
      <c r="AE1089"/>
      <c r="AF1089"/>
      <c r="AG1089"/>
      <c r="AH1089"/>
    </row>
    <row r="1090" spans="17:34">
      <c r="Q1090"/>
      <c r="R1090"/>
      <c r="S1090"/>
      <c r="T1090"/>
      <c r="U1090"/>
      <c r="V1090"/>
      <c r="W1090"/>
      <c r="X1090"/>
      <c r="Y1090"/>
      <c r="Z1090"/>
      <c r="AA1090"/>
      <c r="AB1090"/>
      <c r="AC1090"/>
      <c r="AD1090"/>
      <c r="AE1090"/>
      <c r="AF1090"/>
      <c r="AG1090"/>
      <c r="AH1090"/>
    </row>
    <row r="1091" spans="17:34">
      <c r="Q1091"/>
      <c r="R1091"/>
      <c r="S1091"/>
      <c r="T1091"/>
      <c r="U1091"/>
      <c r="V1091"/>
      <c r="W1091"/>
      <c r="X1091"/>
      <c r="Y1091"/>
      <c r="Z1091"/>
      <c r="AA1091"/>
      <c r="AB1091"/>
      <c r="AC1091"/>
      <c r="AD1091"/>
      <c r="AE1091"/>
      <c r="AF1091"/>
      <c r="AG1091"/>
      <c r="AH1091"/>
    </row>
    <row r="1092" spans="17:34">
      <c r="Q1092"/>
      <c r="R1092"/>
      <c r="S1092"/>
      <c r="T1092"/>
      <c r="U1092"/>
      <c r="V1092"/>
      <c r="W1092"/>
      <c r="X1092"/>
      <c r="Y1092"/>
      <c r="Z1092"/>
      <c r="AA1092"/>
      <c r="AB1092"/>
      <c r="AC1092"/>
      <c r="AD1092"/>
      <c r="AE1092"/>
      <c r="AF1092"/>
      <c r="AG1092"/>
      <c r="AH1092"/>
    </row>
    <row r="1093" spans="17:34">
      <c r="Q1093"/>
      <c r="R1093"/>
      <c r="S1093"/>
      <c r="T1093"/>
      <c r="U1093"/>
      <c r="V1093"/>
      <c r="W1093"/>
      <c r="X1093"/>
      <c r="Y1093"/>
      <c r="Z1093"/>
      <c r="AA1093"/>
      <c r="AB1093"/>
      <c r="AC1093"/>
      <c r="AD1093"/>
      <c r="AE1093"/>
      <c r="AF1093"/>
      <c r="AG1093"/>
      <c r="AH1093"/>
    </row>
    <row r="1094" spans="17:34">
      <c r="Q1094"/>
      <c r="R1094"/>
      <c r="S1094"/>
      <c r="T1094"/>
      <c r="U1094"/>
      <c r="V1094"/>
      <c r="W1094"/>
      <c r="X1094"/>
      <c r="Y1094"/>
      <c r="Z1094"/>
      <c r="AA1094"/>
      <c r="AB1094"/>
      <c r="AC1094"/>
      <c r="AD1094"/>
      <c r="AE1094"/>
      <c r="AF1094"/>
      <c r="AG1094"/>
      <c r="AH1094"/>
    </row>
    <row r="1095" spans="17:34">
      <c r="Q1095"/>
      <c r="R1095"/>
      <c r="S1095"/>
      <c r="T1095"/>
      <c r="U1095"/>
      <c r="V1095"/>
      <c r="W1095"/>
      <c r="X1095"/>
      <c r="Y1095"/>
      <c r="Z1095"/>
      <c r="AA1095"/>
      <c r="AB1095"/>
      <c r="AC1095"/>
      <c r="AD1095"/>
      <c r="AE1095"/>
      <c r="AF1095"/>
      <c r="AG1095"/>
      <c r="AH1095"/>
    </row>
    <row r="1096" spans="17:34">
      <c r="Q1096"/>
      <c r="R1096"/>
      <c r="S1096"/>
      <c r="T1096"/>
      <c r="U1096"/>
      <c r="V1096"/>
      <c r="W1096"/>
      <c r="X1096"/>
      <c r="Y1096"/>
      <c r="Z1096"/>
      <c r="AA1096"/>
      <c r="AB1096"/>
      <c r="AC1096"/>
      <c r="AD1096"/>
      <c r="AE1096"/>
      <c r="AF1096"/>
      <c r="AG1096"/>
      <c r="AH1096"/>
    </row>
    <row r="1097" spans="17:34">
      <c r="Q1097"/>
      <c r="R1097"/>
      <c r="S1097"/>
      <c r="T1097"/>
      <c r="U1097"/>
      <c r="V1097"/>
      <c r="W1097"/>
      <c r="X1097"/>
      <c r="Y1097"/>
      <c r="Z1097"/>
      <c r="AA1097"/>
      <c r="AB1097"/>
      <c r="AC1097"/>
      <c r="AD1097"/>
      <c r="AE1097"/>
      <c r="AF1097"/>
      <c r="AG1097"/>
      <c r="AH1097"/>
    </row>
    <row r="1098" spans="17:34">
      <c r="Q1098"/>
      <c r="R1098"/>
      <c r="S1098"/>
      <c r="T1098"/>
      <c r="U1098"/>
      <c r="V1098"/>
      <c r="W1098"/>
      <c r="X1098"/>
      <c r="Y1098"/>
      <c r="Z1098"/>
      <c r="AA1098"/>
      <c r="AB1098"/>
      <c r="AC1098"/>
      <c r="AD1098"/>
      <c r="AE1098"/>
      <c r="AF1098"/>
      <c r="AG1098"/>
      <c r="AH1098"/>
    </row>
    <row r="1099" spans="17:34">
      <c r="Q1099"/>
      <c r="R1099"/>
      <c r="S1099"/>
      <c r="T1099"/>
      <c r="U1099"/>
      <c r="V1099"/>
      <c r="W1099"/>
      <c r="X1099"/>
      <c r="Y1099"/>
      <c r="Z1099"/>
      <c r="AA1099"/>
      <c r="AB1099"/>
      <c r="AC1099"/>
      <c r="AD1099"/>
      <c r="AE1099"/>
      <c r="AF1099"/>
      <c r="AG1099"/>
      <c r="AH1099"/>
    </row>
    <row r="1100" spans="17:34">
      <c r="Q1100"/>
      <c r="R1100"/>
      <c r="S1100"/>
      <c r="T1100"/>
      <c r="U1100"/>
      <c r="V1100"/>
      <c r="W1100"/>
      <c r="X1100"/>
      <c r="Y1100"/>
      <c r="Z1100"/>
      <c r="AA1100"/>
      <c r="AB1100"/>
      <c r="AC1100"/>
      <c r="AD1100"/>
      <c r="AE1100"/>
      <c r="AF1100"/>
      <c r="AG1100"/>
      <c r="AH1100"/>
    </row>
    <row r="1101" spans="17:34">
      <c r="Q1101"/>
      <c r="R1101"/>
      <c r="S1101"/>
      <c r="T1101"/>
      <c r="U1101"/>
      <c r="V1101"/>
      <c r="W1101"/>
      <c r="X1101"/>
      <c r="Y1101"/>
      <c r="Z1101"/>
      <c r="AA1101"/>
      <c r="AB1101"/>
      <c r="AC1101"/>
      <c r="AD1101"/>
      <c r="AE1101"/>
      <c r="AF1101"/>
      <c r="AG1101"/>
      <c r="AH1101"/>
    </row>
    <row r="1102" spans="17:34">
      <c r="Q1102"/>
      <c r="R1102"/>
      <c r="S1102"/>
      <c r="T1102"/>
      <c r="U1102"/>
      <c r="V1102"/>
      <c r="W1102"/>
      <c r="X1102"/>
      <c r="Y1102"/>
      <c r="Z1102"/>
      <c r="AA1102"/>
      <c r="AB1102"/>
      <c r="AC1102"/>
      <c r="AD1102"/>
      <c r="AE1102"/>
      <c r="AF1102"/>
      <c r="AG1102"/>
      <c r="AH1102"/>
    </row>
    <row r="1103" spans="17:34">
      <c r="Q1103"/>
      <c r="R1103"/>
      <c r="S1103"/>
      <c r="T1103"/>
      <c r="U1103"/>
      <c r="V1103"/>
      <c r="W1103"/>
      <c r="X1103"/>
      <c r="Y1103"/>
      <c r="Z1103"/>
      <c r="AA1103"/>
      <c r="AB1103"/>
      <c r="AC1103"/>
      <c r="AD1103"/>
      <c r="AE1103"/>
      <c r="AF1103"/>
      <c r="AG1103"/>
      <c r="AH1103"/>
    </row>
    <row r="1104" spans="17:34">
      <c r="Q1104"/>
      <c r="R1104"/>
      <c r="S1104"/>
      <c r="T1104"/>
      <c r="U1104"/>
      <c r="V1104"/>
      <c r="W1104"/>
      <c r="X1104"/>
      <c r="Y1104"/>
      <c r="Z1104"/>
      <c r="AA1104"/>
      <c r="AB1104"/>
      <c r="AC1104"/>
      <c r="AD1104"/>
      <c r="AE1104"/>
      <c r="AF1104"/>
      <c r="AG1104"/>
      <c r="AH1104"/>
    </row>
    <row r="1105" spans="17:34">
      <c r="Q1105"/>
      <c r="R1105"/>
      <c r="S1105"/>
      <c r="T1105"/>
      <c r="U1105"/>
      <c r="V1105"/>
      <c r="W1105"/>
      <c r="X1105"/>
      <c r="Y1105"/>
      <c r="Z1105"/>
      <c r="AA1105"/>
      <c r="AB1105"/>
      <c r="AC1105"/>
      <c r="AD1105"/>
      <c r="AE1105"/>
      <c r="AF1105"/>
      <c r="AG1105"/>
      <c r="AH1105"/>
    </row>
    <row r="1106" spans="17:34">
      <c r="Q1106"/>
      <c r="R1106"/>
      <c r="S1106"/>
      <c r="T1106"/>
      <c r="U1106"/>
      <c r="V1106"/>
      <c r="W1106"/>
      <c r="X1106"/>
      <c r="Y1106"/>
      <c r="Z1106"/>
      <c r="AA1106"/>
      <c r="AB1106"/>
      <c r="AC1106"/>
      <c r="AD1106"/>
      <c r="AE1106"/>
      <c r="AF1106"/>
      <c r="AG1106"/>
      <c r="AH1106"/>
    </row>
    <row r="1107" spans="17:34">
      <c r="Q1107"/>
      <c r="R1107"/>
      <c r="S1107"/>
      <c r="T1107"/>
      <c r="U1107"/>
      <c r="V1107"/>
      <c r="W1107"/>
      <c r="X1107"/>
      <c r="Y1107"/>
      <c r="Z1107"/>
      <c r="AA1107"/>
      <c r="AB1107"/>
      <c r="AC1107"/>
      <c r="AD1107"/>
      <c r="AE1107"/>
      <c r="AF1107"/>
      <c r="AG1107"/>
      <c r="AH1107"/>
    </row>
    <row r="1108" spans="17:34">
      <c r="Q1108"/>
      <c r="R1108"/>
      <c r="S1108"/>
      <c r="T1108"/>
      <c r="U1108"/>
      <c r="V1108"/>
      <c r="W1108"/>
      <c r="X1108"/>
      <c r="Y1108"/>
      <c r="Z1108"/>
      <c r="AA1108"/>
      <c r="AB1108"/>
      <c r="AC1108"/>
      <c r="AD1108"/>
      <c r="AE1108"/>
      <c r="AF1108"/>
      <c r="AG1108"/>
      <c r="AH1108"/>
    </row>
    <row r="1109" spans="17:34">
      <c r="Q1109"/>
      <c r="R1109"/>
      <c r="S1109"/>
      <c r="T1109"/>
      <c r="U1109"/>
      <c r="V1109"/>
      <c r="W1109"/>
      <c r="X1109"/>
      <c r="Y1109"/>
      <c r="Z1109"/>
      <c r="AA1109"/>
      <c r="AB1109"/>
      <c r="AC1109"/>
      <c r="AD1109"/>
      <c r="AE1109"/>
      <c r="AF1109"/>
      <c r="AG1109"/>
      <c r="AH1109"/>
    </row>
    <row r="1110" spans="17:34">
      <c r="Q1110"/>
      <c r="R1110"/>
      <c r="S1110"/>
      <c r="T1110"/>
      <c r="U1110"/>
      <c r="V1110"/>
      <c r="W1110"/>
      <c r="X1110"/>
      <c r="Y1110"/>
      <c r="Z1110"/>
      <c r="AA1110"/>
      <c r="AB1110"/>
      <c r="AC1110"/>
      <c r="AD1110"/>
      <c r="AE1110"/>
      <c r="AF1110"/>
      <c r="AG1110"/>
      <c r="AH1110"/>
    </row>
    <row r="1111" spans="17:34">
      <c r="Q1111"/>
      <c r="R1111"/>
      <c r="S1111"/>
      <c r="T1111"/>
      <c r="U1111"/>
      <c r="V1111"/>
      <c r="W1111"/>
      <c r="X1111"/>
      <c r="Y1111"/>
      <c r="Z1111"/>
      <c r="AA1111"/>
      <c r="AB1111"/>
      <c r="AC1111"/>
      <c r="AD1111"/>
      <c r="AE1111"/>
      <c r="AF1111"/>
      <c r="AG1111"/>
      <c r="AH1111"/>
    </row>
    <row r="1112" spans="17:34">
      <c r="Q1112"/>
      <c r="R1112"/>
      <c r="S1112"/>
      <c r="T1112"/>
      <c r="U1112"/>
      <c r="V1112"/>
      <c r="W1112"/>
      <c r="X1112"/>
      <c r="Y1112"/>
      <c r="Z1112"/>
      <c r="AA1112"/>
      <c r="AB1112"/>
      <c r="AC1112"/>
      <c r="AD1112"/>
      <c r="AE1112"/>
      <c r="AF1112"/>
      <c r="AG1112"/>
      <c r="AH1112"/>
    </row>
    <row r="1113" spans="17:34">
      <c r="Q1113"/>
      <c r="R1113"/>
      <c r="S1113"/>
      <c r="T1113"/>
      <c r="U1113"/>
      <c r="V1113"/>
      <c r="W1113"/>
      <c r="X1113"/>
      <c r="Y1113"/>
      <c r="Z1113"/>
      <c r="AA1113"/>
      <c r="AB1113"/>
      <c r="AC1113"/>
      <c r="AD1113"/>
      <c r="AE1113"/>
      <c r="AF1113"/>
      <c r="AG1113"/>
      <c r="AH1113"/>
    </row>
    <row r="1114" spans="17:34">
      <c r="Q1114"/>
      <c r="R1114"/>
      <c r="S1114"/>
      <c r="T1114"/>
      <c r="U1114"/>
      <c r="V1114"/>
      <c r="W1114"/>
      <c r="X1114"/>
      <c r="Y1114"/>
      <c r="Z1114"/>
      <c r="AA1114"/>
      <c r="AB1114"/>
      <c r="AC1114"/>
      <c r="AD1114"/>
      <c r="AE1114"/>
      <c r="AF1114"/>
      <c r="AG1114"/>
      <c r="AH1114"/>
    </row>
    <row r="1115" spans="17:34">
      <c r="Q1115"/>
      <c r="R1115"/>
      <c r="S1115"/>
      <c r="T1115"/>
      <c r="U1115"/>
      <c r="V1115"/>
      <c r="W1115"/>
      <c r="X1115"/>
      <c r="Y1115"/>
      <c r="Z1115"/>
      <c r="AA1115"/>
      <c r="AB1115"/>
      <c r="AC1115"/>
      <c r="AD1115"/>
      <c r="AE1115"/>
      <c r="AF1115"/>
      <c r="AG1115"/>
      <c r="AH1115"/>
    </row>
    <row r="1116" spans="17:34">
      <c r="Q1116"/>
      <c r="R1116"/>
      <c r="S1116"/>
      <c r="T1116"/>
      <c r="U1116"/>
      <c r="V1116"/>
      <c r="W1116"/>
      <c r="X1116"/>
      <c r="Y1116"/>
      <c r="Z1116"/>
      <c r="AA1116"/>
      <c r="AB1116"/>
      <c r="AC1116"/>
      <c r="AD1116"/>
      <c r="AE1116"/>
      <c r="AF1116"/>
      <c r="AG1116"/>
      <c r="AH1116"/>
    </row>
    <row r="1117" spans="17:34">
      <c r="Q1117"/>
      <c r="R1117"/>
      <c r="S1117"/>
      <c r="T1117"/>
      <c r="U1117"/>
      <c r="V1117"/>
      <c r="W1117"/>
      <c r="X1117"/>
      <c r="Y1117"/>
      <c r="Z1117"/>
      <c r="AA1117"/>
      <c r="AB1117"/>
      <c r="AC1117"/>
      <c r="AD1117"/>
      <c r="AE1117"/>
      <c r="AF1117"/>
      <c r="AG1117"/>
      <c r="AH1117"/>
    </row>
    <row r="1118" spans="17:34">
      <c r="Q1118"/>
      <c r="R1118"/>
      <c r="S1118"/>
      <c r="T1118"/>
      <c r="U1118"/>
      <c r="V1118"/>
      <c r="W1118"/>
      <c r="X1118"/>
      <c r="Y1118"/>
      <c r="Z1118"/>
      <c r="AA1118"/>
      <c r="AB1118"/>
      <c r="AC1118"/>
      <c r="AD1118"/>
      <c r="AE1118"/>
      <c r="AF1118"/>
      <c r="AG1118"/>
      <c r="AH1118"/>
    </row>
    <row r="1119" spans="17:34">
      <c r="Q1119"/>
      <c r="R1119"/>
      <c r="S1119"/>
      <c r="T1119"/>
      <c r="U1119"/>
      <c r="V1119"/>
      <c r="W1119"/>
      <c r="X1119"/>
      <c r="Y1119"/>
      <c r="Z1119"/>
      <c r="AA1119"/>
      <c r="AB1119"/>
      <c r="AC1119"/>
      <c r="AD1119"/>
      <c r="AE1119"/>
      <c r="AF1119"/>
      <c r="AG1119"/>
      <c r="AH1119"/>
    </row>
    <row r="1120" spans="17:34">
      <c r="Q1120"/>
      <c r="R1120"/>
      <c r="S1120"/>
      <c r="T1120"/>
      <c r="U1120"/>
      <c r="V1120"/>
      <c r="W1120"/>
      <c r="X1120"/>
      <c r="Y1120"/>
      <c r="Z1120"/>
      <c r="AA1120"/>
      <c r="AB1120"/>
      <c r="AC1120"/>
      <c r="AD1120"/>
      <c r="AE1120"/>
      <c r="AF1120"/>
      <c r="AG1120"/>
      <c r="AH1120"/>
    </row>
    <row r="1121" spans="17:34">
      <c r="Q1121"/>
      <c r="R1121"/>
      <c r="S1121"/>
      <c r="T1121"/>
      <c r="U1121"/>
      <c r="V1121"/>
      <c r="W1121"/>
      <c r="X1121"/>
      <c r="Y1121"/>
      <c r="Z1121"/>
      <c r="AA1121"/>
      <c r="AB1121"/>
      <c r="AC1121"/>
      <c r="AD1121"/>
      <c r="AE1121"/>
      <c r="AF1121"/>
      <c r="AG1121"/>
      <c r="AH1121"/>
    </row>
    <row r="1122" spans="17:34">
      <c r="Q1122"/>
      <c r="R1122"/>
      <c r="S1122"/>
      <c r="T1122"/>
      <c r="U1122"/>
      <c r="V1122"/>
      <c r="W1122"/>
      <c r="X1122"/>
      <c r="Y1122"/>
      <c r="Z1122"/>
      <c r="AA1122"/>
      <c r="AB1122"/>
      <c r="AC1122"/>
      <c r="AD1122"/>
      <c r="AE1122"/>
      <c r="AF1122"/>
      <c r="AG1122"/>
      <c r="AH1122"/>
    </row>
    <row r="1123" spans="17:34">
      <c r="Q1123"/>
      <c r="R1123"/>
      <c r="S1123"/>
      <c r="T1123"/>
      <c r="U1123"/>
      <c r="V1123"/>
      <c r="W1123"/>
      <c r="X1123"/>
      <c r="Y1123"/>
      <c r="Z1123"/>
      <c r="AA1123"/>
      <c r="AB1123"/>
      <c r="AC1123"/>
      <c r="AD1123"/>
      <c r="AE1123"/>
      <c r="AF1123"/>
      <c r="AG1123"/>
      <c r="AH1123"/>
    </row>
    <row r="1124" spans="17:34">
      <c r="Q1124"/>
      <c r="R1124"/>
      <c r="S1124"/>
      <c r="T1124"/>
      <c r="U1124"/>
      <c r="V1124"/>
      <c r="W1124"/>
      <c r="X1124"/>
      <c r="Y1124"/>
      <c r="Z1124"/>
      <c r="AA1124"/>
      <c r="AB1124"/>
      <c r="AC1124"/>
      <c r="AD1124"/>
      <c r="AE1124"/>
      <c r="AF1124"/>
      <c r="AG1124"/>
      <c r="AH1124"/>
    </row>
    <row r="1125" spans="17:34">
      <c r="Q1125"/>
      <c r="R1125"/>
      <c r="S1125"/>
      <c r="T1125"/>
      <c r="U1125"/>
      <c r="V1125"/>
      <c r="W1125"/>
      <c r="X1125"/>
      <c r="Y1125"/>
      <c r="Z1125"/>
      <c r="AA1125"/>
      <c r="AB1125"/>
      <c r="AC1125"/>
      <c r="AD1125"/>
      <c r="AE1125"/>
      <c r="AF1125"/>
      <c r="AG1125"/>
      <c r="AH1125"/>
    </row>
    <row r="1126" spans="17:34">
      <c r="Q1126"/>
      <c r="R1126"/>
      <c r="S1126"/>
      <c r="T1126"/>
      <c r="U1126"/>
      <c r="V1126"/>
      <c r="W1126"/>
      <c r="X1126"/>
      <c r="Y1126"/>
      <c r="Z1126"/>
      <c r="AA1126"/>
      <c r="AB1126"/>
      <c r="AC1126"/>
      <c r="AD1126"/>
      <c r="AE1126"/>
      <c r="AF1126"/>
      <c r="AG1126"/>
      <c r="AH1126"/>
    </row>
  </sheetData>
  <mergeCells count="540">
    <mergeCell ref="B2:K3"/>
    <mergeCell ref="B5:D5"/>
    <mergeCell ref="R2:Y3"/>
    <mergeCell ref="R5:U5"/>
    <mergeCell ref="R7:Y7"/>
    <mergeCell ref="R10:U10"/>
    <mergeCell ref="R11:U11"/>
    <mergeCell ref="R12:U12"/>
    <mergeCell ref="R13:U13"/>
    <mergeCell ref="R14:U14"/>
    <mergeCell ref="R15:U15"/>
    <mergeCell ref="R16:U16"/>
    <mergeCell ref="R19:U19"/>
    <mergeCell ref="R20:U20"/>
    <mergeCell ref="R21:U21"/>
    <mergeCell ref="R22:U22"/>
    <mergeCell ref="R23:U23"/>
    <mergeCell ref="R24:U24"/>
    <mergeCell ref="R25:U25"/>
    <mergeCell ref="R26:U26"/>
    <mergeCell ref="R28:Y28"/>
    <mergeCell ref="R31:T32"/>
    <mergeCell ref="U31:U32"/>
    <mergeCell ref="V31:V32"/>
    <mergeCell ref="W31:W32"/>
    <mergeCell ref="X31:X32"/>
    <mergeCell ref="R33:T33"/>
    <mergeCell ref="R34:T34"/>
    <mergeCell ref="R35:T35"/>
    <mergeCell ref="R36:T36"/>
    <mergeCell ref="X39:X40"/>
    <mergeCell ref="R41:T41"/>
    <mergeCell ref="R42:T42"/>
    <mergeCell ref="R43:T43"/>
    <mergeCell ref="R39:T40"/>
    <mergeCell ref="U39:U40"/>
    <mergeCell ref="V39:V40"/>
    <mergeCell ref="W39:W40"/>
    <mergeCell ref="R44:T44"/>
    <mergeCell ref="R46:Y46"/>
    <mergeCell ref="R49:T50"/>
    <mergeCell ref="U49:U50"/>
    <mergeCell ref="V49:V50"/>
    <mergeCell ref="W49:W50"/>
    <mergeCell ref="X49:X50"/>
    <mergeCell ref="R51:T51"/>
    <mergeCell ref="R54:T55"/>
    <mergeCell ref="U54:U55"/>
    <mergeCell ref="V54:V55"/>
    <mergeCell ref="W54:W55"/>
    <mergeCell ref="X54:X55"/>
    <mergeCell ref="R56:T56"/>
    <mergeCell ref="R59:T60"/>
    <mergeCell ref="U59:U60"/>
    <mergeCell ref="V59:V60"/>
    <mergeCell ref="W59:W60"/>
    <mergeCell ref="X59:X60"/>
    <mergeCell ref="R61:T61"/>
    <mergeCell ref="R62:T62"/>
    <mergeCell ref="R64:Y64"/>
    <mergeCell ref="R67:T68"/>
    <mergeCell ref="U67:U68"/>
    <mergeCell ref="V67:V68"/>
    <mergeCell ref="W67:W68"/>
    <mergeCell ref="X67:X68"/>
    <mergeCell ref="R69:T69"/>
    <mergeCell ref="R70:T70"/>
    <mergeCell ref="R71:T71"/>
    <mergeCell ref="R74:T75"/>
    <mergeCell ref="U74:U75"/>
    <mergeCell ref="V74:V75"/>
    <mergeCell ref="W74:W75"/>
    <mergeCell ref="X74:X75"/>
    <mergeCell ref="R76:T76"/>
    <mergeCell ref="R77:T77"/>
    <mergeCell ref="R78:T78"/>
    <mergeCell ref="R80:Y80"/>
    <mergeCell ref="X83:X84"/>
    <mergeCell ref="R85:T85"/>
    <mergeCell ref="R86:T86"/>
    <mergeCell ref="R87:T87"/>
    <mergeCell ref="R83:T84"/>
    <mergeCell ref="U83:U84"/>
    <mergeCell ref="V83:V84"/>
    <mergeCell ref="W83:W84"/>
    <mergeCell ref="X90:X91"/>
    <mergeCell ref="R92:T92"/>
    <mergeCell ref="R93:T93"/>
    <mergeCell ref="R94:T94"/>
    <mergeCell ref="R90:T91"/>
    <mergeCell ref="U90:U91"/>
    <mergeCell ref="V90:V91"/>
    <mergeCell ref="W90:W91"/>
    <mergeCell ref="R96:Y96"/>
    <mergeCell ref="R100:T101"/>
    <mergeCell ref="U100:U101"/>
    <mergeCell ref="V100:V101"/>
    <mergeCell ref="W100:W101"/>
    <mergeCell ref="X100:X101"/>
    <mergeCell ref="R102:T102"/>
    <mergeCell ref="R103:T103"/>
    <mergeCell ref="R106:T107"/>
    <mergeCell ref="U106:U107"/>
    <mergeCell ref="V106:V107"/>
    <mergeCell ref="W106:W107"/>
    <mergeCell ref="X106:X107"/>
    <mergeCell ref="R108:T108"/>
    <mergeCell ref="R109:T109"/>
    <mergeCell ref="R112:T113"/>
    <mergeCell ref="U112:U113"/>
    <mergeCell ref="V112:V113"/>
    <mergeCell ref="W112:W113"/>
    <mergeCell ref="X112:X113"/>
    <mergeCell ref="R114:T114"/>
    <mergeCell ref="R115:T115"/>
    <mergeCell ref="V126:V127"/>
    <mergeCell ref="W126:W127"/>
    <mergeCell ref="X118:X119"/>
    <mergeCell ref="R120:T120"/>
    <mergeCell ref="R121:T121"/>
    <mergeCell ref="R123:Y123"/>
    <mergeCell ref="R118:T119"/>
    <mergeCell ref="U118:U119"/>
    <mergeCell ref="V118:V119"/>
    <mergeCell ref="W118:W119"/>
    <mergeCell ref="X126:X127"/>
    <mergeCell ref="R128:T128"/>
    <mergeCell ref="R130:Y130"/>
    <mergeCell ref="R132:T133"/>
    <mergeCell ref="U132:U133"/>
    <mergeCell ref="V132:V133"/>
    <mergeCell ref="W132:W133"/>
    <mergeCell ref="X132:X133"/>
    <mergeCell ref="R126:T127"/>
    <mergeCell ref="U126:U127"/>
    <mergeCell ref="R134:T134"/>
    <mergeCell ref="R135:T135"/>
    <mergeCell ref="R137:Y137"/>
    <mergeCell ref="R142:W142"/>
    <mergeCell ref="X143:X144"/>
    <mergeCell ref="R145:T145"/>
    <mergeCell ref="U145:U146"/>
    <mergeCell ref="R146:T146"/>
    <mergeCell ref="R143:T144"/>
    <mergeCell ref="U143:U144"/>
    <mergeCell ref="V143:V144"/>
    <mergeCell ref="W143:W144"/>
    <mergeCell ref="R147:T147"/>
    <mergeCell ref="R148:T148"/>
    <mergeCell ref="R149:X149"/>
    <mergeCell ref="R150:T151"/>
    <mergeCell ref="U150:U151"/>
    <mergeCell ref="V150:V151"/>
    <mergeCell ref="W150:W151"/>
    <mergeCell ref="X150:X151"/>
    <mergeCell ref="R152:T152"/>
    <mergeCell ref="U152:U154"/>
    <mergeCell ref="R153:T153"/>
    <mergeCell ref="R154:T154"/>
    <mergeCell ref="R155:X155"/>
    <mergeCell ref="R156:T157"/>
    <mergeCell ref="U156:U157"/>
    <mergeCell ref="V156:V157"/>
    <mergeCell ref="W156:W157"/>
    <mergeCell ref="X156:X157"/>
    <mergeCell ref="V162:V163"/>
    <mergeCell ref="W162:W163"/>
    <mergeCell ref="R158:T158"/>
    <mergeCell ref="U158:U160"/>
    <mergeCell ref="R159:T159"/>
    <mergeCell ref="R160:T160"/>
    <mergeCell ref="X162:X163"/>
    <mergeCell ref="R164:T164"/>
    <mergeCell ref="R165:T165"/>
    <mergeCell ref="R167:T168"/>
    <mergeCell ref="U167:U168"/>
    <mergeCell ref="V167:V168"/>
    <mergeCell ref="W167:W168"/>
    <mergeCell ref="X167:X168"/>
    <mergeCell ref="R162:T163"/>
    <mergeCell ref="U162:U163"/>
    <mergeCell ref="R174:T174"/>
    <mergeCell ref="R179:T179"/>
    <mergeCell ref="R180:T180"/>
    <mergeCell ref="R175:T175"/>
    <mergeCell ref="R177:T178"/>
    <mergeCell ref="R169:T169"/>
    <mergeCell ref="R170:T170"/>
    <mergeCell ref="R172:T173"/>
    <mergeCell ref="W177:W178"/>
    <mergeCell ref="X177:X178"/>
    <mergeCell ref="U177:U178"/>
    <mergeCell ref="V177:V178"/>
    <mergeCell ref="X183:X184"/>
    <mergeCell ref="X172:X173"/>
    <mergeCell ref="U172:U173"/>
    <mergeCell ref="V172:V173"/>
    <mergeCell ref="W172:W173"/>
    <mergeCell ref="R185:T185"/>
    <mergeCell ref="R186:T186"/>
    <mergeCell ref="R181:T181"/>
    <mergeCell ref="R183:T184"/>
    <mergeCell ref="W188:W189"/>
    <mergeCell ref="W183:W184"/>
    <mergeCell ref="V188:V189"/>
    <mergeCell ref="U183:U184"/>
    <mergeCell ref="V183:V184"/>
    <mergeCell ref="X188:X189"/>
    <mergeCell ref="V193:V194"/>
    <mergeCell ref="W193:W194"/>
    <mergeCell ref="X193:X194"/>
    <mergeCell ref="R188:T189"/>
    <mergeCell ref="U188:U189"/>
    <mergeCell ref="R190:T190"/>
    <mergeCell ref="R191:T191"/>
    <mergeCell ref="R193:T194"/>
    <mergeCell ref="U193:U194"/>
    <mergeCell ref="R195:T195"/>
    <mergeCell ref="R196:T196"/>
    <mergeCell ref="R198:T199"/>
    <mergeCell ref="U198:U199"/>
    <mergeCell ref="V198:V199"/>
    <mergeCell ref="W198:W199"/>
    <mergeCell ref="X198:X199"/>
    <mergeCell ref="R200:T200"/>
    <mergeCell ref="R201:T201"/>
    <mergeCell ref="R202:T202"/>
    <mergeCell ref="R204:Y208"/>
    <mergeCell ref="R210:W211"/>
    <mergeCell ref="X210:X211"/>
    <mergeCell ref="Y210:Y211"/>
    <mergeCell ref="Y213:Y214"/>
    <mergeCell ref="R215:U215"/>
    <mergeCell ref="R216:U216"/>
    <mergeCell ref="R217:U217"/>
    <mergeCell ref="R213:U214"/>
    <mergeCell ref="V213:V214"/>
    <mergeCell ref="W213:W214"/>
    <mergeCell ref="X213:X214"/>
    <mergeCell ref="R218:U218"/>
    <mergeCell ref="R219:U219"/>
    <mergeCell ref="R220:U220"/>
    <mergeCell ref="R221:U221"/>
    <mergeCell ref="R222:U222"/>
    <mergeCell ref="R223:U223"/>
    <mergeCell ref="R224:U224"/>
    <mergeCell ref="R225:U225"/>
    <mergeCell ref="R226:U226"/>
    <mergeCell ref="R227:U227"/>
    <mergeCell ref="R228:U228"/>
    <mergeCell ref="R229:U229"/>
    <mergeCell ref="R231:U231"/>
    <mergeCell ref="R235:T236"/>
    <mergeCell ref="U235:U236"/>
    <mergeCell ref="V235:V236"/>
    <mergeCell ref="W235:W236"/>
    <mergeCell ref="X235:X236"/>
    <mergeCell ref="R237:T237"/>
    <mergeCell ref="U237:U239"/>
    <mergeCell ref="R238:T238"/>
    <mergeCell ref="R239:T239"/>
    <mergeCell ref="X241:X242"/>
    <mergeCell ref="R243:T243"/>
    <mergeCell ref="U243:U245"/>
    <mergeCell ref="R244:T244"/>
    <mergeCell ref="R245:T245"/>
    <mergeCell ref="R241:T242"/>
    <mergeCell ref="U241:U242"/>
    <mergeCell ref="V241:V242"/>
    <mergeCell ref="W241:W242"/>
    <mergeCell ref="X247:X248"/>
    <mergeCell ref="R249:T249"/>
    <mergeCell ref="U249:U251"/>
    <mergeCell ref="R250:T250"/>
    <mergeCell ref="R251:T251"/>
    <mergeCell ref="R247:T248"/>
    <mergeCell ref="U247:U248"/>
    <mergeCell ref="V247:V248"/>
    <mergeCell ref="W247:W248"/>
    <mergeCell ref="X254:X255"/>
    <mergeCell ref="R257:T257"/>
    <mergeCell ref="R260:Y260"/>
    <mergeCell ref="R264:S265"/>
    <mergeCell ref="U264:V264"/>
    <mergeCell ref="U265:V265"/>
    <mergeCell ref="R254:T255"/>
    <mergeCell ref="U254:U255"/>
    <mergeCell ref="V254:V255"/>
    <mergeCell ref="W254:W255"/>
    <mergeCell ref="X267:X268"/>
    <mergeCell ref="R268:R271"/>
    <mergeCell ref="S268:T268"/>
    <mergeCell ref="S269:T269"/>
    <mergeCell ref="S270:T270"/>
    <mergeCell ref="S271:T271"/>
    <mergeCell ref="R267:T267"/>
    <mergeCell ref="U267:U268"/>
    <mergeCell ref="V267:V268"/>
    <mergeCell ref="W267:W268"/>
    <mergeCell ref="R272:X272"/>
    <mergeCell ref="R273:T273"/>
    <mergeCell ref="U273:U274"/>
    <mergeCell ref="V273:V274"/>
    <mergeCell ref="W273:W274"/>
    <mergeCell ref="X273:X274"/>
    <mergeCell ref="R274:R277"/>
    <mergeCell ref="S274:T274"/>
    <mergeCell ref="S275:T275"/>
    <mergeCell ref="S276:T276"/>
    <mergeCell ref="S277:T277"/>
    <mergeCell ref="R278:X278"/>
    <mergeCell ref="R279:T279"/>
    <mergeCell ref="U279:U280"/>
    <mergeCell ref="V279:V280"/>
    <mergeCell ref="W279:W280"/>
    <mergeCell ref="X279:X280"/>
    <mergeCell ref="R280:R283"/>
    <mergeCell ref="S280:T280"/>
    <mergeCell ref="S281:T281"/>
    <mergeCell ref="S282:T282"/>
    <mergeCell ref="S283:T283"/>
    <mergeCell ref="R286:U287"/>
    <mergeCell ref="V286:V287"/>
    <mergeCell ref="W286:W287"/>
    <mergeCell ref="X286:X287"/>
    <mergeCell ref="Y286:Y287"/>
    <mergeCell ref="R288:U288"/>
    <mergeCell ref="R289:U289"/>
    <mergeCell ref="R290:U290"/>
    <mergeCell ref="R291:U291"/>
    <mergeCell ref="R292:U292"/>
    <mergeCell ref="R293:U293"/>
    <mergeCell ref="R294:U294"/>
    <mergeCell ref="R295:U295"/>
    <mergeCell ref="R296:U296"/>
    <mergeCell ref="R297:U297"/>
    <mergeCell ref="R298:U298"/>
    <mergeCell ref="R299:U299"/>
    <mergeCell ref="T301:U301"/>
    <mergeCell ref="T302:U302"/>
    <mergeCell ref="R305:V305"/>
    <mergeCell ref="R306:R307"/>
    <mergeCell ref="S306:S307"/>
    <mergeCell ref="T306:T307"/>
    <mergeCell ref="U306:U307"/>
    <mergeCell ref="V306:V307"/>
    <mergeCell ref="R316:W318"/>
    <mergeCell ref="R336:S339"/>
    <mergeCell ref="T336:T337"/>
    <mergeCell ref="R319:W319"/>
    <mergeCell ref="R320:W320"/>
    <mergeCell ref="R322:S326"/>
    <mergeCell ref="T322:T324"/>
    <mergeCell ref="U322:U324"/>
    <mergeCell ref="V322:V324"/>
    <mergeCell ref="W322:W324"/>
    <mergeCell ref="R328:W328"/>
    <mergeCell ref="R329:S332"/>
    <mergeCell ref="T329:T330"/>
    <mergeCell ref="U329:U330"/>
    <mergeCell ref="V329:V330"/>
    <mergeCell ref="W329:W330"/>
    <mergeCell ref="T342:T343"/>
    <mergeCell ref="U342:U343"/>
    <mergeCell ref="V342:V343"/>
    <mergeCell ref="W342:W343"/>
    <mergeCell ref="U336:U337"/>
    <mergeCell ref="R348:W348"/>
    <mergeCell ref="R341:W341"/>
    <mergeCell ref="R342:S345"/>
    <mergeCell ref="V336:V337"/>
    <mergeCell ref="W336:W337"/>
    <mergeCell ref="R365:S368"/>
    <mergeCell ref="T365:T366"/>
    <mergeCell ref="R349:W349"/>
    <mergeCell ref="R351:S355"/>
    <mergeCell ref="T351:T353"/>
    <mergeCell ref="U351:U353"/>
    <mergeCell ref="V351:V353"/>
    <mergeCell ref="W351:W353"/>
    <mergeCell ref="R357:W357"/>
    <mergeCell ref="R358:S361"/>
    <mergeCell ref="T358:T359"/>
    <mergeCell ref="U358:U359"/>
    <mergeCell ref="V358:V359"/>
    <mergeCell ref="W358:W359"/>
    <mergeCell ref="T371:T372"/>
    <mergeCell ref="U371:U372"/>
    <mergeCell ref="V371:V372"/>
    <mergeCell ref="W371:W372"/>
    <mergeCell ref="U365:U366"/>
    <mergeCell ref="R377:W377"/>
    <mergeCell ref="R370:W370"/>
    <mergeCell ref="R371:S374"/>
    <mergeCell ref="V365:V366"/>
    <mergeCell ref="W365:W366"/>
    <mergeCell ref="R394:S397"/>
    <mergeCell ref="T394:T395"/>
    <mergeCell ref="R378:W378"/>
    <mergeCell ref="R380:S384"/>
    <mergeCell ref="T380:T382"/>
    <mergeCell ref="U380:U382"/>
    <mergeCell ref="V380:V382"/>
    <mergeCell ref="W380:W382"/>
    <mergeCell ref="R386:W386"/>
    <mergeCell ref="R387:S390"/>
    <mergeCell ref="T387:T388"/>
    <mergeCell ref="U387:U388"/>
    <mergeCell ref="V387:V388"/>
    <mergeCell ref="W387:W388"/>
    <mergeCell ref="T400:T401"/>
    <mergeCell ref="U400:U401"/>
    <mergeCell ref="V400:V401"/>
    <mergeCell ref="W400:W401"/>
    <mergeCell ref="U394:U395"/>
    <mergeCell ref="R406:W406"/>
    <mergeCell ref="R399:W399"/>
    <mergeCell ref="R400:S403"/>
    <mergeCell ref="V394:V395"/>
    <mergeCell ref="W394:W395"/>
    <mergeCell ref="R407:W407"/>
    <mergeCell ref="R409:S413"/>
    <mergeCell ref="T409:T411"/>
    <mergeCell ref="U409:U411"/>
    <mergeCell ref="V409:V411"/>
    <mergeCell ref="W409:W411"/>
    <mergeCell ref="V423:V424"/>
    <mergeCell ref="R415:W415"/>
    <mergeCell ref="R416:S419"/>
    <mergeCell ref="T416:T417"/>
    <mergeCell ref="U416:U417"/>
    <mergeCell ref="V416:V417"/>
    <mergeCell ref="W416:W417"/>
    <mergeCell ref="W423:W424"/>
    <mergeCell ref="R423:S426"/>
    <mergeCell ref="T423:T424"/>
    <mergeCell ref="U423:U424"/>
    <mergeCell ref="R435:W437"/>
    <mergeCell ref="R438:W438"/>
    <mergeCell ref="R439:W439"/>
    <mergeCell ref="R428:W428"/>
    <mergeCell ref="R429:S432"/>
    <mergeCell ref="T429:T430"/>
    <mergeCell ref="U429:U430"/>
    <mergeCell ref="V429:V430"/>
    <mergeCell ref="W429:W430"/>
    <mergeCell ref="R441:S445"/>
    <mergeCell ref="T441:T443"/>
    <mergeCell ref="U441:U443"/>
    <mergeCell ref="V441:V443"/>
    <mergeCell ref="W441:W443"/>
    <mergeCell ref="V455:V456"/>
    <mergeCell ref="R447:W447"/>
    <mergeCell ref="R448:S451"/>
    <mergeCell ref="T448:T449"/>
    <mergeCell ref="U448:U449"/>
    <mergeCell ref="V448:V449"/>
    <mergeCell ref="W448:W449"/>
    <mergeCell ref="W455:W456"/>
    <mergeCell ref="R455:S458"/>
    <mergeCell ref="T455:T456"/>
    <mergeCell ref="U455:U456"/>
    <mergeCell ref="R467:W467"/>
    <mergeCell ref="R468:W468"/>
    <mergeCell ref="R460:W460"/>
    <mergeCell ref="R461:S464"/>
    <mergeCell ref="T461:T462"/>
    <mergeCell ref="U461:U462"/>
    <mergeCell ref="V461:V462"/>
    <mergeCell ref="W461:W462"/>
    <mergeCell ref="R470:S474"/>
    <mergeCell ref="T470:T472"/>
    <mergeCell ref="U470:U472"/>
    <mergeCell ref="V470:V472"/>
    <mergeCell ref="W470:W472"/>
    <mergeCell ref="V484:V485"/>
    <mergeCell ref="R476:W476"/>
    <mergeCell ref="R477:S480"/>
    <mergeCell ref="T477:T478"/>
    <mergeCell ref="U477:U478"/>
    <mergeCell ref="V477:V478"/>
    <mergeCell ref="W477:W478"/>
    <mergeCell ref="W484:W485"/>
    <mergeCell ref="R484:S487"/>
    <mergeCell ref="T484:T485"/>
    <mergeCell ref="U484:U485"/>
    <mergeCell ref="R496:W496"/>
    <mergeCell ref="R497:W497"/>
    <mergeCell ref="R489:W489"/>
    <mergeCell ref="R490:S493"/>
    <mergeCell ref="T490:T491"/>
    <mergeCell ref="U490:U491"/>
    <mergeCell ref="V490:V491"/>
    <mergeCell ref="W490:W491"/>
    <mergeCell ref="R499:S503"/>
    <mergeCell ref="T499:T501"/>
    <mergeCell ref="U499:U501"/>
    <mergeCell ref="V499:V501"/>
    <mergeCell ref="W499:W501"/>
    <mergeCell ref="V513:V514"/>
    <mergeCell ref="R505:W505"/>
    <mergeCell ref="R506:S509"/>
    <mergeCell ref="T506:T507"/>
    <mergeCell ref="U506:U507"/>
    <mergeCell ref="V506:V507"/>
    <mergeCell ref="W506:W507"/>
    <mergeCell ref="W513:W514"/>
    <mergeCell ref="R513:S516"/>
    <mergeCell ref="T513:T514"/>
    <mergeCell ref="U513:U514"/>
    <mergeCell ref="R525:W525"/>
    <mergeCell ref="R526:W526"/>
    <mergeCell ref="R518:W518"/>
    <mergeCell ref="R519:S522"/>
    <mergeCell ref="T519:T520"/>
    <mergeCell ref="U519:U520"/>
    <mergeCell ref="V519:V520"/>
    <mergeCell ref="W519:W520"/>
    <mergeCell ref="R528:S532"/>
    <mergeCell ref="T528:T530"/>
    <mergeCell ref="U528:U530"/>
    <mergeCell ref="V528:V530"/>
    <mergeCell ref="W528:W530"/>
    <mergeCell ref="V542:V543"/>
    <mergeCell ref="R534:W534"/>
    <mergeCell ref="R535:S538"/>
    <mergeCell ref="T535:T536"/>
    <mergeCell ref="U535:U536"/>
    <mergeCell ref="V535:V536"/>
    <mergeCell ref="W535:W536"/>
    <mergeCell ref="W542:W543"/>
    <mergeCell ref="R542:S545"/>
    <mergeCell ref="T542:T543"/>
    <mergeCell ref="U542:U543"/>
    <mergeCell ref="R547:W547"/>
    <mergeCell ref="R548:S551"/>
    <mergeCell ref="T548:T549"/>
    <mergeCell ref="U548:U549"/>
    <mergeCell ref="V548:V549"/>
    <mergeCell ref="W548:W549"/>
  </mergeCells>
  <phoneticPr fontId="0" type="noConversion"/>
  <conditionalFormatting sqref="U108:X109">
    <cfRule type="cellIs" dxfId="362" priority="1" stopIfTrue="1" operator="equal">
      <formula>"yes"</formula>
    </cfRule>
    <cfRule type="cellIs" dxfId="361" priority="2" stopIfTrue="1" operator="equal">
      <formula>"no"</formula>
    </cfRule>
  </conditionalFormatting>
  <conditionalFormatting sqref="X254:X255 X106:X107 X247:X248 X49:X50 X235:X236 X54:X55 X67:X68 X74:X75 X100:X101 X112:X113 X118:X119 X132:X133 X279:X280 X126:X127 X241:X242 X59:X60 Y286:Y287 S306:S307 X143:X144 X183:X184 X177:X178 X267:X268 X273:X274 Y213:Y214 X83 X90 X156:X157 X150:X151 X198:X199 X162:X163 X167:X168 X172:X173 X188:X189 X193:X194">
    <cfRule type="cellIs" dxfId="360" priority="3" stopIfTrue="1" operator="equal">
      <formula>$U$31</formula>
    </cfRule>
    <cfRule type="cellIs" dxfId="359" priority="4" stopIfTrue="1" operator="equal">
      <formula>$W$31</formula>
    </cfRule>
    <cfRule type="cellIs" dxfId="358" priority="5" stopIfTrue="1" operator="equal">
      <formula>$Y$31</formula>
    </cfRule>
  </conditionalFormatting>
  <conditionalFormatting sqref="V106:V107 V247:V248 V49:V50 V241:V242 V54:V55 V59:V60 V67:V68 V74:V75 W286:W287 V100:V101 V112:V113 V118:V119 V126:V127 V132:V133 V279:V280 V235:V236 V254:V255 T306:T307 V143:V144 V183:V184 V177:V178 V267:V268 V273:V274 W213:W214 V83 V90 V156:V157 V150:V151 V198:V199 V162:V163 V167:V168 V172:V173 V188:V189 V193:V194">
    <cfRule type="cellIs" dxfId="357" priority="6" stopIfTrue="1" operator="equal">
      <formula>$R$6</formula>
    </cfRule>
    <cfRule type="cellIs" dxfId="356" priority="7" stopIfTrue="1" operator="equal">
      <formula>$V$33</formula>
    </cfRule>
    <cfRule type="cellIs" dxfId="355" priority="8" stopIfTrue="1" operator="equal">
      <formula>$R$8</formula>
    </cfRule>
  </conditionalFormatting>
  <conditionalFormatting sqref="W106:W107 W126:W127 W247:W248 W49:W50 W241:W242 W54:W55 W59:W60 W67:W68 W74:W75 X286:X287 W100:W101 W112:W113 W118:W119 W132:W133 W279:W280 W235:W236 W254:W255 U306:U307 W143:W144 W183:W184 W177:W178 W267:W268 W273:W274 X213:X214 W83 W90 W156:W157 W150:W151 W198:W199 W162:W163 W167:W168 W172:W173 W188:W189 W193:W194">
    <cfRule type="cellIs" dxfId="354" priority="9" stopIfTrue="1" operator="equal">
      <formula>$R$6</formula>
    </cfRule>
    <cfRule type="cellIs" dxfId="353" priority="10" stopIfTrue="1" operator="equal">
      <formula>$R$7</formula>
    </cfRule>
    <cfRule type="cellIs" dxfId="352" priority="11" stopIfTrue="1" operator="equal">
      <formula>$W$33</formula>
    </cfRule>
  </conditionalFormatting>
  <conditionalFormatting sqref="R36 R44">
    <cfRule type="cellIs" dxfId="351" priority="12" stopIfTrue="1" operator="equal">
      <formula>$AI$31</formula>
    </cfRule>
    <cfRule type="cellIs" dxfId="350" priority="13" stopIfTrue="1" operator="equal">
      <formula>$AK$31</formula>
    </cfRule>
    <cfRule type="cellIs" dxfId="349" priority="14" stopIfTrue="1" operator="equal">
      <formula>$AM$31</formula>
    </cfRule>
  </conditionalFormatting>
  <conditionalFormatting sqref="R34 R42">
    <cfRule type="cellIs" dxfId="348" priority="15" stopIfTrue="1" operator="equal">
      <formula>$AF$6</formula>
    </cfRule>
    <cfRule type="cellIs" dxfId="347" priority="16" stopIfTrue="1" operator="equal">
      <formula>$AJ$33</formula>
    </cfRule>
    <cfRule type="cellIs" dxfId="346" priority="17" stopIfTrue="1" operator="equal">
      <formula>$AF$8</formula>
    </cfRule>
  </conditionalFormatting>
  <conditionalFormatting sqref="R35 R43">
    <cfRule type="cellIs" dxfId="345" priority="18" stopIfTrue="1" operator="equal">
      <formula>$AF$6</formula>
    </cfRule>
    <cfRule type="cellIs" dxfId="344" priority="19" stopIfTrue="1" operator="equal">
      <formula>$AF$7</formula>
    </cfRule>
    <cfRule type="cellIs" dxfId="343" priority="20" stopIfTrue="1" operator="equal">
      <formula>$AK$33</formula>
    </cfRule>
  </conditionalFormatting>
  <pageMargins left="0" right="0" top="0.59055118110236227" bottom="0.39370078740157483" header="0.51181102362204722" footer="0.51181102362204722"/>
  <pageSetup paperSize="9" scale="96" fitToHeight="6" orientation="portrait"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sheetPr codeName="Sheet72">
    <pageSetUpPr fitToPage="1"/>
  </sheetPr>
  <dimension ref="A1:AJ906"/>
  <sheetViews>
    <sheetView showRowColHeaders="0" workbookViewId="0">
      <selection activeCell="B2" sqref="B2:K3"/>
    </sheetView>
  </sheetViews>
  <sheetFormatPr defaultRowHeight="12.75"/>
  <cols>
    <col min="1" max="11" width="11.7109375" style="1" customWidth="1"/>
    <col min="12" max="16" width="10.7109375" style="1" customWidth="1"/>
    <col min="17" max="17" width="4.7109375" style="20" customWidth="1"/>
    <col min="18" max="20" width="10.7109375" style="18" customWidth="1"/>
    <col min="21" max="23" width="11.7109375" style="18" customWidth="1"/>
    <col min="24" max="26" width="10.7109375" style="18" customWidth="1"/>
    <col min="27" max="27" width="10.7109375" style="1" customWidth="1"/>
    <col min="28" max="30" width="8.7109375" style="1" customWidth="1"/>
    <col min="31" max="35" width="13.7109375" style="1" customWidth="1"/>
    <col min="36" max="37" width="10.7109375" style="1" customWidth="1"/>
    <col min="38" max="54" width="10.28515625" style="1" customWidth="1"/>
    <col min="55" max="110" width="10.7109375" style="1" customWidth="1"/>
    <col min="111" max="16384" width="9.140625" style="1"/>
  </cols>
  <sheetData>
    <row r="1" spans="1:28" ht="6" customHeight="1" thickBot="1">
      <c r="A1" s="121"/>
      <c r="B1" s="121"/>
      <c r="C1" s="121"/>
      <c r="D1" s="121"/>
      <c r="E1" s="121"/>
      <c r="F1" s="121"/>
      <c r="G1" s="121"/>
      <c r="H1" s="121"/>
      <c r="I1" s="121"/>
      <c r="J1" s="121"/>
      <c r="K1" s="121"/>
      <c r="L1" s="121"/>
      <c r="M1" s="121"/>
      <c r="N1" s="121"/>
      <c r="O1" s="121"/>
      <c r="P1" s="121"/>
      <c r="Q1" s="360"/>
      <c r="R1" s="361"/>
      <c r="S1" s="361"/>
      <c r="T1" s="361"/>
      <c r="U1" s="361"/>
      <c r="V1" s="361"/>
      <c r="W1" s="361"/>
      <c r="X1" s="361"/>
      <c r="Y1" s="361"/>
      <c r="Z1" s="361"/>
      <c r="AA1"/>
      <c r="AB1"/>
    </row>
    <row r="2" spans="1:28" ht="12.75" customHeight="1" thickTop="1">
      <c r="A2" s="121"/>
      <c r="B2" s="753" t="s">
        <v>167</v>
      </c>
      <c r="C2" s="754"/>
      <c r="D2" s="754"/>
      <c r="E2" s="754"/>
      <c r="F2" s="754"/>
      <c r="G2" s="754"/>
      <c r="H2" s="754"/>
      <c r="I2" s="754"/>
      <c r="J2" s="754"/>
      <c r="K2" s="755"/>
      <c r="L2" s="121"/>
      <c r="M2" s="121"/>
      <c r="N2" s="121"/>
      <c r="O2" s="121"/>
      <c r="P2" s="121"/>
      <c r="Q2" s="363"/>
      <c r="R2" s="1024" t="s">
        <v>396</v>
      </c>
      <c r="S2" s="1025"/>
      <c r="T2" s="1025"/>
      <c r="U2" s="1025"/>
      <c r="V2" s="1025"/>
      <c r="W2" s="1025"/>
      <c r="X2" s="1025"/>
      <c r="Y2" s="1026"/>
      <c r="Z2" s="362"/>
      <c r="AA2"/>
      <c r="AB2"/>
    </row>
    <row r="3" spans="1:28" ht="12.75" customHeight="1" thickBot="1">
      <c r="A3" s="121"/>
      <c r="B3" s="756"/>
      <c r="C3" s="757"/>
      <c r="D3" s="757"/>
      <c r="E3" s="757"/>
      <c r="F3" s="757"/>
      <c r="G3" s="757"/>
      <c r="H3" s="757"/>
      <c r="I3" s="757"/>
      <c r="J3" s="757"/>
      <c r="K3" s="758"/>
      <c r="L3" s="121"/>
      <c r="M3" s="121"/>
      <c r="N3" s="121"/>
      <c r="O3" s="121"/>
      <c r="P3" s="121"/>
      <c r="Q3" s="363"/>
      <c r="R3" s="1027"/>
      <c r="S3" s="1028"/>
      <c r="T3" s="1028"/>
      <c r="U3" s="1028"/>
      <c r="V3" s="1028"/>
      <c r="W3" s="1028"/>
      <c r="X3" s="1028"/>
      <c r="Y3" s="1029"/>
      <c r="Z3" s="362"/>
      <c r="AA3"/>
      <c r="AB3"/>
    </row>
    <row r="4" spans="1:28" ht="12.75" customHeight="1" thickTop="1">
      <c r="A4" s="121"/>
      <c r="B4" s="121"/>
      <c r="C4" s="121"/>
      <c r="D4" s="121"/>
      <c r="E4" s="121"/>
      <c r="F4" s="121"/>
      <c r="G4" s="121"/>
      <c r="H4" s="121"/>
      <c r="I4" s="121"/>
      <c r="J4" s="121"/>
      <c r="K4" s="121"/>
      <c r="L4" s="121"/>
      <c r="M4" s="121"/>
      <c r="N4" s="121"/>
      <c r="O4" s="121"/>
      <c r="P4" s="121"/>
      <c r="Q4" s="363"/>
      <c r="R4" s="361"/>
      <c r="S4" s="361"/>
      <c r="T4" s="361"/>
      <c r="U4" s="361"/>
      <c r="V4" s="361"/>
      <c r="W4" s="361"/>
      <c r="X4" s="361"/>
      <c r="Y4" s="361"/>
      <c r="Z4" s="361"/>
      <c r="AA4"/>
      <c r="AB4"/>
    </row>
    <row r="5" spans="1:28" ht="12.75" customHeight="1">
      <c r="A5" s="121"/>
      <c r="B5" s="828" t="s">
        <v>581</v>
      </c>
      <c r="C5" s="829"/>
      <c r="D5" s="830"/>
      <c r="E5" s="460">
        <v>450</v>
      </c>
      <c r="F5" s="461">
        <f>+E5</f>
        <v>450</v>
      </c>
      <c r="G5" s="121"/>
      <c r="H5" s="121"/>
      <c r="I5" s="121"/>
      <c r="J5" s="121"/>
      <c r="K5" s="121"/>
      <c r="L5" s="121"/>
      <c r="M5" s="121"/>
      <c r="N5" s="121"/>
      <c r="O5" s="121"/>
      <c r="P5" s="121"/>
      <c r="Q5" s="360"/>
      <c r="R5" s="951" t="s">
        <v>868</v>
      </c>
      <c r="S5" s="951"/>
      <c r="T5" s="951"/>
      <c r="U5" s="951"/>
      <c r="V5" s="447">
        <f>F5</f>
        <v>450</v>
      </c>
      <c r="W5" s="362"/>
      <c r="X5" s="362"/>
      <c r="Y5" s="362"/>
      <c r="Z5" s="362"/>
      <c r="AA5"/>
      <c r="AB5"/>
    </row>
    <row r="6" spans="1:28" ht="12.75" customHeight="1">
      <c r="A6" s="121"/>
      <c r="B6" s="121"/>
      <c r="C6" s="121"/>
      <c r="D6" s="121"/>
      <c r="E6" s="121"/>
      <c r="F6" s="121"/>
      <c r="G6" s="121"/>
      <c r="H6" s="121"/>
      <c r="I6" s="121"/>
      <c r="J6" s="121"/>
      <c r="K6" s="121"/>
      <c r="L6" s="121"/>
      <c r="M6" s="121"/>
      <c r="N6" s="121"/>
      <c r="O6" s="121"/>
      <c r="P6" s="121"/>
      <c r="Q6" s="360"/>
      <c r="R6" s="362"/>
      <c r="S6" s="362"/>
      <c r="T6" s="362"/>
      <c r="U6" s="362"/>
      <c r="V6" s="361"/>
      <c r="W6" s="361"/>
      <c r="X6" s="361"/>
      <c r="Y6" s="361"/>
      <c r="Z6" s="361"/>
      <c r="AA6"/>
      <c r="AB6"/>
    </row>
    <row r="7" spans="1:28" ht="12.75" customHeight="1">
      <c r="A7" s="121"/>
      <c r="B7" s="121"/>
      <c r="C7" s="121"/>
      <c r="D7" s="121"/>
      <c r="E7" s="121"/>
      <c r="F7" s="121"/>
      <c r="G7" s="121"/>
      <c r="H7" s="121"/>
      <c r="I7" s="121"/>
      <c r="J7" s="121"/>
      <c r="K7" s="121"/>
      <c r="L7" s="121"/>
      <c r="M7" s="121"/>
      <c r="N7" s="121"/>
      <c r="O7" s="121"/>
      <c r="P7" s="121"/>
      <c r="Q7" s="385">
        <v>1</v>
      </c>
      <c r="R7" s="1008" t="s">
        <v>24</v>
      </c>
      <c r="S7" s="1008"/>
      <c r="T7" s="1008"/>
      <c r="U7" s="1008"/>
      <c r="V7" s="1008"/>
      <c r="W7" s="1008"/>
      <c r="X7" s="1008"/>
      <c r="Y7" s="1008"/>
      <c r="Z7" s="536"/>
      <c r="AA7"/>
      <c r="AB7"/>
    </row>
    <row r="8" spans="1:28" ht="12.75" customHeight="1">
      <c r="A8" s="121"/>
      <c r="B8" s="121"/>
      <c r="C8" s="121"/>
      <c r="D8" s="121"/>
      <c r="E8" s="121"/>
      <c r="F8" s="121"/>
      <c r="G8" s="121"/>
      <c r="H8" s="121"/>
      <c r="I8" s="121"/>
      <c r="J8" s="121"/>
      <c r="K8" s="121"/>
      <c r="L8" s="121"/>
      <c r="M8" s="121"/>
      <c r="N8" s="121"/>
      <c r="O8" s="121"/>
      <c r="P8" s="121"/>
      <c r="Q8" s="386"/>
      <c r="R8" s="361"/>
      <c r="S8" s="361"/>
      <c r="T8" s="361"/>
      <c r="U8" s="361"/>
      <c r="V8" s="361"/>
      <c r="W8" s="361"/>
      <c r="X8" s="361"/>
      <c r="Y8" s="361"/>
      <c r="Z8" s="361"/>
      <c r="AA8"/>
      <c r="AB8"/>
    </row>
    <row r="9" spans="1:28" ht="12.75" customHeight="1">
      <c r="A9" s="121"/>
      <c r="B9" s="121"/>
      <c r="C9" s="121"/>
      <c r="D9" s="121"/>
      <c r="E9" s="121"/>
      <c r="F9" s="121"/>
      <c r="G9" s="121"/>
      <c r="H9" s="121"/>
      <c r="I9" s="121"/>
      <c r="J9" s="121"/>
      <c r="K9" s="121"/>
      <c r="L9" s="121"/>
      <c r="M9" s="121"/>
      <c r="N9" s="121"/>
      <c r="O9" s="121"/>
      <c r="P9" s="121"/>
      <c r="Q9" s="360">
        <v>1.1000000000000001</v>
      </c>
      <c r="R9" s="364" t="s">
        <v>586</v>
      </c>
      <c r="S9" s="363"/>
      <c r="T9" s="363"/>
      <c r="U9" s="363"/>
      <c r="V9" s="363"/>
      <c r="W9" s="363"/>
      <c r="X9" s="363"/>
      <c r="Y9" s="363"/>
      <c r="Z9" s="363"/>
      <c r="AA9"/>
      <c r="AB9"/>
    </row>
    <row r="10" spans="1:28" ht="12.75" customHeight="1">
      <c r="A10" s="121"/>
      <c r="B10" s="121"/>
      <c r="C10" s="121"/>
      <c r="D10" s="121"/>
      <c r="E10" s="121"/>
      <c r="F10" s="121"/>
      <c r="G10" s="121"/>
      <c r="H10" s="121"/>
      <c r="I10" s="121"/>
      <c r="J10" s="121"/>
      <c r="K10" s="121"/>
      <c r="L10" s="121"/>
      <c r="M10" s="121"/>
      <c r="N10" s="121"/>
      <c r="O10" s="121"/>
      <c r="P10" s="121"/>
      <c r="Q10" s="360"/>
      <c r="R10" s="969" t="s">
        <v>25</v>
      </c>
      <c r="S10" s="969"/>
      <c r="T10" s="969"/>
      <c r="U10" s="969"/>
      <c r="V10" s="447">
        <f>'Prod Parameters'!$F$8</f>
        <v>23</v>
      </c>
      <c r="W10" s="363"/>
      <c r="X10" s="363"/>
      <c r="Y10" s="363"/>
      <c r="Z10" s="363"/>
      <c r="AA10"/>
      <c r="AB10"/>
    </row>
    <row r="11" spans="1:28" ht="12.75" customHeight="1">
      <c r="A11" s="121"/>
      <c r="B11" s="121"/>
      <c r="C11" s="121"/>
      <c r="D11" s="121"/>
      <c r="E11" s="121"/>
      <c r="F11" s="121"/>
      <c r="G11" s="121"/>
      <c r="H11" s="121"/>
      <c r="I11" s="121"/>
      <c r="J11" s="121"/>
      <c r="K11" s="121"/>
      <c r="L11" s="121"/>
      <c r="M11" s="121"/>
      <c r="N11" s="121"/>
      <c r="O11" s="121"/>
      <c r="P11" s="121"/>
      <c r="Q11" s="360"/>
      <c r="R11" s="969" t="s">
        <v>325</v>
      </c>
      <c r="S11" s="969"/>
      <c r="T11" s="969"/>
      <c r="U11" s="969"/>
      <c r="V11" s="447">
        <f>'Prod Parameters'!$F$9</f>
        <v>23</v>
      </c>
      <c r="W11" s="363"/>
      <c r="X11" s="363"/>
      <c r="Y11" s="363"/>
      <c r="Z11" s="363"/>
      <c r="AA11"/>
      <c r="AB11"/>
    </row>
    <row r="12" spans="1:28" ht="12.75" customHeight="1">
      <c r="A12" s="121"/>
      <c r="B12" s="121"/>
      <c r="C12" s="121"/>
      <c r="D12" s="121"/>
      <c r="E12" s="121"/>
      <c r="F12" s="121"/>
      <c r="G12" s="121"/>
      <c r="H12" s="121"/>
      <c r="I12" s="121"/>
      <c r="J12" s="121"/>
      <c r="K12" s="121"/>
      <c r="L12" s="121"/>
      <c r="M12" s="121"/>
      <c r="N12" s="121"/>
      <c r="O12" s="121"/>
      <c r="P12" s="121"/>
      <c r="Q12" s="360"/>
      <c r="R12" s="1021" t="s">
        <v>26</v>
      </c>
      <c r="S12" s="1022"/>
      <c r="T12" s="1022"/>
      <c r="U12" s="1023"/>
      <c r="V12" s="447">
        <f>'Prod Parameters'!$F$10</f>
        <v>6</v>
      </c>
      <c r="W12" s="363"/>
      <c r="X12" s="363"/>
      <c r="Y12" s="363"/>
      <c r="Z12" s="363"/>
      <c r="AA12"/>
      <c r="AB12"/>
    </row>
    <row r="13" spans="1:28" ht="12.75" customHeight="1">
      <c r="A13" s="121"/>
      <c r="B13" s="121"/>
      <c r="C13" s="121"/>
      <c r="D13" s="121"/>
      <c r="E13" s="121"/>
      <c r="F13" s="121"/>
      <c r="G13" s="121"/>
      <c r="H13" s="121"/>
      <c r="I13" s="121"/>
      <c r="J13" s="121"/>
      <c r="K13" s="121"/>
      <c r="L13" s="121"/>
      <c r="M13" s="121"/>
      <c r="N13" s="121"/>
      <c r="O13" s="121"/>
      <c r="P13" s="121"/>
      <c r="Q13" s="360"/>
      <c r="R13" s="969" t="s">
        <v>27</v>
      </c>
      <c r="S13" s="969"/>
      <c r="T13" s="969"/>
      <c r="U13" s="969"/>
      <c r="V13" s="447">
        <f>'Prod Parameters'!$F$11</f>
        <v>52</v>
      </c>
      <c r="W13" s="363"/>
      <c r="X13" s="363"/>
      <c r="Y13" s="363"/>
      <c r="Z13" s="363"/>
      <c r="AA13"/>
      <c r="AB13"/>
    </row>
    <row r="14" spans="1:28" ht="12.75" customHeight="1">
      <c r="A14" s="121"/>
      <c r="B14" s="121"/>
      <c r="C14" s="121"/>
      <c r="D14" s="121"/>
      <c r="E14" s="121"/>
      <c r="F14" s="121"/>
      <c r="G14" s="121"/>
      <c r="H14" s="121"/>
      <c r="I14" s="121"/>
      <c r="J14" s="121"/>
      <c r="K14" s="121"/>
      <c r="L14" s="121"/>
      <c r="M14" s="121"/>
      <c r="N14" s="121"/>
      <c r="O14" s="121"/>
      <c r="P14" s="121"/>
      <c r="Q14" s="360"/>
      <c r="R14" s="969" t="s">
        <v>28</v>
      </c>
      <c r="S14" s="969"/>
      <c r="T14" s="969"/>
      <c r="U14" s="969"/>
      <c r="V14" s="447">
        <f>'Prod Parameters'!$F$12</f>
        <v>260</v>
      </c>
      <c r="W14" s="363"/>
      <c r="X14" s="363"/>
      <c r="Y14" s="363"/>
      <c r="Z14" s="363"/>
      <c r="AA14"/>
      <c r="AB14"/>
    </row>
    <row r="15" spans="1:28" ht="12.75" customHeight="1">
      <c r="A15" s="121"/>
      <c r="B15" s="121"/>
      <c r="C15" s="121"/>
      <c r="D15" s="121"/>
      <c r="E15" s="121"/>
      <c r="F15" s="121"/>
      <c r="G15" s="121"/>
      <c r="H15" s="121"/>
      <c r="I15" s="121"/>
      <c r="J15" s="121"/>
      <c r="K15" s="121"/>
      <c r="L15" s="121"/>
      <c r="M15" s="121"/>
      <c r="N15" s="121"/>
      <c r="O15" s="121"/>
      <c r="P15" s="121"/>
      <c r="Q15" s="360"/>
      <c r="R15" s="969" t="s">
        <v>29</v>
      </c>
      <c r="S15" s="969"/>
      <c r="T15" s="969"/>
      <c r="U15" s="969"/>
      <c r="V15" s="447">
        <f>'Prod Parameters'!$F$13</f>
        <v>30</v>
      </c>
      <c r="W15" s="363"/>
      <c r="X15" s="363"/>
      <c r="Y15" s="363"/>
      <c r="Z15" s="363"/>
      <c r="AA15"/>
      <c r="AB15"/>
    </row>
    <row r="16" spans="1:28" ht="12.75" customHeight="1">
      <c r="A16" s="121"/>
      <c r="B16" s="121"/>
      <c r="C16" s="121"/>
      <c r="D16" s="121"/>
      <c r="E16" s="121"/>
      <c r="F16" s="121"/>
      <c r="G16" s="121"/>
      <c r="H16" s="121"/>
      <c r="I16" s="121"/>
      <c r="J16" s="121"/>
      <c r="K16" s="121"/>
      <c r="L16" s="121"/>
      <c r="M16" s="121"/>
      <c r="N16" s="121"/>
      <c r="O16" s="121"/>
      <c r="P16" s="121"/>
      <c r="Q16" s="360"/>
      <c r="R16" s="968" t="s">
        <v>30</v>
      </c>
      <c r="S16" s="968"/>
      <c r="T16" s="968"/>
      <c r="U16" s="968"/>
      <c r="V16" s="447">
        <f>'Prod Parameters'!$F$14</f>
        <v>230</v>
      </c>
      <c r="W16" s="363"/>
      <c r="X16" s="363"/>
      <c r="Y16" s="363"/>
      <c r="Z16" s="363"/>
      <c r="AA16"/>
      <c r="AB16"/>
    </row>
    <row r="17" spans="1:30" ht="12.75" customHeight="1">
      <c r="A17" s="121"/>
      <c r="B17" s="121"/>
      <c r="C17" s="121"/>
      <c r="D17" s="121"/>
      <c r="E17" s="121"/>
      <c r="F17" s="121"/>
      <c r="G17" s="121"/>
      <c r="H17" s="121"/>
      <c r="I17" s="121"/>
      <c r="J17" s="121"/>
      <c r="K17" s="121"/>
      <c r="L17" s="121"/>
      <c r="M17" s="121"/>
      <c r="N17" s="121"/>
      <c r="O17" s="121"/>
      <c r="P17" s="121"/>
      <c r="Q17" s="360"/>
      <c r="R17" s="363"/>
      <c r="S17" s="363"/>
      <c r="T17" s="363"/>
      <c r="U17" s="363"/>
      <c r="V17" s="363"/>
      <c r="W17" s="363"/>
      <c r="X17" s="363"/>
      <c r="Y17" s="363"/>
      <c r="Z17" s="363"/>
      <c r="AA17"/>
      <c r="AB17"/>
    </row>
    <row r="18" spans="1:30" ht="12.75" customHeight="1">
      <c r="A18" s="121"/>
      <c r="B18" s="121"/>
      <c r="C18" s="121"/>
      <c r="D18" s="121"/>
      <c r="E18" s="121"/>
      <c r="F18" s="121"/>
      <c r="G18" s="121"/>
      <c r="H18" s="121"/>
      <c r="I18" s="121"/>
      <c r="J18" s="121"/>
      <c r="K18" s="121"/>
      <c r="L18" s="121"/>
      <c r="M18" s="121"/>
      <c r="N18" s="121"/>
      <c r="O18" s="121"/>
      <c r="P18" s="121"/>
      <c r="Q18" s="360">
        <v>1.2</v>
      </c>
      <c r="R18" s="364" t="s">
        <v>19</v>
      </c>
      <c r="S18" s="363"/>
      <c r="T18" s="363"/>
      <c r="U18" s="363"/>
      <c r="V18" s="363"/>
      <c r="W18" s="363"/>
      <c r="X18" s="363"/>
      <c r="Y18" s="363"/>
      <c r="Z18" s="363"/>
      <c r="AA18"/>
      <c r="AB18"/>
    </row>
    <row r="19" spans="1:30" ht="12.75" customHeight="1">
      <c r="A19" s="121"/>
      <c r="B19" s="121"/>
      <c r="C19" s="121"/>
      <c r="D19" s="121"/>
      <c r="E19" s="121"/>
      <c r="F19" s="121"/>
      <c r="G19" s="121"/>
      <c r="H19" s="121"/>
      <c r="I19" s="121"/>
      <c r="J19" s="121"/>
      <c r="K19" s="121"/>
      <c r="L19" s="121"/>
      <c r="M19" s="121"/>
      <c r="N19" s="121"/>
      <c r="O19" s="121"/>
      <c r="P19" s="121"/>
      <c r="Q19" s="360"/>
      <c r="R19" s="969" t="s">
        <v>314</v>
      </c>
      <c r="S19" s="969"/>
      <c r="T19" s="969"/>
      <c r="U19" s="969"/>
      <c r="V19" s="447">
        <f>'Prod Parameters'!$F$17</f>
        <v>160</v>
      </c>
      <c r="W19" s="363"/>
      <c r="X19" s="363"/>
      <c r="Y19" s="363"/>
      <c r="Z19" s="363"/>
      <c r="AA19"/>
      <c r="AB19"/>
    </row>
    <row r="20" spans="1:30" ht="12.75" customHeight="1">
      <c r="A20" s="121"/>
      <c r="B20" s="121"/>
      <c r="C20" s="121"/>
      <c r="D20" s="121"/>
      <c r="E20" s="121"/>
      <c r="F20" s="121"/>
      <c r="G20" s="121"/>
      <c r="H20" s="121"/>
      <c r="I20" s="121"/>
      <c r="J20" s="121"/>
      <c r="K20" s="121"/>
      <c r="L20" s="121"/>
      <c r="M20" s="121"/>
      <c r="N20" s="121"/>
      <c r="O20" s="121"/>
      <c r="P20" s="121"/>
      <c r="Q20" s="360"/>
      <c r="R20" s="969" t="s">
        <v>31</v>
      </c>
      <c r="S20" s="969"/>
      <c r="T20" s="969"/>
      <c r="U20" s="969"/>
      <c r="V20" s="447">
        <f>'Prod Parameters'!$F$18</f>
        <v>1.2</v>
      </c>
      <c r="W20" s="363"/>
      <c r="X20" s="363"/>
      <c r="Y20" s="363"/>
      <c r="Z20" s="363"/>
      <c r="AA20"/>
      <c r="AB20"/>
    </row>
    <row r="21" spans="1:30" ht="12.75" customHeight="1">
      <c r="A21" s="121"/>
      <c r="B21" s="121"/>
      <c r="C21" s="121"/>
      <c r="D21" s="121"/>
      <c r="E21" s="121"/>
      <c r="F21" s="121"/>
      <c r="G21" s="121"/>
      <c r="H21" s="121"/>
      <c r="I21" s="121"/>
      <c r="J21" s="121"/>
      <c r="K21" s="121"/>
      <c r="L21" s="121"/>
      <c r="M21" s="121"/>
      <c r="N21" s="121"/>
      <c r="O21" s="121"/>
      <c r="P21" s="121"/>
      <c r="Q21" s="360"/>
      <c r="R21" s="969" t="s">
        <v>199</v>
      </c>
      <c r="S21" s="969"/>
      <c r="T21" s="969"/>
      <c r="U21" s="969"/>
      <c r="V21" s="447">
        <f>'Prod Parameters'!$F$19</f>
        <v>4</v>
      </c>
      <c r="W21" s="363"/>
      <c r="X21" s="363"/>
      <c r="Y21" s="363"/>
      <c r="Z21" s="363"/>
      <c r="AA21"/>
      <c r="AB21"/>
    </row>
    <row r="22" spans="1:30" ht="12.75" customHeight="1">
      <c r="A22" s="121"/>
      <c r="B22" s="121"/>
      <c r="C22" s="121"/>
      <c r="D22" s="121"/>
      <c r="E22" s="121"/>
      <c r="F22" s="121"/>
      <c r="G22" s="121"/>
      <c r="H22" s="121"/>
      <c r="I22" s="121"/>
      <c r="J22" s="121"/>
      <c r="K22" s="121"/>
      <c r="L22" s="121"/>
      <c r="M22" s="121"/>
      <c r="N22" s="121"/>
      <c r="O22" s="121"/>
      <c r="P22" s="121"/>
      <c r="Q22" s="360"/>
      <c r="R22" s="969" t="s">
        <v>20</v>
      </c>
      <c r="S22" s="969"/>
      <c r="T22" s="969"/>
      <c r="U22" s="969"/>
      <c r="V22" s="447">
        <f>'Prod Parameters'!$F$20</f>
        <v>40</v>
      </c>
      <c r="W22" s="363"/>
      <c r="X22" s="363"/>
      <c r="Y22" s="363"/>
      <c r="Z22" s="363"/>
      <c r="AA22"/>
      <c r="AB22"/>
    </row>
    <row r="23" spans="1:30" ht="12.75" customHeight="1">
      <c r="A23" s="121"/>
      <c r="B23" s="121"/>
      <c r="C23" s="121"/>
      <c r="D23" s="121"/>
      <c r="E23" s="121"/>
      <c r="F23" s="121"/>
      <c r="G23" s="121"/>
      <c r="H23" s="121"/>
      <c r="I23" s="121"/>
      <c r="J23" s="121"/>
      <c r="K23" s="121"/>
      <c r="L23" s="121"/>
      <c r="M23" s="121"/>
      <c r="N23" s="121"/>
      <c r="O23" s="121"/>
      <c r="P23" s="121"/>
      <c r="Q23" s="360"/>
      <c r="R23" s="969" t="s">
        <v>310</v>
      </c>
      <c r="S23" s="969"/>
      <c r="T23" s="969"/>
      <c r="U23" s="969"/>
      <c r="V23" s="447">
        <f>'Prod Parameters'!$F$21</f>
        <v>160</v>
      </c>
      <c r="W23" s="363"/>
      <c r="X23" s="363"/>
      <c r="Y23" s="363"/>
      <c r="Z23" s="363"/>
      <c r="AA23"/>
      <c r="AB23"/>
    </row>
    <row r="24" spans="1:30" ht="12.75" customHeight="1">
      <c r="A24" s="121"/>
      <c r="B24" s="121"/>
      <c r="C24" s="121"/>
      <c r="D24" s="121"/>
      <c r="E24" s="121"/>
      <c r="F24" s="121"/>
      <c r="G24" s="121"/>
      <c r="H24" s="121"/>
      <c r="I24" s="121"/>
      <c r="J24" s="121"/>
      <c r="K24" s="121"/>
      <c r="L24" s="121"/>
      <c r="M24" s="121"/>
      <c r="N24" s="121"/>
      <c r="O24" s="121"/>
      <c r="P24" s="121"/>
      <c r="Q24" s="360"/>
      <c r="R24" s="969" t="s">
        <v>315</v>
      </c>
      <c r="S24" s="969"/>
      <c r="T24" s="969"/>
      <c r="U24" s="969"/>
      <c r="V24" s="549">
        <f>'Prod Parameters'!$F$22</f>
        <v>6400</v>
      </c>
      <c r="W24" s="363"/>
      <c r="X24" s="363"/>
      <c r="Y24" s="363"/>
      <c r="Z24" s="363"/>
      <c r="AA24"/>
      <c r="AB24"/>
    </row>
    <row r="25" spans="1:30" ht="12.75" customHeight="1">
      <c r="A25" s="121"/>
      <c r="B25" s="121"/>
      <c r="C25" s="121"/>
      <c r="D25" s="121"/>
      <c r="E25" s="121"/>
      <c r="F25" s="121"/>
      <c r="G25" s="121"/>
      <c r="H25" s="121"/>
      <c r="I25" s="121"/>
      <c r="J25" s="121"/>
      <c r="K25" s="121"/>
      <c r="L25" s="121"/>
      <c r="M25" s="121"/>
      <c r="N25" s="121"/>
      <c r="O25" s="121"/>
      <c r="P25" s="121"/>
      <c r="Q25" s="360"/>
      <c r="R25" s="969" t="s">
        <v>187</v>
      </c>
      <c r="S25" s="969"/>
      <c r="T25" s="969"/>
      <c r="U25" s="969"/>
      <c r="V25" s="549">
        <f>'Prod Parameters'!$F$23</f>
        <v>7680</v>
      </c>
      <c r="W25" s="363"/>
      <c r="X25" s="363"/>
      <c r="Y25" s="363"/>
      <c r="Z25" s="363"/>
      <c r="AA25"/>
      <c r="AB25"/>
    </row>
    <row r="26" spans="1:30" ht="12.75" customHeight="1">
      <c r="A26" s="121"/>
      <c r="B26" s="121"/>
      <c r="C26" s="121"/>
      <c r="D26" s="121"/>
      <c r="E26" s="121"/>
      <c r="F26" s="121"/>
      <c r="G26" s="121"/>
      <c r="H26" s="121"/>
      <c r="I26" s="121"/>
      <c r="J26" s="121"/>
      <c r="K26" s="121"/>
      <c r="L26" s="121"/>
      <c r="M26" s="121"/>
      <c r="N26" s="121"/>
      <c r="O26" s="121"/>
      <c r="P26" s="121"/>
      <c r="Q26" s="360"/>
      <c r="R26" s="969" t="s">
        <v>200</v>
      </c>
      <c r="S26" s="969"/>
      <c r="T26" s="969"/>
      <c r="U26" s="969"/>
      <c r="V26" s="549">
        <f>'Prod Parameters'!$F$24</f>
        <v>176640</v>
      </c>
      <c r="W26" s="363"/>
      <c r="X26" s="363"/>
      <c r="Y26" s="363"/>
      <c r="Z26" s="363"/>
      <c r="AA26"/>
      <c r="AB26"/>
    </row>
    <row r="27" spans="1:30" ht="12.75" customHeight="1">
      <c r="A27" s="121"/>
      <c r="B27" s="121"/>
      <c r="C27" s="121"/>
      <c r="D27" s="121"/>
      <c r="E27" s="121"/>
      <c r="F27" s="121"/>
      <c r="G27" s="121"/>
      <c r="H27" s="121"/>
      <c r="I27" s="121"/>
      <c r="J27" s="121"/>
      <c r="K27" s="121"/>
      <c r="L27" s="121"/>
      <c r="M27" s="121"/>
      <c r="N27" s="121"/>
      <c r="O27" s="121"/>
      <c r="P27" s="121"/>
      <c r="Q27" s="360"/>
      <c r="R27" s="363"/>
      <c r="S27" s="363"/>
      <c r="T27" s="363"/>
      <c r="U27" s="363"/>
      <c r="V27" s="363"/>
      <c r="W27" s="363"/>
      <c r="X27" s="363"/>
      <c r="Y27" s="363"/>
      <c r="Z27" s="363"/>
      <c r="AA27"/>
      <c r="AB27"/>
    </row>
    <row r="28" spans="1:30" ht="12.75" customHeight="1">
      <c r="A28" s="121"/>
      <c r="B28" s="121"/>
      <c r="C28" s="121"/>
      <c r="D28" s="121"/>
      <c r="E28" s="121"/>
      <c r="F28" s="121"/>
      <c r="G28" s="121"/>
      <c r="H28" s="121"/>
      <c r="I28" s="121"/>
      <c r="J28" s="121"/>
      <c r="K28" s="121"/>
      <c r="L28" s="121"/>
      <c r="M28" s="121"/>
      <c r="N28" s="121"/>
      <c r="O28" s="121"/>
      <c r="P28" s="121"/>
      <c r="Q28" s="385" t="s">
        <v>33</v>
      </c>
      <c r="R28" s="1008" t="s">
        <v>821</v>
      </c>
      <c r="S28" s="1008"/>
      <c r="T28" s="1008"/>
      <c r="U28" s="1008"/>
      <c r="V28" s="1008"/>
      <c r="W28" s="1008"/>
      <c r="X28" s="1008"/>
      <c r="Y28" s="1008"/>
      <c r="Z28" s="536"/>
      <c r="AA28"/>
      <c r="AB28"/>
    </row>
    <row r="29" spans="1:30" ht="12.75" customHeight="1">
      <c r="A29" s="121"/>
      <c r="B29" s="121"/>
      <c r="C29" s="121"/>
      <c r="D29" s="121"/>
      <c r="E29" s="121"/>
      <c r="F29" s="121"/>
      <c r="G29" s="121"/>
      <c r="H29" s="121"/>
      <c r="I29" s="121"/>
      <c r="J29" s="121"/>
      <c r="K29" s="121"/>
      <c r="L29" s="121"/>
      <c r="M29" s="121"/>
      <c r="N29" s="121"/>
      <c r="O29" s="121"/>
      <c r="P29" s="121"/>
      <c r="Q29" s="546"/>
      <c r="R29" s="363"/>
      <c r="S29" s="363"/>
      <c r="T29" s="363"/>
      <c r="U29" s="363"/>
      <c r="V29" s="363"/>
      <c r="W29" s="363"/>
      <c r="X29" s="363"/>
      <c r="Y29" s="363"/>
      <c r="Z29" s="363"/>
      <c r="AA29"/>
      <c r="AB29"/>
    </row>
    <row r="30" spans="1:30" ht="12.75" customHeight="1">
      <c r="A30" s="121"/>
      <c r="B30" s="121"/>
      <c r="C30" s="121"/>
      <c r="D30" s="121"/>
      <c r="E30" s="121"/>
      <c r="F30" s="121"/>
      <c r="G30" s="121"/>
      <c r="H30" s="121"/>
      <c r="I30" s="121"/>
      <c r="J30" s="121"/>
      <c r="K30" s="121"/>
      <c r="L30" s="121"/>
      <c r="M30" s="121"/>
      <c r="N30" s="121"/>
      <c r="O30" s="121"/>
      <c r="P30" s="121"/>
      <c r="Q30" s="546">
        <v>2.1</v>
      </c>
      <c r="R30" s="363" t="s">
        <v>831</v>
      </c>
      <c r="S30" s="363"/>
      <c r="T30" s="363"/>
      <c r="U30" s="550"/>
      <c r="V30" s="550"/>
      <c r="W30" s="550"/>
      <c r="X30" s="550"/>
      <c r="Y30" s="551"/>
      <c r="Z30" s="551"/>
      <c r="AA30"/>
      <c r="AB30"/>
      <c r="AC30" s="107"/>
      <c r="AD30" s="107"/>
    </row>
    <row r="31" spans="1:30" ht="12.75" customHeight="1">
      <c r="A31" s="121"/>
      <c r="B31" s="121"/>
      <c r="C31" s="121"/>
      <c r="D31" s="121"/>
      <c r="E31" s="121"/>
      <c r="F31" s="121"/>
      <c r="G31" s="121"/>
      <c r="H31" s="121"/>
      <c r="I31" s="121"/>
      <c r="J31" s="121"/>
      <c r="K31" s="121"/>
      <c r="L31" s="121"/>
      <c r="M31" s="121"/>
      <c r="N31" s="121"/>
      <c r="O31" s="121"/>
      <c r="P31" s="121"/>
      <c r="Q31" s="546"/>
      <c r="R31" s="998" t="s">
        <v>77</v>
      </c>
      <c r="S31" s="999"/>
      <c r="T31" s="1000"/>
      <c r="U31" s="1019" t="s">
        <v>824</v>
      </c>
      <c r="V31" s="1019" t="s">
        <v>828</v>
      </c>
      <c r="W31" s="1019" t="s">
        <v>826</v>
      </c>
      <c r="X31" s="1019" t="s">
        <v>23</v>
      </c>
      <c r="Y31" s="552"/>
      <c r="Z31" s="552"/>
      <c r="AA31"/>
      <c r="AB31"/>
      <c r="AC31" s="93"/>
      <c r="AD31" s="93"/>
    </row>
    <row r="32" spans="1:30" ht="12.75" customHeight="1">
      <c r="A32" s="121"/>
      <c r="B32" s="121"/>
      <c r="C32" s="121"/>
      <c r="D32" s="121"/>
      <c r="E32" s="121"/>
      <c r="F32" s="121"/>
      <c r="G32" s="121"/>
      <c r="H32" s="121"/>
      <c r="I32" s="121"/>
      <c r="J32" s="121"/>
      <c r="K32" s="121"/>
      <c r="L32" s="121"/>
      <c r="M32" s="121"/>
      <c r="N32" s="121"/>
      <c r="O32" s="121"/>
      <c r="P32" s="121"/>
      <c r="Q32" s="546"/>
      <c r="R32" s="1001"/>
      <c r="S32" s="1002"/>
      <c r="T32" s="1003"/>
      <c r="U32" s="1019"/>
      <c r="V32" s="1019"/>
      <c r="W32" s="1019"/>
      <c r="X32" s="1019"/>
      <c r="Y32" s="364"/>
      <c r="Z32" s="364"/>
      <c r="AA32"/>
      <c r="AB32"/>
      <c r="AC32" s="93"/>
      <c r="AD32" s="93"/>
    </row>
    <row r="33" spans="1:30" ht="12.75" customHeight="1">
      <c r="A33" s="121"/>
      <c r="B33" s="121"/>
      <c r="C33" s="121"/>
      <c r="D33" s="121"/>
      <c r="E33" s="121"/>
      <c r="F33" s="121"/>
      <c r="G33" s="121"/>
      <c r="H33" s="121"/>
      <c r="I33" s="121"/>
      <c r="J33" s="121"/>
      <c r="K33" s="121"/>
      <c r="L33" s="121"/>
      <c r="M33" s="121"/>
      <c r="N33" s="121"/>
      <c r="O33" s="121"/>
      <c r="P33" s="121"/>
      <c r="Q33" s="546"/>
      <c r="R33" s="1020" t="s">
        <v>500</v>
      </c>
      <c r="S33" s="1020"/>
      <c r="T33" s="1020"/>
      <c r="U33" s="369">
        <v>23.9</v>
      </c>
      <c r="V33" s="369">
        <f>'Lookup Properties'!$C$7</f>
        <v>15.4</v>
      </c>
      <c r="W33" s="369">
        <f>'Lookup Properties'!$D$7</f>
        <v>4.8</v>
      </c>
      <c r="X33" s="553">
        <f>SUM(U33:W33)</f>
        <v>44.099999999999994</v>
      </c>
      <c r="Y33" s="364"/>
      <c r="Z33" s="364"/>
      <c r="AA33"/>
      <c r="AB33"/>
      <c r="AC33" s="93"/>
      <c r="AD33" s="93"/>
    </row>
    <row r="34" spans="1:30" ht="12.75" customHeight="1">
      <c r="A34" s="121"/>
      <c r="B34" s="121"/>
      <c r="C34" s="121"/>
      <c r="D34" s="121"/>
      <c r="E34" s="121"/>
      <c r="F34" s="121"/>
      <c r="G34" s="121"/>
      <c r="H34" s="121"/>
      <c r="I34" s="121"/>
      <c r="J34" s="121"/>
      <c r="K34" s="121"/>
      <c r="L34" s="121"/>
      <c r="M34" s="121"/>
      <c r="N34" s="121"/>
      <c r="O34" s="121"/>
      <c r="P34" s="121"/>
      <c r="Q34" s="546"/>
      <c r="R34" s="1017" t="s">
        <v>22</v>
      </c>
      <c r="S34" s="1017"/>
      <c r="T34" s="1017"/>
      <c r="U34" s="369">
        <f>'Lookup Properties'!$B$5</f>
        <v>22.35</v>
      </c>
      <c r="V34" s="369">
        <f>'Lookup Properties'!$C$5</f>
        <v>17.399999999999999</v>
      </c>
      <c r="W34" s="369">
        <f>'Lookup Properties'!$D$5</f>
        <v>5</v>
      </c>
      <c r="X34" s="553">
        <f>SUM(U34:W34)</f>
        <v>44.75</v>
      </c>
      <c r="Y34" s="364"/>
      <c r="Z34" s="364"/>
      <c r="AA34"/>
      <c r="AB34"/>
      <c r="AC34" s="93"/>
      <c r="AD34" s="93"/>
    </row>
    <row r="35" spans="1:30" ht="12.75" customHeight="1">
      <c r="A35" s="121"/>
      <c r="B35" s="121"/>
      <c r="C35" s="121"/>
      <c r="D35" s="121"/>
      <c r="E35" s="121"/>
      <c r="F35" s="121"/>
      <c r="G35" s="121"/>
      <c r="H35" s="121"/>
      <c r="I35" s="121"/>
      <c r="J35" s="121"/>
      <c r="K35" s="121"/>
      <c r="L35" s="121"/>
      <c r="M35" s="121"/>
      <c r="N35" s="121"/>
      <c r="O35" s="121"/>
      <c r="P35" s="121"/>
      <c r="Q35" s="546"/>
      <c r="R35" s="1018" t="s">
        <v>579</v>
      </c>
      <c r="S35" s="1018"/>
      <c r="T35" s="1018"/>
      <c r="U35" s="369">
        <f>'Lookup Properties'!$B$6</f>
        <v>22.15</v>
      </c>
      <c r="V35" s="369">
        <f>'Lookup Properties'!$C$6</f>
        <v>18.149999999999999</v>
      </c>
      <c r="W35" s="369">
        <f>'Lookup Properties'!$D$6</f>
        <v>5</v>
      </c>
      <c r="X35" s="553">
        <f>SUM(U35:W35)</f>
        <v>45.3</v>
      </c>
      <c r="Y35" s="364"/>
      <c r="Z35" s="364"/>
      <c r="AA35"/>
      <c r="AB35"/>
      <c r="AC35" s="93"/>
      <c r="AD35" s="93"/>
    </row>
    <row r="36" spans="1:30" ht="12.75" customHeight="1">
      <c r="A36" s="121"/>
      <c r="B36" s="121"/>
      <c r="C36" s="121"/>
      <c r="D36" s="121"/>
      <c r="E36" s="121"/>
      <c r="F36" s="121"/>
      <c r="G36" s="121"/>
      <c r="H36" s="121"/>
      <c r="I36" s="121"/>
      <c r="J36" s="121"/>
      <c r="K36" s="121"/>
      <c r="L36" s="121"/>
      <c r="M36" s="121"/>
      <c r="N36" s="121"/>
      <c r="O36" s="121"/>
      <c r="P36" s="121"/>
      <c r="Q36" s="546"/>
      <c r="R36" s="1016" t="s">
        <v>21</v>
      </c>
      <c r="S36" s="1016"/>
      <c r="T36" s="1016"/>
      <c r="U36" s="369">
        <f>'Lookup Properties'!$B$4</f>
        <v>21.25</v>
      </c>
      <c r="V36" s="369">
        <f>'Lookup Properties'!$C$4</f>
        <v>17.399999999999999</v>
      </c>
      <c r="W36" s="369">
        <f>'Lookup Properties'!$D$4</f>
        <v>5</v>
      </c>
      <c r="X36" s="553">
        <f>SUM(U36:W36)</f>
        <v>43.65</v>
      </c>
      <c r="Y36" s="364"/>
      <c r="Z36" s="364"/>
      <c r="AA36"/>
      <c r="AB36"/>
      <c r="AC36" s="93"/>
      <c r="AD36" s="93"/>
    </row>
    <row r="37" spans="1:30" ht="12.75" customHeight="1">
      <c r="A37" s="121"/>
      <c r="B37" s="121"/>
      <c r="C37" s="121"/>
      <c r="D37" s="121"/>
      <c r="E37" s="121"/>
      <c r="F37" s="121"/>
      <c r="G37" s="121"/>
      <c r="H37" s="121"/>
      <c r="I37" s="121"/>
      <c r="J37" s="121"/>
      <c r="K37" s="121"/>
      <c r="L37" s="121"/>
      <c r="M37" s="121"/>
      <c r="N37" s="121"/>
      <c r="O37" s="121"/>
      <c r="P37" s="121"/>
      <c r="Q37" s="364"/>
      <c r="R37" s="364"/>
      <c r="S37" s="364"/>
      <c r="T37" s="364"/>
      <c r="U37" s="555"/>
      <c r="V37" s="555"/>
      <c r="W37" s="555"/>
      <c r="X37" s="555"/>
      <c r="Y37" s="555"/>
      <c r="Z37" s="364"/>
      <c r="AA37"/>
      <c r="AB37"/>
      <c r="AC37" s="108"/>
      <c r="AD37" s="108"/>
    </row>
    <row r="38" spans="1:30" ht="12.75" customHeight="1">
      <c r="A38" s="121"/>
      <c r="B38" s="121"/>
      <c r="C38" s="121"/>
      <c r="D38" s="121"/>
      <c r="E38" s="121"/>
      <c r="F38" s="121"/>
      <c r="G38" s="121"/>
      <c r="H38" s="121"/>
      <c r="I38" s="121"/>
      <c r="J38" s="121"/>
      <c r="K38" s="121"/>
      <c r="L38" s="121"/>
      <c r="M38" s="121"/>
      <c r="N38" s="121"/>
      <c r="O38" s="121"/>
      <c r="P38" s="121"/>
      <c r="Q38" s="360">
        <v>2.2000000000000002</v>
      </c>
      <c r="R38" s="363" t="s">
        <v>832</v>
      </c>
      <c r="S38" s="363"/>
      <c r="T38" s="363"/>
      <c r="U38" s="363"/>
      <c r="V38" s="363"/>
      <c r="W38" s="363"/>
      <c r="X38" s="363"/>
      <c r="Y38" s="363"/>
      <c r="Z38" s="364"/>
      <c r="AA38"/>
      <c r="AB38"/>
      <c r="AC38" s="108"/>
      <c r="AD38" s="108"/>
    </row>
    <row r="39" spans="1:30" ht="12.75" customHeight="1">
      <c r="A39" s="121"/>
      <c r="B39" s="121"/>
      <c r="C39" s="121"/>
      <c r="D39" s="121"/>
      <c r="E39" s="121"/>
      <c r="F39" s="121"/>
      <c r="G39" s="121"/>
      <c r="H39" s="121"/>
      <c r="I39" s="121"/>
      <c r="J39" s="121"/>
      <c r="K39" s="121"/>
      <c r="L39" s="121"/>
      <c r="M39" s="121"/>
      <c r="N39" s="121"/>
      <c r="O39" s="121"/>
      <c r="P39" s="121"/>
      <c r="Q39" s="360"/>
      <c r="R39" s="998" t="s">
        <v>77</v>
      </c>
      <c r="S39" s="999"/>
      <c r="T39" s="1000"/>
      <c r="U39" s="1019" t="s">
        <v>824</v>
      </c>
      <c r="V39" s="1019" t="s">
        <v>828</v>
      </c>
      <c r="W39" s="1019" t="s">
        <v>826</v>
      </c>
      <c r="X39" s="1019" t="s">
        <v>23</v>
      </c>
      <c r="Y39" s="364"/>
      <c r="Z39" s="364"/>
      <c r="AA39"/>
      <c r="AB39"/>
      <c r="AC39" s="93"/>
      <c r="AD39" s="93"/>
    </row>
    <row r="40" spans="1:30" ht="12.75" customHeight="1">
      <c r="A40" s="121"/>
      <c r="B40" s="121"/>
      <c r="C40" s="121"/>
      <c r="D40" s="121"/>
      <c r="E40" s="121"/>
      <c r="F40" s="121"/>
      <c r="G40" s="121"/>
      <c r="H40" s="121"/>
      <c r="I40" s="121"/>
      <c r="J40" s="121"/>
      <c r="K40" s="121"/>
      <c r="L40" s="121"/>
      <c r="M40" s="121"/>
      <c r="N40" s="121"/>
      <c r="O40" s="121"/>
      <c r="P40" s="121"/>
      <c r="Q40" s="360"/>
      <c r="R40" s="1001"/>
      <c r="S40" s="1002"/>
      <c r="T40" s="1003"/>
      <c r="U40" s="1019"/>
      <c r="V40" s="1019"/>
      <c r="W40" s="1019"/>
      <c r="X40" s="1019"/>
      <c r="Y40" s="364"/>
      <c r="Z40" s="364"/>
      <c r="AA40"/>
      <c r="AB40"/>
      <c r="AC40" s="93"/>
      <c r="AD40" s="93"/>
    </row>
    <row r="41" spans="1:30" ht="12.75" customHeight="1">
      <c r="A41" s="121"/>
      <c r="B41" s="121"/>
      <c r="C41" s="121"/>
      <c r="D41" s="121"/>
      <c r="E41" s="121"/>
      <c r="F41" s="121"/>
      <c r="G41" s="121"/>
      <c r="H41" s="121"/>
      <c r="I41" s="121"/>
      <c r="J41" s="121"/>
      <c r="K41" s="121"/>
      <c r="L41" s="121"/>
      <c r="M41" s="121"/>
      <c r="N41" s="121"/>
      <c r="O41" s="121"/>
      <c r="P41" s="121"/>
      <c r="Q41" s="360"/>
      <c r="R41" s="1020" t="s">
        <v>500</v>
      </c>
      <c r="S41" s="1020"/>
      <c r="T41" s="1020"/>
      <c r="U41" s="556">
        <f>'Lookup Properties'!$B$13</f>
        <v>0.74</v>
      </c>
      <c r="V41" s="556">
        <f>'Lookup Properties'!$C$13</f>
        <v>0.78</v>
      </c>
      <c r="W41" s="556">
        <f>'Lookup Properties'!$D$13</f>
        <v>1.26</v>
      </c>
      <c r="X41" s="553">
        <f>SUM(U41:W41)</f>
        <v>2.7800000000000002</v>
      </c>
      <c r="Y41" s="364"/>
      <c r="Z41" s="364"/>
      <c r="AA41"/>
      <c r="AB41"/>
      <c r="AC41" s="93"/>
      <c r="AD41" s="93"/>
    </row>
    <row r="42" spans="1:30" ht="12.75" customHeight="1">
      <c r="A42" s="121"/>
      <c r="B42" s="121"/>
      <c r="C42" s="121"/>
      <c r="D42" s="121"/>
      <c r="E42" s="121"/>
      <c r="F42" s="121"/>
      <c r="G42" s="121"/>
      <c r="H42" s="121"/>
      <c r="I42" s="121"/>
      <c r="J42" s="121"/>
      <c r="K42" s="121"/>
      <c r="L42" s="121"/>
      <c r="M42" s="121"/>
      <c r="N42" s="121"/>
      <c r="O42" s="121"/>
      <c r="P42" s="121"/>
      <c r="Q42" s="360"/>
      <c r="R42" s="1017" t="s">
        <v>22</v>
      </c>
      <c r="S42" s="1017"/>
      <c r="T42" s="1017"/>
      <c r="U42" s="557">
        <f>'Lookup Properties'!$B$11</f>
        <v>0.71499999999999997</v>
      </c>
      <c r="V42" s="557">
        <f>'Lookup Properties'!$C$11</f>
        <v>1.03</v>
      </c>
      <c r="W42" s="557">
        <f>'Lookup Properties'!$D$11</f>
        <v>1.29</v>
      </c>
      <c r="X42" s="553">
        <f>SUM(U42:W42)</f>
        <v>3.0350000000000001</v>
      </c>
      <c r="Y42" s="364"/>
      <c r="Z42" s="364"/>
      <c r="AA42"/>
      <c r="AB42"/>
      <c r="AC42" s="93"/>
      <c r="AD42" s="93"/>
    </row>
    <row r="43" spans="1:30" ht="12.75" customHeight="1">
      <c r="A43" s="121"/>
      <c r="B43" s="121"/>
      <c r="C43" s="121"/>
      <c r="D43" s="121"/>
      <c r="E43" s="121"/>
      <c r="F43" s="121"/>
      <c r="G43" s="121"/>
      <c r="H43" s="121"/>
      <c r="I43" s="121"/>
      <c r="J43" s="121"/>
      <c r="K43" s="121"/>
      <c r="L43" s="121"/>
      <c r="M43" s="121"/>
      <c r="N43" s="121"/>
      <c r="O43" s="121"/>
      <c r="P43" s="121"/>
      <c r="Q43" s="360"/>
      <c r="R43" s="1018" t="s">
        <v>579</v>
      </c>
      <c r="S43" s="1018"/>
      <c r="T43" s="1018"/>
      <c r="U43" s="557">
        <f>'Lookup Properties'!$B$12</f>
        <v>0.755</v>
      </c>
      <c r="V43" s="557">
        <f>'Lookup Properties'!$C$12</f>
        <v>1.07</v>
      </c>
      <c r="W43" s="557">
        <f>'Lookup Properties'!$D$12</f>
        <v>1.2949999999999999</v>
      </c>
      <c r="X43" s="553">
        <f>SUM(U43:W43)</f>
        <v>3.12</v>
      </c>
      <c r="Y43" s="364"/>
      <c r="Z43" s="364"/>
      <c r="AA43"/>
      <c r="AB43"/>
      <c r="AC43" s="93"/>
      <c r="AD43" s="93"/>
    </row>
    <row r="44" spans="1:30" ht="12.75" customHeight="1">
      <c r="A44" s="121"/>
      <c r="B44" s="121"/>
      <c r="C44" s="121"/>
      <c r="D44" s="121"/>
      <c r="E44" s="121"/>
      <c r="F44" s="121"/>
      <c r="G44" s="121"/>
      <c r="H44" s="121"/>
      <c r="I44" s="121"/>
      <c r="J44" s="121"/>
      <c r="K44" s="121"/>
      <c r="L44" s="121"/>
      <c r="M44" s="121"/>
      <c r="N44" s="121"/>
      <c r="O44" s="121"/>
      <c r="P44" s="121"/>
      <c r="Q44" s="360"/>
      <c r="R44" s="1016" t="s">
        <v>21</v>
      </c>
      <c r="S44" s="1016"/>
      <c r="T44" s="1016"/>
      <c r="U44" s="557">
        <f>'Lookup Properties'!$B$10</f>
        <v>0.71</v>
      </c>
      <c r="V44" s="557">
        <f>'Lookup Properties'!$C$10</f>
        <v>1.03</v>
      </c>
      <c r="W44" s="557">
        <f>'Lookup Properties'!$D$10</f>
        <v>1.29</v>
      </c>
      <c r="X44" s="553">
        <f>SUM(U44:W44)</f>
        <v>3.0300000000000002</v>
      </c>
      <c r="Y44" s="364"/>
      <c r="Z44" s="364"/>
      <c r="AA44"/>
      <c r="AB44"/>
      <c r="AC44" s="93"/>
      <c r="AD44" s="93"/>
    </row>
    <row r="45" spans="1:30" ht="12.75" customHeight="1">
      <c r="A45" s="121"/>
      <c r="B45" s="121"/>
      <c r="C45" s="121"/>
      <c r="D45" s="121"/>
      <c r="E45" s="121"/>
      <c r="F45" s="121"/>
      <c r="G45" s="121"/>
      <c r="H45" s="121"/>
      <c r="I45" s="121"/>
      <c r="J45" s="121"/>
      <c r="K45" s="121"/>
      <c r="L45" s="121"/>
      <c r="M45" s="121"/>
      <c r="N45" s="121"/>
      <c r="O45" s="121"/>
      <c r="P45" s="121"/>
      <c r="Q45" s="364"/>
      <c r="R45" s="364"/>
      <c r="S45" s="364"/>
      <c r="T45" s="364"/>
      <c r="U45" s="555"/>
      <c r="V45" s="555"/>
      <c r="W45" s="555"/>
      <c r="X45" s="555"/>
      <c r="Y45" s="555"/>
      <c r="Z45" s="364"/>
      <c r="AA45"/>
      <c r="AB45"/>
    </row>
    <row r="46" spans="1:30" ht="12.75" customHeight="1">
      <c r="A46" s="121"/>
      <c r="B46" s="121"/>
      <c r="C46" s="121"/>
      <c r="D46" s="121"/>
      <c r="E46" s="121"/>
      <c r="F46" s="121"/>
      <c r="G46" s="121"/>
      <c r="H46" s="121"/>
      <c r="I46" s="121"/>
      <c r="J46" s="121"/>
      <c r="K46" s="121"/>
      <c r="L46" s="121"/>
      <c r="M46" s="121"/>
      <c r="N46" s="121"/>
      <c r="O46" s="121"/>
      <c r="P46" s="121"/>
      <c r="Q46" s="387" t="s">
        <v>817</v>
      </c>
      <c r="R46" s="1015" t="s">
        <v>206</v>
      </c>
      <c r="S46" s="1015"/>
      <c r="T46" s="1015"/>
      <c r="U46" s="1015"/>
      <c r="V46" s="1015"/>
      <c r="W46" s="1015"/>
      <c r="X46" s="1015"/>
      <c r="Y46" s="1015"/>
      <c r="Z46" s="536"/>
      <c r="AA46"/>
      <c r="AB46"/>
    </row>
    <row r="47" spans="1:30" ht="12.75" customHeight="1">
      <c r="A47" s="121"/>
      <c r="B47" s="121"/>
      <c r="C47" s="121"/>
      <c r="D47" s="121"/>
      <c r="E47" s="121"/>
      <c r="F47" s="121"/>
      <c r="G47" s="121"/>
      <c r="H47" s="121"/>
      <c r="I47" s="121"/>
      <c r="J47" s="121"/>
      <c r="K47" s="121"/>
      <c r="L47" s="121"/>
      <c r="M47" s="121"/>
      <c r="N47" s="121"/>
      <c r="O47" s="121"/>
      <c r="P47" s="121"/>
      <c r="Q47" s="668"/>
      <c r="R47" s="364"/>
      <c r="S47" s="364"/>
      <c r="T47" s="364"/>
      <c r="U47" s="555"/>
      <c r="V47" s="555"/>
      <c r="W47" s="555"/>
      <c r="X47" s="555"/>
      <c r="Y47" s="555"/>
      <c r="Z47" s="364"/>
      <c r="AA47"/>
      <c r="AB47"/>
    </row>
    <row r="48" spans="1:30" ht="12.75" customHeight="1">
      <c r="A48" s="121"/>
      <c r="B48" s="121"/>
      <c r="C48" s="121"/>
      <c r="D48" s="121"/>
      <c r="E48" s="121"/>
      <c r="F48" s="121"/>
      <c r="G48" s="121"/>
      <c r="H48" s="121"/>
      <c r="I48" s="121"/>
      <c r="J48" s="121"/>
      <c r="K48" s="121"/>
      <c r="L48" s="121"/>
      <c r="M48" s="121"/>
      <c r="N48" s="121"/>
      <c r="O48" s="121"/>
      <c r="P48" s="121"/>
      <c r="Q48" s="668" t="s">
        <v>196</v>
      </c>
      <c r="R48" s="364" t="s">
        <v>207</v>
      </c>
      <c r="S48" s="364"/>
      <c r="T48" s="364"/>
      <c r="U48" s="555"/>
      <c r="V48" s="555"/>
      <c r="W48" s="555"/>
      <c r="X48" s="555"/>
      <c r="Y48" s="555"/>
      <c r="Z48" s="364"/>
      <c r="AA48"/>
      <c r="AB48"/>
    </row>
    <row r="49" spans="1:30" ht="12.75" customHeight="1">
      <c r="A49" s="121"/>
      <c r="B49" s="121"/>
      <c r="C49" s="121"/>
      <c r="D49" s="121"/>
      <c r="E49" s="121"/>
      <c r="F49" s="121"/>
      <c r="G49" s="121"/>
      <c r="H49" s="121"/>
      <c r="I49" s="121"/>
      <c r="J49" s="121"/>
      <c r="K49" s="121"/>
      <c r="L49" s="121"/>
      <c r="M49" s="121"/>
      <c r="N49" s="121"/>
      <c r="O49" s="121"/>
      <c r="P49" s="121"/>
      <c r="Q49" s="364"/>
      <c r="R49" s="962" t="s">
        <v>678</v>
      </c>
      <c r="S49" s="963"/>
      <c r="T49" s="964"/>
      <c r="U49" s="949" t="s">
        <v>500</v>
      </c>
      <c r="V49" s="938" t="s">
        <v>22</v>
      </c>
      <c r="W49" s="940" t="s">
        <v>579</v>
      </c>
      <c r="X49" s="942" t="s">
        <v>21</v>
      </c>
      <c r="Y49" s="361"/>
      <c r="Z49" s="364"/>
      <c r="AA49"/>
      <c r="AB49"/>
      <c r="AC49" s="93"/>
      <c r="AD49" s="93"/>
    </row>
    <row r="50" spans="1:30" ht="12.75" customHeight="1">
      <c r="A50" s="121"/>
      <c r="B50" s="121"/>
      <c r="C50" s="121"/>
      <c r="D50" s="121"/>
      <c r="E50" s="121"/>
      <c r="F50" s="121"/>
      <c r="G50" s="121"/>
      <c r="H50" s="121"/>
      <c r="I50" s="121"/>
      <c r="J50" s="121"/>
      <c r="K50" s="121"/>
      <c r="L50" s="121"/>
      <c r="M50" s="121"/>
      <c r="N50" s="121"/>
      <c r="O50" s="121"/>
      <c r="P50" s="121"/>
      <c r="Q50" s="364"/>
      <c r="R50" s="965"/>
      <c r="S50" s="966"/>
      <c r="T50" s="967"/>
      <c r="U50" s="950"/>
      <c r="V50" s="939"/>
      <c r="W50" s="941"/>
      <c r="X50" s="943"/>
      <c r="Y50" s="361"/>
      <c r="Z50" s="364"/>
      <c r="AA50"/>
      <c r="AB50"/>
      <c r="AC50" s="93"/>
      <c r="AD50" s="93"/>
    </row>
    <row r="51" spans="1:30" ht="12.75" customHeight="1">
      <c r="A51" s="121"/>
      <c r="B51" s="121"/>
      <c r="C51" s="121"/>
      <c r="D51" s="121"/>
      <c r="E51" s="121"/>
      <c r="F51" s="121"/>
      <c r="G51" s="121"/>
      <c r="H51" s="121"/>
      <c r="I51" s="121"/>
      <c r="J51" s="121"/>
      <c r="K51" s="121"/>
      <c r="L51" s="121"/>
      <c r="M51" s="121"/>
      <c r="N51" s="121"/>
      <c r="O51" s="121"/>
      <c r="P51" s="121"/>
      <c r="Q51" s="364"/>
      <c r="R51" s="969" t="s">
        <v>210</v>
      </c>
      <c r="S51" s="969"/>
      <c r="T51" s="969"/>
      <c r="U51" s="560">
        <v>0.3</v>
      </c>
      <c r="V51" s="537">
        <f>VLOOKUP($V$5,'Lookup Penetration Rate'!$B$8:$E$208,3)</f>
        <v>0.4</v>
      </c>
      <c r="W51" s="537">
        <f>VLOOKUP($V$5,'Lookup Penetration Rate'!$B$8:$E$208,4)</f>
        <v>0.46</v>
      </c>
      <c r="X51" s="537">
        <f>VLOOKUP($V$5,'Lookup Penetration Rate'!$B$8:$E$208,2)</f>
        <v>0.56000000000000005</v>
      </c>
      <c r="Y51" s="361"/>
      <c r="Z51" s="364"/>
      <c r="AA51"/>
      <c r="AB51"/>
      <c r="AC51" s="99"/>
      <c r="AD51" s="99"/>
    </row>
    <row r="52" spans="1:30" ht="12.75" customHeight="1">
      <c r="A52" s="121"/>
      <c r="B52" s="121"/>
      <c r="C52" s="121"/>
      <c r="D52" s="121"/>
      <c r="E52" s="121"/>
      <c r="F52" s="121"/>
      <c r="G52" s="121"/>
      <c r="H52" s="121"/>
      <c r="I52" s="121"/>
      <c r="J52" s="121"/>
      <c r="K52" s="121"/>
      <c r="L52" s="121"/>
      <c r="M52" s="121"/>
      <c r="N52" s="121"/>
      <c r="O52" s="121"/>
      <c r="P52" s="121"/>
      <c r="Q52" s="364"/>
      <c r="R52" s="364"/>
      <c r="S52" s="364"/>
      <c r="T52" s="364"/>
      <c r="U52" s="555"/>
      <c r="V52" s="555"/>
      <c r="W52" s="555"/>
      <c r="X52" s="555"/>
      <c r="Y52" s="555"/>
      <c r="Z52" s="364"/>
      <c r="AA52"/>
      <c r="AB52"/>
      <c r="AC52" s="108"/>
      <c r="AD52" s="108"/>
    </row>
    <row r="53" spans="1:30" ht="12.75" customHeight="1">
      <c r="A53" s="121"/>
      <c r="B53" s="121"/>
      <c r="C53" s="121"/>
      <c r="D53" s="121"/>
      <c r="E53" s="121"/>
      <c r="F53" s="121"/>
      <c r="G53" s="121"/>
      <c r="H53" s="121"/>
      <c r="I53" s="121"/>
      <c r="J53" s="121"/>
      <c r="K53" s="121"/>
      <c r="L53" s="121"/>
      <c r="M53" s="121"/>
      <c r="N53" s="121"/>
      <c r="O53" s="121"/>
      <c r="P53" s="121"/>
      <c r="Q53" s="668" t="s">
        <v>197</v>
      </c>
      <c r="R53" s="364" t="s">
        <v>208</v>
      </c>
      <c r="S53" s="364"/>
      <c r="T53" s="364"/>
      <c r="U53" s="555"/>
      <c r="V53" s="555"/>
      <c r="W53" s="555"/>
      <c r="X53" s="555"/>
      <c r="Y53" s="555"/>
      <c r="Z53" s="364"/>
      <c r="AA53"/>
      <c r="AB53"/>
      <c r="AC53" s="108"/>
      <c r="AD53" s="108"/>
    </row>
    <row r="54" spans="1:30" ht="12.75" customHeight="1">
      <c r="A54" s="121"/>
      <c r="B54" s="121"/>
      <c r="C54" s="121"/>
      <c r="D54" s="121"/>
      <c r="E54" s="121"/>
      <c r="F54" s="121"/>
      <c r="G54" s="121"/>
      <c r="H54" s="121"/>
      <c r="I54" s="121"/>
      <c r="J54" s="121"/>
      <c r="K54" s="121"/>
      <c r="L54" s="121"/>
      <c r="M54" s="121"/>
      <c r="N54" s="121"/>
      <c r="O54" s="121"/>
      <c r="P54" s="121"/>
      <c r="Q54" s="668"/>
      <c r="R54" s="962" t="s">
        <v>678</v>
      </c>
      <c r="S54" s="963"/>
      <c r="T54" s="964"/>
      <c r="U54" s="949" t="s">
        <v>500</v>
      </c>
      <c r="V54" s="938" t="s">
        <v>22</v>
      </c>
      <c r="W54" s="940" t="s">
        <v>579</v>
      </c>
      <c r="X54" s="942" t="s">
        <v>21</v>
      </c>
      <c r="Y54" s="361"/>
      <c r="Z54" s="364"/>
      <c r="AA54"/>
      <c r="AB54"/>
      <c r="AC54" s="93"/>
      <c r="AD54" s="93"/>
    </row>
    <row r="55" spans="1:30" ht="12.75" customHeight="1">
      <c r="A55" s="121"/>
      <c r="B55" s="121"/>
      <c r="C55" s="121"/>
      <c r="D55" s="121"/>
      <c r="E55" s="121"/>
      <c r="F55" s="121"/>
      <c r="G55" s="121"/>
      <c r="H55" s="121"/>
      <c r="I55" s="121"/>
      <c r="J55" s="121"/>
      <c r="K55" s="121"/>
      <c r="L55" s="121"/>
      <c r="M55" s="121"/>
      <c r="N55" s="121"/>
      <c r="O55" s="121"/>
      <c r="P55" s="121"/>
      <c r="Q55" s="668"/>
      <c r="R55" s="965"/>
      <c r="S55" s="966"/>
      <c r="T55" s="967"/>
      <c r="U55" s="950"/>
      <c r="V55" s="939"/>
      <c r="W55" s="941"/>
      <c r="X55" s="943"/>
      <c r="Y55" s="361"/>
      <c r="Z55" s="364"/>
      <c r="AA55"/>
      <c r="AB55"/>
      <c r="AC55" s="93"/>
      <c r="AD55" s="93"/>
    </row>
    <row r="56" spans="1:30" ht="12.75" customHeight="1">
      <c r="A56" s="121"/>
      <c r="B56" s="121"/>
      <c r="C56" s="121"/>
      <c r="D56" s="121"/>
      <c r="E56" s="121"/>
      <c r="F56" s="121"/>
      <c r="G56" s="121"/>
      <c r="H56" s="121"/>
      <c r="I56" s="121"/>
      <c r="J56" s="121"/>
      <c r="K56" s="121"/>
      <c r="L56" s="121"/>
      <c r="M56" s="121"/>
      <c r="N56" s="121"/>
      <c r="O56" s="121"/>
      <c r="P56" s="121"/>
      <c r="Q56" s="668"/>
      <c r="R56" s="969" t="s">
        <v>209</v>
      </c>
      <c r="S56" s="969"/>
      <c r="T56" s="969"/>
      <c r="U56" s="560">
        <f>$V$20/U51</f>
        <v>4</v>
      </c>
      <c r="V56" s="669">
        <f>$V$20/V51</f>
        <v>2.9999999999999996</v>
      </c>
      <c r="W56" s="669">
        <f>$V$20/W51</f>
        <v>2.6086956521739126</v>
      </c>
      <c r="X56" s="669">
        <f>$V$20/X51</f>
        <v>2.1428571428571428</v>
      </c>
      <c r="Y56" s="361"/>
      <c r="Z56" s="364"/>
      <c r="AA56"/>
      <c r="AB56"/>
      <c r="AC56" s="99"/>
      <c r="AD56" s="99"/>
    </row>
    <row r="57" spans="1:30" ht="12.75" customHeight="1">
      <c r="A57" s="121"/>
      <c r="B57" s="121"/>
      <c r="C57" s="121"/>
      <c r="D57" s="121"/>
      <c r="E57" s="121"/>
      <c r="F57" s="121"/>
      <c r="G57" s="121"/>
      <c r="H57" s="121"/>
      <c r="I57" s="121"/>
      <c r="J57" s="121"/>
      <c r="K57" s="121"/>
      <c r="L57" s="121"/>
      <c r="M57" s="121"/>
      <c r="N57" s="121"/>
      <c r="O57" s="121"/>
      <c r="P57" s="121"/>
      <c r="Q57" s="364"/>
      <c r="R57" s="364"/>
      <c r="S57" s="364"/>
      <c r="T57" s="364"/>
      <c r="U57" s="555"/>
      <c r="V57" s="555"/>
      <c r="W57" s="555"/>
      <c r="X57" s="555"/>
      <c r="Y57" s="555"/>
      <c r="Z57" s="364"/>
      <c r="AA57"/>
      <c r="AB57"/>
    </row>
    <row r="58" spans="1:30" ht="12.75" customHeight="1">
      <c r="A58" s="121"/>
      <c r="B58" s="121"/>
      <c r="C58" s="121"/>
      <c r="D58" s="121"/>
      <c r="E58" s="121"/>
      <c r="F58" s="121"/>
      <c r="G58" s="121"/>
      <c r="H58" s="121"/>
      <c r="I58" s="121"/>
      <c r="J58" s="121"/>
      <c r="K58" s="121"/>
      <c r="L58" s="121"/>
      <c r="M58" s="121"/>
      <c r="N58" s="121"/>
      <c r="O58" s="121"/>
      <c r="P58" s="121"/>
      <c r="Q58" s="563">
        <v>3.3</v>
      </c>
      <c r="R58" s="363" t="s">
        <v>211</v>
      </c>
      <c r="S58" s="363"/>
      <c r="T58" s="363"/>
      <c r="U58" s="363"/>
      <c r="V58" s="363"/>
      <c r="W58" s="363"/>
      <c r="X58" s="363"/>
      <c r="Y58" s="363"/>
      <c r="Z58" s="364"/>
      <c r="AA58"/>
      <c r="AB58"/>
    </row>
    <row r="59" spans="1:30" ht="12.75" customHeight="1">
      <c r="A59" s="121"/>
      <c r="B59" s="121"/>
      <c r="C59" s="121"/>
      <c r="D59" s="121"/>
      <c r="E59" s="121"/>
      <c r="F59" s="121"/>
      <c r="G59" s="121"/>
      <c r="H59" s="121"/>
      <c r="I59" s="121"/>
      <c r="J59" s="121"/>
      <c r="K59" s="121"/>
      <c r="L59" s="121"/>
      <c r="M59" s="121"/>
      <c r="N59" s="121"/>
      <c r="O59" s="121"/>
      <c r="P59" s="121"/>
      <c r="Q59" s="563"/>
      <c r="R59" s="962" t="s">
        <v>678</v>
      </c>
      <c r="S59" s="963"/>
      <c r="T59" s="964"/>
      <c r="U59" s="949" t="s">
        <v>500</v>
      </c>
      <c r="V59" s="938" t="s">
        <v>22</v>
      </c>
      <c r="W59" s="940" t="s">
        <v>579</v>
      </c>
      <c r="X59" s="942" t="s">
        <v>21</v>
      </c>
      <c r="Y59" s="361"/>
      <c r="Z59" s="364"/>
      <c r="AA59"/>
      <c r="AB59"/>
      <c r="AC59" s="93"/>
      <c r="AD59" s="93"/>
    </row>
    <row r="60" spans="1:30" ht="12.75" customHeight="1">
      <c r="A60" s="121"/>
      <c r="B60" s="121"/>
      <c r="C60" s="121"/>
      <c r="D60" s="121"/>
      <c r="E60" s="121"/>
      <c r="F60" s="121"/>
      <c r="G60" s="121"/>
      <c r="H60" s="121"/>
      <c r="I60" s="121"/>
      <c r="J60" s="121"/>
      <c r="K60" s="121"/>
      <c r="L60" s="121"/>
      <c r="M60" s="121"/>
      <c r="N60" s="121"/>
      <c r="O60" s="121"/>
      <c r="P60" s="121"/>
      <c r="Q60" s="563"/>
      <c r="R60" s="965"/>
      <c r="S60" s="966"/>
      <c r="T60" s="967"/>
      <c r="U60" s="950"/>
      <c r="V60" s="939"/>
      <c r="W60" s="941"/>
      <c r="X60" s="943"/>
      <c r="Y60" s="361"/>
      <c r="Z60" s="364"/>
      <c r="AA60"/>
      <c r="AB60"/>
      <c r="AC60" s="93"/>
      <c r="AD60" s="93"/>
    </row>
    <row r="61" spans="1:30" ht="12.75" customHeight="1">
      <c r="A61" s="121"/>
      <c r="B61" s="121"/>
      <c r="C61" s="121"/>
      <c r="D61" s="121"/>
      <c r="E61" s="121"/>
      <c r="F61" s="121"/>
      <c r="G61" s="121"/>
      <c r="H61" s="121"/>
      <c r="I61" s="121"/>
      <c r="J61" s="121"/>
      <c r="K61" s="121"/>
      <c r="L61" s="121"/>
      <c r="M61" s="121"/>
      <c r="N61" s="121"/>
      <c r="O61" s="121"/>
      <c r="P61" s="121"/>
      <c r="Q61" s="563"/>
      <c r="R61" s="969" t="s">
        <v>209</v>
      </c>
      <c r="S61" s="969"/>
      <c r="T61" s="969"/>
      <c r="U61" s="562">
        <f>(U56*$V$24)/$V$23</f>
        <v>160</v>
      </c>
      <c r="V61" s="670">
        <f>(V56*$V$24)/$V$23</f>
        <v>119.99999999999997</v>
      </c>
      <c r="W61" s="670">
        <f>(W56*$V$24)/$V$23</f>
        <v>104.3478260869565</v>
      </c>
      <c r="X61" s="670">
        <f>(X56*$V$24)/$V$23</f>
        <v>85.714285714285708</v>
      </c>
      <c r="Y61" s="361"/>
      <c r="Z61" s="364"/>
      <c r="AA61"/>
      <c r="AB61"/>
      <c r="AC61" s="66"/>
      <c r="AD61" s="66"/>
    </row>
    <row r="62" spans="1:30" ht="12.75" customHeight="1">
      <c r="A62" s="121"/>
      <c r="B62" s="121"/>
      <c r="C62" s="121"/>
      <c r="D62" s="121"/>
      <c r="E62" s="121"/>
      <c r="F62" s="121"/>
      <c r="G62" s="121"/>
      <c r="H62" s="121"/>
      <c r="I62" s="121"/>
      <c r="J62" s="121"/>
      <c r="K62" s="121"/>
      <c r="L62" s="121"/>
      <c r="M62" s="121"/>
      <c r="N62" s="121"/>
      <c r="O62" s="121"/>
      <c r="P62" s="121"/>
      <c r="Q62" s="563"/>
      <c r="R62" s="931" t="s">
        <v>212</v>
      </c>
      <c r="S62" s="931"/>
      <c r="T62" s="931"/>
      <c r="U62" s="537">
        <f>U61/60</f>
        <v>2.6666666666666665</v>
      </c>
      <c r="V62" s="557">
        <f>V61/60</f>
        <v>1.9999999999999996</v>
      </c>
      <c r="W62" s="557">
        <f>W61/60</f>
        <v>1.7391304347826084</v>
      </c>
      <c r="X62" s="557">
        <f>X61/60</f>
        <v>1.4285714285714284</v>
      </c>
      <c r="Y62" s="361"/>
      <c r="Z62" s="364"/>
      <c r="AA62"/>
      <c r="AB62"/>
      <c r="AC62" s="66"/>
      <c r="AD62" s="66"/>
    </row>
    <row r="63" spans="1:30" ht="12.75" customHeight="1">
      <c r="A63" s="121"/>
      <c r="B63" s="121"/>
      <c r="C63" s="121"/>
      <c r="D63" s="121"/>
      <c r="E63" s="121"/>
      <c r="F63" s="121"/>
      <c r="G63" s="121"/>
      <c r="H63" s="121"/>
      <c r="I63" s="121"/>
      <c r="J63" s="121"/>
      <c r="K63" s="121"/>
      <c r="L63" s="121"/>
      <c r="M63" s="121"/>
      <c r="N63" s="121"/>
      <c r="O63" s="121"/>
      <c r="P63" s="121"/>
      <c r="Q63" s="563"/>
      <c r="R63" s="363"/>
      <c r="S63" s="363"/>
      <c r="T63" s="363"/>
      <c r="U63" s="363"/>
      <c r="V63" s="363"/>
      <c r="W63" s="363"/>
      <c r="X63" s="363"/>
      <c r="Y63" s="363"/>
      <c r="Z63" s="364"/>
      <c r="AA63"/>
      <c r="AB63"/>
      <c r="AC63" s="109"/>
      <c r="AD63" s="109"/>
    </row>
    <row r="64" spans="1:30" ht="12.75" customHeight="1">
      <c r="A64" s="121"/>
      <c r="B64" s="121"/>
      <c r="C64" s="121"/>
      <c r="D64" s="121"/>
      <c r="E64" s="121"/>
      <c r="F64" s="121"/>
      <c r="G64" s="121"/>
      <c r="H64" s="121"/>
      <c r="I64" s="121"/>
      <c r="J64" s="121"/>
      <c r="K64" s="121"/>
      <c r="L64" s="121"/>
      <c r="M64" s="121"/>
      <c r="N64" s="121"/>
      <c r="O64" s="121"/>
      <c r="P64" s="121"/>
      <c r="Q64" s="388" t="s">
        <v>295</v>
      </c>
      <c r="R64" s="1015" t="s">
        <v>216</v>
      </c>
      <c r="S64" s="1015"/>
      <c r="T64" s="1015"/>
      <c r="U64" s="1015"/>
      <c r="V64" s="1015"/>
      <c r="W64" s="1015"/>
      <c r="X64" s="1015"/>
      <c r="Y64" s="1015"/>
      <c r="Z64" s="536"/>
      <c r="AA64"/>
      <c r="AB64"/>
      <c r="AC64" s="109"/>
      <c r="AD64" s="109"/>
    </row>
    <row r="65" spans="1:36" ht="12.75" customHeight="1">
      <c r="A65" s="121"/>
      <c r="B65" s="121"/>
      <c r="C65" s="121"/>
      <c r="D65" s="121"/>
      <c r="E65" s="121"/>
      <c r="F65" s="121"/>
      <c r="G65" s="121"/>
      <c r="H65" s="121"/>
      <c r="I65" s="121"/>
      <c r="J65" s="121"/>
      <c r="K65" s="121"/>
      <c r="L65" s="121"/>
      <c r="M65" s="121"/>
      <c r="N65" s="121"/>
      <c r="O65" s="121"/>
      <c r="P65" s="121"/>
      <c r="Q65" s="563"/>
      <c r="R65" s="363"/>
      <c r="S65" s="363"/>
      <c r="T65" s="363"/>
      <c r="U65" s="363"/>
      <c r="V65" s="363"/>
      <c r="W65" s="363"/>
      <c r="X65" s="363"/>
      <c r="Y65" s="363"/>
      <c r="Z65" s="364"/>
      <c r="AA65"/>
      <c r="AB65"/>
      <c r="AC65" s="109"/>
      <c r="AD65" s="109"/>
      <c r="AE65" s="23"/>
      <c r="AF65" s="23"/>
      <c r="AG65" s="23"/>
      <c r="AH65" s="23"/>
      <c r="AI65" s="23"/>
    </row>
    <row r="66" spans="1:36" ht="12.75" customHeight="1">
      <c r="A66" s="121"/>
      <c r="B66" s="121"/>
      <c r="C66" s="121"/>
      <c r="D66" s="121"/>
      <c r="E66" s="121"/>
      <c r="F66" s="121"/>
      <c r="G66" s="121"/>
      <c r="H66" s="121"/>
      <c r="I66" s="121"/>
      <c r="J66" s="121"/>
      <c r="K66" s="121"/>
      <c r="L66" s="121"/>
      <c r="M66" s="121"/>
      <c r="N66" s="121"/>
      <c r="O66" s="121"/>
      <c r="P66" s="121"/>
      <c r="Q66" s="360" t="s">
        <v>502</v>
      </c>
      <c r="R66" s="364" t="s">
        <v>527</v>
      </c>
      <c r="S66" s="364"/>
      <c r="T66" s="364"/>
      <c r="U66" s="555"/>
      <c r="V66" s="555"/>
      <c r="W66" s="555"/>
      <c r="X66" s="555"/>
      <c r="Y66" s="555"/>
      <c r="Z66" s="364"/>
      <c r="AA66"/>
      <c r="AB66"/>
      <c r="AC66" s="109"/>
      <c r="AD66" s="109"/>
      <c r="AJ66" s="17"/>
    </row>
    <row r="67" spans="1:36" ht="12.75" customHeight="1">
      <c r="A67" s="121"/>
      <c r="B67" s="121"/>
      <c r="C67" s="121"/>
      <c r="D67" s="121"/>
      <c r="E67" s="121"/>
      <c r="F67" s="121"/>
      <c r="G67" s="121"/>
      <c r="H67" s="121"/>
      <c r="I67" s="121"/>
      <c r="J67" s="121"/>
      <c r="K67" s="121"/>
      <c r="L67" s="121"/>
      <c r="M67" s="121"/>
      <c r="N67" s="121"/>
      <c r="O67" s="121"/>
      <c r="P67" s="121"/>
      <c r="Q67" s="360"/>
      <c r="R67" s="962" t="s">
        <v>678</v>
      </c>
      <c r="S67" s="963"/>
      <c r="T67" s="964"/>
      <c r="U67" s="949" t="s">
        <v>500</v>
      </c>
      <c r="V67" s="938" t="s">
        <v>22</v>
      </c>
      <c r="W67" s="940" t="s">
        <v>579</v>
      </c>
      <c r="X67" s="942" t="s">
        <v>21</v>
      </c>
      <c r="Y67" s="361"/>
      <c r="Z67" s="364"/>
      <c r="AA67"/>
      <c r="AB67"/>
      <c r="AC67" s="93"/>
      <c r="AD67" s="93"/>
      <c r="AJ67" s="17"/>
    </row>
    <row r="68" spans="1:36" ht="12.75" customHeight="1">
      <c r="A68" s="121"/>
      <c r="B68" s="121"/>
      <c r="C68" s="121"/>
      <c r="D68" s="121"/>
      <c r="E68" s="121"/>
      <c r="F68" s="121"/>
      <c r="G68" s="121"/>
      <c r="H68" s="121"/>
      <c r="I68" s="121"/>
      <c r="J68" s="121"/>
      <c r="K68" s="121"/>
      <c r="L68" s="121"/>
      <c r="M68" s="121"/>
      <c r="N68" s="121"/>
      <c r="O68" s="121"/>
      <c r="P68" s="121"/>
      <c r="Q68" s="360"/>
      <c r="R68" s="965"/>
      <c r="S68" s="966"/>
      <c r="T68" s="967"/>
      <c r="U68" s="950"/>
      <c r="V68" s="939"/>
      <c r="W68" s="941"/>
      <c r="X68" s="943"/>
      <c r="Y68" s="361"/>
      <c r="Z68" s="364"/>
      <c r="AA68"/>
      <c r="AB68"/>
      <c r="AC68" s="93"/>
      <c r="AD68" s="93"/>
      <c r="AJ68" s="17"/>
    </row>
    <row r="69" spans="1:36" ht="12.75" customHeight="1">
      <c r="A69" s="121"/>
      <c r="B69" s="121"/>
      <c r="C69" s="121"/>
      <c r="D69" s="121"/>
      <c r="E69" s="121"/>
      <c r="F69" s="121"/>
      <c r="G69" s="121"/>
      <c r="H69" s="121"/>
      <c r="I69" s="121"/>
      <c r="J69" s="121"/>
      <c r="K69" s="121"/>
      <c r="L69" s="121"/>
      <c r="M69" s="121"/>
      <c r="N69" s="121"/>
      <c r="O69" s="121"/>
      <c r="P69" s="121"/>
      <c r="Q69" s="360"/>
      <c r="R69" s="969" t="s">
        <v>63</v>
      </c>
      <c r="S69" s="969"/>
      <c r="T69" s="969"/>
      <c r="U69" s="369">
        <v>102</v>
      </c>
      <c r="V69" s="369">
        <f>VLOOKUP($V$5,'Lookup dBA'!$B$8:$E$208,3)</f>
        <v>108</v>
      </c>
      <c r="W69" s="369">
        <f>VLOOKUP($V$5,'Lookup dBA'!$B$8:$E$208,4)</f>
        <v>109</v>
      </c>
      <c r="X69" s="369">
        <f>VLOOKUP($V$5,'Lookup dBA'!$B$8:$E$208,2)</f>
        <v>116</v>
      </c>
      <c r="Y69" s="361"/>
      <c r="Z69" s="364"/>
      <c r="AA69"/>
      <c r="AB69"/>
      <c r="AC69" s="93"/>
      <c r="AD69" s="93"/>
      <c r="AJ69" s="32"/>
    </row>
    <row r="70" spans="1:36" ht="12.75" customHeight="1">
      <c r="A70" s="121"/>
      <c r="B70" s="121"/>
      <c r="C70" s="121"/>
      <c r="D70" s="121"/>
      <c r="E70" s="121"/>
      <c r="F70" s="121"/>
      <c r="G70" s="121"/>
      <c r="H70" s="121"/>
      <c r="I70" s="121"/>
      <c r="J70" s="121"/>
      <c r="K70" s="121"/>
      <c r="L70" s="121"/>
      <c r="M70" s="121"/>
      <c r="N70" s="121"/>
      <c r="O70" s="121"/>
      <c r="P70" s="121"/>
      <c r="Q70" s="360"/>
      <c r="R70" s="969" t="s">
        <v>64</v>
      </c>
      <c r="S70" s="969"/>
      <c r="T70" s="969"/>
      <c r="U70" s="369">
        <f>U69-PPE!$I$15</f>
        <v>89</v>
      </c>
      <c r="V70" s="369">
        <f>V69-PPE!$I$15</f>
        <v>95</v>
      </c>
      <c r="W70" s="369">
        <f>W69-PPE!$I$15</f>
        <v>96</v>
      </c>
      <c r="X70" s="369">
        <f>X69-PPE!$I$15</f>
        <v>103</v>
      </c>
      <c r="Y70" s="361"/>
      <c r="Z70" s="364"/>
      <c r="AA70"/>
      <c r="AB70"/>
      <c r="AC70" s="93"/>
      <c r="AD70" s="93"/>
      <c r="AJ70" s="32"/>
    </row>
    <row r="71" spans="1:36" ht="12.75" customHeight="1">
      <c r="A71" s="121"/>
      <c r="B71" s="121"/>
      <c r="C71" s="121"/>
      <c r="D71" s="121"/>
      <c r="E71" s="121"/>
      <c r="F71" s="121"/>
      <c r="G71" s="121"/>
      <c r="H71" s="121"/>
      <c r="I71" s="121"/>
      <c r="J71" s="121"/>
      <c r="K71" s="121"/>
      <c r="L71" s="121"/>
      <c r="M71" s="121"/>
      <c r="N71" s="121"/>
      <c r="O71" s="121"/>
      <c r="P71" s="121"/>
      <c r="Q71" s="360"/>
      <c r="R71" s="969" t="s">
        <v>529</v>
      </c>
      <c r="S71" s="969"/>
      <c r="T71" s="969"/>
      <c r="U71" s="369">
        <v>110</v>
      </c>
      <c r="V71" s="369">
        <v>110</v>
      </c>
      <c r="W71" s="369">
        <v>110</v>
      </c>
      <c r="X71" s="369">
        <v>110</v>
      </c>
      <c r="Y71" s="361"/>
      <c r="Z71" s="364"/>
      <c r="AA71"/>
      <c r="AB71"/>
      <c r="AC71" s="93"/>
      <c r="AD71" s="93"/>
      <c r="AJ71" s="32"/>
    </row>
    <row r="72" spans="1:36" ht="12.75" customHeight="1">
      <c r="A72" s="121"/>
      <c r="B72" s="121"/>
      <c r="C72" s="121"/>
      <c r="D72" s="121"/>
      <c r="E72" s="121"/>
      <c r="F72" s="121"/>
      <c r="G72" s="121"/>
      <c r="H72" s="121"/>
      <c r="I72" s="121"/>
      <c r="J72" s="121"/>
      <c r="K72" s="121"/>
      <c r="L72" s="121"/>
      <c r="M72" s="121"/>
      <c r="N72" s="121"/>
      <c r="O72" s="121"/>
      <c r="P72" s="121"/>
      <c r="Q72" s="360"/>
      <c r="R72" s="363"/>
      <c r="S72" s="363"/>
      <c r="T72" s="363"/>
      <c r="U72" s="363"/>
      <c r="V72" s="363"/>
      <c r="W72" s="363"/>
      <c r="X72" s="363"/>
      <c r="Y72" s="555"/>
      <c r="Z72" s="364"/>
      <c r="AA72"/>
      <c r="AB72"/>
      <c r="AC72" s="109"/>
      <c r="AD72" s="109"/>
      <c r="AJ72" s="17"/>
    </row>
    <row r="73" spans="1:36" ht="12.75" customHeight="1">
      <c r="A73" s="121"/>
      <c r="B73" s="121"/>
      <c r="C73" s="121"/>
      <c r="D73" s="121"/>
      <c r="E73" s="121"/>
      <c r="F73" s="121"/>
      <c r="G73" s="121"/>
      <c r="H73" s="121"/>
      <c r="I73" s="121"/>
      <c r="J73" s="121"/>
      <c r="K73" s="121"/>
      <c r="L73" s="121"/>
      <c r="M73" s="121"/>
      <c r="N73" s="121"/>
      <c r="O73" s="121"/>
      <c r="P73" s="121"/>
      <c r="Q73" s="360" t="s">
        <v>503</v>
      </c>
      <c r="R73" s="364" t="s">
        <v>528</v>
      </c>
      <c r="S73" s="364"/>
      <c r="T73" s="364"/>
      <c r="U73" s="555"/>
      <c r="V73" s="555"/>
      <c r="W73" s="555"/>
      <c r="X73" s="555"/>
      <c r="Y73" s="555"/>
      <c r="Z73" s="364"/>
      <c r="AA73"/>
      <c r="AB73"/>
      <c r="AC73" s="109"/>
      <c r="AD73" s="109"/>
      <c r="AJ73" s="17"/>
    </row>
    <row r="74" spans="1:36" ht="12.75" customHeight="1">
      <c r="A74" s="121"/>
      <c r="B74" s="121"/>
      <c r="C74" s="121"/>
      <c r="D74" s="121"/>
      <c r="E74" s="121"/>
      <c r="F74" s="121"/>
      <c r="G74" s="121"/>
      <c r="H74" s="121"/>
      <c r="I74" s="121"/>
      <c r="J74" s="121"/>
      <c r="K74" s="121"/>
      <c r="L74" s="121"/>
      <c r="M74" s="121"/>
      <c r="N74" s="121"/>
      <c r="O74" s="121"/>
      <c r="P74" s="121"/>
      <c r="Q74" s="360"/>
      <c r="R74" s="935" t="s">
        <v>678</v>
      </c>
      <c r="S74" s="935"/>
      <c r="T74" s="935"/>
      <c r="U74" s="930" t="s">
        <v>500</v>
      </c>
      <c r="V74" s="928" t="s">
        <v>22</v>
      </c>
      <c r="W74" s="929" t="s">
        <v>579</v>
      </c>
      <c r="X74" s="927" t="s">
        <v>21</v>
      </c>
      <c r="Y74" s="361"/>
      <c r="Z74" s="364"/>
      <c r="AA74"/>
      <c r="AB74"/>
      <c r="AC74" s="109"/>
      <c r="AD74" s="109"/>
      <c r="AJ74" s="17"/>
    </row>
    <row r="75" spans="1:36" ht="12.75" customHeight="1">
      <c r="A75" s="121"/>
      <c r="B75" s="121"/>
      <c r="C75" s="121"/>
      <c r="D75" s="121"/>
      <c r="E75" s="121"/>
      <c r="F75" s="121"/>
      <c r="G75" s="121"/>
      <c r="H75" s="121"/>
      <c r="I75" s="121"/>
      <c r="J75" s="121"/>
      <c r="K75" s="121"/>
      <c r="L75" s="121"/>
      <c r="M75" s="121"/>
      <c r="N75" s="121"/>
      <c r="O75" s="121"/>
      <c r="P75" s="121"/>
      <c r="Q75" s="360"/>
      <c r="R75" s="935"/>
      <c r="S75" s="935"/>
      <c r="T75" s="935"/>
      <c r="U75" s="930"/>
      <c r="V75" s="928"/>
      <c r="W75" s="929"/>
      <c r="X75" s="927"/>
      <c r="Y75" s="361"/>
      <c r="Z75" s="364"/>
      <c r="AA75"/>
      <c r="AB75"/>
      <c r="AC75" s="109"/>
      <c r="AD75" s="109"/>
      <c r="AJ75" s="17"/>
    </row>
    <row r="76" spans="1:36" ht="12.75" customHeight="1">
      <c r="A76" s="121"/>
      <c r="B76" s="121"/>
      <c r="C76" s="121"/>
      <c r="D76" s="121"/>
      <c r="E76" s="121"/>
      <c r="F76" s="121"/>
      <c r="G76" s="121"/>
      <c r="H76" s="121"/>
      <c r="I76" s="121"/>
      <c r="J76" s="121"/>
      <c r="K76" s="121"/>
      <c r="L76" s="121"/>
      <c r="M76" s="121"/>
      <c r="N76" s="121"/>
      <c r="O76" s="121"/>
      <c r="P76" s="121"/>
      <c r="Q76" s="360"/>
      <c r="R76" s="969" t="s">
        <v>63</v>
      </c>
      <c r="S76" s="969"/>
      <c r="T76" s="969"/>
      <c r="U76" s="369">
        <f>VLOOKUP($V$21,$R$309:$Z$314,5)</f>
        <v>108.02059991327964</v>
      </c>
      <c r="V76" s="369">
        <f>VLOOKUP($V$21,$R$309:$Z$314,3)</f>
        <v>114.02059991327963</v>
      </c>
      <c r="W76" s="369">
        <f>VLOOKUP($V$21,$R$309:$Z$314,4)</f>
        <v>115.02059991327963</v>
      </c>
      <c r="X76" s="369">
        <f>VLOOKUP($V$21,$R$309:$Z$314,2)</f>
        <v>122.02059991327964</v>
      </c>
      <c r="Y76" s="361"/>
      <c r="Z76" s="364"/>
      <c r="AA76"/>
      <c r="AB76"/>
      <c r="AC76" s="109"/>
      <c r="AD76" s="109"/>
      <c r="AJ76" s="17"/>
    </row>
    <row r="77" spans="1:36" ht="12.75" customHeight="1">
      <c r="Q77" s="360"/>
      <c r="R77" s="969" t="s">
        <v>64</v>
      </c>
      <c r="S77" s="969"/>
      <c r="T77" s="969"/>
      <c r="U77" s="369">
        <f>U76-PPE!$I$15</f>
        <v>95.020599913279639</v>
      </c>
      <c r="V77" s="369">
        <f>V76-PPE!$I$15</f>
        <v>101.02059991327963</v>
      </c>
      <c r="W77" s="369">
        <f>W76-PPE!$I$15</f>
        <v>102.02059991327963</v>
      </c>
      <c r="X77" s="369">
        <f>X76-PPE!$I$15</f>
        <v>109.02059991327964</v>
      </c>
      <c r="Y77" s="361"/>
      <c r="Z77" s="364"/>
      <c r="AA77"/>
      <c r="AB77"/>
      <c r="AC77" s="109"/>
      <c r="AD77" s="109"/>
      <c r="AJ77" s="17"/>
    </row>
    <row r="78" spans="1:36" ht="12.75" customHeight="1">
      <c r="Q78" s="360"/>
      <c r="R78" s="969" t="s">
        <v>529</v>
      </c>
      <c r="S78" s="969"/>
      <c r="T78" s="969"/>
      <c r="U78" s="369">
        <v>110</v>
      </c>
      <c r="V78" s="369">
        <v>110</v>
      </c>
      <c r="W78" s="369">
        <v>110</v>
      </c>
      <c r="X78" s="369">
        <v>110</v>
      </c>
      <c r="Y78" s="361"/>
      <c r="Z78" s="364"/>
      <c r="AA78"/>
      <c r="AB78"/>
      <c r="AC78" s="109"/>
      <c r="AD78" s="109"/>
      <c r="AJ78" s="17"/>
    </row>
    <row r="79" spans="1:36" ht="12.75" customHeight="1">
      <c r="Q79" s="360"/>
      <c r="R79" s="364"/>
      <c r="S79" s="364"/>
      <c r="T79" s="364"/>
      <c r="U79" s="555"/>
      <c r="V79" s="555"/>
      <c r="W79" s="555"/>
      <c r="X79" s="555"/>
      <c r="Y79" s="555"/>
      <c r="Z79" s="364"/>
      <c r="AA79"/>
      <c r="AB79"/>
      <c r="AC79" s="109"/>
      <c r="AD79" s="109"/>
      <c r="AJ79" s="17"/>
    </row>
    <row r="80" spans="1:36" ht="12.75" customHeight="1">
      <c r="Q80" s="385" t="s">
        <v>305</v>
      </c>
      <c r="R80" s="1008" t="s">
        <v>218</v>
      </c>
      <c r="S80" s="1008"/>
      <c r="T80" s="1008"/>
      <c r="U80" s="1008"/>
      <c r="V80" s="1008"/>
      <c r="W80" s="1008"/>
      <c r="X80" s="1008"/>
      <c r="Y80" s="1008"/>
      <c r="Z80" s="536"/>
      <c r="AA80"/>
      <c r="AB80"/>
      <c r="AC80" s="109"/>
      <c r="AD80" s="109"/>
      <c r="AJ80" s="43"/>
    </row>
    <row r="81" spans="17:36" ht="12.75" customHeight="1">
      <c r="Q81" s="546"/>
      <c r="R81" s="363"/>
      <c r="S81" s="363"/>
      <c r="T81" s="363"/>
      <c r="U81" s="363"/>
      <c r="V81" s="363"/>
      <c r="W81" s="363"/>
      <c r="X81" s="363"/>
      <c r="Y81" s="363"/>
      <c r="Z81" s="364"/>
      <c r="AA81"/>
      <c r="AB81"/>
      <c r="AC81" s="109"/>
      <c r="AD81" s="109"/>
      <c r="AJ81" s="43"/>
    </row>
    <row r="82" spans="17:36" ht="12.75" customHeight="1">
      <c r="Q82" s="546"/>
      <c r="R82" s="363" t="s">
        <v>436</v>
      </c>
      <c r="S82" s="363"/>
      <c r="T82" s="363"/>
      <c r="U82" s="363"/>
      <c r="V82" s="363"/>
      <c r="W82" s="363"/>
      <c r="X82" s="363"/>
      <c r="Y82" s="363"/>
      <c r="Z82" s="364"/>
      <c r="AA82"/>
      <c r="AB82"/>
      <c r="AC82" s="109"/>
      <c r="AD82" s="109"/>
      <c r="AJ82" s="43"/>
    </row>
    <row r="83" spans="17:36" ht="12.75" customHeight="1">
      <c r="Q83" s="360"/>
      <c r="R83" s="935" t="s">
        <v>678</v>
      </c>
      <c r="S83" s="935"/>
      <c r="T83" s="935"/>
      <c r="U83" s="949" t="s">
        <v>500</v>
      </c>
      <c r="V83" s="1011" t="s">
        <v>22</v>
      </c>
      <c r="W83" s="1013" t="s">
        <v>579</v>
      </c>
      <c r="X83" s="1009" t="s">
        <v>21</v>
      </c>
      <c r="Y83" s="361"/>
      <c r="Z83" s="364"/>
      <c r="AA83"/>
      <c r="AB83"/>
      <c r="AC83" s="93"/>
      <c r="AD83" s="93"/>
    </row>
    <row r="84" spans="17:36" ht="12.75" customHeight="1">
      <c r="Q84" s="360"/>
      <c r="R84" s="935"/>
      <c r="S84" s="935"/>
      <c r="T84" s="935"/>
      <c r="U84" s="950"/>
      <c r="V84" s="1012"/>
      <c r="W84" s="1014"/>
      <c r="X84" s="1010"/>
      <c r="Y84" s="361"/>
      <c r="Z84" s="364"/>
      <c r="AA84"/>
      <c r="AB84"/>
      <c r="AC84" s="93"/>
      <c r="AD84" s="93"/>
    </row>
    <row r="85" spans="17:36" ht="12.75" customHeight="1">
      <c r="Q85" s="360"/>
      <c r="R85" s="969" t="s">
        <v>63</v>
      </c>
      <c r="S85" s="969"/>
      <c r="T85" s="969"/>
      <c r="U85" s="369">
        <f>U414</f>
        <v>97.15</v>
      </c>
      <c r="V85" s="369">
        <f>U356</f>
        <v>101.95</v>
      </c>
      <c r="W85" s="369">
        <f>U385</f>
        <v>102.4</v>
      </c>
      <c r="X85" s="369">
        <f>U327</f>
        <v>108.5</v>
      </c>
      <c r="Y85" s="361"/>
      <c r="Z85" s="364"/>
      <c r="AA85"/>
      <c r="AB85"/>
      <c r="AC85" s="66"/>
      <c r="AD85" s="66"/>
    </row>
    <row r="86" spans="17:36" ht="12.75" customHeight="1">
      <c r="Q86" s="360"/>
      <c r="R86" s="969" t="s">
        <v>64</v>
      </c>
      <c r="S86" s="969"/>
      <c r="T86" s="969"/>
      <c r="U86" s="369">
        <f>U427</f>
        <v>84.15</v>
      </c>
      <c r="V86" s="369">
        <f>U369</f>
        <v>88.95</v>
      </c>
      <c r="W86" s="369">
        <f>U398</f>
        <v>89.3</v>
      </c>
      <c r="X86" s="369">
        <f>U340</f>
        <v>95.55</v>
      </c>
      <c r="Y86" s="361"/>
      <c r="Z86" s="364"/>
      <c r="AA86"/>
      <c r="AB86"/>
      <c r="AC86" s="66"/>
      <c r="AD86" s="66"/>
    </row>
    <row r="87" spans="17:36" ht="12.75" customHeight="1">
      <c r="Q87" s="360"/>
      <c r="R87" s="969" t="s">
        <v>530</v>
      </c>
      <c r="S87" s="969"/>
      <c r="T87" s="969"/>
      <c r="U87" s="369">
        <v>85</v>
      </c>
      <c r="V87" s="369">
        <v>85</v>
      </c>
      <c r="W87" s="369">
        <v>85</v>
      </c>
      <c r="X87" s="369">
        <v>85</v>
      </c>
      <c r="Y87" s="361"/>
      <c r="Z87" s="364"/>
      <c r="AA87"/>
      <c r="AB87"/>
      <c r="AC87" s="66"/>
      <c r="AD87" s="66"/>
    </row>
    <row r="88" spans="17:36" ht="12.75" customHeight="1">
      <c r="Q88" s="360"/>
      <c r="R88" s="363"/>
      <c r="S88" s="363"/>
      <c r="T88" s="363"/>
      <c r="U88" s="363"/>
      <c r="V88" s="363"/>
      <c r="W88" s="363"/>
      <c r="X88" s="363"/>
      <c r="Y88" s="363"/>
      <c r="Z88" s="364"/>
      <c r="AA88"/>
      <c r="AB88"/>
      <c r="AC88" s="109"/>
      <c r="AD88" s="109"/>
    </row>
    <row r="89" spans="17:36" ht="12.75" customHeight="1">
      <c r="Q89" s="360"/>
      <c r="R89" s="363" t="s">
        <v>437</v>
      </c>
      <c r="S89" s="363"/>
      <c r="T89" s="363"/>
      <c r="U89" s="363"/>
      <c r="V89" s="363"/>
      <c r="W89" s="363"/>
      <c r="X89" s="363"/>
      <c r="Y89" s="363"/>
      <c r="Z89" s="364"/>
      <c r="AA89"/>
      <c r="AB89"/>
      <c r="AC89" s="109"/>
      <c r="AD89" s="109"/>
    </row>
    <row r="90" spans="17:36" ht="12.75" customHeight="1">
      <c r="Q90" s="360"/>
      <c r="R90" s="935" t="s">
        <v>678</v>
      </c>
      <c r="S90" s="935"/>
      <c r="T90" s="935"/>
      <c r="U90" s="949" t="s">
        <v>500</v>
      </c>
      <c r="V90" s="1011" t="s">
        <v>22</v>
      </c>
      <c r="W90" s="1013" t="s">
        <v>579</v>
      </c>
      <c r="X90" s="1009" t="s">
        <v>21</v>
      </c>
      <c r="Y90" s="361"/>
      <c r="Z90" s="364"/>
      <c r="AA90"/>
      <c r="AB90"/>
      <c r="AC90" s="109"/>
      <c r="AD90" s="109"/>
    </row>
    <row r="91" spans="17:36" ht="12.75" customHeight="1">
      <c r="Q91" s="360"/>
      <c r="R91" s="935"/>
      <c r="S91" s="935"/>
      <c r="T91" s="935"/>
      <c r="U91" s="950"/>
      <c r="V91" s="1012"/>
      <c r="W91" s="1014"/>
      <c r="X91" s="1010"/>
      <c r="Y91" s="361"/>
      <c r="Z91" s="364"/>
      <c r="AA91"/>
      <c r="AB91"/>
      <c r="AC91" s="109"/>
      <c r="AD91" s="109"/>
    </row>
    <row r="92" spans="17:36" ht="12.75" customHeight="1">
      <c r="Q92" s="360"/>
      <c r="R92" s="969" t="s">
        <v>63</v>
      </c>
      <c r="S92" s="969"/>
      <c r="T92" s="969"/>
      <c r="U92" s="369">
        <f>U533</f>
        <v>103.15</v>
      </c>
      <c r="V92" s="369">
        <f>U475</f>
        <v>107.95</v>
      </c>
      <c r="W92" s="369">
        <f>U504</f>
        <v>108.4</v>
      </c>
      <c r="X92" s="369">
        <f>U446</f>
        <v>113.95</v>
      </c>
      <c r="Y92" s="361"/>
      <c r="Z92" s="364"/>
      <c r="AA92"/>
      <c r="AB92"/>
      <c r="AC92" s="109"/>
      <c r="AD92" s="109"/>
    </row>
    <row r="93" spans="17:36" ht="12.75" customHeight="1">
      <c r="Q93" s="360"/>
      <c r="R93" s="969" t="s">
        <v>64</v>
      </c>
      <c r="S93" s="969"/>
      <c r="T93" s="969"/>
      <c r="U93" s="369">
        <f>U546</f>
        <v>90.15</v>
      </c>
      <c r="V93" s="369">
        <f>U488</f>
        <v>94.95</v>
      </c>
      <c r="W93" s="369">
        <f>U517</f>
        <v>95.3</v>
      </c>
      <c r="X93" s="369">
        <f>U459</f>
        <v>101.55</v>
      </c>
      <c r="Y93" s="361"/>
      <c r="Z93" s="364"/>
      <c r="AA93"/>
      <c r="AB93"/>
      <c r="AC93" s="109"/>
      <c r="AD93" s="109"/>
    </row>
    <row r="94" spans="17:36" ht="12.75" customHeight="1">
      <c r="Q94" s="360"/>
      <c r="R94" s="969" t="s">
        <v>530</v>
      </c>
      <c r="S94" s="969"/>
      <c r="T94" s="969"/>
      <c r="U94" s="369">
        <v>85</v>
      </c>
      <c r="V94" s="369">
        <v>85</v>
      </c>
      <c r="W94" s="369">
        <v>85</v>
      </c>
      <c r="X94" s="369">
        <v>85</v>
      </c>
      <c r="Y94" s="361"/>
      <c r="Z94" s="364"/>
      <c r="AA94"/>
      <c r="AB94"/>
      <c r="AC94" s="109"/>
      <c r="AD94" s="109"/>
    </row>
    <row r="95" spans="17:36" ht="12.75" customHeight="1">
      <c r="Q95" s="360"/>
      <c r="R95" s="363"/>
      <c r="S95" s="363"/>
      <c r="T95" s="363"/>
      <c r="U95" s="363"/>
      <c r="V95" s="363"/>
      <c r="W95" s="363"/>
      <c r="X95" s="363"/>
      <c r="Y95" s="363"/>
      <c r="Z95" s="364"/>
      <c r="AA95"/>
      <c r="AB95"/>
      <c r="AC95" s="109"/>
      <c r="AD95" s="109"/>
    </row>
    <row r="96" spans="17:36" s="133" customFormat="1" ht="12.75" customHeight="1">
      <c r="Q96" s="385" t="s">
        <v>222</v>
      </c>
      <c r="R96" s="1008" t="s">
        <v>504</v>
      </c>
      <c r="S96" s="1008"/>
      <c r="T96" s="1008"/>
      <c r="U96" s="1008"/>
      <c r="V96" s="1008"/>
      <c r="W96" s="1008"/>
      <c r="X96" s="1008"/>
      <c r="Y96" s="1008"/>
      <c r="Z96" s="547"/>
      <c r="AA96"/>
      <c r="AB96"/>
      <c r="AC96" s="134"/>
      <c r="AD96" s="134"/>
    </row>
    <row r="97" spans="17:30" ht="12.75" customHeight="1">
      <c r="Q97" s="360"/>
      <c r="R97" s="363"/>
      <c r="S97" s="363"/>
      <c r="T97" s="363"/>
      <c r="U97" s="363"/>
      <c r="V97" s="363"/>
      <c r="W97" s="363"/>
      <c r="X97" s="363"/>
      <c r="Y97" s="363"/>
      <c r="Z97" s="364"/>
      <c r="AA97"/>
      <c r="AB97"/>
      <c r="AC97" s="109"/>
      <c r="AD97" s="109"/>
    </row>
    <row r="98" spans="17:30" ht="12.75" customHeight="1">
      <c r="Q98" s="360" t="s">
        <v>505</v>
      </c>
      <c r="R98" s="363" t="s">
        <v>514</v>
      </c>
      <c r="S98" s="363"/>
      <c r="T98" s="363"/>
      <c r="U98" s="363"/>
      <c r="V98" s="363"/>
      <c r="W98" s="363"/>
      <c r="X98" s="363"/>
      <c r="Y98" s="363"/>
      <c r="Z98" s="364"/>
      <c r="AA98"/>
      <c r="AB98"/>
      <c r="AC98" s="109"/>
      <c r="AD98" s="109"/>
    </row>
    <row r="99" spans="17:30" ht="12.75" customHeight="1">
      <c r="Q99" s="360"/>
      <c r="R99" s="363" t="s">
        <v>512</v>
      </c>
      <c r="S99" s="363"/>
      <c r="T99" s="363"/>
      <c r="U99" s="363"/>
      <c r="V99" s="363"/>
      <c r="W99" s="363"/>
      <c r="X99" s="363"/>
      <c r="Y99" s="363"/>
      <c r="Z99" s="364"/>
      <c r="AA99"/>
      <c r="AB99"/>
      <c r="AC99" s="109"/>
      <c r="AD99" s="109"/>
    </row>
    <row r="100" spans="17:30" ht="12.75" customHeight="1">
      <c r="Q100" s="360"/>
      <c r="R100" s="998" t="s">
        <v>191</v>
      </c>
      <c r="S100" s="999"/>
      <c r="T100" s="1000"/>
      <c r="U100" s="949" t="s">
        <v>500</v>
      </c>
      <c r="V100" s="938" t="s">
        <v>22</v>
      </c>
      <c r="W100" s="940" t="s">
        <v>579</v>
      </c>
      <c r="X100" s="942" t="s">
        <v>21</v>
      </c>
      <c r="Y100" s="361"/>
      <c r="Z100" s="364"/>
      <c r="AA100"/>
      <c r="AB100"/>
      <c r="AC100" s="93"/>
      <c r="AD100" s="93"/>
    </row>
    <row r="101" spans="17:30" ht="12.75" customHeight="1">
      <c r="Q101" s="360"/>
      <c r="R101" s="1001"/>
      <c r="S101" s="1002"/>
      <c r="T101" s="1003"/>
      <c r="U101" s="950"/>
      <c r="V101" s="939"/>
      <c r="W101" s="941"/>
      <c r="X101" s="943"/>
      <c r="Y101" s="361"/>
      <c r="Z101" s="364"/>
      <c r="AA101"/>
      <c r="AB101"/>
      <c r="AC101" s="93"/>
      <c r="AD101" s="93"/>
    </row>
    <row r="102" spans="17:30" ht="12.75" customHeight="1">
      <c r="Q102" s="360"/>
      <c r="R102" s="969" t="s">
        <v>63</v>
      </c>
      <c r="S102" s="969"/>
      <c r="T102" s="969"/>
      <c r="U102" s="537">
        <f>VLOOKUP(U69,'Lookup Exposure Time'!$B$12:$C$732,2)</f>
        <v>10</v>
      </c>
      <c r="V102" s="537">
        <f>VLOOKUP(V69,'Lookup Exposure Time'!$B$12:$C$732,2)</f>
        <v>2.5</v>
      </c>
      <c r="W102" s="537">
        <f>VLOOKUP(W69,'Lookup Exposure Time'!$B$12:$C$732,2)</f>
        <v>1.875</v>
      </c>
      <c r="X102" s="537">
        <f>VLOOKUP(X69,'Lookup Exposure Time'!$B$12:$C$732,2)</f>
        <v>0.39061999999999986</v>
      </c>
      <c r="Y102" s="361"/>
      <c r="Z102" s="364"/>
      <c r="AA102"/>
      <c r="AB102"/>
      <c r="AC102" s="67"/>
      <c r="AD102" s="67"/>
    </row>
    <row r="103" spans="17:30" ht="12.75" customHeight="1">
      <c r="Q103" s="360"/>
      <c r="R103" s="969" t="s">
        <v>64</v>
      </c>
      <c r="S103" s="969"/>
      <c r="T103" s="969"/>
      <c r="U103" s="537">
        <f>VLOOKUP(U70,'Lookup Exposure Time'!$B$12:$C$732,2)</f>
        <v>200</v>
      </c>
      <c r="V103" s="537">
        <f>VLOOKUP(V70,'Lookup Exposure Time'!$B$12:$C$732,2)</f>
        <v>50</v>
      </c>
      <c r="W103" s="537">
        <f>VLOOKUP(W70,'Lookup Exposure Time'!$B$12:$C$732,2)</f>
        <v>40</v>
      </c>
      <c r="X103" s="537">
        <f>VLOOKUP(X70,'Lookup Exposure Time'!$B$12:$C$732,2)</f>
        <v>7.5</v>
      </c>
      <c r="Y103" s="361"/>
      <c r="Z103" s="364"/>
      <c r="AA103"/>
      <c r="AB103"/>
      <c r="AC103" s="67"/>
      <c r="AD103" s="67"/>
    </row>
    <row r="104" spans="17:30" ht="12.75" customHeight="1">
      <c r="Q104" s="360"/>
      <c r="R104" s="364"/>
      <c r="S104" s="364"/>
      <c r="T104" s="364"/>
      <c r="U104" s="364"/>
      <c r="V104" s="364"/>
      <c r="W104" s="364"/>
      <c r="X104" s="364"/>
      <c r="Y104" s="363"/>
      <c r="Z104" s="364"/>
      <c r="AA104"/>
      <c r="AB104"/>
      <c r="AC104" s="109"/>
      <c r="AD104" s="109"/>
    </row>
    <row r="105" spans="17:30" ht="12.75" customHeight="1">
      <c r="Q105" s="360" t="s">
        <v>507</v>
      </c>
      <c r="R105" s="363" t="s">
        <v>513</v>
      </c>
      <c r="S105" s="363"/>
      <c r="T105" s="363"/>
      <c r="U105" s="363"/>
      <c r="V105" s="363"/>
      <c r="W105" s="363"/>
      <c r="X105" s="363"/>
      <c r="Y105" s="363"/>
      <c r="Z105" s="364"/>
      <c r="AA105"/>
      <c r="AB105"/>
      <c r="AC105" s="109"/>
      <c r="AD105" s="109"/>
    </row>
    <row r="106" spans="17:30" ht="12.75" customHeight="1">
      <c r="Q106" s="360"/>
      <c r="R106" s="998" t="s">
        <v>191</v>
      </c>
      <c r="S106" s="999"/>
      <c r="T106" s="1000"/>
      <c r="U106" s="949" t="s">
        <v>500</v>
      </c>
      <c r="V106" s="938" t="s">
        <v>22</v>
      </c>
      <c r="W106" s="940" t="s">
        <v>579</v>
      </c>
      <c r="X106" s="942" t="s">
        <v>21</v>
      </c>
      <c r="Y106" s="361"/>
      <c r="Z106" s="364"/>
      <c r="AA106"/>
      <c r="AB106"/>
      <c r="AC106" s="109"/>
      <c r="AD106" s="109"/>
    </row>
    <row r="107" spans="17:30" ht="12.75" customHeight="1">
      <c r="Q107" s="360"/>
      <c r="R107" s="1001"/>
      <c r="S107" s="1002"/>
      <c r="T107" s="1003"/>
      <c r="U107" s="950"/>
      <c r="V107" s="939"/>
      <c r="W107" s="941"/>
      <c r="X107" s="943"/>
      <c r="Y107" s="361"/>
      <c r="Z107" s="364"/>
      <c r="AA107"/>
      <c r="AB107"/>
      <c r="AC107" s="109"/>
      <c r="AD107" s="109"/>
    </row>
    <row r="108" spans="17:30" ht="12.75" customHeight="1">
      <c r="Q108" s="360"/>
      <c r="R108" s="969" t="s">
        <v>63</v>
      </c>
      <c r="S108" s="969"/>
      <c r="T108" s="969"/>
      <c r="U108" s="671">
        <f>VLOOKUP(U76,'Lookup Exposure Time'!$B$12:$C$732,2)</f>
        <v>2.5</v>
      </c>
      <c r="V108" s="671">
        <f>VLOOKUP(V76,'Lookup Exposure Time'!$B$12:$C$732,2)</f>
        <v>0.625</v>
      </c>
      <c r="W108" s="671">
        <f>VLOOKUP(W76,'Lookup Exposure Time'!$B$12:$C$732,2)</f>
        <v>0.46875</v>
      </c>
      <c r="X108" s="671">
        <f>VLOOKUP(X76,'Lookup Exposure Time'!$B$12:$C$732,2)</f>
        <v>9.765625E-2</v>
      </c>
      <c r="Y108" s="361"/>
      <c r="Z108" s="364"/>
      <c r="AA108"/>
      <c r="AB108"/>
      <c r="AC108" s="109"/>
      <c r="AD108" s="109"/>
    </row>
    <row r="109" spans="17:30" ht="12.75" customHeight="1">
      <c r="Q109" s="360"/>
      <c r="R109" s="969" t="s">
        <v>64</v>
      </c>
      <c r="S109" s="969"/>
      <c r="T109" s="969"/>
      <c r="U109" s="557">
        <f>VLOOKUP(U77,'Lookup Exposure Time'!$B$12:$C$732,2)</f>
        <v>50</v>
      </c>
      <c r="V109" s="557">
        <f>VLOOKUP(V77,'Lookup Exposure Time'!$B$12:$C$732,2)</f>
        <v>12.5</v>
      </c>
      <c r="W109" s="557">
        <f>VLOOKUP(W77,'Lookup Exposure Time'!$B$12:$C$732,2)</f>
        <v>10</v>
      </c>
      <c r="X109" s="557">
        <f>VLOOKUP(X77,'Lookup Exposure Time'!$B$12:$C$732,2)</f>
        <v>1.875</v>
      </c>
      <c r="Y109" s="361"/>
      <c r="Z109" s="364"/>
      <c r="AA109"/>
      <c r="AB109"/>
      <c r="AC109" s="109"/>
      <c r="AD109" s="109"/>
    </row>
    <row r="110" spans="17:30" ht="12.75" customHeight="1">
      <c r="Q110" s="360"/>
      <c r="R110" s="363"/>
      <c r="S110" s="363"/>
      <c r="T110" s="363"/>
      <c r="U110" s="363"/>
      <c r="V110" s="363"/>
      <c r="W110" s="363"/>
      <c r="X110" s="363"/>
      <c r="Y110" s="363"/>
      <c r="Z110" s="364"/>
      <c r="AA110"/>
      <c r="AB110"/>
      <c r="AC110" s="109"/>
      <c r="AD110" s="109"/>
    </row>
    <row r="111" spans="17:30" ht="12.75" customHeight="1">
      <c r="Q111" s="360" t="s">
        <v>508</v>
      </c>
      <c r="R111" s="363" t="s">
        <v>531</v>
      </c>
      <c r="S111" s="363"/>
      <c r="T111" s="363"/>
      <c r="U111" s="363"/>
      <c r="V111" s="363"/>
      <c r="W111" s="363"/>
      <c r="X111" s="363"/>
      <c r="Y111" s="363"/>
      <c r="Z111" s="364"/>
      <c r="AA111"/>
      <c r="AB111"/>
      <c r="AC111" s="109"/>
      <c r="AD111" s="109"/>
    </row>
    <row r="112" spans="17:30" ht="12.75" customHeight="1">
      <c r="Q112" s="360"/>
      <c r="R112" s="998" t="s">
        <v>191</v>
      </c>
      <c r="S112" s="999"/>
      <c r="T112" s="1000"/>
      <c r="U112" s="949" t="s">
        <v>500</v>
      </c>
      <c r="V112" s="938" t="s">
        <v>22</v>
      </c>
      <c r="W112" s="940" t="s">
        <v>579</v>
      </c>
      <c r="X112" s="942" t="s">
        <v>21</v>
      </c>
      <c r="Y112" s="361"/>
      <c r="Z112" s="364"/>
      <c r="AA112"/>
      <c r="AB112"/>
      <c r="AC112" s="109"/>
      <c r="AD112" s="109"/>
    </row>
    <row r="113" spans="17:30" ht="12.75" customHeight="1">
      <c r="Q113" s="360"/>
      <c r="R113" s="1001"/>
      <c r="S113" s="1002"/>
      <c r="T113" s="1003"/>
      <c r="U113" s="950"/>
      <c r="V113" s="939"/>
      <c r="W113" s="941"/>
      <c r="X113" s="943"/>
      <c r="Y113" s="361"/>
      <c r="Z113" s="364"/>
      <c r="AA113"/>
      <c r="AB113"/>
      <c r="AC113" s="109"/>
      <c r="AD113" s="109"/>
    </row>
    <row r="114" spans="17:30" ht="12.75" customHeight="1">
      <c r="Q114" s="360"/>
      <c r="R114" s="969" t="s">
        <v>63</v>
      </c>
      <c r="S114" s="969"/>
      <c r="T114" s="969"/>
      <c r="U114" s="537">
        <f t="shared" ref="U114:X115" si="0">U102/60</f>
        <v>0.16666666666666666</v>
      </c>
      <c r="V114" s="537">
        <f t="shared" si="0"/>
        <v>4.1666666666666664E-2</v>
      </c>
      <c r="W114" s="537">
        <f t="shared" si="0"/>
        <v>3.125E-2</v>
      </c>
      <c r="X114" s="537">
        <f t="shared" si="0"/>
        <v>6.5103333333333306E-3</v>
      </c>
      <c r="Y114" s="361"/>
      <c r="Z114" s="364"/>
      <c r="AA114"/>
      <c r="AB114"/>
      <c r="AC114" s="109"/>
      <c r="AD114" s="109"/>
    </row>
    <row r="115" spans="17:30" ht="12.75" customHeight="1">
      <c r="Q115" s="360"/>
      <c r="R115" s="969" t="s">
        <v>64</v>
      </c>
      <c r="S115" s="969"/>
      <c r="T115" s="969"/>
      <c r="U115" s="537">
        <f t="shared" si="0"/>
        <v>3.3333333333333335</v>
      </c>
      <c r="V115" s="537">
        <f t="shared" si="0"/>
        <v>0.83333333333333337</v>
      </c>
      <c r="W115" s="537">
        <f t="shared" si="0"/>
        <v>0.66666666666666663</v>
      </c>
      <c r="X115" s="537">
        <f t="shared" si="0"/>
        <v>0.125</v>
      </c>
      <c r="Y115" s="361"/>
      <c r="Z115" s="364"/>
      <c r="AA115"/>
      <c r="AB115"/>
      <c r="AC115" s="109"/>
      <c r="AD115" s="109"/>
    </row>
    <row r="116" spans="17:30" ht="12.75" customHeight="1">
      <c r="Q116" s="360"/>
      <c r="R116" s="364"/>
      <c r="S116" s="364"/>
      <c r="T116" s="364"/>
      <c r="U116" s="364"/>
      <c r="V116" s="364"/>
      <c r="W116" s="364"/>
      <c r="X116" s="364"/>
      <c r="Y116" s="363"/>
      <c r="Z116" s="364"/>
      <c r="AA116"/>
      <c r="AB116"/>
      <c r="AC116" s="109"/>
      <c r="AD116" s="109"/>
    </row>
    <row r="117" spans="17:30" ht="12.75" customHeight="1">
      <c r="Q117" s="360" t="s">
        <v>506</v>
      </c>
      <c r="R117" s="363" t="s">
        <v>532</v>
      </c>
      <c r="S117" s="363"/>
      <c r="T117" s="363"/>
      <c r="U117" s="363"/>
      <c r="V117" s="363"/>
      <c r="W117" s="363"/>
      <c r="X117" s="363"/>
      <c r="Y117" s="363"/>
      <c r="Z117" s="364"/>
      <c r="AA117"/>
      <c r="AB117"/>
      <c r="AC117" s="109"/>
      <c r="AD117" s="109"/>
    </row>
    <row r="118" spans="17:30" ht="12.75" customHeight="1">
      <c r="Q118" s="360"/>
      <c r="R118" s="998" t="s">
        <v>191</v>
      </c>
      <c r="S118" s="999"/>
      <c r="T118" s="1000"/>
      <c r="U118" s="949" t="s">
        <v>500</v>
      </c>
      <c r="V118" s="938" t="s">
        <v>22</v>
      </c>
      <c r="W118" s="940" t="s">
        <v>579</v>
      </c>
      <c r="X118" s="942" t="s">
        <v>21</v>
      </c>
      <c r="Y118" s="361"/>
      <c r="Z118" s="364"/>
      <c r="AA118"/>
      <c r="AB118"/>
      <c r="AC118" s="93"/>
      <c r="AD118" s="93"/>
    </row>
    <row r="119" spans="17:30" ht="12.75" customHeight="1">
      <c r="Q119" s="360"/>
      <c r="R119" s="1001"/>
      <c r="S119" s="1002"/>
      <c r="T119" s="1003"/>
      <c r="U119" s="950"/>
      <c r="V119" s="939"/>
      <c r="W119" s="941"/>
      <c r="X119" s="943"/>
      <c r="Y119" s="361"/>
      <c r="Z119" s="364"/>
      <c r="AA119"/>
      <c r="AB119"/>
      <c r="AC119" s="93"/>
      <c r="AD119" s="93"/>
    </row>
    <row r="120" spans="17:30" ht="12.75" customHeight="1">
      <c r="Q120" s="360"/>
      <c r="R120" s="969" t="s">
        <v>63</v>
      </c>
      <c r="S120" s="969"/>
      <c r="T120" s="969"/>
      <c r="U120" s="537">
        <f t="shared" ref="U120:X121" si="1">U108/60</f>
        <v>4.1666666666666664E-2</v>
      </c>
      <c r="V120" s="537">
        <f t="shared" si="1"/>
        <v>1.0416666666666666E-2</v>
      </c>
      <c r="W120" s="537">
        <f t="shared" si="1"/>
        <v>7.8125E-3</v>
      </c>
      <c r="X120" s="537">
        <f t="shared" si="1"/>
        <v>1.6276041666666667E-3</v>
      </c>
      <c r="Y120" s="361"/>
      <c r="Z120" s="364"/>
      <c r="AA120"/>
      <c r="AB120"/>
      <c r="AC120" s="66"/>
      <c r="AD120" s="66"/>
    </row>
    <row r="121" spans="17:30" ht="12.75" customHeight="1">
      <c r="Q121" s="360"/>
      <c r="R121" s="969" t="s">
        <v>64</v>
      </c>
      <c r="S121" s="969"/>
      <c r="T121" s="969"/>
      <c r="U121" s="537">
        <f t="shared" si="1"/>
        <v>0.83333333333333337</v>
      </c>
      <c r="V121" s="537">
        <f t="shared" si="1"/>
        <v>0.20833333333333334</v>
      </c>
      <c r="W121" s="537">
        <f t="shared" si="1"/>
        <v>0.16666666666666666</v>
      </c>
      <c r="X121" s="537">
        <f t="shared" si="1"/>
        <v>3.125E-2</v>
      </c>
      <c r="Y121" s="361"/>
      <c r="Z121" s="364"/>
      <c r="AA121"/>
      <c r="AB121"/>
      <c r="AC121" s="66"/>
      <c r="AD121" s="66"/>
    </row>
    <row r="122" spans="17:30" ht="12.75" customHeight="1">
      <c r="Q122" s="360"/>
      <c r="R122" s="363"/>
      <c r="S122" s="363"/>
      <c r="T122" s="363"/>
      <c r="U122" s="363"/>
      <c r="V122" s="363"/>
      <c r="W122" s="363"/>
      <c r="X122" s="363"/>
      <c r="Y122" s="363"/>
      <c r="Z122" s="364"/>
      <c r="AA122"/>
      <c r="AB122"/>
      <c r="AC122" s="109"/>
      <c r="AD122" s="109"/>
    </row>
    <row r="123" spans="17:30" ht="12.75" customHeight="1">
      <c r="Q123" s="546" t="s">
        <v>231</v>
      </c>
      <c r="R123" s="952" t="s">
        <v>232</v>
      </c>
      <c r="S123" s="952"/>
      <c r="T123" s="952"/>
      <c r="U123" s="952"/>
      <c r="V123" s="952"/>
      <c r="W123" s="952"/>
      <c r="X123" s="952"/>
      <c r="Y123" s="952"/>
      <c r="Z123" s="360"/>
      <c r="AA123"/>
      <c r="AB123"/>
      <c r="AC123" s="109"/>
      <c r="AD123" s="109"/>
    </row>
    <row r="124" spans="17:30" ht="12.75" customHeight="1">
      <c r="Q124" s="546"/>
      <c r="R124" s="360"/>
      <c r="S124" s="360"/>
      <c r="T124" s="360"/>
      <c r="U124" s="360"/>
      <c r="V124" s="360"/>
      <c r="W124" s="360"/>
      <c r="X124" s="360"/>
      <c r="Y124" s="360"/>
      <c r="Z124" s="360"/>
      <c r="AA124"/>
      <c r="AB124"/>
      <c r="AC124" s="109"/>
      <c r="AD124" s="109"/>
    </row>
    <row r="125" spans="17:30" ht="12.75" customHeight="1">
      <c r="Q125" s="546"/>
      <c r="R125" s="363" t="s">
        <v>233</v>
      </c>
      <c r="S125" s="363"/>
      <c r="T125" s="363"/>
      <c r="U125" s="363"/>
      <c r="V125" s="363"/>
      <c r="W125" s="363"/>
      <c r="X125" s="363"/>
      <c r="Y125" s="363"/>
      <c r="Z125" s="364"/>
      <c r="AA125"/>
      <c r="AB125"/>
      <c r="AC125" s="109"/>
      <c r="AD125" s="109"/>
    </row>
    <row r="126" spans="17:30" ht="12.75" customHeight="1">
      <c r="Q126" s="360"/>
      <c r="R126" s="998" t="s">
        <v>678</v>
      </c>
      <c r="S126" s="999"/>
      <c r="T126" s="1000"/>
      <c r="U126" s="949" t="s">
        <v>470</v>
      </c>
      <c r="V126" s="938" t="s">
        <v>22</v>
      </c>
      <c r="W126" s="940" t="s">
        <v>579</v>
      </c>
      <c r="X126" s="942" t="s">
        <v>21</v>
      </c>
      <c r="Y126" s="361"/>
      <c r="Z126" s="364"/>
      <c r="AA126"/>
      <c r="AB126"/>
      <c r="AC126" s="93"/>
      <c r="AD126" s="93"/>
    </row>
    <row r="127" spans="17:30" ht="12.75" customHeight="1">
      <c r="Q127" s="360"/>
      <c r="R127" s="1001"/>
      <c r="S127" s="1002"/>
      <c r="T127" s="1003"/>
      <c r="U127" s="950"/>
      <c r="V127" s="939"/>
      <c r="W127" s="941"/>
      <c r="X127" s="943"/>
      <c r="Y127" s="361"/>
      <c r="Z127" s="364"/>
      <c r="AA127"/>
      <c r="AB127"/>
      <c r="AC127" s="93"/>
      <c r="AD127" s="93"/>
    </row>
    <row r="128" spans="17:30" ht="12.75" customHeight="1">
      <c r="Q128" s="360"/>
      <c r="R128" s="969" t="s">
        <v>234</v>
      </c>
      <c r="S128" s="969"/>
      <c r="T128" s="969"/>
      <c r="U128" s="672">
        <v>8.3000000000000007</v>
      </c>
      <c r="V128" s="672">
        <f>VLOOKUP($V$5,'Lookup Vibration'!$B$8:$F$208,3)</f>
        <v>18.049999999999951</v>
      </c>
      <c r="W128" s="672">
        <f>VLOOKUP($V$5,'Lookup Vibration'!$B$8:$F$208,4)</f>
        <v>19.950000000000074</v>
      </c>
      <c r="X128" s="672">
        <f>VLOOKUP($V$5,'Lookup Vibration'!$B$8:$F$208,2)</f>
        <v>18.049999999999951</v>
      </c>
      <c r="Y128" s="361"/>
      <c r="Z128" s="364"/>
      <c r="AA128"/>
      <c r="AB128"/>
      <c r="AC128" s="66"/>
      <c r="AD128" s="66"/>
    </row>
    <row r="129" spans="17:30" ht="12.75" customHeight="1">
      <c r="Q129" s="360"/>
      <c r="R129" s="363"/>
      <c r="S129" s="363"/>
      <c r="T129" s="363"/>
      <c r="U129" s="363"/>
      <c r="V129" s="363"/>
      <c r="W129" s="363"/>
      <c r="X129" s="363"/>
      <c r="Y129" s="363"/>
      <c r="Z129" s="364"/>
      <c r="AA129"/>
      <c r="AB129"/>
      <c r="AC129" s="109"/>
      <c r="AD129" s="109"/>
    </row>
    <row r="130" spans="17:30" ht="12.75" customHeight="1">
      <c r="Q130" s="546" t="s">
        <v>235</v>
      </c>
      <c r="R130" s="952" t="s">
        <v>34</v>
      </c>
      <c r="S130" s="952"/>
      <c r="T130" s="952"/>
      <c r="U130" s="952"/>
      <c r="V130" s="952"/>
      <c r="W130" s="952"/>
      <c r="X130" s="952"/>
      <c r="Y130" s="952"/>
      <c r="Z130" s="360"/>
      <c r="AA130"/>
      <c r="AB130"/>
      <c r="AC130" s="109"/>
      <c r="AD130" s="109"/>
    </row>
    <row r="131" spans="17:30" ht="12.75" customHeight="1">
      <c r="Q131" s="546"/>
      <c r="R131" s="363"/>
      <c r="S131" s="363"/>
      <c r="T131" s="363"/>
      <c r="U131" s="363"/>
      <c r="V131" s="363"/>
      <c r="W131" s="363"/>
      <c r="X131" s="363"/>
      <c r="Y131" s="363"/>
      <c r="Z131" s="364"/>
      <c r="AA131"/>
      <c r="AB131"/>
      <c r="AC131" s="109"/>
      <c r="AD131" s="109"/>
    </row>
    <row r="132" spans="17:30" ht="12.75" customHeight="1">
      <c r="Q132" s="360"/>
      <c r="R132" s="998" t="s">
        <v>678</v>
      </c>
      <c r="S132" s="999"/>
      <c r="T132" s="1000"/>
      <c r="U132" s="949" t="s">
        <v>500</v>
      </c>
      <c r="V132" s="938" t="s">
        <v>22</v>
      </c>
      <c r="W132" s="940" t="s">
        <v>579</v>
      </c>
      <c r="X132" s="942" t="s">
        <v>21</v>
      </c>
      <c r="Y132" s="361"/>
      <c r="Z132" s="364"/>
      <c r="AA132"/>
      <c r="AB132"/>
      <c r="AC132" s="93"/>
      <c r="AD132" s="93"/>
    </row>
    <row r="133" spans="17:30" ht="12.75" customHeight="1">
      <c r="Q133" s="360"/>
      <c r="R133" s="1001"/>
      <c r="S133" s="1002"/>
      <c r="T133" s="1003"/>
      <c r="U133" s="950"/>
      <c r="V133" s="939"/>
      <c r="W133" s="941"/>
      <c r="X133" s="943"/>
      <c r="Y133" s="361"/>
      <c r="Z133" s="364"/>
      <c r="AA133"/>
      <c r="AB133"/>
      <c r="AC133" s="93"/>
      <c r="AD133" s="93"/>
    </row>
    <row r="134" spans="17:30" ht="12.75" customHeight="1">
      <c r="Q134" s="360"/>
      <c r="R134" s="1004" t="s">
        <v>298</v>
      </c>
      <c r="S134" s="1004"/>
      <c r="T134" s="1004"/>
      <c r="U134" s="673" t="s">
        <v>819</v>
      </c>
      <c r="V134" s="673" t="s">
        <v>818</v>
      </c>
      <c r="W134" s="673" t="s">
        <v>819</v>
      </c>
      <c r="X134" s="673" t="s">
        <v>818</v>
      </c>
      <c r="Y134" s="361"/>
      <c r="Z134" s="364"/>
      <c r="AA134"/>
      <c r="AB134"/>
      <c r="AC134" s="93"/>
      <c r="AD134" s="93"/>
    </row>
    <row r="135" spans="17:30" ht="12.75" customHeight="1">
      <c r="Q135" s="360"/>
      <c r="R135" s="931" t="s">
        <v>299</v>
      </c>
      <c r="S135" s="931"/>
      <c r="T135" s="931"/>
      <c r="U135" s="673" t="s">
        <v>297</v>
      </c>
      <c r="V135" s="673" t="s">
        <v>296</v>
      </c>
      <c r="W135" s="673" t="s">
        <v>296</v>
      </c>
      <c r="X135" s="673" t="s">
        <v>296</v>
      </c>
      <c r="Y135" s="361"/>
      <c r="Z135" s="364"/>
      <c r="AA135"/>
      <c r="AB135"/>
      <c r="AC135" s="93"/>
      <c r="AD135" s="93"/>
    </row>
    <row r="136" spans="17:30" ht="12.75" customHeight="1">
      <c r="Q136" s="360"/>
      <c r="R136" s="363"/>
      <c r="S136" s="363"/>
      <c r="T136" s="363"/>
      <c r="U136" s="363"/>
      <c r="V136" s="363"/>
      <c r="W136" s="363"/>
      <c r="X136" s="363"/>
      <c r="Y136" s="363"/>
      <c r="Z136" s="363"/>
      <c r="AA136"/>
      <c r="AB136"/>
      <c r="AC136" s="109"/>
      <c r="AD136" s="109"/>
    </row>
    <row r="137" spans="17:30" ht="12.75" customHeight="1">
      <c r="Q137" s="546" t="s">
        <v>236</v>
      </c>
      <c r="R137" s="952" t="s">
        <v>237</v>
      </c>
      <c r="S137" s="952"/>
      <c r="T137" s="952"/>
      <c r="U137" s="952"/>
      <c r="V137" s="952"/>
      <c r="W137" s="952"/>
      <c r="X137" s="952"/>
      <c r="Y137" s="952"/>
      <c r="Z137" s="360"/>
      <c r="AA137"/>
      <c r="AB137"/>
      <c r="AC137" s="109"/>
      <c r="AD137" s="109"/>
    </row>
    <row r="138" spans="17:30" ht="12.75" customHeight="1">
      <c r="Q138" s="360"/>
      <c r="R138" s="363"/>
      <c r="S138" s="363"/>
      <c r="T138" s="363"/>
      <c r="U138" s="363"/>
      <c r="V138" s="363"/>
      <c r="W138" s="363"/>
      <c r="X138" s="363"/>
      <c r="Y138" s="363"/>
      <c r="Z138" s="363"/>
      <c r="AA138"/>
      <c r="AB138"/>
      <c r="AC138" s="109"/>
      <c r="AD138" s="109"/>
    </row>
    <row r="139" spans="17:30" ht="12.75" customHeight="1">
      <c r="Q139" s="668" t="s">
        <v>238</v>
      </c>
      <c r="R139" s="364" t="s">
        <v>239</v>
      </c>
      <c r="S139" s="364"/>
      <c r="T139" s="364"/>
      <c r="U139" s="364"/>
      <c r="V139" s="364"/>
      <c r="W139" s="364"/>
      <c r="X139" s="364"/>
      <c r="Y139" s="364"/>
      <c r="Z139" s="364"/>
      <c r="AA139"/>
      <c r="AB139"/>
      <c r="AC139" s="109"/>
      <c r="AD139" s="109"/>
    </row>
    <row r="140" spans="17:30" ht="12.75" customHeight="1">
      <c r="Q140" s="668"/>
      <c r="R140" s="364" t="s">
        <v>469</v>
      </c>
      <c r="S140" s="364"/>
      <c r="T140" s="364"/>
      <c r="U140" s="364"/>
      <c r="V140" s="364"/>
      <c r="W140" s="364"/>
      <c r="X140" s="364"/>
      <c r="Y140" s="364"/>
      <c r="Z140" s="364"/>
      <c r="AA140"/>
      <c r="AB140"/>
      <c r="AC140" s="109"/>
      <c r="AD140" s="109"/>
    </row>
    <row r="141" spans="17:30" ht="12.75" customHeight="1">
      <c r="Q141" s="668"/>
      <c r="R141" s="364"/>
      <c r="S141" s="364"/>
      <c r="T141" s="364"/>
      <c r="U141" s="364"/>
      <c r="V141" s="364"/>
      <c r="W141" s="364"/>
      <c r="X141" s="364"/>
      <c r="Y141" s="364"/>
      <c r="Z141" s="364"/>
      <c r="AA141"/>
      <c r="AB141"/>
      <c r="AC141" s="109"/>
      <c r="AD141" s="109"/>
    </row>
    <row r="142" spans="17:30" ht="12.75" customHeight="1">
      <c r="Q142" s="668"/>
      <c r="R142" s="1005" t="s">
        <v>734</v>
      </c>
      <c r="S142" s="1006"/>
      <c r="T142" s="1006"/>
      <c r="U142" s="1006"/>
      <c r="V142" s="1006"/>
      <c r="W142" s="1007"/>
      <c r="X142" s="351">
        <f>'Compressor Input Data'!G5</f>
        <v>22800</v>
      </c>
      <c r="Y142" s="364"/>
      <c r="Z142" s="364"/>
      <c r="AA142"/>
      <c r="AB142"/>
      <c r="AC142" s="109"/>
      <c r="AD142" s="109"/>
    </row>
    <row r="143" spans="17:30" ht="12.75" customHeight="1">
      <c r="Q143" s="668"/>
      <c r="R143" s="990" t="s">
        <v>430</v>
      </c>
      <c r="S143" s="991"/>
      <c r="T143" s="992"/>
      <c r="U143" s="949" t="s">
        <v>500</v>
      </c>
      <c r="V143" s="938" t="s">
        <v>22</v>
      </c>
      <c r="W143" s="940" t="s">
        <v>579</v>
      </c>
      <c r="X143" s="942" t="s">
        <v>21</v>
      </c>
      <c r="Y143" s="361"/>
      <c r="Z143" s="364"/>
      <c r="AA143"/>
      <c r="AB143"/>
      <c r="AC143" s="109"/>
      <c r="AD143" s="109"/>
    </row>
    <row r="144" spans="17:30" ht="12.75" customHeight="1">
      <c r="Q144" s="668"/>
      <c r="R144" s="993"/>
      <c r="S144" s="994"/>
      <c r="T144" s="995"/>
      <c r="U144" s="950"/>
      <c r="V144" s="939"/>
      <c r="W144" s="941"/>
      <c r="X144" s="943"/>
      <c r="Y144" s="361"/>
      <c r="Z144" s="364"/>
      <c r="AA144"/>
      <c r="AB144"/>
      <c r="AC144" s="109"/>
      <c r="AD144" s="109"/>
    </row>
    <row r="145" spans="17:30" ht="12.75" customHeight="1">
      <c r="Q145" s="668"/>
      <c r="R145" s="973" t="s">
        <v>555</v>
      </c>
      <c r="S145" s="973"/>
      <c r="T145" s="973"/>
      <c r="U145" s="996"/>
      <c r="V145" s="544">
        <f>X145</f>
        <v>22800</v>
      </c>
      <c r="W145" s="544">
        <f>X145</f>
        <v>22800</v>
      </c>
      <c r="X145" s="544">
        <f>X142</f>
        <v>22800</v>
      </c>
      <c r="Y145" s="361"/>
      <c r="Z145" s="364"/>
      <c r="AA145"/>
      <c r="AB145"/>
      <c r="AC145" s="109"/>
      <c r="AD145" s="109"/>
    </row>
    <row r="146" spans="17:30" ht="12.75" customHeight="1">
      <c r="Q146" s="668"/>
      <c r="R146" s="973" t="s">
        <v>549</v>
      </c>
      <c r="S146" s="973"/>
      <c r="T146" s="973"/>
      <c r="U146" s="997"/>
      <c r="V146" s="544">
        <f>X146</f>
        <v>24</v>
      </c>
      <c r="W146" s="544">
        <f>V146</f>
        <v>24</v>
      </c>
      <c r="X146" s="544">
        <f>'Compressor Input Data'!J15</f>
        <v>24</v>
      </c>
      <c r="Y146" s="361"/>
      <c r="Z146" s="364"/>
      <c r="AA146"/>
      <c r="AB146"/>
      <c r="AC146" s="109"/>
      <c r="AD146" s="109"/>
    </row>
    <row r="147" spans="17:30" ht="12.75" customHeight="1">
      <c r="Q147" s="668"/>
      <c r="R147" s="970" t="s">
        <v>556</v>
      </c>
      <c r="S147" s="971"/>
      <c r="T147" s="972"/>
      <c r="U147" s="566">
        <f>U62</f>
        <v>2.6666666666666665</v>
      </c>
      <c r="V147" s="566">
        <f>V62</f>
        <v>1.9999999999999996</v>
      </c>
      <c r="W147" s="566">
        <f>W62</f>
        <v>1.7391304347826084</v>
      </c>
      <c r="X147" s="566">
        <f>X62</f>
        <v>1.4285714285714284</v>
      </c>
      <c r="Y147" s="361"/>
      <c r="Z147" s="364"/>
      <c r="AA147"/>
      <c r="AB147"/>
      <c r="AC147" s="109"/>
      <c r="AD147" s="109"/>
    </row>
    <row r="148" spans="17:30" ht="12.75" customHeight="1">
      <c r="Q148" s="668"/>
      <c r="R148" s="973" t="s">
        <v>575</v>
      </c>
      <c r="S148" s="973"/>
      <c r="T148" s="973"/>
      <c r="U148" s="531">
        <f>W148</f>
        <v>0.22500000000000001</v>
      </c>
      <c r="V148" s="531">
        <f>X148</f>
        <v>0.22500000000000001</v>
      </c>
      <c r="W148" s="531">
        <f>V148</f>
        <v>0.22500000000000001</v>
      </c>
      <c r="X148" s="531">
        <f>'Compressor Input Data'!J17</f>
        <v>0.22500000000000001</v>
      </c>
      <c r="Y148" s="361"/>
      <c r="Z148" s="364"/>
      <c r="AA148"/>
      <c r="AB148"/>
      <c r="AC148" s="109"/>
      <c r="AD148" s="109"/>
    </row>
    <row r="149" spans="17:30" ht="12.75" customHeight="1">
      <c r="Q149" s="668"/>
      <c r="R149" s="987"/>
      <c r="S149" s="988"/>
      <c r="T149" s="988"/>
      <c r="U149" s="988"/>
      <c r="V149" s="988"/>
      <c r="W149" s="988"/>
      <c r="X149" s="989"/>
      <c r="Y149" s="364"/>
      <c r="Z149" s="364"/>
      <c r="AA149"/>
      <c r="AB149"/>
      <c r="AC149" s="109"/>
      <c r="AD149" s="109"/>
    </row>
    <row r="150" spans="17:30" ht="12.75" customHeight="1">
      <c r="Q150" s="668"/>
      <c r="R150" s="990" t="s">
        <v>467</v>
      </c>
      <c r="S150" s="991"/>
      <c r="T150" s="992"/>
      <c r="U150" s="949" t="s">
        <v>500</v>
      </c>
      <c r="V150" s="938" t="s">
        <v>22</v>
      </c>
      <c r="W150" s="940" t="s">
        <v>579</v>
      </c>
      <c r="X150" s="942" t="s">
        <v>21</v>
      </c>
      <c r="Y150" s="361"/>
      <c r="Z150" s="364"/>
      <c r="AA150"/>
      <c r="AB150"/>
      <c r="AC150" s="109"/>
      <c r="AD150" s="109"/>
    </row>
    <row r="151" spans="17:30" ht="12.75" customHeight="1">
      <c r="Q151" s="668"/>
      <c r="R151" s="993"/>
      <c r="S151" s="994"/>
      <c r="T151" s="995"/>
      <c r="U151" s="950"/>
      <c r="V151" s="939"/>
      <c r="W151" s="941"/>
      <c r="X151" s="943"/>
      <c r="Y151" s="361"/>
      <c r="Z151" s="364"/>
      <c r="AA151"/>
      <c r="AB151"/>
      <c r="AC151" s="109"/>
      <c r="AD151" s="109"/>
    </row>
    <row r="152" spans="17:30" ht="12.75" customHeight="1">
      <c r="Q152" s="668"/>
      <c r="R152" s="973" t="s">
        <v>554</v>
      </c>
      <c r="S152" s="973"/>
      <c r="T152" s="973"/>
      <c r="U152" s="986"/>
      <c r="V152" s="569">
        <f>X152</f>
        <v>1</v>
      </c>
      <c r="W152" s="570">
        <f>V152</f>
        <v>1</v>
      </c>
      <c r="X152" s="570">
        <f>'Compressor Input Data'!J20</f>
        <v>1</v>
      </c>
      <c r="Y152" s="361"/>
      <c r="Z152" s="364"/>
      <c r="AA152"/>
      <c r="AB152"/>
      <c r="AC152" s="109"/>
      <c r="AD152" s="109"/>
    </row>
    <row r="153" spans="17:30" ht="12.75" customHeight="1">
      <c r="Q153" s="668"/>
      <c r="R153" s="983" t="s">
        <v>551</v>
      </c>
      <c r="S153" s="984"/>
      <c r="T153" s="985"/>
      <c r="U153" s="986"/>
      <c r="V153" s="571">
        <f>V147/V146</f>
        <v>8.3333333333333315E-2</v>
      </c>
      <c r="W153" s="571">
        <f>W147/W146</f>
        <v>7.2463768115942018E-2</v>
      </c>
      <c r="X153" s="571">
        <f>X147/X146</f>
        <v>5.9523809523809514E-2</v>
      </c>
      <c r="Y153" s="361"/>
      <c r="Z153" s="364"/>
      <c r="AA153"/>
      <c r="AB153"/>
      <c r="AC153" s="109"/>
      <c r="AD153" s="109"/>
    </row>
    <row r="154" spans="17:30" ht="12.75" customHeight="1">
      <c r="Q154" s="668"/>
      <c r="R154" s="973" t="s">
        <v>552</v>
      </c>
      <c r="S154" s="973"/>
      <c r="T154" s="973"/>
      <c r="U154" s="986"/>
      <c r="V154" s="572">
        <f>X154</f>
        <v>0.6</v>
      </c>
      <c r="W154" s="572">
        <f>V154</f>
        <v>0.6</v>
      </c>
      <c r="X154" s="572">
        <f>'Compressor Input Data'!J22</f>
        <v>0.6</v>
      </c>
      <c r="Y154" s="361"/>
      <c r="Z154" s="364"/>
      <c r="AA154"/>
      <c r="AB154"/>
      <c r="AC154" s="109"/>
      <c r="AD154" s="109"/>
    </row>
    <row r="155" spans="17:30" ht="12.75" customHeight="1">
      <c r="Q155" s="668"/>
      <c r="R155" s="987"/>
      <c r="S155" s="988"/>
      <c r="T155" s="988"/>
      <c r="U155" s="988"/>
      <c r="V155" s="988"/>
      <c r="W155" s="988"/>
      <c r="X155" s="989"/>
      <c r="Y155" s="364"/>
      <c r="Z155" s="364"/>
      <c r="AA155"/>
      <c r="AB155"/>
      <c r="AC155" s="109"/>
      <c r="AD155" s="109"/>
    </row>
    <row r="156" spans="17:30" ht="12.75" customHeight="1">
      <c r="Q156" s="668"/>
      <c r="R156" s="990" t="s">
        <v>468</v>
      </c>
      <c r="S156" s="991"/>
      <c r="T156" s="992"/>
      <c r="U156" s="949" t="s">
        <v>500</v>
      </c>
      <c r="V156" s="938" t="s">
        <v>22</v>
      </c>
      <c r="W156" s="940" t="s">
        <v>579</v>
      </c>
      <c r="X156" s="942" t="s">
        <v>21</v>
      </c>
      <c r="Y156" s="361"/>
      <c r="Z156" s="364"/>
      <c r="AA156"/>
      <c r="AB156"/>
      <c r="AC156" s="109"/>
      <c r="AD156" s="109"/>
    </row>
    <row r="157" spans="17:30" ht="12.75" customHeight="1">
      <c r="Q157" s="668"/>
      <c r="R157" s="993"/>
      <c r="S157" s="994"/>
      <c r="T157" s="995"/>
      <c r="U157" s="950"/>
      <c r="V157" s="939"/>
      <c r="W157" s="941"/>
      <c r="X157" s="943"/>
      <c r="Y157" s="361"/>
      <c r="Z157" s="364"/>
      <c r="AA157"/>
      <c r="AB157"/>
      <c r="AC157" s="109"/>
      <c r="AD157" s="109"/>
    </row>
    <row r="158" spans="17:30" ht="12.75" customHeight="1">
      <c r="Q158" s="668"/>
      <c r="R158" s="973" t="s">
        <v>554</v>
      </c>
      <c r="S158" s="973"/>
      <c r="T158" s="973"/>
      <c r="U158" s="980"/>
      <c r="V158" s="572">
        <f>X158</f>
        <v>0.5</v>
      </c>
      <c r="W158" s="572">
        <f>V158</f>
        <v>0.5</v>
      </c>
      <c r="X158" s="572">
        <f>'Compressor Input Data'!J25</f>
        <v>0.5</v>
      </c>
      <c r="Y158" s="361"/>
      <c r="Z158" s="364"/>
      <c r="AA158"/>
      <c r="AB158"/>
      <c r="AC158" s="109"/>
      <c r="AD158" s="109"/>
    </row>
    <row r="159" spans="17:30" ht="12.75" customHeight="1">
      <c r="Q159" s="668"/>
      <c r="R159" s="983" t="s">
        <v>551</v>
      </c>
      <c r="S159" s="984"/>
      <c r="T159" s="985"/>
      <c r="U159" s="981"/>
      <c r="V159" s="572">
        <f>V152-V153</f>
        <v>0.91666666666666674</v>
      </c>
      <c r="W159" s="572">
        <f>W152-W153</f>
        <v>0.92753623188405798</v>
      </c>
      <c r="X159" s="572">
        <f>X152-X153</f>
        <v>0.94047619047619047</v>
      </c>
      <c r="Y159" s="361"/>
      <c r="Z159" s="364"/>
      <c r="AA159"/>
      <c r="AB159"/>
      <c r="AC159" s="109"/>
      <c r="AD159" s="109"/>
    </row>
    <row r="160" spans="17:30" ht="12.75" customHeight="1">
      <c r="Q160" s="668"/>
      <c r="R160" s="973" t="s">
        <v>552</v>
      </c>
      <c r="S160" s="973"/>
      <c r="T160" s="973"/>
      <c r="U160" s="982"/>
      <c r="V160" s="572">
        <f>X160</f>
        <v>0.6</v>
      </c>
      <c r="W160" s="572">
        <f>V160</f>
        <v>0.6</v>
      </c>
      <c r="X160" s="572">
        <f>'Compressor Input Data'!J27</f>
        <v>0.6</v>
      </c>
      <c r="Y160" s="361"/>
      <c r="Z160" s="364"/>
      <c r="AA160"/>
      <c r="AB160"/>
      <c r="AC160" s="109"/>
      <c r="AD160" s="109"/>
    </row>
    <row r="161" spans="17:30" ht="12.75" customHeight="1">
      <c r="Q161" s="668"/>
      <c r="R161" s="567"/>
      <c r="S161" s="568"/>
      <c r="T161" s="568"/>
      <c r="U161" s="573"/>
      <c r="V161" s="573"/>
      <c r="W161" s="573"/>
      <c r="X161" s="574"/>
      <c r="Y161" s="364"/>
      <c r="Z161" s="364"/>
      <c r="AA161"/>
      <c r="AB161"/>
      <c r="AC161" s="109"/>
      <c r="AD161" s="109"/>
    </row>
    <row r="162" spans="17:30" ht="12.75" customHeight="1">
      <c r="Q162" s="668"/>
      <c r="R162" s="901" t="s">
        <v>471</v>
      </c>
      <c r="S162" s="901"/>
      <c r="T162" s="901"/>
      <c r="U162" s="930" t="s">
        <v>500</v>
      </c>
      <c r="V162" s="928" t="s">
        <v>22</v>
      </c>
      <c r="W162" s="929" t="s">
        <v>579</v>
      </c>
      <c r="X162" s="927" t="s">
        <v>21</v>
      </c>
      <c r="Y162" s="361"/>
      <c r="Z162" s="364"/>
      <c r="AA162"/>
      <c r="AB162"/>
      <c r="AC162" s="109"/>
      <c r="AD162" s="109"/>
    </row>
    <row r="163" spans="17:30" ht="12.75" customHeight="1">
      <c r="Q163" s="668"/>
      <c r="R163" s="901"/>
      <c r="S163" s="901"/>
      <c r="T163" s="901"/>
      <c r="U163" s="930"/>
      <c r="V163" s="928"/>
      <c r="W163" s="929"/>
      <c r="X163" s="927"/>
      <c r="Y163" s="361"/>
      <c r="Z163" s="364"/>
      <c r="AA163"/>
      <c r="AB163"/>
      <c r="AC163" s="109"/>
      <c r="AD163" s="109"/>
    </row>
    <row r="164" spans="17:30" ht="12.75" customHeight="1">
      <c r="Q164" s="668"/>
      <c r="R164" s="973" t="s">
        <v>472</v>
      </c>
      <c r="S164" s="973"/>
      <c r="T164" s="973"/>
      <c r="U164" s="544">
        <f>$V$224</f>
        <v>938.66666666666674</v>
      </c>
      <c r="V164" s="544">
        <f>($V$145*$V$146*$V$153*$V$152)/$V$154</f>
        <v>75999.999999999985</v>
      </c>
      <c r="W164" s="544">
        <f>($W$145*$W$146*$W$153*$W$152)/$W$154</f>
        <v>66086.956521739121</v>
      </c>
      <c r="X164" s="544">
        <f>($X$145*$X$146*$X$153*$X$152)/$X$154</f>
        <v>54285.714285714275</v>
      </c>
      <c r="Y164" s="361"/>
      <c r="Z164" s="364"/>
      <c r="AA164"/>
      <c r="AB164"/>
      <c r="AC164" s="109"/>
      <c r="AD164" s="109"/>
    </row>
    <row r="165" spans="17:30" ht="12.75" customHeight="1">
      <c r="Q165" s="668"/>
      <c r="R165" s="973" t="s">
        <v>473</v>
      </c>
      <c r="S165" s="973"/>
      <c r="T165" s="973"/>
      <c r="U165" s="543"/>
      <c r="V165" s="544">
        <f>($V$145*$V$146*$V$159*$V$158)/$V$160</f>
        <v>418000.00000000006</v>
      </c>
      <c r="W165" s="544">
        <f>($W$145*$W$146*$W$159*$W$158)/$W$160</f>
        <v>422956.52173913049</v>
      </c>
      <c r="X165" s="544">
        <f>($X$145*$X$146*$X$159*$X$158)/$X$160</f>
        <v>428857.14285714284</v>
      </c>
      <c r="Y165" s="361"/>
      <c r="Z165" s="364"/>
      <c r="AA165"/>
      <c r="AB165"/>
      <c r="AC165" s="109"/>
      <c r="AD165" s="109"/>
    </row>
    <row r="166" spans="17:30" ht="12.75" customHeight="1">
      <c r="Q166" s="668"/>
      <c r="R166" s="567"/>
      <c r="S166" s="568"/>
      <c r="T166" s="568"/>
      <c r="U166" s="573"/>
      <c r="V166" s="573"/>
      <c r="W166" s="573"/>
      <c r="X166" s="574"/>
      <c r="Y166" s="364"/>
      <c r="Z166" s="364"/>
      <c r="AA166"/>
      <c r="AB166"/>
      <c r="AC166" s="109"/>
      <c r="AD166" s="109"/>
    </row>
    <row r="167" spans="17:30" ht="12.75" customHeight="1">
      <c r="Q167" s="668"/>
      <c r="R167" s="901" t="s">
        <v>474</v>
      </c>
      <c r="S167" s="901"/>
      <c r="T167" s="901"/>
      <c r="U167" s="930" t="s">
        <v>500</v>
      </c>
      <c r="V167" s="928" t="s">
        <v>22</v>
      </c>
      <c r="W167" s="929" t="s">
        <v>579</v>
      </c>
      <c r="X167" s="927" t="s">
        <v>21</v>
      </c>
      <c r="Y167" s="361"/>
      <c r="Z167" s="364"/>
      <c r="AA167"/>
      <c r="AB167"/>
      <c r="AC167" s="109"/>
      <c r="AD167" s="109"/>
    </row>
    <row r="168" spans="17:30" ht="12.75" customHeight="1">
      <c r="Q168" s="668"/>
      <c r="R168" s="901"/>
      <c r="S168" s="901"/>
      <c r="T168" s="901"/>
      <c r="U168" s="930"/>
      <c r="V168" s="928"/>
      <c r="W168" s="929"/>
      <c r="X168" s="927"/>
      <c r="Y168" s="361"/>
      <c r="Z168" s="364"/>
      <c r="AA168"/>
      <c r="AB168"/>
      <c r="AC168" s="109"/>
      <c r="AD168" s="109"/>
    </row>
    <row r="169" spans="17:30" ht="12.75" customHeight="1">
      <c r="Q169" s="668"/>
      <c r="R169" s="973" t="s">
        <v>472</v>
      </c>
      <c r="S169" s="973"/>
      <c r="T169" s="973"/>
      <c r="U169" s="544">
        <f>U164*$V$11</f>
        <v>21589.333333333336</v>
      </c>
      <c r="V169" s="544">
        <f>V164*$V$11</f>
        <v>1747999.9999999998</v>
      </c>
      <c r="W169" s="544">
        <f>W164*$V$11</f>
        <v>1519999.9999999998</v>
      </c>
      <c r="X169" s="544">
        <f>X164*$V$11</f>
        <v>1248571.4285714284</v>
      </c>
      <c r="Y169" s="361"/>
      <c r="Z169" s="364"/>
      <c r="AA169"/>
      <c r="AB169"/>
      <c r="AC169" s="109"/>
      <c r="AD169" s="109"/>
    </row>
    <row r="170" spans="17:30" ht="12.75" customHeight="1">
      <c r="Q170" s="668"/>
      <c r="R170" s="973" t="s">
        <v>473</v>
      </c>
      <c r="S170" s="973"/>
      <c r="T170" s="973"/>
      <c r="U170" s="543"/>
      <c r="V170" s="544">
        <f>V165*$V$11</f>
        <v>9614000.0000000019</v>
      </c>
      <c r="W170" s="544">
        <f>W165*$V$11</f>
        <v>9728000.0000000019</v>
      </c>
      <c r="X170" s="544">
        <f>X165*$V$11</f>
        <v>9863714.2857142854</v>
      </c>
      <c r="Y170" s="361"/>
      <c r="Z170" s="364"/>
      <c r="AA170"/>
      <c r="AB170"/>
      <c r="AC170" s="109"/>
      <c r="AD170" s="109"/>
    </row>
    <row r="171" spans="17:30" ht="12.75" customHeight="1">
      <c r="Q171" s="668"/>
      <c r="R171" s="567"/>
      <c r="S171" s="568"/>
      <c r="T171" s="568"/>
      <c r="U171" s="573"/>
      <c r="V171" s="573"/>
      <c r="W171" s="573"/>
      <c r="X171" s="574"/>
      <c r="Y171" s="364"/>
      <c r="Z171" s="364"/>
      <c r="AA171"/>
      <c r="AB171"/>
      <c r="AC171" s="109"/>
      <c r="AD171" s="109"/>
    </row>
    <row r="172" spans="17:30" ht="12.75" customHeight="1">
      <c r="Q172" s="668"/>
      <c r="R172" s="901" t="s">
        <v>474</v>
      </c>
      <c r="S172" s="901"/>
      <c r="T172" s="901"/>
      <c r="U172" s="930" t="s">
        <v>500</v>
      </c>
      <c r="V172" s="928" t="s">
        <v>22</v>
      </c>
      <c r="W172" s="929" t="s">
        <v>579</v>
      </c>
      <c r="X172" s="927" t="s">
        <v>21</v>
      </c>
      <c r="Y172" s="361"/>
      <c r="Z172" s="364"/>
      <c r="AA172"/>
      <c r="AB172"/>
      <c r="AC172" s="109"/>
      <c r="AD172" s="109"/>
    </row>
    <row r="173" spans="17:30" ht="12.75" customHeight="1">
      <c r="Q173" s="668"/>
      <c r="R173" s="901"/>
      <c r="S173" s="901"/>
      <c r="T173" s="901"/>
      <c r="U173" s="930"/>
      <c r="V173" s="928"/>
      <c r="W173" s="929"/>
      <c r="X173" s="927"/>
      <c r="Y173" s="361"/>
      <c r="Z173" s="364"/>
      <c r="AA173"/>
      <c r="AB173"/>
      <c r="AC173" s="109"/>
      <c r="AD173" s="109"/>
    </row>
    <row r="174" spans="17:30" ht="12.75" customHeight="1">
      <c r="Q174" s="668"/>
      <c r="R174" s="973" t="s">
        <v>472</v>
      </c>
      <c r="S174" s="973"/>
      <c r="T174" s="973"/>
      <c r="U174" s="544">
        <f>U169*12</f>
        <v>259072.00000000003</v>
      </c>
      <c r="V174" s="544">
        <f>V169*12</f>
        <v>20975999.999999996</v>
      </c>
      <c r="W174" s="544">
        <f>W169*12</f>
        <v>18239999.999999996</v>
      </c>
      <c r="X174" s="544">
        <f>X169*12</f>
        <v>14982857.142857142</v>
      </c>
      <c r="Y174" s="361"/>
      <c r="Z174" s="364"/>
      <c r="AA174"/>
      <c r="AB174"/>
      <c r="AC174" s="109"/>
      <c r="AD174" s="109"/>
    </row>
    <row r="175" spans="17:30" ht="12.75" customHeight="1">
      <c r="Q175" s="668"/>
      <c r="R175" s="973" t="s">
        <v>473</v>
      </c>
      <c r="S175" s="973"/>
      <c r="T175" s="973"/>
      <c r="U175" s="543"/>
      <c r="V175" s="544">
        <f>V170*12</f>
        <v>115368000.00000003</v>
      </c>
      <c r="W175" s="544">
        <f>W170*12</f>
        <v>116736000.00000003</v>
      </c>
      <c r="X175" s="544">
        <f>X170*12</f>
        <v>118364571.42857143</v>
      </c>
      <c r="Y175" s="361"/>
      <c r="Z175" s="364"/>
      <c r="AA175"/>
      <c r="AB175"/>
      <c r="AC175" s="109"/>
      <c r="AD175" s="109"/>
    </row>
    <row r="176" spans="17:30" ht="12.75" customHeight="1">
      <c r="Q176" s="668"/>
      <c r="R176" s="381"/>
      <c r="S176" s="381"/>
      <c r="T176" s="381"/>
      <c r="U176" s="381"/>
      <c r="V176" s="381"/>
      <c r="W176" s="381"/>
      <c r="X176" s="381"/>
      <c r="Y176" s="364"/>
      <c r="Z176" s="364"/>
      <c r="AA176"/>
      <c r="AB176"/>
      <c r="AC176" s="109"/>
      <c r="AD176" s="109"/>
    </row>
    <row r="177" spans="17:30" ht="12.75" customHeight="1">
      <c r="Q177" s="668"/>
      <c r="R177" s="901" t="s">
        <v>433</v>
      </c>
      <c r="S177" s="901"/>
      <c r="T177" s="901"/>
      <c r="U177" s="949" t="s">
        <v>500</v>
      </c>
      <c r="V177" s="938" t="s">
        <v>22</v>
      </c>
      <c r="W177" s="940" t="s">
        <v>579</v>
      </c>
      <c r="X177" s="942" t="s">
        <v>21</v>
      </c>
      <c r="Y177" s="361"/>
      <c r="Z177" s="364"/>
      <c r="AA177"/>
      <c r="AB177"/>
      <c r="AC177" s="109"/>
      <c r="AD177" s="109"/>
    </row>
    <row r="178" spans="17:30" ht="12.75" customHeight="1">
      <c r="Q178" s="668"/>
      <c r="R178" s="901"/>
      <c r="S178" s="901"/>
      <c r="T178" s="901"/>
      <c r="U178" s="950"/>
      <c r="V178" s="939"/>
      <c r="W178" s="941"/>
      <c r="X178" s="943"/>
      <c r="Y178" s="361"/>
      <c r="Z178" s="364"/>
      <c r="AA178"/>
      <c r="AB178"/>
      <c r="AC178" s="109"/>
      <c r="AD178" s="109"/>
    </row>
    <row r="179" spans="17:30" ht="12.75" customHeight="1">
      <c r="Q179" s="668"/>
      <c r="R179" s="970" t="s">
        <v>459</v>
      </c>
      <c r="S179" s="971"/>
      <c r="T179" s="972"/>
      <c r="U179" s="544">
        <f>U164</f>
        <v>938.66666666666674</v>
      </c>
      <c r="V179" s="544">
        <f>V164+V165</f>
        <v>494000.00000000006</v>
      </c>
      <c r="W179" s="544">
        <f>W164+W165</f>
        <v>489043.47826086963</v>
      </c>
      <c r="X179" s="544">
        <f>X164+X165</f>
        <v>483142.8571428571</v>
      </c>
      <c r="Y179" s="361"/>
      <c r="Z179" s="364"/>
      <c r="AA179"/>
      <c r="AB179"/>
      <c r="AC179" s="109"/>
      <c r="AD179" s="109"/>
    </row>
    <row r="180" spans="17:30" ht="12.75" customHeight="1">
      <c r="Q180" s="668"/>
      <c r="R180" s="973" t="s">
        <v>307</v>
      </c>
      <c r="S180" s="973"/>
      <c r="T180" s="973"/>
      <c r="U180" s="544">
        <f>U169</f>
        <v>21589.333333333336</v>
      </c>
      <c r="V180" s="544">
        <f>V169+V170</f>
        <v>11362000.000000002</v>
      </c>
      <c r="W180" s="544">
        <f>W169+W170</f>
        <v>11248000.000000002</v>
      </c>
      <c r="X180" s="544">
        <f>X169+X170</f>
        <v>11112285.714285715</v>
      </c>
      <c r="Y180" s="361"/>
      <c r="Z180" s="364"/>
      <c r="AA180"/>
      <c r="AB180"/>
      <c r="AC180" s="109"/>
      <c r="AD180" s="109"/>
    </row>
    <row r="181" spans="17:30" ht="12.75" customHeight="1">
      <c r="Q181" s="668"/>
      <c r="R181" s="973" t="s">
        <v>308</v>
      </c>
      <c r="S181" s="973"/>
      <c r="T181" s="973"/>
      <c r="U181" s="544">
        <f>U174</f>
        <v>259072.00000000003</v>
      </c>
      <c r="V181" s="544">
        <f>V174+V175</f>
        <v>136344000.00000003</v>
      </c>
      <c r="W181" s="544">
        <f>W174+W175</f>
        <v>134976000.00000003</v>
      </c>
      <c r="X181" s="544">
        <f>X174+X175</f>
        <v>133347428.57142857</v>
      </c>
      <c r="Y181" s="361"/>
      <c r="Z181" s="364"/>
      <c r="AA181"/>
      <c r="AB181"/>
      <c r="AC181" s="109"/>
      <c r="AD181" s="109"/>
    </row>
    <row r="182" spans="17:30" ht="12.75" customHeight="1">
      <c r="Q182" s="668"/>
      <c r="R182" s="381"/>
      <c r="S182" s="381"/>
      <c r="T182" s="381"/>
      <c r="U182" s="381"/>
      <c r="V182" s="381"/>
      <c r="W182" s="381"/>
      <c r="X182" s="381"/>
      <c r="Y182" s="364"/>
      <c r="Z182" s="364"/>
      <c r="AA182"/>
      <c r="AB182"/>
      <c r="AC182" s="109"/>
      <c r="AD182" s="109"/>
    </row>
    <row r="183" spans="17:30" ht="12.75" customHeight="1">
      <c r="Q183" s="668"/>
      <c r="R183" s="901" t="s">
        <v>475</v>
      </c>
      <c r="S183" s="901"/>
      <c r="T183" s="901"/>
      <c r="U183" s="930" t="s">
        <v>500</v>
      </c>
      <c r="V183" s="928" t="s">
        <v>22</v>
      </c>
      <c r="W183" s="929" t="s">
        <v>579</v>
      </c>
      <c r="X183" s="927" t="s">
        <v>21</v>
      </c>
      <c r="Y183" s="361"/>
      <c r="Z183" s="364"/>
      <c r="AA183"/>
      <c r="AB183"/>
      <c r="AC183" s="109"/>
      <c r="AD183" s="109"/>
    </row>
    <row r="184" spans="17:30" ht="12.75" customHeight="1">
      <c r="Q184" s="668"/>
      <c r="R184" s="901"/>
      <c r="S184" s="901"/>
      <c r="T184" s="901"/>
      <c r="U184" s="930"/>
      <c r="V184" s="928"/>
      <c r="W184" s="929"/>
      <c r="X184" s="927"/>
      <c r="Y184" s="361"/>
      <c r="Z184" s="364"/>
      <c r="AA184"/>
      <c r="AB184"/>
      <c r="AC184" s="109"/>
      <c r="AD184" s="109"/>
    </row>
    <row r="185" spans="17:30" ht="12.75" customHeight="1">
      <c r="Q185" s="668"/>
      <c r="R185" s="973" t="s">
        <v>472</v>
      </c>
      <c r="S185" s="973"/>
      <c r="T185" s="973"/>
      <c r="U185" s="593">
        <f>$V$224*$U$148</f>
        <v>211.20000000000002</v>
      </c>
      <c r="V185" s="593">
        <f>($V$145*$V$146*$V$153*$V$152*$V$148)/$V$154</f>
        <v>17099.999999999996</v>
      </c>
      <c r="W185" s="593">
        <f>($W$145*$W$146*$W$153*$W$152*$W$148)/$W$154</f>
        <v>14869.565217391304</v>
      </c>
      <c r="X185" s="593">
        <f>($X$145*$X$146*$X$153*$X$152*$X$148)/$X$154</f>
        <v>12214.285714285714</v>
      </c>
      <c r="Y185" s="361"/>
      <c r="Z185" s="364"/>
      <c r="AA185"/>
      <c r="AB185"/>
      <c r="AC185" s="109"/>
      <c r="AD185" s="109"/>
    </row>
    <row r="186" spans="17:30" ht="12.75" customHeight="1">
      <c r="Q186" s="668"/>
      <c r="R186" s="973" t="s">
        <v>473</v>
      </c>
      <c r="S186" s="973"/>
      <c r="T186" s="973"/>
      <c r="U186" s="543"/>
      <c r="V186" s="593">
        <f>($V$145*$V$146*$V$159*$V$158*$V$148)/$V$160</f>
        <v>94050.000000000015</v>
      </c>
      <c r="W186" s="593">
        <f>($W$145*$W$146*$W$159*$W$158*$W$148)/$W$160</f>
        <v>95165.217391304366</v>
      </c>
      <c r="X186" s="593">
        <f>($X$145*$X$146*$X$159*$X$158*$X$148)/$X$160</f>
        <v>96492.857142857145</v>
      </c>
      <c r="Y186" s="361"/>
      <c r="Z186" s="364"/>
      <c r="AA186"/>
      <c r="AB186"/>
      <c r="AC186" s="109"/>
      <c r="AD186" s="109"/>
    </row>
    <row r="187" spans="17:30" ht="12.75" customHeight="1">
      <c r="Q187" s="668"/>
      <c r="R187" s="381"/>
      <c r="S187" s="381"/>
      <c r="T187" s="381"/>
      <c r="U187" s="381"/>
      <c r="V187" s="381"/>
      <c r="W187" s="381"/>
      <c r="X187" s="381"/>
      <c r="Y187" s="552"/>
      <c r="Z187" s="364"/>
      <c r="AA187"/>
      <c r="AB187"/>
      <c r="AC187" s="109"/>
      <c r="AD187" s="109"/>
    </row>
    <row r="188" spans="17:30" ht="12.75" customHeight="1">
      <c r="Q188" s="668"/>
      <c r="R188" s="901" t="s">
        <v>476</v>
      </c>
      <c r="S188" s="901"/>
      <c r="T188" s="901"/>
      <c r="U188" s="930" t="s">
        <v>500</v>
      </c>
      <c r="V188" s="928" t="s">
        <v>22</v>
      </c>
      <c r="W188" s="929" t="s">
        <v>579</v>
      </c>
      <c r="X188" s="927" t="s">
        <v>21</v>
      </c>
      <c r="Y188" s="361"/>
      <c r="Z188" s="364"/>
      <c r="AA188"/>
      <c r="AB188"/>
      <c r="AC188" s="109"/>
      <c r="AD188" s="109"/>
    </row>
    <row r="189" spans="17:30" ht="12.75" customHeight="1">
      <c r="Q189" s="668"/>
      <c r="R189" s="901"/>
      <c r="S189" s="901"/>
      <c r="T189" s="901"/>
      <c r="U189" s="930"/>
      <c r="V189" s="928"/>
      <c r="W189" s="929"/>
      <c r="X189" s="927"/>
      <c r="Y189" s="361"/>
      <c r="Z189" s="364"/>
      <c r="AA189"/>
      <c r="AB189"/>
      <c r="AC189" s="109"/>
      <c r="AD189" s="109"/>
    </row>
    <row r="190" spans="17:30" ht="12.75" customHeight="1">
      <c r="Q190" s="668"/>
      <c r="R190" s="973" t="s">
        <v>472</v>
      </c>
      <c r="S190" s="973"/>
      <c r="T190" s="973"/>
      <c r="U190" s="593">
        <f>U185*$V$11</f>
        <v>4857.6000000000004</v>
      </c>
      <c r="V190" s="593">
        <f>V185*$V$11</f>
        <v>393299.99999999994</v>
      </c>
      <c r="W190" s="593">
        <f>W185*$V$11</f>
        <v>342000</v>
      </c>
      <c r="X190" s="593">
        <f>X185*$V$11</f>
        <v>280928.57142857142</v>
      </c>
      <c r="Y190" s="361"/>
      <c r="Z190" s="364"/>
      <c r="AA190"/>
      <c r="AB190"/>
      <c r="AC190" s="109"/>
      <c r="AD190" s="109"/>
    </row>
    <row r="191" spans="17:30" ht="12.75" customHeight="1">
      <c r="Q191" s="668"/>
      <c r="R191" s="973" t="s">
        <v>473</v>
      </c>
      <c r="S191" s="973"/>
      <c r="T191" s="973"/>
      <c r="U191" s="543"/>
      <c r="V191" s="593">
        <f>V186*$V$11</f>
        <v>2163150.0000000005</v>
      </c>
      <c r="W191" s="593">
        <f>W186*$V$11</f>
        <v>2188800.0000000005</v>
      </c>
      <c r="X191" s="593">
        <f>X186*$V$11</f>
        <v>2219335.7142857146</v>
      </c>
      <c r="Y191" s="361"/>
      <c r="Z191" s="364"/>
      <c r="AA191"/>
      <c r="AB191"/>
      <c r="AC191" s="109"/>
      <c r="AD191" s="109"/>
    </row>
    <row r="192" spans="17:30" ht="12.75" customHeight="1">
      <c r="Q192" s="668"/>
      <c r="R192" s="367"/>
      <c r="S192" s="367"/>
      <c r="T192" s="367"/>
      <c r="U192" s="367"/>
      <c r="V192" s="367"/>
      <c r="W192" s="367"/>
      <c r="X192" s="367"/>
      <c r="Y192" s="364"/>
      <c r="Z192" s="364"/>
      <c r="AA192"/>
      <c r="AB192"/>
      <c r="AC192" s="109"/>
      <c r="AD192" s="109"/>
    </row>
    <row r="193" spans="17:30" ht="12.75" customHeight="1">
      <c r="Q193" s="668"/>
      <c r="R193" s="901" t="s">
        <v>477</v>
      </c>
      <c r="S193" s="901"/>
      <c r="T193" s="901"/>
      <c r="U193" s="930" t="s">
        <v>500</v>
      </c>
      <c r="V193" s="928" t="s">
        <v>22</v>
      </c>
      <c r="W193" s="929" t="s">
        <v>579</v>
      </c>
      <c r="X193" s="927" t="s">
        <v>21</v>
      </c>
      <c r="Y193" s="361"/>
      <c r="Z193" s="364"/>
      <c r="AA193"/>
      <c r="AB193"/>
      <c r="AC193" s="109"/>
      <c r="AD193" s="109"/>
    </row>
    <row r="194" spans="17:30" ht="12.75" customHeight="1">
      <c r="Q194" s="668"/>
      <c r="R194" s="901"/>
      <c r="S194" s="901"/>
      <c r="T194" s="901"/>
      <c r="U194" s="930"/>
      <c r="V194" s="928"/>
      <c r="W194" s="929"/>
      <c r="X194" s="927"/>
      <c r="Y194" s="361"/>
      <c r="Z194" s="364"/>
      <c r="AA194"/>
      <c r="AB194"/>
      <c r="AC194" s="100"/>
      <c r="AD194" s="100"/>
    </row>
    <row r="195" spans="17:30" ht="12.75" customHeight="1">
      <c r="Q195" s="668"/>
      <c r="R195" s="973" t="s">
        <v>472</v>
      </c>
      <c r="S195" s="973"/>
      <c r="T195" s="973"/>
      <c r="U195" s="593">
        <f>U190*12</f>
        <v>58291.200000000004</v>
      </c>
      <c r="V195" s="593">
        <f>V190*12</f>
        <v>4719599.9999999991</v>
      </c>
      <c r="W195" s="593">
        <f>W190*12</f>
        <v>4104000</v>
      </c>
      <c r="X195" s="593">
        <f>X190*12</f>
        <v>3371142.8571428573</v>
      </c>
      <c r="Y195" s="361"/>
      <c r="Z195" s="364"/>
      <c r="AA195"/>
      <c r="AB195"/>
      <c r="AC195" s="100"/>
      <c r="AD195" s="100"/>
    </row>
    <row r="196" spans="17:30" ht="12.75" customHeight="1">
      <c r="Q196" s="668"/>
      <c r="R196" s="973" t="s">
        <v>473</v>
      </c>
      <c r="S196" s="973"/>
      <c r="T196" s="973"/>
      <c r="U196" s="543"/>
      <c r="V196" s="593">
        <f>V191*12</f>
        <v>25957800.000000007</v>
      </c>
      <c r="W196" s="593">
        <f>W191*12</f>
        <v>26265600.000000007</v>
      </c>
      <c r="X196" s="593">
        <f>X191*12</f>
        <v>26632028.571428575</v>
      </c>
      <c r="Y196" s="361"/>
      <c r="Z196" s="364"/>
      <c r="AA196"/>
      <c r="AB196"/>
      <c r="AC196" s="100"/>
      <c r="AD196" s="100"/>
    </row>
    <row r="197" spans="17:30" ht="12.75" customHeight="1">
      <c r="Q197" s="668"/>
      <c r="R197" s="367"/>
      <c r="S197" s="367"/>
      <c r="T197" s="367"/>
      <c r="U197" s="367"/>
      <c r="V197" s="367"/>
      <c r="W197" s="367"/>
      <c r="X197" s="367"/>
      <c r="Y197" s="364"/>
      <c r="Z197" s="364"/>
      <c r="AA197"/>
      <c r="AB197"/>
      <c r="AC197" s="100"/>
      <c r="AD197" s="100"/>
    </row>
    <row r="198" spans="17:30" ht="12.75" customHeight="1">
      <c r="Q198" s="668"/>
      <c r="R198" s="901" t="s">
        <v>116</v>
      </c>
      <c r="S198" s="901"/>
      <c r="T198" s="901"/>
      <c r="U198" s="949" t="s">
        <v>500</v>
      </c>
      <c r="V198" s="938" t="s">
        <v>22</v>
      </c>
      <c r="W198" s="940" t="s">
        <v>579</v>
      </c>
      <c r="X198" s="942" t="s">
        <v>21</v>
      </c>
      <c r="Y198" s="361"/>
      <c r="Z198" s="364"/>
      <c r="AA198"/>
      <c r="AB198"/>
      <c r="AC198" s="100"/>
      <c r="AD198" s="100"/>
    </row>
    <row r="199" spans="17:30" ht="12.75" customHeight="1">
      <c r="Q199" s="668"/>
      <c r="R199" s="901"/>
      <c r="S199" s="901"/>
      <c r="T199" s="901"/>
      <c r="U199" s="950"/>
      <c r="V199" s="939"/>
      <c r="W199" s="941"/>
      <c r="X199" s="943"/>
      <c r="Y199" s="361"/>
      <c r="Z199" s="364"/>
      <c r="AA199"/>
      <c r="AB199"/>
      <c r="AC199" s="100"/>
      <c r="AD199" s="100"/>
    </row>
    <row r="200" spans="17:30" ht="12.75" customHeight="1">
      <c r="Q200" s="668"/>
      <c r="R200" s="970" t="s">
        <v>459</v>
      </c>
      <c r="S200" s="971"/>
      <c r="T200" s="972"/>
      <c r="U200" s="593">
        <f>U185</f>
        <v>211.20000000000002</v>
      </c>
      <c r="V200" s="593">
        <f>V185+V186</f>
        <v>111150.00000000001</v>
      </c>
      <c r="W200" s="593">
        <f>W185+W186</f>
        <v>110034.78260869568</v>
      </c>
      <c r="X200" s="593">
        <f>X185+X186</f>
        <v>108707.14285714286</v>
      </c>
      <c r="Y200" s="361"/>
      <c r="Z200" s="364"/>
      <c r="AA200"/>
      <c r="AB200"/>
      <c r="AC200" s="100"/>
      <c r="AD200" s="100"/>
    </row>
    <row r="201" spans="17:30" ht="12.75" customHeight="1">
      <c r="Q201" s="668"/>
      <c r="R201" s="973" t="s">
        <v>307</v>
      </c>
      <c r="S201" s="973"/>
      <c r="T201" s="973"/>
      <c r="U201" s="593">
        <f>U190</f>
        <v>4857.6000000000004</v>
      </c>
      <c r="V201" s="593">
        <f>V190+V191</f>
        <v>2556450.0000000005</v>
      </c>
      <c r="W201" s="593">
        <f>W190+W191</f>
        <v>2530800.0000000005</v>
      </c>
      <c r="X201" s="593">
        <f>X190+X191</f>
        <v>2500264.2857142859</v>
      </c>
      <c r="Y201" s="361"/>
      <c r="Z201" s="364"/>
      <c r="AA201"/>
      <c r="AB201"/>
      <c r="AC201" s="100"/>
      <c r="AD201" s="100"/>
    </row>
    <row r="202" spans="17:30" ht="12.75" customHeight="1">
      <c r="Q202" s="668"/>
      <c r="R202" s="973" t="s">
        <v>308</v>
      </c>
      <c r="S202" s="973"/>
      <c r="T202" s="973"/>
      <c r="U202" s="593">
        <f>U195</f>
        <v>58291.200000000004</v>
      </c>
      <c r="V202" s="593">
        <f>V195+V196</f>
        <v>30677400.000000007</v>
      </c>
      <c r="W202" s="593">
        <f>W195+W196</f>
        <v>30369600.000000007</v>
      </c>
      <c r="X202" s="593">
        <f>X195+X196</f>
        <v>30003171.428571433</v>
      </c>
      <c r="Y202" s="361"/>
      <c r="Z202" s="364"/>
      <c r="AA202"/>
      <c r="AB202"/>
      <c r="AC202" s="100"/>
      <c r="AD202" s="100"/>
    </row>
    <row r="203" spans="17:30" ht="12.75" customHeight="1">
      <c r="Q203" s="668"/>
      <c r="R203" s="575"/>
      <c r="S203" s="575"/>
      <c r="T203" s="575"/>
      <c r="U203" s="382"/>
      <c r="V203" s="382"/>
      <c r="W203" s="382"/>
      <c r="X203" s="382"/>
      <c r="Y203" s="364"/>
      <c r="Z203" s="364"/>
      <c r="AA203"/>
      <c r="AB203"/>
      <c r="AC203" s="100"/>
      <c r="AD203" s="100"/>
    </row>
    <row r="204" spans="17:30" ht="12.75" customHeight="1">
      <c r="Q204" s="668"/>
      <c r="R204" s="974" t="s">
        <v>775</v>
      </c>
      <c r="S204" s="974"/>
      <c r="T204" s="974"/>
      <c r="U204" s="974"/>
      <c r="V204" s="974"/>
      <c r="W204" s="974"/>
      <c r="X204" s="974"/>
      <c r="Y204" s="974"/>
      <c r="Z204" s="364"/>
      <c r="AA204"/>
      <c r="AB204"/>
      <c r="AC204" s="100"/>
      <c r="AD204" s="100"/>
    </row>
    <row r="205" spans="17:30" ht="12.75" customHeight="1">
      <c r="Q205" s="668"/>
      <c r="R205" s="974"/>
      <c r="S205" s="974"/>
      <c r="T205" s="974"/>
      <c r="U205" s="974"/>
      <c r="V205" s="974"/>
      <c r="W205" s="974"/>
      <c r="X205" s="974"/>
      <c r="Y205" s="974"/>
      <c r="Z205" s="576"/>
      <c r="AA205"/>
      <c r="AB205"/>
      <c r="AC205" s="100"/>
      <c r="AD205" s="100"/>
    </row>
    <row r="206" spans="17:30" ht="12.75" customHeight="1">
      <c r="Q206" s="668"/>
      <c r="R206" s="974"/>
      <c r="S206" s="974"/>
      <c r="T206" s="974"/>
      <c r="U206" s="974"/>
      <c r="V206" s="974"/>
      <c r="W206" s="974"/>
      <c r="X206" s="974"/>
      <c r="Y206" s="974"/>
      <c r="Z206" s="576"/>
      <c r="AA206"/>
      <c r="AB206"/>
      <c r="AC206" s="100"/>
      <c r="AD206" s="100"/>
    </row>
    <row r="207" spans="17:30" ht="12.75" customHeight="1">
      <c r="Q207" s="668"/>
      <c r="R207" s="974"/>
      <c r="S207" s="974"/>
      <c r="T207" s="974"/>
      <c r="U207" s="974"/>
      <c r="V207" s="974"/>
      <c r="W207" s="974"/>
      <c r="X207" s="974"/>
      <c r="Y207" s="974"/>
      <c r="Z207" s="576"/>
      <c r="AA207"/>
      <c r="AB207"/>
      <c r="AC207" s="100"/>
      <c r="AD207" s="100"/>
    </row>
    <row r="208" spans="17:30" ht="12.75" customHeight="1">
      <c r="Q208" s="668"/>
      <c r="R208" s="974"/>
      <c r="S208" s="974"/>
      <c r="T208" s="974"/>
      <c r="U208" s="974"/>
      <c r="V208" s="974"/>
      <c r="W208" s="974"/>
      <c r="X208" s="974"/>
      <c r="Y208" s="974"/>
      <c r="Z208" s="576"/>
      <c r="AA208"/>
      <c r="AB208"/>
      <c r="AC208" s="100"/>
      <c r="AD208" s="100"/>
    </row>
    <row r="209" spans="17:30" ht="12.75" customHeight="1">
      <c r="Q209" s="668"/>
      <c r="R209" s="364"/>
      <c r="S209" s="375"/>
      <c r="T209" s="375"/>
      <c r="U209" s="577"/>
      <c r="V209" s="577"/>
      <c r="W209" s="577"/>
      <c r="X209" s="577"/>
      <c r="Y209" s="551"/>
      <c r="Z209" s="363"/>
      <c r="AA209"/>
      <c r="AB209"/>
      <c r="AC209" s="100"/>
      <c r="AD209" s="100"/>
    </row>
    <row r="210" spans="17:30" ht="12.75" customHeight="1">
      <c r="Q210" s="668"/>
      <c r="R210" s="975" t="s">
        <v>667</v>
      </c>
      <c r="S210" s="976"/>
      <c r="T210" s="976"/>
      <c r="U210" s="976"/>
      <c r="V210" s="976"/>
      <c r="W210" s="976"/>
      <c r="X210" s="979">
        <f>10*V25</f>
        <v>76800</v>
      </c>
      <c r="Y210" s="935" t="s">
        <v>668</v>
      </c>
      <c r="Z210" s="364"/>
      <c r="AA210"/>
      <c r="AB210"/>
      <c r="AC210" s="100"/>
      <c r="AD210" s="100"/>
    </row>
    <row r="211" spans="17:30" ht="12.75" customHeight="1">
      <c r="Q211" s="668"/>
      <c r="R211" s="977"/>
      <c r="S211" s="978"/>
      <c r="T211" s="978"/>
      <c r="U211" s="978"/>
      <c r="V211" s="978"/>
      <c r="W211" s="978"/>
      <c r="X211" s="979"/>
      <c r="Y211" s="935"/>
      <c r="Z211" s="364"/>
      <c r="AA211"/>
      <c r="AB211"/>
      <c r="AC211" s="109"/>
      <c r="AD211" s="109"/>
    </row>
    <row r="212" spans="17:30" ht="12.75" customHeight="1">
      <c r="Q212" s="668"/>
      <c r="R212" s="578"/>
      <c r="S212" s="578"/>
      <c r="T212" s="578"/>
      <c r="U212" s="578"/>
      <c r="V212" s="578"/>
      <c r="W212" s="578"/>
      <c r="X212" s="578"/>
      <c r="Y212" s="579"/>
      <c r="Z212" s="551"/>
      <c r="AA212"/>
      <c r="AB212"/>
      <c r="AC212" s="93"/>
      <c r="AD212" s="93"/>
    </row>
    <row r="213" spans="17:30" ht="12.75" customHeight="1">
      <c r="Q213" s="668"/>
      <c r="R213" s="937" t="s">
        <v>678</v>
      </c>
      <c r="S213" s="937"/>
      <c r="T213" s="937"/>
      <c r="U213" s="937"/>
      <c r="V213" s="949" t="s">
        <v>500</v>
      </c>
      <c r="W213" s="938" t="s">
        <v>22</v>
      </c>
      <c r="X213" s="940" t="s">
        <v>579</v>
      </c>
      <c r="Y213" s="942" t="s">
        <v>21</v>
      </c>
      <c r="Z213" s="361"/>
      <c r="AA213"/>
      <c r="AB213"/>
      <c r="AC213" s="93"/>
      <c r="AD213" s="93"/>
    </row>
    <row r="214" spans="17:30" ht="12.75" customHeight="1">
      <c r="Q214" s="668"/>
      <c r="R214" s="937"/>
      <c r="S214" s="937"/>
      <c r="T214" s="937"/>
      <c r="U214" s="937"/>
      <c r="V214" s="950"/>
      <c r="W214" s="939"/>
      <c r="X214" s="941"/>
      <c r="Y214" s="943"/>
      <c r="Z214" s="361"/>
      <c r="AA214"/>
      <c r="AB214"/>
      <c r="AC214" s="70"/>
      <c r="AD214" s="70"/>
    </row>
    <row r="215" spans="17:30" ht="12.75" customHeight="1">
      <c r="Q215" s="668"/>
      <c r="R215" s="968" t="s">
        <v>533</v>
      </c>
      <c r="S215" s="968"/>
      <c r="T215" s="968"/>
      <c r="U215" s="968"/>
      <c r="V215" s="580">
        <v>0.107</v>
      </c>
      <c r="W215" s="581">
        <f>VLOOKUP($V$5,'Lookup Energy kWhm'!$B$8:$E$208,3)</f>
        <v>0.13</v>
      </c>
      <c r="X215" s="581">
        <f>VLOOKUP($V$5,'Lookup Energy kWhm'!$B$8:$E$208,4)</f>
        <v>0.14799999999999999</v>
      </c>
      <c r="Y215" s="581">
        <f>VLOOKUP($V$5,'Lookup Energy kWhm'!$B$8:$E$208,2)</f>
        <v>0.1</v>
      </c>
      <c r="Z215" s="361"/>
      <c r="AA215"/>
      <c r="AB215"/>
      <c r="AC215" s="70"/>
      <c r="AD215" s="70"/>
    </row>
    <row r="216" spans="17:30" ht="12.75" customHeight="1">
      <c r="Q216" s="668"/>
      <c r="R216" s="969" t="s">
        <v>31</v>
      </c>
      <c r="S216" s="969"/>
      <c r="T216" s="969"/>
      <c r="U216" s="969"/>
      <c r="V216" s="556">
        <f t="shared" ref="V216:W219" si="2">X216</f>
        <v>1.2</v>
      </c>
      <c r="W216" s="556">
        <f t="shared" si="2"/>
        <v>1.2</v>
      </c>
      <c r="X216" s="556">
        <f>W216</f>
        <v>1.2</v>
      </c>
      <c r="Y216" s="556">
        <f>V20</f>
        <v>1.2</v>
      </c>
      <c r="Z216" s="361"/>
      <c r="AA216"/>
      <c r="AB216"/>
      <c r="AC216" s="70"/>
      <c r="AD216" s="70"/>
    </row>
    <row r="217" spans="17:30" ht="12.75" customHeight="1">
      <c r="Q217" s="668"/>
      <c r="R217" s="969" t="s">
        <v>314</v>
      </c>
      <c r="S217" s="969"/>
      <c r="T217" s="969"/>
      <c r="U217" s="969"/>
      <c r="V217" s="556">
        <f t="shared" si="2"/>
        <v>160</v>
      </c>
      <c r="W217" s="556">
        <f t="shared" si="2"/>
        <v>160</v>
      </c>
      <c r="X217" s="556">
        <f>W217</f>
        <v>160</v>
      </c>
      <c r="Y217" s="556">
        <f>V19</f>
        <v>160</v>
      </c>
      <c r="Z217" s="361"/>
      <c r="AA217"/>
      <c r="AB217"/>
      <c r="AC217" s="109"/>
      <c r="AD217" s="109"/>
    </row>
    <row r="218" spans="17:30" ht="12.75" customHeight="1">
      <c r="Q218" s="668"/>
      <c r="R218" s="969" t="s">
        <v>20</v>
      </c>
      <c r="S218" s="969"/>
      <c r="T218" s="969"/>
      <c r="U218" s="969"/>
      <c r="V218" s="556">
        <f t="shared" si="2"/>
        <v>40</v>
      </c>
      <c r="W218" s="556">
        <f t="shared" si="2"/>
        <v>40</v>
      </c>
      <c r="X218" s="556">
        <f>W218</f>
        <v>40</v>
      </c>
      <c r="Y218" s="556">
        <f>V22</f>
        <v>40</v>
      </c>
      <c r="Z218" s="361"/>
      <c r="AA218"/>
      <c r="AB218"/>
      <c r="AC218" s="93"/>
      <c r="AD218" s="93"/>
    </row>
    <row r="219" spans="17:30" ht="12.75" customHeight="1">
      <c r="Q219" s="668"/>
      <c r="R219" s="969" t="s">
        <v>310</v>
      </c>
      <c r="S219" s="969"/>
      <c r="T219" s="969"/>
      <c r="U219" s="969"/>
      <c r="V219" s="556">
        <f t="shared" si="2"/>
        <v>160</v>
      </c>
      <c r="W219" s="556">
        <f t="shared" si="2"/>
        <v>160</v>
      </c>
      <c r="X219" s="556">
        <f>W219</f>
        <v>160</v>
      </c>
      <c r="Y219" s="556">
        <f>V23</f>
        <v>160</v>
      </c>
      <c r="Z219" s="361"/>
      <c r="AA219"/>
      <c r="AB219"/>
      <c r="AC219" s="93"/>
      <c r="AD219" s="93"/>
    </row>
    <row r="220" spans="17:30" ht="12.75" customHeight="1">
      <c r="Q220" s="668"/>
      <c r="R220" s="968" t="s">
        <v>543</v>
      </c>
      <c r="S220" s="968"/>
      <c r="T220" s="968"/>
      <c r="U220" s="968"/>
      <c r="V220" s="582">
        <f>V215*V216*V217*V218</f>
        <v>821.75999999999988</v>
      </c>
      <c r="W220" s="582">
        <f>W215*W216*W217*W218</f>
        <v>998.40000000000009</v>
      </c>
      <c r="X220" s="582">
        <f>X215*X216*X217*X218</f>
        <v>1136.6399999999999</v>
      </c>
      <c r="Y220" s="582">
        <f>Y215*Y216*Y217*Y218</f>
        <v>768</v>
      </c>
      <c r="Z220" s="361"/>
      <c r="AA220"/>
      <c r="AB220"/>
      <c r="AC220" s="70"/>
      <c r="AD220" s="70"/>
    </row>
    <row r="221" spans="17:30" ht="12.75" customHeight="1">
      <c r="Q221" s="668"/>
      <c r="R221" s="968" t="s">
        <v>542</v>
      </c>
      <c r="S221" s="968"/>
      <c r="T221" s="968"/>
      <c r="U221" s="968"/>
      <c r="V221" s="583">
        <f>V220/V219</f>
        <v>5.1359999999999992</v>
      </c>
      <c r="W221" s="583">
        <f>W220/W219</f>
        <v>6.24</v>
      </c>
      <c r="X221" s="583">
        <f>X220/X219</f>
        <v>7.1039999999999992</v>
      </c>
      <c r="Y221" s="583">
        <f>Y220/Y219</f>
        <v>4.8</v>
      </c>
      <c r="Z221" s="361"/>
      <c r="AA221"/>
      <c r="AB221"/>
      <c r="AC221" s="70"/>
      <c r="AD221" s="70"/>
    </row>
    <row r="222" spans="17:30" ht="12.75" customHeight="1">
      <c r="Q222" s="668"/>
      <c r="R222" s="968" t="s">
        <v>538</v>
      </c>
      <c r="S222" s="968"/>
      <c r="T222" s="968"/>
      <c r="U222" s="968"/>
      <c r="V222" s="537">
        <f>U62</f>
        <v>2.6666666666666665</v>
      </c>
      <c r="W222" s="537">
        <f>V62</f>
        <v>1.9999999999999996</v>
      </c>
      <c r="X222" s="537">
        <f>W62</f>
        <v>1.7391304347826084</v>
      </c>
      <c r="Y222" s="537">
        <f>X62</f>
        <v>1.4285714285714284</v>
      </c>
      <c r="Z222" s="361"/>
      <c r="AA222"/>
      <c r="AB222"/>
      <c r="AC222" s="70"/>
      <c r="AD222" s="70"/>
    </row>
    <row r="223" spans="17:30" ht="12.75" customHeight="1">
      <c r="Q223" s="668"/>
      <c r="R223" s="968" t="s">
        <v>546</v>
      </c>
      <c r="S223" s="968"/>
      <c r="T223" s="968"/>
      <c r="U223" s="968"/>
      <c r="V223" s="584">
        <f>2.2*V222</f>
        <v>5.8666666666666671</v>
      </c>
      <c r="W223" s="584">
        <f>W222/W215</f>
        <v>15.384615384615381</v>
      </c>
      <c r="X223" s="584">
        <f>X222/X215</f>
        <v>11.750881316098706</v>
      </c>
      <c r="Y223" s="584">
        <f>Y222/Y215</f>
        <v>14.285714285714283</v>
      </c>
      <c r="Z223" s="361"/>
      <c r="AA223"/>
      <c r="AB223"/>
      <c r="AC223" s="109"/>
      <c r="AD223" s="109"/>
    </row>
    <row r="224" spans="17:30" ht="12.75" customHeight="1">
      <c r="Q224" s="668"/>
      <c r="R224" s="968" t="s">
        <v>544</v>
      </c>
      <c r="S224" s="968"/>
      <c r="T224" s="968"/>
      <c r="U224" s="968"/>
      <c r="V224" s="582">
        <f>V219*V223</f>
        <v>938.66666666666674</v>
      </c>
      <c r="W224" s="582">
        <f>W219*W223</f>
        <v>2461.538461538461</v>
      </c>
      <c r="X224" s="582">
        <f>X219*X223</f>
        <v>1880.141010575793</v>
      </c>
      <c r="Y224" s="674">
        <f>Y219*Y223</f>
        <v>2285.7142857142853</v>
      </c>
      <c r="Z224" s="361"/>
      <c r="AA224"/>
      <c r="AB224"/>
      <c r="AC224" s="93"/>
      <c r="AD224" s="93"/>
    </row>
    <row r="225" spans="17:30" ht="12.75" customHeight="1">
      <c r="Q225" s="668"/>
      <c r="R225" s="969" t="s">
        <v>535</v>
      </c>
      <c r="S225" s="969"/>
      <c r="T225" s="969"/>
      <c r="U225" s="969"/>
      <c r="V225" s="556">
        <f>V217/V222</f>
        <v>60</v>
      </c>
      <c r="W225" s="556">
        <f>W217/W222</f>
        <v>80.000000000000014</v>
      </c>
      <c r="X225" s="556">
        <f>X217/X222</f>
        <v>92.000000000000014</v>
      </c>
      <c r="Y225" s="556">
        <f>Y217/Y222</f>
        <v>112.00000000000001</v>
      </c>
      <c r="Z225" s="361"/>
      <c r="AA225"/>
      <c r="AB225"/>
      <c r="AC225" s="93"/>
      <c r="AD225" s="93"/>
    </row>
    <row r="226" spans="17:30" ht="12.75" customHeight="1">
      <c r="Q226" s="668"/>
      <c r="R226" s="969" t="s">
        <v>536</v>
      </c>
      <c r="S226" s="969"/>
      <c r="T226" s="969"/>
      <c r="U226" s="969"/>
      <c r="V226" s="675">
        <f>V216*V225</f>
        <v>72</v>
      </c>
      <c r="W226" s="675">
        <f>W216*W225</f>
        <v>96.000000000000014</v>
      </c>
      <c r="X226" s="675">
        <f>X216*X225</f>
        <v>110.40000000000002</v>
      </c>
      <c r="Y226" s="675">
        <f>Y216*Y225</f>
        <v>134.4</v>
      </c>
      <c r="Z226" s="361"/>
      <c r="AA226"/>
      <c r="AB226"/>
      <c r="AC226" s="70"/>
      <c r="AD226" s="70"/>
    </row>
    <row r="227" spans="17:30" ht="12.75" customHeight="1">
      <c r="Q227" s="668"/>
      <c r="R227" s="968" t="s">
        <v>534</v>
      </c>
      <c r="S227" s="968"/>
      <c r="T227" s="968"/>
      <c r="U227" s="968"/>
      <c r="V227" s="583">
        <f>U56</f>
        <v>4</v>
      </c>
      <c r="W227" s="583">
        <f>V56</f>
        <v>2.9999999999999996</v>
      </c>
      <c r="X227" s="583">
        <f>W56</f>
        <v>2.6086956521739126</v>
      </c>
      <c r="Y227" s="583">
        <f>X56</f>
        <v>2.1428571428571428</v>
      </c>
      <c r="Z227" s="361"/>
      <c r="AA227"/>
      <c r="AB227"/>
      <c r="AC227" s="70"/>
      <c r="AD227" s="70"/>
    </row>
    <row r="228" spans="17:30" ht="12.75" customHeight="1">
      <c r="Q228" s="668"/>
      <c r="R228" s="968" t="s">
        <v>537</v>
      </c>
      <c r="S228" s="968"/>
      <c r="T228" s="968"/>
      <c r="U228" s="968"/>
      <c r="V228" s="584">
        <f>V225*V227</f>
        <v>240</v>
      </c>
      <c r="W228" s="584">
        <f>W225*W227</f>
        <v>240</v>
      </c>
      <c r="X228" s="584">
        <f>X225*X227</f>
        <v>240</v>
      </c>
      <c r="Y228" s="584">
        <f>Y225*Y227</f>
        <v>240.00000000000003</v>
      </c>
      <c r="Z228" s="361"/>
      <c r="AA228"/>
      <c r="AB228"/>
      <c r="AC228" s="70"/>
      <c r="AD228" s="70"/>
    </row>
    <row r="229" spans="17:30" ht="12.75" customHeight="1">
      <c r="Q229" s="668"/>
      <c r="R229" s="968" t="s">
        <v>545</v>
      </c>
      <c r="S229" s="968"/>
      <c r="T229" s="968"/>
      <c r="U229" s="968"/>
      <c r="V229" s="585">
        <f>V221/V223</f>
        <v>0.87545454545454526</v>
      </c>
      <c r="W229" s="585">
        <f>W221/W223</f>
        <v>0.40560000000000007</v>
      </c>
      <c r="X229" s="585">
        <f>X221/X223</f>
        <v>0.60455040000000004</v>
      </c>
      <c r="Y229" s="585">
        <f>Y221/Y223</f>
        <v>0.33600000000000008</v>
      </c>
      <c r="Z229" s="361"/>
      <c r="AA229"/>
      <c r="AB229"/>
      <c r="AC229" s="109"/>
      <c r="AD229" s="109"/>
    </row>
    <row r="230" spans="17:30" ht="12.75" customHeight="1">
      <c r="Q230" s="668"/>
      <c r="R230" s="540" t="s">
        <v>547</v>
      </c>
      <c r="S230" s="540"/>
      <c r="T230" s="540"/>
      <c r="U230" s="540"/>
      <c r="V230" s="585"/>
      <c r="W230" s="586">
        <f>10*W217*W216*W218</f>
        <v>76800</v>
      </c>
      <c r="X230" s="586">
        <f>10*X217*X216*X218</f>
        <v>76800</v>
      </c>
      <c r="Y230" s="586">
        <f>10*Y217*Y216*Y218</f>
        <v>76800</v>
      </c>
      <c r="Z230" s="361"/>
      <c r="AA230"/>
      <c r="AB230"/>
      <c r="AC230" s="109"/>
      <c r="AD230" s="109"/>
    </row>
    <row r="231" spans="17:30" ht="12.75" customHeight="1">
      <c r="Q231" s="668"/>
      <c r="R231" s="968" t="s">
        <v>548</v>
      </c>
      <c r="S231" s="968"/>
      <c r="T231" s="968"/>
      <c r="U231" s="968"/>
      <c r="V231" s="585">
        <f>V229</f>
        <v>0.87545454545454526</v>
      </c>
      <c r="W231" s="585">
        <f>W220/W230</f>
        <v>1.3000000000000001E-2</v>
      </c>
      <c r="X231" s="585">
        <f>X220/X230</f>
        <v>1.4799999999999999E-2</v>
      </c>
      <c r="Y231" s="585">
        <f>Y220/Y230</f>
        <v>0.01</v>
      </c>
      <c r="Z231" s="361"/>
      <c r="AA231"/>
      <c r="AB231"/>
      <c r="AC231" s="93"/>
      <c r="AD231" s="93"/>
    </row>
    <row r="232" spans="17:30" ht="12.75" customHeight="1">
      <c r="Q232" s="668"/>
      <c r="R232" s="587"/>
      <c r="S232" s="587"/>
      <c r="T232" s="587"/>
      <c r="U232" s="587"/>
      <c r="V232" s="588"/>
      <c r="W232" s="588"/>
      <c r="X232" s="588"/>
      <c r="Y232" s="588"/>
      <c r="Z232" s="589"/>
      <c r="AA232"/>
      <c r="AB232"/>
      <c r="AC232" s="93"/>
      <c r="AD232" s="93"/>
    </row>
    <row r="233" spans="17:30" ht="12.75" customHeight="1">
      <c r="Q233" s="668"/>
      <c r="R233" s="587"/>
      <c r="S233" s="587"/>
      <c r="T233" s="587"/>
      <c r="U233" s="587"/>
      <c r="V233" s="676"/>
      <c r="W233" s="676"/>
      <c r="X233" s="676"/>
      <c r="Y233" s="588"/>
      <c r="Z233" s="364"/>
      <c r="AA233"/>
      <c r="AB233"/>
      <c r="AC233" s="82"/>
      <c r="AD233" s="82"/>
    </row>
    <row r="234" spans="17:30" ht="12.75" customHeight="1">
      <c r="Q234" s="668" t="s">
        <v>240</v>
      </c>
      <c r="R234" s="364" t="s">
        <v>241</v>
      </c>
      <c r="S234" s="364"/>
      <c r="T234" s="364"/>
      <c r="U234" s="364"/>
      <c r="V234" s="364"/>
      <c r="W234" s="364"/>
      <c r="X234" s="364"/>
      <c r="Y234" s="364"/>
      <c r="Z234" s="364"/>
      <c r="AA234"/>
      <c r="AB234"/>
      <c r="AC234" s="102"/>
      <c r="AD234" s="102"/>
    </row>
    <row r="235" spans="17:30" ht="12.75" customHeight="1">
      <c r="Q235" s="364"/>
      <c r="R235" s="962" t="s">
        <v>301</v>
      </c>
      <c r="S235" s="963"/>
      <c r="T235" s="964"/>
      <c r="U235" s="949" t="s">
        <v>500</v>
      </c>
      <c r="V235" s="938" t="s">
        <v>22</v>
      </c>
      <c r="W235" s="940" t="s">
        <v>579</v>
      </c>
      <c r="X235" s="942" t="s">
        <v>21</v>
      </c>
      <c r="Y235" s="361"/>
      <c r="Z235" s="364"/>
      <c r="AA235"/>
      <c r="AB235"/>
      <c r="AC235" s="101"/>
      <c r="AD235" s="101"/>
    </row>
    <row r="236" spans="17:30" ht="12.75" customHeight="1">
      <c r="Q236" s="364"/>
      <c r="R236" s="965"/>
      <c r="S236" s="966"/>
      <c r="T236" s="967"/>
      <c r="U236" s="950"/>
      <c r="V236" s="939"/>
      <c r="W236" s="941"/>
      <c r="X236" s="943"/>
      <c r="Y236" s="361"/>
      <c r="Z236" s="364"/>
      <c r="AA236"/>
      <c r="AB236"/>
      <c r="AC236" s="109"/>
      <c r="AD236" s="109"/>
    </row>
    <row r="237" spans="17:30" ht="12.75" customHeight="1">
      <c r="Q237" s="364"/>
      <c r="R237" s="931" t="s">
        <v>662</v>
      </c>
      <c r="S237" s="931"/>
      <c r="T237" s="931"/>
      <c r="U237" s="901" t="s">
        <v>427</v>
      </c>
      <c r="V237" s="562">
        <f>VLOOKUP($V$5,'Lookup Air Consumption'!$B$8:$E$208,3)</f>
        <v>38</v>
      </c>
      <c r="W237" s="562">
        <f>VLOOKUP($V$5,'Lookup Air Consumption'!$B$8:$E$208,4)</f>
        <v>50</v>
      </c>
      <c r="X237" s="562">
        <f>VLOOKUP($V$5,'Lookup Air Consumption'!$B$8:$E$208,2)</f>
        <v>41</v>
      </c>
      <c r="Y237" s="361"/>
      <c r="Z237" s="364"/>
      <c r="AA237"/>
      <c r="AB237"/>
      <c r="AC237" s="109"/>
      <c r="AD237" s="109"/>
    </row>
    <row r="238" spans="17:30" ht="12.75" customHeight="1">
      <c r="Q238" s="364"/>
      <c r="R238" s="931" t="s">
        <v>663</v>
      </c>
      <c r="S238" s="931"/>
      <c r="T238" s="931"/>
      <c r="U238" s="901"/>
      <c r="V238" s="590">
        <f>V237/1000</f>
        <v>3.7999999999999999E-2</v>
      </c>
      <c r="W238" s="590">
        <f>W237/1000</f>
        <v>0.05</v>
      </c>
      <c r="X238" s="590">
        <f>X237/1000</f>
        <v>4.1000000000000002E-2</v>
      </c>
      <c r="Y238" s="361"/>
      <c r="Z238" s="364"/>
      <c r="AA238"/>
      <c r="AB238"/>
      <c r="AC238" s="109"/>
      <c r="AD238" s="109"/>
    </row>
    <row r="239" spans="17:30" ht="12.75" customHeight="1">
      <c r="Q239" s="364"/>
      <c r="R239" s="931" t="s">
        <v>664</v>
      </c>
      <c r="S239" s="931"/>
      <c r="T239" s="931"/>
      <c r="U239" s="901"/>
      <c r="V239" s="560">
        <f>V238*35.31467</f>
        <v>1.3419574599999999</v>
      </c>
      <c r="W239" s="560">
        <f>W238*35.31467</f>
        <v>1.7657335000000001</v>
      </c>
      <c r="X239" s="560">
        <f>X238*35.31467</f>
        <v>1.4479014700000001</v>
      </c>
      <c r="Y239" s="361"/>
      <c r="Z239" s="364"/>
      <c r="AA239"/>
      <c r="AB239"/>
      <c r="AC239" s="109"/>
      <c r="AD239" s="109"/>
    </row>
    <row r="240" spans="17:30" ht="12.75" customHeight="1">
      <c r="Q240" s="360"/>
      <c r="R240" s="551"/>
      <c r="S240" s="551"/>
      <c r="T240" s="551"/>
      <c r="U240" s="591"/>
      <c r="V240" s="551"/>
      <c r="W240" s="551"/>
      <c r="X240" s="551"/>
      <c r="Y240" s="361"/>
      <c r="Z240" s="364"/>
      <c r="AA240"/>
      <c r="AB240"/>
      <c r="AC240" s="109"/>
      <c r="AD240" s="109"/>
    </row>
    <row r="241" spans="17:30" ht="12.75" customHeight="1">
      <c r="Q241" s="360"/>
      <c r="R241" s="962" t="s">
        <v>302</v>
      </c>
      <c r="S241" s="963"/>
      <c r="T241" s="964"/>
      <c r="U241" s="949" t="s">
        <v>500</v>
      </c>
      <c r="V241" s="938" t="s">
        <v>22</v>
      </c>
      <c r="W241" s="940" t="s">
        <v>579</v>
      </c>
      <c r="X241" s="942" t="s">
        <v>21</v>
      </c>
      <c r="Y241" s="361"/>
      <c r="Z241" s="364"/>
      <c r="AA241"/>
      <c r="AB241"/>
      <c r="AC241" s="109"/>
      <c r="AD241" s="109"/>
    </row>
    <row r="242" spans="17:30" ht="12.75" customHeight="1">
      <c r="Q242" s="360"/>
      <c r="R242" s="965"/>
      <c r="S242" s="966"/>
      <c r="T242" s="967"/>
      <c r="U242" s="950"/>
      <c r="V242" s="939"/>
      <c r="W242" s="941"/>
      <c r="X242" s="943"/>
      <c r="Y242" s="361"/>
      <c r="Z242" s="364"/>
      <c r="AA242"/>
      <c r="AB242"/>
      <c r="AC242" s="109"/>
      <c r="AD242" s="109"/>
    </row>
    <row r="243" spans="17:30" ht="12.75" customHeight="1">
      <c r="Q243" s="360"/>
      <c r="R243" s="931" t="s">
        <v>662</v>
      </c>
      <c r="S243" s="931"/>
      <c r="T243" s="931"/>
      <c r="U243" s="901" t="s">
        <v>427</v>
      </c>
      <c r="V243" s="549">
        <f t="shared" ref="V243:W245" si="3">V237*$V$23</f>
        <v>6080</v>
      </c>
      <c r="W243" s="549">
        <f t="shared" si="3"/>
        <v>8000</v>
      </c>
      <c r="X243" s="549">
        <f>X237*$V$23</f>
        <v>6560</v>
      </c>
      <c r="Y243" s="361"/>
      <c r="Z243" s="364"/>
      <c r="AA243"/>
      <c r="AB243"/>
      <c r="AC243" s="109"/>
      <c r="AD243" s="109"/>
    </row>
    <row r="244" spans="17:30" ht="12.75" customHeight="1">
      <c r="Q244" s="360"/>
      <c r="R244" s="931" t="s">
        <v>663</v>
      </c>
      <c r="S244" s="931"/>
      <c r="T244" s="931"/>
      <c r="U244" s="901"/>
      <c r="V244" s="560">
        <f t="shared" si="3"/>
        <v>6.08</v>
      </c>
      <c r="W244" s="560">
        <f t="shared" si="3"/>
        <v>8</v>
      </c>
      <c r="X244" s="560">
        <f>X238*$V$23</f>
        <v>6.5600000000000005</v>
      </c>
      <c r="Y244" s="361"/>
      <c r="Z244" s="364"/>
      <c r="AA244"/>
      <c r="AB244"/>
      <c r="AC244" s="109"/>
      <c r="AD244" s="109"/>
    </row>
    <row r="245" spans="17:30" ht="12.75" customHeight="1">
      <c r="Q245" s="360"/>
      <c r="R245" s="931" t="s">
        <v>664</v>
      </c>
      <c r="S245" s="931"/>
      <c r="T245" s="931"/>
      <c r="U245" s="901"/>
      <c r="V245" s="560">
        <f t="shared" si="3"/>
        <v>214.71319359999998</v>
      </c>
      <c r="W245" s="560">
        <f t="shared" si="3"/>
        <v>282.51736</v>
      </c>
      <c r="X245" s="560">
        <f>X239*$V$23</f>
        <v>231.66423520000001</v>
      </c>
      <c r="Y245" s="361"/>
      <c r="Z245" s="364"/>
      <c r="AA245"/>
      <c r="AB245"/>
      <c r="AC245" s="109"/>
      <c r="AD245" s="109"/>
    </row>
    <row r="246" spans="17:30" ht="12.75" customHeight="1">
      <c r="Q246" s="360"/>
      <c r="R246" s="364"/>
      <c r="S246" s="364"/>
      <c r="T246" s="364"/>
      <c r="U246" s="364"/>
      <c r="V246" s="555"/>
      <c r="W246" s="555"/>
      <c r="X246" s="555"/>
      <c r="Y246" s="361"/>
      <c r="Z246" s="364"/>
      <c r="AA246"/>
      <c r="AB246"/>
      <c r="AC246" s="109"/>
      <c r="AD246" s="109"/>
    </row>
    <row r="247" spans="17:30" ht="12.75" customHeight="1">
      <c r="Q247" s="360"/>
      <c r="R247" s="962" t="s">
        <v>303</v>
      </c>
      <c r="S247" s="963"/>
      <c r="T247" s="964"/>
      <c r="U247" s="949" t="s">
        <v>500</v>
      </c>
      <c r="V247" s="938" t="s">
        <v>22</v>
      </c>
      <c r="W247" s="940" t="s">
        <v>579</v>
      </c>
      <c r="X247" s="942" t="s">
        <v>21</v>
      </c>
      <c r="Y247" s="361"/>
      <c r="Z247" s="364"/>
      <c r="AA247"/>
      <c r="AB247"/>
      <c r="AC247" s="109"/>
      <c r="AD247" s="109"/>
    </row>
    <row r="248" spans="17:30" ht="12.75" customHeight="1">
      <c r="Q248" s="360"/>
      <c r="R248" s="965"/>
      <c r="S248" s="966"/>
      <c r="T248" s="967"/>
      <c r="U248" s="950"/>
      <c r="V248" s="939"/>
      <c r="W248" s="941"/>
      <c r="X248" s="943"/>
      <c r="Y248" s="361"/>
      <c r="Z248" s="364"/>
      <c r="AA248"/>
      <c r="AB248"/>
    </row>
    <row r="249" spans="17:30" ht="12.75" customHeight="1">
      <c r="Q249" s="563"/>
      <c r="R249" s="951" t="s">
        <v>517</v>
      </c>
      <c r="S249" s="951"/>
      <c r="T249" s="951"/>
      <c r="U249" s="901" t="s">
        <v>427</v>
      </c>
      <c r="V249" s="549">
        <f t="shared" ref="V249:X251" si="4">($V$25/$X$51)*60*V237</f>
        <v>31268571.428571429</v>
      </c>
      <c r="W249" s="549">
        <f t="shared" si="4"/>
        <v>41142857.142857142</v>
      </c>
      <c r="X249" s="549">
        <f t="shared" si="4"/>
        <v>33737142.857142858</v>
      </c>
      <c r="Y249" s="361"/>
      <c r="Z249" s="364"/>
      <c r="AA249"/>
      <c r="AB249"/>
    </row>
    <row r="250" spans="17:30" ht="12.75" customHeight="1">
      <c r="Q250" s="364"/>
      <c r="R250" s="951" t="s">
        <v>666</v>
      </c>
      <c r="S250" s="951"/>
      <c r="T250" s="951"/>
      <c r="U250" s="901"/>
      <c r="V250" s="549">
        <f t="shared" si="4"/>
        <v>31268.571428571428</v>
      </c>
      <c r="W250" s="549">
        <f t="shared" si="4"/>
        <v>41142.857142857145</v>
      </c>
      <c r="X250" s="549">
        <f t="shared" si="4"/>
        <v>33737.142857142855</v>
      </c>
      <c r="Y250" s="361"/>
      <c r="Z250" s="364"/>
      <c r="AA250"/>
      <c r="AB250"/>
    </row>
    <row r="251" spans="17:30" ht="12.75" customHeight="1">
      <c r="Q251" s="364"/>
      <c r="R251" s="951" t="s">
        <v>583</v>
      </c>
      <c r="S251" s="951"/>
      <c r="T251" s="951"/>
      <c r="U251" s="901"/>
      <c r="V251" s="549">
        <f t="shared" si="4"/>
        <v>1104239.2813714284</v>
      </c>
      <c r="W251" s="549">
        <f t="shared" si="4"/>
        <v>1452946.422857143</v>
      </c>
      <c r="X251" s="549">
        <f t="shared" si="4"/>
        <v>1191416.0667428572</v>
      </c>
      <c r="Y251" s="361"/>
      <c r="Z251" s="364"/>
      <c r="AA251"/>
      <c r="AB251"/>
    </row>
    <row r="252" spans="17:30" ht="12.75" customHeight="1">
      <c r="Q252" s="364"/>
      <c r="R252" s="364"/>
      <c r="S252" s="364"/>
      <c r="T252" s="364"/>
      <c r="U252" s="364"/>
      <c r="V252" s="364"/>
      <c r="W252" s="364"/>
      <c r="X252" s="364"/>
      <c r="Y252" s="361"/>
      <c r="Z252" s="364"/>
      <c r="AA252"/>
      <c r="AB252"/>
    </row>
    <row r="253" spans="17:30" ht="12.75" customHeight="1">
      <c r="Q253" s="668" t="s">
        <v>753</v>
      </c>
      <c r="R253" s="364" t="s">
        <v>300</v>
      </c>
      <c r="S253" s="364"/>
      <c r="T253" s="364"/>
      <c r="U253" s="364"/>
      <c r="V253" s="364"/>
      <c r="W253" s="364"/>
      <c r="X253" s="364"/>
      <c r="Y253" s="361"/>
      <c r="Z253" s="364"/>
      <c r="AA253"/>
      <c r="AB253"/>
    </row>
    <row r="254" spans="17:30" ht="12.75" customHeight="1">
      <c r="Q254" s="364"/>
      <c r="R254" s="957" t="s">
        <v>669</v>
      </c>
      <c r="S254" s="958"/>
      <c r="T254" s="959"/>
      <c r="U254" s="949" t="s">
        <v>500</v>
      </c>
      <c r="V254" s="938" t="s">
        <v>22</v>
      </c>
      <c r="W254" s="940" t="s">
        <v>579</v>
      </c>
      <c r="X254" s="942" t="s">
        <v>21</v>
      </c>
      <c r="Y254" s="361"/>
      <c r="Z254" s="364"/>
      <c r="AA254"/>
      <c r="AB254"/>
    </row>
    <row r="255" spans="17:30" ht="12.75" customHeight="1">
      <c r="Q255" s="364"/>
      <c r="R255" s="960"/>
      <c r="S255" s="961"/>
      <c r="T255" s="899"/>
      <c r="U255" s="950"/>
      <c r="V255" s="939"/>
      <c r="W255" s="941"/>
      <c r="X255" s="943"/>
      <c r="Y255" s="361"/>
      <c r="Z255" s="364"/>
      <c r="AA255"/>
      <c r="AB255"/>
    </row>
    <row r="256" spans="17:30" ht="12.75" customHeight="1">
      <c r="Q256" s="364"/>
      <c r="R256" s="541" t="s">
        <v>80</v>
      </c>
      <c r="S256" s="559"/>
      <c r="T256" s="559"/>
      <c r="U256" s="543">
        <v>6.5</v>
      </c>
      <c r="V256" s="669">
        <f>VLOOKUP($V$5,'Lookup Water Flow'!$B$8:$E$208,3)</f>
        <v>6.9</v>
      </c>
      <c r="W256" s="669">
        <f>VLOOKUP($V$5,'Lookup Water Flow'!$B$8:$E$208,4)</f>
        <v>12.1</v>
      </c>
      <c r="X256" s="669">
        <f>VLOOKUP($V$5,'Lookup Water Flow'!$B$8:$E$208,2)</f>
        <v>12.6</v>
      </c>
      <c r="Y256" s="361"/>
      <c r="Z256" s="364"/>
      <c r="AA256"/>
      <c r="AB256"/>
    </row>
    <row r="257" spans="17:28" ht="12.75" customHeight="1">
      <c r="Q257" s="364"/>
      <c r="R257" s="951" t="s">
        <v>81</v>
      </c>
      <c r="S257" s="951"/>
      <c r="T257" s="951"/>
      <c r="U257" s="677">
        <f>U256*V23</f>
        <v>1040</v>
      </c>
      <c r="V257" s="678">
        <f>V256*$V$23</f>
        <v>1104</v>
      </c>
      <c r="W257" s="678">
        <f>W256*$V$23</f>
        <v>1936</v>
      </c>
      <c r="X257" s="678">
        <f>X256*$V$23</f>
        <v>2016</v>
      </c>
      <c r="Y257" s="361"/>
      <c r="Z257" s="364"/>
      <c r="AA257"/>
      <c r="AB257"/>
    </row>
    <row r="258" spans="17:28" ht="12.75" customHeight="1">
      <c r="Q258" s="364"/>
      <c r="R258" s="592" t="s">
        <v>670</v>
      </c>
      <c r="S258" s="559"/>
      <c r="T258" s="559"/>
      <c r="U258" s="549">
        <f>(U256*U56*V24)+(24*2*V24)</f>
        <v>473600</v>
      </c>
      <c r="V258" s="679">
        <f>V256*$X$56*$V$24</f>
        <v>94628.571428571435</v>
      </c>
      <c r="W258" s="679">
        <f>W256*$X$56*$V$24</f>
        <v>165942.85714285713</v>
      </c>
      <c r="X258" s="679">
        <f>X256*$X$56*$V$24</f>
        <v>172800</v>
      </c>
      <c r="Y258" s="361"/>
      <c r="Z258" s="364"/>
      <c r="AA258"/>
      <c r="AB258"/>
    </row>
    <row r="259" spans="17:28" ht="12.75" customHeight="1">
      <c r="Q259" s="364"/>
      <c r="R259" s="364"/>
      <c r="S259" s="364"/>
      <c r="T259" s="364"/>
      <c r="U259" s="364"/>
      <c r="V259" s="364"/>
      <c r="W259" s="364"/>
      <c r="X259" s="364"/>
      <c r="Y259" s="364"/>
      <c r="Z259" s="364"/>
      <c r="AA259"/>
      <c r="AB259"/>
    </row>
    <row r="260" spans="17:28" ht="12.75" customHeight="1">
      <c r="Q260" s="680" t="s">
        <v>754</v>
      </c>
      <c r="R260" s="952" t="s">
        <v>309</v>
      </c>
      <c r="S260" s="952"/>
      <c r="T260" s="952"/>
      <c r="U260" s="952"/>
      <c r="V260" s="952"/>
      <c r="W260" s="952"/>
      <c r="X260" s="952"/>
      <c r="Y260" s="952"/>
      <c r="Z260" s="360"/>
      <c r="AA260"/>
      <c r="AB260"/>
    </row>
    <row r="261" spans="17:28" ht="12.75" customHeight="1">
      <c r="Q261" s="364"/>
      <c r="R261" s="364"/>
      <c r="S261" s="364"/>
      <c r="T261" s="364"/>
      <c r="U261" s="364"/>
      <c r="V261" s="364"/>
      <c r="W261" s="364"/>
      <c r="X261" s="364"/>
      <c r="Y261" s="364"/>
      <c r="Z261" s="364"/>
      <c r="AA261"/>
      <c r="AB261"/>
    </row>
    <row r="262" spans="17:28" ht="12.75" customHeight="1">
      <c r="Q262" s="668" t="s">
        <v>755</v>
      </c>
      <c r="R262" s="364" t="s">
        <v>239</v>
      </c>
      <c r="S262" s="364"/>
      <c r="T262" s="364"/>
      <c r="U262" s="364"/>
      <c r="V262" s="364"/>
      <c r="W262" s="364"/>
      <c r="X262" s="364"/>
      <c r="Y262" s="364"/>
      <c r="Z262" s="364"/>
      <c r="AA262"/>
      <c r="AB262"/>
    </row>
    <row r="263" spans="17:28" ht="12.75" customHeight="1">
      <c r="Q263" s="364"/>
      <c r="R263" s="364"/>
      <c r="S263" s="364"/>
      <c r="T263" s="364"/>
      <c r="U263" s="364"/>
      <c r="V263" s="364"/>
      <c r="W263" s="364"/>
      <c r="X263" s="364"/>
      <c r="Y263" s="364"/>
      <c r="Z263" s="364"/>
      <c r="AA263"/>
      <c r="AB263"/>
    </row>
    <row r="264" spans="17:28" ht="12.75" customHeight="1">
      <c r="Q264" s="364"/>
      <c r="R264" s="953" t="s">
        <v>676</v>
      </c>
      <c r="S264" s="954"/>
      <c r="T264" s="561" t="s">
        <v>320</v>
      </c>
      <c r="U264" s="935" t="s">
        <v>318</v>
      </c>
      <c r="V264" s="935"/>
      <c r="W264" s="681">
        <f>'Compressor Input Data'!G7</f>
        <v>0.19</v>
      </c>
      <c r="X264" s="594"/>
      <c r="Y264" s="595"/>
      <c r="Z264" s="363"/>
      <c r="AA264"/>
      <c r="AB264"/>
    </row>
    <row r="265" spans="17:28" ht="12.75" customHeight="1">
      <c r="Q265" s="364"/>
      <c r="R265" s="955"/>
      <c r="S265" s="956"/>
      <c r="T265" s="561" t="s">
        <v>321</v>
      </c>
      <c r="U265" s="935" t="s">
        <v>319</v>
      </c>
      <c r="V265" s="935"/>
      <c r="W265" s="681">
        <f>'Compressor Input Data'!G8</f>
        <v>0.33</v>
      </c>
      <c r="X265" s="594"/>
      <c r="Y265" s="595"/>
      <c r="Z265" s="595"/>
      <c r="AA265"/>
      <c r="AB265"/>
    </row>
    <row r="266" spans="17:28" ht="12.75" customHeight="1">
      <c r="Q266" s="364"/>
      <c r="R266" s="363"/>
      <c r="S266" s="363"/>
      <c r="T266" s="577"/>
      <c r="U266" s="577"/>
      <c r="V266" s="596"/>
      <c r="W266" s="363"/>
      <c r="X266" s="363"/>
      <c r="Y266" s="363"/>
      <c r="Z266" s="363"/>
      <c r="AA266"/>
      <c r="AB266"/>
    </row>
    <row r="267" spans="17:28" ht="12.75" customHeight="1">
      <c r="Q267" s="364"/>
      <c r="R267" s="935" t="s">
        <v>675</v>
      </c>
      <c r="S267" s="935"/>
      <c r="T267" s="935"/>
      <c r="U267" s="949" t="s">
        <v>500</v>
      </c>
      <c r="V267" s="938" t="s">
        <v>22</v>
      </c>
      <c r="W267" s="940" t="s">
        <v>579</v>
      </c>
      <c r="X267" s="942" t="s">
        <v>21</v>
      </c>
      <c r="Y267" s="361"/>
      <c r="Z267" s="364"/>
      <c r="AA267"/>
      <c r="AB267"/>
    </row>
    <row r="268" spans="17:28" ht="12.75" customHeight="1">
      <c r="Q268" s="364"/>
      <c r="R268" s="944" t="s">
        <v>320</v>
      </c>
      <c r="S268" s="947"/>
      <c r="T268" s="948"/>
      <c r="U268" s="950"/>
      <c r="V268" s="939"/>
      <c r="W268" s="941"/>
      <c r="X268" s="943"/>
      <c r="Y268" s="361"/>
      <c r="Z268" s="364"/>
      <c r="AA268"/>
      <c r="AB268"/>
    </row>
    <row r="269" spans="17:28" ht="12.75" customHeight="1">
      <c r="Q269" s="364"/>
      <c r="R269" s="945"/>
      <c r="S269" s="935" t="s">
        <v>306</v>
      </c>
      <c r="T269" s="935"/>
      <c r="U269" s="599">
        <f>U164*$W$264</f>
        <v>178.34666666666669</v>
      </c>
      <c r="V269" s="599">
        <f>V164*$W$264</f>
        <v>14439.999999999998</v>
      </c>
      <c r="W269" s="599">
        <f>W164*$W$264</f>
        <v>12556.521739130432</v>
      </c>
      <c r="X269" s="599">
        <f>X164*$W$264</f>
        <v>10314.285714285712</v>
      </c>
      <c r="Y269" s="361"/>
      <c r="Z269" s="364"/>
      <c r="AA269"/>
      <c r="AB269"/>
    </row>
    <row r="270" spans="17:28" ht="12.75" customHeight="1">
      <c r="Q270" s="364"/>
      <c r="R270" s="945"/>
      <c r="S270" s="935" t="s">
        <v>307</v>
      </c>
      <c r="T270" s="935"/>
      <c r="U270" s="599">
        <f>U269*$V$11</f>
        <v>4101.9733333333343</v>
      </c>
      <c r="V270" s="599">
        <f>V269*$V$11</f>
        <v>332119.99999999994</v>
      </c>
      <c r="W270" s="599">
        <f>W269*$V$11</f>
        <v>288799.99999999994</v>
      </c>
      <c r="X270" s="599">
        <f>X269*$V$11</f>
        <v>237228.57142857136</v>
      </c>
      <c r="Y270" s="361"/>
      <c r="Z270" s="364"/>
      <c r="AA270"/>
      <c r="AB270"/>
    </row>
    <row r="271" spans="17:28" ht="12.75" customHeight="1">
      <c r="Q271" s="364"/>
      <c r="R271" s="946"/>
      <c r="S271" s="935" t="s">
        <v>308</v>
      </c>
      <c r="T271" s="935"/>
      <c r="U271" s="599">
        <f>U270*9</f>
        <v>36917.760000000009</v>
      </c>
      <c r="V271" s="599">
        <f>V270*9</f>
        <v>2989079.9999999995</v>
      </c>
      <c r="W271" s="599">
        <f>W270*9</f>
        <v>2599199.9999999995</v>
      </c>
      <c r="X271" s="599">
        <f>X270*9</f>
        <v>2135057.1428571423</v>
      </c>
      <c r="Y271" s="361"/>
      <c r="Z271" s="364"/>
      <c r="AA271"/>
      <c r="AB271"/>
    </row>
    <row r="272" spans="17:28" ht="12.75" customHeight="1">
      <c r="Q272" s="597"/>
      <c r="R272" s="937"/>
      <c r="S272" s="937"/>
      <c r="T272" s="937"/>
      <c r="U272" s="937"/>
      <c r="V272" s="937"/>
      <c r="W272" s="937"/>
      <c r="X272" s="937"/>
      <c r="Y272" s="364"/>
      <c r="Z272" s="364"/>
      <c r="AA272"/>
      <c r="AB272"/>
    </row>
    <row r="273" spans="17:28" ht="12.75" customHeight="1">
      <c r="Q273" s="597"/>
      <c r="R273" s="935" t="s">
        <v>675</v>
      </c>
      <c r="S273" s="935"/>
      <c r="T273" s="935"/>
      <c r="U273" s="930" t="s">
        <v>500</v>
      </c>
      <c r="V273" s="928" t="s">
        <v>22</v>
      </c>
      <c r="W273" s="929" t="s">
        <v>579</v>
      </c>
      <c r="X273" s="927" t="s">
        <v>21</v>
      </c>
      <c r="Y273" s="361"/>
      <c r="Z273" s="364"/>
      <c r="AA273"/>
      <c r="AB273"/>
    </row>
    <row r="274" spans="17:28" ht="12.75" customHeight="1">
      <c r="Q274" s="597"/>
      <c r="R274" s="937" t="s">
        <v>321</v>
      </c>
      <c r="S274" s="937"/>
      <c r="T274" s="937"/>
      <c r="U274" s="930"/>
      <c r="V274" s="928"/>
      <c r="W274" s="929"/>
      <c r="X274" s="927"/>
      <c r="Y274" s="361"/>
      <c r="Z274" s="364"/>
      <c r="AA274"/>
      <c r="AB274"/>
    </row>
    <row r="275" spans="17:28" ht="12.75" customHeight="1">
      <c r="Q275" s="364"/>
      <c r="R275" s="937"/>
      <c r="S275" s="935" t="s">
        <v>306</v>
      </c>
      <c r="T275" s="935"/>
      <c r="U275" s="599">
        <f>U164*$W$265</f>
        <v>309.76000000000005</v>
      </c>
      <c r="V275" s="599">
        <f>V164*$W$265</f>
        <v>25079.999999999996</v>
      </c>
      <c r="W275" s="599">
        <f>W164*$W$265</f>
        <v>21808.695652173912</v>
      </c>
      <c r="X275" s="599">
        <f>X164*$W$265</f>
        <v>17914.28571428571</v>
      </c>
      <c r="Y275" s="361"/>
      <c r="Z275" s="364"/>
      <c r="AA275"/>
      <c r="AB275"/>
    </row>
    <row r="276" spans="17:28" ht="12.75" customHeight="1">
      <c r="Q276" s="597"/>
      <c r="R276" s="937"/>
      <c r="S276" s="935" t="s">
        <v>307</v>
      </c>
      <c r="T276" s="935"/>
      <c r="U276" s="599">
        <f>U275*$V$11</f>
        <v>7124.4800000000014</v>
      </c>
      <c r="V276" s="599">
        <f>V275*$V$11</f>
        <v>576839.99999999988</v>
      </c>
      <c r="W276" s="599">
        <f>W275*$V$11</f>
        <v>501600</v>
      </c>
      <c r="X276" s="599">
        <f>X275*$V$11</f>
        <v>412028.57142857136</v>
      </c>
      <c r="Y276" s="361"/>
      <c r="Z276" s="364"/>
      <c r="AA276"/>
      <c r="AB276"/>
    </row>
    <row r="277" spans="17:28" ht="12.75" customHeight="1">
      <c r="Q277" s="364"/>
      <c r="R277" s="937"/>
      <c r="S277" s="935" t="s">
        <v>308</v>
      </c>
      <c r="T277" s="935"/>
      <c r="U277" s="599">
        <f>U276*3</f>
        <v>21373.440000000002</v>
      </c>
      <c r="V277" s="599">
        <f>V276*3</f>
        <v>1730519.9999999995</v>
      </c>
      <c r="W277" s="599">
        <f>W276*3</f>
        <v>1504800</v>
      </c>
      <c r="X277" s="599">
        <f>X276*3</f>
        <v>1236085.7142857141</v>
      </c>
      <c r="Y277" s="361"/>
      <c r="Z277" s="364"/>
      <c r="AA277"/>
      <c r="AB277"/>
    </row>
    <row r="278" spans="17:28" ht="12.75" customHeight="1">
      <c r="Q278" s="364"/>
      <c r="R278" s="937"/>
      <c r="S278" s="937"/>
      <c r="T278" s="937"/>
      <c r="U278" s="937"/>
      <c r="V278" s="937"/>
      <c r="W278" s="937"/>
      <c r="X278" s="937"/>
      <c r="Y278" s="364"/>
      <c r="Z278" s="364"/>
      <c r="AA278"/>
      <c r="AB278"/>
    </row>
    <row r="279" spans="17:28" ht="12.75" customHeight="1">
      <c r="Q279" s="364"/>
      <c r="R279" s="935" t="s">
        <v>675</v>
      </c>
      <c r="S279" s="935"/>
      <c r="T279" s="935"/>
      <c r="U279" s="930" t="s">
        <v>500</v>
      </c>
      <c r="V279" s="928" t="s">
        <v>22</v>
      </c>
      <c r="W279" s="929" t="s">
        <v>579</v>
      </c>
      <c r="X279" s="927" t="s">
        <v>21</v>
      </c>
      <c r="Y279" s="361"/>
      <c r="Z279" s="364"/>
      <c r="AA279"/>
      <c r="AB279"/>
    </row>
    <row r="280" spans="17:28" ht="12.75" customHeight="1">
      <c r="Q280" s="364"/>
      <c r="R280" s="937" t="s">
        <v>322</v>
      </c>
      <c r="S280" s="937"/>
      <c r="T280" s="937"/>
      <c r="U280" s="930"/>
      <c r="V280" s="928"/>
      <c r="W280" s="929"/>
      <c r="X280" s="927"/>
      <c r="Y280" s="361"/>
      <c r="Z280" s="364"/>
      <c r="AA280"/>
      <c r="AB280"/>
    </row>
    <row r="281" spans="17:28" ht="12.75" customHeight="1">
      <c r="Q281" s="364"/>
      <c r="R281" s="937"/>
      <c r="S281" s="935" t="s">
        <v>306</v>
      </c>
      <c r="T281" s="935"/>
      <c r="U281" s="599">
        <f>U282/$V$11</f>
        <v>211.20000000000005</v>
      </c>
      <c r="V281" s="599">
        <f>V282/$V$11</f>
        <v>17099.999999999996</v>
      </c>
      <c r="W281" s="599">
        <f>W282/$V$11</f>
        <v>14869.565217391302</v>
      </c>
      <c r="X281" s="599">
        <f>X282/$V$11</f>
        <v>12214.285714285712</v>
      </c>
      <c r="Y281" s="361"/>
      <c r="Z281" s="364"/>
      <c r="AA281"/>
      <c r="AB281"/>
    </row>
    <row r="282" spans="17:28" ht="12.75" customHeight="1">
      <c r="Q282" s="364"/>
      <c r="R282" s="937"/>
      <c r="S282" s="935" t="s">
        <v>307</v>
      </c>
      <c r="T282" s="935"/>
      <c r="U282" s="599">
        <f>U283/12</f>
        <v>4857.6000000000013</v>
      </c>
      <c r="V282" s="599">
        <f>V283/12</f>
        <v>393299.99999999994</v>
      </c>
      <c r="W282" s="599">
        <f>W283/12</f>
        <v>341999.99999999994</v>
      </c>
      <c r="X282" s="599">
        <f>X283/12</f>
        <v>280928.57142857136</v>
      </c>
      <c r="Y282" s="361"/>
      <c r="Z282" s="364"/>
      <c r="AA282"/>
      <c r="AB282"/>
    </row>
    <row r="283" spans="17:28" ht="12.75" customHeight="1">
      <c r="Q283" s="364"/>
      <c r="R283" s="937"/>
      <c r="S283" s="935" t="s">
        <v>308</v>
      </c>
      <c r="T283" s="935"/>
      <c r="U283" s="599">
        <f>U271+U277</f>
        <v>58291.200000000012</v>
      </c>
      <c r="V283" s="599">
        <f>V271+V277</f>
        <v>4719599.9999999991</v>
      </c>
      <c r="W283" s="599">
        <f>W271+W277</f>
        <v>4103999.9999999995</v>
      </c>
      <c r="X283" s="599">
        <f>X271+X277</f>
        <v>3371142.8571428563</v>
      </c>
      <c r="Y283" s="361"/>
      <c r="Z283" s="364"/>
      <c r="AA283"/>
      <c r="AB283"/>
    </row>
    <row r="284" spans="17:28" ht="12.75" customHeight="1">
      <c r="Q284" s="364"/>
      <c r="R284" s="363"/>
      <c r="S284" s="363"/>
      <c r="T284" s="577"/>
      <c r="U284" s="577"/>
      <c r="V284" s="596"/>
      <c r="W284" s="363"/>
      <c r="X284" s="363"/>
      <c r="Y284" s="363"/>
      <c r="Z284" s="363"/>
      <c r="AA284"/>
      <c r="AB284"/>
    </row>
    <row r="285" spans="17:28" ht="12.75" customHeight="1">
      <c r="Q285" s="668" t="s">
        <v>756</v>
      </c>
      <c r="R285" s="363" t="s">
        <v>758</v>
      </c>
      <c r="S285" s="363"/>
      <c r="T285" s="577"/>
      <c r="U285" s="577"/>
      <c r="V285" s="596"/>
      <c r="W285" s="363"/>
      <c r="X285" s="363"/>
      <c r="Y285" s="363"/>
      <c r="Z285" s="363"/>
      <c r="AA285"/>
      <c r="AB285"/>
    </row>
    <row r="286" spans="17:28" ht="12.75" customHeight="1">
      <c r="Q286" s="364"/>
      <c r="R286" s="935" t="s">
        <v>678</v>
      </c>
      <c r="S286" s="935"/>
      <c r="T286" s="935"/>
      <c r="U286" s="935"/>
      <c r="V286" s="936" t="s">
        <v>500</v>
      </c>
      <c r="W286" s="936" t="s">
        <v>22</v>
      </c>
      <c r="X286" s="936" t="s">
        <v>579</v>
      </c>
      <c r="Y286" s="936" t="s">
        <v>21</v>
      </c>
      <c r="Z286" s="361"/>
      <c r="AA286"/>
      <c r="AB286"/>
    </row>
    <row r="287" spans="17:28" ht="12.75" customHeight="1">
      <c r="Q287" s="364"/>
      <c r="R287" s="935"/>
      <c r="S287" s="935"/>
      <c r="T287" s="935"/>
      <c r="U287" s="935"/>
      <c r="V287" s="936"/>
      <c r="W287" s="936"/>
      <c r="X287" s="936"/>
      <c r="Y287" s="936"/>
      <c r="Z287" s="361"/>
      <c r="AA287"/>
      <c r="AB287"/>
    </row>
    <row r="288" spans="17:28" ht="12.75" customHeight="1">
      <c r="Q288" s="364"/>
      <c r="R288" s="931" t="s">
        <v>35</v>
      </c>
      <c r="S288" s="931"/>
      <c r="T288" s="931"/>
      <c r="U288" s="931"/>
      <c r="V288" s="599">
        <f>AVERAGE(U196:W196)*5%</f>
        <v>1305585.0000000005</v>
      </c>
      <c r="W288" s="599">
        <f>V202*5%</f>
        <v>1533870.0000000005</v>
      </c>
      <c r="X288" s="599">
        <f>W202*5%</f>
        <v>1518480.0000000005</v>
      </c>
      <c r="Y288" s="599">
        <f>X202*5%</f>
        <v>1500158.5714285718</v>
      </c>
      <c r="Z288" s="361"/>
      <c r="AA288"/>
      <c r="AB288"/>
    </row>
    <row r="289" spans="17:28" ht="12.75" customHeight="1">
      <c r="Q289" s="364"/>
      <c r="R289" s="931" t="s">
        <v>481</v>
      </c>
      <c r="S289" s="931"/>
      <c r="T289" s="931"/>
      <c r="U289" s="931"/>
      <c r="V289" s="600" t="s">
        <v>479</v>
      </c>
      <c r="W289" s="599">
        <f>Y289</f>
        <v>1059840</v>
      </c>
      <c r="X289" s="600" t="s">
        <v>479</v>
      </c>
      <c r="Y289" s="599">
        <f>Consumables!E23*12</f>
        <v>1059840</v>
      </c>
      <c r="Z289" s="361"/>
      <c r="AA289"/>
      <c r="AB289"/>
    </row>
    <row r="290" spans="17:28" ht="12.75" customHeight="1">
      <c r="Q290" s="364"/>
      <c r="R290" s="931" t="s">
        <v>311</v>
      </c>
      <c r="S290" s="931"/>
      <c r="T290" s="931"/>
      <c r="U290" s="931"/>
      <c r="V290" s="600" t="s">
        <v>557</v>
      </c>
      <c r="W290" s="599">
        <f>Y290</f>
        <v>416000</v>
      </c>
      <c r="X290" s="599">
        <f>W290</f>
        <v>416000</v>
      </c>
      <c r="Y290" s="599">
        <f>Consumables!E21*12</f>
        <v>416000</v>
      </c>
      <c r="Z290" s="361"/>
      <c r="AA290"/>
      <c r="AB290"/>
    </row>
    <row r="291" spans="17:28" ht="12.75" customHeight="1">
      <c r="Q291" s="364"/>
      <c r="R291" s="931" t="s">
        <v>480</v>
      </c>
      <c r="S291" s="931"/>
      <c r="T291" s="931"/>
      <c r="U291" s="931"/>
      <c r="V291" s="599">
        <f>Consumables!H21*12</f>
        <v>3865001.2800000003</v>
      </c>
      <c r="W291" s="599">
        <v>0</v>
      </c>
      <c r="X291" s="599">
        <v>0</v>
      </c>
      <c r="Y291" s="599">
        <v>0</v>
      </c>
      <c r="Z291" s="361"/>
      <c r="AA291"/>
      <c r="AB291"/>
    </row>
    <row r="292" spans="17:28" ht="12.75" customHeight="1">
      <c r="Q292" s="364"/>
      <c r="R292" s="931" t="s">
        <v>312</v>
      </c>
      <c r="S292" s="931"/>
      <c r="T292" s="931"/>
      <c r="U292" s="931"/>
      <c r="V292" s="599">
        <f>Consumables!H20*12</f>
        <v>2691993.6000000001</v>
      </c>
      <c r="W292" s="599">
        <f>Y292</f>
        <v>2331648.0000000005</v>
      </c>
      <c r="X292" s="599">
        <f>W292</f>
        <v>2331648.0000000005</v>
      </c>
      <c r="Y292" s="599">
        <f>Consumables!E20*12</f>
        <v>2331648.0000000005</v>
      </c>
      <c r="Z292" s="361"/>
      <c r="AA292"/>
      <c r="AB292"/>
    </row>
    <row r="293" spans="17:28" ht="12.75" customHeight="1">
      <c r="Q293" s="364"/>
      <c r="R293" s="931" t="s">
        <v>313</v>
      </c>
      <c r="S293" s="931"/>
      <c r="T293" s="931"/>
      <c r="U293" s="931"/>
      <c r="V293" s="599">
        <f>Consumables!H19*12</f>
        <v>1674547.2000000002</v>
      </c>
      <c r="W293" s="599">
        <f>Y293</f>
        <v>1398988.8</v>
      </c>
      <c r="X293" s="599">
        <f>W293</f>
        <v>1398988.8</v>
      </c>
      <c r="Y293" s="599">
        <f>Consumables!E19*12</f>
        <v>1398988.8</v>
      </c>
      <c r="Z293" s="361"/>
      <c r="AA293"/>
      <c r="AB293"/>
    </row>
    <row r="294" spans="17:28" ht="12.75" customHeight="1">
      <c r="Q294" s="364"/>
      <c r="R294" s="931" t="s">
        <v>190</v>
      </c>
      <c r="S294" s="931"/>
      <c r="T294" s="931"/>
      <c r="U294" s="931"/>
      <c r="V294" s="599">
        <f>Consumables!H22*12</f>
        <v>8294400</v>
      </c>
      <c r="W294" s="599">
        <v>0</v>
      </c>
      <c r="X294" s="599">
        <v>0</v>
      </c>
      <c r="Y294" s="599">
        <v>0</v>
      </c>
      <c r="Z294" s="361"/>
      <c r="AA294"/>
      <c r="AB294"/>
    </row>
    <row r="295" spans="17:28" ht="12.75" customHeight="1">
      <c r="Q295" s="364"/>
      <c r="R295" s="931" t="s">
        <v>482</v>
      </c>
      <c r="S295" s="931"/>
      <c r="T295" s="931"/>
      <c r="U295" s="931"/>
      <c r="V295" s="599">
        <v>0</v>
      </c>
      <c r="W295" s="599">
        <f>Y295</f>
        <v>199600.00000000003</v>
      </c>
      <c r="X295" s="599">
        <f>W295</f>
        <v>199600.00000000003</v>
      </c>
      <c r="Y295" s="599">
        <f>Consumables!E25*12</f>
        <v>199600.00000000003</v>
      </c>
      <c r="Z295" s="361"/>
      <c r="AA295"/>
      <c r="AB295"/>
    </row>
    <row r="296" spans="17:28" ht="12.75" customHeight="1">
      <c r="Q296" s="364"/>
      <c r="R296" s="931" t="s">
        <v>483</v>
      </c>
      <c r="S296" s="931"/>
      <c r="T296" s="931"/>
      <c r="U296" s="931"/>
      <c r="V296" s="599">
        <v>0</v>
      </c>
      <c r="W296" s="599">
        <f>Y296</f>
        <v>40600</v>
      </c>
      <c r="X296" s="599">
        <f>W296</f>
        <v>40600</v>
      </c>
      <c r="Y296" s="599">
        <f>Consumables!E24*12</f>
        <v>40600</v>
      </c>
      <c r="Z296" s="361"/>
      <c r="AA296"/>
      <c r="AB296"/>
    </row>
    <row r="297" spans="17:28" ht="12.75" customHeight="1">
      <c r="Q297" s="364"/>
      <c r="R297" s="931" t="s">
        <v>478</v>
      </c>
      <c r="S297" s="931"/>
      <c r="T297" s="931"/>
      <c r="U297" s="931"/>
      <c r="V297" s="599">
        <f>U283</f>
        <v>58291.200000000012</v>
      </c>
      <c r="W297" s="599">
        <f>V283</f>
        <v>4719599.9999999991</v>
      </c>
      <c r="X297" s="599">
        <f>W283</f>
        <v>4103999.9999999995</v>
      </c>
      <c r="Y297" s="599">
        <f>X283</f>
        <v>3371142.8571428563</v>
      </c>
      <c r="Z297" s="361"/>
      <c r="AA297"/>
      <c r="AB297"/>
    </row>
    <row r="298" spans="17:28" ht="12.75" customHeight="1">
      <c r="Q298" s="364"/>
      <c r="R298" s="931" t="s">
        <v>484</v>
      </c>
      <c r="S298" s="931"/>
      <c r="T298" s="931"/>
      <c r="U298" s="931"/>
      <c r="V298" s="599">
        <f>'NIHL Compenation Cost'!AD21</f>
        <v>1715167.5</v>
      </c>
      <c r="W298" s="599">
        <f>'NIHL Compenation Cost'!Z21</f>
        <v>989115.00000000012</v>
      </c>
      <c r="X298" s="599">
        <f>'NIHL Compenation Cost'!AB21</f>
        <v>1087325</v>
      </c>
      <c r="Y298" s="599">
        <f>'NIHL Compenation Cost'!X21</f>
        <v>596275</v>
      </c>
      <c r="Z298" s="361"/>
      <c r="AA298"/>
      <c r="AB298"/>
    </row>
    <row r="299" spans="17:28" ht="12.75" customHeight="1">
      <c r="Q299" s="364"/>
      <c r="R299" s="932" t="s">
        <v>677</v>
      </c>
      <c r="S299" s="932"/>
      <c r="T299" s="932"/>
      <c r="U299" s="932"/>
      <c r="V299" s="599">
        <f>SUM(V288:V298)</f>
        <v>19604985.780000001</v>
      </c>
      <c r="W299" s="599">
        <f>SUM(W288:W298)</f>
        <v>12689261.800000001</v>
      </c>
      <c r="X299" s="599">
        <f>SUM(X288:X298)</f>
        <v>11096641.800000001</v>
      </c>
      <c r="Y299" s="599">
        <f>SUM(Y288:Y298)</f>
        <v>10914253.22857143</v>
      </c>
      <c r="Z299" s="361"/>
      <c r="AA299"/>
      <c r="AB299"/>
    </row>
    <row r="300" spans="17:28" ht="12.75" customHeight="1">
      <c r="Q300" s="364"/>
      <c r="R300" s="591"/>
      <c r="S300" s="591"/>
      <c r="T300" s="591"/>
      <c r="U300" s="591"/>
      <c r="V300" s="718"/>
      <c r="W300" s="718"/>
      <c r="X300" s="718"/>
      <c r="Y300" s="718"/>
      <c r="Z300" s="361"/>
      <c r="AA300"/>
      <c r="AB300"/>
    </row>
    <row r="301" spans="17:28" ht="12.75" customHeight="1">
      <c r="Q301" s="364"/>
      <c r="R301" s="591"/>
      <c r="S301" s="591"/>
      <c r="T301" s="933" t="s">
        <v>812</v>
      </c>
      <c r="U301" s="933"/>
      <c r="V301" s="718">
        <f>V299-V294</f>
        <v>11310585.780000001</v>
      </c>
      <c r="W301" s="718">
        <f>W299-W294</f>
        <v>12689261.800000001</v>
      </c>
      <c r="X301" s="718">
        <f>X299-X294</f>
        <v>11096641.800000001</v>
      </c>
      <c r="Y301" s="718">
        <f>Y299-Y294</f>
        <v>10914253.22857143</v>
      </c>
      <c r="Z301" s="361"/>
      <c r="AA301"/>
      <c r="AB301"/>
    </row>
    <row r="302" spans="17:28" ht="12.75" customHeight="1">
      <c r="Q302" s="364"/>
      <c r="R302" s="364"/>
      <c r="S302" s="364"/>
      <c r="T302" s="934" t="s">
        <v>350</v>
      </c>
      <c r="U302" s="934"/>
      <c r="V302" s="682">
        <f>V294</f>
        <v>8294400</v>
      </c>
      <c r="W302" s="682"/>
      <c r="X302" s="682"/>
      <c r="Y302" s="682"/>
      <c r="Z302" s="364"/>
      <c r="AA302"/>
      <c r="AB302"/>
    </row>
    <row r="303" spans="17:28" ht="12.75" customHeight="1">
      <c r="Q303" s="364">
        <v>10.3</v>
      </c>
      <c r="R303" s="363"/>
      <c r="S303" s="364"/>
      <c r="T303" s="364"/>
      <c r="U303" s="364"/>
      <c r="V303" s="682"/>
      <c r="W303" s="364"/>
      <c r="X303" s="362"/>
      <c r="Y303" s="682"/>
      <c r="Z303" s="364"/>
      <c r="AA303"/>
      <c r="AB303"/>
    </row>
    <row r="304" spans="17:28" ht="12.75" customHeight="1">
      <c r="Q304" s="364"/>
      <c r="R304" s="364"/>
      <c r="S304" s="364"/>
      <c r="T304" s="364"/>
      <c r="U304" s="364"/>
      <c r="V304" s="364"/>
      <c r="W304" s="364"/>
      <c r="X304" s="364"/>
      <c r="Y304" s="364"/>
      <c r="Z304" s="364"/>
      <c r="AA304"/>
      <c r="AB304"/>
    </row>
    <row r="305" spans="17:28" ht="12.75" customHeight="1">
      <c r="Q305" s="364"/>
      <c r="R305" s="935" t="s">
        <v>195</v>
      </c>
      <c r="S305" s="935"/>
      <c r="T305" s="935"/>
      <c r="U305" s="935"/>
      <c r="V305" s="935"/>
      <c r="W305" s="375"/>
      <c r="X305" s="683"/>
      <c r="Y305" s="375"/>
      <c r="Z305" s="375"/>
      <c r="AA305"/>
      <c r="AB305"/>
    </row>
    <row r="306" spans="17:28" ht="12.75" customHeight="1">
      <c r="Q306" s="364"/>
      <c r="R306" s="926" t="s">
        <v>509</v>
      </c>
      <c r="S306" s="927" t="s">
        <v>21</v>
      </c>
      <c r="T306" s="928" t="s">
        <v>22</v>
      </c>
      <c r="U306" s="929" t="s">
        <v>579</v>
      </c>
      <c r="V306" s="930" t="s">
        <v>500</v>
      </c>
      <c r="W306" s="363"/>
      <c r="X306" s="684"/>
      <c r="Y306" s="363"/>
      <c r="Z306" s="364"/>
      <c r="AA306"/>
      <c r="AB306"/>
    </row>
    <row r="307" spans="17:28" ht="12.75" customHeight="1">
      <c r="Q307" s="364"/>
      <c r="R307" s="926"/>
      <c r="S307" s="927"/>
      <c r="T307" s="928"/>
      <c r="U307" s="929"/>
      <c r="V307" s="930"/>
      <c r="W307" s="363"/>
      <c r="X307" s="684"/>
      <c r="Y307" s="363"/>
      <c r="Z307" s="364"/>
      <c r="AA307"/>
      <c r="AB307"/>
    </row>
    <row r="308" spans="17:28" ht="12.75" customHeight="1">
      <c r="Q308" s="364"/>
      <c r="R308" s="667" t="s">
        <v>204</v>
      </c>
      <c r="S308" s="667" t="s">
        <v>846</v>
      </c>
      <c r="T308" s="667" t="s">
        <v>846</v>
      </c>
      <c r="U308" s="667" t="s">
        <v>846</v>
      </c>
      <c r="V308" s="667" t="s">
        <v>846</v>
      </c>
      <c r="W308" s="363"/>
      <c r="X308" s="363"/>
      <c r="Y308" s="363"/>
      <c r="Z308" s="364"/>
      <c r="AA308"/>
      <c r="AB308"/>
    </row>
    <row r="309" spans="17:28" ht="12.75" customHeight="1">
      <c r="Q309" s="364"/>
      <c r="R309" s="600">
        <v>1</v>
      </c>
      <c r="S309" s="369">
        <f>$X$69</f>
        <v>116</v>
      </c>
      <c r="T309" s="584">
        <f>$V$69</f>
        <v>108</v>
      </c>
      <c r="U309" s="685">
        <f>$W$69</f>
        <v>109</v>
      </c>
      <c r="V309" s="369">
        <f>$U$69</f>
        <v>102</v>
      </c>
      <c r="W309" s="363"/>
      <c r="X309" s="363"/>
      <c r="Y309" s="363"/>
      <c r="Z309" s="364"/>
      <c r="AA309"/>
      <c r="AB309"/>
    </row>
    <row r="310" spans="17:28" ht="12.75" customHeight="1">
      <c r="Q310" s="364"/>
      <c r="R310" s="600">
        <v>2</v>
      </c>
      <c r="S310" s="584">
        <f>(LOG((10^(S309/10))+(10^(S309/10))))*10</f>
        <v>119.01029995663983</v>
      </c>
      <c r="T310" s="584">
        <f>(LOG((10^(T309/10))+(10^(T309/10))))*10</f>
        <v>111.01029995663981</v>
      </c>
      <c r="U310" s="584">
        <f>(LOG((10^(U309/10))+(10^(U309/10))))*10</f>
        <v>112.01029995663981</v>
      </c>
      <c r="V310" s="584">
        <f>(LOG((10^(V309/10))+(10^(V309/10))))*10</f>
        <v>105.01029995663983</v>
      </c>
      <c r="W310" s="363"/>
      <c r="X310" s="363"/>
      <c r="Y310" s="363"/>
      <c r="Z310" s="364"/>
      <c r="AA310"/>
      <c r="AB310"/>
    </row>
    <row r="311" spans="17:28" ht="12.75" customHeight="1">
      <c r="Q311" s="597"/>
      <c r="R311" s="600">
        <v>3</v>
      </c>
      <c r="S311" s="584">
        <f>(LOG((10^(S309/10))+(10^(S309/10))+(10^(S309/10)))*10)</f>
        <v>120.77121254719664</v>
      </c>
      <c r="T311" s="584">
        <f>(LOG((10^(T309/10))+(10^(T309/10))+(10^(T309/10)))*10)</f>
        <v>112.77121254719663</v>
      </c>
      <c r="U311" s="584">
        <f>(LOG((10^(U309/10))+(10^(U309/10))+(10^(U309/10)))*10)</f>
        <v>113.77121254719663</v>
      </c>
      <c r="V311" s="584">
        <f>(LOG((10^(V309/10))+(10^(V309/10))+(10^(V309/10)))*10)</f>
        <v>106.77121254719664</v>
      </c>
      <c r="W311" s="363"/>
      <c r="X311" s="363"/>
      <c r="Y311" s="363"/>
      <c r="Z311" s="364"/>
      <c r="AA311"/>
      <c r="AB311"/>
    </row>
    <row r="312" spans="17:28" ht="12.75" customHeight="1">
      <c r="Q312" s="364"/>
      <c r="R312" s="600">
        <v>4</v>
      </c>
      <c r="S312" s="584">
        <f>(LOG((10^(S309/10))+(10^(S309/10))+(10^(S309/10))+(10^(S309/10))))*10</f>
        <v>122.02059991327964</v>
      </c>
      <c r="T312" s="584">
        <f>(LOG((10^(T309/10))+(10^(T309/10))+(10^(T309/10))+(10^(T309/10))))*10</f>
        <v>114.02059991327963</v>
      </c>
      <c r="U312" s="584">
        <f>(LOG((10^(U309/10))+(10^(U309/10))+(10^(U309/10))+(10^(U309/10))))*10</f>
        <v>115.02059991327963</v>
      </c>
      <c r="V312" s="584">
        <f>(LOG((10^(V309/10))+(10^(V309/10))+(10^(V309/10))+(10^(V309/10))))*10</f>
        <v>108.02059991327964</v>
      </c>
      <c r="W312" s="363"/>
      <c r="X312" s="363"/>
      <c r="Y312" s="363"/>
      <c r="Z312" s="364"/>
      <c r="AA312"/>
      <c r="AB312"/>
    </row>
    <row r="313" spans="17:28" ht="12.75" customHeight="1">
      <c r="Q313" s="364"/>
      <c r="R313" s="600">
        <v>5</v>
      </c>
      <c r="S313" s="584">
        <f>(LOG((10^(S309/10))+(10^(S309/10))+(10^(S309/10))+(10^(S309/10))+(10^(S309/10))))*10</f>
        <v>122.9897000433602</v>
      </c>
      <c r="T313" s="584">
        <f>(LOG((10^(T309/10))+(10^(T309/10))+(10^(T309/10))+(10^(T309/10))+(10^(T309/10))))*10</f>
        <v>114.98970004336019</v>
      </c>
      <c r="U313" s="584">
        <f>(LOG((10^(U309/10))+(10^(U309/10))+(10^(U309/10))+(10^(U309/10))+(10^(U309/10))))*10</f>
        <v>115.98970004336019</v>
      </c>
      <c r="V313" s="584">
        <f>(LOG((10^(V309/10))+(10^(V309/10))+(10^(V309/10))+(10^(V309/10))+(10^(V309/10))))*10</f>
        <v>108.9897000433602</v>
      </c>
      <c r="W313" s="363"/>
      <c r="X313" s="363"/>
      <c r="Y313" s="363"/>
      <c r="Z313" s="364"/>
      <c r="AA313"/>
      <c r="AB313"/>
    </row>
    <row r="314" spans="17:28" ht="12.75" customHeight="1">
      <c r="Q314" s="364"/>
      <c r="R314" s="600">
        <v>6</v>
      </c>
      <c r="S314" s="584">
        <f>(LOG((10^(S309/10))+(10^(S309/10))+(10^(S309/10))+(10^(S309/10))+(10^(S309/10))+(10^(S309/10)))*10)</f>
        <v>123.78151250383645</v>
      </c>
      <c r="T314" s="584">
        <f>(LOG((10^(T309/10))+(10^(T309/10))+(10^(T309/10))+(10^(T309/10))+(10^(T309/10))+(10^(T309/10)))*10)</f>
        <v>115.78151250383644</v>
      </c>
      <c r="U314" s="584">
        <f>(LOG((10^(U309/10))+(10^(U309/10))+(10^(U309/10))+(10^(U309/10))+(10^(U309/10))+(10^(U309/10)))*10)</f>
        <v>116.78151250383644</v>
      </c>
      <c r="V314" s="584">
        <f>(LOG((10^(V309/10))+(10^(V309/10))+(10^(V309/10))+(10^(V309/10))+(10^(V309/10))+(10^(V309/10)))*10)</f>
        <v>109.78151250383645</v>
      </c>
      <c r="W314" s="363"/>
      <c r="X314" s="363"/>
      <c r="Y314" s="363"/>
      <c r="Z314" s="364"/>
      <c r="AA314"/>
      <c r="AB314"/>
    </row>
    <row r="315" spans="17:28" ht="12.75" customHeight="1" thickBot="1">
      <c r="Q315" s="364"/>
      <c r="R315" s="364"/>
      <c r="S315" s="364"/>
      <c r="T315" s="364"/>
      <c r="U315" s="364"/>
      <c r="V315" s="364"/>
      <c r="W315" s="364"/>
      <c r="X315" s="364"/>
      <c r="Y315" s="364"/>
      <c r="Z315" s="364"/>
      <c r="AA315"/>
      <c r="AB315"/>
    </row>
    <row r="316" spans="17:28" ht="12.75" customHeight="1" thickTop="1">
      <c r="Q316" s="364"/>
      <c r="R316" s="916" t="s">
        <v>428</v>
      </c>
      <c r="S316" s="917"/>
      <c r="T316" s="917"/>
      <c r="U316" s="917"/>
      <c r="V316" s="917"/>
      <c r="W316" s="918"/>
      <c r="X316" s="364"/>
      <c r="Y316" s="364"/>
      <c r="Z316" s="364"/>
      <c r="AA316"/>
      <c r="AB316"/>
    </row>
    <row r="317" spans="17:28" ht="12.75" customHeight="1">
      <c r="Q317" s="364"/>
      <c r="R317" s="919"/>
      <c r="S317" s="920"/>
      <c r="T317" s="920"/>
      <c r="U317" s="920"/>
      <c r="V317" s="920"/>
      <c r="W317" s="921"/>
      <c r="X317" s="364"/>
      <c r="Y317" s="364"/>
      <c r="Z317" s="364"/>
      <c r="AA317"/>
      <c r="AB317"/>
    </row>
    <row r="318" spans="17:28" ht="12.75" customHeight="1" thickBot="1">
      <c r="Q318" s="364"/>
      <c r="R318" s="922"/>
      <c r="S318" s="923"/>
      <c r="T318" s="923"/>
      <c r="U318" s="923"/>
      <c r="V318" s="923"/>
      <c r="W318" s="924"/>
      <c r="X318" s="364"/>
      <c r="Y318" s="364"/>
      <c r="Z318" s="364"/>
      <c r="AA318"/>
      <c r="AB318"/>
    </row>
    <row r="319" spans="17:28" ht="12.75" customHeight="1" thickTop="1">
      <c r="Q319" s="364"/>
      <c r="R319" s="925" t="str">
        <f>S306</f>
        <v>Seco S215</v>
      </c>
      <c r="S319" s="925"/>
      <c r="T319" s="925"/>
      <c r="U319" s="925"/>
      <c r="V319" s="925"/>
      <c r="W319" s="925"/>
      <c r="X319" s="364"/>
      <c r="Y319" s="364"/>
      <c r="Z319" s="364"/>
      <c r="AA319"/>
      <c r="AB319"/>
    </row>
    <row r="320" spans="17:28" ht="12.75" customHeight="1" thickBot="1">
      <c r="Q320" s="364"/>
      <c r="R320" s="910" t="s">
        <v>205</v>
      </c>
      <c r="S320" s="911"/>
      <c r="T320" s="911"/>
      <c r="U320" s="911"/>
      <c r="V320" s="911"/>
      <c r="W320" s="912"/>
      <c r="X320" s="364"/>
      <c r="Y320" s="364"/>
      <c r="Z320" s="364"/>
      <c r="AA320"/>
      <c r="AB320"/>
    </row>
    <row r="321" spans="17:28" ht="12.75" customHeight="1" thickBot="1">
      <c r="Q321" s="364"/>
      <c r="R321" s="686" t="s">
        <v>59</v>
      </c>
      <c r="S321" s="577"/>
      <c r="T321" s="687"/>
      <c r="U321" s="687"/>
      <c r="V321" s="687"/>
      <c r="W321" s="688"/>
      <c r="X321" s="364"/>
      <c r="Y321" s="364"/>
      <c r="Z321" s="364"/>
      <c r="AA321"/>
      <c r="AB321"/>
    </row>
    <row r="322" spans="17:28" ht="12.75" customHeight="1">
      <c r="Q322" s="364"/>
      <c r="R322" s="895" t="s">
        <v>845</v>
      </c>
      <c r="S322" s="896"/>
      <c r="T322" s="900" t="s">
        <v>835</v>
      </c>
      <c r="U322" s="900" t="s">
        <v>836</v>
      </c>
      <c r="V322" s="900" t="s">
        <v>837</v>
      </c>
      <c r="W322" s="902" t="s">
        <v>838</v>
      </c>
      <c r="X322" s="364"/>
      <c r="Y322" s="364"/>
      <c r="Z322" s="364"/>
      <c r="AA322"/>
      <c r="AB322"/>
    </row>
    <row r="323" spans="17:28" ht="12.75" customHeight="1">
      <c r="Q323" s="364"/>
      <c r="R323" s="892"/>
      <c r="S323" s="897"/>
      <c r="T323" s="904"/>
      <c r="U323" s="904"/>
      <c r="V323" s="904"/>
      <c r="W323" s="905"/>
      <c r="X323" s="364"/>
      <c r="Y323" s="364"/>
      <c r="Z323" s="364"/>
      <c r="AA323"/>
      <c r="AB323"/>
    </row>
    <row r="324" spans="17:28" ht="12.75" customHeight="1">
      <c r="Q324" s="364"/>
      <c r="R324" s="892"/>
      <c r="S324" s="897"/>
      <c r="T324" s="901"/>
      <c r="U324" s="901"/>
      <c r="V324" s="901"/>
      <c r="W324" s="903"/>
      <c r="X324" s="364"/>
      <c r="Y324" s="364"/>
      <c r="Z324" s="364"/>
      <c r="AA324"/>
      <c r="AB324"/>
    </row>
    <row r="325" spans="17:28" ht="12.75" customHeight="1">
      <c r="Q325" s="364"/>
      <c r="R325" s="892"/>
      <c r="S325" s="897"/>
      <c r="T325" s="689">
        <f>X69</f>
        <v>116</v>
      </c>
      <c r="U325" s="560">
        <f>X62</f>
        <v>1.4285714285714284</v>
      </c>
      <c r="V325" s="690">
        <f>IF(T325&gt;0,W325*U325," ")</f>
        <v>22857.142857142855</v>
      </c>
      <c r="W325" s="691">
        <f>IF(T325&gt;0,(VLOOKUP(T325,'Lookup Ready-reckoner'!$B$5:$E$1207,4))," ")</f>
        <v>16000</v>
      </c>
      <c r="X325" s="364"/>
      <c r="Y325" s="364"/>
      <c r="Z325" s="364"/>
      <c r="AA325"/>
      <c r="AB325"/>
    </row>
    <row r="326" spans="17:28" ht="12.75" customHeight="1">
      <c r="Q326" s="364"/>
      <c r="R326" s="898"/>
      <c r="S326" s="899"/>
      <c r="T326" s="447"/>
      <c r="U326" s="560"/>
      <c r="V326" s="690" t="str">
        <f>IF(T326&gt;0,W326*U326," ")</f>
        <v xml:space="preserve"> </v>
      </c>
      <c r="W326" s="691" t="str">
        <f>IF(T326&gt;0,(VLOOKUP(T326,'Lookup Ready-reckoner'!$B$5:$E$1007,4))," ")</f>
        <v xml:space="preserve"> </v>
      </c>
      <c r="X326" s="364"/>
      <c r="Y326" s="364"/>
      <c r="Z326" s="364"/>
      <c r="AA326"/>
      <c r="AB326"/>
    </row>
    <row r="327" spans="17:28" ht="12.75" customHeight="1" thickBot="1">
      <c r="Q327" s="364"/>
      <c r="R327" s="692" t="s">
        <v>839</v>
      </c>
      <c r="S327" s="693"/>
      <c r="T327" s="693"/>
      <c r="U327" s="694">
        <f>IF(T325&gt;0,(VLOOKUP(V327,'Lookup Ready-reckoner'!$L$5:$M$1207,2))," ")</f>
        <v>108.5</v>
      </c>
      <c r="V327" s="695">
        <f>IF(U325&gt;0,(SUM(V325:V326))," ")</f>
        <v>22857.142857142855</v>
      </c>
      <c r="W327" s="696"/>
      <c r="X327" s="364"/>
      <c r="Y327" s="364"/>
      <c r="Z327" s="364"/>
      <c r="AA327"/>
      <c r="AB327"/>
    </row>
    <row r="328" spans="17:28" ht="12.75" customHeight="1" thickBot="1">
      <c r="Q328" s="364"/>
      <c r="R328" s="892"/>
      <c r="S328" s="893"/>
      <c r="T328" s="893"/>
      <c r="U328" s="893"/>
      <c r="V328" s="893"/>
      <c r="W328" s="894"/>
      <c r="X328" s="364"/>
      <c r="Y328" s="364"/>
      <c r="Z328" s="364"/>
      <c r="AA328"/>
      <c r="AB328"/>
    </row>
    <row r="329" spans="17:28" ht="12.75" customHeight="1">
      <c r="Q329" s="364"/>
      <c r="R329" s="895" t="s">
        <v>886</v>
      </c>
      <c r="S329" s="896"/>
      <c r="T329" s="900" t="s">
        <v>835</v>
      </c>
      <c r="U329" s="900" t="s">
        <v>836</v>
      </c>
      <c r="V329" s="900" t="s">
        <v>837</v>
      </c>
      <c r="W329" s="902" t="s">
        <v>838</v>
      </c>
      <c r="X329" s="364"/>
      <c r="Y329" s="364"/>
      <c r="Z329" s="364"/>
      <c r="AA329"/>
      <c r="AB329"/>
    </row>
    <row r="330" spans="17:28" ht="12.75" customHeight="1">
      <c r="Q330" s="364"/>
      <c r="R330" s="892"/>
      <c r="S330" s="897"/>
      <c r="T330" s="901"/>
      <c r="U330" s="901"/>
      <c r="V330" s="901"/>
      <c r="W330" s="903"/>
      <c r="X330" s="364"/>
      <c r="Y330" s="364"/>
      <c r="Z330" s="364"/>
      <c r="AA330"/>
      <c r="AB330"/>
    </row>
    <row r="331" spans="17:28" ht="12.75" customHeight="1">
      <c r="Q331" s="364"/>
      <c r="R331" s="892"/>
      <c r="S331" s="897"/>
      <c r="T331" s="689">
        <f>T325*(1-0.0178*2)</f>
        <v>111.8704</v>
      </c>
      <c r="U331" s="560">
        <f>U325</f>
        <v>1.4285714285714284</v>
      </c>
      <c r="V331" s="690">
        <f>IF(T331&gt;0,W331*U331," ")</f>
        <v>8842.8571428571413</v>
      </c>
      <c r="W331" s="691">
        <f>IF(T331&gt;0,(VLOOKUP(T331,'Lookup Ready-reckoner'!$B$5:$E$1207,4))," ")</f>
        <v>6190</v>
      </c>
      <c r="X331" s="364"/>
      <c r="Y331" s="364"/>
      <c r="Z331" s="364"/>
      <c r="AA331"/>
      <c r="AB331"/>
    </row>
    <row r="332" spans="17:28" ht="12.75" customHeight="1">
      <c r="Q332" s="364"/>
      <c r="R332" s="898"/>
      <c r="S332" s="899"/>
      <c r="T332" s="447"/>
      <c r="U332" s="560"/>
      <c r="V332" s="690" t="str">
        <f>IF(T332&gt;0,W332*U332," ")</f>
        <v xml:space="preserve"> </v>
      </c>
      <c r="W332" s="691" t="str">
        <f>IF(T332&gt;0,(VLOOKUP(T332,'Lookup Ready-reckoner'!$B$5:$E$1007,4))," ")</f>
        <v xml:space="preserve"> </v>
      </c>
      <c r="X332" s="364"/>
      <c r="Y332" s="364"/>
      <c r="Z332" s="364"/>
      <c r="AA332"/>
      <c r="AB332"/>
    </row>
    <row r="333" spans="17:28" ht="12.75" customHeight="1" thickBot="1">
      <c r="Q333" s="364"/>
      <c r="R333" s="692" t="s">
        <v>839</v>
      </c>
      <c r="S333" s="693"/>
      <c r="T333" s="693"/>
      <c r="U333" s="694">
        <f>IF(T331&gt;0,(VLOOKUP(V333,'Lookup Ready-reckoner'!$L$5:$M$1207,2))," ")</f>
        <v>104.4</v>
      </c>
      <c r="V333" s="695">
        <f>IF(U331&gt;0,(SUM(V331:V332))," ")</f>
        <v>8842.8571428571413</v>
      </c>
      <c r="W333" s="696"/>
      <c r="X333" s="364"/>
      <c r="Y333" s="364"/>
      <c r="Z333" s="364"/>
      <c r="AA333"/>
      <c r="AB333"/>
    </row>
    <row r="334" spans="17:28" ht="12.75" customHeight="1">
      <c r="Q334" s="364"/>
      <c r="R334" s="697"/>
      <c r="S334" s="687"/>
      <c r="T334" s="687"/>
      <c r="U334" s="372"/>
      <c r="V334" s="374"/>
      <c r="W334" s="688"/>
      <c r="X334" s="364"/>
      <c r="Y334" s="364"/>
      <c r="Z334" s="364"/>
      <c r="AA334"/>
      <c r="AB334"/>
    </row>
    <row r="335" spans="17:28" ht="12.75" customHeight="1" thickBot="1">
      <c r="Q335" s="364"/>
      <c r="R335" s="686" t="s">
        <v>60</v>
      </c>
      <c r="S335" s="577"/>
      <c r="T335" s="577"/>
      <c r="U335" s="577"/>
      <c r="V335" s="577"/>
      <c r="W335" s="698"/>
      <c r="X335" s="364"/>
      <c r="Y335" s="364"/>
      <c r="Z335" s="364"/>
      <c r="AA335"/>
      <c r="AB335"/>
    </row>
    <row r="336" spans="17:28" ht="12.75" customHeight="1">
      <c r="Q336" s="364"/>
      <c r="R336" s="895" t="s">
        <v>845</v>
      </c>
      <c r="S336" s="896"/>
      <c r="T336" s="900" t="s">
        <v>835</v>
      </c>
      <c r="U336" s="900" t="s">
        <v>836</v>
      </c>
      <c r="V336" s="900" t="s">
        <v>837</v>
      </c>
      <c r="W336" s="902" t="s">
        <v>838</v>
      </c>
      <c r="X336" s="364"/>
      <c r="Y336" s="364"/>
      <c r="Z336" s="364"/>
      <c r="AA336"/>
      <c r="AB336"/>
    </row>
    <row r="337" spans="17:28" ht="12.75" customHeight="1">
      <c r="Q337" s="364"/>
      <c r="R337" s="892"/>
      <c r="S337" s="897"/>
      <c r="T337" s="901"/>
      <c r="U337" s="901"/>
      <c r="V337" s="901"/>
      <c r="W337" s="903"/>
      <c r="X337" s="364"/>
      <c r="Y337" s="364"/>
      <c r="Z337" s="364"/>
      <c r="AA337"/>
      <c r="AB337"/>
    </row>
    <row r="338" spans="17:28" ht="12.75" customHeight="1">
      <c r="Q338" s="364"/>
      <c r="R338" s="892"/>
      <c r="S338" s="897"/>
      <c r="T338" s="689">
        <f>T325-PPE!$I$15</f>
        <v>103</v>
      </c>
      <c r="U338" s="560">
        <f>U331</f>
        <v>1.4285714285714284</v>
      </c>
      <c r="V338" s="690">
        <f>IF(T338&gt;0,W338*U338," ")</f>
        <v>1142.8571428571427</v>
      </c>
      <c r="W338" s="691">
        <f>IF(T338&gt;0,(VLOOKUP(T338,'Lookup Ready-reckoner'!$B$5:$E$1207,4))," ")</f>
        <v>800</v>
      </c>
      <c r="X338" s="364"/>
      <c r="Y338" s="364"/>
      <c r="Z338" s="364"/>
      <c r="AA338"/>
      <c r="AB338"/>
    </row>
    <row r="339" spans="17:28" ht="12.75" customHeight="1">
      <c r="Q339" s="364"/>
      <c r="R339" s="898"/>
      <c r="S339" s="899"/>
      <c r="T339" s="447"/>
      <c r="U339" s="560"/>
      <c r="V339" s="690" t="str">
        <f>IF(T339&gt;0,W339*U339," ")</f>
        <v xml:space="preserve"> </v>
      </c>
      <c r="W339" s="691" t="str">
        <f>IF(T339&gt;0,(VLOOKUP(T339,'Lookup Ready-reckoner'!$B$5:$E$1007,4))," ")</f>
        <v xml:space="preserve"> </v>
      </c>
      <c r="X339" s="364"/>
      <c r="Y339" s="364"/>
      <c r="Z339" s="364"/>
      <c r="AA339"/>
      <c r="AB339"/>
    </row>
    <row r="340" spans="17:28" ht="12.75" customHeight="1" thickBot="1">
      <c r="Q340" s="364"/>
      <c r="R340" s="699" t="s">
        <v>839</v>
      </c>
      <c r="S340" s="693"/>
      <c r="T340" s="693"/>
      <c r="U340" s="694">
        <f>IF(T338&gt;0,(VLOOKUP(V340,'Lookup Ready-reckoner'!$L$5:$M$1207,2))," ")</f>
        <v>95.55</v>
      </c>
      <c r="V340" s="695">
        <f>IF(U338&gt;0,(SUM(V338:V339))," ")</f>
        <v>1142.8571428571427</v>
      </c>
      <c r="W340" s="696"/>
      <c r="X340" s="364"/>
      <c r="Y340" s="364"/>
      <c r="Z340" s="364"/>
      <c r="AA340"/>
      <c r="AB340"/>
    </row>
    <row r="341" spans="17:28" ht="12.75" customHeight="1" thickBot="1">
      <c r="Q341" s="364"/>
      <c r="R341" s="892"/>
      <c r="S341" s="893"/>
      <c r="T341" s="893"/>
      <c r="U341" s="893"/>
      <c r="V341" s="893"/>
      <c r="W341" s="894"/>
      <c r="X341" s="364"/>
      <c r="Y341" s="364"/>
      <c r="Z341" s="364"/>
      <c r="AA341"/>
      <c r="AB341"/>
    </row>
    <row r="342" spans="17:28" ht="12.75" customHeight="1">
      <c r="Q342" s="364"/>
      <c r="R342" s="895" t="s">
        <v>886</v>
      </c>
      <c r="S342" s="896"/>
      <c r="T342" s="900" t="s">
        <v>835</v>
      </c>
      <c r="U342" s="900" t="s">
        <v>836</v>
      </c>
      <c r="V342" s="900" t="s">
        <v>837</v>
      </c>
      <c r="W342" s="902" t="s">
        <v>838</v>
      </c>
      <c r="X342" s="364"/>
      <c r="Y342" s="364"/>
      <c r="Z342" s="364"/>
      <c r="AA342"/>
      <c r="AB342"/>
    </row>
    <row r="343" spans="17:28" ht="12.75" customHeight="1">
      <c r="Q343" s="364"/>
      <c r="R343" s="892"/>
      <c r="S343" s="897"/>
      <c r="T343" s="901"/>
      <c r="U343" s="901"/>
      <c r="V343" s="901"/>
      <c r="W343" s="903"/>
      <c r="X343" s="364"/>
      <c r="Y343" s="364"/>
      <c r="Z343" s="364"/>
      <c r="AA343"/>
      <c r="AB343"/>
    </row>
    <row r="344" spans="17:28" ht="12.75" customHeight="1">
      <c r="Q344" s="364"/>
      <c r="R344" s="892"/>
      <c r="S344" s="897"/>
      <c r="T344" s="689">
        <f>T331-PPE!$I$15</f>
        <v>98.870400000000004</v>
      </c>
      <c r="U344" s="560">
        <f>U338</f>
        <v>1.4285714285714284</v>
      </c>
      <c r="V344" s="690">
        <f>IF(T344&gt;0,W344*U344," ")</f>
        <v>433.03571428571422</v>
      </c>
      <c r="W344" s="691">
        <f>IF(T344&gt;0,(VLOOKUP(T344,'Lookup Ready-reckoner'!$B$5:$E$1207,4))," ")</f>
        <v>303.125</v>
      </c>
      <c r="X344" s="364"/>
      <c r="Y344" s="364"/>
      <c r="Z344" s="364"/>
      <c r="AA344"/>
      <c r="AB344"/>
    </row>
    <row r="345" spans="17:28" ht="12.75" customHeight="1">
      <c r="Q345" s="364"/>
      <c r="R345" s="898"/>
      <c r="S345" s="899"/>
      <c r="T345" s="447"/>
      <c r="U345" s="560"/>
      <c r="V345" s="690" t="str">
        <f>IF(T345&gt;0,W345*U345," ")</f>
        <v xml:space="preserve"> </v>
      </c>
      <c r="W345" s="691" t="str">
        <f>IF(T345&gt;0,(VLOOKUP(T345,'Lookup Ready-reckoner'!$B$5:$E$1007,4))," ")</f>
        <v xml:space="preserve"> </v>
      </c>
      <c r="X345" s="364"/>
      <c r="Y345" s="364"/>
      <c r="Z345" s="364"/>
      <c r="AA345"/>
      <c r="AB345"/>
    </row>
    <row r="346" spans="17:28" ht="12.75" customHeight="1" thickBot="1">
      <c r="Q346" s="364"/>
      <c r="R346" s="692" t="s">
        <v>839</v>
      </c>
      <c r="S346" s="693"/>
      <c r="T346" s="693"/>
      <c r="U346" s="694">
        <f>IF(T344&gt;0,(VLOOKUP(V346,'Lookup Ready-reckoner'!$L$5:$M$1207,2))," ")</f>
        <v>91.3</v>
      </c>
      <c r="V346" s="695">
        <f>IF(U344&gt;0,(SUM(V344:V345))," ")</f>
        <v>433.03571428571422</v>
      </c>
      <c r="W346" s="696"/>
      <c r="X346" s="364"/>
      <c r="Y346" s="364"/>
      <c r="Z346" s="364"/>
      <c r="AA346"/>
      <c r="AB346"/>
    </row>
    <row r="347" spans="17:28" ht="12.75" customHeight="1">
      <c r="Q347" s="364"/>
      <c r="R347" s="363"/>
      <c r="S347" s="363"/>
      <c r="T347" s="363"/>
      <c r="U347" s="363"/>
      <c r="V347" s="363"/>
      <c r="W347" s="363"/>
      <c r="X347" s="364"/>
      <c r="Y347" s="364"/>
      <c r="Z347" s="364"/>
      <c r="AA347"/>
      <c r="AB347"/>
    </row>
    <row r="348" spans="17:28" ht="12.75" customHeight="1" thickBot="1">
      <c r="Q348" s="364"/>
      <c r="R348" s="915" t="str">
        <f>T306</f>
        <v>Seco S215 Muffled</v>
      </c>
      <c r="S348" s="915"/>
      <c r="T348" s="915"/>
      <c r="U348" s="915"/>
      <c r="V348" s="915"/>
      <c r="W348" s="915"/>
      <c r="X348" s="364"/>
      <c r="Y348" s="363"/>
      <c r="Z348" s="363"/>
      <c r="AA348"/>
      <c r="AB348"/>
    </row>
    <row r="349" spans="17:28" ht="12.75" customHeight="1" thickBot="1">
      <c r="Q349" s="364"/>
      <c r="R349" s="906" t="s">
        <v>205</v>
      </c>
      <c r="S349" s="907"/>
      <c r="T349" s="907"/>
      <c r="U349" s="907"/>
      <c r="V349" s="907"/>
      <c r="W349" s="908"/>
      <c r="X349" s="364"/>
      <c r="Y349" s="363"/>
      <c r="Z349" s="363"/>
      <c r="AA349"/>
      <c r="AB349"/>
    </row>
    <row r="350" spans="17:28" ht="12.75" customHeight="1" thickBot="1">
      <c r="Q350" s="364"/>
      <c r="R350" s="686" t="s">
        <v>59</v>
      </c>
      <c r="S350" s="577"/>
      <c r="T350" s="687"/>
      <c r="U350" s="687"/>
      <c r="V350" s="687"/>
      <c r="W350" s="688"/>
      <c r="X350" s="364"/>
      <c r="Y350" s="363"/>
      <c r="Z350" s="363"/>
      <c r="AA350"/>
      <c r="AB350"/>
    </row>
    <row r="351" spans="17:28" ht="12.75" customHeight="1">
      <c r="Q351" s="364"/>
      <c r="R351" s="895" t="s">
        <v>845</v>
      </c>
      <c r="S351" s="896"/>
      <c r="T351" s="900" t="s">
        <v>835</v>
      </c>
      <c r="U351" s="900" t="s">
        <v>836</v>
      </c>
      <c r="V351" s="900" t="s">
        <v>837</v>
      </c>
      <c r="W351" s="902" t="s">
        <v>838</v>
      </c>
      <c r="X351" s="364"/>
      <c r="Y351" s="363"/>
      <c r="Z351" s="363"/>
      <c r="AA351"/>
      <c r="AB351"/>
    </row>
    <row r="352" spans="17:28" ht="12.75" customHeight="1">
      <c r="Q352" s="364"/>
      <c r="R352" s="892"/>
      <c r="S352" s="897"/>
      <c r="T352" s="904"/>
      <c r="U352" s="904"/>
      <c r="V352" s="904"/>
      <c r="W352" s="905"/>
      <c r="X352" s="364"/>
      <c r="Y352" s="363"/>
      <c r="Z352" s="363"/>
      <c r="AA352"/>
      <c r="AB352"/>
    </row>
    <row r="353" spans="17:28" ht="12.75" customHeight="1">
      <c r="Q353" s="364"/>
      <c r="R353" s="892"/>
      <c r="S353" s="897"/>
      <c r="T353" s="901"/>
      <c r="U353" s="901"/>
      <c r="V353" s="901"/>
      <c r="W353" s="903"/>
      <c r="X353" s="364"/>
      <c r="Y353" s="363"/>
      <c r="Z353" s="363"/>
      <c r="AA353"/>
      <c r="AB353"/>
    </row>
    <row r="354" spans="17:28" ht="12.75" customHeight="1">
      <c r="Q354" s="364"/>
      <c r="R354" s="892"/>
      <c r="S354" s="897"/>
      <c r="T354" s="700">
        <f>V69</f>
        <v>108</v>
      </c>
      <c r="U354" s="560">
        <f>V62</f>
        <v>1.9999999999999996</v>
      </c>
      <c r="V354" s="690">
        <f>IF(T354&gt;0,W354*U354," ")</f>
        <v>4999.9999999999991</v>
      </c>
      <c r="W354" s="691">
        <f>IF(T354&gt;0,(VLOOKUP(T354,'Lookup Ready-reckoner'!$B$5:$E$1207,4))," ")</f>
        <v>2500</v>
      </c>
      <c r="X354" s="364"/>
      <c r="Y354" s="363"/>
      <c r="Z354" s="363"/>
      <c r="AA354"/>
      <c r="AB354"/>
    </row>
    <row r="355" spans="17:28" ht="12.75" customHeight="1">
      <c r="Q355" s="364"/>
      <c r="R355" s="898"/>
      <c r="S355" s="899"/>
      <c r="T355" s="447"/>
      <c r="U355" s="560"/>
      <c r="V355" s="690" t="str">
        <f>IF(T355&gt;0,W355*U355," ")</f>
        <v xml:space="preserve"> </v>
      </c>
      <c r="W355" s="691" t="str">
        <f>IF(T355&gt;0,(VLOOKUP(T355,'Lookup Ready-reckoner'!$B$5:$E$1007,4))," ")</f>
        <v xml:space="preserve"> </v>
      </c>
      <c r="X355" s="364"/>
      <c r="Y355" s="363"/>
      <c r="Z355" s="363"/>
      <c r="AA355"/>
      <c r="AB355"/>
    </row>
    <row r="356" spans="17:28" ht="12.75" customHeight="1" thickBot="1">
      <c r="Q356" s="364"/>
      <c r="R356" s="699" t="s">
        <v>839</v>
      </c>
      <c r="S356" s="693"/>
      <c r="T356" s="693"/>
      <c r="U356" s="701">
        <f>IF(T354&gt;0,(VLOOKUP(V356,'Lookup Ready-reckoner'!$L$5:$M$1207,2))," ")</f>
        <v>101.95</v>
      </c>
      <c r="V356" s="695">
        <f>IF(U354&gt;0,(SUM(V354:V355))," ")</f>
        <v>4999.9999999999991</v>
      </c>
      <c r="W356" s="696"/>
      <c r="X356" s="364"/>
      <c r="Y356" s="363"/>
      <c r="Z356" s="363"/>
      <c r="AA356"/>
      <c r="AB356"/>
    </row>
    <row r="357" spans="17:28" ht="12.75" customHeight="1" thickBot="1">
      <c r="Q357" s="364"/>
      <c r="R357" s="892"/>
      <c r="S357" s="893"/>
      <c r="T357" s="893"/>
      <c r="U357" s="893"/>
      <c r="V357" s="893"/>
      <c r="W357" s="894"/>
      <c r="X357" s="364"/>
      <c r="Y357" s="363"/>
      <c r="Z357" s="363"/>
      <c r="AA357"/>
      <c r="AB357"/>
    </row>
    <row r="358" spans="17:28" ht="12.75" customHeight="1">
      <c r="Q358" s="364"/>
      <c r="R358" s="895" t="s">
        <v>886</v>
      </c>
      <c r="S358" s="896"/>
      <c r="T358" s="900" t="s">
        <v>835</v>
      </c>
      <c r="U358" s="900" t="s">
        <v>836</v>
      </c>
      <c r="V358" s="900" t="s">
        <v>837</v>
      </c>
      <c r="W358" s="902" t="s">
        <v>838</v>
      </c>
      <c r="X358" s="364"/>
      <c r="Y358" s="363"/>
      <c r="Z358" s="363"/>
      <c r="AA358"/>
      <c r="AB358"/>
    </row>
    <row r="359" spans="17:28" ht="12.75" customHeight="1">
      <c r="Q359" s="364"/>
      <c r="R359" s="892"/>
      <c r="S359" s="897"/>
      <c r="T359" s="901"/>
      <c r="U359" s="901"/>
      <c r="V359" s="901"/>
      <c r="W359" s="903"/>
      <c r="X359" s="364"/>
      <c r="Y359" s="363"/>
      <c r="Z359" s="363"/>
      <c r="AA359"/>
      <c r="AB359"/>
    </row>
    <row r="360" spans="17:28" ht="12.75" customHeight="1">
      <c r="Q360" s="364"/>
      <c r="R360" s="892"/>
      <c r="S360" s="897"/>
      <c r="T360" s="700">
        <f>T354*(1-0.0178*2)</f>
        <v>104.15520000000001</v>
      </c>
      <c r="U360" s="560">
        <f>U354</f>
        <v>1.9999999999999996</v>
      </c>
      <c r="V360" s="690">
        <f>IF(T360&gt;0,W360*U360," ")</f>
        <v>2074.9999999999995</v>
      </c>
      <c r="W360" s="691">
        <f>IF(T360&gt;0,(VLOOKUP(T360,'Lookup Ready-reckoner'!$B$5:$E$1207,4))," ")</f>
        <v>1037.5</v>
      </c>
      <c r="X360" s="364"/>
      <c r="Y360" s="363"/>
      <c r="Z360" s="363"/>
      <c r="AA360"/>
      <c r="AB360"/>
    </row>
    <row r="361" spans="17:28" ht="12.75" customHeight="1">
      <c r="Q361" s="364"/>
      <c r="R361" s="898"/>
      <c r="S361" s="899"/>
      <c r="T361" s="447"/>
      <c r="U361" s="560"/>
      <c r="V361" s="690" t="str">
        <f>IF(T361&gt;0,W361*U361," ")</f>
        <v xml:space="preserve"> </v>
      </c>
      <c r="W361" s="691" t="str">
        <f>IF(T361&gt;0,(VLOOKUP(T361,'Lookup Ready-reckoner'!$B$5:$E$1007,4))," ")</f>
        <v xml:space="preserve"> </v>
      </c>
      <c r="X361" s="364"/>
      <c r="Y361" s="363"/>
      <c r="Z361" s="363"/>
      <c r="AA361"/>
      <c r="AB361"/>
    </row>
    <row r="362" spans="17:28" ht="12.75" customHeight="1" thickBot="1">
      <c r="Q362" s="364"/>
      <c r="R362" s="692" t="s">
        <v>839</v>
      </c>
      <c r="S362" s="693"/>
      <c r="T362" s="693"/>
      <c r="U362" s="701">
        <f>IF(T360&gt;0,(VLOOKUP(V362,'Lookup Ready-reckoner'!$L$5:$M$1207,2))," ")</f>
        <v>98.1</v>
      </c>
      <c r="V362" s="695">
        <f>IF(U360&gt;0,(SUM(V360:V361))," ")</f>
        <v>2074.9999999999995</v>
      </c>
      <c r="W362" s="696"/>
      <c r="X362" s="364"/>
      <c r="Y362" s="363"/>
      <c r="Z362" s="363"/>
      <c r="AA362"/>
      <c r="AB362"/>
    </row>
    <row r="363" spans="17:28" ht="12.75" customHeight="1">
      <c r="Q363" s="364"/>
      <c r="R363" s="697"/>
      <c r="S363" s="687"/>
      <c r="T363" s="687"/>
      <c r="U363" s="372"/>
      <c r="V363" s="374"/>
      <c r="W363" s="688"/>
      <c r="X363" s="364"/>
      <c r="Y363" s="363"/>
      <c r="Z363" s="363"/>
      <c r="AA363"/>
      <c r="AB363"/>
    </row>
    <row r="364" spans="17:28" ht="12.75" customHeight="1" thickBot="1">
      <c r="Q364" s="364"/>
      <c r="R364" s="686" t="s">
        <v>60</v>
      </c>
      <c r="S364" s="577"/>
      <c r="T364" s="577"/>
      <c r="U364" s="577"/>
      <c r="V364" s="577"/>
      <c r="W364" s="698"/>
      <c r="X364" s="364"/>
      <c r="Y364" s="363"/>
      <c r="Z364" s="363"/>
      <c r="AA364"/>
      <c r="AB364"/>
    </row>
    <row r="365" spans="17:28" ht="12.75" customHeight="1">
      <c r="Q365" s="364"/>
      <c r="R365" s="895" t="s">
        <v>845</v>
      </c>
      <c r="S365" s="896"/>
      <c r="T365" s="900" t="s">
        <v>835</v>
      </c>
      <c r="U365" s="900" t="s">
        <v>836</v>
      </c>
      <c r="V365" s="900" t="s">
        <v>837</v>
      </c>
      <c r="W365" s="902" t="s">
        <v>838</v>
      </c>
      <c r="X365" s="364"/>
      <c r="Y365" s="363"/>
      <c r="Z365" s="363"/>
      <c r="AA365"/>
      <c r="AB365"/>
    </row>
    <row r="366" spans="17:28" ht="12.75" customHeight="1">
      <c r="Q366" s="364"/>
      <c r="R366" s="892"/>
      <c r="S366" s="897"/>
      <c r="T366" s="901"/>
      <c r="U366" s="901"/>
      <c r="V366" s="901"/>
      <c r="W366" s="903"/>
      <c r="X366" s="364"/>
      <c r="Y366" s="363"/>
      <c r="Z366" s="363"/>
      <c r="AA366"/>
      <c r="AB366"/>
    </row>
    <row r="367" spans="17:28" ht="12.75" customHeight="1">
      <c r="Q367" s="364"/>
      <c r="R367" s="892"/>
      <c r="S367" s="897"/>
      <c r="T367" s="700">
        <f>T354-PPE!$I$15</f>
        <v>95</v>
      </c>
      <c r="U367" s="560">
        <f>U360</f>
        <v>1.9999999999999996</v>
      </c>
      <c r="V367" s="690">
        <f>IF(T367&gt;0,W367*U367," ")</f>
        <v>249.99999999999994</v>
      </c>
      <c r="W367" s="691">
        <f>IF(T367&gt;0,(VLOOKUP(T367,'Lookup Ready-reckoner'!$B$5:$E$1207,4))," ")</f>
        <v>125</v>
      </c>
      <c r="X367" s="364"/>
      <c r="Y367" s="363"/>
      <c r="Z367" s="363"/>
      <c r="AA367"/>
      <c r="AB367"/>
    </row>
    <row r="368" spans="17:28" ht="12.75" customHeight="1">
      <c r="Q368" s="364"/>
      <c r="R368" s="898"/>
      <c r="S368" s="899"/>
      <c r="T368" s="447"/>
      <c r="U368" s="560"/>
      <c r="V368" s="690" t="str">
        <f>IF(T368&gt;0,W368*U368," ")</f>
        <v xml:space="preserve"> </v>
      </c>
      <c r="W368" s="691" t="str">
        <f>IF(T368&gt;0,(VLOOKUP(T368,'Lookup Ready-reckoner'!$B$5:$E$1007,4))," ")</f>
        <v xml:space="preserve"> </v>
      </c>
      <c r="X368" s="364"/>
      <c r="Y368" s="363"/>
      <c r="Z368" s="363"/>
      <c r="AA368"/>
      <c r="AB368"/>
    </row>
    <row r="369" spans="17:28" ht="12.75" customHeight="1" thickBot="1">
      <c r="Q369" s="364"/>
      <c r="R369" s="692" t="s">
        <v>839</v>
      </c>
      <c r="S369" s="693"/>
      <c r="T369" s="693"/>
      <c r="U369" s="701">
        <f>IF(T367&gt;0,(VLOOKUP(V369,'Lookup Ready-reckoner'!$L$5:$M$1207,2))," ")</f>
        <v>88.95</v>
      </c>
      <c r="V369" s="695">
        <f>IF(U367&gt;0,(SUM(V367:V368))," ")</f>
        <v>249.99999999999994</v>
      </c>
      <c r="W369" s="696"/>
      <c r="X369" s="364"/>
      <c r="Y369" s="363"/>
      <c r="Z369" s="363"/>
      <c r="AA369"/>
      <c r="AB369"/>
    </row>
    <row r="370" spans="17:28" ht="12.75" customHeight="1" thickBot="1">
      <c r="Q370" s="364"/>
      <c r="R370" s="892"/>
      <c r="S370" s="893"/>
      <c r="T370" s="893"/>
      <c r="U370" s="893"/>
      <c r="V370" s="893"/>
      <c r="W370" s="894"/>
      <c r="X370" s="364"/>
      <c r="Y370" s="363"/>
      <c r="Z370" s="363"/>
      <c r="AA370"/>
      <c r="AB370"/>
    </row>
    <row r="371" spans="17:28" ht="12.75" customHeight="1">
      <c r="Q371" s="364"/>
      <c r="R371" s="895" t="s">
        <v>886</v>
      </c>
      <c r="S371" s="896"/>
      <c r="T371" s="900" t="s">
        <v>835</v>
      </c>
      <c r="U371" s="900" t="s">
        <v>836</v>
      </c>
      <c r="V371" s="900" t="s">
        <v>837</v>
      </c>
      <c r="W371" s="902" t="s">
        <v>838</v>
      </c>
      <c r="X371" s="364"/>
      <c r="Y371" s="363"/>
      <c r="Z371" s="363"/>
      <c r="AA371"/>
      <c r="AB371"/>
    </row>
    <row r="372" spans="17:28" ht="12.75" customHeight="1">
      <c r="Q372" s="364"/>
      <c r="R372" s="892"/>
      <c r="S372" s="897"/>
      <c r="T372" s="901"/>
      <c r="U372" s="901"/>
      <c r="V372" s="901"/>
      <c r="W372" s="903"/>
      <c r="X372" s="364"/>
      <c r="Y372" s="363"/>
      <c r="Z372" s="363"/>
      <c r="AA372"/>
      <c r="AB372"/>
    </row>
    <row r="373" spans="17:28" ht="12.75" customHeight="1">
      <c r="Q373" s="364"/>
      <c r="R373" s="892"/>
      <c r="S373" s="897"/>
      <c r="T373" s="700">
        <f>T360-PPE!$I$15</f>
        <v>91.155200000000008</v>
      </c>
      <c r="U373" s="560">
        <f>U367</f>
        <v>1.9999999999999996</v>
      </c>
      <c r="V373" s="690">
        <f>IF(T373&gt;0,W373*U373," ")</f>
        <v>103.74999999999997</v>
      </c>
      <c r="W373" s="691">
        <f>IF(T373&gt;0,(VLOOKUP(T373,'Lookup Ready-reckoner'!$B$5:$E$1207,4))," ")</f>
        <v>51.875</v>
      </c>
      <c r="X373" s="364"/>
      <c r="Y373" s="363"/>
      <c r="Z373" s="363"/>
      <c r="AA373"/>
      <c r="AB373"/>
    </row>
    <row r="374" spans="17:28" ht="12.75" customHeight="1">
      <c r="Q374" s="364"/>
      <c r="R374" s="898"/>
      <c r="S374" s="899"/>
      <c r="T374" s="447"/>
      <c r="U374" s="560"/>
      <c r="V374" s="690" t="str">
        <f>IF(T374&gt;0,W374*U374," ")</f>
        <v xml:space="preserve"> </v>
      </c>
      <c r="W374" s="691" t="str">
        <f>IF(T374&gt;0,(VLOOKUP(T374,'Lookup Ready-reckoner'!$B$5:$E$1007,4))," ")</f>
        <v xml:space="preserve"> </v>
      </c>
      <c r="X374" s="364"/>
      <c r="Y374" s="363"/>
      <c r="Z374" s="363"/>
      <c r="AA374"/>
      <c r="AB374"/>
    </row>
    <row r="375" spans="17:28" ht="12.75" customHeight="1" thickBot="1">
      <c r="Q375" s="364"/>
      <c r="R375" s="692" t="s">
        <v>839</v>
      </c>
      <c r="S375" s="693"/>
      <c r="T375" s="693"/>
      <c r="U375" s="701">
        <f>IF(T373&gt;0,(VLOOKUP(V375,'Lookup Ready-reckoner'!$L$5:$M$1207,2))," ")</f>
        <v>85.1</v>
      </c>
      <c r="V375" s="695">
        <f>IF(U373&gt;0,(SUM(V373:V374))," ")</f>
        <v>103.74999999999997</v>
      </c>
      <c r="W375" s="696"/>
      <c r="X375" s="364"/>
      <c r="Y375" s="363"/>
      <c r="Z375" s="363"/>
      <c r="AA375"/>
      <c r="AB375"/>
    </row>
    <row r="376" spans="17:28" ht="12.75" customHeight="1">
      <c r="Q376" s="364"/>
      <c r="R376" s="363"/>
      <c r="S376" s="363"/>
      <c r="T376" s="363"/>
      <c r="U376" s="363"/>
      <c r="V376" s="363"/>
      <c r="W376" s="363"/>
      <c r="X376" s="364"/>
      <c r="Y376" s="364"/>
      <c r="Z376" s="364"/>
      <c r="AA376"/>
      <c r="AB376"/>
    </row>
    <row r="377" spans="17:28" ht="12.75" customHeight="1">
      <c r="Q377" s="364"/>
      <c r="R377" s="913" t="str">
        <f>U306</f>
        <v>Sulzer ADDS</v>
      </c>
      <c r="S377" s="914"/>
      <c r="T377" s="914"/>
      <c r="U377" s="914"/>
      <c r="V377" s="914"/>
      <c r="W377" s="914"/>
      <c r="X377" s="364"/>
      <c r="Y377" s="363"/>
      <c r="Z377" s="363"/>
      <c r="AA377"/>
      <c r="AB377"/>
    </row>
    <row r="378" spans="17:28" ht="12.75" customHeight="1" thickBot="1">
      <c r="Q378" s="364"/>
      <c r="R378" s="910" t="s">
        <v>205</v>
      </c>
      <c r="S378" s="911"/>
      <c r="T378" s="911"/>
      <c r="U378" s="911"/>
      <c r="V378" s="911"/>
      <c r="W378" s="912"/>
      <c r="X378" s="364"/>
      <c r="Y378" s="363"/>
      <c r="Z378" s="363"/>
      <c r="AA378"/>
      <c r="AB378"/>
    </row>
    <row r="379" spans="17:28" ht="12.75" customHeight="1" thickBot="1">
      <c r="Q379" s="364"/>
      <c r="R379" s="686" t="s">
        <v>59</v>
      </c>
      <c r="S379" s="577"/>
      <c r="T379" s="687"/>
      <c r="U379" s="687"/>
      <c r="V379" s="687"/>
      <c r="W379" s="688"/>
      <c r="X379" s="364"/>
      <c r="Y379" s="363"/>
      <c r="Z379" s="363"/>
      <c r="AA379"/>
      <c r="AB379"/>
    </row>
    <row r="380" spans="17:28" ht="12.75" customHeight="1">
      <c r="Q380" s="364"/>
      <c r="R380" s="895" t="s">
        <v>845</v>
      </c>
      <c r="S380" s="896"/>
      <c r="T380" s="900" t="s">
        <v>835</v>
      </c>
      <c r="U380" s="900" t="s">
        <v>836</v>
      </c>
      <c r="V380" s="900" t="s">
        <v>837</v>
      </c>
      <c r="W380" s="902" t="s">
        <v>838</v>
      </c>
      <c r="X380" s="364"/>
      <c r="Y380" s="363"/>
      <c r="Z380" s="363"/>
      <c r="AA380"/>
      <c r="AB380"/>
    </row>
    <row r="381" spans="17:28" ht="12.75" customHeight="1">
      <c r="Q381" s="364"/>
      <c r="R381" s="892"/>
      <c r="S381" s="897"/>
      <c r="T381" s="904"/>
      <c r="U381" s="904"/>
      <c r="V381" s="904"/>
      <c r="W381" s="905"/>
      <c r="X381" s="364"/>
      <c r="Y381" s="363"/>
      <c r="Z381" s="363"/>
      <c r="AA381"/>
      <c r="AB381"/>
    </row>
    <row r="382" spans="17:28" ht="12.75" customHeight="1">
      <c r="Q382" s="364"/>
      <c r="R382" s="892"/>
      <c r="S382" s="897"/>
      <c r="T382" s="901"/>
      <c r="U382" s="901"/>
      <c r="V382" s="901"/>
      <c r="W382" s="903"/>
      <c r="X382" s="364"/>
      <c r="Y382" s="363"/>
      <c r="Z382" s="363"/>
      <c r="AA382"/>
      <c r="AB382"/>
    </row>
    <row r="383" spans="17:28" ht="12.75" customHeight="1">
      <c r="Q383" s="364"/>
      <c r="R383" s="892"/>
      <c r="S383" s="897"/>
      <c r="T383" s="702">
        <f>W69</f>
        <v>109</v>
      </c>
      <c r="U383" s="560">
        <f>W62</f>
        <v>1.7391304347826084</v>
      </c>
      <c r="V383" s="690">
        <f>IF(T383&gt;0,W383*U383," ")</f>
        <v>5565.2173913043471</v>
      </c>
      <c r="W383" s="691">
        <f>IF(T383&gt;0,(VLOOKUP(T383,'Lookup Ready-reckoner'!$B$5:$E$1207,4))," ")</f>
        <v>3200</v>
      </c>
      <c r="X383" s="364"/>
      <c r="Y383" s="363"/>
      <c r="Z383" s="363"/>
      <c r="AA383"/>
      <c r="AB383"/>
    </row>
    <row r="384" spans="17:28" ht="12.75" customHeight="1">
      <c r="Q384" s="364"/>
      <c r="R384" s="898"/>
      <c r="S384" s="899"/>
      <c r="T384" s="447"/>
      <c r="U384" s="560"/>
      <c r="V384" s="690" t="str">
        <f>IF(T384&gt;0,W384*U384," ")</f>
        <v xml:space="preserve"> </v>
      </c>
      <c r="W384" s="691" t="str">
        <f>IF(T384&gt;0,(VLOOKUP(T384,'Lookup Ready-reckoner'!$B$5:$E$1007,4))," ")</f>
        <v xml:space="preserve"> </v>
      </c>
      <c r="X384" s="364"/>
      <c r="Y384" s="363"/>
      <c r="Z384" s="363"/>
      <c r="AA384"/>
      <c r="AB384"/>
    </row>
    <row r="385" spans="17:28" ht="12.75" customHeight="1" thickBot="1">
      <c r="Q385" s="364"/>
      <c r="R385" s="692" t="s">
        <v>839</v>
      </c>
      <c r="S385" s="693"/>
      <c r="T385" s="693"/>
      <c r="U385" s="703">
        <f>IF(T383&gt;0,(VLOOKUP(V385,'Lookup Ready-reckoner'!$L$5:$M$1207,2))," ")</f>
        <v>102.4</v>
      </c>
      <c r="V385" s="695">
        <f>IF(U383&gt;0,(SUM(V383:V384))," ")</f>
        <v>5565.2173913043471</v>
      </c>
      <c r="W385" s="696"/>
      <c r="X385" s="364"/>
      <c r="Y385" s="363"/>
      <c r="Z385" s="363"/>
      <c r="AA385"/>
      <c r="AB385"/>
    </row>
    <row r="386" spans="17:28" ht="12.75" customHeight="1" thickBot="1">
      <c r="Q386" s="364"/>
      <c r="R386" s="892"/>
      <c r="S386" s="893"/>
      <c r="T386" s="893"/>
      <c r="U386" s="893"/>
      <c r="V386" s="893"/>
      <c r="W386" s="894"/>
      <c r="X386" s="364"/>
      <c r="Y386" s="363"/>
      <c r="Z386" s="363"/>
      <c r="AA386"/>
      <c r="AB386"/>
    </row>
    <row r="387" spans="17:28" ht="12.75" customHeight="1">
      <c r="Q387" s="364"/>
      <c r="R387" s="895" t="s">
        <v>886</v>
      </c>
      <c r="S387" s="896"/>
      <c r="T387" s="900" t="s">
        <v>835</v>
      </c>
      <c r="U387" s="900" t="s">
        <v>836</v>
      </c>
      <c r="V387" s="900" t="s">
        <v>837</v>
      </c>
      <c r="W387" s="902" t="s">
        <v>838</v>
      </c>
      <c r="X387" s="364"/>
      <c r="Y387" s="363"/>
      <c r="Z387" s="363"/>
      <c r="AA387"/>
      <c r="AB387"/>
    </row>
    <row r="388" spans="17:28" ht="12.75" customHeight="1">
      <c r="Q388" s="364"/>
      <c r="R388" s="892"/>
      <c r="S388" s="897"/>
      <c r="T388" s="901"/>
      <c r="U388" s="901"/>
      <c r="V388" s="901"/>
      <c r="W388" s="903"/>
      <c r="X388" s="364"/>
      <c r="Y388" s="363"/>
      <c r="Z388" s="363"/>
      <c r="AA388"/>
      <c r="AB388"/>
    </row>
    <row r="389" spans="17:28" ht="12.75" customHeight="1">
      <c r="Q389" s="364"/>
      <c r="R389" s="892"/>
      <c r="S389" s="897"/>
      <c r="T389" s="702">
        <f>T383*(1-0.0178*2)</f>
        <v>105.11960000000001</v>
      </c>
      <c r="U389" s="560">
        <f>U383</f>
        <v>1.7391304347826084</v>
      </c>
      <c r="V389" s="690">
        <f>IF(T389&gt;0,W389*U389," ")</f>
        <v>2234.782608695652</v>
      </c>
      <c r="W389" s="691">
        <f>IF(T389&gt;0,(VLOOKUP(T389,'Lookup Ready-reckoner'!$B$5:$E$1207,4))," ")</f>
        <v>1285</v>
      </c>
      <c r="X389" s="364"/>
      <c r="Y389" s="363"/>
      <c r="Z389" s="363"/>
      <c r="AA389"/>
      <c r="AB389"/>
    </row>
    <row r="390" spans="17:28" ht="12.75" customHeight="1">
      <c r="Q390" s="364"/>
      <c r="R390" s="898"/>
      <c r="S390" s="899"/>
      <c r="T390" s="447"/>
      <c r="U390" s="560"/>
      <c r="V390" s="690" t="str">
        <f>IF(T390&gt;0,W390*U390," ")</f>
        <v xml:space="preserve"> </v>
      </c>
      <c r="W390" s="691" t="str">
        <f>IF(T390&gt;0,(VLOOKUP(T390,'Lookup Ready-reckoner'!$B$5:$E$1007,4))," ")</f>
        <v xml:space="preserve"> </v>
      </c>
      <c r="X390" s="364"/>
      <c r="Y390" s="363"/>
      <c r="Z390" s="363"/>
      <c r="AA390"/>
      <c r="AB390"/>
    </row>
    <row r="391" spans="17:28" ht="12.75" customHeight="1" thickBot="1">
      <c r="Q391" s="364"/>
      <c r="R391" s="692" t="s">
        <v>839</v>
      </c>
      <c r="S391" s="693"/>
      <c r="T391" s="693"/>
      <c r="U391" s="703">
        <f>IF(T389&gt;0,(VLOOKUP(V391,'Lookup Ready-reckoner'!$L$5:$M$1207,2))," ")</f>
        <v>98.45</v>
      </c>
      <c r="V391" s="695">
        <f>IF(U389&gt;0,(SUM(V389:V390))," ")</f>
        <v>2234.782608695652</v>
      </c>
      <c r="W391" s="696"/>
      <c r="X391" s="364"/>
      <c r="Y391" s="363"/>
      <c r="Z391" s="363"/>
      <c r="AA391"/>
      <c r="AB391"/>
    </row>
    <row r="392" spans="17:28" ht="12.75" customHeight="1">
      <c r="Q392" s="364"/>
      <c r="R392" s="697"/>
      <c r="S392" s="687"/>
      <c r="T392" s="687"/>
      <c r="U392" s="372"/>
      <c r="V392" s="374"/>
      <c r="W392" s="688"/>
      <c r="X392" s="364"/>
      <c r="Y392" s="363"/>
      <c r="Z392" s="363"/>
      <c r="AA392"/>
      <c r="AB392"/>
    </row>
    <row r="393" spans="17:28" ht="12.75" customHeight="1" thickBot="1">
      <c r="Q393" s="364"/>
      <c r="R393" s="686" t="s">
        <v>60</v>
      </c>
      <c r="S393" s="577"/>
      <c r="T393" s="577"/>
      <c r="U393" s="577"/>
      <c r="V393" s="577"/>
      <c r="W393" s="698"/>
      <c r="X393" s="364"/>
      <c r="Y393" s="363"/>
      <c r="Z393" s="363"/>
      <c r="AA393"/>
      <c r="AB393"/>
    </row>
    <row r="394" spans="17:28" ht="12.75" customHeight="1">
      <c r="Q394" s="364"/>
      <c r="R394" s="895" t="s">
        <v>845</v>
      </c>
      <c r="S394" s="896"/>
      <c r="T394" s="900" t="s">
        <v>835</v>
      </c>
      <c r="U394" s="900" t="s">
        <v>836</v>
      </c>
      <c r="V394" s="900" t="s">
        <v>837</v>
      </c>
      <c r="W394" s="902" t="s">
        <v>838</v>
      </c>
      <c r="X394" s="364"/>
      <c r="Y394" s="363"/>
      <c r="Z394" s="363"/>
      <c r="AA394"/>
      <c r="AB394"/>
    </row>
    <row r="395" spans="17:28" ht="12.75" customHeight="1">
      <c r="Q395" s="364"/>
      <c r="R395" s="892"/>
      <c r="S395" s="897"/>
      <c r="T395" s="901"/>
      <c r="U395" s="901"/>
      <c r="V395" s="901"/>
      <c r="W395" s="903"/>
      <c r="X395" s="364"/>
      <c r="Y395" s="363"/>
      <c r="Z395" s="363"/>
      <c r="AA395"/>
      <c r="AB395"/>
    </row>
    <row r="396" spans="17:28" ht="12.75" customHeight="1">
      <c r="Q396" s="364"/>
      <c r="R396" s="892"/>
      <c r="S396" s="897"/>
      <c r="T396" s="702">
        <f>T383-PPE!$I$15</f>
        <v>96</v>
      </c>
      <c r="U396" s="560">
        <f>U389</f>
        <v>1.7391304347826084</v>
      </c>
      <c r="V396" s="690">
        <f>IF(T396&gt;0,W396*U396," ")</f>
        <v>271.73913043478257</v>
      </c>
      <c r="W396" s="691">
        <f>IF(T396&gt;0,(VLOOKUP(T396,'Lookup Ready-reckoner'!$B$5:$E$1207,4))," ")</f>
        <v>156.25</v>
      </c>
      <c r="X396" s="364"/>
      <c r="Y396" s="363"/>
      <c r="Z396" s="363"/>
      <c r="AA396"/>
      <c r="AB396"/>
    </row>
    <row r="397" spans="17:28" ht="12.75" customHeight="1">
      <c r="Q397" s="364"/>
      <c r="R397" s="898"/>
      <c r="S397" s="899"/>
      <c r="T397" s="447"/>
      <c r="U397" s="560"/>
      <c r="V397" s="690" t="str">
        <f>IF(T397&gt;0,W397*U397," ")</f>
        <v xml:space="preserve"> </v>
      </c>
      <c r="W397" s="691" t="str">
        <f>IF(T397&gt;0,(VLOOKUP(T397,'Lookup Ready-reckoner'!$B$5:$E$1007,4))," ")</f>
        <v xml:space="preserve"> </v>
      </c>
      <c r="X397" s="364"/>
      <c r="Y397" s="363"/>
      <c r="Z397" s="363"/>
      <c r="AA397"/>
      <c r="AB397"/>
    </row>
    <row r="398" spans="17:28" ht="12.75" customHeight="1" thickBot="1">
      <c r="Q398" s="364"/>
      <c r="R398" s="692" t="s">
        <v>839</v>
      </c>
      <c r="S398" s="693"/>
      <c r="T398" s="693"/>
      <c r="U398" s="703">
        <f>IF(T396&gt;0,(VLOOKUP(V398,'Lookup Ready-reckoner'!$L$5:$M$1207,2))," ")</f>
        <v>89.3</v>
      </c>
      <c r="V398" s="695">
        <f>IF(U396&gt;0,(SUM(V396:V397))," ")</f>
        <v>271.73913043478257</v>
      </c>
      <c r="W398" s="696"/>
      <c r="X398" s="364"/>
      <c r="Y398" s="363"/>
      <c r="Z398" s="363"/>
      <c r="AA398"/>
      <c r="AB398"/>
    </row>
    <row r="399" spans="17:28" ht="12.75" customHeight="1" thickBot="1">
      <c r="Q399" s="364"/>
      <c r="R399" s="892"/>
      <c r="S399" s="893"/>
      <c r="T399" s="893"/>
      <c r="U399" s="893"/>
      <c r="V399" s="893"/>
      <c r="W399" s="894"/>
      <c r="X399" s="364"/>
      <c r="Y399" s="363"/>
      <c r="Z399" s="363"/>
      <c r="AA399"/>
      <c r="AB399"/>
    </row>
    <row r="400" spans="17:28" ht="12.75" customHeight="1">
      <c r="Q400" s="364"/>
      <c r="R400" s="895" t="s">
        <v>886</v>
      </c>
      <c r="S400" s="896"/>
      <c r="T400" s="900" t="s">
        <v>835</v>
      </c>
      <c r="U400" s="900" t="s">
        <v>836</v>
      </c>
      <c r="V400" s="900" t="s">
        <v>837</v>
      </c>
      <c r="W400" s="902" t="s">
        <v>838</v>
      </c>
      <c r="X400" s="364"/>
      <c r="Y400" s="363"/>
      <c r="Z400" s="363"/>
      <c r="AA400"/>
      <c r="AB400"/>
    </row>
    <row r="401" spans="17:28" ht="12.75" customHeight="1">
      <c r="Q401" s="364"/>
      <c r="R401" s="892"/>
      <c r="S401" s="897"/>
      <c r="T401" s="901"/>
      <c r="U401" s="901"/>
      <c r="V401" s="901"/>
      <c r="W401" s="903"/>
      <c r="X401" s="364"/>
      <c r="Y401" s="363"/>
      <c r="Z401" s="363"/>
      <c r="AA401"/>
      <c r="AB401"/>
    </row>
    <row r="402" spans="17:28" ht="12.75" customHeight="1">
      <c r="Q402" s="364"/>
      <c r="R402" s="892"/>
      <c r="S402" s="897"/>
      <c r="T402" s="702">
        <f>T389-PPE!$I$15</f>
        <v>92.119600000000005</v>
      </c>
      <c r="U402" s="560">
        <f>U396</f>
        <v>1.7391304347826084</v>
      </c>
      <c r="V402" s="690">
        <f>IF(T402&gt;0,W402*U402," ")</f>
        <v>111.52173913043477</v>
      </c>
      <c r="W402" s="691">
        <f>IF(T402&gt;0,(VLOOKUP(T402,'Lookup Ready-reckoner'!$B$5:$E$1207,4))," ")</f>
        <v>64.125</v>
      </c>
      <c r="X402" s="364"/>
      <c r="Y402" s="363"/>
      <c r="Z402" s="363"/>
      <c r="AA402"/>
      <c r="AB402"/>
    </row>
    <row r="403" spans="17:28" ht="12.75" customHeight="1">
      <c r="Q403" s="364"/>
      <c r="R403" s="898"/>
      <c r="S403" s="899"/>
      <c r="T403" s="447"/>
      <c r="U403" s="560"/>
      <c r="V403" s="690" t="str">
        <f>IF(T403&gt;0,W403*U403," ")</f>
        <v xml:space="preserve"> </v>
      </c>
      <c r="W403" s="691" t="str">
        <f>IF(T403&gt;0,(VLOOKUP(T403,'Lookup Ready-reckoner'!$B$5:$E$1007,4))," ")</f>
        <v xml:space="preserve"> </v>
      </c>
      <c r="X403" s="364"/>
      <c r="Y403" s="363"/>
      <c r="Z403" s="363"/>
      <c r="AA403"/>
      <c r="AB403"/>
    </row>
    <row r="404" spans="17:28" ht="12.75" customHeight="1" thickBot="1">
      <c r="Q404" s="364"/>
      <c r="R404" s="692" t="s">
        <v>839</v>
      </c>
      <c r="S404" s="693"/>
      <c r="T404" s="693"/>
      <c r="U404" s="703">
        <f>IF(T402&gt;0,(VLOOKUP(V404,'Lookup Ready-reckoner'!$L$5:$M$1207,2))," ")</f>
        <v>85.45</v>
      </c>
      <c r="V404" s="695">
        <f>IF(U402&gt;0,(SUM(V402:V403))," ")</f>
        <v>111.52173913043477</v>
      </c>
      <c r="W404" s="696"/>
      <c r="X404" s="364"/>
      <c r="Y404" s="363"/>
      <c r="Z404" s="363"/>
      <c r="AA404"/>
      <c r="AB404"/>
    </row>
    <row r="405" spans="17:28" ht="12.75" customHeight="1">
      <c r="Q405" s="364"/>
      <c r="R405" s="363"/>
      <c r="S405" s="363"/>
      <c r="T405" s="363"/>
      <c r="U405" s="363"/>
      <c r="V405" s="363"/>
      <c r="W405" s="363"/>
      <c r="X405" s="364"/>
      <c r="Y405" s="364"/>
      <c r="Z405" s="364"/>
      <c r="AA405"/>
      <c r="AB405"/>
    </row>
    <row r="406" spans="17:28" ht="12.75" customHeight="1">
      <c r="Q406" s="364"/>
      <c r="R406" s="909" t="str">
        <f>V306</f>
        <v xml:space="preserve">Hilti TE MD20 </v>
      </c>
      <c r="S406" s="909"/>
      <c r="T406" s="909"/>
      <c r="U406" s="909"/>
      <c r="V406" s="909"/>
      <c r="W406" s="909"/>
      <c r="X406" s="364"/>
      <c r="Y406" s="364"/>
      <c r="Z406" s="364"/>
      <c r="AA406"/>
      <c r="AB406"/>
    </row>
    <row r="407" spans="17:28" ht="12.75" customHeight="1" thickBot="1">
      <c r="Q407" s="364"/>
      <c r="R407" s="910" t="s">
        <v>205</v>
      </c>
      <c r="S407" s="911"/>
      <c r="T407" s="911"/>
      <c r="U407" s="911"/>
      <c r="V407" s="911"/>
      <c r="W407" s="912"/>
      <c r="X407" s="364"/>
      <c r="Y407" s="364"/>
      <c r="Z407" s="364"/>
      <c r="AA407"/>
      <c r="AB407"/>
    </row>
    <row r="408" spans="17:28" ht="12.75" customHeight="1" thickBot="1">
      <c r="Q408" s="364"/>
      <c r="R408" s="686" t="s">
        <v>59</v>
      </c>
      <c r="S408" s="577"/>
      <c r="T408" s="687"/>
      <c r="U408" s="687"/>
      <c r="V408" s="687"/>
      <c r="W408" s="688"/>
      <c r="X408" s="364"/>
      <c r="Y408" s="364"/>
      <c r="Z408" s="364"/>
      <c r="AA408"/>
      <c r="AB408"/>
    </row>
    <row r="409" spans="17:28" ht="12.75" customHeight="1">
      <c r="Q409" s="364"/>
      <c r="R409" s="895" t="s">
        <v>845</v>
      </c>
      <c r="S409" s="896"/>
      <c r="T409" s="900" t="s">
        <v>835</v>
      </c>
      <c r="U409" s="900" t="s">
        <v>836</v>
      </c>
      <c r="V409" s="900" t="s">
        <v>837</v>
      </c>
      <c r="W409" s="902" t="s">
        <v>838</v>
      </c>
      <c r="X409" s="364"/>
      <c r="Y409" s="364"/>
      <c r="Z409" s="364"/>
      <c r="AA409"/>
      <c r="AB409"/>
    </row>
    <row r="410" spans="17:28" ht="12.75" customHeight="1">
      <c r="Q410" s="364"/>
      <c r="R410" s="892"/>
      <c r="S410" s="897"/>
      <c r="T410" s="904"/>
      <c r="U410" s="904"/>
      <c r="V410" s="904"/>
      <c r="W410" s="905"/>
      <c r="X410" s="364"/>
      <c r="Y410" s="364"/>
      <c r="Z410" s="364"/>
      <c r="AA410"/>
      <c r="AB410"/>
    </row>
    <row r="411" spans="17:28" ht="12.75" customHeight="1">
      <c r="Q411" s="364"/>
      <c r="R411" s="892"/>
      <c r="S411" s="897"/>
      <c r="T411" s="901"/>
      <c r="U411" s="901"/>
      <c r="V411" s="901"/>
      <c r="W411" s="903"/>
      <c r="X411" s="364"/>
      <c r="Y411" s="364"/>
      <c r="Z411" s="364"/>
      <c r="AA411"/>
      <c r="AB411"/>
    </row>
    <row r="412" spans="17:28" ht="12.75" customHeight="1">
      <c r="Q412" s="364"/>
      <c r="R412" s="892"/>
      <c r="S412" s="897"/>
      <c r="T412" s="704">
        <f>U69</f>
        <v>102</v>
      </c>
      <c r="U412" s="560">
        <f>U62</f>
        <v>2.6666666666666665</v>
      </c>
      <c r="V412" s="690">
        <f>IF(T412&gt;0,W412*U412," ")</f>
        <v>1666.6666666666665</v>
      </c>
      <c r="W412" s="691">
        <f>IF(T412&gt;0,(VLOOKUP(T412,'Lookup Ready-reckoner'!$B$5:$E$1207,4))," ")</f>
        <v>625</v>
      </c>
      <c r="X412" s="364"/>
      <c r="Y412" s="364"/>
      <c r="Z412" s="364"/>
      <c r="AA412"/>
      <c r="AB412"/>
    </row>
    <row r="413" spans="17:28" ht="12.75" customHeight="1">
      <c r="Q413" s="364"/>
      <c r="R413" s="898"/>
      <c r="S413" s="899"/>
      <c r="T413" s="447"/>
      <c r="U413" s="560"/>
      <c r="V413" s="690" t="str">
        <f>IF(T413&gt;0,W413*U413," ")</f>
        <v xml:space="preserve"> </v>
      </c>
      <c r="W413" s="691" t="str">
        <f>IF(T413&gt;0,(VLOOKUP(T413,'Lookup Ready-reckoner'!$B$5:$E$1007,4))," ")</f>
        <v xml:space="preserve"> </v>
      </c>
      <c r="X413" s="364"/>
      <c r="Y413" s="364"/>
      <c r="Z413" s="364"/>
      <c r="AA413"/>
      <c r="AB413"/>
    </row>
    <row r="414" spans="17:28" ht="12.75" customHeight="1" thickBot="1">
      <c r="Q414" s="364"/>
      <c r="R414" s="692" t="s">
        <v>839</v>
      </c>
      <c r="S414" s="693"/>
      <c r="T414" s="693"/>
      <c r="U414" s="705">
        <f>IF(T412&gt;0,(VLOOKUP(V414,'Lookup Ready-reckoner'!$L$5:$M$1207,2))," ")</f>
        <v>97.15</v>
      </c>
      <c r="V414" s="695">
        <f>IF(U412&gt;0,(SUM(V412:V413))," ")</f>
        <v>1666.6666666666665</v>
      </c>
      <c r="W414" s="696"/>
      <c r="X414" s="364"/>
      <c r="Y414" s="364"/>
      <c r="Z414" s="364"/>
      <c r="AA414"/>
      <c r="AB414"/>
    </row>
    <row r="415" spans="17:28" ht="12.75" customHeight="1" thickBot="1">
      <c r="Q415" s="364"/>
      <c r="R415" s="906"/>
      <c r="S415" s="907"/>
      <c r="T415" s="907"/>
      <c r="U415" s="907"/>
      <c r="V415" s="907"/>
      <c r="W415" s="908"/>
      <c r="X415" s="364"/>
      <c r="Y415" s="364"/>
      <c r="Z415" s="364"/>
      <c r="AA415"/>
      <c r="AB415"/>
    </row>
    <row r="416" spans="17:28" ht="12.75" customHeight="1">
      <c r="Q416" s="364"/>
      <c r="R416" s="895" t="s">
        <v>886</v>
      </c>
      <c r="S416" s="896"/>
      <c r="T416" s="900" t="s">
        <v>835</v>
      </c>
      <c r="U416" s="900" t="s">
        <v>836</v>
      </c>
      <c r="V416" s="900" t="s">
        <v>837</v>
      </c>
      <c r="W416" s="902" t="s">
        <v>838</v>
      </c>
      <c r="X416" s="364"/>
      <c r="Y416" s="364"/>
      <c r="Z416" s="364"/>
      <c r="AA416"/>
      <c r="AB416"/>
    </row>
    <row r="417" spans="17:28" ht="12.75" customHeight="1">
      <c r="Q417" s="364"/>
      <c r="R417" s="892"/>
      <c r="S417" s="897"/>
      <c r="T417" s="901"/>
      <c r="U417" s="901"/>
      <c r="V417" s="901"/>
      <c r="W417" s="903"/>
      <c r="X417" s="364"/>
      <c r="Y417" s="364"/>
      <c r="Z417" s="364"/>
      <c r="AA417"/>
      <c r="AB417"/>
    </row>
    <row r="418" spans="17:28" ht="12.75" customHeight="1">
      <c r="Q418" s="364"/>
      <c r="R418" s="892"/>
      <c r="S418" s="897"/>
      <c r="T418" s="704">
        <f>T412*(1-0.0178*2)</f>
        <v>98.368800000000007</v>
      </c>
      <c r="U418" s="560">
        <f>U412</f>
        <v>2.6666666666666665</v>
      </c>
      <c r="V418" s="690">
        <f>IF(T418&gt;0,W418*U418," ")</f>
        <v>725</v>
      </c>
      <c r="W418" s="691">
        <f>IF(T418&gt;0,(VLOOKUP(T418,'Lookup Ready-reckoner'!$B$5:$E$1207,4))," ")</f>
        <v>271.875</v>
      </c>
      <c r="X418" s="364"/>
      <c r="Y418" s="364"/>
      <c r="Z418" s="364"/>
      <c r="AA418"/>
      <c r="AB418"/>
    </row>
    <row r="419" spans="17:28" ht="12.75" customHeight="1">
      <c r="Q419" s="364"/>
      <c r="R419" s="898"/>
      <c r="S419" s="899"/>
      <c r="T419" s="447"/>
      <c r="U419" s="560"/>
      <c r="V419" s="690" t="str">
        <f>IF(T419&gt;0,W419*U419," ")</f>
        <v xml:space="preserve"> </v>
      </c>
      <c r="W419" s="691" t="str">
        <f>IF(T419&gt;0,(VLOOKUP(T419,'Lookup Ready-reckoner'!$B$5:$E$1007,4))," ")</f>
        <v xml:space="preserve"> </v>
      </c>
      <c r="X419" s="364"/>
      <c r="Y419" s="364"/>
      <c r="Z419" s="364"/>
      <c r="AA419"/>
      <c r="AB419"/>
    </row>
    <row r="420" spans="17:28" ht="12.75" customHeight="1" thickBot="1">
      <c r="Q420" s="364"/>
      <c r="R420" s="692" t="s">
        <v>839</v>
      </c>
      <c r="S420" s="693"/>
      <c r="T420" s="693"/>
      <c r="U420" s="705">
        <f>IF(T418&gt;0,(VLOOKUP(V420,'Lookup Ready-reckoner'!$L$5:$M$1207,2))," ")</f>
        <v>93.55</v>
      </c>
      <c r="V420" s="695">
        <f>IF(U418&gt;0,(SUM(V418:V419))," ")</f>
        <v>725</v>
      </c>
      <c r="W420" s="696"/>
      <c r="X420" s="364"/>
      <c r="Y420" s="364"/>
      <c r="Z420" s="364"/>
      <c r="AA420"/>
      <c r="AB420"/>
    </row>
    <row r="421" spans="17:28" ht="12.75" customHeight="1">
      <c r="Q421" s="364"/>
      <c r="R421" s="697"/>
      <c r="S421" s="687"/>
      <c r="T421" s="687"/>
      <c r="U421" s="372"/>
      <c r="V421" s="374"/>
      <c r="W421" s="688"/>
      <c r="X421" s="364"/>
      <c r="Y421" s="364"/>
      <c r="Z421" s="364"/>
      <c r="AA421"/>
      <c r="AB421"/>
    </row>
    <row r="422" spans="17:28" ht="12.75" customHeight="1" thickBot="1">
      <c r="Q422" s="364"/>
      <c r="R422" s="686" t="s">
        <v>60</v>
      </c>
      <c r="S422" s="577"/>
      <c r="T422" s="577"/>
      <c r="U422" s="577"/>
      <c r="V422" s="577"/>
      <c r="W422" s="698"/>
      <c r="X422" s="364"/>
      <c r="Y422" s="364"/>
      <c r="Z422" s="364"/>
      <c r="AA422"/>
      <c r="AB422"/>
    </row>
    <row r="423" spans="17:28" ht="12.75" customHeight="1">
      <c r="Q423" s="364"/>
      <c r="R423" s="895" t="s">
        <v>845</v>
      </c>
      <c r="S423" s="896"/>
      <c r="T423" s="900" t="s">
        <v>835</v>
      </c>
      <c r="U423" s="900" t="s">
        <v>836</v>
      </c>
      <c r="V423" s="900" t="s">
        <v>837</v>
      </c>
      <c r="W423" s="902" t="s">
        <v>838</v>
      </c>
      <c r="X423" s="364"/>
      <c r="Y423" s="364"/>
      <c r="Z423" s="364"/>
      <c r="AA423"/>
      <c r="AB423"/>
    </row>
    <row r="424" spans="17:28" ht="12.75" customHeight="1">
      <c r="Q424" s="364"/>
      <c r="R424" s="892"/>
      <c r="S424" s="897"/>
      <c r="T424" s="901"/>
      <c r="U424" s="901"/>
      <c r="V424" s="901"/>
      <c r="W424" s="903"/>
      <c r="X424" s="364"/>
      <c r="Y424" s="364"/>
      <c r="Z424" s="364"/>
      <c r="AA424"/>
      <c r="AB424"/>
    </row>
    <row r="425" spans="17:28" ht="12.75" customHeight="1">
      <c r="Q425" s="364"/>
      <c r="R425" s="892"/>
      <c r="S425" s="897"/>
      <c r="T425" s="704">
        <f>T412-PPE!$I$15</f>
        <v>89</v>
      </c>
      <c r="U425" s="560">
        <f>U418</f>
        <v>2.6666666666666665</v>
      </c>
      <c r="V425" s="690">
        <f>IF(T425&gt;0,W425*U425," ")</f>
        <v>83.333333333333329</v>
      </c>
      <c r="W425" s="691">
        <f>IF(T425&gt;0,(VLOOKUP(T425,'Lookup Ready-reckoner'!$B$5:$E$1207,4))," ")</f>
        <v>31.25</v>
      </c>
      <c r="X425" s="364"/>
      <c r="Y425" s="364"/>
      <c r="Z425" s="364"/>
      <c r="AA425"/>
      <c r="AB425"/>
    </row>
    <row r="426" spans="17:28" ht="12.75" customHeight="1">
      <c r="Q426" s="364"/>
      <c r="R426" s="898"/>
      <c r="S426" s="899"/>
      <c r="T426" s="447"/>
      <c r="U426" s="560"/>
      <c r="V426" s="690" t="str">
        <f>IF(T426&gt;0,W426*U426," ")</f>
        <v xml:space="preserve"> </v>
      </c>
      <c r="W426" s="691" t="str">
        <f>IF(T426&gt;0,(VLOOKUP(T426,'Lookup Ready-reckoner'!$B$5:$E$1007,4))," ")</f>
        <v xml:space="preserve"> </v>
      </c>
      <c r="X426" s="364"/>
      <c r="Y426" s="364"/>
      <c r="Z426" s="364"/>
      <c r="AA426"/>
      <c r="AB426"/>
    </row>
    <row r="427" spans="17:28" ht="12.75" customHeight="1" thickBot="1">
      <c r="Q427" s="364"/>
      <c r="R427" s="692" t="s">
        <v>839</v>
      </c>
      <c r="S427" s="693"/>
      <c r="T427" s="693"/>
      <c r="U427" s="705">
        <f>IF(T425&gt;0,(VLOOKUP(V427,'Lookup Ready-reckoner'!$L$5:$M$1207,2))," ")</f>
        <v>84.15</v>
      </c>
      <c r="V427" s="695">
        <f>IF(U425&gt;0,(SUM(V425:V426))," ")</f>
        <v>83.333333333333329</v>
      </c>
      <c r="W427" s="696"/>
      <c r="X427" s="364"/>
      <c r="Y427" s="364"/>
      <c r="Z427" s="364"/>
      <c r="AA427"/>
      <c r="AB427"/>
    </row>
    <row r="428" spans="17:28" ht="12.75" customHeight="1" thickBot="1">
      <c r="Q428" s="364"/>
      <c r="R428" s="892"/>
      <c r="S428" s="893"/>
      <c r="T428" s="893"/>
      <c r="U428" s="893"/>
      <c r="V428" s="893"/>
      <c r="W428" s="894"/>
      <c r="X428" s="364"/>
      <c r="Y428" s="364"/>
      <c r="Z428" s="364"/>
      <c r="AA428"/>
      <c r="AB428"/>
    </row>
    <row r="429" spans="17:28" ht="12.75" customHeight="1">
      <c r="Q429" s="364"/>
      <c r="R429" s="895" t="s">
        <v>886</v>
      </c>
      <c r="S429" s="896"/>
      <c r="T429" s="900" t="s">
        <v>835</v>
      </c>
      <c r="U429" s="900" t="s">
        <v>836</v>
      </c>
      <c r="V429" s="900" t="s">
        <v>837</v>
      </c>
      <c r="W429" s="902" t="s">
        <v>838</v>
      </c>
      <c r="X429" s="364"/>
      <c r="Y429" s="364"/>
      <c r="Z429" s="364"/>
      <c r="AA429"/>
      <c r="AB429"/>
    </row>
    <row r="430" spans="17:28" ht="12.75" customHeight="1">
      <c r="Q430" s="364"/>
      <c r="R430" s="892"/>
      <c r="S430" s="897"/>
      <c r="T430" s="901"/>
      <c r="U430" s="901"/>
      <c r="V430" s="901"/>
      <c r="W430" s="903"/>
      <c r="X430" s="364"/>
      <c r="Y430" s="364"/>
      <c r="Z430" s="364"/>
      <c r="AA430"/>
      <c r="AB430"/>
    </row>
    <row r="431" spans="17:28" ht="12.75" customHeight="1">
      <c r="Q431" s="364"/>
      <c r="R431" s="892"/>
      <c r="S431" s="897"/>
      <c r="T431" s="704">
        <f>T418-PPE!$I$15</f>
        <v>85.368800000000007</v>
      </c>
      <c r="U431" s="560">
        <f>U425</f>
        <v>2.6666666666666665</v>
      </c>
      <c r="V431" s="690">
        <f>IF(T431&gt;0,W431*U431," ")</f>
        <v>36.25</v>
      </c>
      <c r="W431" s="691">
        <f>IF(T431&gt;0,(VLOOKUP(T431,'Lookup Ready-reckoner'!$B$5:$E$1207,4))," ")</f>
        <v>13.59375</v>
      </c>
      <c r="X431" s="364"/>
      <c r="Y431" s="364"/>
      <c r="Z431" s="364"/>
      <c r="AA431"/>
      <c r="AB431"/>
    </row>
    <row r="432" spans="17:28" ht="12.75" customHeight="1">
      <c r="Q432" s="364"/>
      <c r="R432" s="898"/>
      <c r="S432" s="899"/>
      <c r="T432" s="447"/>
      <c r="U432" s="560"/>
      <c r="V432" s="690" t="str">
        <f>IF(T432&gt;0,W432*U432," ")</f>
        <v xml:space="preserve"> </v>
      </c>
      <c r="W432" s="691" t="str">
        <f>IF(T432&gt;0,(VLOOKUP(T432,'Lookup Ready-reckoner'!$B$5:$E$1007,4))," ")</f>
        <v xml:space="preserve"> </v>
      </c>
      <c r="X432" s="364"/>
      <c r="Y432" s="364"/>
      <c r="Z432" s="364"/>
      <c r="AA432"/>
      <c r="AB432"/>
    </row>
    <row r="433" spans="17:28" ht="12.75" customHeight="1" thickBot="1">
      <c r="Q433" s="364"/>
      <c r="R433" s="692" t="s">
        <v>839</v>
      </c>
      <c r="S433" s="693"/>
      <c r="T433" s="693"/>
      <c r="U433" s="705">
        <f>IF(T431&gt;0,(VLOOKUP(V433,'Lookup Ready-reckoner'!$L$5:$M$1207,2))," ")</f>
        <v>80.5</v>
      </c>
      <c r="V433" s="695">
        <f>IF(U431&gt;0,(SUM(V431:V432))," ")</f>
        <v>36.25</v>
      </c>
      <c r="W433" s="696"/>
      <c r="X433" s="364"/>
      <c r="Y433" s="364"/>
      <c r="Z433" s="364"/>
      <c r="AA433"/>
      <c r="AB433"/>
    </row>
    <row r="434" spans="17:28" ht="12.75" customHeight="1" thickBot="1">
      <c r="Q434" s="364"/>
      <c r="R434" s="364"/>
      <c r="S434" s="364"/>
      <c r="T434" s="364"/>
      <c r="U434" s="364"/>
      <c r="V434" s="364"/>
      <c r="W434" s="364"/>
      <c r="X434" s="364"/>
      <c r="Y434" s="364"/>
      <c r="Z434" s="364"/>
      <c r="AA434"/>
      <c r="AB434"/>
    </row>
    <row r="435" spans="17:28" ht="12.75" customHeight="1" thickTop="1">
      <c r="Q435" s="364"/>
      <c r="R435" s="916" t="s">
        <v>429</v>
      </c>
      <c r="S435" s="917"/>
      <c r="T435" s="917"/>
      <c r="U435" s="917"/>
      <c r="V435" s="917"/>
      <c r="W435" s="918"/>
      <c r="X435" s="364"/>
      <c r="Y435" s="364"/>
      <c r="Z435" s="364"/>
      <c r="AA435"/>
      <c r="AB435"/>
    </row>
    <row r="436" spans="17:28" ht="12.75" customHeight="1">
      <c r="Q436" s="364"/>
      <c r="R436" s="919"/>
      <c r="S436" s="920"/>
      <c r="T436" s="920"/>
      <c r="U436" s="920"/>
      <c r="V436" s="920"/>
      <c r="W436" s="921"/>
      <c r="X436" s="364"/>
      <c r="Y436" s="364"/>
      <c r="Z436" s="364"/>
      <c r="AA436"/>
      <c r="AB436"/>
    </row>
    <row r="437" spans="17:28" ht="12.75" customHeight="1" thickBot="1">
      <c r="Q437" s="364"/>
      <c r="R437" s="922"/>
      <c r="S437" s="923"/>
      <c r="T437" s="923"/>
      <c r="U437" s="923"/>
      <c r="V437" s="923"/>
      <c r="W437" s="924"/>
      <c r="X437" s="364"/>
      <c r="Y437" s="364"/>
      <c r="Z437" s="364"/>
      <c r="AA437"/>
      <c r="AB437"/>
    </row>
    <row r="438" spans="17:28" ht="12.75" customHeight="1" thickTop="1">
      <c r="Q438" s="364"/>
      <c r="R438" s="925" t="str">
        <f>R319</f>
        <v>Seco S215</v>
      </c>
      <c r="S438" s="925"/>
      <c r="T438" s="925"/>
      <c r="U438" s="925"/>
      <c r="V438" s="925"/>
      <c r="W438" s="925"/>
      <c r="X438" s="364"/>
      <c r="Y438" s="364"/>
      <c r="Z438" s="364"/>
      <c r="AA438"/>
      <c r="AB438"/>
    </row>
    <row r="439" spans="17:28" ht="12.75" customHeight="1" thickBot="1">
      <c r="Q439" s="364"/>
      <c r="R439" s="910" t="s">
        <v>205</v>
      </c>
      <c r="S439" s="911"/>
      <c r="T439" s="911"/>
      <c r="U439" s="911"/>
      <c r="V439" s="911"/>
      <c r="W439" s="912"/>
      <c r="X439" s="364"/>
      <c r="Y439" s="364"/>
      <c r="Z439" s="364"/>
      <c r="AA439"/>
      <c r="AB439"/>
    </row>
    <row r="440" spans="17:28" ht="12.75" customHeight="1" thickBot="1">
      <c r="Q440" s="364"/>
      <c r="R440" s="686" t="s">
        <v>59</v>
      </c>
      <c r="S440" s="577"/>
      <c r="T440" s="687"/>
      <c r="U440" s="687"/>
      <c r="V440" s="687"/>
      <c r="W440" s="688"/>
      <c r="X440" s="364"/>
      <c r="Y440" s="364"/>
      <c r="Z440" s="364"/>
      <c r="AA440"/>
      <c r="AB440"/>
    </row>
    <row r="441" spans="17:28" ht="12.75" customHeight="1">
      <c r="Q441" s="364"/>
      <c r="R441" s="895" t="s">
        <v>845</v>
      </c>
      <c r="S441" s="896"/>
      <c r="T441" s="900" t="s">
        <v>835</v>
      </c>
      <c r="U441" s="900" t="s">
        <v>836</v>
      </c>
      <c r="V441" s="900" t="s">
        <v>837</v>
      </c>
      <c r="W441" s="902" t="s">
        <v>838</v>
      </c>
      <c r="X441" s="364"/>
      <c r="Y441" s="364"/>
      <c r="Z441" s="364"/>
      <c r="AA441"/>
      <c r="AB441"/>
    </row>
    <row r="442" spans="17:28" ht="12.75" customHeight="1">
      <c r="Q442" s="364"/>
      <c r="R442" s="892"/>
      <c r="S442" s="897"/>
      <c r="T442" s="904"/>
      <c r="U442" s="904"/>
      <c r="V442" s="904"/>
      <c r="W442" s="905"/>
      <c r="X442" s="364"/>
      <c r="Y442" s="364"/>
      <c r="Z442" s="364"/>
      <c r="AA442"/>
      <c r="AB442"/>
    </row>
    <row r="443" spans="17:28" ht="12.75" customHeight="1">
      <c r="Q443" s="364"/>
      <c r="R443" s="892"/>
      <c r="S443" s="897"/>
      <c r="T443" s="901"/>
      <c r="U443" s="901"/>
      <c r="V443" s="901"/>
      <c r="W443" s="903"/>
      <c r="X443" s="364"/>
      <c r="Y443" s="364"/>
      <c r="Z443" s="364"/>
      <c r="AA443"/>
      <c r="AB443"/>
    </row>
    <row r="444" spans="17:28" ht="12.75" customHeight="1">
      <c r="Q444" s="364"/>
      <c r="R444" s="892"/>
      <c r="S444" s="897"/>
      <c r="T444" s="689">
        <f>X76</f>
        <v>122.02059991327964</v>
      </c>
      <c r="U444" s="560">
        <f>X62</f>
        <v>1.4285714285714284</v>
      </c>
      <c r="V444" s="690">
        <f>IF(T444&gt;0,W444*U444," ")</f>
        <v>79999.999999999985</v>
      </c>
      <c r="W444" s="691">
        <f>IF(T444&gt;0,(VLOOKUP(T444,'Lookup Ready-reckoner'!$B$5:$E$1207,4))," ")</f>
        <v>56000</v>
      </c>
      <c r="X444" s="364"/>
      <c r="Y444" s="364"/>
      <c r="Z444" s="364"/>
      <c r="AA444"/>
      <c r="AB444"/>
    </row>
    <row r="445" spans="17:28" ht="12.75" customHeight="1">
      <c r="Q445" s="364"/>
      <c r="R445" s="898"/>
      <c r="S445" s="899"/>
      <c r="T445" s="447"/>
      <c r="U445" s="560"/>
      <c r="V445" s="690" t="str">
        <f>IF(T445&gt;0,W445*U445," ")</f>
        <v xml:space="preserve"> </v>
      </c>
      <c r="W445" s="691" t="str">
        <f>IF(T445&gt;0,(VLOOKUP(T445,'Lookup Ready-reckoner'!$B$5:$E$1007,4))," ")</f>
        <v xml:space="preserve"> </v>
      </c>
      <c r="X445" s="364"/>
      <c r="Y445" s="364"/>
      <c r="Z445" s="364"/>
      <c r="AA445"/>
      <c r="AB445"/>
    </row>
    <row r="446" spans="17:28" ht="12.75" customHeight="1" thickBot="1">
      <c r="Q446" s="364"/>
      <c r="R446" s="692" t="s">
        <v>839</v>
      </c>
      <c r="S446" s="693"/>
      <c r="T446" s="693"/>
      <c r="U446" s="694">
        <f>IF(T444&gt;0,(VLOOKUP(V446,'Lookup Ready-reckoner'!$L$5:$M$1207,2))," ")</f>
        <v>113.95</v>
      </c>
      <c r="V446" s="695">
        <f>IF(U444&gt;0,(SUM(V444:V445))," ")</f>
        <v>79999.999999999985</v>
      </c>
      <c r="W446" s="696"/>
      <c r="X446" s="364"/>
      <c r="Y446" s="364"/>
      <c r="Z446" s="364"/>
      <c r="AA446"/>
      <c r="AB446"/>
    </row>
    <row r="447" spans="17:28" ht="12.75" customHeight="1" thickBot="1">
      <c r="Q447" s="364"/>
      <c r="R447" s="892"/>
      <c r="S447" s="893"/>
      <c r="T447" s="893"/>
      <c r="U447" s="893"/>
      <c r="V447" s="893"/>
      <c r="W447" s="894"/>
      <c r="X447" s="364"/>
      <c r="Y447" s="364"/>
      <c r="Z447" s="364"/>
      <c r="AA447"/>
      <c r="AB447"/>
    </row>
    <row r="448" spans="17:28" ht="12.75" customHeight="1">
      <c r="Q448" s="364"/>
      <c r="R448" s="895" t="s">
        <v>886</v>
      </c>
      <c r="S448" s="896"/>
      <c r="T448" s="900" t="s">
        <v>835</v>
      </c>
      <c r="U448" s="900" t="s">
        <v>836</v>
      </c>
      <c r="V448" s="900" t="s">
        <v>837</v>
      </c>
      <c r="W448" s="902" t="s">
        <v>838</v>
      </c>
      <c r="X448" s="364"/>
      <c r="Y448" s="364"/>
      <c r="Z448" s="364"/>
      <c r="AA448"/>
      <c r="AB448"/>
    </row>
    <row r="449" spans="17:28" ht="12.75" customHeight="1">
      <c r="Q449" s="364"/>
      <c r="R449" s="892"/>
      <c r="S449" s="897"/>
      <c r="T449" s="901"/>
      <c r="U449" s="901"/>
      <c r="V449" s="901"/>
      <c r="W449" s="903"/>
      <c r="X449" s="364"/>
      <c r="Y449" s="364"/>
      <c r="Z449" s="364"/>
      <c r="AA449"/>
      <c r="AB449"/>
    </row>
    <row r="450" spans="17:28" ht="12.75" customHeight="1">
      <c r="Q450" s="364"/>
      <c r="R450" s="892"/>
      <c r="S450" s="897"/>
      <c r="T450" s="689">
        <f>T444*(1-0.0178*2)</f>
        <v>117.67666655636688</v>
      </c>
      <c r="U450" s="560">
        <f>U444</f>
        <v>1.4285714285714284</v>
      </c>
      <c r="V450" s="690">
        <f>IF(T450&gt;0,W450*U450," ")</f>
        <v>33771.428571428565</v>
      </c>
      <c r="W450" s="691">
        <f>IF(T450&gt;0,(VLOOKUP(T450,'Lookup Ready-reckoner'!$B$5:$E$1207,4))," ")</f>
        <v>23640</v>
      </c>
      <c r="X450" s="364"/>
      <c r="Y450" s="364"/>
      <c r="Z450" s="364"/>
      <c r="AA450"/>
      <c r="AB450"/>
    </row>
    <row r="451" spans="17:28" ht="12.75" customHeight="1">
      <c r="Q451" s="364"/>
      <c r="R451" s="898"/>
      <c r="S451" s="899"/>
      <c r="T451" s="447"/>
      <c r="U451" s="560"/>
      <c r="V451" s="690" t="str">
        <f>IF(T451&gt;0,W451*U451," ")</f>
        <v xml:space="preserve"> </v>
      </c>
      <c r="W451" s="691" t="str">
        <f>IF(T451&gt;0,(VLOOKUP(T451,'Lookup Ready-reckoner'!$B$5:$E$1007,4))," ")</f>
        <v xml:space="preserve"> </v>
      </c>
      <c r="X451" s="364"/>
      <c r="Y451" s="364"/>
      <c r="Z451" s="364"/>
      <c r="AA451"/>
      <c r="AB451"/>
    </row>
    <row r="452" spans="17:28" ht="12.75" customHeight="1" thickBot="1">
      <c r="Q452" s="364"/>
      <c r="R452" s="692" t="s">
        <v>839</v>
      </c>
      <c r="S452" s="693"/>
      <c r="T452" s="693"/>
      <c r="U452" s="694">
        <f>IF(T450&gt;0,(VLOOKUP(V452,'Lookup Ready-reckoner'!$L$5:$M$1207,2))," ")</f>
        <v>110.2</v>
      </c>
      <c r="V452" s="695">
        <f>IF(U450&gt;0,(SUM(V450:V451))," ")</f>
        <v>33771.428571428565</v>
      </c>
      <c r="W452" s="696"/>
      <c r="X452" s="364"/>
      <c r="Y452" s="364"/>
      <c r="Z452" s="364"/>
      <c r="AA452"/>
      <c r="AB452"/>
    </row>
    <row r="453" spans="17:28" ht="12.75" customHeight="1">
      <c r="Q453" s="364"/>
      <c r="R453" s="697"/>
      <c r="S453" s="687"/>
      <c r="T453" s="687"/>
      <c r="U453" s="372"/>
      <c r="V453" s="374"/>
      <c r="W453" s="688"/>
      <c r="X453" s="364"/>
      <c r="Y453" s="364"/>
      <c r="Z453" s="364"/>
      <c r="AA453"/>
      <c r="AB453"/>
    </row>
    <row r="454" spans="17:28" ht="12.75" customHeight="1" thickBot="1">
      <c r="Q454" s="364"/>
      <c r="R454" s="686" t="s">
        <v>60</v>
      </c>
      <c r="S454" s="577"/>
      <c r="T454" s="577"/>
      <c r="U454" s="577"/>
      <c r="V454" s="577"/>
      <c r="W454" s="698"/>
      <c r="X454" s="364"/>
      <c r="Y454" s="364"/>
      <c r="Z454" s="364"/>
      <c r="AA454"/>
      <c r="AB454"/>
    </row>
    <row r="455" spans="17:28" ht="12.75" customHeight="1">
      <c r="Q455" s="364"/>
      <c r="R455" s="895" t="s">
        <v>845</v>
      </c>
      <c r="S455" s="896"/>
      <c r="T455" s="900" t="s">
        <v>835</v>
      </c>
      <c r="U455" s="900" t="s">
        <v>836</v>
      </c>
      <c r="V455" s="900" t="s">
        <v>837</v>
      </c>
      <c r="W455" s="902" t="s">
        <v>838</v>
      </c>
      <c r="X455" s="364"/>
      <c r="Y455" s="364"/>
      <c r="Z455" s="364"/>
      <c r="AA455"/>
      <c r="AB455"/>
    </row>
    <row r="456" spans="17:28" ht="12.75" customHeight="1">
      <c r="Q456" s="364"/>
      <c r="R456" s="892"/>
      <c r="S456" s="897"/>
      <c r="T456" s="901"/>
      <c r="U456" s="901"/>
      <c r="V456" s="901"/>
      <c r="W456" s="903"/>
      <c r="X456" s="364"/>
      <c r="Y456" s="364"/>
      <c r="Z456" s="364"/>
      <c r="AA456"/>
      <c r="AB456"/>
    </row>
    <row r="457" spans="17:28" ht="12.75" customHeight="1">
      <c r="Q457" s="364"/>
      <c r="R457" s="892"/>
      <c r="S457" s="897"/>
      <c r="T457" s="689">
        <f>T444-PPE!$I$15</f>
        <v>109.02059991327964</v>
      </c>
      <c r="U457" s="560">
        <f>U450</f>
        <v>1.4285714285714284</v>
      </c>
      <c r="V457" s="690">
        <f>IF(T457&gt;0,W457*U457," ")</f>
        <v>4571.4285714285706</v>
      </c>
      <c r="W457" s="691">
        <f>IF(T457&gt;0,(VLOOKUP(T457,'Lookup Ready-reckoner'!$B$5:$E$1207,4))," ")</f>
        <v>3200</v>
      </c>
      <c r="X457" s="364"/>
      <c r="Y457" s="364"/>
      <c r="Z457" s="364"/>
      <c r="AA457"/>
      <c r="AB457"/>
    </row>
    <row r="458" spans="17:28" ht="12.75" customHeight="1">
      <c r="Q458" s="364"/>
      <c r="R458" s="898"/>
      <c r="S458" s="899"/>
      <c r="T458" s="447"/>
      <c r="U458" s="560"/>
      <c r="V458" s="690" t="str">
        <f>IF(T458&gt;0,W458*U458," ")</f>
        <v xml:space="preserve"> </v>
      </c>
      <c r="W458" s="691" t="str">
        <f>IF(T458&gt;0,(VLOOKUP(T458,'Lookup Ready-reckoner'!$B$5:$E$1007,4))," ")</f>
        <v xml:space="preserve"> </v>
      </c>
      <c r="X458" s="364"/>
      <c r="Y458" s="364"/>
      <c r="Z458" s="364"/>
      <c r="AA458"/>
      <c r="AB458"/>
    </row>
    <row r="459" spans="17:28" ht="12.75" customHeight="1" thickBot="1">
      <c r="Q459" s="364"/>
      <c r="R459" s="699" t="s">
        <v>839</v>
      </c>
      <c r="S459" s="693"/>
      <c r="T459" s="693"/>
      <c r="U459" s="694">
        <f>IF(T457&gt;0,(VLOOKUP(V459,'Lookup Ready-reckoner'!$L$5:$M$1207,2))," ")</f>
        <v>101.55</v>
      </c>
      <c r="V459" s="695">
        <f>IF(U457&gt;0,(SUM(V457:V458))," ")</f>
        <v>4571.4285714285706</v>
      </c>
      <c r="W459" s="696"/>
      <c r="X459" s="364"/>
      <c r="Y459" s="364"/>
      <c r="Z459" s="364"/>
      <c r="AA459"/>
      <c r="AB459"/>
    </row>
    <row r="460" spans="17:28" ht="12.75" customHeight="1" thickBot="1">
      <c r="Q460" s="364"/>
      <c r="R460" s="892"/>
      <c r="S460" s="893"/>
      <c r="T460" s="893"/>
      <c r="U460" s="893"/>
      <c r="V460" s="893"/>
      <c r="W460" s="894"/>
      <c r="X460" s="364"/>
      <c r="Y460" s="364"/>
      <c r="Z460" s="364"/>
      <c r="AA460"/>
      <c r="AB460"/>
    </row>
    <row r="461" spans="17:28" ht="12.75" customHeight="1">
      <c r="Q461" s="364"/>
      <c r="R461" s="895" t="s">
        <v>886</v>
      </c>
      <c r="S461" s="896"/>
      <c r="T461" s="900" t="s">
        <v>835</v>
      </c>
      <c r="U461" s="900" t="s">
        <v>836</v>
      </c>
      <c r="V461" s="900" t="s">
        <v>837</v>
      </c>
      <c r="W461" s="902" t="s">
        <v>838</v>
      </c>
      <c r="X461" s="364"/>
      <c r="Y461" s="364"/>
      <c r="Z461" s="364"/>
      <c r="AA461"/>
      <c r="AB461"/>
    </row>
    <row r="462" spans="17:28" ht="12.75" customHeight="1">
      <c r="Q462" s="364"/>
      <c r="R462" s="892"/>
      <c r="S462" s="897"/>
      <c r="T462" s="901"/>
      <c r="U462" s="901"/>
      <c r="V462" s="901"/>
      <c r="W462" s="903"/>
      <c r="X462" s="364"/>
      <c r="Y462" s="364"/>
      <c r="Z462" s="364"/>
      <c r="AA462"/>
      <c r="AB462"/>
    </row>
    <row r="463" spans="17:28" ht="12.75" customHeight="1">
      <c r="Q463" s="364"/>
      <c r="R463" s="892"/>
      <c r="S463" s="897"/>
      <c r="T463" s="689">
        <f>T450-PPE!$I$15</f>
        <v>104.67666655636688</v>
      </c>
      <c r="U463" s="560">
        <f>U457</f>
        <v>1.4285714285714284</v>
      </c>
      <c r="V463" s="690">
        <f>IF(T463&gt;0,W463*U463," ")</f>
        <v>1660.7142857142856</v>
      </c>
      <c r="W463" s="691">
        <f>IF(T463&gt;0,(VLOOKUP(T463,'Lookup Ready-reckoner'!$B$5:$E$1207,4))," ")</f>
        <v>1162.5</v>
      </c>
      <c r="X463" s="364"/>
      <c r="Y463" s="364"/>
      <c r="Z463" s="364"/>
      <c r="AA463"/>
      <c r="AB463"/>
    </row>
    <row r="464" spans="17:28" ht="12.75" customHeight="1">
      <c r="Q464" s="364"/>
      <c r="R464" s="898"/>
      <c r="S464" s="899"/>
      <c r="T464" s="447"/>
      <c r="U464" s="560"/>
      <c r="V464" s="690" t="str">
        <f>IF(T464&gt;0,W464*U464," ")</f>
        <v xml:space="preserve"> </v>
      </c>
      <c r="W464" s="691" t="str">
        <f>IF(T464&gt;0,(VLOOKUP(T464,'Lookup Ready-reckoner'!$B$5:$E$1007,4))," ")</f>
        <v xml:space="preserve"> </v>
      </c>
      <c r="X464" s="364"/>
      <c r="Y464" s="364"/>
      <c r="Z464" s="364"/>
      <c r="AA464"/>
      <c r="AB464"/>
    </row>
    <row r="465" spans="17:28" ht="12.75" customHeight="1" thickBot="1">
      <c r="Q465" s="364"/>
      <c r="R465" s="692" t="s">
        <v>839</v>
      </c>
      <c r="S465" s="693"/>
      <c r="T465" s="693"/>
      <c r="U465" s="694">
        <f>IF(T463&gt;0,(VLOOKUP(V465,'Lookup Ready-reckoner'!$L$5:$M$1207,2))," ")</f>
        <v>97.15</v>
      </c>
      <c r="V465" s="695">
        <f>IF(U463&gt;0,(SUM(V463:V464))," ")</f>
        <v>1660.7142857142856</v>
      </c>
      <c r="W465" s="696"/>
      <c r="X465" s="364"/>
      <c r="Y465" s="364"/>
      <c r="Z465" s="364"/>
      <c r="AA465"/>
      <c r="AB465"/>
    </row>
    <row r="466" spans="17:28" ht="12.75" customHeight="1">
      <c r="Q466" s="364"/>
      <c r="R466" s="363"/>
      <c r="S466" s="363"/>
      <c r="T466" s="363"/>
      <c r="U466" s="363"/>
      <c r="V466" s="363"/>
      <c r="W466" s="363"/>
      <c r="X466" s="364"/>
      <c r="Y466" s="364"/>
      <c r="Z466" s="364"/>
      <c r="AA466"/>
      <c r="AB466"/>
    </row>
    <row r="467" spans="17:28" ht="12.75" customHeight="1" thickBot="1">
      <c r="Q467" s="364"/>
      <c r="R467" s="915" t="str">
        <f>R348</f>
        <v>Seco S215 Muffled</v>
      </c>
      <c r="S467" s="915"/>
      <c r="T467" s="915"/>
      <c r="U467" s="915"/>
      <c r="V467" s="915"/>
      <c r="W467" s="915"/>
      <c r="X467" s="364"/>
      <c r="Y467" s="364"/>
      <c r="Z467" s="364"/>
      <c r="AA467"/>
      <c r="AB467"/>
    </row>
    <row r="468" spans="17:28" ht="12.75" customHeight="1" thickBot="1">
      <c r="Q468" s="364"/>
      <c r="R468" s="906" t="s">
        <v>205</v>
      </c>
      <c r="S468" s="907"/>
      <c r="T468" s="907"/>
      <c r="U468" s="907"/>
      <c r="V468" s="907"/>
      <c r="W468" s="908"/>
      <c r="X468" s="364"/>
      <c r="Y468" s="364"/>
      <c r="Z468" s="364"/>
      <c r="AA468"/>
      <c r="AB468"/>
    </row>
    <row r="469" spans="17:28" ht="12.75" customHeight="1" thickBot="1">
      <c r="Q469" s="364"/>
      <c r="R469" s="686" t="s">
        <v>59</v>
      </c>
      <c r="S469" s="577"/>
      <c r="T469" s="687"/>
      <c r="U469" s="687"/>
      <c r="V469" s="687"/>
      <c r="W469" s="688"/>
      <c r="X469" s="364"/>
      <c r="Y469" s="364"/>
      <c r="Z469" s="364"/>
      <c r="AA469"/>
      <c r="AB469"/>
    </row>
    <row r="470" spans="17:28" ht="12.75" customHeight="1">
      <c r="Q470" s="364"/>
      <c r="R470" s="895" t="s">
        <v>845</v>
      </c>
      <c r="S470" s="896"/>
      <c r="T470" s="900" t="s">
        <v>835</v>
      </c>
      <c r="U470" s="900" t="s">
        <v>836</v>
      </c>
      <c r="V470" s="900" t="s">
        <v>837</v>
      </c>
      <c r="W470" s="902" t="s">
        <v>838</v>
      </c>
      <c r="X470" s="364"/>
      <c r="Y470" s="364"/>
      <c r="Z470" s="364"/>
      <c r="AA470"/>
      <c r="AB470"/>
    </row>
    <row r="471" spans="17:28" ht="12.75" customHeight="1">
      <c r="Q471" s="364"/>
      <c r="R471" s="892"/>
      <c r="S471" s="897"/>
      <c r="T471" s="904"/>
      <c r="U471" s="904"/>
      <c r="V471" s="904"/>
      <c r="W471" s="905"/>
      <c r="X471" s="364"/>
      <c r="Y471" s="364"/>
      <c r="Z471" s="364"/>
      <c r="AA471"/>
      <c r="AB471"/>
    </row>
    <row r="472" spans="17:28" ht="12.75" customHeight="1">
      <c r="Q472" s="364"/>
      <c r="R472" s="892"/>
      <c r="S472" s="897"/>
      <c r="T472" s="901"/>
      <c r="U472" s="901"/>
      <c r="V472" s="901"/>
      <c r="W472" s="903"/>
      <c r="X472" s="364"/>
      <c r="Y472" s="364"/>
      <c r="Z472" s="364"/>
      <c r="AA472"/>
      <c r="AB472"/>
    </row>
    <row r="473" spans="17:28" ht="12.75" customHeight="1">
      <c r="Q473" s="364"/>
      <c r="R473" s="892"/>
      <c r="S473" s="897"/>
      <c r="T473" s="700">
        <f>V76</f>
        <v>114.02059991327963</v>
      </c>
      <c r="U473" s="560">
        <f>V62</f>
        <v>1.9999999999999996</v>
      </c>
      <c r="V473" s="690">
        <f>IF(T473&gt;0,W473*U473," ")</f>
        <v>19999.999999999996</v>
      </c>
      <c r="W473" s="691">
        <f>IF(T473&gt;0,(VLOOKUP(T473,'Lookup Ready-reckoner'!$B$5:$E$1207,4))," ")</f>
        <v>10000</v>
      </c>
      <c r="X473" s="364"/>
      <c r="Y473" s="364"/>
      <c r="Z473" s="364"/>
      <c r="AA473"/>
      <c r="AB473"/>
    </row>
    <row r="474" spans="17:28" ht="12.75" customHeight="1">
      <c r="Q474" s="364"/>
      <c r="R474" s="898"/>
      <c r="S474" s="899"/>
      <c r="T474" s="447"/>
      <c r="U474" s="560"/>
      <c r="V474" s="690" t="str">
        <f>IF(T474&gt;0,W474*U474," ")</f>
        <v xml:space="preserve"> </v>
      </c>
      <c r="W474" s="691" t="str">
        <f>IF(T474&gt;0,(VLOOKUP(T474,'Lookup Ready-reckoner'!$B$5:$E$1007,4))," ")</f>
        <v xml:space="preserve"> </v>
      </c>
      <c r="X474" s="364"/>
      <c r="Y474" s="364"/>
      <c r="Z474" s="364"/>
      <c r="AA474"/>
      <c r="AB474"/>
    </row>
    <row r="475" spans="17:28" ht="12.75" customHeight="1" thickBot="1">
      <c r="Q475" s="364"/>
      <c r="R475" s="699" t="s">
        <v>839</v>
      </c>
      <c r="S475" s="693"/>
      <c r="T475" s="693"/>
      <c r="U475" s="701">
        <f>IF(T473&gt;0,(VLOOKUP(V475,'Lookup Ready-reckoner'!$L$5:$M$1207,2))," ")</f>
        <v>107.95</v>
      </c>
      <c r="V475" s="695">
        <f>IF(U473&gt;0,(SUM(V473:V474))," ")</f>
        <v>19999.999999999996</v>
      </c>
      <c r="W475" s="696"/>
      <c r="X475" s="364"/>
      <c r="Y475" s="364"/>
      <c r="Z475" s="364"/>
      <c r="AA475"/>
      <c r="AB475"/>
    </row>
    <row r="476" spans="17:28" ht="12.75" customHeight="1" thickBot="1">
      <c r="Q476" s="364"/>
      <c r="R476" s="892"/>
      <c r="S476" s="893"/>
      <c r="T476" s="893"/>
      <c r="U476" s="893"/>
      <c r="V476" s="893"/>
      <c r="W476" s="894"/>
      <c r="X476" s="364"/>
      <c r="Y476" s="364"/>
      <c r="Z476" s="364"/>
      <c r="AA476"/>
      <c r="AB476"/>
    </row>
    <row r="477" spans="17:28" ht="12.75" customHeight="1">
      <c r="Q477" s="364"/>
      <c r="R477" s="895" t="s">
        <v>886</v>
      </c>
      <c r="S477" s="896"/>
      <c r="T477" s="900" t="s">
        <v>835</v>
      </c>
      <c r="U477" s="900" t="s">
        <v>836</v>
      </c>
      <c r="V477" s="900" t="s">
        <v>837</v>
      </c>
      <c r="W477" s="902" t="s">
        <v>838</v>
      </c>
      <c r="X477" s="364"/>
      <c r="Y477" s="364"/>
      <c r="Z477" s="364"/>
      <c r="AA477"/>
      <c r="AB477"/>
    </row>
    <row r="478" spans="17:28" ht="12.75" customHeight="1">
      <c r="Q478" s="364"/>
      <c r="R478" s="892"/>
      <c r="S478" s="897"/>
      <c r="T478" s="901"/>
      <c r="U478" s="901"/>
      <c r="V478" s="901"/>
      <c r="W478" s="903"/>
      <c r="X478" s="364"/>
      <c r="Y478" s="364"/>
      <c r="Z478" s="364"/>
      <c r="AA478"/>
      <c r="AB478"/>
    </row>
    <row r="479" spans="17:28" ht="12.75" customHeight="1">
      <c r="Q479" s="364"/>
      <c r="R479" s="892"/>
      <c r="S479" s="897"/>
      <c r="T479" s="700">
        <f>T473*(1-0.0178*2)</f>
        <v>109.96146655636687</v>
      </c>
      <c r="U479" s="560">
        <f>U473</f>
        <v>1.9999999999999996</v>
      </c>
      <c r="V479" s="690">
        <f>IF(T479&gt;0,W479*U479," ")</f>
        <v>7919.9999999999982</v>
      </c>
      <c r="W479" s="691">
        <f>IF(T479&gt;0,(VLOOKUP(T479,'Lookup Ready-reckoner'!$B$5:$E$1207,4))," ")</f>
        <v>3960</v>
      </c>
      <c r="X479" s="364"/>
      <c r="Y479" s="364"/>
      <c r="Z479" s="364"/>
      <c r="AA479"/>
      <c r="AB479"/>
    </row>
    <row r="480" spans="17:28" ht="12.75" customHeight="1">
      <c r="Q480" s="364"/>
      <c r="R480" s="898"/>
      <c r="S480" s="899"/>
      <c r="T480" s="447"/>
      <c r="U480" s="560"/>
      <c r="V480" s="690" t="str">
        <f>IF(T480&gt;0,W480*U480," ")</f>
        <v xml:space="preserve"> </v>
      </c>
      <c r="W480" s="691" t="str">
        <f>IF(T480&gt;0,(VLOOKUP(T480,'Lookup Ready-reckoner'!$B$5:$E$1007,4))," ")</f>
        <v xml:space="preserve"> </v>
      </c>
      <c r="X480" s="364"/>
      <c r="Y480" s="364"/>
      <c r="Z480" s="364"/>
      <c r="AA480"/>
      <c r="AB480"/>
    </row>
    <row r="481" spans="17:28" ht="12.75" customHeight="1" thickBot="1">
      <c r="Q481" s="364"/>
      <c r="R481" s="692" t="s">
        <v>839</v>
      </c>
      <c r="S481" s="693"/>
      <c r="T481" s="693"/>
      <c r="U481" s="701">
        <f>IF(T479&gt;0,(VLOOKUP(V481,'Lookup Ready-reckoner'!$L$5:$M$1207,2))," ")</f>
        <v>103.9</v>
      </c>
      <c r="V481" s="695">
        <f>IF(U479&gt;0,(SUM(V479:V480))," ")</f>
        <v>7919.9999999999982</v>
      </c>
      <c r="W481" s="696"/>
      <c r="X481" s="364"/>
      <c r="Y481" s="364"/>
      <c r="Z481" s="364"/>
      <c r="AA481"/>
      <c r="AB481"/>
    </row>
    <row r="482" spans="17:28" ht="12.75" customHeight="1">
      <c r="Q482" s="364"/>
      <c r="R482" s="697"/>
      <c r="S482" s="687"/>
      <c r="T482" s="687"/>
      <c r="U482" s="372"/>
      <c r="V482" s="374"/>
      <c r="W482" s="688"/>
      <c r="X482" s="364"/>
      <c r="Y482" s="364"/>
      <c r="Z482" s="364"/>
      <c r="AA482"/>
      <c r="AB482"/>
    </row>
    <row r="483" spans="17:28" ht="12.75" customHeight="1" thickBot="1">
      <c r="Q483" s="364"/>
      <c r="R483" s="686" t="s">
        <v>60</v>
      </c>
      <c r="S483" s="577"/>
      <c r="T483" s="577"/>
      <c r="U483" s="577"/>
      <c r="V483" s="577"/>
      <c r="W483" s="698"/>
      <c r="X483" s="364"/>
      <c r="Y483" s="364"/>
      <c r="Z483" s="364"/>
      <c r="AA483"/>
      <c r="AB483"/>
    </row>
    <row r="484" spans="17:28" ht="12.75" customHeight="1">
      <c r="Q484" s="364"/>
      <c r="R484" s="895" t="s">
        <v>845</v>
      </c>
      <c r="S484" s="896"/>
      <c r="T484" s="900" t="s">
        <v>835</v>
      </c>
      <c r="U484" s="900" t="s">
        <v>836</v>
      </c>
      <c r="V484" s="900" t="s">
        <v>837</v>
      </c>
      <c r="W484" s="902" t="s">
        <v>838</v>
      </c>
      <c r="X484" s="364"/>
      <c r="Y484" s="364"/>
      <c r="Z484" s="364"/>
      <c r="AA484"/>
      <c r="AB484"/>
    </row>
    <row r="485" spans="17:28" ht="12.75" customHeight="1">
      <c r="Q485" s="364"/>
      <c r="R485" s="892"/>
      <c r="S485" s="897"/>
      <c r="T485" s="901"/>
      <c r="U485" s="901"/>
      <c r="V485" s="901"/>
      <c r="W485" s="903"/>
      <c r="X485" s="364"/>
      <c r="Y485" s="364"/>
      <c r="Z485" s="364"/>
      <c r="AA485"/>
      <c r="AB485"/>
    </row>
    <row r="486" spans="17:28" ht="12.75" customHeight="1">
      <c r="Q486" s="364"/>
      <c r="R486" s="892"/>
      <c r="S486" s="897"/>
      <c r="T486" s="700">
        <f>T473-PPE!$I$15</f>
        <v>101.02059991327963</v>
      </c>
      <c r="U486" s="560">
        <f>U479</f>
        <v>1.9999999999999996</v>
      </c>
      <c r="V486" s="690">
        <f>IF(T486&gt;0,W486*U486," ")</f>
        <v>999.99999999999977</v>
      </c>
      <c r="W486" s="691">
        <f>IF(T486&gt;0,(VLOOKUP(T486,'Lookup Ready-reckoner'!$B$5:$E$1207,4))," ")</f>
        <v>500</v>
      </c>
      <c r="X486" s="364"/>
      <c r="Y486" s="364"/>
      <c r="Z486" s="364"/>
      <c r="AA486"/>
      <c r="AB486"/>
    </row>
    <row r="487" spans="17:28" ht="12.75" customHeight="1">
      <c r="Q487" s="364"/>
      <c r="R487" s="898"/>
      <c r="S487" s="899"/>
      <c r="T487" s="447"/>
      <c r="U487" s="560"/>
      <c r="V487" s="690" t="str">
        <f>IF(T487&gt;0,W487*U487," ")</f>
        <v xml:space="preserve"> </v>
      </c>
      <c r="W487" s="691" t="str">
        <f>IF(T487&gt;0,(VLOOKUP(T487,'Lookup Ready-reckoner'!$B$5:$E$1007,4))," ")</f>
        <v xml:space="preserve"> </v>
      </c>
      <c r="X487" s="364"/>
      <c r="Y487" s="364"/>
      <c r="Z487" s="364"/>
      <c r="AA487"/>
      <c r="AB487"/>
    </row>
    <row r="488" spans="17:28" ht="12.75" customHeight="1" thickBot="1">
      <c r="Q488" s="364"/>
      <c r="R488" s="692" t="s">
        <v>839</v>
      </c>
      <c r="S488" s="693"/>
      <c r="T488" s="693"/>
      <c r="U488" s="701">
        <f>IF(T486&gt;0,(VLOOKUP(V488,'Lookup Ready-reckoner'!$L$5:$M$1207,2))," ")</f>
        <v>94.95</v>
      </c>
      <c r="V488" s="695">
        <f>IF(U486&gt;0,(SUM(V486:V487))," ")</f>
        <v>999.99999999999977</v>
      </c>
      <c r="W488" s="696"/>
      <c r="X488" s="364"/>
      <c r="Y488" s="364"/>
      <c r="Z488" s="364"/>
      <c r="AA488"/>
      <c r="AB488"/>
    </row>
    <row r="489" spans="17:28" ht="12.75" customHeight="1" thickBot="1">
      <c r="Q489" s="364"/>
      <c r="R489" s="892"/>
      <c r="S489" s="893"/>
      <c r="T489" s="893"/>
      <c r="U489" s="893"/>
      <c r="V489" s="893"/>
      <c r="W489" s="894"/>
      <c r="X489" s="364"/>
      <c r="Y489" s="364"/>
      <c r="Z489" s="364"/>
      <c r="AA489"/>
      <c r="AB489"/>
    </row>
    <row r="490" spans="17:28" ht="12.75" customHeight="1">
      <c r="Q490" s="364"/>
      <c r="R490" s="895" t="s">
        <v>886</v>
      </c>
      <c r="S490" s="896"/>
      <c r="T490" s="900" t="s">
        <v>835</v>
      </c>
      <c r="U490" s="900" t="s">
        <v>836</v>
      </c>
      <c r="V490" s="900" t="s">
        <v>837</v>
      </c>
      <c r="W490" s="902" t="s">
        <v>838</v>
      </c>
      <c r="X490" s="364"/>
      <c r="Y490" s="364"/>
      <c r="Z490" s="364"/>
      <c r="AA490"/>
      <c r="AB490"/>
    </row>
    <row r="491" spans="17:28" ht="12.75" customHeight="1">
      <c r="Q491" s="364"/>
      <c r="R491" s="892"/>
      <c r="S491" s="897"/>
      <c r="T491" s="901"/>
      <c r="U491" s="901"/>
      <c r="V491" s="901"/>
      <c r="W491" s="903"/>
      <c r="X491" s="364"/>
      <c r="Y491" s="364"/>
      <c r="Z491" s="364"/>
      <c r="AA491"/>
      <c r="AB491"/>
    </row>
    <row r="492" spans="17:28" ht="12.75" customHeight="1">
      <c r="Q492" s="364"/>
      <c r="R492" s="892"/>
      <c r="S492" s="897"/>
      <c r="T492" s="700">
        <f>T479-PPE!$I$15</f>
        <v>96.961466556366872</v>
      </c>
      <c r="U492" s="560">
        <f>U486</f>
        <v>1.9999999999999996</v>
      </c>
      <c r="V492" s="690">
        <f>IF(T492&gt;0,W492*U492," ")</f>
        <v>395.62499999999989</v>
      </c>
      <c r="W492" s="691">
        <f>IF(T492&gt;0,(VLOOKUP(T492,'Lookup Ready-reckoner'!$B$5:$E$1207,4))," ")</f>
        <v>197.8125</v>
      </c>
      <c r="X492" s="364"/>
      <c r="Y492" s="364"/>
      <c r="Z492" s="364"/>
      <c r="AA492"/>
      <c r="AB492"/>
    </row>
    <row r="493" spans="17:28" ht="12.75" customHeight="1">
      <c r="Q493" s="364"/>
      <c r="R493" s="898"/>
      <c r="S493" s="899"/>
      <c r="T493" s="447"/>
      <c r="U493" s="560"/>
      <c r="V493" s="690" t="str">
        <f>IF(T493&gt;0,W493*U493," ")</f>
        <v xml:space="preserve"> </v>
      </c>
      <c r="W493" s="691" t="str">
        <f>IF(T493&gt;0,(VLOOKUP(T493,'Lookup Ready-reckoner'!$B$5:$E$1007,4))," ")</f>
        <v xml:space="preserve"> </v>
      </c>
      <c r="X493" s="364"/>
      <c r="Y493" s="364"/>
      <c r="Z493" s="364"/>
      <c r="AA493"/>
      <c r="AB493"/>
    </row>
    <row r="494" spans="17:28" ht="12.75" customHeight="1" thickBot="1">
      <c r="Q494" s="364"/>
      <c r="R494" s="692" t="s">
        <v>839</v>
      </c>
      <c r="S494" s="693"/>
      <c r="T494" s="693"/>
      <c r="U494" s="701">
        <f>IF(T492&gt;0,(VLOOKUP(V494,'Lookup Ready-reckoner'!$L$5:$M$1207,2))," ")</f>
        <v>90.9</v>
      </c>
      <c r="V494" s="695">
        <f>IF(U492&gt;0,(SUM(V492:V493))," ")</f>
        <v>395.62499999999989</v>
      </c>
      <c r="W494" s="696"/>
      <c r="X494" s="364"/>
      <c r="Y494" s="364"/>
      <c r="Z494" s="364"/>
      <c r="AA494"/>
      <c r="AB494"/>
    </row>
    <row r="495" spans="17:28" ht="12.75" customHeight="1">
      <c r="Q495" s="364"/>
      <c r="R495" s="363"/>
      <c r="S495" s="363"/>
      <c r="T495" s="363"/>
      <c r="U495" s="363"/>
      <c r="V495" s="363"/>
      <c r="W495" s="363"/>
      <c r="X495" s="364"/>
      <c r="Y495" s="364"/>
      <c r="Z495" s="364"/>
      <c r="AA495"/>
      <c r="AB495"/>
    </row>
    <row r="496" spans="17:28" ht="12.75" customHeight="1">
      <c r="Q496" s="364"/>
      <c r="R496" s="913" t="str">
        <f>R377</f>
        <v>Sulzer ADDS</v>
      </c>
      <c r="S496" s="914"/>
      <c r="T496" s="914"/>
      <c r="U496" s="914"/>
      <c r="V496" s="914"/>
      <c r="W496" s="914"/>
      <c r="X496" s="364"/>
      <c r="Y496" s="364"/>
      <c r="Z496" s="364"/>
      <c r="AA496"/>
      <c r="AB496"/>
    </row>
    <row r="497" spans="17:28" ht="12.75" customHeight="1" thickBot="1">
      <c r="Q497" s="364"/>
      <c r="R497" s="910" t="s">
        <v>205</v>
      </c>
      <c r="S497" s="911"/>
      <c r="T497" s="911"/>
      <c r="U497" s="911"/>
      <c r="V497" s="911"/>
      <c r="W497" s="912"/>
      <c r="X497" s="364"/>
      <c r="Y497" s="364"/>
      <c r="Z497" s="364"/>
      <c r="AA497"/>
      <c r="AB497"/>
    </row>
    <row r="498" spans="17:28" ht="12.75" customHeight="1" thickBot="1">
      <c r="Q498" s="364"/>
      <c r="R498" s="686" t="s">
        <v>59</v>
      </c>
      <c r="S498" s="577"/>
      <c r="T498" s="687"/>
      <c r="U498" s="687"/>
      <c r="V498" s="687"/>
      <c r="W498" s="688"/>
      <c r="X498" s="364"/>
      <c r="Y498" s="364"/>
      <c r="Z498" s="364"/>
      <c r="AA498"/>
      <c r="AB498"/>
    </row>
    <row r="499" spans="17:28" ht="12.75" customHeight="1">
      <c r="Q499" s="364"/>
      <c r="R499" s="895" t="s">
        <v>845</v>
      </c>
      <c r="S499" s="896"/>
      <c r="T499" s="900" t="s">
        <v>835</v>
      </c>
      <c r="U499" s="900" t="s">
        <v>836</v>
      </c>
      <c r="V499" s="900" t="s">
        <v>837</v>
      </c>
      <c r="W499" s="902" t="s">
        <v>838</v>
      </c>
      <c r="X499" s="364"/>
      <c r="Y499" s="364"/>
      <c r="Z499" s="364"/>
      <c r="AA499"/>
      <c r="AB499"/>
    </row>
    <row r="500" spans="17:28" ht="12.75" customHeight="1">
      <c r="Q500" s="364"/>
      <c r="R500" s="892"/>
      <c r="S500" s="897"/>
      <c r="T500" s="904"/>
      <c r="U500" s="904"/>
      <c r="V500" s="904"/>
      <c r="W500" s="905"/>
      <c r="X500" s="364"/>
      <c r="Y500" s="364"/>
      <c r="Z500" s="364"/>
      <c r="AA500"/>
      <c r="AB500"/>
    </row>
    <row r="501" spans="17:28" ht="12.75" customHeight="1">
      <c r="Q501" s="364"/>
      <c r="R501" s="892"/>
      <c r="S501" s="897"/>
      <c r="T501" s="901"/>
      <c r="U501" s="901"/>
      <c r="V501" s="901"/>
      <c r="W501" s="903"/>
      <c r="X501" s="364"/>
      <c r="Y501" s="364"/>
      <c r="Z501" s="364"/>
      <c r="AA501"/>
      <c r="AB501"/>
    </row>
    <row r="502" spans="17:28" ht="12.75" customHeight="1">
      <c r="Q502" s="364"/>
      <c r="R502" s="892"/>
      <c r="S502" s="897"/>
      <c r="T502" s="702">
        <f>W76</f>
        <v>115.02059991327963</v>
      </c>
      <c r="U502" s="560">
        <f>W62</f>
        <v>1.7391304347826084</v>
      </c>
      <c r="V502" s="690">
        <f>IF(T502&gt;0,W502*U502," ")</f>
        <v>22260.869565217388</v>
      </c>
      <c r="W502" s="691">
        <f>IF(T502&gt;0,(VLOOKUP(T502,'Lookup Ready-reckoner'!$B$5:$E$1207,4))," ")</f>
        <v>12800</v>
      </c>
      <c r="X502" s="364"/>
      <c r="Y502" s="364"/>
      <c r="Z502" s="364"/>
      <c r="AA502"/>
      <c r="AB502"/>
    </row>
    <row r="503" spans="17:28" ht="12.75" customHeight="1">
      <c r="Q503" s="364"/>
      <c r="R503" s="898"/>
      <c r="S503" s="899"/>
      <c r="T503" s="447"/>
      <c r="U503" s="560"/>
      <c r="V503" s="690" t="str">
        <f>IF(T503&gt;0,W503*U503," ")</f>
        <v xml:space="preserve"> </v>
      </c>
      <c r="W503" s="691" t="str">
        <f>IF(T503&gt;0,(VLOOKUP(T503,'Lookup Ready-reckoner'!$B$5:$E$1007,4))," ")</f>
        <v xml:space="preserve"> </v>
      </c>
      <c r="X503" s="364"/>
      <c r="Y503" s="364"/>
      <c r="Z503" s="364"/>
      <c r="AA503"/>
      <c r="AB503"/>
    </row>
    <row r="504" spans="17:28" ht="12.75" customHeight="1" thickBot="1">
      <c r="Q504" s="364"/>
      <c r="R504" s="692" t="s">
        <v>839</v>
      </c>
      <c r="S504" s="693"/>
      <c r="T504" s="693"/>
      <c r="U504" s="703">
        <f>IF(T502&gt;0,(VLOOKUP(V504,'Lookup Ready-reckoner'!$L$5:$M$1207,2))," ")</f>
        <v>108.4</v>
      </c>
      <c r="V504" s="695">
        <f>IF(U502&gt;0,(SUM(V502:V503))," ")</f>
        <v>22260.869565217388</v>
      </c>
      <c r="W504" s="696"/>
      <c r="X504" s="364"/>
      <c r="Y504" s="364"/>
      <c r="Z504" s="364"/>
      <c r="AA504"/>
      <c r="AB504"/>
    </row>
    <row r="505" spans="17:28" ht="12.75" customHeight="1" thickBot="1">
      <c r="Q505" s="364"/>
      <c r="R505" s="892"/>
      <c r="S505" s="893"/>
      <c r="T505" s="893"/>
      <c r="U505" s="893"/>
      <c r="V505" s="893"/>
      <c r="W505" s="894"/>
      <c r="X505" s="364"/>
      <c r="Y505" s="364"/>
      <c r="Z505" s="364"/>
      <c r="AA505"/>
      <c r="AB505"/>
    </row>
    <row r="506" spans="17:28" ht="12.75" customHeight="1">
      <c r="Q506" s="364"/>
      <c r="R506" s="895" t="s">
        <v>886</v>
      </c>
      <c r="S506" s="896"/>
      <c r="T506" s="900" t="s">
        <v>835</v>
      </c>
      <c r="U506" s="900" t="s">
        <v>836</v>
      </c>
      <c r="V506" s="900" t="s">
        <v>837</v>
      </c>
      <c r="W506" s="902" t="s">
        <v>838</v>
      </c>
      <c r="X506" s="364"/>
      <c r="Y506" s="364"/>
      <c r="Z506" s="364"/>
      <c r="AA506"/>
      <c r="AB506"/>
    </row>
    <row r="507" spans="17:28" ht="12.75" customHeight="1">
      <c r="Q507" s="364"/>
      <c r="R507" s="892"/>
      <c r="S507" s="897"/>
      <c r="T507" s="901"/>
      <c r="U507" s="901"/>
      <c r="V507" s="901"/>
      <c r="W507" s="903"/>
      <c r="X507" s="364"/>
      <c r="Y507" s="364"/>
      <c r="Z507" s="364"/>
      <c r="AA507"/>
      <c r="AB507"/>
    </row>
    <row r="508" spans="17:28" ht="12.75" customHeight="1">
      <c r="Q508" s="364"/>
      <c r="R508" s="892"/>
      <c r="S508" s="897"/>
      <c r="T508" s="702">
        <f>T502*(1-0.0178*2)</f>
        <v>110.92586655636687</v>
      </c>
      <c r="U508" s="560">
        <f>U502</f>
        <v>1.7391304347826084</v>
      </c>
      <c r="V508" s="690">
        <f>IF(T508&gt;0,W508*U508," ")</f>
        <v>8521.7391304347821</v>
      </c>
      <c r="W508" s="691">
        <f>IF(T508&gt;0,(VLOOKUP(T508,'Lookup Ready-reckoner'!$B$5:$E$1207,4))," ")</f>
        <v>4900</v>
      </c>
      <c r="X508" s="364"/>
      <c r="Y508" s="364"/>
      <c r="Z508" s="364"/>
      <c r="AA508"/>
      <c r="AB508"/>
    </row>
    <row r="509" spans="17:28" ht="12.75" customHeight="1">
      <c r="Q509" s="364"/>
      <c r="R509" s="898"/>
      <c r="S509" s="899"/>
      <c r="T509" s="447"/>
      <c r="U509" s="560"/>
      <c r="V509" s="690" t="str">
        <f>IF(T509&gt;0,W509*U509," ")</f>
        <v xml:space="preserve"> </v>
      </c>
      <c r="W509" s="691" t="str">
        <f>IF(T509&gt;0,(VLOOKUP(T509,'Lookup Ready-reckoner'!$B$5:$E$1007,4))," ")</f>
        <v xml:space="preserve"> </v>
      </c>
      <c r="X509" s="364"/>
      <c r="Y509" s="364"/>
      <c r="Z509" s="364"/>
      <c r="AA509"/>
      <c r="AB509"/>
    </row>
    <row r="510" spans="17:28" ht="12.75" customHeight="1" thickBot="1">
      <c r="Q510" s="364"/>
      <c r="R510" s="692" t="s">
        <v>839</v>
      </c>
      <c r="S510" s="693"/>
      <c r="T510" s="693"/>
      <c r="U510" s="703">
        <f>IF(T508&gt;0,(VLOOKUP(V510,'Lookup Ready-reckoner'!$L$5:$M$1207,2))," ")</f>
        <v>104.25</v>
      </c>
      <c r="V510" s="695">
        <f>IF(U508&gt;0,(SUM(V508:V509))," ")</f>
        <v>8521.7391304347821</v>
      </c>
      <c r="W510" s="696"/>
      <c r="X510" s="364"/>
      <c r="Y510" s="364"/>
      <c r="Z510" s="364"/>
      <c r="AA510"/>
      <c r="AB510"/>
    </row>
    <row r="511" spans="17:28" ht="12.75" customHeight="1">
      <c r="Q511" s="364"/>
      <c r="R511" s="697"/>
      <c r="S511" s="687"/>
      <c r="T511" s="687"/>
      <c r="U511" s="372"/>
      <c r="V511" s="374"/>
      <c r="W511" s="688"/>
      <c r="X511" s="364"/>
      <c r="Y511" s="364"/>
      <c r="Z511" s="364"/>
      <c r="AA511"/>
      <c r="AB511"/>
    </row>
    <row r="512" spans="17:28" ht="12.75" customHeight="1" thickBot="1">
      <c r="Q512" s="364"/>
      <c r="R512" s="686" t="s">
        <v>60</v>
      </c>
      <c r="S512" s="577"/>
      <c r="T512" s="577"/>
      <c r="U512" s="577"/>
      <c r="V512" s="577"/>
      <c r="W512" s="698"/>
      <c r="X512" s="364"/>
      <c r="Y512" s="364"/>
      <c r="Z512" s="364"/>
      <c r="AA512"/>
      <c r="AB512"/>
    </row>
    <row r="513" spans="17:28" ht="12.75" customHeight="1">
      <c r="Q513" s="364"/>
      <c r="R513" s="895" t="s">
        <v>845</v>
      </c>
      <c r="S513" s="896"/>
      <c r="T513" s="900" t="s">
        <v>835</v>
      </c>
      <c r="U513" s="900" t="s">
        <v>836</v>
      </c>
      <c r="V513" s="900" t="s">
        <v>837</v>
      </c>
      <c r="W513" s="902" t="s">
        <v>838</v>
      </c>
      <c r="X513" s="364"/>
      <c r="Y513" s="364"/>
      <c r="Z513" s="364"/>
      <c r="AA513"/>
      <c r="AB513"/>
    </row>
    <row r="514" spans="17:28" ht="12.75" customHeight="1">
      <c r="Q514" s="364"/>
      <c r="R514" s="892"/>
      <c r="S514" s="897"/>
      <c r="T514" s="901"/>
      <c r="U514" s="901"/>
      <c r="V514" s="901"/>
      <c r="W514" s="903"/>
      <c r="X514" s="364"/>
      <c r="Y514" s="364"/>
      <c r="Z514" s="364"/>
      <c r="AA514"/>
      <c r="AB514"/>
    </row>
    <row r="515" spans="17:28" ht="12.75" customHeight="1">
      <c r="Q515" s="364"/>
      <c r="R515" s="892"/>
      <c r="S515" s="897"/>
      <c r="T515" s="702">
        <f>T502-PPE!$I$15</f>
        <v>102.02059991327963</v>
      </c>
      <c r="U515" s="560">
        <f>U508</f>
        <v>1.7391304347826084</v>
      </c>
      <c r="V515" s="690">
        <f>IF(T515&gt;0,W515*U515," ")</f>
        <v>1086.9565217391303</v>
      </c>
      <c r="W515" s="691">
        <f>IF(T515&gt;0,(VLOOKUP(T515,'Lookup Ready-reckoner'!$B$5:$E$1207,4))," ")</f>
        <v>625</v>
      </c>
      <c r="X515" s="364"/>
      <c r="Y515" s="364"/>
      <c r="Z515" s="364"/>
      <c r="AA515"/>
      <c r="AB515"/>
    </row>
    <row r="516" spans="17:28" ht="12.75" customHeight="1">
      <c r="Q516" s="364"/>
      <c r="R516" s="898"/>
      <c r="S516" s="899"/>
      <c r="T516" s="447"/>
      <c r="U516" s="560"/>
      <c r="V516" s="690" t="str">
        <f>IF(T516&gt;0,W516*U516," ")</f>
        <v xml:space="preserve"> </v>
      </c>
      <c r="W516" s="691" t="str">
        <f>IF(T516&gt;0,(VLOOKUP(T516,'Lookup Ready-reckoner'!$B$5:$E$1007,4))," ")</f>
        <v xml:space="preserve"> </v>
      </c>
      <c r="X516" s="364"/>
      <c r="Y516" s="364"/>
      <c r="Z516" s="364"/>
      <c r="AA516"/>
      <c r="AB516"/>
    </row>
    <row r="517" spans="17:28" ht="12.75" customHeight="1" thickBot="1">
      <c r="Q517" s="364"/>
      <c r="R517" s="692" t="s">
        <v>839</v>
      </c>
      <c r="S517" s="693"/>
      <c r="T517" s="693"/>
      <c r="U517" s="703">
        <f>IF(T515&gt;0,(VLOOKUP(V517,'Lookup Ready-reckoner'!$L$5:$M$1207,2))," ")</f>
        <v>95.3</v>
      </c>
      <c r="V517" s="695">
        <f>IF(U515&gt;0,(SUM(V515:V516))," ")</f>
        <v>1086.9565217391303</v>
      </c>
      <c r="W517" s="696"/>
      <c r="X517" s="364"/>
      <c r="Y517" s="364"/>
      <c r="Z517" s="364"/>
      <c r="AA517"/>
      <c r="AB517"/>
    </row>
    <row r="518" spans="17:28" ht="12.75" customHeight="1" thickBot="1">
      <c r="Q518" s="364"/>
      <c r="R518" s="892"/>
      <c r="S518" s="893"/>
      <c r="T518" s="893"/>
      <c r="U518" s="893"/>
      <c r="V518" s="893"/>
      <c r="W518" s="894"/>
      <c r="X518" s="364"/>
      <c r="Y518" s="364"/>
      <c r="Z518" s="364"/>
      <c r="AA518"/>
      <c r="AB518"/>
    </row>
    <row r="519" spans="17:28" ht="12.75" customHeight="1">
      <c r="Q519" s="364"/>
      <c r="R519" s="895" t="s">
        <v>886</v>
      </c>
      <c r="S519" s="896"/>
      <c r="T519" s="900" t="s">
        <v>835</v>
      </c>
      <c r="U519" s="900" t="s">
        <v>836</v>
      </c>
      <c r="V519" s="900" t="s">
        <v>837</v>
      </c>
      <c r="W519" s="902" t="s">
        <v>838</v>
      </c>
      <c r="X519" s="364"/>
      <c r="Y519" s="364"/>
      <c r="Z519" s="364"/>
      <c r="AA519"/>
      <c r="AB519"/>
    </row>
    <row r="520" spans="17:28" ht="12.75" customHeight="1">
      <c r="Q520" s="364"/>
      <c r="R520" s="892"/>
      <c r="S520" s="897"/>
      <c r="T520" s="901"/>
      <c r="U520" s="901"/>
      <c r="V520" s="901"/>
      <c r="W520" s="903"/>
      <c r="X520" s="364"/>
      <c r="Y520" s="364"/>
      <c r="Z520" s="364"/>
      <c r="AA520"/>
      <c r="AB520"/>
    </row>
    <row r="521" spans="17:28" ht="12.75" customHeight="1">
      <c r="Q521" s="364"/>
      <c r="R521" s="892"/>
      <c r="S521" s="897"/>
      <c r="T521" s="702">
        <f>T508-PPE!$I$15</f>
        <v>97.92586655636687</v>
      </c>
      <c r="U521" s="560">
        <f>U515</f>
        <v>1.7391304347826084</v>
      </c>
      <c r="V521" s="690">
        <f>IF(T521&gt;0,W521*U521," ")</f>
        <v>426.08695652173907</v>
      </c>
      <c r="W521" s="691">
        <f>IF(T521&gt;0,(VLOOKUP(T521,'Lookup Ready-reckoner'!$B$5:$E$1207,4))," ")</f>
        <v>245</v>
      </c>
      <c r="X521" s="364"/>
      <c r="Y521" s="364"/>
      <c r="Z521" s="364"/>
      <c r="AA521"/>
      <c r="AB521"/>
    </row>
    <row r="522" spans="17:28" ht="12.75" customHeight="1">
      <c r="Q522" s="364"/>
      <c r="R522" s="898"/>
      <c r="S522" s="899"/>
      <c r="T522" s="447"/>
      <c r="U522" s="560"/>
      <c r="V522" s="690" t="str">
        <f>IF(T522&gt;0,W522*U522," ")</f>
        <v xml:space="preserve"> </v>
      </c>
      <c r="W522" s="691" t="str">
        <f>IF(T522&gt;0,(VLOOKUP(T522,'Lookup Ready-reckoner'!$B$5:$E$1007,4))," ")</f>
        <v xml:space="preserve"> </v>
      </c>
      <c r="X522" s="364"/>
      <c r="Y522" s="364"/>
      <c r="Z522" s="364"/>
      <c r="AA522"/>
      <c r="AB522"/>
    </row>
    <row r="523" spans="17:28" ht="12.75" customHeight="1" thickBot="1">
      <c r="Q523" s="364"/>
      <c r="R523" s="692" t="s">
        <v>839</v>
      </c>
      <c r="S523" s="693"/>
      <c r="T523" s="693"/>
      <c r="U523" s="703">
        <f>IF(T521&gt;0,(VLOOKUP(V523,'Lookup Ready-reckoner'!$L$5:$M$1207,2))," ")</f>
        <v>91.25</v>
      </c>
      <c r="V523" s="695">
        <f>IF(U521&gt;0,(SUM(V521:V522))," ")</f>
        <v>426.08695652173907</v>
      </c>
      <c r="W523" s="696"/>
      <c r="X523" s="364"/>
      <c r="Y523" s="364"/>
      <c r="Z523" s="364"/>
      <c r="AA523"/>
      <c r="AB523"/>
    </row>
    <row r="524" spans="17:28" ht="12.75" customHeight="1">
      <c r="Q524" s="364"/>
      <c r="R524" s="363"/>
      <c r="S524" s="363"/>
      <c r="T524" s="363"/>
      <c r="U524" s="363"/>
      <c r="V524" s="363"/>
      <c r="W524" s="363"/>
      <c r="X524" s="364"/>
      <c r="Y524" s="364"/>
      <c r="Z524" s="364"/>
      <c r="AA524"/>
      <c r="AB524"/>
    </row>
    <row r="525" spans="17:28" ht="12.75" customHeight="1">
      <c r="Q525" s="364"/>
      <c r="R525" s="909" t="str">
        <f>R406</f>
        <v xml:space="preserve">Hilti TE MD20 </v>
      </c>
      <c r="S525" s="909"/>
      <c r="T525" s="909"/>
      <c r="U525" s="909"/>
      <c r="V525" s="909"/>
      <c r="W525" s="909"/>
      <c r="X525" s="364"/>
      <c r="Y525" s="364"/>
      <c r="Z525" s="364"/>
      <c r="AA525"/>
      <c r="AB525"/>
    </row>
    <row r="526" spans="17:28" ht="12.75" customHeight="1" thickBot="1">
      <c r="Q526" s="364"/>
      <c r="R526" s="910" t="s">
        <v>205</v>
      </c>
      <c r="S526" s="911"/>
      <c r="T526" s="911"/>
      <c r="U526" s="911"/>
      <c r="V526" s="911"/>
      <c r="W526" s="912"/>
      <c r="X526" s="364"/>
      <c r="Y526" s="364"/>
      <c r="Z526" s="364"/>
      <c r="AA526"/>
      <c r="AB526"/>
    </row>
    <row r="527" spans="17:28" ht="12.75" customHeight="1" thickBot="1">
      <c r="Q527" s="364"/>
      <c r="R527" s="686" t="s">
        <v>59</v>
      </c>
      <c r="S527" s="577"/>
      <c r="T527" s="687"/>
      <c r="U527" s="687"/>
      <c r="V527" s="687"/>
      <c r="W527" s="688"/>
      <c r="X527" s="364"/>
      <c r="Y527" s="364"/>
      <c r="Z527" s="364"/>
      <c r="AA527"/>
      <c r="AB527"/>
    </row>
    <row r="528" spans="17:28" ht="12.75" customHeight="1">
      <c r="Q528" s="364"/>
      <c r="R528" s="895" t="s">
        <v>845</v>
      </c>
      <c r="S528" s="896"/>
      <c r="T528" s="900" t="s">
        <v>835</v>
      </c>
      <c r="U528" s="900" t="s">
        <v>836</v>
      </c>
      <c r="V528" s="900" t="s">
        <v>837</v>
      </c>
      <c r="W528" s="902" t="s">
        <v>838</v>
      </c>
      <c r="X528" s="364"/>
      <c r="Y528" s="364"/>
      <c r="Z528" s="364"/>
      <c r="AA528"/>
      <c r="AB528"/>
    </row>
    <row r="529" spans="17:28" ht="12.75" customHeight="1">
      <c r="Q529" s="364"/>
      <c r="R529" s="892"/>
      <c r="S529" s="897"/>
      <c r="T529" s="904"/>
      <c r="U529" s="904"/>
      <c r="V529" s="904"/>
      <c r="W529" s="905"/>
      <c r="X529" s="364"/>
      <c r="Y529" s="364"/>
      <c r="Z529" s="364"/>
      <c r="AA529"/>
      <c r="AB529"/>
    </row>
    <row r="530" spans="17:28" ht="12.75" customHeight="1">
      <c r="Q530" s="364"/>
      <c r="R530" s="892"/>
      <c r="S530" s="897"/>
      <c r="T530" s="901"/>
      <c r="U530" s="901"/>
      <c r="V530" s="901"/>
      <c r="W530" s="903"/>
      <c r="X530" s="364"/>
      <c r="Y530" s="364"/>
      <c r="Z530" s="364"/>
      <c r="AA530"/>
      <c r="AB530"/>
    </row>
    <row r="531" spans="17:28" ht="12.75" customHeight="1">
      <c r="Q531" s="364"/>
      <c r="R531" s="892"/>
      <c r="S531" s="897"/>
      <c r="T531" s="704">
        <f>U76</f>
        <v>108.02059991327964</v>
      </c>
      <c r="U531" s="560">
        <f>U62</f>
        <v>2.6666666666666665</v>
      </c>
      <c r="V531" s="690">
        <f>IF(T531&gt;0,W531*U531," ")</f>
        <v>6666.6666666666661</v>
      </c>
      <c r="W531" s="691">
        <f>IF(T531&gt;0,(VLOOKUP(T531,'Lookup Ready-reckoner'!$B$5:$E$1207,4))," ")</f>
        <v>2500</v>
      </c>
      <c r="X531" s="364"/>
      <c r="Y531" s="364"/>
      <c r="Z531" s="364"/>
      <c r="AA531"/>
      <c r="AB531"/>
    </row>
    <row r="532" spans="17:28" ht="12.75" customHeight="1">
      <c r="Q532" s="364"/>
      <c r="R532" s="898"/>
      <c r="S532" s="899"/>
      <c r="T532" s="447"/>
      <c r="U532" s="560"/>
      <c r="V532" s="690" t="str">
        <f>IF(T532&gt;0,W532*U532," ")</f>
        <v xml:space="preserve"> </v>
      </c>
      <c r="W532" s="691" t="str">
        <f>IF(T532&gt;0,(VLOOKUP(T532,'Lookup Ready-reckoner'!$B$5:$E$1007,4))," ")</f>
        <v xml:space="preserve"> </v>
      </c>
      <c r="X532" s="364"/>
      <c r="Y532" s="364"/>
      <c r="Z532" s="364"/>
      <c r="AA532"/>
      <c r="AB532"/>
    </row>
    <row r="533" spans="17:28" ht="12.75" customHeight="1" thickBot="1">
      <c r="Q533" s="364"/>
      <c r="R533" s="692" t="s">
        <v>839</v>
      </c>
      <c r="S533" s="693"/>
      <c r="T533" s="693"/>
      <c r="U533" s="705">
        <f>IF(T531&gt;0,(VLOOKUP(V533,'Lookup Ready-reckoner'!$L$5:$M$1207,2))," ")</f>
        <v>103.15</v>
      </c>
      <c r="V533" s="695">
        <f>IF(U531&gt;0,(SUM(V531:V532))," ")</f>
        <v>6666.6666666666661</v>
      </c>
      <c r="W533" s="696"/>
      <c r="X533" s="364"/>
      <c r="Y533" s="364"/>
      <c r="Z533" s="364"/>
      <c r="AA533"/>
      <c r="AB533"/>
    </row>
    <row r="534" spans="17:28" ht="12.75" customHeight="1" thickBot="1">
      <c r="Q534" s="364"/>
      <c r="R534" s="906"/>
      <c r="S534" s="907"/>
      <c r="T534" s="907"/>
      <c r="U534" s="907"/>
      <c r="V534" s="907"/>
      <c r="W534" s="908"/>
      <c r="X534" s="364"/>
      <c r="Y534" s="364"/>
      <c r="Z534" s="364"/>
      <c r="AA534"/>
      <c r="AB534"/>
    </row>
    <row r="535" spans="17:28" ht="12.75" customHeight="1">
      <c r="Q535" s="364"/>
      <c r="R535" s="895" t="s">
        <v>886</v>
      </c>
      <c r="S535" s="896"/>
      <c r="T535" s="900" t="s">
        <v>835</v>
      </c>
      <c r="U535" s="900" t="s">
        <v>836</v>
      </c>
      <c r="V535" s="900" t="s">
        <v>837</v>
      </c>
      <c r="W535" s="902" t="s">
        <v>838</v>
      </c>
      <c r="X535" s="364"/>
      <c r="Y535" s="364"/>
      <c r="Z535" s="364"/>
      <c r="AA535"/>
      <c r="AB535"/>
    </row>
    <row r="536" spans="17:28" ht="12.75" customHeight="1">
      <c r="Q536" s="364"/>
      <c r="R536" s="892"/>
      <c r="S536" s="897"/>
      <c r="T536" s="901"/>
      <c r="U536" s="901"/>
      <c r="V536" s="901"/>
      <c r="W536" s="903"/>
      <c r="X536" s="364"/>
      <c r="Y536" s="364"/>
      <c r="Z536" s="364"/>
      <c r="AA536"/>
      <c r="AB536"/>
    </row>
    <row r="537" spans="17:28" ht="12.75" customHeight="1">
      <c r="Q537" s="364"/>
      <c r="R537" s="892"/>
      <c r="S537" s="897"/>
      <c r="T537" s="704">
        <f>T531*(1-0.0178*2)</f>
        <v>104.17506655636689</v>
      </c>
      <c r="U537" s="560">
        <f>U531</f>
        <v>2.6666666666666665</v>
      </c>
      <c r="V537" s="690">
        <f>IF(T537&gt;0,W537*U537," ")</f>
        <v>2766.6666666666665</v>
      </c>
      <c r="W537" s="691">
        <f>IF(T537&gt;0,(VLOOKUP(T537,'Lookup Ready-reckoner'!$B$5:$E$1207,4))," ")</f>
        <v>1037.5</v>
      </c>
      <c r="X537" s="364"/>
      <c r="Y537" s="364"/>
      <c r="Z537" s="364"/>
      <c r="AA537"/>
      <c r="AB537"/>
    </row>
    <row r="538" spans="17:28" ht="12.75" customHeight="1">
      <c r="Q538" s="364"/>
      <c r="R538" s="898"/>
      <c r="S538" s="899"/>
      <c r="T538" s="447"/>
      <c r="U538" s="560"/>
      <c r="V538" s="690" t="str">
        <f>IF(T538&gt;0,W538*U538," ")</f>
        <v xml:space="preserve"> </v>
      </c>
      <c r="W538" s="691" t="str">
        <f>IF(T538&gt;0,(VLOOKUP(T538,'Lookup Ready-reckoner'!$B$5:$E$1007,4))," ")</f>
        <v xml:space="preserve"> </v>
      </c>
      <c r="X538" s="364"/>
      <c r="Y538" s="364"/>
      <c r="Z538" s="364"/>
      <c r="AA538"/>
      <c r="AB538"/>
    </row>
    <row r="539" spans="17:28" ht="12.75" customHeight="1" thickBot="1">
      <c r="Q539" s="364"/>
      <c r="R539" s="692" t="s">
        <v>839</v>
      </c>
      <c r="S539" s="693"/>
      <c r="T539" s="693"/>
      <c r="U539" s="705">
        <f>IF(T537&gt;0,(VLOOKUP(V539,'Lookup Ready-reckoner'!$L$5:$M$1207,2))," ")</f>
        <v>99.35</v>
      </c>
      <c r="V539" s="695">
        <f>IF(U537&gt;0,(SUM(V537:V538))," ")</f>
        <v>2766.6666666666665</v>
      </c>
      <c r="W539" s="696"/>
      <c r="X539" s="364"/>
      <c r="Y539" s="364"/>
      <c r="Z539" s="364"/>
      <c r="AA539"/>
      <c r="AB539"/>
    </row>
    <row r="540" spans="17:28" ht="12.75" customHeight="1">
      <c r="Q540" s="364"/>
      <c r="R540" s="697"/>
      <c r="S540" s="687"/>
      <c r="T540" s="687"/>
      <c r="U540" s="372"/>
      <c r="V540" s="374"/>
      <c r="W540" s="688"/>
      <c r="X540" s="364"/>
      <c r="Y540" s="364"/>
      <c r="Z540" s="364"/>
      <c r="AA540"/>
      <c r="AB540"/>
    </row>
    <row r="541" spans="17:28" ht="12.75" customHeight="1" thickBot="1">
      <c r="Q541" s="364"/>
      <c r="R541" s="686" t="s">
        <v>60</v>
      </c>
      <c r="S541" s="577"/>
      <c r="T541" s="577"/>
      <c r="U541" s="577"/>
      <c r="V541" s="577"/>
      <c r="W541" s="698"/>
      <c r="X541" s="364"/>
      <c r="Y541" s="364"/>
      <c r="Z541" s="364"/>
      <c r="AA541"/>
      <c r="AB541"/>
    </row>
    <row r="542" spans="17:28" ht="12.75" customHeight="1">
      <c r="Q542" s="364"/>
      <c r="R542" s="895" t="s">
        <v>845</v>
      </c>
      <c r="S542" s="896"/>
      <c r="T542" s="900" t="s">
        <v>835</v>
      </c>
      <c r="U542" s="900" t="s">
        <v>836</v>
      </c>
      <c r="V542" s="900" t="s">
        <v>837</v>
      </c>
      <c r="W542" s="902" t="s">
        <v>838</v>
      </c>
      <c r="X542" s="364"/>
      <c r="Y542" s="364"/>
      <c r="Z542" s="364"/>
      <c r="AA542"/>
      <c r="AB542"/>
    </row>
    <row r="543" spans="17:28" ht="12.75" customHeight="1">
      <c r="Q543" s="364"/>
      <c r="R543" s="892"/>
      <c r="S543" s="897"/>
      <c r="T543" s="901"/>
      <c r="U543" s="901"/>
      <c r="V543" s="901"/>
      <c r="W543" s="903"/>
      <c r="X543" s="364"/>
      <c r="Y543" s="364"/>
      <c r="Z543" s="364"/>
      <c r="AA543"/>
      <c r="AB543"/>
    </row>
    <row r="544" spans="17:28" ht="12.75" customHeight="1">
      <c r="Q544" s="364"/>
      <c r="R544" s="892"/>
      <c r="S544" s="897"/>
      <c r="T544" s="704">
        <f>T531-PPE!$I$15</f>
        <v>95.020599913279639</v>
      </c>
      <c r="U544" s="560">
        <f>U537</f>
        <v>2.6666666666666665</v>
      </c>
      <c r="V544" s="690">
        <f>IF(T544&gt;0,W544*U544," ")</f>
        <v>333.33333333333331</v>
      </c>
      <c r="W544" s="691">
        <f>IF(T544&gt;0,(VLOOKUP(T544,'Lookup Ready-reckoner'!$B$5:$E$1207,4))," ")</f>
        <v>125</v>
      </c>
      <c r="X544" s="364"/>
      <c r="Y544" s="364"/>
      <c r="Z544" s="364"/>
      <c r="AA544"/>
      <c r="AB544"/>
    </row>
    <row r="545" spans="17:28" ht="12.75" customHeight="1">
      <c r="Q545" s="364"/>
      <c r="R545" s="898"/>
      <c r="S545" s="899"/>
      <c r="T545" s="447"/>
      <c r="U545" s="560"/>
      <c r="V545" s="690" t="str">
        <f>IF(T545&gt;0,W545*U545," ")</f>
        <v xml:space="preserve"> </v>
      </c>
      <c r="W545" s="691" t="str">
        <f>IF(T545&gt;0,(VLOOKUP(T545,'Lookup Ready-reckoner'!$B$5:$E$1007,4))," ")</f>
        <v xml:space="preserve"> </v>
      </c>
      <c r="X545" s="364"/>
      <c r="Y545" s="364"/>
      <c r="Z545" s="364"/>
      <c r="AA545"/>
      <c r="AB545"/>
    </row>
    <row r="546" spans="17:28" ht="12.75" customHeight="1" thickBot="1">
      <c r="Q546" s="364"/>
      <c r="R546" s="692" t="s">
        <v>839</v>
      </c>
      <c r="S546" s="693"/>
      <c r="T546" s="693"/>
      <c r="U546" s="705">
        <f>IF(T544&gt;0,(VLOOKUP(V546,'Lookup Ready-reckoner'!$L$5:$M$1207,2))," ")</f>
        <v>90.15</v>
      </c>
      <c r="V546" s="695">
        <f>IF(U544&gt;0,(SUM(V544:V545))," ")</f>
        <v>333.33333333333331</v>
      </c>
      <c r="W546" s="696"/>
      <c r="X546" s="364"/>
      <c r="Y546" s="364"/>
      <c r="Z546" s="364"/>
      <c r="AA546"/>
      <c r="AB546"/>
    </row>
    <row r="547" spans="17:28" ht="12.75" customHeight="1" thickBot="1">
      <c r="Q547" s="364"/>
      <c r="R547" s="892"/>
      <c r="S547" s="893"/>
      <c r="T547" s="893"/>
      <c r="U547" s="893"/>
      <c r="V547" s="893"/>
      <c r="W547" s="894"/>
      <c r="X547" s="364"/>
      <c r="Y547" s="364"/>
      <c r="Z547" s="364"/>
      <c r="AA547"/>
      <c r="AB547"/>
    </row>
    <row r="548" spans="17:28" ht="12.75" customHeight="1">
      <c r="Q548" s="364"/>
      <c r="R548" s="895" t="s">
        <v>886</v>
      </c>
      <c r="S548" s="896"/>
      <c r="T548" s="900" t="s">
        <v>835</v>
      </c>
      <c r="U548" s="900" t="s">
        <v>836</v>
      </c>
      <c r="V548" s="900" t="s">
        <v>837</v>
      </c>
      <c r="W548" s="902" t="s">
        <v>838</v>
      </c>
      <c r="X548" s="364"/>
      <c r="Y548" s="364"/>
      <c r="Z548" s="364"/>
      <c r="AA548"/>
      <c r="AB548"/>
    </row>
    <row r="549" spans="17:28" ht="12.75" customHeight="1">
      <c r="Q549" s="364"/>
      <c r="R549" s="892"/>
      <c r="S549" s="897"/>
      <c r="T549" s="901"/>
      <c r="U549" s="901"/>
      <c r="V549" s="901"/>
      <c r="W549" s="903"/>
      <c r="X549" s="364"/>
      <c r="Y549" s="364"/>
      <c r="Z549" s="364"/>
      <c r="AA549"/>
      <c r="AB549"/>
    </row>
    <row r="550" spans="17:28" ht="12.75" customHeight="1">
      <c r="Q550" s="364"/>
      <c r="R550" s="892"/>
      <c r="S550" s="897"/>
      <c r="T550" s="704">
        <f>T537-PPE!$I$15</f>
        <v>91.175066556366886</v>
      </c>
      <c r="U550" s="560">
        <f>U544</f>
        <v>2.6666666666666665</v>
      </c>
      <c r="V550" s="690">
        <f>IF(T550&gt;0,W550*U550," ")</f>
        <v>138.33333333333331</v>
      </c>
      <c r="W550" s="691">
        <f>IF(T550&gt;0,(VLOOKUP(T550,'Lookup Ready-reckoner'!$B$5:$E$1207,4))," ")</f>
        <v>51.875</v>
      </c>
      <c r="X550" s="364"/>
      <c r="Y550" s="364"/>
      <c r="Z550" s="364"/>
      <c r="AA550"/>
      <c r="AB550"/>
    </row>
    <row r="551" spans="17:28" ht="12.75" customHeight="1">
      <c r="Q551" s="364"/>
      <c r="R551" s="898"/>
      <c r="S551" s="899"/>
      <c r="T551" s="447"/>
      <c r="U551" s="560"/>
      <c r="V551" s="690" t="str">
        <f>IF(T551&gt;0,W551*U551," ")</f>
        <v xml:space="preserve"> </v>
      </c>
      <c r="W551" s="691" t="str">
        <f>IF(T551&gt;0,(VLOOKUP(T551,'Lookup Ready-reckoner'!$B$5:$E$1007,4))," ")</f>
        <v xml:space="preserve"> </v>
      </c>
      <c r="X551" s="364"/>
      <c r="Y551" s="364"/>
      <c r="Z551" s="364"/>
      <c r="AA551"/>
      <c r="AB551"/>
    </row>
    <row r="552" spans="17:28" ht="12.75" customHeight="1" thickBot="1">
      <c r="Q552" s="364"/>
      <c r="R552" s="692" t="s">
        <v>839</v>
      </c>
      <c r="S552" s="693"/>
      <c r="T552" s="693"/>
      <c r="U552" s="705">
        <f>IF(T550&gt;0,(VLOOKUP(V552,'Lookup Ready-reckoner'!$L$5:$M$1207,2))," ")</f>
        <v>86.35</v>
      </c>
      <c r="V552" s="695">
        <f>IF(U550&gt;0,(SUM(V550:V551))," ")</f>
        <v>138.33333333333331</v>
      </c>
      <c r="W552" s="696"/>
      <c r="X552" s="364"/>
      <c r="Y552" s="364"/>
      <c r="Z552" s="364"/>
      <c r="AA552"/>
      <c r="AB552"/>
    </row>
    <row r="553" spans="17:28" ht="12.75" customHeight="1">
      <c r="Q553" s="364"/>
      <c r="R553" s="364"/>
      <c r="S553" s="364"/>
      <c r="T553" s="364"/>
      <c r="U553" s="364"/>
      <c r="V553" s="364"/>
      <c r="W553" s="364"/>
      <c r="X553" s="364"/>
      <c r="Y553" s="364"/>
      <c r="Z553" s="364"/>
      <c r="AA553"/>
      <c r="AB553"/>
    </row>
    <row r="554" spans="17:28" ht="12.75" customHeight="1">
      <c r="Q554"/>
      <c r="R554"/>
      <c r="S554"/>
      <c r="T554"/>
      <c r="U554"/>
      <c r="V554"/>
      <c r="W554"/>
      <c r="X554"/>
      <c r="Y554"/>
      <c r="Z554"/>
      <c r="AA554"/>
      <c r="AB554"/>
    </row>
    <row r="555" spans="17:28" ht="12.75" customHeight="1">
      <c r="Q555"/>
      <c r="R555"/>
      <c r="S555"/>
      <c r="T555"/>
      <c r="U555"/>
      <c r="V555"/>
      <c r="W555"/>
      <c r="X555"/>
      <c r="Y555"/>
      <c r="Z555"/>
      <c r="AA555"/>
      <c r="AB555"/>
    </row>
    <row r="556" spans="17:28" ht="12.75" customHeight="1">
      <c r="Q556"/>
      <c r="R556"/>
      <c r="S556"/>
      <c r="T556"/>
      <c r="U556"/>
      <c r="V556"/>
      <c r="W556"/>
      <c r="X556"/>
      <c r="Y556"/>
      <c r="Z556"/>
      <c r="AA556"/>
      <c r="AB556"/>
    </row>
    <row r="557" spans="17:28" ht="12.75" customHeight="1">
      <c r="Q557"/>
      <c r="R557"/>
      <c r="S557"/>
      <c r="T557"/>
      <c r="U557"/>
      <c r="V557"/>
      <c r="W557"/>
      <c r="X557"/>
      <c r="Y557"/>
      <c r="Z557"/>
      <c r="AA557"/>
      <c r="AB557"/>
    </row>
    <row r="558" spans="17:28" ht="12.75" customHeight="1">
      <c r="Q558"/>
      <c r="R558"/>
      <c r="S558"/>
      <c r="T558"/>
      <c r="U558"/>
      <c r="V558"/>
      <c r="W558"/>
      <c r="X558"/>
      <c r="Y558"/>
      <c r="Z558"/>
      <c r="AA558"/>
      <c r="AB558"/>
    </row>
    <row r="559" spans="17:28" ht="12.75" customHeight="1">
      <c r="Q559"/>
      <c r="R559"/>
      <c r="S559"/>
      <c r="T559"/>
      <c r="U559"/>
      <c r="V559"/>
      <c r="W559"/>
      <c r="X559"/>
      <c r="Y559"/>
      <c r="Z559"/>
      <c r="AA559"/>
      <c r="AB559"/>
    </row>
    <row r="560" spans="17:28" ht="12.75" customHeight="1">
      <c r="Q560"/>
      <c r="R560"/>
      <c r="S560"/>
      <c r="T560"/>
      <c r="U560"/>
      <c r="V560"/>
      <c r="W560"/>
      <c r="X560"/>
      <c r="Y560"/>
      <c r="Z560"/>
      <c r="AA560"/>
      <c r="AB560"/>
    </row>
    <row r="561" spans="17:28" ht="12.75" customHeight="1">
      <c r="Q561"/>
      <c r="R561"/>
      <c r="S561"/>
      <c r="T561"/>
      <c r="U561"/>
      <c r="V561"/>
      <c r="W561"/>
      <c r="X561"/>
      <c r="Y561"/>
      <c r="Z561"/>
      <c r="AB561"/>
    </row>
    <row r="562" spans="17:28" ht="12.75" customHeight="1">
      <c r="Q562"/>
      <c r="R562"/>
      <c r="S562"/>
      <c r="T562"/>
      <c r="U562"/>
      <c r="V562"/>
      <c r="W562"/>
      <c r="X562"/>
      <c r="Y562"/>
      <c r="Z562"/>
      <c r="AB562"/>
    </row>
    <row r="563" spans="17:28" ht="12.75" customHeight="1">
      <c r="Q563"/>
      <c r="R563"/>
      <c r="S563"/>
      <c r="T563"/>
      <c r="U563"/>
      <c r="V563"/>
      <c r="W563"/>
      <c r="X563"/>
      <c r="Y563"/>
      <c r="Z563"/>
      <c r="AB563"/>
    </row>
    <row r="564" spans="17:28" ht="12.75" customHeight="1">
      <c r="Q564"/>
      <c r="R564"/>
      <c r="S564"/>
      <c r="T564"/>
      <c r="U564"/>
      <c r="V564"/>
      <c r="W564"/>
      <c r="X564"/>
      <c r="Y564"/>
      <c r="Z564"/>
      <c r="AB564"/>
    </row>
    <row r="565" spans="17:28" ht="12.75" customHeight="1">
      <c r="Q565"/>
      <c r="R565"/>
      <c r="S565"/>
      <c r="T565"/>
      <c r="U565"/>
      <c r="V565"/>
      <c r="W565"/>
      <c r="X565"/>
      <c r="Y565"/>
      <c r="Z565"/>
      <c r="AB565"/>
    </row>
    <row r="566" spans="17:28" ht="12.75" customHeight="1">
      <c r="Q566"/>
      <c r="R566"/>
      <c r="S566"/>
      <c r="T566"/>
      <c r="U566"/>
      <c r="V566"/>
      <c r="W566"/>
      <c r="X566"/>
      <c r="Y566"/>
      <c r="Z566"/>
      <c r="AB566"/>
    </row>
    <row r="567" spans="17:28" ht="12.75" customHeight="1">
      <c r="Q567"/>
      <c r="R567"/>
      <c r="S567"/>
      <c r="T567"/>
      <c r="U567"/>
      <c r="V567"/>
      <c r="W567"/>
      <c r="X567"/>
      <c r="Y567"/>
      <c r="Z567"/>
      <c r="AB567"/>
    </row>
    <row r="568" spans="17:28" ht="12.75" customHeight="1">
      <c r="Q568"/>
      <c r="R568"/>
      <c r="S568"/>
      <c r="T568"/>
      <c r="U568"/>
      <c r="V568"/>
      <c r="W568"/>
      <c r="X568"/>
      <c r="Y568"/>
      <c r="Z568"/>
      <c r="AB568"/>
    </row>
    <row r="569" spans="17:28" ht="12.75" customHeight="1">
      <c r="Q569"/>
      <c r="R569"/>
      <c r="S569"/>
      <c r="T569"/>
      <c r="U569"/>
      <c r="V569"/>
      <c r="W569"/>
      <c r="X569"/>
      <c r="Y569"/>
      <c r="Z569"/>
      <c r="AB569"/>
    </row>
    <row r="570" spans="17:28" ht="12.75" customHeight="1">
      <c r="Q570"/>
      <c r="R570"/>
      <c r="S570"/>
      <c r="T570"/>
      <c r="U570"/>
      <c r="V570"/>
      <c r="W570"/>
      <c r="X570"/>
      <c r="Y570"/>
      <c r="Z570"/>
      <c r="AB570"/>
    </row>
    <row r="571" spans="17:28" ht="12.75" customHeight="1">
      <c r="Q571"/>
      <c r="R571"/>
      <c r="S571"/>
      <c r="T571"/>
      <c r="U571"/>
      <c r="V571"/>
      <c r="W571"/>
      <c r="X571"/>
      <c r="Y571"/>
      <c r="Z571"/>
      <c r="AB571"/>
    </row>
    <row r="572" spans="17:28" ht="12.75" customHeight="1">
      <c r="Q572"/>
      <c r="R572"/>
      <c r="S572"/>
      <c r="T572"/>
      <c r="U572"/>
      <c r="V572"/>
      <c r="W572"/>
      <c r="X572"/>
      <c r="Y572"/>
      <c r="Z572"/>
      <c r="AA572"/>
      <c r="AB572"/>
    </row>
    <row r="573" spans="17:28" ht="12.75" customHeight="1">
      <c r="Q573"/>
      <c r="R573"/>
      <c r="S573"/>
      <c r="T573"/>
      <c r="U573"/>
      <c r="V573"/>
      <c r="W573"/>
      <c r="X573"/>
      <c r="Y573"/>
      <c r="Z573"/>
      <c r="AA573"/>
      <c r="AB573"/>
    </row>
    <row r="574" spans="17:28" ht="12.75" customHeight="1">
      <c r="Q574"/>
      <c r="R574"/>
      <c r="S574"/>
      <c r="T574"/>
      <c r="U574"/>
      <c r="V574"/>
      <c r="W574"/>
      <c r="X574"/>
      <c r="Y574"/>
      <c r="Z574"/>
      <c r="AA574"/>
      <c r="AB574"/>
    </row>
    <row r="575" spans="17:28" ht="12.75" customHeight="1">
      <c r="Q575"/>
      <c r="R575"/>
      <c r="S575"/>
      <c r="T575"/>
      <c r="U575"/>
      <c r="V575"/>
      <c r="W575"/>
      <c r="X575"/>
      <c r="Y575"/>
      <c r="Z575"/>
      <c r="AA575"/>
      <c r="AB575"/>
    </row>
    <row r="576" spans="17:28" ht="12.75" customHeight="1">
      <c r="Q576"/>
      <c r="R576"/>
      <c r="S576"/>
      <c r="T576"/>
      <c r="U576"/>
      <c r="V576"/>
      <c r="W576"/>
      <c r="X576"/>
      <c r="Y576"/>
      <c r="Z576"/>
      <c r="AA576"/>
      <c r="AB576"/>
    </row>
    <row r="577" spans="17:28" ht="12.75" customHeight="1">
      <c r="Q577"/>
      <c r="R577"/>
      <c r="S577"/>
      <c r="T577"/>
      <c r="U577"/>
      <c r="V577"/>
      <c r="W577"/>
      <c r="X577"/>
      <c r="Y577"/>
      <c r="Z577"/>
      <c r="AA577"/>
      <c r="AB577"/>
    </row>
    <row r="578" spans="17:28" ht="12.75" customHeight="1">
      <c r="Q578"/>
      <c r="R578"/>
      <c r="S578"/>
      <c r="T578"/>
      <c r="U578"/>
      <c r="V578"/>
      <c r="W578"/>
      <c r="X578"/>
      <c r="Y578"/>
      <c r="Z578"/>
      <c r="AA578"/>
      <c r="AB578"/>
    </row>
    <row r="579" spans="17:28" ht="12.75" customHeight="1">
      <c r="Q579"/>
      <c r="R579"/>
      <c r="S579"/>
      <c r="T579"/>
      <c r="U579"/>
      <c r="V579"/>
      <c r="W579"/>
      <c r="X579"/>
      <c r="Y579"/>
      <c r="Z579"/>
      <c r="AA579"/>
      <c r="AB579"/>
    </row>
    <row r="580" spans="17:28" ht="12.75" customHeight="1">
      <c r="Q580"/>
      <c r="R580"/>
      <c r="S580"/>
      <c r="T580"/>
      <c r="U580"/>
      <c r="V580"/>
      <c r="W580"/>
      <c r="X580"/>
      <c r="Y580"/>
      <c r="Z580"/>
      <c r="AA580"/>
      <c r="AB580"/>
    </row>
    <row r="581" spans="17:28" ht="12.75" customHeight="1">
      <c r="Q581"/>
      <c r="R581"/>
      <c r="S581"/>
      <c r="T581"/>
      <c r="U581"/>
      <c r="V581"/>
      <c r="W581"/>
      <c r="X581"/>
      <c r="Y581"/>
      <c r="Z581"/>
      <c r="AA581"/>
      <c r="AB581"/>
    </row>
    <row r="582" spans="17:28" ht="12.75" customHeight="1">
      <c r="Q582"/>
      <c r="R582"/>
      <c r="S582"/>
      <c r="T582"/>
      <c r="U582"/>
      <c r="V582"/>
      <c r="W582"/>
      <c r="X582"/>
      <c r="Y582"/>
      <c r="Z582"/>
      <c r="AA582"/>
      <c r="AB582"/>
    </row>
    <row r="583" spans="17:28" ht="12.75" customHeight="1">
      <c r="Q583"/>
      <c r="R583"/>
      <c r="S583"/>
      <c r="T583"/>
      <c r="U583"/>
      <c r="V583"/>
      <c r="W583"/>
      <c r="X583"/>
      <c r="Y583"/>
      <c r="Z583"/>
      <c r="AA583"/>
      <c r="AB583"/>
    </row>
    <row r="584" spans="17:28" ht="12.75" customHeight="1">
      <c r="Q584"/>
      <c r="R584"/>
      <c r="S584"/>
      <c r="T584"/>
      <c r="U584"/>
      <c r="V584"/>
      <c r="W584"/>
      <c r="X584"/>
      <c r="Y584"/>
      <c r="Z584"/>
      <c r="AA584"/>
      <c r="AB584"/>
    </row>
    <row r="585" spans="17:28" ht="12.75" customHeight="1">
      <c r="Q585"/>
      <c r="R585"/>
      <c r="S585"/>
      <c r="T585"/>
      <c r="U585"/>
      <c r="V585"/>
      <c r="W585"/>
      <c r="X585"/>
      <c r="Y585"/>
      <c r="Z585"/>
      <c r="AA585"/>
      <c r="AB585"/>
    </row>
    <row r="586" spans="17:28" ht="12.75" customHeight="1">
      <c r="Q586"/>
      <c r="R586"/>
      <c r="S586"/>
      <c r="T586"/>
      <c r="U586"/>
      <c r="V586"/>
      <c r="W586"/>
      <c r="X586"/>
      <c r="Y586"/>
      <c r="Z586"/>
      <c r="AA586"/>
      <c r="AB586"/>
    </row>
    <row r="587" spans="17:28" ht="12.75" customHeight="1">
      <c r="Q587"/>
      <c r="R587"/>
      <c r="S587"/>
      <c r="T587"/>
      <c r="U587"/>
      <c r="V587"/>
      <c r="W587"/>
      <c r="X587"/>
      <c r="Y587"/>
      <c r="Z587"/>
      <c r="AA587"/>
      <c r="AB587"/>
    </row>
    <row r="588" spans="17:28" ht="12.75" customHeight="1">
      <c r="Q588"/>
      <c r="R588"/>
      <c r="S588"/>
      <c r="T588"/>
      <c r="U588"/>
      <c r="V588"/>
      <c r="W588"/>
      <c r="X588"/>
      <c r="Y588"/>
      <c r="Z588"/>
      <c r="AA588"/>
      <c r="AB588"/>
    </row>
    <row r="589" spans="17:28" ht="12.75" customHeight="1">
      <c r="Q589"/>
      <c r="R589"/>
      <c r="S589"/>
      <c r="T589"/>
      <c r="U589"/>
      <c r="V589"/>
      <c r="W589"/>
      <c r="X589"/>
      <c r="Y589"/>
      <c r="Z589"/>
      <c r="AA589"/>
      <c r="AB589"/>
    </row>
    <row r="590" spans="17:28" ht="12.75" customHeight="1">
      <c r="Q590"/>
      <c r="R590"/>
      <c r="S590"/>
      <c r="T590"/>
      <c r="U590"/>
      <c r="V590"/>
      <c r="W590"/>
      <c r="X590"/>
      <c r="Y590"/>
      <c r="Z590"/>
      <c r="AA590"/>
      <c r="AB590"/>
    </row>
    <row r="591" spans="17:28" ht="12.75" customHeight="1">
      <c r="Q591"/>
      <c r="R591"/>
      <c r="S591"/>
      <c r="T591"/>
      <c r="U591"/>
      <c r="V591"/>
      <c r="W591"/>
      <c r="X591"/>
      <c r="Y591"/>
      <c r="Z591"/>
      <c r="AA591"/>
      <c r="AB591"/>
    </row>
    <row r="592" spans="17:28" ht="12.75" customHeight="1">
      <c r="Q592"/>
      <c r="R592"/>
      <c r="S592"/>
      <c r="T592"/>
      <c r="U592"/>
      <c r="V592"/>
      <c r="W592"/>
      <c r="X592"/>
      <c r="Y592"/>
      <c r="Z592"/>
      <c r="AA592"/>
      <c r="AB592"/>
    </row>
    <row r="593" spans="17:28" ht="12.75" customHeight="1">
      <c r="Q593"/>
      <c r="R593"/>
      <c r="S593"/>
      <c r="T593"/>
      <c r="U593"/>
      <c r="V593"/>
      <c r="W593"/>
      <c r="X593"/>
      <c r="Y593"/>
      <c r="Z593"/>
      <c r="AA593"/>
      <c r="AB593"/>
    </row>
    <row r="594" spans="17:28" ht="12.75" customHeight="1">
      <c r="Q594"/>
      <c r="R594"/>
      <c r="S594"/>
      <c r="T594"/>
      <c r="U594"/>
      <c r="V594"/>
      <c r="W594"/>
      <c r="X594"/>
      <c r="Y594"/>
      <c r="Z594"/>
      <c r="AA594"/>
      <c r="AB594"/>
    </row>
    <row r="595" spans="17:28" ht="12.75" customHeight="1">
      <c r="Q595"/>
      <c r="R595"/>
      <c r="S595"/>
      <c r="T595"/>
      <c r="U595"/>
      <c r="V595"/>
      <c r="W595"/>
      <c r="X595"/>
      <c r="Y595"/>
      <c r="Z595"/>
      <c r="AA595"/>
      <c r="AB595"/>
    </row>
    <row r="596" spans="17:28" ht="12.75" customHeight="1">
      <c r="Q596"/>
      <c r="R596"/>
      <c r="S596"/>
      <c r="T596"/>
      <c r="U596"/>
      <c r="V596"/>
      <c r="W596"/>
      <c r="X596"/>
      <c r="Y596"/>
      <c r="Z596"/>
      <c r="AA596"/>
      <c r="AB596"/>
    </row>
    <row r="597" spans="17:28" ht="12.75" customHeight="1">
      <c r="Q597"/>
      <c r="R597"/>
      <c r="S597"/>
      <c r="T597"/>
      <c r="U597"/>
      <c r="V597"/>
      <c r="W597"/>
      <c r="X597"/>
      <c r="Y597"/>
      <c r="Z597"/>
      <c r="AA597"/>
      <c r="AB597"/>
    </row>
    <row r="598" spans="17:28" ht="12.75" customHeight="1">
      <c r="Q598"/>
      <c r="R598"/>
      <c r="S598"/>
      <c r="T598"/>
      <c r="U598"/>
      <c r="V598"/>
      <c r="W598"/>
      <c r="X598"/>
      <c r="Y598"/>
      <c r="Z598"/>
      <c r="AA598"/>
      <c r="AB598"/>
    </row>
    <row r="599" spans="17:28" ht="12.75" customHeight="1">
      <c r="Q599"/>
      <c r="R599"/>
      <c r="S599"/>
      <c r="T599"/>
      <c r="U599"/>
      <c r="V599"/>
      <c r="W599"/>
      <c r="X599"/>
      <c r="Y599"/>
      <c r="Z599"/>
      <c r="AA599"/>
      <c r="AB599"/>
    </row>
    <row r="600" spans="17:28" ht="12.75" customHeight="1">
      <c r="Q600"/>
      <c r="R600"/>
      <c r="S600"/>
      <c r="T600"/>
      <c r="U600"/>
      <c r="V600"/>
      <c r="W600"/>
      <c r="X600"/>
      <c r="Y600"/>
      <c r="Z600"/>
      <c r="AA600"/>
      <c r="AB600"/>
    </row>
    <row r="601" spans="17:28" ht="12.75" customHeight="1">
      <c r="Q601"/>
      <c r="R601"/>
      <c r="S601"/>
      <c r="T601"/>
      <c r="U601"/>
      <c r="V601"/>
      <c r="W601"/>
      <c r="X601"/>
      <c r="Y601"/>
      <c r="Z601"/>
      <c r="AA601"/>
      <c r="AB601"/>
    </row>
    <row r="602" spans="17:28" ht="12.75" customHeight="1">
      <c r="Q602"/>
      <c r="R602"/>
      <c r="S602"/>
      <c r="T602"/>
      <c r="U602"/>
      <c r="V602"/>
      <c r="W602"/>
      <c r="X602"/>
      <c r="Y602"/>
      <c r="Z602"/>
      <c r="AA602"/>
      <c r="AB602"/>
    </row>
    <row r="603" spans="17:28" ht="12.75" customHeight="1">
      <c r="Q603"/>
      <c r="R603"/>
      <c r="S603"/>
      <c r="T603"/>
      <c r="U603"/>
      <c r="V603"/>
      <c r="W603"/>
      <c r="X603"/>
      <c r="Y603"/>
      <c r="Z603"/>
      <c r="AA603"/>
      <c r="AB603"/>
    </row>
    <row r="604" spans="17:28" ht="12.75" customHeight="1">
      <c r="Q604"/>
      <c r="R604"/>
      <c r="S604"/>
      <c r="T604"/>
      <c r="U604"/>
      <c r="V604"/>
      <c r="W604"/>
      <c r="X604"/>
      <c r="Y604"/>
      <c r="Z604"/>
      <c r="AA604"/>
      <c r="AB604"/>
    </row>
    <row r="605" spans="17:28" ht="12.75" customHeight="1">
      <c r="Q605"/>
      <c r="R605"/>
      <c r="S605"/>
      <c r="T605"/>
      <c r="U605"/>
      <c r="V605"/>
      <c r="W605"/>
      <c r="X605"/>
      <c r="Y605"/>
      <c r="Z605"/>
      <c r="AA605"/>
      <c r="AB605"/>
    </row>
    <row r="606" spans="17:28" ht="12.75" customHeight="1">
      <c r="Q606"/>
      <c r="R606"/>
      <c r="S606"/>
      <c r="T606"/>
      <c r="U606"/>
      <c r="V606"/>
      <c r="W606"/>
      <c r="X606"/>
      <c r="Y606"/>
      <c r="Z606"/>
      <c r="AA606"/>
      <c r="AB606"/>
    </row>
    <row r="607" spans="17:28" ht="12.75" customHeight="1">
      <c r="Q607"/>
      <c r="R607"/>
      <c r="S607"/>
      <c r="T607"/>
      <c r="U607"/>
      <c r="V607"/>
      <c r="W607"/>
      <c r="X607"/>
      <c r="Y607"/>
      <c r="Z607"/>
      <c r="AA607"/>
      <c r="AB607"/>
    </row>
    <row r="608" spans="17:28" ht="12.75" customHeight="1">
      <c r="Q608"/>
      <c r="R608"/>
      <c r="S608"/>
      <c r="T608"/>
      <c r="U608"/>
      <c r="V608"/>
      <c r="W608"/>
      <c r="X608"/>
      <c r="Y608"/>
      <c r="Z608"/>
      <c r="AA608"/>
      <c r="AB608"/>
    </row>
    <row r="609" spans="17:28" ht="12.75" customHeight="1">
      <c r="Q609"/>
      <c r="R609"/>
      <c r="S609"/>
      <c r="T609"/>
      <c r="U609"/>
      <c r="V609"/>
      <c r="W609"/>
      <c r="X609"/>
      <c r="Y609"/>
      <c r="Z609"/>
      <c r="AA609"/>
      <c r="AB609"/>
    </row>
    <row r="610" spans="17:28" ht="12.75" customHeight="1">
      <c r="Q610"/>
      <c r="R610"/>
      <c r="S610"/>
      <c r="T610"/>
      <c r="U610"/>
      <c r="V610"/>
      <c r="W610"/>
      <c r="X610"/>
      <c r="Y610"/>
      <c r="Z610"/>
      <c r="AA610"/>
      <c r="AB610"/>
    </row>
    <row r="611" spans="17:28" ht="12.75" customHeight="1">
      <c r="Q611"/>
      <c r="R611"/>
      <c r="S611"/>
      <c r="T611"/>
      <c r="U611"/>
      <c r="V611"/>
      <c r="W611"/>
      <c r="X611"/>
      <c r="Y611"/>
      <c r="Z611"/>
      <c r="AA611"/>
      <c r="AB611"/>
    </row>
    <row r="612" spans="17:28" ht="12.75" customHeight="1">
      <c r="Q612"/>
      <c r="R612"/>
      <c r="S612"/>
      <c r="T612"/>
      <c r="U612"/>
      <c r="V612"/>
      <c r="W612"/>
      <c r="X612"/>
      <c r="Y612"/>
      <c r="Z612"/>
      <c r="AA612"/>
      <c r="AB612"/>
    </row>
    <row r="613" spans="17:28" ht="12.75" customHeight="1">
      <c r="Q613"/>
      <c r="R613"/>
      <c r="S613"/>
      <c r="T613"/>
      <c r="U613"/>
      <c r="V613"/>
      <c r="W613"/>
      <c r="X613"/>
      <c r="Y613"/>
      <c r="Z613"/>
      <c r="AA613"/>
      <c r="AB613"/>
    </row>
    <row r="614" spans="17:28" ht="12.75" customHeight="1">
      <c r="Q614"/>
      <c r="R614"/>
      <c r="S614"/>
      <c r="T614"/>
      <c r="U614"/>
      <c r="V614"/>
      <c r="W614"/>
      <c r="X614"/>
      <c r="Y614"/>
      <c r="Z614"/>
      <c r="AA614"/>
      <c r="AB614"/>
    </row>
    <row r="615" spans="17:28" ht="12.75" customHeight="1">
      <c r="Q615"/>
      <c r="R615"/>
      <c r="S615"/>
      <c r="T615"/>
      <c r="U615"/>
      <c r="V615"/>
      <c r="W615"/>
      <c r="X615"/>
      <c r="Y615"/>
      <c r="Z615"/>
      <c r="AA615"/>
      <c r="AB615"/>
    </row>
    <row r="616" spans="17:28" ht="12.75" customHeight="1">
      <c r="Q616"/>
      <c r="R616"/>
      <c r="S616"/>
      <c r="T616"/>
      <c r="U616"/>
      <c r="V616"/>
      <c r="W616"/>
      <c r="X616"/>
      <c r="Y616"/>
      <c r="Z616"/>
      <c r="AA616"/>
      <c r="AB616"/>
    </row>
    <row r="617" spans="17:28" ht="12.75" customHeight="1">
      <c r="Q617"/>
      <c r="R617"/>
      <c r="S617"/>
      <c r="T617"/>
      <c r="U617"/>
      <c r="V617"/>
      <c r="W617"/>
      <c r="X617"/>
      <c r="Y617"/>
      <c r="Z617"/>
      <c r="AA617"/>
      <c r="AB617"/>
    </row>
    <row r="618" spans="17:28" ht="12.75" customHeight="1">
      <c r="Q618"/>
      <c r="R618"/>
      <c r="S618"/>
      <c r="T618"/>
      <c r="U618"/>
      <c r="V618"/>
      <c r="W618"/>
      <c r="X618"/>
      <c r="Y618"/>
      <c r="Z618"/>
      <c r="AA618"/>
      <c r="AB618"/>
    </row>
    <row r="619" spans="17:28" ht="12.75" customHeight="1">
      <c r="Q619"/>
      <c r="R619"/>
      <c r="S619"/>
      <c r="T619"/>
      <c r="U619"/>
      <c r="V619"/>
      <c r="W619"/>
      <c r="X619"/>
      <c r="Y619"/>
      <c r="Z619"/>
      <c r="AA619"/>
      <c r="AB619"/>
    </row>
    <row r="620" spans="17:28" ht="12.75" customHeight="1">
      <c r="Q620"/>
      <c r="R620"/>
      <c r="S620"/>
      <c r="T620"/>
      <c r="U620"/>
      <c r="V620"/>
      <c r="W620"/>
      <c r="X620"/>
      <c r="Y620"/>
      <c r="Z620"/>
      <c r="AA620"/>
      <c r="AB620"/>
    </row>
    <row r="621" spans="17:28" ht="12.75" customHeight="1">
      <c r="Q621"/>
      <c r="R621"/>
      <c r="S621"/>
      <c r="T621"/>
      <c r="U621"/>
      <c r="V621"/>
      <c r="W621"/>
      <c r="X621"/>
      <c r="Y621"/>
      <c r="Z621"/>
      <c r="AA621"/>
      <c r="AB621"/>
    </row>
    <row r="622" spans="17:28" ht="12.75" customHeight="1">
      <c r="Q622"/>
      <c r="R622"/>
      <c r="S622"/>
      <c r="T622"/>
      <c r="U622"/>
      <c r="V622"/>
      <c r="W622"/>
      <c r="X622"/>
      <c r="Y622"/>
      <c r="Z622"/>
      <c r="AA622"/>
      <c r="AB622"/>
    </row>
    <row r="623" spans="17:28" ht="12.75" customHeight="1">
      <c r="Q623"/>
      <c r="R623"/>
      <c r="S623"/>
      <c r="T623"/>
      <c r="U623"/>
      <c r="V623"/>
      <c r="W623"/>
      <c r="X623"/>
      <c r="Y623"/>
      <c r="Z623"/>
      <c r="AA623"/>
      <c r="AB623"/>
    </row>
    <row r="624" spans="17:28" ht="12.75" customHeight="1">
      <c r="Q624"/>
      <c r="R624"/>
      <c r="S624"/>
      <c r="T624"/>
      <c r="U624"/>
      <c r="V624"/>
      <c r="W624"/>
      <c r="X624"/>
      <c r="Y624"/>
      <c r="Z624"/>
      <c r="AA624"/>
      <c r="AB624"/>
    </row>
    <row r="625" spans="17:28" ht="12.75" customHeight="1">
      <c r="Q625"/>
      <c r="R625"/>
      <c r="S625"/>
      <c r="T625"/>
      <c r="U625"/>
      <c r="V625"/>
      <c r="W625"/>
      <c r="X625"/>
      <c r="Y625"/>
      <c r="Z625"/>
      <c r="AA625"/>
      <c r="AB625"/>
    </row>
    <row r="626" spans="17:28" ht="12.75" customHeight="1">
      <c r="Q626"/>
      <c r="R626"/>
      <c r="S626"/>
      <c r="T626"/>
      <c r="U626"/>
      <c r="V626"/>
      <c r="W626"/>
      <c r="X626"/>
      <c r="Y626"/>
      <c r="Z626"/>
      <c r="AA626"/>
      <c r="AB626"/>
    </row>
    <row r="627" spans="17:28" ht="12.75" customHeight="1">
      <c r="Q627"/>
      <c r="R627"/>
      <c r="S627"/>
      <c r="T627"/>
      <c r="U627"/>
      <c r="V627"/>
      <c r="W627"/>
      <c r="X627"/>
      <c r="Y627"/>
      <c r="Z627"/>
      <c r="AA627"/>
      <c r="AB627"/>
    </row>
    <row r="628" spans="17:28" ht="12.75" customHeight="1">
      <c r="Q628"/>
      <c r="R628"/>
      <c r="S628"/>
      <c r="T628"/>
      <c r="U628"/>
      <c r="V628"/>
      <c r="W628"/>
      <c r="X628"/>
      <c r="Y628"/>
      <c r="Z628"/>
      <c r="AA628"/>
      <c r="AB628"/>
    </row>
    <row r="629" spans="17:28" ht="12.75" customHeight="1">
      <c r="Q629"/>
      <c r="R629"/>
      <c r="S629"/>
      <c r="T629"/>
      <c r="U629"/>
      <c r="V629"/>
      <c r="W629"/>
      <c r="X629"/>
      <c r="Y629"/>
      <c r="Z629"/>
      <c r="AA629"/>
      <c r="AB629"/>
    </row>
    <row r="630" spans="17:28" ht="12.75" customHeight="1">
      <c r="Q630"/>
      <c r="R630"/>
      <c r="S630"/>
      <c r="T630"/>
      <c r="U630"/>
      <c r="V630"/>
      <c r="W630"/>
      <c r="X630"/>
      <c r="Y630"/>
      <c r="Z630"/>
      <c r="AA630"/>
      <c r="AB630"/>
    </row>
    <row r="631" spans="17:28" ht="12.75" customHeight="1">
      <c r="Q631"/>
      <c r="R631"/>
      <c r="S631"/>
      <c r="T631"/>
      <c r="U631"/>
      <c r="V631"/>
      <c r="W631"/>
      <c r="X631"/>
      <c r="Y631"/>
      <c r="Z631"/>
      <c r="AA631"/>
      <c r="AB631"/>
    </row>
    <row r="632" spans="17:28" ht="12.75" customHeight="1">
      <c r="Q632"/>
      <c r="R632"/>
      <c r="S632"/>
      <c r="T632"/>
      <c r="U632"/>
      <c r="V632"/>
      <c r="W632"/>
      <c r="X632"/>
      <c r="Y632"/>
      <c r="Z632"/>
      <c r="AA632"/>
      <c r="AB632"/>
    </row>
    <row r="633" spans="17:28" ht="12.75" customHeight="1">
      <c r="Q633"/>
      <c r="R633"/>
      <c r="S633"/>
      <c r="T633"/>
      <c r="U633"/>
      <c r="V633"/>
      <c r="W633"/>
      <c r="X633"/>
      <c r="Y633"/>
      <c r="Z633"/>
      <c r="AA633"/>
      <c r="AB633"/>
    </row>
    <row r="634" spans="17:28" ht="12.75" customHeight="1">
      <c r="Q634"/>
      <c r="R634"/>
      <c r="S634"/>
      <c r="T634"/>
      <c r="U634"/>
      <c r="V634"/>
      <c r="W634"/>
      <c r="X634"/>
      <c r="Y634"/>
      <c r="Z634"/>
      <c r="AA634"/>
      <c r="AB634"/>
    </row>
    <row r="635" spans="17:28" ht="12.75" customHeight="1">
      <c r="Q635"/>
      <c r="R635"/>
      <c r="S635"/>
      <c r="T635"/>
      <c r="U635"/>
      <c r="V635"/>
      <c r="W635"/>
      <c r="X635"/>
      <c r="Y635"/>
      <c r="Z635"/>
      <c r="AA635"/>
      <c r="AB635"/>
    </row>
    <row r="636" spans="17:28" ht="12.75" customHeight="1">
      <c r="Q636"/>
      <c r="R636"/>
      <c r="S636"/>
      <c r="T636"/>
      <c r="U636"/>
      <c r="V636"/>
      <c r="W636"/>
      <c r="X636"/>
      <c r="Y636"/>
      <c r="Z636"/>
      <c r="AA636"/>
      <c r="AB636"/>
    </row>
    <row r="637" spans="17:28" ht="12.75" customHeight="1">
      <c r="Q637"/>
      <c r="R637"/>
      <c r="S637"/>
      <c r="T637"/>
      <c r="U637"/>
      <c r="V637"/>
      <c r="W637"/>
      <c r="X637"/>
      <c r="Y637"/>
      <c r="Z637"/>
      <c r="AA637"/>
      <c r="AB637"/>
    </row>
    <row r="638" spans="17:28" ht="12.75" customHeight="1">
      <c r="Q638"/>
      <c r="R638"/>
      <c r="S638"/>
      <c r="T638"/>
      <c r="U638"/>
      <c r="V638"/>
      <c r="W638"/>
      <c r="X638"/>
      <c r="Y638"/>
      <c r="Z638"/>
      <c r="AA638"/>
      <c r="AB638"/>
    </row>
    <row r="639" spans="17:28" ht="12.75" customHeight="1">
      <c r="Q639"/>
      <c r="R639"/>
      <c r="S639"/>
      <c r="T639"/>
      <c r="U639"/>
      <c r="V639"/>
      <c r="W639"/>
      <c r="X639"/>
      <c r="Y639"/>
      <c r="Z639"/>
      <c r="AA639"/>
      <c r="AB639"/>
    </row>
    <row r="640" spans="17:28" ht="12.75" customHeight="1">
      <c r="Q640"/>
      <c r="R640"/>
      <c r="S640"/>
      <c r="T640"/>
      <c r="U640"/>
      <c r="V640"/>
      <c r="W640"/>
      <c r="X640"/>
      <c r="Y640"/>
      <c r="Z640"/>
      <c r="AA640"/>
      <c r="AB640"/>
    </row>
    <row r="641" spans="17:28" ht="12.75" customHeight="1">
      <c r="Q641"/>
      <c r="R641"/>
      <c r="S641"/>
      <c r="T641"/>
      <c r="U641"/>
      <c r="V641"/>
      <c r="W641"/>
      <c r="X641"/>
      <c r="Y641"/>
      <c r="Z641"/>
      <c r="AA641"/>
      <c r="AB641"/>
    </row>
    <row r="642" spans="17:28" ht="12.75" customHeight="1">
      <c r="Q642"/>
      <c r="R642"/>
      <c r="S642"/>
      <c r="T642"/>
      <c r="U642"/>
      <c r="V642"/>
      <c r="W642"/>
      <c r="X642"/>
      <c r="Y642"/>
      <c r="Z642"/>
      <c r="AA642"/>
      <c r="AB642"/>
    </row>
    <row r="643" spans="17:28" ht="12.75" customHeight="1">
      <c r="Q643"/>
      <c r="R643"/>
      <c r="S643"/>
      <c r="T643"/>
      <c r="U643"/>
      <c r="V643"/>
      <c r="W643"/>
      <c r="X643"/>
      <c r="Y643"/>
      <c r="Z643"/>
      <c r="AA643"/>
      <c r="AB643"/>
    </row>
    <row r="644" spans="17:28" ht="12.75" customHeight="1">
      <c r="Q644"/>
      <c r="R644"/>
      <c r="S644"/>
      <c r="T644"/>
      <c r="U644"/>
      <c r="V644"/>
      <c r="W644"/>
      <c r="X644"/>
      <c r="Y644"/>
      <c r="Z644"/>
      <c r="AA644"/>
      <c r="AB644"/>
    </row>
    <row r="645" spans="17:28" ht="12.75" customHeight="1">
      <c r="Q645"/>
      <c r="R645"/>
      <c r="S645"/>
      <c r="T645"/>
      <c r="U645"/>
      <c r="V645"/>
      <c r="W645"/>
      <c r="X645"/>
      <c r="Y645"/>
      <c r="Z645"/>
      <c r="AA645"/>
      <c r="AB645"/>
    </row>
    <row r="646" spans="17:28" ht="12.75" customHeight="1">
      <c r="Q646"/>
      <c r="R646"/>
      <c r="S646"/>
      <c r="T646"/>
      <c r="U646"/>
      <c r="V646"/>
      <c r="W646"/>
      <c r="X646"/>
      <c r="Y646"/>
      <c r="Z646"/>
      <c r="AA646"/>
      <c r="AB646"/>
    </row>
    <row r="647" spans="17:28" ht="12.75" customHeight="1">
      <c r="Q647"/>
      <c r="R647"/>
      <c r="S647"/>
      <c r="T647"/>
      <c r="U647"/>
      <c r="V647"/>
      <c r="W647"/>
      <c r="X647"/>
      <c r="Y647"/>
      <c r="Z647"/>
      <c r="AA647"/>
      <c r="AB647"/>
    </row>
    <row r="648" spans="17:28" ht="12.75" customHeight="1">
      <c r="Q648"/>
      <c r="R648"/>
      <c r="S648"/>
      <c r="T648"/>
      <c r="U648"/>
      <c r="V648"/>
      <c r="W648"/>
      <c r="X648"/>
      <c r="Y648"/>
      <c r="Z648"/>
      <c r="AA648"/>
      <c r="AB648"/>
    </row>
    <row r="649" spans="17:28" ht="12.75" customHeight="1">
      <c r="Q649"/>
      <c r="R649"/>
      <c r="S649"/>
      <c r="T649"/>
      <c r="U649"/>
      <c r="V649"/>
      <c r="W649"/>
      <c r="X649"/>
      <c r="Y649"/>
      <c r="Z649"/>
      <c r="AA649"/>
      <c r="AB649"/>
    </row>
    <row r="650" spans="17:28" ht="12.75" customHeight="1">
      <c r="Q650"/>
      <c r="R650"/>
      <c r="S650"/>
      <c r="T650"/>
      <c r="U650"/>
      <c r="V650"/>
      <c r="W650"/>
      <c r="X650"/>
      <c r="Y650"/>
      <c r="Z650"/>
      <c r="AA650"/>
      <c r="AB650"/>
    </row>
    <row r="651" spans="17:28" ht="12.75" customHeight="1">
      <c r="Q651"/>
      <c r="R651"/>
      <c r="S651"/>
      <c r="T651"/>
      <c r="U651"/>
      <c r="V651"/>
      <c r="W651"/>
      <c r="X651"/>
      <c r="Y651"/>
      <c r="Z651"/>
      <c r="AA651"/>
      <c r="AB651"/>
    </row>
    <row r="652" spans="17:28" ht="12.75" customHeight="1">
      <c r="Q652"/>
      <c r="R652"/>
      <c r="S652"/>
      <c r="T652"/>
      <c r="U652"/>
      <c r="V652"/>
      <c r="W652"/>
      <c r="X652"/>
      <c r="Y652"/>
      <c r="Z652"/>
      <c r="AA652"/>
      <c r="AB652"/>
    </row>
    <row r="653" spans="17:28" ht="12.75" customHeight="1">
      <c r="Q653"/>
      <c r="R653"/>
      <c r="S653"/>
      <c r="T653"/>
      <c r="U653"/>
      <c r="V653"/>
      <c r="W653"/>
      <c r="X653"/>
      <c r="Y653"/>
      <c r="Z653"/>
      <c r="AA653"/>
      <c r="AB653"/>
    </row>
    <row r="654" spans="17:28" ht="12.75" customHeight="1">
      <c r="Q654"/>
      <c r="R654"/>
      <c r="S654"/>
      <c r="T654"/>
      <c r="U654"/>
      <c r="V654"/>
      <c r="W654"/>
      <c r="X654"/>
      <c r="Y654"/>
      <c r="Z654"/>
      <c r="AA654"/>
      <c r="AB654"/>
    </row>
    <row r="655" spans="17:28" ht="12.75" customHeight="1">
      <c r="Q655"/>
      <c r="R655"/>
      <c r="S655"/>
      <c r="T655"/>
      <c r="U655"/>
      <c r="V655"/>
      <c r="W655"/>
      <c r="X655"/>
      <c r="Y655"/>
      <c r="Z655"/>
      <c r="AA655"/>
      <c r="AB655"/>
    </row>
    <row r="656" spans="17:28" ht="12.75" customHeight="1">
      <c r="Q656"/>
      <c r="R656"/>
      <c r="S656"/>
      <c r="T656"/>
      <c r="U656"/>
      <c r="V656"/>
      <c r="W656"/>
      <c r="X656"/>
      <c r="Y656"/>
      <c r="Z656"/>
      <c r="AA656"/>
      <c r="AB656"/>
    </row>
    <row r="657" spans="17:28" ht="12.75" customHeight="1">
      <c r="Q657"/>
      <c r="R657"/>
      <c r="S657"/>
      <c r="T657"/>
      <c r="U657"/>
      <c r="V657"/>
      <c r="W657"/>
      <c r="X657"/>
      <c r="Y657"/>
      <c r="Z657"/>
      <c r="AA657"/>
      <c r="AB657"/>
    </row>
    <row r="658" spans="17:28" ht="12.75" customHeight="1">
      <c r="Q658"/>
      <c r="R658"/>
      <c r="S658"/>
      <c r="T658"/>
      <c r="U658"/>
      <c r="V658"/>
      <c r="W658"/>
      <c r="X658"/>
      <c r="Y658"/>
      <c r="Z658"/>
      <c r="AA658"/>
      <c r="AB658"/>
    </row>
    <row r="659" spans="17:28" ht="12.75" customHeight="1">
      <c r="Q659"/>
      <c r="R659"/>
      <c r="S659"/>
      <c r="T659"/>
      <c r="U659"/>
      <c r="V659"/>
      <c r="W659"/>
      <c r="X659"/>
      <c r="Y659"/>
      <c r="Z659"/>
      <c r="AA659"/>
      <c r="AB659"/>
    </row>
    <row r="660" spans="17:28" ht="12.75" customHeight="1">
      <c r="Q660"/>
      <c r="R660"/>
      <c r="S660"/>
      <c r="T660"/>
      <c r="U660"/>
      <c r="V660"/>
      <c r="W660"/>
      <c r="X660"/>
      <c r="Y660"/>
      <c r="Z660"/>
      <c r="AA660"/>
      <c r="AB660"/>
    </row>
    <row r="661" spans="17:28" ht="12.75" customHeight="1">
      <c r="Q661"/>
      <c r="R661"/>
      <c r="S661"/>
      <c r="T661"/>
      <c r="U661"/>
      <c r="V661"/>
      <c r="W661"/>
      <c r="X661"/>
      <c r="Y661"/>
      <c r="Z661"/>
      <c r="AA661"/>
      <c r="AB661"/>
    </row>
    <row r="662" spans="17:28" ht="12.75" customHeight="1">
      <c r="Q662"/>
      <c r="R662"/>
      <c r="S662"/>
      <c r="T662"/>
      <c r="U662"/>
      <c r="V662"/>
      <c r="W662"/>
      <c r="X662"/>
      <c r="Y662"/>
      <c r="Z662"/>
      <c r="AA662"/>
      <c r="AB662"/>
    </row>
    <row r="663" spans="17:28" ht="12.75" customHeight="1">
      <c r="Q663"/>
      <c r="R663"/>
      <c r="S663"/>
      <c r="T663"/>
      <c r="U663"/>
      <c r="V663"/>
      <c r="W663"/>
      <c r="X663"/>
      <c r="Y663"/>
      <c r="Z663"/>
      <c r="AA663"/>
      <c r="AB663"/>
    </row>
    <row r="664" spans="17:28" ht="12.75" customHeight="1">
      <c r="Q664"/>
      <c r="R664"/>
      <c r="S664"/>
      <c r="T664"/>
      <c r="U664"/>
      <c r="V664"/>
      <c r="W664"/>
      <c r="X664"/>
      <c r="Y664"/>
      <c r="Z664"/>
      <c r="AA664"/>
      <c r="AB664"/>
    </row>
    <row r="665" spans="17:28" ht="12.75" customHeight="1">
      <c r="Q665"/>
      <c r="R665"/>
      <c r="S665"/>
      <c r="T665"/>
      <c r="U665"/>
      <c r="V665"/>
      <c r="W665"/>
      <c r="X665"/>
      <c r="Y665"/>
      <c r="Z665"/>
      <c r="AA665"/>
      <c r="AB665"/>
    </row>
    <row r="666" spans="17:28" ht="12.75" customHeight="1">
      <c r="Q666"/>
      <c r="R666"/>
      <c r="S666"/>
      <c r="T666"/>
      <c r="U666"/>
      <c r="V666"/>
      <c r="W666"/>
      <c r="X666"/>
      <c r="Y666"/>
      <c r="Z666"/>
      <c r="AA666"/>
      <c r="AB666"/>
    </row>
    <row r="667" spans="17:28" ht="12.75" customHeight="1">
      <c r="Q667"/>
      <c r="R667"/>
      <c r="S667"/>
      <c r="T667"/>
      <c r="U667"/>
      <c r="V667"/>
      <c r="W667"/>
      <c r="X667"/>
      <c r="Y667"/>
      <c r="Z667"/>
      <c r="AA667"/>
      <c r="AB667"/>
    </row>
    <row r="668" spans="17:28" ht="12.75" customHeight="1">
      <c r="Q668" s="23"/>
      <c r="R668" s="1"/>
      <c r="S668" s="1"/>
      <c r="T668" s="1"/>
      <c r="U668" s="1"/>
      <c r="V668" s="1"/>
      <c r="W668" s="1"/>
      <c r="X668" s="1"/>
      <c r="Y668" s="1"/>
      <c r="Z668" s="1"/>
    </row>
    <row r="669" spans="17:28" ht="12.75" customHeight="1">
      <c r="Q669" s="23"/>
      <c r="R669" s="1"/>
      <c r="S669" s="1"/>
      <c r="T669" s="1"/>
      <c r="U669" s="1"/>
      <c r="V669" s="1"/>
      <c r="W669" s="1"/>
      <c r="X669" s="1"/>
      <c r="Y669" s="1"/>
      <c r="Z669" s="1"/>
    </row>
    <row r="670" spans="17:28" ht="12.75" customHeight="1">
      <c r="Q670" s="23"/>
      <c r="R670" s="1"/>
      <c r="S670" s="1"/>
      <c r="T670" s="1"/>
      <c r="U670" s="1"/>
      <c r="V670" s="1"/>
      <c r="W670" s="1"/>
      <c r="X670" s="1"/>
      <c r="Y670" s="1"/>
      <c r="Z670" s="1"/>
    </row>
    <row r="671" spans="17:28" ht="12.75" customHeight="1">
      <c r="Q671" s="23"/>
      <c r="R671" s="1"/>
      <c r="S671" s="1"/>
      <c r="T671" s="1"/>
      <c r="U671" s="1"/>
      <c r="V671" s="1"/>
      <c r="W671" s="1"/>
      <c r="X671" s="1"/>
      <c r="Y671" s="1"/>
      <c r="Z671" s="1"/>
    </row>
    <row r="672" spans="17:28" ht="12.75" customHeight="1">
      <c r="Q672" s="23"/>
      <c r="R672" s="1"/>
      <c r="S672" s="1"/>
      <c r="T672" s="1"/>
      <c r="U672" s="1"/>
      <c r="V672" s="1"/>
      <c r="W672" s="1"/>
      <c r="X672" s="1"/>
      <c r="Y672" s="1"/>
      <c r="Z672" s="1"/>
    </row>
    <row r="673" spans="17:26" ht="12.75" customHeight="1">
      <c r="Q673" s="23"/>
      <c r="R673" s="1"/>
      <c r="S673" s="1"/>
      <c r="T673" s="1"/>
      <c r="U673" s="1"/>
      <c r="V673" s="1"/>
      <c r="W673" s="1"/>
      <c r="X673" s="1"/>
      <c r="Y673" s="1"/>
      <c r="Z673" s="1"/>
    </row>
    <row r="674" spans="17:26" ht="12.75" customHeight="1">
      <c r="Q674" s="23"/>
      <c r="R674" s="1"/>
      <c r="S674" s="1"/>
      <c r="T674" s="1"/>
      <c r="U674" s="1"/>
      <c r="V674" s="1"/>
      <c r="W674" s="1"/>
      <c r="X674" s="1"/>
      <c r="Y674" s="1"/>
      <c r="Z674" s="1"/>
    </row>
    <row r="675" spans="17:26" ht="12.75" customHeight="1">
      <c r="Q675" s="23"/>
      <c r="R675" s="1"/>
      <c r="S675" s="1"/>
      <c r="T675" s="1"/>
      <c r="U675" s="1"/>
      <c r="V675" s="1"/>
      <c r="W675" s="1"/>
      <c r="X675" s="1"/>
      <c r="Y675" s="1"/>
      <c r="Z675" s="1"/>
    </row>
    <row r="676" spans="17:26" ht="12.75" customHeight="1">
      <c r="Q676" s="23"/>
      <c r="R676" s="1"/>
      <c r="S676" s="1"/>
      <c r="T676" s="1"/>
      <c r="U676" s="1"/>
      <c r="V676" s="1"/>
      <c r="W676" s="1"/>
      <c r="X676" s="1"/>
      <c r="Y676" s="1"/>
      <c r="Z676" s="1"/>
    </row>
    <row r="677" spans="17:26" ht="12.75" customHeight="1">
      <c r="Q677" s="23"/>
      <c r="R677" s="1"/>
      <c r="S677" s="1"/>
      <c r="T677" s="1"/>
      <c r="U677" s="1"/>
      <c r="V677" s="1"/>
      <c r="W677" s="1"/>
      <c r="X677" s="1"/>
      <c r="Y677" s="1"/>
      <c r="Z677" s="1"/>
    </row>
    <row r="678" spans="17:26" ht="12.75" customHeight="1">
      <c r="Q678" s="23"/>
      <c r="R678" s="1"/>
      <c r="S678" s="1"/>
      <c r="T678" s="1"/>
      <c r="U678" s="1"/>
      <c r="V678" s="1"/>
      <c r="W678" s="1"/>
      <c r="X678" s="1"/>
      <c r="Y678" s="1"/>
      <c r="Z678" s="1"/>
    </row>
    <row r="679" spans="17:26" ht="12.75" customHeight="1">
      <c r="Q679" s="23"/>
      <c r="R679" s="1"/>
      <c r="S679" s="1"/>
      <c r="T679" s="1"/>
      <c r="U679" s="1"/>
      <c r="V679" s="1"/>
      <c r="W679" s="1"/>
      <c r="X679" s="1"/>
      <c r="Y679" s="1"/>
      <c r="Z679" s="1"/>
    </row>
    <row r="680" spans="17:26" ht="12.75" customHeight="1">
      <c r="Q680" s="23"/>
      <c r="R680" s="1"/>
      <c r="S680" s="1"/>
      <c r="T680" s="1"/>
      <c r="U680" s="1"/>
      <c r="V680" s="1"/>
      <c r="W680" s="1"/>
      <c r="X680" s="1"/>
      <c r="Y680" s="1"/>
      <c r="Z680" s="1"/>
    </row>
    <row r="681" spans="17:26" ht="12.75" customHeight="1">
      <c r="Q681" s="23"/>
      <c r="R681" s="1"/>
      <c r="S681" s="1"/>
      <c r="T681" s="1"/>
      <c r="U681" s="1"/>
      <c r="V681" s="1"/>
      <c r="W681" s="1"/>
      <c r="X681" s="1"/>
      <c r="Y681" s="1"/>
      <c r="Z681" s="1"/>
    </row>
    <row r="682" spans="17:26" ht="12.75" customHeight="1">
      <c r="Q682" s="23"/>
      <c r="R682" s="1"/>
      <c r="S682" s="1"/>
      <c r="T682" s="1"/>
      <c r="U682" s="1"/>
      <c r="V682" s="1"/>
      <c r="W682" s="1"/>
      <c r="X682" s="1"/>
      <c r="Y682" s="1"/>
      <c r="Z682" s="1"/>
    </row>
    <row r="683" spans="17:26" ht="12.75" customHeight="1">
      <c r="Q683" s="23"/>
      <c r="R683" s="1"/>
      <c r="S683" s="1"/>
      <c r="T683" s="1"/>
      <c r="U683" s="1"/>
      <c r="V683" s="1"/>
      <c r="W683" s="1"/>
      <c r="X683" s="1"/>
      <c r="Y683" s="1"/>
      <c r="Z683" s="1"/>
    </row>
    <row r="684" spans="17:26" ht="12.75" customHeight="1">
      <c r="Q684" s="23"/>
      <c r="R684" s="1"/>
      <c r="S684" s="1"/>
      <c r="T684" s="1"/>
      <c r="U684" s="1"/>
      <c r="V684" s="1"/>
      <c r="W684" s="1"/>
      <c r="X684" s="1"/>
      <c r="Y684" s="1"/>
      <c r="Z684" s="1"/>
    </row>
    <row r="685" spans="17:26" ht="12.75" customHeight="1">
      <c r="Q685" s="23"/>
      <c r="R685" s="1"/>
      <c r="S685" s="1"/>
      <c r="T685" s="1"/>
      <c r="U685" s="1"/>
      <c r="V685" s="1"/>
      <c r="W685" s="1"/>
      <c r="X685" s="1"/>
      <c r="Y685" s="1"/>
      <c r="Z685" s="1"/>
    </row>
    <row r="686" spans="17:26" ht="12.75" customHeight="1">
      <c r="Q686" s="23"/>
      <c r="R686" s="1"/>
      <c r="S686" s="1"/>
      <c r="T686" s="1"/>
      <c r="U686" s="1"/>
      <c r="V686" s="1"/>
      <c r="W686" s="1"/>
      <c r="X686" s="1"/>
      <c r="Y686" s="1"/>
      <c r="Z686" s="1"/>
    </row>
    <row r="687" spans="17:26" ht="12.75" customHeight="1">
      <c r="Q687" s="23"/>
      <c r="R687" s="1"/>
      <c r="S687" s="1"/>
      <c r="T687" s="1"/>
      <c r="U687" s="1"/>
      <c r="V687" s="1"/>
      <c r="W687" s="1"/>
      <c r="X687" s="1"/>
      <c r="Y687" s="1"/>
      <c r="Z687" s="1"/>
    </row>
    <row r="688" spans="17:26" ht="12.75" customHeight="1">
      <c r="Q688" s="23"/>
      <c r="R688" s="1"/>
      <c r="S688" s="1"/>
      <c r="T688" s="1"/>
      <c r="U688" s="1"/>
      <c r="V688" s="1"/>
      <c r="W688" s="1"/>
      <c r="X688" s="1"/>
      <c r="Y688" s="1"/>
      <c r="Z688" s="1"/>
    </row>
    <row r="689" spans="17:26">
      <c r="Q689" s="23"/>
      <c r="R689" s="1"/>
      <c r="S689" s="1"/>
      <c r="T689" s="1"/>
      <c r="U689" s="1"/>
      <c r="V689" s="1"/>
      <c r="W689" s="1"/>
      <c r="X689" s="1"/>
      <c r="Y689" s="1"/>
      <c r="Z689" s="1"/>
    </row>
    <row r="690" spans="17:26">
      <c r="Q690" s="23"/>
      <c r="R690" s="1"/>
      <c r="S690" s="1"/>
      <c r="T690" s="1"/>
      <c r="U690" s="1"/>
      <c r="V690" s="1"/>
      <c r="W690" s="1"/>
      <c r="X690" s="1"/>
      <c r="Y690" s="1"/>
      <c r="Z690" s="1"/>
    </row>
    <row r="691" spans="17:26">
      <c r="Q691" s="23"/>
      <c r="R691" s="1"/>
      <c r="S691" s="1"/>
      <c r="T691" s="1"/>
      <c r="U691" s="1"/>
      <c r="V691" s="1"/>
      <c r="W691" s="1"/>
      <c r="X691" s="1"/>
      <c r="Y691" s="1"/>
      <c r="Z691" s="1"/>
    </row>
    <row r="692" spans="17:26">
      <c r="Q692" s="23"/>
      <c r="R692" s="1"/>
      <c r="S692" s="1"/>
      <c r="T692" s="1"/>
      <c r="U692" s="1"/>
      <c r="V692" s="1"/>
      <c r="W692" s="1"/>
      <c r="X692" s="1"/>
      <c r="Y692" s="1"/>
      <c r="Z692" s="1"/>
    </row>
    <row r="693" spans="17:26">
      <c r="Q693" s="23"/>
      <c r="R693" s="1"/>
      <c r="S693" s="1"/>
      <c r="T693" s="1"/>
      <c r="U693" s="1"/>
      <c r="V693" s="1"/>
      <c r="W693" s="1"/>
      <c r="X693" s="1"/>
      <c r="Y693" s="1"/>
      <c r="Z693" s="1"/>
    </row>
    <row r="694" spans="17:26">
      <c r="Q694" s="23"/>
      <c r="R694" s="1"/>
      <c r="S694" s="1"/>
      <c r="T694" s="1"/>
      <c r="U694" s="1"/>
      <c r="V694" s="1"/>
      <c r="W694" s="1"/>
      <c r="X694" s="1"/>
      <c r="Y694" s="1"/>
      <c r="Z694" s="1"/>
    </row>
    <row r="695" spans="17:26">
      <c r="Q695" s="23"/>
      <c r="R695" s="1"/>
      <c r="S695" s="1"/>
      <c r="T695" s="1"/>
      <c r="U695" s="1"/>
      <c r="V695" s="1"/>
      <c r="W695" s="1"/>
      <c r="X695" s="1"/>
      <c r="Y695" s="1"/>
      <c r="Z695" s="1"/>
    </row>
    <row r="696" spans="17:26">
      <c r="Q696" s="23"/>
      <c r="R696" s="1"/>
      <c r="S696" s="1"/>
      <c r="T696" s="1"/>
      <c r="U696" s="1"/>
      <c r="V696" s="1"/>
      <c r="W696" s="1"/>
      <c r="X696" s="1"/>
      <c r="Y696" s="1"/>
      <c r="Z696" s="1"/>
    </row>
    <row r="697" spans="17:26">
      <c r="Q697" s="23"/>
      <c r="R697" s="1"/>
      <c r="S697" s="1"/>
      <c r="T697" s="1"/>
      <c r="U697" s="1"/>
      <c r="V697" s="1"/>
      <c r="W697" s="1"/>
      <c r="X697" s="1"/>
      <c r="Y697" s="1"/>
      <c r="Z697" s="1"/>
    </row>
    <row r="698" spans="17:26">
      <c r="Q698" s="23"/>
      <c r="R698" s="1"/>
      <c r="S698" s="1"/>
      <c r="T698" s="1"/>
      <c r="U698" s="1"/>
      <c r="V698" s="1"/>
      <c r="W698" s="1"/>
      <c r="X698" s="1"/>
      <c r="Y698" s="1"/>
      <c r="Z698" s="1"/>
    </row>
    <row r="699" spans="17:26">
      <c r="Q699" s="23"/>
      <c r="R699" s="1"/>
      <c r="S699" s="1"/>
      <c r="T699" s="1"/>
      <c r="U699" s="1"/>
      <c r="V699" s="1"/>
      <c r="W699" s="1"/>
      <c r="X699" s="1"/>
      <c r="Y699" s="1"/>
      <c r="Z699" s="1"/>
    </row>
    <row r="700" spans="17:26">
      <c r="Q700" s="23"/>
      <c r="R700" s="1"/>
      <c r="S700" s="1"/>
      <c r="T700" s="1"/>
      <c r="U700" s="1"/>
      <c r="V700" s="1"/>
      <c r="W700" s="1"/>
      <c r="X700" s="1"/>
      <c r="Y700" s="1"/>
      <c r="Z700" s="1"/>
    </row>
    <row r="701" spans="17:26">
      <c r="Q701" s="23"/>
      <c r="R701" s="1"/>
      <c r="S701" s="1"/>
      <c r="T701" s="1"/>
      <c r="U701" s="1"/>
      <c r="V701" s="1"/>
      <c r="W701" s="1"/>
      <c r="X701" s="1"/>
      <c r="Y701" s="1"/>
      <c r="Z701" s="1"/>
    </row>
    <row r="702" spans="17:26">
      <c r="Q702" s="23"/>
      <c r="R702" s="1"/>
      <c r="S702" s="1"/>
      <c r="T702" s="1"/>
      <c r="U702" s="1"/>
      <c r="V702" s="1"/>
      <c r="W702" s="1"/>
      <c r="X702" s="1"/>
      <c r="Y702" s="1"/>
      <c r="Z702" s="1"/>
    </row>
    <row r="703" spans="17:26">
      <c r="Q703" s="23"/>
      <c r="R703" s="1"/>
      <c r="S703" s="1"/>
      <c r="T703" s="1"/>
      <c r="U703" s="1"/>
      <c r="V703" s="1"/>
      <c r="W703" s="1"/>
      <c r="X703" s="1"/>
      <c r="Y703" s="1"/>
      <c r="Z703" s="1"/>
    </row>
    <row r="704" spans="17:26">
      <c r="Q704" s="23"/>
      <c r="R704" s="1"/>
      <c r="S704" s="1"/>
      <c r="T704" s="1"/>
      <c r="U704" s="1"/>
      <c r="V704" s="1"/>
      <c r="W704" s="1"/>
      <c r="X704" s="1"/>
      <c r="Y704" s="1"/>
      <c r="Z704" s="1"/>
    </row>
    <row r="705" spans="17:26">
      <c r="Q705" s="23"/>
      <c r="R705" s="1"/>
      <c r="S705" s="1"/>
      <c r="T705" s="1"/>
      <c r="U705" s="1"/>
      <c r="V705" s="1"/>
      <c r="W705" s="1"/>
      <c r="X705" s="1"/>
      <c r="Y705" s="1"/>
      <c r="Z705" s="1"/>
    </row>
    <row r="706" spans="17:26">
      <c r="Q706" s="23"/>
      <c r="R706" s="1"/>
      <c r="S706" s="1"/>
      <c r="T706" s="1"/>
      <c r="U706" s="1"/>
      <c r="V706" s="1"/>
      <c r="W706" s="1"/>
      <c r="X706" s="1"/>
      <c r="Y706" s="1"/>
      <c r="Z706" s="1"/>
    </row>
    <row r="707" spans="17:26">
      <c r="Q707" s="23"/>
      <c r="R707" s="1"/>
      <c r="S707" s="1"/>
      <c r="T707" s="1"/>
      <c r="U707" s="1"/>
      <c r="V707" s="1"/>
      <c r="W707" s="1"/>
      <c r="X707" s="1"/>
      <c r="Y707" s="1"/>
      <c r="Z707" s="1"/>
    </row>
    <row r="708" spans="17:26">
      <c r="Q708" s="23"/>
      <c r="R708" s="1"/>
      <c r="S708" s="1"/>
      <c r="T708" s="1"/>
      <c r="U708" s="1"/>
      <c r="V708" s="1"/>
      <c r="W708" s="1"/>
      <c r="X708" s="1"/>
      <c r="Y708" s="1"/>
      <c r="Z708" s="1"/>
    </row>
    <row r="709" spans="17:26">
      <c r="Q709" s="23"/>
      <c r="R709" s="1"/>
      <c r="S709" s="1"/>
      <c r="T709" s="1"/>
      <c r="U709" s="1"/>
      <c r="V709" s="1"/>
      <c r="W709" s="1"/>
      <c r="X709" s="1"/>
      <c r="Y709" s="1"/>
      <c r="Z709" s="1"/>
    </row>
    <row r="710" spans="17:26">
      <c r="Q710" s="23"/>
      <c r="R710" s="1"/>
      <c r="S710" s="1"/>
      <c r="T710" s="1"/>
      <c r="U710" s="1"/>
      <c r="V710" s="1"/>
      <c r="W710" s="1"/>
      <c r="X710" s="1"/>
      <c r="Y710" s="1"/>
      <c r="Z710" s="1"/>
    </row>
    <row r="711" spans="17:26">
      <c r="Q711" s="23"/>
      <c r="R711" s="1"/>
      <c r="S711" s="1"/>
      <c r="T711" s="1"/>
      <c r="U711" s="1"/>
      <c r="V711" s="1"/>
      <c r="W711" s="1"/>
      <c r="X711" s="1"/>
      <c r="Y711" s="1"/>
      <c r="Z711" s="1"/>
    </row>
    <row r="712" spans="17:26">
      <c r="Q712" s="23"/>
      <c r="R712" s="1"/>
      <c r="S712" s="1"/>
      <c r="T712" s="1"/>
      <c r="U712" s="1"/>
      <c r="V712" s="1"/>
      <c r="W712" s="1"/>
      <c r="X712" s="1"/>
      <c r="Y712" s="1"/>
      <c r="Z712" s="1"/>
    </row>
    <row r="713" spans="17:26">
      <c r="Q713" s="23"/>
      <c r="R713" s="1"/>
      <c r="S713" s="1"/>
      <c r="T713" s="1"/>
      <c r="U713" s="1"/>
      <c r="V713" s="1"/>
      <c r="W713" s="1"/>
      <c r="X713" s="1"/>
      <c r="Y713" s="1"/>
      <c r="Z713" s="1"/>
    </row>
    <row r="714" spans="17:26">
      <c r="Q714" s="23"/>
      <c r="R714" s="1"/>
      <c r="S714" s="1"/>
      <c r="T714" s="1"/>
      <c r="U714" s="1"/>
      <c r="V714" s="1"/>
      <c r="W714" s="1"/>
      <c r="X714" s="1"/>
      <c r="Y714" s="1"/>
      <c r="Z714" s="1"/>
    </row>
    <row r="715" spans="17:26">
      <c r="Q715" s="23"/>
      <c r="R715" s="1"/>
      <c r="S715" s="1"/>
      <c r="T715" s="1"/>
      <c r="U715" s="1"/>
      <c r="V715" s="1"/>
      <c r="W715" s="1"/>
      <c r="X715" s="1"/>
      <c r="Y715" s="1"/>
      <c r="Z715" s="1"/>
    </row>
    <row r="716" spans="17:26">
      <c r="Q716" s="23"/>
      <c r="R716" s="1"/>
      <c r="S716" s="1"/>
      <c r="T716" s="1"/>
      <c r="U716" s="1"/>
      <c r="V716" s="1"/>
      <c r="W716" s="1"/>
      <c r="X716" s="1"/>
      <c r="Y716" s="1"/>
      <c r="Z716" s="1"/>
    </row>
    <row r="717" spans="17:26">
      <c r="Q717" s="23"/>
      <c r="R717" s="1"/>
      <c r="S717" s="1"/>
      <c r="T717" s="1"/>
      <c r="U717" s="1"/>
      <c r="V717" s="1"/>
      <c r="W717" s="1"/>
      <c r="X717" s="1"/>
      <c r="Y717" s="1"/>
      <c r="Z717" s="1"/>
    </row>
    <row r="718" spans="17:26">
      <c r="Q718" s="23"/>
      <c r="R718" s="1"/>
      <c r="S718" s="1"/>
      <c r="T718" s="1"/>
      <c r="U718" s="1"/>
      <c r="V718" s="1"/>
      <c r="W718" s="1"/>
      <c r="X718" s="1"/>
      <c r="Y718" s="1"/>
      <c r="Z718" s="1"/>
    </row>
    <row r="719" spans="17:26">
      <c r="Q719" s="23"/>
      <c r="R719" s="1"/>
      <c r="S719" s="1"/>
      <c r="T719" s="1"/>
      <c r="U719" s="1"/>
      <c r="V719" s="1"/>
      <c r="W719" s="1"/>
      <c r="X719" s="1"/>
      <c r="Y719" s="1"/>
      <c r="Z719" s="1"/>
    </row>
    <row r="720" spans="17:26">
      <c r="Q720" s="23"/>
      <c r="R720" s="1"/>
      <c r="S720" s="1"/>
      <c r="T720" s="1"/>
      <c r="U720" s="1"/>
      <c r="V720" s="1"/>
      <c r="W720" s="1"/>
      <c r="X720" s="1"/>
      <c r="Y720" s="1"/>
      <c r="Z720" s="1"/>
    </row>
    <row r="721" spans="17:26">
      <c r="Q721" s="23"/>
      <c r="R721" s="1"/>
      <c r="S721" s="1"/>
      <c r="T721" s="1"/>
      <c r="U721" s="1"/>
      <c r="V721" s="1"/>
      <c r="W721" s="1"/>
      <c r="X721" s="1"/>
      <c r="Y721" s="1"/>
      <c r="Z721" s="1"/>
    </row>
    <row r="722" spans="17:26">
      <c r="Q722" s="23"/>
      <c r="R722" s="1"/>
      <c r="S722" s="1"/>
      <c r="T722" s="1"/>
      <c r="U722" s="1"/>
      <c r="V722" s="1"/>
      <c r="W722" s="1"/>
      <c r="X722" s="1"/>
      <c r="Y722" s="1"/>
      <c r="Z722" s="1"/>
    </row>
    <row r="723" spans="17:26">
      <c r="Q723" s="23"/>
      <c r="R723" s="1"/>
      <c r="S723" s="1"/>
      <c r="T723" s="1"/>
      <c r="U723" s="1"/>
      <c r="V723" s="1"/>
      <c r="W723" s="1"/>
      <c r="X723" s="1"/>
      <c r="Y723" s="1"/>
      <c r="Z723" s="1"/>
    </row>
    <row r="724" spans="17:26">
      <c r="Q724" s="23"/>
      <c r="R724" s="1"/>
      <c r="S724" s="1"/>
      <c r="T724" s="1"/>
      <c r="U724" s="1"/>
      <c r="V724" s="1"/>
      <c r="W724" s="1"/>
      <c r="X724" s="1"/>
      <c r="Y724" s="1"/>
      <c r="Z724" s="1"/>
    </row>
    <row r="725" spans="17:26">
      <c r="Q725" s="23"/>
      <c r="R725" s="1"/>
      <c r="S725" s="1"/>
      <c r="T725" s="1"/>
      <c r="U725" s="1"/>
      <c r="V725" s="1"/>
      <c r="W725" s="1"/>
      <c r="X725" s="1"/>
      <c r="Y725" s="1"/>
      <c r="Z725" s="1"/>
    </row>
    <row r="726" spans="17:26">
      <c r="Q726" s="23"/>
      <c r="R726" s="1"/>
      <c r="S726" s="1"/>
      <c r="T726" s="1"/>
      <c r="U726" s="1"/>
      <c r="V726" s="1"/>
      <c r="W726" s="1"/>
      <c r="X726" s="1"/>
      <c r="Y726" s="1"/>
      <c r="Z726" s="1"/>
    </row>
    <row r="727" spans="17:26">
      <c r="Q727" s="23"/>
      <c r="R727" s="1"/>
      <c r="S727" s="1"/>
      <c r="T727" s="1"/>
      <c r="U727" s="1"/>
      <c r="V727" s="1"/>
      <c r="W727" s="1"/>
      <c r="X727" s="1"/>
      <c r="Y727" s="1"/>
      <c r="Z727" s="1"/>
    </row>
    <row r="728" spans="17:26">
      <c r="Q728" s="23"/>
      <c r="R728" s="1"/>
      <c r="S728" s="1"/>
      <c r="T728" s="1"/>
      <c r="U728" s="1"/>
      <c r="V728" s="1"/>
      <c r="W728" s="1"/>
      <c r="X728" s="1"/>
      <c r="Y728" s="1"/>
      <c r="Z728" s="1"/>
    </row>
    <row r="729" spans="17:26">
      <c r="Q729" s="23"/>
      <c r="R729" s="1"/>
      <c r="S729" s="1"/>
      <c r="T729" s="1"/>
      <c r="U729" s="1"/>
      <c r="V729" s="1"/>
      <c r="W729" s="1"/>
      <c r="X729" s="1"/>
      <c r="Y729" s="1"/>
      <c r="Z729" s="1"/>
    </row>
    <row r="730" spans="17:26">
      <c r="Q730" s="23"/>
      <c r="R730" s="1"/>
      <c r="S730" s="1"/>
      <c r="T730" s="1"/>
      <c r="U730" s="1"/>
      <c r="V730" s="1"/>
      <c r="W730" s="1"/>
      <c r="X730" s="1"/>
      <c r="Y730" s="1"/>
      <c r="Z730" s="1"/>
    </row>
    <row r="731" spans="17:26">
      <c r="Q731" s="23"/>
      <c r="R731" s="1"/>
      <c r="S731" s="1"/>
      <c r="T731" s="1"/>
      <c r="U731" s="1"/>
      <c r="V731" s="1"/>
      <c r="W731" s="1"/>
      <c r="X731" s="1"/>
      <c r="Y731" s="1"/>
      <c r="Z731" s="1"/>
    </row>
    <row r="732" spans="17:26">
      <c r="Q732" s="23"/>
      <c r="R732" s="1"/>
      <c r="S732" s="1"/>
      <c r="T732" s="1"/>
      <c r="U732" s="1"/>
      <c r="V732" s="1"/>
      <c r="W732" s="1"/>
      <c r="X732" s="1"/>
      <c r="Y732" s="1"/>
      <c r="Z732" s="1"/>
    </row>
    <row r="733" spans="17:26">
      <c r="Q733" s="23"/>
      <c r="R733" s="1"/>
      <c r="S733" s="1"/>
      <c r="T733" s="1"/>
      <c r="U733" s="1"/>
      <c r="V733" s="1"/>
      <c r="W733" s="1"/>
      <c r="X733" s="1"/>
      <c r="Y733" s="1"/>
      <c r="Z733" s="1"/>
    </row>
    <row r="734" spans="17:26">
      <c r="Q734" s="23"/>
      <c r="R734" s="1"/>
      <c r="S734" s="1"/>
      <c r="T734" s="1"/>
      <c r="U734" s="1"/>
      <c r="V734" s="1"/>
      <c r="W734" s="1"/>
      <c r="X734" s="1"/>
      <c r="Y734" s="1"/>
      <c r="Z734" s="1"/>
    </row>
    <row r="735" spans="17:26">
      <c r="Q735" s="23"/>
      <c r="R735" s="1"/>
      <c r="S735" s="1"/>
      <c r="T735" s="1"/>
      <c r="U735" s="1"/>
      <c r="V735" s="1"/>
      <c r="W735" s="1"/>
      <c r="X735" s="1"/>
      <c r="Y735" s="1"/>
      <c r="Z735" s="1"/>
    </row>
    <row r="736" spans="17:26">
      <c r="Q736" s="23"/>
      <c r="R736" s="1"/>
      <c r="S736" s="1"/>
      <c r="T736" s="1"/>
      <c r="U736" s="1"/>
      <c r="V736" s="1"/>
      <c r="W736" s="1"/>
      <c r="X736" s="1"/>
      <c r="Y736" s="1"/>
      <c r="Z736" s="1"/>
    </row>
    <row r="737" spans="17:26">
      <c r="Q737" s="23"/>
      <c r="R737" s="1"/>
      <c r="S737" s="1"/>
      <c r="T737" s="1"/>
      <c r="U737" s="1"/>
      <c r="V737" s="1"/>
      <c r="W737" s="1"/>
      <c r="X737" s="1"/>
      <c r="Y737" s="1"/>
      <c r="Z737" s="1"/>
    </row>
    <row r="738" spans="17:26">
      <c r="Q738" s="23"/>
      <c r="R738" s="1"/>
      <c r="S738" s="1"/>
      <c r="T738" s="1"/>
      <c r="U738" s="1"/>
      <c r="V738" s="1"/>
      <c r="W738" s="1"/>
      <c r="X738" s="1"/>
      <c r="Y738" s="1"/>
      <c r="Z738" s="1"/>
    </row>
    <row r="739" spans="17:26">
      <c r="Q739" s="23"/>
      <c r="R739" s="1"/>
      <c r="S739" s="1"/>
      <c r="T739" s="1"/>
      <c r="U739" s="1"/>
      <c r="V739" s="1"/>
      <c r="W739" s="1"/>
      <c r="X739" s="1"/>
      <c r="Y739" s="1"/>
      <c r="Z739" s="1"/>
    </row>
    <row r="740" spans="17:26">
      <c r="Q740" s="23"/>
      <c r="R740" s="1"/>
      <c r="S740" s="1"/>
      <c r="T740" s="1"/>
      <c r="U740" s="1"/>
      <c r="V740" s="1"/>
      <c r="W740" s="1"/>
      <c r="X740" s="1"/>
      <c r="Y740" s="1"/>
      <c r="Z740" s="1"/>
    </row>
    <row r="741" spans="17:26">
      <c r="Q741" s="23"/>
      <c r="R741" s="1"/>
      <c r="S741" s="1"/>
      <c r="T741" s="1"/>
      <c r="U741" s="1"/>
      <c r="V741" s="1"/>
      <c r="W741" s="1"/>
      <c r="X741" s="1"/>
      <c r="Y741" s="1"/>
      <c r="Z741" s="1"/>
    </row>
    <row r="742" spans="17:26">
      <c r="Q742" s="23"/>
      <c r="R742" s="1"/>
      <c r="S742" s="1"/>
      <c r="T742" s="1"/>
      <c r="U742" s="1"/>
      <c r="V742" s="1"/>
      <c r="W742" s="1"/>
      <c r="X742" s="1"/>
      <c r="Y742" s="1"/>
      <c r="Z742" s="1"/>
    </row>
    <row r="743" spans="17:26">
      <c r="Q743" s="23"/>
      <c r="R743" s="1"/>
      <c r="S743" s="1"/>
      <c r="T743" s="1"/>
      <c r="U743" s="1"/>
      <c r="V743" s="1"/>
      <c r="W743" s="1"/>
      <c r="X743" s="1"/>
      <c r="Y743" s="1"/>
      <c r="Z743" s="1"/>
    </row>
    <row r="744" spans="17:26">
      <c r="Q744" s="23"/>
      <c r="R744" s="1"/>
      <c r="S744" s="1"/>
      <c r="T744" s="1"/>
      <c r="U744" s="1"/>
      <c r="V744" s="1"/>
      <c r="W744" s="1"/>
      <c r="X744" s="1"/>
      <c r="Y744" s="1"/>
      <c r="Z744" s="1"/>
    </row>
    <row r="745" spans="17:26">
      <c r="Q745" s="23"/>
      <c r="R745" s="1"/>
      <c r="S745" s="1"/>
      <c r="T745" s="1"/>
      <c r="U745" s="1"/>
      <c r="V745" s="1"/>
      <c r="W745" s="1"/>
      <c r="X745" s="1"/>
      <c r="Y745" s="1"/>
      <c r="Z745" s="1"/>
    </row>
    <row r="746" spans="17:26">
      <c r="Q746" s="23"/>
      <c r="R746" s="1"/>
      <c r="S746" s="1"/>
      <c r="T746" s="1"/>
      <c r="U746" s="1"/>
      <c r="V746" s="1"/>
      <c r="W746" s="1"/>
      <c r="X746" s="1"/>
      <c r="Y746" s="1"/>
      <c r="Z746" s="1"/>
    </row>
    <row r="747" spans="17:26">
      <c r="Q747" s="23"/>
      <c r="R747" s="1"/>
      <c r="S747" s="1"/>
      <c r="T747" s="1"/>
      <c r="U747" s="1"/>
      <c r="V747" s="1"/>
      <c r="W747" s="1"/>
      <c r="X747" s="1"/>
      <c r="Y747" s="1"/>
      <c r="Z747" s="1"/>
    </row>
    <row r="748" spans="17:26">
      <c r="Q748" s="23"/>
      <c r="R748" s="1"/>
      <c r="S748" s="1"/>
      <c r="T748" s="1"/>
      <c r="U748" s="1"/>
      <c r="V748" s="1"/>
      <c r="W748" s="1"/>
      <c r="X748" s="1"/>
      <c r="Y748" s="1"/>
      <c r="Z748" s="1"/>
    </row>
    <row r="749" spans="17:26">
      <c r="Q749" s="23"/>
      <c r="R749" s="1"/>
      <c r="S749" s="1"/>
      <c r="T749" s="1"/>
      <c r="U749" s="1"/>
      <c r="V749" s="1"/>
      <c r="W749" s="1"/>
      <c r="X749" s="1"/>
      <c r="Y749" s="1"/>
      <c r="Z749" s="1"/>
    </row>
    <row r="750" spans="17:26">
      <c r="Q750" s="23"/>
      <c r="R750" s="1"/>
      <c r="S750" s="1"/>
      <c r="T750" s="1"/>
      <c r="U750" s="1"/>
      <c r="V750" s="1"/>
      <c r="W750" s="1"/>
      <c r="X750" s="1"/>
      <c r="Y750" s="1"/>
      <c r="Z750" s="1"/>
    </row>
    <row r="751" spans="17:26">
      <c r="Q751" s="23"/>
      <c r="R751" s="1"/>
      <c r="S751" s="1"/>
      <c r="T751" s="1"/>
      <c r="U751" s="1"/>
      <c r="V751" s="1"/>
      <c r="W751" s="1"/>
      <c r="X751" s="1"/>
      <c r="Y751" s="1"/>
      <c r="Z751" s="1"/>
    </row>
    <row r="752" spans="17:26">
      <c r="Q752" s="23"/>
      <c r="R752" s="1"/>
      <c r="S752" s="1"/>
      <c r="T752" s="1"/>
      <c r="U752" s="1"/>
      <c r="V752" s="1"/>
      <c r="W752" s="1"/>
      <c r="X752" s="1"/>
      <c r="Y752" s="1"/>
      <c r="Z752" s="1"/>
    </row>
    <row r="753" spans="17:26">
      <c r="Q753" s="23"/>
      <c r="R753" s="1"/>
      <c r="S753" s="1"/>
      <c r="T753" s="1"/>
      <c r="U753" s="1"/>
      <c r="V753" s="1"/>
      <c r="W753" s="1"/>
      <c r="X753" s="1"/>
      <c r="Y753" s="1"/>
      <c r="Z753" s="1"/>
    </row>
    <row r="754" spans="17:26">
      <c r="Q754" s="23"/>
      <c r="R754" s="1"/>
      <c r="S754" s="1"/>
      <c r="T754" s="1"/>
      <c r="U754" s="1"/>
      <c r="V754" s="1"/>
      <c r="W754" s="1"/>
      <c r="X754" s="1"/>
      <c r="Y754" s="1"/>
      <c r="Z754" s="1"/>
    </row>
    <row r="755" spans="17:26">
      <c r="Q755" s="23"/>
      <c r="R755" s="1"/>
      <c r="S755" s="1"/>
      <c r="T755" s="1"/>
      <c r="U755" s="1"/>
      <c r="V755" s="1"/>
      <c r="W755" s="1"/>
      <c r="X755" s="1"/>
      <c r="Y755" s="1"/>
      <c r="Z755" s="1"/>
    </row>
    <row r="756" spans="17:26">
      <c r="Q756" s="23"/>
      <c r="R756" s="1"/>
      <c r="S756" s="1"/>
      <c r="T756" s="1"/>
      <c r="U756" s="1"/>
      <c r="V756" s="1"/>
      <c r="W756" s="1"/>
      <c r="X756" s="1"/>
      <c r="Y756" s="1"/>
      <c r="Z756" s="1"/>
    </row>
    <row r="757" spans="17:26">
      <c r="Q757" s="23"/>
      <c r="R757" s="1"/>
      <c r="S757" s="1"/>
      <c r="T757" s="1"/>
      <c r="U757" s="1"/>
      <c r="V757" s="1"/>
      <c r="W757" s="1"/>
      <c r="X757" s="1"/>
      <c r="Y757" s="1"/>
      <c r="Z757" s="1"/>
    </row>
    <row r="758" spans="17:26">
      <c r="Q758" s="23"/>
      <c r="R758" s="1"/>
      <c r="S758" s="1"/>
      <c r="T758" s="1"/>
      <c r="U758" s="1"/>
      <c r="V758" s="1"/>
      <c r="W758" s="1"/>
      <c r="X758" s="1"/>
      <c r="Y758" s="1"/>
      <c r="Z758" s="1"/>
    </row>
    <row r="759" spans="17:26">
      <c r="Q759" s="23"/>
      <c r="R759" s="1"/>
      <c r="S759" s="1"/>
      <c r="T759" s="1"/>
      <c r="U759" s="1"/>
      <c r="V759" s="1"/>
      <c r="W759" s="1"/>
      <c r="X759" s="1"/>
      <c r="Y759" s="1"/>
      <c r="Z759" s="1"/>
    </row>
    <row r="760" spans="17:26">
      <c r="Q760" s="23"/>
      <c r="R760" s="1"/>
      <c r="S760" s="1"/>
      <c r="T760" s="1"/>
      <c r="U760" s="1"/>
      <c r="V760" s="1"/>
      <c r="W760" s="1"/>
      <c r="X760" s="1"/>
      <c r="Y760" s="1"/>
      <c r="Z760" s="1"/>
    </row>
    <row r="761" spans="17:26">
      <c r="Q761" s="23"/>
      <c r="R761" s="1"/>
      <c r="S761" s="1"/>
      <c r="T761" s="1"/>
      <c r="U761" s="1"/>
      <c r="V761" s="1"/>
      <c r="W761" s="1"/>
      <c r="X761" s="1"/>
      <c r="Y761" s="1"/>
      <c r="Z761" s="1"/>
    </row>
    <row r="762" spans="17:26">
      <c r="Q762" s="23"/>
      <c r="R762" s="1"/>
      <c r="S762" s="1"/>
      <c r="T762" s="1"/>
      <c r="U762" s="1"/>
      <c r="V762" s="1"/>
      <c r="W762" s="1"/>
      <c r="X762" s="1"/>
      <c r="Y762" s="1"/>
      <c r="Z762" s="1"/>
    </row>
    <row r="763" spans="17:26">
      <c r="Q763" s="23"/>
      <c r="R763" s="1"/>
      <c r="S763" s="1"/>
      <c r="T763" s="1"/>
      <c r="U763" s="1"/>
      <c r="V763" s="1"/>
      <c r="W763" s="1"/>
      <c r="X763" s="1"/>
      <c r="Y763" s="1"/>
      <c r="Z763" s="1"/>
    </row>
    <row r="764" spans="17:26">
      <c r="Q764" s="23"/>
      <c r="R764" s="1"/>
      <c r="S764" s="1"/>
      <c r="T764" s="1"/>
      <c r="U764" s="1"/>
      <c r="V764" s="1"/>
      <c r="W764" s="1"/>
      <c r="X764" s="1"/>
      <c r="Y764" s="1"/>
      <c r="Z764" s="1"/>
    </row>
    <row r="765" spans="17:26">
      <c r="Q765" s="23"/>
      <c r="R765" s="1"/>
      <c r="S765" s="1"/>
      <c r="T765" s="1"/>
      <c r="U765" s="1"/>
      <c r="V765" s="1"/>
      <c r="W765" s="1"/>
      <c r="X765" s="1"/>
      <c r="Y765" s="1"/>
      <c r="Z765" s="1"/>
    </row>
    <row r="766" spans="17:26">
      <c r="Q766" s="23"/>
      <c r="R766" s="1"/>
      <c r="S766" s="1"/>
      <c r="T766" s="1"/>
      <c r="U766" s="1"/>
      <c r="V766" s="1"/>
      <c r="W766" s="1"/>
      <c r="X766" s="1"/>
      <c r="Y766" s="1"/>
      <c r="Z766" s="1"/>
    </row>
    <row r="767" spans="17:26">
      <c r="Q767" s="23"/>
      <c r="R767" s="1"/>
      <c r="S767" s="1"/>
      <c r="T767" s="1"/>
      <c r="U767" s="1"/>
      <c r="V767" s="1"/>
      <c r="W767" s="1"/>
      <c r="X767" s="1"/>
      <c r="Y767" s="1"/>
      <c r="Z767" s="1"/>
    </row>
    <row r="768" spans="17:26">
      <c r="Q768" s="23"/>
      <c r="R768" s="1"/>
      <c r="S768" s="1"/>
      <c r="T768" s="1"/>
      <c r="U768" s="1"/>
      <c r="V768" s="1"/>
      <c r="W768" s="1"/>
      <c r="X768" s="1"/>
      <c r="Y768" s="1"/>
      <c r="Z768" s="1"/>
    </row>
    <row r="769" spans="17:26">
      <c r="Q769" s="23"/>
      <c r="R769" s="1"/>
      <c r="S769" s="1"/>
      <c r="T769" s="1"/>
      <c r="U769" s="1"/>
      <c r="V769" s="1"/>
      <c r="W769" s="1"/>
      <c r="X769" s="1"/>
      <c r="Y769" s="1"/>
      <c r="Z769" s="1"/>
    </row>
    <row r="770" spans="17:26">
      <c r="Q770" s="23"/>
      <c r="R770" s="1"/>
      <c r="S770" s="1"/>
      <c r="T770" s="1"/>
      <c r="U770" s="1"/>
      <c r="V770" s="1"/>
      <c r="W770" s="1"/>
      <c r="X770" s="1"/>
      <c r="Y770" s="1"/>
      <c r="Z770" s="1"/>
    </row>
    <row r="771" spans="17:26">
      <c r="Q771" s="23"/>
      <c r="R771" s="1"/>
      <c r="S771" s="1"/>
      <c r="T771" s="1"/>
      <c r="U771" s="1"/>
      <c r="V771" s="1"/>
      <c r="W771" s="1"/>
      <c r="X771" s="1"/>
      <c r="Y771" s="1"/>
      <c r="Z771" s="1"/>
    </row>
    <row r="772" spans="17:26">
      <c r="Q772" s="23"/>
      <c r="R772" s="1"/>
      <c r="S772" s="1"/>
      <c r="T772" s="1"/>
      <c r="U772" s="1"/>
      <c r="V772" s="1"/>
      <c r="W772" s="1"/>
      <c r="X772" s="1"/>
      <c r="Y772" s="1"/>
      <c r="Z772" s="1"/>
    </row>
    <row r="773" spans="17:26">
      <c r="Q773" s="23"/>
      <c r="R773" s="1"/>
      <c r="S773" s="1"/>
      <c r="T773" s="1"/>
      <c r="U773" s="1"/>
      <c r="V773" s="1"/>
      <c r="W773" s="1"/>
      <c r="X773" s="1"/>
      <c r="Y773" s="1"/>
      <c r="Z773" s="1"/>
    </row>
    <row r="774" spans="17:26">
      <c r="Q774" s="23"/>
      <c r="R774" s="1"/>
      <c r="S774" s="1"/>
      <c r="T774" s="1"/>
      <c r="U774" s="1"/>
      <c r="V774" s="1"/>
      <c r="W774" s="1"/>
      <c r="X774" s="1"/>
      <c r="Y774" s="1"/>
      <c r="Z774" s="1"/>
    </row>
    <row r="775" spans="17:26">
      <c r="Q775" s="23"/>
      <c r="R775" s="1"/>
      <c r="S775" s="1"/>
      <c r="T775" s="1"/>
      <c r="U775" s="1"/>
      <c r="V775" s="1"/>
      <c r="W775" s="1"/>
      <c r="X775" s="1"/>
      <c r="Y775" s="1"/>
      <c r="Z775" s="1"/>
    </row>
    <row r="776" spans="17:26">
      <c r="Q776" s="23"/>
      <c r="R776" s="1"/>
      <c r="S776" s="1"/>
      <c r="T776" s="1"/>
      <c r="U776" s="1"/>
      <c r="V776" s="1"/>
      <c r="W776" s="1"/>
      <c r="X776" s="1"/>
      <c r="Y776" s="1"/>
      <c r="Z776" s="1"/>
    </row>
    <row r="777" spans="17:26">
      <c r="Q777" s="23"/>
      <c r="R777" s="1"/>
      <c r="S777" s="1"/>
      <c r="T777" s="1"/>
      <c r="U777" s="1"/>
      <c r="V777" s="1"/>
      <c r="W777" s="1"/>
      <c r="X777" s="1"/>
      <c r="Y777" s="1"/>
      <c r="Z777" s="1"/>
    </row>
    <row r="778" spans="17:26">
      <c r="Q778" s="23"/>
      <c r="R778" s="1"/>
      <c r="S778" s="1"/>
      <c r="T778" s="1"/>
      <c r="U778" s="1"/>
      <c r="V778" s="1"/>
      <c r="W778" s="1"/>
      <c r="X778" s="1"/>
      <c r="Y778" s="1"/>
      <c r="Z778" s="1"/>
    </row>
    <row r="779" spans="17:26">
      <c r="Q779" s="23"/>
      <c r="R779" s="1"/>
      <c r="S779" s="1"/>
      <c r="T779" s="1"/>
      <c r="U779" s="1"/>
      <c r="V779" s="1"/>
      <c r="W779" s="1"/>
      <c r="X779" s="1"/>
      <c r="Y779" s="1"/>
      <c r="Z779" s="1"/>
    </row>
    <row r="780" spans="17:26">
      <c r="Q780" s="23"/>
      <c r="R780" s="1"/>
      <c r="S780" s="1"/>
      <c r="T780" s="1"/>
      <c r="U780" s="1"/>
      <c r="V780" s="1"/>
      <c r="W780" s="1"/>
      <c r="X780" s="1"/>
      <c r="Y780" s="1"/>
      <c r="Z780" s="1"/>
    </row>
    <row r="781" spans="17:26">
      <c r="Q781" s="23"/>
      <c r="R781" s="1"/>
      <c r="S781" s="1"/>
      <c r="T781" s="1"/>
      <c r="U781" s="1"/>
      <c r="V781" s="1"/>
      <c r="W781" s="1"/>
      <c r="X781" s="1"/>
      <c r="Y781" s="1"/>
      <c r="Z781" s="1"/>
    </row>
    <row r="782" spans="17:26">
      <c r="Q782" s="23"/>
      <c r="R782" s="1"/>
      <c r="S782" s="1"/>
      <c r="T782" s="1"/>
      <c r="U782" s="1"/>
      <c r="V782" s="1"/>
      <c r="W782" s="1"/>
      <c r="X782" s="1"/>
      <c r="Y782" s="1"/>
      <c r="Z782" s="1"/>
    </row>
    <row r="783" spans="17:26">
      <c r="Q783" s="23"/>
      <c r="R783" s="1"/>
      <c r="S783" s="1"/>
      <c r="T783" s="1"/>
      <c r="U783" s="1"/>
      <c r="V783" s="1"/>
      <c r="W783" s="1"/>
      <c r="X783" s="1"/>
      <c r="Y783" s="1"/>
      <c r="Z783" s="1"/>
    </row>
    <row r="784" spans="17:26">
      <c r="Q784" s="23"/>
      <c r="R784" s="1"/>
      <c r="S784" s="1"/>
      <c r="T784" s="1"/>
      <c r="U784" s="1"/>
      <c r="V784" s="1"/>
      <c r="W784" s="1"/>
      <c r="X784" s="1"/>
      <c r="Y784" s="1"/>
      <c r="Z784" s="1"/>
    </row>
    <row r="785" spans="17:26">
      <c r="Q785" s="23"/>
      <c r="R785" s="1"/>
      <c r="S785" s="1"/>
      <c r="T785" s="1"/>
      <c r="U785" s="1"/>
      <c r="V785" s="1"/>
      <c r="W785" s="1"/>
      <c r="X785" s="1"/>
      <c r="Y785" s="1"/>
      <c r="Z785" s="1"/>
    </row>
    <row r="786" spans="17:26">
      <c r="Q786" s="23"/>
      <c r="R786" s="1"/>
      <c r="S786" s="1"/>
      <c r="T786" s="1"/>
      <c r="U786" s="1"/>
      <c r="V786" s="1"/>
      <c r="W786" s="1"/>
      <c r="X786" s="1"/>
      <c r="Y786" s="1"/>
      <c r="Z786" s="1"/>
    </row>
    <row r="787" spans="17:26">
      <c r="Q787" s="23"/>
      <c r="R787" s="1"/>
      <c r="S787" s="1"/>
      <c r="T787" s="1"/>
      <c r="U787" s="1"/>
      <c r="V787" s="1"/>
      <c r="W787" s="1"/>
      <c r="X787" s="1"/>
      <c r="Y787" s="1"/>
      <c r="Z787" s="1"/>
    </row>
    <row r="788" spans="17:26">
      <c r="Q788" s="23"/>
      <c r="R788" s="1"/>
      <c r="S788" s="1"/>
      <c r="T788" s="1"/>
      <c r="U788" s="1"/>
      <c r="V788" s="1"/>
      <c r="W788" s="1"/>
      <c r="X788" s="1"/>
      <c r="Y788" s="1"/>
      <c r="Z788" s="1"/>
    </row>
    <row r="789" spans="17:26">
      <c r="Q789" s="23"/>
      <c r="R789" s="1"/>
      <c r="S789" s="1"/>
      <c r="T789" s="1"/>
      <c r="U789" s="1"/>
      <c r="V789" s="1"/>
      <c r="W789" s="1"/>
      <c r="X789" s="1"/>
      <c r="Y789" s="1"/>
      <c r="Z789" s="1"/>
    </row>
    <row r="790" spans="17:26">
      <c r="Q790" s="23"/>
      <c r="R790" s="1"/>
      <c r="S790" s="1"/>
      <c r="T790" s="1"/>
      <c r="U790" s="1"/>
      <c r="V790" s="1"/>
      <c r="W790" s="1"/>
      <c r="X790" s="1"/>
      <c r="Y790" s="1"/>
      <c r="Z790" s="1"/>
    </row>
    <row r="791" spans="17:26">
      <c r="Q791" s="23"/>
      <c r="R791" s="1"/>
      <c r="S791" s="1"/>
      <c r="T791" s="1"/>
      <c r="U791" s="1"/>
      <c r="V791" s="1"/>
      <c r="W791" s="1"/>
      <c r="X791" s="1"/>
      <c r="Y791" s="1"/>
      <c r="Z791" s="1"/>
    </row>
    <row r="792" spans="17:26">
      <c r="Q792" s="23"/>
      <c r="R792" s="1"/>
      <c r="S792" s="1"/>
      <c r="T792" s="1"/>
      <c r="U792" s="1"/>
      <c r="V792" s="1"/>
      <c r="W792" s="1"/>
      <c r="X792" s="1"/>
      <c r="Y792" s="1"/>
      <c r="Z792" s="1"/>
    </row>
    <row r="793" spans="17:26">
      <c r="Q793" s="23"/>
      <c r="R793" s="1"/>
      <c r="S793" s="1"/>
      <c r="T793" s="1"/>
      <c r="U793" s="1"/>
      <c r="V793" s="1"/>
      <c r="W793" s="1"/>
      <c r="X793" s="1"/>
      <c r="Y793" s="1"/>
      <c r="Z793" s="1"/>
    </row>
    <row r="794" spans="17:26">
      <c r="Q794" s="23"/>
      <c r="R794" s="1"/>
      <c r="S794" s="1"/>
      <c r="T794" s="1"/>
      <c r="U794" s="1"/>
      <c r="V794" s="1"/>
      <c r="W794" s="1"/>
      <c r="X794" s="1"/>
      <c r="Y794" s="1"/>
      <c r="Z794" s="1"/>
    </row>
    <row r="795" spans="17:26">
      <c r="Q795" s="23"/>
      <c r="R795" s="1"/>
      <c r="S795" s="1"/>
      <c r="T795" s="1"/>
      <c r="U795" s="1"/>
      <c r="V795" s="1"/>
      <c r="W795" s="1"/>
      <c r="X795" s="1"/>
      <c r="Y795" s="1"/>
      <c r="Z795" s="1"/>
    </row>
    <row r="796" spans="17:26">
      <c r="Q796" s="23"/>
      <c r="R796" s="1"/>
      <c r="S796" s="1"/>
      <c r="T796" s="1"/>
      <c r="U796" s="1"/>
      <c r="V796" s="1"/>
      <c r="W796" s="1"/>
      <c r="X796" s="1"/>
      <c r="Y796" s="1"/>
      <c r="Z796" s="1"/>
    </row>
    <row r="797" spans="17:26">
      <c r="Q797" s="23"/>
      <c r="R797" s="1"/>
      <c r="S797" s="1"/>
      <c r="T797" s="1"/>
      <c r="U797" s="1"/>
      <c r="V797" s="1"/>
      <c r="W797" s="1"/>
      <c r="X797" s="1"/>
      <c r="Y797" s="1"/>
      <c r="Z797" s="1"/>
    </row>
    <row r="798" spans="17:26">
      <c r="Q798" s="23"/>
      <c r="R798" s="1"/>
      <c r="S798" s="1"/>
      <c r="T798" s="1"/>
      <c r="U798" s="1"/>
      <c r="V798" s="1"/>
      <c r="W798" s="1"/>
      <c r="X798" s="1"/>
      <c r="Y798" s="1"/>
      <c r="Z798" s="1"/>
    </row>
    <row r="799" spans="17:26">
      <c r="Q799" s="23"/>
      <c r="R799" s="1"/>
      <c r="S799" s="1"/>
      <c r="T799" s="1"/>
      <c r="U799" s="1"/>
      <c r="V799" s="1"/>
      <c r="W799" s="1"/>
      <c r="X799" s="1"/>
      <c r="Y799" s="1"/>
      <c r="Z799" s="1"/>
    </row>
    <row r="800" spans="17:26">
      <c r="Q800" s="23"/>
      <c r="R800" s="1"/>
      <c r="S800" s="1"/>
      <c r="T800" s="1"/>
      <c r="U800" s="1"/>
      <c r="V800" s="1"/>
      <c r="W800" s="1"/>
      <c r="X800" s="1"/>
      <c r="Y800" s="1"/>
      <c r="Z800" s="1"/>
    </row>
    <row r="801" spans="17:26">
      <c r="Q801" s="23"/>
      <c r="R801" s="1"/>
      <c r="S801" s="1"/>
      <c r="T801" s="1"/>
      <c r="U801" s="1"/>
      <c r="V801" s="1"/>
      <c r="W801" s="1"/>
      <c r="X801" s="1"/>
      <c r="Y801" s="1"/>
      <c r="Z801" s="1"/>
    </row>
    <row r="802" spans="17:26">
      <c r="Q802" s="23"/>
      <c r="R802" s="1"/>
      <c r="S802" s="1"/>
      <c r="T802" s="1"/>
      <c r="U802" s="1"/>
      <c r="V802" s="1"/>
      <c r="W802" s="1"/>
      <c r="X802" s="1"/>
      <c r="Y802" s="1"/>
      <c r="Z802" s="1"/>
    </row>
    <row r="803" spans="17:26">
      <c r="Q803" s="23"/>
      <c r="R803" s="1"/>
      <c r="S803" s="1"/>
      <c r="T803" s="1"/>
      <c r="U803" s="1"/>
      <c r="V803" s="1"/>
      <c r="W803" s="1"/>
      <c r="X803" s="1"/>
      <c r="Y803" s="1"/>
      <c r="Z803" s="1"/>
    </row>
    <row r="804" spans="17:26">
      <c r="Q804" s="23"/>
      <c r="R804" s="1"/>
      <c r="S804" s="1"/>
      <c r="T804" s="1"/>
      <c r="U804" s="1"/>
      <c r="V804" s="1"/>
      <c r="W804" s="1"/>
      <c r="X804" s="1"/>
      <c r="Y804" s="1"/>
      <c r="Z804" s="1"/>
    </row>
    <row r="805" spans="17:26">
      <c r="Q805" s="23"/>
      <c r="R805" s="1"/>
      <c r="S805" s="1"/>
      <c r="T805" s="1"/>
      <c r="U805" s="1"/>
      <c r="V805" s="1"/>
      <c r="W805" s="1"/>
      <c r="X805" s="1"/>
      <c r="Y805" s="1"/>
      <c r="Z805" s="1"/>
    </row>
    <row r="806" spans="17:26">
      <c r="Q806" s="23"/>
      <c r="R806" s="1"/>
      <c r="S806" s="1"/>
      <c r="T806" s="1"/>
      <c r="U806" s="1"/>
      <c r="V806" s="1"/>
      <c r="W806" s="1"/>
      <c r="X806" s="1"/>
      <c r="Y806" s="1"/>
      <c r="Z806" s="1"/>
    </row>
    <row r="807" spans="17:26">
      <c r="Q807" s="23"/>
      <c r="R807" s="1"/>
      <c r="S807" s="1"/>
      <c r="T807" s="1"/>
      <c r="U807" s="1"/>
      <c r="V807" s="1"/>
      <c r="W807" s="1"/>
      <c r="X807" s="1"/>
      <c r="Y807" s="1"/>
      <c r="Z807" s="1"/>
    </row>
    <row r="808" spans="17:26">
      <c r="Q808" s="23"/>
      <c r="R808" s="1"/>
      <c r="S808" s="1"/>
      <c r="T808" s="1"/>
      <c r="U808" s="1"/>
      <c r="V808" s="1"/>
      <c r="W808" s="1"/>
      <c r="X808" s="1"/>
      <c r="Y808" s="1"/>
      <c r="Z808" s="1"/>
    </row>
    <row r="809" spans="17:26">
      <c r="Q809" s="23"/>
      <c r="R809" s="1"/>
      <c r="S809" s="1"/>
      <c r="T809" s="1"/>
      <c r="U809" s="1"/>
      <c r="V809" s="1"/>
      <c r="W809" s="1"/>
      <c r="X809" s="1"/>
      <c r="Y809" s="1"/>
      <c r="Z809" s="1"/>
    </row>
    <row r="810" spans="17:26">
      <c r="Q810" s="23"/>
      <c r="R810" s="1"/>
      <c r="S810" s="1"/>
      <c r="T810" s="1"/>
      <c r="U810" s="1"/>
      <c r="V810" s="1"/>
      <c r="W810" s="1"/>
      <c r="X810" s="1"/>
      <c r="Y810" s="1"/>
      <c r="Z810" s="1"/>
    </row>
    <row r="811" spans="17:26">
      <c r="Q811" s="23"/>
      <c r="R811" s="1"/>
      <c r="S811" s="1"/>
      <c r="T811" s="1"/>
      <c r="U811" s="1"/>
      <c r="V811" s="1"/>
      <c r="W811" s="1"/>
      <c r="X811" s="1"/>
      <c r="Y811" s="1"/>
      <c r="Z811" s="1"/>
    </row>
    <row r="812" spans="17:26">
      <c r="Q812" s="23"/>
      <c r="R812" s="1"/>
      <c r="S812" s="1"/>
      <c r="T812" s="1"/>
      <c r="U812" s="1"/>
      <c r="V812" s="1"/>
      <c r="W812" s="1"/>
      <c r="X812" s="1"/>
      <c r="Y812" s="1"/>
      <c r="Z812" s="1"/>
    </row>
    <row r="813" spans="17:26">
      <c r="Q813" s="23"/>
      <c r="R813" s="1"/>
      <c r="S813" s="1"/>
      <c r="T813" s="1"/>
      <c r="U813" s="1"/>
      <c r="V813" s="1"/>
      <c r="W813" s="1"/>
      <c r="X813" s="1"/>
      <c r="Y813" s="1"/>
      <c r="Z813" s="1"/>
    </row>
    <row r="814" spans="17:26">
      <c r="Q814" s="23"/>
      <c r="R814" s="1"/>
      <c r="S814" s="1"/>
      <c r="T814" s="1"/>
      <c r="U814" s="1"/>
      <c r="V814" s="1"/>
      <c r="W814" s="1"/>
      <c r="X814" s="1"/>
      <c r="Y814" s="1"/>
      <c r="Z814" s="1"/>
    </row>
    <row r="815" spans="17:26">
      <c r="Q815" s="23"/>
      <c r="R815" s="1"/>
      <c r="S815" s="1"/>
      <c r="T815" s="1"/>
      <c r="U815" s="1"/>
      <c r="V815" s="1"/>
      <c r="W815" s="1"/>
      <c r="X815" s="1"/>
      <c r="Y815" s="1"/>
      <c r="Z815" s="1"/>
    </row>
    <row r="816" spans="17:26">
      <c r="Q816" s="23"/>
      <c r="R816" s="1"/>
      <c r="S816" s="1"/>
      <c r="T816" s="1"/>
      <c r="U816" s="1"/>
      <c r="V816" s="1"/>
      <c r="W816" s="1"/>
      <c r="X816" s="1"/>
      <c r="Y816" s="1"/>
      <c r="Z816" s="1"/>
    </row>
    <row r="817" spans="17:26">
      <c r="Q817" s="23"/>
      <c r="R817" s="1"/>
      <c r="S817" s="1"/>
      <c r="T817" s="1"/>
      <c r="U817" s="1"/>
      <c r="V817" s="1"/>
      <c r="W817" s="1"/>
      <c r="X817" s="1"/>
      <c r="Y817" s="1"/>
      <c r="Z817" s="1"/>
    </row>
    <row r="818" spans="17:26">
      <c r="Q818" s="23"/>
      <c r="R818" s="1"/>
      <c r="S818" s="1"/>
      <c r="T818" s="1"/>
      <c r="U818" s="1"/>
      <c r="V818" s="1"/>
      <c r="W818" s="1"/>
      <c r="X818" s="1"/>
      <c r="Y818" s="1"/>
      <c r="Z818" s="1"/>
    </row>
    <row r="819" spans="17:26">
      <c r="Q819" s="23"/>
      <c r="R819" s="1"/>
      <c r="S819" s="1"/>
      <c r="T819" s="1"/>
      <c r="U819" s="1"/>
      <c r="V819" s="1"/>
      <c r="W819" s="1"/>
      <c r="X819" s="1"/>
      <c r="Y819" s="1"/>
      <c r="Z819" s="1"/>
    </row>
    <row r="820" spans="17:26">
      <c r="Q820" s="23"/>
      <c r="R820" s="1"/>
      <c r="S820" s="1"/>
      <c r="T820" s="1"/>
      <c r="U820" s="1"/>
      <c r="V820" s="1"/>
      <c r="W820" s="1"/>
      <c r="X820" s="1"/>
      <c r="Y820" s="1"/>
      <c r="Z820" s="1"/>
    </row>
    <row r="821" spans="17:26">
      <c r="Q821" s="23"/>
      <c r="R821" s="1"/>
      <c r="S821" s="1"/>
      <c r="T821" s="1"/>
      <c r="U821" s="1"/>
      <c r="V821" s="1"/>
      <c r="W821" s="1"/>
      <c r="X821" s="1"/>
      <c r="Y821" s="1"/>
      <c r="Z821" s="1"/>
    </row>
    <row r="822" spans="17:26">
      <c r="Q822" s="23"/>
      <c r="R822" s="1"/>
      <c r="S822" s="1"/>
      <c r="T822" s="1"/>
      <c r="U822" s="1"/>
      <c r="V822" s="1"/>
      <c r="W822" s="1"/>
      <c r="X822" s="1"/>
      <c r="Y822" s="1"/>
      <c r="Z822" s="1"/>
    </row>
    <row r="823" spans="17:26">
      <c r="Q823" s="23"/>
      <c r="R823" s="1"/>
      <c r="S823" s="1"/>
      <c r="T823" s="1"/>
      <c r="U823" s="1"/>
      <c r="V823" s="1"/>
      <c r="W823" s="1"/>
      <c r="X823" s="1"/>
      <c r="Y823" s="1"/>
      <c r="Z823" s="1"/>
    </row>
    <row r="824" spans="17:26">
      <c r="Q824" s="23"/>
      <c r="R824" s="1"/>
      <c r="S824" s="1"/>
      <c r="T824" s="1"/>
      <c r="U824" s="1"/>
      <c r="V824" s="1"/>
      <c r="W824" s="1"/>
      <c r="X824" s="1"/>
      <c r="Y824" s="1"/>
      <c r="Z824" s="1"/>
    </row>
    <row r="825" spans="17:26">
      <c r="Q825" s="23"/>
      <c r="R825" s="1"/>
      <c r="S825" s="1"/>
      <c r="T825" s="1"/>
      <c r="U825" s="1"/>
      <c r="V825" s="1"/>
      <c r="W825" s="1"/>
      <c r="X825" s="1"/>
      <c r="Y825" s="1"/>
      <c r="Z825" s="1"/>
    </row>
    <row r="826" spans="17:26">
      <c r="Q826" s="23"/>
      <c r="R826" s="1"/>
      <c r="S826" s="1"/>
      <c r="T826" s="1"/>
      <c r="U826" s="1"/>
      <c r="V826" s="1"/>
      <c r="W826" s="1"/>
      <c r="X826" s="1"/>
      <c r="Y826" s="1"/>
      <c r="Z826" s="1"/>
    </row>
    <row r="827" spans="17:26">
      <c r="Q827" s="23"/>
      <c r="R827" s="1"/>
      <c r="S827" s="1"/>
      <c r="T827" s="1"/>
      <c r="U827" s="1"/>
      <c r="V827" s="1"/>
      <c r="W827" s="1"/>
      <c r="X827" s="1"/>
      <c r="Y827" s="1"/>
      <c r="Z827" s="1"/>
    </row>
    <row r="828" spans="17:26">
      <c r="Q828" s="23"/>
      <c r="R828" s="1"/>
      <c r="S828" s="1"/>
      <c r="T828" s="1"/>
      <c r="U828" s="1"/>
      <c r="V828" s="1"/>
      <c r="W828" s="1"/>
      <c r="X828" s="1"/>
      <c r="Y828" s="1"/>
      <c r="Z828" s="1"/>
    </row>
    <row r="829" spans="17:26">
      <c r="Q829" s="23"/>
      <c r="R829" s="1"/>
      <c r="S829" s="1"/>
      <c r="T829" s="1"/>
      <c r="U829" s="1"/>
      <c r="V829" s="1"/>
      <c r="W829" s="1"/>
      <c r="X829" s="1"/>
      <c r="Y829" s="1"/>
      <c r="Z829" s="1"/>
    </row>
    <row r="830" spans="17:26">
      <c r="Q830" s="23"/>
      <c r="R830" s="1"/>
      <c r="S830" s="1"/>
      <c r="T830" s="1"/>
      <c r="U830" s="1"/>
      <c r="V830" s="1"/>
      <c r="W830" s="1"/>
      <c r="X830" s="1"/>
      <c r="Y830" s="1"/>
      <c r="Z830" s="1"/>
    </row>
    <row r="831" spans="17:26">
      <c r="Q831" s="23"/>
      <c r="R831" s="1"/>
      <c r="S831" s="1"/>
      <c r="T831" s="1"/>
      <c r="U831" s="1"/>
      <c r="V831" s="1"/>
      <c r="W831" s="1"/>
      <c r="X831" s="1"/>
      <c r="Y831" s="1"/>
      <c r="Z831" s="1"/>
    </row>
    <row r="832" spans="17:26">
      <c r="Q832" s="23"/>
      <c r="R832" s="1"/>
      <c r="S832" s="1"/>
      <c r="T832" s="1"/>
      <c r="U832" s="1"/>
      <c r="V832" s="1"/>
      <c r="W832" s="1"/>
      <c r="X832" s="1"/>
      <c r="Y832" s="1"/>
      <c r="Z832" s="1"/>
    </row>
    <row r="833" spans="17:26">
      <c r="Q833" s="23"/>
      <c r="R833" s="1"/>
      <c r="S833" s="1"/>
      <c r="T833" s="1"/>
      <c r="U833" s="1"/>
      <c r="V833" s="1"/>
      <c r="W833" s="1"/>
      <c r="X833" s="1"/>
      <c r="Y833" s="1"/>
      <c r="Z833" s="1"/>
    </row>
    <row r="834" spans="17:26">
      <c r="Q834" s="23"/>
      <c r="R834" s="1"/>
      <c r="S834" s="1"/>
      <c r="T834" s="1"/>
      <c r="U834" s="1"/>
      <c r="V834" s="1"/>
      <c r="W834" s="1"/>
      <c r="X834" s="1"/>
      <c r="Y834" s="1"/>
      <c r="Z834" s="1"/>
    </row>
    <row r="835" spans="17:26">
      <c r="Q835" s="23"/>
      <c r="R835" s="1"/>
      <c r="S835" s="1"/>
      <c r="T835" s="1"/>
      <c r="U835" s="1"/>
      <c r="V835" s="1"/>
      <c r="W835" s="1"/>
      <c r="X835" s="1"/>
      <c r="Y835" s="1"/>
      <c r="Z835" s="1"/>
    </row>
    <row r="836" spans="17:26">
      <c r="Q836" s="23"/>
      <c r="R836" s="1"/>
      <c r="S836" s="1"/>
      <c r="T836" s="1"/>
      <c r="U836" s="1"/>
      <c r="V836" s="1"/>
      <c r="W836" s="1"/>
      <c r="X836" s="1"/>
      <c r="Y836" s="1"/>
      <c r="Z836" s="1"/>
    </row>
    <row r="837" spans="17:26">
      <c r="Q837" s="23"/>
      <c r="R837" s="1"/>
      <c r="S837" s="1"/>
      <c r="T837" s="1"/>
      <c r="U837" s="1"/>
      <c r="V837" s="1"/>
      <c r="W837" s="1"/>
      <c r="X837" s="1"/>
      <c r="Y837" s="1"/>
      <c r="Z837" s="1"/>
    </row>
    <row r="838" spans="17:26">
      <c r="Q838" s="23"/>
      <c r="R838" s="1"/>
      <c r="S838" s="1"/>
      <c r="T838" s="1"/>
      <c r="U838" s="1"/>
      <c r="V838" s="1"/>
      <c r="W838" s="1"/>
      <c r="X838" s="1"/>
      <c r="Y838" s="1"/>
      <c r="Z838" s="1"/>
    </row>
    <row r="839" spans="17:26">
      <c r="Q839" s="23"/>
      <c r="R839" s="1"/>
      <c r="S839" s="1"/>
      <c r="T839" s="1"/>
      <c r="U839" s="1"/>
      <c r="V839" s="1"/>
      <c r="W839" s="1"/>
      <c r="X839" s="1"/>
      <c r="Y839" s="1"/>
      <c r="Z839" s="1"/>
    </row>
    <row r="840" spans="17:26">
      <c r="Q840" s="23"/>
      <c r="R840" s="1"/>
      <c r="S840" s="1"/>
      <c r="T840" s="1"/>
      <c r="U840" s="1"/>
      <c r="V840" s="1"/>
      <c r="W840" s="1"/>
      <c r="X840" s="1"/>
      <c r="Y840" s="1"/>
      <c r="Z840" s="1"/>
    </row>
    <row r="841" spans="17:26">
      <c r="Q841" s="23"/>
      <c r="R841" s="1"/>
      <c r="S841" s="1"/>
      <c r="T841" s="1"/>
      <c r="U841" s="1"/>
      <c r="V841" s="1"/>
      <c r="W841" s="1"/>
      <c r="X841" s="1"/>
      <c r="Y841" s="1"/>
      <c r="Z841" s="1"/>
    </row>
    <row r="842" spans="17:26">
      <c r="Q842" s="23"/>
      <c r="R842" s="1"/>
      <c r="S842" s="1"/>
      <c r="T842" s="1"/>
      <c r="U842" s="1"/>
      <c r="V842" s="1"/>
      <c r="W842" s="1"/>
      <c r="X842" s="1"/>
      <c r="Y842" s="1"/>
      <c r="Z842" s="1"/>
    </row>
    <row r="843" spans="17:26">
      <c r="Q843" s="23"/>
      <c r="R843" s="1"/>
      <c r="S843" s="1"/>
      <c r="T843" s="1"/>
      <c r="U843" s="1"/>
      <c r="V843" s="1"/>
      <c r="W843" s="1"/>
      <c r="X843" s="1"/>
      <c r="Y843" s="1"/>
      <c r="Z843" s="1"/>
    </row>
    <row r="844" spans="17:26">
      <c r="Q844" s="23"/>
      <c r="R844" s="1"/>
      <c r="S844" s="1"/>
      <c r="T844" s="1"/>
      <c r="U844" s="1"/>
      <c r="V844" s="1"/>
      <c r="W844" s="1"/>
      <c r="X844" s="1"/>
      <c r="Y844" s="1"/>
      <c r="Z844" s="1"/>
    </row>
    <row r="845" spans="17:26">
      <c r="Q845" s="23"/>
      <c r="R845" s="1"/>
      <c r="S845" s="1"/>
      <c r="T845" s="1"/>
      <c r="U845" s="1"/>
      <c r="V845" s="1"/>
      <c r="W845" s="1"/>
      <c r="X845" s="1"/>
      <c r="Y845" s="1"/>
      <c r="Z845" s="1"/>
    </row>
    <row r="846" spans="17:26">
      <c r="Q846" s="23"/>
      <c r="R846" s="1"/>
      <c r="S846" s="1"/>
      <c r="T846" s="1"/>
      <c r="U846" s="1"/>
      <c r="V846" s="1"/>
      <c r="W846" s="1"/>
      <c r="X846" s="1"/>
      <c r="Y846" s="1"/>
      <c r="Z846" s="1"/>
    </row>
    <row r="847" spans="17:26">
      <c r="Q847" s="23"/>
      <c r="R847" s="1"/>
      <c r="S847" s="1"/>
      <c r="T847" s="1"/>
      <c r="U847" s="1"/>
      <c r="V847" s="1"/>
      <c r="W847" s="1"/>
      <c r="X847" s="1"/>
      <c r="Y847" s="1"/>
      <c r="Z847" s="1"/>
    </row>
    <row r="848" spans="17:26">
      <c r="Q848" s="23"/>
      <c r="R848" s="1"/>
      <c r="S848" s="1"/>
      <c r="T848" s="1"/>
      <c r="U848" s="1"/>
      <c r="V848" s="1"/>
      <c r="W848" s="1"/>
      <c r="X848" s="1"/>
      <c r="Y848" s="1"/>
      <c r="Z848" s="1"/>
    </row>
    <row r="849" spans="17:26">
      <c r="Q849" s="23"/>
      <c r="R849" s="1"/>
      <c r="S849" s="1"/>
      <c r="T849" s="1"/>
      <c r="U849" s="1"/>
      <c r="V849" s="1"/>
      <c r="W849" s="1"/>
      <c r="X849" s="1"/>
      <c r="Y849" s="1"/>
      <c r="Z849" s="1"/>
    </row>
    <row r="850" spans="17:26">
      <c r="Q850" s="23"/>
      <c r="R850" s="1"/>
      <c r="S850" s="1"/>
      <c r="T850" s="1"/>
      <c r="U850" s="1"/>
      <c r="V850" s="1"/>
      <c r="W850" s="1"/>
      <c r="X850" s="1"/>
      <c r="Y850" s="1"/>
      <c r="Z850" s="1"/>
    </row>
    <row r="851" spans="17:26">
      <c r="Q851" s="23"/>
      <c r="R851" s="1"/>
      <c r="S851" s="1"/>
      <c r="T851" s="1"/>
      <c r="U851" s="1"/>
      <c r="V851" s="1"/>
      <c r="W851" s="1"/>
      <c r="X851" s="1"/>
      <c r="Y851" s="1"/>
      <c r="Z851" s="1"/>
    </row>
    <row r="852" spans="17:26">
      <c r="Q852" s="23"/>
      <c r="R852" s="1"/>
      <c r="S852" s="1"/>
      <c r="T852" s="1"/>
      <c r="U852" s="1"/>
      <c r="V852" s="1"/>
      <c r="W852" s="1"/>
      <c r="X852" s="1"/>
      <c r="Y852" s="1"/>
      <c r="Z852" s="1"/>
    </row>
    <row r="853" spans="17:26">
      <c r="Q853" s="23"/>
      <c r="R853" s="1"/>
      <c r="S853" s="1"/>
      <c r="T853" s="1"/>
      <c r="U853" s="1"/>
      <c r="V853" s="1"/>
      <c r="W853" s="1"/>
      <c r="X853" s="1"/>
      <c r="Y853" s="1"/>
      <c r="Z853" s="1"/>
    </row>
    <row r="854" spans="17:26">
      <c r="Q854" s="23"/>
      <c r="R854" s="1"/>
      <c r="S854" s="1"/>
      <c r="T854" s="1"/>
      <c r="U854" s="1"/>
      <c r="V854" s="1"/>
      <c r="W854" s="1"/>
      <c r="X854" s="1"/>
      <c r="Y854" s="1"/>
      <c r="Z854" s="1"/>
    </row>
    <row r="855" spans="17:26">
      <c r="Q855" s="23"/>
      <c r="R855" s="1"/>
      <c r="S855" s="1"/>
      <c r="T855" s="1"/>
      <c r="U855" s="1"/>
      <c r="V855" s="1"/>
      <c r="W855" s="1"/>
      <c r="X855" s="1"/>
      <c r="Y855" s="1"/>
      <c r="Z855" s="1"/>
    </row>
    <row r="856" spans="17:26">
      <c r="Q856" s="23"/>
      <c r="R856" s="1"/>
      <c r="S856" s="1"/>
      <c r="T856" s="1"/>
      <c r="U856" s="1"/>
      <c r="V856" s="1"/>
      <c r="W856" s="1"/>
      <c r="X856" s="1"/>
      <c r="Y856" s="1"/>
      <c r="Z856" s="1"/>
    </row>
    <row r="857" spans="17:26">
      <c r="Q857" s="23"/>
      <c r="R857" s="1"/>
      <c r="S857" s="1"/>
      <c r="T857" s="1"/>
      <c r="U857" s="1"/>
      <c r="V857" s="1"/>
      <c r="W857" s="1"/>
      <c r="X857" s="1"/>
      <c r="Y857" s="1"/>
      <c r="Z857" s="1"/>
    </row>
    <row r="858" spans="17:26">
      <c r="Q858" s="23"/>
      <c r="R858" s="1"/>
      <c r="S858" s="1"/>
      <c r="T858" s="1"/>
      <c r="U858" s="1"/>
      <c r="V858" s="1"/>
      <c r="W858" s="1"/>
      <c r="X858" s="1"/>
      <c r="Y858" s="1"/>
      <c r="Z858" s="1"/>
    </row>
    <row r="859" spans="17:26">
      <c r="Q859" s="23"/>
      <c r="R859" s="1"/>
      <c r="S859" s="1"/>
      <c r="T859" s="1"/>
      <c r="U859" s="1"/>
      <c r="V859" s="1"/>
      <c r="W859" s="1"/>
      <c r="X859" s="1"/>
      <c r="Y859" s="1"/>
      <c r="Z859" s="1"/>
    </row>
    <row r="860" spans="17:26">
      <c r="Q860" s="23"/>
      <c r="R860" s="1"/>
      <c r="S860" s="1"/>
      <c r="T860" s="1"/>
      <c r="U860" s="1"/>
      <c r="V860" s="1"/>
      <c r="W860" s="1"/>
      <c r="X860" s="1"/>
      <c r="Y860" s="1"/>
      <c r="Z860" s="1"/>
    </row>
    <row r="861" spans="17:26">
      <c r="Q861" s="23"/>
      <c r="R861" s="1"/>
      <c r="S861" s="1"/>
      <c r="T861" s="1"/>
      <c r="U861" s="1"/>
      <c r="V861" s="1"/>
      <c r="W861" s="1"/>
      <c r="X861" s="1"/>
      <c r="Y861" s="1"/>
      <c r="Z861" s="1"/>
    </row>
    <row r="862" spans="17:26">
      <c r="Q862" s="23"/>
      <c r="R862" s="1"/>
      <c r="S862" s="1"/>
      <c r="T862" s="1"/>
      <c r="U862" s="1"/>
      <c r="V862" s="1"/>
      <c r="W862" s="1"/>
      <c r="X862" s="1"/>
      <c r="Y862" s="1"/>
      <c r="Z862" s="1"/>
    </row>
    <row r="863" spans="17:26">
      <c r="Q863" s="23"/>
      <c r="R863" s="1"/>
      <c r="S863" s="1"/>
      <c r="T863" s="1"/>
      <c r="U863" s="1"/>
      <c r="V863" s="1"/>
      <c r="W863" s="1"/>
      <c r="X863" s="1"/>
      <c r="Y863" s="1"/>
      <c r="Z863" s="1"/>
    </row>
    <row r="864" spans="17:26">
      <c r="Q864" s="23"/>
      <c r="R864" s="1"/>
      <c r="S864" s="1"/>
      <c r="T864" s="1"/>
      <c r="U864" s="1"/>
      <c r="V864" s="1"/>
      <c r="W864" s="1"/>
      <c r="X864" s="1"/>
      <c r="Y864" s="1"/>
      <c r="Z864" s="1"/>
    </row>
    <row r="865" spans="17:26">
      <c r="Q865" s="23"/>
      <c r="R865" s="1"/>
      <c r="S865" s="1"/>
      <c r="T865" s="1"/>
      <c r="U865" s="1"/>
      <c r="V865" s="1"/>
      <c r="W865" s="1"/>
      <c r="X865" s="1"/>
      <c r="Y865" s="1"/>
      <c r="Z865" s="1"/>
    </row>
    <row r="866" spans="17:26">
      <c r="Q866" s="23"/>
      <c r="R866" s="1"/>
      <c r="S866" s="1"/>
      <c r="T866" s="1"/>
      <c r="U866" s="1"/>
      <c r="V866" s="1"/>
      <c r="W866" s="1"/>
      <c r="X866" s="1"/>
      <c r="Y866" s="1"/>
      <c r="Z866" s="1"/>
    </row>
    <row r="867" spans="17:26">
      <c r="Q867" s="23"/>
      <c r="R867" s="1"/>
      <c r="S867" s="1"/>
      <c r="T867" s="1"/>
      <c r="U867" s="1"/>
      <c r="V867" s="1"/>
      <c r="W867" s="1"/>
      <c r="X867" s="1"/>
      <c r="Y867" s="1"/>
      <c r="Z867" s="1"/>
    </row>
    <row r="868" spans="17:26">
      <c r="Q868" s="23"/>
      <c r="R868" s="1"/>
      <c r="S868" s="1"/>
      <c r="T868" s="1"/>
      <c r="U868" s="1"/>
      <c r="V868" s="1"/>
      <c r="W868" s="1"/>
      <c r="X868" s="1"/>
      <c r="Y868" s="1"/>
      <c r="Z868" s="1"/>
    </row>
    <row r="869" spans="17:26">
      <c r="Q869" s="23"/>
      <c r="R869" s="1"/>
      <c r="S869" s="1"/>
      <c r="T869" s="1"/>
      <c r="U869" s="1"/>
      <c r="V869" s="1"/>
      <c r="W869" s="1"/>
      <c r="X869" s="1"/>
      <c r="Y869" s="1"/>
      <c r="Z869" s="1"/>
    </row>
    <row r="870" spans="17:26">
      <c r="Q870" s="23"/>
      <c r="R870" s="1"/>
      <c r="S870" s="1"/>
      <c r="T870" s="1"/>
      <c r="U870" s="1"/>
      <c r="V870" s="1"/>
      <c r="W870" s="1"/>
      <c r="X870" s="1"/>
      <c r="Y870" s="1"/>
      <c r="Z870" s="1"/>
    </row>
    <row r="871" spans="17:26">
      <c r="Q871" s="23"/>
      <c r="R871" s="1"/>
      <c r="S871" s="1"/>
      <c r="T871" s="1"/>
      <c r="U871" s="1"/>
      <c r="V871" s="1"/>
      <c r="W871" s="1"/>
      <c r="X871" s="1"/>
      <c r="Y871" s="1"/>
      <c r="Z871" s="1"/>
    </row>
    <row r="872" spans="17:26">
      <c r="Q872" s="23"/>
      <c r="R872" s="1"/>
      <c r="S872" s="1"/>
      <c r="T872" s="1"/>
      <c r="U872" s="1"/>
      <c r="V872" s="1"/>
      <c r="W872" s="1"/>
      <c r="X872" s="1"/>
      <c r="Y872" s="1"/>
      <c r="Z872" s="1"/>
    </row>
    <row r="873" spans="17:26">
      <c r="Q873" s="23"/>
      <c r="R873" s="1"/>
      <c r="S873" s="1"/>
      <c r="T873" s="1"/>
      <c r="U873" s="1"/>
      <c r="V873" s="1"/>
      <c r="W873" s="1"/>
      <c r="X873" s="1"/>
      <c r="Y873" s="1"/>
      <c r="Z873" s="1"/>
    </row>
    <row r="874" spans="17:26">
      <c r="Q874" s="23"/>
      <c r="R874" s="1"/>
      <c r="S874" s="1"/>
      <c r="T874" s="1"/>
      <c r="U874" s="1"/>
      <c r="V874" s="1"/>
      <c r="W874" s="1"/>
      <c r="X874" s="1"/>
      <c r="Y874" s="1"/>
      <c r="Z874" s="1"/>
    </row>
    <row r="875" spans="17:26">
      <c r="Q875" s="23"/>
      <c r="R875" s="1"/>
      <c r="S875" s="1"/>
      <c r="T875" s="1"/>
      <c r="U875" s="1"/>
      <c r="V875" s="1"/>
      <c r="W875" s="1"/>
      <c r="X875" s="1"/>
      <c r="Y875" s="1"/>
      <c r="Z875" s="1"/>
    </row>
    <row r="876" spans="17:26">
      <c r="Q876" s="23"/>
      <c r="R876" s="1"/>
      <c r="S876" s="1"/>
      <c r="T876" s="1"/>
      <c r="U876" s="1"/>
      <c r="V876" s="1"/>
      <c r="W876" s="1"/>
      <c r="X876" s="1"/>
      <c r="Y876" s="1"/>
      <c r="Z876" s="1"/>
    </row>
    <row r="877" spans="17:26">
      <c r="Q877" s="23"/>
      <c r="R877" s="1"/>
      <c r="S877" s="1"/>
      <c r="T877" s="1"/>
      <c r="U877" s="1"/>
      <c r="V877" s="1"/>
      <c r="W877" s="1"/>
      <c r="X877" s="1"/>
      <c r="Y877" s="1"/>
      <c r="Z877" s="1"/>
    </row>
    <row r="878" spans="17:26">
      <c r="Q878" s="23"/>
      <c r="R878" s="1"/>
      <c r="S878" s="1"/>
      <c r="T878" s="1"/>
      <c r="U878" s="1"/>
      <c r="V878" s="1"/>
      <c r="W878" s="1"/>
      <c r="X878" s="1"/>
      <c r="Y878" s="1"/>
      <c r="Z878" s="1"/>
    </row>
    <row r="879" spans="17:26">
      <c r="Q879" s="23"/>
      <c r="R879" s="1"/>
      <c r="S879" s="1"/>
      <c r="T879" s="1"/>
      <c r="U879" s="1"/>
      <c r="V879" s="1"/>
      <c r="W879" s="1"/>
      <c r="X879" s="1"/>
      <c r="Y879" s="1"/>
      <c r="Z879" s="1"/>
    </row>
    <row r="880" spans="17:26">
      <c r="Q880" s="23"/>
      <c r="R880" s="1"/>
      <c r="S880" s="1"/>
      <c r="T880" s="1"/>
      <c r="U880" s="1"/>
      <c r="V880" s="1"/>
      <c r="W880" s="1"/>
      <c r="X880" s="1"/>
      <c r="Y880" s="1"/>
      <c r="Z880" s="1"/>
    </row>
    <row r="881" spans="17:26">
      <c r="Q881" s="23"/>
      <c r="R881" s="1"/>
      <c r="S881" s="1"/>
      <c r="T881" s="1"/>
      <c r="U881" s="1"/>
      <c r="V881" s="1"/>
      <c r="W881" s="1"/>
      <c r="X881" s="1"/>
      <c r="Y881" s="1"/>
      <c r="Z881" s="1"/>
    </row>
    <row r="882" spans="17:26">
      <c r="Q882" s="23"/>
      <c r="R882" s="1"/>
      <c r="S882" s="1"/>
      <c r="T882" s="1"/>
      <c r="U882" s="1"/>
      <c r="V882" s="1"/>
      <c r="W882" s="1"/>
      <c r="X882" s="1"/>
      <c r="Y882" s="1"/>
      <c r="Z882" s="1"/>
    </row>
    <row r="883" spans="17:26">
      <c r="Q883" s="23"/>
      <c r="R883" s="1"/>
      <c r="S883" s="1"/>
      <c r="T883" s="1"/>
      <c r="U883" s="1"/>
      <c r="V883" s="1"/>
      <c r="W883" s="1"/>
      <c r="X883" s="1"/>
      <c r="Y883" s="1"/>
      <c r="Z883" s="1"/>
    </row>
    <row r="884" spans="17:26">
      <c r="Q884" s="23"/>
      <c r="R884" s="1"/>
      <c r="S884" s="1"/>
      <c r="T884" s="1"/>
      <c r="U884" s="1"/>
      <c r="V884" s="1"/>
      <c r="W884" s="1"/>
      <c r="X884" s="1"/>
      <c r="Y884" s="1"/>
      <c r="Z884" s="1"/>
    </row>
    <row r="885" spans="17:26">
      <c r="Q885" s="23"/>
      <c r="R885" s="1"/>
      <c r="S885" s="1"/>
      <c r="T885" s="1"/>
      <c r="U885" s="1"/>
      <c r="V885" s="1"/>
      <c r="W885" s="1"/>
      <c r="X885" s="1"/>
      <c r="Y885" s="1"/>
      <c r="Z885" s="1"/>
    </row>
    <row r="886" spans="17:26">
      <c r="Q886" s="23"/>
      <c r="R886" s="1"/>
      <c r="S886" s="1"/>
      <c r="T886" s="1"/>
      <c r="U886" s="1"/>
      <c r="V886" s="1"/>
      <c r="W886" s="1"/>
      <c r="X886" s="1"/>
      <c r="Y886" s="1"/>
      <c r="Z886" s="1"/>
    </row>
    <row r="887" spans="17:26">
      <c r="Q887" s="23"/>
      <c r="R887" s="1"/>
      <c r="S887" s="1"/>
      <c r="T887" s="1"/>
      <c r="U887" s="1"/>
      <c r="V887" s="1"/>
      <c r="W887" s="1"/>
      <c r="X887" s="1"/>
      <c r="Y887" s="1"/>
      <c r="Z887" s="1"/>
    </row>
    <row r="888" spans="17:26">
      <c r="Q888" s="23"/>
      <c r="R888" s="1"/>
      <c r="S888" s="1"/>
      <c r="T888" s="1"/>
      <c r="U888" s="1"/>
      <c r="V888" s="1"/>
      <c r="W888" s="1"/>
      <c r="X888" s="1"/>
      <c r="Y888" s="1"/>
      <c r="Z888" s="1"/>
    </row>
    <row r="889" spans="17:26">
      <c r="Q889" s="23"/>
      <c r="R889" s="1"/>
      <c r="S889" s="1"/>
      <c r="T889" s="1"/>
      <c r="U889" s="1"/>
      <c r="V889" s="1"/>
      <c r="W889" s="1"/>
      <c r="X889" s="1"/>
      <c r="Y889" s="1"/>
      <c r="Z889" s="1"/>
    </row>
    <row r="890" spans="17:26">
      <c r="Q890" s="23"/>
      <c r="R890" s="1"/>
      <c r="S890" s="1"/>
      <c r="T890" s="1"/>
      <c r="U890" s="1"/>
      <c r="V890" s="1"/>
      <c r="W890" s="1"/>
      <c r="X890" s="1"/>
      <c r="Y890" s="1"/>
      <c r="Z890" s="1"/>
    </row>
    <row r="891" spans="17:26">
      <c r="Q891" s="23"/>
      <c r="R891" s="1"/>
      <c r="S891" s="1"/>
      <c r="T891" s="1"/>
      <c r="U891" s="1"/>
      <c r="V891" s="1"/>
      <c r="W891" s="1"/>
      <c r="X891" s="1"/>
      <c r="Y891" s="1"/>
      <c r="Z891" s="1"/>
    </row>
    <row r="892" spans="17:26">
      <c r="Q892" s="23"/>
      <c r="R892" s="1"/>
      <c r="S892" s="1"/>
      <c r="T892" s="1"/>
      <c r="U892" s="1"/>
      <c r="V892" s="1"/>
      <c r="W892" s="1"/>
      <c r="X892" s="1"/>
      <c r="Y892" s="1"/>
      <c r="Z892" s="1"/>
    </row>
    <row r="893" spans="17:26">
      <c r="Q893" s="23"/>
      <c r="R893" s="1"/>
      <c r="S893" s="1"/>
      <c r="T893" s="1"/>
      <c r="U893" s="1"/>
      <c r="V893" s="1"/>
      <c r="W893" s="1"/>
      <c r="X893" s="1"/>
      <c r="Y893" s="1"/>
      <c r="Z893" s="1"/>
    </row>
    <row r="894" spans="17:26">
      <c r="Q894" s="23"/>
      <c r="R894" s="1"/>
      <c r="S894" s="1"/>
      <c r="T894" s="1"/>
      <c r="U894" s="1"/>
      <c r="V894" s="1"/>
      <c r="W894" s="1"/>
      <c r="X894" s="1"/>
      <c r="Y894" s="1"/>
      <c r="Z894" s="1"/>
    </row>
    <row r="895" spans="17:26">
      <c r="Q895" s="23"/>
      <c r="R895" s="1"/>
      <c r="S895" s="1"/>
      <c r="T895" s="1"/>
      <c r="U895" s="1"/>
      <c r="V895" s="1"/>
      <c r="W895" s="1"/>
      <c r="X895" s="1"/>
      <c r="Y895" s="1"/>
      <c r="Z895" s="1"/>
    </row>
    <row r="896" spans="17:26">
      <c r="Q896" s="23"/>
      <c r="R896" s="1"/>
      <c r="S896" s="1"/>
      <c r="T896" s="1"/>
      <c r="U896" s="1"/>
      <c r="V896" s="1"/>
      <c r="W896" s="1"/>
      <c r="X896" s="1"/>
      <c r="Y896" s="1"/>
      <c r="Z896" s="1"/>
    </row>
    <row r="897" spans="17:26">
      <c r="Q897" s="23"/>
      <c r="R897" s="1"/>
      <c r="S897" s="1"/>
      <c r="T897" s="1"/>
      <c r="U897" s="1"/>
      <c r="V897" s="1"/>
      <c r="W897" s="1"/>
      <c r="X897" s="1"/>
      <c r="Y897" s="1"/>
      <c r="Z897" s="1"/>
    </row>
    <row r="898" spans="17:26">
      <c r="Q898" s="1"/>
      <c r="R898" s="1"/>
      <c r="S898" s="1"/>
      <c r="T898" s="1"/>
      <c r="U898" s="1"/>
      <c r="V898" s="1"/>
      <c r="W898" s="1"/>
      <c r="X898" s="1"/>
      <c r="Y898" s="1"/>
      <c r="Z898" s="1"/>
    </row>
    <row r="899" spans="17:26">
      <c r="Q899" s="1"/>
      <c r="R899" s="1"/>
      <c r="S899" s="1"/>
      <c r="T899" s="1"/>
      <c r="U899" s="1"/>
      <c r="V899" s="1"/>
      <c r="W899" s="1"/>
      <c r="X899" s="1"/>
      <c r="Y899" s="1"/>
      <c r="Z899" s="1"/>
    </row>
    <row r="900" spans="17:26">
      <c r="Q900" s="1"/>
      <c r="R900" s="1"/>
      <c r="S900" s="1"/>
      <c r="T900" s="1"/>
      <c r="U900" s="1"/>
      <c r="V900" s="1"/>
      <c r="W900" s="1"/>
      <c r="X900" s="1"/>
      <c r="Y900" s="1"/>
      <c r="Z900" s="1"/>
    </row>
    <row r="901" spans="17:26">
      <c r="Q901" s="1"/>
      <c r="R901" s="1"/>
      <c r="S901" s="1"/>
      <c r="T901" s="1"/>
      <c r="U901" s="1"/>
      <c r="V901" s="1"/>
      <c r="W901" s="1"/>
      <c r="X901" s="1"/>
      <c r="Y901" s="1"/>
      <c r="Z901" s="1"/>
    </row>
    <row r="902" spans="17:26">
      <c r="Q902" s="1"/>
      <c r="R902" s="1"/>
      <c r="S902" s="1"/>
      <c r="T902" s="1"/>
      <c r="U902" s="1"/>
      <c r="V902" s="1"/>
      <c r="W902" s="1"/>
      <c r="X902" s="1"/>
      <c r="Y902" s="1"/>
      <c r="Z902" s="1"/>
    </row>
    <row r="903" spans="17:26">
      <c r="Q903" s="1"/>
      <c r="R903" s="1"/>
      <c r="S903" s="1"/>
      <c r="T903" s="1"/>
      <c r="U903" s="1"/>
      <c r="V903" s="1"/>
      <c r="W903" s="1"/>
      <c r="X903" s="1"/>
      <c r="Y903" s="1"/>
      <c r="Z903" s="1"/>
    </row>
    <row r="904" spans="17:26">
      <c r="Q904" s="1"/>
      <c r="R904" s="1"/>
      <c r="S904" s="1"/>
      <c r="T904" s="1"/>
      <c r="U904" s="1"/>
      <c r="V904" s="1"/>
      <c r="W904" s="1"/>
      <c r="X904" s="1"/>
      <c r="Y904" s="1"/>
      <c r="Z904" s="1"/>
    </row>
    <row r="905" spans="17:26">
      <c r="Q905" s="1"/>
      <c r="R905" s="1"/>
      <c r="S905" s="1"/>
      <c r="T905" s="1"/>
      <c r="U905" s="1"/>
      <c r="V905" s="1"/>
      <c r="W905" s="1"/>
      <c r="X905" s="1"/>
      <c r="Y905" s="1"/>
      <c r="Z905" s="1"/>
    </row>
    <row r="906" spans="17:26">
      <c r="Q906" s="1"/>
      <c r="R906" s="1"/>
      <c r="S906" s="1"/>
      <c r="T906" s="1"/>
      <c r="U906" s="1"/>
      <c r="V906" s="1"/>
      <c r="W906" s="1"/>
      <c r="X906" s="1"/>
      <c r="Y906" s="1"/>
      <c r="Z906" s="1"/>
    </row>
  </sheetData>
  <mergeCells count="540">
    <mergeCell ref="B2:K3"/>
    <mergeCell ref="B5:D5"/>
    <mergeCell ref="R2:Y3"/>
    <mergeCell ref="R5:U5"/>
    <mergeCell ref="R7:Y7"/>
    <mergeCell ref="R10:U10"/>
    <mergeCell ref="R11:U11"/>
    <mergeCell ref="R12:U12"/>
    <mergeCell ref="R13:U13"/>
    <mergeCell ref="R14:U14"/>
    <mergeCell ref="R15:U15"/>
    <mergeCell ref="R16:U16"/>
    <mergeCell ref="R19:U19"/>
    <mergeCell ref="R20:U20"/>
    <mergeCell ref="R21:U21"/>
    <mergeCell ref="R22:U22"/>
    <mergeCell ref="R23:U23"/>
    <mergeCell ref="R24:U24"/>
    <mergeCell ref="R25:U25"/>
    <mergeCell ref="R26:U26"/>
    <mergeCell ref="R28:Y28"/>
    <mergeCell ref="R31:T32"/>
    <mergeCell ref="U31:U32"/>
    <mergeCell ref="V31:V32"/>
    <mergeCell ref="W31:W32"/>
    <mergeCell ref="X31:X32"/>
    <mergeCell ref="R33:T33"/>
    <mergeCell ref="R34:T34"/>
    <mergeCell ref="R35:T35"/>
    <mergeCell ref="R36:T36"/>
    <mergeCell ref="X39:X40"/>
    <mergeCell ref="R41:T41"/>
    <mergeCell ref="R42:T42"/>
    <mergeCell ref="R43:T43"/>
    <mergeCell ref="R39:T40"/>
    <mergeCell ref="U39:U40"/>
    <mergeCell ref="V39:V40"/>
    <mergeCell ref="W39:W40"/>
    <mergeCell ref="R44:T44"/>
    <mergeCell ref="R46:Y46"/>
    <mergeCell ref="R49:T50"/>
    <mergeCell ref="U49:U50"/>
    <mergeCell ref="V49:V50"/>
    <mergeCell ref="W49:W50"/>
    <mergeCell ref="X49:X50"/>
    <mergeCell ref="R51:T51"/>
    <mergeCell ref="R54:T55"/>
    <mergeCell ref="U54:U55"/>
    <mergeCell ref="V54:V55"/>
    <mergeCell ref="W54:W55"/>
    <mergeCell ref="X54:X55"/>
    <mergeCell ref="R56:T56"/>
    <mergeCell ref="R59:T60"/>
    <mergeCell ref="U59:U60"/>
    <mergeCell ref="V59:V60"/>
    <mergeCell ref="W59:W60"/>
    <mergeCell ref="X59:X60"/>
    <mergeCell ref="R61:T61"/>
    <mergeCell ref="R62:T62"/>
    <mergeCell ref="R64:Y64"/>
    <mergeCell ref="R67:T68"/>
    <mergeCell ref="U67:U68"/>
    <mergeCell ref="V67:V68"/>
    <mergeCell ref="W67:W68"/>
    <mergeCell ref="X67:X68"/>
    <mergeCell ref="R69:T69"/>
    <mergeCell ref="R70:T70"/>
    <mergeCell ref="R71:T71"/>
    <mergeCell ref="R74:T75"/>
    <mergeCell ref="U74:U75"/>
    <mergeCell ref="V74:V75"/>
    <mergeCell ref="W74:W75"/>
    <mergeCell ref="X74:X75"/>
    <mergeCell ref="R76:T76"/>
    <mergeCell ref="R77:T77"/>
    <mergeCell ref="R78:T78"/>
    <mergeCell ref="R80:Y80"/>
    <mergeCell ref="X83:X84"/>
    <mergeCell ref="R85:T85"/>
    <mergeCell ref="R86:T86"/>
    <mergeCell ref="R87:T87"/>
    <mergeCell ref="R83:T84"/>
    <mergeCell ref="U83:U84"/>
    <mergeCell ref="V83:V84"/>
    <mergeCell ref="W83:W84"/>
    <mergeCell ref="X90:X91"/>
    <mergeCell ref="R92:T92"/>
    <mergeCell ref="R93:T93"/>
    <mergeCell ref="R94:T94"/>
    <mergeCell ref="R90:T91"/>
    <mergeCell ref="U90:U91"/>
    <mergeCell ref="V90:V91"/>
    <mergeCell ref="W90:W91"/>
    <mergeCell ref="R96:Y96"/>
    <mergeCell ref="R100:T101"/>
    <mergeCell ref="U100:U101"/>
    <mergeCell ref="V100:V101"/>
    <mergeCell ref="W100:W101"/>
    <mergeCell ref="X100:X101"/>
    <mergeCell ref="R102:T102"/>
    <mergeCell ref="R103:T103"/>
    <mergeCell ref="R106:T107"/>
    <mergeCell ref="U106:U107"/>
    <mergeCell ref="V106:V107"/>
    <mergeCell ref="W106:W107"/>
    <mergeCell ref="X106:X107"/>
    <mergeCell ref="R108:T108"/>
    <mergeCell ref="R109:T109"/>
    <mergeCell ref="R112:T113"/>
    <mergeCell ref="U112:U113"/>
    <mergeCell ref="V112:V113"/>
    <mergeCell ref="W112:W113"/>
    <mergeCell ref="X112:X113"/>
    <mergeCell ref="R114:T114"/>
    <mergeCell ref="R115:T115"/>
    <mergeCell ref="V126:V127"/>
    <mergeCell ref="W126:W127"/>
    <mergeCell ref="X118:X119"/>
    <mergeCell ref="R120:T120"/>
    <mergeCell ref="R121:T121"/>
    <mergeCell ref="R123:Y123"/>
    <mergeCell ref="R118:T119"/>
    <mergeCell ref="U118:U119"/>
    <mergeCell ref="V118:V119"/>
    <mergeCell ref="W118:W119"/>
    <mergeCell ref="X126:X127"/>
    <mergeCell ref="R128:T128"/>
    <mergeCell ref="R130:Y130"/>
    <mergeCell ref="R132:T133"/>
    <mergeCell ref="U132:U133"/>
    <mergeCell ref="V132:V133"/>
    <mergeCell ref="W132:W133"/>
    <mergeCell ref="X132:X133"/>
    <mergeCell ref="R126:T127"/>
    <mergeCell ref="U126:U127"/>
    <mergeCell ref="R134:T134"/>
    <mergeCell ref="R135:T135"/>
    <mergeCell ref="R137:Y137"/>
    <mergeCell ref="R142:W142"/>
    <mergeCell ref="X143:X144"/>
    <mergeCell ref="R145:T145"/>
    <mergeCell ref="U145:U146"/>
    <mergeCell ref="R146:T146"/>
    <mergeCell ref="R143:T144"/>
    <mergeCell ref="U143:U144"/>
    <mergeCell ref="V143:V144"/>
    <mergeCell ref="W143:W144"/>
    <mergeCell ref="R147:T147"/>
    <mergeCell ref="R148:T148"/>
    <mergeCell ref="R149:X149"/>
    <mergeCell ref="R150:T151"/>
    <mergeCell ref="U150:U151"/>
    <mergeCell ref="V150:V151"/>
    <mergeCell ref="W150:W151"/>
    <mergeCell ref="X150:X151"/>
    <mergeCell ref="R152:T152"/>
    <mergeCell ref="U152:U154"/>
    <mergeCell ref="R153:T153"/>
    <mergeCell ref="R154:T154"/>
    <mergeCell ref="R155:X155"/>
    <mergeCell ref="R156:T157"/>
    <mergeCell ref="U156:U157"/>
    <mergeCell ref="V156:V157"/>
    <mergeCell ref="W156:W157"/>
    <mergeCell ref="X156:X157"/>
    <mergeCell ref="V162:V163"/>
    <mergeCell ref="W162:W163"/>
    <mergeCell ref="R158:T158"/>
    <mergeCell ref="U158:U160"/>
    <mergeCell ref="R159:T159"/>
    <mergeCell ref="R160:T160"/>
    <mergeCell ref="X162:X163"/>
    <mergeCell ref="R164:T164"/>
    <mergeCell ref="R165:T165"/>
    <mergeCell ref="R167:T168"/>
    <mergeCell ref="U167:U168"/>
    <mergeCell ref="V167:V168"/>
    <mergeCell ref="W167:W168"/>
    <mergeCell ref="X167:X168"/>
    <mergeCell ref="R162:T163"/>
    <mergeCell ref="U162:U163"/>
    <mergeCell ref="R174:T174"/>
    <mergeCell ref="R179:T179"/>
    <mergeCell ref="R180:T180"/>
    <mergeCell ref="R175:T175"/>
    <mergeCell ref="R177:T178"/>
    <mergeCell ref="R169:T169"/>
    <mergeCell ref="R170:T170"/>
    <mergeCell ref="R172:T173"/>
    <mergeCell ref="W177:W178"/>
    <mergeCell ref="X177:X178"/>
    <mergeCell ref="U177:U178"/>
    <mergeCell ref="V177:V178"/>
    <mergeCell ref="X183:X184"/>
    <mergeCell ref="X172:X173"/>
    <mergeCell ref="U172:U173"/>
    <mergeCell ref="V172:V173"/>
    <mergeCell ref="W172:W173"/>
    <mergeCell ref="R185:T185"/>
    <mergeCell ref="R186:T186"/>
    <mergeCell ref="R181:T181"/>
    <mergeCell ref="R183:T184"/>
    <mergeCell ref="W188:W189"/>
    <mergeCell ref="W183:W184"/>
    <mergeCell ref="V188:V189"/>
    <mergeCell ref="U183:U184"/>
    <mergeCell ref="V183:V184"/>
    <mergeCell ref="X188:X189"/>
    <mergeCell ref="V193:V194"/>
    <mergeCell ref="W193:W194"/>
    <mergeCell ref="X193:X194"/>
    <mergeCell ref="R188:T189"/>
    <mergeCell ref="U188:U189"/>
    <mergeCell ref="R190:T190"/>
    <mergeCell ref="R191:T191"/>
    <mergeCell ref="R193:T194"/>
    <mergeCell ref="U193:U194"/>
    <mergeCell ref="R195:T195"/>
    <mergeCell ref="R196:T196"/>
    <mergeCell ref="R198:T199"/>
    <mergeCell ref="U198:U199"/>
    <mergeCell ref="V198:V199"/>
    <mergeCell ref="W198:W199"/>
    <mergeCell ref="X198:X199"/>
    <mergeCell ref="R200:T200"/>
    <mergeCell ref="R201:T201"/>
    <mergeCell ref="R202:T202"/>
    <mergeCell ref="R204:Y208"/>
    <mergeCell ref="R210:W211"/>
    <mergeCell ref="X210:X211"/>
    <mergeCell ref="Y210:Y211"/>
    <mergeCell ref="Y213:Y214"/>
    <mergeCell ref="R215:U215"/>
    <mergeCell ref="R216:U216"/>
    <mergeCell ref="R217:U217"/>
    <mergeCell ref="R213:U214"/>
    <mergeCell ref="V213:V214"/>
    <mergeCell ref="W213:W214"/>
    <mergeCell ref="X213:X214"/>
    <mergeCell ref="R218:U218"/>
    <mergeCell ref="R219:U219"/>
    <mergeCell ref="R220:U220"/>
    <mergeCell ref="R221:U221"/>
    <mergeCell ref="R222:U222"/>
    <mergeCell ref="R223:U223"/>
    <mergeCell ref="R224:U224"/>
    <mergeCell ref="R225:U225"/>
    <mergeCell ref="R226:U226"/>
    <mergeCell ref="R227:U227"/>
    <mergeCell ref="R228:U228"/>
    <mergeCell ref="R229:U229"/>
    <mergeCell ref="R231:U231"/>
    <mergeCell ref="R235:T236"/>
    <mergeCell ref="U235:U236"/>
    <mergeCell ref="V235:V236"/>
    <mergeCell ref="W235:W236"/>
    <mergeCell ref="X235:X236"/>
    <mergeCell ref="R237:T237"/>
    <mergeCell ref="U237:U239"/>
    <mergeCell ref="R238:T238"/>
    <mergeCell ref="R239:T239"/>
    <mergeCell ref="X241:X242"/>
    <mergeCell ref="R243:T243"/>
    <mergeCell ref="U243:U245"/>
    <mergeCell ref="R244:T244"/>
    <mergeCell ref="R245:T245"/>
    <mergeCell ref="R241:T242"/>
    <mergeCell ref="U241:U242"/>
    <mergeCell ref="V241:V242"/>
    <mergeCell ref="W241:W242"/>
    <mergeCell ref="X247:X248"/>
    <mergeCell ref="R249:T249"/>
    <mergeCell ref="U249:U251"/>
    <mergeCell ref="R250:T250"/>
    <mergeCell ref="R251:T251"/>
    <mergeCell ref="R247:T248"/>
    <mergeCell ref="U247:U248"/>
    <mergeCell ref="V247:V248"/>
    <mergeCell ref="W247:W248"/>
    <mergeCell ref="X254:X255"/>
    <mergeCell ref="R257:T257"/>
    <mergeCell ref="R260:Y260"/>
    <mergeCell ref="R264:S265"/>
    <mergeCell ref="U264:V264"/>
    <mergeCell ref="U265:V265"/>
    <mergeCell ref="R254:T255"/>
    <mergeCell ref="U254:U255"/>
    <mergeCell ref="V254:V255"/>
    <mergeCell ref="W254:W255"/>
    <mergeCell ref="X267:X268"/>
    <mergeCell ref="R268:R271"/>
    <mergeCell ref="S268:T268"/>
    <mergeCell ref="S269:T269"/>
    <mergeCell ref="S270:T270"/>
    <mergeCell ref="S271:T271"/>
    <mergeCell ref="R267:T267"/>
    <mergeCell ref="U267:U268"/>
    <mergeCell ref="V267:V268"/>
    <mergeCell ref="W267:W268"/>
    <mergeCell ref="R272:X272"/>
    <mergeCell ref="R273:T273"/>
    <mergeCell ref="U273:U274"/>
    <mergeCell ref="V273:V274"/>
    <mergeCell ref="W273:W274"/>
    <mergeCell ref="X273:X274"/>
    <mergeCell ref="R274:R277"/>
    <mergeCell ref="S274:T274"/>
    <mergeCell ref="S275:T275"/>
    <mergeCell ref="S276:T276"/>
    <mergeCell ref="S277:T277"/>
    <mergeCell ref="R278:X278"/>
    <mergeCell ref="R279:T279"/>
    <mergeCell ref="U279:U280"/>
    <mergeCell ref="V279:V280"/>
    <mergeCell ref="W279:W280"/>
    <mergeCell ref="X279:X280"/>
    <mergeCell ref="R280:R283"/>
    <mergeCell ref="S280:T280"/>
    <mergeCell ref="S281:T281"/>
    <mergeCell ref="S282:T282"/>
    <mergeCell ref="S283:T283"/>
    <mergeCell ref="R286:U287"/>
    <mergeCell ref="V286:V287"/>
    <mergeCell ref="W286:W287"/>
    <mergeCell ref="X286:X287"/>
    <mergeCell ref="Y286:Y287"/>
    <mergeCell ref="R288:U288"/>
    <mergeCell ref="R289:U289"/>
    <mergeCell ref="R290:U290"/>
    <mergeCell ref="R291:U291"/>
    <mergeCell ref="R292:U292"/>
    <mergeCell ref="R293:U293"/>
    <mergeCell ref="R294:U294"/>
    <mergeCell ref="R295:U295"/>
    <mergeCell ref="R296:U296"/>
    <mergeCell ref="R297:U297"/>
    <mergeCell ref="R298:U298"/>
    <mergeCell ref="R299:U299"/>
    <mergeCell ref="T301:U301"/>
    <mergeCell ref="T302:U302"/>
    <mergeCell ref="R305:V305"/>
    <mergeCell ref="R306:R307"/>
    <mergeCell ref="S306:S307"/>
    <mergeCell ref="T306:T307"/>
    <mergeCell ref="U306:U307"/>
    <mergeCell ref="V306:V307"/>
    <mergeCell ref="R316:W318"/>
    <mergeCell ref="R336:S339"/>
    <mergeCell ref="T336:T337"/>
    <mergeCell ref="R319:W319"/>
    <mergeCell ref="R320:W320"/>
    <mergeCell ref="R322:S326"/>
    <mergeCell ref="T322:T324"/>
    <mergeCell ref="U322:U324"/>
    <mergeCell ref="V322:V324"/>
    <mergeCell ref="W322:W324"/>
    <mergeCell ref="R328:W328"/>
    <mergeCell ref="R329:S332"/>
    <mergeCell ref="T329:T330"/>
    <mergeCell ref="U329:U330"/>
    <mergeCell ref="V329:V330"/>
    <mergeCell ref="W329:W330"/>
    <mergeCell ref="T342:T343"/>
    <mergeCell ref="U342:U343"/>
    <mergeCell ref="V342:V343"/>
    <mergeCell ref="W342:W343"/>
    <mergeCell ref="U336:U337"/>
    <mergeCell ref="R348:W348"/>
    <mergeCell ref="R341:W341"/>
    <mergeCell ref="R342:S345"/>
    <mergeCell ref="V336:V337"/>
    <mergeCell ref="W336:W337"/>
    <mergeCell ref="R365:S368"/>
    <mergeCell ref="T365:T366"/>
    <mergeCell ref="R349:W349"/>
    <mergeCell ref="R351:S355"/>
    <mergeCell ref="T351:T353"/>
    <mergeCell ref="U351:U353"/>
    <mergeCell ref="V351:V353"/>
    <mergeCell ref="W351:W353"/>
    <mergeCell ref="R357:W357"/>
    <mergeCell ref="R358:S361"/>
    <mergeCell ref="T358:T359"/>
    <mergeCell ref="U358:U359"/>
    <mergeCell ref="V358:V359"/>
    <mergeCell ref="W358:W359"/>
    <mergeCell ref="T371:T372"/>
    <mergeCell ref="U371:U372"/>
    <mergeCell ref="V371:V372"/>
    <mergeCell ref="W371:W372"/>
    <mergeCell ref="U365:U366"/>
    <mergeCell ref="R377:W377"/>
    <mergeCell ref="R370:W370"/>
    <mergeCell ref="R371:S374"/>
    <mergeCell ref="V365:V366"/>
    <mergeCell ref="W365:W366"/>
    <mergeCell ref="R394:S397"/>
    <mergeCell ref="T394:T395"/>
    <mergeCell ref="R378:W378"/>
    <mergeCell ref="R380:S384"/>
    <mergeCell ref="T380:T382"/>
    <mergeCell ref="U380:U382"/>
    <mergeCell ref="V380:V382"/>
    <mergeCell ref="W380:W382"/>
    <mergeCell ref="R386:W386"/>
    <mergeCell ref="R387:S390"/>
    <mergeCell ref="T387:T388"/>
    <mergeCell ref="U387:U388"/>
    <mergeCell ref="V387:V388"/>
    <mergeCell ref="W387:W388"/>
    <mergeCell ref="T400:T401"/>
    <mergeCell ref="U400:U401"/>
    <mergeCell ref="V400:V401"/>
    <mergeCell ref="W400:W401"/>
    <mergeCell ref="U394:U395"/>
    <mergeCell ref="R406:W406"/>
    <mergeCell ref="R399:W399"/>
    <mergeCell ref="R400:S403"/>
    <mergeCell ref="V394:V395"/>
    <mergeCell ref="W394:W395"/>
    <mergeCell ref="R407:W407"/>
    <mergeCell ref="R409:S413"/>
    <mergeCell ref="T409:T411"/>
    <mergeCell ref="U409:U411"/>
    <mergeCell ref="V409:V411"/>
    <mergeCell ref="W409:W411"/>
    <mergeCell ref="V423:V424"/>
    <mergeCell ref="R415:W415"/>
    <mergeCell ref="R416:S419"/>
    <mergeCell ref="T416:T417"/>
    <mergeCell ref="U416:U417"/>
    <mergeCell ref="V416:V417"/>
    <mergeCell ref="W416:W417"/>
    <mergeCell ref="W423:W424"/>
    <mergeCell ref="R423:S426"/>
    <mergeCell ref="T423:T424"/>
    <mergeCell ref="U423:U424"/>
    <mergeCell ref="R435:W437"/>
    <mergeCell ref="R438:W438"/>
    <mergeCell ref="R439:W439"/>
    <mergeCell ref="R428:W428"/>
    <mergeCell ref="R429:S432"/>
    <mergeCell ref="T429:T430"/>
    <mergeCell ref="U429:U430"/>
    <mergeCell ref="V429:V430"/>
    <mergeCell ref="W429:W430"/>
    <mergeCell ref="R441:S445"/>
    <mergeCell ref="T441:T443"/>
    <mergeCell ref="U441:U443"/>
    <mergeCell ref="V441:V443"/>
    <mergeCell ref="W441:W443"/>
    <mergeCell ref="V455:V456"/>
    <mergeCell ref="R447:W447"/>
    <mergeCell ref="R448:S451"/>
    <mergeCell ref="T448:T449"/>
    <mergeCell ref="U448:U449"/>
    <mergeCell ref="V448:V449"/>
    <mergeCell ref="W448:W449"/>
    <mergeCell ref="W455:W456"/>
    <mergeCell ref="R455:S458"/>
    <mergeCell ref="T455:T456"/>
    <mergeCell ref="U455:U456"/>
    <mergeCell ref="R467:W467"/>
    <mergeCell ref="R468:W468"/>
    <mergeCell ref="R460:W460"/>
    <mergeCell ref="R461:S464"/>
    <mergeCell ref="T461:T462"/>
    <mergeCell ref="U461:U462"/>
    <mergeCell ref="V461:V462"/>
    <mergeCell ref="W461:W462"/>
    <mergeCell ref="R470:S474"/>
    <mergeCell ref="T470:T472"/>
    <mergeCell ref="U470:U472"/>
    <mergeCell ref="V470:V472"/>
    <mergeCell ref="W470:W472"/>
    <mergeCell ref="V484:V485"/>
    <mergeCell ref="R476:W476"/>
    <mergeCell ref="R477:S480"/>
    <mergeCell ref="T477:T478"/>
    <mergeCell ref="U477:U478"/>
    <mergeCell ref="V477:V478"/>
    <mergeCell ref="W477:W478"/>
    <mergeCell ref="W484:W485"/>
    <mergeCell ref="R484:S487"/>
    <mergeCell ref="T484:T485"/>
    <mergeCell ref="U484:U485"/>
    <mergeCell ref="R496:W496"/>
    <mergeCell ref="R497:W497"/>
    <mergeCell ref="R489:W489"/>
    <mergeCell ref="R490:S493"/>
    <mergeCell ref="T490:T491"/>
    <mergeCell ref="U490:U491"/>
    <mergeCell ref="V490:V491"/>
    <mergeCell ref="W490:W491"/>
    <mergeCell ref="R499:S503"/>
    <mergeCell ref="T499:T501"/>
    <mergeCell ref="U499:U501"/>
    <mergeCell ref="V499:V501"/>
    <mergeCell ref="W499:W501"/>
    <mergeCell ref="V513:V514"/>
    <mergeCell ref="R505:W505"/>
    <mergeCell ref="R506:S509"/>
    <mergeCell ref="T506:T507"/>
    <mergeCell ref="U506:U507"/>
    <mergeCell ref="V506:V507"/>
    <mergeCell ref="W506:W507"/>
    <mergeCell ref="W513:W514"/>
    <mergeCell ref="R513:S516"/>
    <mergeCell ref="T513:T514"/>
    <mergeCell ref="U513:U514"/>
    <mergeCell ref="R525:W525"/>
    <mergeCell ref="R526:W526"/>
    <mergeCell ref="R518:W518"/>
    <mergeCell ref="R519:S522"/>
    <mergeCell ref="T519:T520"/>
    <mergeCell ref="U519:U520"/>
    <mergeCell ref="V519:V520"/>
    <mergeCell ref="W519:W520"/>
    <mergeCell ref="R528:S532"/>
    <mergeCell ref="T528:T530"/>
    <mergeCell ref="U528:U530"/>
    <mergeCell ref="V528:V530"/>
    <mergeCell ref="W528:W530"/>
    <mergeCell ref="V542:V543"/>
    <mergeCell ref="R534:W534"/>
    <mergeCell ref="R535:S538"/>
    <mergeCell ref="T535:T536"/>
    <mergeCell ref="U535:U536"/>
    <mergeCell ref="V535:V536"/>
    <mergeCell ref="W535:W536"/>
    <mergeCell ref="W542:W543"/>
    <mergeCell ref="R542:S545"/>
    <mergeCell ref="T542:T543"/>
    <mergeCell ref="U542:U543"/>
    <mergeCell ref="R547:W547"/>
    <mergeCell ref="R548:S551"/>
    <mergeCell ref="T548:T549"/>
    <mergeCell ref="U548:U549"/>
    <mergeCell ref="V548:V549"/>
    <mergeCell ref="W548:W549"/>
  </mergeCells>
  <phoneticPr fontId="0" type="noConversion"/>
  <conditionalFormatting sqref="AC233:AD233">
    <cfRule type="cellIs" dxfId="342" priority="1" stopIfTrue="1" operator="lessThan">
      <formula>$U$117</formula>
    </cfRule>
    <cfRule type="cellIs" dxfId="341" priority="2" stopIfTrue="1" operator="greaterThan">
      <formula>$U$117</formula>
    </cfRule>
  </conditionalFormatting>
  <conditionalFormatting sqref="U108:X109">
    <cfRule type="cellIs" dxfId="340" priority="3" stopIfTrue="1" operator="equal">
      <formula>"yes"</formula>
    </cfRule>
    <cfRule type="cellIs" dxfId="339" priority="4" stopIfTrue="1" operator="equal">
      <formula>"no"</formula>
    </cfRule>
  </conditionalFormatting>
  <conditionalFormatting sqref="X254:X255 X106:X107 X247:X248 X49:X50 X235:X236 X54:X55 X67:X68 X74:X75 X100:X101 X112:X113 X118:X119 X132:X133 X279:X280 X126:X127 X241:X242 X59:X60 Y286:Y287 S306:S307 X143:X144 X183:X184 X177:X178 X267:X268 X273:X274 Y213:Y214 X83 X90 X156:X157 X150:X151 X198:X199 X162:X163 X167:X168 X172:X173 X188:X189 X193:X194">
    <cfRule type="cellIs" dxfId="338" priority="5" stopIfTrue="1" operator="equal">
      <formula>$U$31</formula>
    </cfRule>
    <cfRule type="cellIs" dxfId="337" priority="6" stopIfTrue="1" operator="equal">
      <formula>$W$31</formula>
    </cfRule>
    <cfRule type="cellIs" dxfId="336" priority="7" stopIfTrue="1" operator="equal">
      <formula>$Y$31</formula>
    </cfRule>
  </conditionalFormatting>
  <conditionalFormatting sqref="V106:V107 V247:V248 V49:V50 V241:V242 V54:V55 V59:V60 V67:V68 V74:V75 W286:W287 V100:V101 V112:V113 V118:V119 V126:V127 V132:V133 V279:V280 V235:V236 V254:V255 T306:T307 V143:V144 V183:V184 V177:V178 V267:V268 V273:V274 W213:W214 V83 V90 V156:V157 V150:V151 V198:V199 V162:V163 V167:V168 V172:V173 V188:V189 V193:V194">
    <cfRule type="cellIs" dxfId="335" priority="8" stopIfTrue="1" operator="equal">
      <formula>$R$6</formula>
    </cfRule>
    <cfRule type="cellIs" dxfId="334" priority="9" stopIfTrue="1" operator="equal">
      <formula>$V$33</formula>
    </cfRule>
    <cfRule type="cellIs" dxfId="333" priority="10" stopIfTrue="1" operator="equal">
      <formula>$R$8</formula>
    </cfRule>
  </conditionalFormatting>
  <conditionalFormatting sqref="W106:W107 W126:W127 W247:W248 W49:W50 W241:W242 W54:W55 W59:W60 W67:W68 W74:W75 X286:X287 W100:W101 W112:W113 W118:W119 W132:W133 W279:W280 W235:W236 W254:W255 U306:U307 W143:W144 W183:W184 W177:W178 W267:W268 W273:W274 X213:X214 W83 W90 W156:W157 W150:W151 W198:W199 W162:W163 W167:W168 W172:W173 W188:W189 W193:W194">
    <cfRule type="cellIs" dxfId="332" priority="11" stopIfTrue="1" operator="equal">
      <formula>$R$6</formula>
    </cfRule>
    <cfRule type="cellIs" dxfId="331" priority="12" stopIfTrue="1" operator="equal">
      <formula>$R$7</formula>
    </cfRule>
    <cfRule type="cellIs" dxfId="330" priority="13" stopIfTrue="1" operator="equal">
      <formula>$W$33</formula>
    </cfRule>
  </conditionalFormatting>
  <conditionalFormatting sqref="R36 R44">
    <cfRule type="cellIs" dxfId="329" priority="14" stopIfTrue="1" operator="equal">
      <formula>$AI$31</formula>
    </cfRule>
    <cfRule type="cellIs" dxfId="328" priority="15" stopIfTrue="1" operator="equal">
      <formula>$AK$31</formula>
    </cfRule>
    <cfRule type="cellIs" dxfId="327" priority="16" stopIfTrue="1" operator="equal">
      <formula>$AM$31</formula>
    </cfRule>
  </conditionalFormatting>
  <conditionalFormatting sqref="R34 R42">
    <cfRule type="cellIs" dxfId="326" priority="17" stopIfTrue="1" operator="equal">
      <formula>$AF$6</formula>
    </cfRule>
    <cfRule type="cellIs" dxfId="325" priority="18" stopIfTrue="1" operator="equal">
      <formula>$AJ$33</formula>
    </cfRule>
    <cfRule type="cellIs" dxfId="324" priority="19" stopIfTrue="1" operator="equal">
      <formula>$AF$8</formula>
    </cfRule>
  </conditionalFormatting>
  <conditionalFormatting sqref="R35 R43">
    <cfRule type="cellIs" dxfId="323" priority="20" stopIfTrue="1" operator="equal">
      <formula>$AF$6</formula>
    </cfRule>
    <cfRule type="cellIs" dxfId="322" priority="21" stopIfTrue="1" operator="equal">
      <formula>$AF$7</formula>
    </cfRule>
    <cfRule type="cellIs" dxfId="321" priority="22" stopIfTrue="1" operator="equal">
      <formula>$AK$33</formula>
    </cfRule>
  </conditionalFormatting>
  <pageMargins left="0" right="0" top="0.59055118110236227" bottom="0.39370078740157483" header="0.51181102362204722" footer="0.51181102362204722"/>
  <pageSetup paperSize="9" scale="96" fitToHeight="6"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sheetPr codeName="Sheet63">
    <pageSetUpPr fitToPage="1"/>
  </sheetPr>
  <dimension ref="A1:AJ906"/>
  <sheetViews>
    <sheetView showRowColHeaders="0" workbookViewId="0">
      <selection activeCell="B2" sqref="B2:K3"/>
    </sheetView>
  </sheetViews>
  <sheetFormatPr defaultRowHeight="12.75"/>
  <cols>
    <col min="1" max="11" width="11.7109375" style="1" customWidth="1"/>
    <col min="12" max="16" width="10.7109375" style="1" customWidth="1"/>
    <col min="17" max="17" width="4.7109375" style="20" customWidth="1"/>
    <col min="18" max="20" width="10.7109375" style="18" customWidth="1"/>
    <col min="21" max="23" width="11.7109375" style="18" customWidth="1"/>
    <col min="24" max="26" width="10.7109375" style="18" customWidth="1"/>
    <col min="27" max="27" width="10.7109375" style="1" customWidth="1"/>
    <col min="28" max="30" width="8.7109375" style="1" customWidth="1"/>
    <col min="31" max="35" width="13.7109375" style="1" customWidth="1"/>
    <col min="36" max="37" width="10.7109375" style="1" customWidth="1"/>
    <col min="38" max="54" width="10.28515625" style="1" customWidth="1"/>
    <col min="55" max="110" width="10.7109375" style="1" customWidth="1"/>
    <col min="111" max="16384" width="9.140625" style="1"/>
  </cols>
  <sheetData>
    <row r="1" spans="1:30" ht="6" customHeight="1" thickBot="1">
      <c r="A1" s="121"/>
      <c r="B1" s="121"/>
      <c r="C1" s="121"/>
      <c r="D1" s="121"/>
      <c r="E1" s="121"/>
      <c r="F1" s="121"/>
      <c r="G1" s="121"/>
      <c r="H1" s="121"/>
      <c r="I1" s="121"/>
      <c r="J1" s="121"/>
      <c r="K1" s="121"/>
      <c r="L1" s="121"/>
      <c r="M1" s="121"/>
      <c r="N1" s="121"/>
      <c r="O1" s="121"/>
      <c r="P1" s="121"/>
      <c r="Q1" s="360"/>
      <c r="R1" s="361"/>
      <c r="S1" s="361"/>
      <c r="T1" s="361"/>
      <c r="U1" s="361"/>
      <c r="V1" s="361"/>
      <c r="W1" s="361"/>
      <c r="X1" s="361"/>
      <c r="Y1" s="361"/>
      <c r="Z1" s="361"/>
      <c r="AA1"/>
      <c r="AB1"/>
      <c r="AC1"/>
      <c r="AD1"/>
    </row>
    <row r="2" spans="1:30" ht="12.75" customHeight="1" thickTop="1">
      <c r="A2" s="121"/>
      <c r="B2" s="753" t="s">
        <v>166</v>
      </c>
      <c r="C2" s="754"/>
      <c r="D2" s="754"/>
      <c r="E2" s="754"/>
      <c r="F2" s="754"/>
      <c r="G2" s="754"/>
      <c r="H2" s="754"/>
      <c r="I2" s="754"/>
      <c r="J2" s="754"/>
      <c r="K2" s="755"/>
      <c r="L2" s="121"/>
      <c r="M2" s="121"/>
      <c r="N2" s="121"/>
      <c r="O2" s="121"/>
      <c r="P2" s="121"/>
      <c r="Q2" s="363"/>
      <c r="R2" s="1024" t="s">
        <v>396</v>
      </c>
      <c r="S2" s="1025"/>
      <c r="T2" s="1025"/>
      <c r="U2" s="1025"/>
      <c r="V2" s="1025"/>
      <c r="W2" s="1025"/>
      <c r="X2" s="1025"/>
      <c r="Y2" s="1026"/>
      <c r="Z2" s="362"/>
      <c r="AA2"/>
      <c r="AB2"/>
      <c r="AC2"/>
      <c r="AD2"/>
    </row>
    <row r="3" spans="1:30" ht="12.75" customHeight="1" thickBot="1">
      <c r="A3" s="121"/>
      <c r="B3" s="756"/>
      <c r="C3" s="757"/>
      <c r="D3" s="757"/>
      <c r="E3" s="757"/>
      <c r="F3" s="757"/>
      <c r="G3" s="757"/>
      <c r="H3" s="757"/>
      <c r="I3" s="757"/>
      <c r="J3" s="757"/>
      <c r="K3" s="758"/>
      <c r="L3" s="121"/>
      <c r="M3" s="121"/>
      <c r="N3" s="121"/>
      <c r="O3" s="121"/>
      <c r="P3" s="121"/>
      <c r="Q3" s="363"/>
      <c r="R3" s="1027"/>
      <c r="S3" s="1028"/>
      <c r="T3" s="1028"/>
      <c r="U3" s="1028"/>
      <c r="V3" s="1028"/>
      <c r="W3" s="1028"/>
      <c r="X3" s="1028"/>
      <c r="Y3" s="1029"/>
      <c r="Z3" s="362"/>
      <c r="AA3"/>
      <c r="AB3"/>
      <c r="AC3"/>
      <c r="AD3"/>
    </row>
    <row r="4" spans="1:30" ht="12.75" customHeight="1" thickTop="1">
      <c r="A4" s="121"/>
      <c r="B4" s="121"/>
      <c r="C4" s="121"/>
      <c r="D4" s="121"/>
      <c r="E4" s="121"/>
      <c r="F4" s="121"/>
      <c r="G4" s="121"/>
      <c r="H4" s="121"/>
      <c r="I4" s="121"/>
      <c r="J4" s="121"/>
      <c r="K4" s="121"/>
      <c r="L4" s="121"/>
      <c r="M4" s="121"/>
      <c r="N4" s="121"/>
      <c r="O4" s="121"/>
      <c r="P4" s="121"/>
      <c r="Q4" s="363"/>
      <c r="R4" s="361"/>
      <c r="S4" s="361"/>
      <c r="T4" s="361"/>
      <c r="U4" s="361"/>
      <c r="V4" s="361"/>
      <c r="W4" s="361"/>
      <c r="X4" s="361"/>
      <c r="Y4" s="361"/>
      <c r="Z4" s="361"/>
      <c r="AA4"/>
      <c r="AB4"/>
      <c r="AC4"/>
      <c r="AD4"/>
    </row>
    <row r="5" spans="1:30" ht="12.75" customHeight="1">
      <c r="A5" s="121"/>
      <c r="B5" s="828" t="s">
        <v>581</v>
      </c>
      <c r="C5" s="829"/>
      <c r="D5" s="830"/>
      <c r="E5" s="460">
        <v>450</v>
      </c>
      <c r="F5" s="461">
        <f>+E5</f>
        <v>450</v>
      </c>
      <c r="G5" s="121"/>
      <c r="H5" s="121"/>
      <c r="I5" s="121"/>
      <c r="J5" s="121"/>
      <c r="K5" s="121"/>
      <c r="L5" s="121"/>
      <c r="M5" s="121"/>
      <c r="N5" s="121"/>
      <c r="O5" s="121"/>
      <c r="P5" s="121"/>
      <c r="Q5" s="360"/>
      <c r="R5" s="951" t="s">
        <v>868</v>
      </c>
      <c r="S5" s="951"/>
      <c r="T5" s="951"/>
      <c r="U5" s="951"/>
      <c r="V5" s="447">
        <f>F5</f>
        <v>450</v>
      </c>
      <c r="W5" s="362"/>
      <c r="X5" s="362"/>
      <c r="Y5" s="362"/>
      <c r="Z5" s="362"/>
      <c r="AA5"/>
      <c r="AB5"/>
      <c r="AC5"/>
      <c r="AD5"/>
    </row>
    <row r="6" spans="1:30" ht="12.75" customHeight="1">
      <c r="A6" s="121"/>
      <c r="B6" s="121"/>
      <c r="C6" s="121"/>
      <c r="D6" s="121"/>
      <c r="E6" s="121"/>
      <c r="F6" s="121"/>
      <c r="G6" s="121"/>
      <c r="H6" s="121"/>
      <c r="I6" s="121"/>
      <c r="J6" s="121"/>
      <c r="K6" s="121"/>
      <c r="L6" s="121"/>
      <c r="M6" s="121"/>
      <c r="N6" s="121"/>
      <c r="O6" s="121"/>
      <c r="P6" s="121"/>
      <c r="Q6" s="360"/>
      <c r="R6" s="362"/>
      <c r="S6" s="362"/>
      <c r="T6" s="362"/>
      <c r="U6" s="362"/>
      <c r="V6" s="361"/>
      <c r="W6" s="361"/>
      <c r="X6" s="361"/>
      <c r="Y6" s="361"/>
      <c r="Z6" s="361"/>
      <c r="AA6"/>
      <c r="AB6"/>
      <c r="AC6"/>
      <c r="AD6"/>
    </row>
    <row r="7" spans="1:30" ht="12.75" customHeight="1">
      <c r="A7" s="121"/>
      <c r="B7" s="121"/>
      <c r="C7" s="121"/>
      <c r="D7" s="121"/>
      <c r="E7" s="121"/>
      <c r="F7" s="121"/>
      <c r="G7" s="121"/>
      <c r="H7" s="121"/>
      <c r="I7" s="121"/>
      <c r="J7" s="121"/>
      <c r="K7" s="121"/>
      <c r="L7" s="121"/>
      <c r="M7" s="121"/>
      <c r="N7" s="121"/>
      <c r="O7" s="121"/>
      <c r="P7" s="121"/>
      <c r="Q7" s="385">
        <v>1</v>
      </c>
      <c r="R7" s="1008" t="s">
        <v>24</v>
      </c>
      <c r="S7" s="1008"/>
      <c r="T7" s="1008"/>
      <c r="U7" s="1008"/>
      <c r="V7" s="1008"/>
      <c r="W7" s="1008"/>
      <c r="X7" s="1008"/>
      <c r="Y7" s="1008"/>
      <c r="Z7" s="536"/>
      <c r="AA7"/>
      <c r="AB7"/>
      <c r="AC7"/>
      <c r="AD7"/>
    </row>
    <row r="8" spans="1:30" ht="12.75" customHeight="1">
      <c r="A8" s="121"/>
      <c r="B8" s="121"/>
      <c r="C8" s="121"/>
      <c r="D8" s="121"/>
      <c r="E8" s="121"/>
      <c r="F8" s="121"/>
      <c r="G8" s="121"/>
      <c r="H8" s="121"/>
      <c r="I8" s="121"/>
      <c r="J8" s="121"/>
      <c r="K8" s="121"/>
      <c r="L8" s="121"/>
      <c r="M8" s="121"/>
      <c r="N8" s="121"/>
      <c r="O8" s="121"/>
      <c r="P8" s="121"/>
      <c r="Q8" s="386"/>
      <c r="R8" s="361"/>
      <c r="S8" s="361"/>
      <c r="T8" s="361"/>
      <c r="U8" s="361"/>
      <c r="V8" s="361"/>
      <c r="W8" s="361"/>
      <c r="X8" s="361"/>
      <c r="Y8" s="361"/>
      <c r="Z8" s="361"/>
      <c r="AA8"/>
      <c r="AB8"/>
      <c r="AC8"/>
      <c r="AD8"/>
    </row>
    <row r="9" spans="1:30" ht="12.75" customHeight="1">
      <c r="A9" s="121"/>
      <c r="B9" s="121"/>
      <c r="C9" s="121"/>
      <c r="D9" s="121"/>
      <c r="E9" s="121"/>
      <c r="F9" s="121"/>
      <c r="G9" s="121"/>
      <c r="H9" s="121"/>
      <c r="I9" s="121"/>
      <c r="J9" s="121"/>
      <c r="K9" s="121"/>
      <c r="L9" s="121"/>
      <c r="M9" s="121"/>
      <c r="N9" s="121"/>
      <c r="O9" s="121"/>
      <c r="P9" s="121"/>
      <c r="Q9" s="360">
        <v>1.1000000000000001</v>
      </c>
      <c r="R9" s="364" t="s">
        <v>586</v>
      </c>
      <c r="S9" s="363"/>
      <c r="T9" s="363"/>
      <c r="U9" s="363"/>
      <c r="V9" s="363"/>
      <c r="W9" s="363"/>
      <c r="X9" s="363"/>
      <c r="Y9" s="363"/>
      <c r="Z9" s="363"/>
      <c r="AA9"/>
      <c r="AB9"/>
      <c r="AC9"/>
      <c r="AD9"/>
    </row>
    <row r="10" spans="1:30" ht="12.75" customHeight="1">
      <c r="A10" s="121"/>
      <c r="B10" s="121"/>
      <c r="C10" s="121"/>
      <c r="D10" s="121"/>
      <c r="E10" s="121"/>
      <c r="F10" s="121"/>
      <c r="G10" s="121"/>
      <c r="H10" s="121"/>
      <c r="I10" s="121"/>
      <c r="J10" s="121"/>
      <c r="K10" s="121"/>
      <c r="L10" s="121"/>
      <c r="M10" s="121"/>
      <c r="N10" s="121"/>
      <c r="O10" s="121"/>
      <c r="P10" s="121"/>
      <c r="Q10" s="360"/>
      <c r="R10" s="969" t="s">
        <v>25</v>
      </c>
      <c r="S10" s="969"/>
      <c r="T10" s="969"/>
      <c r="U10" s="969"/>
      <c r="V10" s="447">
        <f>'Prod Parameters'!$F$8</f>
        <v>23</v>
      </c>
      <c r="W10" s="363"/>
      <c r="X10" s="363"/>
      <c r="Y10" s="363"/>
      <c r="Z10" s="363"/>
      <c r="AA10"/>
      <c r="AB10"/>
      <c r="AC10"/>
      <c r="AD10"/>
    </row>
    <row r="11" spans="1:30" ht="12.75" customHeight="1">
      <c r="A11" s="121"/>
      <c r="B11" s="121"/>
      <c r="C11" s="121"/>
      <c r="D11" s="121"/>
      <c r="E11" s="121"/>
      <c r="F11" s="121"/>
      <c r="G11" s="121"/>
      <c r="H11" s="121"/>
      <c r="I11" s="121"/>
      <c r="J11" s="121"/>
      <c r="K11" s="121"/>
      <c r="L11" s="121"/>
      <c r="M11" s="121"/>
      <c r="N11" s="121"/>
      <c r="O11" s="121"/>
      <c r="P11" s="121"/>
      <c r="Q11" s="360"/>
      <c r="R11" s="969" t="s">
        <v>325</v>
      </c>
      <c r="S11" s="969"/>
      <c r="T11" s="969"/>
      <c r="U11" s="969"/>
      <c r="V11" s="447">
        <f>'Prod Parameters'!$F$9</f>
        <v>23</v>
      </c>
      <c r="W11" s="363"/>
      <c r="X11" s="363"/>
      <c r="Y11" s="363"/>
      <c r="Z11" s="363"/>
      <c r="AA11"/>
      <c r="AB11"/>
      <c r="AC11"/>
      <c r="AD11"/>
    </row>
    <row r="12" spans="1:30" ht="12.75" customHeight="1">
      <c r="A12" s="121"/>
      <c r="B12" s="121"/>
      <c r="C12" s="121"/>
      <c r="D12" s="121"/>
      <c r="E12" s="121"/>
      <c r="F12" s="121"/>
      <c r="G12" s="121"/>
      <c r="H12" s="121"/>
      <c r="I12" s="121"/>
      <c r="J12" s="121"/>
      <c r="K12" s="121"/>
      <c r="L12" s="121"/>
      <c r="M12" s="121"/>
      <c r="N12" s="121"/>
      <c r="O12" s="121"/>
      <c r="P12" s="121"/>
      <c r="Q12" s="360"/>
      <c r="R12" s="1021" t="s">
        <v>26</v>
      </c>
      <c r="S12" s="1022"/>
      <c r="T12" s="1022"/>
      <c r="U12" s="1023"/>
      <c r="V12" s="447">
        <f>'Prod Parameters'!$F$10</f>
        <v>6</v>
      </c>
      <c r="W12" s="363"/>
      <c r="X12" s="363"/>
      <c r="Y12" s="363"/>
      <c r="Z12" s="363"/>
      <c r="AA12"/>
      <c r="AB12"/>
      <c r="AC12"/>
      <c r="AD12"/>
    </row>
    <row r="13" spans="1:30" ht="12.75" customHeight="1">
      <c r="A13" s="121"/>
      <c r="B13" s="121"/>
      <c r="C13" s="121"/>
      <c r="D13" s="121"/>
      <c r="E13" s="121"/>
      <c r="F13" s="121"/>
      <c r="G13" s="121"/>
      <c r="H13" s="121"/>
      <c r="I13" s="121"/>
      <c r="J13" s="121"/>
      <c r="K13" s="121"/>
      <c r="L13" s="121"/>
      <c r="M13" s="121"/>
      <c r="N13" s="121"/>
      <c r="O13" s="121"/>
      <c r="P13" s="121"/>
      <c r="Q13" s="360"/>
      <c r="R13" s="969" t="s">
        <v>27</v>
      </c>
      <c r="S13" s="969"/>
      <c r="T13" s="969"/>
      <c r="U13" s="969"/>
      <c r="V13" s="447">
        <f>'Prod Parameters'!$F$11</f>
        <v>52</v>
      </c>
      <c r="W13" s="363"/>
      <c r="X13" s="363"/>
      <c r="Y13" s="363"/>
      <c r="Z13" s="363"/>
      <c r="AA13"/>
      <c r="AB13"/>
      <c r="AC13"/>
      <c r="AD13"/>
    </row>
    <row r="14" spans="1:30" ht="12.75" customHeight="1">
      <c r="A14" s="121"/>
      <c r="B14" s="121"/>
      <c r="C14" s="121"/>
      <c r="D14" s="121"/>
      <c r="E14" s="121"/>
      <c r="F14" s="121"/>
      <c r="G14" s="121"/>
      <c r="H14" s="121"/>
      <c r="I14" s="121"/>
      <c r="J14" s="121"/>
      <c r="K14" s="121"/>
      <c r="L14" s="121"/>
      <c r="M14" s="121"/>
      <c r="N14" s="121"/>
      <c r="O14" s="121"/>
      <c r="P14" s="121"/>
      <c r="Q14" s="360"/>
      <c r="R14" s="969" t="s">
        <v>28</v>
      </c>
      <c r="S14" s="969"/>
      <c r="T14" s="969"/>
      <c r="U14" s="969"/>
      <c r="V14" s="447">
        <f>'Prod Parameters'!$F$12</f>
        <v>260</v>
      </c>
      <c r="W14" s="363"/>
      <c r="X14" s="363"/>
      <c r="Y14" s="363"/>
      <c r="Z14" s="363"/>
      <c r="AA14"/>
      <c r="AB14"/>
      <c r="AC14"/>
      <c r="AD14"/>
    </row>
    <row r="15" spans="1:30" ht="12.75" customHeight="1">
      <c r="A15" s="121"/>
      <c r="B15" s="121"/>
      <c r="C15" s="121"/>
      <c r="D15" s="121"/>
      <c r="E15" s="121"/>
      <c r="F15" s="121"/>
      <c r="G15" s="121"/>
      <c r="H15" s="121"/>
      <c r="I15" s="121"/>
      <c r="J15" s="121"/>
      <c r="K15" s="121"/>
      <c r="L15" s="121"/>
      <c r="M15" s="121"/>
      <c r="N15" s="121"/>
      <c r="O15" s="121"/>
      <c r="P15" s="121"/>
      <c r="Q15" s="360"/>
      <c r="R15" s="969" t="s">
        <v>29</v>
      </c>
      <c r="S15" s="969"/>
      <c r="T15" s="969"/>
      <c r="U15" s="969"/>
      <c r="V15" s="447">
        <f>'Prod Parameters'!$F$13</f>
        <v>30</v>
      </c>
      <c r="W15" s="363"/>
      <c r="X15" s="363"/>
      <c r="Y15" s="363"/>
      <c r="Z15" s="363"/>
      <c r="AA15"/>
      <c r="AB15"/>
      <c r="AC15"/>
      <c r="AD15"/>
    </row>
    <row r="16" spans="1:30" ht="12.75" customHeight="1">
      <c r="A16" s="121"/>
      <c r="B16" s="121"/>
      <c r="C16" s="121"/>
      <c r="D16" s="121"/>
      <c r="E16" s="121"/>
      <c r="F16" s="121"/>
      <c r="G16" s="121"/>
      <c r="H16" s="121"/>
      <c r="I16" s="121"/>
      <c r="J16" s="121"/>
      <c r="K16" s="121"/>
      <c r="L16" s="121"/>
      <c r="M16" s="121"/>
      <c r="N16" s="121"/>
      <c r="O16" s="121"/>
      <c r="P16" s="121"/>
      <c r="Q16" s="360"/>
      <c r="R16" s="968" t="s">
        <v>30</v>
      </c>
      <c r="S16" s="968"/>
      <c r="T16" s="968"/>
      <c r="U16" s="968"/>
      <c r="V16" s="447">
        <f>'Prod Parameters'!$F$14</f>
        <v>230</v>
      </c>
      <c r="W16" s="363"/>
      <c r="X16" s="363"/>
      <c r="Y16" s="363"/>
      <c r="Z16" s="363"/>
      <c r="AA16"/>
      <c r="AB16"/>
      <c r="AC16"/>
      <c r="AD16"/>
    </row>
    <row r="17" spans="1:30" ht="12.75" customHeight="1">
      <c r="A17" s="121"/>
      <c r="B17" s="121"/>
      <c r="C17" s="121"/>
      <c r="D17" s="121"/>
      <c r="E17" s="121"/>
      <c r="F17" s="121"/>
      <c r="G17" s="121"/>
      <c r="H17" s="121"/>
      <c r="I17" s="121"/>
      <c r="J17" s="121"/>
      <c r="K17" s="121"/>
      <c r="L17" s="121"/>
      <c r="M17" s="121"/>
      <c r="N17" s="121"/>
      <c r="O17" s="121"/>
      <c r="P17" s="121"/>
      <c r="Q17" s="360"/>
      <c r="R17" s="363"/>
      <c r="S17" s="363"/>
      <c r="T17" s="363"/>
      <c r="U17" s="363"/>
      <c r="V17" s="363"/>
      <c r="W17" s="363"/>
      <c r="X17" s="363"/>
      <c r="Y17" s="363"/>
      <c r="Z17" s="363"/>
      <c r="AA17"/>
      <c r="AB17"/>
      <c r="AC17"/>
      <c r="AD17"/>
    </row>
    <row r="18" spans="1:30" ht="12.75" customHeight="1">
      <c r="A18" s="121"/>
      <c r="B18" s="121"/>
      <c r="C18" s="121"/>
      <c r="D18" s="121"/>
      <c r="E18" s="121"/>
      <c r="F18" s="121"/>
      <c r="G18" s="121"/>
      <c r="H18" s="121"/>
      <c r="I18" s="121"/>
      <c r="J18" s="121"/>
      <c r="K18" s="121"/>
      <c r="L18" s="121"/>
      <c r="M18" s="121"/>
      <c r="N18" s="121"/>
      <c r="O18" s="121"/>
      <c r="P18" s="121"/>
      <c r="Q18" s="360">
        <v>1.2</v>
      </c>
      <c r="R18" s="364" t="s">
        <v>19</v>
      </c>
      <c r="S18" s="363"/>
      <c r="T18" s="363"/>
      <c r="U18" s="363"/>
      <c r="V18" s="363"/>
      <c r="W18" s="363"/>
      <c r="X18" s="363"/>
      <c r="Y18" s="363"/>
      <c r="Z18" s="363"/>
      <c r="AA18"/>
      <c r="AB18"/>
      <c r="AC18"/>
      <c r="AD18"/>
    </row>
    <row r="19" spans="1:30" ht="12.75" customHeight="1">
      <c r="A19" s="121"/>
      <c r="B19" s="121"/>
      <c r="C19" s="121"/>
      <c r="D19" s="121"/>
      <c r="E19" s="121"/>
      <c r="F19" s="121"/>
      <c r="G19" s="121"/>
      <c r="H19" s="121"/>
      <c r="I19" s="121"/>
      <c r="J19" s="121"/>
      <c r="K19" s="121"/>
      <c r="L19" s="121"/>
      <c r="M19" s="121"/>
      <c r="N19" s="121"/>
      <c r="O19" s="121"/>
      <c r="P19" s="121"/>
      <c r="Q19" s="360"/>
      <c r="R19" s="969" t="s">
        <v>314</v>
      </c>
      <c r="S19" s="969"/>
      <c r="T19" s="969"/>
      <c r="U19" s="969"/>
      <c r="V19" s="447">
        <f>'Prod Parameters'!$F$17</f>
        <v>160</v>
      </c>
      <c r="W19" s="363"/>
      <c r="X19" s="363"/>
      <c r="Y19" s="363"/>
      <c r="Z19" s="363"/>
      <c r="AA19"/>
      <c r="AB19"/>
      <c r="AC19"/>
      <c r="AD19"/>
    </row>
    <row r="20" spans="1:30" ht="12.75" customHeight="1">
      <c r="A20" s="121"/>
      <c r="B20" s="121"/>
      <c r="C20" s="121"/>
      <c r="D20" s="121"/>
      <c r="E20" s="121"/>
      <c r="F20" s="121"/>
      <c r="G20" s="121"/>
      <c r="H20" s="121"/>
      <c r="I20" s="121"/>
      <c r="J20" s="121"/>
      <c r="K20" s="121"/>
      <c r="L20" s="121"/>
      <c r="M20" s="121"/>
      <c r="N20" s="121"/>
      <c r="O20" s="121"/>
      <c r="P20" s="121"/>
      <c r="Q20" s="360"/>
      <c r="R20" s="969" t="s">
        <v>31</v>
      </c>
      <c r="S20" s="969"/>
      <c r="T20" s="969"/>
      <c r="U20" s="969"/>
      <c r="V20" s="447">
        <f>'Prod Parameters'!$F$18</f>
        <v>1.2</v>
      </c>
      <c r="W20" s="363"/>
      <c r="X20" s="363"/>
      <c r="Y20" s="363"/>
      <c r="Z20" s="363"/>
      <c r="AA20"/>
      <c r="AB20"/>
      <c r="AC20"/>
      <c r="AD20"/>
    </row>
    <row r="21" spans="1:30" ht="12.75" customHeight="1">
      <c r="A21" s="121"/>
      <c r="B21" s="121"/>
      <c r="C21" s="121"/>
      <c r="D21" s="121"/>
      <c r="E21" s="121"/>
      <c r="F21" s="121"/>
      <c r="G21" s="121"/>
      <c r="H21" s="121"/>
      <c r="I21" s="121"/>
      <c r="J21" s="121"/>
      <c r="K21" s="121"/>
      <c r="L21" s="121"/>
      <c r="M21" s="121"/>
      <c r="N21" s="121"/>
      <c r="O21" s="121"/>
      <c r="P21" s="121"/>
      <c r="Q21" s="360"/>
      <c r="R21" s="969" t="s">
        <v>199</v>
      </c>
      <c r="S21" s="969"/>
      <c r="T21" s="969"/>
      <c r="U21" s="969"/>
      <c r="V21" s="447">
        <f>'Prod Parameters'!$F$19</f>
        <v>4</v>
      </c>
      <c r="W21" s="363"/>
      <c r="X21" s="363"/>
      <c r="Y21" s="363"/>
      <c r="Z21" s="363"/>
      <c r="AA21"/>
      <c r="AB21"/>
      <c r="AC21"/>
      <c r="AD21"/>
    </row>
    <row r="22" spans="1:30" ht="12.75" customHeight="1">
      <c r="A22" s="121"/>
      <c r="B22" s="121"/>
      <c r="C22" s="121"/>
      <c r="D22" s="121"/>
      <c r="E22" s="121"/>
      <c r="F22" s="121"/>
      <c r="G22" s="121"/>
      <c r="H22" s="121"/>
      <c r="I22" s="121"/>
      <c r="J22" s="121"/>
      <c r="K22" s="121"/>
      <c r="L22" s="121"/>
      <c r="M22" s="121"/>
      <c r="N22" s="121"/>
      <c r="O22" s="121"/>
      <c r="P22" s="121"/>
      <c r="Q22" s="360"/>
      <c r="R22" s="969" t="s">
        <v>20</v>
      </c>
      <c r="S22" s="969"/>
      <c r="T22" s="969"/>
      <c r="U22" s="969"/>
      <c r="V22" s="447">
        <f>'Prod Parameters'!$F$20</f>
        <v>40</v>
      </c>
      <c r="W22" s="363"/>
      <c r="X22" s="363"/>
      <c r="Y22" s="363"/>
      <c r="Z22" s="363"/>
      <c r="AA22"/>
      <c r="AB22"/>
      <c r="AC22"/>
      <c r="AD22"/>
    </row>
    <row r="23" spans="1:30" ht="12.75" customHeight="1">
      <c r="A23" s="121"/>
      <c r="B23" s="121"/>
      <c r="C23" s="121"/>
      <c r="D23" s="121"/>
      <c r="E23" s="121"/>
      <c r="F23" s="121"/>
      <c r="G23" s="121"/>
      <c r="H23" s="121"/>
      <c r="I23" s="121"/>
      <c r="J23" s="121"/>
      <c r="K23" s="121"/>
      <c r="L23" s="121"/>
      <c r="M23" s="121"/>
      <c r="N23" s="121"/>
      <c r="O23" s="121"/>
      <c r="P23" s="121"/>
      <c r="Q23" s="360"/>
      <c r="R23" s="969" t="s">
        <v>310</v>
      </c>
      <c r="S23" s="969"/>
      <c r="T23" s="969"/>
      <c r="U23" s="969"/>
      <c r="V23" s="447">
        <f>'Prod Parameters'!$F$21</f>
        <v>160</v>
      </c>
      <c r="W23" s="363"/>
      <c r="X23" s="363"/>
      <c r="Y23" s="363"/>
      <c r="Z23" s="363"/>
      <c r="AA23"/>
      <c r="AB23"/>
      <c r="AC23"/>
      <c r="AD23"/>
    </row>
    <row r="24" spans="1:30" ht="12.75" customHeight="1">
      <c r="A24" s="121"/>
      <c r="B24" s="121"/>
      <c r="C24" s="121"/>
      <c r="D24" s="121"/>
      <c r="E24" s="121"/>
      <c r="F24" s="121"/>
      <c r="G24" s="121"/>
      <c r="H24" s="121"/>
      <c r="I24" s="121"/>
      <c r="J24" s="121"/>
      <c r="K24" s="121"/>
      <c r="L24" s="121"/>
      <c r="M24" s="121"/>
      <c r="N24" s="121"/>
      <c r="O24" s="121"/>
      <c r="P24" s="121"/>
      <c r="Q24" s="360"/>
      <c r="R24" s="969" t="s">
        <v>315</v>
      </c>
      <c r="S24" s="969"/>
      <c r="T24" s="969"/>
      <c r="U24" s="969"/>
      <c r="V24" s="549">
        <f>'Prod Parameters'!$F$22</f>
        <v>6400</v>
      </c>
      <c r="W24" s="363"/>
      <c r="X24" s="363"/>
      <c r="Y24" s="363"/>
      <c r="Z24" s="363"/>
      <c r="AA24"/>
      <c r="AB24"/>
      <c r="AC24"/>
      <c r="AD24"/>
    </row>
    <row r="25" spans="1:30" ht="12.75" customHeight="1">
      <c r="A25" s="121"/>
      <c r="B25" s="121"/>
      <c r="C25" s="121"/>
      <c r="D25" s="121"/>
      <c r="E25" s="121"/>
      <c r="F25" s="121"/>
      <c r="G25" s="121"/>
      <c r="H25" s="121"/>
      <c r="I25" s="121"/>
      <c r="J25" s="121"/>
      <c r="K25" s="121"/>
      <c r="L25" s="121"/>
      <c r="M25" s="121"/>
      <c r="N25" s="121"/>
      <c r="O25" s="121"/>
      <c r="P25" s="121"/>
      <c r="Q25" s="360"/>
      <c r="R25" s="969" t="s">
        <v>187</v>
      </c>
      <c r="S25" s="969"/>
      <c r="T25" s="969"/>
      <c r="U25" s="969"/>
      <c r="V25" s="549">
        <f>'Prod Parameters'!$F$23</f>
        <v>7680</v>
      </c>
      <c r="W25" s="363"/>
      <c r="X25" s="363"/>
      <c r="Y25" s="363"/>
      <c r="Z25" s="363"/>
      <c r="AA25"/>
      <c r="AB25"/>
      <c r="AC25"/>
      <c r="AD25"/>
    </row>
    <row r="26" spans="1:30" ht="12.75" customHeight="1">
      <c r="A26" s="121"/>
      <c r="B26" s="121"/>
      <c r="C26" s="121"/>
      <c r="D26" s="121"/>
      <c r="E26" s="121"/>
      <c r="F26" s="121"/>
      <c r="G26" s="121"/>
      <c r="H26" s="121"/>
      <c r="I26" s="121"/>
      <c r="J26" s="121"/>
      <c r="K26" s="121"/>
      <c r="L26" s="121"/>
      <c r="M26" s="121"/>
      <c r="N26" s="121"/>
      <c r="O26" s="121"/>
      <c r="P26" s="121"/>
      <c r="Q26" s="360"/>
      <c r="R26" s="969" t="s">
        <v>200</v>
      </c>
      <c r="S26" s="969"/>
      <c r="T26" s="969"/>
      <c r="U26" s="969"/>
      <c r="V26" s="549">
        <f>'Prod Parameters'!$F$24</f>
        <v>176640</v>
      </c>
      <c r="W26" s="363"/>
      <c r="X26" s="363"/>
      <c r="Y26" s="363"/>
      <c r="Z26" s="363"/>
      <c r="AA26"/>
      <c r="AB26"/>
      <c r="AC26"/>
      <c r="AD26"/>
    </row>
    <row r="27" spans="1:30" ht="12.75" customHeight="1">
      <c r="A27" s="121"/>
      <c r="B27" s="121"/>
      <c r="C27" s="121"/>
      <c r="D27" s="121"/>
      <c r="E27" s="121"/>
      <c r="F27" s="121"/>
      <c r="G27" s="121"/>
      <c r="H27" s="121"/>
      <c r="I27" s="121"/>
      <c r="J27" s="121"/>
      <c r="K27" s="121"/>
      <c r="L27" s="121"/>
      <c r="M27" s="121"/>
      <c r="N27" s="121"/>
      <c r="O27" s="121"/>
      <c r="P27" s="121"/>
      <c r="Q27" s="360"/>
      <c r="R27" s="363"/>
      <c r="S27" s="363"/>
      <c r="T27" s="363"/>
      <c r="U27" s="363"/>
      <c r="V27" s="363"/>
      <c r="W27" s="363"/>
      <c r="X27" s="363"/>
      <c r="Y27" s="363"/>
      <c r="Z27" s="363"/>
      <c r="AA27"/>
      <c r="AB27"/>
      <c r="AC27"/>
      <c r="AD27"/>
    </row>
    <row r="28" spans="1:30" ht="12.75" customHeight="1">
      <c r="A28" s="121"/>
      <c r="B28" s="121"/>
      <c r="C28" s="121"/>
      <c r="D28" s="121"/>
      <c r="E28" s="121"/>
      <c r="F28" s="121"/>
      <c r="G28" s="121"/>
      <c r="H28" s="121"/>
      <c r="I28" s="121"/>
      <c r="J28" s="121"/>
      <c r="K28" s="121"/>
      <c r="L28" s="121"/>
      <c r="M28" s="121"/>
      <c r="N28" s="121"/>
      <c r="O28" s="121"/>
      <c r="P28" s="121"/>
      <c r="Q28" s="385" t="s">
        <v>33</v>
      </c>
      <c r="R28" s="1008" t="s">
        <v>821</v>
      </c>
      <c r="S28" s="1008"/>
      <c r="T28" s="1008"/>
      <c r="U28" s="1008"/>
      <c r="V28" s="1008"/>
      <c r="W28" s="1008"/>
      <c r="X28" s="1008"/>
      <c r="Y28" s="1008"/>
      <c r="Z28" s="536"/>
      <c r="AA28"/>
      <c r="AB28"/>
      <c r="AC28"/>
      <c r="AD28"/>
    </row>
    <row r="29" spans="1:30" ht="12.75" customHeight="1">
      <c r="A29" s="114"/>
      <c r="B29" s="114"/>
      <c r="C29" s="114"/>
      <c r="D29" s="114"/>
      <c r="E29" s="114"/>
      <c r="F29" s="114"/>
      <c r="G29" s="114"/>
      <c r="H29" s="114"/>
      <c r="I29" s="114"/>
      <c r="J29" s="114"/>
      <c r="K29" s="114"/>
      <c r="L29" s="121"/>
      <c r="M29" s="121"/>
      <c r="N29" s="121"/>
      <c r="O29" s="121"/>
      <c r="P29" s="121"/>
      <c r="Q29" s="546"/>
      <c r="R29" s="363"/>
      <c r="S29" s="363"/>
      <c r="T29" s="363"/>
      <c r="U29" s="363"/>
      <c r="V29" s="363"/>
      <c r="W29" s="363"/>
      <c r="X29" s="363"/>
      <c r="Y29" s="363"/>
      <c r="Z29" s="363"/>
      <c r="AA29"/>
      <c r="AB29"/>
      <c r="AC29"/>
      <c r="AD29"/>
    </row>
    <row r="30" spans="1:30" ht="12.75" customHeight="1">
      <c r="A30" s="121"/>
      <c r="B30" s="121"/>
      <c r="C30" s="121"/>
      <c r="D30" s="121"/>
      <c r="E30" s="121"/>
      <c r="F30" s="121"/>
      <c r="G30" s="121"/>
      <c r="H30" s="121"/>
      <c r="I30" s="121"/>
      <c r="J30" s="121"/>
      <c r="K30" s="121"/>
      <c r="L30" s="121"/>
      <c r="M30" s="121"/>
      <c r="N30" s="121"/>
      <c r="O30" s="121"/>
      <c r="P30" s="121"/>
      <c r="Q30" s="546">
        <v>2.1</v>
      </c>
      <c r="R30" s="363" t="s">
        <v>831</v>
      </c>
      <c r="S30" s="363"/>
      <c r="T30" s="363"/>
      <c r="U30" s="550"/>
      <c r="V30" s="550"/>
      <c r="W30" s="550"/>
      <c r="X30" s="550"/>
      <c r="Y30" s="551"/>
      <c r="Z30" s="551"/>
      <c r="AA30"/>
      <c r="AB30"/>
      <c r="AC30"/>
      <c r="AD30"/>
    </row>
    <row r="31" spans="1:30" ht="12.75" customHeight="1">
      <c r="A31" s="121"/>
      <c r="B31" s="121"/>
      <c r="C31" s="121"/>
      <c r="D31" s="121"/>
      <c r="E31" s="121"/>
      <c r="F31" s="121"/>
      <c r="G31" s="121"/>
      <c r="H31" s="121"/>
      <c r="I31" s="121"/>
      <c r="J31" s="121"/>
      <c r="K31" s="121"/>
      <c r="L31" s="121"/>
      <c r="M31" s="121"/>
      <c r="N31" s="121"/>
      <c r="O31" s="121"/>
      <c r="P31" s="121"/>
      <c r="Q31" s="546"/>
      <c r="R31" s="998" t="s">
        <v>77</v>
      </c>
      <c r="S31" s="999"/>
      <c r="T31" s="1000"/>
      <c r="U31" s="1019" t="s">
        <v>824</v>
      </c>
      <c r="V31" s="1019" t="s">
        <v>828</v>
      </c>
      <c r="W31" s="1019" t="s">
        <v>826</v>
      </c>
      <c r="X31" s="1019" t="s">
        <v>23</v>
      </c>
      <c r="Y31" s="552"/>
      <c r="Z31" s="552"/>
      <c r="AA31"/>
      <c r="AB31"/>
      <c r="AC31"/>
      <c r="AD31"/>
    </row>
    <row r="32" spans="1:30" ht="12.75" customHeight="1">
      <c r="A32" s="121"/>
      <c r="B32" s="121"/>
      <c r="C32" s="121"/>
      <c r="D32" s="121"/>
      <c r="E32" s="121"/>
      <c r="F32" s="121"/>
      <c r="G32" s="121"/>
      <c r="H32" s="121"/>
      <c r="I32" s="121"/>
      <c r="J32" s="121"/>
      <c r="K32" s="121"/>
      <c r="L32" s="121"/>
      <c r="M32" s="121"/>
      <c r="N32" s="121"/>
      <c r="O32" s="121"/>
      <c r="P32" s="121"/>
      <c r="Q32" s="546"/>
      <c r="R32" s="1001"/>
      <c r="S32" s="1002"/>
      <c r="T32" s="1003"/>
      <c r="U32" s="1019"/>
      <c r="V32" s="1019"/>
      <c r="W32" s="1019"/>
      <c r="X32" s="1019"/>
      <c r="Y32" s="364"/>
      <c r="Z32" s="364"/>
      <c r="AA32"/>
      <c r="AB32"/>
      <c r="AC32"/>
      <c r="AD32"/>
    </row>
    <row r="33" spans="1:30" ht="12.75" customHeight="1">
      <c r="A33" s="121"/>
      <c r="B33" s="121"/>
      <c r="C33" s="121"/>
      <c r="D33" s="121"/>
      <c r="E33" s="121"/>
      <c r="F33" s="121"/>
      <c r="G33" s="121"/>
      <c r="H33" s="121"/>
      <c r="I33" s="121"/>
      <c r="J33" s="121"/>
      <c r="K33" s="121"/>
      <c r="L33" s="121"/>
      <c r="M33" s="121"/>
      <c r="N33" s="121"/>
      <c r="O33" s="121"/>
      <c r="P33" s="121"/>
      <c r="Q33" s="546"/>
      <c r="R33" s="1020" t="s">
        <v>500</v>
      </c>
      <c r="S33" s="1020"/>
      <c r="T33" s="1020"/>
      <c r="U33" s="369">
        <v>23.9</v>
      </c>
      <c r="V33" s="369">
        <f>'Lookup Properties'!$C$7</f>
        <v>15.4</v>
      </c>
      <c r="W33" s="369">
        <f>'Lookup Properties'!$D$7</f>
        <v>4.8</v>
      </c>
      <c r="X33" s="553">
        <f>SUM(U33:W33)</f>
        <v>44.099999999999994</v>
      </c>
      <c r="Y33" s="364"/>
      <c r="Z33" s="364"/>
      <c r="AA33"/>
      <c r="AB33"/>
      <c r="AC33"/>
      <c r="AD33"/>
    </row>
    <row r="34" spans="1:30" ht="12.75" customHeight="1">
      <c r="A34" s="121"/>
      <c r="B34" s="121"/>
      <c r="C34" s="121"/>
      <c r="D34" s="121"/>
      <c r="E34" s="121"/>
      <c r="F34" s="121"/>
      <c r="G34" s="121"/>
      <c r="H34" s="121"/>
      <c r="I34" s="121"/>
      <c r="J34" s="121"/>
      <c r="K34" s="121"/>
      <c r="L34" s="121"/>
      <c r="M34" s="121"/>
      <c r="N34" s="121"/>
      <c r="O34" s="121"/>
      <c r="P34" s="121"/>
      <c r="Q34" s="546"/>
      <c r="R34" s="1017" t="s">
        <v>22</v>
      </c>
      <c r="S34" s="1017"/>
      <c r="T34" s="1017"/>
      <c r="U34" s="369">
        <f>'Lookup Properties'!$B$5</f>
        <v>22.35</v>
      </c>
      <c r="V34" s="369">
        <f>'Lookup Properties'!$C$5</f>
        <v>17.399999999999999</v>
      </c>
      <c r="W34" s="369">
        <f>'Lookup Properties'!$D$5</f>
        <v>5</v>
      </c>
      <c r="X34" s="553">
        <f>SUM(U34:W34)</f>
        <v>44.75</v>
      </c>
      <c r="Y34" s="364"/>
      <c r="Z34" s="364"/>
      <c r="AA34"/>
      <c r="AB34"/>
      <c r="AC34"/>
      <c r="AD34"/>
    </row>
    <row r="35" spans="1:30" ht="12.75" customHeight="1">
      <c r="A35" s="121"/>
      <c r="B35" s="121"/>
      <c r="C35" s="121"/>
      <c r="D35" s="121"/>
      <c r="E35" s="121"/>
      <c r="F35" s="121"/>
      <c r="G35" s="121"/>
      <c r="H35" s="121"/>
      <c r="I35" s="121"/>
      <c r="J35" s="121"/>
      <c r="K35" s="121"/>
      <c r="L35" s="121"/>
      <c r="M35" s="121"/>
      <c r="N35" s="121"/>
      <c r="O35" s="121"/>
      <c r="P35" s="121"/>
      <c r="Q35" s="546"/>
      <c r="R35" s="1018" t="s">
        <v>579</v>
      </c>
      <c r="S35" s="1018"/>
      <c r="T35" s="1018"/>
      <c r="U35" s="369">
        <f>'Lookup Properties'!$B$6</f>
        <v>22.15</v>
      </c>
      <c r="V35" s="369">
        <f>'Lookup Properties'!$C$6</f>
        <v>18.149999999999999</v>
      </c>
      <c r="W35" s="369">
        <f>'Lookup Properties'!$D$6</f>
        <v>5</v>
      </c>
      <c r="X35" s="553">
        <f>SUM(U35:W35)</f>
        <v>45.3</v>
      </c>
      <c r="Y35" s="364"/>
      <c r="Z35" s="364"/>
      <c r="AA35"/>
      <c r="AB35"/>
      <c r="AC35"/>
      <c r="AD35"/>
    </row>
    <row r="36" spans="1:30" ht="12.75" customHeight="1">
      <c r="A36" s="121"/>
      <c r="B36" s="121"/>
      <c r="C36" s="121"/>
      <c r="D36" s="121"/>
      <c r="E36" s="121"/>
      <c r="F36" s="121"/>
      <c r="G36" s="121"/>
      <c r="H36" s="121"/>
      <c r="I36" s="121"/>
      <c r="J36" s="121"/>
      <c r="K36" s="121"/>
      <c r="L36" s="121"/>
      <c r="M36" s="121"/>
      <c r="N36" s="121"/>
      <c r="O36" s="121"/>
      <c r="P36" s="121"/>
      <c r="Q36" s="546"/>
      <c r="R36" s="1016" t="s">
        <v>21</v>
      </c>
      <c r="S36" s="1016"/>
      <c r="T36" s="1016"/>
      <c r="U36" s="369">
        <f>'Lookup Properties'!$B$4</f>
        <v>21.25</v>
      </c>
      <c r="V36" s="369">
        <f>'Lookup Properties'!$C$4</f>
        <v>17.399999999999999</v>
      </c>
      <c r="W36" s="369">
        <f>'Lookup Properties'!$D$4</f>
        <v>5</v>
      </c>
      <c r="X36" s="553">
        <f>SUM(U36:W36)</f>
        <v>43.65</v>
      </c>
      <c r="Y36" s="364"/>
      <c r="Z36" s="364"/>
      <c r="AA36"/>
      <c r="AB36"/>
      <c r="AC36"/>
      <c r="AD36"/>
    </row>
    <row r="37" spans="1:30" ht="12.75" customHeight="1">
      <c r="A37" s="121"/>
      <c r="B37" s="121"/>
      <c r="C37" s="121"/>
      <c r="D37" s="121"/>
      <c r="E37" s="121"/>
      <c r="F37" s="121"/>
      <c r="G37" s="121"/>
      <c r="H37" s="121"/>
      <c r="I37" s="121"/>
      <c r="J37" s="121"/>
      <c r="K37" s="121"/>
      <c r="L37" s="121"/>
      <c r="M37" s="121"/>
      <c r="N37" s="121"/>
      <c r="O37" s="121"/>
      <c r="P37" s="121"/>
      <c r="Q37" s="364"/>
      <c r="R37" s="364"/>
      <c r="S37" s="364"/>
      <c r="T37" s="364"/>
      <c r="U37" s="555"/>
      <c r="V37" s="555"/>
      <c r="W37" s="555"/>
      <c r="X37" s="555"/>
      <c r="Y37" s="555"/>
      <c r="Z37" s="364"/>
      <c r="AA37"/>
      <c r="AB37"/>
      <c r="AC37"/>
      <c r="AD37"/>
    </row>
    <row r="38" spans="1:30" ht="12.75" customHeight="1">
      <c r="A38" s="121"/>
      <c r="B38" s="121"/>
      <c r="C38" s="121"/>
      <c r="D38" s="121"/>
      <c r="E38" s="121"/>
      <c r="F38" s="121"/>
      <c r="G38" s="121"/>
      <c r="H38" s="121"/>
      <c r="I38" s="121"/>
      <c r="J38" s="121"/>
      <c r="K38" s="121"/>
      <c r="L38" s="121"/>
      <c r="M38" s="121"/>
      <c r="N38" s="121"/>
      <c r="O38" s="121"/>
      <c r="P38" s="121"/>
      <c r="Q38" s="360">
        <v>2.2000000000000002</v>
      </c>
      <c r="R38" s="363" t="s">
        <v>832</v>
      </c>
      <c r="S38" s="363"/>
      <c r="T38" s="363"/>
      <c r="U38" s="363"/>
      <c r="V38" s="363"/>
      <c r="W38" s="363"/>
      <c r="X38" s="363"/>
      <c r="Y38" s="363"/>
      <c r="Z38" s="364"/>
      <c r="AA38"/>
      <c r="AB38"/>
      <c r="AC38"/>
      <c r="AD38"/>
    </row>
    <row r="39" spans="1:30" ht="12.75" customHeight="1">
      <c r="A39" s="121"/>
      <c r="B39" s="121"/>
      <c r="C39" s="121"/>
      <c r="D39" s="121"/>
      <c r="E39" s="121"/>
      <c r="F39" s="121"/>
      <c r="G39" s="121"/>
      <c r="H39" s="121"/>
      <c r="I39" s="121"/>
      <c r="J39" s="121"/>
      <c r="K39" s="121"/>
      <c r="L39" s="121"/>
      <c r="M39" s="121"/>
      <c r="N39" s="121"/>
      <c r="O39" s="121"/>
      <c r="P39" s="121"/>
      <c r="Q39" s="360"/>
      <c r="R39" s="998" t="s">
        <v>77</v>
      </c>
      <c r="S39" s="999"/>
      <c r="T39" s="1000"/>
      <c r="U39" s="1019" t="s">
        <v>824</v>
      </c>
      <c r="V39" s="1019" t="s">
        <v>828</v>
      </c>
      <c r="W39" s="1019" t="s">
        <v>826</v>
      </c>
      <c r="X39" s="1019" t="s">
        <v>23</v>
      </c>
      <c r="Y39" s="364"/>
      <c r="Z39" s="364"/>
      <c r="AA39"/>
      <c r="AB39"/>
      <c r="AC39"/>
      <c r="AD39"/>
    </row>
    <row r="40" spans="1:30" ht="12.75" customHeight="1">
      <c r="A40" s="121"/>
      <c r="B40" s="121"/>
      <c r="C40" s="121"/>
      <c r="D40" s="121"/>
      <c r="E40" s="121"/>
      <c r="F40" s="121"/>
      <c r="G40" s="121"/>
      <c r="H40" s="121"/>
      <c r="I40" s="121"/>
      <c r="J40" s="121"/>
      <c r="K40" s="121"/>
      <c r="L40" s="121"/>
      <c r="M40" s="121"/>
      <c r="N40" s="121"/>
      <c r="O40" s="121"/>
      <c r="P40" s="121"/>
      <c r="Q40" s="360"/>
      <c r="R40" s="1001"/>
      <c r="S40" s="1002"/>
      <c r="T40" s="1003"/>
      <c r="U40" s="1019"/>
      <c r="V40" s="1019"/>
      <c r="W40" s="1019"/>
      <c r="X40" s="1019"/>
      <c r="Y40" s="364"/>
      <c r="Z40" s="364"/>
      <c r="AA40"/>
      <c r="AB40"/>
      <c r="AC40"/>
      <c r="AD40"/>
    </row>
    <row r="41" spans="1:30" ht="12.75" customHeight="1">
      <c r="A41" s="121"/>
      <c r="B41" s="121"/>
      <c r="C41" s="121"/>
      <c r="D41" s="121"/>
      <c r="E41" s="121"/>
      <c r="F41" s="121"/>
      <c r="G41" s="121"/>
      <c r="H41" s="121"/>
      <c r="I41" s="121"/>
      <c r="J41" s="121"/>
      <c r="K41" s="121"/>
      <c r="L41" s="121"/>
      <c r="M41" s="121"/>
      <c r="N41" s="121"/>
      <c r="O41" s="121"/>
      <c r="P41" s="121"/>
      <c r="Q41" s="360"/>
      <c r="R41" s="1020" t="s">
        <v>500</v>
      </c>
      <c r="S41" s="1020"/>
      <c r="T41" s="1020"/>
      <c r="U41" s="556">
        <f>'Lookup Properties'!$B$13</f>
        <v>0.74</v>
      </c>
      <c r="V41" s="556">
        <f>'Lookup Properties'!$C$13</f>
        <v>0.78</v>
      </c>
      <c r="W41" s="556">
        <f>'Lookup Properties'!$D$13</f>
        <v>1.26</v>
      </c>
      <c r="X41" s="553">
        <f>SUM(U41:W41)</f>
        <v>2.7800000000000002</v>
      </c>
      <c r="Y41" s="364"/>
      <c r="Z41" s="364"/>
      <c r="AA41"/>
      <c r="AB41"/>
      <c r="AC41"/>
      <c r="AD41"/>
    </row>
    <row r="42" spans="1:30" ht="12.75" customHeight="1">
      <c r="A42" s="121"/>
      <c r="B42" s="121"/>
      <c r="C42" s="121"/>
      <c r="D42" s="121"/>
      <c r="E42" s="121"/>
      <c r="F42" s="121"/>
      <c r="G42" s="121"/>
      <c r="H42" s="121"/>
      <c r="I42" s="121"/>
      <c r="J42" s="121"/>
      <c r="K42" s="121"/>
      <c r="L42" s="121"/>
      <c r="M42" s="121"/>
      <c r="N42" s="121"/>
      <c r="O42" s="121"/>
      <c r="P42" s="121"/>
      <c r="Q42" s="360"/>
      <c r="R42" s="1017" t="s">
        <v>22</v>
      </c>
      <c r="S42" s="1017"/>
      <c r="T42" s="1017"/>
      <c r="U42" s="557">
        <f>'Lookup Properties'!$B$11</f>
        <v>0.71499999999999997</v>
      </c>
      <c r="V42" s="557">
        <f>'Lookup Properties'!$C$11</f>
        <v>1.03</v>
      </c>
      <c r="W42" s="557">
        <f>'Lookup Properties'!$D$11</f>
        <v>1.29</v>
      </c>
      <c r="X42" s="553">
        <f>SUM(U42:W42)</f>
        <v>3.0350000000000001</v>
      </c>
      <c r="Y42" s="364"/>
      <c r="Z42" s="364"/>
      <c r="AA42"/>
      <c r="AB42"/>
      <c r="AC42"/>
      <c r="AD42"/>
    </row>
    <row r="43" spans="1:30" ht="12.75" customHeight="1">
      <c r="A43" s="121"/>
      <c r="B43" s="121"/>
      <c r="C43" s="121"/>
      <c r="D43" s="121"/>
      <c r="E43" s="121"/>
      <c r="F43" s="121"/>
      <c r="G43" s="121"/>
      <c r="H43" s="121"/>
      <c r="I43" s="121"/>
      <c r="J43" s="121"/>
      <c r="K43" s="121"/>
      <c r="L43" s="121"/>
      <c r="M43" s="121"/>
      <c r="N43" s="121"/>
      <c r="O43" s="121"/>
      <c r="P43" s="121"/>
      <c r="Q43" s="360"/>
      <c r="R43" s="1018" t="s">
        <v>579</v>
      </c>
      <c r="S43" s="1018"/>
      <c r="T43" s="1018"/>
      <c r="U43" s="557">
        <f>'Lookup Properties'!$B$12</f>
        <v>0.755</v>
      </c>
      <c r="V43" s="557">
        <f>'Lookup Properties'!$C$12</f>
        <v>1.07</v>
      </c>
      <c r="W43" s="557">
        <f>'Lookup Properties'!$D$12</f>
        <v>1.2949999999999999</v>
      </c>
      <c r="X43" s="553">
        <f>SUM(U43:W43)</f>
        <v>3.12</v>
      </c>
      <c r="Y43" s="364"/>
      <c r="Z43" s="364"/>
      <c r="AA43"/>
      <c r="AB43"/>
      <c r="AC43"/>
      <c r="AD43"/>
    </row>
    <row r="44" spans="1:30" ht="12.75" customHeight="1">
      <c r="A44" s="121"/>
      <c r="B44" s="121"/>
      <c r="C44" s="121"/>
      <c r="D44" s="121"/>
      <c r="E44" s="121"/>
      <c r="F44" s="121"/>
      <c r="G44" s="121"/>
      <c r="H44" s="121"/>
      <c r="I44" s="121"/>
      <c r="J44" s="121"/>
      <c r="K44" s="121"/>
      <c r="L44" s="121"/>
      <c r="M44" s="121"/>
      <c r="N44" s="121"/>
      <c r="O44" s="121"/>
      <c r="P44" s="121"/>
      <c r="Q44" s="360"/>
      <c r="R44" s="1016" t="s">
        <v>21</v>
      </c>
      <c r="S44" s="1016"/>
      <c r="T44" s="1016"/>
      <c r="U44" s="557">
        <f>'Lookup Properties'!$B$10</f>
        <v>0.71</v>
      </c>
      <c r="V44" s="557">
        <f>'Lookup Properties'!$C$10</f>
        <v>1.03</v>
      </c>
      <c r="W44" s="557">
        <f>'Lookup Properties'!$D$10</f>
        <v>1.29</v>
      </c>
      <c r="X44" s="553">
        <f>SUM(U44:W44)</f>
        <v>3.0300000000000002</v>
      </c>
      <c r="Y44" s="364"/>
      <c r="Z44" s="364"/>
      <c r="AA44"/>
      <c r="AB44"/>
      <c r="AC44"/>
      <c r="AD44"/>
    </row>
    <row r="45" spans="1:30" ht="12.75" customHeight="1">
      <c r="A45" s="121"/>
      <c r="B45" s="121"/>
      <c r="C45" s="121"/>
      <c r="D45" s="121"/>
      <c r="E45" s="121"/>
      <c r="F45" s="121"/>
      <c r="G45" s="121"/>
      <c r="H45" s="121"/>
      <c r="I45" s="121"/>
      <c r="J45" s="121"/>
      <c r="K45" s="121"/>
      <c r="L45" s="121"/>
      <c r="M45" s="121"/>
      <c r="N45" s="121"/>
      <c r="O45" s="121"/>
      <c r="P45" s="121"/>
      <c r="Q45" s="364"/>
      <c r="R45" s="364"/>
      <c r="S45" s="364"/>
      <c r="T45" s="364"/>
      <c r="U45" s="555"/>
      <c r="V45" s="555"/>
      <c r="W45" s="555"/>
      <c r="X45" s="555"/>
      <c r="Y45" s="555"/>
      <c r="Z45" s="364"/>
      <c r="AA45"/>
      <c r="AB45"/>
      <c r="AC45"/>
      <c r="AD45"/>
    </row>
    <row r="46" spans="1:30" ht="12.75" customHeight="1">
      <c r="A46" s="121"/>
      <c r="B46" s="121"/>
      <c r="C46" s="121"/>
      <c r="D46" s="121"/>
      <c r="E46" s="121"/>
      <c r="F46" s="121"/>
      <c r="G46" s="121"/>
      <c r="H46" s="121"/>
      <c r="I46" s="121"/>
      <c r="J46" s="121"/>
      <c r="K46" s="121"/>
      <c r="L46" s="121"/>
      <c r="M46" s="121"/>
      <c r="N46" s="121"/>
      <c r="O46" s="121"/>
      <c r="P46" s="121"/>
      <c r="Q46" s="387" t="s">
        <v>817</v>
      </c>
      <c r="R46" s="1015" t="s">
        <v>206</v>
      </c>
      <c r="S46" s="1015"/>
      <c r="T46" s="1015"/>
      <c r="U46" s="1015"/>
      <c r="V46" s="1015"/>
      <c r="W46" s="1015"/>
      <c r="X46" s="1015"/>
      <c r="Y46" s="1015"/>
      <c r="Z46" s="536"/>
      <c r="AA46"/>
      <c r="AB46"/>
      <c r="AC46"/>
      <c r="AD46"/>
    </row>
    <row r="47" spans="1:30" ht="12.75" customHeight="1">
      <c r="A47" s="121"/>
      <c r="B47" s="121"/>
      <c r="C47" s="121"/>
      <c r="D47" s="121"/>
      <c r="E47" s="121"/>
      <c r="F47" s="121"/>
      <c r="G47" s="121"/>
      <c r="H47" s="121"/>
      <c r="I47" s="121"/>
      <c r="J47" s="121"/>
      <c r="K47" s="121"/>
      <c r="L47" s="121"/>
      <c r="M47" s="121"/>
      <c r="N47" s="121"/>
      <c r="O47" s="121"/>
      <c r="P47" s="121"/>
      <c r="Q47" s="668"/>
      <c r="R47" s="364"/>
      <c r="S47" s="364"/>
      <c r="T47" s="364"/>
      <c r="U47" s="555"/>
      <c r="V47" s="555"/>
      <c r="W47" s="555"/>
      <c r="X47" s="555"/>
      <c r="Y47" s="555"/>
      <c r="Z47" s="364"/>
      <c r="AA47"/>
      <c r="AB47"/>
      <c r="AC47"/>
      <c r="AD47"/>
    </row>
    <row r="48" spans="1:30" ht="12.75" customHeight="1">
      <c r="A48" s="121"/>
      <c r="B48" s="121"/>
      <c r="C48" s="121"/>
      <c r="D48" s="121"/>
      <c r="E48" s="121"/>
      <c r="F48" s="121"/>
      <c r="G48" s="121"/>
      <c r="H48" s="121"/>
      <c r="I48" s="121"/>
      <c r="J48" s="121"/>
      <c r="K48" s="121"/>
      <c r="L48" s="121"/>
      <c r="M48" s="121"/>
      <c r="N48" s="121"/>
      <c r="O48" s="121"/>
      <c r="P48" s="121"/>
      <c r="Q48" s="668" t="s">
        <v>196</v>
      </c>
      <c r="R48" s="364" t="s">
        <v>207</v>
      </c>
      <c r="S48" s="364"/>
      <c r="T48" s="364"/>
      <c r="U48" s="555"/>
      <c r="V48" s="555"/>
      <c r="W48" s="555"/>
      <c r="X48" s="555"/>
      <c r="Y48" s="555"/>
      <c r="Z48" s="364"/>
      <c r="AA48"/>
      <c r="AB48"/>
      <c r="AC48"/>
      <c r="AD48"/>
    </row>
    <row r="49" spans="1:30" ht="12.75" customHeight="1">
      <c r="A49" s="121"/>
      <c r="B49" s="121"/>
      <c r="C49" s="121"/>
      <c r="D49" s="121"/>
      <c r="E49" s="121"/>
      <c r="F49" s="121"/>
      <c r="G49" s="121"/>
      <c r="H49" s="121"/>
      <c r="I49" s="121"/>
      <c r="J49" s="121"/>
      <c r="K49" s="121"/>
      <c r="L49" s="121"/>
      <c r="M49" s="121"/>
      <c r="N49" s="121"/>
      <c r="O49" s="121"/>
      <c r="P49" s="121"/>
      <c r="Q49" s="364"/>
      <c r="R49" s="962" t="s">
        <v>678</v>
      </c>
      <c r="S49" s="963"/>
      <c r="T49" s="964"/>
      <c r="U49" s="949" t="s">
        <v>500</v>
      </c>
      <c r="V49" s="938" t="s">
        <v>22</v>
      </c>
      <c r="W49" s="940" t="s">
        <v>579</v>
      </c>
      <c r="X49" s="942" t="s">
        <v>21</v>
      </c>
      <c r="Y49" s="361"/>
      <c r="Z49" s="364"/>
      <c r="AA49"/>
      <c r="AB49"/>
      <c r="AC49"/>
      <c r="AD49"/>
    </row>
    <row r="50" spans="1:30" ht="12.75" customHeight="1">
      <c r="A50" s="121"/>
      <c r="B50" s="121"/>
      <c r="C50" s="121"/>
      <c r="D50" s="121"/>
      <c r="E50" s="121"/>
      <c r="F50" s="121"/>
      <c r="G50" s="121"/>
      <c r="H50" s="121"/>
      <c r="I50" s="121"/>
      <c r="J50" s="121"/>
      <c r="K50" s="121"/>
      <c r="L50" s="121"/>
      <c r="M50" s="121"/>
      <c r="N50" s="121"/>
      <c r="O50" s="121"/>
      <c r="P50" s="121"/>
      <c r="Q50" s="364"/>
      <c r="R50" s="965"/>
      <c r="S50" s="966"/>
      <c r="T50" s="967"/>
      <c r="U50" s="950"/>
      <c r="V50" s="939"/>
      <c r="W50" s="941"/>
      <c r="X50" s="943"/>
      <c r="Y50" s="361"/>
      <c r="Z50" s="364"/>
      <c r="AA50"/>
      <c r="AB50"/>
      <c r="AC50"/>
      <c r="AD50"/>
    </row>
    <row r="51" spans="1:30" ht="12.75" customHeight="1">
      <c r="A51" s="121"/>
      <c r="B51" s="121"/>
      <c r="C51" s="121"/>
      <c r="D51" s="121"/>
      <c r="E51" s="121"/>
      <c r="F51" s="121"/>
      <c r="G51" s="121"/>
      <c r="H51" s="121"/>
      <c r="I51" s="121"/>
      <c r="J51" s="121"/>
      <c r="K51" s="121"/>
      <c r="L51" s="121"/>
      <c r="M51" s="121"/>
      <c r="N51" s="121"/>
      <c r="O51" s="121"/>
      <c r="P51" s="121"/>
      <c r="Q51" s="364"/>
      <c r="R51" s="969" t="s">
        <v>210</v>
      </c>
      <c r="S51" s="969"/>
      <c r="T51" s="969"/>
      <c r="U51" s="560">
        <v>0.3</v>
      </c>
      <c r="V51" s="537">
        <f>VLOOKUP($V$5,'Lookup Penetration Rate'!$B$8:$E$208,3)</f>
        <v>0.4</v>
      </c>
      <c r="W51" s="537">
        <f>VLOOKUP($V$5,'Lookup Penetration Rate'!$B$8:$E$208,4)</f>
        <v>0.46</v>
      </c>
      <c r="X51" s="537">
        <f>VLOOKUP($V$5,'Lookup Penetration Rate'!$B$8:$E$208,2)</f>
        <v>0.56000000000000005</v>
      </c>
      <c r="Y51" s="361"/>
      <c r="Z51" s="364"/>
      <c r="AA51"/>
      <c r="AB51"/>
      <c r="AC51"/>
      <c r="AD51"/>
    </row>
    <row r="52" spans="1:30" ht="12.75" customHeight="1">
      <c r="A52" s="121"/>
      <c r="B52" s="121"/>
      <c r="C52" s="121"/>
      <c r="D52" s="121"/>
      <c r="E52" s="121"/>
      <c r="F52" s="121"/>
      <c r="G52" s="121"/>
      <c r="H52" s="121"/>
      <c r="I52" s="121"/>
      <c r="J52" s="121"/>
      <c r="K52" s="121"/>
      <c r="L52" s="121"/>
      <c r="M52" s="121"/>
      <c r="N52" s="121"/>
      <c r="O52" s="121"/>
      <c r="P52" s="121"/>
      <c r="Q52" s="364"/>
      <c r="R52" s="364"/>
      <c r="S52" s="364"/>
      <c r="T52" s="364"/>
      <c r="U52" s="555"/>
      <c r="V52" s="555"/>
      <c r="W52" s="555"/>
      <c r="X52" s="555"/>
      <c r="Y52" s="555"/>
      <c r="Z52" s="364"/>
      <c r="AA52"/>
      <c r="AB52"/>
      <c r="AC52"/>
      <c r="AD52"/>
    </row>
    <row r="53" spans="1:30" ht="12.75" customHeight="1">
      <c r="A53" s="121"/>
      <c r="B53" s="121"/>
      <c r="C53" s="121"/>
      <c r="D53" s="121"/>
      <c r="E53" s="121"/>
      <c r="F53" s="121"/>
      <c r="G53" s="121"/>
      <c r="H53" s="121"/>
      <c r="I53" s="121"/>
      <c r="J53" s="121"/>
      <c r="K53" s="121"/>
      <c r="L53" s="121"/>
      <c r="M53" s="121"/>
      <c r="N53" s="121"/>
      <c r="O53" s="121"/>
      <c r="P53" s="121"/>
      <c r="Q53" s="668" t="s">
        <v>197</v>
      </c>
      <c r="R53" s="364" t="s">
        <v>208</v>
      </c>
      <c r="S53" s="364"/>
      <c r="T53" s="364"/>
      <c r="U53" s="555"/>
      <c r="V53" s="555"/>
      <c r="W53" s="555"/>
      <c r="X53" s="555"/>
      <c r="Y53" s="555"/>
      <c r="Z53" s="364"/>
      <c r="AA53"/>
      <c r="AB53"/>
      <c r="AC53"/>
      <c r="AD53"/>
    </row>
    <row r="54" spans="1:30" ht="12.75" customHeight="1">
      <c r="A54" s="121"/>
      <c r="B54" s="121"/>
      <c r="C54" s="121"/>
      <c r="D54" s="121"/>
      <c r="E54" s="121"/>
      <c r="F54" s="121"/>
      <c r="G54" s="121"/>
      <c r="H54" s="121"/>
      <c r="I54" s="121"/>
      <c r="J54" s="121"/>
      <c r="K54" s="121"/>
      <c r="L54" s="121"/>
      <c r="M54" s="121"/>
      <c r="N54" s="121"/>
      <c r="O54" s="121"/>
      <c r="P54" s="121"/>
      <c r="Q54" s="668"/>
      <c r="R54" s="962" t="s">
        <v>678</v>
      </c>
      <c r="S54" s="963"/>
      <c r="T54" s="964"/>
      <c r="U54" s="949" t="s">
        <v>500</v>
      </c>
      <c r="V54" s="938" t="s">
        <v>22</v>
      </c>
      <c r="W54" s="940" t="s">
        <v>579</v>
      </c>
      <c r="X54" s="942" t="s">
        <v>21</v>
      </c>
      <c r="Y54" s="361"/>
      <c r="Z54" s="364"/>
      <c r="AA54"/>
      <c r="AB54"/>
      <c r="AC54"/>
      <c r="AD54"/>
    </row>
    <row r="55" spans="1:30" ht="12.75" customHeight="1">
      <c r="A55" s="121"/>
      <c r="B55" s="121"/>
      <c r="C55" s="121"/>
      <c r="D55" s="121"/>
      <c r="E55" s="121"/>
      <c r="F55" s="121"/>
      <c r="G55" s="121"/>
      <c r="H55" s="121"/>
      <c r="I55" s="121"/>
      <c r="J55" s="121"/>
      <c r="K55" s="121"/>
      <c r="L55" s="121"/>
      <c r="M55" s="121"/>
      <c r="N55" s="121"/>
      <c r="O55" s="121"/>
      <c r="P55" s="121"/>
      <c r="Q55" s="668"/>
      <c r="R55" s="965"/>
      <c r="S55" s="966"/>
      <c r="T55" s="967"/>
      <c r="U55" s="950"/>
      <c r="V55" s="939"/>
      <c r="W55" s="941"/>
      <c r="X55" s="943"/>
      <c r="Y55" s="361"/>
      <c r="Z55" s="364"/>
      <c r="AA55"/>
      <c r="AB55"/>
      <c r="AC55"/>
      <c r="AD55"/>
    </row>
    <row r="56" spans="1:30" ht="12.75" customHeight="1">
      <c r="A56" s="121"/>
      <c r="B56" s="121"/>
      <c r="C56" s="121"/>
      <c r="D56" s="121"/>
      <c r="E56" s="121"/>
      <c r="F56" s="121"/>
      <c r="G56" s="121"/>
      <c r="H56" s="121"/>
      <c r="I56" s="121"/>
      <c r="J56" s="121"/>
      <c r="K56" s="121"/>
      <c r="L56" s="121"/>
      <c r="M56" s="121"/>
      <c r="N56" s="121"/>
      <c r="O56" s="121"/>
      <c r="P56" s="121"/>
      <c r="Q56" s="668"/>
      <c r="R56" s="969" t="s">
        <v>209</v>
      </c>
      <c r="S56" s="969"/>
      <c r="T56" s="969"/>
      <c r="U56" s="560">
        <f>$V$20/U51</f>
        <v>4</v>
      </c>
      <c r="V56" s="669">
        <f>$V$20/V51</f>
        <v>2.9999999999999996</v>
      </c>
      <c r="W56" s="669">
        <f>$V$20/W51</f>
        <v>2.6086956521739126</v>
      </c>
      <c r="X56" s="669">
        <f>$V$20/X51</f>
        <v>2.1428571428571428</v>
      </c>
      <c r="Y56" s="361"/>
      <c r="Z56" s="364"/>
      <c r="AA56"/>
      <c r="AB56"/>
      <c r="AC56"/>
      <c r="AD56"/>
    </row>
    <row r="57" spans="1:30" ht="12.75" customHeight="1">
      <c r="A57" s="121"/>
      <c r="B57" s="121"/>
      <c r="C57" s="121"/>
      <c r="D57" s="121"/>
      <c r="E57" s="121"/>
      <c r="F57" s="121"/>
      <c r="G57" s="121"/>
      <c r="H57" s="121"/>
      <c r="I57" s="121"/>
      <c r="J57" s="121"/>
      <c r="K57" s="121"/>
      <c r="L57" s="121"/>
      <c r="M57" s="121"/>
      <c r="N57" s="121"/>
      <c r="O57" s="121"/>
      <c r="P57" s="121"/>
      <c r="Q57" s="364"/>
      <c r="R57" s="364"/>
      <c r="S57" s="364"/>
      <c r="T57" s="364"/>
      <c r="U57" s="555"/>
      <c r="V57" s="555"/>
      <c r="W57" s="555"/>
      <c r="X57" s="555"/>
      <c r="Y57" s="555"/>
      <c r="Z57" s="364"/>
      <c r="AA57"/>
      <c r="AB57"/>
      <c r="AC57"/>
      <c r="AD57"/>
    </row>
    <row r="58" spans="1:30" ht="12.75" customHeight="1">
      <c r="A58" s="121"/>
      <c r="B58" s="121"/>
      <c r="C58" s="121"/>
      <c r="D58" s="121"/>
      <c r="E58" s="121"/>
      <c r="F58" s="121"/>
      <c r="G58" s="121"/>
      <c r="H58" s="121"/>
      <c r="I58" s="121"/>
      <c r="J58" s="121"/>
      <c r="K58" s="121"/>
      <c r="L58" s="121"/>
      <c r="M58" s="121"/>
      <c r="N58" s="121"/>
      <c r="O58" s="121"/>
      <c r="P58" s="121"/>
      <c r="Q58" s="563">
        <v>3.3</v>
      </c>
      <c r="R58" s="363" t="s">
        <v>211</v>
      </c>
      <c r="S58" s="363"/>
      <c r="T58" s="363"/>
      <c r="U58" s="363"/>
      <c r="V58" s="363"/>
      <c r="W58" s="363"/>
      <c r="X58" s="363"/>
      <c r="Y58" s="363"/>
      <c r="Z58" s="364"/>
      <c r="AA58"/>
      <c r="AB58"/>
      <c r="AC58"/>
      <c r="AD58"/>
    </row>
    <row r="59" spans="1:30" ht="12.75" customHeight="1">
      <c r="A59" s="121"/>
      <c r="B59" s="121"/>
      <c r="C59" s="121"/>
      <c r="D59" s="121"/>
      <c r="E59" s="121"/>
      <c r="F59" s="121"/>
      <c r="G59" s="121"/>
      <c r="H59" s="121"/>
      <c r="I59" s="121"/>
      <c r="J59" s="121"/>
      <c r="K59" s="121"/>
      <c r="L59" s="121"/>
      <c r="M59" s="121"/>
      <c r="N59" s="121"/>
      <c r="O59" s="121"/>
      <c r="P59" s="121"/>
      <c r="Q59" s="563"/>
      <c r="R59" s="962" t="s">
        <v>678</v>
      </c>
      <c r="S59" s="963"/>
      <c r="T59" s="964"/>
      <c r="U59" s="949" t="s">
        <v>500</v>
      </c>
      <c r="V59" s="938" t="s">
        <v>22</v>
      </c>
      <c r="W59" s="940" t="s">
        <v>579</v>
      </c>
      <c r="X59" s="942" t="s">
        <v>21</v>
      </c>
      <c r="Y59" s="361"/>
      <c r="Z59" s="364"/>
      <c r="AA59"/>
      <c r="AB59"/>
      <c r="AC59"/>
      <c r="AD59"/>
    </row>
    <row r="60" spans="1:30" ht="12.75" customHeight="1">
      <c r="A60" s="121"/>
      <c r="B60" s="121"/>
      <c r="C60" s="121"/>
      <c r="D60" s="121"/>
      <c r="E60" s="121"/>
      <c r="F60" s="121"/>
      <c r="G60" s="121"/>
      <c r="H60" s="121"/>
      <c r="I60" s="121"/>
      <c r="J60" s="121"/>
      <c r="K60" s="121"/>
      <c r="L60" s="121"/>
      <c r="M60" s="121"/>
      <c r="N60" s="121"/>
      <c r="O60" s="121"/>
      <c r="P60" s="121"/>
      <c r="Q60" s="563"/>
      <c r="R60" s="965"/>
      <c r="S60" s="966"/>
      <c r="T60" s="967"/>
      <c r="U60" s="950"/>
      <c r="V60" s="939"/>
      <c r="W60" s="941"/>
      <c r="X60" s="943"/>
      <c r="Y60" s="361"/>
      <c r="Z60" s="364"/>
      <c r="AA60"/>
      <c r="AB60"/>
      <c r="AC60"/>
      <c r="AD60"/>
    </row>
    <row r="61" spans="1:30" ht="12.75" customHeight="1">
      <c r="A61" s="121"/>
      <c r="B61" s="121"/>
      <c r="C61" s="121"/>
      <c r="D61" s="121"/>
      <c r="E61" s="121"/>
      <c r="F61" s="121"/>
      <c r="G61" s="121"/>
      <c r="H61" s="121"/>
      <c r="I61" s="121"/>
      <c r="J61" s="121"/>
      <c r="K61" s="121"/>
      <c r="L61" s="121"/>
      <c r="M61" s="121"/>
      <c r="N61" s="121"/>
      <c r="O61" s="121"/>
      <c r="P61" s="121"/>
      <c r="Q61" s="563"/>
      <c r="R61" s="969" t="s">
        <v>209</v>
      </c>
      <c r="S61" s="969"/>
      <c r="T61" s="969"/>
      <c r="U61" s="562">
        <f>(U56*$V$24)/$V$23</f>
        <v>160</v>
      </c>
      <c r="V61" s="670">
        <f>(V56*$V$24)/$V$23</f>
        <v>119.99999999999997</v>
      </c>
      <c r="W61" s="670">
        <f>(W56*$V$24)/$V$23</f>
        <v>104.3478260869565</v>
      </c>
      <c r="X61" s="670">
        <f>(X56*$V$24)/$V$23</f>
        <v>85.714285714285708</v>
      </c>
      <c r="Y61" s="361"/>
      <c r="Z61" s="364"/>
      <c r="AA61"/>
      <c r="AB61"/>
      <c r="AC61"/>
      <c r="AD61"/>
    </row>
    <row r="62" spans="1:30" ht="12.75" customHeight="1">
      <c r="A62" s="121"/>
      <c r="B62" s="121"/>
      <c r="C62" s="121"/>
      <c r="D62" s="121"/>
      <c r="E62" s="121"/>
      <c r="F62" s="121"/>
      <c r="G62" s="121"/>
      <c r="H62" s="121"/>
      <c r="I62" s="121"/>
      <c r="J62" s="121"/>
      <c r="K62" s="121"/>
      <c r="L62" s="121"/>
      <c r="M62" s="121"/>
      <c r="N62" s="121"/>
      <c r="O62" s="121"/>
      <c r="P62" s="121"/>
      <c r="Q62" s="563"/>
      <c r="R62" s="931" t="s">
        <v>212</v>
      </c>
      <c r="S62" s="931"/>
      <c r="T62" s="931"/>
      <c r="U62" s="537">
        <f>U61/60</f>
        <v>2.6666666666666665</v>
      </c>
      <c r="V62" s="557">
        <f>V61/60</f>
        <v>1.9999999999999996</v>
      </c>
      <c r="W62" s="557">
        <f>W61/60</f>
        <v>1.7391304347826084</v>
      </c>
      <c r="X62" s="557">
        <f>X61/60</f>
        <v>1.4285714285714284</v>
      </c>
      <c r="Y62" s="361"/>
      <c r="Z62" s="364"/>
      <c r="AA62"/>
      <c r="AB62"/>
      <c r="AC62"/>
      <c r="AD62"/>
    </row>
    <row r="63" spans="1:30" ht="12.75" customHeight="1">
      <c r="A63" s="121"/>
      <c r="B63" s="121"/>
      <c r="C63" s="121"/>
      <c r="D63" s="121"/>
      <c r="E63" s="121"/>
      <c r="F63" s="121"/>
      <c r="G63" s="121"/>
      <c r="H63" s="121"/>
      <c r="I63" s="121"/>
      <c r="J63" s="121"/>
      <c r="K63" s="121"/>
      <c r="L63" s="121"/>
      <c r="M63" s="121"/>
      <c r="N63" s="121"/>
      <c r="O63" s="121"/>
      <c r="P63" s="121"/>
      <c r="Q63" s="563"/>
      <c r="R63" s="363"/>
      <c r="S63" s="363"/>
      <c r="T63" s="363"/>
      <c r="U63" s="363"/>
      <c r="V63" s="363"/>
      <c r="W63" s="363"/>
      <c r="X63" s="363"/>
      <c r="Y63" s="363"/>
      <c r="Z63" s="364"/>
      <c r="AA63"/>
      <c r="AB63"/>
      <c r="AC63"/>
      <c r="AD63"/>
    </row>
    <row r="64" spans="1:30" ht="12.75" customHeight="1">
      <c r="A64" s="121"/>
      <c r="B64" s="121"/>
      <c r="C64" s="121"/>
      <c r="D64" s="121"/>
      <c r="E64" s="121"/>
      <c r="F64" s="121"/>
      <c r="G64" s="121"/>
      <c r="H64" s="121"/>
      <c r="I64" s="121"/>
      <c r="J64" s="121"/>
      <c r="K64" s="121"/>
      <c r="L64" s="121"/>
      <c r="M64" s="121"/>
      <c r="N64" s="121"/>
      <c r="O64" s="121"/>
      <c r="P64" s="121"/>
      <c r="Q64" s="388" t="s">
        <v>295</v>
      </c>
      <c r="R64" s="1015" t="s">
        <v>216</v>
      </c>
      <c r="S64" s="1015"/>
      <c r="T64" s="1015"/>
      <c r="U64" s="1015"/>
      <c r="V64" s="1015"/>
      <c r="W64" s="1015"/>
      <c r="X64" s="1015"/>
      <c r="Y64" s="1015"/>
      <c r="Z64" s="536"/>
      <c r="AA64"/>
      <c r="AB64"/>
      <c r="AC64"/>
      <c r="AD64"/>
    </row>
    <row r="65" spans="1:36" ht="12.75" customHeight="1">
      <c r="A65" s="121"/>
      <c r="B65" s="121"/>
      <c r="C65" s="121"/>
      <c r="D65" s="121"/>
      <c r="E65" s="121"/>
      <c r="F65" s="121"/>
      <c r="G65" s="121"/>
      <c r="H65" s="121"/>
      <c r="I65" s="121"/>
      <c r="J65" s="121"/>
      <c r="K65" s="121"/>
      <c r="L65" s="121"/>
      <c r="M65" s="121"/>
      <c r="N65" s="121"/>
      <c r="O65" s="121"/>
      <c r="P65" s="121"/>
      <c r="Q65" s="563"/>
      <c r="R65" s="363"/>
      <c r="S65" s="363"/>
      <c r="T65" s="363"/>
      <c r="U65" s="363"/>
      <c r="V65" s="363"/>
      <c r="W65" s="363"/>
      <c r="X65" s="363"/>
      <c r="Y65" s="363"/>
      <c r="Z65" s="364"/>
      <c r="AA65"/>
      <c r="AB65"/>
      <c r="AC65"/>
      <c r="AD65"/>
      <c r="AE65" s="23"/>
      <c r="AF65" s="23"/>
      <c r="AG65" s="23"/>
      <c r="AH65" s="23"/>
      <c r="AI65" s="23"/>
    </row>
    <row r="66" spans="1:36" ht="12.75" customHeight="1">
      <c r="A66" s="121"/>
      <c r="B66" s="121"/>
      <c r="C66" s="121"/>
      <c r="D66" s="121"/>
      <c r="E66" s="121"/>
      <c r="F66" s="121"/>
      <c r="G66" s="121"/>
      <c r="H66" s="121"/>
      <c r="I66" s="121"/>
      <c r="J66" s="121"/>
      <c r="K66" s="121"/>
      <c r="L66" s="121"/>
      <c r="M66" s="121"/>
      <c r="N66" s="121"/>
      <c r="O66" s="121"/>
      <c r="P66" s="121"/>
      <c r="Q66" s="360" t="s">
        <v>502</v>
      </c>
      <c r="R66" s="364" t="s">
        <v>527</v>
      </c>
      <c r="S66" s="364"/>
      <c r="T66" s="364"/>
      <c r="U66" s="555"/>
      <c r="V66" s="555"/>
      <c r="W66" s="555"/>
      <c r="X66" s="555"/>
      <c r="Y66" s="555"/>
      <c r="Z66" s="364"/>
      <c r="AA66"/>
      <c r="AB66"/>
      <c r="AC66"/>
      <c r="AD66"/>
      <c r="AJ66" s="17"/>
    </row>
    <row r="67" spans="1:36" ht="12.75" customHeight="1">
      <c r="A67" s="121"/>
      <c r="B67" s="121"/>
      <c r="C67" s="121"/>
      <c r="D67" s="121"/>
      <c r="E67" s="121"/>
      <c r="F67" s="121"/>
      <c r="G67" s="121"/>
      <c r="H67" s="121"/>
      <c r="I67" s="121"/>
      <c r="J67" s="121"/>
      <c r="K67" s="121"/>
      <c r="L67" s="121"/>
      <c r="M67" s="121"/>
      <c r="N67" s="121"/>
      <c r="O67" s="121"/>
      <c r="P67" s="121"/>
      <c r="Q67" s="360"/>
      <c r="R67" s="962" t="s">
        <v>678</v>
      </c>
      <c r="S67" s="963"/>
      <c r="T67" s="964"/>
      <c r="U67" s="949" t="s">
        <v>500</v>
      </c>
      <c r="V67" s="938" t="s">
        <v>22</v>
      </c>
      <c r="W67" s="940" t="s">
        <v>579</v>
      </c>
      <c r="X67" s="942" t="s">
        <v>21</v>
      </c>
      <c r="Y67" s="361"/>
      <c r="Z67" s="364"/>
      <c r="AA67"/>
      <c r="AB67"/>
      <c r="AC67"/>
      <c r="AD67"/>
      <c r="AJ67" s="17"/>
    </row>
    <row r="68" spans="1:36" ht="12.75" customHeight="1">
      <c r="A68" s="121"/>
      <c r="B68" s="121"/>
      <c r="C68" s="121"/>
      <c r="D68" s="121"/>
      <c r="E68" s="121"/>
      <c r="F68" s="121"/>
      <c r="G68" s="121"/>
      <c r="H68" s="121"/>
      <c r="I68" s="121"/>
      <c r="J68" s="121"/>
      <c r="K68" s="121"/>
      <c r="L68" s="121"/>
      <c r="M68" s="121"/>
      <c r="N68" s="121"/>
      <c r="O68" s="121"/>
      <c r="P68" s="121"/>
      <c r="Q68" s="360"/>
      <c r="R68" s="965"/>
      <c r="S68" s="966"/>
      <c r="T68" s="967"/>
      <c r="U68" s="950"/>
      <c r="V68" s="939"/>
      <c r="W68" s="941"/>
      <c r="X68" s="943"/>
      <c r="Y68" s="361"/>
      <c r="Z68" s="364"/>
      <c r="AA68"/>
      <c r="AB68"/>
      <c r="AC68"/>
      <c r="AD68"/>
      <c r="AJ68" s="17"/>
    </row>
    <row r="69" spans="1:36" ht="12.75" customHeight="1">
      <c r="A69" s="121"/>
      <c r="B69" s="121"/>
      <c r="C69" s="121"/>
      <c r="D69" s="121"/>
      <c r="E69" s="121"/>
      <c r="F69" s="121"/>
      <c r="G69" s="121"/>
      <c r="H69" s="121"/>
      <c r="I69" s="121"/>
      <c r="J69" s="121"/>
      <c r="K69" s="121"/>
      <c r="L69" s="121"/>
      <c r="M69" s="121"/>
      <c r="N69" s="121"/>
      <c r="O69" s="121"/>
      <c r="P69" s="121"/>
      <c r="Q69" s="360"/>
      <c r="R69" s="969" t="s">
        <v>63</v>
      </c>
      <c r="S69" s="969"/>
      <c r="T69" s="969"/>
      <c r="U69" s="369">
        <v>102</v>
      </c>
      <c r="V69" s="369">
        <f>VLOOKUP($V$5,'Lookup dBA'!$B$8:$E$208,3)</f>
        <v>108</v>
      </c>
      <c r="W69" s="369">
        <f>VLOOKUP($V$5,'Lookup dBA'!$B$8:$E$208,4)</f>
        <v>109</v>
      </c>
      <c r="X69" s="369">
        <f>VLOOKUP($V$5,'Lookup dBA'!$B$8:$E$208,2)</f>
        <v>116</v>
      </c>
      <c r="Y69" s="361"/>
      <c r="Z69" s="364"/>
      <c r="AA69"/>
      <c r="AB69"/>
      <c r="AC69"/>
      <c r="AD69"/>
      <c r="AJ69" s="32"/>
    </row>
    <row r="70" spans="1:36" ht="12.75" customHeight="1">
      <c r="A70" s="121"/>
      <c r="B70" s="121"/>
      <c r="C70" s="121"/>
      <c r="D70" s="121"/>
      <c r="E70" s="121"/>
      <c r="F70" s="121"/>
      <c r="G70" s="121"/>
      <c r="H70" s="121"/>
      <c r="I70" s="121"/>
      <c r="J70" s="121"/>
      <c r="K70" s="121"/>
      <c r="L70" s="121"/>
      <c r="M70" s="121"/>
      <c r="N70" s="121"/>
      <c r="O70" s="121"/>
      <c r="P70" s="121"/>
      <c r="Q70" s="360"/>
      <c r="R70" s="969" t="s">
        <v>64</v>
      </c>
      <c r="S70" s="969"/>
      <c r="T70" s="969"/>
      <c r="U70" s="369">
        <f>U69-PPE!$I$15</f>
        <v>89</v>
      </c>
      <c r="V70" s="369">
        <f>V69-PPE!$I$15</f>
        <v>95</v>
      </c>
      <c r="W70" s="369">
        <f>W69-PPE!$I$15</f>
        <v>96</v>
      </c>
      <c r="X70" s="369">
        <f>X69-PPE!$I$15</f>
        <v>103</v>
      </c>
      <c r="Y70" s="361"/>
      <c r="Z70" s="364"/>
      <c r="AA70"/>
      <c r="AB70"/>
      <c r="AC70"/>
      <c r="AD70"/>
      <c r="AJ70" s="32"/>
    </row>
    <row r="71" spans="1:36" ht="12.75" customHeight="1">
      <c r="A71" s="121"/>
      <c r="B71" s="121"/>
      <c r="C71" s="121"/>
      <c r="D71" s="121"/>
      <c r="E71" s="121"/>
      <c r="F71" s="121"/>
      <c r="G71" s="121"/>
      <c r="H71" s="121"/>
      <c r="I71" s="121"/>
      <c r="J71" s="121"/>
      <c r="K71" s="121"/>
      <c r="L71" s="121"/>
      <c r="M71" s="121"/>
      <c r="N71" s="121"/>
      <c r="O71" s="121"/>
      <c r="P71" s="121"/>
      <c r="Q71" s="360"/>
      <c r="R71" s="969" t="s">
        <v>529</v>
      </c>
      <c r="S71" s="969"/>
      <c r="T71" s="969"/>
      <c r="U71" s="369">
        <v>110</v>
      </c>
      <c r="V71" s="369">
        <v>110</v>
      </c>
      <c r="W71" s="369">
        <v>110</v>
      </c>
      <c r="X71" s="369">
        <v>110</v>
      </c>
      <c r="Y71" s="361"/>
      <c r="Z71" s="364"/>
      <c r="AA71"/>
      <c r="AB71"/>
      <c r="AC71"/>
      <c r="AD71"/>
      <c r="AJ71" s="32"/>
    </row>
    <row r="72" spans="1:36" ht="12.75" customHeight="1">
      <c r="A72" s="121"/>
      <c r="B72" s="121"/>
      <c r="C72" s="121"/>
      <c r="D72" s="121"/>
      <c r="E72" s="121"/>
      <c r="F72" s="121"/>
      <c r="G72" s="121"/>
      <c r="H72" s="121"/>
      <c r="I72" s="121"/>
      <c r="J72" s="121"/>
      <c r="K72" s="121"/>
      <c r="L72" s="121"/>
      <c r="M72" s="121"/>
      <c r="N72" s="121"/>
      <c r="O72" s="121"/>
      <c r="P72" s="121"/>
      <c r="Q72" s="360"/>
      <c r="R72" s="363"/>
      <c r="S72" s="363"/>
      <c r="T72" s="363"/>
      <c r="U72" s="363"/>
      <c r="V72" s="363"/>
      <c r="W72" s="363"/>
      <c r="X72" s="363"/>
      <c r="Y72" s="555"/>
      <c r="Z72" s="364"/>
      <c r="AA72"/>
      <c r="AB72"/>
      <c r="AC72"/>
      <c r="AD72"/>
      <c r="AJ72" s="17"/>
    </row>
    <row r="73" spans="1:36" ht="12.75" customHeight="1">
      <c r="A73" s="121"/>
      <c r="B73" s="121"/>
      <c r="C73" s="121"/>
      <c r="D73" s="121"/>
      <c r="E73" s="121"/>
      <c r="F73" s="121"/>
      <c r="G73" s="121"/>
      <c r="H73" s="121"/>
      <c r="I73" s="121"/>
      <c r="J73" s="121"/>
      <c r="K73" s="121"/>
      <c r="L73" s="121"/>
      <c r="M73" s="121"/>
      <c r="N73" s="121"/>
      <c r="O73" s="121"/>
      <c r="P73" s="121"/>
      <c r="Q73" s="360" t="s">
        <v>503</v>
      </c>
      <c r="R73" s="364" t="s">
        <v>528</v>
      </c>
      <c r="S73" s="364"/>
      <c r="T73" s="364"/>
      <c r="U73" s="555"/>
      <c r="V73" s="555"/>
      <c r="W73" s="555"/>
      <c r="X73" s="555"/>
      <c r="Y73" s="555"/>
      <c r="Z73" s="364"/>
      <c r="AA73"/>
      <c r="AB73"/>
      <c r="AC73"/>
      <c r="AD73"/>
      <c r="AJ73" s="17"/>
    </row>
    <row r="74" spans="1:36" ht="12.75" customHeight="1">
      <c r="A74" s="121"/>
      <c r="B74" s="121"/>
      <c r="C74" s="121"/>
      <c r="D74" s="121"/>
      <c r="E74" s="121"/>
      <c r="F74" s="121"/>
      <c r="G74" s="121"/>
      <c r="H74" s="121"/>
      <c r="I74" s="121"/>
      <c r="J74" s="121"/>
      <c r="K74" s="121"/>
      <c r="L74" s="121"/>
      <c r="M74" s="121"/>
      <c r="N74" s="121"/>
      <c r="O74" s="121"/>
      <c r="P74" s="121"/>
      <c r="Q74" s="360"/>
      <c r="R74" s="935" t="s">
        <v>678</v>
      </c>
      <c r="S74" s="935"/>
      <c r="T74" s="935"/>
      <c r="U74" s="930" t="s">
        <v>500</v>
      </c>
      <c r="V74" s="928" t="s">
        <v>22</v>
      </c>
      <c r="W74" s="929" t="s">
        <v>579</v>
      </c>
      <c r="X74" s="927" t="s">
        <v>21</v>
      </c>
      <c r="Y74" s="361"/>
      <c r="Z74" s="364"/>
      <c r="AA74"/>
      <c r="AB74"/>
      <c r="AC74"/>
      <c r="AD74"/>
      <c r="AJ74" s="17"/>
    </row>
    <row r="75" spans="1:36" ht="12.75" customHeight="1">
      <c r="A75" s="121"/>
      <c r="B75" s="121"/>
      <c r="C75" s="121"/>
      <c r="D75" s="121"/>
      <c r="E75" s="121"/>
      <c r="F75" s="121"/>
      <c r="G75" s="121"/>
      <c r="H75" s="121"/>
      <c r="I75" s="121"/>
      <c r="J75" s="121"/>
      <c r="K75" s="121"/>
      <c r="L75" s="121"/>
      <c r="M75" s="121"/>
      <c r="N75" s="121"/>
      <c r="O75" s="121"/>
      <c r="P75" s="121"/>
      <c r="Q75" s="360"/>
      <c r="R75" s="935"/>
      <c r="S75" s="935"/>
      <c r="T75" s="935"/>
      <c r="U75" s="930"/>
      <c r="V75" s="928"/>
      <c r="W75" s="929"/>
      <c r="X75" s="927"/>
      <c r="Y75" s="361"/>
      <c r="Z75" s="364"/>
      <c r="AA75"/>
      <c r="AB75"/>
      <c r="AC75"/>
      <c r="AD75"/>
      <c r="AJ75" s="17"/>
    </row>
    <row r="76" spans="1:36" ht="12.75" customHeight="1">
      <c r="A76" s="121"/>
      <c r="B76" s="121"/>
      <c r="C76" s="121"/>
      <c r="D76" s="121"/>
      <c r="E76" s="121"/>
      <c r="F76" s="121"/>
      <c r="G76" s="121"/>
      <c r="H76" s="121"/>
      <c r="I76" s="121"/>
      <c r="J76" s="121"/>
      <c r="K76" s="121"/>
      <c r="L76" s="121"/>
      <c r="M76" s="121"/>
      <c r="N76" s="121"/>
      <c r="O76" s="121"/>
      <c r="P76" s="121"/>
      <c r="Q76" s="360"/>
      <c r="R76" s="969" t="s">
        <v>63</v>
      </c>
      <c r="S76" s="969"/>
      <c r="T76" s="969"/>
      <c r="U76" s="369">
        <f>VLOOKUP($V$21,$R$309:$Z$314,5)</f>
        <v>108.02059991327964</v>
      </c>
      <c r="V76" s="369">
        <f>VLOOKUP($V$21,$R$309:$Z$314,3)</f>
        <v>114.02059991327963</v>
      </c>
      <c r="W76" s="369">
        <f>VLOOKUP($V$21,$R$309:$Z$314,4)</f>
        <v>115.02059991327963</v>
      </c>
      <c r="X76" s="369">
        <f>VLOOKUP($V$21,$R$309:$Z$314,2)</f>
        <v>122.02059991327964</v>
      </c>
      <c r="Y76" s="361"/>
      <c r="Z76" s="364"/>
      <c r="AA76"/>
      <c r="AB76"/>
      <c r="AC76"/>
      <c r="AD76"/>
      <c r="AJ76" s="17"/>
    </row>
    <row r="77" spans="1:36" ht="12.75" customHeight="1">
      <c r="Q77" s="360"/>
      <c r="R77" s="969" t="s">
        <v>64</v>
      </c>
      <c r="S77" s="969"/>
      <c r="T77" s="969"/>
      <c r="U77" s="369">
        <f>U76-PPE!$I$15</f>
        <v>95.020599913279639</v>
      </c>
      <c r="V77" s="369">
        <f>V76-PPE!$I$15</f>
        <v>101.02059991327963</v>
      </c>
      <c r="W77" s="369">
        <f>W76-PPE!$I$15</f>
        <v>102.02059991327963</v>
      </c>
      <c r="X77" s="369">
        <f>X76-PPE!$I$15</f>
        <v>109.02059991327964</v>
      </c>
      <c r="Y77" s="361"/>
      <c r="Z77" s="364"/>
      <c r="AA77"/>
      <c r="AB77"/>
      <c r="AC77"/>
      <c r="AD77"/>
      <c r="AJ77" s="17"/>
    </row>
    <row r="78" spans="1:36" ht="12.75" customHeight="1">
      <c r="Q78" s="360"/>
      <c r="R78" s="969" t="s">
        <v>529</v>
      </c>
      <c r="S78" s="969"/>
      <c r="T78" s="969"/>
      <c r="U78" s="369">
        <v>110</v>
      </c>
      <c r="V78" s="369">
        <v>110</v>
      </c>
      <c r="W78" s="369">
        <v>110</v>
      </c>
      <c r="X78" s="369">
        <v>110</v>
      </c>
      <c r="Y78" s="361"/>
      <c r="Z78" s="364"/>
      <c r="AA78"/>
      <c r="AB78"/>
      <c r="AC78"/>
      <c r="AD78"/>
      <c r="AJ78" s="17"/>
    </row>
    <row r="79" spans="1:36" ht="12.75" customHeight="1">
      <c r="Q79" s="360"/>
      <c r="R79" s="364"/>
      <c r="S79" s="364"/>
      <c r="T79" s="364"/>
      <c r="U79" s="555"/>
      <c r="V79" s="555"/>
      <c r="W79" s="555"/>
      <c r="X79" s="555"/>
      <c r="Y79" s="555"/>
      <c r="Z79" s="364"/>
      <c r="AA79"/>
      <c r="AB79"/>
      <c r="AC79"/>
      <c r="AD79"/>
      <c r="AJ79" s="17"/>
    </row>
    <row r="80" spans="1:36" ht="12.75" customHeight="1">
      <c r="Q80" s="385" t="s">
        <v>305</v>
      </c>
      <c r="R80" s="1008" t="s">
        <v>218</v>
      </c>
      <c r="S80" s="1008"/>
      <c r="T80" s="1008"/>
      <c r="U80" s="1008"/>
      <c r="V80" s="1008"/>
      <c r="W80" s="1008"/>
      <c r="X80" s="1008"/>
      <c r="Y80" s="1008"/>
      <c r="Z80" s="536"/>
      <c r="AA80"/>
      <c r="AB80"/>
      <c r="AC80"/>
      <c r="AD80"/>
      <c r="AJ80" s="43"/>
    </row>
    <row r="81" spans="17:36" ht="12.75" customHeight="1">
      <c r="Q81" s="546"/>
      <c r="R81" s="363"/>
      <c r="S81" s="363"/>
      <c r="T81" s="363"/>
      <c r="U81" s="363"/>
      <c r="V81" s="363"/>
      <c r="W81" s="363"/>
      <c r="X81" s="363"/>
      <c r="Y81" s="363"/>
      <c r="Z81" s="364"/>
      <c r="AA81"/>
      <c r="AB81"/>
      <c r="AC81"/>
      <c r="AD81"/>
      <c r="AJ81" s="43"/>
    </row>
    <row r="82" spans="17:36" ht="12.75" customHeight="1">
      <c r="Q82" s="546"/>
      <c r="R82" s="363" t="s">
        <v>436</v>
      </c>
      <c r="S82" s="363"/>
      <c r="T82" s="363"/>
      <c r="U82" s="363"/>
      <c r="V82" s="363"/>
      <c r="W82" s="363"/>
      <c r="X82" s="363"/>
      <c r="Y82" s="363"/>
      <c r="Z82" s="364"/>
      <c r="AA82"/>
      <c r="AB82"/>
      <c r="AC82"/>
      <c r="AD82"/>
      <c r="AJ82" s="43"/>
    </row>
    <row r="83" spans="17:36" ht="12.75" customHeight="1">
      <c r="Q83" s="360"/>
      <c r="R83" s="935" t="s">
        <v>678</v>
      </c>
      <c r="S83" s="935"/>
      <c r="T83" s="935"/>
      <c r="U83" s="949" t="s">
        <v>500</v>
      </c>
      <c r="V83" s="1011" t="s">
        <v>22</v>
      </c>
      <c r="W83" s="1013" t="s">
        <v>579</v>
      </c>
      <c r="X83" s="1009" t="s">
        <v>21</v>
      </c>
      <c r="Y83" s="361"/>
      <c r="Z83" s="364"/>
      <c r="AA83"/>
      <c r="AB83"/>
      <c r="AC83"/>
      <c r="AD83"/>
    </row>
    <row r="84" spans="17:36" ht="12.75" customHeight="1">
      <c r="Q84" s="360"/>
      <c r="R84" s="935"/>
      <c r="S84" s="935"/>
      <c r="T84" s="935"/>
      <c r="U84" s="950"/>
      <c r="V84" s="1012"/>
      <c r="W84" s="1014"/>
      <c r="X84" s="1010"/>
      <c r="Y84" s="361"/>
      <c r="Z84" s="364"/>
      <c r="AA84"/>
      <c r="AB84"/>
      <c r="AC84"/>
      <c r="AD84"/>
    </row>
    <row r="85" spans="17:36" ht="12.75" customHeight="1">
      <c r="Q85" s="360"/>
      <c r="R85" s="969" t="s">
        <v>63</v>
      </c>
      <c r="S85" s="969"/>
      <c r="T85" s="969"/>
      <c r="U85" s="369">
        <f>U414</f>
        <v>97.15</v>
      </c>
      <c r="V85" s="369">
        <f>U356</f>
        <v>101.95</v>
      </c>
      <c r="W85" s="369">
        <f>U385</f>
        <v>102.4</v>
      </c>
      <c r="X85" s="369">
        <f>U327</f>
        <v>108.5</v>
      </c>
      <c r="Y85" s="361"/>
      <c r="Z85" s="364"/>
      <c r="AA85"/>
      <c r="AB85"/>
      <c r="AC85"/>
      <c r="AD85"/>
    </row>
    <row r="86" spans="17:36" ht="12.75" customHeight="1">
      <c r="Q86" s="360"/>
      <c r="R86" s="969" t="s">
        <v>64</v>
      </c>
      <c r="S86" s="969"/>
      <c r="T86" s="969"/>
      <c r="U86" s="369">
        <f>U427</f>
        <v>84.15</v>
      </c>
      <c r="V86" s="369">
        <f>U369</f>
        <v>88.95</v>
      </c>
      <c r="W86" s="369">
        <f>U398</f>
        <v>89.3</v>
      </c>
      <c r="X86" s="369">
        <f>U340</f>
        <v>95.55</v>
      </c>
      <c r="Y86" s="361"/>
      <c r="Z86" s="364"/>
      <c r="AA86"/>
      <c r="AB86"/>
      <c r="AC86"/>
      <c r="AD86"/>
    </row>
    <row r="87" spans="17:36" ht="12.75" customHeight="1">
      <c r="Q87" s="360"/>
      <c r="R87" s="969" t="s">
        <v>530</v>
      </c>
      <c r="S87" s="969"/>
      <c r="T87" s="969"/>
      <c r="U87" s="369">
        <v>85</v>
      </c>
      <c r="V87" s="369">
        <v>85</v>
      </c>
      <c r="W87" s="369">
        <v>85</v>
      </c>
      <c r="X87" s="369">
        <v>85</v>
      </c>
      <c r="Y87" s="361"/>
      <c r="Z87" s="364"/>
      <c r="AA87"/>
      <c r="AB87"/>
      <c r="AC87"/>
      <c r="AD87"/>
    </row>
    <row r="88" spans="17:36" ht="12.75" customHeight="1">
      <c r="Q88" s="360"/>
      <c r="R88" s="363"/>
      <c r="S88" s="363"/>
      <c r="T88" s="363"/>
      <c r="U88" s="363"/>
      <c r="V88" s="363"/>
      <c r="W88" s="363"/>
      <c r="X88" s="363"/>
      <c r="Y88" s="363"/>
      <c r="Z88" s="364"/>
      <c r="AA88"/>
      <c r="AB88"/>
      <c r="AC88"/>
      <c r="AD88"/>
    </row>
    <row r="89" spans="17:36" ht="12.75" customHeight="1">
      <c r="Q89" s="360"/>
      <c r="R89" s="363" t="s">
        <v>437</v>
      </c>
      <c r="S89" s="363"/>
      <c r="T89" s="363"/>
      <c r="U89" s="363"/>
      <c r="V89" s="363"/>
      <c r="W89" s="363"/>
      <c r="X89" s="363"/>
      <c r="Y89" s="363"/>
      <c r="Z89" s="364"/>
      <c r="AA89"/>
      <c r="AB89"/>
      <c r="AC89"/>
      <c r="AD89"/>
    </row>
    <row r="90" spans="17:36" ht="12.75" customHeight="1">
      <c r="Q90" s="360"/>
      <c r="R90" s="935" t="s">
        <v>678</v>
      </c>
      <c r="S90" s="935"/>
      <c r="T90" s="935"/>
      <c r="U90" s="949" t="s">
        <v>500</v>
      </c>
      <c r="V90" s="1011" t="s">
        <v>22</v>
      </c>
      <c r="W90" s="1013" t="s">
        <v>579</v>
      </c>
      <c r="X90" s="1009" t="s">
        <v>21</v>
      </c>
      <c r="Y90" s="361"/>
      <c r="Z90" s="364"/>
      <c r="AA90"/>
      <c r="AB90"/>
      <c r="AC90"/>
      <c r="AD90"/>
    </row>
    <row r="91" spans="17:36" ht="12.75" customHeight="1">
      <c r="Q91" s="360"/>
      <c r="R91" s="935"/>
      <c r="S91" s="935"/>
      <c r="T91" s="935"/>
      <c r="U91" s="950"/>
      <c r="V91" s="1012"/>
      <c r="W91" s="1014"/>
      <c r="X91" s="1010"/>
      <c r="Y91" s="361"/>
      <c r="Z91" s="364"/>
      <c r="AA91"/>
      <c r="AB91"/>
      <c r="AC91"/>
      <c r="AD91"/>
    </row>
    <row r="92" spans="17:36" ht="12.75" customHeight="1">
      <c r="Q92" s="360"/>
      <c r="R92" s="969" t="s">
        <v>63</v>
      </c>
      <c r="S92" s="969"/>
      <c r="T92" s="969"/>
      <c r="U92" s="369">
        <f>U533</f>
        <v>103.15</v>
      </c>
      <c r="V92" s="369">
        <f>U475</f>
        <v>107.95</v>
      </c>
      <c r="W92" s="369">
        <f>U504</f>
        <v>108.4</v>
      </c>
      <c r="X92" s="369">
        <f>U446</f>
        <v>113.95</v>
      </c>
      <c r="Y92" s="361"/>
      <c r="Z92" s="364"/>
      <c r="AA92"/>
      <c r="AB92"/>
      <c r="AC92"/>
      <c r="AD92"/>
    </row>
    <row r="93" spans="17:36" ht="12.75" customHeight="1">
      <c r="Q93" s="360"/>
      <c r="R93" s="969" t="s">
        <v>64</v>
      </c>
      <c r="S93" s="969"/>
      <c r="T93" s="969"/>
      <c r="U93" s="369">
        <f>U546</f>
        <v>90.15</v>
      </c>
      <c r="V93" s="369">
        <f>U488</f>
        <v>94.95</v>
      </c>
      <c r="W93" s="369">
        <f>U517</f>
        <v>95.3</v>
      </c>
      <c r="X93" s="369">
        <f>U459</f>
        <v>101.55</v>
      </c>
      <c r="Y93" s="361"/>
      <c r="Z93" s="364"/>
      <c r="AA93"/>
      <c r="AB93"/>
      <c r="AC93"/>
      <c r="AD93"/>
    </row>
    <row r="94" spans="17:36" ht="12.75" customHeight="1">
      <c r="Q94" s="360"/>
      <c r="R94" s="969" t="s">
        <v>530</v>
      </c>
      <c r="S94" s="969"/>
      <c r="T94" s="969"/>
      <c r="U94" s="369">
        <v>85</v>
      </c>
      <c r="V94" s="369">
        <v>85</v>
      </c>
      <c r="W94" s="369">
        <v>85</v>
      </c>
      <c r="X94" s="369">
        <v>85</v>
      </c>
      <c r="Y94" s="361"/>
      <c r="Z94" s="364"/>
      <c r="AA94"/>
      <c r="AB94"/>
      <c r="AC94"/>
      <c r="AD94"/>
    </row>
    <row r="95" spans="17:36" ht="12.75" customHeight="1">
      <c r="Q95" s="360"/>
      <c r="R95" s="363"/>
      <c r="S95" s="363"/>
      <c r="T95" s="363"/>
      <c r="U95" s="363"/>
      <c r="V95" s="363"/>
      <c r="W95" s="363"/>
      <c r="X95" s="363"/>
      <c r="Y95" s="363"/>
      <c r="Z95" s="364"/>
      <c r="AA95"/>
      <c r="AB95"/>
      <c r="AC95"/>
      <c r="AD95"/>
    </row>
    <row r="96" spans="17:36" s="133" customFormat="1" ht="12.75" customHeight="1">
      <c r="Q96" s="385" t="s">
        <v>222</v>
      </c>
      <c r="R96" s="1008" t="s">
        <v>504</v>
      </c>
      <c r="S96" s="1008"/>
      <c r="T96" s="1008"/>
      <c r="U96" s="1008"/>
      <c r="V96" s="1008"/>
      <c r="W96" s="1008"/>
      <c r="X96" s="1008"/>
      <c r="Y96" s="1008"/>
      <c r="Z96" s="547"/>
      <c r="AA96"/>
      <c r="AB96"/>
      <c r="AC96"/>
      <c r="AD96"/>
    </row>
    <row r="97" spans="17:30" ht="12.75" customHeight="1">
      <c r="Q97" s="360"/>
      <c r="R97" s="363"/>
      <c r="S97" s="363"/>
      <c r="T97" s="363"/>
      <c r="U97" s="363"/>
      <c r="V97" s="363"/>
      <c r="W97" s="363"/>
      <c r="X97" s="363"/>
      <c r="Y97" s="363"/>
      <c r="Z97" s="364"/>
      <c r="AA97"/>
      <c r="AB97"/>
      <c r="AC97"/>
      <c r="AD97"/>
    </row>
    <row r="98" spans="17:30" ht="12.75" customHeight="1">
      <c r="Q98" s="360" t="s">
        <v>505</v>
      </c>
      <c r="R98" s="363" t="s">
        <v>514</v>
      </c>
      <c r="S98" s="363"/>
      <c r="T98" s="363"/>
      <c r="U98" s="363"/>
      <c r="V98" s="363"/>
      <c r="W98" s="363"/>
      <c r="X98" s="363"/>
      <c r="Y98" s="363"/>
      <c r="Z98" s="364"/>
      <c r="AA98"/>
      <c r="AB98"/>
      <c r="AC98"/>
      <c r="AD98"/>
    </row>
    <row r="99" spans="17:30" ht="12.75" customHeight="1">
      <c r="Q99" s="360"/>
      <c r="R99" s="363" t="s">
        <v>512</v>
      </c>
      <c r="S99" s="363"/>
      <c r="T99" s="363"/>
      <c r="U99" s="363"/>
      <c r="V99" s="363"/>
      <c r="W99" s="363"/>
      <c r="X99" s="363"/>
      <c r="Y99" s="363"/>
      <c r="Z99" s="364"/>
      <c r="AA99"/>
      <c r="AB99"/>
      <c r="AC99"/>
      <c r="AD99"/>
    </row>
    <row r="100" spans="17:30" ht="12.75" customHeight="1">
      <c r="Q100" s="360"/>
      <c r="R100" s="998" t="s">
        <v>191</v>
      </c>
      <c r="S100" s="999"/>
      <c r="T100" s="1000"/>
      <c r="U100" s="949" t="s">
        <v>500</v>
      </c>
      <c r="V100" s="938" t="s">
        <v>22</v>
      </c>
      <c r="W100" s="940" t="s">
        <v>579</v>
      </c>
      <c r="X100" s="942" t="s">
        <v>21</v>
      </c>
      <c r="Y100" s="361"/>
      <c r="Z100" s="364"/>
      <c r="AA100"/>
      <c r="AB100"/>
      <c r="AC100"/>
      <c r="AD100"/>
    </row>
    <row r="101" spans="17:30" ht="12.75" customHeight="1">
      <c r="Q101" s="360"/>
      <c r="R101" s="1001"/>
      <c r="S101" s="1002"/>
      <c r="T101" s="1003"/>
      <c r="U101" s="950"/>
      <c r="V101" s="939"/>
      <c r="W101" s="941"/>
      <c r="X101" s="943"/>
      <c r="Y101" s="361"/>
      <c r="Z101" s="364"/>
      <c r="AA101"/>
      <c r="AB101"/>
      <c r="AC101"/>
      <c r="AD101"/>
    </row>
    <row r="102" spans="17:30" ht="12.75" customHeight="1">
      <c r="Q102" s="360"/>
      <c r="R102" s="969" t="s">
        <v>63</v>
      </c>
      <c r="S102" s="969"/>
      <c r="T102" s="969"/>
      <c r="U102" s="537">
        <f>VLOOKUP(U69,'Lookup Exposure Time'!$B$12:$C$732,2)</f>
        <v>10</v>
      </c>
      <c r="V102" s="537">
        <f>VLOOKUP(V69,'Lookup Exposure Time'!$B$12:$C$732,2)</f>
        <v>2.5</v>
      </c>
      <c r="W102" s="537">
        <f>VLOOKUP(W69,'Lookup Exposure Time'!$B$12:$C$732,2)</f>
        <v>1.875</v>
      </c>
      <c r="X102" s="537">
        <f>VLOOKUP(X69,'Lookup Exposure Time'!$B$12:$C$732,2)</f>
        <v>0.39061999999999986</v>
      </c>
      <c r="Y102" s="361"/>
      <c r="Z102" s="364"/>
      <c r="AA102"/>
      <c r="AB102"/>
      <c r="AC102"/>
      <c r="AD102"/>
    </row>
    <row r="103" spans="17:30" ht="12.75" customHeight="1">
      <c r="Q103" s="360"/>
      <c r="R103" s="969" t="s">
        <v>64</v>
      </c>
      <c r="S103" s="969"/>
      <c r="T103" s="969"/>
      <c r="U103" s="537">
        <f>VLOOKUP(U70,'Lookup Exposure Time'!$B$12:$C$732,2)</f>
        <v>200</v>
      </c>
      <c r="V103" s="537">
        <f>VLOOKUP(V70,'Lookup Exposure Time'!$B$12:$C$732,2)</f>
        <v>50</v>
      </c>
      <c r="W103" s="537">
        <f>VLOOKUP(W70,'Lookup Exposure Time'!$B$12:$C$732,2)</f>
        <v>40</v>
      </c>
      <c r="X103" s="537">
        <f>VLOOKUP(X70,'Lookup Exposure Time'!$B$12:$C$732,2)</f>
        <v>7.5</v>
      </c>
      <c r="Y103" s="361"/>
      <c r="Z103" s="364"/>
      <c r="AA103"/>
      <c r="AB103"/>
      <c r="AC103"/>
      <c r="AD103"/>
    </row>
    <row r="104" spans="17:30" ht="12.75" customHeight="1">
      <c r="Q104" s="360"/>
      <c r="R104" s="364"/>
      <c r="S104" s="364"/>
      <c r="T104" s="364"/>
      <c r="U104" s="364"/>
      <c r="V104" s="364"/>
      <c r="W104" s="364"/>
      <c r="X104" s="364"/>
      <c r="Y104" s="363"/>
      <c r="Z104" s="364"/>
      <c r="AA104"/>
      <c r="AB104"/>
      <c r="AC104"/>
      <c r="AD104"/>
    </row>
    <row r="105" spans="17:30" ht="12.75" customHeight="1">
      <c r="Q105" s="360" t="s">
        <v>507</v>
      </c>
      <c r="R105" s="363" t="s">
        <v>513</v>
      </c>
      <c r="S105" s="363"/>
      <c r="T105" s="363"/>
      <c r="U105" s="363"/>
      <c r="V105" s="363"/>
      <c r="W105" s="363"/>
      <c r="X105" s="363"/>
      <c r="Y105" s="363"/>
      <c r="Z105" s="364"/>
      <c r="AA105"/>
      <c r="AB105"/>
      <c r="AC105"/>
      <c r="AD105"/>
    </row>
    <row r="106" spans="17:30" ht="12.75" customHeight="1">
      <c r="Q106" s="360"/>
      <c r="R106" s="998" t="s">
        <v>191</v>
      </c>
      <c r="S106" s="999"/>
      <c r="T106" s="1000"/>
      <c r="U106" s="949" t="s">
        <v>500</v>
      </c>
      <c r="V106" s="938" t="s">
        <v>22</v>
      </c>
      <c r="W106" s="940" t="s">
        <v>579</v>
      </c>
      <c r="X106" s="942" t="s">
        <v>21</v>
      </c>
      <c r="Y106" s="361"/>
      <c r="Z106" s="364"/>
      <c r="AA106"/>
      <c r="AB106"/>
      <c r="AC106"/>
      <c r="AD106"/>
    </row>
    <row r="107" spans="17:30" ht="12.75" customHeight="1">
      <c r="Q107" s="360"/>
      <c r="R107" s="1001"/>
      <c r="S107" s="1002"/>
      <c r="T107" s="1003"/>
      <c r="U107" s="950"/>
      <c r="V107" s="939"/>
      <c r="W107" s="941"/>
      <c r="X107" s="943"/>
      <c r="Y107" s="361"/>
      <c r="Z107" s="364"/>
      <c r="AA107"/>
      <c r="AB107"/>
      <c r="AC107"/>
      <c r="AD107"/>
    </row>
    <row r="108" spans="17:30" ht="12.75" customHeight="1">
      <c r="Q108" s="360"/>
      <c r="R108" s="969" t="s">
        <v>63</v>
      </c>
      <c r="S108" s="969"/>
      <c r="T108" s="969"/>
      <c r="U108" s="671">
        <f>VLOOKUP(U76,'Lookup Exposure Time'!$B$12:$C$732,2)</f>
        <v>2.5</v>
      </c>
      <c r="V108" s="671">
        <f>VLOOKUP(V76,'Lookup Exposure Time'!$B$12:$C$732,2)</f>
        <v>0.625</v>
      </c>
      <c r="W108" s="671">
        <f>VLOOKUP(W76,'Lookup Exposure Time'!$B$12:$C$732,2)</f>
        <v>0.46875</v>
      </c>
      <c r="X108" s="671">
        <f>VLOOKUP(X76,'Lookup Exposure Time'!$B$12:$C$732,2)</f>
        <v>9.765625E-2</v>
      </c>
      <c r="Y108" s="361"/>
      <c r="Z108" s="364"/>
      <c r="AA108"/>
      <c r="AB108"/>
      <c r="AC108"/>
      <c r="AD108"/>
    </row>
    <row r="109" spans="17:30" ht="12.75" customHeight="1">
      <c r="Q109" s="360"/>
      <c r="R109" s="969" t="s">
        <v>64</v>
      </c>
      <c r="S109" s="969"/>
      <c r="T109" s="969"/>
      <c r="U109" s="557">
        <f>VLOOKUP(U77,'Lookup Exposure Time'!$B$12:$C$732,2)</f>
        <v>50</v>
      </c>
      <c r="V109" s="557">
        <f>VLOOKUP(V77,'Lookup Exposure Time'!$B$12:$C$732,2)</f>
        <v>12.5</v>
      </c>
      <c r="W109" s="557">
        <f>VLOOKUP(W77,'Lookup Exposure Time'!$B$12:$C$732,2)</f>
        <v>10</v>
      </c>
      <c r="X109" s="557">
        <f>VLOOKUP(X77,'Lookup Exposure Time'!$B$12:$C$732,2)</f>
        <v>1.875</v>
      </c>
      <c r="Y109" s="361"/>
      <c r="Z109" s="364"/>
      <c r="AA109"/>
      <c r="AB109"/>
      <c r="AC109"/>
      <c r="AD109"/>
    </row>
    <row r="110" spans="17:30" ht="12.75" customHeight="1">
      <c r="Q110" s="360"/>
      <c r="R110" s="363"/>
      <c r="S110" s="363"/>
      <c r="T110" s="363"/>
      <c r="U110" s="363"/>
      <c r="V110" s="363"/>
      <c r="W110" s="363"/>
      <c r="X110" s="363"/>
      <c r="Y110" s="363"/>
      <c r="Z110" s="364"/>
      <c r="AA110"/>
      <c r="AB110"/>
      <c r="AC110"/>
      <c r="AD110"/>
    </row>
    <row r="111" spans="17:30" ht="12.75" customHeight="1">
      <c r="Q111" s="360" t="s">
        <v>508</v>
      </c>
      <c r="R111" s="363" t="s">
        <v>531</v>
      </c>
      <c r="S111" s="363"/>
      <c r="T111" s="363"/>
      <c r="U111" s="363"/>
      <c r="V111" s="363"/>
      <c r="W111" s="363"/>
      <c r="X111" s="363"/>
      <c r="Y111" s="363"/>
      <c r="Z111" s="364"/>
      <c r="AA111"/>
      <c r="AB111"/>
      <c r="AC111"/>
      <c r="AD111"/>
    </row>
    <row r="112" spans="17:30" ht="12.75" customHeight="1">
      <c r="Q112" s="360"/>
      <c r="R112" s="998" t="s">
        <v>191</v>
      </c>
      <c r="S112" s="999"/>
      <c r="T112" s="1000"/>
      <c r="U112" s="949" t="s">
        <v>500</v>
      </c>
      <c r="V112" s="938" t="s">
        <v>22</v>
      </c>
      <c r="W112" s="940" t="s">
        <v>579</v>
      </c>
      <c r="X112" s="942" t="s">
        <v>21</v>
      </c>
      <c r="Y112" s="361"/>
      <c r="Z112" s="364"/>
      <c r="AA112"/>
      <c r="AB112"/>
      <c r="AC112"/>
      <c r="AD112"/>
    </row>
    <row r="113" spans="17:30" ht="12.75" customHeight="1">
      <c r="Q113" s="360"/>
      <c r="R113" s="1001"/>
      <c r="S113" s="1002"/>
      <c r="T113" s="1003"/>
      <c r="U113" s="950"/>
      <c r="V113" s="939"/>
      <c r="W113" s="941"/>
      <c r="X113" s="943"/>
      <c r="Y113" s="361"/>
      <c r="Z113" s="364"/>
      <c r="AA113"/>
      <c r="AB113"/>
      <c r="AC113"/>
      <c r="AD113"/>
    </row>
    <row r="114" spans="17:30" ht="12.75" customHeight="1">
      <c r="Q114" s="360"/>
      <c r="R114" s="969" t="s">
        <v>63</v>
      </c>
      <c r="S114" s="969"/>
      <c r="T114" s="969"/>
      <c r="U114" s="537">
        <f t="shared" ref="U114:X115" si="0">U102/60</f>
        <v>0.16666666666666666</v>
      </c>
      <c r="V114" s="537">
        <f t="shared" si="0"/>
        <v>4.1666666666666664E-2</v>
      </c>
      <c r="W114" s="537">
        <f t="shared" si="0"/>
        <v>3.125E-2</v>
      </c>
      <c r="X114" s="537">
        <f t="shared" si="0"/>
        <v>6.5103333333333306E-3</v>
      </c>
      <c r="Y114" s="361"/>
      <c r="Z114" s="364"/>
      <c r="AA114"/>
      <c r="AB114"/>
      <c r="AC114"/>
      <c r="AD114"/>
    </row>
    <row r="115" spans="17:30" ht="12.75" customHeight="1">
      <c r="Q115" s="360"/>
      <c r="R115" s="969" t="s">
        <v>64</v>
      </c>
      <c r="S115" s="969"/>
      <c r="T115" s="969"/>
      <c r="U115" s="537">
        <f t="shared" si="0"/>
        <v>3.3333333333333335</v>
      </c>
      <c r="V115" s="537">
        <f t="shared" si="0"/>
        <v>0.83333333333333337</v>
      </c>
      <c r="W115" s="537">
        <f t="shared" si="0"/>
        <v>0.66666666666666663</v>
      </c>
      <c r="X115" s="537">
        <f t="shared" si="0"/>
        <v>0.125</v>
      </c>
      <c r="Y115" s="361"/>
      <c r="Z115" s="364"/>
      <c r="AA115"/>
      <c r="AB115"/>
      <c r="AC115"/>
      <c r="AD115"/>
    </row>
    <row r="116" spans="17:30" ht="12.75" customHeight="1">
      <c r="Q116" s="360"/>
      <c r="R116" s="364"/>
      <c r="S116" s="364"/>
      <c r="T116" s="364"/>
      <c r="U116" s="364"/>
      <c r="V116" s="364"/>
      <c r="W116" s="364"/>
      <c r="X116" s="364"/>
      <c r="Y116" s="363"/>
      <c r="Z116" s="364"/>
      <c r="AA116"/>
      <c r="AB116"/>
      <c r="AC116"/>
      <c r="AD116"/>
    </row>
    <row r="117" spans="17:30" ht="12.75" customHeight="1">
      <c r="Q117" s="360" t="s">
        <v>506</v>
      </c>
      <c r="R117" s="363" t="s">
        <v>532</v>
      </c>
      <c r="S117" s="363"/>
      <c r="T117" s="363"/>
      <c r="U117" s="363"/>
      <c r="V117" s="363"/>
      <c r="W117" s="363"/>
      <c r="X117" s="363"/>
      <c r="Y117" s="363"/>
      <c r="Z117" s="364"/>
      <c r="AA117"/>
      <c r="AB117"/>
      <c r="AC117"/>
      <c r="AD117"/>
    </row>
    <row r="118" spans="17:30" ht="12.75" customHeight="1">
      <c r="Q118" s="360"/>
      <c r="R118" s="998" t="s">
        <v>191</v>
      </c>
      <c r="S118" s="999"/>
      <c r="T118" s="1000"/>
      <c r="U118" s="949" t="s">
        <v>500</v>
      </c>
      <c r="V118" s="938" t="s">
        <v>22</v>
      </c>
      <c r="W118" s="940" t="s">
        <v>579</v>
      </c>
      <c r="X118" s="942" t="s">
        <v>21</v>
      </c>
      <c r="Y118" s="361"/>
      <c r="Z118" s="364"/>
      <c r="AA118"/>
      <c r="AB118"/>
      <c r="AC118"/>
      <c r="AD118"/>
    </row>
    <row r="119" spans="17:30" ht="12.75" customHeight="1">
      <c r="Q119" s="360"/>
      <c r="R119" s="1001"/>
      <c r="S119" s="1002"/>
      <c r="T119" s="1003"/>
      <c r="U119" s="950"/>
      <c r="V119" s="939"/>
      <c r="W119" s="941"/>
      <c r="X119" s="943"/>
      <c r="Y119" s="361"/>
      <c r="Z119" s="364"/>
      <c r="AA119"/>
      <c r="AB119"/>
      <c r="AC119"/>
      <c r="AD119"/>
    </row>
    <row r="120" spans="17:30" ht="12.75" customHeight="1">
      <c r="Q120" s="360"/>
      <c r="R120" s="969" t="s">
        <v>63</v>
      </c>
      <c r="S120" s="969"/>
      <c r="T120" s="969"/>
      <c r="U120" s="537">
        <f t="shared" ref="U120:X121" si="1">U108/60</f>
        <v>4.1666666666666664E-2</v>
      </c>
      <c r="V120" s="537">
        <f t="shared" si="1"/>
        <v>1.0416666666666666E-2</v>
      </c>
      <c r="W120" s="537">
        <f t="shared" si="1"/>
        <v>7.8125E-3</v>
      </c>
      <c r="X120" s="537">
        <f t="shared" si="1"/>
        <v>1.6276041666666667E-3</v>
      </c>
      <c r="Y120" s="361"/>
      <c r="Z120" s="364"/>
      <c r="AA120"/>
      <c r="AB120"/>
      <c r="AC120"/>
      <c r="AD120"/>
    </row>
    <row r="121" spans="17:30" ht="12.75" customHeight="1">
      <c r="Q121" s="360"/>
      <c r="R121" s="969" t="s">
        <v>64</v>
      </c>
      <c r="S121" s="969"/>
      <c r="T121" s="969"/>
      <c r="U121" s="537">
        <f t="shared" si="1"/>
        <v>0.83333333333333337</v>
      </c>
      <c r="V121" s="537">
        <f t="shared" si="1"/>
        <v>0.20833333333333334</v>
      </c>
      <c r="W121" s="537">
        <f t="shared" si="1"/>
        <v>0.16666666666666666</v>
      </c>
      <c r="X121" s="537">
        <f t="shared" si="1"/>
        <v>3.125E-2</v>
      </c>
      <c r="Y121" s="361"/>
      <c r="Z121" s="364"/>
      <c r="AA121"/>
      <c r="AB121"/>
      <c r="AC121"/>
      <c r="AD121"/>
    </row>
    <row r="122" spans="17:30" ht="12.75" customHeight="1">
      <c r="Q122" s="360"/>
      <c r="R122" s="363"/>
      <c r="S122" s="363"/>
      <c r="T122" s="363"/>
      <c r="U122" s="363"/>
      <c r="V122" s="363"/>
      <c r="W122" s="363"/>
      <c r="X122" s="363"/>
      <c r="Y122" s="363"/>
      <c r="Z122" s="364"/>
      <c r="AA122"/>
      <c r="AB122"/>
      <c r="AC122"/>
      <c r="AD122"/>
    </row>
    <row r="123" spans="17:30" ht="12.75" customHeight="1">
      <c r="Q123" s="546" t="s">
        <v>231</v>
      </c>
      <c r="R123" s="952" t="s">
        <v>232</v>
      </c>
      <c r="S123" s="952"/>
      <c r="T123" s="952"/>
      <c r="U123" s="952"/>
      <c r="V123" s="952"/>
      <c r="W123" s="952"/>
      <c r="X123" s="952"/>
      <c r="Y123" s="952"/>
      <c r="Z123" s="360"/>
      <c r="AA123"/>
      <c r="AB123"/>
      <c r="AC123"/>
      <c r="AD123"/>
    </row>
    <row r="124" spans="17:30" ht="12.75" customHeight="1">
      <c r="Q124" s="546"/>
      <c r="R124" s="360"/>
      <c r="S124" s="360"/>
      <c r="T124" s="360"/>
      <c r="U124" s="360"/>
      <c r="V124" s="360"/>
      <c r="W124" s="360"/>
      <c r="X124" s="360"/>
      <c r="Y124" s="360"/>
      <c r="Z124" s="360"/>
      <c r="AA124"/>
      <c r="AB124"/>
      <c r="AC124"/>
      <c r="AD124"/>
    </row>
    <row r="125" spans="17:30" ht="12.75" customHeight="1">
      <c r="Q125" s="546"/>
      <c r="R125" s="363" t="s">
        <v>233</v>
      </c>
      <c r="S125" s="363"/>
      <c r="T125" s="363"/>
      <c r="U125" s="363"/>
      <c r="V125" s="363"/>
      <c r="W125" s="363"/>
      <c r="X125" s="363"/>
      <c r="Y125" s="363"/>
      <c r="Z125" s="364"/>
      <c r="AA125"/>
      <c r="AB125"/>
      <c r="AC125"/>
      <c r="AD125"/>
    </row>
    <row r="126" spans="17:30" ht="12.75" customHeight="1">
      <c r="Q126" s="360"/>
      <c r="R126" s="998" t="s">
        <v>678</v>
      </c>
      <c r="S126" s="999"/>
      <c r="T126" s="1000"/>
      <c r="U126" s="949" t="s">
        <v>470</v>
      </c>
      <c r="V126" s="938" t="s">
        <v>22</v>
      </c>
      <c r="W126" s="940" t="s">
        <v>579</v>
      </c>
      <c r="X126" s="942" t="s">
        <v>21</v>
      </c>
      <c r="Y126" s="361"/>
      <c r="Z126" s="364"/>
      <c r="AA126"/>
      <c r="AB126"/>
      <c r="AC126"/>
      <c r="AD126"/>
    </row>
    <row r="127" spans="17:30" ht="12.75" customHeight="1">
      <c r="Q127" s="360"/>
      <c r="R127" s="1001"/>
      <c r="S127" s="1002"/>
      <c r="T127" s="1003"/>
      <c r="U127" s="950"/>
      <c r="V127" s="939"/>
      <c r="W127" s="941"/>
      <c r="X127" s="943"/>
      <c r="Y127" s="361"/>
      <c r="Z127" s="364"/>
      <c r="AA127"/>
      <c r="AB127"/>
      <c r="AC127"/>
      <c r="AD127"/>
    </row>
    <row r="128" spans="17:30" ht="12.75" customHeight="1">
      <c r="Q128" s="360"/>
      <c r="R128" s="969" t="s">
        <v>234</v>
      </c>
      <c r="S128" s="969"/>
      <c r="T128" s="969"/>
      <c r="U128" s="672">
        <v>8.3000000000000007</v>
      </c>
      <c r="V128" s="672">
        <f>VLOOKUP($V$5,'Lookup Vibration'!$B$8:$F$208,3)</f>
        <v>18.049999999999951</v>
      </c>
      <c r="W128" s="672">
        <f>VLOOKUP($V$5,'Lookup Vibration'!$B$8:$F$208,4)</f>
        <v>19.950000000000074</v>
      </c>
      <c r="X128" s="672">
        <f>VLOOKUP($V$5,'Lookup Vibration'!$B$8:$F$208,2)</f>
        <v>18.049999999999951</v>
      </c>
      <c r="Y128" s="361"/>
      <c r="Z128" s="364"/>
      <c r="AA128"/>
      <c r="AB128"/>
      <c r="AC128"/>
      <c r="AD128"/>
    </row>
    <row r="129" spans="17:30" ht="12.75" customHeight="1">
      <c r="Q129" s="360"/>
      <c r="R129" s="363"/>
      <c r="S129" s="363"/>
      <c r="T129" s="363"/>
      <c r="U129" s="363"/>
      <c r="V129" s="363"/>
      <c r="W129" s="363"/>
      <c r="X129" s="363"/>
      <c r="Y129" s="363"/>
      <c r="Z129" s="364"/>
      <c r="AA129"/>
      <c r="AB129"/>
      <c r="AC129"/>
      <c r="AD129"/>
    </row>
    <row r="130" spans="17:30" ht="12.75" customHeight="1">
      <c r="Q130" s="546" t="s">
        <v>235</v>
      </c>
      <c r="R130" s="952" t="s">
        <v>34</v>
      </c>
      <c r="S130" s="952"/>
      <c r="T130" s="952"/>
      <c r="U130" s="952"/>
      <c r="V130" s="952"/>
      <c r="W130" s="952"/>
      <c r="X130" s="952"/>
      <c r="Y130" s="952"/>
      <c r="Z130" s="360"/>
      <c r="AA130"/>
      <c r="AB130"/>
      <c r="AC130"/>
      <c r="AD130"/>
    </row>
    <row r="131" spans="17:30" ht="12.75" customHeight="1">
      <c r="Q131" s="546"/>
      <c r="R131" s="363"/>
      <c r="S131" s="363"/>
      <c r="T131" s="363"/>
      <c r="U131" s="363"/>
      <c r="V131" s="363"/>
      <c r="W131" s="363"/>
      <c r="X131" s="363"/>
      <c r="Y131" s="363"/>
      <c r="Z131" s="364"/>
      <c r="AA131"/>
      <c r="AB131"/>
      <c r="AC131"/>
      <c r="AD131"/>
    </row>
    <row r="132" spans="17:30" ht="12.75" customHeight="1">
      <c r="Q132" s="360"/>
      <c r="R132" s="998" t="s">
        <v>678</v>
      </c>
      <c r="S132" s="999"/>
      <c r="T132" s="1000"/>
      <c r="U132" s="949" t="s">
        <v>500</v>
      </c>
      <c r="V132" s="938" t="s">
        <v>22</v>
      </c>
      <c r="W132" s="940" t="s">
        <v>579</v>
      </c>
      <c r="X132" s="942" t="s">
        <v>21</v>
      </c>
      <c r="Y132" s="361"/>
      <c r="Z132" s="364"/>
      <c r="AA132"/>
      <c r="AB132"/>
      <c r="AC132"/>
      <c r="AD132"/>
    </row>
    <row r="133" spans="17:30" ht="12.75" customHeight="1">
      <c r="Q133" s="360"/>
      <c r="R133" s="1001"/>
      <c r="S133" s="1002"/>
      <c r="T133" s="1003"/>
      <c r="U133" s="950"/>
      <c r="V133" s="939"/>
      <c r="W133" s="941"/>
      <c r="X133" s="943"/>
      <c r="Y133" s="361"/>
      <c r="Z133" s="364"/>
      <c r="AA133"/>
      <c r="AB133"/>
      <c r="AC133"/>
      <c r="AD133"/>
    </row>
    <row r="134" spans="17:30" ht="12.75" customHeight="1">
      <c r="Q134" s="360"/>
      <c r="R134" s="1004" t="s">
        <v>298</v>
      </c>
      <c r="S134" s="1004"/>
      <c r="T134" s="1004"/>
      <c r="U134" s="673" t="s">
        <v>819</v>
      </c>
      <c r="V134" s="673" t="s">
        <v>818</v>
      </c>
      <c r="W134" s="673" t="s">
        <v>819</v>
      </c>
      <c r="X134" s="673" t="s">
        <v>818</v>
      </c>
      <c r="Y134" s="361"/>
      <c r="Z134" s="364"/>
      <c r="AA134"/>
      <c r="AB134"/>
      <c r="AC134"/>
      <c r="AD134"/>
    </row>
    <row r="135" spans="17:30" ht="12.75" customHeight="1">
      <c r="Q135" s="360"/>
      <c r="R135" s="931" t="s">
        <v>299</v>
      </c>
      <c r="S135" s="931"/>
      <c r="T135" s="931"/>
      <c r="U135" s="673" t="s">
        <v>297</v>
      </c>
      <c r="V135" s="673" t="s">
        <v>296</v>
      </c>
      <c r="W135" s="673" t="s">
        <v>296</v>
      </c>
      <c r="X135" s="673" t="s">
        <v>296</v>
      </c>
      <c r="Y135" s="361"/>
      <c r="Z135" s="364"/>
      <c r="AA135"/>
      <c r="AB135"/>
      <c r="AC135"/>
      <c r="AD135"/>
    </row>
    <row r="136" spans="17:30" ht="12.75" customHeight="1">
      <c r="Q136" s="360"/>
      <c r="R136" s="363"/>
      <c r="S136" s="363"/>
      <c r="T136" s="363"/>
      <c r="U136" s="363"/>
      <c r="V136" s="363"/>
      <c r="W136" s="363"/>
      <c r="X136" s="363"/>
      <c r="Y136" s="363"/>
      <c r="Z136" s="363"/>
      <c r="AA136"/>
      <c r="AB136"/>
      <c r="AC136"/>
      <c r="AD136"/>
    </row>
    <row r="137" spans="17:30" ht="12.75" customHeight="1">
      <c r="Q137" s="546" t="s">
        <v>236</v>
      </c>
      <c r="R137" s="952" t="s">
        <v>237</v>
      </c>
      <c r="S137" s="952"/>
      <c r="T137" s="952"/>
      <c r="U137" s="952"/>
      <c r="V137" s="952"/>
      <c r="W137" s="952"/>
      <c r="X137" s="952"/>
      <c r="Y137" s="952"/>
      <c r="Z137" s="360"/>
      <c r="AA137"/>
      <c r="AB137"/>
      <c r="AC137"/>
      <c r="AD137"/>
    </row>
    <row r="138" spans="17:30" ht="12.75" customHeight="1">
      <c r="Q138" s="360"/>
      <c r="R138" s="363"/>
      <c r="S138" s="363"/>
      <c r="T138" s="363"/>
      <c r="U138" s="363"/>
      <c r="V138" s="363"/>
      <c r="W138" s="363"/>
      <c r="X138" s="363"/>
      <c r="Y138" s="363"/>
      <c r="Z138" s="363"/>
      <c r="AA138"/>
      <c r="AB138"/>
      <c r="AC138"/>
      <c r="AD138"/>
    </row>
    <row r="139" spans="17:30" ht="12.75" customHeight="1">
      <c r="Q139" s="668" t="s">
        <v>238</v>
      </c>
      <c r="R139" s="364" t="s">
        <v>239</v>
      </c>
      <c r="S139" s="364"/>
      <c r="T139" s="364"/>
      <c r="U139" s="364"/>
      <c r="V139" s="364"/>
      <c r="W139" s="364"/>
      <c r="X139" s="364"/>
      <c r="Y139" s="364"/>
      <c r="Z139" s="364"/>
      <c r="AA139"/>
      <c r="AB139"/>
      <c r="AC139"/>
      <c r="AD139"/>
    </row>
    <row r="140" spans="17:30" ht="12.75" customHeight="1">
      <c r="Q140" s="668"/>
      <c r="R140" s="364" t="s">
        <v>469</v>
      </c>
      <c r="S140" s="364"/>
      <c r="T140" s="364"/>
      <c r="U140" s="364"/>
      <c r="V140" s="364"/>
      <c r="W140" s="364"/>
      <c r="X140" s="364"/>
      <c r="Y140" s="364"/>
      <c r="Z140" s="364"/>
      <c r="AA140"/>
      <c r="AB140"/>
      <c r="AC140"/>
      <c r="AD140"/>
    </row>
    <row r="141" spans="17:30" ht="12.75" customHeight="1">
      <c r="Q141" s="668"/>
      <c r="R141" s="364"/>
      <c r="S141" s="364"/>
      <c r="T141" s="364"/>
      <c r="U141" s="364"/>
      <c r="V141" s="364"/>
      <c r="W141" s="364"/>
      <c r="X141" s="364"/>
      <c r="Y141" s="364"/>
      <c r="Z141" s="364"/>
      <c r="AA141"/>
      <c r="AB141"/>
      <c r="AC141"/>
      <c r="AD141"/>
    </row>
    <row r="142" spans="17:30" ht="12.75" customHeight="1">
      <c r="Q142" s="668"/>
      <c r="R142" s="1005" t="s">
        <v>734</v>
      </c>
      <c r="S142" s="1006"/>
      <c r="T142" s="1006"/>
      <c r="U142" s="1006"/>
      <c r="V142" s="1006"/>
      <c r="W142" s="1007"/>
      <c r="X142" s="351">
        <f>'Compressor Input Data'!G5</f>
        <v>22800</v>
      </c>
      <c r="Y142" s="364"/>
      <c r="Z142" s="364"/>
      <c r="AA142"/>
      <c r="AB142"/>
      <c r="AC142"/>
      <c r="AD142"/>
    </row>
    <row r="143" spans="17:30" ht="12.75" customHeight="1">
      <c r="Q143" s="668"/>
      <c r="R143" s="990" t="s">
        <v>430</v>
      </c>
      <c r="S143" s="991"/>
      <c r="T143" s="992"/>
      <c r="U143" s="949" t="s">
        <v>500</v>
      </c>
      <c r="V143" s="938" t="s">
        <v>22</v>
      </c>
      <c r="W143" s="940" t="s">
        <v>579</v>
      </c>
      <c r="X143" s="942" t="s">
        <v>21</v>
      </c>
      <c r="Y143" s="361"/>
      <c r="Z143" s="364"/>
      <c r="AA143"/>
      <c r="AB143"/>
      <c r="AC143"/>
      <c r="AD143"/>
    </row>
    <row r="144" spans="17:30" ht="12.75" customHeight="1">
      <c r="Q144" s="668"/>
      <c r="R144" s="993"/>
      <c r="S144" s="994"/>
      <c r="T144" s="995"/>
      <c r="U144" s="950"/>
      <c r="V144" s="939"/>
      <c r="W144" s="941"/>
      <c r="X144" s="943"/>
      <c r="Y144" s="361"/>
      <c r="Z144" s="364"/>
      <c r="AA144"/>
      <c r="AB144"/>
      <c r="AC144"/>
      <c r="AD144"/>
    </row>
    <row r="145" spans="17:30" ht="12.75" customHeight="1">
      <c r="Q145" s="668"/>
      <c r="R145" s="973" t="s">
        <v>555</v>
      </c>
      <c r="S145" s="973"/>
      <c r="T145" s="973"/>
      <c r="U145" s="996"/>
      <c r="V145" s="544">
        <f>X145</f>
        <v>22800</v>
      </c>
      <c r="W145" s="544">
        <f>X145</f>
        <v>22800</v>
      </c>
      <c r="X145" s="544">
        <f>X142</f>
        <v>22800</v>
      </c>
      <c r="Y145" s="361"/>
      <c r="Z145" s="364"/>
      <c r="AA145"/>
      <c r="AB145"/>
      <c r="AC145"/>
      <c r="AD145"/>
    </row>
    <row r="146" spans="17:30" ht="12.75" customHeight="1">
      <c r="Q146" s="668"/>
      <c r="R146" s="973" t="s">
        <v>549</v>
      </c>
      <c r="S146" s="973"/>
      <c r="T146" s="973"/>
      <c r="U146" s="997"/>
      <c r="V146" s="544">
        <f>X146</f>
        <v>24</v>
      </c>
      <c r="W146" s="544">
        <f>V146</f>
        <v>24</v>
      </c>
      <c r="X146" s="544">
        <f>'Compressor Input Data'!J15</f>
        <v>24</v>
      </c>
      <c r="Y146" s="361"/>
      <c r="Z146" s="364"/>
      <c r="AA146"/>
      <c r="AB146"/>
      <c r="AC146"/>
      <c r="AD146"/>
    </row>
    <row r="147" spans="17:30" ht="12.75" customHeight="1">
      <c r="Q147" s="668"/>
      <c r="R147" s="970" t="s">
        <v>556</v>
      </c>
      <c r="S147" s="971"/>
      <c r="T147" s="972"/>
      <c r="U147" s="566">
        <f>U62</f>
        <v>2.6666666666666665</v>
      </c>
      <c r="V147" s="566">
        <f>V62</f>
        <v>1.9999999999999996</v>
      </c>
      <c r="W147" s="566">
        <f>W62</f>
        <v>1.7391304347826084</v>
      </c>
      <c r="X147" s="566">
        <f>X62</f>
        <v>1.4285714285714284</v>
      </c>
      <c r="Y147" s="361"/>
      <c r="Z147" s="364"/>
      <c r="AA147"/>
      <c r="AB147"/>
      <c r="AC147"/>
      <c r="AD147"/>
    </row>
    <row r="148" spans="17:30" ht="12.75" customHeight="1">
      <c r="Q148" s="668"/>
      <c r="R148" s="973" t="s">
        <v>575</v>
      </c>
      <c r="S148" s="973"/>
      <c r="T148" s="973"/>
      <c r="U148" s="531">
        <f>W148</f>
        <v>0.22500000000000001</v>
      </c>
      <c r="V148" s="531">
        <f>X148</f>
        <v>0.22500000000000001</v>
      </c>
      <c r="W148" s="531">
        <f>V148</f>
        <v>0.22500000000000001</v>
      </c>
      <c r="X148" s="531">
        <f>'Compressor Input Data'!J17</f>
        <v>0.22500000000000001</v>
      </c>
      <c r="Y148" s="361"/>
      <c r="Z148" s="364"/>
      <c r="AA148"/>
      <c r="AB148"/>
      <c r="AC148"/>
      <c r="AD148"/>
    </row>
    <row r="149" spans="17:30" ht="12.75" customHeight="1">
      <c r="Q149" s="668"/>
      <c r="R149" s="987"/>
      <c r="S149" s="988"/>
      <c r="T149" s="988"/>
      <c r="U149" s="988"/>
      <c r="V149" s="988"/>
      <c r="W149" s="988"/>
      <c r="X149" s="989"/>
      <c r="Y149" s="364"/>
      <c r="Z149" s="364"/>
      <c r="AA149"/>
      <c r="AB149"/>
      <c r="AC149"/>
      <c r="AD149"/>
    </row>
    <row r="150" spans="17:30" ht="12.75" customHeight="1">
      <c r="Q150" s="668"/>
      <c r="R150" s="990" t="s">
        <v>467</v>
      </c>
      <c r="S150" s="991"/>
      <c r="T150" s="992"/>
      <c r="U150" s="949" t="s">
        <v>500</v>
      </c>
      <c r="V150" s="938" t="s">
        <v>22</v>
      </c>
      <c r="W150" s="940" t="s">
        <v>579</v>
      </c>
      <c r="X150" s="942" t="s">
        <v>21</v>
      </c>
      <c r="Y150" s="361"/>
      <c r="Z150" s="364"/>
      <c r="AA150"/>
      <c r="AB150"/>
      <c r="AC150"/>
      <c r="AD150"/>
    </row>
    <row r="151" spans="17:30" ht="12.75" customHeight="1">
      <c r="Q151" s="668"/>
      <c r="R151" s="993"/>
      <c r="S151" s="994"/>
      <c r="T151" s="995"/>
      <c r="U151" s="950"/>
      <c r="V151" s="939"/>
      <c r="W151" s="941"/>
      <c r="X151" s="943"/>
      <c r="Y151" s="361"/>
      <c r="Z151" s="364"/>
      <c r="AA151"/>
      <c r="AB151"/>
      <c r="AC151"/>
      <c r="AD151"/>
    </row>
    <row r="152" spans="17:30" ht="12.75" customHeight="1">
      <c r="Q152" s="668"/>
      <c r="R152" s="973" t="s">
        <v>554</v>
      </c>
      <c r="S152" s="973"/>
      <c r="T152" s="973"/>
      <c r="U152" s="986"/>
      <c r="V152" s="569">
        <f>X152</f>
        <v>1</v>
      </c>
      <c r="W152" s="570">
        <f>V152</f>
        <v>1</v>
      </c>
      <c r="X152" s="570">
        <f>'Compressor Input Data'!J20</f>
        <v>1</v>
      </c>
      <c r="Y152" s="361"/>
      <c r="Z152" s="364"/>
      <c r="AA152"/>
      <c r="AB152"/>
      <c r="AC152"/>
      <c r="AD152"/>
    </row>
    <row r="153" spans="17:30" ht="12.75" customHeight="1">
      <c r="Q153" s="668"/>
      <c r="R153" s="983" t="s">
        <v>551</v>
      </c>
      <c r="S153" s="984"/>
      <c r="T153" s="985"/>
      <c r="U153" s="986"/>
      <c r="V153" s="571">
        <f>V147/V146</f>
        <v>8.3333333333333315E-2</v>
      </c>
      <c r="W153" s="571">
        <f>W147/W146</f>
        <v>7.2463768115942018E-2</v>
      </c>
      <c r="X153" s="571">
        <f>X147/X146</f>
        <v>5.9523809523809514E-2</v>
      </c>
      <c r="Y153" s="361"/>
      <c r="Z153" s="364"/>
      <c r="AA153"/>
      <c r="AB153"/>
      <c r="AC153"/>
      <c r="AD153"/>
    </row>
    <row r="154" spans="17:30" ht="12.75" customHeight="1">
      <c r="Q154" s="668"/>
      <c r="R154" s="973" t="s">
        <v>552</v>
      </c>
      <c r="S154" s="973"/>
      <c r="T154" s="973"/>
      <c r="U154" s="986"/>
      <c r="V154" s="572">
        <f>X154</f>
        <v>0.6</v>
      </c>
      <c r="W154" s="572">
        <f>V154</f>
        <v>0.6</v>
      </c>
      <c r="X154" s="572">
        <f>'Compressor Input Data'!J22</f>
        <v>0.6</v>
      </c>
      <c r="Y154" s="361"/>
      <c r="Z154" s="364"/>
      <c r="AA154"/>
      <c r="AB154"/>
      <c r="AC154"/>
      <c r="AD154"/>
    </row>
    <row r="155" spans="17:30" ht="12.75" customHeight="1">
      <c r="Q155" s="668"/>
      <c r="R155" s="987"/>
      <c r="S155" s="988"/>
      <c r="T155" s="988"/>
      <c r="U155" s="988"/>
      <c r="V155" s="988"/>
      <c r="W155" s="988"/>
      <c r="X155" s="989"/>
      <c r="Y155" s="364"/>
      <c r="Z155" s="364"/>
      <c r="AA155"/>
      <c r="AB155"/>
      <c r="AC155"/>
      <c r="AD155"/>
    </row>
    <row r="156" spans="17:30" ht="12.75" customHeight="1">
      <c r="Q156" s="668"/>
      <c r="R156" s="990" t="s">
        <v>468</v>
      </c>
      <c r="S156" s="991"/>
      <c r="T156" s="992"/>
      <c r="U156" s="949" t="s">
        <v>500</v>
      </c>
      <c r="V156" s="938" t="s">
        <v>22</v>
      </c>
      <c r="W156" s="940" t="s">
        <v>579</v>
      </c>
      <c r="X156" s="942" t="s">
        <v>21</v>
      </c>
      <c r="Y156" s="361"/>
      <c r="Z156" s="364"/>
      <c r="AA156"/>
      <c r="AB156"/>
      <c r="AC156"/>
      <c r="AD156"/>
    </row>
    <row r="157" spans="17:30" ht="12.75" customHeight="1">
      <c r="Q157" s="668"/>
      <c r="R157" s="993"/>
      <c r="S157" s="994"/>
      <c r="T157" s="995"/>
      <c r="U157" s="950"/>
      <c r="V157" s="939"/>
      <c r="W157" s="941"/>
      <c r="X157" s="943"/>
      <c r="Y157" s="361"/>
      <c r="Z157" s="364"/>
      <c r="AA157"/>
      <c r="AB157"/>
      <c r="AC157"/>
      <c r="AD157"/>
    </row>
    <row r="158" spans="17:30" ht="12.75" customHeight="1">
      <c r="Q158" s="668"/>
      <c r="R158" s="973" t="s">
        <v>554</v>
      </c>
      <c r="S158" s="973"/>
      <c r="T158" s="973"/>
      <c r="U158" s="980"/>
      <c r="V158" s="572">
        <f>X158</f>
        <v>0.5</v>
      </c>
      <c r="W158" s="572">
        <f>V158</f>
        <v>0.5</v>
      </c>
      <c r="X158" s="572">
        <f>'Compressor Input Data'!J25</f>
        <v>0.5</v>
      </c>
      <c r="Y158" s="361"/>
      <c r="Z158" s="364"/>
      <c r="AA158"/>
      <c r="AB158"/>
      <c r="AC158"/>
      <c r="AD158"/>
    </row>
    <row r="159" spans="17:30" ht="12.75" customHeight="1">
      <c r="Q159" s="668"/>
      <c r="R159" s="983" t="s">
        <v>551</v>
      </c>
      <c r="S159" s="984"/>
      <c r="T159" s="985"/>
      <c r="U159" s="981"/>
      <c r="V159" s="572">
        <f>V152-V153</f>
        <v>0.91666666666666674</v>
      </c>
      <c r="W159" s="572">
        <f>W152-W153</f>
        <v>0.92753623188405798</v>
      </c>
      <c r="X159" s="572">
        <f>X152-X153</f>
        <v>0.94047619047619047</v>
      </c>
      <c r="Y159" s="361"/>
      <c r="Z159" s="364"/>
      <c r="AA159"/>
      <c r="AB159"/>
      <c r="AC159"/>
      <c r="AD159"/>
    </row>
    <row r="160" spans="17:30" ht="12.75" customHeight="1">
      <c r="Q160" s="668"/>
      <c r="R160" s="973" t="s">
        <v>552</v>
      </c>
      <c r="S160" s="973"/>
      <c r="T160" s="973"/>
      <c r="U160" s="982"/>
      <c r="V160" s="572">
        <f>X160</f>
        <v>0.6</v>
      </c>
      <c r="W160" s="572">
        <f>V160</f>
        <v>0.6</v>
      </c>
      <c r="X160" s="572">
        <f>'Compressor Input Data'!J27</f>
        <v>0.6</v>
      </c>
      <c r="Y160" s="361"/>
      <c r="Z160" s="364"/>
      <c r="AA160"/>
      <c r="AB160"/>
      <c r="AC160"/>
      <c r="AD160"/>
    </row>
    <row r="161" spans="17:30" ht="12.75" customHeight="1">
      <c r="Q161" s="668"/>
      <c r="R161" s="567"/>
      <c r="S161" s="568"/>
      <c r="T161" s="568"/>
      <c r="U161" s="573"/>
      <c r="V161" s="573"/>
      <c r="W161" s="573"/>
      <c r="X161" s="574"/>
      <c r="Y161" s="364"/>
      <c r="Z161" s="364"/>
      <c r="AA161"/>
      <c r="AB161"/>
      <c r="AC161"/>
      <c r="AD161"/>
    </row>
    <row r="162" spans="17:30" ht="12.75" customHeight="1">
      <c r="Q162" s="668"/>
      <c r="R162" s="901" t="s">
        <v>471</v>
      </c>
      <c r="S162" s="901"/>
      <c r="T162" s="901"/>
      <c r="U162" s="930" t="s">
        <v>500</v>
      </c>
      <c r="V162" s="928" t="s">
        <v>22</v>
      </c>
      <c r="W162" s="929" t="s">
        <v>579</v>
      </c>
      <c r="X162" s="927" t="s">
        <v>21</v>
      </c>
      <c r="Y162" s="361"/>
      <c r="Z162" s="364"/>
      <c r="AA162"/>
      <c r="AB162"/>
      <c r="AC162"/>
      <c r="AD162"/>
    </row>
    <row r="163" spans="17:30" ht="12.75" customHeight="1">
      <c r="Q163" s="668"/>
      <c r="R163" s="901"/>
      <c r="S163" s="901"/>
      <c r="T163" s="901"/>
      <c r="U163" s="930"/>
      <c r="V163" s="928"/>
      <c r="W163" s="929"/>
      <c r="X163" s="927"/>
      <c r="Y163" s="361"/>
      <c r="Z163" s="364"/>
      <c r="AA163"/>
      <c r="AB163"/>
      <c r="AC163"/>
      <c r="AD163"/>
    </row>
    <row r="164" spans="17:30" ht="12.75" customHeight="1">
      <c r="Q164" s="668"/>
      <c r="R164" s="973" t="s">
        <v>472</v>
      </c>
      <c r="S164" s="973"/>
      <c r="T164" s="973"/>
      <c r="U164" s="544">
        <f>$V$224</f>
        <v>938.66666666666674</v>
      </c>
      <c r="V164" s="544">
        <f>($V$145*$V$146*$V$153*$V$152)/$V$154</f>
        <v>75999.999999999985</v>
      </c>
      <c r="W164" s="544">
        <f>($W$145*$W$146*$W$153*$W$152)/$W$154</f>
        <v>66086.956521739121</v>
      </c>
      <c r="X164" s="544">
        <f>($X$145*$X$146*$X$153*$X$152)/$X$154</f>
        <v>54285.714285714275</v>
      </c>
      <c r="Y164" s="361"/>
      <c r="Z164" s="364"/>
      <c r="AA164"/>
      <c r="AB164"/>
      <c r="AC164"/>
      <c r="AD164"/>
    </row>
    <row r="165" spans="17:30" ht="12.75" customHeight="1">
      <c r="Q165" s="668"/>
      <c r="R165" s="973" t="s">
        <v>473</v>
      </c>
      <c r="S165" s="973"/>
      <c r="T165" s="973"/>
      <c r="U165" s="543"/>
      <c r="V165" s="544">
        <f>($V$145*$V$146*$V$159*$V$158)/$V$160</f>
        <v>418000.00000000006</v>
      </c>
      <c r="W165" s="544">
        <f>($W$145*$W$146*$W$159*$W$158)/$W$160</f>
        <v>422956.52173913049</v>
      </c>
      <c r="X165" s="544">
        <f>($X$145*$X$146*$X$159*$X$158)/$X$160</f>
        <v>428857.14285714284</v>
      </c>
      <c r="Y165" s="361"/>
      <c r="Z165" s="364"/>
      <c r="AA165"/>
      <c r="AB165"/>
      <c r="AC165"/>
      <c r="AD165"/>
    </row>
    <row r="166" spans="17:30" ht="12.75" customHeight="1">
      <c r="Q166" s="668"/>
      <c r="R166" s="567"/>
      <c r="S166" s="568"/>
      <c r="T166" s="568"/>
      <c r="U166" s="573"/>
      <c r="V166" s="573"/>
      <c r="W166" s="573"/>
      <c r="X166" s="574"/>
      <c r="Y166" s="364"/>
      <c r="Z166" s="364"/>
      <c r="AA166"/>
      <c r="AB166"/>
      <c r="AC166"/>
      <c r="AD166"/>
    </row>
    <row r="167" spans="17:30" ht="12.75" customHeight="1">
      <c r="Q167" s="668"/>
      <c r="R167" s="901" t="s">
        <v>474</v>
      </c>
      <c r="S167" s="901"/>
      <c r="T167" s="901"/>
      <c r="U167" s="930" t="s">
        <v>500</v>
      </c>
      <c r="V167" s="928" t="s">
        <v>22</v>
      </c>
      <c r="W167" s="929" t="s">
        <v>579</v>
      </c>
      <c r="X167" s="927" t="s">
        <v>21</v>
      </c>
      <c r="Y167" s="361"/>
      <c r="Z167" s="364"/>
      <c r="AA167"/>
      <c r="AB167"/>
      <c r="AC167"/>
      <c r="AD167"/>
    </row>
    <row r="168" spans="17:30" ht="12.75" customHeight="1">
      <c r="Q168" s="668"/>
      <c r="R168" s="901"/>
      <c r="S168" s="901"/>
      <c r="T168" s="901"/>
      <c r="U168" s="930"/>
      <c r="V168" s="928"/>
      <c r="W168" s="929"/>
      <c r="X168" s="927"/>
      <c r="Y168" s="361"/>
      <c r="Z168" s="364"/>
      <c r="AA168"/>
      <c r="AB168"/>
      <c r="AC168"/>
      <c r="AD168"/>
    </row>
    <row r="169" spans="17:30" ht="12.75" customHeight="1">
      <c r="Q169" s="668"/>
      <c r="R169" s="973" t="s">
        <v>472</v>
      </c>
      <c r="S169" s="973"/>
      <c r="T169" s="973"/>
      <c r="U169" s="544">
        <f>U164*$V$11</f>
        <v>21589.333333333336</v>
      </c>
      <c r="V169" s="544">
        <f>V164*$V$11</f>
        <v>1747999.9999999998</v>
      </c>
      <c r="W169" s="544">
        <f>W164*$V$11</f>
        <v>1519999.9999999998</v>
      </c>
      <c r="X169" s="544">
        <f>X164*$V$11</f>
        <v>1248571.4285714284</v>
      </c>
      <c r="Y169" s="361"/>
      <c r="Z169" s="364"/>
      <c r="AA169"/>
      <c r="AB169"/>
      <c r="AC169"/>
      <c r="AD169"/>
    </row>
    <row r="170" spans="17:30" ht="12.75" customHeight="1">
      <c r="Q170" s="668"/>
      <c r="R170" s="973" t="s">
        <v>473</v>
      </c>
      <c r="S170" s="973"/>
      <c r="T170" s="973"/>
      <c r="U170" s="543"/>
      <c r="V170" s="544">
        <f>V165*$V$11</f>
        <v>9614000.0000000019</v>
      </c>
      <c r="W170" s="544">
        <f>W165*$V$11</f>
        <v>9728000.0000000019</v>
      </c>
      <c r="X170" s="544">
        <f>X165*$V$11</f>
        <v>9863714.2857142854</v>
      </c>
      <c r="Y170" s="361"/>
      <c r="Z170" s="364"/>
      <c r="AA170"/>
      <c r="AB170"/>
      <c r="AC170"/>
      <c r="AD170"/>
    </row>
    <row r="171" spans="17:30" ht="12.75" customHeight="1">
      <c r="Q171" s="668"/>
      <c r="R171" s="567"/>
      <c r="S171" s="568"/>
      <c r="T171" s="568"/>
      <c r="U171" s="573"/>
      <c r="V171" s="573"/>
      <c r="W171" s="573"/>
      <c r="X171" s="574"/>
      <c r="Y171" s="364"/>
      <c r="Z171" s="364"/>
      <c r="AA171"/>
      <c r="AB171"/>
      <c r="AC171"/>
      <c r="AD171"/>
    </row>
    <row r="172" spans="17:30" ht="12.75" customHeight="1">
      <c r="Q172" s="668"/>
      <c r="R172" s="901" t="s">
        <v>474</v>
      </c>
      <c r="S172" s="901"/>
      <c r="T172" s="901"/>
      <c r="U172" s="930" t="s">
        <v>500</v>
      </c>
      <c r="V172" s="928" t="s">
        <v>22</v>
      </c>
      <c r="W172" s="929" t="s">
        <v>579</v>
      </c>
      <c r="X172" s="927" t="s">
        <v>21</v>
      </c>
      <c r="Y172" s="361"/>
      <c r="Z172" s="364"/>
      <c r="AA172"/>
      <c r="AB172"/>
      <c r="AC172"/>
      <c r="AD172"/>
    </row>
    <row r="173" spans="17:30" ht="12.75" customHeight="1">
      <c r="Q173" s="668"/>
      <c r="R173" s="901"/>
      <c r="S173" s="901"/>
      <c r="T173" s="901"/>
      <c r="U173" s="930"/>
      <c r="V173" s="928"/>
      <c r="W173" s="929"/>
      <c r="X173" s="927"/>
      <c r="Y173" s="361"/>
      <c r="Z173" s="364"/>
      <c r="AA173"/>
      <c r="AB173"/>
      <c r="AC173"/>
      <c r="AD173"/>
    </row>
    <row r="174" spans="17:30" ht="12.75" customHeight="1">
      <c r="Q174" s="668"/>
      <c r="R174" s="973" t="s">
        <v>472</v>
      </c>
      <c r="S174" s="973"/>
      <c r="T174" s="973"/>
      <c r="U174" s="544">
        <f>U169*12</f>
        <v>259072.00000000003</v>
      </c>
      <c r="V174" s="544">
        <f>V169*12</f>
        <v>20975999.999999996</v>
      </c>
      <c r="W174" s="544">
        <f>W169*12</f>
        <v>18239999.999999996</v>
      </c>
      <c r="X174" s="544">
        <f>X169*12</f>
        <v>14982857.142857142</v>
      </c>
      <c r="Y174" s="361"/>
      <c r="Z174" s="364"/>
      <c r="AA174"/>
      <c r="AB174"/>
      <c r="AC174"/>
      <c r="AD174"/>
    </row>
    <row r="175" spans="17:30" ht="12.75" customHeight="1">
      <c r="Q175" s="668"/>
      <c r="R175" s="973" t="s">
        <v>473</v>
      </c>
      <c r="S175" s="973"/>
      <c r="T175" s="973"/>
      <c r="U175" s="543"/>
      <c r="V175" s="544">
        <f>V170*12</f>
        <v>115368000.00000003</v>
      </c>
      <c r="W175" s="544">
        <f>W170*12</f>
        <v>116736000.00000003</v>
      </c>
      <c r="X175" s="544">
        <f>X170*12</f>
        <v>118364571.42857143</v>
      </c>
      <c r="Y175" s="361"/>
      <c r="Z175" s="364"/>
      <c r="AA175"/>
      <c r="AB175"/>
      <c r="AC175"/>
      <c r="AD175"/>
    </row>
    <row r="176" spans="17:30" ht="12.75" customHeight="1">
      <c r="Q176" s="668"/>
      <c r="R176" s="381"/>
      <c r="S176" s="381"/>
      <c r="T176" s="381"/>
      <c r="U176" s="381"/>
      <c r="V176" s="381"/>
      <c r="W176" s="381"/>
      <c r="X176" s="381"/>
      <c r="Y176" s="364"/>
      <c r="Z176" s="364"/>
      <c r="AA176"/>
      <c r="AB176"/>
      <c r="AC176"/>
      <c r="AD176"/>
    </row>
    <row r="177" spans="17:30" ht="12.75" customHeight="1">
      <c r="Q177" s="668"/>
      <c r="R177" s="901" t="s">
        <v>433</v>
      </c>
      <c r="S177" s="901"/>
      <c r="T177" s="901"/>
      <c r="U177" s="949" t="s">
        <v>500</v>
      </c>
      <c r="V177" s="938" t="s">
        <v>22</v>
      </c>
      <c r="W177" s="940" t="s">
        <v>579</v>
      </c>
      <c r="X177" s="942" t="s">
        <v>21</v>
      </c>
      <c r="Y177" s="361"/>
      <c r="Z177" s="364"/>
      <c r="AA177"/>
      <c r="AB177"/>
      <c r="AC177"/>
      <c r="AD177"/>
    </row>
    <row r="178" spans="17:30" ht="12.75" customHeight="1">
      <c r="Q178" s="668"/>
      <c r="R178" s="901"/>
      <c r="S178" s="901"/>
      <c r="T178" s="901"/>
      <c r="U178" s="950"/>
      <c r="V178" s="939"/>
      <c r="W178" s="941"/>
      <c r="X178" s="943"/>
      <c r="Y178" s="361"/>
      <c r="Z178" s="364"/>
      <c r="AA178"/>
      <c r="AB178"/>
      <c r="AC178"/>
      <c r="AD178"/>
    </row>
    <row r="179" spans="17:30" ht="12.75" customHeight="1">
      <c r="Q179" s="668"/>
      <c r="R179" s="970" t="s">
        <v>459</v>
      </c>
      <c r="S179" s="971"/>
      <c r="T179" s="972"/>
      <c r="U179" s="544">
        <f>U164</f>
        <v>938.66666666666674</v>
      </c>
      <c r="V179" s="544">
        <f>V164+V165</f>
        <v>494000.00000000006</v>
      </c>
      <c r="W179" s="544">
        <f>W164+W165</f>
        <v>489043.47826086963</v>
      </c>
      <c r="X179" s="544">
        <f>X164+X165</f>
        <v>483142.8571428571</v>
      </c>
      <c r="Y179" s="361"/>
      <c r="Z179" s="364"/>
      <c r="AA179"/>
      <c r="AB179"/>
      <c r="AC179"/>
      <c r="AD179"/>
    </row>
    <row r="180" spans="17:30" ht="12.75" customHeight="1">
      <c r="Q180" s="668"/>
      <c r="R180" s="973" t="s">
        <v>307</v>
      </c>
      <c r="S180" s="973"/>
      <c r="T180" s="973"/>
      <c r="U180" s="544">
        <f>U169</f>
        <v>21589.333333333336</v>
      </c>
      <c r="V180" s="544">
        <f>V169+V170</f>
        <v>11362000.000000002</v>
      </c>
      <c r="W180" s="544">
        <f>W169+W170</f>
        <v>11248000.000000002</v>
      </c>
      <c r="X180" s="544">
        <f>X169+X170</f>
        <v>11112285.714285715</v>
      </c>
      <c r="Y180" s="361"/>
      <c r="Z180" s="364"/>
      <c r="AA180"/>
      <c r="AB180"/>
      <c r="AC180"/>
      <c r="AD180"/>
    </row>
    <row r="181" spans="17:30" ht="12.75" customHeight="1">
      <c r="Q181" s="668"/>
      <c r="R181" s="973" t="s">
        <v>308</v>
      </c>
      <c r="S181" s="973"/>
      <c r="T181" s="973"/>
      <c r="U181" s="544">
        <f>U174</f>
        <v>259072.00000000003</v>
      </c>
      <c r="V181" s="544">
        <f>V174+V175</f>
        <v>136344000.00000003</v>
      </c>
      <c r="W181" s="544">
        <f>W174+W175</f>
        <v>134976000.00000003</v>
      </c>
      <c r="X181" s="544">
        <f>X174+X175</f>
        <v>133347428.57142857</v>
      </c>
      <c r="Y181" s="361"/>
      <c r="Z181" s="364"/>
      <c r="AA181"/>
      <c r="AB181"/>
      <c r="AC181"/>
      <c r="AD181"/>
    </row>
    <row r="182" spans="17:30" ht="12.75" customHeight="1">
      <c r="Q182" s="668"/>
      <c r="R182" s="381"/>
      <c r="S182" s="381"/>
      <c r="T182" s="381"/>
      <c r="U182" s="381"/>
      <c r="V182" s="381"/>
      <c r="W182" s="381"/>
      <c r="X182" s="381"/>
      <c r="Y182" s="364"/>
      <c r="Z182" s="364"/>
      <c r="AA182"/>
      <c r="AB182"/>
      <c r="AC182"/>
      <c r="AD182"/>
    </row>
    <row r="183" spans="17:30" ht="12.75" customHeight="1">
      <c r="Q183" s="668"/>
      <c r="R183" s="901" t="s">
        <v>475</v>
      </c>
      <c r="S183" s="901"/>
      <c r="T183" s="901"/>
      <c r="U183" s="930" t="s">
        <v>500</v>
      </c>
      <c r="V183" s="928" t="s">
        <v>22</v>
      </c>
      <c r="W183" s="929" t="s">
        <v>579</v>
      </c>
      <c r="X183" s="927" t="s">
        <v>21</v>
      </c>
      <c r="Y183" s="361"/>
      <c r="Z183" s="364"/>
      <c r="AA183"/>
      <c r="AB183"/>
      <c r="AC183"/>
      <c r="AD183"/>
    </row>
    <row r="184" spans="17:30" ht="12.75" customHeight="1">
      <c r="Q184" s="668"/>
      <c r="R184" s="901"/>
      <c r="S184" s="901"/>
      <c r="T184" s="901"/>
      <c r="U184" s="930"/>
      <c r="V184" s="928"/>
      <c r="W184" s="929"/>
      <c r="X184" s="927"/>
      <c r="Y184" s="361"/>
      <c r="Z184" s="364"/>
      <c r="AA184"/>
      <c r="AB184"/>
      <c r="AC184"/>
      <c r="AD184"/>
    </row>
    <row r="185" spans="17:30" ht="12.75" customHeight="1">
      <c r="Q185" s="668"/>
      <c r="R185" s="973" t="s">
        <v>472</v>
      </c>
      <c r="S185" s="973"/>
      <c r="T185" s="973"/>
      <c r="U185" s="593">
        <f>$V$224*$U$148</f>
        <v>211.20000000000002</v>
      </c>
      <c r="V185" s="593">
        <f>($V$145*$V$146*$V$153*$V$152*$V$148)/$V$154</f>
        <v>17099.999999999996</v>
      </c>
      <c r="W185" s="593">
        <f>($W$145*$W$146*$W$153*$W$152*$W$148)/$W$154</f>
        <v>14869.565217391304</v>
      </c>
      <c r="X185" s="593">
        <f>($X$145*$X$146*$X$153*$X$152*$X$148)/$X$154</f>
        <v>12214.285714285714</v>
      </c>
      <c r="Y185" s="361"/>
      <c r="Z185" s="364"/>
      <c r="AA185"/>
      <c r="AB185"/>
      <c r="AC185"/>
      <c r="AD185"/>
    </row>
    <row r="186" spans="17:30" ht="12.75" customHeight="1">
      <c r="Q186" s="668"/>
      <c r="R186" s="973" t="s">
        <v>473</v>
      </c>
      <c r="S186" s="973"/>
      <c r="T186" s="973"/>
      <c r="U186" s="543"/>
      <c r="V186" s="593">
        <f>($V$145*$V$146*$V$159*$V$158*$V$148)/$V$160</f>
        <v>94050.000000000015</v>
      </c>
      <c r="W186" s="593">
        <f>($W$145*$W$146*$W$159*$W$158*$W$148)/$W$160</f>
        <v>95165.217391304366</v>
      </c>
      <c r="X186" s="593">
        <f>($X$145*$X$146*$X$159*$X$158*$X$148)/$X$160</f>
        <v>96492.857142857145</v>
      </c>
      <c r="Y186" s="361"/>
      <c r="Z186" s="364"/>
      <c r="AA186"/>
      <c r="AB186"/>
      <c r="AC186"/>
      <c r="AD186"/>
    </row>
    <row r="187" spans="17:30" ht="12.75" customHeight="1">
      <c r="Q187" s="668"/>
      <c r="R187" s="381"/>
      <c r="S187" s="381"/>
      <c r="T187" s="381"/>
      <c r="U187" s="381"/>
      <c r="V187" s="381"/>
      <c r="W187" s="381"/>
      <c r="X187" s="381"/>
      <c r="Y187" s="552"/>
      <c r="Z187" s="364"/>
      <c r="AA187"/>
      <c r="AB187"/>
      <c r="AC187"/>
      <c r="AD187"/>
    </row>
    <row r="188" spans="17:30" ht="12.75" customHeight="1">
      <c r="Q188" s="668"/>
      <c r="R188" s="901" t="s">
        <v>476</v>
      </c>
      <c r="S188" s="901"/>
      <c r="T188" s="901"/>
      <c r="U188" s="930" t="s">
        <v>500</v>
      </c>
      <c r="V188" s="928" t="s">
        <v>22</v>
      </c>
      <c r="W188" s="929" t="s">
        <v>579</v>
      </c>
      <c r="X188" s="927" t="s">
        <v>21</v>
      </c>
      <c r="Y188" s="361"/>
      <c r="Z188" s="364"/>
      <c r="AA188"/>
      <c r="AB188"/>
      <c r="AC188"/>
      <c r="AD188"/>
    </row>
    <row r="189" spans="17:30" ht="12.75" customHeight="1">
      <c r="Q189" s="668"/>
      <c r="R189" s="901"/>
      <c r="S189" s="901"/>
      <c r="T189" s="901"/>
      <c r="U189" s="930"/>
      <c r="V189" s="928"/>
      <c r="W189" s="929"/>
      <c r="X189" s="927"/>
      <c r="Y189" s="361"/>
      <c r="Z189" s="364"/>
      <c r="AA189"/>
      <c r="AB189"/>
      <c r="AC189"/>
      <c r="AD189"/>
    </row>
    <row r="190" spans="17:30" ht="12.75" customHeight="1">
      <c r="Q190" s="668"/>
      <c r="R190" s="973" t="s">
        <v>472</v>
      </c>
      <c r="S190" s="973"/>
      <c r="T190" s="973"/>
      <c r="U190" s="593">
        <f>U185*$V$11</f>
        <v>4857.6000000000004</v>
      </c>
      <c r="V190" s="593">
        <f>V185*$V$11</f>
        <v>393299.99999999994</v>
      </c>
      <c r="W190" s="593">
        <f>W185*$V$11</f>
        <v>342000</v>
      </c>
      <c r="X190" s="593">
        <f>X185*$V$11</f>
        <v>280928.57142857142</v>
      </c>
      <c r="Y190" s="361"/>
      <c r="Z190" s="364"/>
      <c r="AA190"/>
      <c r="AB190"/>
      <c r="AC190"/>
      <c r="AD190"/>
    </row>
    <row r="191" spans="17:30" ht="12.75" customHeight="1">
      <c r="Q191" s="668"/>
      <c r="R191" s="973" t="s">
        <v>473</v>
      </c>
      <c r="S191" s="973"/>
      <c r="T191" s="973"/>
      <c r="U191" s="543"/>
      <c r="V191" s="593">
        <f>V186*$V$11</f>
        <v>2163150.0000000005</v>
      </c>
      <c r="W191" s="593">
        <f>W186*$V$11</f>
        <v>2188800.0000000005</v>
      </c>
      <c r="X191" s="593">
        <f>X186*$V$11</f>
        <v>2219335.7142857146</v>
      </c>
      <c r="Y191" s="361"/>
      <c r="Z191" s="364"/>
      <c r="AA191"/>
      <c r="AB191"/>
      <c r="AC191"/>
      <c r="AD191"/>
    </row>
    <row r="192" spans="17:30" ht="12.75" customHeight="1">
      <c r="Q192" s="668"/>
      <c r="R192" s="367"/>
      <c r="S192" s="367"/>
      <c r="T192" s="367"/>
      <c r="U192" s="367"/>
      <c r="V192" s="367"/>
      <c r="W192" s="367"/>
      <c r="X192" s="367"/>
      <c r="Y192" s="364"/>
      <c r="Z192" s="364"/>
      <c r="AA192"/>
      <c r="AB192"/>
      <c r="AC192"/>
      <c r="AD192"/>
    </row>
    <row r="193" spans="17:30" ht="12.75" customHeight="1">
      <c r="Q193" s="668"/>
      <c r="R193" s="901" t="s">
        <v>477</v>
      </c>
      <c r="S193" s="901"/>
      <c r="T193" s="901"/>
      <c r="U193" s="930" t="s">
        <v>500</v>
      </c>
      <c r="V193" s="928" t="s">
        <v>22</v>
      </c>
      <c r="W193" s="929" t="s">
        <v>579</v>
      </c>
      <c r="X193" s="927" t="s">
        <v>21</v>
      </c>
      <c r="Y193" s="361"/>
      <c r="Z193" s="364"/>
      <c r="AA193"/>
      <c r="AB193"/>
      <c r="AC193"/>
      <c r="AD193"/>
    </row>
    <row r="194" spans="17:30" ht="12.75" customHeight="1">
      <c r="Q194" s="668"/>
      <c r="R194" s="901"/>
      <c r="S194" s="901"/>
      <c r="T194" s="901"/>
      <c r="U194" s="930"/>
      <c r="V194" s="928"/>
      <c r="W194" s="929"/>
      <c r="X194" s="927"/>
      <c r="Y194" s="361"/>
      <c r="Z194" s="364"/>
      <c r="AA194"/>
      <c r="AB194"/>
      <c r="AC194"/>
      <c r="AD194"/>
    </row>
    <row r="195" spans="17:30" ht="12.75" customHeight="1">
      <c r="Q195" s="668"/>
      <c r="R195" s="973" t="s">
        <v>472</v>
      </c>
      <c r="S195" s="973"/>
      <c r="T195" s="973"/>
      <c r="U195" s="593">
        <f>U190*12</f>
        <v>58291.200000000004</v>
      </c>
      <c r="V195" s="593">
        <f>V190*12</f>
        <v>4719599.9999999991</v>
      </c>
      <c r="W195" s="593">
        <f>W190*12</f>
        <v>4104000</v>
      </c>
      <c r="X195" s="593">
        <f>X190*12</f>
        <v>3371142.8571428573</v>
      </c>
      <c r="Y195" s="361"/>
      <c r="Z195" s="364"/>
      <c r="AA195"/>
      <c r="AB195"/>
      <c r="AC195"/>
      <c r="AD195"/>
    </row>
    <row r="196" spans="17:30" ht="12.75" customHeight="1">
      <c r="Q196" s="668"/>
      <c r="R196" s="973" t="s">
        <v>473</v>
      </c>
      <c r="S196" s="973"/>
      <c r="T196" s="973"/>
      <c r="U196" s="543"/>
      <c r="V196" s="593">
        <f>V191*12</f>
        <v>25957800.000000007</v>
      </c>
      <c r="W196" s="593">
        <f>W191*12</f>
        <v>26265600.000000007</v>
      </c>
      <c r="X196" s="593">
        <f>X191*12</f>
        <v>26632028.571428575</v>
      </c>
      <c r="Y196" s="361"/>
      <c r="Z196" s="364"/>
      <c r="AA196"/>
      <c r="AB196"/>
      <c r="AC196"/>
      <c r="AD196"/>
    </row>
    <row r="197" spans="17:30" ht="12.75" customHeight="1">
      <c r="Q197" s="668"/>
      <c r="R197" s="367"/>
      <c r="S197" s="367"/>
      <c r="T197" s="367"/>
      <c r="U197" s="367"/>
      <c r="V197" s="367"/>
      <c r="W197" s="367"/>
      <c r="X197" s="367"/>
      <c r="Y197" s="364"/>
      <c r="Z197" s="364"/>
      <c r="AA197"/>
      <c r="AB197"/>
      <c r="AC197"/>
      <c r="AD197"/>
    </row>
    <row r="198" spans="17:30" ht="12.75" customHeight="1">
      <c r="Q198" s="668"/>
      <c r="R198" s="901" t="s">
        <v>116</v>
      </c>
      <c r="S198" s="901"/>
      <c r="T198" s="901"/>
      <c r="U198" s="949" t="s">
        <v>500</v>
      </c>
      <c r="V198" s="938" t="s">
        <v>22</v>
      </c>
      <c r="W198" s="940" t="s">
        <v>579</v>
      </c>
      <c r="X198" s="942" t="s">
        <v>21</v>
      </c>
      <c r="Y198" s="361"/>
      <c r="Z198" s="364"/>
      <c r="AA198"/>
      <c r="AB198"/>
      <c r="AC198"/>
      <c r="AD198"/>
    </row>
    <row r="199" spans="17:30" ht="12.75" customHeight="1">
      <c r="Q199" s="668"/>
      <c r="R199" s="901"/>
      <c r="S199" s="901"/>
      <c r="T199" s="901"/>
      <c r="U199" s="950"/>
      <c r="V199" s="939"/>
      <c r="W199" s="941"/>
      <c r="X199" s="943"/>
      <c r="Y199" s="361"/>
      <c r="Z199" s="364"/>
      <c r="AA199"/>
      <c r="AB199"/>
      <c r="AC199"/>
      <c r="AD199"/>
    </row>
    <row r="200" spans="17:30" ht="12.75" customHeight="1">
      <c r="Q200" s="668"/>
      <c r="R200" s="970" t="s">
        <v>459</v>
      </c>
      <c r="S200" s="971"/>
      <c r="T200" s="972"/>
      <c r="U200" s="593">
        <f>U185</f>
        <v>211.20000000000002</v>
      </c>
      <c r="V200" s="593">
        <f>V185+V186</f>
        <v>111150.00000000001</v>
      </c>
      <c r="W200" s="593">
        <f>W185+W186</f>
        <v>110034.78260869568</v>
      </c>
      <c r="X200" s="593">
        <f>X185+X186</f>
        <v>108707.14285714286</v>
      </c>
      <c r="Y200" s="361"/>
      <c r="Z200" s="364"/>
      <c r="AA200"/>
      <c r="AB200"/>
      <c r="AC200"/>
      <c r="AD200"/>
    </row>
    <row r="201" spans="17:30" ht="12.75" customHeight="1">
      <c r="Q201" s="668"/>
      <c r="R201" s="973" t="s">
        <v>307</v>
      </c>
      <c r="S201" s="973"/>
      <c r="T201" s="973"/>
      <c r="U201" s="593">
        <f>U190</f>
        <v>4857.6000000000004</v>
      </c>
      <c r="V201" s="593">
        <f>V190+V191</f>
        <v>2556450.0000000005</v>
      </c>
      <c r="W201" s="593">
        <f>W190+W191</f>
        <v>2530800.0000000005</v>
      </c>
      <c r="X201" s="593">
        <f>X190+X191</f>
        <v>2500264.2857142859</v>
      </c>
      <c r="Y201" s="361"/>
      <c r="Z201" s="364"/>
      <c r="AA201"/>
      <c r="AB201"/>
      <c r="AC201"/>
      <c r="AD201"/>
    </row>
    <row r="202" spans="17:30" ht="12.75" customHeight="1">
      <c r="Q202" s="668"/>
      <c r="R202" s="973" t="s">
        <v>308</v>
      </c>
      <c r="S202" s="973"/>
      <c r="T202" s="973"/>
      <c r="U202" s="593">
        <f>U195</f>
        <v>58291.200000000004</v>
      </c>
      <c r="V202" s="593">
        <f>V195+V196</f>
        <v>30677400.000000007</v>
      </c>
      <c r="W202" s="593">
        <f>W195+W196</f>
        <v>30369600.000000007</v>
      </c>
      <c r="X202" s="593">
        <f>X195+X196</f>
        <v>30003171.428571433</v>
      </c>
      <c r="Y202" s="361"/>
      <c r="Z202" s="364"/>
      <c r="AA202"/>
      <c r="AB202"/>
      <c r="AC202"/>
      <c r="AD202"/>
    </row>
    <row r="203" spans="17:30" ht="12.75" customHeight="1">
      <c r="Q203" s="668"/>
      <c r="R203" s="575"/>
      <c r="S203" s="575"/>
      <c r="T203" s="575"/>
      <c r="U203" s="382"/>
      <c r="V203" s="382"/>
      <c r="W203" s="382"/>
      <c r="X203" s="382"/>
      <c r="Y203" s="364"/>
      <c r="Z203" s="364"/>
      <c r="AA203"/>
      <c r="AB203"/>
      <c r="AC203"/>
      <c r="AD203"/>
    </row>
    <row r="204" spans="17:30" ht="12.75" customHeight="1">
      <c r="Q204" s="668"/>
      <c r="R204" s="974" t="s">
        <v>775</v>
      </c>
      <c r="S204" s="974"/>
      <c r="T204" s="974"/>
      <c r="U204" s="974"/>
      <c r="V204" s="974"/>
      <c r="W204" s="974"/>
      <c r="X204" s="974"/>
      <c r="Y204" s="974"/>
      <c r="Z204" s="364"/>
      <c r="AA204"/>
      <c r="AB204"/>
      <c r="AC204"/>
      <c r="AD204"/>
    </row>
    <row r="205" spans="17:30" ht="12.75" customHeight="1">
      <c r="Q205" s="668"/>
      <c r="R205" s="974"/>
      <c r="S205" s="974"/>
      <c r="T205" s="974"/>
      <c r="U205" s="974"/>
      <c r="V205" s="974"/>
      <c r="W205" s="974"/>
      <c r="X205" s="974"/>
      <c r="Y205" s="974"/>
      <c r="Z205" s="576"/>
      <c r="AA205"/>
      <c r="AB205"/>
      <c r="AC205"/>
      <c r="AD205"/>
    </row>
    <row r="206" spans="17:30" ht="12.75" customHeight="1">
      <c r="Q206" s="668"/>
      <c r="R206" s="974"/>
      <c r="S206" s="974"/>
      <c r="T206" s="974"/>
      <c r="U206" s="974"/>
      <c r="V206" s="974"/>
      <c r="W206" s="974"/>
      <c r="X206" s="974"/>
      <c r="Y206" s="974"/>
      <c r="Z206" s="576"/>
      <c r="AA206"/>
      <c r="AB206"/>
      <c r="AC206"/>
      <c r="AD206"/>
    </row>
    <row r="207" spans="17:30" ht="12.75" customHeight="1">
      <c r="Q207" s="668"/>
      <c r="R207" s="974"/>
      <c r="S207" s="974"/>
      <c r="T207" s="974"/>
      <c r="U207" s="974"/>
      <c r="V207" s="974"/>
      <c r="W207" s="974"/>
      <c r="X207" s="974"/>
      <c r="Y207" s="974"/>
      <c r="Z207" s="576"/>
      <c r="AA207"/>
      <c r="AB207"/>
      <c r="AC207"/>
      <c r="AD207"/>
    </row>
    <row r="208" spans="17:30" ht="12.75" customHeight="1">
      <c r="Q208" s="668"/>
      <c r="R208" s="974"/>
      <c r="S208" s="974"/>
      <c r="T208" s="974"/>
      <c r="U208" s="974"/>
      <c r="V208" s="974"/>
      <c r="W208" s="974"/>
      <c r="X208" s="974"/>
      <c r="Y208" s="974"/>
      <c r="Z208" s="576"/>
      <c r="AA208"/>
      <c r="AB208"/>
      <c r="AC208"/>
      <c r="AD208"/>
    </row>
    <row r="209" spans="17:30" ht="12.75" customHeight="1">
      <c r="Q209" s="668"/>
      <c r="R209" s="364"/>
      <c r="S209" s="375"/>
      <c r="T209" s="375"/>
      <c r="U209" s="577"/>
      <c r="V209" s="577"/>
      <c r="W209" s="577"/>
      <c r="X209" s="577"/>
      <c r="Y209" s="551"/>
      <c r="Z209" s="363"/>
      <c r="AA209"/>
      <c r="AB209"/>
      <c r="AC209"/>
      <c r="AD209"/>
    </row>
    <row r="210" spans="17:30" ht="12.75" customHeight="1">
      <c r="Q210" s="668"/>
      <c r="R210" s="975" t="s">
        <v>667</v>
      </c>
      <c r="S210" s="976"/>
      <c r="T210" s="976"/>
      <c r="U210" s="976"/>
      <c r="V210" s="976"/>
      <c r="W210" s="976"/>
      <c r="X210" s="979">
        <f>10*V25</f>
        <v>76800</v>
      </c>
      <c r="Y210" s="935" t="s">
        <v>668</v>
      </c>
      <c r="Z210" s="364"/>
      <c r="AA210"/>
      <c r="AB210"/>
      <c r="AC210"/>
      <c r="AD210"/>
    </row>
    <row r="211" spans="17:30" ht="12.75" customHeight="1">
      <c r="Q211" s="668"/>
      <c r="R211" s="977"/>
      <c r="S211" s="978"/>
      <c r="T211" s="978"/>
      <c r="U211" s="978"/>
      <c r="V211" s="978"/>
      <c r="W211" s="978"/>
      <c r="X211" s="979"/>
      <c r="Y211" s="935"/>
      <c r="Z211" s="364"/>
      <c r="AA211"/>
      <c r="AB211"/>
      <c r="AC211"/>
      <c r="AD211"/>
    </row>
    <row r="212" spans="17:30" ht="12.75" customHeight="1">
      <c r="Q212" s="668"/>
      <c r="R212" s="578"/>
      <c r="S212" s="578"/>
      <c r="T212" s="578"/>
      <c r="U212" s="578"/>
      <c r="V212" s="578"/>
      <c r="W212" s="578"/>
      <c r="X212" s="578"/>
      <c r="Y212" s="579"/>
      <c r="Z212" s="551"/>
      <c r="AA212"/>
      <c r="AB212"/>
      <c r="AC212"/>
      <c r="AD212"/>
    </row>
    <row r="213" spans="17:30" ht="12.75" customHeight="1">
      <c r="Q213" s="668"/>
      <c r="R213" s="937" t="s">
        <v>678</v>
      </c>
      <c r="S213" s="937"/>
      <c r="T213" s="937"/>
      <c r="U213" s="937"/>
      <c r="V213" s="949" t="s">
        <v>500</v>
      </c>
      <c r="W213" s="938" t="s">
        <v>22</v>
      </c>
      <c r="X213" s="940" t="s">
        <v>579</v>
      </c>
      <c r="Y213" s="942" t="s">
        <v>21</v>
      </c>
      <c r="Z213" s="361"/>
      <c r="AA213"/>
      <c r="AB213"/>
      <c r="AC213"/>
      <c r="AD213"/>
    </row>
    <row r="214" spans="17:30" ht="12.75" customHeight="1">
      <c r="Q214" s="668"/>
      <c r="R214" s="937"/>
      <c r="S214" s="937"/>
      <c r="T214" s="937"/>
      <c r="U214" s="937"/>
      <c r="V214" s="950"/>
      <c r="W214" s="939"/>
      <c r="X214" s="941"/>
      <c r="Y214" s="943"/>
      <c r="Z214" s="361"/>
      <c r="AA214"/>
      <c r="AB214"/>
      <c r="AC214"/>
      <c r="AD214"/>
    </row>
    <row r="215" spans="17:30" ht="12.75" customHeight="1">
      <c r="Q215" s="668"/>
      <c r="R215" s="968" t="s">
        <v>533</v>
      </c>
      <c r="S215" s="968"/>
      <c r="T215" s="968"/>
      <c r="U215" s="968"/>
      <c r="V215" s="580">
        <v>0.107</v>
      </c>
      <c r="W215" s="581">
        <f>VLOOKUP($V$5,'Lookup Energy kWhm'!$B$8:$E$208,3)</f>
        <v>0.13</v>
      </c>
      <c r="X215" s="581">
        <f>VLOOKUP($V$5,'Lookup Energy kWhm'!$B$8:$E$208,4)</f>
        <v>0.14799999999999999</v>
      </c>
      <c r="Y215" s="581">
        <f>VLOOKUP($V$5,'Lookup Energy kWhm'!$B$8:$E$208,2)</f>
        <v>0.1</v>
      </c>
      <c r="Z215" s="361"/>
      <c r="AA215"/>
      <c r="AB215"/>
      <c r="AC215"/>
      <c r="AD215"/>
    </row>
    <row r="216" spans="17:30" ht="12.75" customHeight="1">
      <c r="Q216" s="668"/>
      <c r="R216" s="969" t="s">
        <v>31</v>
      </c>
      <c r="S216" s="969"/>
      <c r="T216" s="969"/>
      <c r="U216" s="969"/>
      <c r="V216" s="556">
        <f t="shared" ref="V216:W219" si="2">X216</f>
        <v>1.2</v>
      </c>
      <c r="W216" s="556">
        <f t="shared" si="2"/>
        <v>1.2</v>
      </c>
      <c r="X216" s="556">
        <f>W216</f>
        <v>1.2</v>
      </c>
      <c r="Y216" s="556">
        <f>V20</f>
        <v>1.2</v>
      </c>
      <c r="Z216" s="361"/>
      <c r="AA216"/>
      <c r="AB216"/>
      <c r="AC216"/>
      <c r="AD216"/>
    </row>
    <row r="217" spans="17:30" ht="12.75" customHeight="1">
      <c r="Q217" s="668"/>
      <c r="R217" s="969" t="s">
        <v>314</v>
      </c>
      <c r="S217" s="969"/>
      <c r="T217" s="969"/>
      <c r="U217" s="969"/>
      <c r="V217" s="556">
        <f t="shared" si="2"/>
        <v>160</v>
      </c>
      <c r="W217" s="556">
        <f t="shared" si="2"/>
        <v>160</v>
      </c>
      <c r="X217" s="556">
        <f>W217</f>
        <v>160</v>
      </c>
      <c r="Y217" s="556">
        <f>V19</f>
        <v>160</v>
      </c>
      <c r="Z217" s="361"/>
      <c r="AA217"/>
      <c r="AB217"/>
      <c r="AC217"/>
      <c r="AD217"/>
    </row>
    <row r="218" spans="17:30" ht="12.75" customHeight="1">
      <c r="Q218" s="668"/>
      <c r="R218" s="969" t="s">
        <v>20</v>
      </c>
      <c r="S218" s="969"/>
      <c r="T218" s="969"/>
      <c r="U218" s="969"/>
      <c r="V218" s="556">
        <f t="shared" si="2"/>
        <v>40</v>
      </c>
      <c r="W218" s="556">
        <f t="shared" si="2"/>
        <v>40</v>
      </c>
      <c r="X218" s="556">
        <f>W218</f>
        <v>40</v>
      </c>
      <c r="Y218" s="556">
        <f>V22</f>
        <v>40</v>
      </c>
      <c r="Z218" s="361"/>
      <c r="AA218"/>
      <c r="AB218"/>
      <c r="AC218"/>
      <c r="AD218"/>
    </row>
    <row r="219" spans="17:30" ht="12.75" customHeight="1">
      <c r="Q219" s="668"/>
      <c r="R219" s="969" t="s">
        <v>310</v>
      </c>
      <c r="S219" s="969"/>
      <c r="T219" s="969"/>
      <c r="U219" s="969"/>
      <c r="V219" s="556">
        <f t="shared" si="2"/>
        <v>160</v>
      </c>
      <c r="W219" s="556">
        <f t="shared" si="2"/>
        <v>160</v>
      </c>
      <c r="X219" s="556">
        <f>W219</f>
        <v>160</v>
      </c>
      <c r="Y219" s="556">
        <f>V23</f>
        <v>160</v>
      </c>
      <c r="Z219" s="361"/>
      <c r="AA219"/>
      <c r="AB219"/>
      <c r="AC219"/>
      <c r="AD219"/>
    </row>
    <row r="220" spans="17:30" ht="12.75" customHeight="1">
      <c r="Q220" s="668"/>
      <c r="R220" s="968" t="s">
        <v>543</v>
      </c>
      <c r="S220" s="968"/>
      <c r="T220" s="968"/>
      <c r="U220" s="968"/>
      <c r="V220" s="582">
        <f>V215*V216*V217*V218</f>
        <v>821.75999999999988</v>
      </c>
      <c r="W220" s="582">
        <f>W215*W216*W217*W218</f>
        <v>998.40000000000009</v>
      </c>
      <c r="X220" s="582">
        <f>X215*X216*X217*X218</f>
        <v>1136.6399999999999</v>
      </c>
      <c r="Y220" s="582">
        <f>Y215*Y216*Y217*Y218</f>
        <v>768</v>
      </c>
      <c r="Z220" s="361"/>
      <c r="AA220"/>
      <c r="AB220"/>
      <c r="AC220"/>
      <c r="AD220"/>
    </row>
    <row r="221" spans="17:30" ht="12.75" customHeight="1">
      <c r="Q221" s="668"/>
      <c r="R221" s="968" t="s">
        <v>542</v>
      </c>
      <c r="S221" s="968"/>
      <c r="T221" s="968"/>
      <c r="U221" s="968"/>
      <c r="V221" s="583">
        <f>V220/V219</f>
        <v>5.1359999999999992</v>
      </c>
      <c r="W221" s="583">
        <f>W220/W219</f>
        <v>6.24</v>
      </c>
      <c r="X221" s="583">
        <f>X220/X219</f>
        <v>7.1039999999999992</v>
      </c>
      <c r="Y221" s="583">
        <f>Y220/Y219</f>
        <v>4.8</v>
      </c>
      <c r="Z221" s="361"/>
      <c r="AA221"/>
      <c r="AB221"/>
      <c r="AC221"/>
      <c r="AD221"/>
    </row>
    <row r="222" spans="17:30" ht="12.75" customHeight="1">
      <c r="Q222" s="668"/>
      <c r="R222" s="968" t="s">
        <v>538</v>
      </c>
      <c r="S222" s="968"/>
      <c r="T222" s="968"/>
      <c r="U222" s="968"/>
      <c r="V222" s="537">
        <f>U62</f>
        <v>2.6666666666666665</v>
      </c>
      <c r="W222" s="537">
        <f>V62</f>
        <v>1.9999999999999996</v>
      </c>
      <c r="X222" s="537">
        <f>W62</f>
        <v>1.7391304347826084</v>
      </c>
      <c r="Y222" s="537">
        <f>X62</f>
        <v>1.4285714285714284</v>
      </c>
      <c r="Z222" s="361"/>
      <c r="AA222"/>
      <c r="AB222"/>
      <c r="AC222"/>
      <c r="AD222"/>
    </row>
    <row r="223" spans="17:30" ht="12.75" customHeight="1">
      <c r="Q223" s="668"/>
      <c r="R223" s="968" t="s">
        <v>546</v>
      </c>
      <c r="S223" s="968"/>
      <c r="T223" s="968"/>
      <c r="U223" s="968"/>
      <c r="V223" s="584">
        <f>2.2*V222</f>
        <v>5.8666666666666671</v>
      </c>
      <c r="W223" s="584">
        <f>W222/W215</f>
        <v>15.384615384615381</v>
      </c>
      <c r="X223" s="584">
        <f>X222/X215</f>
        <v>11.750881316098706</v>
      </c>
      <c r="Y223" s="584">
        <f>Y222/Y215</f>
        <v>14.285714285714283</v>
      </c>
      <c r="Z223" s="361"/>
      <c r="AA223"/>
      <c r="AB223"/>
      <c r="AC223"/>
      <c r="AD223"/>
    </row>
    <row r="224" spans="17:30" ht="12.75" customHeight="1">
      <c r="Q224" s="668"/>
      <c r="R224" s="968" t="s">
        <v>544</v>
      </c>
      <c r="S224" s="968"/>
      <c r="T224" s="968"/>
      <c r="U224" s="968"/>
      <c r="V224" s="582">
        <f>V219*V223</f>
        <v>938.66666666666674</v>
      </c>
      <c r="W224" s="582">
        <f>W219*W223</f>
        <v>2461.538461538461</v>
      </c>
      <c r="X224" s="582">
        <f>X219*X223</f>
        <v>1880.141010575793</v>
      </c>
      <c r="Y224" s="674">
        <f>Y219*Y223</f>
        <v>2285.7142857142853</v>
      </c>
      <c r="Z224" s="361"/>
      <c r="AA224"/>
      <c r="AB224"/>
      <c r="AC224"/>
      <c r="AD224"/>
    </row>
    <row r="225" spans="17:30" ht="12.75" customHeight="1">
      <c r="Q225" s="668"/>
      <c r="R225" s="969" t="s">
        <v>535</v>
      </c>
      <c r="S225" s="969"/>
      <c r="T225" s="969"/>
      <c r="U225" s="969"/>
      <c r="V225" s="556">
        <f>V217/V222</f>
        <v>60</v>
      </c>
      <c r="W225" s="556">
        <f>W217/W222</f>
        <v>80.000000000000014</v>
      </c>
      <c r="X225" s="556">
        <f>X217/X222</f>
        <v>92.000000000000014</v>
      </c>
      <c r="Y225" s="556">
        <f>Y217/Y222</f>
        <v>112.00000000000001</v>
      </c>
      <c r="Z225" s="361"/>
      <c r="AA225"/>
      <c r="AB225"/>
      <c r="AC225"/>
      <c r="AD225"/>
    </row>
    <row r="226" spans="17:30" ht="12.75" customHeight="1">
      <c r="Q226" s="668"/>
      <c r="R226" s="969" t="s">
        <v>536</v>
      </c>
      <c r="S226" s="969"/>
      <c r="T226" s="969"/>
      <c r="U226" s="969"/>
      <c r="V226" s="675">
        <f>V216*V225</f>
        <v>72</v>
      </c>
      <c r="W226" s="675">
        <f>W216*W225</f>
        <v>96.000000000000014</v>
      </c>
      <c r="X226" s="675">
        <f>X216*X225</f>
        <v>110.40000000000002</v>
      </c>
      <c r="Y226" s="675">
        <f>Y216*Y225</f>
        <v>134.4</v>
      </c>
      <c r="Z226" s="361"/>
      <c r="AA226"/>
      <c r="AB226"/>
      <c r="AC226"/>
      <c r="AD226"/>
    </row>
    <row r="227" spans="17:30" ht="12.75" customHeight="1">
      <c r="Q227" s="668"/>
      <c r="R227" s="968" t="s">
        <v>534</v>
      </c>
      <c r="S227" s="968"/>
      <c r="T227" s="968"/>
      <c r="U227" s="968"/>
      <c r="V227" s="583">
        <f>U56</f>
        <v>4</v>
      </c>
      <c r="W227" s="583">
        <f>V56</f>
        <v>2.9999999999999996</v>
      </c>
      <c r="X227" s="583">
        <f>W56</f>
        <v>2.6086956521739126</v>
      </c>
      <c r="Y227" s="583">
        <f>X56</f>
        <v>2.1428571428571428</v>
      </c>
      <c r="Z227" s="361"/>
      <c r="AA227"/>
      <c r="AB227"/>
      <c r="AC227"/>
      <c r="AD227"/>
    </row>
    <row r="228" spans="17:30" ht="12.75" customHeight="1">
      <c r="Q228" s="668"/>
      <c r="R228" s="968" t="s">
        <v>537</v>
      </c>
      <c r="S228" s="968"/>
      <c r="T228" s="968"/>
      <c r="U228" s="968"/>
      <c r="V228" s="584">
        <f>V225*V227</f>
        <v>240</v>
      </c>
      <c r="W228" s="584">
        <f>W225*W227</f>
        <v>240</v>
      </c>
      <c r="X228" s="584">
        <f>X225*X227</f>
        <v>240</v>
      </c>
      <c r="Y228" s="584">
        <f>Y225*Y227</f>
        <v>240.00000000000003</v>
      </c>
      <c r="Z228" s="361"/>
      <c r="AA228"/>
      <c r="AB228"/>
      <c r="AC228"/>
      <c r="AD228"/>
    </row>
    <row r="229" spans="17:30" ht="12.75" customHeight="1">
      <c r="Q229" s="668"/>
      <c r="R229" s="968" t="s">
        <v>545</v>
      </c>
      <c r="S229" s="968"/>
      <c r="T229" s="968"/>
      <c r="U229" s="968"/>
      <c r="V229" s="585">
        <f>V221/V223</f>
        <v>0.87545454545454526</v>
      </c>
      <c r="W229" s="585">
        <f>W221/W223</f>
        <v>0.40560000000000007</v>
      </c>
      <c r="X229" s="585">
        <f>X221/X223</f>
        <v>0.60455040000000004</v>
      </c>
      <c r="Y229" s="585">
        <f>Y221/Y223</f>
        <v>0.33600000000000008</v>
      </c>
      <c r="Z229" s="361"/>
      <c r="AA229"/>
      <c r="AB229"/>
      <c r="AC229"/>
      <c r="AD229"/>
    </row>
    <row r="230" spans="17:30" ht="12.75" customHeight="1">
      <c r="Q230" s="668"/>
      <c r="R230" s="540" t="s">
        <v>547</v>
      </c>
      <c r="S230" s="540"/>
      <c r="T230" s="540"/>
      <c r="U230" s="540"/>
      <c r="V230" s="585"/>
      <c r="W230" s="586">
        <f>10*W217*W216*W218</f>
        <v>76800</v>
      </c>
      <c r="X230" s="586">
        <f>10*X217*X216*X218</f>
        <v>76800</v>
      </c>
      <c r="Y230" s="586">
        <f>10*Y217*Y216*Y218</f>
        <v>76800</v>
      </c>
      <c r="Z230" s="361"/>
      <c r="AA230"/>
      <c r="AB230"/>
      <c r="AC230"/>
      <c r="AD230"/>
    </row>
    <row r="231" spans="17:30" ht="12.75" customHeight="1">
      <c r="Q231" s="668"/>
      <c r="R231" s="968" t="s">
        <v>548</v>
      </c>
      <c r="S231" s="968"/>
      <c r="T231" s="968"/>
      <c r="U231" s="968"/>
      <c r="V231" s="585">
        <f>V229</f>
        <v>0.87545454545454526</v>
      </c>
      <c r="W231" s="585">
        <f>W220/W230</f>
        <v>1.3000000000000001E-2</v>
      </c>
      <c r="X231" s="585">
        <f>X220/X230</f>
        <v>1.4799999999999999E-2</v>
      </c>
      <c r="Y231" s="585">
        <f>Y220/Y230</f>
        <v>0.01</v>
      </c>
      <c r="Z231" s="361"/>
      <c r="AA231"/>
      <c r="AB231"/>
      <c r="AC231"/>
      <c r="AD231"/>
    </row>
    <row r="232" spans="17:30" ht="12.75" customHeight="1">
      <c r="Q232" s="668"/>
      <c r="R232" s="587"/>
      <c r="S232" s="587"/>
      <c r="T232" s="587"/>
      <c r="U232" s="587"/>
      <c r="V232" s="588"/>
      <c r="W232" s="588"/>
      <c r="X232" s="588"/>
      <c r="Y232" s="588"/>
      <c r="Z232" s="589"/>
      <c r="AA232"/>
      <c r="AB232"/>
      <c r="AC232"/>
      <c r="AD232"/>
    </row>
    <row r="233" spans="17:30" ht="12.75" customHeight="1">
      <c r="Q233" s="668"/>
      <c r="R233" s="587"/>
      <c r="S233" s="587"/>
      <c r="T233" s="587"/>
      <c r="U233" s="587"/>
      <c r="V233" s="676"/>
      <c r="W233" s="676"/>
      <c r="X233" s="676"/>
      <c r="Y233" s="588"/>
      <c r="Z233" s="364"/>
      <c r="AA233"/>
      <c r="AB233"/>
      <c r="AC233"/>
      <c r="AD233"/>
    </row>
    <row r="234" spans="17:30" ht="12.75" customHeight="1">
      <c r="Q234" s="668" t="s">
        <v>240</v>
      </c>
      <c r="R234" s="364" t="s">
        <v>241</v>
      </c>
      <c r="S234" s="364"/>
      <c r="T234" s="364"/>
      <c r="U234" s="364"/>
      <c r="V234" s="364"/>
      <c r="W234" s="364"/>
      <c r="X234" s="364"/>
      <c r="Y234" s="364"/>
      <c r="Z234" s="364"/>
      <c r="AA234"/>
      <c r="AB234"/>
      <c r="AC234"/>
      <c r="AD234"/>
    </row>
    <row r="235" spans="17:30" ht="12.75" customHeight="1">
      <c r="Q235" s="364"/>
      <c r="R235" s="962" t="s">
        <v>301</v>
      </c>
      <c r="S235" s="963"/>
      <c r="T235" s="964"/>
      <c r="U235" s="949" t="s">
        <v>500</v>
      </c>
      <c r="V235" s="938" t="s">
        <v>22</v>
      </c>
      <c r="W235" s="940" t="s">
        <v>579</v>
      </c>
      <c r="X235" s="942" t="s">
        <v>21</v>
      </c>
      <c r="Y235" s="361"/>
      <c r="Z235" s="364"/>
      <c r="AA235"/>
      <c r="AB235"/>
      <c r="AC235"/>
      <c r="AD235"/>
    </row>
    <row r="236" spans="17:30" ht="12.75" customHeight="1">
      <c r="Q236" s="364"/>
      <c r="R236" s="965"/>
      <c r="S236" s="966"/>
      <c r="T236" s="967"/>
      <c r="U236" s="950"/>
      <c r="V236" s="939"/>
      <c r="W236" s="941"/>
      <c r="X236" s="943"/>
      <c r="Y236" s="361"/>
      <c r="Z236" s="364"/>
      <c r="AA236"/>
      <c r="AB236"/>
      <c r="AC236"/>
      <c r="AD236"/>
    </row>
    <row r="237" spans="17:30" ht="12.75" customHeight="1">
      <c r="Q237" s="364"/>
      <c r="R237" s="931" t="s">
        <v>662</v>
      </c>
      <c r="S237" s="931"/>
      <c r="T237" s="931"/>
      <c r="U237" s="901" t="s">
        <v>427</v>
      </c>
      <c r="V237" s="562">
        <f>VLOOKUP($V$5,'Lookup Air Consumption'!$B$8:$E$208,3)</f>
        <v>38</v>
      </c>
      <c r="W237" s="562">
        <f>VLOOKUP($V$5,'Lookup Air Consumption'!$B$8:$E$208,4)</f>
        <v>50</v>
      </c>
      <c r="X237" s="562">
        <f>VLOOKUP($V$5,'Lookup Air Consumption'!$B$8:$E$208,2)</f>
        <v>41</v>
      </c>
      <c r="Y237" s="361"/>
      <c r="Z237" s="364"/>
      <c r="AA237"/>
      <c r="AB237"/>
      <c r="AC237"/>
      <c r="AD237"/>
    </row>
    <row r="238" spans="17:30" ht="12.75" customHeight="1">
      <c r="Q238" s="364"/>
      <c r="R238" s="931" t="s">
        <v>663</v>
      </c>
      <c r="S238" s="931"/>
      <c r="T238" s="931"/>
      <c r="U238" s="901"/>
      <c r="V238" s="590">
        <f>V237/1000</f>
        <v>3.7999999999999999E-2</v>
      </c>
      <c r="W238" s="590">
        <f>W237/1000</f>
        <v>0.05</v>
      </c>
      <c r="X238" s="590">
        <f>X237/1000</f>
        <v>4.1000000000000002E-2</v>
      </c>
      <c r="Y238" s="361"/>
      <c r="Z238" s="364"/>
      <c r="AA238"/>
      <c r="AB238"/>
      <c r="AC238"/>
      <c r="AD238"/>
    </row>
    <row r="239" spans="17:30" ht="12.75" customHeight="1">
      <c r="Q239" s="364"/>
      <c r="R239" s="931" t="s">
        <v>664</v>
      </c>
      <c r="S239" s="931"/>
      <c r="T239" s="931"/>
      <c r="U239" s="901"/>
      <c r="V239" s="560">
        <f>V238*35.31467</f>
        <v>1.3419574599999999</v>
      </c>
      <c r="W239" s="560">
        <f>W238*35.31467</f>
        <v>1.7657335000000001</v>
      </c>
      <c r="X239" s="560">
        <f>X238*35.31467</f>
        <v>1.4479014700000001</v>
      </c>
      <c r="Y239" s="361"/>
      <c r="Z239" s="364"/>
      <c r="AA239"/>
      <c r="AB239"/>
      <c r="AC239"/>
      <c r="AD239"/>
    </row>
    <row r="240" spans="17:30" ht="12.75" customHeight="1">
      <c r="Q240" s="360"/>
      <c r="R240" s="551"/>
      <c r="S240" s="551"/>
      <c r="T240" s="551"/>
      <c r="U240" s="591"/>
      <c r="V240" s="551"/>
      <c r="W240" s="551"/>
      <c r="X240" s="551"/>
      <c r="Y240" s="361"/>
      <c r="Z240" s="364"/>
      <c r="AA240"/>
      <c r="AB240"/>
      <c r="AC240"/>
      <c r="AD240"/>
    </row>
    <row r="241" spans="17:30" ht="12.75" customHeight="1">
      <c r="Q241" s="360"/>
      <c r="R241" s="962" t="s">
        <v>302</v>
      </c>
      <c r="S241" s="963"/>
      <c r="T241" s="964"/>
      <c r="U241" s="949" t="s">
        <v>500</v>
      </c>
      <c r="V241" s="938" t="s">
        <v>22</v>
      </c>
      <c r="W241" s="940" t="s">
        <v>579</v>
      </c>
      <c r="X241" s="942" t="s">
        <v>21</v>
      </c>
      <c r="Y241" s="361"/>
      <c r="Z241" s="364"/>
      <c r="AA241"/>
      <c r="AB241"/>
      <c r="AC241"/>
      <c r="AD241"/>
    </row>
    <row r="242" spans="17:30" ht="12.75" customHeight="1">
      <c r="Q242" s="360"/>
      <c r="R242" s="965"/>
      <c r="S242" s="966"/>
      <c r="T242" s="967"/>
      <c r="U242" s="950"/>
      <c r="V242" s="939"/>
      <c r="W242" s="941"/>
      <c r="X242" s="943"/>
      <c r="Y242" s="361"/>
      <c r="Z242" s="364"/>
      <c r="AA242"/>
      <c r="AB242"/>
      <c r="AC242"/>
      <c r="AD242"/>
    </row>
    <row r="243" spans="17:30" ht="12.75" customHeight="1">
      <c r="Q243" s="360"/>
      <c r="R243" s="931" t="s">
        <v>662</v>
      </c>
      <c r="S243" s="931"/>
      <c r="T243" s="931"/>
      <c r="U243" s="901" t="s">
        <v>427</v>
      </c>
      <c r="V243" s="549">
        <f t="shared" ref="V243:W245" si="3">V237*$V$23</f>
        <v>6080</v>
      </c>
      <c r="W243" s="549">
        <f t="shared" si="3"/>
        <v>8000</v>
      </c>
      <c r="X243" s="549">
        <f>X237*$V$23</f>
        <v>6560</v>
      </c>
      <c r="Y243" s="361"/>
      <c r="Z243" s="364"/>
      <c r="AA243"/>
      <c r="AB243"/>
      <c r="AC243"/>
      <c r="AD243"/>
    </row>
    <row r="244" spans="17:30" ht="12.75" customHeight="1">
      <c r="Q244" s="360"/>
      <c r="R244" s="931" t="s">
        <v>663</v>
      </c>
      <c r="S244" s="931"/>
      <c r="T244" s="931"/>
      <c r="U244" s="901"/>
      <c r="V244" s="560">
        <f t="shared" si="3"/>
        <v>6.08</v>
      </c>
      <c r="W244" s="560">
        <f t="shared" si="3"/>
        <v>8</v>
      </c>
      <c r="X244" s="560">
        <f>X238*$V$23</f>
        <v>6.5600000000000005</v>
      </c>
      <c r="Y244" s="361"/>
      <c r="Z244" s="364"/>
      <c r="AA244"/>
      <c r="AB244"/>
      <c r="AC244"/>
      <c r="AD244"/>
    </row>
    <row r="245" spans="17:30" ht="12.75" customHeight="1">
      <c r="Q245" s="360"/>
      <c r="R245" s="931" t="s">
        <v>664</v>
      </c>
      <c r="S245" s="931"/>
      <c r="T245" s="931"/>
      <c r="U245" s="901"/>
      <c r="V245" s="560">
        <f t="shared" si="3"/>
        <v>214.71319359999998</v>
      </c>
      <c r="W245" s="560">
        <f t="shared" si="3"/>
        <v>282.51736</v>
      </c>
      <c r="X245" s="560">
        <f>X239*$V$23</f>
        <v>231.66423520000001</v>
      </c>
      <c r="Y245" s="361"/>
      <c r="Z245" s="364"/>
      <c r="AA245"/>
      <c r="AB245"/>
      <c r="AC245"/>
      <c r="AD245"/>
    </row>
    <row r="246" spans="17:30" ht="12.75" customHeight="1">
      <c r="Q246" s="360"/>
      <c r="R246" s="364"/>
      <c r="S246" s="364"/>
      <c r="T246" s="364"/>
      <c r="U246" s="364"/>
      <c r="V246" s="555"/>
      <c r="W246" s="555"/>
      <c r="X246" s="555"/>
      <c r="Y246" s="361"/>
      <c r="Z246" s="364"/>
      <c r="AA246"/>
      <c r="AB246"/>
      <c r="AC246"/>
      <c r="AD246"/>
    </row>
    <row r="247" spans="17:30" ht="12.75" customHeight="1">
      <c r="Q247" s="360"/>
      <c r="R247" s="962" t="s">
        <v>303</v>
      </c>
      <c r="S247" s="963"/>
      <c r="T247" s="964"/>
      <c r="U247" s="949" t="s">
        <v>500</v>
      </c>
      <c r="V247" s="938" t="s">
        <v>22</v>
      </c>
      <c r="W247" s="940" t="s">
        <v>579</v>
      </c>
      <c r="X247" s="942" t="s">
        <v>21</v>
      </c>
      <c r="Y247" s="361"/>
      <c r="Z247" s="364"/>
      <c r="AA247"/>
      <c r="AB247"/>
      <c r="AC247"/>
      <c r="AD247"/>
    </row>
    <row r="248" spans="17:30" ht="12.75" customHeight="1">
      <c r="Q248" s="360"/>
      <c r="R248" s="965"/>
      <c r="S248" s="966"/>
      <c r="T248" s="967"/>
      <c r="U248" s="950"/>
      <c r="V248" s="939"/>
      <c r="W248" s="941"/>
      <c r="X248" s="943"/>
      <c r="Y248" s="361"/>
      <c r="Z248" s="364"/>
      <c r="AA248"/>
      <c r="AB248"/>
      <c r="AC248"/>
      <c r="AD248"/>
    </row>
    <row r="249" spans="17:30" ht="12.75" customHeight="1">
      <c r="Q249" s="563"/>
      <c r="R249" s="951" t="s">
        <v>517</v>
      </c>
      <c r="S249" s="951"/>
      <c r="T249" s="951"/>
      <c r="U249" s="901" t="s">
        <v>427</v>
      </c>
      <c r="V249" s="549">
        <f t="shared" ref="V249:X251" si="4">($V$25/$X$51)*60*V237</f>
        <v>31268571.428571429</v>
      </c>
      <c r="W249" s="549">
        <f t="shared" si="4"/>
        <v>41142857.142857142</v>
      </c>
      <c r="X249" s="549">
        <f t="shared" si="4"/>
        <v>33737142.857142858</v>
      </c>
      <c r="Y249" s="361"/>
      <c r="Z249" s="364"/>
      <c r="AA249"/>
      <c r="AB249"/>
      <c r="AC249"/>
      <c r="AD249"/>
    </row>
    <row r="250" spans="17:30" ht="12.75" customHeight="1">
      <c r="Q250" s="364"/>
      <c r="R250" s="951" t="s">
        <v>666</v>
      </c>
      <c r="S250" s="951"/>
      <c r="T250" s="951"/>
      <c r="U250" s="901"/>
      <c r="V250" s="549">
        <f t="shared" si="4"/>
        <v>31268.571428571428</v>
      </c>
      <c r="W250" s="549">
        <f t="shared" si="4"/>
        <v>41142.857142857145</v>
      </c>
      <c r="X250" s="549">
        <f t="shared" si="4"/>
        <v>33737.142857142855</v>
      </c>
      <c r="Y250" s="361"/>
      <c r="Z250" s="364"/>
      <c r="AA250"/>
      <c r="AB250"/>
      <c r="AC250"/>
      <c r="AD250"/>
    </row>
    <row r="251" spans="17:30" ht="12.75" customHeight="1">
      <c r="Q251" s="364"/>
      <c r="R251" s="951" t="s">
        <v>583</v>
      </c>
      <c r="S251" s="951"/>
      <c r="T251" s="951"/>
      <c r="U251" s="901"/>
      <c r="V251" s="549">
        <f t="shared" si="4"/>
        <v>1104239.2813714284</v>
      </c>
      <c r="W251" s="549">
        <f t="shared" si="4"/>
        <v>1452946.422857143</v>
      </c>
      <c r="X251" s="549">
        <f t="shared" si="4"/>
        <v>1191416.0667428572</v>
      </c>
      <c r="Y251" s="361"/>
      <c r="Z251" s="364"/>
      <c r="AA251"/>
      <c r="AB251"/>
      <c r="AC251"/>
      <c r="AD251"/>
    </row>
    <row r="252" spans="17:30" ht="12.75" customHeight="1">
      <c r="Q252" s="364"/>
      <c r="R252" s="364"/>
      <c r="S252" s="364"/>
      <c r="T252" s="364"/>
      <c r="U252" s="364"/>
      <c r="V252" s="364"/>
      <c r="W252" s="364"/>
      <c r="X252" s="364"/>
      <c r="Y252" s="361"/>
      <c r="Z252" s="364"/>
      <c r="AA252"/>
      <c r="AB252"/>
      <c r="AC252"/>
      <c r="AD252"/>
    </row>
    <row r="253" spans="17:30" ht="12.75" customHeight="1">
      <c r="Q253" s="668" t="s">
        <v>753</v>
      </c>
      <c r="R253" s="364" t="s">
        <v>300</v>
      </c>
      <c r="S253" s="364"/>
      <c r="T253" s="364"/>
      <c r="U253" s="364"/>
      <c r="V253" s="364"/>
      <c r="W253" s="364"/>
      <c r="X253" s="364"/>
      <c r="Y253" s="361"/>
      <c r="Z253" s="364"/>
      <c r="AA253"/>
      <c r="AB253"/>
      <c r="AC253"/>
      <c r="AD253"/>
    </row>
    <row r="254" spans="17:30" ht="12.75" customHeight="1">
      <c r="Q254" s="364"/>
      <c r="R254" s="957" t="s">
        <v>669</v>
      </c>
      <c r="S254" s="958"/>
      <c r="T254" s="959"/>
      <c r="U254" s="949" t="s">
        <v>500</v>
      </c>
      <c r="V254" s="938" t="s">
        <v>22</v>
      </c>
      <c r="W254" s="940" t="s">
        <v>579</v>
      </c>
      <c r="X254" s="942" t="s">
        <v>21</v>
      </c>
      <c r="Y254" s="361"/>
      <c r="Z254" s="364"/>
      <c r="AA254"/>
      <c r="AB254"/>
      <c r="AC254"/>
      <c r="AD254"/>
    </row>
    <row r="255" spans="17:30" ht="12.75" customHeight="1">
      <c r="Q255" s="364"/>
      <c r="R255" s="960"/>
      <c r="S255" s="961"/>
      <c r="T255" s="899"/>
      <c r="U255" s="950"/>
      <c r="V255" s="939"/>
      <c r="W255" s="941"/>
      <c r="X255" s="943"/>
      <c r="Y255" s="361"/>
      <c r="Z255" s="364"/>
      <c r="AA255"/>
      <c r="AB255"/>
      <c r="AC255"/>
      <c r="AD255"/>
    </row>
    <row r="256" spans="17:30" ht="12.75" customHeight="1">
      <c r="Q256" s="364"/>
      <c r="R256" s="541" t="s">
        <v>80</v>
      </c>
      <c r="S256" s="559"/>
      <c r="T256" s="559"/>
      <c r="U256" s="543">
        <v>6.5</v>
      </c>
      <c r="V256" s="669">
        <f>VLOOKUP($V$5,'Lookup Water Flow'!$B$8:$E$208,3)</f>
        <v>6.9</v>
      </c>
      <c r="W256" s="669">
        <f>VLOOKUP($V$5,'Lookup Water Flow'!$B$8:$E$208,4)</f>
        <v>12.1</v>
      </c>
      <c r="X256" s="669">
        <f>VLOOKUP($V$5,'Lookup Water Flow'!$B$8:$E$208,2)</f>
        <v>12.6</v>
      </c>
      <c r="Y256" s="361"/>
      <c r="Z256" s="364"/>
      <c r="AA256"/>
      <c r="AB256"/>
      <c r="AC256"/>
      <c r="AD256"/>
    </row>
    <row r="257" spans="17:30" ht="12.75" customHeight="1">
      <c r="Q257" s="364"/>
      <c r="R257" s="951" t="s">
        <v>81</v>
      </c>
      <c r="S257" s="951"/>
      <c r="T257" s="951"/>
      <c r="U257" s="677">
        <f>U256*V23</f>
        <v>1040</v>
      </c>
      <c r="V257" s="678">
        <f>V256*$V$23</f>
        <v>1104</v>
      </c>
      <c r="W257" s="678">
        <f>W256*$V$23</f>
        <v>1936</v>
      </c>
      <c r="X257" s="678">
        <f>X256*$V$23</f>
        <v>2016</v>
      </c>
      <c r="Y257" s="361"/>
      <c r="Z257" s="364"/>
      <c r="AA257"/>
      <c r="AB257"/>
      <c r="AC257"/>
      <c r="AD257"/>
    </row>
    <row r="258" spans="17:30" ht="12.75" customHeight="1">
      <c r="Q258" s="364"/>
      <c r="R258" s="592" t="s">
        <v>670</v>
      </c>
      <c r="S258" s="559"/>
      <c r="T258" s="559"/>
      <c r="U258" s="549">
        <f>(U256*U56*V24)+(24*2*V24)</f>
        <v>473600</v>
      </c>
      <c r="V258" s="679">
        <f>V256*$X$56*$V$24</f>
        <v>94628.571428571435</v>
      </c>
      <c r="W258" s="679">
        <f>W256*$X$56*$V$24</f>
        <v>165942.85714285713</v>
      </c>
      <c r="X258" s="679">
        <f>X256*$X$56*$V$24</f>
        <v>172800</v>
      </c>
      <c r="Y258" s="361"/>
      <c r="Z258" s="364"/>
      <c r="AA258"/>
      <c r="AB258"/>
      <c r="AC258"/>
      <c r="AD258"/>
    </row>
    <row r="259" spans="17:30" ht="12.75" customHeight="1">
      <c r="Q259" s="364"/>
      <c r="R259" s="364"/>
      <c r="S259" s="364"/>
      <c r="T259" s="364"/>
      <c r="U259" s="364"/>
      <c r="V259" s="364"/>
      <c r="W259" s="364"/>
      <c r="X259" s="364"/>
      <c r="Y259" s="364"/>
      <c r="Z259" s="364"/>
      <c r="AA259"/>
      <c r="AB259"/>
      <c r="AC259"/>
      <c r="AD259"/>
    </row>
    <row r="260" spans="17:30" ht="12.75" customHeight="1">
      <c r="Q260" s="680" t="s">
        <v>754</v>
      </c>
      <c r="R260" s="952" t="s">
        <v>309</v>
      </c>
      <c r="S260" s="952"/>
      <c r="T260" s="952"/>
      <c r="U260" s="952"/>
      <c r="V260" s="952"/>
      <c r="W260" s="952"/>
      <c r="X260" s="952"/>
      <c r="Y260" s="952"/>
      <c r="Z260" s="360"/>
      <c r="AA260"/>
      <c r="AB260"/>
      <c r="AC260"/>
      <c r="AD260"/>
    </row>
    <row r="261" spans="17:30" ht="12.75" customHeight="1">
      <c r="Q261" s="364"/>
      <c r="R261" s="364"/>
      <c r="S261" s="364"/>
      <c r="T261" s="364"/>
      <c r="U261" s="364"/>
      <c r="V261" s="364"/>
      <c r="W261" s="364"/>
      <c r="X261" s="364"/>
      <c r="Y261" s="364"/>
      <c r="Z261" s="364"/>
      <c r="AA261"/>
      <c r="AB261"/>
      <c r="AC261"/>
      <c r="AD261"/>
    </row>
    <row r="262" spans="17:30" ht="12.75" customHeight="1">
      <c r="Q262" s="668" t="s">
        <v>755</v>
      </c>
      <c r="R262" s="364" t="s">
        <v>239</v>
      </c>
      <c r="S262" s="364"/>
      <c r="T262" s="364"/>
      <c r="U262" s="364"/>
      <c r="V262" s="364"/>
      <c r="W262" s="364"/>
      <c r="X262" s="364"/>
      <c r="Y262" s="364"/>
      <c r="Z262" s="364"/>
      <c r="AA262"/>
      <c r="AB262"/>
      <c r="AC262"/>
      <c r="AD262"/>
    </row>
    <row r="263" spans="17:30" ht="12.75" customHeight="1">
      <c r="Q263" s="364"/>
      <c r="R263" s="364"/>
      <c r="S263" s="364"/>
      <c r="T263" s="364"/>
      <c r="U263" s="364"/>
      <c r="V263" s="364"/>
      <c r="W263" s="364"/>
      <c r="X263" s="364"/>
      <c r="Y263" s="364"/>
      <c r="Z263" s="364"/>
      <c r="AA263"/>
      <c r="AB263"/>
      <c r="AC263"/>
      <c r="AD263"/>
    </row>
    <row r="264" spans="17:30" ht="12.75" customHeight="1">
      <c r="Q264" s="364"/>
      <c r="R264" s="953" t="s">
        <v>676</v>
      </c>
      <c r="S264" s="954"/>
      <c r="T264" s="561" t="s">
        <v>320</v>
      </c>
      <c r="U264" s="935" t="s">
        <v>318</v>
      </c>
      <c r="V264" s="935"/>
      <c r="W264" s="681">
        <f>'Compressor Input Data'!G7</f>
        <v>0.19</v>
      </c>
      <c r="X264" s="594"/>
      <c r="Y264" s="595"/>
      <c r="Z264" s="363"/>
      <c r="AA264"/>
      <c r="AB264"/>
      <c r="AC264"/>
      <c r="AD264"/>
    </row>
    <row r="265" spans="17:30" ht="12.75" customHeight="1">
      <c r="Q265" s="364"/>
      <c r="R265" s="955"/>
      <c r="S265" s="956"/>
      <c r="T265" s="561" t="s">
        <v>321</v>
      </c>
      <c r="U265" s="935" t="s">
        <v>319</v>
      </c>
      <c r="V265" s="935"/>
      <c r="W265" s="681">
        <f>'Compressor Input Data'!G8</f>
        <v>0.33</v>
      </c>
      <c r="X265" s="594"/>
      <c r="Y265" s="595"/>
      <c r="Z265" s="595"/>
      <c r="AA265"/>
      <c r="AB265"/>
      <c r="AC265"/>
      <c r="AD265"/>
    </row>
    <row r="266" spans="17:30" ht="12.75" customHeight="1">
      <c r="Q266" s="364"/>
      <c r="R266" s="363"/>
      <c r="S266" s="363"/>
      <c r="T266" s="577"/>
      <c r="U266" s="577"/>
      <c r="V266" s="596"/>
      <c r="W266" s="363"/>
      <c r="X266" s="363"/>
      <c r="Y266" s="363"/>
      <c r="Z266" s="363"/>
      <c r="AA266"/>
      <c r="AB266"/>
      <c r="AC266"/>
      <c r="AD266"/>
    </row>
    <row r="267" spans="17:30" ht="12.75" customHeight="1">
      <c r="Q267" s="364"/>
      <c r="R267" s="935" t="s">
        <v>675</v>
      </c>
      <c r="S267" s="935"/>
      <c r="T267" s="935"/>
      <c r="U267" s="949" t="s">
        <v>500</v>
      </c>
      <c r="V267" s="938" t="s">
        <v>22</v>
      </c>
      <c r="W267" s="940" t="s">
        <v>579</v>
      </c>
      <c r="X267" s="942" t="s">
        <v>21</v>
      </c>
      <c r="Y267" s="361"/>
      <c r="Z267" s="364"/>
      <c r="AA267"/>
      <c r="AB267"/>
      <c r="AC267"/>
      <c r="AD267"/>
    </row>
    <row r="268" spans="17:30" ht="12.75" customHeight="1">
      <c r="Q268" s="364"/>
      <c r="R268" s="944" t="s">
        <v>320</v>
      </c>
      <c r="S268" s="947"/>
      <c r="T268" s="948"/>
      <c r="U268" s="950"/>
      <c r="V268" s="939"/>
      <c r="W268" s="941"/>
      <c r="X268" s="943"/>
      <c r="Y268" s="361"/>
      <c r="Z268" s="364"/>
      <c r="AA268"/>
      <c r="AB268"/>
      <c r="AC268"/>
      <c r="AD268"/>
    </row>
    <row r="269" spans="17:30" ht="12.75" customHeight="1">
      <c r="Q269" s="364"/>
      <c r="R269" s="945"/>
      <c r="S269" s="935" t="s">
        <v>306</v>
      </c>
      <c r="T269" s="935"/>
      <c r="U269" s="599">
        <f>U164*$W$264</f>
        <v>178.34666666666669</v>
      </c>
      <c r="V269" s="599">
        <f>V164*$W$264</f>
        <v>14439.999999999998</v>
      </c>
      <c r="W269" s="599">
        <f>W164*$W$264</f>
        <v>12556.521739130432</v>
      </c>
      <c r="X269" s="599">
        <f>X164*$W$264</f>
        <v>10314.285714285712</v>
      </c>
      <c r="Y269" s="361"/>
      <c r="Z269" s="364"/>
      <c r="AA269"/>
      <c r="AB269"/>
      <c r="AC269"/>
      <c r="AD269"/>
    </row>
    <row r="270" spans="17:30" ht="12.75" customHeight="1">
      <c r="Q270" s="364"/>
      <c r="R270" s="945"/>
      <c r="S270" s="935" t="s">
        <v>307</v>
      </c>
      <c r="T270" s="935"/>
      <c r="U270" s="599">
        <f>U269*$V$11</f>
        <v>4101.9733333333343</v>
      </c>
      <c r="V270" s="599">
        <f>V269*$V$11</f>
        <v>332119.99999999994</v>
      </c>
      <c r="W270" s="599">
        <f>W269*$V$11</f>
        <v>288799.99999999994</v>
      </c>
      <c r="X270" s="599">
        <f>X269*$V$11</f>
        <v>237228.57142857136</v>
      </c>
      <c r="Y270" s="361"/>
      <c r="Z270" s="364"/>
      <c r="AA270"/>
      <c r="AB270"/>
      <c r="AC270"/>
      <c r="AD270"/>
    </row>
    <row r="271" spans="17:30" ht="12.75" customHeight="1">
      <c r="Q271" s="364"/>
      <c r="R271" s="946"/>
      <c r="S271" s="935" t="s">
        <v>308</v>
      </c>
      <c r="T271" s="935"/>
      <c r="U271" s="599">
        <f>U270*9</f>
        <v>36917.760000000009</v>
      </c>
      <c r="V271" s="599">
        <f>V270*9</f>
        <v>2989079.9999999995</v>
      </c>
      <c r="W271" s="599">
        <f>W270*9</f>
        <v>2599199.9999999995</v>
      </c>
      <c r="X271" s="599">
        <f>X270*9</f>
        <v>2135057.1428571423</v>
      </c>
      <c r="Y271" s="361"/>
      <c r="Z271" s="364"/>
      <c r="AA271"/>
      <c r="AB271"/>
      <c r="AC271"/>
      <c r="AD271"/>
    </row>
    <row r="272" spans="17:30" ht="12.75" customHeight="1">
      <c r="Q272" s="597"/>
      <c r="R272" s="937"/>
      <c r="S272" s="937"/>
      <c r="T272" s="937"/>
      <c r="U272" s="937"/>
      <c r="V272" s="937"/>
      <c r="W272" s="937"/>
      <c r="X272" s="937"/>
      <c r="Y272" s="364"/>
      <c r="Z272" s="364"/>
      <c r="AA272"/>
      <c r="AB272"/>
      <c r="AC272"/>
      <c r="AD272"/>
    </row>
    <row r="273" spans="17:30" ht="12.75" customHeight="1">
      <c r="Q273" s="597"/>
      <c r="R273" s="935" t="s">
        <v>675</v>
      </c>
      <c r="S273" s="935"/>
      <c r="T273" s="935"/>
      <c r="U273" s="930" t="s">
        <v>500</v>
      </c>
      <c r="V273" s="928" t="s">
        <v>22</v>
      </c>
      <c r="W273" s="929" t="s">
        <v>579</v>
      </c>
      <c r="X273" s="927" t="s">
        <v>21</v>
      </c>
      <c r="Y273" s="361"/>
      <c r="Z273" s="364"/>
      <c r="AA273"/>
      <c r="AB273"/>
      <c r="AC273"/>
      <c r="AD273"/>
    </row>
    <row r="274" spans="17:30" ht="12.75" customHeight="1">
      <c r="Q274" s="597"/>
      <c r="R274" s="937" t="s">
        <v>321</v>
      </c>
      <c r="S274" s="937"/>
      <c r="T274" s="937"/>
      <c r="U274" s="930"/>
      <c r="V274" s="928"/>
      <c r="W274" s="929"/>
      <c r="X274" s="927"/>
      <c r="Y274" s="361"/>
      <c r="Z274" s="364"/>
      <c r="AA274"/>
      <c r="AB274"/>
      <c r="AC274"/>
      <c r="AD274"/>
    </row>
    <row r="275" spans="17:30" ht="12.75" customHeight="1">
      <c r="Q275" s="364"/>
      <c r="R275" s="937"/>
      <c r="S275" s="935" t="s">
        <v>306</v>
      </c>
      <c r="T275" s="935"/>
      <c r="U275" s="599">
        <f>U164*$W$265</f>
        <v>309.76000000000005</v>
      </c>
      <c r="V275" s="599">
        <f>V164*$W$265</f>
        <v>25079.999999999996</v>
      </c>
      <c r="W275" s="599">
        <f>W164*$W$265</f>
        <v>21808.695652173912</v>
      </c>
      <c r="X275" s="599">
        <f>X164*$W$265</f>
        <v>17914.28571428571</v>
      </c>
      <c r="Y275" s="361"/>
      <c r="Z275" s="364"/>
      <c r="AA275"/>
      <c r="AB275"/>
      <c r="AC275"/>
      <c r="AD275"/>
    </row>
    <row r="276" spans="17:30" ht="12.75" customHeight="1">
      <c r="Q276" s="597"/>
      <c r="R276" s="937"/>
      <c r="S276" s="935" t="s">
        <v>307</v>
      </c>
      <c r="T276" s="935"/>
      <c r="U276" s="599">
        <f>U275*$V$11</f>
        <v>7124.4800000000014</v>
      </c>
      <c r="V276" s="599">
        <f>V275*$V$11</f>
        <v>576839.99999999988</v>
      </c>
      <c r="W276" s="599">
        <f>W275*$V$11</f>
        <v>501600</v>
      </c>
      <c r="X276" s="599">
        <f>X275*$V$11</f>
        <v>412028.57142857136</v>
      </c>
      <c r="Y276" s="361"/>
      <c r="Z276" s="364"/>
      <c r="AA276"/>
      <c r="AB276"/>
      <c r="AC276"/>
      <c r="AD276"/>
    </row>
    <row r="277" spans="17:30" ht="12.75" customHeight="1">
      <c r="Q277" s="364"/>
      <c r="R277" s="937"/>
      <c r="S277" s="935" t="s">
        <v>308</v>
      </c>
      <c r="T277" s="935"/>
      <c r="U277" s="599">
        <f>U276*3</f>
        <v>21373.440000000002</v>
      </c>
      <c r="V277" s="599">
        <f>V276*3</f>
        <v>1730519.9999999995</v>
      </c>
      <c r="W277" s="599">
        <f>W276*3</f>
        <v>1504800</v>
      </c>
      <c r="X277" s="599">
        <f>X276*3</f>
        <v>1236085.7142857141</v>
      </c>
      <c r="Y277" s="361"/>
      <c r="Z277" s="364"/>
      <c r="AA277"/>
      <c r="AB277"/>
      <c r="AC277"/>
      <c r="AD277"/>
    </row>
    <row r="278" spans="17:30" ht="12.75" customHeight="1">
      <c r="Q278" s="364"/>
      <c r="R278" s="937"/>
      <c r="S278" s="937"/>
      <c r="T278" s="937"/>
      <c r="U278" s="937"/>
      <c r="V278" s="937"/>
      <c r="W278" s="937"/>
      <c r="X278" s="937"/>
      <c r="Y278" s="364"/>
      <c r="Z278" s="364"/>
      <c r="AA278"/>
      <c r="AB278"/>
      <c r="AC278"/>
      <c r="AD278"/>
    </row>
    <row r="279" spans="17:30" ht="12.75" customHeight="1">
      <c r="Q279" s="364"/>
      <c r="R279" s="935" t="s">
        <v>675</v>
      </c>
      <c r="S279" s="935"/>
      <c r="T279" s="935"/>
      <c r="U279" s="930" t="s">
        <v>500</v>
      </c>
      <c r="V279" s="928" t="s">
        <v>22</v>
      </c>
      <c r="W279" s="929" t="s">
        <v>579</v>
      </c>
      <c r="X279" s="927" t="s">
        <v>21</v>
      </c>
      <c r="Y279" s="361"/>
      <c r="Z279" s="364"/>
      <c r="AA279"/>
      <c r="AB279"/>
      <c r="AC279"/>
      <c r="AD279"/>
    </row>
    <row r="280" spans="17:30" ht="12.75" customHeight="1">
      <c r="Q280" s="364"/>
      <c r="R280" s="937" t="s">
        <v>322</v>
      </c>
      <c r="S280" s="937"/>
      <c r="T280" s="937"/>
      <c r="U280" s="930"/>
      <c r="V280" s="928"/>
      <c r="W280" s="929"/>
      <c r="X280" s="927"/>
      <c r="Y280" s="361"/>
      <c r="Z280" s="364"/>
      <c r="AA280"/>
      <c r="AB280"/>
      <c r="AC280"/>
      <c r="AD280"/>
    </row>
    <row r="281" spans="17:30" ht="12.75" customHeight="1">
      <c r="Q281" s="364"/>
      <c r="R281" s="937"/>
      <c r="S281" s="935" t="s">
        <v>306</v>
      </c>
      <c r="T281" s="935"/>
      <c r="U281" s="599">
        <f>U282/$V$11</f>
        <v>211.20000000000005</v>
      </c>
      <c r="V281" s="599">
        <f>V282/$V$11</f>
        <v>17099.999999999996</v>
      </c>
      <c r="W281" s="599">
        <f>W282/$V$11</f>
        <v>14869.565217391302</v>
      </c>
      <c r="X281" s="599">
        <f>X282/$V$11</f>
        <v>12214.285714285712</v>
      </c>
      <c r="Y281" s="361"/>
      <c r="Z281" s="364"/>
      <c r="AA281"/>
      <c r="AB281"/>
      <c r="AC281"/>
      <c r="AD281"/>
    </row>
    <row r="282" spans="17:30" ht="12.75" customHeight="1">
      <c r="Q282" s="364"/>
      <c r="R282" s="937"/>
      <c r="S282" s="935" t="s">
        <v>307</v>
      </c>
      <c r="T282" s="935"/>
      <c r="U282" s="599">
        <f>U283/12</f>
        <v>4857.6000000000013</v>
      </c>
      <c r="V282" s="599">
        <f>V283/12</f>
        <v>393299.99999999994</v>
      </c>
      <c r="W282" s="599">
        <f>W283/12</f>
        <v>341999.99999999994</v>
      </c>
      <c r="X282" s="599">
        <f>X283/12</f>
        <v>280928.57142857136</v>
      </c>
      <c r="Y282" s="361"/>
      <c r="Z282" s="364"/>
      <c r="AA282"/>
      <c r="AB282"/>
      <c r="AC282"/>
      <c r="AD282"/>
    </row>
    <row r="283" spans="17:30" ht="12.75" customHeight="1">
      <c r="Q283" s="364"/>
      <c r="R283" s="937"/>
      <c r="S283" s="935" t="s">
        <v>308</v>
      </c>
      <c r="T283" s="935"/>
      <c r="U283" s="599">
        <f>U271+U277</f>
        <v>58291.200000000012</v>
      </c>
      <c r="V283" s="599">
        <f>V271+V277</f>
        <v>4719599.9999999991</v>
      </c>
      <c r="W283" s="599">
        <f>W271+W277</f>
        <v>4103999.9999999995</v>
      </c>
      <c r="X283" s="599">
        <f>X271+X277</f>
        <v>3371142.8571428563</v>
      </c>
      <c r="Y283" s="361"/>
      <c r="Z283" s="364"/>
      <c r="AA283"/>
      <c r="AB283"/>
      <c r="AC283"/>
      <c r="AD283"/>
    </row>
    <row r="284" spans="17:30" ht="12.75" customHeight="1">
      <c r="Q284" s="364"/>
      <c r="R284" s="363"/>
      <c r="S284" s="363"/>
      <c r="T284" s="577"/>
      <c r="U284" s="577"/>
      <c r="V284" s="596"/>
      <c r="W284" s="363"/>
      <c r="X284" s="363"/>
      <c r="Y284" s="363"/>
      <c r="Z284" s="363"/>
      <c r="AA284"/>
      <c r="AB284"/>
      <c r="AC284"/>
      <c r="AD284"/>
    </row>
    <row r="285" spans="17:30" ht="12.75" customHeight="1">
      <c r="Q285" s="668" t="s">
        <v>756</v>
      </c>
      <c r="R285" s="363" t="s">
        <v>758</v>
      </c>
      <c r="S285" s="363"/>
      <c r="T285" s="577"/>
      <c r="U285" s="577"/>
      <c r="V285" s="596"/>
      <c r="W285" s="363"/>
      <c r="X285" s="363"/>
      <c r="Y285" s="363"/>
      <c r="Z285" s="363"/>
      <c r="AA285"/>
      <c r="AB285"/>
      <c r="AC285"/>
      <c r="AD285"/>
    </row>
    <row r="286" spans="17:30" ht="12.75" customHeight="1">
      <c r="Q286" s="364"/>
      <c r="R286" s="935" t="s">
        <v>678</v>
      </c>
      <c r="S286" s="935"/>
      <c r="T286" s="935"/>
      <c r="U286" s="935"/>
      <c r="V286" s="936" t="s">
        <v>500</v>
      </c>
      <c r="W286" s="936" t="s">
        <v>22</v>
      </c>
      <c r="X286" s="936" t="s">
        <v>579</v>
      </c>
      <c r="Y286" s="936" t="s">
        <v>21</v>
      </c>
      <c r="Z286" s="361"/>
      <c r="AA286"/>
      <c r="AB286"/>
      <c r="AC286"/>
      <c r="AD286"/>
    </row>
    <row r="287" spans="17:30" ht="12.75" customHeight="1">
      <c r="Q287" s="364"/>
      <c r="R287" s="935"/>
      <c r="S287" s="935"/>
      <c r="T287" s="935"/>
      <c r="U287" s="935"/>
      <c r="V287" s="936"/>
      <c r="W287" s="936"/>
      <c r="X287" s="936"/>
      <c r="Y287" s="936"/>
      <c r="Z287" s="361"/>
      <c r="AA287"/>
      <c r="AB287"/>
      <c r="AC287"/>
      <c r="AD287"/>
    </row>
    <row r="288" spans="17:30" ht="12.75" customHeight="1">
      <c r="Q288" s="364"/>
      <c r="R288" s="931" t="s">
        <v>35</v>
      </c>
      <c r="S288" s="931"/>
      <c r="T288" s="931"/>
      <c r="U288" s="931"/>
      <c r="V288" s="599">
        <f>AVERAGE(U196:W196)*5%</f>
        <v>1305585.0000000005</v>
      </c>
      <c r="W288" s="599">
        <f>V202*5%</f>
        <v>1533870.0000000005</v>
      </c>
      <c r="X288" s="599">
        <f>W202*5%</f>
        <v>1518480.0000000005</v>
      </c>
      <c r="Y288" s="599">
        <f>X202*5%</f>
        <v>1500158.5714285718</v>
      </c>
      <c r="Z288" s="361"/>
      <c r="AA288"/>
      <c r="AB288"/>
      <c r="AC288"/>
      <c r="AD288"/>
    </row>
    <row r="289" spans="17:30" ht="12.75" customHeight="1">
      <c r="Q289" s="364"/>
      <c r="R289" s="931" t="s">
        <v>481</v>
      </c>
      <c r="S289" s="931"/>
      <c r="T289" s="931"/>
      <c r="U289" s="931"/>
      <c r="V289" s="600" t="s">
        <v>479</v>
      </c>
      <c r="W289" s="599">
        <f>Y289</f>
        <v>1059840</v>
      </c>
      <c r="X289" s="600" t="s">
        <v>479</v>
      </c>
      <c r="Y289" s="599">
        <f>Consumables!E23*12</f>
        <v>1059840</v>
      </c>
      <c r="Z289" s="361"/>
      <c r="AA289"/>
      <c r="AB289"/>
      <c r="AC289"/>
      <c r="AD289"/>
    </row>
    <row r="290" spans="17:30" ht="12.75" customHeight="1">
      <c r="Q290" s="364"/>
      <c r="R290" s="931" t="s">
        <v>311</v>
      </c>
      <c r="S290" s="931"/>
      <c r="T290" s="931"/>
      <c r="U290" s="931"/>
      <c r="V290" s="600" t="s">
        <v>557</v>
      </c>
      <c r="W290" s="599">
        <f>Y290</f>
        <v>416000</v>
      </c>
      <c r="X290" s="599">
        <f>W290</f>
        <v>416000</v>
      </c>
      <c r="Y290" s="599">
        <f>Consumables!E21*12</f>
        <v>416000</v>
      </c>
      <c r="Z290" s="361"/>
      <c r="AA290"/>
      <c r="AB290"/>
      <c r="AC290"/>
      <c r="AD290"/>
    </row>
    <row r="291" spans="17:30" ht="12.75" customHeight="1">
      <c r="Q291" s="364"/>
      <c r="R291" s="931" t="s">
        <v>480</v>
      </c>
      <c r="S291" s="931"/>
      <c r="T291" s="931"/>
      <c r="U291" s="931"/>
      <c r="V291" s="599">
        <f>Consumables!H21*12</f>
        <v>3865001.2800000003</v>
      </c>
      <c r="W291" s="599">
        <v>0</v>
      </c>
      <c r="X291" s="599">
        <v>0</v>
      </c>
      <c r="Y291" s="599">
        <v>0</v>
      </c>
      <c r="Z291" s="361"/>
      <c r="AA291"/>
      <c r="AB291"/>
      <c r="AC291"/>
      <c r="AD291"/>
    </row>
    <row r="292" spans="17:30" ht="12.75" customHeight="1">
      <c r="Q292" s="364"/>
      <c r="R292" s="931" t="s">
        <v>312</v>
      </c>
      <c r="S292" s="931"/>
      <c r="T292" s="931"/>
      <c r="U292" s="931"/>
      <c r="V292" s="599">
        <f>Consumables!H20*12</f>
        <v>2691993.6000000001</v>
      </c>
      <c r="W292" s="599">
        <f>Y292</f>
        <v>2331648.0000000005</v>
      </c>
      <c r="X292" s="599">
        <f>W292</f>
        <v>2331648.0000000005</v>
      </c>
      <c r="Y292" s="599">
        <f>Consumables!E20*12</f>
        <v>2331648.0000000005</v>
      </c>
      <c r="Z292" s="361"/>
      <c r="AA292"/>
      <c r="AB292"/>
      <c r="AC292"/>
      <c r="AD292"/>
    </row>
    <row r="293" spans="17:30" ht="12.75" customHeight="1">
      <c r="Q293" s="364"/>
      <c r="R293" s="931" t="s">
        <v>313</v>
      </c>
      <c r="S293" s="931"/>
      <c r="T293" s="931"/>
      <c r="U293" s="931"/>
      <c r="V293" s="599">
        <f>Consumables!H19*12</f>
        <v>1674547.2000000002</v>
      </c>
      <c r="W293" s="599">
        <f>Y293</f>
        <v>1398988.8</v>
      </c>
      <c r="X293" s="599">
        <f>W293</f>
        <v>1398988.8</v>
      </c>
      <c r="Y293" s="599">
        <f>Consumables!E19*12</f>
        <v>1398988.8</v>
      </c>
      <c r="Z293" s="361"/>
      <c r="AA293"/>
      <c r="AB293"/>
      <c r="AC293"/>
      <c r="AD293"/>
    </row>
    <row r="294" spans="17:30" ht="12.75" customHeight="1">
      <c r="Q294" s="364"/>
      <c r="R294" s="931" t="s">
        <v>190</v>
      </c>
      <c r="S294" s="931"/>
      <c r="T294" s="931"/>
      <c r="U294" s="931"/>
      <c r="V294" s="599">
        <f>Consumables!H22*12</f>
        <v>8294400</v>
      </c>
      <c r="W294" s="599">
        <v>0</v>
      </c>
      <c r="X294" s="599">
        <v>0</v>
      </c>
      <c r="Y294" s="599">
        <v>0</v>
      </c>
      <c r="Z294" s="361"/>
      <c r="AA294"/>
      <c r="AB294"/>
      <c r="AC294"/>
      <c r="AD294"/>
    </row>
    <row r="295" spans="17:30" ht="12.75" customHeight="1">
      <c r="Q295" s="364"/>
      <c r="R295" s="931" t="s">
        <v>482</v>
      </c>
      <c r="S295" s="931"/>
      <c r="T295" s="931"/>
      <c r="U295" s="931"/>
      <c r="V295" s="599">
        <v>0</v>
      </c>
      <c r="W295" s="599">
        <f>Y295</f>
        <v>199600.00000000003</v>
      </c>
      <c r="X295" s="599">
        <f>W295</f>
        <v>199600.00000000003</v>
      </c>
      <c r="Y295" s="599">
        <f>Consumables!E25*12</f>
        <v>199600.00000000003</v>
      </c>
      <c r="Z295" s="361"/>
      <c r="AA295"/>
      <c r="AB295"/>
      <c r="AC295"/>
      <c r="AD295"/>
    </row>
    <row r="296" spans="17:30" ht="12.75" customHeight="1">
      <c r="Q296" s="364"/>
      <c r="R296" s="931" t="s">
        <v>483</v>
      </c>
      <c r="S296" s="931"/>
      <c r="T296" s="931"/>
      <c r="U296" s="931"/>
      <c r="V296" s="599">
        <v>0</v>
      </c>
      <c r="W296" s="599">
        <f>Y296</f>
        <v>40600</v>
      </c>
      <c r="X296" s="599">
        <f>W296</f>
        <v>40600</v>
      </c>
      <c r="Y296" s="599">
        <f>Consumables!E24*12</f>
        <v>40600</v>
      </c>
      <c r="Z296" s="361"/>
      <c r="AA296"/>
      <c r="AB296"/>
      <c r="AC296"/>
      <c r="AD296"/>
    </row>
    <row r="297" spans="17:30" ht="12.75" customHeight="1">
      <c r="Q297" s="364"/>
      <c r="R297" s="931" t="s">
        <v>478</v>
      </c>
      <c r="S297" s="931"/>
      <c r="T297" s="931"/>
      <c r="U297" s="931"/>
      <c r="V297" s="599">
        <f>U283</f>
        <v>58291.200000000012</v>
      </c>
      <c r="W297" s="599">
        <f>V283</f>
        <v>4719599.9999999991</v>
      </c>
      <c r="X297" s="599">
        <f>W283</f>
        <v>4103999.9999999995</v>
      </c>
      <c r="Y297" s="599">
        <f>X283</f>
        <v>3371142.8571428563</v>
      </c>
      <c r="Z297" s="361"/>
      <c r="AA297"/>
      <c r="AB297"/>
      <c r="AC297"/>
      <c r="AD297"/>
    </row>
    <row r="298" spans="17:30" ht="12.75" customHeight="1">
      <c r="Q298" s="364"/>
      <c r="R298" s="931" t="s">
        <v>484</v>
      </c>
      <c r="S298" s="931"/>
      <c r="T298" s="931"/>
      <c r="U298" s="931"/>
      <c r="V298" s="599">
        <f>'NIHL Compenation Cost'!AD21</f>
        <v>1715167.5</v>
      </c>
      <c r="W298" s="599">
        <f>'NIHL Compenation Cost'!Z21</f>
        <v>989115.00000000012</v>
      </c>
      <c r="X298" s="599">
        <f>'NIHL Compenation Cost'!AB21</f>
        <v>1087325</v>
      </c>
      <c r="Y298" s="599">
        <f>'NIHL Compenation Cost'!X21</f>
        <v>596275</v>
      </c>
      <c r="Z298" s="361"/>
      <c r="AA298"/>
      <c r="AB298"/>
      <c r="AC298"/>
      <c r="AD298"/>
    </row>
    <row r="299" spans="17:30" ht="12.75" customHeight="1">
      <c r="Q299" s="364"/>
      <c r="R299" s="932" t="s">
        <v>677</v>
      </c>
      <c r="S299" s="932"/>
      <c r="T299" s="932"/>
      <c r="U299" s="932"/>
      <c r="V299" s="599">
        <f>SUM(V288:V298)</f>
        <v>19604985.780000001</v>
      </c>
      <c r="W299" s="599">
        <f>SUM(W288:W298)</f>
        <v>12689261.800000001</v>
      </c>
      <c r="X299" s="599">
        <f>SUM(X288:X298)</f>
        <v>11096641.800000001</v>
      </c>
      <c r="Y299" s="599">
        <f>SUM(Y288:Y298)</f>
        <v>10914253.22857143</v>
      </c>
      <c r="Z299" s="361"/>
      <c r="AA299"/>
      <c r="AB299"/>
      <c r="AC299"/>
      <c r="AD299"/>
    </row>
    <row r="300" spans="17:30" ht="12.75" customHeight="1">
      <c r="Q300" s="364"/>
      <c r="R300" s="591"/>
      <c r="S300" s="591"/>
      <c r="T300" s="591"/>
      <c r="U300" s="591"/>
      <c r="V300" s="718"/>
      <c r="W300" s="718"/>
      <c r="X300" s="718"/>
      <c r="Y300" s="718"/>
      <c r="Z300" s="361"/>
      <c r="AA300"/>
      <c r="AB300"/>
      <c r="AC300"/>
      <c r="AD300"/>
    </row>
    <row r="301" spans="17:30" ht="12.75" customHeight="1">
      <c r="Q301" s="364"/>
      <c r="R301" s="591"/>
      <c r="S301" s="591"/>
      <c r="T301" s="933" t="s">
        <v>812</v>
      </c>
      <c r="U301" s="933"/>
      <c r="V301" s="718">
        <f>V299-V294</f>
        <v>11310585.780000001</v>
      </c>
      <c r="W301" s="718">
        <f>W299-W294</f>
        <v>12689261.800000001</v>
      </c>
      <c r="X301" s="718">
        <f>X299-X294</f>
        <v>11096641.800000001</v>
      </c>
      <c r="Y301" s="718">
        <f>Y299-Y294</f>
        <v>10914253.22857143</v>
      </c>
      <c r="Z301" s="361"/>
      <c r="AA301"/>
      <c r="AB301"/>
      <c r="AC301"/>
      <c r="AD301"/>
    </row>
    <row r="302" spans="17:30" ht="12.75" customHeight="1">
      <c r="Q302" s="364"/>
      <c r="R302" s="364"/>
      <c r="S302" s="364"/>
      <c r="T302" s="934" t="s">
        <v>350</v>
      </c>
      <c r="U302" s="934"/>
      <c r="V302" s="682">
        <f>V294</f>
        <v>8294400</v>
      </c>
      <c r="W302" s="682"/>
      <c r="X302" s="682"/>
      <c r="Y302" s="682"/>
      <c r="Z302" s="364"/>
      <c r="AA302"/>
      <c r="AB302"/>
      <c r="AC302"/>
      <c r="AD302"/>
    </row>
    <row r="303" spans="17:30" ht="12.75" customHeight="1">
      <c r="Q303" s="364">
        <v>10.3</v>
      </c>
      <c r="R303" s="363"/>
      <c r="S303" s="364"/>
      <c r="T303" s="364"/>
      <c r="U303" s="364"/>
      <c r="V303" s="682"/>
      <c r="W303" s="364"/>
      <c r="X303" s="362"/>
      <c r="Y303" s="682"/>
      <c r="Z303" s="364"/>
      <c r="AA303"/>
      <c r="AB303"/>
      <c r="AC303"/>
      <c r="AD303"/>
    </row>
    <row r="304" spans="17:30" ht="12.75" customHeight="1">
      <c r="Q304" s="364"/>
      <c r="R304" s="364"/>
      <c r="S304" s="364"/>
      <c r="T304" s="364"/>
      <c r="U304" s="364"/>
      <c r="V304" s="364"/>
      <c r="W304" s="364"/>
      <c r="X304" s="364"/>
      <c r="Y304" s="364"/>
      <c r="Z304" s="364"/>
      <c r="AA304"/>
      <c r="AB304"/>
      <c r="AC304"/>
      <c r="AD304"/>
    </row>
    <row r="305" spans="17:30" ht="12.75" customHeight="1">
      <c r="Q305" s="364"/>
      <c r="R305" s="935" t="s">
        <v>195</v>
      </c>
      <c r="S305" s="935"/>
      <c r="T305" s="935"/>
      <c r="U305" s="935"/>
      <c r="V305" s="935"/>
      <c r="W305" s="375"/>
      <c r="X305" s="683"/>
      <c r="Y305" s="375"/>
      <c r="Z305" s="375"/>
      <c r="AA305"/>
      <c r="AB305"/>
      <c r="AC305"/>
      <c r="AD305"/>
    </row>
    <row r="306" spans="17:30" ht="12.75" customHeight="1">
      <c r="Q306" s="364"/>
      <c r="R306" s="926" t="s">
        <v>509</v>
      </c>
      <c r="S306" s="927" t="s">
        <v>21</v>
      </c>
      <c r="T306" s="928" t="s">
        <v>22</v>
      </c>
      <c r="U306" s="929" t="s">
        <v>579</v>
      </c>
      <c r="V306" s="930" t="s">
        <v>500</v>
      </c>
      <c r="W306" s="363"/>
      <c r="X306" s="684"/>
      <c r="Y306" s="363"/>
      <c r="Z306" s="364"/>
      <c r="AA306"/>
      <c r="AB306"/>
      <c r="AC306"/>
      <c r="AD306"/>
    </row>
    <row r="307" spans="17:30" ht="12.75" customHeight="1">
      <c r="Q307" s="364"/>
      <c r="R307" s="926"/>
      <c r="S307" s="927"/>
      <c r="T307" s="928"/>
      <c r="U307" s="929"/>
      <c r="V307" s="930"/>
      <c r="W307" s="363"/>
      <c r="X307" s="684"/>
      <c r="Y307" s="363"/>
      <c r="Z307" s="364"/>
      <c r="AA307"/>
      <c r="AB307"/>
      <c r="AC307"/>
      <c r="AD307"/>
    </row>
    <row r="308" spans="17:30" ht="12.75" customHeight="1">
      <c r="Q308" s="364"/>
      <c r="R308" s="667" t="s">
        <v>204</v>
      </c>
      <c r="S308" s="667" t="s">
        <v>846</v>
      </c>
      <c r="T308" s="667" t="s">
        <v>846</v>
      </c>
      <c r="U308" s="667" t="s">
        <v>846</v>
      </c>
      <c r="V308" s="667" t="s">
        <v>846</v>
      </c>
      <c r="W308" s="363"/>
      <c r="X308" s="363"/>
      <c r="Y308" s="363"/>
      <c r="Z308" s="364"/>
      <c r="AA308"/>
      <c r="AB308"/>
      <c r="AC308"/>
      <c r="AD308"/>
    </row>
    <row r="309" spans="17:30" ht="12.75" customHeight="1">
      <c r="Q309" s="364"/>
      <c r="R309" s="600">
        <v>1</v>
      </c>
      <c r="S309" s="369">
        <f>$X$69</f>
        <v>116</v>
      </c>
      <c r="T309" s="584">
        <f>$V$69</f>
        <v>108</v>
      </c>
      <c r="U309" s="685">
        <f>$W$69</f>
        <v>109</v>
      </c>
      <c r="V309" s="369">
        <f>$U$69</f>
        <v>102</v>
      </c>
      <c r="W309" s="363"/>
      <c r="X309" s="363"/>
      <c r="Y309" s="363"/>
      <c r="Z309" s="364"/>
      <c r="AA309"/>
      <c r="AB309"/>
      <c r="AC309"/>
      <c r="AD309"/>
    </row>
    <row r="310" spans="17:30" ht="12.75" customHeight="1">
      <c r="Q310" s="364"/>
      <c r="R310" s="600">
        <v>2</v>
      </c>
      <c r="S310" s="584">
        <f>(LOG((10^(S309/10))+(10^(S309/10))))*10</f>
        <v>119.01029995663983</v>
      </c>
      <c r="T310" s="584">
        <f>(LOG((10^(T309/10))+(10^(T309/10))))*10</f>
        <v>111.01029995663981</v>
      </c>
      <c r="U310" s="584">
        <f>(LOG((10^(U309/10))+(10^(U309/10))))*10</f>
        <v>112.01029995663981</v>
      </c>
      <c r="V310" s="584">
        <f>(LOG((10^(V309/10))+(10^(V309/10))))*10</f>
        <v>105.01029995663983</v>
      </c>
      <c r="W310" s="363"/>
      <c r="X310" s="363"/>
      <c r="Y310" s="363"/>
      <c r="Z310" s="364"/>
      <c r="AA310"/>
      <c r="AB310"/>
      <c r="AC310"/>
      <c r="AD310"/>
    </row>
    <row r="311" spans="17:30" ht="12.75" customHeight="1">
      <c r="Q311" s="597"/>
      <c r="R311" s="600">
        <v>3</v>
      </c>
      <c r="S311" s="584">
        <f>(LOG((10^(S309/10))+(10^(S309/10))+(10^(S309/10)))*10)</f>
        <v>120.77121254719664</v>
      </c>
      <c r="T311" s="584">
        <f>(LOG((10^(T309/10))+(10^(T309/10))+(10^(T309/10)))*10)</f>
        <v>112.77121254719663</v>
      </c>
      <c r="U311" s="584">
        <f>(LOG((10^(U309/10))+(10^(U309/10))+(10^(U309/10)))*10)</f>
        <v>113.77121254719663</v>
      </c>
      <c r="V311" s="584">
        <f>(LOG((10^(V309/10))+(10^(V309/10))+(10^(V309/10)))*10)</f>
        <v>106.77121254719664</v>
      </c>
      <c r="W311" s="363"/>
      <c r="X311" s="363"/>
      <c r="Y311" s="363"/>
      <c r="Z311" s="364"/>
      <c r="AA311"/>
      <c r="AB311"/>
      <c r="AC311"/>
      <c r="AD311"/>
    </row>
    <row r="312" spans="17:30" ht="12.75" customHeight="1">
      <c r="Q312" s="364"/>
      <c r="R312" s="600">
        <v>4</v>
      </c>
      <c r="S312" s="584">
        <f>(LOG((10^(S309/10))+(10^(S309/10))+(10^(S309/10))+(10^(S309/10))))*10</f>
        <v>122.02059991327964</v>
      </c>
      <c r="T312" s="584">
        <f>(LOG((10^(T309/10))+(10^(T309/10))+(10^(T309/10))+(10^(T309/10))))*10</f>
        <v>114.02059991327963</v>
      </c>
      <c r="U312" s="584">
        <f>(LOG((10^(U309/10))+(10^(U309/10))+(10^(U309/10))+(10^(U309/10))))*10</f>
        <v>115.02059991327963</v>
      </c>
      <c r="V312" s="584">
        <f>(LOG((10^(V309/10))+(10^(V309/10))+(10^(V309/10))+(10^(V309/10))))*10</f>
        <v>108.02059991327964</v>
      </c>
      <c r="W312" s="363"/>
      <c r="X312" s="363"/>
      <c r="Y312" s="363"/>
      <c r="Z312" s="364"/>
      <c r="AA312"/>
      <c r="AB312"/>
      <c r="AC312"/>
      <c r="AD312"/>
    </row>
    <row r="313" spans="17:30" ht="12.75" customHeight="1">
      <c r="Q313" s="364"/>
      <c r="R313" s="600">
        <v>5</v>
      </c>
      <c r="S313" s="584">
        <f>(LOG((10^(S309/10))+(10^(S309/10))+(10^(S309/10))+(10^(S309/10))+(10^(S309/10))))*10</f>
        <v>122.9897000433602</v>
      </c>
      <c r="T313" s="584">
        <f>(LOG((10^(T309/10))+(10^(T309/10))+(10^(T309/10))+(10^(T309/10))+(10^(T309/10))))*10</f>
        <v>114.98970004336019</v>
      </c>
      <c r="U313" s="584">
        <f>(LOG((10^(U309/10))+(10^(U309/10))+(10^(U309/10))+(10^(U309/10))+(10^(U309/10))))*10</f>
        <v>115.98970004336019</v>
      </c>
      <c r="V313" s="584">
        <f>(LOG((10^(V309/10))+(10^(V309/10))+(10^(V309/10))+(10^(V309/10))+(10^(V309/10))))*10</f>
        <v>108.9897000433602</v>
      </c>
      <c r="W313" s="363"/>
      <c r="X313" s="363"/>
      <c r="Y313" s="363"/>
      <c r="Z313" s="364"/>
      <c r="AA313"/>
      <c r="AB313"/>
      <c r="AC313"/>
      <c r="AD313"/>
    </row>
    <row r="314" spans="17:30" ht="12.75" customHeight="1">
      <c r="Q314" s="364"/>
      <c r="R314" s="600">
        <v>6</v>
      </c>
      <c r="S314" s="584">
        <f>(LOG((10^(S309/10))+(10^(S309/10))+(10^(S309/10))+(10^(S309/10))+(10^(S309/10))+(10^(S309/10)))*10)</f>
        <v>123.78151250383645</v>
      </c>
      <c r="T314" s="584">
        <f>(LOG((10^(T309/10))+(10^(T309/10))+(10^(T309/10))+(10^(T309/10))+(10^(T309/10))+(10^(T309/10)))*10)</f>
        <v>115.78151250383644</v>
      </c>
      <c r="U314" s="584">
        <f>(LOG((10^(U309/10))+(10^(U309/10))+(10^(U309/10))+(10^(U309/10))+(10^(U309/10))+(10^(U309/10)))*10)</f>
        <v>116.78151250383644</v>
      </c>
      <c r="V314" s="584">
        <f>(LOG((10^(V309/10))+(10^(V309/10))+(10^(V309/10))+(10^(V309/10))+(10^(V309/10))+(10^(V309/10)))*10)</f>
        <v>109.78151250383645</v>
      </c>
      <c r="W314" s="363"/>
      <c r="X314" s="363"/>
      <c r="Y314" s="363"/>
      <c r="Z314" s="364"/>
      <c r="AA314"/>
      <c r="AB314"/>
      <c r="AC314"/>
      <c r="AD314"/>
    </row>
    <row r="315" spans="17:30" ht="12.75" customHeight="1" thickBot="1">
      <c r="Q315" s="364"/>
      <c r="R315" s="364"/>
      <c r="S315" s="364"/>
      <c r="T315" s="364"/>
      <c r="U315" s="364"/>
      <c r="V315" s="364"/>
      <c r="W315" s="364"/>
      <c r="X315" s="364"/>
      <c r="Y315" s="364"/>
      <c r="Z315" s="364"/>
      <c r="AA315"/>
      <c r="AB315"/>
      <c r="AC315"/>
      <c r="AD315"/>
    </row>
    <row r="316" spans="17:30" ht="12.75" customHeight="1" thickTop="1">
      <c r="Q316" s="364"/>
      <c r="R316" s="916" t="s">
        <v>428</v>
      </c>
      <c r="S316" s="917"/>
      <c r="T316" s="917"/>
      <c r="U316" s="917"/>
      <c r="V316" s="917"/>
      <c r="W316" s="918"/>
      <c r="X316" s="364"/>
      <c r="Y316" s="364"/>
      <c r="Z316" s="364"/>
      <c r="AA316"/>
      <c r="AB316"/>
      <c r="AC316"/>
      <c r="AD316"/>
    </row>
    <row r="317" spans="17:30" ht="12.75" customHeight="1">
      <c r="Q317" s="364"/>
      <c r="R317" s="919"/>
      <c r="S317" s="920"/>
      <c r="T317" s="920"/>
      <c r="U317" s="920"/>
      <c r="V317" s="920"/>
      <c r="W317" s="921"/>
      <c r="X317" s="364"/>
      <c r="Y317" s="364"/>
      <c r="Z317" s="364"/>
      <c r="AA317"/>
      <c r="AB317"/>
      <c r="AC317"/>
      <c r="AD317"/>
    </row>
    <row r="318" spans="17:30" ht="12.75" customHeight="1" thickBot="1">
      <c r="Q318" s="364"/>
      <c r="R318" s="922"/>
      <c r="S318" s="923"/>
      <c r="T318" s="923"/>
      <c r="U318" s="923"/>
      <c r="V318" s="923"/>
      <c r="W318" s="924"/>
      <c r="X318" s="364"/>
      <c r="Y318" s="364"/>
      <c r="Z318" s="364"/>
      <c r="AA318"/>
      <c r="AB318"/>
      <c r="AC318"/>
      <c r="AD318"/>
    </row>
    <row r="319" spans="17:30" ht="12.75" customHeight="1" thickTop="1">
      <c r="Q319" s="364"/>
      <c r="R319" s="925" t="str">
        <f>S306</f>
        <v>Seco S215</v>
      </c>
      <c r="S319" s="925"/>
      <c r="T319" s="925"/>
      <c r="U319" s="925"/>
      <c r="V319" s="925"/>
      <c r="W319" s="925"/>
      <c r="X319" s="364"/>
      <c r="Y319" s="364"/>
      <c r="Z319" s="364"/>
      <c r="AA319"/>
      <c r="AB319"/>
      <c r="AC319"/>
      <c r="AD319"/>
    </row>
    <row r="320" spans="17:30" ht="12.75" customHeight="1" thickBot="1">
      <c r="Q320" s="364"/>
      <c r="R320" s="910" t="s">
        <v>205</v>
      </c>
      <c r="S320" s="911"/>
      <c r="T320" s="911"/>
      <c r="U320" s="911"/>
      <c r="V320" s="911"/>
      <c r="W320" s="912"/>
      <c r="X320" s="364"/>
      <c r="Y320" s="364"/>
      <c r="Z320" s="364"/>
      <c r="AA320"/>
      <c r="AB320"/>
      <c r="AC320"/>
      <c r="AD320"/>
    </row>
    <row r="321" spans="17:30" ht="12.75" customHeight="1" thickBot="1">
      <c r="Q321" s="364"/>
      <c r="R321" s="686" t="s">
        <v>59</v>
      </c>
      <c r="S321" s="577"/>
      <c r="T321" s="687"/>
      <c r="U321" s="687"/>
      <c r="V321" s="687"/>
      <c r="W321" s="688"/>
      <c r="X321" s="364"/>
      <c r="Y321" s="364"/>
      <c r="Z321" s="364"/>
      <c r="AA321"/>
      <c r="AB321"/>
      <c r="AC321"/>
      <c r="AD321"/>
    </row>
    <row r="322" spans="17:30" ht="12.75" customHeight="1">
      <c r="Q322" s="364"/>
      <c r="R322" s="895" t="s">
        <v>845</v>
      </c>
      <c r="S322" s="896"/>
      <c r="T322" s="900" t="s">
        <v>835</v>
      </c>
      <c r="U322" s="900" t="s">
        <v>836</v>
      </c>
      <c r="V322" s="900" t="s">
        <v>837</v>
      </c>
      <c r="W322" s="902" t="s">
        <v>838</v>
      </c>
      <c r="X322" s="364"/>
      <c r="Y322" s="364"/>
      <c r="Z322" s="364"/>
      <c r="AA322"/>
      <c r="AB322"/>
      <c r="AC322"/>
      <c r="AD322"/>
    </row>
    <row r="323" spans="17:30" ht="12.75" customHeight="1">
      <c r="Q323" s="364"/>
      <c r="R323" s="892"/>
      <c r="S323" s="897"/>
      <c r="T323" s="904"/>
      <c r="U323" s="904"/>
      <c r="V323" s="904"/>
      <c r="W323" s="905"/>
      <c r="X323" s="364"/>
      <c r="Y323" s="364"/>
      <c r="Z323" s="364"/>
      <c r="AA323"/>
      <c r="AB323"/>
      <c r="AC323"/>
      <c r="AD323"/>
    </row>
    <row r="324" spans="17:30" ht="12.75" customHeight="1">
      <c r="Q324" s="364"/>
      <c r="R324" s="892"/>
      <c r="S324" s="897"/>
      <c r="T324" s="901"/>
      <c r="U324" s="901"/>
      <c r="V324" s="901"/>
      <c r="W324" s="903"/>
      <c r="X324" s="364"/>
      <c r="Y324" s="364"/>
      <c r="Z324" s="364"/>
      <c r="AA324"/>
      <c r="AB324"/>
      <c r="AC324"/>
      <c r="AD324"/>
    </row>
    <row r="325" spans="17:30" ht="12.75" customHeight="1">
      <c r="Q325" s="364"/>
      <c r="R325" s="892"/>
      <c r="S325" s="897"/>
      <c r="T325" s="689">
        <f>X69</f>
        <v>116</v>
      </c>
      <c r="U325" s="560">
        <f>X62</f>
        <v>1.4285714285714284</v>
      </c>
      <c r="V325" s="690">
        <f>IF(T325&gt;0,W325*U325," ")</f>
        <v>22857.142857142855</v>
      </c>
      <c r="W325" s="691">
        <f>IF(T325&gt;0,(VLOOKUP(T325,'Lookup Ready-reckoner'!$B$5:$E$1207,4))," ")</f>
        <v>16000</v>
      </c>
      <c r="X325" s="364"/>
      <c r="Y325" s="364"/>
      <c r="Z325" s="364"/>
      <c r="AA325"/>
      <c r="AB325"/>
      <c r="AC325"/>
      <c r="AD325"/>
    </row>
    <row r="326" spans="17:30" ht="12.75" customHeight="1">
      <c r="Q326" s="364"/>
      <c r="R326" s="898"/>
      <c r="S326" s="899"/>
      <c r="T326" s="447"/>
      <c r="U326" s="560"/>
      <c r="V326" s="690" t="str">
        <f>IF(T326&gt;0,W326*U326," ")</f>
        <v xml:space="preserve"> </v>
      </c>
      <c r="W326" s="691" t="str">
        <f>IF(T326&gt;0,(VLOOKUP(T326,'Lookup Ready-reckoner'!$B$5:$E$1007,4))," ")</f>
        <v xml:space="preserve"> </v>
      </c>
      <c r="X326" s="364"/>
      <c r="Y326" s="364"/>
      <c r="Z326" s="364"/>
      <c r="AA326"/>
      <c r="AB326"/>
      <c r="AC326"/>
      <c r="AD326"/>
    </row>
    <row r="327" spans="17:30" ht="12.75" customHeight="1" thickBot="1">
      <c r="Q327" s="364"/>
      <c r="R327" s="692" t="s">
        <v>839</v>
      </c>
      <c r="S327" s="693"/>
      <c r="T327" s="693"/>
      <c r="U327" s="694">
        <f>IF(T325&gt;0,(VLOOKUP(V327,'Lookup Ready-reckoner'!$L$5:$M$1207,2))," ")</f>
        <v>108.5</v>
      </c>
      <c r="V327" s="695">
        <f>IF(U325&gt;0,(SUM(V325:V326))," ")</f>
        <v>22857.142857142855</v>
      </c>
      <c r="W327" s="696"/>
      <c r="X327" s="364"/>
      <c r="Y327" s="364"/>
      <c r="Z327" s="364"/>
      <c r="AA327"/>
      <c r="AB327"/>
      <c r="AC327"/>
      <c r="AD327"/>
    </row>
    <row r="328" spans="17:30" ht="12.75" customHeight="1" thickBot="1">
      <c r="Q328" s="364"/>
      <c r="R328" s="892"/>
      <c r="S328" s="893"/>
      <c r="T328" s="893"/>
      <c r="U328" s="893"/>
      <c r="V328" s="893"/>
      <c r="W328" s="894"/>
      <c r="X328" s="364"/>
      <c r="Y328" s="364"/>
      <c r="Z328" s="364"/>
      <c r="AA328"/>
      <c r="AB328"/>
      <c r="AC328"/>
      <c r="AD328"/>
    </row>
    <row r="329" spans="17:30" ht="12.75" customHeight="1">
      <c r="Q329" s="364"/>
      <c r="R329" s="895" t="s">
        <v>886</v>
      </c>
      <c r="S329" s="896"/>
      <c r="T329" s="900" t="s">
        <v>835</v>
      </c>
      <c r="U329" s="900" t="s">
        <v>836</v>
      </c>
      <c r="V329" s="900" t="s">
        <v>837</v>
      </c>
      <c r="W329" s="902" t="s">
        <v>838</v>
      </c>
      <c r="X329" s="364"/>
      <c r="Y329" s="364"/>
      <c r="Z329" s="364"/>
      <c r="AA329"/>
      <c r="AB329"/>
      <c r="AC329"/>
      <c r="AD329"/>
    </row>
    <row r="330" spans="17:30" ht="12.75" customHeight="1">
      <c r="Q330" s="364"/>
      <c r="R330" s="892"/>
      <c r="S330" s="897"/>
      <c r="T330" s="901"/>
      <c r="U330" s="901"/>
      <c r="V330" s="901"/>
      <c r="W330" s="903"/>
      <c r="X330" s="364"/>
      <c r="Y330" s="364"/>
      <c r="Z330" s="364"/>
      <c r="AA330"/>
      <c r="AB330"/>
      <c r="AC330"/>
      <c r="AD330"/>
    </row>
    <row r="331" spans="17:30" ht="12.75" customHeight="1">
      <c r="Q331" s="364"/>
      <c r="R331" s="892"/>
      <c r="S331" s="897"/>
      <c r="T331" s="689">
        <f>T325*(1-0.0178*2)</f>
        <v>111.8704</v>
      </c>
      <c r="U331" s="560">
        <f>U325</f>
        <v>1.4285714285714284</v>
      </c>
      <c r="V331" s="690">
        <f>IF(T331&gt;0,W331*U331," ")</f>
        <v>8842.8571428571413</v>
      </c>
      <c r="W331" s="691">
        <f>IF(T331&gt;0,(VLOOKUP(T331,'Lookup Ready-reckoner'!$B$5:$E$1207,4))," ")</f>
        <v>6190</v>
      </c>
      <c r="X331" s="364"/>
      <c r="Y331" s="364"/>
      <c r="Z331" s="364"/>
      <c r="AA331"/>
      <c r="AB331"/>
      <c r="AC331"/>
      <c r="AD331"/>
    </row>
    <row r="332" spans="17:30" ht="12.75" customHeight="1">
      <c r="Q332" s="364"/>
      <c r="R332" s="898"/>
      <c r="S332" s="899"/>
      <c r="T332" s="447"/>
      <c r="U332" s="560"/>
      <c r="V332" s="690" t="str">
        <f>IF(T332&gt;0,W332*U332," ")</f>
        <v xml:space="preserve"> </v>
      </c>
      <c r="W332" s="691" t="str">
        <f>IF(T332&gt;0,(VLOOKUP(T332,'Lookup Ready-reckoner'!$B$5:$E$1007,4))," ")</f>
        <v xml:space="preserve"> </v>
      </c>
      <c r="X332" s="364"/>
      <c r="Y332" s="364"/>
      <c r="Z332" s="364"/>
      <c r="AA332"/>
      <c r="AB332"/>
      <c r="AC332"/>
      <c r="AD332"/>
    </row>
    <row r="333" spans="17:30" ht="12.75" customHeight="1" thickBot="1">
      <c r="Q333" s="364"/>
      <c r="R333" s="692" t="s">
        <v>839</v>
      </c>
      <c r="S333" s="693"/>
      <c r="T333" s="693"/>
      <c r="U333" s="694">
        <f>IF(T331&gt;0,(VLOOKUP(V333,'Lookup Ready-reckoner'!$L$5:$M$1207,2))," ")</f>
        <v>104.4</v>
      </c>
      <c r="V333" s="695">
        <f>IF(U331&gt;0,(SUM(V331:V332))," ")</f>
        <v>8842.8571428571413</v>
      </c>
      <c r="W333" s="696"/>
      <c r="X333" s="364"/>
      <c r="Y333" s="364"/>
      <c r="Z333" s="364"/>
      <c r="AA333"/>
      <c r="AB333"/>
      <c r="AC333"/>
      <c r="AD333"/>
    </row>
    <row r="334" spans="17:30" ht="12.75" customHeight="1">
      <c r="Q334" s="364"/>
      <c r="R334" s="697"/>
      <c r="S334" s="687"/>
      <c r="T334" s="687"/>
      <c r="U334" s="372"/>
      <c r="V334" s="374"/>
      <c r="W334" s="688"/>
      <c r="X334" s="364"/>
      <c r="Y334" s="364"/>
      <c r="Z334" s="364"/>
      <c r="AA334"/>
      <c r="AB334"/>
      <c r="AC334"/>
      <c r="AD334"/>
    </row>
    <row r="335" spans="17:30" ht="12.75" customHeight="1" thickBot="1">
      <c r="Q335" s="364"/>
      <c r="R335" s="686" t="s">
        <v>60</v>
      </c>
      <c r="S335" s="577"/>
      <c r="T335" s="577"/>
      <c r="U335" s="577"/>
      <c r="V335" s="577"/>
      <c r="W335" s="698"/>
      <c r="X335" s="364"/>
      <c r="Y335" s="364"/>
      <c r="Z335" s="364"/>
      <c r="AA335"/>
      <c r="AB335"/>
      <c r="AC335"/>
      <c r="AD335"/>
    </row>
    <row r="336" spans="17:30" ht="12.75" customHeight="1">
      <c r="Q336" s="364"/>
      <c r="R336" s="895" t="s">
        <v>845</v>
      </c>
      <c r="S336" s="896"/>
      <c r="T336" s="900" t="s">
        <v>835</v>
      </c>
      <c r="U336" s="900" t="s">
        <v>836</v>
      </c>
      <c r="V336" s="900" t="s">
        <v>837</v>
      </c>
      <c r="W336" s="902" t="s">
        <v>838</v>
      </c>
      <c r="X336" s="364"/>
      <c r="Y336" s="364"/>
      <c r="Z336" s="364"/>
      <c r="AA336"/>
      <c r="AB336"/>
      <c r="AC336"/>
      <c r="AD336"/>
    </row>
    <row r="337" spans="17:30" ht="12.75" customHeight="1">
      <c r="Q337" s="364"/>
      <c r="R337" s="892"/>
      <c r="S337" s="897"/>
      <c r="T337" s="901"/>
      <c r="U337" s="901"/>
      <c r="V337" s="901"/>
      <c r="W337" s="903"/>
      <c r="X337" s="364"/>
      <c r="Y337" s="364"/>
      <c r="Z337" s="364"/>
      <c r="AA337"/>
      <c r="AB337"/>
      <c r="AC337"/>
      <c r="AD337"/>
    </row>
    <row r="338" spans="17:30" ht="12.75" customHeight="1">
      <c r="Q338" s="364"/>
      <c r="R338" s="892"/>
      <c r="S338" s="897"/>
      <c r="T338" s="689">
        <f>T325-PPE!$I$15</f>
        <v>103</v>
      </c>
      <c r="U338" s="560">
        <f>U331</f>
        <v>1.4285714285714284</v>
      </c>
      <c r="V338" s="690">
        <f>IF(T338&gt;0,W338*U338," ")</f>
        <v>1142.8571428571427</v>
      </c>
      <c r="W338" s="691">
        <f>IF(T338&gt;0,(VLOOKUP(T338,'Lookup Ready-reckoner'!$B$5:$E$1207,4))," ")</f>
        <v>800</v>
      </c>
      <c r="X338" s="364"/>
      <c r="Y338" s="364"/>
      <c r="Z338" s="364"/>
      <c r="AA338"/>
      <c r="AB338"/>
      <c r="AC338"/>
      <c r="AD338"/>
    </row>
    <row r="339" spans="17:30" ht="12.75" customHeight="1">
      <c r="Q339" s="364"/>
      <c r="R339" s="898"/>
      <c r="S339" s="899"/>
      <c r="T339" s="447"/>
      <c r="U339" s="560"/>
      <c r="V339" s="690" t="str">
        <f>IF(T339&gt;0,W339*U339," ")</f>
        <v xml:space="preserve"> </v>
      </c>
      <c r="W339" s="691" t="str">
        <f>IF(T339&gt;0,(VLOOKUP(T339,'Lookup Ready-reckoner'!$B$5:$E$1007,4))," ")</f>
        <v xml:space="preserve"> </v>
      </c>
      <c r="X339" s="364"/>
      <c r="Y339" s="364"/>
      <c r="Z339" s="364"/>
      <c r="AA339"/>
      <c r="AB339"/>
      <c r="AC339"/>
      <c r="AD339"/>
    </row>
    <row r="340" spans="17:30" ht="12.75" customHeight="1" thickBot="1">
      <c r="Q340" s="364"/>
      <c r="R340" s="699" t="s">
        <v>839</v>
      </c>
      <c r="S340" s="693"/>
      <c r="T340" s="693"/>
      <c r="U340" s="694">
        <f>IF(T338&gt;0,(VLOOKUP(V340,'Lookup Ready-reckoner'!$L$5:$M$1207,2))," ")</f>
        <v>95.55</v>
      </c>
      <c r="V340" s="695">
        <f>IF(U338&gt;0,(SUM(V338:V339))," ")</f>
        <v>1142.8571428571427</v>
      </c>
      <c r="W340" s="696"/>
      <c r="X340" s="364"/>
      <c r="Y340" s="364"/>
      <c r="Z340" s="364"/>
      <c r="AA340"/>
      <c r="AB340"/>
      <c r="AC340"/>
      <c r="AD340"/>
    </row>
    <row r="341" spans="17:30" ht="12.75" customHeight="1" thickBot="1">
      <c r="Q341" s="364"/>
      <c r="R341" s="892"/>
      <c r="S341" s="893"/>
      <c r="T341" s="893"/>
      <c r="U341" s="893"/>
      <c r="V341" s="893"/>
      <c r="W341" s="894"/>
      <c r="X341" s="364"/>
      <c r="Y341" s="364"/>
      <c r="Z341" s="364"/>
      <c r="AA341"/>
      <c r="AB341"/>
      <c r="AC341"/>
      <c r="AD341"/>
    </row>
    <row r="342" spans="17:30" ht="12.75" customHeight="1">
      <c r="Q342" s="364"/>
      <c r="R342" s="895" t="s">
        <v>886</v>
      </c>
      <c r="S342" s="896"/>
      <c r="T342" s="900" t="s">
        <v>835</v>
      </c>
      <c r="U342" s="900" t="s">
        <v>836</v>
      </c>
      <c r="V342" s="900" t="s">
        <v>837</v>
      </c>
      <c r="W342" s="902" t="s">
        <v>838</v>
      </c>
      <c r="X342" s="364"/>
      <c r="Y342" s="364"/>
      <c r="Z342" s="364"/>
      <c r="AA342"/>
      <c r="AB342"/>
      <c r="AC342"/>
      <c r="AD342"/>
    </row>
    <row r="343" spans="17:30" ht="12.75" customHeight="1">
      <c r="Q343" s="364"/>
      <c r="R343" s="892"/>
      <c r="S343" s="897"/>
      <c r="T343" s="901"/>
      <c r="U343" s="901"/>
      <c r="V343" s="901"/>
      <c r="W343" s="903"/>
      <c r="X343" s="364"/>
      <c r="Y343" s="364"/>
      <c r="Z343" s="364"/>
      <c r="AA343"/>
      <c r="AB343"/>
      <c r="AC343"/>
      <c r="AD343"/>
    </row>
    <row r="344" spans="17:30" ht="12.75" customHeight="1">
      <c r="Q344" s="364"/>
      <c r="R344" s="892"/>
      <c r="S344" s="897"/>
      <c r="T344" s="689">
        <f>T331-PPE!$I$15</f>
        <v>98.870400000000004</v>
      </c>
      <c r="U344" s="560">
        <f>U338</f>
        <v>1.4285714285714284</v>
      </c>
      <c r="V344" s="690">
        <f>IF(T344&gt;0,W344*U344," ")</f>
        <v>433.03571428571422</v>
      </c>
      <c r="W344" s="691">
        <f>IF(T344&gt;0,(VLOOKUP(T344,'Lookup Ready-reckoner'!$B$5:$E$1207,4))," ")</f>
        <v>303.125</v>
      </c>
      <c r="X344" s="364"/>
      <c r="Y344" s="364"/>
      <c r="Z344" s="364"/>
      <c r="AA344"/>
      <c r="AB344"/>
      <c r="AC344"/>
      <c r="AD344"/>
    </row>
    <row r="345" spans="17:30" ht="12.75" customHeight="1">
      <c r="Q345" s="364"/>
      <c r="R345" s="898"/>
      <c r="S345" s="899"/>
      <c r="T345" s="447"/>
      <c r="U345" s="560"/>
      <c r="V345" s="690" t="str">
        <f>IF(T345&gt;0,W345*U345," ")</f>
        <v xml:space="preserve"> </v>
      </c>
      <c r="W345" s="691" t="str">
        <f>IF(T345&gt;0,(VLOOKUP(T345,'Lookup Ready-reckoner'!$B$5:$E$1007,4))," ")</f>
        <v xml:space="preserve"> </v>
      </c>
      <c r="X345" s="364"/>
      <c r="Y345" s="364"/>
      <c r="Z345" s="364"/>
      <c r="AA345"/>
      <c r="AB345"/>
      <c r="AC345"/>
      <c r="AD345"/>
    </row>
    <row r="346" spans="17:30" ht="12.75" customHeight="1" thickBot="1">
      <c r="Q346" s="364"/>
      <c r="R346" s="692" t="s">
        <v>839</v>
      </c>
      <c r="S346" s="693"/>
      <c r="T346" s="693"/>
      <c r="U346" s="694">
        <f>IF(T344&gt;0,(VLOOKUP(V346,'Lookup Ready-reckoner'!$L$5:$M$1207,2))," ")</f>
        <v>91.3</v>
      </c>
      <c r="V346" s="695">
        <f>IF(U344&gt;0,(SUM(V344:V345))," ")</f>
        <v>433.03571428571422</v>
      </c>
      <c r="W346" s="696"/>
      <c r="X346" s="364"/>
      <c r="Y346" s="364"/>
      <c r="Z346" s="364"/>
      <c r="AA346"/>
      <c r="AB346"/>
      <c r="AC346"/>
      <c r="AD346"/>
    </row>
    <row r="347" spans="17:30" ht="12.75" customHeight="1">
      <c r="Q347" s="364"/>
      <c r="R347" s="363"/>
      <c r="S347" s="363"/>
      <c r="T347" s="363"/>
      <c r="U347" s="363"/>
      <c r="V347" s="363"/>
      <c r="W347" s="363"/>
      <c r="X347" s="364"/>
      <c r="Y347" s="364"/>
      <c r="Z347" s="364"/>
      <c r="AA347"/>
      <c r="AB347"/>
      <c r="AC347"/>
      <c r="AD347"/>
    </row>
    <row r="348" spans="17:30" ht="12.75" customHeight="1" thickBot="1">
      <c r="Q348" s="364"/>
      <c r="R348" s="915" t="str">
        <f>T306</f>
        <v>Seco S215 Muffled</v>
      </c>
      <c r="S348" s="915"/>
      <c r="T348" s="915"/>
      <c r="U348" s="915"/>
      <c r="V348" s="915"/>
      <c r="W348" s="915"/>
      <c r="X348" s="364"/>
      <c r="Y348" s="363"/>
      <c r="Z348" s="363"/>
      <c r="AA348"/>
      <c r="AB348"/>
      <c r="AC348"/>
      <c r="AD348"/>
    </row>
    <row r="349" spans="17:30" ht="12.75" customHeight="1" thickBot="1">
      <c r="Q349" s="364"/>
      <c r="R349" s="906" t="s">
        <v>205</v>
      </c>
      <c r="S349" s="907"/>
      <c r="T349" s="907"/>
      <c r="U349" s="907"/>
      <c r="V349" s="907"/>
      <c r="W349" s="908"/>
      <c r="X349" s="364"/>
      <c r="Y349" s="363"/>
      <c r="Z349" s="363"/>
      <c r="AA349"/>
      <c r="AB349"/>
      <c r="AC349"/>
      <c r="AD349"/>
    </row>
    <row r="350" spans="17:30" ht="12.75" customHeight="1" thickBot="1">
      <c r="Q350" s="364"/>
      <c r="R350" s="686" t="s">
        <v>59</v>
      </c>
      <c r="S350" s="577"/>
      <c r="T350" s="687"/>
      <c r="U350" s="687"/>
      <c r="V350" s="687"/>
      <c r="W350" s="688"/>
      <c r="X350" s="364"/>
      <c r="Y350" s="363"/>
      <c r="Z350" s="363"/>
      <c r="AA350"/>
      <c r="AB350"/>
      <c r="AC350"/>
      <c r="AD350"/>
    </row>
    <row r="351" spans="17:30" ht="12.75" customHeight="1">
      <c r="Q351" s="364"/>
      <c r="R351" s="895" t="s">
        <v>845</v>
      </c>
      <c r="S351" s="896"/>
      <c r="T351" s="900" t="s">
        <v>835</v>
      </c>
      <c r="U351" s="900" t="s">
        <v>836</v>
      </c>
      <c r="V351" s="900" t="s">
        <v>837</v>
      </c>
      <c r="W351" s="902" t="s">
        <v>838</v>
      </c>
      <c r="X351" s="364"/>
      <c r="Y351" s="363"/>
      <c r="Z351" s="363"/>
      <c r="AA351"/>
      <c r="AB351"/>
      <c r="AC351"/>
      <c r="AD351"/>
    </row>
    <row r="352" spans="17:30" ht="12.75" customHeight="1">
      <c r="Q352" s="364"/>
      <c r="R352" s="892"/>
      <c r="S352" s="897"/>
      <c r="T352" s="904"/>
      <c r="U352" s="904"/>
      <c r="V352" s="904"/>
      <c r="W352" s="905"/>
      <c r="X352" s="364"/>
      <c r="Y352" s="363"/>
      <c r="Z352" s="363"/>
      <c r="AA352"/>
      <c r="AB352"/>
      <c r="AC352"/>
      <c r="AD352"/>
    </row>
    <row r="353" spans="17:30" ht="12.75" customHeight="1">
      <c r="Q353" s="364"/>
      <c r="R353" s="892"/>
      <c r="S353" s="897"/>
      <c r="T353" s="901"/>
      <c r="U353" s="901"/>
      <c r="V353" s="901"/>
      <c r="W353" s="903"/>
      <c r="X353" s="364"/>
      <c r="Y353" s="363"/>
      <c r="Z353" s="363"/>
      <c r="AA353"/>
      <c r="AB353"/>
      <c r="AC353"/>
      <c r="AD353"/>
    </row>
    <row r="354" spans="17:30" ht="12.75" customHeight="1">
      <c r="Q354" s="364"/>
      <c r="R354" s="892"/>
      <c r="S354" s="897"/>
      <c r="T354" s="700">
        <f>V69</f>
        <v>108</v>
      </c>
      <c r="U354" s="560">
        <f>V62</f>
        <v>1.9999999999999996</v>
      </c>
      <c r="V354" s="690">
        <f>IF(T354&gt;0,W354*U354," ")</f>
        <v>4999.9999999999991</v>
      </c>
      <c r="W354" s="691">
        <f>IF(T354&gt;0,(VLOOKUP(T354,'Lookup Ready-reckoner'!$B$5:$E$1207,4))," ")</f>
        <v>2500</v>
      </c>
      <c r="X354" s="364"/>
      <c r="Y354" s="363"/>
      <c r="Z354" s="363"/>
      <c r="AA354"/>
      <c r="AB354"/>
      <c r="AC354"/>
      <c r="AD354"/>
    </row>
    <row r="355" spans="17:30" ht="12.75" customHeight="1">
      <c r="Q355" s="364"/>
      <c r="R355" s="898"/>
      <c r="S355" s="899"/>
      <c r="T355" s="447"/>
      <c r="U355" s="560"/>
      <c r="V355" s="690" t="str">
        <f>IF(T355&gt;0,W355*U355," ")</f>
        <v xml:space="preserve"> </v>
      </c>
      <c r="W355" s="691" t="str">
        <f>IF(T355&gt;0,(VLOOKUP(T355,'Lookup Ready-reckoner'!$B$5:$E$1007,4))," ")</f>
        <v xml:space="preserve"> </v>
      </c>
      <c r="X355" s="364"/>
      <c r="Y355" s="363"/>
      <c r="Z355" s="363"/>
      <c r="AA355"/>
      <c r="AB355"/>
      <c r="AC355"/>
      <c r="AD355"/>
    </row>
    <row r="356" spans="17:30" ht="12.75" customHeight="1" thickBot="1">
      <c r="Q356" s="364"/>
      <c r="R356" s="699" t="s">
        <v>839</v>
      </c>
      <c r="S356" s="693"/>
      <c r="T356" s="693"/>
      <c r="U356" s="701">
        <f>IF(T354&gt;0,(VLOOKUP(V356,'Lookup Ready-reckoner'!$L$5:$M$1207,2))," ")</f>
        <v>101.95</v>
      </c>
      <c r="V356" s="695">
        <f>IF(U354&gt;0,(SUM(V354:V355))," ")</f>
        <v>4999.9999999999991</v>
      </c>
      <c r="W356" s="696"/>
      <c r="X356" s="364"/>
      <c r="Y356" s="363"/>
      <c r="Z356" s="363"/>
      <c r="AA356"/>
      <c r="AB356"/>
      <c r="AC356"/>
      <c r="AD356"/>
    </row>
    <row r="357" spans="17:30" ht="12.75" customHeight="1" thickBot="1">
      <c r="Q357" s="364"/>
      <c r="R357" s="892"/>
      <c r="S357" s="893"/>
      <c r="T357" s="893"/>
      <c r="U357" s="893"/>
      <c r="V357" s="893"/>
      <c r="W357" s="894"/>
      <c r="X357" s="364"/>
      <c r="Y357" s="363"/>
      <c r="Z357" s="363"/>
      <c r="AA357"/>
      <c r="AB357"/>
      <c r="AC357"/>
      <c r="AD357"/>
    </row>
    <row r="358" spans="17:30" ht="12.75" customHeight="1">
      <c r="Q358" s="364"/>
      <c r="R358" s="895" t="s">
        <v>886</v>
      </c>
      <c r="S358" s="896"/>
      <c r="T358" s="900" t="s">
        <v>835</v>
      </c>
      <c r="U358" s="900" t="s">
        <v>836</v>
      </c>
      <c r="V358" s="900" t="s">
        <v>837</v>
      </c>
      <c r="W358" s="902" t="s">
        <v>838</v>
      </c>
      <c r="X358" s="364"/>
      <c r="Y358" s="363"/>
      <c r="Z358" s="363"/>
      <c r="AA358"/>
      <c r="AB358"/>
      <c r="AC358"/>
      <c r="AD358"/>
    </row>
    <row r="359" spans="17:30" ht="12.75" customHeight="1">
      <c r="Q359" s="364"/>
      <c r="R359" s="892"/>
      <c r="S359" s="897"/>
      <c r="T359" s="901"/>
      <c r="U359" s="901"/>
      <c r="V359" s="901"/>
      <c r="W359" s="903"/>
      <c r="X359" s="364"/>
      <c r="Y359" s="363"/>
      <c r="Z359" s="363"/>
      <c r="AA359"/>
      <c r="AB359"/>
      <c r="AC359"/>
      <c r="AD359"/>
    </row>
    <row r="360" spans="17:30" ht="12.75" customHeight="1">
      <c r="Q360" s="364"/>
      <c r="R360" s="892"/>
      <c r="S360" s="897"/>
      <c r="T360" s="700">
        <f>T354*(1-0.0178*2)</f>
        <v>104.15520000000001</v>
      </c>
      <c r="U360" s="560">
        <f>U354</f>
        <v>1.9999999999999996</v>
      </c>
      <c r="V360" s="690">
        <f>IF(T360&gt;0,W360*U360," ")</f>
        <v>2074.9999999999995</v>
      </c>
      <c r="W360" s="691">
        <f>IF(T360&gt;0,(VLOOKUP(T360,'Lookup Ready-reckoner'!$B$5:$E$1207,4))," ")</f>
        <v>1037.5</v>
      </c>
      <c r="X360" s="364"/>
      <c r="Y360" s="363"/>
      <c r="Z360" s="363"/>
      <c r="AA360"/>
      <c r="AB360"/>
      <c r="AC360"/>
      <c r="AD360"/>
    </row>
    <row r="361" spans="17:30" ht="12.75" customHeight="1">
      <c r="Q361" s="364"/>
      <c r="R361" s="898"/>
      <c r="S361" s="899"/>
      <c r="T361" s="447"/>
      <c r="U361" s="560"/>
      <c r="V361" s="690" t="str">
        <f>IF(T361&gt;0,W361*U361," ")</f>
        <v xml:space="preserve"> </v>
      </c>
      <c r="W361" s="691" t="str">
        <f>IF(T361&gt;0,(VLOOKUP(T361,'Lookup Ready-reckoner'!$B$5:$E$1007,4))," ")</f>
        <v xml:space="preserve"> </v>
      </c>
      <c r="X361" s="364"/>
      <c r="Y361" s="363"/>
      <c r="Z361" s="363"/>
      <c r="AA361"/>
      <c r="AB361"/>
      <c r="AC361"/>
      <c r="AD361"/>
    </row>
    <row r="362" spans="17:30" ht="12.75" customHeight="1" thickBot="1">
      <c r="Q362" s="364"/>
      <c r="R362" s="692" t="s">
        <v>839</v>
      </c>
      <c r="S362" s="693"/>
      <c r="T362" s="693"/>
      <c r="U362" s="701">
        <f>IF(T360&gt;0,(VLOOKUP(V362,'Lookup Ready-reckoner'!$L$5:$M$1207,2))," ")</f>
        <v>98.1</v>
      </c>
      <c r="V362" s="695">
        <f>IF(U360&gt;0,(SUM(V360:V361))," ")</f>
        <v>2074.9999999999995</v>
      </c>
      <c r="W362" s="696"/>
      <c r="X362" s="364"/>
      <c r="Y362" s="363"/>
      <c r="Z362" s="363"/>
      <c r="AA362"/>
      <c r="AB362"/>
      <c r="AC362"/>
      <c r="AD362"/>
    </row>
    <row r="363" spans="17:30" ht="12.75" customHeight="1">
      <c r="Q363" s="364"/>
      <c r="R363" s="697"/>
      <c r="S363" s="687"/>
      <c r="T363" s="687"/>
      <c r="U363" s="372"/>
      <c r="V363" s="374"/>
      <c r="W363" s="688"/>
      <c r="X363" s="364"/>
      <c r="Y363" s="363"/>
      <c r="Z363" s="363"/>
      <c r="AA363"/>
      <c r="AB363"/>
      <c r="AC363"/>
      <c r="AD363"/>
    </row>
    <row r="364" spans="17:30" ht="12.75" customHeight="1" thickBot="1">
      <c r="Q364" s="364"/>
      <c r="R364" s="686" t="s">
        <v>60</v>
      </c>
      <c r="S364" s="577"/>
      <c r="T364" s="577"/>
      <c r="U364" s="577"/>
      <c r="V364" s="577"/>
      <c r="W364" s="698"/>
      <c r="X364" s="364"/>
      <c r="Y364" s="363"/>
      <c r="Z364" s="363"/>
      <c r="AA364"/>
      <c r="AB364"/>
      <c r="AC364"/>
      <c r="AD364"/>
    </row>
    <row r="365" spans="17:30" ht="12.75" customHeight="1">
      <c r="Q365" s="364"/>
      <c r="R365" s="895" t="s">
        <v>845</v>
      </c>
      <c r="S365" s="896"/>
      <c r="T365" s="900" t="s">
        <v>835</v>
      </c>
      <c r="U365" s="900" t="s">
        <v>836</v>
      </c>
      <c r="V365" s="900" t="s">
        <v>837</v>
      </c>
      <c r="W365" s="902" t="s">
        <v>838</v>
      </c>
      <c r="X365" s="364"/>
      <c r="Y365" s="363"/>
      <c r="Z365" s="363"/>
      <c r="AA365"/>
      <c r="AB365"/>
      <c r="AC365"/>
      <c r="AD365"/>
    </row>
    <row r="366" spans="17:30" ht="12.75" customHeight="1">
      <c r="Q366" s="364"/>
      <c r="R366" s="892"/>
      <c r="S366" s="897"/>
      <c r="T366" s="901"/>
      <c r="U366" s="901"/>
      <c r="V366" s="901"/>
      <c r="W366" s="903"/>
      <c r="X366" s="364"/>
      <c r="Y366" s="363"/>
      <c r="Z366" s="363"/>
      <c r="AA366"/>
      <c r="AB366"/>
      <c r="AC366"/>
      <c r="AD366"/>
    </row>
    <row r="367" spans="17:30" ht="12.75" customHeight="1">
      <c r="Q367" s="364"/>
      <c r="R367" s="892"/>
      <c r="S367" s="897"/>
      <c r="T367" s="700">
        <f>T354-PPE!$I$15</f>
        <v>95</v>
      </c>
      <c r="U367" s="560">
        <f>U360</f>
        <v>1.9999999999999996</v>
      </c>
      <c r="V367" s="690">
        <f>IF(T367&gt;0,W367*U367," ")</f>
        <v>249.99999999999994</v>
      </c>
      <c r="W367" s="691">
        <f>IF(T367&gt;0,(VLOOKUP(T367,'Lookup Ready-reckoner'!$B$5:$E$1207,4))," ")</f>
        <v>125</v>
      </c>
      <c r="X367" s="364"/>
      <c r="Y367" s="363"/>
      <c r="Z367" s="363"/>
      <c r="AA367"/>
      <c r="AB367"/>
      <c r="AC367"/>
      <c r="AD367"/>
    </row>
    <row r="368" spans="17:30" ht="12.75" customHeight="1">
      <c r="Q368" s="364"/>
      <c r="R368" s="898"/>
      <c r="S368" s="899"/>
      <c r="T368" s="447"/>
      <c r="U368" s="560"/>
      <c r="V368" s="690" t="str">
        <f>IF(T368&gt;0,W368*U368," ")</f>
        <v xml:space="preserve"> </v>
      </c>
      <c r="W368" s="691" t="str">
        <f>IF(T368&gt;0,(VLOOKUP(T368,'Lookup Ready-reckoner'!$B$5:$E$1007,4))," ")</f>
        <v xml:space="preserve"> </v>
      </c>
      <c r="X368" s="364"/>
      <c r="Y368" s="363"/>
      <c r="Z368" s="363"/>
      <c r="AA368"/>
      <c r="AB368"/>
      <c r="AC368"/>
      <c r="AD368"/>
    </row>
    <row r="369" spans="17:30" ht="12.75" customHeight="1" thickBot="1">
      <c r="Q369" s="364"/>
      <c r="R369" s="692" t="s">
        <v>839</v>
      </c>
      <c r="S369" s="693"/>
      <c r="T369" s="693"/>
      <c r="U369" s="701">
        <f>IF(T367&gt;0,(VLOOKUP(V369,'Lookup Ready-reckoner'!$L$5:$M$1207,2))," ")</f>
        <v>88.95</v>
      </c>
      <c r="V369" s="695">
        <f>IF(U367&gt;0,(SUM(V367:V368))," ")</f>
        <v>249.99999999999994</v>
      </c>
      <c r="W369" s="696"/>
      <c r="X369" s="364"/>
      <c r="Y369" s="363"/>
      <c r="Z369" s="363"/>
      <c r="AA369"/>
      <c r="AB369"/>
      <c r="AC369"/>
      <c r="AD369"/>
    </row>
    <row r="370" spans="17:30" ht="12.75" customHeight="1" thickBot="1">
      <c r="Q370" s="364"/>
      <c r="R370" s="892"/>
      <c r="S370" s="893"/>
      <c r="T370" s="893"/>
      <c r="U370" s="893"/>
      <c r="V370" s="893"/>
      <c r="W370" s="894"/>
      <c r="X370" s="364"/>
      <c r="Y370" s="363"/>
      <c r="Z370" s="363"/>
      <c r="AA370"/>
      <c r="AB370"/>
      <c r="AC370"/>
      <c r="AD370"/>
    </row>
    <row r="371" spans="17:30" ht="12.75" customHeight="1">
      <c r="Q371" s="364"/>
      <c r="R371" s="895" t="s">
        <v>886</v>
      </c>
      <c r="S371" s="896"/>
      <c r="T371" s="900" t="s">
        <v>835</v>
      </c>
      <c r="U371" s="900" t="s">
        <v>836</v>
      </c>
      <c r="V371" s="900" t="s">
        <v>837</v>
      </c>
      <c r="W371" s="902" t="s">
        <v>838</v>
      </c>
      <c r="X371" s="364"/>
      <c r="Y371" s="363"/>
      <c r="Z371" s="363"/>
      <c r="AA371"/>
      <c r="AB371"/>
      <c r="AC371"/>
      <c r="AD371"/>
    </row>
    <row r="372" spans="17:30" ht="12.75" customHeight="1">
      <c r="Q372" s="364"/>
      <c r="R372" s="892"/>
      <c r="S372" s="897"/>
      <c r="T372" s="901"/>
      <c r="U372" s="901"/>
      <c r="V372" s="901"/>
      <c r="W372" s="903"/>
      <c r="X372" s="364"/>
      <c r="Y372" s="363"/>
      <c r="Z372" s="363"/>
      <c r="AA372"/>
      <c r="AB372"/>
      <c r="AC372"/>
      <c r="AD372"/>
    </row>
    <row r="373" spans="17:30" ht="12.75" customHeight="1">
      <c r="Q373" s="364"/>
      <c r="R373" s="892"/>
      <c r="S373" s="897"/>
      <c r="T373" s="700">
        <f>T360-PPE!$I$15</f>
        <v>91.155200000000008</v>
      </c>
      <c r="U373" s="560">
        <f>U367</f>
        <v>1.9999999999999996</v>
      </c>
      <c r="V373" s="690">
        <f>IF(T373&gt;0,W373*U373," ")</f>
        <v>103.74999999999997</v>
      </c>
      <c r="W373" s="691">
        <f>IF(T373&gt;0,(VLOOKUP(T373,'Lookup Ready-reckoner'!$B$5:$E$1207,4))," ")</f>
        <v>51.875</v>
      </c>
      <c r="X373" s="364"/>
      <c r="Y373" s="363"/>
      <c r="Z373" s="363"/>
      <c r="AA373"/>
      <c r="AB373"/>
      <c r="AC373"/>
      <c r="AD373"/>
    </row>
    <row r="374" spans="17:30" ht="12.75" customHeight="1">
      <c r="Q374" s="364"/>
      <c r="R374" s="898"/>
      <c r="S374" s="899"/>
      <c r="T374" s="447"/>
      <c r="U374" s="560"/>
      <c r="V374" s="690" t="str">
        <f>IF(T374&gt;0,W374*U374," ")</f>
        <v xml:space="preserve"> </v>
      </c>
      <c r="W374" s="691" t="str">
        <f>IF(T374&gt;0,(VLOOKUP(T374,'Lookup Ready-reckoner'!$B$5:$E$1007,4))," ")</f>
        <v xml:space="preserve"> </v>
      </c>
      <c r="X374" s="364"/>
      <c r="Y374" s="363"/>
      <c r="Z374" s="363"/>
      <c r="AA374"/>
      <c r="AB374"/>
      <c r="AC374"/>
      <c r="AD374"/>
    </row>
    <row r="375" spans="17:30" ht="12.75" customHeight="1" thickBot="1">
      <c r="Q375" s="364"/>
      <c r="R375" s="692" t="s">
        <v>839</v>
      </c>
      <c r="S375" s="693"/>
      <c r="T375" s="693"/>
      <c r="U375" s="701">
        <f>IF(T373&gt;0,(VLOOKUP(V375,'Lookup Ready-reckoner'!$L$5:$M$1207,2))," ")</f>
        <v>85.1</v>
      </c>
      <c r="V375" s="695">
        <f>IF(U373&gt;0,(SUM(V373:V374))," ")</f>
        <v>103.74999999999997</v>
      </c>
      <c r="W375" s="696"/>
      <c r="X375" s="364"/>
      <c r="Y375" s="363"/>
      <c r="Z375" s="363"/>
      <c r="AA375"/>
      <c r="AB375"/>
      <c r="AC375"/>
      <c r="AD375"/>
    </row>
    <row r="376" spans="17:30" ht="12.75" customHeight="1">
      <c r="Q376" s="364"/>
      <c r="R376" s="363"/>
      <c r="S376" s="363"/>
      <c r="T376" s="363"/>
      <c r="U376" s="363"/>
      <c r="V376" s="363"/>
      <c r="W376" s="363"/>
      <c r="X376" s="364"/>
      <c r="Y376" s="364"/>
      <c r="Z376" s="364"/>
      <c r="AA376"/>
      <c r="AB376"/>
      <c r="AC376"/>
      <c r="AD376"/>
    </row>
    <row r="377" spans="17:30" ht="12.75" customHeight="1">
      <c r="Q377" s="364"/>
      <c r="R377" s="913" t="str">
        <f>U306</f>
        <v>Sulzer ADDS</v>
      </c>
      <c r="S377" s="914"/>
      <c r="T377" s="914"/>
      <c r="U377" s="914"/>
      <c r="V377" s="914"/>
      <c r="W377" s="914"/>
      <c r="X377" s="364"/>
      <c r="Y377" s="363"/>
      <c r="Z377" s="363"/>
      <c r="AA377"/>
      <c r="AB377"/>
      <c r="AC377"/>
      <c r="AD377"/>
    </row>
    <row r="378" spans="17:30" ht="12.75" customHeight="1" thickBot="1">
      <c r="Q378" s="364"/>
      <c r="R378" s="910" t="s">
        <v>205</v>
      </c>
      <c r="S378" s="911"/>
      <c r="T378" s="911"/>
      <c r="U378" s="911"/>
      <c r="V378" s="911"/>
      <c r="W378" s="912"/>
      <c r="X378" s="364"/>
      <c r="Y378" s="363"/>
      <c r="Z378" s="363"/>
      <c r="AA378"/>
      <c r="AB378"/>
      <c r="AC378"/>
      <c r="AD378"/>
    </row>
    <row r="379" spans="17:30" ht="12.75" customHeight="1" thickBot="1">
      <c r="Q379" s="364"/>
      <c r="R379" s="686" t="s">
        <v>59</v>
      </c>
      <c r="S379" s="577"/>
      <c r="T379" s="687"/>
      <c r="U379" s="687"/>
      <c r="V379" s="687"/>
      <c r="W379" s="688"/>
      <c r="X379" s="364"/>
      <c r="Y379" s="363"/>
      <c r="Z379" s="363"/>
      <c r="AA379"/>
      <c r="AB379"/>
      <c r="AC379"/>
      <c r="AD379"/>
    </row>
    <row r="380" spans="17:30" ht="12.75" customHeight="1">
      <c r="Q380" s="364"/>
      <c r="R380" s="895" t="s">
        <v>845</v>
      </c>
      <c r="S380" s="896"/>
      <c r="T380" s="900" t="s">
        <v>835</v>
      </c>
      <c r="U380" s="900" t="s">
        <v>836</v>
      </c>
      <c r="V380" s="900" t="s">
        <v>837</v>
      </c>
      <c r="W380" s="902" t="s">
        <v>838</v>
      </c>
      <c r="X380" s="364"/>
      <c r="Y380" s="363"/>
      <c r="Z380" s="363"/>
      <c r="AA380"/>
      <c r="AB380"/>
      <c r="AC380"/>
      <c r="AD380"/>
    </row>
    <row r="381" spans="17:30" ht="12.75" customHeight="1">
      <c r="Q381" s="364"/>
      <c r="R381" s="892"/>
      <c r="S381" s="897"/>
      <c r="T381" s="904"/>
      <c r="U381" s="904"/>
      <c r="V381" s="904"/>
      <c r="W381" s="905"/>
      <c r="X381" s="364"/>
      <c r="Y381" s="363"/>
      <c r="Z381" s="363"/>
      <c r="AA381"/>
      <c r="AB381"/>
      <c r="AC381"/>
      <c r="AD381"/>
    </row>
    <row r="382" spans="17:30" ht="12.75" customHeight="1">
      <c r="Q382" s="364"/>
      <c r="R382" s="892"/>
      <c r="S382" s="897"/>
      <c r="T382" s="901"/>
      <c r="U382" s="901"/>
      <c r="V382" s="901"/>
      <c r="W382" s="903"/>
      <c r="X382" s="364"/>
      <c r="Y382" s="363"/>
      <c r="Z382" s="363"/>
      <c r="AA382"/>
      <c r="AB382"/>
      <c r="AC382"/>
      <c r="AD382"/>
    </row>
    <row r="383" spans="17:30" ht="12.75" customHeight="1">
      <c r="Q383" s="364"/>
      <c r="R383" s="892"/>
      <c r="S383" s="897"/>
      <c r="T383" s="702">
        <f>W69</f>
        <v>109</v>
      </c>
      <c r="U383" s="560">
        <f>W62</f>
        <v>1.7391304347826084</v>
      </c>
      <c r="V383" s="690">
        <f>IF(T383&gt;0,W383*U383," ")</f>
        <v>5565.2173913043471</v>
      </c>
      <c r="W383" s="691">
        <f>IF(T383&gt;0,(VLOOKUP(T383,'Lookup Ready-reckoner'!$B$5:$E$1207,4))," ")</f>
        <v>3200</v>
      </c>
      <c r="X383" s="364"/>
      <c r="Y383" s="363"/>
      <c r="Z383" s="363"/>
      <c r="AA383"/>
      <c r="AB383"/>
      <c r="AC383"/>
      <c r="AD383"/>
    </row>
    <row r="384" spans="17:30" ht="12.75" customHeight="1">
      <c r="Q384" s="364"/>
      <c r="R384" s="898"/>
      <c r="S384" s="899"/>
      <c r="T384" s="447"/>
      <c r="U384" s="560"/>
      <c r="V384" s="690" t="str">
        <f>IF(T384&gt;0,W384*U384," ")</f>
        <v xml:space="preserve"> </v>
      </c>
      <c r="W384" s="691" t="str">
        <f>IF(T384&gt;0,(VLOOKUP(T384,'Lookup Ready-reckoner'!$B$5:$E$1007,4))," ")</f>
        <v xml:space="preserve"> </v>
      </c>
      <c r="X384" s="364"/>
      <c r="Y384" s="363"/>
      <c r="Z384" s="363"/>
      <c r="AA384"/>
      <c r="AB384"/>
      <c r="AC384"/>
      <c r="AD384"/>
    </row>
    <row r="385" spans="17:30" ht="12.75" customHeight="1" thickBot="1">
      <c r="Q385" s="364"/>
      <c r="R385" s="692" t="s">
        <v>839</v>
      </c>
      <c r="S385" s="693"/>
      <c r="T385" s="693"/>
      <c r="U385" s="703">
        <f>IF(T383&gt;0,(VLOOKUP(V385,'Lookup Ready-reckoner'!$L$5:$M$1207,2))," ")</f>
        <v>102.4</v>
      </c>
      <c r="V385" s="695">
        <f>IF(U383&gt;0,(SUM(V383:V384))," ")</f>
        <v>5565.2173913043471</v>
      </c>
      <c r="W385" s="696"/>
      <c r="X385" s="364"/>
      <c r="Y385" s="363"/>
      <c r="Z385" s="363"/>
      <c r="AA385"/>
      <c r="AB385"/>
      <c r="AC385"/>
      <c r="AD385"/>
    </row>
    <row r="386" spans="17:30" ht="12.75" customHeight="1" thickBot="1">
      <c r="Q386" s="364"/>
      <c r="R386" s="892"/>
      <c r="S386" s="893"/>
      <c r="T386" s="893"/>
      <c r="U386" s="893"/>
      <c r="V386" s="893"/>
      <c r="W386" s="894"/>
      <c r="X386" s="364"/>
      <c r="Y386" s="363"/>
      <c r="Z386" s="363"/>
      <c r="AA386"/>
      <c r="AB386"/>
      <c r="AC386"/>
      <c r="AD386"/>
    </row>
    <row r="387" spans="17:30" ht="12.75" customHeight="1">
      <c r="Q387" s="364"/>
      <c r="R387" s="895" t="s">
        <v>886</v>
      </c>
      <c r="S387" s="896"/>
      <c r="T387" s="900" t="s">
        <v>835</v>
      </c>
      <c r="U387" s="900" t="s">
        <v>836</v>
      </c>
      <c r="V387" s="900" t="s">
        <v>837</v>
      </c>
      <c r="W387" s="902" t="s">
        <v>838</v>
      </c>
      <c r="X387" s="364"/>
      <c r="Y387" s="363"/>
      <c r="Z387" s="363"/>
      <c r="AA387"/>
      <c r="AB387"/>
      <c r="AC387"/>
      <c r="AD387"/>
    </row>
    <row r="388" spans="17:30" ht="12.75" customHeight="1">
      <c r="Q388" s="364"/>
      <c r="R388" s="892"/>
      <c r="S388" s="897"/>
      <c r="T388" s="901"/>
      <c r="U388" s="901"/>
      <c r="V388" s="901"/>
      <c r="W388" s="903"/>
      <c r="X388" s="364"/>
      <c r="Y388" s="363"/>
      <c r="Z388" s="363"/>
      <c r="AA388"/>
      <c r="AB388"/>
      <c r="AC388"/>
      <c r="AD388"/>
    </row>
    <row r="389" spans="17:30" ht="12.75" customHeight="1">
      <c r="Q389" s="364"/>
      <c r="R389" s="892"/>
      <c r="S389" s="897"/>
      <c r="T389" s="702">
        <f>T383*(1-0.0178*2)</f>
        <v>105.11960000000001</v>
      </c>
      <c r="U389" s="560">
        <f>U383</f>
        <v>1.7391304347826084</v>
      </c>
      <c r="V389" s="690">
        <f>IF(T389&gt;0,W389*U389," ")</f>
        <v>2234.782608695652</v>
      </c>
      <c r="W389" s="691">
        <f>IF(T389&gt;0,(VLOOKUP(T389,'Lookup Ready-reckoner'!$B$5:$E$1207,4))," ")</f>
        <v>1285</v>
      </c>
      <c r="X389" s="364"/>
      <c r="Y389" s="363"/>
      <c r="Z389" s="363"/>
      <c r="AA389"/>
      <c r="AB389"/>
      <c r="AC389"/>
      <c r="AD389"/>
    </row>
    <row r="390" spans="17:30" ht="12.75" customHeight="1">
      <c r="Q390" s="364"/>
      <c r="R390" s="898"/>
      <c r="S390" s="899"/>
      <c r="T390" s="447"/>
      <c r="U390" s="560"/>
      <c r="V390" s="690" t="str">
        <f>IF(T390&gt;0,W390*U390," ")</f>
        <v xml:space="preserve"> </v>
      </c>
      <c r="W390" s="691" t="str">
        <f>IF(T390&gt;0,(VLOOKUP(T390,'Lookup Ready-reckoner'!$B$5:$E$1007,4))," ")</f>
        <v xml:space="preserve"> </v>
      </c>
      <c r="X390" s="364"/>
      <c r="Y390" s="363"/>
      <c r="Z390" s="363"/>
      <c r="AA390"/>
      <c r="AB390"/>
      <c r="AC390"/>
      <c r="AD390"/>
    </row>
    <row r="391" spans="17:30" ht="12.75" customHeight="1" thickBot="1">
      <c r="Q391" s="364"/>
      <c r="R391" s="692" t="s">
        <v>839</v>
      </c>
      <c r="S391" s="693"/>
      <c r="T391" s="693"/>
      <c r="U391" s="703">
        <f>IF(T389&gt;0,(VLOOKUP(V391,'Lookup Ready-reckoner'!$L$5:$M$1207,2))," ")</f>
        <v>98.45</v>
      </c>
      <c r="V391" s="695">
        <f>IF(U389&gt;0,(SUM(V389:V390))," ")</f>
        <v>2234.782608695652</v>
      </c>
      <c r="W391" s="696"/>
      <c r="X391" s="364"/>
      <c r="Y391" s="363"/>
      <c r="Z391" s="363"/>
      <c r="AA391"/>
      <c r="AB391"/>
      <c r="AC391"/>
      <c r="AD391"/>
    </row>
    <row r="392" spans="17:30" ht="12.75" customHeight="1">
      <c r="Q392" s="364"/>
      <c r="R392" s="697"/>
      <c r="S392" s="687"/>
      <c r="T392" s="687"/>
      <c r="U392" s="372"/>
      <c r="V392" s="374"/>
      <c r="W392" s="688"/>
      <c r="X392" s="364"/>
      <c r="Y392" s="363"/>
      <c r="Z392" s="363"/>
      <c r="AA392"/>
      <c r="AB392"/>
      <c r="AC392"/>
      <c r="AD392"/>
    </row>
    <row r="393" spans="17:30" ht="12.75" customHeight="1" thickBot="1">
      <c r="Q393" s="364"/>
      <c r="R393" s="686" t="s">
        <v>60</v>
      </c>
      <c r="S393" s="577"/>
      <c r="T393" s="577"/>
      <c r="U393" s="577"/>
      <c r="V393" s="577"/>
      <c r="W393" s="698"/>
      <c r="X393" s="364"/>
      <c r="Y393" s="363"/>
      <c r="Z393" s="363"/>
      <c r="AA393"/>
      <c r="AB393"/>
      <c r="AC393"/>
      <c r="AD393"/>
    </row>
    <row r="394" spans="17:30" ht="12.75" customHeight="1">
      <c r="Q394" s="364"/>
      <c r="R394" s="895" t="s">
        <v>845</v>
      </c>
      <c r="S394" s="896"/>
      <c r="T394" s="900" t="s">
        <v>835</v>
      </c>
      <c r="U394" s="900" t="s">
        <v>836</v>
      </c>
      <c r="V394" s="900" t="s">
        <v>837</v>
      </c>
      <c r="W394" s="902" t="s">
        <v>838</v>
      </c>
      <c r="X394" s="364"/>
      <c r="Y394" s="363"/>
      <c r="Z394" s="363"/>
      <c r="AA394"/>
      <c r="AB394"/>
      <c r="AC394"/>
      <c r="AD394"/>
    </row>
    <row r="395" spans="17:30" ht="12.75" customHeight="1">
      <c r="Q395" s="364"/>
      <c r="R395" s="892"/>
      <c r="S395" s="897"/>
      <c r="T395" s="901"/>
      <c r="U395" s="901"/>
      <c r="V395" s="901"/>
      <c r="W395" s="903"/>
      <c r="X395" s="364"/>
      <c r="Y395" s="363"/>
      <c r="Z395" s="363"/>
      <c r="AA395"/>
      <c r="AB395"/>
      <c r="AC395"/>
      <c r="AD395"/>
    </row>
    <row r="396" spans="17:30" ht="12.75" customHeight="1">
      <c r="Q396" s="364"/>
      <c r="R396" s="892"/>
      <c r="S396" s="897"/>
      <c r="T396" s="702">
        <f>T383-PPE!$I$15</f>
        <v>96</v>
      </c>
      <c r="U396" s="560">
        <f>U389</f>
        <v>1.7391304347826084</v>
      </c>
      <c r="V396" s="690">
        <f>IF(T396&gt;0,W396*U396," ")</f>
        <v>271.73913043478257</v>
      </c>
      <c r="W396" s="691">
        <f>IF(T396&gt;0,(VLOOKUP(T396,'Lookup Ready-reckoner'!$B$5:$E$1207,4))," ")</f>
        <v>156.25</v>
      </c>
      <c r="X396" s="364"/>
      <c r="Y396" s="363"/>
      <c r="Z396" s="363"/>
      <c r="AA396"/>
      <c r="AB396"/>
      <c r="AC396"/>
      <c r="AD396"/>
    </row>
    <row r="397" spans="17:30" ht="12.75" customHeight="1">
      <c r="Q397" s="364"/>
      <c r="R397" s="898"/>
      <c r="S397" s="899"/>
      <c r="T397" s="447"/>
      <c r="U397" s="560"/>
      <c r="V397" s="690" t="str">
        <f>IF(T397&gt;0,W397*U397," ")</f>
        <v xml:space="preserve"> </v>
      </c>
      <c r="W397" s="691" t="str">
        <f>IF(T397&gt;0,(VLOOKUP(T397,'Lookup Ready-reckoner'!$B$5:$E$1007,4))," ")</f>
        <v xml:space="preserve"> </v>
      </c>
      <c r="X397" s="364"/>
      <c r="Y397" s="363"/>
      <c r="Z397" s="363"/>
      <c r="AA397"/>
      <c r="AB397"/>
      <c r="AC397"/>
      <c r="AD397"/>
    </row>
    <row r="398" spans="17:30" ht="12.75" customHeight="1" thickBot="1">
      <c r="Q398" s="364"/>
      <c r="R398" s="692" t="s">
        <v>839</v>
      </c>
      <c r="S398" s="693"/>
      <c r="T398" s="693"/>
      <c r="U398" s="703">
        <f>IF(T396&gt;0,(VLOOKUP(V398,'Lookup Ready-reckoner'!$L$5:$M$1207,2))," ")</f>
        <v>89.3</v>
      </c>
      <c r="V398" s="695">
        <f>IF(U396&gt;0,(SUM(V396:V397))," ")</f>
        <v>271.73913043478257</v>
      </c>
      <c r="W398" s="696"/>
      <c r="X398" s="364"/>
      <c r="Y398" s="363"/>
      <c r="Z398" s="363"/>
      <c r="AA398"/>
      <c r="AB398"/>
      <c r="AC398"/>
      <c r="AD398"/>
    </row>
    <row r="399" spans="17:30" ht="12.75" customHeight="1" thickBot="1">
      <c r="Q399" s="364"/>
      <c r="R399" s="892"/>
      <c r="S399" s="893"/>
      <c r="T399" s="893"/>
      <c r="U399" s="893"/>
      <c r="V399" s="893"/>
      <c r="W399" s="894"/>
      <c r="X399" s="364"/>
      <c r="Y399" s="363"/>
      <c r="Z399" s="363"/>
      <c r="AA399"/>
      <c r="AB399"/>
      <c r="AC399"/>
      <c r="AD399"/>
    </row>
    <row r="400" spans="17:30" ht="12.75" customHeight="1">
      <c r="Q400" s="364"/>
      <c r="R400" s="895" t="s">
        <v>886</v>
      </c>
      <c r="S400" s="896"/>
      <c r="T400" s="900" t="s">
        <v>835</v>
      </c>
      <c r="U400" s="900" t="s">
        <v>836</v>
      </c>
      <c r="V400" s="900" t="s">
        <v>837</v>
      </c>
      <c r="W400" s="902" t="s">
        <v>838</v>
      </c>
      <c r="X400" s="364"/>
      <c r="Y400" s="363"/>
      <c r="Z400" s="363"/>
      <c r="AA400"/>
      <c r="AB400"/>
      <c r="AC400"/>
      <c r="AD400"/>
    </row>
    <row r="401" spans="17:30" ht="12.75" customHeight="1">
      <c r="Q401" s="364"/>
      <c r="R401" s="892"/>
      <c r="S401" s="897"/>
      <c r="T401" s="901"/>
      <c r="U401" s="901"/>
      <c r="V401" s="901"/>
      <c r="W401" s="903"/>
      <c r="X401" s="364"/>
      <c r="Y401" s="363"/>
      <c r="Z401" s="363"/>
      <c r="AA401"/>
      <c r="AB401"/>
      <c r="AC401"/>
      <c r="AD401"/>
    </row>
    <row r="402" spans="17:30" ht="12.75" customHeight="1">
      <c r="Q402" s="364"/>
      <c r="R402" s="892"/>
      <c r="S402" s="897"/>
      <c r="T402" s="702">
        <f>T389-PPE!$I$15</f>
        <v>92.119600000000005</v>
      </c>
      <c r="U402" s="560">
        <f>U396</f>
        <v>1.7391304347826084</v>
      </c>
      <c r="V402" s="690">
        <f>IF(T402&gt;0,W402*U402," ")</f>
        <v>111.52173913043477</v>
      </c>
      <c r="W402" s="691">
        <f>IF(T402&gt;0,(VLOOKUP(T402,'Lookup Ready-reckoner'!$B$5:$E$1207,4))," ")</f>
        <v>64.125</v>
      </c>
      <c r="X402" s="364"/>
      <c r="Y402" s="363"/>
      <c r="Z402" s="363"/>
      <c r="AA402"/>
      <c r="AB402"/>
      <c r="AC402"/>
      <c r="AD402"/>
    </row>
    <row r="403" spans="17:30" ht="12.75" customHeight="1">
      <c r="Q403" s="364"/>
      <c r="R403" s="898"/>
      <c r="S403" s="899"/>
      <c r="T403" s="447"/>
      <c r="U403" s="560"/>
      <c r="V403" s="690" t="str">
        <f>IF(T403&gt;0,W403*U403," ")</f>
        <v xml:space="preserve"> </v>
      </c>
      <c r="W403" s="691" t="str">
        <f>IF(T403&gt;0,(VLOOKUP(T403,'Lookup Ready-reckoner'!$B$5:$E$1007,4))," ")</f>
        <v xml:space="preserve"> </v>
      </c>
      <c r="X403" s="364"/>
      <c r="Y403" s="363"/>
      <c r="Z403" s="363"/>
      <c r="AA403"/>
      <c r="AB403"/>
      <c r="AC403"/>
      <c r="AD403"/>
    </row>
    <row r="404" spans="17:30" ht="12.75" customHeight="1" thickBot="1">
      <c r="Q404" s="364"/>
      <c r="R404" s="692" t="s">
        <v>839</v>
      </c>
      <c r="S404" s="693"/>
      <c r="T404" s="693"/>
      <c r="U404" s="703">
        <f>IF(T402&gt;0,(VLOOKUP(V404,'Lookup Ready-reckoner'!$L$5:$M$1207,2))," ")</f>
        <v>85.45</v>
      </c>
      <c r="V404" s="695">
        <f>IF(U402&gt;0,(SUM(V402:V403))," ")</f>
        <v>111.52173913043477</v>
      </c>
      <c r="W404" s="696"/>
      <c r="X404" s="364"/>
      <c r="Y404" s="363"/>
      <c r="Z404" s="363"/>
      <c r="AA404"/>
      <c r="AB404"/>
      <c r="AC404"/>
      <c r="AD404"/>
    </row>
    <row r="405" spans="17:30" ht="12.75" customHeight="1">
      <c r="Q405" s="364"/>
      <c r="R405" s="363"/>
      <c r="S405" s="363"/>
      <c r="T405" s="363"/>
      <c r="U405" s="363"/>
      <c r="V405" s="363"/>
      <c r="W405" s="363"/>
      <c r="X405" s="364"/>
      <c r="Y405" s="364"/>
      <c r="Z405" s="364"/>
      <c r="AA405"/>
      <c r="AB405"/>
      <c r="AC405"/>
      <c r="AD405"/>
    </row>
    <row r="406" spans="17:30" ht="12.75" customHeight="1">
      <c r="Q406" s="364"/>
      <c r="R406" s="909" t="str">
        <f>V306</f>
        <v xml:space="preserve">Hilti TE MD20 </v>
      </c>
      <c r="S406" s="909"/>
      <c r="T406" s="909"/>
      <c r="U406" s="909"/>
      <c r="V406" s="909"/>
      <c r="W406" s="909"/>
      <c r="X406" s="364"/>
      <c r="Y406" s="364"/>
      <c r="Z406" s="364"/>
      <c r="AA406"/>
      <c r="AB406"/>
      <c r="AC406"/>
      <c r="AD406"/>
    </row>
    <row r="407" spans="17:30" ht="12.75" customHeight="1" thickBot="1">
      <c r="Q407" s="364"/>
      <c r="R407" s="910" t="s">
        <v>205</v>
      </c>
      <c r="S407" s="911"/>
      <c r="T407" s="911"/>
      <c r="U407" s="911"/>
      <c r="V407" s="911"/>
      <c r="W407" s="912"/>
      <c r="X407" s="364"/>
      <c r="Y407" s="364"/>
      <c r="Z407" s="364"/>
      <c r="AA407"/>
      <c r="AB407"/>
      <c r="AC407"/>
      <c r="AD407"/>
    </row>
    <row r="408" spans="17:30" ht="12.75" customHeight="1" thickBot="1">
      <c r="Q408" s="364"/>
      <c r="R408" s="686" t="s">
        <v>59</v>
      </c>
      <c r="S408" s="577"/>
      <c r="T408" s="687"/>
      <c r="U408" s="687"/>
      <c r="V408" s="687"/>
      <c r="W408" s="688"/>
      <c r="X408" s="364"/>
      <c r="Y408" s="364"/>
      <c r="Z408" s="364"/>
      <c r="AA408"/>
      <c r="AB408"/>
      <c r="AC408"/>
      <c r="AD408"/>
    </row>
    <row r="409" spans="17:30" ht="12.75" customHeight="1">
      <c r="Q409" s="364"/>
      <c r="R409" s="895" t="s">
        <v>845</v>
      </c>
      <c r="S409" s="896"/>
      <c r="T409" s="900" t="s">
        <v>835</v>
      </c>
      <c r="U409" s="900" t="s">
        <v>836</v>
      </c>
      <c r="V409" s="900" t="s">
        <v>837</v>
      </c>
      <c r="W409" s="902" t="s">
        <v>838</v>
      </c>
      <c r="X409" s="364"/>
      <c r="Y409" s="364"/>
      <c r="Z409" s="364"/>
      <c r="AA409"/>
      <c r="AB409"/>
      <c r="AC409"/>
      <c r="AD409"/>
    </row>
    <row r="410" spans="17:30" ht="12.75" customHeight="1">
      <c r="Q410" s="364"/>
      <c r="R410" s="892"/>
      <c r="S410" s="897"/>
      <c r="T410" s="904"/>
      <c r="U410" s="904"/>
      <c r="V410" s="904"/>
      <c r="W410" s="905"/>
      <c r="X410" s="364"/>
      <c r="Y410" s="364"/>
      <c r="Z410" s="364"/>
      <c r="AA410"/>
      <c r="AB410"/>
      <c r="AC410"/>
      <c r="AD410"/>
    </row>
    <row r="411" spans="17:30" ht="12.75" customHeight="1">
      <c r="Q411" s="364"/>
      <c r="R411" s="892"/>
      <c r="S411" s="897"/>
      <c r="T411" s="901"/>
      <c r="U411" s="901"/>
      <c r="V411" s="901"/>
      <c r="W411" s="903"/>
      <c r="X411" s="364"/>
      <c r="Y411" s="364"/>
      <c r="Z411" s="364"/>
      <c r="AA411"/>
      <c r="AB411"/>
      <c r="AC411"/>
      <c r="AD411"/>
    </row>
    <row r="412" spans="17:30" ht="12.75" customHeight="1">
      <c r="Q412" s="364"/>
      <c r="R412" s="892"/>
      <c r="S412" s="897"/>
      <c r="T412" s="704">
        <f>U69</f>
        <v>102</v>
      </c>
      <c r="U412" s="560">
        <f>U62</f>
        <v>2.6666666666666665</v>
      </c>
      <c r="V412" s="690">
        <f>IF(T412&gt;0,W412*U412," ")</f>
        <v>1666.6666666666665</v>
      </c>
      <c r="W412" s="691">
        <f>IF(T412&gt;0,(VLOOKUP(T412,'Lookup Ready-reckoner'!$B$5:$E$1207,4))," ")</f>
        <v>625</v>
      </c>
      <c r="X412" s="364"/>
      <c r="Y412" s="364"/>
      <c r="Z412" s="364"/>
      <c r="AA412"/>
      <c r="AB412"/>
      <c r="AC412"/>
      <c r="AD412"/>
    </row>
    <row r="413" spans="17:30" ht="12.75" customHeight="1">
      <c r="Q413" s="364"/>
      <c r="R413" s="898"/>
      <c r="S413" s="899"/>
      <c r="T413" s="447"/>
      <c r="U413" s="560"/>
      <c r="V413" s="690" t="str">
        <f>IF(T413&gt;0,W413*U413," ")</f>
        <v xml:space="preserve"> </v>
      </c>
      <c r="W413" s="691" t="str">
        <f>IF(T413&gt;0,(VLOOKUP(T413,'Lookup Ready-reckoner'!$B$5:$E$1007,4))," ")</f>
        <v xml:space="preserve"> </v>
      </c>
      <c r="X413" s="364"/>
      <c r="Y413" s="364"/>
      <c r="Z413" s="364"/>
      <c r="AA413"/>
      <c r="AB413"/>
      <c r="AC413"/>
      <c r="AD413"/>
    </row>
    <row r="414" spans="17:30" ht="12.75" customHeight="1" thickBot="1">
      <c r="Q414" s="364"/>
      <c r="R414" s="692" t="s">
        <v>839</v>
      </c>
      <c r="S414" s="693"/>
      <c r="T414" s="693"/>
      <c r="U414" s="705">
        <f>IF(T412&gt;0,(VLOOKUP(V414,'Lookup Ready-reckoner'!$L$5:$M$1207,2))," ")</f>
        <v>97.15</v>
      </c>
      <c r="V414" s="695">
        <f>IF(U412&gt;0,(SUM(V412:V413))," ")</f>
        <v>1666.6666666666665</v>
      </c>
      <c r="W414" s="696"/>
      <c r="X414" s="364"/>
      <c r="Y414" s="364"/>
      <c r="Z414" s="364"/>
      <c r="AA414"/>
      <c r="AB414"/>
      <c r="AC414"/>
      <c r="AD414"/>
    </row>
    <row r="415" spans="17:30" ht="12.75" customHeight="1" thickBot="1">
      <c r="Q415" s="364"/>
      <c r="R415" s="906"/>
      <c r="S415" s="907"/>
      <c r="T415" s="907"/>
      <c r="U415" s="907"/>
      <c r="V415" s="907"/>
      <c r="W415" s="908"/>
      <c r="X415" s="364"/>
      <c r="Y415" s="364"/>
      <c r="Z415" s="364"/>
      <c r="AA415"/>
      <c r="AB415"/>
      <c r="AC415"/>
      <c r="AD415"/>
    </row>
    <row r="416" spans="17:30" ht="12.75" customHeight="1">
      <c r="Q416" s="364"/>
      <c r="R416" s="895" t="s">
        <v>886</v>
      </c>
      <c r="S416" s="896"/>
      <c r="T416" s="900" t="s">
        <v>835</v>
      </c>
      <c r="U416" s="900" t="s">
        <v>836</v>
      </c>
      <c r="V416" s="900" t="s">
        <v>837</v>
      </c>
      <c r="W416" s="902" t="s">
        <v>838</v>
      </c>
      <c r="X416" s="364"/>
      <c r="Y416" s="364"/>
      <c r="Z416" s="364"/>
      <c r="AA416"/>
      <c r="AB416"/>
      <c r="AC416"/>
      <c r="AD416"/>
    </row>
    <row r="417" spans="17:30" ht="12.75" customHeight="1">
      <c r="Q417" s="364"/>
      <c r="R417" s="892"/>
      <c r="S417" s="897"/>
      <c r="T417" s="901"/>
      <c r="U417" s="901"/>
      <c r="V417" s="901"/>
      <c r="W417" s="903"/>
      <c r="X417" s="364"/>
      <c r="Y417" s="364"/>
      <c r="Z417" s="364"/>
      <c r="AA417"/>
      <c r="AB417"/>
      <c r="AC417"/>
      <c r="AD417"/>
    </row>
    <row r="418" spans="17:30" ht="12.75" customHeight="1">
      <c r="Q418" s="364"/>
      <c r="R418" s="892"/>
      <c r="S418" s="897"/>
      <c r="T418" s="704">
        <f>T412*(1-0.0178*2)</f>
        <v>98.368800000000007</v>
      </c>
      <c r="U418" s="560">
        <f>U412</f>
        <v>2.6666666666666665</v>
      </c>
      <c r="V418" s="690">
        <f>IF(T418&gt;0,W418*U418," ")</f>
        <v>725</v>
      </c>
      <c r="W418" s="691">
        <f>IF(T418&gt;0,(VLOOKUP(T418,'Lookup Ready-reckoner'!$B$5:$E$1207,4))," ")</f>
        <v>271.875</v>
      </c>
      <c r="X418" s="364"/>
      <c r="Y418" s="364"/>
      <c r="Z418" s="364"/>
      <c r="AA418"/>
      <c r="AB418"/>
      <c r="AC418"/>
      <c r="AD418"/>
    </row>
    <row r="419" spans="17:30" ht="12.75" customHeight="1">
      <c r="Q419" s="364"/>
      <c r="R419" s="898"/>
      <c r="S419" s="899"/>
      <c r="T419" s="447"/>
      <c r="U419" s="560"/>
      <c r="V419" s="690" t="str">
        <f>IF(T419&gt;0,W419*U419," ")</f>
        <v xml:space="preserve"> </v>
      </c>
      <c r="W419" s="691" t="str">
        <f>IF(T419&gt;0,(VLOOKUP(T419,'Lookup Ready-reckoner'!$B$5:$E$1007,4))," ")</f>
        <v xml:space="preserve"> </v>
      </c>
      <c r="X419" s="364"/>
      <c r="Y419" s="364"/>
      <c r="Z419" s="364"/>
      <c r="AA419"/>
      <c r="AB419"/>
      <c r="AC419"/>
      <c r="AD419"/>
    </row>
    <row r="420" spans="17:30" ht="12.75" customHeight="1" thickBot="1">
      <c r="Q420" s="364"/>
      <c r="R420" s="692" t="s">
        <v>839</v>
      </c>
      <c r="S420" s="693"/>
      <c r="T420" s="693"/>
      <c r="U420" s="705">
        <f>IF(T418&gt;0,(VLOOKUP(V420,'Lookup Ready-reckoner'!$L$5:$M$1207,2))," ")</f>
        <v>93.55</v>
      </c>
      <c r="V420" s="695">
        <f>IF(U418&gt;0,(SUM(V418:V419))," ")</f>
        <v>725</v>
      </c>
      <c r="W420" s="696"/>
      <c r="X420" s="364"/>
      <c r="Y420" s="364"/>
      <c r="Z420" s="364"/>
      <c r="AA420"/>
      <c r="AB420"/>
      <c r="AC420"/>
      <c r="AD420"/>
    </row>
    <row r="421" spans="17:30" ht="12.75" customHeight="1">
      <c r="Q421" s="364"/>
      <c r="R421" s="697"/>
      <c r="S421" s="687"/>
      <c r="T421" s="687"/>
      <c r="U421" s="372"/>
      <c r="V421" s="374"/>
      <c r="W421" s="688"/>
      <c r="X421" s="364"/>
      <c r="Y421" s="364"/>
      <c r="Z421" s="364"/>
      <c r="AA421"/>
      <c r="AB421"/>
      <c r="AC421"/>
      <c r="AD421"/>
    </row>
    <row r="422" spans="17:30" ht="12.75" customHeight="1" thickBot="1">
      <c r="Q422" s="364"/>
      <c r="R422" s="686" t="s">
        <v>60</v>
      </c>
      <c r="S422" s="577"/>
      <c r="T422" s="577"/>
      <c r="U422" s="577"/>
      <c r="V422" s="577"/>
      <c r="W422" s="698"/>
      <c r="X422" s="364"/>
      <c r="Y422" s="364"/>
      <c r="Z422" s="364"/>
      <c r="AA422"/>
      <c r="AB422"/>
      <c r="AC422"/>
      <c r="AD422"/>
    </row>
    <row r="423" spans="17:30" ht="12.75" customHeight="1">
      <c r="Q423" s="364"/>
      <c r="R423" s="895" t="s">
        <v>845</v>
      </c>
      <c r="S423" s="896"/>
      <c r="T423" s="900" t="s">
        <v>835</v>
      </c>
      <c r="U423" s="900" t="s">
        <v>836</v>
      </c>
      <c r="V423" s="900" t="s">
        <v>837</v>
      </c>
      <c r="W423" s="902" t="s">
        <v>838</v>
      </c>
      <c r="X423" s="364"/>
      <c r="Y423" s="364"/>
      <c r="Z423" s="364"/>
      <c r="AA423"/>
      <c r="AB423"/>
      <c r="AC423"/>
      <c r="AD423"/>
    </row>
    <row r="424" spans="17:30" ht="12.75" customHeight="1">
      <c r="Q424" s="364"/>
      <c r="R424" s="892"/>
      <c r="S424" s="897"/>
      <c r="T424" s="901"/>
      <c r="U424" s="901"/>
      <c r="V424" s="901"/>
      <c r="W424" s="903"/>
      <c r="X424" s="364"/>
      <c r="Y424" s="364"/>
      <c r="Z424" s="364"/>
      <c r="AA424"/>
      <c r="AB424"/>
      <c r="AC424"/>
      <c r="AD424"/>
    </row>
    <row r="425" spans="17:30" ht="12.75" customHeight="1">
      <c r="Q425" s="364"/>
      <c r="R425" s="892"/>
      <c r="S425" s="897"/>
      <c r="T425" s="704">
        <f>T412-PPE!$I$15</f>
        <v>89</v>
      </c>
      <c r="U425" s="560">
        <f>U418</f>
        <v>2.6666666666666665</v>
      </c>
      <c r="V425" s="690">
        <f>IF(T425&gt;0,W425*U425," ")</f>
        <v>83.333333333333329</v>
      </c>
      <c r="W425" s="691">
        <f>IF(T425&gt;0,(VLOOKUP(T425,'Lookup Ready-reckoner'!$B$5:$E$1207,4))," ")</f>
        <v>31.25</v>
      </c>
      <c r="X425" s="364"/>
      <c r="Y425" s="364"/>
      <c r="Z425" s="364"/>
      <c r="AA425"/>
      <c r="AB425"/>
      <c r="AC425"/>
      <c r="AD425"/>
    </row>
    <row r="426" spans="17:30" ht="12.75" customHeight="1">
      <c r="Q426" s="364"/>
      <c r="R426" s="898"/>
      <c r="S426" s="899"/>
      <c r="T426" s="447"/>
      <c r="U426" s="560"/>
      <c r="V426" s="690" t="str">
        <f>IF(T426&gt;0,W426*U426," ")</f>
        <v xml:space="preserve"> </v>
      </c>
      <c r="W426" s="691" t="str">
        <f>IF(T426&gt;0,(VLOOKUP(T426,'Lookup Ready-reckoner'!$B$5:$E$1007,4))," ")</f>
        <v xml:space="preserve"> </v>
      </c>
      <c r="X426" s="364"/>
      <c r="Y426" s="364"/>
      <c r="Z426" s="364"/>
      <c r="AA426"/>
      <c r="AB426"/>
      <c r="AC426"/>
      <c r="AD426"/>
    </row>
    <row r="427" spans="17:30" ht="12.75" customHeight="1" thickBot="1">
      <c r="Q427" s="364"/>
      <c r="R427" s="692" t="s">
        <v>839</v>
      </c>
      <c r="S427" s="693"/>
      <c r="T427" s="693"/>
      <c r="U427" s="705">
        <f>IF(T425&gt;0,(VLOOKUP(V427,'Lookup Ready-reckoner'!$L$5:$M$1207,2))," ")</f>
        <v>84.15</v>
      </c>
      <c r="V427" s="695">
        <f>IF(U425&gt;0,(SUM(V425:V426))," ")</f>
        <v>83.333333333333329</v>
      </c>
      <c r="W427" s="696"/>
      <c r="X427" s="364"/>
      <c r="Y427" s="364"/>
      <c r="Z427" s="364"/>
      <c r="AA427"/>
      <c r="AB427"/>
      <c r="AC427"/>
      <c r="AD427"/>
    </row>
    <row r="428" spans="17:30" ht="12.75" customHeight="1" thickBot="1">
      <c r="Q428" s="364"/>
      <c r="R428" s="892"/>
      <c r="S428" s="893"/>
      <c r="T428" s="893"/>
      <c r="U428" s="893"/>
      <c r="V428" s="893"/>
      <c r="W428" s="894"/>
      <c r="X428" s="364"/>
      <c r="Y428" s="364"/>
      <c r="Z428" s="364"/>
      <c r="AA428"/>
      <c r="AB428"/>
      <c r="AC428"/>
      <c r="AD428"/>
    </row>
    <row r="429" spans="17:30" ht="12.75" customHeight="1">
      <c r="Q429" s="364"/>
      <c r="R429" s="895" t="s">
        <v>886</v>
      </c>
      <c r="S429" s="896"/>
      <c r="T429" s="900" t="s">
        <v>835</v>
      </c>
      <c r="U429" s="900" t="s">
        <v>836</v>
      </c>
      <c r="V429" s="900" t="s">
        <v>837</v>
      </c>
      <c r="W429" s="902" t="s">
        <v>838</v>
      </c>
      <c r="X429" s="364"/>
      <c r="Y429" s="364"/>
      <c r="Z429" s="364"/>
      <c r="AA429"/>
      <c r="AB429"/>
      <c r="AC429"/>
      <c r="AD429"/>
    </row>
    <row r="430" spans="17:30" ht="12.75" customHeight="1">
      <c r="Q430" s="364"/>
      <c r="R430" s="892"/>
      <c r="S430" s="897"/>
      <c r="T430" s="901"/>
      <c r="U430" s="901"/>
      <c r="V430" s="901"/>
      <c r="W430" s="903"/>
      <c r="X430" s="364"/>
      <c r="Y430" s="364"/>
      <c r="Z430" s="364"/>
      <c r="AA430"/>
      <c r="AB430"/>
      <c r="AC430"/>
      <c r="AD430"/>
    </row>
    <row r="431" spans="17:30" ht="12.75" customHeight="1">
      <c r="Q431" s="364"/>
      <c r="R431" s="892"/>
      <c r="S431" s="897"/>
      <c r="T431" s="704">
        <f>T418-PPE!$I$15</f>
        <v>85.368800000000007</v>
      </c>
      <c r="U431" s="560">
        <f>U425</f>
        <v>2.6666666666666665</v>
      </c>
      <c r="V431" s="690">
        <f>IF(T431&gt;0,W431*U431," ")</f>
        <v>36.25</v>
      </c>
      <c r="W431" s="691">
        <f>IF(T431&gt;0,(VLOOKUP(T431,'Lookup Ready-reckoner'!$B$5:$E$1207,4))," ")</f>
        <v>13.59375</v>
      </c>
      <c r="X431" s="364"/>
      <c r="Y431" s="364"/>
      <c r="Z431" s="364"/>
      <c r="AA431"/>
      <c r="AB431"/>
      <c r="AC431"/>
      <c r="AD431"/>
    </row>
    <row r="432" spans="17:30" ht="12.75" customHeight="1">
      <c r="Q432" s="364"/>
      <c r="R432" s="898"/>
      <c r="S432" s="899"/>
      <c r="T432" s="447"/>
      <c r="U432" s="560"/>
      <c r="V432" s="690" t="str">
        <f>IF(T432&gt;0,W432*U432," ")</f>
        <v xml:space="preserve"> </v>
      </c>
      <c r="W432" s="691" t="str">
        <f>IF(T432&gt;0,(VLOOKUP(T432,'Lookup Ready-reckoner'!$B$5:$E$1007,4))," ")</f>
        <v xml:space="preserve"> </v>
      </c>
      <c r="X432" s="364"/>
      <c r="Y432" s="364"/>
      <c r="Z432" s="364"/>
      <c r="AA432"/>
      <c r="AB432"/>
      <c r="AC432"/>
      <c r="AD432"/>
    </row>
    <row r="433" spans="17:30" ht="12.75" customHeight="1" thickBot="1">
      <c r="Q433" s="364"/>
      <c r="R433" s="692" t="s">
        <v>839</v>
      </c>
      <c r="S433" s="693"/>
      <c r="T433" s="693"/>
      <c r="U433" s="705">
        <f>IF(T431&gt;0,(VLOOKUP(V433,'Lookup Ready-reckoner'!$L$5:$M$1207,2))," ")</f>
        <v>80.5</v>
      </c>
      <c r="V433" s="695">
        <f>IF(U431&gt;0,(SUM(V431:V432))," ")</f>
        <v>36.25</v>
      </c>
      <c r="W433" s="696"/>
      <c r="X433" s="364"/>
      <c r="Y433" s="364"/>
      <c r="Z433" s="364"/>
      <c r="AA433"/>
      <c r="AB433"/>
      <c r="AC433"/>
      <c r="AD433"/>
    </row>
    <row r="434" spans="17:30" ht="12.75" customHeight="1" thickBot="1">
      <c r="Q434" s="364"/>
      <c r="R434" s="364"/>
      <c r="S434" s="364"/>
      <c r="T434" s="364"/>
      <c r="U434" s="364"/>
      <c r="V434" s="364"/>
      <c r="W434" s="364"/>
      <c r="X434" s="364"/>
      <c r="Y434" s="364"/>
      <c r="Z434" s="364"/>
      <c r="AA434"/>
      <c r="AB434"/>
      <c r="AC434"/>
      <c r="AD434"/>
    </row>
    <row r="435" spans="17:30" ht="12.75" customHeight="1" thickTop="1">
      <c r="Q435" s="364"/>
      <c r="R435" s="916" t="s">
        <v>429</v>
      </c>
      <c r="S435" s="917"/>
      <c r="T435" s="917"/>
      <c r="U435" s="917"/>
      <c r="V435" s="917"/>
      <c r="W435" s="918"/>
      <c r="X435" s="364"/>
      <c r="Y435" s="364"/>
      <c r="Z435" s="364"/>
      <c r="AA435"/>
      <c r="AB435"/>
      <c r="AC435"/>
      <c r="AD435"/>
    </row>
    <row r="436" spans="17:30" ht="12.75" customHeight="1">
      <c r="Q436" s="364"/>
      <c r="R436" s="919"/>
      <c r="S436" s="920"/>
      <c r="T436" s="920"/>
      <c r="U436" s="920"/>
      <c r="V436" s="920"/>
      <c r="W436" s="921"/>
      <c r="X436" s="364"/>
      <c r="Y436" s="364"/>
      <c r="Z436" s="364"/>
      <c r="AA436"/>
      <c r="AB436"/>
      <c r="AC436"/>
      <c r="AD436"/>
    </row>
    <row r="437" spans="17:30" ht="12.75" customHeight="1" thickBot="1">
      <c r="Q437" s="364"/>
      <c r="R437" s="922"/>
      <c r="S437" s="923"/>
      <c r="T437" s="923"/>
      <c r="U437" s="923"/>
      <c r="V437" s="923"/>
      <c r="W437" s="924"/>
      <c r="X437" s="364"/>
      <c r="Y437" s="364"/>
      <c r="Z437" s="364"/>
      <c r="AA437"/>
      <c r="AB437"/>
      <c r="AC437"/>
      <c r="AD437"/>
    </row>
    <row r="438" spans="17:30" ht="12.75" customHeight="1" thickTop="1">
      <c r="Q438" s="364"/>
      <c r="R438" s="925" t="str">
        <f>R319</f>
        <v>Seco S215</v>
      </c>
      <c r="S438" s="925"/>
      <c r="T438" s="925"/>
      <c r="U438" s="925"/>
      <c r="V438" s="925"/>
      <c r="W438" s="925"/>
      <c r="X438" s="364"/>
      <c r="Y438" s="364"/>
      <c r="Z438" s="364"/>
      <c r="AA438"/>
      <c r="AB438"/>
      <c r="AC438"/>
      <c r="AD438"/>
    </row>
    <row r="439" spans="17:30" ht="12.75" customHeight="1" thickBot="1">
      <c r="Q439" s="364"/>
      <c r="R439" s="910" t="s">
        <v>205</v>
      </c>
      <c r="S439" s="911"/>
      <c r="T439" s="911"/>
      <c r="U439" s="911"/>
      <c r="V439" s="911"/>
      <c r="W439" s="912"/>
      <c r="X439" s="364"/>
      <c r="Y439" s="364"/>
      <c r="Z439" s="364"/>
      <c r="AA439"/>
      <c r="AB439"/>
      <c r="AC439"/>
      <c r="AD439"/>
    </row>
    <row r="440" spans="17:30" ht="12.75" customHeight="1" thickBot="1">
      <c r="Q440" s="364"/>
      <c r="R440" s="686" t="s">
        <v>59</v>
      </c>
      <c r="S440" s="577"/>
      <c r="T440" s="687"/>
      <c r="U440" s="687"/>
      <c r="V440" s="687"/>
      <c r="W440" s="688"/>
      <c r="X440" s="364"/>
      <c r="Y440" s="364"/>
      <c r="Z440" s="364"/>
      <c r="AA440"/>
      <c r="AB440"/>
      <c r="AC440"/>
      <c r="AD440"/>
    </row>
    <row r="441" spans="17:30" ht="12.75" customHeight="1">
      <c r="Q441" s="364"/>
      <c r="R441" s="895" t="s">
        <v>845</v>
      </c>
      <c r="S441" s="896"/>
      <c r="T441" s="900" t="s">
        <v>835</v>
      </c>
      <c r="U441" s="900" t="s">
        <v>836</v>
      </c>
      <c r="V441" s="900" t="s">
        <v>837</v>
      </c>
      <c r="W441" s="902" t="s">
        <v>838</v>
      </c>
      <c r="X441" s="364"/>
      <c r="Y441" s="364"/>
      <c r="Z441" s="364"/>
      <c r="AA441"/>
      <c r="AB441"/>
      <c r="AC441"/>
      <c r="AD441"/>
    </row>
    <row r="442" spans="17:30" ht="12.75" customHeight="1">
      <c r="Q442" s="364"/>
      <c r="R442" s="892"/>
      <c r="S442" s="897"/>
      <c r="T442" s="904"/>
      <c r="U442" s="904"/>
      <c r="V442" s="904"/>
      <c r="W442" s="905"/>
      <c r="X442" s="364"/>
      <c r="Y442" s="364"/>
      <c r="Z442" s="364"/>
      <c r="AA442"/>
      <c r="AB442"/>
      <c r="AC442"/>
      <c r="AD442"/>
    </row>
    <row r="443" spans="17:30" ht="12.75" customHeight="1">
      <c r="Q443" s="364"/>
      <c r="R443" s="892"/>
      <c r="S443" s="897"/>
      <c r="T443" s="901"/>
      <c r="U443" s="901"/>
      <c r="V443" s="901"/>
      <c r="W443" s="903"/>
      <c r="X443" s="364"/>
      <c r="Y443" s="364"/>
      <c r="Z443" s="364"/>
      <c r="AA443"/>
      <c r="AB443"/>
      <c r="AC443"/>
      <c r="AD443"/>
    </row>
    <row r="444" spans="17:30" ht="12.75" customHeight="1">
      <c r="Q444" s="364"/>
      <c r="R444" s="892"/>
      <c r="S444" s="897"/>
      <c r="T444" s="689">
        <f>X76</f>
        <v>122.02059991327964</v>
      </c>
      <c r="U444" s="560">
        <f>X62</f>
        <v>1.4285714285714284</v>
      </c>
      <c r="V444" s="690">
        <f>IF(T444&gt;0,W444*U444," ")</f>
        <v>79999.999999999985</v>
      </c>
      <c r="W444" s="691">
        <f>IF(T444&gt;0,(VLOOKUP(T444,'Lookup Ready-reckoner'!$B$5:$E$1207,4))," ")</f>
        <v>56000</v>
      </c>
      <c r="X444" s="364"/>
      <c r="Y444" s="364"/>
      <c r="Z444" s="364"/>
      <c r="AA444"/>
      <c r="AB444"/>
      <c r="AC444"/>
      <c r="AD444"/>
    </row>
    <row r="445" spans="17:30" ht="12.75" customHeight="1">
      <c r="Q445" s="364"/>
      <c r="R445" s="898"/>
      <c r="S445" s="899"/>
      <c r="T445" s="447"/>
      <c r="U445" s="560"/>
      <c r="V445" s="690" t="str">
        <f>IF(T445&gt;0,W445*U445," ")</f>
        <v xml:space="preserve"> </v>
      </c>
      <c r="W445" s="691" t="str">
        <f>IF(T445&gt;0,(VLOOKUP(T445,'Lookup Ready-reckoner'!$B$5:$E$1007,4))," ")</f>
        <v xml:space="preserve"> </v>
      </c>
      <c r="X445" s="364"/>
      <c r="Y445" s="364"/>
      <c r="Z445" s="364"/>
      <c r="AA445"/>
      <c r="AB445"/>
      <c r="AC445"/>
      <c r="AD445"/>
    </row>
    <row r="446" spans="17:30" ht="12.75" customHeight="1" thickBot="1">
      <c r="Q446" s="364"/>
      <c r="R446" s="692" t="s">
        <v>839</v>
      </c>
      <c r="S446" s="693"/>
      <c r="T446" s="693"/>
      <c r="U446" s="694">
        <f>IF(T444&gt;0,(VLOOKUP(V446,'Lookup Ready-reckoner'!$L$5:$M$1207,2))," ")</f>
        <v>113.95</v>
      </c>
      <c r="V446" s="695">
        <f>IF(U444&gt;0,(SUM(V444:V445))," ")</f>
        <v>79999.999999999985</v>
      </c>
      <c r="W446" s="696"/>
      <c r="X446" s="364"/>
      <c r="Y446" s="364"/>
      <c r="Z446" s="364"/>
      <c r="AA446"/>
      <c r="AB446"/>
      <c r="AC446"/>
      <c r="AD446"/>
    </row>
    <row r="447" spans="17:30" ht="12.75" customHeight="1" thickBot="1">
      <c r="Q447" s="364"/>
      <c r="R447" s="892"/>
      <c r="S447" s="893"/>
      <c r="T447" s="893"/>
      <c r="U447" s="893"/>
      <c r="V447" s="893"/>
      <c r="W447" s="894"/>
      <c r="X447" s="364"/>
      <c r="Y447" s="364"/>
      <c r="Z447" s="364"/>
      <c r="AA447"/>
      <c r="AB447"/>
      <c r="AC447"/>
      <c r="AD447"/>
    </row>
    <row r="448" spans="17:30" ht="12.75" customHeight="1">
      <c r="Q448" s="364"/>
      <c r="R448" s="895" t="s">
        <v>886</v>
      </c>
      <c r="S448" s="896"/>
      <c r="T448" s="900" t="s">
        <v>835</v>
      </c>
      <c r="U448" s="900" t="s">
        <v>836</v>
      </c>
      <c r="V448" s="900" t="s">
        <v>837</v>
      </c>
      <c r="W448" s="902" t="s">
        <v>838</v>
      </c>
      <c r="X448" s="364"/>
      <c r="Y448" s="364"/>
      <c r="Z448" s="364"/>
      <c r="AA448"/>
      <c r="AB448"/>
      <c r="AC448"/>
      <c r="AD448"/>
    </row>
    <row r="449" spans="17:30" ht="12.75" customHeight="1">
      <c r="Q449" s="364"/>
      <c r="R449" s="892"/>
      <c r="S449" s="897"/>
      <c r="T449" s="901"/>
      <c r="U449" s="901"/>
      <c r="V449" s="901"/>
      <c r="W449" s="903"/>
      <c r="X449" s="364"/>
      <c r="Y449" s="364"/>
      <c r="Z449" s="364"/>
      <c r="AA449"/>
      <c r="AB449"/>
      <c r="AC449"/>
      <c r="AD449"/>
    </row>
    <row r="450" spans="17:30" ht="12.75" customHeight="1">
      <c r="Q450" s="364"/>
      <c r="R450" s="892"/>
      <c r="S450" s="897"/>
      <c r="T450" s="689">
        <f>T444*(1-0.0178*2)</f>
        <v>117.67666655636688</v>
      </c>
      <c r="U450" s="560">
        <f>U444</f>
        <v>1.4285714285714284</v>
      </c>
      <c r="V450" s="690">
        <f>IF(T450&gt;0,W450*U450," ")</f>
        <v>33771.428571428565</v>
      </c>
      <c r="W450" s="691">
        <f>IF(T450&gt;0,(VLOOKUP(T450,'Lookup Ready-reckoner'!$B$5:$E$1207,4))," ")</f>
        <v>23640</v>
      </c>
      <c r="X450" s="364"/>
      <c r="Y450" s="364"/>
      <c r="Z450" s="364"/>
      <c r="AA450"/>
      <c r="AB450"/>
      <c r="AC450"/>
      <c r="AD450"/>
    </row>
    <row r="451" spans="17:30" ht="12.75" customHeight="1">
      <c r="Q451" s="364"/>
      <c r="R451" s="898"/>
      <c r="S451" s="899"/>
      <c r="T451" s="447"/>
      <c r="U451" s="560"/>
      <c r="V451" s="690" t="str">
        <f>IF(T451&gt;0,W451*U451," ")</f>
        <v xml:space="preserve"> </v>
      </c>
      <c r="W451" s="691" t="str">
        <f>IF(T451&gt;0,(VLOOKUP(T451,'Lookup Ready-reckoner'!$B$5:$E$1007,4))," ")</f>
        <v xml:space="preserve"> </v>
      </c>
      <c r="X451" s="364"/>
      <c r="Y451" s="364"/>
      <c r="Z451" s="364"/>
      <c r="AA451"/>
      <c r="AB451"/>
      <c r="AC451"/>
      <c r="AD451"/>
    </row>
    <row r="452" spans="17:30" ht="12.75" customHeight="1" thickBot="1">
      <c r="Q452" s="364"/>
      <c r="R452" s="692" t="s">
        <v>839</v>
      </c>
      <c r="S452" s="693"/>
      <c r="T452" s="693"/>
      <c r="U452" s="694">
        <f>IF(T450&gt;0,(VLOOKUP(V452,'Lookup Ready-reckoner'!$L$5:$M$1207,2))," ")</f>
        <v>110.2</v>
      </c>
      <c r="V452" s="695">
        <f>IF(U450&gt;0,(SUM(V450:V451))," ")</f>
        <v>33771.428571428565</v>
      </c>
      <c r="W452" s="696"/>
      <c r="X452" s="364"/>
      <c r="Y452" s="364"/>
      <c r="Z452" s="364"/>
      <c r="AA452"/>
      <c r="AB452"/>
      <c r="AC452"/>
      <c r="AD452"/>
    </row>
    <row r="453" spans="17:30" ht="12.75" customHeight="1">
      <c r="Q453" s="364"/>
      <c r="R453" s="697"/>
      <c r="S453" s="687"/>
      <c r="T453" s="687"/>
      <c r="U453" s="372"/>
      <c r="V453" s="374"/>
      <c r="W453" s="688"/>
      <c r="X453" s="364"/>
      <c r="Y453" s="364"/>
      <c r="Z453" s="364"/>
      <c r="AA453"/>
      <c r="AB453"/>
      <c r="AC453"/>
      <c r="AD453"/>
    </row>
    <row r="454" spans="17:30" ht="12.75" customHeight="1" thickBot="1">
      <c r="Q454" s="364"/>
      <c r="R454" s="686" t="s">
        <v>60</v>
      </c>
      <c r="S454" s="577"/>
      <c r="T454" s="577"/>
      <c r="U454" s="577"/>
      <c r="V454" s="577"/>
      <c r="W454" s="698"/>
      <c r="X454" s="364"/>
      <c r="Y454" s="364"/>
      <c r="Z454" s="364"/>
      <c r="AA454"/>
      <c r="AB454"/>
      <c r="AC454"/>
      <c r="AD454"/>
    </row>
    <row r="455" spans="17:30" ht="12.75" customHeight="1">
      <c r="Q455" s="364"/>
      <c r="R455" s="895" t="s">
        <v>845</v>
      </c>
      <c r="S455" s="896"/>
      <c r="T455" s="900" t="s">
        <v>835</v>
      </c>
      <c r="U455" s="900" t="s">
        <v>836</v>
      </c>
      <c r="V455" s="900" t="s">
        <v>837</v>
      </c>
      <c r="W455" s="902" t="s">
        <v>838</v>
      </c>
      <c r="X455" s="364"/>
      <c r="Y455" s="364"/>
      <c r="Z455" s="364"/>
      <c r="AA455"/>
      <c r="AB455"/>
      <c r="AC455"/>
      <c r="AD455"/>
    </row>
    <row r="456" spans="17:30" ht="12.75" customHeight="1">
      <c r="Q456" s="364"/>
      <c r="R456" s="892"/>
      <c r="S456" s="897"/>
      <c r="T456" s="901"/>
      <c r="U456" s="901"/>
      <c r="V456" s="901"/>
      <c r="W456" s="903"/>
      <c r="X456" s="364"/>
      <c r="Y456" s="364"/>
      <c r="Z456" s="364"/>
      <c r="AA456"/>
      <c r="AB456"/>
      <c r="AC456"/>
      <c r="AD456"/>
    </row>
    <row r="457" spans="17:30" ht="12.75" customHeight="1">
      <c r="Q457" s="364"/>
      <c r="R457" s="892"/>
      <c r="S457" s="897"/>
      <c r="T457" s="689">
        <f>T444-PPE!$I$15</f>
        <v>109.02059991327964</v>
      </c>
      <c r="U457" s="560">
        <f>U450</f>
        <v>1.4285714285714284</v>
      </c>
      <c r="V457" s="690">
        <f>IF(T457&gt;0,W457*U457," ")</f>
        <v>4571.4285714285706</v>
      </c>
      <c r="W457" s="691">
        <f>IF(T457&gt;0,(VLOOKUP(T457,'Lookup Ready-reckoner'!$B$5:$E$1207,4))," ")</f>
        <v>3200</v>
      </c>
      <c r="X457" s="364"/>
      <c r="Y457" s="364"/>
      <c r="Z457" s="364"/>
      <c r="AA457"/>
      <c r="AB457"/>
      <c r="AC457"/>
      <c r="AD457"/>
    </row>
    <row r="458" spans="17:30" ht="12.75" customHeight="1">
      <c r="Q458" s="364"/>
      <c r="R458" s="898"/>
      <c r="S458" s="899"/>
      <c r="T458" s="447"/>
      <c r="U458" s="560"/>
      <c r="V458" s="690" t="str">
        <f>IF(T458&gt;0,W458*U458," ")</f>
        <v xml:space="preserve"> </v>
      </c>
      <c r="W458" s="691" t="str">
        <f>IF(T458&gt;0,(VLOOKUP(T458,'Lookup Ready-reckoner'!$B$5:$E$1007,4))," ")</f>
        <v xml:space="preserve"> </v>
      </c>
      <c r="X458" s="364"/>
      <c r="Y458" s="364"/>
      <c r="Z458" s="364"/>
      <c r="AA458"/>
      <c r="AB458"/>
      <c r="AC458"/>
      <c r="AD458"/>
    </row>
    <row r="459" spans="17:30" ht="12.75" customHeight="1" thickBot="1">
      <c r="Q459" s="364"/>
      <c r="R459" s="699" t="s">
        <v>839</v>
      </c>
      <c r="S459" s="693"/>
      <c r="T459" s="693"/>
      <c r="U459" s="694">
        <f>IF(T457&gt;0,(VLOOKUP(V459,'Lookup Ready-reckoner'!$L$5:$M$1207,2))," ")</f>
        <v>101.55</v>
      </c>
      <c r="V459" s="695">
        <f>IF(U457&gt;0,(SUM(V457:V458))," ")</f>
        <v>4571.4285714285706</v>
      </c>
      <c r="W459" s="696"/>
      <c r="X459" s="364"/>
      <c r="Y459" s="364"/>
      <c r="Z459" s="364"/>
      <c r="AA459"/>
      <c r="AB459"/>
      <c r="AC459"/>
      <c r="AD459"/>
    </row>
    <row r="460" spans="17:30" ht="12.75" customHeight="1" thickBot="1">
      <c r="Q460" s="364"/>
      <c r="R460" s="892"/>
      <c r="S460" s="893"/>
      <c r="T460" s="893"/>
      <c r="U460" s="893"/>
      <c r="V460" s="893"/>
      <c r="W460" s="894"/>
      <c r="X460" s="364"/>
      <c r="Y460" s="364"/>
      <c r="Z460" s="364"/>
      <c r="AA460"/>
      <c r="AB460"/>
      <c r="AC460"/>
      <c r="AD460"/>
    </row>
    <row r="461" spans="17:30" ht="12.75" customHeight="1">
      <c r="Q461" s="364"/>
      <c r="R461" s="895" t="s">
        <v>886</v>
      </c>
      <c r="S461" s="896"/>
      <c r="T461" s="900" t="s">
        <v>835</v>
      </c>
      <c r="U461" s="900" t="s">
        <v>836</v>
      </c>
      <c r="V461" s="900" t="s">
        <v>837</v>
      </c>
      <c r="W461" s="902" t="s">
        <v>838</v>
      </c>
      <c r="X461" s="364"/>
      <c r="Y461" s="364"/>
      <c r="Z461" s="364"/>
      <c r="AA461"/>
      <c r="AB461"/>
      <c r="AC461"/>
      <c r="AD461"/>
    </row>
    <row r="462" spans="17:30" ht="12.75" customHeight="1">
      <c r="Q462" s="364"/>
      <c r="R462" s="892"/>
      <c r="S462" s="897"/>
      <c r="T462" s="901"/>
      <c r="U462" s="901"/>
      <c r="V462" s="901"/>
      <c r="W462" s="903"/>
      <c r="X462" s="364"/>
      <c r="Y462" s="364"/>
      <c r="Z462" s="364"/>
      <c r="AA462"/>
      <c r="AB462"/>
      <c r="AC462"/>
      <c r="AD462"/>
    </row>
    <row r="463" spans="17:30" ht="12.75" customHeight="1">
      <c r="Q463" s="364"/>
      <c r="R463" s="892"/>
      <c r="S463" s="897"/>
      <c r="T463" s="689">
        <f>T450-PPE!$I$15</f>
        <v>104.67666655636688</v>
      </c>
      <c r="U463" s="560">
        <f>U457</f>
        <v>1.4285714285714284</v>
      </c>
      <c r="V463" s="690">
        <f>IF(T463&gt;0,W463*U463," ")</f>
        <v>1660.7142857142856</v>
      </c>
      <c r="W463" s="691">
        <f>IF(T463&gt;0,(VLOOKUP(T463,'Lookup Ready-reckoner'!$B$5:$E$1207,4))," ")</f>
        <v>1162.5</v>
      </c>
      <c r="X463" s="364"/>
      <c r="Y463" s="364"/>
      <c r="Z463" s="364"/>
      <c r="AA463"/>
      <c r="AB463"/>
      <c r="AC463"/>
      <c r="AD463"/>
    </row>
    <row r="464" spans="17:30" ht="12.75" customHeight="1">
      <c r="Q464" s="364"/>
      <c r="R464" s="898"/>
      <c r="S464" s="899"/>
      <c r="T464" s="447"/>
      <c r="U464" s="560"/>
      <c r="V464" s="690" t="str">
        <f>IF(T464&gt;0,W464*U464," ")</f>
        <v xml:space="preserve"> </v>
      </c>
      <c r="W464" s="691" t="str">
        <f>IF(T464&gt;0,(VLOOKUP(T464,'Lookup Ready-reckoner'!$B$5:$E$1007,4))," ")</f>
        <v xml:space="preserve"> </v>
      </c>
      <c r="X464" s="364"/>
      <c r="Y464" s="364"/>
      <c r="Z464" s="364"/>
      <c r="AA464"/>
      <c r="AB464"/>
      <c r="AC464"/>
      <c r="AD464"/>
    </row>
    <row r="465" spans="17:30" ht="12.75" customHeight="1" thickBot="1">
      <c r="Q465" s="364"/>
      <c r="R465" s="692" t="s">
        <v>839</v>
      </c>
      <c r="S465" s="693"/>
      <c r="T465" s="693"/>
      <c r="U465" s="694">
        <f>IF(T463&gt;0,(VLOOKUP(V465,'Lookup Ready-reckoner'!$L$5:$M$1207,2))," ")</f>
        <v>97.15</v>
      </c>
      <c r="V465" s="695">
        <f>IF(U463&gt;0,(SUM(V463:V464))," ")</f>
        <v>1660.7142857142856</v>
      </c>
      <c r="W465" s="696"/>
      <c r="X465" s="364"/>
      <c r="Y465" s="364"/>
      <c r="Z465" s="364"/>
      <c r="AA465"/>
      <c r="AB465"/>
      <c r="AC465"/>
      <c r="AD465"/>
    </row>
    <row r="466" spans="17:30" ht="12.75" customHeight="1">
      <c r="Q466" s="364"/>
      <c r="R466" s="363"/>
      <c r="S466" s="363"/>
      <c r="T466" s="363"/>
      <c r="U466" s="363"/>
      <c r="V466" s="363"/>
      <c r="W466" s="363"/>
      <c r="X466" s="364"/>
      <c r="Y466" s="364"/>
      <c r="Z466" s="364"/>
      <c r="AA466"/>
      <c r="AB466"/>
      <c r="AC466"/>
      <c r="AD466"/>
    </row>
    <row r="467" spans="17:30" ht="12.75" customHeight="1" thickBot="1">
      <c r="Q467" s="364"/>
      <c r="R467" s="915" t="str">
        <f>R348</f>
        <v>Seco S215 Muffled</v>
      </c>
      <c r="S467" s="915"/>
      <c r="T467" s="915"/>
      <c r="U467" s="915"/>
      <c r="V467" s="915"/>
      <c r="W467" s="915"/>
      <c r="X467" s="364"/>
      <c r="Y467" s="364"/>
      <c r="Z467" s="364"/>
      <c r="AA467"/>
      <c r="AB467"/>
      <c r="AC467"/>
      <c r="AD467"/>
    </row>
    <row r="468" spans="17:30" ht="12.75" customHeight="1" thickBot="1">
      <c r="Q468" s="364"/>
      <c r="R468" s="906" t="s">
        <v>205</v>
      </c>
      <c r="S468" s="907"/>
      <c r="T468" s="907"/>
      <c r="U468" s="907"/>
      <c r="V468" s="907"/>
      <c r="W468" s="908"/>
      <c r="X468" s="364"/>
      <c r="Y468" s="364"/>
      <c r="Z468" s="364"/>
      <c r="AA468"/>
      <c r="AB468"/>
      <c r="AC468"/>
      <c r="AD468"/>
    </row>
    <row r="469" spans="17:30" ht="12.75" customHeight="1" thickBot="1">
      <c r="Q469" s="364"/>
      <c r="R469" s="686" t="s">
        <v>59</v>
      </c>
      <c r="S469" s="577"/>
      <c r="T469" s="687"/>
      <c r="U469" s="687"/>
      <c r="V469" s="687"/>
      <c r="W469" s="688"/>
      <c r="X469" s="364"/>
      <c r="Y469" s="364"/>
      <c r="Z469" s="364"/>
      <c r="AA469"/>
      <c r="AB469"/>
      <c r="AC469"/>
      <c r="AD469"/>
    </row>
    <row r="470" spans="17:30" ht="12.75" customHeight="1">
      <c r="Q470" s="364"/>
      <c r="R470" s="895" t="s">
        <v>845</v>
      </c>
      <c r="S470" s="896"/>
      <c r="T470" s="900" t="s">
        <v>835</v>
      </c>
      <c r="U470" s="900" t="s">
        <v>836</v>
      </c>
      <c r="V470" s="900" t="s">
        <v>837</v>
      </c>
      <c r="W470" s="902" t="s">
        <v>838</v>
      </c>
      <c r="X470" s="364"/>
      <c r="Y470" s="364"/>
      <c r="Z470" s="364"/>
      <c r="AA470"/>
      <c r="AB470"/>
      <c r="AC470"/>
      <c r="AD470"/>
    </row>
    <row r="471" spans="17:30" ht="12.75" customHeight="1">
      <c r="Q471" s="364"/>
      <c r="R471" s="892"/>
      <c r="S471" s="897"/>
      <c r="T471" s="904"/>
      <c r="U471" s="904"/>
      <c r="V471" s="904"/>
      <c r="W471" s="905"/>
      <c r="X471" s="364"/>
      <c r="Y471" s="364"/>
      <c r="Z471" s="364"/>
      <c r="AA471"/>
      <c r="AB471"/>
      <c r="AC471"/>
      <c r="AD471"/>
    </row>
    <row r="472" spans="17:30" ht="12.75" customHeight="1">
      <c r="Q472" s="364"/>
      <c r="R472" s="892"/>
      <c r="S472" s="897"/>
      <c r="T472" s="901"/>
      <c r="U472" s="901"/>
      <c r="V472" s="901"/>
      <c r="W472" s="903"/>
      <c r="X472" s="364"/>
      <c r="Y472" s="364"/>
      <c r="Z472" s="364"/>
      <c r="AA472"/>
      <c r="AB472"/>
      <c r="AC472"/>
      <c r="AD472"/>
    </row>
    <row r="473" spans="17:30" ht="12.75" customHeight="1">
      <c r="Q473" s="364"/>
      <c r="R473" s="892"/>
      <c r="S473" s="897"/>
      <c r="T473" s="700">
        <f>V76</f>
        <v>114.02059991327963</v>
      </c>
      <c r="U473" s="560">
        <f>V62</f>
        <v>1.9999999999999996</v>
      </c>
      <c r="V473" s="690">
        <f>IF(T473&gt;0,W473*U473," ")</f>
        <v>19999.999999999996</v>
      </c>
      <c r="W473" s="691">
        <f>IF(T473&gt;0,(VLOOKUP(T473,'Lookup Ready-reckoner'!$B$5:$E$1207,4))," ")</f>
        <v>10000</v>
      </c>
      <c r="X473" s="364"/>
      <c r="Y473" s="364"/>
      <c r="Z473" s="364"/>
      <c r="AA473"/>
      <c r="AB473"/>
      <c r="AC473"/>
      <c r="AD473"/>
    </row>
    <row r="474" spans="17:30" ht="12.75" customHeight="1">
      <c r="Q474" s="364"/>
      <c r="R474" s="898"/>
      <c r="S474" s="899"/>
      <c r="T474" s="447"/>
      <c r="U474" s="560"/>
      <c r="V474" s="690" t="str">
        <f>IF(T474&gt;0,W474*U474," ")</f>
        <v xml:space="preserve"> </v>
      </c>
      <c r="W474" s="691" t="str">
        <f>IF(T474&gt;0,(VLOOKUP(T474,'Lookup Ready-reckoner'!$B$5:$E$1007,4))," ")</f>
        <v xml:space="preserve"> </v>
      </c>
      <c r="X474" s="364"/>
      <c r="Y474" s="364"/>
      <c r="Z474" s="364"/>
      <c r="AA474"/>
      <c r="AB474"/>
      <c r="AC474"/>
      <c r="AD474"/>
    </row>
    <row r="475" spans="17:30" ht="12.75" customHeight="1" thickBot="1">
      <c r="Q475" s="364"/>
      <c r="R475" s="699" t="s">
        <v>839</v>
      </c>
      <c r="S475" s="693"/>
      <c r="T475" s="693"/>
      <c r="U475" s="701">
        <f>IF(T473&gt;0,(VLOOKUP(V475,'Lookup Ready-reckoner'!$L$5:$M$1207,2))," ")</f>
        <v>107.95</v>
      </c>
      <c r="V475" s="695">
        <f>IF(U473&gt;0,(SUM(V473:V474))," ")</f>
        <v>19999.999999999996</v>
      </c>
      <c r="W475" s="696"/>
      <c r="X475" s="364"/>
      <c r="Y475" s="364"/>
      <c r="Z475" s="364"/>
      <c r="AA475"/>
      <c r="AB475"/>
      <c r="AC475"/>
      <c r="AD475"/>
    </row>
    <row r="476" spans="17:30" ht="12.75" customHeight="1" thickBot="1">
      <c r="Q476" s="364"/>
      <c r="R476" s="892"/>
      <c r="S476" s="893"/>
      <c r="T476" s="893"/>
      <c r="U476" s="893"/>
      <c r="V476" s="893"/>
      <c r="W476" s="894"/>
      <c r="X476" s="364"/>
      <c r="Y476" s="364"/>
      <c r="Z476" s="364"/>
      <c r="AA476"/>
      <c r="AB476"/>
      <c r="AC476"/>
      <c r="AD476"/>
    </row>
    <row r="477" spans="17:30" ht="12.75" customHeight="1">
      <c r="Q477" s="364"/>
      <c r="R477" s="895" t="s">
        <v>886</v>
      </c>
      <c r="S477" s="896"/>
      <c r="T477" s="900" t="s">
        <v>835</v>
      </c>
      <c r="U477" s="900" t="s">
        <v>836</v>
      </c>
      <c r="V477" s="900" t="s">
        <v>837</v>
      </c>
      <c r="W477" s="902" t="s">
        <v>838</v>
      </c>
      <c r="X477" s="364"/>
      <c r="Y477" s="364"/>
      <c r="Z477" s="364"/>
      <c r="AA477"/>
      <c r="AB477"/>
      <c r="AC477"/>
      <c r="AD477"/>
    </row>
    <row r="478" spans="17:30" ht="12.75" customHeight="1">
      <c r="Q478" s="364"/>
      <c r="R478" s="892"/>
      <c r="S478" s="897"/>
      <c r="T478" s="901"/>
      <c r="U478" s="901"/>
      <c r="V478" s="901"/>
      <c r="W478" s="903"/>
      <c r="X478" s="364"/>
      <c r="Y478" s="364"/>
      <c r="Z478" s="364"/>
      <c r="AA478"/>
      <c r="AB478"/>
      <c r="AC478"/>
      <c r="AD478"/>
    </row>
    <row r="479" spans="17:30" ht="12.75" customHeight="1">
      <c r="Q479" s="364"/>
      <c r="R479" s="892"/>
      <c r="S479" s="897"/>
      <c r="T479" s="700">
        <f>T473*(1-0.0178*2)</f>
        <v>109.96146655636687</v>
      </c>
      <c r="U479" s="560">
        <f>U473</f>
        <v>1.9999999999999996</v>
      </c>
      <c r="V479" s="690">
        <f>IF(T479&gt;0,W479*U479," ")</f>
        <v>7919.9999999999982</v>
      </c>
      <c r="W479" s="691">
        <f>IF(T479&gt;0,(VLOOKUP(T479,'Lookup Ready-reckoner'!$B$5:$E$1207,4))," ")</f>
        <v>3960</v>
      </c>
      <c r="X479" s="364"/>
      <c r="Y479" s="364"/>
      <c r="Z479" s="364"/>
      <c r="AA479"/>
      <c r="AB479"/>
      <c r="AC479"/>
      <c r="AD479"/>
    </row>
    <row r="480" spans="17:30" ht="12.75" customHeight="1">
      <c r="Q480" s="364"/>
      <c r="R480" s="898"/>
      <c r="S480" s="899"/>
      <c r="T480" s="447"/>
      <c r="U480" s="560"/>
      <c r="V480" s="690" t="str">
        <f>IF(T480&gt;0,W480*U480," ")</f>
        <v xml:space="preserve"> </v>
      </c>
      <c r="W480" s="691" t="str">
        <f>IF(T480&gt;0,(VLOOKUP(T480,'Lookup Ready-reckoner'!$B$5:$E$1007,4))," ")</f>
        <v xml:space="preserve"> </v>
      </c>
      <c r="X480" s="364"/>
      <c r="Y480" s="364"/>
      <c r="Z480" s="364"/>
      <c r="AA480"/>
      <c r="AB480"/>
      <c r="AC480"/>
      <c r="AD480"/>
    </row>
    <row r="481" spans="17:30" ht="12.75" customHeight="1" thickBot="1">
      <c r="Q481" s="364"/>
      <c r="R481" s="692" t="s">
        <v>839</v>
      </c>
      <c r="S481" s="693"/>
      <c r="T481" s="693"/>
      <c r="U481" s="701">
        <f>IF(T479&gt;0,(VLOOKUP(V481,'Lookup Ready-reckoner'!$L$5:$M$1207,2))," ")</f>
        <v>103.9</v>
      </c>
      <c r="V481" s="695">
        <f>IF(U479&gt;0,(SUM(V479:V480))," ")</f>
        <v>7919.9999999999982</v>
      </c>
      <c r="W481" s="696"/>
      <c r="X481" s="364"/>
      <c r="Y481" s="364"/>
      <c r="Z481" s="364"/>
      <c r="AA481"/>
      <c r="AB481"/>
      <c r="AC481"/>
      <c r="AD481"/>
    </row>
    <row r="482" spans="17:30" ht="12.75" customHeight="1">
      <c r="Q482" s="364"/>
      <c r="R482" s="697"/>
      <c r="S482" s="687"/>
      <c r="T482" s="687"/>
      <c r="U482" s="372"/>
      <c r="V482" s="374"/>
      <c r="W482" s="688"/>
      <c r="X482" s="364"/>
      <c r="Y482" s="364"/>
      <c r="Z482" s="364"/>
      <c r="AA482"/>
      <c r="AB482"/>
      <c r="AC482"/>
      <c r="AD482"/>
    </row>
    <row r="483" spans="17:30" ht="12.75" customHeight="1" thickBot="1">
      <c r="Q483" s="364"/>
      <c r="R483" s="686" t="s">
        <v>60</v>
      </c>
      <c r="S483" s="577"/>
      <c r="T483" s="577"/>
      <c r="U483" s="577"/>
      <c r="V483" s="577"/>
      <c r="W483" s="698"/>
      <c r="X483" s="364"/>
      <c r="Y483" s="364"/>
      <c r="Z483" s="364"/>
      <c r="AA483"/>
      <c r="AB483"/>
      <c r="AC483"/>
      <c r="AD483"/>
    </row>
    <row r="484" spans="17:30" ht="12.75" customHeight="1">
      <c r="Q484" s="364"/>
      <c r="R484" s="895" t="s">
        <v>845</v>
      </c>
      <c r="S484" s="896"/>
      <c r="T484" s="900" t="s">
        <v>835</v>
      </c>
      <c r="U484" s="900" t="s">
        <v>836</v>
      </c>
      <c r="V484" s="900" t="s">
        <v>837</v>
      </c>
      <c r="W484" s="902" t="s">
        <v>838</v>
      </c>
      <c r="X484" s="364"/>
      <c r="Y484" s="364"/>
      <c r="Z484" s="364"/>
      <c r="AA484"/>
      <c r="AB484"/>
      <c r="AC484"/>
      <c r="AD484"/>
    </row>
    <row r="485" spans="17:30" ht="12.75" customHeight="1">
      <c r="Q485" s="364"/>
      <c r="R485" s="892"/>
      <c r="S485" s="897"/>
      <c r="T485" s="901"/>
      <c r="U485" s="901"/>
      <c r="V485" s="901"/>
      <c r="W485" s="903"/>
      <c r="X485" s="364"/>
      <c r="Y485" s="364"/>
      <c r="Z485" s="364"/>
      <c r="AA485"/>
      <c r="AB485"/>
      <c r="AC485"/>
      <c r="AD485"/>
    </row>
    <row r="486" spans="17:30" ht="12.75" customHeight="1">
      <c r="Q486" s="364"/>
      <c r="R486" s="892"/>
      <c r="S486" s="897"/>
      <c r="T486" s="700">
        <f>T473-PPE!$I$15</f>
        <v>101.02059991327963</v>
      </c>
      <c r="U486" s="560">
        <f>U479</f>
        <v>1.9999999999999996</v>
      </c>
      <c r="V486" s="690">
        <f>IF(T486&gt;0,W486*U486," ")</f>
        <v>999.99999999999977</v>
      </c>
      <c r="W486" s="691">
        <f>IF(T486&gt;0,(VLOOKUP(T486,'Lookup Ready-reckoner'!$B$5:$E$1207,4))," ")</f>
        <v>500</v>
      </c>
      <c r="X486" s="364"/>
      <c r="Y486" s="364"/>
      <c r="Z486" s="364"/>
      <c r="AA486"/>
      <c r="AB486"/>
      <c r="AC486"/>
      <c r="AD486"/>
    </row>
    <row r="487" spans="17:30" ht="12.75" customHeight="1">
      <c r="Q487" s="364"/>
      <c r="R487" s="898"/>
      <c r="S487" s="899"/>
      <c r="T487" s="447"/>
      <c r="U487" s="560"/>
      <c r="V487" s="690" t="str">
        <f>IF(T487&gt;0,W487*U487," ")</f>
        <v xml:space="preserve"> </v>
      </c>
      <c r="W487" s="691" t="str">
        <f>IF(T487&gt;0,(VLOOKUP(T487,'Lookup Ready-reckoner'!$B$5:$E$1007,4))," ")</f>
        <v xml:space="preserve"> </v>
      </c>
      <c r="X487" s="364"/>
      <c r="Y487" s="364"/>
      <c r="Z487" s="364"/>
      <c r="AA487"/>
      <c r="AB487"/>
      <c r="AC487"/>
      <c r="AD487"/>
    </row>
    <row r="488" spans="17:30" ht="12.75" customHeight="1" thickBot="1">
      <c r="Q488" s="364"/>
      <c r="R488" s="692" t="s">
        <v>839</v>
      </c>
      <c r="S488" s="693"/>
      <c r="T488" s="693"/>
      <c r="U488" s="701">
        <f>IF(T486&gt;0,(VLOOKUP(V488,'Lookup Ready-reckoner'!$L$5:$M$1207,2))," ")</f>
        <v>94.95</v>
      </c>
      <c r="V488" s="695">
        <f>IF(U486&gt;0,(SUM(V486:V487))," ")</f>
        <v>999.99999999999977</v>
      </c>
      <c r="W488" s="696"/>
      <c r="X488" s="364"/>
      <c r="Y488" s="364"/>
      <c r="Z488" s="364"/>
      <c r="AA488"/>
      <c r="AB488"/>
      <c r="AC488"/>
      <c r="AD488"/>
    </row>
    <row r="489" spans="17:30" ht="12.75" customHeight="1" thickBot="1">
      <c r="Q489" s="364"/>
      <c r="R489" s="892"/>
      <c r="S489" s="893"/>
      <c r="T489" s="893"/>
      <c r="U489" s="893"/>
      <c r="V489" s="893"/>
      <c r="W489" s="894"/>
      <c r="X489" s="364"/>
      <c r="Y489" s="364"/>
      <c r="Z489" s="364"/>
      <c r="AA489"/>
      <c r="AB489"/>
      <c r="AC489"/>
      <c r="AD489"/>
    </row>
    <row r="490" spans="17:30" ht="12.75" customHeight="1">
      <c r="Q490" s="364"/>
      <c r="R490" s="895" t="s">
        <v>886</v>
      </c>
      <c r="S490" s="896"/>
      <c r="T490" s="900" t="s">
        <v>835</v>
      </c>
      <c r="U490" s="900" t="s">
        <v>836</v>
      </c>
      <c r="V490" s="900" t="s">
        <v>837</v>
      </c>
      <c r="W490" s="902" t="s">
        <v>838</v>
      </c>
      <c r="X490" s="364"/>
      <c r="Y490" s="364"/>
      <c r="Z490" s="364"/>
      <c r="AA490"/>
      <c r="AB490"/>
      <c r="AC490"/>
      <c r="AD490"/>
    </row>
    <row r="491" spans="17:30" ht="12.75" customHeight="1">
      <c r="Q491" s="364"/>
      <c r="R491" s="892"/>
      <c r="S491" s="897"/>
      <c r="T491" s="901"/>
      <c r="U491" s="901"/>
      <c r="V491" s="901"/>
      <c r="W491" s="903"/>
      <c r="X491" s="364"/>
      <c r="Y491" s="364"/>
      <c r="Z491" s="364"/>
      <c r="AA491"/>
      <c r="AB491"/>
      <c r="AC491"/>
      <c r="AD491"/>
    </row>
    <row r="492" spans="17:30" ht="12.75" customHeight="1">
      <c r="Q492" s="364"/>
      <c r="R492" s="892"/>
      <c r="S492" s="897"/>
      <c r="T492" s="700">
        <f>T479-PPE!$I$15</f>
        <v>96.961466556366872</v>
      </c>
      <c r="U492" s="560">
        <f>U486</f>
        <v>1.9999999999999996</v>
      </c>
      <c r="V492" s="690">
        <f>IF(T492&gt;0,W492*U492," ")</f>
        <v>395.62499999999989</v>
      </c>
      <c r="W492" s="691">
        <f>IF(T492&gt;0,(VLOOKUP(T492,'Lookup Ready-reckoner'!$B$5:$E$1207,4))," ")</f>
        <v>197.8125</v>
      </c>
      <c r="X492" s="364"/>
      <c r="Y492" s="364"/>
      <c r="Z492" s="364"/>
      <c r="AA492"/>
      <c r="AB492"/>
      <c r="AC492"/>
      <c r="AD492"/>
    </row>
    <row r="493" spans="17:30" ht="12.75" customHeight="1">
      <c r="Q493" s="364"/>
      <c r="R493" s="898"/>
      <c r="S493" s="899"/>
      <c r="T493" s="447"/>
      <c r="U493" s="560"/>
      <c r="V493" s="690" t="str">
        <f>IF(T493&gt;0,W493*U493," ")</f>
        <v xml:space="preserve"> </v>
      </c>
      <c r="W493" s="691" t="str">
        <f>IF(T493&gt;0,(VLOOKUP(T493,'Lookup Ready-reckoner'!$B$5:$E$1007,4))," ")</f>
        <v xml:space="preserve"> </v>
      </c>
      <c r="X493" s="364"/>
      <c r="Y493" s="364"/>
      <c r="Z493" s="364"/>
      <c r="AA493"/>
      <c r="AB493"/>
      <c r="AC493"/>
      <c r="AD493"/>
    </row>
    <row r="494" spans="17:30" ht="12.75" customHeight="1" thickBot="1">
      <c r="Q494" s="364"/>
      <c r="R494" s="692" t="s">
        <v>839</v>
      </c>
      <c r="S494" s="693"/>
      <c r="T494" s="693"/>
      <c r="U494" s="701">
        <f>IF(T492&gt;0,(VLOOKUP(V494,'Lookup Ready-reckoner'!$L$5:$M$1207,2))," ")</f>
        <v>90.9</v>
      </c>
      <c r="V494" s="695">
        <f>IF(U492&gt;0,(SUM(V492:V493))," ")</f>
        <v>395.62499999999989</v>
      </c>
      <c r="W494" s="696"/>
      <c r="X494" s="364"/>
      <c r="Y494" s="364"/>
      <c r="Z494" s="364"/>
      <c r="AA494"/>
      <c r="AB494"/>
      <c r="AC494"/>
      <c r="AD494"/>
    </row>
    <row r="495" spans="17:30" ht="12.75" customHeight="1">
      <c r="Q495" s="364"/>
      <c r="R495" s="363"/>
      <c r="S495" s="363"/>
      <c r="T495" s="363"/>
      <c r="U495" s="363"/>
      <c r="V495" s="363"/>
      <c r="W495" s="363"/>
      <c r="X495" s="364"/>
      <c r="Y495" s="364"/>
      <c r="Z495" s="364"/>
      <c r="AA495"/>
      <c r="AB495"/>
      <c r="AC495"/>
      <c r="AD495"/>
    </row>
    <row r="496" spans="17:30" ht="12.75" customHeight="1">
      <c r="Q496" s="364"/>
      <c r="R496" s="913" t="str">
        <f>R377</f>
        <v>Sulzer ADDS</v>
      </c>
      <c r="S496" s="914"/>
      <c r="T496" s="914"/>
      <c r="U496" s="914"/>
      <c r="V496" s="914"/>
      <c r="W496" s="914"/>
      <c r="X496" s="364"/>
      <c r="Y496" s="364"/>
      <c r="Z496" s="364"/>
      <c r="AA496"/>
      <c r="AB496"/>
      <c r="AC496"/>
      <c r="AD496"/>
    </row>
    <row r="497" spans="17:30" ht="12.75" customHeight="1" thickBot="1">
      <c r="Q497" s="364"/>
      <c r="R497" s="910" t="s">
        <v>205</v>
      </c>
      <c r="S497" s="911"/>
      <c r="T497" s="911"/>
      <c r="U497" s="911"/>
      <c r="V497" s="911"/>
      <c r="W497" s="912"/>
      <c r="X497" s="364"/>
      <c r="Y497" s="364"/>
      <c r="Z497" s="364"/>
      <c r="AA497"/>
      <c r="AB497"/>
      <c r="AC497"/>
      <c r="AD497"/>
    </row>
    <row r="498" spans="17:30" ht="12.75" customHeight="1" thickBot="1">
      <c r="Q498" s="364"/>
      <c r="R498" s="686" t="s">
        <v>59</v>
      </c>
      <c r="S498" s="577"/>
      <c r="T498" s="687"/>
      <c r="U498" s="687"/>
      <c r="V498" s="687"/>
      <c r="W498" s="688"/>
      <c r="X498" s="364"/>
      <c r="Y498" s="364"/>
      <c r="Z498" s="364"/>
      <c r="AA498"/>
      <c r="AB498"/>
      <c r="AC498"/>
      <c r="AD498"/>
    </row>
    <row r="499" spans="17:30" ht="12.75" customHeight="1">
      <c r="Q499" s="364"/>
      <c r="R499" s="895" t="s">
        <v>845</v>
      </c>
      <c r="S499" s="896"/>
      <c r="T499" s="900" t="s">
        <v>835</v>
      </c>
      <c r="U499" s="900" t="s">
        <v>836</v>
      </c>
      <c r="V499" s="900" t="s">
        <v>837</v>
      </c>
      <c r="W499" s="902" t="s">
        <v>838</v>
      </c>
      <c r="X499" s="364"/>
      <c r="Y499" s="364"/>
      <c r="Z499" s="364"/>
      <c r="AA499"/>
      <c r="AB499"/>
      <c r="AC499"/>
      <c r="AD499"/>
    </row>
    <row r="500" spans="17:30" ht="12.75" customHeight="1">
      <c r="Q500" s="364"/>
      <c r="R500" s="892"/>
      <c r="S500" s="897"/>
      <c r="T500" s="904"/>
      <c r="U500" s="904"/>
      <c r="V500" s="904"/>
      <c r="W500" s="905"/>
      <c r="X500" s="364"/>
      <c r="Y500" s="364"/>
      <c r="Z500" s="364"/>
      <c r="AA500"/>
      <c r="AB500"/>
      <c r="AC500"/>
      <c r="AD500"/>
    </row>
    <row r="501" spans="17:30" ht="12.75" customHeight="1">
      <c r="Q501" s="364"/>
      <c r="R501" s="892"/>
      <c r="S501" s="897"/>
      <c r="T501" s="901"/>
      <c r="U501" s="901"/>
      <c r="V501" s="901"/>
      <c r="W501" s="903"/>
      <c r="X501" s="364"/>
      <c r="Y501" s="364"/>
      <c r="Z501" s="364"/>
      <c r="AA501"/>
      <c r="AB501"/>
      <c r="AC501"/>
      <c r="AD501"/>
    </row>
    <row r="502" spans="17:30" ht="12.75" customHeight="1">
      <c r="Q502" s="364"/>
      <c r="R502" s="892"/>
      <c r="S502" s="897"/>
      <c r="T502" s="702">
        <f>W76</f>
        <v>115.02059991327963</v>
      </c>
      <c r="U502" s="560">
        <f>W62</f>
        <v>1.7391304347826084</v>
      </c>
      <c r="V502" s="690">
        <f>IF(T502&gt;0,W502*U502," ")</f>
        <v>22260.869565217388</v>
      </c>
      <c r="W502" s="691">
        <f>IF(T502&gt;0,(VLOOKUP(T502,'Lookup Ready-reckoner'!$B$5:$E$1207,4))," ")</f>
        <v>12800</v>
      </c>
      <c r="X502" s="364"/>
      <c r="Y502" s="364"/>
      <c r="Z502" s="364"/>
      <c r="AA502"/>
      <c r="AB502"/>
      <c r="AC502"/>
      <c r="AD502"/>
    </row>
    <row r="503" spans="17:30" ht="12.75" customHeight="1">
      <c r="Q503" s="364"/>
      <c r="R503" s="898"/>
      <c r="S503" s="899"/>
      <c r="T503" s="447"/>
      <c r="U503" s="560"/>
      <c r="V503" s="690" t="str">
        <f>IF(T503&gt;0,W503*U503," ")</f>
        <v xml:space="preserve"> </v>
      </c>
      <c r="W503" s="691" t="str">
        <f>IF(T503&gt;0,(VLOOKUP(T503,'Lookup Ready-reckoner'!$B$5:$E$1007,4))," ")</f>
        <v xml:space="preserve"> </v>
      </c>
      <c r="X503" s="364"/>
      <c r="Y503" s="364"/>
      <c r="Z503" s="364"/>
      <c r="AA503"/>
      <c r="AB503"/>
      <c r="AC503"/>
      <c r="AD503"/>
    </row>
    <row r="504" spans="17:30" ht="12.75" customHeight="1" thickBot="1">
      <c r="Q504" s="364"/>
      <c r="R504" s="692" t="s">
        <v>839</v>
      </c>
      <c r="S504" s="693"/>
      <c r="T504" s="693"/>
      <c r="U504" s="703">
        <f>IF(T502&gt;0,(VLOOKUP(V504,'Lookup Ready-reckoner'!$L$5:$M$1207,2))," ")</f>
        <v>108.4</v>
      </c>
      <c r="V504" s="695">
        <f>IF(U502&gt;0,(SUM(V502:V503))," ")</f>
        <v>22260.869565217388</v>
      </c>
      <c r="W504" s="696"/>
      <c r="X504" s="364"/>
      <c r="Y504" s="364"/>
      <c r="Z504" s="364"/>
      <c r="AA504"/>
      <c r="AB504"/>
      <c r="AC504"/>
      <c r="AD504"/>
    </row>
    <row r="505" spans="17:30" ht="12.75" customHeight="1" thickBot="1">
      <c r="Q505" s="364"/>
      <c r="R505" s="892"/>
      <c r="S505" s="893"/>
      <c r="T505" s="893"/>
      <c r="U505" s="893"/>
      <c r="V505" s="893"/>
      <c r="W505" s="894"/>
      <c r="X505" s="364"/>
      <c r="Y505" s="364"/>
      <c r="Z505" s="364"/>
      <c r="AA505"/>
      <c r="AB505"/>
      <c r="AC505"/>
      <c r="AD505"/>
    </row>
    <row r="506" spans="17:30" ht="12.75" customHeight="1">
      <c r="Q506" s="364"/>
      <c r="R506" s="895" t="s">
        <v>886</v>
      </c>
      <c r="S506" s="896"/>
      <c r="T506" s="900" t="s">
        <v>835</v>
      </c>
      <c r="U506" s="900" t="s">
        <v>836</v>
      </c>
      <c r="V506" s="900" t="s">
        <v>837</v>
      </c>
      <c r="W506" s="902" t="s">
        <v>838</v>
      </c>
      <c r="X506" s="364"/>
      <c r="Y506" s="364"/>
      <c r="Z506" s="364"/>
      <c r="AA506"/>
      <c r="AB506"/>
      <c r="AC506"/>
      <c r="AD506"/>
    </row>
    <row r="507" spans="17:30" ht="12.75" customHeight="1">
      <c r="Q507" s="364"/>
      <c r="R507" s="892"/>
      <c r="S507" s="897"/>
      <c r="T507" s="901"/>
      <c r="U507" s="901"/>
      <c r="V507" s="901"/>
      <c r="W507" s="903"/>
      <c r="X507" s="364"/>
      <c r="Y507" s="364"/>
      <c r="Z507" s="364"/>
      <c r="AA507"/>
      <c r="AB507"/>
      <c r="AC507"/>
      <c r="AD507"/>
    </row>
    <row r="508" spans="17:30" ht="12.75" customHeight="1">
      <c r="Q508" s="364"/>
      <c r="R508" s="892"/>
      <c r="S508" s="897"/>
      <c r="T508" s="702">
        <f>T502*(1-0.0178*2)</f>
        <v>110.92586655636687</v>
      </c>
      <c r="U508" s="560">
        <f>U502</f>
        <v>1.7391304347826084</v>
      </c>
      <c r="V508" s="690">
        <f>IF(T508&gt;0,W508*U508," ")</f>
        <v>8521.7391304347821</v>
      </c>
      <c r="W508" s="691">
        <f>IF(T508&gt;0,(VLOOKUP(T508,'Lookup Ready-reckoner'!$B$5:$E$1207,4))," ")</f>
        <v>4900</v>
      </c>
      <c r="X508" s="364"/>
      <c r="Y508" s="364"/>
      <c r="Z508" s="364"/>
      <c r="AA508"/>
      <c r="AB508"/>
      <c r="AC508"/>
      <c r="AD508"/>
    </row>
    <row r="509" spans="17:30" ht="12.75" customHeight="1">
      <c r="Q509" s="364"/>
      <c r="R509" s="898"/>
      <c r="S509" s="899"/>
      <c r="T509" s="447"/>
      <c r="U509" s="560"/>
      <c r="V509" s="690" t="str">
        <f>IF(T509&gt;0,W509*U509," ")</f>
        <v xml:space="preserve"> </v>
      </c>
      <c r="W509" s="691" t="str">
        <f>IF(T509&gt;0,(VLOOKUP(T509,'Lookup Ready-reckoner'!$B$5:$E$1007,4))," ")</f>
        <v xml:space="preserve"> </v>
      </c>
      <c r="X509" s="364"/>
      <c r="Y509" s="364"/>
      <c r="Z509" s="364"/>
      <c r="AA509"/>
      <c r="AB509"/>
      <c r="AC509"/>
      <c r="AD509"/>
    </row>
    <row r="510" spans="17:30" ht="12.75" customHeight="1" thickBot="1">
      <c r="Q510" s="364"/>
      <c r="R510" s="692" t="s">
        <v>839</v>
      </c>
      <c r="S510" s="693"/>
      <c r="T510" s="693"/>
      <c r="U510" s="703">
        <f>IF(T508&gt;0,(VLOOKUP(V510,'Lookup Ready-reckoner'!$L$5:$M$1207,2))," ")</f>
        <v>104.25</v>
      </c>
      <c r="V510" s="695">
        <f>IF(U508&gt;0,(SUM(V508:V509))," ")</f>
        <v>8521.7391304347821</v>
      </c>
      <c r="W510" s="696"/>
      <c r="X510" s="364"/>
      <c r="Y510" s="364"/>
      <c r="Z510" s="364"/>
      <c r="AA510"/>
      <c r="AB510"/>
      <c r="AC510"/>
      <c r="AD510"/>
    </row>
    <row r="511" spans="17:30" ht="12.75" customHeight="1">
      <c r="Q511" s="364"/>
      <c r="R511" s="697"/>
      <c r="S511" s="687"/>
      <c r="T511" s="687"/>
      <c r="U511" s="372"/>
      <c r="V511" s="374"/>
      <c r="W511" s="688"/>
      <c r="X511" s="364"/>
      <c r="Y511" s="364"/>
      <c r="Z511" s="364"/>
      <c r="AA511"/>
      <c r="AB511"/>
      <c r="AC511"/>
      <c r="AD511"/>
    </row>
    <row r="512" spans="17:30" ht="12.75" customHeight="1" thickBot="1">
      <c r="Q512" s="364"/>
      <c r="R512" s="686" t="s">
        <v>60</v>
      </c>
      <c r="S512" s="577"/>
      <c r="T512" s="577"/>
      <c r="U512" s="577"/>
      <c r="V512" s="577"/>
      <c r="W512" s="698"/>
      <c r="X512" s="364"/>
      <c r="Y512" s="364"/>
      <c r="Z512" s="364"/>
      <c r="AA512"/>
      <c r="AB512"/>
      <c r="AC512"/>
      <c r="AD512"/>
    </row>
    <row r="513" spans="17:30" ht="12.75" customHeight="1">
      <c r="Q513" s="364"/>
      <c r="R513" s="895" t="s">
        <v>845</v>
      </c>
      <c r="S513" s="896"/>
      <c r="T513" s="900" t="s">
        <v>835</v>
      </c>
      <c r="U513" s="900" t="s">
        <v>836</v>
      </c>
      <c r="V513" s="900" t="s">
        <v>837</v>
      </c>
      <c r="W513" s="902" t="s">
        <v>838</v>
      </c>
      <c r="X513" s="364"/>
      <c r="Y513" s="364"/>
      <c r="Z513" s="364"/>
      <c r="AA513"/>
      <c r="AB513"/>
      <c r="AC513"/>
      <c r="AD513"/>
    </row>
    <row r="514" spans="17:30" ht="12.75" customHeight="1">
      <c r="Q514" s="364"/>
      <c r="R514" s="892"/>
      <c r="S514" s="897"/>
      <c r="T514" s="901"/>
      <c r="U514" s="901"/>
      <c r="V514" s="901"/>
      <c r="W514" s="903"/>
      <c r="X514" s="364"/>
      <c r="Y514" s="364"/>
      <c r="Z514" s="364"/>
      <c r="AA514"/>
      <c r="AB514"/>
      <c r="AC514"/>
      <c r="AD514"/>
    </row>
    <row r="515" spans="17:30" ht="12.75" customHeight="1">
      <c r="Q515" s="364"/>
      <c r="R515" s="892"/>
      <c r="S515" s="897"/>
      <c r="T515" s="702">
        <f>T502-PPE!$I$15</f>
        <v>102.02059991327963</v>
      </c>
      <c r="U515" s="560">
        <f>U508</f>
        <v>1.7391304347826084</v>
      </c>
      <c r="V515" s="690">
        <f>IF(T515&gt;0,W515*U515," ")</f>
        <v>1086.9565217391303</v>
      </c>
      <c r="W515" s="691">
        <f>IF(T515&gt;0,(VLOOKUP(T515,'Lookup Ready-reckoner'!$B$5:$E$1207,4))," ")</f>
        <v>625</v>
      </c>
      <c r="X515" s="364"/>
      <c r="Y515" s="364"/>
      <c r="Z515" s="364"/>
      <c r="AA515"/>
      <c r="AB515"/>
      <c r="AC515"/>
      <c r="AD515"/>
    </row>
    <row r="516" spans="17:30" ht="12.75" customHeight="1">
      <c r="Q516" s="364"/>
      <c r="R516" s="898"/>
      <c r="S516" s="899"/>
      <c r="T516" s="447"/>
      <c r="U516" s="560"/>
      <c r="V516" s="690" t="str">
        <f>IF(T516&gt;0,W516*U516," ")</f>
        <v xml:space="preserve"> </v>
      </c>
      <c r="W516" s="691" t="str">
        <f>IF(T516&gt;0,(VLOOKUP(T516,'Lookup Ready-reckoner'!$B$5:$E$1007,4))," ")</f>
        <v xml:space="preserve"> </v>
      </c>
      <c r="X516" s="364"/>
      <c r="Y516" s="364"/>
      <c r="Z516" s="364"/>
      <c r="AA516"/>
      <c r="AB516"/>
      <c r="AC516"/>
      <c r="AD516"/>
    </row>
    <row r="517" spans="17:30" ht="12.75" customHeight="1" thickBot="1">
      <c r="Q517" s="364"/>
      <c r="R517" s="692" t="s">
        <v>839</v>
      </c>
      <c r="S517" s="693"/>
      <c r="T517" s="693"/>
      <c r="U517" s="703">
        <f>IF(T515&gt;0,(VLOOKUP(V517,'Lookup Ready-reckoner'!$L$5:$M$1207,2))," ")</f>
        <v>95.3</v>
      </c>
      <c r="V517" s="695">
        <f>IF(U515&gt;0,(SUM(V515:V516))," ")</f>
        <v>1086.9565217391303</v>
      </c>
      <c r="W517" s="696"/>
      <c r="X517" s="364"/>
      <c r="Y517" s="364"/>
      <c r="Z517" s="364"/>
      <c r="AA517"/>
      <c r="AB517"/>
      <c r="AC517"/>
      <c r="AD517"/>
    </row>
    <row r="518" spans="17:30" ht="12.75" customHeight="1" thickBot="1">
      <c r="Q518" s="364"/>
      <c r="R518" s="892"/>
      <c r="S518" s="893"/>
      <c r="T518" s="893"/>
      <c r="U518" s="893"/>
      <c r="V518" s="893"/>
      <c r="W518" s="894"/>
      <c r="X518" s="364"/>
      <c r="Y518" s="364"/>
      <c r="Z518" s="364"/>
      <c r="AA518"/>
      <c r="AB518"/>
      <c r="AC518"/>
      <c r="AD518"/>
    </row>
    <row r="519" spans="17:30" ht="12.75" customHeight="1">
      <c r="Q519" s="364"/>
      <c r="R519" s="895" t="s">
        <v>886</v>
      </c>
      <c r="S519" s="896"/>
      <c r="T519" s="900" t="s">
        <v>835</v>
      </c>
      <c r="U519" s="900" t="s">
        <v>836</v>
      </c>
      <c r="V519" s="900" t="s">
        <v>837</v>
      </c>
      <c r="W519" s="902" t="s">
        <v>838</v>
      </c>
      <c r="X519" s="364"/>
      <c r="Y519" s="364"/>
      <c r="Z519" s="364"/>
      <c r="AA519"/>
      <c r="AB519"/>
      <c r="AC519"/>
      <c r="AD519"/>
    </row>
    <row r="520" spans="17:30" ht="12.75" customHeight="1">
      <c r="Q520" s="364"/>
      <c r="R520" s="892"/>
      <c r="S520" s="897"/>
      <c r="T520" s="901"/>
      <c r="U520" s="901"/>
      <c r="V520" s="901"/>
      <c r="W520" s="903"/>
      <c r="X520" s="364"/>
      <c r="Y520" s="364"/>
      <c r="Z520" s="364"/>
      <c r="AA520"/>
      <c r="AB520"/>
      <c r="AC520"/>
      <c r="AD520"/>
    </row>
    <row r="521" spans="17:30" ht="12.75" customHeight="1">
      <c r="Q521" s="364"/>
      <c r="R521" s="892"/>
      <c r="S521" s="897"/>
      <c r="T521" s="702">
        <f>T508-PPE!$I$15</f>
        <v>97.92586655636687</v>
      </c>
      <c r="U521" s="560">
        <f>U515</f>
        <v>1.7391304347826084</v>
      </c>
      <c r="V521" s="690">
        <f>IF(T521&gt;0,W521*U521," ")</f>
        <v>426.08695652173907</v>
      </c>
      <c r="W521" s="691">
        <f>IF(T521&gt;0,(VLOOKUP(T521,'Lookup Ready-reckoner'!$B$5:$E$1207,4))," ")</f>
        <v>245</v>
      </c>
      <c r="X521" s="364"/>
      <c r="Y521" s="364"/>
      <c r="Z521" s="364"/>
      <c r="AA521"/>
      <c r="AB521"/>
      <c r="AC521"/>
      <c r="AD521"/>
    </row>
    <row r="522" spans="17:30" ht="12.75" customHeight="1">
      <c r="Q522" s="364"/>
      <c r="R522" s="898"/>
      <c r="S522" s="899"/>
      <c r="T522" s="447"/>
      <c r="U522" s="560"/>
      <c r="V522" s="690" t="str">
        <f>IF(T522&gt;0,W522*U522," ")</f>
        <v xml:space="preserve"> </v>
      </c>
      <c r="W522" s="691" t="str">
        <f>IF(T522&gt;0,(VLOOKUP(T522,'Lookup Ready-reckoner'!$B$5:$E$1007,4))," ")</f>
        <v xml:space="preserve"> </v>
      </c>
      <c r="X522" s="364"/>
      <c r="Y522" s="364"/>
      <c r="Z522" s="364"/>
      <c r="AA522"/>
      <c r="AB522"/>
      <c r="AC522"/>
      <c r="AD522"/>
    </row>
    <row r="523" spans="17:30" ht="12.75" customHeight="1" thickBot="1">
      <c r="Q523" s="364"/>
      <c r="R523" s="692" t="s">
        <v>839</v>
      </c>
      <c r="S523" s="693"/>
      <c r="T523" s="693"/>
      <c r="U523" s="703">
        <f>IF(T521&gt;0,(VLOOKUP(V523,'Lookup Ready-reckoner'!$L$5:$M$1207,2))," ")</f>
        <v>91.25</v>
      </c>
      <c r="V523" s="695">
        <f>IF(U521&gt;0,(SUM(V521:V522))," ")</f>
        <v>426.08695652173907</v>
      </c>
      <c r="W523" s="696"/>
      <c r="X523" s="364"/>
      <c r="Y523" s="364"/>
      <c r="Z523" s="364"/>
      <c r="AA523"/>
      <c r="AB523"/>
      <c r="AC523"/>
      <c r="AD523"/>
    </row>
    <row r="524" spans="17:30" ht="12.75" customHeight="1">
      <c r="Q524" s="364"/>
      <c r="R524" s="363"/>
      <c r="S524" s="363"/>
      <c r="T524" s="363"/>
      <c r="U524" s="363"/>
      <c r="V524" s="363"/>
      <c r="W524" s="363"/>
      <c r="X524" s="364"/>
      <c r="Y524" s="364"/>
      <c r="Z524" s="364"/>
      <c r="AA524"/>
      <c r="AB524"/>
      <c r="AC524"/>
      <c r="AD524"/>
    </row>
    <row r="525" spans="17:30" ht="12.75" customHeight="1">
      <c r="Q525" s="364"/>
      <c r="R525" s="909" t="str">
        <f>R406</f>
        <v xml:space="preserve">Hilti TE MD20 </v>
      </c>
      <c r="S525" s="909"/>
      <c r="T525" s="909"/>
      <c r="U525" s="909"/>
      <c r="V525" s="909"/>
      <c r="W525" s="909"/>
      <c r="X525" s="364"/>
      <c r="Y525" s="364"/>
      <c r="Z525" s="364"/>
      <c r="AA525"/>
      <c r="AB525"/>
      <c r="AC525"/>
      <c r="AD525"/>
    </row>
    <row r="526" spans="17:30" ht="12.75" customHeight="1" thickBot="1">
      <c r="Q526" s="364"/>
      <c r="R526" s="910" t="s">
        <v>205</v>
      </c>
      <c r="S526" s="911"/>
      <c r="T526" s="911"/>
      <c r="U526" s="911"/>
      <c r="V526" s="911"/>
      <c r="W526" s="912"/>
      <c r="X526" s="364"/>
      <c r="Y526" s="364"/>
      <c r="Z526" s="364"/>
      <c r="AA526"/>
      <c r="AB526"/>
      <c r="AC526"/>
      <c r="AD526"/>
    </row>
    <row r="527" spans="17:30" ht="12.75" customHeight="1" thickBot="1">
      <c r="Q527" s="364"/>
      <c r="R527" s="686" t="s">
        <v>59</v>
      </c>
      <c r="S527" s="577"/>
      <c r="T527" s="687"/>
      <c r="U527" s="687"/>
      <c r="V527" s="687"/>
      <c r="W527" s="688"/>
      <c r="X527" s="364"/>
      <c r="Y527" s="364"/>
      <c r="Z527" s="364"/>
      <c r="AA527"/>
      <c r="AB527"/>
      <c r="AC527"/>
      <c r="AD527"/>
    </row>
    <row r="528" spans="17:30" ht="12.75" customHeight="1">
      <c r="Q528" s="364"/>
      <c r="R528" s="895" t="s">
        <v>845</v>
      </c>
      <c r="S528" s="896"/>
      <c r="T528" s="900" t="s">
        <v>835</v>
      </c>
      <c r="U528" s="900" t="s">
        <v>836</v>
      </c>
      <c r="V528" s="900" t="s">
        <v>837</v>
      </c>
      <c r="W528" s="902" t="s">
        <v>838</v>
      </c>
      <c r="X528" s="364"/>
      <c r="Y528" s="364"/>
      <c r="Z528" s="364"/>
      <c r="AA528"/>
      <c r="AB528"/>
      <c r="AC528"/>
      <c r="AD528"/>
    </row>
    <row r="529" spans="17:30" ht="12.75" customHeight="1">
      <c r="Q529" s="364"/>
      <c r="R529" s="892"/>
      <c r="S529" s="897"/>
      <c r="T529" s="904"/>
      <c r="U529" s="904"/>
      <c r="V529" s="904"/>
      <c r="W529" s="905"/>
      <c r="X529" s="364"/>
      <c r="Y529" s="364"/>
      <c r="Z529" s="364"/>
      <c r="AA529"/>
      <c r="AB529"/>
      <c r="AC529"/>
      <c r="AD529"/>
    </row>
    <row r="530" spans="17:30" ht="12.75" customHeight="1">
      <c r="Q530" s="364"/>
      <c r="R530" s="892"/>
      <c r="S530" s="897"/>
      <c r="T530" s="901"/>
      <c r="U530" s="901"/>
      <c r="V530" s="901"/>
      <c r="W530" s="903"/>
      <c r="X530" s="364"/>
      <c r="Y530" s="364"/>
      <c r="Z530" s="364"/>
      <c r="AA530"/>
      <c r="AB530"/>
      <c r="AC530"/>
      <c r="AD530"/>
    </row>
    <row r="531" spans="17:30" ht="12.75" customHeight="1">
      <c r="Q531" s="364"/>
      <c r="R531" s="892"/>
      <c r="S531" s="897"/>
      <c r="T531" s="704">
        <f>U76</f>
        <v>108.02059991327964</v>
      </c>
      <c r="U531" s="560">
        <f>U62</f>
        <v>2.6666666666666665</v>
      </c>
      <c r="V531" s="690">
        <f>IF(T531&gt;0,W531*U531," ")</f>
        <v>6666.6666666666661</v>
      </c>
      <c r="W531" s="691">
        <f>IF(T531&gt;0,(VLOOKUP(T531,'Lookup Ready-reckoner'!$B$5:$E$1207,4))," ")</f>
        <v>2500</v>
      </c>
      <c r="X531" s="364"/>
      <c r="Y531" s="364"/>
      <c r="Z531" s="364"/>
      <c r="AA531"/>
      <c r="AB531"/>
      <c r="AC531"/>
      <c r="AD531"/>
    </row>
    <row r="532" spans="17:30" ht="12.75" customHeight="1">
      <c r="Q532" s="364"/>
      <c r="R532" s="898"/>
      <c r="S532" s="899"/>
      <c r="T532" s="447"/>
      <c r="U532" s="560"/>
      <c r="V532" s="690" t="str">
        <f>IF(T532&gt;0,W532*U532," ")</f>
        <v xml:space="preserve"> </v>
      </c>
      <c r="W532" s="691" t="str">
        <f>IF(T532&gt;0,(VLOOKUP(T532,'Lookup Ready-reckoner'!$B$5:$E$1007,4))," ")</f>
        <v xml:space="preserve"> </v>
      </c>
      <c r="X532" s="364"/>
      <c r="Y532" s="364"/>
      <c r="Z532" s="364"/>
      <c r="AA532"/>
      <c r="AB532"/>
      <c r="AC532"/>
      <c r="AD532"/>
    </row>
    <row r="533" spans="17:30" ht="12.75" customHeight="1" thickBot="1">
      <c r="Q533" s="364"/>
      <c r="R533" s="692" t="s">
        <v>839</v>
      </c>
      <c r="S533" s="693"/>
      <c r="T533" s="693"/>
      <c r="U533" s="705">
        <f>IF(T531&gt;0,(VLOOKUP(V533,'Lookup Ready-reckoner'!$L$5:$M$1207,2))," ")</f>
        <v>103.15</v>
      </c>
      <c r="V533" s="695">
        <f>IF(U531&gt;0,(SUM(V531:V532))," ")</f>
        <v>6666.6666666666661</v>
      </c>
      <c r="W533" s="696"/>
      <c r="X533" s="364"/>
      <c r="Y533" s="364"/>
      <c r="Z533" s="364"/>
      <c r="AA533"/>
      <c r="AB533"/>
      <c r="AC533"/>
      <c r="AD533"/>
    </row>
    <row r="534" spans="17:30" ht="12.75" customHeight="1" thickBot="1">
      <c r="Q534" s="364"/>
      <c r="R534" s="906"/>
      <c r="S534" s="907"/>
      <c r="T534" s="907"/>
      <c r="U534" s="907"/>
      <c r="V534" s="907"/>
      <c r="W534" s="908"/>
      <c r="X534" s="364"/>
      <c r="Y534" s="364"/>
      <c r="Z534" s="364"/>
      <c r="AA534"/>
      <c r="AB534"/>
      <c r="AC534"/>
      <c r="AD534"/>
    </row>
    <row r="535" spans="17:30" ht="12.75" customHeight="1">
      <c r="Q535" s="364"/>
      <c r="R535" s="895" t="s">
        <v>886</v>
      </c>
      <c r="S535" s="896"/>
      <c r="T535" s="900" t="s">
        <v>835</v>
      </c>
      <c r="U535" s="900" t="s">
        <v>836</v>
      </c>
      <c r="V535" s="900" t="s">
        <v>837</v>
      </c>
      <c r="W535" s="902" t="s">
        <v>838</v>
      </c>
      <c r="X535" s="364"/>
      <c r="Y535" s="364"/>
      <c r="Z535" s="364"/>
      <c r="AA535"/>
      <c r="AB535"/>
      <c r="AC535"/>
      <c r="AD535"/>
    </row>
    <row r="536" spans="17:30" ht="12.75" customHeight="1">
      <c r="Q536" s="364"/>
      <c r="R536" s="892"/>
      <c r="S536" s="897"/>
      <c r="T536" s="901"/>
      <c r="U536" s="901"/>
      <c r="V536" s="901"/>
      <c r="W536" s="903"/>
      <c r="X536" s="364"/>
      <c r="Y536" s="364"/>
      <c r="Z536" s="364"/>
      <c r="AA536"/>
      <c r="AB536"/>
      <c r="AC536"/>
      <c r="AD536"/>
    </row>
    <row r="537" spans="17:30" ht="12.75" customHeight="1">
      <c r="Q537" s="364"/>
      <c r="R537" s="892"/>
      <c r="S537" s="897"/>
      <c r="T537" s="704">
        <f>T531*(1-0.0178*2)</f>
        <v>104.17506655636689</v>
      </c>
      <c r="U537" s="560">
        <f>U531</f>
        <v>2.6666666666666665</v>
      </c>
      <c r="V537" s="690">
        <f>IF(T537&gt;0,W537*U537," ")</f>
        <v>2766.6666666666665</v>
      </c>
      <c r="W537" s="691">
        <f>IF(T537&gt;0,(VLOOKUP(T537,'Lookup Ready-reckoner'!$B$5:$E$1207,4))," ")</f>
        <v>1037.5</v>
      </c>
      <c r="X537" s="364"/>
      <c r="Y537" s="364"/>
      <c r="Z537" s="364"/>
      <c r="AA537"/>
      <c r="AB537"/>
      <c r="AC537"/>
      <c r="AD537"/>
    </row>
    <row r="538" spans="17:30" ht="12.75" customHeight="1">
      <c r="Q538" s="364"/>
      <c r="R538" s="898"/>
      <c r="S538" s="899"/>
      <c r="T538" s="447"/>
      <c r="U538" s="560"/>
      <c r="V538" s="690" t="str">
        <f>IF(T538&gt;0,W538*U538," ")</f>
        <v xml:space="preserve"> </v>
      </c>
      <c r="W538" s="691" t="str">
        <f>IF(T538&gt;0,(VLOOKUP(T538,'Lookup Ready-reckoner'!$B$5:$E$1007,4))," ")</f>
        <v xml:space="preserve"> </v>
      </c>
      <c r="X538" s="364"/>
      <c r="Y538" s="364"/>
      <c r="Z538" s="364"/>
      <c r="AA538"/>
      <c r="AB538"/>
      <c r="AC538"/>
      <c r="AD538"/>
    </row>
    <row r="539" spans="17:30" ht="12.75" customHeight="1" thickBot="1">
      <c r="Q539" s="364"/>
      <c r="R539" s="692" t="s">
        <v>839</v>
      </c>
      <c r="S539" s="693"/>
      <c r="T539" s="693"/>
      <c r="U539" s="705">
        <f>IF(T537&gt;0,(VLOOKUP(V539,'Lookup Ready-reckoner'!$L$5:$M$1207,2))," ")</f>
        <v>99.35</v>
      </c>
      <c r="V539" s="695">
        <f>IF(U537&gt;0,(SUM(V537:V538))," ")</f>
        <v>2766.6666666666665</v>
      </c>
      <c r="W539" s="696"/>
      <c r="X539" s="364"/>
      <c r="Y539" s="364"/>
      <c r="Z539" s="364"/>
      <c r="AA539"/>
      <c r="AB539"/>
      <c r="AC539"/>
      <c r="AD539"/>
    </row>
    <row r="540" spans="17:30" ht="12.75" customHeight="1">
      <c r="Q540" s="364"/>
      <c r="R540" s="697"/>
      <c r="S540" s="687"/>
      <c r="T540" s="687"/>
      <c r="U540" s="372"/>
      <c r="V540" s="374"/>
      <c r="W540" s="688"/>
      <c r="X540" s="364"/>
      <c r="Y540" s="364"/>
      <c r="Z540" s="364"/>
      <c r="AA540"/>
      <c r="AB540"/>
      <c r="AC540"/>
      <c r="AD540"/>
    </row>
    <row r="541" spans="17:30" ht="12.75" customHeight="1" thickBot="1">
      <c r="Q541" s="364"/>
      <c r="R541" s="686" t="s">
        <v>60</v>
      </c>
      <c r="S541" s="577"/>
      <c r="T541" s="577"/>
      <c r="U541" s="577"/>
      <c r="V541" s="577"/>
      <c r="W541" s="698"/>
      <c r="X541" s="364"/>
      <c r="Y541" s="364"/>
      <c r="Z541" s="364"/>
      <c r="AA541"/>
      <c r="AB541"/>
      <c r="AC541"/>
      <c r="AD541"/>
    </row>
    <row r="542" spans="17:30" ht="12.75" customHeight="1">
      <c r="Q542" s="364"/>
      <c r="R542" s="895" t="s">
        <v>845</v>
      </c>
      <c r="S542" s="896"/>
      <c r="T542" s="900" t="s">
        <v>835</v>
      </c>
      <c r="U542" s="900" t="s">
        <v>836</v>
      </c>
      <c r="V542" s="900" t="s">
        <v>837</v>
      </c>
      <c r="W542" s="902" t="s">
        <v>838</v>
      </c>
      <c r="X542" s="364"/>
      <c r="Y542" s="364"/>
      <c r="Z542" s="364"/>
      <c r="AA542"/>
      <c r="AB542"/>
      <c r="AC542"/>
      <c r="AD542"/>
    </row>
    <row r="543" spans="17:30" ht="12.75" customHeight="1">
      <c r="Q543" s="364"/>
      <c r="R543" s="892"/>
      <c r="S543" s="897"/>
      <c r="T543" s="901"/>
      <c r="U543" s="901"/>
      <c r="V543" s="901"/>
      <c r="W543" s="903"/>
      <c r="X543" s="364"/>
      <c r="Y543" s="364"/>
      <c r="Z543" s="364"/>
      <c r="AA543"/>
      <c r="AB543"/>
      <c r="AC543"/>
      <c r="AD543"/>
    </row>
    <row r="544" spans="17:30" ht="12.75" customHeight="1">
      <c r="Q544" s="364"/>
      <c r="R544" s="892"/>
      <c r="S544" s="897"/>
      <c r="T544" s="704">
        <f>T531-PPE!$I$15</f>
        <v>95.020599913279639</v>
      </c>
      <c r="U544" s="560">
        <f>U537</f>
        <v>2.6666666666666665</v>
      </c>
      <c r="V544" s="690">
        <f>IF(T544&gt;0,W544*U544," ")</f>
        <v>333.33333333333331</v>
      </c>
      <c r="W544" s="691">
        <f>IF(T544&gt;0,(VLOOKUP(T544,'Lookup Ready-reckoner'!$B$5:$E$1207,4))," ")</f>
        <v>125</v>
      </c>
      <c r="X544" s="364"/>
      <c r="Y544" s="364"/>
      <c r="Z544" s="364"/>
      <c r="AA544"/>
      <c r="AB544"/>
      <c r="AC544"/>
      <c r="AD544"/>
    </row>
    <row r="545" spans="17:30" ht="12.75" customHeight="1">
      <c r="Q545" s="364"/>
      <c r="R545" s="898"/>
      <c r="S545" s="899"/>
      <c r="T545" s="447"/>
      <c r="U545" s="560"/>
      <c r="V545" s="690" t="str">
        <f>IF(T545&gt;0,W545*U545," ")</f>
        <v xml:space="preserve"> </v>
      </c>
      <c r="W545" s="691" t="str">
        <f>IF(T545&gt;0,(VLOOKUP(T545,'Lookup Ready-reckoner'!$B$5:$E$1007,4))," ")</f>
        <v xml:space="preserve"> </v>
      </c>
      <c r="X545" s="364"/>
      <c r="Y545" s="364"/>
      <c r="Z545" s="364"/>
      <c r="AA545"/>
      <c r="AB545"/>
      <c r="AC545"/>
      <c r="AD545"/>
    </row>
    <row r="546" spans="17:30" ht="12.75" customHeight="1" thickBot="1">
      <c r="Q546" s="364"/>
      <c r="R546" s="692" t="s">
        <v>839</v>
      </c>
      <c r="S546" s="693"/>
      <c r="T546" s="693"/>
      <c r="U546" s="705">
        <f>IF(T544&gt;0,(VLOOKUP(V546,'Lookup Ready-reckoner'!$L$5:$M$1207,2))," ")</f>
        <v>90.15</v>
      </c>
      <c r="V546" s="695">
        <f>IF(U544&gt;0,(SUM(V544:V545))," ")</f>
        <v>333.33333333333331</v>
      </c>
      <c r="W546" s="696"/>
      <c r="X546" s="364"/>
      <c r="Y546" s="364"/>
      <c r="Z546" s="364"/>
      <c r="AA546"/>
      <c r="AB546"/>
      <c r="AC546"/>
      <c r="AD546"/>
    </row>
    <row r="547" spans="17:30" ht="12.75" customHeight="1" thickBot="1">
      <c r="Q547" s="364"/>
      <c r="R547" s="892"/>
      <c r="S547" s="893"/>
      <c r="T547" s="893"/>
      <c r="U547" s="893"/>
      <c r="V547" s="893"/>
      <c r="W547" s="894"/>
      <c r="X547" s="364"/>
      <c r="Y547" s="364"/>
      <c r="Z547" s="364"/>
      <c r="AA547"/>
      <c r="AB547"/>
      <c r="AC547"/>
      <c r="AD547"/>
    </row>
    <row r="548" spans="17:30" ht="12.75" customHeight="1">
      <c r="Q548" s="364"/>
      <c r="R548" s="895" t="s">
        <v>886</v>
      </c>
      <c r="S548" s="896"/>
      <c r="T548" s="900" t="s">
        <v>835</v>
      </c>
      <c r="U548" s="900" t="s">
        <v>836</v>
      </c>
      <c r="V548" s="900" t="s">
        <v>837</v>
      </c>
      <c r="W548" s="902" t="s">
        <v>838</v>
      </c>
      <c r="X548" s="364"/>
      <c r="Y548" s="364"/>
      <c r="Z548" s="364"/>
      <c r="AA548"/>
      <c r="AB548"/>
      <c r="AC548"/>
      <c r="AD548"/>
    </row>
    <row r="549" spans="17:30" ht="12.75" customHeight="1">
      <c r="Q549" s="364"/>
      <c r="R549" s="892"/>
      <c r="S549" s="897"/>
      <c r="T549" s="901"/>
      <c r="U549" s="901"/>
      <c r="V549" s="901"/>
      <c r="W549" s="903"/>
      <c r="X549" s="364"/>
      <c r="Y549" s="364"/>
      <c r="Z549" s="364"/>
      <c r="AA549"/>
      <c r="AB549"/>
      <c r="AC549"/>
      <c r="AD549"/>
    </row>
    <row r="550" spans="17:30" ht="12.75" customHeight="1">
      <c r="Q550" s="364"/>
      <c r="R550" s="892"/>
      <c r="S550" s="897"/>
      <c r="T550" s="704">
        <f>T537-PPE!$I$15</f>
        <v>91.175066556366886</v>
      </c>
      <c r="U550" s="560">
        <f>U544</f>
        <v>2.6666666666666665</v>
      </c>
      <c r="V550" s="690">
        <f>IF(T550&gt;0,W550*U550," ")</f>
        <v>138.33333333333331</v>
      </c>
      <c r="W550" s="691">
        <f>IF(T550&gt;0,(VLOOKUP(T550,'Lookup Ready-reckoner'!$B$5:$E$1207,4))," ")</f>
        <v>51.875</v>
      </c>
      <c r="X550" s="364"/>
      <c r="Y550" s="364"/>
      <c r="Z550" s="364"/>
      <c r="AA550"/>
      <c r="AB550"/>
      <c r="AC550"/>
      <c r="AD550"/>
    </row>
    <row r="551" spans="17:30" ht="12.75" customHeight="1">
      <c r="Q551" s="364"/>
      <c r="R551" s="898"/>
      <c r="S551" s="899"/>
      <c r="T551" s="447"/>
      <c r="U551" s="560"/>
      <c r="V551" s="690" t="str">
        <f>IF(T551&gt;0,W551*U551," ")</f>
        <v xml:space="preserve"> </v>
      </c>
      <c r="W551" s="691" t="str">
        <f>IF(T551&gt;0,(VLOOKUP(T551,'Lookup Ready-reckoner'!$B$5:$E$1007,4))," ")</f>
        <v xml:space="preserve"> </v>
      </c>
      <c r="X551" s="364"/>
      <c r="Y551" s="364"/>
      <c r="Z551" s="364"/>
      <c r="AA551"/>
      <c r="AB551"/>
      <c r="AC551"/>
      <c r="AD551"/>
    </row>
    <row r="552" spans="17:30" ht="12.75" customHeight="1" thickBot="1">
      <c r="Q552" s="364"/>
      <c r="R552" s="692" t="s">
        <v>839</v>
      </c>
      <c r="S552" s="693"/>
      <c r="T552" s="693"/>
      <c r="U552" s="705">
        <f>IF(T550&gt;0,(VLOOKUP(V552,'Lookup Ready-reckoner'!$L$5:$M$1207,2))," ")</f>
        <v>86.35</v>
      </c>
      <c r="V552" s="695">
        <f>IF(U550&gt;0,(SUM(V550:V551))," ")</f>
        <v>138.33333333333331</v>
      </c>
      <c r="W552" s="696"/>
      <c r="X552" s="364"/>
      <c r="Y552" s="364"/>
      <c r="Z552" s="364"/>
      <c r="AA552"/>
      <c r="AB552"/>
      <c r="AC552"/>
      <c r="AD552"/>
    </row>
    <row r="553" spans="17:30" ht="12.75" customHeight="1">
      <c r="Q553" s="364"/>
      <c r="R553" s="364"/>
      <c r="S553" s="364"/>
      <c r="T553" s="364"/>
      <c r="U553" s="364"/>
      <c r="V553" s="364"/>
      <c r="W553" s="364"/>
      <c r="X553" s="364"/>
      <c r="Y553" s="364"/>
      <c r="Z553" s="364"/>
      <c r="AA553"/>
      <c r="AB553"/>
      <c r="AC553"/>
      <c r="AD553"/>
    </row>
    <row r="554" spans="17:30" ht="12.75" customHeight="1">
      <c r="Q554"/>
      <c r="R554"/>
      <c r="S554"/>
      <c r="T554"/>
      <c r="U554"/>
      <c r="V554"/>
      <c r="W554"/>
      <c r="X554"/>
      <c r="Y554"/>
      <c r="Z554"/>
      <c r="AA554"/>
      <c r="AB554"/>
      <c r="AC554"/>
      <c r="AD554"/>
    </row>
    <row r="555" spans="17:30" ht="12.75" customHeight="1">
      <c r="Q555"/>
      <c r="R555"/>
      <c r="S555"/>
      <c r="T555"/>
      <c r="U555"/>
      <c r="V555"/>
      <c r="W555"/>
      <c r="X555"/>
      <c r="Y555"/>
      <c r="Z555"/>
      <c r="AA555"/>
      <c r="AB555"/>
      <c r="AC555"/>
      <c r="AD555"/>
    </row>
    <row r="556" spans="17:30" ht="12.75" customHeight="1">
      <c r="Q556"/>
      <c r="R556"/>
      <c r="S556"/>
      <c r="T556"/>
      <c r="U556"/>
      <c r="V556"/>
      <c r="W556"/>
      <c r="X556"/>
      <c r="Y556"/>
      <c r="Z556"/>
      <c r="AA556"/>
      <c r="AB556"/>
      <c r="AC556"/>
      <c r="AD556"/>
    </row>
    <row r="557" spans="17:30" ht="12.75" customHeight="1">
      <c r="Q557"/>
      <c r="R557"/>
      <c r="S557"/>
      <c r="T557"/>
      <c r="U557"/>
      <c r="V557"/>
      <c r="W557"/>
      <c r="X557"/>
      <c r="Y557"/>
      <c r="Z557"/>
      <c r="AA557"/>
      <c r="AB557"/>
      <c r="AC557"/>
      <c r="AD557"/>
    </row>
    <row r="558" spans="17:30" ht="12.75" customHeight="1">
      <c r="Q558"/>
      <c r="R558"/>
      <c r="S558"/>
      <c r="T558"/>
      <c r="U558"/>
      <c r="V558"/>
      <c r="W558"/>
      <c r="X558"/>
      <c r="Y558"/>
      <c r="Z558"/>
      <c r="AA558"/>
      <c r="AB558"/>
      <c r="AC558"/>
      <c r="AD558"/>
    </row>
    <row r="559" spans="17:30" ht="12.75" customHeight="1">
      <c r="Q559"/>
      <c r="R559"/>
      <c r="S559"/>
      <c r="T559"/>
      <c r="U559"/>
      <c r="V559"/>
      <c r="W559"/>
      <c r="X559"/>
      <c r="Y559"/>
      <c r="Z559"/>
      <c r="AA559"/>
      <c r="AB559"/>
      <c r="AC559"/>
      <c r="AD559"/>
    </row>
    <row r="560" spans="17:30" ht="12.75" customHeight="1">
      <c r="Q560"/>
      <c r="R560"/>
      <c r="S560"/>
      <c r="T560"/>
      <c r="U560"/>
      <c r="V560"/>
      <c r="W560"/>
      <c r="X560"/>
      <c r="Y560"/>
      <c r="Z560"/>
      <c r="AA560"/>
      <c r="AB560"/>
      <c r="AC560"/>
      <c r="AD560"/>
    </row>
    <row r="561" spans="17:30" ht="12.75" customHeight="1">
      <c r="Q561"/>
      <c r="R561"/>
      <c r="S561"/>
      <c r="T561"/>
      <c r="U561"/>
      <c r="V561"/>
      <c r="W561"/>
      <c r="X561"/>
      <c r="Y561"/>
      <c r="Z561"/>
      <c r="AA561"/>
      <c r="AB561"/>
      <c r="AC561"/>
      <c r="AD561"/>
    </row>
    <row r="562" spans="17:30" ht="12.75" customHeight="1">
      <c r="Q562"/>
      <c r="R562"/>
      <c r="S562"/>
      <c r="T562"/>
      <c r="U562"/>
      <c r="V562"/>
      <c r="W562"/>
      <c r="X562"/>
      <c r="Y562"/>
      <c r="Z562"/>
      <c r="AA562"/>
      <c r="AB562"/>
      <c r="AC562"/>
      <c r="AD562"/>
    </row>
    <row r="563" spans="17:30" ht="12.75" customHeight="1">
      <c r="Q563"/>
      <c r="R563"/>
      <c r="S563"/>
      <c r="T563"/>
      <c r="U563"/>
      <c r="V563"/>
      <c r="W563"/>
      <c r="X563"/>
      <c r="Y563"/>
      <c r="Z563"/>
      <c r="AA563"/>
      <c r="AB563"/>
      <c r="AC563"/>
      <c r="AD563"/>
    </row>
    <row r="564" spans="17:30" ht="12.75" customHeight="1">
      <c r="Q564"/>
      <c r="R564"/>
      <c r="S564"/>
      <c r="T564"/>
      <c r="U564"/>
      <c r="V564"/>
      <c r="W564"/>
      <c r="X564"/>
      <c r="Y564"/>
      <c r="Z564"/>
      <c r="AA564"/>
      <c r="AB564"/>
      <c r="AC564"/>
      <c r="AD564"/>
    </row>
    <row r="565" spans="17:30" ht="12.75" customHeight="1">
      <c r="Q565"/>
      <c r="R565"/>
      <c r="S565"/>
      <c r="T565"/>
      <c r="U565"/>
      <c r="V565"/>
      <c r="W565"/>
      <c r="X565"/>
      <c r="Y565"/>
      <c r="Z565"/>
      <c r="AA565"/>
      <c r="AB565"/>
      <c r="AC565"/>
      <c r="AD565"/>
    </row>
    <row r="566" spans="17:30" ht="12.75" customHeight="1">
      <c r="Q566"/>
      <c r="R566"/>
      <c r="S566"/>
      <c r="T566"/>
      <c r="U566"/>
      <c r="V566"/>
      <c r="W566"/>
      <c r="X566"/>
      <c r="Y566"/>
      <c r="Z566"/>
      <c r="AA566"/>
      <c r="AB566"/>
      <c r="AC566"/>
      <c r="AD566"/>
    </row>
    <row r="567" spans="17:30" ht="12.75" customHeight="1">
      <c r="Q567"/>
      <c r="R567"/>
      <c r="S567"/>
      <c r="T567"/>
      <c r="U567"/>
      <c r="V567"/>
      <c r="W567"/>
      <c r="X567"/>
      <c r="Y567"/>
      <c r="Z567"/>
      <c r="AA567"/>
      <c r="AB567"/>
      <c r="AC567"/>
      <c r="AD567"/>
    </row>
    <row r="568" spans="17:30" ht="12.75" customHeight="1">
      <c r="Q568"/>
      <c r="R568"/>
      <c r="S568"/>
      <c r="T568"/>
      <c r="U568"/>
      <c r="V568"/>
      <c r="W568"/>
      <c r="X568"/>
      <c r="Y568"/>
      <c r="Z568"/>
      <c r="AA568"/>
      <c r="AB568"/>
      <c r="AC568"/>
      <c r="AD568"/>
    </row>
    <row r="569" spans="17:30" ht="12.75" customHeight="1">
      <c r="Q569"/>
      <c r="R569"/>
      <c r="S569"/>
      <c r="T569"/>
      <c r="U569"/>
      <c r="V569"/>
      <c r="W569"/>
      <c r="X569"/>
      <c r="Y569"/>
      <c r="Z569"/>
      <c r="AA569"/>
      <c r="AB569"/>
      <c r="AC569"/>
      <c r="AD569"/>
    </row>
    <row r="570" spans="17:30" ht="12.75" customHeight="1">
      <c r="Q570"/>
      <c r="R570"/>
      <c r="S570"/>
      <c r="T570"/>
      <c r="U570"/>
      <c r="V570"/>
      <c r="W570"/>
      <c r="X570"/>
      <c r="Y570"/>
      <c r="Z570"/>
      <c r="AA570"/>
      <c r="AB570"/>
      <c r="AC570"/>
      <c r="AD570"/>
    </row>
    <row r="571" spans="17:30" ht="12.75" customHeight="1">
      <c r="Q571"/>
      <c r="R571"/>
      <c r="S571"/>
      <c r="T571"/>
      <c r="U571"/>
      <c r="V571"/>
      <c r="W571"/>
      <c r="X571"/>
      <c r="Y571"/>
      <c r="Z571"/>
      <c r="AA571"/>
      <c r="AB571"/>
      <c r="AC571"/>
      <c r="AD571"/>
    </row>
    <row r="572" spans="17:30" ht="12.75" customHeight="1">
      <c r="Q572"/>
      <c r="R572"/>
      <c r="S572"/>
      <c r="T572"/>
      <c r="U572"/>
      <c r="V572"/>
      <c r="W572"/>
      <c r="X572"/>
      <c r="Y572"/>
      <c r="Z572"/>
      <c r="AA572"/>
      <c r="AB572"/>
      <c r="AC572"/>
      <c r="AD572"/>
    </row>
    <row r="573" spans="17:30" ht="12.75" customHeight="1">
      <c r="Q573"/>
      <c r="R573"/>
      <c r="S573"/>
      <c r="T573"/>
      <c r="U573"/>
      <c r="V573"/>
      <c r="W573"/>
      <c r="X573"/>
      <c r="Y573"/>
      <c r="Z573"/>
      <c r="AA573"/>
      <c r="AB573"/>
      <c r="AC573"/>
      <c r="AD573"/>
    </row>
    <row r="574" spans="17:30" ht="12.75" customHeight="1">
      <c r="Q574"/>
      <c r="R574"/>
      <c r="S574"/>
      <c r="T574"/>
      <c r="U574"/>
      <c r="V574"/>
      <c r="W574"/>
      <c r="X574"/>
      <c r="Y574"/>
      <c r="Z574"/>
      <c r="AA574"/>
      <c r="AB574"/>
      <c r="AC574"/>
      <c r="AD574"/>
    </row>
    <row r="575" spans="17:30" ht="12.75" customHeight="1">
      <c r="Q575"/>
      <c r="R575"/>
      <c r="S575"/>
      <c r="T575"/>
      <c r="U575"/>
      <c r="V575"/>
      <c r="W575"/>
      <c r="X575"/>
      <c r="Y575"/>
      <c r="Z575"/>
      <c r="AA575"/>
      <c r="AB575"/>
      <c r="AC575"/>
      <c r="AD575"/>
    </row>
    <row r="576" spans="17:30" ht="12.75" customHeight="1">
      <c r="Q576"/>
      <c r="R576"/>
      <c r="S576"/>
      <c r="T576"/>
      <c r="U576"/>
      <c r="V576"/>
      <c r="W576"/>
      <c r="X576"/>
      <c r="Y576"/>
      <c r="Z576"/>
      <c r="AA576"/>
      <c r="AB576"/>
      <c r="AC576"/>
      <c r="AD576"/>
    </row>
    <row r="577" spans="17:30" ht="12.75" customHeight="1">
      <c r="Q577"/>
      <c r="R577"/>
      <c r="S577"/>
      <c r="T577"/>
      <c r="U577"/>
      <c r="V577"/>
      <c r="W577"/>
      <c r="X577"/>
      <c r="Y577"/>
      <c r="Z577"/>
      <c r="AA577"/>
      <c r="AB577"/>
      <c r="AC577"/>
      <c r="AD577"/>
    </row>
    <row r="578" spans="17:30" ht="12.75" customHeight="1">
      <c r="Q578"/>
      <c r="R578"/>
      <c r="S578"/>
      <c r="T578"/>
      <c r="U578"/>
      <c r="V578"/>
      <c r="W578"/>
      <c r="X578"/>
      <c r="Y578"/>
      <c r="Z578"/>
      <c r="AA578"/>
      <c r="AB578"/>
      <c r="AC578"/>
      <c r="AD578"/>
    </row>
    <row r="579" spans="17:30" ht="12.75" customHeight="1">
      <c r="Q579"/>
      <c r="R579"/>
      <c r="S579"/>
      <c r="T579"/>
      <c r="U579"/>
      <c r="V579"/>
      <c r="W579"/>
      <c r="X579"/>
      <c r="Y579"/>
      <c r="Z579"/>
      <c r="AA579"/>
      <c r="AB579"/>
      <c r="AC579"/>
      <c r="AD579"/>
    </row>
    <row r="580" spans="17:30" ht="12.75" customHeight="1">
      <c r="Q580"/>
      <c r="R580"/>
      <c r="S580"/>
      <c r="T580"/>
      <c r="U580"/>
      <c r="V580"/>
      <c r="W580"/>
      <c r="X580"/>
      <c r="Y580"/>
      <c r="Z580"/>
      <c r="AA580"/>
      <c r="AB580"/>
      <c r="AC580"/>
      <c r="AD580"/>
    </row>
    <row r="581" spans="17:30" ht="12.75" customHeight="1">
      <c r="Q581"/>
      <c r="R581"/>
      <c r="S581"/>
      <c r="T581"/>
      <c r="U581"/>
      <c r="V581"/>
      <c r="W581"/>
      <c r="X581"/>
      <c r="Y581"/>
      <c r="Z581"/>
      <c r="AA581"/>
      <c r="AB581"/>
      <c r="AC581"/>
      <c r="AD581"/>
    </row>
    <row r="582" spans="17:30" ht="12.75" customHeight="1">
      <c r="Q582"/>
      <c r="R582"/>
      <c r="S582"/>
      <c r="T582"/>
      <c r="U582"/>
      <c r="V582"/>
      <c r="W582"/>
      <c r="X582"/>
      <c r="Y582"/>
      <c r="Z582"/>
      <c r="AA582"/>
      <c r="AB582"/>
      <c r="AC582"/>
      <c r="AD582"/>
    </row>
    <row r="583" spans="17:30" ht="12.75" customHeight="1">
      <c r="Q583"/>
      <c r="R583"/>
      <c r="S583"/>
      <c r="T583"/>
      <c r="U583"/>
      <c r="V583"/>
      <c r="W583"/>
      <c r="X583"/>
      <c r="Y583"/>
      <c r="Z583"/>
      <c r="AA583"/>
      <c r="AB583"/>
      <c r="AC583"/>
      <c r="AD583"/>
    </row>
    <row r="584" spans="17:30" ht="12.75" customHeight="1">
      <c r="Q584"/>
      <c r="R584"/>
      <c r="S584"/>
      <c r="T584"/>
      <c r="U584"/>
      <c r="V584"/>
      <c r="W584"/>
      <c r="X584"/>
      <c r="Y584"/>
      <c r="Z584"/>
      <c r="AA584"/>
      <c r="AB584"/>
      <c r="AC584"/>
      <c r="AD584"/>
    </row>
    <row r="585" spans="17:30" ht="12.75" customHeight="1">
      <c r="Q585"/>
      <c r="R585"/>
      <c r="S585"/>
      <c r="T585"/>
      <c r="U585"/>
      <c r="V585"/>
      <c r="W585"/>
      <c r="X585"/>
      <c r="Y585"/>
      <c r="Z585"/>
      <c r="AA585"/>
      <c r="AB585"/>
      <c r="AC585"/>
      <c r="AD585"/>
    </row>
    <row r="586" spans="17:30" ht="12.75" customHeight="1">
      <c r="Q586"/>
      <c r="R586"/>
      <c r="S586"/>
      <c r="T586"/>
      <c r="U586"/>
      <c r="V586"/>
      <c r="W586"/>
      <c r="X586"/>
      <c r="Y586"/>
      <c r="Z586"/>
      <c r="AA586"/>
      <c r="AB586"/>
      <c r="AC586"/>
      <c r="AD586"/>
    </row>
    <row r="587" spans="17:30" ht="12.75" customHeight="1">
      <c r="Q587"/>
      <c r="R587"/>
      <c r="S587"/>
      <c r="T587"/>
      <c r="U587"/>
      <c r="V587"/>
      <c r="W587"/>
      <c r="X587"/>
      <c r="Y587"/>
      <c r="Z587"/>
      <c r="AA587"/>
      <c r="AB587"/>
      <c r="AC587"/>
      <c r="AD587"/>
    </row>
    <row r="588" spans="17:30" ht="12.75" customHeight="1">
      <c r="Q588"/>
      <c r="R588"/>
      <c r="S588"/>
      <c r="T588"/>
      <c r="U588"/>
      <c r="V588"/>
      <c r="W588"/>
      <c r="X588"/>
      <c r="Y588"/>
      <c r="Z588"/>
      <c r="AA588"/>
      <c r="AB588"/>
      <c r="AC588"/>
      <c r="AD588"/>
    </row>
    <row r="589" spans="17:30" ht="12.75" customHeight="1">
      <c r="Q589"/>
      <c r="R589"/>
      <c r="S589"/>
      <c r="T589"/>
      <c r="U589"/>
      <c r="V589"/>
      <c r="W589"/>
      <c r="X589"/>
      <c r="Y589"/>
      <c r="Z589"/>
      <c r="AA589"/>
      <c r="AB589"/>
      <c r="AC589"/>
      <c r="AD589"/>
    </row>
    <row r="590" spans="17:30" ht="12.75" customHeight="1">
      <c r="Q590"/>
      <c r="R590"/>
      <c r="S590"/>
      <c r="T590"/>
      <c r="U590"/>
      <c r="V590"/>
      <c r="W590"/>
      <c r="X590"/>
      <c r="Y590"/>
      <c r="Z590"/>
      <c r="AA590"/>
      <c r="AB590"/>
      <c r="AC590"/>
      <c r="AD590"/>
    </row>
    <row r="591" spans="17:30" ht="12.75" customHeight="1">
      <c r="Q591"/>
      <c r="R591"/>
      <c r="S591"/>
      <c r="T591"/>
      <c r="U591"/>
      <c r="V591"/>
      <c r="W591"/>
      <c r="X591"/>
      <c r="Y591"/>
      <c r="Z591"/>
      <c r="AA591"/>
      <c r="AB591"/>
      <c r="AC591"/>
      <c r="AD591"/>
    </row>
    <row r="592" spans="17:30" ht="12.75" customHeight="1">
      <c r="Q592"/>
      <c r="R592"/>
      <c r="S592"/>
      <c r="T592"/>
      <c r="U592"/>
      <c r="V592"/>
      <c r="W592"/>
      <c r="X592"/>
      <c r="Y592"/>
      <c r="Z592"/>
      <c r="AA592"/>
      <c r="AB592"/>
      <c r="AC592"/>
      <c r="AD592"/>
    </row>
    <row r="593" spans="17:30" ht="12.75" customHeight="1">
      <c r="Q593"/>
      <c r="R593"/>
      <c r="S593"/>
      <c r="T593"/>
      <c r="U593"/>
      <c r="V593"/>
      <c r="W593"/>
      <c r="X593"/>
      <c r="Y593"/>
      <c r="Z593"/>
      <c r="AA593"/>
      <c r="AB593"/>
      <c r="AC593"/>
      <c r="AD593"/>
    </row>
    <row r="594" spans="17:30" ht="12.75" customHeight="1">
      <c r="Q594"/>
      <c r="R594"/>
      <c r="S594"/>
      <c r="T594"/>
      <c r="U594"/>
      <c r="V594"/>
      <c r="W594"/>
      <c r="X594"/>
      <c r="Y594"/>
      <c r="Z594"/>
      <c r="AA594"/>
      <c r="AB594"/>
      <c r="AC594"/>
      <c r="AD594"/>
    </row>
    <row r="595" spans="17:30" ht="12.75" customHeight="1">
      <c r="Q595"/>
      <c r="R595"/>
      <c r="S595"/>
      <c r="T595"/>
      <c r="U595"/>
      <c r="V595"/>
      <c r="W595"/>
      <c r="X595"/>
      <c r="Y595"/>
      <c r="Z595"/>
      <c r="AA595"/>
      <c r="AB595"/>
      <c r="AC595"/>
      <c r="AD595"/>
    </row>
    <row r="596" spans="17:30" ht="12.75" customHeight="1">
      <c r="Q596"/>
      <c r="R596"/>
      <c r="S596"/>
      <c r="T596"/>
      <c r="U596"/>
      <c r="V596"/>
      <c r="W596"/>
      <c r="X596"/>
      <c r="Y596"/>
      <c r="Z596"/>
      <c r="AA596"/>
      <c r="AB596"/>
      <c r="AC596"/>
      <c r="AD596"/>
    </row>
    <row r="597" spans="17:30" ht="12.75" customHeight="1">
      <c r="Q597"/>
      <c r="R597"/>
      <c r="S597"/>
      <c r="T597"/>
      <c r="U597"/>
      <c r="V597"/>
      <c r="W597"/>
      <c r="X597"/>
      <c r="Y597"/>
      <c r="Z597"/>
      <c r="AA597"/>
      <c r="AB597"/>
      <c r="AC597"/>
      <c r="AD597"/>
    </row>
    <row r="598" spans="17:30" ht="12.75" customHeight="1">
      <c r="Q598"/>
      <c r="R598"/>
      <c r="S598"/>
      <c r="T598"/>
      <c r="U598"/>
      <c r="V598"/>
      <c r="W598"/>
      <c r="X598"/>
      <c r="Y598"/>
      <c r="Z598"/>
      <c r="AA598"/>
      <c r="AB598"/>
      <c r="AC598"/>
      <c r="AD598"/>
    </row>
    <row r="599" spans="17:30" ht="12.75" customHeight="1">
      <c r="Q599"/>
      <c r="R599"/>
      <c r="S599"/>
      <c r="T599"/>
      <c r="U599"/>
      <c r="V599"/>
      <c r="W599"/>
      <c r="X599"/>
      <c r="Y599"/>
      <c r="Z599"/>
      <c r="AA599"/>
      <c r="AB599"/>
      <c r="AC599"/>
      <c r="AD599"/>
    </row>
    <row r="600" spans="17:30" ht="12.75" customHeight="1">
      <c r="Q600"/>
      <c r="R600"/>
      <c r="S600"/>
      <c r="T600"/>
      <c r="U600"/>
      <c r="V600"/>
      <c r="W600"/>
      <c r="X600"/>
      <c r="Y600"/>
      <c r="Z600"/>
      <c r="AA600"/>
      <c r="AB600"/>
      <c r="AC600"/>
      <c r="AD600"/>
    </row>
    <row r="601" spans="17:30" ht="12.75" customHeight="1">
      <c r="Q601"/>
      <c r="R601"/>
      <c r="S601"/>
      <c r="T601"/>
      <c r="U601"/>
      <c r="V601"/>
      <c r="W601"/>
      <c r="X601"/>
      <c r="Y601"/>
      <c r="Z601"/>
      <c r="AA601"/>
      <c r="AB601"/>
      <c r="AC601"/>
      <c r="AD601"/>
    </row>
    <row r="602" spans="17:30" ht="12.75" customHeight="1">
      <c r="Q602"/>
      <c r="R602"/>
      <c r="S602"/>
      <c r="T602"/>
      <c r="U602"/>
      <c r="V602"/>
      <c r="W602"/>
      <c r="X602"/>
      <c r="Y602"/>
      <c r="Z602"/>
      <c r="AA602"/>
      <c r="AB602"/>
      <c r="AC602"/>
      <c r="AD602"/>
    </row>
    <row r="603" spans="17:30" ht="12.75" customHeight="1">
      <c r="Q603"/>
      <c r="R603"/>
      <c r="S603"/>
      <c r="T603"/>
      <c r="U603"/>
      <c r="V603"/>
      <c r="W603"/>
      <c r="X603"/>
      <c r="Y603"/>
      <c r="Z603"/>
      <c r="AA603"/>
      <c r="AB603"/>
      <c r="AC603"/>
      <c r="AD603"/>
    </row>
    <row r="604" spans="17:30" ht="12.75" customHeight="1">
      <c r="Q604"/>
      <c r="R604"/>
      <c r="S604"/>
      <c r="T604"/>
      <c r="U604"/>
      <c r="V604"/>
      <c r="W604"/>
      <c r="X604"/>
      <c r="Y604"/>
      <c r="Z604"/>
      <c r="AA604"/>
      <c r="AB604"/>
      <c r="AC604"/>
      <c r="AD604"/>
    </row>
    <row r="605" spans="17:30" ht="12.75" customHeight="1">
      <c r="Q605"/>
      <c r="R605"/>
      <c r="S605"/>
      <c r="T605"/>
      <c r="U605"/>
      <c r="V605"/>
      <c r="W605"/>
      <c r="X605"/>
      <c r="Y605"/>
      <c r="Z605"/>
      <c r="AA605"/>
      <c r="AB605"/>
      <c r="AC605"/>
      <c r="AD605"/>
    </row>
    <row r="606" spans="17:30" ht="12.75" customHeight="1">
      <c r="Q606"/>
      <c r="R606"/>
      <c r="S606"/>
      <c r="T606"/>
      <c r="U606"/>
      <c r="V606"/>
      <c r="W606"/>
      <c r="X606"/>
      <c r="Y606"/>
      <c r="Z606"/>
      <c r="AA606"/>
      <c r="AB606"/>
      <c r="AC606"/>
      <c r="AD606"/>
    </row>
    <row r="607" spans="17:30" ht="12.75" customHeight="1">
      <c r="Q607"/>
      <c r="R607"/>
      <c r="S607"/>
      <c r="T607"/>
      <c r="U607"/>
      <c r="V607"/>
      <c r="W607"/>
      <c r="X607"/>
      <c r="Y607"/>
      <c r="Z607"/>
      <c r="AA607"/>
      <c r="AB607"/>
      <c r="AC607"/>
      <c r="AD607"/>
    </row>
    <row r="608" spans="17:30" ht="12.75" customHeight="1">
      <c r="Q608"/>
      <c r="R608"/>
      <c r="S608"/>
      <c r="T608"/>
      <c r="U608"/>
      <c r="V608"/>
      <c r="W608"/>
      <c r="X608"/>
      <c r="Y608"/>
      <c r="Z608"/>
      <c r="AA608"/>
      <c r="AB608"/>
      <c r="AC608"/>
      <c r="AD608"/>
    </row>
    <row r="609" spans="17:30" ht="12.75" customHeight="1">
      <c r="Q609"/>
      <c r="R609"/>
      <c r="S609"/>
      <c r="T609"/>
      <c r="U609"/>
      <c r="V609"/>
      <c r="W609"/>
      <c r="X609"/>
      <c r="Y609"/>
      <c r="Z609"/>
      <c r="AA609"/>
      <c r="AB609"/>
      <c r="AC609"/>
      <c r="AD609"/>
    </row>
    <row r="610" spans="17:30" ht="12.75" customHeight="1">
      <c r="Q610"/>
      <c r="R610"/>
      <c r="S610"/>
      <c r="T610"/>
      <c r="U610"/>
      <c r="V610"/>
      <c r="W610"/>
      <c r="X610"/>
      <c r="Y610"/>
      <c r="Z610"/>
      <c r="AA610"/>
      <c r="AB610"/>
      <c r="AC610"/>
      <c r="AD610"/>
    </row>
    <row r="611" spans="17:30" ht="12.75" customHeight="1">
      <c r="Q611"/>
      <c r="R611"/>
      <c r="S611"/>
      <c r="T611"/>
      <c r="U611"/>
      <c r="V611"/>
      <c r="W611"/>
      <c r="X611"/>
      <c r="Y611"/>
      <c r="Z611"/>
      <c r="AA611"/>
      <c r="AB611"/>
      <c r="AC611"/>
      <c r="AD611"/>
    </row>
    <row r="612" spans="17:30" ht="12.75" customHeight="1">
      <c r="Q612"/>
      <c r="R612"/>
      <c r="S612"/>
      <c r="T612"/>
      <c r="U612"/>
      <c r="V612"/>
      <c r="W612"/>
      <c r="X612"/>
      <c r="Y612"/>
      <c r="Z612"/>
      <c r="AA612"/>
      <c r="AB612"/>
      <c r="AC612"/>
      <c r="AD612"/>
    </row>
    <row r="613" spans="17:30" ht="12.75" customHeight="1">
      <c r="Q613"/>
      <c r="R613"/>
      <c r="S613"/>
      <c r="T613"/>
      <c r="U613"/>
      <c r="V613"/>
      <c r="W613"/>
      <c r="X613"/>
      <c r="Y613"/>
      <c r="Z613"/>
      <c r="AA613"/>
      <c r="AB613"/>
      <c r="AC613"/>
      <c r="AD613"/>
    </row>
    <row r="614" spans="17:30" ht="12.75" customHeight="1">
      <c r="Q614"/>
      <c r="R614"/>
      <c r="S614"/>
      <c r="T614"/>
      <c r="U614"/>
      <c r="V614"/>
      <c r="W614"/>
      <c r="X614"/>
      <c r="Y614"/>
      <c r="Z614"/>
      <c r="AA614"/>
      <c r="AB614"/>
      <c r="AC614"/>
      <c r="AD614"/>
    </row>
    <row r="615" spans="17:30" ht="12.75" customHeight="1">
      <c r="Q615"/>
      <c r="R615"/>
      <c r="S615"/>
      <c r="T615"/>
      <c r="U615"/>
      <c r="V615"/>
      <c r="W615"/>
      <c r="X615"/>
      <c r="Y615"/>
      <c r="Z615"/>
      <c r="AA615"/>
      <c r="AB615"/>
      <c r="AC615"/>
      <c r="AD615"/>
    </row>
    <row r="616" spans="17:30" ht="12.75" customHeight="1">
      <c r="Q616"/>
      <c r="R616"/>
      <c r="S616"/>
      <c r="T616"/>
      <c r="U616"/>
      <c r="V616"/>
      <c r="W616"/>
      <c r="X616"/>
      <c r="Y616"/>
      <c r="Z616"/>
      <c r="AA616"/>
      <c r="AB616"/>
      <c r="AC616"/>
      <c r="AD616"/>
    </row>
    <row r="617" spans="17:30" ht="12.75" customHeight="1">
      <c r="Q617"/>
      <c r="R617"/>
      <c r="S617"/>
      <c r="T617"/>
      <c r="U617"/>
      <c r="V617"/>
      <c r="W617"/>
      <c r="X617"/>
      <c r="Y617"/>
      <c r="Z617"/>
      <c r="AA617"/>
      <c r="AB617"/>
      <c r="AC617"/>
      <c r="AD617"/>
    </row>
    <row r="618" spans="17:30" ht="12.75" customHeight="1">
      <c r="Q618"/>
      <c r="R618"/>
      <c r="S618"/>
      <c r="T618"/>
      <c r="U618"/>
      <c r="V618"/>
      <c r="W618"/>
      <c r="X618"/>
      <c r="Y618"/>
      <c r="Z618"/>
      <c r="AA618"/>
      <c r="AB618"/>
      <c r="AC618"/>
      <c r="AD618"/>
    </row>
    <row r="619" spans="17:30" ht="12.75" customHeight="1">
      <c r="Q619"/>
      <c r="R619"/>
      <c r="S619"/>
      <c r="T619"/>
      <c r="U619"/>
      <c r="V619"/>
      <c r="W619"/>
      <c r="X619"/>
      <c r="Y619"/>
      <c r="Z619"/>
      <c r="AA619"/>
      <c r="AB619"/>
      <c r="AC619"/>
      <c r="AD619"/>
    </row>
    <row r="620" spans="17:30" ht="12.75" customHeight="1">
      <c r="Q620"/>
      <c r="R620"/>
      <c r="S620"/>
      <c r="T620"/>
      <c r="U620"/>
      <c r="V620"/>
      <c r="W620"/>
      <c r="X620"/>
      <c r="Y620"/>
      <c r="Z620"/>
      <c r="AA620"/>
      <c r="AB620"/>
      <c r="AC620"/>
      <c r="AD620"/>
    </row>
    <row r="621" spans="17:30" ht="12.75" customHeight="1">
      <c r="Q621"/>
      <c r="R621"/>
      <c r="S621"/>
      <c r="T621"/>
      <c r="U621"/>
      <c r="V621"/>
      <c r="W621"/>
      <c r="X621"/>
      <c r="Y621"/>
      <c r="Z621"/>
      <c r="AA621"/>
      <c r="AB621"/>
      <c r="AC621"/>
      <c r="AD621"/>
    </row>
    <row r="622" spans="17:30" ht="12.75" customHeight="1">
      <c r="Q622"/>
      <c r="R622"/>
      <c r="S622"/>
      <c r="T622"/>
      <c r="U622"/>
      <c r="V622"/>
      <c r="W622"/>
      <c r="X622"/>
      <c r="Y622"/>
      <c r="Z622"/>
      <c r="AA622"/>
      <c r="AB622"/>
      <c r="AC622"/>
      <c r="AD622"/>
    </row>
    <row r="623" spans="17:30" ht="12.75" customHeight="1">
      <c r="Q623"/>
      <c r="R623"/>
      <c r="S623"/>
      <c r="T623"/>
      <c r="U623"/>
      <c r="V623"/>
      <c r="W623"/>
      <c r="X623"/>
      <c r="Y623"/>
      <c r="Z623"/>
      <c r="AA623"/>
      <c r="AB623"/>
      <c r="AC623"/>
      <c r="AD623"/>
    </row>
    <row r="624" spans="17:30" ht="12.75" customHeight="1">
      <c r="Q624"/>
      <c r="R624"/>
      <c r="S624"/>
      <c r="T624"/>
      <c r="U624"/>
      <c r="V624"/>
      <c r="W624"/>
      <c r="X624"/>
      <c r="Y624"/>
      <c r="Z624"/>
      <c r="AA624"/>
      <c r="AB624"/>
      <c r="AC624"/>
      <c r="AD624"/>
    </row>
    <row r="625" spans="17:30" ht="12.75" customHeight="1">
      <c r="Q625"/>
      <c r="R625"/>
      <c r="S625"/>
      <c r="T625"/>
      <c r="U625"/>
      <c r="V625"/>
      <c r="W625"/>
      <c r="X625"/>
      <c r="Y625"/>
      <c r="Z625"/>
      <c r="AA625"/>
      <c r="AB625"/>
      <c r="AC625"/>
      <c r="AD625"/>
    </row>
    <row r="626" spans="17:30" ht="12.75" customHeight="1">
      <c r="Q626"/>
      <c r="R626"/>
      <c r="S626"/>
      <c r="T626"/>
      <c r="U626"/>
      <c r="V626"/>
      <c r="W626"/>
      <c r="X626"/>
      <c r="Y626"/>
      <c r="Z626"/>
      <c r="AA626"/>
      <c r="AB626"/>
      <c r="AC626"/>
      <c r="AD626"/>
    </row>
    <row r="627" spans="17:30" ht="12.75" customHeight="1">
      <c r="Q627"/>
      <c r="R627"/>
      <c r="S627"/>
      <c r="T627"/>
      <c r="U627"/>
      <c r="V627"/>
      <c r="W627"/>
      <c r="X627"/>
      <c r="Y627"/>
      <c r="Z627"/>
      <c r="AA627"/>
      <c r="AB627"/>
      <c r="AC627"/>
      <c r="AD627"/>
    </row>
    <row r="628" spans="17:30" ht="12.75" customHeight="1">
      <c r="Q628"/>
      <c r="R628"/>
      <c r="S628"/>
      <c r="T628"/>
      <c r="U628"/>
      <c r="V628"/>
      <c r="W628"/>
      <c r="X628"/>
      <c r="Y628"/>
      <c r="Z628"/>
      <c r="AA628"/>
      <c r="AB628"/>
      <c r="AC628"/>
      <c r="AD628"/>
    </row>
    <row r="629" spans="17:30" ht="12.75" customHeight="1">
      <c r="Q629"/>
      <c r="R629"/>
      <c r="S629"/>
      <c r="T629"/>
      <c r="U629"/>
      <c r="V629"/>
      <c r="W629"/>
      <c r="X629"/>
      <c r="Y629"/>
      <c r="Z629"/>
      <c r="AA629"/>
      <c r="AB629"/>
      <c r="AC629"/>
      <c r="AD629"/>
    </row>
    <row r="630" spans="17:30" ht="12.75" customHeight="1">
      <c r="Q630"/>
      <c r="R630"/>
      <c r="S630"/>
      <c r="T630"/>
      <c r="U630"/>
      <c r="V630"/>
      <c r="W630"/>
      <c r="X630"/>
      <c r="Y630"/>
      <c r="Z630"/>
      <c r="AA630"/>
      <c r="AB630"/>
      <c r="AC630"/>
      <c r="AD630"/>
    </row>
    <row r="631" spans="17:30" ht="12.75" customHeight="1">
      <c r="Q631"/>
      <c r="R631"/>
      <c r="S631"/>
      <c r="T631"/>
      <c r="U631"/>
      <c r="V631"/>
      <c r="W631"/>
      <c r="X631"/>
      <c r="Y631"/>
      <c r="Z631"/>
      <c r="AA631"/>
      <c r="AB631"/>
      <c r="AC631"/>
      <c r="AD631"/>
    </row>
    <row r="632" spans="17:30" ht="12.75" customHeight="1">
      <c r="Q632"/>
      <c r="R632"/>
      <c r="S632"/>
      <c r="T632"/>
      <c r="U632"/>
      <c r="V632"/>
      <c r="W632"/>
      <c r="X632"/>
      <c r="Y632"/>
      <c r="Z632"/>
      <c r="AA632"/>
      <c r="AB632"/>
      <c r="AC632"/>
      <c r="AD632"/>
    </row>
    <row r="633" spans="17:30" ht="12.75" customHeight="1">
      <c r="Q633"/>
      <c r="R633"/>
      <c r="S633"/>
      <c r="T633"/>
      <c r="U633"/>
      <c r="V633"/>
      <c r="W633"/>
      <c r="X633"/>
      <c r="Y633"/>
      <c r="Z633"/>
      <c r="AA633"/>
      <c r="AB633"/>
      <c r="AC633"/>
      <c r="AD633"/>
    </row>
    <row r="634" spans="17:30" ht="12.75" customHeight="1">
      <c r="Q634"/>
      <c r="R634"/>
      <c r="S634"/>
      <c r="T634"/>
      <c r="U634"/>
      <c r="V634"/>
      <c r="W634"/>
      <c r="X634"/>
      <c r="Y634"/>
      <c r="Z634"/>
      <c r="AA634"/>
      <c r="AB634"/>
      <c r="AC634"/>
      <c r="AD634"/>
    </row>
    <row r="635" spans="17:30" ht="12.75" customHeight="1">
      <c r="Q635"/>
      <c r="R635"/>
      <c r="S635"/>
      <c r="T635"/>
      <c r="U635"/>
      <c r="V635"/>
      <c r="W635"/>
      <c r="X635"/>
      <c r="Y635"/>
      <c r="Z635"/>
      <c r="AA635"/>
      <c r="AB635"/>
      <c r="AC635"/>
      <c r="AD635"/>
    </row>
    <row r="636" spans="17:30" ht="12.75" customHeight="1">
      <c r="Q636"/>
      <c r="R636"/>
      <c r="S636"/>
      <c r="T636"/>
      <c r="U636"/>
      <c r="V636"/>
      <c r="W636"/>
      <c r="X636"/>
      <c r="Y636"/>
      <c r="Z636"/>
      <c r="AA636"/>
      <c r="AB636"/>
      <c r="AC636"/>
      <c r="AD636"/>
    </row>
    <row r="637" spans="17:30" ht="12.75" customHeight="1">
      <c r="Q637"/>
      <c r="R637"/>
      <c r="S637"/>
      <c r="T637"/>
      <c r="U637"/>
      <c r="V637"/>
      <c r="W637"/>
      <c r="X637"/>
      <c r="Y637"/>
      <c r="Z637"/>
      <c r="AA637"/>
      <c r="AB637"/>
      <c r="AC637"/>
      <c r="AD637"/>
    </row>
    <row r="638" spans="17:30" ht="12.75" customHeight="1">
      <c r="Q638"/>
      <c r="R638"/>
      <c r="S638"/>
      <c r="T638"/>
      <c r="U638"/>
      <c r="V638"/>
      <c r="W638"/>
      <c r="X638"/>
      <c r="Y638"/>
      <c r="Z638"/>
      <c r="AA638"/>
      <c r="AB638"/>
      <c r="AC638"/>
      <c r="AD638"/>
    </row>
    <row r="639" spans="17:30" ht="12.75" customHeight="1">
      <c r="Q639"/>
      <c r="R639"/>
      <c r="S639"/>
      <c r="T639"/>
      <c r="U639"/>
      <c r="V639"/>
      <c r="W639"/>
      <c r="X639"/>
      <c r="Y639"/>
      <c r="Z639"/>
      <c r="AA639"/>
      <c r="AB639"/>
      <c r="AC639"/>
      <c r="AD639"/>
    </row>
    <row r="640" spans="17:30" ht="12.75" customHeight="1">
      <c r="Q640"/>
      <c r="R640"/>
      <c r="S640"/>
      <c r="T640"/>
      <c r="U640"/>
      <c r="V640"/>
      <c r="W640"/>
      <c r="X640"/>
      <c r="Y640"/>
      <c r="Z640"/>
      <c r="AA640"/>
      <c r="AB640"/>
      <c r="AC640"/>
      <c r="AD640"/>
    </row>
    <row r="641" spans="17:30" ht="12.75" customHeight="1">
      <c r="Q641"/>
      <c r="R641"/>
      <c r="S641"/>
      <c r="T641"/>
      <c r="U641"/>
      <c r="V641"/>
      <c r="W641"/>
      <c r="X641"/>
      <c r="Y641"/>
      <c r="Z641"/>
      <c r="AA641"/>
      <c r="AB641"/>
      <c r="AC641"/>
      <c r="AD641"/>
    </row>
    <row r="642" spans="17:30" ht="12.75" customHeight="1">
      <c r="Q642"/>
      <c r="R642"/>
      <c r="S642"/>
      <c r="T642"/>
      <c r="U642"/>
      <c r="V642"/>
      <c r="W642"/>
      <c r="X642"/>
      <c r="Y642"/>
      <c r="Z642"/>
      <c r="AA642"/>
      <c r="AB642"/>
      <c r="AC642"/>
      <c r="AD642"/>
    </row>
    <row r="643" spans="17:30" ht="12.75" customHeight="1">
      <c r="Q643"/>
      <c r="R643"/>
      <c r="S643"/>
      <c r="T643"/>
      <c r="U643"/>
      <c r="V643"/>
      <c r="W643"/>
      <c r="X643"/>
      <c r="Y643"/>
      <c r="Z643"/>
      <c r="AA643"/>
      <c r="AB643"/>
      <c r="AC643"/>
      <c r="AD643"/>
    </row>
    <row r="644" spans="17:30" ht="12.75" customHeight="1">
      <c r="Q644"/>
      <c r="R644"/>
      <c r="S644"/>
      <c r="T644"/>
      <c r="U644"/>
      <c r="V644"/>
      <c r="W644"/>
      <c r="X644"/>
      <c r="Y644"/>
      <c r="Z644"/>
      <c r="AA644"/>
      <c r="AB644"/>
      <c r="AC644"/>
      <c r="AD644"/>
    </row>
    <row r="645" spans="17:30" ht="12.75" customHeight="1">
      <c r="Q645"/>
      <c r="R645"/>
      <c r="S645"/>
      <c r="T645"/>
      <c r="U645"/>
      <c r="V645"/>
      <c r="W645"/>
      <c r="X645"/>
      <c r="Y645"/>
      <c r="Z645"/>
      <c r="AA645"/>
      <c r="AB645"/>
      <c r="AC645"/>
      <c r="AD645"/>
    </row>
    <row r="646" spans="17:30" ht="12.75" customHeight="1">
      <c r="Q646"/>
      <c r="R646"/>
      <c r="S646"/>
      <c r="T646"/>
      <c r="U646"/>
      <c r="V646"/>
      <c r="W646"/>
      <c r="X646"/>
      <c r="Y646"/>
      <c r="Z646"/>
      <c r="AA646"/>
      <c r="AB646"/>
      <c r="AC646"/>
      <c r="AD646"/>
    </row>
    <row r="647" spans="17:30" ht="12.75" customHeight="1">
      <c r="Q647"/>
      <c r="R647"/>
      <c r="S647"/>
      <c r="T647"/>
      <c r="U647"/>
      <c r="V647"/>
      <c r="W647"/>
      <c r="X647"/>
      <c r="Y647"/>
      <c r="Z647"/>
      <c r="AA647"/>
      <c r="AB647"/>
      <c r="AC647"/>
      <c r="AD647"/>
    </row>
    <row r="648" spans="17:30" ht="12.75" customHeight="1">
      <c r="Q648"/>
      <c r="R648"/>
      <c r="S648"/>
      <c r="T648"/>
      <c r="U648"/>
      <c r="V648"/>
      <c r="W648"/>
      <c r="X648"/>
      <c r="Y648"/>
      <c r="Z648"/>
      <c r="AA648"/>
      <c r="AB648"/>
      <c r="AC648"/>
      <c r="AD648"/>
    </row>
    <row r="649" spans="17:30" ht="12.75" customHeight="1">
      <c r="Q649"/>
      <c r="R649"/>
      <c r="S649"/>
      <c r="T649"/>
      <c r="U649"/>
      <c r="V649"/>
      <c r="W649"/>
      <c r="X649"/>
      <c r="Y649"/>
      <c r="Z649"/>
      <c r="AA649"/>
      <c r="AB649"/>
      <c r="AC649"/>
      <c r="AD649"/>
    </row>
    <row r="650" spans="17:30" ht="12.75" customHeight="1">
      <c r="Q650"/>
      <c r="R650"/>
      <c r="S650"/>
      <c r="T650"/>
      <c r="U650"/>
      <c r="V650"/>
      <c r="W650"/>
      <c r="X650"/>
      <c r="Y650"/>
      <c r="Z650"/>
      <c r="AA650"/>
      <c r="AB650"/>
      <c r="AC650"/>
      <c r="AD650"/>
    </row>
    <row r="651" spans="17:30" ht="12.75" customHeight="1">
      <c r="Q651"/>
      <c r="R651"/>
      <c r="S651"/>
      <c r="T651"/>
      <c r="U651"/>
      <c r="V651"/>
      <c r="W651"/>
      <c r="X651"/>
      <c r="Y651"/>
      <c r="Z651"/>
      <c r="AA651"/>
      <c r="AB651"/>
      <c r="AC651"/>
      <c r="AD651"/>
    </row>
    <row r="652" spans="17:30" ht="12.75" customHeight="1">
      <c r="Q652"/>
      <c r="R652"/>
      <c r="S652"/>
      <c r="T652"/>
      <c r="U652"/>
      <c r="V652"/>
      <c r="W652"/>
      <c r="X652"/>
      <c r="Y652"/>
      <c r="Z652"/>
      <c r="AA652"/>
      <c r="AB652"/>
      <c r="AC652"/>
      <c r="AD652"/>
    </row>
    <row r="653" spans="17:30" ht="12.75" customHeight="1">
      <c r="Q653"/>
      <c r="R653"/>
      <c r="S653"/>
      <c r="T653"/>
      <c r="U653"/>
      <c r="V653"/>
      <c r="W653"/>
      <c r="X653"/>
      <c r="Y653"/>
      <c r="Z653"/>
      <c r="AA653"/>
      <c r="AB653"/>
      <c r="AC653"/>
      <c r="AD653"/>
    </row>
    <row r="654" spans="17:30" ht="12.75" customHeight="1">
      <c r="Q654"/>
      <c r="R654"/>
      <c r="S654"/>
      <c r="T654"/>
      <c r="U654"/>
      <c r="V654"/>
      <c r="W654"/>
      <c r="X654"/>
      <c r="Y654"/>
      <c r="Z654"/>
      <c r="AA654"/>
      <c r="AB654"/>
      <c r="AC654"/>
      <c r="AD654"/>
    </row>
    <row r="655" spans="17:30" ht="12.75" customHeight="1">
      <c r="Q655"/>
      <c r="R655"/>
      <c r="S655"/>
      <c r="T655"/>
      <c r="U655"/>
      <c r="V655"/>
      <c r="W655"/>
      <c r="X655"/>
      <c r="Y655"/>
      <c r="Z655"/>
      <c r="AA655"/>
      <c r="AB655"/>
      <c r="AC655"/>
      <c r="AD655"/>
    </row>
    <row r="656" spans="17:30" ht="12.75" customHeight="1">
      <c r="Q656"/>
      <c r="R656"/>
      <c r="S656"/>
      <c r="T656"/>
      <c r="U656"/>
      <c r="V656"/>
      <c r="W656"/>
      <c r="X656"/>
      <c r="Y656"/>
      <c r="Z656"/>
      <c r="AA656"/>
      <c r="AB656"/>
      <c r="AC656"/>
      <c r="AD656"/>
    </row>
    <row r="657" spans="17:30" ht="12.75" customHeight="1">
      <c r="Q657"/>
      <c r="R657"/>
      <c r="S657"/>
      <c r="T657"/>
      <c r="U657"/>
      <c r="V657"/>
      <c r="W657"/>
      <c r="X657"/>
      <c r="Y657"/>
      <c r="Z657"/>
      <c r="AA657"/>
      <c r="AB657"/>
      <c r="AC657"/>
      <c r="AD657"/>
    </row>
    <row r="658" spans="17:30" ht="12.75" customHeight="1">
      <c r="Q658"/>
      <c r="R658"/>
      <c r="S658"/>
      <c r="T658"/>
      <c r="U658"/>
      <c r="V658"/>
      <c r="W658"/>
      <c r="X658"/>
      <c r="Y658"/>
      <c r="Z658"/>
      <c r="AA658"/>
      <c r="AB658"/>
      <c r="AC658"/>
      <c r="AD658"/>
    </row>
    <row r="659" spans="17:30" ht="12.75" customHeight="1">
      <c r="Q659"/>
      <c r="R659"/>
      <c r="S659"/>
      <c r="T659"/>
      <c r="U659"/>
      <c r="V659"/>
      <c r="W659"/>
      <c r="X659"/>
      <c r="Y659"/>
      <c r="Z659"/>
      <c r="AA659"/>
      <c r="AB659"/>
      <c r="AC659"/>
      <c r="AD659"/>
    </row>
    <row r="660" spans="17:30" ht="12.75" customHeight="1">
      <c r="Q660"/>
      <c r="R660"/>
      <c r="S660"/>
      <c r="T660"/>
      <c r="U660"/>
      <c r="V660"/>
      <c r="W660"/>
      <c r="X660"/>
      <c r="Y660"/>
      <c r="Z660"/>
      <c r="AA660"/>
      <c r="AB660"/>
      <c r="AC660"/>
      <c r="AD660"/>
    </row>
    <row r="661" spans="17:30" ht="12.75" customHeight="1">
      <c r="Q661"/>
      <c r="R661"/>
      <c r="S661"/>
      <c r="T661"/>
      <c r="U661"/>
      <c r="V661"/>
      <c r="W661"/>
      <c r="X661"/>
      <c r="Y661"/>
      <c r="Z661"/>
      <c r="AA661"/>
      <c r="AB661"/>
      <c r="AC661"/>
      <c r="AD661"/>
    </row>
    <row r="662" spans="17:30" ht="12.75" customHeight="1">
      <c r="Q662"/>
      <c r="R662"/>
      <c r="S662"/>
      <c r="T662"/>
      <c r="U662"/>
      <c r="V662"/>
      <c r="W662"/>
      <c r="X662"/>
      <c r="Y662"/>
      <c r="Z662"/>
      <c r="AA662"/>
      <c r="AB662"/>
      <c r="AC662"/>
      <c r="AD662"/>
    </row>
    <row r="663" spans="17:30" ht="12.75" customHeight="1">
      <c r="Q663"/>
      <c r="R663"/>
      <c r="S663"/>
      <c r="T663"/>
      <c r="U663"/>
      <c r="V663"/>
      <c r="W663"/>
      <c r="X663"/>
      <c r="Y663"/>
      <c r="Z663"/>
      <c r="AA663"/>
      <c r="AB663"/>
      <c r="AC663"/>
      <c r="AD663"/>
    </row>
    <row r="664" spans="17:30" ht="12.75" customHeight="1">
      <c r="Q664"/>
      <c r="R664"/>
      <c r="S664"/>
      <c r="T664"/>
      <c r="U664"/>
      <c r="V664"/>
      <c r="W664"/>
      <c r="X664"/>
      <c r="Y664"/>
      <c r="Z664"/>
      <c r="AA664"/>
      <c r="AB664"/>
      <c r="AC664"/>
      <c r="AD664"/>
    </row>
    <row r="665" spans="17:30" ht="12.75" customHeight="1">
      <c r="Q665"/>
      <c r="R665"/>
      <c r="S665"/>
      <c r="T665"/>
      <c r="U665"/>
      <c r="V665"/>
      <c r="W665"/>
      <c r="X665"/>
      <c r="Y665"/>
      <c r="Z665"/>
      <c r="AA665"/>
      <c r="AB665"/>
      <c r="AC665"/>
      <c r="AD665"/>
    </row>
    <row r="666" spans="17:30" ht="12.75" customHeight="1">
      <c r="Q666"/>
      <c r="R666"/>
      <c r="S666"/>
      <c r="T666"/>
      <c r="U666"/>
      <c r="V666"/>
      <c r="W666"/>
      <c r="X666"/>
      <c r="Y666"/>
      <c r="Z666"/>
      <c r="AA666"/>
      <c r="AB666"/>
      <c r="AC666"/>
      <c r="AD666"/>
    </row>
    <row r="667" spans="17:30" ht="12.75" customHeight="1">
      <c r="Q667"/>
      <c r="R667"/>
      <c r="S667"/>
      <c r="T667"/>
      <c r="U667"/>
      <c r="V667"/>
      <c r="W667"/>
      <c r="X667"/>
      <c r="Y667"/>
      <c r="Z667"/>
      <c r="AA667"/>
      <c r="AB667"/>
      <c r="AC667"/>
      <c r="AD667"/>
    </row>
    <row r="668" spans="17:30" ht="12.75" customHeight="1">
      <c r="Q668"/>
      <c r="R668"/>
      <c r="S668"/>
      <c r="T668"/>
      <c r="U668"/>
      <c r="V668"/>
      <c r="W668"/>
      <c r="X668"/>
      <c r="Y668"/>
      <c r="Z668"/>
      <c r="AA668"/>
      <c r="AB668"/>
      <c r="AC668"/>
      <c r="AD668"/>
    </row>
    <row r="669" spans="17:30" ht="12.75" customHeight="1">
      <c r="Q669"/>
      <c r="R669"/>
      <c r="S669"/>
      <c r="T669"/>
      <c r="U669"/>
      <c r="V669"/>
      <c r="W669"/>
      <c r="X669"/>
      <c r="Y669"/>
      <c r="Z669"/>
      <c r="AA669"/>
      <c r="AB669"/>
      <c r="AC669"/>
      <c r="AD669"/>
    </row>
    <row r="670" spans="17:30" ht="12.75" customHeight="1">
      <c r="Q670"/>
      <c r="R670"/>
      <c r="S670"/>
      <c r="T670"/>
      <c r="U670"/>
      <c r="V670"/>
      <c r="W670"/>
      <c r="X670"/>
      <c r="Y670"/>
      <c r="Z670"/>
      <c r="AA670"/>
      <c r="AB670"/>
      <c r="AC670"/>
      <c r="AD670"/>
    </row>
    <row r="671" spans="17:30" ht="12.75" customHeight="1">
      <c r="Q671"/>
      <c r="R671"/>
      <c r="S671"/>
      <c r="T671"/>
      <c r="U671"/>
      <c r="V671"/>
      <c r="W671"/>
      <c r="X671"/>
      <c r="Y671"/>
      <c r="Z671"/>
      <c r="AA671"/>
      <c r="AB671"/>
      <c r="AC671"/>
      <c r="AD671"/>
    </row>
    <row r="672" spans="17:30" ht="12.75" customHeight="1">
      <c r="Q672"/>
      <c r="R672"/>
      <c r="S672"/>
      <c r="T672"/>
      <c r="U672"/>
      <c r="V672"/>
      <c r="W672"/>
      <c r="X672"/>
      <c r="Y672"/>
      <c r="Z672"/>
      <c r="AA672"/>
      <c r="AB672"/>
      <c r="AC672"/>
      <c r="AD672"/>
    </row>
    <row r="673" spans="17:30" ht="12.75" customHeight="1">
      <c r="Q673"/>
      <c r="R673"/>
      <c r="S673"/>
      <c r="T673"/>
      <c r="U673"/>
      <c r="V673"/>
      <c r="W673"/>
      <c r="X673"/>
      <c r="Y673"/>
      <c r="Z673"/>
      <c r="AA673"/>
      <c r="AB673"/>
      <c r="AC673"/>
      <c r="AD673"/>
    </row>
    <row r="674" spans="17:30" ht="12.75" customHeight="1">
      <c r="Q674"/>
      <c r="R674"/>
      <c r="S674"/>
      <c r="T674"/>
      <c r="U674"/>
      <c r="V674"/>
      <c r="W674"/>
      <c r="X674"/>
      <c r="Y674"/>
      <c r="Z674"/>
      <c r="AA674"/>
      <c r="AB674"/>
      <c r="AC674"/>
      <c r="AD674"/>
    </row>
    <row r="675" spans="17:30" ht="12.75" customHeight="1">
      <c r="Q675"/>
      <c r="R675"/>
      <c r="S675"/>
      <c r="T675"/>
      <c r="U675"/>
      <c r="V675"/>
      <c r="W675"/>
      <c r="X675"/>
      <c r="Y675"/>
      <c r="Z675"/>
      <c r="AA675"/>
      <c r="AB675"/>
      <c r="AC675"/>
      <c r="AD675"/>
    </row>
    <row r="676" spans="17:30" ht="12.75" customHeight="1">
      <c r="Q676"/>
      <c r="R676"/>
      <c r="S676"/>
      <c r="T676"/>
      <c r="U676"/>
      <c r="V676"/>
      <c r="W676"/>
      <c r="X676"/>
      <c r="Y676"/>
      <c r="Z676"/>
      <c r="AA676"/>
      <c r="AB676"/>
      <c r="AC676"/>
      <c r="AD676"/>
    </row>
    <row r="677" spans="17:30" ht="12.75" customHeight="1">
      <c r="Q677"/>
      <c r="R677"/>
      <c r="S677"/>
      <c r="T677"/>
      <c r="U677"/>
      <c r="V677"/>
      <c r="W677"/>
      <c r="X677"/>
      <c r="Y677"/>
      <c r="Z677"/>
      <c r="AA677"/>
      <c r="AB677"/>
      <c r="AC677"/>
      <c r="AD677"/>
    </row>
    <row r="678" spans="17:30" ht="12.75" customHeight="1">
      <c r="Q678"/>
      <c r="R678"/>
      <c r="S678"/>
      <c r="T678"/>
      <c r="U678"/>
      <c r="V678"/>
      <c r="W678"/>
      <c r="X678"/>
      <c r="Y678"/>
      <c r="Z678"/>
      <c r="AA678"/>
      <c r="AB678"/>
      <c r="AC678"/>
      <c r="AD678"/>
    </row>
    <row r="679" spans="17:30" ht="12.75" customHeight="1">
      <c r="Q679"/>
      <c r="R679"/>
      <c r="S679"/>
      <c r="T679"/>
      <c r="U679"/>
      <c r="V679"/>
      <c r="W679"/>
      <c r="X679"/>
      <c r="Y679"/>
      <c r="Z679"/>
      <c r="AA679"/>
      <c r="AB679"/>
      <c r="AC679"/>
      <c r="AD679"/>
    </row>
    <row r="680" spans="17:30" ht="12.75" customHeight="1">
      <c r="Q680"/>
      <c r="R680"/>
      <c r="S680"/>
      <c r="T680"/>
      <c r="U680"/>
      <c r="V680"/>
      <c r="W680"/>
      <c r="X680"/>
      <c r="Y680"/>
      <c r="Z680"/>
      <c r="AA680"/>
      <c r="AB680"/>
      <c r="AC680"/>
      <c r="AD680"/>
    </row>
    <row r="681" spans="17:30" ht="12.75" customHeight="1">
      <c r="Q681"/>
      <c r="R681"/>
      <c r="S681"/>
      <c r="T681"/>
      <c r="U681"/>
      <c r="V681"/>
      <c r="W681"/>
      <c r="X681"/>
      <c r="Y681"/>
      <c r="Z681"/>
      <c r="AA681"/>
      <c r="AB681"/>
      <c r="AC681"/>
      <c r="AD681"/>
    </row>
    <row r="682" spans="17:30" ht="12.75" customHeight="1">
      <c r="Q682"/>
      <c r="R682"/>
      <c r="S682"/>
      <c r="T682"/>
      <c r="U682"/>
      <c r="V682"/>
      <c r="W682"/>
      <c r="X682"/>
      <c r="Y682"/>
      <c r="Z682"/>
      <c r="AA682"/>
      <c r="AB682"/>
      <c r="AC682"/>
      <c r="AD682"/>
    </row>
    <row r="683" spans="17:30" ht="12.75" customHeight="1">
      <c r="Q683"/>
      <c r="R683"/>
      <c r="S683"/>
      <c r="T683"/>
      <c r="U683"/>
      <c r="V683"/>
      <c r="W683"/>
      <c r="X683"/>
      <c r="Y683"/>
      <c r="Z683"/>
      <c r="AA683"/>
      <c r="AB683"/>
      <c r="AC683"/>
      <c r="AD683"/>
    </row>
    <row r="684" spans="17:30" ht="12.75" customHeight="1">
      <c r="Q684"/>
      <c r="R684"/>
      <c r="S684"/>
      <c r="T684"/>
      <c r="U684"/>
      <c r="V684"/>
      <c r="W684"/>
      <c r="X684"/>
      <c r="Y684"/>
      <c r="Z684"/>
      <c r="AA684"/>
      <c r="AB684"/>
      <c r="AC684"/>
      <c r="AD684"/>
    </row>
    <row r="685" spans="17:30" ht="12.75" customHeight="1">
      <c r="Q685"/>
      <c r="R685"/>
      <c r="S685"/>
      <c r="T685"/>
      <c r="U685"/>
      <c r="V685"/>
      <c r="W685"/>
      <c r="X685"/>
      <c r="Y685"/>
      <c r="Z685"/>
      <c r="AA685"/>
      <c r="AB685"/>
      <c r="AC685"/>
      <c r="AD685"/>
    </row>
    <row r="686" spans="17:30" ht="12.75" customHeight="1">
      <c r="Q686"/>
      <c r="R686"/>
      <c r="S686"/>
      <c r="T686"/>
      <c r="U686"/>
      <c r="V686"/>
      <c r="W686"/>
      <c r="X686"/>
      <c r="Y686"/>
      <c r="Z686"/>
      <c r="AA686"/>
      <c r="AB686"/>
      <c r="AC686"/>
      <c r="AD686"/>
    </row>
    <row r="687" spans="17:30" ht="12.75" customHeight="1">
      <c r="Q687"/>
      <c r="R687"/>
      <c r="S687"/>
      <c r="T687"/>
      <c r="U687"/>
      <c r="V687"/>
      <c r="W687"/>
      <c r="X687"/>
      <c r="Y687"/>
      <c r="Z687"/>
      <c r="AA687"/>
      <c r="AB687"/>
      <c r="AC687"/>
      <c r="AD687"/>
    </row>
    <row r="688" spans="17:30" ht="12.75" customHeight="1">
      <c r="Q688"/>
      <c r="R688"/>
      <c r="S688"/>
      <c r="T688"/>
      <c r="U688"/>
      <c r="V688"/>
      <c r="W688"/>
      <c r="X688"/>
      <c r="Y688"/>
      <c r="Z688"/>
      <c r="AA688"/>
      <c r="AB688"/>
      <c r="AC688"/>
      <c r="AD688"/>
    </row>
    <row r="689" spans="17:30">
      <c r="Q689"/>
      <c r="R689"/>
      <c r="S689"/>
      <c r="T689"/>
      <c r="U689"/>
      <c r="V689"/>
      <c r="W689"/>
      <c r="X689"/>
      <c r="Y689"/>
      <c r="Z689"/>
      <c r="AA689"/>
      <c r="AB689"/>
      <c r="AC689"/>
      <c r="AD689"/>
    </row>
    <row r="690" spans="17:30">
      <c r="Q690"/>
      <c r="R690"/>
      <c r="S690"/>
      <c r="T690"/>
      <c r="U690"/>
      <c r="V690"/>
      <c r="W690"/>
      <c r="X690"/>
      <c r="Y690"/>
      <c r="Z690"/>
      <c r="AA690"/>
      <c r="AB690"/>
      <c r="AC690"/>
      <c r="AD690"/>
    </row>
    <row r="691" spans="17:30">
      <c r="Q691"/>
      <c r="R691"/>
      <c r="S691"/>
      <c r="T691"/>
      <c r="U691"/>
      <c r="V691"/>
      <c r="W691"/>
      <c r="X691"/>
      <c r="Y691"/>
      <c r="Z691"/>
      <c r="AA691"/>
      <c r="AB691"/>
      <c r="AC691"/>
      <c r="AD691"/>
    </row>
    <row r="692" spans="17:30">
      <c r="Q692"/>
      <c r="R692"/>
      <c r="S692"/>
      <c r="T692"/>
      <c r="U692"/>
      <c r="V692"/>
      <c r="W692"/>
      <c r="X692"/>
      <c r="Y692"/>
      <c r="Z692"/>
      <c r="AA692"/>
      <c r="AB692"/>
      <c r="AC692"/>
      <c r="AD692"/>
    </row>
    <row r="693" spans="17:30">
      <c r="Q693"/>
      <c r="R693"/>
      <c r="S693"/>
      <c r="T693"/>
      <c r="U693"/>
      <c r="V693"/>
      <c r="W693"/>
      <c r="X693"/>
      <c r="Y693"/>
      <c r="Z693"/>
      <c r="AA693"/>
      <c r="AB693"/>
      <c r="AC693"/>
      <c r="AD693"/>
    </row>
    <row r="694" spans="17:30">
      <c r="Q694"/>
      <c r="R694"/>
      <c r="S694"/>
      <c r="T694"/>
      <c r="U694"/>
      <c r="V694"/>
      <c r="W694"/>
      <c r="X694"/>
      <c r="Y694"/>
      <c r="Z694"/>
      <c r="AA694"/>
      <c r="AB694"/>
      <c r="AC694"/>
      <c r="AD694"/>
    </row>
    <row r="695" spans="17:30">
      <c r="Q695"/>
      <c r="R695"/>
      <c r="S695"/>
      <c r="T695"/>
      <c r="U695"/>
      <c r="V695"/>
      <c r="W695"/>
      <c r="X695"/>
      <c r="Y695"/>
      <c r="Z695"/>
      <c r="AA695"/>
      <c r="AB695"/>
      <c r="AC695"/>
      <c r="AD695"/>
    </row>
    <row r="696" spans="17:30">
      <c r="Q696"/>
      <c r="R696"/>
      <c r="S696"/>
      <c r="T696"/>
      <c r="U696"/>
      <c r="V696"/>
      <c r="W696"/>
      <c r="X696"/>
      <c r="Y696"/>
      <c r="Z696"/>
      <c r="AA696"/>
      <c r="AB696"/>
      <c r="AC696"/>
      <c r="AD696"/>
    </row>
    <row r="697" spans="17:30">
      <c r="Q697"/>
      <c r="R697"/>
      <c r="S697"/>
      <c r="T697"/>
      <c r="U697"/>
      <c r="V697"/>
      <c r="W697"/>
      <c r="X697"/>
      <c r="Y697"/>
      <c r="Z697"/>
      <c r="AA697"/>
      <c r="AB697"/>
      <c r="AC697"/>
      <c r="AD697"/>
    </row>
    <row r="698" spans="17:30">
      <c r="Q698"/>
      <c r="R698"/>
      <c r="S698"/>
      <c r="T698"/>
      <c r="U698"/>
      <c r="V698"/>
      <c r="W698"/>
      <c r="X698"/>
      <c r="Y698"/>
      <c r="Z698"/>
      <c r="AA698"/>
      <c r="AB698"/>
      <c r="AC698"/>
      <c r="AD698"/>
    </row>
    <row r="699" spans="17:30">
      <c r="Q699"/>
      <c r="R699"/>
      <c r="S699"/>
      <c r="T699"/>
      <c r="U699"/>
      <c r="V699"/>
      <c r="W699"/>
      <c r="X699"/>
      <c r="Y699"/>
      <c r="Z699"/>
      <c r="AA699"/>
      <c r="AB699"/>
      <c r="AC699"/>
      <c r="AD699"/>
    </row>
    <row r="700" spans="17:30">
      <c r="Q700"/>
      <c r="R700"/>
      <c r="S700"/>
      <c r="T700"/>
      <c r="U700"/>
      <c r="V700"/>
      <c r="W700"/>
      <c r="X700"/>
      <c r="Y700"/>
      <c r="Z700"/>
      <c r="AA700"/>
      <c r="AB700"/>
      <c r="AC700"/>
      <c r="AD700"/>
    </row>
    <row r="701" spans="17:30">
      <c r="Q701"/>
      <c r="R701"/>
      <c r="S701"/>
      <c r="T701"/>
      <c r="U701"/>
      <c r="V701"/>
      <c r="W701"/>
      <c r="X701"/>
      <c r="Y701"/>
      <c r="Z701"/>
      <c r="AA701"/>
      <c r="AB701"/>
      <c r="AC701"/>
      <c r="AD701"/>
    </row>
    <row r="702" spans="17:30">
      <c r="Q702"/>
      <c r="R702"/>
      <c r="S702"/>
      <c r="T702"/>
      <c r="U702"/>
      <c r="V702"/>
      <c r="W702"/>
      <c r="X702"/>
      <c r="Y702"/>
      <c r="Z702"/>
      <c r="AA702"/>
      <c r="AB702"/>
      <c r="AC702"/>
      <c r="AD702"/>
    </row>
    <row r="703" spans="17:30">
      <c r="Q703"/>
      <c r="R703"/>
      <c r="S703"/>
      <c r="T703"/>
      <c r="U703"/>
      <c r="V703"/>
      <c r="W703"/>
      <c r="X703"/>
      <c r="Y703"/>
      <c r="Z703"/>
      <c r="AA703"/>
      <c r="AB703"/>
      <c r="AC703"/>
      <c r="AD703"/>
    </row>
    <row r="704" spans="17:30">
      <c r="Q704"/>
      <c r="R704"/>
      <c r="S704"/>
      <c r="T704"/>
      <c r="U704"/>
      <c r="V704"/>
      <c r="W704"/>
      <c r="X704"/>
      <c r="Y704"/>
      <c r="Z704"/>
      <c r="AA704"/>
      <c r="AB704"/>
      <c r="AC704"/>
      <c r="AD704"/>
    </row>
    <row r="705" spans="17:30">
      <c r="Q705"/>
      <c r="R705"/>
      <c r="S705"/>
      <c r="T705"/>
      <c r="U705"/>
      <c r="V705"/>
      <c r="W705"/>
      <c r="X705"/>
      <c r="Y705"/>
      <c r="Z705"/>
      <c r="AA705"/>
      <c r="AB705"/>
      <c r="AC705"/>
      <c r="AD705"/>
    </row>
    <row r="706" spans="17:30">
      <c r="Q706"/>
      <c r="R706"/>
      <c r="S706"/>
      <c r="T706"/>
      <c r="U706"/>
      <c r="V706"/>
      <c r="W706"/>
      <c r="X706"/>
      <c r="Y706"/>
      <c r="Z706"/>
      <c r="AA706"/>
      <c r="AB706"/>
      <c r="AC706"/>
      <c r="AD706"/>
    </row>
    <row r="707" spans="17:30">
      <c r="Q707"/>
      <c r="R707"/>
      <c r="S707"/>
      <c r="T707"/>
      <c r="U707"/>
      <c r="V707"/>
      <c r="W707"/>
      <c r="X707"/>
      <c r="Y707"/>
      <c r="Z707"/>
      <c r="AA707"/>
      <c r="AB707"/>
      <c r="AC707"/>
      <c r="AD707"/>
    </row>
    <row r="708" spans="17:30">
      <c r="Q708"/>
      <c r="R708"/>
      <c r="S708"/>
      <c r="T708"/>
      <c r="U708"/>
      <c r="V708"/>
      <c r="W708"/>
      <c r="X708"/>
      <c r="Y708"/>
      <c r="Z708"/>
      <c r="AA708"/>
      <c r="AB708"/>
      <c r="AC708"/>
      <c r="AD708"/>
    </row>
    <row r="709" spans="17:30">
      <c r="Q709"/>
      <c r="R709"/>
      <c r="S709"/>
      <c r="T709"/>
      <c r="U709"/>
      <c r="V709"/>
      <c r="W709"/>
      <c r="X709"/>
      <c r="Y709"/>
      <c r="Z709"/>
      <c r="AA709"/>
      <c r="AB709"/>
      <c r="AC709"/>
      <c r="AD709"/>
    </row>
    <row r="710" spans="17:30">
      <c r="Q710"/>
      <c r="R710"/>
      <c r="S710"/>
      <c r="T710"/>
      <c r="U710"/>
      <c r="V710"/>
      <c r="W710"/>
      <c r="X710"/>
      <c r="Y710"/>
      <c r="Z710"/>
      <c r="AA710"/>
      <c r="AB710"/>
      <c r="AC710"/>
      <c r="AD710"/>
    </row>
    <row r="711" spans="17:30">
      <c r="Q711"/>
      <c r="R711"/>
      <c r="S711"/>
      <c r="T711"/>
      <c r="U711"/>
      <c r="V711"/>
      <c r="W711"/>
      <c r="X711"/>
      <c r="Y711"/>
      <c r="Z711"/>
      <c r="AA711"/>
      <c r="AB711"/>
      <c r="AC711"/>
      <c r="AD711"/>
    </row>
    <row r="712" spans="17:30">
      <c r="Q712"/>
      <c r="R712"/>
      <c r="S712"/>
      <c r="T712"/>
      <c r="U712"/>
      <c r="V712"/>
      <c r="W712"/>
      <c r="X712"/>
      <c r="Y712"/>
      <c r="Z712"/>
      <c r="AA712"/>
      <c r="AB712"/>
      <c r="AC712"/>
      <c r="AD712"/>
    </row>
    <row r="713" spans="17:30">
      <c r="Q713"/>
      <c r="R713"/>
      <c r="S713"/>
      <c r="T713"/>
      <c r="U713"/>
      <c r="V713"/>
      <c r="W713"/>
      <c r="X713"/>
      <c r="Y713"/>
      <c r="Z713"/>
      <c r="AA713"/>
      <c r="AB713"/>
      <c r="AC713"/>
      <c r="AD713"/>
    </row>
    <row r="714" spans="17:30">
      <c r="Q714"/>
      <c r="R714"/>
      <c r="S714"/>
      <c r="T714"/>
      <c r="U714"/>
      <c r="V714"/>
      <c r="W714"/>
      <c r="X714"/>
      <c r="Y714"/>
      <c r="Z714"/>
      <c r="AA714"/>
      <c r="AB714"/>
      <c r="AC714"/>
      <c r="AD714"/>
    </row>
    <row r="715" spans="17:30">
      <c r="Q715"/>
      <c r="R715"/>
      <c r="S715"/>
      <c r="T715"/>
      <c r="U715"/>
      <c r="V715"/>
      <c r="W715"/>
      <c r="X715"/>
      <c r="Y715"/>
      <c r="Z715"/>
      <c r="AA715"/>
      <c r="AB715"/>
      <c r="AC715"/>
      <c r="AD715"/>
    </row>
    <row r="716" spans="17:30">
      <c r="Q716"/>
      <c r="R716"/>
      <c r="S716"/>
      <c r="T716"/>
      <c r="U716"/>
      <c r="V716"/>
      <c r="W716"/>
      <c r="X716"/>
      <c r="Y716"/>
      <c r="Z716"/>
      <c r="AA716"/>
      <c r="AB716"/>
      <c r="AC716"/>
      <c r="AD716"/>
    </row>
    <row r="717" spans="17:30">
      <c r="Q717"/>
      <c r="R717"/>
      <c r="S717"/>
      <c r="T717"/>
      <c r="U717"/>
      <c r="V717"/>
      <c r="W717"/>
      <c r="X717"/>
      <c r="Y717"/>
      <c r="Z717"/>
      <c r="AA717"/>
      <c r="AB717"/>
      <c r="AC717"/>
      <c r="AD717"/>
    </row>
    <row r="718" spans="17:30">
      <c r="Q718"/>
      <c r="R718"/>
      <c r="S718"/>
      <c r="T718"/>
      <c r="U718"/>
      <c r="V718"/>
      <c r="W718"/>
      <c r="X718"/>
      <c r="Y718"/>
      <c r="Z718"/>
      <c r="AA718"/>
      <c r="AB718"/>
      <c r="AC718"/>
      <c r="AD718"/>
    </row>
    <row r="719" spans="17:30">
      <c r="Q719"/>
      <c r="R719"/>
      <c r="S719"/>
      <c r="T719"/>
      <c r="U719"/>
      <c r="V719"/>
      <c r="W719"/>
      <c r="X719"/>
      <c r="Y719"/>
      <c r="Z719"/>
      <c r="AA719"/>
      <c r="AB719"/>
      <c r="AC719"/>
      <c r="AD719"/>
    </row>
    <row r="720" spans="17:30">
      <c r="Q720"/>
      <c r="R720"/>
      <c r="S720"/>
      <c r="T720"/>
      <c r="U720"/>
      <c r="V720"/>
      <c r="W720"/>
      <c r="X720"/>
      <c r="Y720"/>
      <c r="Z720"/>
      <c r="AA720"/>
      <c r="AB720"/>
      <c r="AC720"/>
      <c r="AD720"/>
    </row>
    <row r="721" spans="17:30">
      <c r="Q721"/>
      <c r="R721"/>
      <c r="S721"/>
      <c r="T721"/>
      <c r="U721"/>
      <c r="V721"/>
      <c r="W721"/>
      <c r="X721"/>
      <c r="Y721"/>
      <c r="Z721"/>
      <c r="AA721"/>
      <c r="AB721"/>
      <c r="AC721"/>
      <c r="AD721"/>
    </row>
    <row r="722" spans="17:30">
      <c r="Q722"/>
      <c r="R722"/>
      <c r="S722"/>
      <c r="T722"/>
      <c r="U722"/>
      <c r="V722"/>
      <c r="W722"/>
      <c r="X722"/>
      <c r="Y722"/>
      <c r="Z722"/>
      <c r="AA722"/>
      <c r="AB722"/>
      <c r="AC722"/>
      <c r="AD722"/>
    </row>
    <row r="723" spans="17:30">
      <c r="Q723"/>
      <c r="R723"/>
      <c r="S723"/>
      <c r="T723"/>
      <c r="U723"/>
      <c r="V723"/>
      <c r="W723"/>
      <c r="X723"/>
      <c r="Y723"/>
      <c r="Z723"/>
      <c r="AA723"/>
      <c r="AB723"/>
      <c r="AC723"/>
      <c r="AD723"/>
    </row>
    <row r="724" spans="17:30">
      <c r="Q724"/>
      <c r="R724"/>
      <c r="S724"/>
      <c r="T724"/>
      <c r="U724"/>
      <c r="V724"/>
      <c r="W724"/>
      <c r="X724"/>
      <c r="Y724"/>
      <c r="Z724"/>
      <c r="AA724"/>
      <c r="AB724"/>
      <c r="AC724"/>
      <c r="AD724"/>
    </row>
    <row r="725" spans="17:30">
      <c r="Q725"/>
      <c r="R725"/>
      <c r="S725"/>
      <c r="T725"/>
      <c r="U725"/>
      <c r="V725"/>
      <c r="W725"/>
      <c r="X725"/>
      <c r="Y725"/>
      <c r="Z725"/>
      <c r="AA725"/>
      <c r="AB725"/>
      <c r="AC725"/>
      <c r="AD725"/>
    </row>
    <row r="726" spans="17:30">
      <c r="Q726"/>
      <c r="R726"/>
      <c r="S726"/>
      <c r="T726"/>
      <c r="U726"/>
      <c r="V726"/>
      <c r="W726"/>
      <c r="X726"/>
      <c r="Y726"/>
      <c r="Z726"/>
      <c r="AA726"/>
      <c r="AB726"/>
      <c r="AC726"/>
      <c r="AD726"/>
    </row>
    <row r="727" spans="17:30">
      <c r="Q727"/>
      <c r="R727"/>
      <c r="S727"/>
      <c r="T727"/>
      <c r="U727"/>
      <c r="V727"/>
      <c r="W727"/>
      <c r="X727"/>
      <c r="Y727"/>
      <c r="Z727"/>
      <c r="AA727"/>
      <c r="AB727"/>
      <c r="AC727"/>
      <c r="AD727"/>
    </row>
    <row r="728" spans="17:30">
      <c r="Q728"/>
      <c r="R728"/>
      <c r="S728"/>
      <c r="T728"/>
      <c r="U728"/>
      <c r="V728"/>
      <c r="W728"/>
      <c r="X728"/>
      <c r="Y728"/>
      <c r="Z728"/>
      <c r="AA728"/>
      <c r="AB728"/>
      <c r="AC728"/>
      <c r="AD728"/>
    </row>
    <row r="729" spans="17:30">
      <c r="Q729"/>
      <c r="R729"/>
      <c r="S729"/>
      <c r="T729"/>
      <c r="U729"/>
      <c r="V729"/>
      <c r="W729"/>
      <c r="X729"/>
      <c r="Y729"/>
      <c r="Z729"/>
      <c r="AA729"/>
      <c r="AB729"/>
      <c r="AC729"/>
      <c r="AD729"/>
    </row>
    <row r="730" spans="17:30">
      <c r="Q730"/>
      <c r="R730"/>
      <c r="S730"/>
      <c r="T730"/>
      <c r="U730"/>
      <c r="V730"/>
      <c r="W730"/>
      <c r="X730"/>
      <c r="Y730"/>
      <c r="Z730"/>
      <c r="AA730"/>
      <c r="AB730"/>
      <c r="AC730"/>
      <c r="AD730"/>
    </row>
    <row r="731" spans="17:30">
      <c r="Q731"/>
      <c r="R731"/>
      <c r="S731"/>
      <c r="T731"/>
      <c r="U731"/>
      <c r="V731"/>
      <c r="W731"/>
      <c r="X731"/>
      <c r="Y731"/>
      <c r="Z731"/>
      <c r="AA731"/>
      <c r="AB731"/>
      <c r="AC731"/>
      <c r="AD731"/>
    </row>
    <row r="732" spans="17:30">
      <c r="Q732"/>
      <c r="R732"/>
      <c r="S732"/>
      <c r="T732"/>
      <c r="U732"/>
      <c r="V732"/>
      <c r="W732"/>
      <c r="X732"/>
      <c r="Y732"/>
      <c r="Z732"/>
      <c r="AA732"/>
      <c r="AB732"/>
      <c r="AC732"/>
      <c r="AD732"/>
    </row>
    <row r="733" spans="17:30">
      <c r="Q733"/>
      <c r="R733"/>
      <c r="S733"/>
      <c r="T733"/>
      <c r="U733"/>
      <c r="V733"/>
      <c r="W733"/>
      <c r="X733"/>
      <c r="Y733"/>
      <c r="Z733"/>
      <c r="AA733"/>
      <c r="AB733"/>
      <c r="AC733"/>
      <c r="AD733"/>
    </row>
    <row r="734" spans="17:30">
      <c r="Q734"/>
      <c r="R734"/>
      <c r="S734"/>
      <c r="T734"/>
      <c r="U734"/>
      <c r="V734"/>
      <c r="W734"/>
      <c r="X734"/>
      <c r="Y734"/>
      <c r="Z734"/>
      <c r="AA734"/>
      <c r="AB734"/>
      <c r="AC734"/>
      <c r="AD734"/>
    </row>
    <row r="735" spans="17:30">
      <c r="Q735"/>
      <c r="R735"/>
      <c r="S735"/>
      <c r="T735"/>
      <c r="U735"/>
      <c r="V735"/>
      <c r="W735"/>
      <c r="X735"/>
      <c r="Y735"/>
      <c r="Z735"/>
      <c r="AA735"/>
      <c r="AB735"/>
      <c r="AC735"/>
      <c r="AD735"/>
    </row>
    <row r="736" spans="17:30">
      <c r="Q736"/>
      <c r="R736"/>
      <c r="S736"/>
      <c r="T736"/>
      <c r="U736"/>
      <c r="V736"/>
      <c r="W736"/>
      <c r="X736"/>
      <c r="Y736"/>
      <c r="Z736"/>
      <c r="AA736"/>
      <c r="AB736"/>
      <c r="AC736"/>
      <c r="AD736"/>
    </row>
    <row r="737" spans="17:30">
      <c r="Q737"/>
      <c r="R737"/>
      <c r="S737"/>
      <c r="T737"/>
      <c r="U737"/>
      <c r="V737"/>
      <c r="W737"/>
      <c r="X737"/>
      <c r="Y737"/>
      <c r="Z737"/>
      <c r="AA737"/>
      <c r="AB737"/>
      <c r="AC737"/>
      <c r="AD737"/>
    </row>
    <row r="738" spans="17:30">
      <c r="Q738"/>
      <c r="R738"/>
      <c r="S738"/>
      <c r="T738"/>
      <c r="U738"/>
      <c r="V738"/>
      <c r="W738"/>
      <c r="X738"/>
      <c r="Y738"/>
      <c r="Z738"/>
      <c r="AA738"/>
      <c r="AB738"/>
      <c r="AC738"/>
      <c r="AD738"/>
    </row>
    <row r="739" spans="17:30">
      <c r="Q739"/>
      <c r="R739"/>
      <c r="S739"/>
      <c r="T739"/>
      <c r="U739"/>
      <c r="V739"/>
      <c r="W739"/>
      <c r="X739"/>
      <c r="Y739"/>
      <c r="Z739"/>
      <c r="AA739"/>
      <c r="AB739"/>
      <c r="AC739"/>
      <c r="AD739"/>
    </row>
    <row r="740" spans="17:30">
      <c r="Q740"/>
      <c r="R740"/>
      <c r="S740"/>
      <c r="T740"/>
      <c r="U740"/>
      <c r="V740"/>
      <c r="W740"/>
      <c r="X740"/>
      <c r="Y740"/>
      <c r="Z740"/>
      <c r="AA740"/>
      <c r="AB740"/>
      <c r="AC740"/>
      <c r="AD740"/>
    </row>
    <row r="741" spans="17:30">
      <c r="Q741"/>
      <c r="R741"/>
      <c r="S741"/>
      <c r="T741"/>
      <c r="U741"/>
      <c r="V741"/>
      <c r="W741"/>
      <c r="X741"/>
      <c r="Y741"/>
      <c r="Z741"/>
      <c r="AA741"/>
      <c r="AB741"/>
      <c r="AC741"/>
      <c r="AD741"/>
    </row>
    <row r="742" spans="17:30">
      <c r="Q742"/>
      <c r="R742"/>
      <c r="S742"/>
      <c r="T742"/>
      <c r="U742"/>
      <c r="V742"/>
      <c r="W742"/>
      <c r="X742"/>
      <c r="Y742"/>
      <c r="Z742"/>
      <c r="AA742"/>
      <c r="AB742"/>
      <c r="AC742"/>
      <c r="AD742"/>
    </row>
    <row r="743" spans="17:30">
      <c r="Q743"/>
      <c r="R743"/>
      <c r="S743"/>
      <c r="T743"/>
      <c r="U743"/>
      <c r="V743"/>
      <c r="W743"/>
      <c r="X743"/>
      <c r="Y743"/>
      <c r="Z743"/>
      <c r="AA743"/>
      <c r="AB743"/>
      <c r="AC743"/>
      <c r="AD743"/>
    </row>
    <row r="744" spans="17:30">
      <c r="Q744"/>
      <c r="R744"/>
      <c r="S744"/>
      <c r="T744"/>
      <c r="U744"/>
      <c r="V744"/>
      <c r="W744"/>
      <c r="X744"/>
      <c r="Y744"/>
      <c r="Z744"/>
      <c r="AA744"/>
      <c r="AB744"/>
      <c r="AC744"/>
      <c r="AD744"/>
    </row>
    <row r="745" spans="17:30">
      <c r="Q745"/>
      <c r="R745"/>
      <c r="S745"/>
      <c r="T745"/>
      <c r="U745"/>
      <c r="V745"/>
      <c r="W745"/>
      <c r="X745"/>
      <c r="Y745"/>
      <c r="Z745"/>
      <c r="AA745"/>
      <c r="AB745"/>
      <c r="AC745"/>
      <c r="AD745"/>
    </row>
    <row r="746" spans="17:30">
      <c r="Q746"/>
      <c r="R746"/>
      <c r="S746"/>
      <c r="T746"/>
      <c r="U746"/>
      <c r="V746"/>
      <c r="W746"/>
      <c r="X746"/>
      <c r="Y746"/>
      <c r="Z746"/>
      <c r="AA746"/>
      <c r="AB746"/>
      <c r="AC746"/>
      <c r="AD746"/>
    </row>
    <row r="747" spans="17:30">
      <c r="Q747"/>
      <c r="R747"/>
      <c r="S747"/>
      <c r="T747"/>
      <c r="U747"/>
      <c r="V747"/>
      <c r="W747"/>
      <c r="X747"/>
      <c r="Y747"/>
      <c r="Z747"/>
      <c r="AA747"/>
      <c r="AB747"/>
      <c r="AC747"/>
      <c r="AD747"/>
    </row>
    <row r="748" spans="17:30">
      <c r="Q748"/>
      <c r="R748"/>
      <c r="S748"/>
      <c r="T748"/>
      <c r="U748"/>
      <c r="V748"/>
      <c r="W748"/>
      <c r="X748"/>
      <c r="Y748"/>
      <c r="Z748"/>
      <c r="AA748"/>
      <c r="AB748"/>
      <c r="AC748"/>
      <c r="AD748"/>
    </row>
    <row r="749" spans="17:30">
      <c r="Q749"/>
      <c r="R749"/>
      <c r="S749"/>
      <c r="T749"/>
      <c r="U749"/>
      <c r="V749"/>
      <c r="W749"/>
      <c r="X749"/>
      <c r="Y749"/>
      <c r="Z749"/>
      <c r="AA749"/>
      <c r="AB749"/>
      <c r="AC749"/>
      <c r="AD749"/>
    </row>
    <row r="750" spans="17:30">
      <c r="Q750"/>
      <c r="R750"/>
      <c r="S750"/>
      <c r="T750"/>
      <c r="U750"/>
      <c r="V750"/>
      <c r="W750"/>
      <c r="X750"/>
      <c r="Y750"/>
      <c r="Z750"/>
      <c r="AA750"/>
      <c r="AB750"/>
      <c r="AC750"/>
      <c r="AD750"/>
    </row>
    <row r="751" spans="17:30">
      <c r="Q751"/>
      <c r="R751"/>
      <c r="S751"/>
      <c r="T751"/>
      <c r="U751"/>
      <c r="V751"/>
      <c r="W751"/>
      <c r="X751"/>
      <c r="Y751"/>
      <c r="Z751"/>
      <c r="AA751"/>
      <c r="AB751"/>
      <c r="AC751"/>
      <c r="AD751"/>
    </row>
    <row r="752" spans="17:30">
      <c r="Q752"/>
      <c r="R752"/>
      <c r="S752"/>
      <c r="T752"/>
      <c r="U752"/>
      <c r="V752"/>
      <c r="W752"/>
      <c r="X752"/>
      <c r="Y752"/>
      <c r="Z752"/>
      <c r="AA752"/>
      <c r="AB752"/>
      <c r="AC752"/>
      <c r="AD752"/>
    </row>
    <row r="753" spans="17:30">
      <c r="Q753"/>
      <c r="R753"/>
      <c r="S753"/>
      <c r="T753"/>
      <c r="U753"/>
      <c r="V753"/>
      <c r="W753"/>
      <c r="X753"/>
      <c r="Y753"/>
      <c r="Z753"/>
      <c r="AA753"/>
      <c r="AB753"/>
      <c r="AC753"/>
      <c r="AD753"/>
    </row>
    <row r="754" spans="17:30">
      <c r="Q754"/>
      <c r="R754"/>
      <c r="S754"/>
      <c r="T754"/>
      <c r="U754"/>
      <c r="V754"/>
      <c r="W754"/>
      <c r="X754"/>
      <c r="Y754"/>
      <c r="Z754"/>
      <c r="AA754"/>
      <c r="AB754"/>
      <c r="AC754"/>
      <c r="AD754"/>
    </row>
    <row r="755" spans="17:30">
      <c r="Q755"/>
      <c r="R755"/>
      <c r="S755"/>
      <c r="T755"/>
      <c r="U755"/>
      <c r="V755"/>
      <c r="W755"/>
      <c r="X755"/>
      <c r="Y755"/>
      <c r="Z755"/>
      <c r="AA755"/>
      <c r="AB755"/>
      <c r="AC755"/>
      <c r="AD755"/>
    </row>
    <row r="756" spans="17:30">
      <c r="Q756"/>
      <c r="R756"/>
      <c r="S756"/>
      <c r="T756"/>
      <c r="U756"/>
      <c r="V756"/>
      <c r="W756"/>
      <c r="X756"/>
      <c r="Y756"/>
      <c r="Z756"/>
      <c r="AA756"/>
      <c r="AB756"/>
      <c r="AC756"/>
      <c r="AD756"/>
    </row>
    <row r="757" spans="17:30">
      <c r="Q757"/>
      <c r="R757"/>
      <c r="S757"/>
      <c r="T757"/>
      <c r="U757"/>
      <c r="V757"/>
      <c r="W757"/>
      <c r="X757"/>
      <c r="Y757"/>
      <c r="Z757"/>
      <c r="AA757"/>
      <c r="AB757"/>
      <c r="AC757"/>
      <c r="AD757"/>
    </row>
    <row r="758" spans="17:30">
      <c r="Q758"/>
      <c r="R758"/>
      <c r="S758"/>
      <c r="T758"/>
      <c r="U758"/>
      <c r="V758"/>
      <c r="W758"/>
      <c r="X758"/>
      <c r="Y758"/>
      <c r="Z758"/>
      <c r="AA758"/>
      <c r="AB758"/>
      <c r="AC758"/>
      <c r="AD758"/>
    </row>
    <row r="759" spans="17:30">
      <c r="Q759"/>
      <c r="R759"/>
      <c r="S759"/>
      <c r="T759"/>
      <c r="U759"/>
      <c r="V759"/>
      <c r="W759"/>
      <c r="X759"/>
      <c r="Y759"/>
      <c r="Z759"/>
      <c r="AA759"/>
      <c r="AB759"/>
      <c r="AC759"/>
      <c r="AD759"/>
    </row>
    <row r="760" spans="17:30">
      <c r="Q760"/>
      <c r="R760"/>
      <c r="S760"/>
      <c r="T760"/>
      <c r="U760"/>
      <c r="V760"/>
      <c r="W760"/>
      <c r="X760"/>
      <c r="Y760"/>
      <c r="Z760"/>
      <c r="AA760"/>
      <c r="AB760"/>
      <c r="AC760"/>
      <c r="AD760"/>
    </row>
    <row r="761" spans="17:30">
      <c r="Q761"/>
      <c r="R761"/>
      <c r="S761"/>
      <c r="T761"/>
      <c r="U761"/>
      <c r="V761"/>
      <c r="W761"/>
      <c r="X761"/>
      <c r="Y761"/>
      <c r="Z761"/>
      <c r="AA761"/>
      <c r="AB761"/>
      <c r="AC761"/>
      <c r="AD761"/>
    </row>
    <row r="762" spans="17:30">
      <c r="Q762"/>
      <c r="R762"/>
      <c r="S762"/>
      <c r="T762"/>
      <c r="U762"/>
      <c r="V762"/>
      <c r="W762"/>
      <c r="X762"/>
      <c r="Y762"/>
      <c r="Z762"/>
      <c r="AA762"/>
      <c r="AB762"/>
      <c r="AC762"/>
      <c r="AD762"/>
    </row>
    <row r="763" spans="17:30">
      <c r="Q763"/>
      <c r="R763"/>
      <c r="S763"/>
      <c r="T763"/>
      <c r="U763"/>
      <c r="V763"/>
      <c r="W763"/>
      <c r="X763"/>
      <c r="Y763"/>
      <c r="Z763"/>
      <c r="AA763"/>
      <c r="AB763"/>
      <c r="AC763"/>
      <c r="AD763"/>
    </row>
    <row r="764" spans="17:30">
      <c r="Q764"/>
      <c r="R764"/>
      <c r="S764"/>
      <c r="T764"/>
      <c r="U764"/>
      <c r="V764"/>
      <c r="W764"/>
      <c r="X764"/>
      <c r="Y764"/>
      <c r="Z764"/>
      <c r="AA764"/>
      <c r="AB764"/>
      <c r="AC764"/>
      <c r="AD764"/>
    </row>
    <row r="765" spans="17:30">
      <c r="Q765"/>
      <c r="R765"/>
      <c r="S765"/>
      <c r="T765"/>
      <c r="U765"/>
      <c r="V765"/>
      <c r="W765"/>
      <c r="X765"/>
      <c r="Y765"/>
      <c r="Z765"/>
      <c r="AA765"/>
      <c r="AB765"/>
      <c r="AC765"/>
      <c r="AD765"/>
    </row>
    <row r="766" spans="17:30">
      <c r="Q766"/>
      <c r="R766"/>
      <c r="S766"/>
      <c r="T766"/>
      <c r="U766"/>
      <c r="V766"/>
      <c r="W766"/>
      <c r="X766"/>
      <c r="Y766"/>
      <c r="Z766"/>
      <c r="AA766"/>
      <c r="AB766"/>
      <c r="AC766"/>
      <c r="AD766"/>
    </row>
    <row r="767" spans="17:30">
      <c r="Q767"/>
      <c r="R767"/>
      <c r="S767"/>
      <c r="T767"/>
      <c r="U767"/>
      <c r="V767"/>
      <c r="W767"/>
      <c r="X767"/>
      <c r="Y767"/>
      <c r="Z767"/>
      <c r="AA767"/>
      <c r="AB767"/>
      <c r="AC767"/>
      <c r="AD767"/>
    </row>
    <row r="768" spans="17:30">
      <c r="Q768"/>
      <c r="R768"/>
      <c r="S768"/>
      <c r="T768"/>
      <c r="U768"/>
      <c r="V768"/>
      <c r="W768"/>
      <c r="X768"/>
      <c r="Y768"/>
      <c r="Z768"/>
      <c r="AA768"/>
      <c r="AB768"/>
      <c r="AC768"/>
      <c r="AD768"/>
    </row>
    <row r="769" spans="17:30">
      <c r="Q769"/>
      <c r="R769"/>
      <c r="S769"/>
      <c r="T769"/>
      <c r="U769"/>
      <c r="V769"/>
      <c r="W769"/>
      <c r="X769"/>
      <c r="Y769"/>
      <c r="Z769"/>
      <c r="AA769"/>
      <c r="AB769"/>
      <c r="AC769"/>
      <c r="AD769"/>
    </row>
    <row r="770" spans="17:30">
      <c r="Q770"/>
      <c r="R770"/>
      <c r="S770"/>
      <c r="T770"/>
      <c r="U770"/>
      <c r="V770"/>
      <c r="W770"/>
      <c r="X770"/>
      <c r="Y770"/>
      <c r="Z770"/>
      <c r="AA770"/>
      <c r="AB770"/>
      <c r="AC770"/>
      <c r="AD770"/>
    </row>
    <row r="771" spans="17:30">
      <c r="Q771"/>
      <c r="R771"/>
      <c r="S771"/>
      <c r="T771"/>
      <c r="U771"/>
      <c r="V771"/>
      <c r="W771"/>
      <c r="X771"/>
      <c r="Y771"/>
      <c r="Z771"/>
      <c r="AA771"/>
      <c r="AB771"/>
      <c r="AC771"/>
      <c r="AD771"/>
    </row>
    <row r="772" spans="17:30">
      <c r="Q772"/>
      <c r="R772"/>
      <c r="S772"/>
      <c r="T772"/>
      <c r="U772"/>
      <c r="V772"/>
      <c r="W772"/>
      <c r="X772"/>
      <c r="Y772"/>
      <c r="Z772"/>
      <c r="AA772"/>
      <c r="AB772"/>
      <c r="AC772"/>
      <c r="AD772"/>
    </row>
    <row r="773" spans="17:30">
      <c r="Q773"/>
      <c r="R773"/>
      <c r="S773"/>
      <c r="T773"/>
      <c r="U773"/>
      <c r="V773"/>
      <c r="W773"/>
      <c r="X773"/>
      <c r="Y773"/>
      <c r="Z773"/>
      <c r="AA773"/>
      <c r="AB773"/>
      <c r="AC773"/>
      <c r="AD773"/>
    </row>
    <row r="774" spans="17:30">
      <c r="Q774"/>
      <c r="R774"/>
      <c r="S774"/>
      <c r="T774"/>
      <c r="U774"/>
      <c r="V774"/>
      <c r="W774"/>
      <c r="X774"/>
      <c r="Y774"/>
      <c r="Z774"/>
      <c r="AA774"/>
      <c r="AB774"/>
      <c r="AC774"/>
      <c r="AD774"/>
    </row>
    <row r="775" spans="17:30">
      <c r="Q775"/>
      <c r="R775"/>
      <c r="S775"/>
      <c r="T775"/>
      <c r="U775"/>
      <c r="V775"/>
      <c r="W775"/>
      <c r="X775"/>
      <c r="Y775"/>
      <c r="Z775"/>
      <c r="AA775"/>
      <c r="AB775"/>
      <c r="AC775"/>
      <c r="AD775"/>
    </row>
    <row r="776" spans="17:30">
      <c r="Q776" s="23"/>
      <c r="R776" s="1"/>
      <c r="S776" s="1"/>
      <c r="T776" s="1"/>
      <c r="U776" s="1"/>
      <c r="V776" s="1"/>
      <c r="W776" s="1"/>
      <c r="X776" s="1"/>
      <c r="Y776" s="1"/>
      <c r="Z776" s="1"/>
    </row>
    <row r="777" spans="17:30">
      <c r="Q777" s="23"/>
      <c r="R777" s="1"/>
      <c r="S777" s="1"/>
      <c r="T777" s="1"/>
      <c r="U777" s="1"/>
      <c r="V777" s="1"/>
      <c r="W777" s="1"/>
      <c r="X777" s="1"/>
      <c r="Y777" s="1"/>
      <c r="Z777" s="1"/>
    </row>
    <row r="778" spans="17:30">
      <c r="Q778" s="23"/>
      <c r="R778" s="1"/>
      <c r="S778" s="1"/>
      <c r="T778" s="1"/>
      <c r="U778" s="1"/>
      <c r="V778" s="1"/>
      <c r="W778" s="1"/>
      <c r="X778" s="1"/>
      <c r="Y778" s="1"/>
      <c r="Z778" s="1"/>
    </row>
    <row r="779" spans="17:30">
      <c r="Q779" s="23"/>
      <c r="R779" s="1"/>
      <c r="S779" s="1"/>
      <c r="T779" s="1"/>
      <c r="U779" s="1"/>
      <c r="V779" s="1"/>
      <c r="W779" s="1"/>
      <c r="X779" s="1"/>
      <c r="Y779" s="1"/>
      <c r="Z779" s="1"/>
    </row>
    <row r="780" spans="17:30">
      <c r="Q780" s="23"/>
      <c r="R780" s="1"/>
      <c r="S780" s="1"/>
      <c r="T780" s="1"/>
      <c r="U780" s="1"/>
      <c r="V780" s="1"/>
      <c r="W780" s="1"/>
      <c r="X780" s="1"/>
      <c r="Y780" s="1"/>
      <c r="Z780" s="1"/>
    </row>
    <row r="781" spans="17:30">
      <c r="Q781" s="23"/>
      <c r="R781" s="1"/>
      <c r="S781" s="1"/>
      <c r="T781" s="1"/>
      <c r="U781" s="1"/>
      <c r="V781" s="1"/>
      <c r="W781" s="1"/>
      <c r="X781" s="1"/>
      <c r="Y781" s="1"/>
      <c r="Z781" s="1"/>
    </row>
    <row r="782" spans="17:30">
      <c r="Q782" s="23"/>
      <c r="R782" s="1"/>
      <c r="S782" s="1"/>
      <c r="T782" s="1"/>
      <c r="U782" s="1"/>
      <c r="V782" s="1"/>
      <c r="W782" s="1"/>
      <c r="X782" s="1"/>
      <c r="Y782" s="1"/>
      <c r="Z782" s="1"/>
    </row>
    <row r="783" spans="17:30">
      <c r="Q783" s="23"/>
      <c r="R783" s="1"/>
      <c r="S783" s="1"/>
      <c r="T783" s="1"/>
      <c r="U783" s="1"/>
      <c r="V783" s="1"/>
      <c r="W783" s="1"/>
      <c r="X783" s="1"/>
      <c r="Y783" s="1"/>
      <c r="Z783" s="1"/>
    </row>
    <row r="784" spans="17:30">
      <c r="Q784" s="23"/>
      <c r="R784" s="1"/>
      <c r="S784" s="1"/>
      <c r="T784" s="1"/>
      <c r="U784" s="1"/>
      <c r="V784" s="1"/>
      <c r="W784" s="1"/>
      <c r="X784" s="1"/>
      <c r="Y784" s="1"/>
      <c r="Z784" s="1"/>
    </row>
    <row r="785" spans="17:26">
      <c r="Q785" s="23"/>
      <c r="R785" s="1"/>
      <c r="S785" s="1"/>
      <c r="T785" s="1"/>
      <c r="U785" s="1"/>
      <c r="V785" s="1"/>
      <c r="W785" s="1"/>
      <c r="X785" s="1"/>
      <c r="Y785" s="1"/>
      <c r="Z785" s="1"/>
    </row>
    <row r="786" spans="17:26">
      <c r="Q786" s="23"/>
      <c r="R786" s="1"/>
      <c r="S786" s="1"/>
      <c r="T786" s="1"/>
      <c r="U786" s="1"/>
      <c r="V786" s="1"/>
      <c r="W786" s="1"/>
      <c r="X786" s="1"/>
      <c r="Y786" s="1"/>
      <c r="Z786" s="1"/>
    </row>
    <row r="787" spans="17:26">
      <c r="Q787" s="23"/>
      <c r="R787" s="1"/>
      <c r="S787" s="1"/>
      <c r="T787" s="1"/>
      <c r="U787" s="1"/>
      <c r="V787" s="1"/>
      <c r="W787" s="1"/>
      <c r="X787" s="1"/>
      <c r="Y787" s="1"/>
      <c r="Z787" s="1"/>
    </row>
    <row r="788" spans="17:26">
      <c r="Q788" s="23"/>
      <c r="R788" s="1"/>
      <c r="S788" s="1"/>
      <c r="T788" s="1"/>
      <c r="U788" s="1"/>
      <c r="V788" s="1"/>
      <c r="W788" s="1"/>
      <c r="X788" s="1"/>
      <c r="Y788" s="1"/>
      <c r="Z788" s="1"/>
    </row>
    <row r="789" spans="17:26">
      <c r="Q789" s="23"/>
      <c r="R789" s="1"/>
      <c r="S789" s="1"/>
      <c r="T789" s="1"/>
      <c r="U789" s="1"/>
      <c r="V789" s="1"/>
      <c r="W789" s="1"/>
      <c r="X789" s="1"/>
      <c r="Y789" s="1"/>
      <c r="Z789" s="1"/>
    </row>
    <row r="790" spans="17:26">
      <c r="Q790" s="23"/>
      <c r="R790" s="1"/>
      <c r="S790" s="1"/>
      <c r="T790" s="1"/>
      <c r="U790" s="1"/>
      <c r="V790" s="1"/>
      <c r="W790" s="1"/>
      <c r="X790" s="1"/>
      <c r="Y790" s="1"/>
      <c r="Z790" s="1"/>
    </row>
    <row r="791" spans="17:26">
      <c r="Q791" s="23"/>
      <c r="R791" s="1"/>
      <c r="S791" s="1"/>
      <c r="T791" s="1"/>
      <c r="U791" s="1"/>
      <c r="V791" s="1"/>
      <c r="W791" s="1"/>
      <c r="X791" s="1"/>
      <c r="Y791" s="1"/>
      <c r="Z791" s="1"/>
    </row>
    <row r="792" spans="17:26">
      <c r="Q792" s="23"/>
      <c r="R792" s="1"/>
      <c r="S792" s="1"/>
      <c r="T792" s="1"/>
      <c r="U792" s="1"/>
      <c r="V792" s="1"/>
      <c r="W792" s="1"/>
      <c r="X792" s="1"/>
      <c r="Y792" s="1"/>
      <c r="Z792" s="1"/>
    </row>
    <row r="793" spans="17:26">
      <c r="Q793" s="23"/>
      <c r="R793" s="1"/>
      <c r="S793" s="1"/>
      <c r="T793" s="1"/>
      <c r="U793" s="1"/>
      <c r="V793" s="1"/>
      <c r="W793" s="1"/>
      <c r="X793" s="1"/>
      <c r="Y793" s="1"/>
      <c r="Z793" s="1"/>
    </row>
    <row r="794" spans="17:26">
      <c r="Q794" s="23"/>
      <c r="R794" s="1"/>
      <c r="S794" s="1"/>
      <c r="T794" s="1"/>
      <c r="U794" s="1"/>
      <c r="V794" s="1"/>
      <c r="W794" s="1"/>
      <c r="X794" s="1"/>
      <c r="Y794" s="1"/>
      <c r="Z794" s="1"/>
    </row>
    <row r="795" spans="17:26">
      <c r="Q795" s="23"/>
      <c r="R795" s="1"/>
      <c r="S795" s="1"/>
      <c r="T795" s="1"/>
      <c r="U795" s="1"/>
      <c r="V795" s="1"/>
      <c r="W795" s="1"/>
      <c r="X795" s="1"/>
      <c r="Y795" s="1"/>
      <c r="Z795" s="1"/>
    </row>
    <row r="796" spans="17:26">
      <c r="Q796" s="23"/>
      <c r="R796" s="1"/>
      <c r="S796" s="1"/>
      <c r="T796" s="1"/>
      <c r="U796" s="1"/>
      <c r="V796" s="1"/>
      <c r="W796" s="1"/>
      <c r="X796" s="1"/>
      <c r="Y796" s="1"/>
      <c r="Z796" s="1"/>
    </row>
    <row r="797" spans="17:26">
      <c r="Q797" s="23"/>
      <c r="R797" s="1"/>
      <c r="S797" s="1"/>
      <c r="T797" s="1"/>
      <c r="U797" s="1"/>
      <c r="V797" s="1"/>
      <c r="W797" s="1"/>
      <c r="X797" s="1"/>
      <c r="Y797" s="1"/>
      <c r="Z797" s="1"/>
    </row>
    <row r="798" spans="17:26">
      <c r="Q798" s="23"/>
      <c r="R798" s="1"/>
      <c r="S798" s="1"/>
      <c r="T798" s="1"/>
      <c r="U798" s="1"/>
      <c r="V798" s="1"/>
      <c r="W798" s="1"/>
      <c r="X798" s="1"/>
      <c r="Y798" s="1"/>
      <c r="Z798" s="1"/>
    </row>
    <row r="799" spans="17:26">
      <c r="Q799" s="23"/>
      <c r="R799" s="1"/>
      <c r="S799" s="1"/>
      <c r="T799" s="1"/>
      <c r="U799" s="1"/>
      <c r="V799" s="1"/>
      <c r="W799" s="1"/>
      <c r="X799" s="1"/>
      <c r="Y799" s="1"/>
      <c r="Z799" s="1"/>
    </row>
    <row r="800" spans="17:26">
      <c r="Q800" s="23"/>
      <c r="R800" s="1"/>
      <c r="S800" s="1"/>
      <c r="T800" s="1"/>
      <c r="U800" s="1"/>
      <c r="V800" s="1"/>
      <c r="W800" s="1"/>
      <c r="X800" s="1"/>
      <c r="Y800" s="1"/>
      <c r="Z800" s="1"/>
    </row>
    <row r="801" spans="17:26">
      <c r="Q801" s="23"/>
      <c r="R801" s="1"/>
      <c r="S801" s="1"/>
      <c r="T801" s="1"/>
      <c r="U801" s="1"/>
      <c r="V801" s="1"/>
      <c r="W801" s="1"/>
      <c r="X801" s="1"/>
      <c r="Y801" s="1"/>
      <c r="Z801" s="1"/>
    </row>
    <row r="802" spans="17:26">
      <c r="Q802" s="23"/>
      <c r="R802" s="1"/>
      <c r="S802" s="1"/>
      <c r="T802" s="1"/>
      <c r="U802" s="1"/>
      <c r="V802" s="1"/>
      <c r="W802" s="1"/>
      <c r="X802" s="1"/>
      <c r="Y802" s="1"/>
      <c r="Z802" s="1"/>
    </row>
    <row r="803" spans="17:26">
      <c r="Q803" s="23"/>
      <c r="R803" s="1"/>
      <c r="S803" s="1"/>
      <c r="T803" s="1"/>
      <c r="U803" s="1"/>
      <c r="V803" s="1"/>
      <c r="W803" s="1"/>
      <c r="X803" s="1"/>
      <c r="Y803" s="1"/>
      <c r="Z803" s="1"/>
    </row>
    <row r="804" spans="17:26">
      <c r="Q804" s="23"/>
      <c r="R804" s="1"/>
      <c r="S804" s="1"/>
      <c r="T804" s="1"/>
      <c r="U804" s="1"/>
      <c r="V804" s="1"/>
      <c r="W804" s="1"/>
      <c r="X804" s="1"/>
      <c r="Y804" s="1"/>
      <c r="Z804" s="1"/>
    </row>
    <row r="805" spans="17:26">
      <c r="Q805" s="23"/>
      <c r="R805" s="1"/>
      <c r="S805" s="1"/>
      <c r="T805" s="1"/>
      <c r="U805" s="1"/>
      <c r="V805" s="1"/>
      <c r="W805" s="1"/>
      <c r="X805" s="1"/>
      <c r="Y805" s="1"/>
      <c r="Z805" s="1"/>
    </row>
    <row r="806" spans="17:26">
      <c r="Q806" s="23"/>
      <c r="R806" s="1"/>
      <c r="S806" s="1"/>
      <c r="T806" s="1"/>
      <c r="U806" s="1"/>
      <c r="V806" s="1"/>
      <c r="W806" s="1"/>
      <c r="X806" s="1"/>
      <c r="Y806" s="1"/>
      <c r="Z806" s="1"/>
    </row>
    <row r="807" spans="17:26">
      <c r="Q807" s="23"/>
      <c r="R807" s="1"/>
      <c r="S807" s="1"/>
      <c r="T807" s="1"/>
      <c r="U807" s="1"/>
      <c r="V807" s="1"/>
      <c r="W807" s="1"/>
      <c r="X807" s="1"/>
      <c r="Y807" s="1"/>
      <c r="Z807" s="1"/>
    </row>
    <row r="808" spans="17:26">
      <c r="Q808" s="23"/>
      <c r="R808" s="1"/>
      <c r="S808" s="1"/>
      <c r="T808" s="1"/>
      <c r="U808" s="1"/>
      <c r="V808" s="1"/>
      <c r="W808" s="1"/>
      <c r="X808" s="1"/>
      <c r="Y808" s="1"/>
      <c r="Z808" s="1"/>
    </row>
    <row r="809" spans="17:26">
      <c r="Q809" s="23"/>
      <c r="R809" s="1"/>
      <c r="S809" s="1"/>
      <c r="T809" s="1"/>
      <c r="U809" s="1"/>
      <c r="V809" s="1"/>
      <c r="W809" s="1"/>
      <c r="X809" s="1"/>
      <c r="Y809" s="1"/>
      <c r="Z809" s="1"/>
    </row>
    <row r="810" spans="17:26">
      <c r="Q810" s="23"/>
      <c r="R810" s="1"/>
      <c r="S810" s="1"/>
      <c r="T810" s="1"/>
      <c r="U810" s="1"/>
      <c r="V810" s="1"/>
      <c r="W810" s="1"/>
      <c r="X810" s="1"/>
      <c r="Y810" s="1"/>
      <c r="Z810" s="1"/>
    </row>
    <row r="811" spans="17:26">
      <c r="Q811" s="23"/>
      <c r="R811" s="1"/>
      <c r="S811" s="1"/>
      <c r="T811" s="1"/>
      <c r="U811" s="1"/>
      <c r="V811" s="1"/>
      <c r="W811" s="1"/>
      <c r="X811" s="1"/>
      <c r="Y811" s="1"/>
      <c r="Z811" s="1"/>
    </row>
    <row r="812" spans="17:26">
      <c r="Q812" s="23"/>
      <c r="R812" s="1"/>
      <c r="S812" s="1"/>
      <c r="T812" s="1"/>
      <c r="U812" s="1"/>
      <c r="V812" s="1"/>
      <c r="W812" s="1"/>
      <c r="X812" s="1"/>
      <c r="Y812" s="1"/>
      <c r="Z812" s="1"/>
    </row>
    <row r="813" spans="17:26">
      <c r="Q813" s="23"/>
      <c r="R813" s="1"/>
      <c r="S813" s="1"/>
      <c r="T813" s="1"/>
      <c r="U813" s="1"/>
      <c r="V813" s="1"/>
      <c r="W813" s="1"/>
      <c r="X813" s="1"/>
      <c r="Y813" s="1"/>
      <c r="Z813" s="1"/>
    </row>
    <row r="814" spans="17:26">
      <c r="Q814" s="23"/>
      <c r="R814" s="1"/>
      <c r="S814" s="1"/>
      <c r="T814" s="1"/>
      <c r="U814" s="1"/>
      <c r="V814" s="1"/>
      <c r="W814" s="1"/>
      <c r="X814" s="1"/>
      <c r="Y814" s="1"/>
      <c r="Z814" s="1"/>
    </row>
    <row r="815" spans="17:26">
      <c r="Q815" s="23"/>
      <c r="R815" s="1"/>
      <c r="S815" s="1"/>
      <c r="T815" s="1"/>
      <c r="U815" s="1"/>
      <c r="V815" s="1"/>
      <c r="W815" s="1"/>
      <c r="X815" s="1"/>
      <c r="Y815" s="1"/>
      <c r="Z815" s="1"/>
    </row>
    <row r="816" spans="17:26">
      <c r="Q816" s="23"/>
      <c r="R816" s="1"/>
      <c r="S816" s="1"/>
      <c r="T816" s="1"/>
      <c r="U816" s="1"/>
      <c r="V816" s="1"/>
      <c r="W816" s="1"/>
      <c r="X816" s="1"/>
      <c r="Y816" s="1"/>
      <c r="Z816" s="1"/>
    </row>
    <row r="817" spans="17:26">
      <c r="Q817" s="23"/>
      <c r="R817" s="1"/>
      <c r="S817" s="1"/>
      <c r="T817" s="1"/>
      <c r="U817" s="1"/>
      <c r="V817" s="1"/>
      <c r="W817" s="1"/>
      <c r="X817" s="1"/>
      <c r="Y817" s="1"/>
      <c r="Z817" s="1"/>
    </row>
    <row r="818" spans="17:26">
      <c r="Q818" s="23"/>
      <c r="R818" s="1"/>
      <c r="S818" s="1"/>
      <c r="T818" s="1"/>
      <c r="U818" s="1"/>
      <c r="V818" s="1"/>
      <c r="W818" s="1"/>
      <c r="X818" s="1"/>
      <c r="Y818" s="1"/>
      <c r="Z818" s="1"/>
    </row>
    <row r="819" spans="17:26">
      <c r="Q819" s="23"/>
      <c r="R819" s="1"/>
      <c r="S819" s="1"/>
      <c r="T819" s="1"/>
      <c r="U819" s="1"/>
      <c r="V819" s="1"/>
      <c r="W819" s="1"/>
      <c r="X819" s="1"/>
      <c r="Y819" s="1"/>
      <c r="Z819" s="1"/>
    </row>
    <row r="820" spans="17:26">
      <c r="Q820" s="23"/>
      <c r="R820" s="1"/>
      <c r="S820" s="1"/>
      <c r="T820" s="1"/>
      <c r="U820" s="1"/>
      <c r="V820" s="1"/>
      <c r="W820" s="1"/>
      <c r="X820" s="1"/>
      <c r="Y820" s="1"/>
      <c r="Z820" s="1"/>
    </row>
    <row r="821" spans="17:26">
      <c r="Q821" s="23"/>
      <c r="R821" s="1"/>
      <c r="S821" s="1"/>
      <c r="T821" s="1"/>
      <c r="U821" s="1"/>
      <c r="V821" s="1"/>
      <c r="W821" s="1"/>
      <c r="X821" s="1"/>
      <c r="Y821" s="1"/>
      <c r="Z821" s="1"/>
    </row>
    <row r="822" spans="17:26">
      <c r="Q822" s="23"/>
      <c r="R822" s="1"/>
      <c r="S822" s="1"/>
      <c r="T822" s="1"/>
      <c r="U822" s="1"/>
      <c r="V822" s="1"/>
      <c r="W822" s="1"/>
      <c r="X822" s="1"/>
      <c r="Y822" s="1"/>
      <c r="Z822" s="1"/>
    </row>
    <row r="823" spans="17:26">
      <c r="Q823" s="23"/>
      <c r="R823" s="1"/>
      <c r="S823" s="1"/>
      <c r="T823" s="1"/>
      <c r="U823" s="1"/>
      <c r="V823" s="1"/>
      <c r="W823" s="1"/>
      <c r="X823" s="1"/>
      <c r="Y823" s="1"/>
      <c r="Z823" s="1"/>
    </row>
    <row r="824" spans="17:26">
      <c r="Q824" s="23"/>
      <c r="R824" s="1"/>
      <c r="S824" s="1"/>
      <c r="T824" s="1"/>
      <c r="U824" s="1"/>
      <c r="V824" s="1"/>
      <c r="W824" s="1"/>
      <c r="X824" s="1"/>
      <c r="Y824" s="1"/>
      <c r="Z824" s="1"/>
    </row>
    <row r="825" spans="17:26">
      <c r="Q825" s="23"/>
      <c r="R825" s="1"/>
      <c r="S825" s="1"/>
      <c r="T825" s="1"/>
      <c r="U825" s="1"/>
      <c r="V825" s="1"/>
      <c r="W825" s="1"/>
      <c r="X825" s="1"/>
      <c r="Y825" s="1"/>
      <c r="Z825" s="1"/>
    </row>
    <row r="826" spans="17:26">
      <c r="Q826" s="23"/>
      <c r="R826" s="1"/>
      <c r="S826" s="1"/>
      <c r="T826" s="1"/>
      <c r="U826" s="1"/>
      <c r="V826" s="1"/>
      <c r="W826" s="1"/>
      <c r="X826" s="1"/>
      <c r="Y826" s="1"/>
      <c r="Z826" s="1"/>
    </row>
    <row r="827" spans="17:26">
      <c r="Q827" s="23"/>
      <c r="R827" s="1"/>
      <c r="S827" s="1"/>
      <c r="T827" s="1"/>
      <c r="U827" s="1"/>
      <c r="V827" s="1"/>
      <c r="W827" s="1"/>
      <c r="X827" s="1"/>
      <c r="Y827" s="1"/>
      <c r="Z827" s="1"/>
    </row>
    <row r="828" spans="17:26">
      <c r="Q828" s="23"/>
      <c r="R828" s="1"/>
      <c r="S828" s="1"/>
      <c r="T828" s="1"/>
      <c r="U828" s="1"/>
      <c r="V828" s="1"/>
      <c r="W828" s="1"/>
      <c r="X828" s="1"/>
      <c r="Y828" s="1"/>
      <c r="Z828" s="1"/>
    </row>
    <row r="829" spans="17:26">
      <c r="Q829" s="23"/>
      <c r="R829" s="1"/>
      <c r="S829" s="1"/>
      <c r="T829" s="1"/>
      <c r="U829" s="1"/>
      <c r="V829" s="1"/>
      <c r="W829" s="1"/>
      <c r="X829" s="1"/>
      <c r="Y829" s="1"/>
      <c r="Z829" s="1"/>
    </row>
    <row r="830" spans="17:26">
      <c r="Q830" s="23"/>
      <c r="R830" s="1"/>
      <c r="S830" s="1"/>
      <c r="T830" s="1"/>
      <c r="U830" s="1"/>
      <c r="V830" s="1"/>
      <c r="W830" s="1"/>
      <c r="X830" s="1"/>
      <c r="Y830" s="1"/>
      <c r="Z830" s="1"/>
    </row>
    <row r="831" spans="17:26">
      <c r="Q831" s="23"/>
      <c r="R831" s="1"/>
      <c r="S831" s="1"/>
      <c r="T831" s="1"/>
      <c r="U831" s="1"/>
      <c r="V831" s="1"/>
      <c r="W831" s="1"/>
      <c r="X831" s="1"/>
      <c r="Y831" s="1"/>
      <c r="Z831" s="1"/>
    </row>
    <row r="832" spans="17:26">
      <c r="Q832" s="23"/>
      <c r="R832" s="1"/>
      <c r="S832" s="1"/>
      <c r="T832" s="1"/>
      <c r="U832" s="1"/>
      <c r="V832" s="1"/>
      <c r="W832" s="1"/>
      <c r="X832" s="1"/>
      <c r="Y832" s="1"/>
      <c r="Z832" s="1"/>
    </row>
    <row r="833" spans="17:26">
      <c r="Q833" s="23"/>
      <c r="R833" s="1"/>
      <c r="S833" s="1"/>
      <c r="T833" s="1"/>
      <c r="U833" s="1"/>
      <c r="V833" s="1"/>
      <c r="W833" s="1"/>
      <c r="X833" s="1"/>
      <c r="Y833" s="1"/>
      <c r="Z833" s="1"/>
    </row>
    <row r="834" spans="17:26">
      <c r="Q834" s="23"/>
      <c r="R834" s="1"/>
      <c r="S834" s="1"/>
      <c r="T834" s="1"/>
      <c r="U834" s="1"/>
      <c r="V834" s="1"/>
      <c r="W834" s="1"/>
      <c r="X834" s="1"/>
      <c r="Y834" s="1"/>
      <c r="Z834" s="1"/>
    </row>
    <row r="835" spans="17:26">
      <c r="Q835" s="23"/>
      <c r="R835" s="1"/>
      <c r="S835" s="1"/>
      <c r="T835" s="1"/>
      <c r="U835" s="1"/>
      <c r="V835" s="1"/>
      <c r="W835" s="1"/>
      <c r="X835" s="1"/>
      <c r="Y835" s="1"/>
      <c r="Z835" s="1"/>
    </row>
    <row r="836" spans="17:26">
      <c r="Q836" s="23"/>
      <c r="R836" s="1"/>
      <c r="S836" s="1"/>
      <c r="T836" s="1"/>
      <c r="U836" s="1"/>
      <c r="V836" s="1"/>
      <c r="W836" s="1"/>
      <c r="X836" s="1"/>
      <c r="Y836" s="1"/>
      <c r="Z836" s="1"/>
    </row>
    <row r="837" spans="17:26">
      <c r="Q837" s="23"/>
      <c r="R837" s="1"/>
      <c r="S837" s="1"/>
      <c r="T837" s="1"/>
      <c r="U837" s="1"/>
      <c r="V837" s="1"/>
      <c r="W837" s="1"/>
      <c r="X837" s="1"/>
      <c r="Y837" s="1"/>
      <c r="Z837" s="1"/>
    </row>
    <row r="838" spans="17:26">
      <c r="Q838" s="23"/>
      <c r="R838" s="1"/>
      <c r="S838" s="1"/>
      <c r="T838" s="1"/>
      <c r="U838" s="1"/>
      <c r="V838" s="1"/>
      <c r="W838" s="1"/>
      <c r="X838" s="1"/>
      <c r="Y838" s="1"/>
      <c r="Z838" s="1"/>
    </row>
    <row r="839" spans="17:26">
      <c r="Q839" s="23"/>
      <c r="R839" s="1"/>
      <c r="S839" s="1"/>
      <c r="T839" s="1"/>
      <c r="U839" s="1"/>
      <c r="V839" s="1"/>
      <c r="W839" s="1"/>
      <c r="X839" s="1"/>
      <c r="Y839" s="1"/>
      <c r="Z839" s="1"/>
    </row>
    <row r="840" spans="17:26">
      <c r="Q840" s="23"/>
      <c r="R840" s="1"/>
      <c r="S840" s="1"/>
      <c r="T840" s="1"/>
      <c r="U840" s="1"/>
      <c r="V840" s="1"/>
      <c r="W840" s="1"/>
      <c r="X840" s="1"/>
      <c r="Y840" s="1"/>
      <c r="Z840" s="1"/>
    </row>
    <row r="841" spans="17:26">
      <c r="Q841" s="23"/>
      <c r="R841" s="1"/>
      <c r="S841" s="1"/>
      <c r="T841" s="1"/>
      <c r="U841" s="1"/>
      <c r="V841" s="1"/>
      <c r="W841" s="1"/>
      <c r="X841" s="1"/>
      <c r="Y841" s="1"/>
      <c r="Z841" s="1"/>
    </row>
    <row r="842" spans="17:26">
      <c r="Q842" s="23"/>
      <c r="R842" s="1"/>
      <c r="S842" s="1"/>
      <c r="T842" s="1"/>
      <c r="U842" s="1"/>
      <c r="V842" s="1"/>
      <c r="W842" s="1"/>
      <c r="X842" s="1"/>
      <c r="Y842" s="1"/>
      <c r="Z842" s="1"/>
    </row>
    <row r="843" spans="17:26">
      <c r="Q843" s="23"/>
      <c r="R843" s="1"/>
      <c r="S843" s="1"/>
      <c r="T843" s="1"/>
      <c r="U843" s="1"/>
      <c r="V843" s="1"/>
      <c r="W843" s="1"/>
      <c r="X843" s="1"/>
      <c r="Y843" s="1"/>
      <c r="Z843" s="1"/>
    </row>
    <row r="844" spans="17:26">
      <c r="Q844" s="23"/>
      <c r="R844" s="1"/>
      <c r="S844" s="1"/>
      <c r="T844" s="1"/>
      <c r="U844" s="1"/>
      <c r="V844" s="1"/>
      <c r="W844" s="1"/>
      <c r="X844" s="1"/>
      <c r="Y844" s="1"/>
      <c r="Z844" s="1"/>
    </row>
    <row r="845" spans="17:26">
      <c r="Q845" s="23"/>
      <c r="R845" s="1"/>
      <c r="S845" s="1"/>
      <c r="T845" s="1"/>
      <c r="U845" s="1"/>
      <c r="V845" s="1"/>
      <c r="W845" s="1"/>
      <c r="X845" s="1"/>
      <c r="Y845" s="1"/>
      <c r="Z845" s="1"/>
    </row>
    <row r="846" spans="17:26">
      <c r="Q846" s="23"/>
      <c r="R846" s="1"/>
      <c r="S846" s="1"/>
      <c r="T846" s="1"/>
      <c r="U846" s="1"/>
      <c r="V846" s="1"/>
      <c r="W846" s="1"/>
      <c r="X846" s="1"/>
      <c r="Y846" s="1"/>
      <c r="Z846" s="1"/>
    </row>
    <row r="847" spans="17:26">
      <c r="Q847" s="23"/>
      <c r="R847" s="1"/>
      <c r="S847" s="1"/>
      <c r="T847" s="1"/>
      <c r="U847" s="1"/>
      <c r="V847" s="1"/>
      <c r="W847" s="1"/>
      <c r="X847" s="1"/>
      <c r="Y847" s="1"/>
      <c r="Z847" s="1"/>
    </row>
    <row r="848" spans="17:26">
      <c r="Q848" s="23"/>
      <c r="R848" s="1"/>
      <c r="S848" s="1"/>
      <c r="T848" s="1"/>
      <c r="U848" s="1"/>
      <c r="V848" s="1"/>
      <c r="W848" s="1"/>
      <c r="X848" s="1"/>
      <c r="Y848" s="1"/>
      <c r="Z848" s="1"/>
    </row>
    <row r="849" spans="17:26">
      <c r="Q849" s="23"/>
      <c r="R849" s="1"/>
      <c r="S849" s="1"/>
      <c r="T849" s="1"/>
      <c r="U849" s="1"/>
      <c r="V849" s="1"/>
      <c r="W849" s="1"/>
      <c r="X849" s="1"/>
      <c r="Y849" s="1"/>
      <c r="Z849" s="1"/>
    </row>
    <row r="850" spans="17:26">
      <c r="Q850" s="23"/>
      <c r="R850" s="1"/>
      <c r="S850" s="1"/>
      <c r="T850" s="1"/>
      <c r="U850" s="1"/>
      <c r="V850" s="1"/>
      <c r="W850" s="1"/>
      <c r="X850" s="1"/>
      <c r="Y850" s="1"/>
      <c r="Z850" s="1"/>
    </row>
    <row r="851" spans="17:26">
      <c r="Q851" s="23"/>
      <c r="R851" s="1"/>
      <c r="S851" s="1"/>
      <c r="T851" s="1"/>
      <c r="U851" s="1"/>
      <c r="V851" s="1"/>
      <c r="W851" s="1"/>
      <c r="X851" s="1"/>
      <c r="Y851" s="1"/>
      <c r="Z851" s="1"/>
    </row>
    <row r="852" spans="17:26">
      <c r="Q852" s="23"/>
      <c r="R852" s="1"/>
      <c r="S852" s="1"/>
      <c r="T852" s="1"/>
      <c r="U852" s="1"/>
      <c r="V852" s="1"/>
      <c r="W852" s="1"/>
      <c r="X852" s="1"/>
      <c r="Y852" s="1"/>
      <c r="Z852" s="1"/>
    </row>
    <row r="853" spans="17:26">
      <c r="Q853" s="23"/>
      <c r="R853" s="1"/>
      <c r="S853" s="1"/>
      <c r="T853" s="1"/>
      <c r="U853" s="1"/>
      <c r="V853" s="1"/>
      <c r="W853" s="1"/>
      <c r="X853" s="1"/>
      <c r="Y853" s="1"/>
      <c r="Z853" s="1"/>
    </row>
    <row r="854" spans="17:26">
      <c r="Q854" s="23"/>
      <c r="R854" s="1"/>
      <c r="S854" s="1"/>
      <c r="T854" s="1"/>
      <c r="U854" s="1"/>
      <c r="V854" s="1"/>
      <c r="W854" s="1"/>
      <c r="X854" s="1"/>
      <c r="Y854" s="1"/>
      <c r="Z854" s="1"/>
    </row>
    <row r="855" spans="17:26">
      <c r="Q855" s="23"/>
      <c r="R855" s="1"/>
      <c r="S855" s="1"/>
      <c r="T855" s="1"/>
      <c r="U855" s="1"/>
      <c r="V855" s="1"/>
      <c r="W855" s="1"/>
      <c r="X855" s="1"/>
      <c r="Y855" s="1"/>
      <c r="Z855" s="1"/>
    </row>
    <row r="856" spans="17:26">
      <c r="Q856" s="23"/>
      <c r="R856" s="1"/>
      <c r="S856" s="1"/>
      <c r="T856" s="1"/>
      <c r="U856" s="1"/>
      <c r="V856" s="1"/>
      <c r="W856" s="1"/>
      <c r="X856" s="1"/>
      <c r="Y856" s="1"/>
      <c r="Z856" s="1"/>
    </row>
    <row r="857" spans="17:26">
      <c r="Q857" s="23"/>
      <c r="R857" s="1"/>
      <c r="S857" s="1"/>
      <c r="T857" s="1"/>
      <c r="U857" s="1"/>
      <c r="V857" s="1"/>
      <c r="W857" s="1"/>
      <c r="X857" s="1"/>
      <c r="Y857" s="1"/>
      <c r="Z857" s="1"/>
    </row>
    <row r="858" spans="17:26">
      <c r="Q858" s="23"/>
      <c r="R858" s="1"/>
      <c r="S858" s="1"/>
      <c r="T858" s="1"/>
      <c r="U858" s="1"/>
      <c r="V858" s="1"/>
      <c r="W858" s="1"/>
      <c r="X858" s="1"/>
      <c r="Y858" s="1"/>
      <c r="Z858" s="1"/>
    </row>
    <row r="859" spans="17:26">
      <c r="Q859" s="23"/>
      <c r="R859" s="1"/>
      <c r="S859" s="1"/>
      <c r="T859" s="1"/>
      <c r="U859" s="1"/>
      <c r="V859" s="1"/>
      <c r="W859" s="1"/>
      <c r="X859" s="1"/>
      <c r="Y859" s="1"/>
      <c r="Z859" s="1"/>
    </row>
    <row r="860" spans="17:26">
      <c r="Q860" s="23"/>
      <c r="R860" s="1"/>
      <c r="S860" s="1"/>
      <c r="T860" s="1"/>
      <c r="U860" s="1"/>
      <c r="V860" s="1"/>
      <c r="W860" s="1"/>
      <c r="X860" s="1"/>
      <c r="Y860" s="1"/>
      <c r="Z860" s="1"/>
    </row>
    <row r="861" spans="17:26">
      <c r="Q861" s="23"/>
      <c r="R861" s="1"/>
      <c r="S861" s="1"/>
      <c r="T861" s="1"/>
      <c r="U861" s="1"/>
      <c r="V861" s="1"/>
      <c r="W861" s="1"/>
      <c r="X861" s="1"/>
      <c r="Y861" s="1"/>
      <c r="Z861" s="1"/>
    </row>
    <row r="862" spans="17:26">
      <c r="Q862" s="23"/>
      <c r="R862" s="1"/>
      <c r="S862" s="1"/>
      <c r="T862" s="1"/>
      <c r="U862" s="1"/>
      <c r="V862" s="1"/>
      <c r="W862" s="1"/>
      <c r="X862" s="1"/>
      <c r="Y862" s="1"/>
      <c r="Z862" s="1"/>
    </row>
    <row r="863" spans="17:26">
      <c r="Q863" s="23"/>
      <c r="R863" s="1"/>
      <c r="S863" s="1"/>
      <c r="T863" s="1"/>
      <c r="U863" s="1"/>
      <c r="V863" s="1"/>
      <c r="W863" s="1"/>
      <c r="X863" s="1"/>
      <c r="Y863" s="1"/>
      <c r="Z863" s="1"/>
    </row>
    <row r="864" spans="17:26">
      <c r="Q864" s="23"/>
      <c r="R864" s="1"/>
      <c r="S864" s="1"/>
      <c r="T864" s="1"/>
      <c r="U864" s="1"/>
      <c r="V864" s="1"/>
      <c r="W864" s="1"/>
      <c r="X864" s="1"/>
      <c r="Y864" s="1"/>
      <c r="Z864" s="1"/>
    </row>
    <row r="865" spans="17:26">
      <c r="Q865" s="23"/>
      <c r="R865" s="1"/>
      <c r="S865" s="1"/>
      <c r="T865" s="1"/>
      <c r="U865" s="1"/>
      <c r="V865" s="1"/>
      <c r="W865" s="1"/>
      <c r="X865" s="1"/>
      <c r="Y865" s="1"/>
      <c r="Z865" s="1"/>
    </row>
    <row r="866" spans="17:26">
      <c r="Q866" s="23"/>
      <c r="R866" s="1"/>
      <c r="S866" s="1"/>
      <c r="T866" s="1"/>
      <c r="U866" s="1"/>
      <c r="V866" s="1"/>
      <c r="W866" s="1"/>
      <c r="X866" s="1"/>
      <c r="Y866" s="1"/>
      <c r="Z866" s="1"/>
    </row>
    <row r="867" spans="17:26">
      <c r="Q867" s="23"/>
      <c r="R867" s="1"/>
      <c r="S867" s="1"/>
      <c r="T867" s="1"/>
      <c r="U867" s="1"/>
      <c r="V867" s="1"/>
      <c r="W867" s="1"/>
      <c r="X867" s="1"/>
      <c r="Y867" s="1"/>
      <c r="Z867" s="1"/>
    </row>
    <row r="868" spans="17:26">
      <c r="Q868" s="23"/>
      <c r="R868" s="1"/>
      <c r="S868" s="1"/>
      <c r="T868" s="1"/>
      <c r="U868" s="1"/>
      <c r="V868" s="1"/>
      <c r="W868" s="1"/>
      <c r="X868" s="1"/>
      <c r="Y868" s="1"/>
      <c r="Z868" s="1"/>
    </row>
    <row r="869" spans="17:26">
      <c r="Q869" s="23"/>
      <c r="R869" s="1"/>
      <c r="S869" s="1"/>
      <c r="T869" s="1"/>
      <c r="U869" s="1"/>
      <c r="V869" s="1"/>
      <c r="W869" s="1"/>
      <c r="X869" s="1"/>
      <c r="Y869" s="1"/>
      <c r="Z869" s="1"/>
    </row>
    <row r="870" spans="17:26">
      <c r="Q870" s="23"/>
      <c r="R870" s="1"/>
      <c r="S870" s="1"/>
      <c r="T870" s="1"/>
      <c r="U870" s="1"/>
      <c r="V870" s="1"/>
      <c r="W870" s="1"/>
      <c r="X870" s="1"/>
      <c r="Y870" s="1"/>
      <c r="Z870" s="1"/>
    </row>
    <row r="871" spans="17:26">
      <c r="Q871" s="23"/>
      <c r="R871" s="1"/>
      <c r="S871" s="1"/>
      <c r="T871" s="1"/>
      <c r="U871" s="1"/>
      <c r="V871" s="1"/>
      <c r="W871" s="1"/>
      <c r="X871" s="1"/>
      <c r="Y871" s="1"/>
      <c r="Z871" s="1"/>
    </row>
    <row r="872" spans="17:26">
      <c r="Q872" s="23"/>
      <c r="R872" s="1"/>
      <c r="S872" s="1"/>
      <c r="T872" s="1"/>
      <c r="U872" s="1"/>
      <c r="V872" s="1"/>
      <c r="W872" s="1"/>
      <c r="X872" s="1"/>
      <c r="Y872" s="1"/>
      <c r="Z872" s="1"/>
    </row>
    <row r="873" spans="17:26">
      <c r="Q873" s="23"/>
      <c r="R873" s="1"/>
      <c r="S873" s="1"/>
      <c r="T873" s="1"/>
      <c r="U873" s="1"/>
      <c r="V873" s="1"/>
      <c r="W873" s="1"/>
      <c r="X873" s="1"/>
      <c r="Y873" s="1"/>
      <c r="Z873" s="1"/>
    </row>
    <row r="874" spans="17:26">
      <c r="Q874" s="23"/>
      <c r="R874" s="1"/>
      <c r="S874" s="1"/>
      <c r="T874" s="1"/>
      <c r="U874" s="1"/>
      <c r="V874" s="1"/>
      <c r="W874" s="1"/>
      <c r="X874" s="1"/>
      <c r="Y874" s="1"/>
      <c r="Z874" s="1"/>
    </row>
    <row r="875" spans="17:26">
      <c r="Q875" s="23"/>
      <c r="R875" s="1"/>
      <c r="S875" s="1"/>
      <c r="T875" s="1"/>
      <c r="U875" s="1"/>
      <c r="V875" s="1"/>
      <c r="W875" s="1"/>
      <c r="X875" s="1"/>
      <c r="Y875" s="1"/>
      <c r="Z875" s="1"/>
    </row>
    <row r="876" spans="17:26">
      <c r="Q876" s="23"/>
      <c r="R876" s="1"/>
      <c r="S876" s="1"/>
      <c r="T876" s="1"/>
      <c r="U876" s="1"/>
      <c r="V876" s="1"/>
      <c r="W876" s="1"/>
      <c r="X876" s="1"/>
      <c r="Y876" s="1"/>
      <c r="Z876" s="1"/>
    </row>
    <row r="877" spans="17:26">
      <c r="Q877" s="23"/>
      <c r="R877" s="1"/>
      <c r="S877" s="1"/>
      <c r="T877" s="1"/>
      <c r="U877" s="1"/>
      <c r="V877" s="1"/>
      <c r="W877" s="1"/>
      <c r="X877" s="1"/>
      <c r="Y877" s="1"/>
      <c r="Z877" s="1"/>
    </row>
    <row r="878" spans="17:26">
      <c r="Q878" s="23"/>
      <c r="R878" s="1"/>
      <c r="S878" s="1"/>
      <c r="T878" s="1"/>
      <c r="U878" s="1"/>
      <c r="V878" s="1"/>
      <c r="W878" s="1"/>
      <c r="X878" s="1"/>
      <c r="Y878" s="1"/>
      <c r="Z878" s="1"/>
    </row>
    <row r="879" spans="17:26">
      <c r="Q879" s="23"/>
      <c r="R879" s="1"/>
      <c r="S879" s="1"/>
      <c r="T879" s="1"/>
      <c r="U879" s="1"/>
      <c r="V879" s="1"/>
      <c r="W879" s="1"/>
      <c r="X879" s="1"/>
      <c r="Y879" s="1"/>
      <c r="Z879" s="1"/>
    </row>
    <row r="880" spans="17:26">
      <c r="Q880" s="23"/>
      <c r="R880" s="1"/>
      <c r="S880" s="1"/>
      <c r="T880" s="1"/>
      <c r="U880" s="1"/>
      <c r="V880" s="1"/>
      <c r="W880" s="1"/>
      <c r="X880" s="1"/>
      <c r="Y880" s="1"/>
      <c r="Z880" s="1"/>
    </row>
    <row r="881" spans="17:26">
      <c r="Q881" s="23"/>
      <c r="R881" s="1"/>
      <c r="S881" s="1"/>
      <c r="T881" s="1"/>
      <c r="U881" s="1"/>
      <c r="V881" s="1"/>
      <c r="W881" s="1"/>
      <c r="X881" s="1"/>
      <c r="Y881" s="1"/>
      <c r="Z881" s="1"/>
    </row>
    <row r="882" spans="17:26">
      <c r="Q882" s="23"/>
      <c r="R882" s="1"/>
      <c r="S882" s="1"/>
      <c r="T882" s="1"/>
      <c r="U882" s="1"/>
      <c r="V882" s="1"/>
      <c r="W882" s="1"/>
      <c r="X882" s="1"/>
      <c r="Y882" s="1"/>
      <c r="Z882" s="1"/>
    </row>
    <row r="883" spans="17:26">
      <c r="Q883" s="23"/>
      <c r="R883" s="1"/>
      <c r="S883" s="1"/>
      <c r="T883" s="1"/>
      <c r="U883" s="1"/>
      <c r="V883" s="1"/>
      <c r="W883" s="1"/>
      <c r="X883" s="1"/>
      <c r="Y883" s="1"/>
      <c r="Z883" s="1"/>
    </row>
    <row r="884" spans="17:26">
      <c r="Q884" s="23"/>
      <c r="R884" s="1"/>
      <c r="S884" s="1"/>
      <c r="T884" s="1"/>
      <c r="U884" s="1"/>
      <c r="V884" s="1"/>
      <c r="W884" s="1"/>
      <c r="X884" s="1"/>
      <c r="Y884" s="1"/>
      <c r="Z884" s="1"/>
    </row>
    <row r="885" spans="17:26">
      <c r="Q885" s="23"/>
      <c r="R885" s="1"/>
      <c r="S885" s="1"/>
      <c r="T885" s="1"/>
      <c r="U885" s="1"/>
      <c r="V885" s="1"/>
      <c r="W885" s="1"/>
      <c r="X885" s="1"/>
      <c r="Y885" s="1"/>
      <c r="Z885" s="1"/>
    </row>
    <row r="886" spans="17:26">
      <c r="Q886" s="23"/>
      <c r="R886" s="1"/>
      <c r="S886" s="1"/>
      <c r="T886" s="1"/>
      <c r="U886" s="1"/>
      <c r="V886" s="1"/>
      <c r="W886" s="1"/>
      <c r="X886" s="1"/>
      <c r="Y886" s="1"/>
      <c r="Z886" s="1"/>
    </row>
    <row r="887" spans="17:26">
      <c r="Q887" s="23"/>
      <c r="R887" s="1"/>
      <c r="S887" s="1"/>
      <c r="T887" s="1"/>
      <c r="U887" s="1"/>
      <c r="V887" s="1"/>
      <c r="W887" s="1"/>
      <c r="X887" s="1"/>
      <c r="Y887" s="1"/>
      <c r="Z887" s="1"/>
    </row>
    <row r="888" spans="17:26">
      <c r="Q888" s="23"/>
      <c r="R888" s="1"/>
      <c r="S888" s="1"/>
      <c r="T888" s="1"/>
      <c r="U888" s="1"/>
      <c r="V888" s="1"/>
      <c r="W888" s="1"/>
      <c r="X888" s="1"/>
      <c r="Y888" s="1"/>
      <c r="Z888" s="1"/>
    </row>
    <row r="889" spans="17:26">
      <c r="Q889" s="23"/>
      <c r="R889" s="1"/>
      <c r="S889" s="1"/>
      <c r="T889" s="1"/>
      <c r="U889" s="1"/>
      <c r="V889" s="1"/>
      <c r="W889" s="1"/>
      <c r="X889" s="1"/>
      <c r="Y889" s="1"/>
      <c r="Z889" s="1"/>
    </row>
    <row r="890" spans="17:26">
      <c r="Q890" s="23"/>
      <c r="R890" s="1"/>
      <c r="S890" s="1"/>
      <c r="T890" s="1"/>
      <c r="U890" s="1"/>
      <c r="V890" s="1"/>
      <c r="W890" s="1"/>
      <c r="X890" s="1"/>
      <c r="Y890" s="1"/>
      <c r="Z890" s="1"/>
    </row>
    <row r="891" spans="17:26">
      <c r="Q891" s="23"/>
      <c r="R891" s="1"/>
      <c r="S891" s="1"/>
      <c r="T891" s="1"/>
      <c r="U891" s="1"/>
      <c r="V891" s="1"/>
      <c r="W891" s="1"/>
      <c r="X891" s="1"/>
      <c r="Y891" s="1"/>
      <c r="Z891" s="1"/>
    </row>
    <row r="892" spans="17:26">
      <c r="Q892" s="23"/>
      <c r="R892" s="1"/>
      <c r="S892" s="1"/>
      <c r="T892" s="1"/>
      <c r="U892" s="1"/>
      <c r="V892" s="1"/>
      <c r="W892" s="1"/>
      <c r="X892" s="1"/>
      <c r="Y892" s="1"/>
      <c r="Z892" s="1"/>
    </row>
    <row r="893" spans="17:26">
      <c r="Q893" s="23"/>
      <c r="R893" s="1"/>
      <c r="S893" s="1"/>
      <c r="T893" s="1"/>
      <c r="U893" s="1"/>
      <c r="V893" s="1"/>
      <c r="W893" s="1"/>
      <c r="X893" s="1"/>
      <c r="Y893" s="1"/>
      <c r="Z893" s="1"/>
    </row>
    <row r="894" spans="17:26">
      <c r="Q894" s="23"/>
      <c r="R894" s="1"/>
      <c r="S894" s="1"/>
      <c r="T894" s="1"/>
      <c r="U894" s="1"/>
      <c r="V894" s="1"/>
      <c r="W894" s="1"/>
      <c r="X894" s="1"/>
      <c r="Y894" s="1"/>
      <c r="Z894" s="1"/>
    </row>
    <row r="895" spans="17:26">
      <c r="Q895" s="23"/>
      <c r="R895" s="1"/>
      <c r="S895" s="1"/>
      <c r="T895" s="1"/>
      <c r="U895" s="1"/>
      <c r="V895" s="1"/>
      <c r="W895" s="1"/>
      <c r="X895" s="1"/>
      <c r="Y895" s="1"/>
      <c r="Z895" s="1"/>
    </row>
    <row r="896" spans="17:26">
      <c r="Q896" s="23"/>
      <c r="R896" s="1"/>
      <c r="S896" s="1"/>
      <c r="T896" s="1"/>
      <c r="U896" s="1"/>
      <c r="V896" s="1"/>
      <c r="W896" s="1"/>
      <c r="X896" s="1"/>
      <c r="Y896" s="1"/>
      <c r="Z896" s="1"/>
    </row>
    <row r="897" spans="17:26">
      <c r="Q897" s="23"/>
      <c r="R897" s="1"/>
      <c r="S897" s="1"/>
      <c r="T897" s="1"/>
      <c r="U897" s="1"/>
      <c r="V897" s="1"/>
      <c r="W897" s="1"/>
      <c r="X897" s="1"/>
      <c r="Y897" s="1"/>
      <c r="Z897" s="1"/>
    </row>
    <row r="898" spans="17:26">
      <c r="Q898" s="1"/>
      <c r="R898" s="1"/>
      <c r="S898" s="1"/>
      <c r="T898" s="1"/>
      <c r="U898" s="1"/>
      <c r="V898" s="1"/>
      <c r="W898" s="1"/>
      <c r="X898" s="1"/>
      <c r="Y898" s="1"/>
      <c r="Z898" s="1"/>
    </row>
    <row r="899" spans="17:26">
      <c r="Q899" s="1"/>
      <c r="R899" s="1"/>
      <c r="S899" s="1"/>
      <c r="T899" s="1"/>
      <c r="U899" s="1"/>
      <c r="V899" s="1"/>
      <c r="W899" s="1"/>
      <c r="X899" s="1"/>
      <c r="Y899" s="1"/>
      <c r="Z899" s="1"/>
    </row>
    <row r="900" spans="17:26">
      <c r="Q900" s="1"/>
      <c r="R900" s="1"/>
      <c r="S900" s="1"/>
      <c r="T900" s="1"/>
      <c r="U900" s="1"/>
      <c r="V900" s="1"/>
      <c r="W900" s="1"/>
      <c r="X900" s="1"/>
      <c r="Y900" s="1"/>
      <c r="Z900" s="1"/>
    </row>
    <row r="901" spans="17:26">
      <c r="Q901" s="1"/>
      <c r="R901" s="1"/>
      <c r="S901" s="1"/>
      <c r="T901" s="1"/>
      <c r="U901" s="1"/>
      <c r="V901" s="1"/>
      <c r="W901" s="1"/>
      <c r="X901" s="1"/>
      <c r="Y901" s="1"/>
      <c r="Z901" s="1"/>
    </row>
    <row r="902" spans="17:26">
      <c r="Q902" s="1"/>
      <c r="R902" s="1"/>
      <c r="S902" s="1"/>
      <c r="T902" s="1"/>
      <c r="U902" s="1"/>
      <c r="V902" s="1"/>
      <c r="W902" s="1"/>
      <c r="X902" s="1"/>
      <c r="Y902" s="1"/>
      <c r="Z902" s="1"/>
    </row>
    <row r="903" spans="17:26">
      <c r="Q903" s="1"/>
      <c r="R903" s="1"/>
      <c r="S903" s="1"/>
      <c r="T903" s="1"/>
      <c r="U903" s="1"/>
      <c r="V903" s="1"/>
      <c r="W903" s="1"/>
      <c r="X903" s="1"/>
      <c r="Y903" s="1"/>
      <c r="Z903" s="1"/>
    </row>
    <row r="904" spans="17:26">
      <c r="Q904" s="1"/>
      <c r="R904" s="1"/>
      <c r="S904" s="1"/>
      <c r="T904" s="1"/>
      <c r="U904" s="1"/>
      <c r="V904" s="1"/>
      <c r="W904" s="1"/>
      <c r="X904" s="1"/>
      <c r="Y904" s="1"/>
      <c r="Z904" s="1"/>
    </row>
    <row r="905" spans="17:26">
      <c r="Q905" s="1"/>
      <c r="R905" s="1"/>
      <c r="S905" s="1"/>
      <c r="T905" s="1"/>
      <c r="U905" s="1"/>
      <c r="V905" s="1"/>
      <c r="W905" s="1"/>
      <c r="X905" s="1"/>
      <c r="Y905" s="1"/>
      <c r="Z905" s="1"/>
    </row>
    <row r="906" spans="17:26">
      <c r="Q906" s="1"/>
      <c r="R906" s="1"/>
      <c r="S906" s="1"/>
      <c r="T906" s="1"/>
      <c r="U906" s="1"/>
      <c r="V906" s="1"/>
      <c r="W906" s="1"/>
      <c r="X906" s="1"/>
      <c r="Y906" s="1"/>
      <c r="Z906" s="1"/>
    </row>
  </sheetData>
  <mergeCells count="540">
    <mergeCell ref="B2:K3"/>
    <mergeCell ref="B5:D5"/>
    <mergeCell ref="R2:Y3"/>
    <mergeCell ref="R5:U5"/>
    <mergeCell ref="R7:Y7"/>
    <mergeCell ref="R10:U10"/>
    <mergeCell ref="R11:U11"/>
    <mergeCell ref="R12:U12"/>
    <mergeCell ref="R13:U13"/>
    <mergeCell ref="R14:U14"/>
    <mergeCell ref="R15:U15"/>
    <mergeCell ref="R16:U16"/>
    <mergeCell ref="R19:U19"/>
    <mergeCell ref="R20:U20"/>
    <mergeCell ref="R21:U21"/>
    <mergeCell ref="R22:U22"/>
    <mergeCell ref="R23:U23"/>
    <mergeCell ref="R24:U24"/>
    <mergeCell ref="R25:U25"/>
    <mergeCell ref="R26:U26"/>
    <mergeCell ref="R28:Y28"/>
    <mergeCell ref="R31:T32"/>
    <mergeCell ref="U31:U32"/>
    <mergeCell ref="V31:V32"/>
    <mergeCell ref="W31:W32"/>
    <mergeCell ref="X31:X32"/>
    <mergeCell ref="R33:T33"/>
    <mergeCell ref="R34:T34"/>
    <mergeCell ref="R35:T35"/>
    <mergeCell ref="R36:T36"/>
    <mergeCell ref="X39:X40"/>
    <mergeCell ref="R41:T41"/>
    <mergeCell ref="R42:T42"/>
    <mergeCell ref="R43:T43"/>
    <mergeCell ref="R39:T40"/>
    <mergeCell ref="U39:U40"/>
    <mergeCell ref="V39:V40"/>
    <mergeCell ref="W39:W40"/>
    <mergeCell ref="R44:T44"/>
    <mergeCell ref="R46:Y46"/>
    <mergeCell ref="R49:T50"/>
    <mergeCell ref="U49:U50"/>
    <mergeCell ref="V49:V50"/>
    <mergeCell ref="W49:W50"/>
    <mergeCell ref="X49:X50"/>
    <mergeCell ref="R51:T51"/>
    <mergeCell ref="R54:T55"/>
    <mergeCell ref="U54:U55"/>
    <mergeCell ref="V54:V55"/>
    <mergeCell ref="W54:W55"/>
    <mergeCell ref="X54:X55"/>
    <mergeCell ref="R56:T56"/>
    <mergeCell ref="R59:T60"/>
    <mergeCell ref="U59:U60"/>
    <mergeCell ref="V59:V60"/>
    <mergeCell ref="W59:W60"/>
    <mergeCell ref="X59:X60"/>
    <mergeCell ref="R61:T61"/>
    <mergeCell ref="R62:T62"/>
    <mergeCell ref="R64:Y64"/>
    <mergeCell ref="R67:T68"/>
    <mergeCell ref="U67:U68"/>
    <mergeCell ref="V67:V68"/>
    <mergeCell ref="W67:W68"/>
    <mergeCell ref="X67:X68"/>
    <mergeCell ref="R69:T69"/>
    <mergeCell ref="R70:T70"/>
    <mergeCell ref="R71:T71"/>
    <mergeCell ref="R74:T75"/>
    <mergeCell ref="U74:U75"/>
    <mergeCell ref="V74:V75"/>
    <mergeCell ref="W74:W75"/>
    <mergeCell ref="X74:X75"/>
    <mergeCell ref="R76:T76"/>
    <mergeCell ref="R77:T77"/>
    <mergeCell ref="R78:T78"/>
    <mergeCell ref="R80:Y80"/>
    <mergeCell ref="X83:X84"/>
    <mergeCell ref="R85:T85"/>
    <mergeCell ref="R86:T86"/>
    <mergeCell ref="R87:T87"/>
    <mergeCell ref="R83:T84"/>
    <mergeCell ref="U83:U84"/>
    <mergeCell ref="V83:V84"/>
    <mergeCell ref="W83:W84"/>
    <mergeCell ref="X90:X91"/>
    <mergeCell ref="R92:T92"/>
    <mergeCell ref="R93:T93"/>
    <mergeCell ref="R94:T94"/>
    <mergeCell ref="R90:T91"/>
    <mergeCell ref="U90:U91"/>
    <mergeCell ref="V90:V91"/>
    <mergeCell ref="W90:W91"/>
    <mergeCell ref="R96:Y96"/>
    <mergeCell ref="R100:T101"/>
    <mergeCell ref="U100:U101"/>
    <mergeCell ref="V100:V101"/>
    <mergeCell ref="W100:W101"/>
    <mergeCell ref="X100:X101"/>
    <mergeCell ref="R102:T102"/>
    <mergeCell ref="R103:T103"/>
    <mergeCell ref="R106:T107"/>
    <mergeCell ref="U106:U107"/>
    <mergeCell ref="V106:V107"/>
    <mergeCell ref="W106:W107"/>
    <mergeCell ref="X106:X107"/>
    <mergeCell ref="R108:T108"/>
    <mergeCell ref="R109:T109"/>
    <mergeCell ref="R112:T113"/>
    <mergeCell ref="U112:U113"/>
    <mergeCell ref="V112:V113"/>
    <mergeCell ref="W112:W113"/>
    <mergeCell ref="X112:X113"/>
    <mergeCell ref="R114:T114"/>
    <mergeCell ref="R115:T115"/>
    <mergeCell ref="V126:V127"/>
    <mergeCell ref="W126:W127"/>
    <mergeCell ref="X118:X119"/>
    <mergeCell ref="R120:T120"/>
    <mergeCell ref="R121:T121"/>
    <mergeCell ref="R123:Y123"/>
    <mergeCell ref="R118:T119"/>
    <mergeCell ref="U118:U119"/>
    <mergeCell ref="V118:V119"/>
    <mergeCell ref="W118:W119"/>
    <mergeCell ref="X126:X127"/>
    <mergeCell ref="R128:T128"/>
    <mergeCell ref="R130:Y130"/>
    <mergeCell ref="R132:T133"/>
    <mergeCell ref="U132:U133"/>
    <mergeCell ref="V132:V133"/>
    <mergeCell ref="W132:W133"/>
    <mergeCell ref="X132:X133"/>
    <mergeCell ref="R126:T127"/>
    <mergeCell ref="U126:U127"/>
    <mergeCell ref="R134:T134"/>
    <mergeCell ref="R135:T135"/>
    <mergeCell ref="R137:Y137"/>
    <mergeCell ref="R142:W142"/>
    <mergeCell ref="X143:X144"/>
    <mergeCell ref="R145:T145"/>
    <mergeCell ref="U145:U146"/>
    <mergeCell ref="R146:T146"/>
    <mergeCell ref="R143:T144"/>
    <mergeCell ref="U143:U144"/>
    <mergeCell ref="V143:V144"/>
    <mergeCell ref="W143:W144"/>
    <mergeCell ref="R147:T147"/>
    <mergeCell ref="R148:T148"/>
    <mergeCell ref="R149:X149"/>
    <mergeCell ref="R150:T151"/>
    <mergeCell ref="U150:U151"/>
    <mergeCell ref="V150:V151"/>
    <mergeCell ref="W150:W151"/>
    <mergeCell ref="X150:X151"/>
    <mergeCell ref="R152:T152"/>
    <mergeCell ref="U152:U154"/>
    <mergeCell ref="R153:T153"/>
    <mergeCell ref="R154:T154"/>
    <mergeCell ref="R155:X155"/>
    <mergeCell ref="R156:T157"/>
    <mergeCell ref="U156:U157"/>
    <mergeCell ref="V156:V157"/>
    <mergeCell ref="W156:W157"/>
    <mergeCell ref="X156:X157"/>
    <mergeCell ref="V162:V163"/>
    <mergeCell ref="W162:W163"/>
    <mergeCell ref="R158:T158"/>
    <mergeCell ref="U158:U160"/>
    <mergeCell ref="R159:T159"/>
    <mergeCell ref="R160:T160"/>
    <mergeCell ref="X162:X163"/>
    <mergeCell ref="R164:T164"/>
    <mergeCell ref="R165:T165"/>
    <mergeCell ref="R167:T168"/>
    <mergeCell ref="U167:U168"/>
    <mergeCell ref="V167:V168"/>
    <mergeCell ref="W167:W168"/>
    <mergeCell ref="X167:X168"/>
    <mergeCell ref="R162:T163"/>
    <mergeCell ref="U162:U163"/>
    <mergeCell ref="R174:T174"/>
    <mergeCell ref="R179:T179"/>
    <mergeCell ref="R180:T180"/>
    <mergeCell ref="R175:T175"/>
    <mergeCell ref="R177:T178"/>
    <mergeCell ref="R169:T169"/>
    <mergeCell ref="R170:T170"/>
    <mergeCell ref="R172:T173"/>
    <mergeCell ref="W177:W178"/>
    <mergeCell ref="X177:X178"/>
    <mergeCell ref="U177:U178"/>
    <mergeCell ref="V177:V178"/>
    <mergeCell ref="X183:X184"/>
    <mergeCell ref="X172:X173"/>
    <mergeCell ref="U172:U173"/>
    <mergeCell ref="V172:V173"/>
    <mergeCell ref="W172:W173"/>
    <mergeCell ref="R185:T185"/>
    <mergeCell ref="R186:T186"/>
    <mergeCell ref="R181:T181"/>
    <mergeCell ref="R183:T184"/>
    <mergeCell ref="W188:W189"/>
    <mergeCell ref="W183:W184"/>
    <mergeCell ref="V188:V189"/>
    <mergeCell ref="U183:U184"/>
    <mergeCell ref="V183:V184"/>
    <mergeCell ref="X188:X189"/>
    <mergeCell ref="V193:V194"/>
    <mergeCell ref="W193:W194"/>
    <mergeCell ref="X193:X194"/>
    <mergeCell ref="R188:T189"/>
    <mergeCell ref="U188:U189"/>
    <mergeCell ref="R190:T190"/>
    <mergeCell ref="R191:T191"/>
    <mergeCell ref="R193:T194"/>
    <mergeCell ref="U193:U194"/>
    <mergeCell ref="R195:T195"/>
    <mergeCell ref="R196:T196"/>
    <mergeCell ref="R198:T199"/>
    <mergeCell ref="U198:U199"/>
    <mergeCell ref="V198:V199"/>
    <mergeCell ref="W198:W199"/>
    <mergeCell ref="X198:X199"/>
    <mergeCell ref="R200:T200"/>
    <mergeCell ref="R201:T201"/>
    <mergeCell ref="R202:T202"/>
    <mergeCell ref="R204:Y208"/>
    <mergeCell ref="R210:W211"/>
    <mergeCell ref="X210:X211"/>
    <mergeCell ref="Y210:Y211"/>
    <mergeCell ref="Y213:Y214"/>
    <mergeCell ref="R215:U215"/>
    <mergeCell ref="R216:U216"/>
    <mergeCell ref="R217:U217"/>
    <mergeCell ref="R213:U214"/>
    <mergeCell ref="V213:V214"/>
    <mergeCell ref="W213:W214"/>
    <mergeCell ref="X213:X214"/>
    <mergeCell ref="R218:U218"/>
    <mergeCell ref="R219:U219"/>
    <mergeCell ref="R220:U220"/>
    <mergeCell ref="R221:U221"/>
    <mergeCell ref="R222:U222"/>
    <mergeCell ref="R223:U223"/>
    <mergeCell ref="R224:U224"/>
    <mergeCell ref="R225:U225"/>
    <mergeCell ref="R226:U226"/>
    <mergeCell ref="R227:U227"/>
    <mergeCell ref="R228:U228"/>
    <mergeCell ref="R229:U229"/>
    <mergeCell ref="R231:U231"/>
    <mergeCell ref="R235:T236"/>
    <mergeCell ref="U235:U236"/>
    <mergeCell ref="V235:V236"/>
    <mergeCell ref="W235:W236"/>
    <mergeCell ref="X235:X236"/>
    <mergeCell ref="R237:T237"/>
    <mergeCell ref="U237:U239"/>
    <mergeCell ref="R238:T238"/>
    <mergeCell ref="R239:T239"/>
    <mergeCell ref="X241:X242"/>
    <mergeCell ref="R243:T243"/>
    <mergeCell ref="U243:U245"/>
    <mergeCell ref="R244:T244"/>
    <mergeCell ref="R245:T245"/>
    <mergeCell ref="R241:T242"/>
    <mergeCell ref="U241:U242"/>
    <mergeCell ref="V241:V242"/>
    <mergeCell ref="W241:W242"/>
    <mergeCell ref="X247:X248"/>
    <mergeCell ref="R249:T249"/>
    <mergeCell ref="U249:U251"/>
    <mergeCell ref="R250:T250"/>
    <mergeCell ref="R251:T251"/>
    <mergeCell ref="R247:T248"/>
    <mergeCell ref="U247:U248"/>
    <mergeCell ref="V247:V248"/>
    <mergeCell ref="W247:W248"/>
    <mergeCell ref="X254:X255"/>
    <mergeCell ref="R257:T257"/>
    <mergeCell ref="R260:Y260"/>
    <mergeCell ref="R264:S265"/>
    <mergeCell ref="U264:V264"/>
    <mergeCell ref="U265:V265"/>
    <mergeCell ref="R254:T255"/>
    <mergeCell ref="U254:U255"/>
    <mergeCell ref="V254:V255"/>
    <mergeCell ref="W254:W255"/>
    <mergeCell ref="X267:X268"/>
    <mergeCell ref="R268:R271"/>
    <mergeCell ref="S268:T268"/>
    <mergeCell ref="S269:T269"/>
    <mergeCell ref="S270:T270"/>
    <mergeCell ref="S271:T271"/>
    <mergeCell ref="R267:T267"/>
    <mergeCell ref="U267:U268"/>
    <mergeCell ref="V267:V268"/>
    <mergeCell ref="W267:W268"/>
    <mergeCell ref="R272:X272"/>
    <mergeCell ref="R273:T273"/>
    <mergeCell ref="U273:U274"/>
    <mergeCell ref="V273:V274"/>
    <mergeCell ref="W273:W274"/>
    <mergeCell ref="X273:X274"/>
    <mergeCell ref="R274:R277"/>
    <mergeCell ref="S274:T274"/>
    <mergeCell ref="S275:T275"/>
    <mergeCell ref="S276:T276"/>
    <mergeCell ref="S277:T277"/>
    <mergeCell ref="R278:X278"/>
    <mergeCell ref="R279:T279"/>
    <mergeCell ref="U279:U280"/>
    <mergeCell ref="V279:V280"/>
    <mergeCell ref="W279:W280"/>
    <mergeCell ref="X279:X280"/>
    <mergeCell ref="R280:R283"/>
    <mergeCell ref="S280:T280"/>
    <mergeCell ref="S281:T281"/>
    <mergeCell ref="S282:T282"/>
    <mergeCell ref="S283:T283"/>
    <mergeCell ref="R286:U287"/>
    <mergeCell ref="V286:V287"/>
    <mergeCell ref="W286:W287"/>
    <mergeCell ref="X286:X287"/>
    <mergeCell ref="Y286:Y287"/>
    <mergeCell ref="R288:U288"/>
    <mergeCell ref="R289:U289"/>
    <mergeCell ref="R290:U290"/>
    <mergeCell ref="R291:U291"/>
    <mergeCell ref="R292:U292"/>
    <mergeCell ref="R293:U293"/>
    <mergeCell ref="R294:U294"/>
    <mergeCell ref="R295:U295"/>
    <mergeCell ref="R296:U296"/>
    <mergeCell ref="R297:U297"/>
    <mergeCell ref="R298:U298"/>
    <mergeCell ref="R299:U299"/>
    <mergeCell ref="T301:U301"/>
    <mergeCell ref="T302:U302"/>
    <mergeCell ref="R305:V305"/>
    <mergeCell ref="R306:R307"/>
    <mergeCell ref="S306:S307"/>
    <mergeCell ref="T306:T307"/>
    <mergeCell ref="U306:U307"/>
    <mergeCell ref="V306:V307"/>
    <mergeCell ref="R316:W318"/>
    <mergeCell ref="R336:S339"/>
    <mergeCell ref="T336:T337"/>
    <mergeCell ref="R319:W319"/>
    <mergeCell ref="R320:W320"/>
    <mergeCell ref="R322:S326"/>
    <mergeCell ref="T322:T324"/>
    <mergeCell ref="U322:U324"/>
    <mergeCell ref="V322:V324"/>
    <mergeCell ref="W322:W324"/>
    <mergeCell ref="R328:W328"/>
    <mergeCell ref="R329:S332"/>
    <mergeCell ref="T329:T330"/>
    <mergeCell ref="U329:U330"/>
    <mergeCell ref="V329:V330"/>
    <mergeCell ref="W329:W330"/>
    <mergeCell ref="T342:T343"/>
    <mergeCell ref="U342:U343"/>
    <mergeCell ref="V342:V343"/>
    <mergeCell ref="W342:W343"/>
    <mergeCell ref="U336:U337"/>
    <mergeCell ref="R348:W348"/>
    <mergeCell ref="R341:W341"/>
    <mergeCell ref="R342:S345"/>
    <mergeCell ref="V336:V337"/>
    <mergeCell ref="W336:W337"/>
    <mergeCell ref="R365:S368"/>
    <mergeCell ref="T365:T366"/>
    <mergeCell ref="R349:W349"/>
    <mergeCell ref="R351:S355"/>
    <mergeCell ref="T351:T353"/>
    <mergeCell ref="U351:U353"/>
    <mergeCell ref="V351:V353"/>
    <mergeCell ref="W351:W353"/>
    <mergeCell ref="R357:W357"/>
    <mergeCell ref="R358:S361"/>
    <mergeCell ref="T358:T359"/>
    <mergeCell ref="U358:U359"/>
    <mergeCell ref="V358:V359"/>
    <mergeCell ref="W358:W359"/>
    <mergeCell ref="T371:T372"/>
    <mergeCell ref="U371:U372"/>
    <mergeCell ref="V371:V372"/>
    <mergeCell ref="W371:W372"/>
    <mergeCell ref="U365:U366"/>
    <mergeCell ref="R377:W377"/>
    <mergeCell ref="R370:W370"/>
    <mergeCell ref="R371:S374"/>
    <mergeCell ref="V365:V366"/>
    <mergeCell ref="W365:W366"/>
    <mergeCell ref="R394:S397"/>
    <mergeCell ref="T394:T395"/>
    <mergeCell ref="R378:W378"/>
    <mergeCell ref="R380:S384"/>
    <mergeCell ref="T380:T382"/>
    <mergeCell ref="U380:U382"/>
    <mergeCell ref="V380:V382"/>
    <mergeCell ref="W380:W382"/>
    <mergeCell ref="R386:W386"/>
    <mergeCell ref="R387:S390"/>
    <mergeCell ref="T387:T388"/>
    <mergeCell ref="U387:U388"/>
    <mergeCell ref="V387:V388"/>
    <mergeCell ref="W387:W388"/>
    <mergeCell ref="T400:T401"/>
    <mergeCell ref="U400:U401"/>
    <mergeCell ref="V400:V401"/>
    <mergeCell ref="W400:W401"/>
    <mergeCell ref="U394:U395"/>
    <mergeCell ref="R406:W406"/>
    <mergeCell ref="R399:W399"/>
    <mergeCell ref="R400:S403"/>
    <mergeCell ref="V394:V395"/>
    <mergeCell ref="W394:W395"/>
    <mergeCell ref="R407:W407"/>
    <mergeCell ref="R409:S413"/>
    <mergeCell ref="T409:T411"/>
    <mergeCell ref="U409:U411"/>
    <mergeCell ref="V409:V411"/>
    <mergeCell ref="W409:W411"/>
    <mergeCell ref="V423:V424"/>
    <mergeCell ref="R415:W415"/>
    <mergeCell ref="R416:S419"/>
    <mergeCell ref="T416:T417"/>
    <mergeCell ref="U416:U417"/>
    <mergeCell ref="V416:V417"/>
    <mergeCell ref="W416:W417"/>
    <mergeCell ref="W423:W424"/>
    <mergeCell ref="R423:S426"/>
    <mergeCell ref="T423:T424"/>
    <mergeCell ref="U423:U424"/>
    <mergeCell ref="R435:W437"/>
    <mergeCell ref="R438:W438"/>
    <mergeCell ref="R439:W439"/>
    <mergeCell ref="R428:W428"/>
    <mergeCell ref="R429:S432"/>
    <mergeCell ref="T429:T430"/>
    <mergeCell ref="U429:U430"/>
    <mergeCell ref="V429:V430"/>
    <mergeCell ref="W429:W430"/>
    <mergeCell ref="R441:S445"/>
    <mergeCell ref="T441:T443"/>
    <mergeCell ref="U441:U443"/>
    <mergeCell ref="V441:V443"/>
    <mergeCell ref="W441:W443"/>
    <mergeCell ref="V455:V456"/>
    <mergeCell ref="R447:W447"/>
    <mergeCell ref="R448:S451"/>
    <mergeCell ref="T448:T449"/>
    <mergeCell ref="U448:U449"/>
    <mergeCell ref="V448:V449"/>
    <mergeCell ref="W448:W449"/>
    <mergeCell ref="W455:W456"/>
    <mergeCell ref="R455:S458"/>
    <mergeCell ref="T455:T456"/>
    <mergeCell ref="U455:U456"/>
    <mergeCell ref="R467:W467"/>
    <mergeCell ref="R468:W468"/>
    <mergeCell ref="R460:W460"/>
    <mergeCell ref="R461:S464"/>
    <mergeCell ref="T461:T462"/>
    <mergeCell ref="U461:U462"/>
    <mergeCell ref="V461:V462"/>
    <mergeCell ref="W461:W462"/>
    <mergeCell ref="R470:S474"/>
    <mergeCell ref="T470:T472"/>
    <mergeCell ref="U470:U472"/>
    <mergeCell ref="V470:V472"/>
    <mergeCell ref="W470:W472"/>
    <mergeCell ref="V484:V485"/>
    <mergeCell ref="R476:W476"/>
    <mergeCell ref="R477:S480"/>
    <mergeCell ref="T477:T478"/>
    <mergeCell ref="U477:U478"/>
    <mergeCell ref="V477:V478"/>
    <mergeCell ref="W477:W478"/>
    <mergeCell ref="W484:W485"/>
    <mergeCell ref="R484:S487"/>
    <mergeCell ref="T484:T485"/>
    <mergeCell ref="U484:U485"/>
    <mergeCell ref="R496:W496"/>
    <mergeCell ref="R497:W497"/>
    <mergeCell ref="R489:W489"/>
    <mergeCell ref="R490:S493"/>
    <mergeCell ref="T490:T491"/>
    <mergeCell ref="U490:U491"/>
    <mergeCell ref="V490:V491"/>
    <mergeCell ref="W490:W491"/>
    <mergeCell ref="R499:S503"/>
    <mergeCell ref="T499:T501"/>
    <mergeCell ref="U499:U501"/>
    <mergeCell ref="V499:V501"/>
    <mergeCell ref="W499:W501"/>
    <mergeCell ref="V513:V514"/>
    <mergeCell ref="R505:W505"/>
    <mergeCell ref="R506:S509"/>
    <mergeCell ref="T506:T507"/>
    <mergeCell ref="U506:U507"/>
    <mergeCell ref="V506:V507"/>
    <mergeCell ref="W506:W507"/>
    <mergeCell ref="W513:W514"/>
    <mergeCell ref="R513:S516"/>
    <mergeCell ref="T513:T514"/>
    <mergeCell ref="U513:U514"/>
    <mergeCell ref="R525:W525"/>
    <mergeCell ref="R526:W526"/>
    <mergeCell ref="R518:W518"/>
    <mergeCell ref="R519:S522"/>
    <mergeCell ref="T519:T520"/>
    <mergeCell ref="U519:U520"/>
    <mergeCell ref="V519:V520"/>
    <mergeCell ref="W519:W520"/>
    <mergeCell ref="R528:S532"/>
    <mergeCell ref="T528:T530"/>
    <mergeCell ref="U528:U530"/>
    <mergeCell ref="V528:V530"/>
    <mergeCell ref="W528:W530"/>
    <mergeCell ref="V542:V543"/>
    <mergeCell ref="R534:W534"/>
    <mergeCell ref="R535:S538"/>
    <mergeCell ref="T535:T536"/>
    <mergeCell ref="U535:U536"/>
    <mergeCell ref="V535:V536"/>
    <mergeCell ref="W535:W536"/>
    <mergeCell ref="W542:W543"/>
    <mergeCell ref="R542:S545"/>
    <mergeCell ref="T542:T543"/>
    <mergeCell ref="U542:U543"/>
    <mergeCell ref="R547:W547"/>
    <mergeCell ref="R548:S551"/>
    <mergeCell ref="T548:T549"/>
    <mergeCell ref="U548:U549"/>
    <mergeCell ref="V548:V549"/>
    <mergeCell ref="W548:W549"/>
  </mergeCells>
  <phoneticPr fontId="0" type="noConversion"/>
  <conditionalFormatting sqref="U108:X109">
    <cfRule type="cellIs" dxfId="320" priority="1" stopIfTrue="1" operator="equal">
      <formula>"yes"</formula>
    </cfRule>
    <cfRule type="cellIs" dxfId="319" priority="2" stopIfTrue="1" operator="equal">
      <formula>"no"</formula>
    </cfRule>
  </conditionalFormatting>
  <conditionalFormatting sqref="X254:X255 X106:X107 X247:X248 X49:X50 X235:X236 X54:X55 X67:X68 X74:X75 X100:X101 X112:X113 X118:X119 X132:X133 X279:X280 X126:X127 X241:X242 X59:X60 Y286:Y287 S306:S307 X143:X144 X183:X184 X177:X178 X267:X268 X273:X274 Y213:Y214 X83 X90 X156:X157 X150:X151 X198:X199 X162:X163 X167:X168 X172:X173 X188:X189 X193:X194">
    <cfRule type="cellIs" dxfId="318" priority="3" stopIfTrue="1" operator="equal">
      <formula>$U$31</formula>
    </cfRule>
    <cfRule type="cellIs" dxfId="317" priority="4" stopIfTrue="1" operator="equal">
      <formula>$W$31</formula>
    </cfRule>
    <cfRule type="cellIs" dxfId="316" priority="5" stopIfTrue="1" operator="equal">
      <formula>$Y$31</formula>
    </cfRule>
  </conditionalFormatting>
  <conditionalFormatting sqref="V106:V107 V247:V248 V49:V50 V241:V242 V54:V55 V59:V60 V67:V68 V74:V75 W286:W287 V100:V101 V112:V113 V118:V119 V126:V127 V132:V133 V279:V280 V235:V236 V254:V255 T306:T307 V143:V144 V183:V184 V177:V178 V267:V268 V273:V274 W213:W214 V83 V90 V156:V157 V150:V151 V198:V199 V162:V163 V167:V168 V172:V173 V188:V189 V193:V194">
    <cfRule type="cellIs" dxfId="315" priority="6" stopIfTrue="1" operator="equal">
      <formula>$R$6</formula>
    </cfRule>
    <cfRule type="cellIs" dxfId="314" priority="7" stopIfTrue="1" operator="equal">
      <formula>$V$33</formula>
    </cfRule>
    <cfRule type="cellIs" dxfId="313" priority="8" stopIfTrue="1" operator="equal">
      <formula>$R$8</formula>
    </cfRule>
  </conditionalFormatting>
  <conditionalFormatting sqref="W106:W107 W126:W127 W247:W248 W49:W50 W241:W242 W54:W55 W59:W60 W67:W68 W74:W75 X286:X287 W100:W101 W112:W113 W118:W119 W132:W133 W279:W280 W235:W236 W254:W255 U306:U307 W143:W144 W183:W184 W177:W178 W267:W268 W273:W274 X213:X214 W83 W90 W156:W157 W150:W151 W198:W199 W162:W163 W167:W168 W172:W173 W188:W189 W193:W194">
    <cfRule type="cellIs" dxfId="312" priority="9" stopIfTrue="1" operator="equal">
      <formula>$R$6</formula>
    </cfRule>
    <cfRule type="cellIs" dxfId="311" priority="10" stopIfTrue="1" operator="equal">
      <formula>$R$7</formula>
    </cfRule>
    <cfRule type="cellIs" dxfId="310" priority="11" stopIfTrue="1" operator="equal">
      <formula>$W$33</formula>
    </cfRule>
  </conditionalFormatting>
  <conditionalFormatting sqref="R36 R44">
    <cfRule type="cellIs" dxfId="309" priority="12" stopIfTrue="1" operator="equal">
      <formula>$AI$31</formula>
    </cfRule>
    <cfRule type="cellIs" dxfId="308" priority="13" stopIfTrue="1" operator="equal">
      <formula>$AK$31</formula>
    </cfRule>
    <cfRule type="cellIs" dxfId="307" priority="14" stopIfTrue="1" operator="equal">
      <formula>$AM$31</formula>
    </cfRule>
  </conditionalFormatting>
  <conditionalFormatting sqref="R34 R42">
    <cfRule type="cellIs" dxfId="306" priority="15" stopIfTrue="1" operator="equal">
      <formula>$AF$6</formula>
    </cfRule>
    <cfRule type="cellIs" dxfId="305" priority="16" stopIfTrue="1" operator="equal">
      <formula>$AJ$33</formula>
    </cfRule>
    <cfRule type="cellIs" dxfId="304" priority="17" stopIfTrue="1" operator="equal">
      <formula>$AF$8</formula>
    </cfRule>
  </conditionalFormatting>
  <conditionalFormatting sqref="R35 R43">
    <cfRule type="cellIs" dxfId="303" priority="18" stopIfTrue="1" operator="equal">
      <formula>$AF$6</formula>
    </cfRule>
    <cfRule type="cellIs" dxfId="302" priority="19" stopIfTrue="1" operator="equal">
      <formula>$AF$7</formula>
    </cfRule>
    <cfRule type="cellIs" dxfId="301" priority="20" stopIfTrue="1" operator="equal">
      <formula>$AK$33</formula>
    </cfRule>
  </conditionalFormatting>
  <pageMargins left="0" right="0" top="0.59055118110236227" bottom="0.39370078740157483" header="0.51181102362204722" footer="0.51181102362204722"/>
  <pageSetup paperSize="9" scale="96" fitToHeight="6"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sheetPr>
    <pageSetUpPr autoPageBreaks="0"/>
  </sheetPr>
  <dimension ref="A1:N62"/>
  <sheetViews>
    <sheetView showRowColHeaders="0" workbookViewId="0">
      <selection activeCell="B2" sqref="B2:J3"/>
    </sheetView>
  </sheetViews>
  <sheetFormatPr defaultRowHeight="12.75"/>
  <cols>
    <col min="1" max="10" width="11.7109375" customWidth="1"/>
    <col min="11" max="11" width="2.7109375" customWidth="1"/>
  </cols>
  <sheetData>
    <row r="1" spans="1:14" ht="6" customHeight="1" thickBot="1">
      <c r="A1" s="114"/>
      <c r="B1" s="114"/>
      <c r="C1" s="114"/>
      <c r="D1" s="114"/>
      <c r="E1" s="114"/>
      <c r="F1" s="114"/>
      <c r="G1" s="114"/>
      <c r="H1" s="114"/>
      <c r="I1" s="114"/>
      <c r="J1" s="114"/>
      <c r="K1" s="114"/>
      <c r="L1" s="114"/>
      <c r="M1" s="114"/>
      <c r="N1" s="114"/>
    </row>
    <row r="2" spans="1:14" ht="20.100000000000001" customHeight="1" thickTop="1">
      <c r="A2" s="114"/>
      <c r="B2" s="1120" t="s">
        <v>245</v>
      </c>
      <c r="C2" s="1121"/>
      <c r="D2" s="1121"/>
      <c r="E2" s="1121"/>
      <c r="F2" s="1121"/>
      <c r="G2" s="1121"/>
      <c r="H2" s="1121"/>
      <c r="I2" s="1121"/>
      <c r="J2" s="1122"/>
      <c r="K2" s="114"/>
      <c r="L2" s="114"/>
      <c r="M2" s="114"/>
      <c r="N2" s="114"/>
    </row>
    <row r="3" spans="1:14" ht="20.100000000000001" customHeight="1" thickBot="1">
      <c r="A3" s="114"/>
      <c r="B3" s="1123"/>
      <c r="C3" s="1124"/>
      <c r="D3" s="1124"/>
      <c r="E3" s="1124"/>
      <c r="F3" s="1124"/>
      <c r="G3" s="1124"/>
      <c r="H3" s="1124"/>
      <c r="I3" s="1124"/>
      <c r="J3" s="1125"/>
      <c r="K3" s="114"/>
      <c r="L3" s="114"/>
      <c r="M3" s="114"/>
      <c r="N3" s="114"/>
    </row>
    <row r="4" spans="1:14" ht="13.5" thickTop="1">
      <c r="A4" s="114"/>
      <c r="B4" s="114"/>
      <c r="C4" s="114"/>
      <c r="D4" s="114"/>
      <c r="E4" s="114"/>
      <c r="F4" s="114"/>
      <c r="G4" s="114"/>
      <c r="H4" s="114"/>
      <c r="I4" s="114"/>
      <c r="J4" s="114"/>
      <c r="K4" s="114"/>
      <c r="L4" s="114"/>
      <c r="M4" s="114"/>
      <c r="N4" s="114"/>
    </row>
    <row r="5" spans="1:14">
      <c r="A5" s="114"/>
      <c r="B5" s="1127" t="s">
        <v>734</v>
      </c>
      <c r="C5" s="1128"/>
      <c r="D5" s="1128"/>
      <c r="E5" s="1129"/>
      <c r="F5" s="357">
        <v>11400</v>
      </c>
      <c r="G5" s="464">
        <f>F5*2</f>
        <v>22800</v>
      </c>
      <c r="H5" s="114"/>
      <c r="I5" s="114"/>
      <c r="J5" s="114"/>
      <c r="K5" s="114"/>
      <c r="L5" s="114"/>
      <c r="M5" s="114"/>
      <c r="N5" s="114"/>
    </row>
    <row r="6" spans="1:14">
      <c r="A6" s="114"/>
      <c r="B6" s="114"/>
      <c r="C6" s="114"/>
      <c r="D6" s="114"/>
      <c r="E6" s="114"/>
      <c r="F6" s="114"/>
      <c r="G6" s="114"/>
      <c r="H6" s="114"/>
      <c r="I6" s="114"/>
      <c r="J6" s="114"/>
      <c r="K6" s="114"/>
      <c r="L6" s="114"/>
      <c r="M6" s="114"/>
      <c r="N6" s="114"/>
    </row>
    <row r="7" spans="1:14" ht="12.75" customHeight="1">
      <c r="A7" s="114"/>
      <c r="B7" s="1130" t="s">
        <v>676</v>
      </c>
      <c r="C7" s="1131"/>
      <c r="D7" s="445" t="s">
        <v>320</v>
      </c>
      <c r="E7" s="762" t="s">
        <v>318</v>
      </c>
      <c r="F7" s="762"/>
      <c r="G7" s="465">
        <f>H7/100</f>
        <v>0.19</v>
      </c>
      <c r="H7" s="722">
        <v>19</v>
      </c>
      <c r="I7" s="114"/>
      <c r="J7" s="114"/>
      <c r="K7" s="114"/>
      <c r="L7" s="114"/>
      <c r="M7" s="114"/>
      <c r="N7" s="114"/>
    </row>
    <row r="8" spans="1:14">
      <c r="A8" s="114"/>
      <c r="B8" s="1132"/>
      <c r="C8" s="1133"/>
      <c r="D8" s="445" t="s">
        <v>321</v>
      </c>
      <c r="E8" s="762" t="s">
        <v>319</v>
      </c>
      <c r="F8" s="762"/>
      <c r="G8" s="465">
        <f>H8/100</f>
        <v>0.33</v>
      </c>
      <c r="H8" s="722">
        <v>33</v>
      </c>
      <c r="I8" s="114"/>
      <c r="J8" s="114"/>
      <c r="K8" s="114"/>
      <c r="L8" s="114"/>
      <c r="M8" s="114"/>
      <c r="N8" s="114"/>
    </row>
    <row r="9" spans="1:14">
      <c r="A9" s="114"/>
      <c r="B9" s="114"/>
      <c r="C9" s="114"/>
      <c r="D9" s="114"/>
      <c r="E9" s="114"/>
      <c r="F9" s="114"/>
      <c r="G9" s="114"/>
      <c r="H9" s="114"/>
      <c r="I9" s="114"/>
      <c r="J9" s="114"/>
      <c r="K9" s="114"/>
      <c r="L9" s="114"/>
      <c r="M9" s="114"/>
      <c r="N9" s="114"/>
    </row>
    <row r="10" spans="1:14">
      <c r="A10" s="114"/>
      <c r="B10" s="1117" t="s">
        <v>735</v>
      </c>
      <c r="C10" s="1117"/>
      <c r="D10" s="1117"/>
      <c r="E10" s="1117"/>
      <c r="F10" s="1117"/>
      <c r="G10" s="1117"/>
      <c r="H10" s="1117"/>
      <c r="I10" s="1117"/>
      <c r="J10" s="1117"/>
      <c r="K10" s="114"/>
      <c r="L10" s="114"/>
      <c r="M10" s="114"/>
      <c r="N10" s="114"/>
    </row>
    <row r="11" spans="1:14">
      <c r="A11" s="114"/>
      <c r="B11" s="1117"/>
      <c r="C11" s="1117"/>
      <c r="D11" s="1117"/>
      <c r="E11" s="1117"/>
      <c r="F11" s="1117"/>
      <c r="G11" s="1117"/>
      <c r="H11" s="1117"/>
      <c r="I11" s="1117"/>
      <c r="J11" s="1117"/>
      <c r="K11" s="114"/>
      <c r="L11" s="114"/>
      <c r="M11" s="114"/>
      <c r="N11" s="114"/>
    </row>
    <row r="12" spans="1:14">
      <c r="A12" s="114"/>
      <c r="B12" s="1126" t="s">
        <v>867</v>
      </c>
      <c r="C12" s="1126"/>
      <c r="D12" s="1126"/>
      <c r="E12" s="1126"/>
      <c r="F12" s="1126"/>
      <c r="G12" s="1115" t="s">
        <v>500</v>
      </c>
      <c r="H12" s="1115" t="s">
        <v>22</v>
      </c>
      <c r="I12" s="1115" t="s">
        <v>579</v>
      </c>
      <c r="J12" s="1115" t="s">
        <v>21</v>
      </c>
      <c r="K12" s="127"/>
      <c r="L12" s="114"/>
      <c r="M12" s="114"/>
      <c r="N12" s="114"/>
    </row>
    <row r="13" spans="1:14">
      <c r="A13" s="114"/>
      <c r="B13" s="1126"/>
      <c r="C13" s="1126"/>
      <c r="D13" s="1126"/>
      <c r="E13" s="1126"/>
      <c r="F13" s="1126"/>
      <c r="G13" s="1115"/>
      <c r="H13" s="1115"/>
      <c r="I13" s="1115"/>
      <c r="J13" s="1115"/>
      <c r="K13" s="127"/>
      <c r="L13" s="114"/>
      <c r="M13" s="114"/>
      <c r="N13" s="114"/>
    </row>
    <row r="14" spans="1:14">
      <c r="A14" s="114"/>
      <c r="B14" s="1114" t="s">
        <v>871</v>
      </c>
      <c r="C14" s="1114"/>
      <c r="D14" s="1114"/>
      <c r="E14" s="1114"/>
      <c r="F14" s="1114"/>
      <c r="G14" s="1116"/>
      <c r="H14" s="448">
        <f>J14</f>
        <v>22800</v>
      </c>
      <c r="I14" s="448">
        <f>J14</f>
        <v>22800</v>
      </c>
      <c r="J14" s="448">
        <f>G5</f>
        <v>22800</v>
      </c>
      <c r="K14" s="127"/>
      <c r="L14" s="114"/>
      <c r="M14" s="114"/>
      <c r="N14" s="114"/>
    </row>
    <row r="15" spans="1:14">
      <c r="A15" s="114"/>
      <c r="B15" s="1114" t="s">
        <v>549</v>
      </c>
      <c r="C15" s="1114"/>
      <c r="D15" s="1114"/>
      <c r="E15" s="1114"/>
      <c r="F15" s="723"/>
      <c r="G15" s="1116"/>
      <c r="H15" s="448">
        <f>J15</f>
        <v>24</v>
      </c>
      <c r="I15" s="448">
        <f>H15</f>
        <v>24</v>
      </c>
      <c r="J15" s="457">
        <v>24</v>
      </c>
      <c r="K15" s="127"/>
      <c r="L15" s="114"/>
      <c r="M15" s="114"/>
      <c r="N15" s="114"/>
    </row>
    <row r="16" spans="1:14">
      <c r="A16" s="114"/>
      <c r="B16" s="1113" t="s">
        <v>556</v>
      </c>
      <c r="C16" s="1113"/>
      <c r="D16" s="1113"/>
      <c r="E16" s="1113"/>
      <c r="F16" s="1113"/>
      <c r="G16" s="450">
        <f>'Working Master '!U147</f>
        <v>2.6666666666666665</v>
      </c>
      <c r="H16" s="450">
        <f>'Working Master '!V147</f>
        <v>1.9999999999999996</v>
      </c>
      <c r="I16" s="450">
        <f>'Working Master '!W147</f>
        <v>1.7391304347826084</v>
      </c>
      <c r="J16" s="450">
        <f>'Working Master '!X147</f>
        <v>1.4285714285714284</v>
      </c>
      <c r="K16" s="127"/>
      <c r="L16" s="114"/>
      <c r="M16" s="114"/>
      <c r="N16" s="114"/>
    </row>
    <row r="17" spans="1:14">
      <c r="A17" s="114"/>
      <c r="B17" s="1114" t="s">
        <v>575</v>
      </c>
      <c r="C17" s="1114"/>
      <c r="D17" s="1114"/>
      <c r="E17" s="1114"/>
      <c r="F17" s="1114"/>
      <c r="G17" s="451">
        <f>I17</f>
        <v>0.22500000000000001</v>
      </c>
      <c r="H17" s="451">
        <f>J17</f>
        <v>0.22500000000000001</v>
      </c>
      <c r="I17" s="451">
        <f>H17</f>
        <v>0.22500000000000001</v>
      </c>
      <c r="J17" s="451">
        <f>((G7*9)+(G8*3))/12</f>
        <v>0.22500000000000001</v>
      </c>
      <c r="K17" s="127"/>
      <c r="L17" s="114"/>
      <c r="M17" s="114"/>
      <c r="N17" s="114"/>
    </row>
    <row r="18" spans="1:14">
      <c r="A18" s="114"/>
      <c r="B18" s="1112"/>
      <c r="C18" s="1112"/>
      <c r="D18" s="1112"/>
      <c r="E18" s="1112"/>
      <c r="F18" s="1112"/>
      <c r="G18" s="1112"/>
      <c r="H18" s="1112"/>
      <c r="I18" s="1112"/>
      <c r="J18" s="1112"/>
      <c r="K18" s="127"/>
      <c r="L18" s="114"/>
      <c r="M18" s="114"/>
      <c r="N18" s="114"/>
    </row>
    <row r="19" spans="1:14">
      <c r="A19" s="114"/>
      <c r="B19" s="1112" t="s">
        <v>869</v>
      </c>
      <c r="C19" s="1112"/>
      <c r="D19" s="1112"/>
      <c r="E19" s="1112"/>
      <c r="F19" s="1112"/>
      <c r="G19" s="449"/>
      <c r="H19" s="449"/>
      <c r="I19" s="449"/>
      <c r="J19" s="449"/>
      <c r="K19" s="127"/>
      <c r="L19" s="114"/>
      <c r="M19" s="114"/>
      <c r="N19" s="114"/>
    </row>
    <row r="20" spans="1:14">
      <c r="A20" s="114"/>
      <c r="B20" s="1114" t="s">
        <v>554</v>
      </c>
      <c r="C20" s="1114"/>
      <c r="D20" s="1114"/>
      <c r="E20" s="1114"/>
      <c r="F20" s="1114"/>
      <c r="G20" s="1119"/>
      <c r="H20" s="452">
        <f>J20</f>
        <v>1</v>
      </c>
      <c r="I20" s="453">
        <f>H20</f>
        <v>1</v>
      </c>
      <c r="J20" s="458">
        <v>1</v>
      </c>
      <c r="K20" s="1118"/>
      <c r="L20" s="114"/>
      <c r="M20" s="114"/>
      <c r="N20" s="114"/>
    </row>
    <row r="21" spans="1:14">
      <c r="A21" s="114"/>
      <c r="B21" s="1113" t="s">
        <v>551</v>
      </c>
      <c r="C21" s="1113"/>
      <c r="D21" s="1113"/>
      <c r="E21" s="1113"/>
      <c r="F21" s="1113"/>
      <c r="G21" s="1119"/>
      <c r="H21" s="454">
        <f>H16/H15</f>
        <v>8.3333333333333315E-2</v>
      </c>
      <c r="I21" s="454">
        <f>I16/I15</f>
        <v>7.2463768115942018E-2</v>
      </c>
      <c r="J21" s="454">
        <f>J16/J15</f>
        <v>5.9523809523809514E-2</v>
      </c>
      <c r="K21" s="1118"/>
      <c r="L21" s="114"/>
      <c r="M21" s="114"/>
      <c r="N21" s="114"/>
    </row>
    <row r="22" spans="1:14">
      <c r="A22" s="114"/>
      <c r="B22" s="1114" t="s">
        <v>552</v>
      </c>
      <c r="C22" s="1114"/>
      <c r="D22" s="1114"/>
      <c r="E22" s="1114"/>
      <c r="F22" s="1114"/>
      <c r="G22" s="1119"/>
      <c r="H22" s="455">
        <f>J22</f>
        <v>0.6</v>
      </c>
      <c r="I22" s="455">
        <f>H22</f>
        <v>0.6</v>
      </c>
      <c r="J22" s="459">
        <v>0.6</v>
      </c>
      <c r="K22" s="1118"/>
      <c r="L22" s="114"/>
      <c r="M22" s="114"/>
      <c r="N22" s="114"/>
    </row>
    <row r="23" spans="1:14">
      <c r="A23" s="114"/>
      <c r="B23" s="1112"/>
      <c r="C23" s="1112"/>
      <c r="D23" s="1112"/>
      <c r="E23" s="1112"/>
      <c r="F23" s="1112"/>
      <c r="G23" s="1112"/>
      <c r="H23" s="1112"/>
      <c r="I23" s="1112"/>
      <c r="J23" s="1112"/>
      <c r="K23" s="127"/>
      <c r="L23" s="114"/>
      <c r="M23" s="114"/>
      <c r="N23" s="114"/>
    </row>
    <row r="24" spans="1:14">
      <c r="A24" s="114"/>
      <c r="B24" s="1112" t="s">
        <v>870</v>
      </c>
      <c r="C24" s="1112"/>
      <c r="D24" s="1112"/>
      <c r="E24" s="1112"/>
      <c r="F24" s="1112"/>
      <c r="G24" s="456"/>
      <c r="H24" s="449"/>
      <c r="I24" s="449"/>
      <c r="J24" s="449"/>
      <c r="K24" s="127"/>
      <c r="L24" s="114"/>
      <c r="M24" s="114"/>
      <c r="N24" s="114"/>
    </row>
    <row r="25" spans="1:14">
      <c r="A25" s="114"/>
      <c r="B25" s="1114" t="s">
        <v>554</v>
      </c>
      <c r="C25" s="1114"/>
      <c r="D25" s="1114"/>
      <c r="E25" s="1114"/>
      <c r="F25" s="1114"/>
      <c r="G25" s="1119"/>
      <c r="H25" s="455">
        <f>J25</f>
        <v>0.5</v>
      </c>
      <c r="I25" s="455">
        <f>H25</f>
        <v>0.5</v>
      </c>
      <c r="J25" s="459">
        <v>0.5</v>
      </c>
      <c r="K25" s="535"/>
      <c r="L25" s="114"/>
      <c r="M25" s="114"/>
      <c r="N25" s="114"/>
    </row>
    <row r="26" spans="1:14">
      <c r="A26" s="114"/>
      <c r="B26" s="1113" t="s">
        <v>551</v>
      </c>
      <c r="C26" s="1113"/>
      <c r="D26" s="1113"/>
      <c r="E26" s="1113"/>
      <c r="F26" s="1113"/>
      <c r="G26" s="1119"/>
      <c r="H26" s="455">
        <f>100%-H21</f>
        <v>0.91666666666666674</v>
      </c>
      <c r="I26" s="455">
        <f>100%-I21</f>
        <v>0.92753623188405798</v>
      </c>
      <c r="J26" s="455">
        <f>100%-J21</f>
        <v>0.94047619047619047</v>
      </c>
      <c r="K26" s="535"/>
      <c r="L26" s="114"/>
      <c r="M26" s="114"/>
      <c r="N26" s="114"/>
    </row>
    <row r="27" spans="1:14">
      <c r="A27" s="114"/>
      <c r="B27" s="1114" t="s">
        <v>552</v>
      </c>
      <c r="C27" s="1114"/>
      <c r="D27" s="1114"/>
      <c r="E27" s="1114"/>
      <c r="F27" s="1114"/>
      <c r="G27" s="1119"/>
      <c r="H27" s="455">
        <f>J27</f>
        <v>0.6</v>
      </c>
      <c r="I27" s="455">
        <f>H27</f>
        <v>0.6</v>
      </c>
      <c r="J27" s="459">
        <v>0.6</v>
      </c>
      <c r="K27" s="535"/>
      <c r="L27" s="114"/>
      <c r="M27" s="114"/>
      <c r="N27" s="114"/>
    </row>
    <row r="28" spans="1:14">
      <c r="A28" s="114"/>
      <c r="B28" s="1112"/>
      <c r="C28" s="1112"/>
      <c r="D28" s="1112"/>
      <c r="E28" s="1112"/>
      <c r="F28" s="1112"/>
      <c r="G28" s="1112"/>
      <c r="H28" s="1112"/>
      <c r="I28" s="1112"/>
      <c r="J28" s="1112"/>
      <c r="K28" s="127"/>
      <c r="L28" s="114"/>
      <c r="M28" s="114"/>
      <c r="N28" s="114"/>
    </row>
    <row r="29" spans="1:14">
      <c r="A29" s="114"/>
      <c r="B29" s="114"/>
      <c r="C29" s="114"/>
      <c r="D29" s="114"/>
      <c r="E29" s="114"/>
      <c r="F29" s="114"/>
      <c r="G29" s="114"/>
      <c r="H29" s="114"/>
      <c r="I29" s="114"/>
      <c r="J29" s="114"/>
      <c r="K29" s="114"/>
      <c r="L29" s="114"/>
      <c r="M29" s="114"/>
      <c r="N29" s="114"/>
    </row>
    <row r="30" spans="1:14">
      <c r="A30" s="121"/>
      <c r="B30" s="121"/>
      <c r="C30" s="121"/>
      <c r="D30" s="121"/>
      <c r="E30" s="121"/>
      <c r="F30" s="121"/>
      <c r="G30" s="121"/>
      <c r="H30" s="121"/>
      <c r="I30" s="121"/>
      <c r="J30" s="121"/>
      <c r="K30" s="121"/>
      <c r="L30" s="114"/>
      <c r="M30" s="114"/>
      <c r="N30" s="114"/>
    </row>
    <row r="31" spans="1:14">
      <c r="A31" s="121"/>
      <c r="B31" s="121"/>
      <c r="C31" s="121"/>
      <c r="D31" s="121"/>
      <c r="E31" s="121"/>
      <c r="F31" s="121"/>
      <c r="G31" s="121"/>
      <c r="H31" s="121"/>
      <c r="I31" s="121"/>
      <c r="J31" s="121"/>
      <c r="K31" s="121"/>
      <c r="L31" s="114"/>
      <c r="M31" s="114"/>
      <c r="N31" s="114"/>
    </row>
    <row r="32" spans="1:14">
      <c r="A32" s="121"/>
      <c r="B32" s="121"/>
      <c r="C32" s="121"/>
      <c r="D32" s="121"/>
      <c r="E32" s="121"/>
      <c r="F32" s="121"/>
      <c r="G32" s="121"/>
      <c r="H32" s="121"/>
      <c r="I32" s="121"/>
      <c r="J32" s="121"/>
      <c r="K32" s="121"/>
      <c r="L32" s="114"/>
      <c r="M32" s="114"/>
      <c r="N32" s="114"/>
    </row>
    <row r="33" spans="1:14">
      <c r="A33" s="114"/>
      <c r="B33" s="114"/>
      <c r="C33" s="114"/>
      <c r="D33" s="114"/>
      <c r="E33" s="114"/>
      <c r="F33" s="114"/>
      <c r="G33" s="114"/>
      <c r="H33" s="114"/>
      <c r="I33" s="114"/>
      <c r="J33" s="114"/>
      <c r="K33" s="114"/>
      <c r="L33" s="114"/>
      <c r="M33" s="114"/>
      <c r="N33" s="114"/>
    </row>
    <row r="34" spans="1:14">
      <c r="A34" s="114"/>
      <c r="B34" s="114"/>
      <c r="C34" s="114"/>
      <c r="D34" s="114"/>
      <c r="E34" s="114"/>
      <c r="F34" s="114"/>
      <c r="G34" s="114"/>
      <c r="H34" s="114"/>
      <c r="I34" s="114"/>
      <c r="J34" s="114"/>
      <c r="K34" s="114"/>
      <c r="L34" s="114"/>
      <c r="M34" s="114"/>
      <c r="N34" s="114"/>
    </row>
    <row r="35" spans="1:14">
      <c r="A35" s="114"/>
      <c r="B35" s="114"/>
      <c r="C35" s="114"/>
      <c r="D35" s="114"/>
      <c r="E35" s="114"/>
      <c r="F35" s="114"/>
      <c r="G35" s="114"/>
      <c r="H35" s="114"/>
      <c r="I35" s="114"/>
      <c r="J35" s="114"/>
      <c r="K35" s="114"/>
      <c r="L35" s="114"/>
      <c r="M35" s="114"/>
      <c r="N35" s="114"/>
    </row>
    <row r="36" spans="1:14">
      <c r="A36" s="114"/>
      <c r="B36" s="114"/>
      <c r="C36" s="114"/>
      <c r="D36" s="114"/>
      <c r="E36" s="114"/>
      <c r="F36" s="114"/>
      <c r="G36" s="114"/>
      <c r="H36" s="114"/>
      <c r="I36" s="114"/>
      <c r="J36" s="114"/>
      <c r="K36" s="114"/>
      <c r="L36" s="114"/>
      <c r="M36" s="114"/>
      <c r="N36" s="114"/>
    </row>
    <row r="37" spans="1:14">
      <c r="A37" s="114"/>
      <c r="B37" s="114"/>
      <c r="C37" s="114"/>
      <c r="D37" s="114"/>
      <c r="E37" s="114"/>
      <c r="F37" s="114"/>
      <c r="G37" s="114"/>
      <c r="H37" s="114"/>
      <c r="I37" s="114"/>
      <c r="J37" s="114"/>
      <c r="K37" s="114"/>
      <c r="L37" s="114"/>
      <c r="M37" s="114"/>
      <c r="N37" s="114"/>
    </row>
    <row r="38" spans="1:14">
      <c r="A38" s="114"/>
      <c r="B38" s="114"/>
      <c r="C38" s="114"/>
      <c r="D38" s="114"/>
      <c r="E38" s="114"/>
      <c r="F38" s="114"/>
      <c r="G38" s="114"/>
      <c r="H38" s="114"/>
      <c r="I38" s="114"/>
      <c r="J38" s="114"/>
      <c r="K38" s="114"/>
      <c r="L38" s="114"/>
      <c r="M38" s="114"/>
      <c r="N38" s="114"/>
    </row>
    <row r="39" spans="1:14">
      <c r="A39" s="114"/>
      <c r="B39" s="114"/>
      <c r="C39" s="114"/>
      <c r="D39" s="114"/>
      <c r="E39" s="114"/>
      <c r="F39" s="114"/>
      <c r="G39" s="114"/>
      <c r="H39" s="114"/>
      <c r="I39" s="114"/>
      <c r="J39" s="114"/>
      <c r="K39" s="114"/>
      <c r="L39" s="114"/>
      <c r="M39" s="114"/>
      <c r="N39" s="114"/>
    </row>
    <row r="40" spans="1:14">
      <c r="A40" s="114"/>
      <c r="B40" s="114"/>
      <c r="C40" s="114"/>
      <c r="D40" s="114"/>
      <c r="E40" s="114"/>
      <c r="F40" s="114"/>
      <c r="G40" s="114"/>
      <c r="H40" s="114"/>
      <c r="I40" s="114"/>
      <c r="J40" s="114"/>
      <c r="K40" s="114"/>
      <c r="L40" s="114"/>
      <c r="M40" s="114"/>
      <c r="N40" s="114"/>
    </row>
    <row r="41" spans="1:14">
      <c r="A41" s="114"/>
      <c r="B41" s="114"/>
      <c r="C41" s="114"/>
      <c r="D41" s="114"/>
      <c r="E41" s="114"/>
      <c r="F41" s="114"/>
      <c r="G41" s="114"/>
      <c r="H41" s="114"/>
      <c r="I41" s="114"/>
      <c r="J41" s="114"/>
      <c r="K41" s="114"/>
      <c r="L41" s="114"/>
      <c r="M41" s="114"/>
      <c r="N41" s="114"/>
    </row>
    <row r="42" spans="1:14">
      <c r="A42" s="114"/>
      <c r="B42" s="114"/>
      <c r="C42" s="114"/>
      <c r="D42" s="114"/>
      <c r="E42" s="114"/>
      <c r="F42" s="114"/>
      <c r="G42" s="114"/>
      <c r="H42" s="114"/>
      <c r="I42" s="114"/>
      <c r="J42" s="114"/>
      <c r="K42" s="114"/>
      <c r="L42" s="114"/>
      <c r="M42" s="114"/>
      <c r="N42" s="114"/>
    </row>
    <row r="43" spans="1:14">
      <c r="A43" s="114"/>
      <c r="B43" s="114"/>
      <c r="C43" s="114"/>
      <c r="D43" s="114"/>
      <c r="E43" s="114"/>
      <c r="F43" s="114"/>
      <c r="G43" s="114"/>
      <c r="H43" s="114"/>
      <c r="I43" s="114"/>
      <c r="J43" s="114"/>
      <c r="K43" s="114"/>
      <c r="L43" s="114"/>
      <c r="M43" s="114"/>
      <c r="N43" s="114"/>
    </row>
    <row r="44" spans="1:14">
      <c r="A44" s="114"/>
      <c r="B44" s="114"/>
      <c r="C44" s="114"/>
      <c r="D44" s="114"/>
      <c r="E44" s="114"/>
      <c r="F44" s="114"/>
      <c r="G44" s="114"/>
      <c r="H44" s="114"/>
      <c r="I44" s="114"/>
      <c r="J44" s="114"/>
      <c r="K44" s="114"/>
      <c r="L44" s="114"/>
      <c r="M44" s="114"/>
      <c r="N44" s="114"/>
    </row>
    <row r="45" spans="1:14">
      <c r="A45" s="114"/>
      <c r="B45" s="114"/>
      <c r="C45" s="114"/>
      <c r="D45" s="114"/>
      <c r="E45" s="114"/>
      <c r="F45" s="114"/>
      <c r="G45" s="114"/>
      <c r="H45" s="114"/>
      <c r="I45" s="114"/>
      <c r="J45" s="114"/>
      <c r="K45" s="114"/>
      <c r="L45" s="114"/>
      <c r="M45" s="114"/>
      <c r="N45" s="114"/>
    </row>
    <row r="46" spans="1:14">
      <c r="A46" s="114"/>
      <c r="B46" s="114"/>
      <c r="C46" s="114"/>
      <c r="D46" s="114"/>
      <c r="E46" s="114"/>
      <c r="F46" s="114"/>
      <c r="G46" s="114"/>
      <c r="H46" s="114"/>
      <c r="I46" s="114"/>
      <c r="J46" s="114"/>
      <c r="K46" s="114"/>
      <c r="L46" s="114"/>
      <c r="M46" s="114"/>
      <c r="N46" s="114"/>
    </row>
    <row r="47" spans="1:14">
      <c r="A47" s="114"/>
      <c r="B47" s="114"/>
      <c r="C47" s="114"/>
      <c r="D47" s="114"/>
      <c r="E47" s="114"/>
      <c r="F47" s="114"/>
      <c r="G47" s="114"/>
      <c r="H47" s="114"/>
      <c r="I47" s="114"/>
      <c r="J47" s="114"/>
      <c r="K47" s="114"/>
      <c r="L47" s="114"/>
      <c r="M47" s="114"/>
      <c r="N47" s="114"/>
    </row>
    <row r="48" spans="1:14">
      <c r="A48" s="114"/>
      <c r="B48" s="114"/>
      <c r="C48" s="114"/>
      <c r="D48" s="114"/>
      <c r="E48" s="114"/>
      <c r="F48" s="114"/>
      <c r="G48" s="114"/>
      <c r="H48" s="114"/>
      <c r="I48" s="114"/>
      <c r="J48" s="114"/>
      <c r="K48" s="114"/>
      <c r="L48" s="114"/>
      <c r="M48" s="114"/>
      <c r="N48" s="114"/>
    </row>
    <row r="49" spans="1:14">
      <c r="A49" s="114"/>
      <c r="B49" s="114"/>
      <c r="C49" s="114"/>
      <c r="D49" s="114"/>
      <c r="E49" s="114"/>
      <c r="F49" s="114"/>
      <c r="G49" s="114"/>
      <c r="H49" s="114"/>
      <c r="I49" s="114"/>
      <c r="J49" s="114"/>
      <c r="K49" s="114"/>
      <c r="L49" s="114"/>
      <c r="M49" s="114"/>
      <c r="N49" s="114"/>
    </row>
    <row r="50" spans="1:14">
      <c r="A50" s="114"/>
      <c r="B50" s="114"/>
      <c r="C50" s="114"/>
      <c r="D50" s="114"/>
      <c r="E50" s="114"/>
      <c r="F50" s="114"/>
      <c r="G50" s="114"/>
      <c r="H50" s="114"/>
      <c r="I50" s="114"/>
      <c r="J50" s="114"/>
      <c r="K50" s="114"/>
      <c r="L50" s="114"/>
      <c r="M50" s="114"/>
      <c r="N50" s="114"/>
    </row>
    <row r="51" spans="1:14">
      <c r="A51" s="114"/>
      <c r="B51" s="114"/>
      <c r="C51" s="114"/>
      <c r="D51" s="114"/>
      <c r="E51" s="114"/>
      <c r="F51" s="114"/>
      <c r="G51" s="114"/>
      <c r="H51" s="114"/>
      <c r="I51" s="114"/>
      <c r="J51" s="114"/>
      <c r="K51" s="114"/>
      <c r="L51" s="114"/>
      <c r="M51" s="114"/>
      <c r="N51" s="114"/>
    </row>
    <row r="52" spans="1:14">
      <c r="A52" s="114"/>
      <c r="B52" s="114"/>
      <c r="C52" s="114"/>
      <c r="D52" s="114"/>
      <c r="E52" s="114"/>
      <c r="F52" s="114"/>
      <c r="G52" s="114"/>
      <c r="H52" s="114"/>
      <c r="I52" s="114"/>
      <c r="J52" s="114"/>
      <c r="K52" s="114"/>
      <c r="L52" s="114"/>
      <c r="M52" s="114"/>
      <c r="N52" s="114"/>
    </row>
    <row r="53" spans="1:14">
      <c r="A53" s="114"/>
      <c r="B53" s="114"/>
      <c r="C53" s="114"/>
      <c r="D53" s="114"/>
      <c r="E53" s="114"/>
      <c r="F53" s="114"/>
      <c r="G53" s="114"/>
      <c r="H53" s="114"/>
      <c r="I53" s="114"/>
      <c r="J53" s="114"/>
      <c r="K53" s="114"/>
      <c r="L53" s="114"/>
      <c r="M53" s="114"/>
      <c r="N53" s="114"/>
    </row>
    <row r="54" spans="1:14">
      <c r="A54" s="114"/>
      <c r="B54" s="114"/>
      <c r="C54" s="114"/>
      <c r="D54" s="114"/>
      <c r="E54" s="114"/>
      <c r="F54" s="114"/>
      <c r="G54" s="114"/>
      <c r="H54" s="114"/>
      <c r="I54" s="114"/>
      <c r="J54" s="114"/>
      <c r="K54" s="114"/>
      <c r="L54" s="114"/>
      <c r="M54" s="114"/>
      <c r="N54" s="114"/>
    </row>
    <row r="55" spans="1:14">
      <c r="A55" s="114"/>
      <c r="B55" s="114"/>
      <c r="C55" s="114"/>
      <c r="D55" s="114"/>
      <c r="E55" s="114"/>
      <c r="F55" s="114"/>
      <c r="G55" s="114"/>
      <c r="H55" s="114"/>
      <c r="I55" s="114"/>
      <c r="J55" s="114"/>
      <c r="K55" s="114"/>
      <c r="L55" s="114"/>
      <c r="M55" s="114"/>
      <c r="N55" s="114"/>
    </row>
    <row r="56" spans="1:14">
      <c r="A56" s="114"/>
      <c r="B56" s="114"/>
      <c r="C56" s="114"/>
      <c r="D56" s="114"/>
      <c r="E56" s="114"/>
      <c r="F56" s="114"/>
      <c r="G56" s="114"/>
      <c r="H56" s="114"/>
      <c r="I56" s="114"/>
      <c r="J56" s="114"/>
      <c r="K56" s="114"/>
      <c r="L56" s="114"/>
      <c r="M56" s="114"/>
      <c r="N56" s="114"/>
    </row>
    <row r="57" spans="1:14">
      <c r="A57" s="114"/>
      <c r="B57" s="114"/>
      <c r="C57" s="114"/>
      <c r="D57" s="114"/>
      <c r="E57" s="114"/>
      <c r="F57" s="114"/>
      <c r="G57" s="114"/>
      <c r="H57" s="114"/>
      <c r="I57" s="114"/>
      <c r="J57" s="114"/>
      <c r="K57" s="114"/>
      <c r="L57" s="114"/>
      <c r="M57" s="114"/>
      <c r="N57" s="114"/>
    </row>
    <row r="58" spans="1:14">
      <c r="A58" s="114"/>
      <c r="B58" s="114"/>
      <c r="C58" s="114"/>
      <c r="D58" s="114"/>
      <c r="E58" s="114"/>
      <c r="F58" s="114"/>
      <c r="G58" s="114"/>
      <c r="H58" s="114"/>
      <c r="I58" s="114"/>
      <c r="J58" s="114"/>
      <c r="K58" s="114"/>
      <c r="L58" s="114"/>
      <c r="M58" s="114"/>
      <c r="N58" s="114"/>
    </row>
    <row r="59" spans="1:14">
      <c r="A59" s="114"/>
      <c r="B59" s="114"/>
      <c r="C59" s="114"/>
      <c r="D59" s="114"/>
      <c r="E59" s="114"/>
      <c r="F59" s="114"/>
      <c r="G59" s="114"/>
      <c r="H59" s="114"/>
      <c r="I59" s="114"/>
      <c r="J59" s="114"/>
      <c r="K59" s="114"/>
      <c r="L59" s="114"/>
      <c r="M59" s="114"/>
      <c r="N59" s="114"/>
    </row>
    <row r="60" spans="1:14">
      <c r="A60" s="114"/>
      <c r="B60" s="114"/>
      <c r="C60" s="114"/>
      <c r="D60" s="114"/>
      <c r="E60" s="114"/>
      <c r="F60" s="114"/>
      <c r="G60" s="114"/>
      <c r="H60" s="114"/>
      <c r="I60" s="114"/>
      <c r="J60" s="114"/>
      <c r="K60" s="114"/>
      <c r="L60" s="114"/>
      <c r="M60" s="114"/>
      <c r="N60" s="114"/>
    </row>
    <row r="61" spans="1:14">
      <c r="A61" s="114"/>
      <c r="B61" s="114"/>
      <c r="C61" s="114"/>
      <c r="D61" s="114"/>
      <c r="E61" s="114"/>
      <c r="F61" s="114"/>
      <c r="G61" s="114"/>
      <c r="H61" s="114"/>
      <c r="I61" s="114"/>
      <c r="J61" s="114"/>
      <c r="K61" s="114"/>
      <c r="L61" s="114"/>
      <c r="M61" s="114"/>
      <c r="N61" s="114"/>
    </row>
    <row r="62" spans="1:14">
      <c r="A62" s="114"/>
      <c r="B62" s="114"/>
      <c r="C62" s="114"/>
      <c r="D62" s="114"/>
      <c r="E62" s="114"/>
      <c r="F62" s="114"/>
      <c r="G62" s="114"/>
      <c r="H62" s="114"/>
      <c r="I62" s="114"/>
      <c r="J62" s="114"/>
      <c r="K62" s="114"/>
      <c r="L62" s="114"/>
      <c r="M62" s="114"/>
      <c r="N62" s="114"/>
    </row>
  </sheetData>
  <mergeCells count="30">
    <mergeCell ref="B24:F24"/>
    <mergeCell ref="B28:J28"/>
    <mergeCell ref="B25:F25"/>
    <mergeCell ref="B26:F26"/>
    <mergeCell ref="B27:F27"/>
    <mergeCell ref="G25:G27"/>
    <mergeCell ref="K20:K22"/>
    <mergeCell ref="B20:F20"/>
    <mergeCell ref="B21:F21"/>
    <mergeCell ref="B22:F22"/>
    <mergeCell ref="G20:G22"/>
    <mergeCell ref="B2:J3"/>
    <mergeCell ref="B12:F13"/>
    <mergeCell ref="B14:F14"/>
    <mergeCell ref="B5:E5"/>
    <mergeCell ref="B7:C8"/>
    <mergeCell ref="E7:F7"/>
    <mergeCell ref="E8:F8"/>
    <mergeCell ref="J12:J13"/>
    <mergeCell ref="H12:H13"/>
    <mergeCell ref="I12:I13"/>
    <mergeCell ref="B10:J11"/>
    <mergeCell ref="B23:J23"/>
    <mergeCell ref="B16:F16"/>
    <mergeCell ref="B17:F17"/>
    <mergeCell ref="B18:J18"/>
    <mergeCell ref="G12:G13"/>
    <mergeCell ref="B19:F19"/>
    <mergeCell ref="G14:G15"/>
    <mergeCell ref="B15:E15"/>
  </mergeCells>
  <phoneticPr fontId="0" type="noConversion"/>
  <conditionalFormatting sqref="J12:J13">
    <cfRule type="cellIs" dxfId="300" priority="1" stopIfTrue="1" operator="equal">
      <formula>$U$30</formula>
    </cfRule>
    <cfRule type="cellIs" dxfId="299" priority="2" stopIfTrue="1" operator="equal">
      <formula>$W$30</formula>
    </cfRule>
    <cfRule type="cellIs" dxfId="298" priority="3" stopIfTrue="1" operator="equal">
      <formula>$Y$30</formula>
    </cfRule>
  </conditionalFormatting>
  <conditionalFormatting sqref="H12:H13">
    <cfRule type="cellIs" dxfId="297" priority="4" stopIfTrue="1" operator="equal">
      <formula>$R$11</formula>
    </cfRule>
    <cfRule type="cellIs" dxfId="296" priority="5" stopIfTrue="1" operator="equal">
      <formula>$V$38</formula>
    </cfRule>
    <cfRule type="cellIs" dxfId="295" priority="6" stopIfTrue="1" operator="equal">
      <formula>$R$13</formula>
    </cfRule>
  </conditionalFormatting>
  <conditionalFormatting sqref="I12:I13">
    <cfRule type="cellIs" dxfId="294" priority="7" stopIfTrue="1" operator="equal">
      <formula>$R$11</formula>
    </cfRule>
    <cfRule type="cellIs" dxfId="293" priority="8" stopIfTrue="1" operator="equal">
      <formula>$R$12</formula>
    </cfRule>
    <cfRule type="cellIs" dxfId="292" priority="9" stopIfTrue="1" operator="equal">
      <formula>$W$38</formula>
    </cfRule>
  </conditionalFormatting>
  <pageMargins left="0.19685039370078741" right="0.19685039370078741" top="0.59055118110236227" bottom="0.39370078740157483" header="0.51181102362204722" footer="0.51181102362204722"/>
  <pageSetup paperSize="9" orientation="portrait" r:id="rId1"/>
  <headerFooter alignWithMargins="0"/>
  <ignoredErrors>
    <ignoredError sqref="H16:I16 H21:I21 H26:I26" formula="1"/>
  </ignoredErrors>
  <legacyDrawing r:id="rId2"/>
</worksheet>
</file>

<file path=xl/worksheets/sheet28.xml><?xml version="1.0" encoding="utf-8"?>
<worksheet xmlns="http://schemas.openxmlformats.org/spreadsheetml/2006/main" xmlns:r="http://schemas.openxmlformats.org/officeDocument/2006/relationships">
  <sheetPr codeName="Sheet77">
    <pageSetUpPr fitToPage="1"/>
  </sheetPr>
  <dimension ref="A1:AJ934"/>
  <sheetViews>
    <sheetView showRowColHeaders="0" workbookViewId="0">
      <selection activeCell="B2" sqref="B2:K3"/>
    </sheetView>
  </sheetViews>
  <sheetFormatPr defaultRowHeight="12.75"/>
  <cols>
    <col min="1" max="11" width="11.7109375" style="1" customWidth="1"/>
    <col min="12" max="16" width="10.7109375" style="1" customWidth="1"/>
    <col min="17" max="17" width="4.7109375" style="20" customWidth="1"/>
    <col min="18" max="20" width="10.7109375" style="18" customWidth="1"/>
    <col min="21" max="23" width="11.7109375" style="18" customWidth="1"/>
    <col min="24" max="26" width="10.7109375" style="18" customWidth="1"/>
    <col min="27" max="27" width="10.7109375" style="1" customWidth="1"/>
    <col min="28" max="30" width="8.7109375" style="1" customWidth="1"/>
    <col min="31" max="35" width="13.7109375" style="1" customWidth="1"/>
    <col min="36" max="37" width="10.7109375" style="1" customWidth="1"/>
    <col min="38" max="54" width="10.28515625" style="1" customWidth="1"/>
    <col min="55" max="110" width="10.7109375" style="1" customWidth="1"/>
    <col min="111" max="16384" width="9.140625" style="1"/>
  </cols>
  <sheetData>
    <row r="1" spans="1:35" ht="6" customHeight="1" thickBot="1">
      <c r="A1" s="121"/>
      <c r="B1" s="121"/>
      <c r="C1" s="121"/>
      <c r="D1" s="121"/>
      <c r="E1" s="121"/>
      <c r="F1" s="121"/>
      <c r="G1" s="121"/>
      <c r="H1" s="121"/>
      <c r="I1" s="121"/>
      <c r="J1" s="121"/>
      <c r="K1" s="121"/>
      <c r="L1" s="121"/>
      <c r="M1" s="121"/>
      <c r="N1" s="121"/>
      <c r="O1" s="121"/>
      <c r="P1" s="121"/>
      <c r="Q1" s="360"/>
      <c r="R1" s="361"/>
      <c r="S1" s="361"/>
      <c r="T1" s="361"/>
      <c r="U1" s="361"/>
      <c r="V1" s="361"/>
      <c r="W1" s="361"/>
      <c r="X1" s="361"/>
      <c r="Y1" s="361"/>
      <c r="Z1" s="361"/>
      <c r="AA1"/>
      <c r="AB1"/>
      <c r="AC1"/>
      <c r="AD1"/>
      <c r="AE1"/>
      <c r="AF1"/>
      <c r="AG1"/>
      <c r="AH1"/>
      <c r="AI1"/>
    </row>
    <row r="2" spans="1:35" ht="12.75" customHeight="1" thickTop="1">
      <c r="A2" s="121"/>
      <c r="B2" s="753" t="s">
        <v>741</v>
      </c>
      <c r="C2" s="754"/>
      <c r="D2" s="754"/>
      <c r="E2" s="754"/>
      <c r="F2" s="754"/>
      <c r="G2" s="754"/>
      <c r="H2" s="754"/>
      <c r="I2" s="754"/>
      <c r="J2" s="754"/>
      <c r="K2" s="755"/>
      <c r="L2" s="121"/>
      <c r="M2" s="121"/>
      <c r="N2" s="121"/>
      <c r="O2" s="121"/>
      <c r="P2" s="121"/>
      <c r="Q2" s="363"/>
      <c r="R2" s="1024" t="s">
        <v>396</v>
      </c>
      <c r="S2" s="1025"/>
      <c r="T2" s="1025"/>
      <c r="U2" s="1025"/>
      <c r="V2" s="1025"/>
      <c r="W2" s="1025"/>
      <c r="X2" s="1025"/>
      <c r="Y2" s="1026"/>
      <c r="Z2" s="362"/>
      <c r="AA2"/>
      <c r="AB2"/>
      <c r="AC2"/>
      <c r="AD2"/>
      <c r="AE2"/>
      <c r="AF2"/>
      <c r="AG2"/>
      <c r="AH2"/>
      <c r="AI2"/>
    </row>
    <row r="3" spans="1:35" ht="12.75" customHeight="1" thickBot="1">
      <c r="A3" s="121"/>
      <c r="B3" s="756"/>
      <c r="C3" s="757"/>
      <c r="D3" s="757"/>
      <c r="E3" s="757"/>
      <c r="F3" s="757"/>
      <c r="G3" s="757"/>
      <c r="H3" s="757"/>
      <c r="I3" s="757"/>
      <c r="J3" s="757"/>
      <c r="K3" s="758"/>
      <c r="L3" s="121"/>
      <c r="M3" s="121"/>
      <c r="N3" s="121"/>
      <c r="O3" s="121"/>
      <c r="P3" s="121"/>
      <c r="Q3" s="363"/>
      <c r="R3" s="1027"/>
      <c r="S3" s="1028"/>
      <c r="T3" s="1028"/>
      <c r="U3" s="1028"/>
      <c r="V3" s="1028"/>
      <c r="W3" s="1028"/>
      <c r="X3" s="1028"/>
      <c r="Y3" s="1029"/>
      <c r="Z3" s="362"/>
      <c r="AA3"/>
      <c r="AB3"/>
      <c r="AC3"/>
      <c r="AD3"/>
      <c r="AE3"/>
      <c r="AF3"/>
      <c r="AG3"/>
      <c r="AH3"/>
      <c r="AI3"/>
    </row>
    <row r="4" spans="1:35" ht="12.75" customHeight="1" thickTop="1">
      <c r="A4" s="121"/>
      <c r="B4" s="121"/>
      <c r="C4" s="121"/>
      <c r="D4" s="121"/>
      <c r="E4" s="121"/>
      <c r="F4" s="121"/>
      <c r="G4" s="121"/>
      <c r="H4" s="121"/>
      <c r="I4" s="121"/>
      <c r="J4" s="121"/>
      <c r="K4" s="121"/>
      <c r="L4" s="121"/>
      <c r="M4" s="121"/>
      <c r="N4" s="121"/>
      <c r="O4" s="121"/>
      <c r="P4" s="121"/>
      <c r="Q4" s="363"/>
      <c r="R4" s="361"/>
      <c r="S4" s="361"/>
      <c r="T4" s="361"/>
      <c r="U4" s="361"/>
      <c r="V4" s="361"/>
      <c r="W4" s="361"/>
      <c r="X4" s="361"/>
      <c r="Y4" s="361"/>
      <c r="Z4" s="361"/>
      <c r="AA4"/>
      <c r="AB4"/>
      <c r="AC4"/>
      <c r="AD4"/>
      <c r="AE4"/>
      <c r="AF4"/>
      <c r="AG4"/>
      <c r="AH4"/>
      <c r="AI4"/>
    </row>
    <row r="5" spans="1:35" ht="12.75" customHeight="1">
      <c r="A5" s="306"/>
      <c r="B5" s="828" t="s">
        <v>581</v>
      </c>
      <c r="C5" s="829"/>
      <c r="D5" s="830"/>
      <c r="E5" s="460">
        <v>450</v>
      </c>
      <c r="F5" s="461">
        <f>+E5</f>
        <v>450</v>
      </c>
      <c r="G5" s="121"/>
      <c r="H5" s="121"/>
      <c r="I5" s="121"/>
      <c r="J5" s="121"/>
      <c r="K5" s="121"/>
      <c r="L5" s="121"/>
      <c r="M5" s="121"/>
      <c r="N5" s="121"/>
      <c r="O5" s="121"/>
      <c r="P5" s="121"/>
      <c r="Q5" s="360"/>
      <c r="R5" s="951" t="s">
        <v>868</v>
      </c>
      <c r="S5" s="951"/>
      <c r="T5" s="951"/>
      <c r="U5" s="951"/>
      <c r="V5" s="447">
        <f>F5</f>
        <v>450</v>
      </c>
      <c r="W5" s="362"/>
      <c r="X5" s="362"/>
      <c r="Y5" s="362"/>
      <c r="Z5" s="362"/>
      <c r="AA5"/>
      <c r="AB5"/>
      <c r="AC5"/>
      <c r="AD5"/>
      <c r="AE5"/>
      <c r="AF5"/>
      <c r="AG5"/>
      <c r="AH5"/>
      <c r="AI5"/>
    </row>
    <row r="6" spans="1:35" ht="12.75" customHeight="1">
      <c r="A6" s="306"/>
      <c r="B6" s="121"/>
      <c r="C6" s="121"/>
      <c r="D6" s="121"/>
      <c r="E6" s="121"/>
      <c r="F6" s="121"/>
      <c r="G6" s="121"/>
      <c r="H6" s="121"/>
      <c r="I6" s="121"/>
      <c r="J6" s="121"/>
      <c r="K6" s="121"/>
      <c r="L6" s="121"/>
      <c r="M6" s="121"/>
      <c r="N6" s="121"/>
      <c r="O6" s="121"/>
      <c r="P6" s="121"/>
      <c r="Q6" s="360"/>
      <c r="R6" s="362"/>
      <c r="S6" s="362"/>
      <c r="T6" s="362"/>
      <c r="U6" s="362"/>
      <c r="V6" s="361"/>
      <c r="W6" s="361"/>
      <c r="X6" s="361"/>
      <c r="Y6" s="361"/>
      <c r="Z6" s="361"/>
      <c r="AA6"/>
      <c r="AB6"/>
      <c r="AC6"/>
      <c r="AD6"/>
      <c r="AE6"/>
      <c r="AF6"/>
      <c r="AG6"/>
      <c r="AH6"/>
      <c r="AI6"/>
    </row>
    <row r="7" spans="1:35" ht="12.75" customHeight="1">
      <c r="A7" s="306"/>
      <c r="B7" s="121"/>
      <c r="C7" s="121"/>
      <c r="D7" s="121"/>
      <c r="E7" s="121"/>
      <c r="F7" s="121"/>
      <c r="G7" s="121"/>
      <c r="H7" s="121"/>
      <c r="I7" s="121"/>
      <c r="J7" s="121"/>
      <c r="K7" s="121"/>
      <c r="L7" s="121"/>
      <c r="M7" s="121"/>
      <c r="N7" s="121"/>
      <c r="O7" s="121"/>
      <c r="P7" s="121"/>
      <c r="Q7" s="385">
        <v>1</v>
      </c>
      <c r="R7" s="1008" t="s">
        <v>24</v>
      </c>
      <c r="S7" s="1008"/>
      <c r="T7" s="1008"/>
      <c r="U7" s="1008"/>
      <c r="V7" s="1008"/>
      <c r="W7" s="1008"/>
      <c r="X7" s="1008"/>
      <c r="Y7" s="1008"/>
      <c r="Z7" s="536"/>
      <c r="AA7"/>
      <c r="AB7"/>
      <c r="AC7"/>
      <c r="AD7"/>
      <c r="AE7"/>
      <c r="AF7"/>
      <c r="AG7"/>
      <c r="AH7"/>
      <c r="AI7"/>
    </row>
    <row r="8" spans="1:35" ht="12.75" customHeight="1">
      <c r="A8" s="306"/>
      <c r="B8" s="121"/>
      <c r="C8" s="121"/>
      <c r="D8" s="121"/>
      <c r="E8" s="121"/>
      <c r="F8" s="121"/>
      <c r="G8" s="121"/>
      <c r="H8" s="121"/>
      <c r="I8" s="121"/>
      <c r="J8" s="121"/>
      <c r="K8" s="121"/>
      <c r="L8" s="121"/>
      <c r="M8" s="121"/>
      <c r="N8" s="121"/>
      <c r="O8" s="121"/>
      <c r="P8" s="121"/>
      <c r="Q8" s="386"/>
      <c r="R8" s="361"/>
      <c r="S8" s="361"/>
      <c r="T8" s="361"/>
      <c r="U8" s="361"/>
      <c r="V8" s="361"/>
      <c r="W8" s="361"/>
      <c r="X8" s="361"/>
      <c r="Y8" s="361"/>
      <c r="Z8" s="361"/>
      <c r="AA8"/>
      <c r="AB8"/>
      <c r="AC8"/>
      <c r="AD8"/>
      <c r="AE8"/>
      <c r="AF8"/>
      <c r="AG8"/>
      <c r="AH8"/>
      <c r="AI8"/>
    </row>
    <row r="9" spans="1:35" ht="12.75" customHeight="1">
      <c r="A9" s="306"/>
      <c r="B9" s="121"/>
      <c r="C9" s="121"/>
      <c r="D9" s="121"/>
      <c r="E9" s="121"/>
      <c r="F9" s="121"/>
      <c r="G9" s="121"/>
      <c r="H9" s="121"/>
      <c r="I9" s="121"/>
      <c r="J9" s="121"/>
      <c r="K9" s="121"/>
      <c r="L9" s="121"/>
      <c r="M9" s="121"/>
      <c r="N9" s="121"/>
      <c r="O9" s="121"/>
      <c r="P9" s="121"/>
      <c r="Q9" s="360">
        <v>1.1000000000000001</v>
      </c>
      <c r="R9" s="364" t="s">
        <v>586</v>
      </c>
      <c r="S9" s="363"/>
      <c r="T9" s="363"/>
      <c r="U9" s="363"/>
      <c r="V9" s="363"/>
      <c r="W9" s="363"/>
      <c r="X9" s="363"/>
      <c r="Y9" s="363"/>
      <c r="Z9" s="363"/>
      <c r="AA9"/>
      <c r="AB9"/>
      <c r="AC9"/>
      <c r="AD9"/>
      <c r="AE9"/>
      <c r="AF9"/>
      <c r="AG9"/>
      <c r="AH9"/>
      <c r="AI9"/>
    </row>
    <row r="10" spans="1:35" ht="12.75" customHeight="1">
      <c r="A10" s="306"/>
      <c r="B10" s="121"/>
      <c r="C10" s="121"/>
      <c r="D10" s="121"/>
      <c r="E10" s="121"/>
      <c r="F10" s="121"/>
      <c r="G10" s="121"/>
      <c r="H10" s="121"/>
      <c r="I10" s="121"/>
      <c r="J10" s="121"/>
      <c r="K10" s="121"/>
      <c r="L10" s="121"/>
      <c r="M10" s="121"/>
      <c r="N10" s="121"/>
      <c r="O10" s="121"/>
      <c r="P10" s="121"/>
      <c r="Q10" s="360"/>
      <c r="R10" s="969" t="s">
        <v>25</v>
      </c>
      <c r="S10" s="969"/>
      <c r="T10" s="969"/>
      <c r="U10" s="969"/>
      <c r="V10" s="447">
        <f>'Prod Parameters'!$F$8</f>
        <v>23</v>
      </c>
      <c r="W10" s="363"/>
      <c r="X10" s="363"/>
      <c r="Y10" s="363"/>
      <c r="Z10" s="363"/>
      <c r="AA10"/>
      <c r="AB10"/>
      <c r="AC10"/>
      <c r="AD10"/>
      <c r="AE10"/>
      <c r="AF10"/>
      <c r="AG10"/>
      <c r="AH10"/>
      <c r="AI10"/>
    </row>
    <row r="11" spans="1:35" ht="12.75" customHeight="1">
      <c r="A11" s="306"/>
      <c r="B11" s="121"/>
      <c r="C11" s="121"/>
      <c r="D11" s="121"/>
      <c r="E11" s="121"/>
      <c r="F11" s="121"/>
      <c r="G11" s="121"/>
      <c r="H11" s="121"/>
      <c r="I11" s="121"/>
      <c r="J11" s="121"/>
      <c r="K11" s="121"/>
      <c r="L11" s="121"/>
      <c r="M11" s="121"/>
      <c r="N11" s="121"/>
      <c r="O11" s="121"/>
      <c r="P11" s="121"/>
      <c r="Q11" s="360"/>
      <c r="R11" s="969" t="s">
        <v>325</v>
      </c>
      <c r="S11" s="969"/>
      <c r="T11" s="969"/>
      <c r="U11" s="969"/>
      <c r="V11" s="447">
        <f>'Prod Parameters'!$F$9</f>
        <v>23</v>
      </c>
      <c r="W11" s="363"/>
      <c r="X11" s="363"/>
      <c r="Y11" s="363"/>
      <c r="Z11" s="363"/>
      <c r="AA11"/>
      <c r="AB11"/>
      <c r="AC11"/>
      <c r="AD11"/>
      <c r="AE11"/>
      <c r="AF11"/>
      <c r="AG11"/>
      <c r="AH11"/>
      <c r="AI11"/>
    </row>
    <row r="12" spans="1:35" ht="12.75" customHeight="1">
      <c r="A12" s="306"/>
      <c r="B12" s="121"/>
      <c r="C12" s="121"/>
      <c r="D12" s="121"/>
      <c r="E12" s="121"/>
      <c r="F12" s="121"/>
      <c r="G12" s="121"/>
      <c r="H12" s="121"/>
      <c r="I12" s="121"/>
      <c r="J12" s="121"/>
      <c r="K12" s="121"/>
      <c r="L12" s="121"/>
      <c r="M12" s="121"/>
      <c r="N12" s="121"/>
      <c r="O12" s="121"/>
      <c r="P12" s="121"/>
      <c r="Q12" s="360"/>
      <c r="R12" s="1021" t="s">
        <v>26</v>
      </c>
      <c r="S12" s="1022"/>
      <c r="T12" s="1022"/>
      <c r="U12" s="1023"/>
      <c r="V12" s="447">
        <f>'Prod Parameters'!$F$10</f>
        <v>6</v>
      </c>
      <c r="W12" s="363"/>
      <c r="X12" s="363"/>
      <c r="Y12" s="363"/>
      <c r="Z12" s="363"/>
      <c r="AA12"/>
      <c r="AB12"/>
      <c r="AC12"/>
      <c r="AD12"/>
      <c r="AE12"/>
      <c r="AF12"/>
      <c r="AG12"/>
      <c r="AH12"/>
      <c r="AI12"/>
    </row>
    <row r="13" spans="1:35" ht="12.75" customHeight="1">
      <c r="A13" s="306"/>
      <c r="B13" s="121"/>
      <c r="C13" s="121"/>
      <c r="D13" s="121"/>
      <c r="E13" s="121"/>
      <c r="F13" s="121"/>
      <c r="G13" s="121"/>
      <c r="H13" s="121"/>
      <c r="I13" s="121"/>
      <c r="J13" s="121"/>
      <c r="K13" s="121"/>
      <c r="L13" s="121"/>
      <c r="M13" s="121"/>
      <c r="N13" s="121"/>
      <c r="O13" s="121"/>
      <c r="P13" s="121"/>
      <c r="Q13" s="360"/>
      <c r="R13" s="969" t="s">
        <v>27</v>
      </c>
      <c r="S13" s="969"/>
      <c r="T13" s="969"/>
      <c r="U13" s="969"/>
      <c r="V13" s="447">
        <f>'Prod Parameters'!$F$11</f>
        <v>52</v>
      </c>
      <c r="W13" s="363"/>
      <c r="X13" s="363"/>
      <c r="Y13" s="363"/>
      <c r="Z13" s="363"/>
      <c r="AA13"/>
      <c r="AB13"/>
      <c r="AC13"/>
      <c r="AD13"/>
      <c r="AE13"/>
      <c r="AF13"/>
      <c r="AG13"/>
      <c r="AH13"/>
      <c r="AI13"/>
    </row>
    <row r="14" spans="1:35" ht="12.75" customHeight="1">
      <c r="A14" s="306"/>
      <c r="B14" s="121"/>
      <c r="C14" s="121"/>
      <c r="D14" s="121"/>
      <c r="E14" s="121"/>
      <c r="F14" s="121"/>
      <c r="G14" s="121"/>
      <c r="H14" s="121"/>
      <c r="I14" s="121"/>
      <c r="J14" s="121"/>
      <c r="K14" s="121"/>
      <c r="L14" s="121"/>
      <c r="M14" s="121"/>
      <c r="N14" s="121"/>
      <c r="O14" s="121"/>
      <c r="P14" s="121"/>
      <c r="Q14" s="360"/>
      <c r="R14" s="969" t="s">
        <v>28</v>
      </c>
      <c r="S14" s="969"/>
      <c r="T14" s="969"/>
      <c r="U14" s="969"/>
      <c r="V14" s="447">
        <f>'Prod Parameters'!$F$12</f>
        <v>260</v>
      </c>
      <c r="W14" s="363"/>
      <c r="X14" s="363"/>
      <c r="Y14" s="363"/>
      <c r="Z14" s="363"/>
      <c r="AA14"/>
      <c r="AB14"/>
      <c r="AC14"/>
      <c r="AD14"/>
      <c r="AE14"/>
      <c r="AF14"/>
      <c r="AG14"/>
      <c r="AH14"/>
      <c r="AI14"/>
    </row>
    <row r="15" spans="1:35" ht="12.75" customHeight="1">
      <c r="A15" s="306"/>
      <c r="B15" s="121"/>
      <c r="C15" s="121"/>
      <c r="D15" s="121"/>
      <c r="E15" s="121"/>
      <c r="F15" s="121"/>
      <c r="G15" s="121"/>
      <c r="H15" s="121"/>
      <c r="I15" s="121"/>
      <c r="J15" s="121"/>
      <c r="K15" s="121"/>
      <c r="L15" s="121"/>
      <c r="M15" s="121"/>
      <c r="N15" s="121"/>
      <c r="O15" s="121"/>
      <c r="P15" s="121"/>
      <c r="Q15" s="360"/>
      <c r="R15" s="969" t="s">
        <v>29</v>
      </c>
      <c r="S15" s="969"/>
      <c r="T15" s="969"/>
      <c r="U15" s="969"/>
      <c r="V15" s="447">
        <f>'Prod Parameters'!$F$13</f>
        <v>30</v>
      </c>
      <c r="W15" s="363"/>
      <c r="X15" s="363"/>
      <c r="Y15" s="363"/>
      <c r="Z15" s="363"/>
      <c r="AA15"/>
      <c r="AB15"/>
      <c r="AC15"/>
      <c r="AD15"/>
      <c r="AE15"/>
      <c r="AF15"/>
      <c r="AG15"/>
      <c r="AH15"/>
      <c r="AI15"/>
    </row>
    <row r="16" spans="1:35" ht="12.75" customHeight="1">
      <c r="A16" s="306"/>
      <c r="B16" s="121"/>
      <c r="C16" s="121"/>
      <c r="D16" s="121"/>
      <c r="E16" s="121"/>
      <c r="F16" s="121"/>
      <c r="G16" s="121"/>
      <c r="H16" s="121"/>
      <c r="I16" s="121"/>
      <c r="J16" s="121"/>
      <c r="K16" s="121"/>
      <c r="L16" s="121"/>
      <c r="M16" s="121"/>
      <c r="N16" s="121"/>
      <c r="O16" s="121"/>
      <c r="P16" s="121"/>
      <c r="Q16" s="360"/>
      <c r="R16" s="968" t="s">
        <v>30</v>
      </c>
      <c r="S16" s="968"/>
      <c r="T16" s="968"/>
      <c r="U16" s="968"/>
      <c r="V16" s="447">
        <f>'Prod Parameters'!$F$14</f>
        <v>230</v>
      </c>
      <c r="W16" s="363"/>
      <c r="X16" s="363"/>
      <c r="Y16" s="363"/>
      <c r="Z16" s="363"/>
      <c r="AA16"/>
      <c r="AB16"/>
      <c r="AC16"/>
      <c r="AD16"/>
      <c r="AE16"/>
      <c r="AF16"/>
      <c r="AG16"/>
      <c r="AH16"/>
      <c r="AI16"/>
    </row>
    <row r="17" spans="1:35" ht="12.75" customHeight="1">
      <c r="A17" s="306"/>
      <c r="B17" s="121"/>
      <c r="C17" s="121"/>
      <c r="D17" s="121"/>
      <c r="E17" s="121"/>
      <c r="F17" s="121"/>
      <c r="G17" s="121"/>
      <c r="H17" s="121"/>
      <c r="I17" s="121"/>
      <c r="J17" s="121"/>
      <c r="K17" s="121"/>
      <c r="L17" s="121"/>
      <c r="M17" s="121"/>
      <c r="N17" s="121"/>
      <c r="O17" s="121"/>
      <c r="P17" s="121"/>
      <c r="Q17" s="360"/>
      <c r="R17" s="363"/>
      <c r="S17" s="363"/>
      <c r="T17" s="363"/>
      <c r="U17" s="363"/>
      <c r="V17" s="363"/>
      <c r="W17" s="363"/>
      <c r="X17" s="363"/>
      <c r="Y17" s="363"/>
      <c r="Z17" s="363"/>
      <c r="AA17"/>
      <c r="AB17"/>
      <c r="AC17"/>
      <c r="AD17"/>
      <c r="AE17"/>
      <c r="AF17"/>
      <c r="AG17"/>
      <c r="AH17"/>
      <c r="AI17"/>
    </row>
    <row r="18" spans="1:35" ht="12.75" customHeight="1">
      <c r="A18" s="306"/>
      <c r="B18" s="121"/>
      <c r="C18" s="121"/>
      <c r="D18" s="121"/>
      <c r="E18" s="121"/>
      <c r="F18" s="121"/>
      <c r="G18" s="121"/>
      <c r="H18" s="121"/>
      <c r="I18" s="121"/>
      <c r="J18" s="121"/>
      <c r="K18" s="121"/>
      <c r="L18" s="121"/>
      <c r="M18" s="121"/>
      <c r="N18" s="121"/>
      <c r="O18" s="121"/>
      <c r="P18" s="121"/>
      <c r="Q18" s="360">
        <v>1.2</v>
      </c>
      <c r="R18" s="364" t="s">
        <v>19</v>
      </c>
      <c r="S18" s="363"/>
      <c r="T18" s="363"/>
      <c r="U18" s="363"/>
      <c r="V18" s="363"/>
      <c r="W18" s="363"/>
      <c r="X18" s="363"/>
      <c r="Y18" s="363"/>
      <c r="Z18" s="363"/>
      <c r="AA18"/>
      <c r="AB18"/>
      <c r="AC18"/>
      <c r="AD18"/>
      <c r="AE18"/>
      <c r="AF18"/>
      <c r="AG18"/>
      <c r="AH18"/>
      <c r="AI18"/>
    </row>
    <row r="19" spans="1:35" ht="12.75" customHeight="1">
      <c r="A19" s="306"/>
      <c r="B19" s="121"/>
      <c r="C19" s="121"/>
      <c r="D19" s="121"/>
      <c r="E19" s="121"/>
      <c r="F19" s="121"/>
      <c r="G19" s="121"/>
      <c r="H19" s="121"/>
      <c r="I19" s="121"/>
      <c r="J19" s="121"/>
      <c r="K19" s="121"/>
      <c r="L19" s="121"/>
      <c r="M19" s="121"/>
      <c r="N19" s="121"/>
      <c r="O19" s="121"/>
      <c r="P19" s="121"/>
      <c r="Q19" s="360"/>
      <c r="R19" s="969" t="s">
        <v>314</v>
      </c>
      <c r="S19" s="969"/>
      <c r="T19" s="969"/>
      <c r="U19" s="969"/>
      <c r="V19" s="447">
        <f>'Prod Parameters'!$F$17</f>
        <v>160</v>
      </c>
      <c r="W19" s="363"/>
      <c r="X19" s="363"/>
      <c r="Y19" s="363"/>
      <c r="Z19" s="363"/>
      <c r="AA19"/>
      <c r="AB19"/>
      <c r="AC19"/>
      <c r="AD19"/>
      <c r="AE19"/>
      <c r="AF19"/>
      <c r="AG19"/>
      <c r="AH19"/>
      <c r="AI19"/>
    </row>
    <row r="20" spans="1:35" ht="12.75" customHeight="1">
      <c r="A20" s="306"/>
      <c r="B20" s="121"/>
      <c r="C20" s="121"/>
      <c r="D20" s="121"/>
      <c r="E20" s="121"/>
      <c r="F20" s="121"/>
      <c r="G20" s="121"/>
      <c r="H20" s="121"/>
      <c r="I20" s="121"/>
      <c r="J20" s="121"/>
      <c r="K20" s="121"/>
      <c r="L20" s="121"/>
      <c r="M20" s="121"/>
      <c r="N20" s="121"/>
      <c r="O20" s="121"/>
      <c r="P20" s="121"/>
      <c r="Q20" s="360"/>
      <c r="R20" s="969" t="s">
        <v>31</v>
      </c>
      <c r="S20" s="969"/>
      <c r="T20" s="969"/>
      <c r="U20" s="969"/>
      <c r="V20" s="447">
        <f>'Prod Parameters'!$F$18</f>
        <v>1.2</v>
      </c>
      <c r="W20" s="363"/>
      <c r="X20" s="363"/>
      <c r="Y20" s="363"/>
      <c r="Z20" s="363"/>
      <c r="AA20"/>
      <c r="AB20"/>
      <c r="AC20"/>
      <c r="AD20"/>
      <c r="AE20"/>
      <c r="AF20"/>
      <c r="AG20"/>
      <c r="AH20"/>
      <c r="AI20"/>
    </row>
    <row r="21" spans="1:35" ht="12.75" customHeight="1">
      <c r="A21" s="306"/>
      <c r="B21" s="121"/>
      <c r="C21" s="121"/>
      <c r="D21" s="121"/>
      <c r="E21" s="121"/>
      <c r="F21" s="121"/>
      <c r="G21" s="121"/>
      <c r="H21" s="121"/>
      <c r="I21" s="121"/>
      <c r="J21" s="121"/>
      <c r="K21" s="121"/>
      <c r="L21" s="121"/>
      <c r="M21" s="121"/>
      <c r="N21" s="121"/>
      <c r="O21" s="121"/>
      <c r="P21" s="121"/>
      <c r="Q21" s="360"/>
      <c r="R21" s="969" t="s">
        <v>199</v>
      </c>
      <c r="S21" s="969"/>
      <c r="T21" s="969"/>
      <c r="U21" s="969"/>
      <c r="V21" s="447">
        <f>'Prod Parameters'!$F$19</f>
        <v>4</v>
      </c>
      <c r="W21" s="363"/>
      <c r="X21" s="363"/>
      <c r="Y21" s="363"/>
      <c r="Z21" s="363"/>
      <c r="AA21"/>
      <c r="AB21"/>
      <c r="AC21"/>
      <c r="AD21"/>
      <c r="AE21"/>
      <c r="AF21"/>
      <c r="AG21"/>
      <c r="AH21"/>
      <c r="AI21"/>
    </row>
    <row r="22" spans="1:35" ht="12.75" customHeight="1">
      <c r="A22" s="306"/>
      <c r="B22" s="121"/>
      <c r="C22" s="121"/>
      <c r="D22" s="121"/>
      <c r="E22" s="121"/>
      <c r="F22" s="121"/>
      <c r="G22" s="121"/>
      <c r="H22" s="121"/>
      <c r="I22" s="121"/>
      <c r="J22" s="121"/>
      <c r="K22" s="121"/>
      <c r="L22" s="121"/>
      <c r="M22" s="121"/>
      <c r="N22" s="121"/>
      <c r="O22" s="121"/>
      <c r="P22" s="121"/>
      <c r="Q22" s="360"/>
      <c r="R22" s="969" t="s">
        <v>20</v>
      </c>
      <c r="S22" s="969"/>
      <c r="T22" s="969"/>
      <c r="U22" s="969"/>
      <c r="V22" s="447">
        <f>'Prod Parameters'!$F$20</f>
        <v>40</v>
      </c>
      <c r="W22" s="363"/>
      <c r="X22" s="363"/>
      <c r="Y22" s="363"/>
      <c r="Z22" s="363"/>
      <c r="AA22"/>
      <c r="AB22"/>
      <c r="AC22"/>
      <c r="AD22"/>
      <c r="AE22"/>
      <c r="AF22"/>
      <c r="AG22"/>
      <c r="AH22"/>
      <c r="AI22"/>
    </row>
    <row r="23" spans="1:35" ht="12.75" customHeight="1">
      <c r="A23" s="306"/>
      <c r="B23" s="121"/>
      <c r="C23" s="121"/>
      <c r="D23" s="121"/>
      <c r="E23" s="121"/>
      <c r="F23" s="121"/>
      <c r="G23" s="121"/>
      <c r="H23" s="121"/>
      <c r="I23" s="121"/>
      <c r="J23" s="121"/>
      <c r="K23" s="121"/>
      <c r="L23" s="121"/>
      <c r="M23" s="121"/>
      <c r="N23" s="121"/>
      <c r="O23" s="121"/>
      <c r="P23" s="121"/>
      <c r="Q23" s="360"/>
      <c r="R23" s="969" t="s">
        <v>310</v>
      </c>
      <c r="S23" s="969"/>
      <c r="T23" s="969"/>
      <c r="U23" s="969"/>
      <c r="V23" s="447">
        <f>'Prod Parameters'!$F$21</f>
        <v>160</v>
      </c>
      <c r="W23" s="363"/>
      <c r="X23" s="363"/>
      <c r="Y23" s="363"/>
      <c r="Z23" s="363"/>
      <c r="AA23"/>
      <c r="AB23"/>
      <c r="AC23"/>
      <c r="AD23"/>
      <c r="AE23"/>
      <c r="AF23"/>
      <c r="AG23"/>
      <c r="AH23"/>
      <c r="AI23"/>
    </row>
    <row r="24" spans="1:35" ht="12.75" customHeight="1">
      <c r="A24" s="306"/>
      <c r="B24" s="121"/>
      <c r="C24" s="121"/>
      <c r="D24" s="121"/>
      <c r="E24" s="121"/>
      <c r="F24" s="121"/>
      <c r="G24" s="121"/>
      <c r="H24" s="121"/>
      <c r="I24" s="121"/>
      <c r="J24" s="121"/>
      <c r="K24" s="121"/>
      <c r="L24" s="121"/>
      <c r="M24" s="121"/>
      <c r="N24" s="121"/>
      <c r="O24" s="121"/>
      <c r="P24" s="121"/>
      <c r="Q24" s="360"/>
      <c r="R24" s="969" t="s">
        <v>315</v>
      </c>
      <c r="S24" s="969"/>
      <c r="T24" s="969"/>
      <c r="U24" s="969"/>
      <c r="V24" s="549">
        <f>'Prod Parameters'!$F$22</f>
        <v>6400</v>
      </c>
      <c r="W24" s="363"/>
      <c r="X24" s="363"/>
      <c r="Y24" s="363"/>
      <c r="Z24" s="363"/>
      <c r="AA24"/>
      <c r="AB24"/>
      <c r="AC24"/>
      <c r="AD24"/>
      <c r="AE24"/>
      <c r="AF24"/>
      <c r="AG24"/>
      <c r="AH24"/>
      <c r="AI24"/>
    </row>
    <row r="25" spans="1:35" ht="12.75" customHeight="1">
      <c r="A25" s="306"/>
      <c r="B25" s="121"/>
      <c r="C25" s="121"/>
      <c r="D25" s="121"/>
      <c r="E25" s="121"/>
      <c r="F25" s="121"/>
      <c r="G25" s="121"/>
      <c r="H25" s="121"/>
      <c r="I25" s="121"/>
      <c r="J25" s="121"/>
      <c r="K25" s="121"/>
      <c r="L25" s="121"/>
      <c r="M25" s="121"/>
      <c r="N25" s="121"/>
      <c r="O25" s="121"/>
      <c r="P25" s="121"/>
      <c r="Q25" s="360"/>
      <c r="R25" s="969" t="s">
        <v>187</v>
      </c>
      <c r="S25" s="969"/>
      <c r="T25" s="969"/>
      <c r="U25" s="969"/>
      <c r="V25" s="549">
        <f>'Prod Parameters'!$F$23</f>
        <v>7680</v>
      </c>
      <c r="W25" s="363"/>
      <c r="X25" s="363"/>
      <c r="Y25" s="363"/>
      <c r="Z25" s="363"/>
      <c r="AA25"/>
      <c r="AB25"/>
      <c r="AC25"/>
      <c r="AD25"/>
      <c r="AE25"/>
      <c r="AF25"/>
      <c r="AG25"/>
      <c r="AH25"/>
      <c r="AI25"/>
    </row>
    <row r="26" spans="1:35" ht="12.75" customHeight="1">
      <c r="A26" s="306"/>
      <c r="B26" s="121"/>
      <c r="C26" s="121"/>
      <c r="D26" s="121"/>
      <c r="E26" s="121"/>
      <c r="F26" s="121"/>
      <c r="G26" s="121"/>
      <c r="H26" s="121"/>
      <c r="I26" s="121"/>
      <c r="J26" s="121"/>
      <c r="K26" s="121"/>
      <c r="L26" s="121"/>
      <c r="M26" s="121"/>
      <c r="N26" s="121"/>
      <c r="O26" s="121"/>
      <c r="P26" s="121"/>
      <c r="Q26" s="360"/>
      <c r="R26" s="969" t="s">
        <v>200</v>
      </c>
      <c r="S26" s="969"/>
      <c r="T26" s="969"/>
      <c r="U26" s="969"/>
      <c r="V26" s="549">
        <f>'Prod Parameters'!$F$24</f>
        <v>176640</v>
      </c>
      <c r="W26" s="363"/>
      <c r="X26" s="363"/>
      <c r="Y26" s="363"/>
      <c r="Z26" s="363"/>
      <c r="AA26"/>
      <c r="AB26"/>
      <c r="AC26"/>
      <c r="AD26"/>
      <c r="AE26"/>
      <c r="AF26"/>
      <c r="AG26"/>
      <c r="AH26"/>
      <c r="AI26"/>
    </row>
    <row r="27" spans="1:35" ht="12.75" customHeight="1">
      <c r="A27" s="306"/>
      <c r="B27" s="121"/>
      <c r="C27" s="121"/>
      <c r="D27" s="121"/>
      <c r="E27" s="121"/>
      <c r="F27" s="121"/>
      <c r="G27" s="121"/>
      <c r="H27" s="121"/>
      <c r="I27" s="121"/>
      <c r="J27" s="121"/>
      <c r="K27" s="121"/>
      <c r="L27" s="121"/>
      <c r="M27" s="121"/>
      <c r="N27" s="121"/>
      <c r="O27" s="121"/>
      <c r="P27" s="121"/>
      <c r="Q27" s="360"/>
      <c r="R27" s="363"/>
      <c r="S27" s="363"/>
      <c r="T27" s="363"/>
      <c r="U27" s="363"/>
      <c r="V27" s="363"/>
      <c r="W27" s="363"/>
      <c r="X27" s="363"/>
      <c r="Y27" s="363"/>
      <c r="Z27" s="363"/>
      <c r="AA27"/>
      <c r="AB27"/>
      <c r="AC27"/>
      <c r="AD27"/>
      <c r="AE27"/>
      <c r="AF27"/>
      <c r="AG27"/>
      <c r="AH27"/>
      <c r="AI27"/>
    </row>
    <row r="28" spans="1:35" ht="12.75" customHeight="1">
      <c r="A28" s="121"/>
      <c r="B28" s="121"/>
      <c r="C28" s="121"/>
      <c r="D28" s="121"/>
      <c r="E28" s="121"/>
      <c r="F28" s="121"/>
      <c r="G28" s="121"/>
      <c r="H28" s="121"/>
      <c r="I28" s="121"/>
      <c r="J28" s="121"/>
      <c r="K28" s="121"/>
      <c r="L28" s="121"/>
      <c r="M28" s="121"/>
      <c r="N28" s="121"/>
      <c r="O28" s="121"/>
      <c r="P28" s="121"/>
      <c r="Q28" s="385" t="s">
        <v>33</v>
      </c>
      <c r="R28" s="1008" t="s">
        <v>821</v>
      </c>
      <c r="S28" s="1008"/>
      <c r="T28" s="1008"/>
      <c r="U28" s="1008"/>
      <c r="V28" s="1008"/>
      <c r="W28" s="1008"/>
      <c r="X28" s="1008"/>
      <c r="Y28" s="1008"/>
      <c r="Z28" s="536"/>
      <c r="AA28"/>
      <c r="AB28"/>
      <c r="AC28"/>
      <c r="AD28"/>
      <c r="AE28"/>
      <c r="AF28"/>
      <c r="AG28"/>
      <c r="AH28"/>
      <c r="AI28"/>
    </row>
    <row r="29" spans="1:35" ht="12.75" customHeight="1">
      <c r="A29" s="114"/>
      <c r="B29" s="114"/>
      <c r="C29" s="114"/>
      <c r="D29" s="114"/>
      <c r="E29" s="114"/>
      <c r="F29" s="114"/>
      <c r="G29" s="114"/>
      <c r="H29" s="114"/>
      <c r="I29" s="114"/>
      <c r="J29" s="114"/>
      <c r="K29" s="114"/>
      <c r="L29" s="121"/>
      <c r="M29" s="121"/>
      <c r="N29" s="121"/>
      <c r="O29" s="121"/>
      <c r="P29" s="121"/>
      <c r="Q29" s="546"/>
      <c r="R29" s="363"/>
      <c r="S29" s="363"/>
      <c r="T29" s="363"/>
      <c r="U29" s="363"/>
      <c r="V29" s="363"/>
      <c r="W29" s="363"/>
      <c r="X29" s="363"/>
      <c r="Y29" s="363"/>
      <c r="Z29" s="363"/>
      <c r="AA29"/>
      <c r="AB29"/>
      <c r="AC29"/>
      <c r="AD29"/>
      <c r="AE29"/>
      <c r="AF29"/>
      <c r="AG29"/>
      <c r="AH29"/>
      <c r="AI29"/>
    </row>
    <row r="30" spans="1:35" ht="12.75" customHeight="1">
      <c r="A30" s="121"/>
      <c r="B30" s="121"/>
      <c r="C30" s="121"/>
      <c r="D30" s="121"/>
      <c r="E30" s="121"/>
      <c r="F30" s="121"/>
      <c r="G30" s="121"/>
      <c r="H30" s="121"/>
      <c r="I30" s="121"/>
      <c r="J30" s="121"/>
      <c r="K30" s="121"/>
      <c r="L30" s="121"/>
      <c r="M30" s="121"/>
      <c r="N30" s="121"/>
      <c r="O30" s="121"/>
      <c r="P30" s="121"/>
      <c r="Q30" s="546">
        <v>2.1</v>
      </c>
      <c r="R30" s="363" t="s">
        <v>831</v>
      </c>
      <c r="S30" s="363"/>
      <c r="T30" s="363"/>
      <c r="U30" s="550"/>
      <c r="V30" s="550"/>
      <c r="W30" s="550"/>
      <c r="X30" s="550"/>
      <c r="Y30" s="551"/>
      <c r="Z30" s="551"/>
      <c r="AA30"/>
      <c r="AB30"/>
      <c r="AC30"/>
      <c r="AD30"/>
      <c r="AE30"/>
      <c r="AF30"/>
      <c r="AG30"/>
      <c r="AH30"/>
      <c r="AI30"/>
    </row>
    <row r="31" spans="1:35" ht="12.75" customHeight="1">
      <c r="A31" s="121"/>
      <c r="B31" s="121"/>
      <c r="C31" s="121"/>
      <c r="D31" s="121"/>
      <c r="E31" s="121"/>
      <c r="F31" s="121"/>
      <c r="G31" s="121"/>
      <c r="H31" s="121"/>
      <c r="I31" s="121"/>
      <c r="J31" s="121"/>
      <c r="K31" s="121"/>
      <c r="L31" s="121"/>
      <c r="M31" s="121"/>
      <c r="N31" s="121"/>
      <c r="O31" s="121"/>
      <c r="P31" s="121"/>
      <c r="Q31" s="546"/>
      <c r="R31" s="998" t="s">
        <v>77</v>
      </c>
      <c r="S31" s="999"/>
      <c r="T31" s="1000"/>
      <c r="U31" s="1019" t="s">
        <v>824</v>
      </c>
      <c r="V31" s="1019" t="s">
        <v>828</v>
      </c>
      <c r="W31" s="1019" t="s">
        <v>826</v>
      </c>
      <c r="X31" s="1019" t="s">
        <v>23</v>
      </c>
      <c r="Y31" s="552"/>
      <c r="Z31" s="552"/>
      <c r="AA31"/>
      <c r="AB31"/>
      <c r="AC31"/>
      <c r="AD31"/>
      <c r="AE31"/>
      <c r="AF31"/>
      <c r="AG31"/>
      <c r="AH31"/>
      <c r="AI31"/>
    </row>
    <row r="32" spans="1:35" ht="12.75" customHeight="1">
      <c r="A32" s="121"/>
      <c r="B32" s="121"/>
      <c r="C32" s="121"/>
      <c r="D32" s="121"/>
      <c r="E32" s="121"/>
      <c r="F32" s="121"/>
      <c r="G32" s="121"/>
      <c r="H32" s="121"/>
      <c r="I32" s="121"/>
      <c r="J32" s="121"/>
      <c r="K32" s="121"/>
      <c r="L32" s="121"/>
      <c r="M32" s="121"/>
      <c r="N32" s="121"/>
      <c r="O32" s="121"/>
      <c r="P32" s="121"/>
      <c r="Q32" s="546"/>
      <c r="R32" s="1001"/>
      <c r="S32" s="1002"/>
      <c r="T32" s="1003"/>
      <c r="U32" s="1019"/>
      <c r="V32" s="1019"/>
      <c r="W32" s="1019"/>
      <c r="X32" s="1019"/>
      <c r="Y32" s="364"/>
      <c r="Z32" s="364"/>
      <c r="AA32"/>
      <c r="AB32"/>
      <c r="AC32"/>
      <c r="AD32"/>
      <c r="AE32"/>
      <c r="AF32"/>
      <c r="AG32"/>
      <c r="AH32"/>
      <c r="AI32"/>
    </row>
    <row r="33" spans="1:35" ht="12.75" customHeight="1">
      <c r="A33" s="121"/>
      <c r="B33" s="121"/>
      <c r="C33" s="121"/>
      <c r="D33" s="121"/>
      <c r="E33" s="121"/>
      <c r="F33" s="121"/>
      <c r="G33" s="121"/>
      <c r="H33" s="121"/>
      <c r="I33" s="121"/>
      <c r="J33" s="121"/>
      <c r="K33" s="121"/>
      <c r="L33" s="121"/>
      <c r="M33" s="121"/>
      <c r="N33" s="121"/>
      <c r="O33" s="121"/>
      <c r="P33" s="121"/>
      <c r="Q33" s="546"/>
      <c r="R33" s="1020" t="s">
        <v>500</v>
      </c>
      <c r="S33" s="1020"/>
      <c r="T33" s="1020"/>
      <c r="U33" s="369">
        <v>23.9</v>
      </c>
      <c r="V33" s="369">
        <f>'Lookup Properties'!$C$7</f>
        <v>15.4</v>
      </c>
      <c r="W33" s="369">
        <f>'Lookup Properties'!$D$7</f>
        <v>4.8</v>
      </c>
      <c r="X33" s="553">
        <f>SUM(U33:W33)</f>
        <v>44.099999999999994</v>
      </c>
      <c r="Y33" s="364"/>
      <c r="Z33" s="364"/>
      <c r="AA33"/>
      <c r="AB33"/>
      <c r="AC33"/>
      <c r="AD33"/>
      <c r="AE33"/>
      <c r="AF33"/>
      <c r="AG33"/>
      <c r="AH33"/>
      <c r="AI33"/>
    </row>
    <row r="34" spans="1:35" ht="12.75" customHeight="1">
      <c r="A34" s="121"/>
      <c r="B34" s="121"/>
      <c r="C34" s="121"/>
      <c r="D34" s="121"/>
      <c r="E34" s="121"/>
      <c r="F34" s="121"/>
      <c r="G34" s="121"/>
      <c r="H34" s="121"/>
      <c r="I34" s="121"/>
      <c r="J34" s="121"/>
      <c r="K34" s="121"/>
      <c r="L34" s="121"/>
      <c r="M34" s="121"/>
      <c r="N34" s="121"/>
      <c r="O34" s="121"/>
      <c r="P34" s="121"/>
      <c r="Q34" s="546"/>
      <c r="R34" s="1017" t="s">
        <v>22</v>
      </c>
      <c r="S34" s="1017"/>
      <c r="T34" s="1017"/>
      <c r="U34" s="369">
        <f>'Lookup Properties'!$B$5</f>
        <v>22.35</v>
      </c>
      <c r="V34" s="369">
        <f>'Lookup Properties'!$C$5</f>
        <v>17.399999999999999</v>
      </c>
      <c r="W34" s="369">
        <f>'Lookup Properties'!$D$5</f>
        <v>5</v>
      </c>
      <c r="X34" s="553">
        <f>SUM(U34:W34)</f>
        <v>44.75</v>
      </c>
      <c r="Y34" s="364"/>
      <c r="Z34" s="364"/>
      <c r="AA34"/>
      <c r="AB34"/>
      <c r="AC34"/>
      <c r="AD34"/>
      <c r="AE34"/>
      <c r="AF34"/>
      <c r="AG34"/>
      <c r="AH34"/>
      <c r="AI34"/>
    </row>
    <row r="35" spans="1:35" ht="12.75" customHeight="1">
      <c r="A35" s="121"/>
      <c r="B35" s="121"/>
      <c r="C35" s="121"/>
      <c r="D35" s="121"/>
      <c r="E35" s="121"/>
      <c r="F35" s="121"/>
      <c r="G35" s="121"/>
      <c r="H35" s="121"/>
      <c r="I35" s="121"/>
      <c r="J35" s="121"/>
      <c r="K35" s="121"/>
      <c r="L35" s="121"/>
      <c r="M35" s="121"/>
      <c r="N35" s="121"/>
      <c r="O35" s="121"/>
      <c r="P35" s="121"/>
      <c r="Q35" s="546"/>
      <c r="R35" s="1018" t="s">
        <v>579</v>
      </c>
      <c r="S35" s="1018"/>
      <c r="T35" s="1018"/>
      <c r="U35" s="369">
        <f>'Lookup Properties'!$B$6</f>
        <v>22.15</v>
      </c>
      <c r="V35" s="369">
        <f>'Lookup Properties'!$C$6</f>
        <v>18.149999999999999</v>
      </c>
      <c r="W35" s="369">
        <f>'Lookup Properties'!$D$6</f>
        <v>5</v>
      </c>
      <c r="X35" s="553">
        <f>SUM(U35:W35)</f>
        <v>45.3</v>
      </c>
      <c r="Y35" s="364"/>
      <c r="Z35" s="364"/>
      <c r="AA35"/>
      <c r="AB35"/>
      <c r="AC35"/>
      <c r="AD35"/>
      <c r="AE35"/>
      <c r="AF35"/>
      <c r="AG35"/>
      <c r="AH35"/>
      <c r="AI35"/>
    </row>
    <row r="36" spans="1:35" ht="12.75" customHeight="1">
      <c r="A36" s="121"/>
      <c r="B36" s="121"/>
      <c r="C36" s="121"/>
      <c r="D36" s="121"/>
      <c r="E36" s="121"/>
      <c r="F36" s="121"/>
      <c r="G36" s="121"/>
      <c r="H36" s="121"/>
      <c r="I36" s="121"/>
      <c r="J36" s="121"/>
      <c r="K36" s="121"/>
      <c r="L36" s="121"/>
      <c r="M36" s="121"/>
      <c r="N36" s="121"/>
      <c r="O36" s="121"/>
      <c r="P36" s="121"/>
      <c r="Q36" s="546"/>
      <c r="R36" s="1016" t="s">
        <v>21</v>
      </c>
      <c r="S36" s="1016"/>
      <c r="T36" s="1016"/>
      <c r="U36" s="369">
        <f>'Lookup Properties'!$B$4</f>
        <v>21.25</v>
      </c>
      <c r="V36" s="369">
        <f>'Lookup Properties'!$C$4</f>
        <v>17.399999999999999</v>
      </c>
      <c r="W36" s="369">
        <f>'Lookup Properties'!$D$4</f>
        <v>5</v>
      </c>
      <c r="X36" s="553">
        <f>SUM(U36:W36)</f>
        <v>43.65</v>
      </c>
      <c r="Y36" s="364"/>
      <c r="Z36" s="364"/>
      <c r="AA36"/>
      <c r="AB36"/>
      <c r="AC36"/>
      <c r="AD36"/>
      <c r="AE36"/>
      <c r="AF36"/>
      <c r="AG36"/>
      <c r="AH36"/>
      <c r="AI36"/>
    </row>
    <row r="37" spans="1:35" ht="12.75" customHeight="1">
      <c r="A37" s="121"/>
      <c r="B37" s="121"/>
      <c r="C37" s="121"/>
      <c r="D37" s="121"/>
      <c r="E37" s="121"/>
      <c r="F37" s="121"/>
      <c r="G37" s="121"/>
      <c r="H37" s="121"/>
      <c r="I37" s="121"/>
      <c r="J37" s="121"/>
      <c r="K37" s="121"/>
      <c r="L37" s="121"/>
      <c r="M37" s="121"/>
      <c r="N37" s="121"/>
      <c r="O37" s="121"/>
      <c r="P37" s="121"/>
      <c r="Q37" s="364"/>
      <c r="R37" s="364"/>
      <c r="S37" s="364"/>
      <c r="T37" s="364"/>
      <c r="U37" s="555"/>
      <c r="V37" s="555"/>
      <c r="W37" s="555"/>
      <c r="X37" s="555"/>
      <c r="Y37" s="555"/>
      <c r="Z37" s="364"/>
      <c r="AA37"/>
      <c r="AB37"/>
      <c r="AC37"/>
      <c r="AD37"/>
      <c r="AE37"/>
      <c r="AF37"/>
      <c r="AG37"/>
      <c r="AH37"/>
      <c r="AI37"/>
    </row>
    <row r="38" spans="1:35" ht="12.75" customHeight="1">
      <c r="A38" s="121"/>
      <c r="B38" s="121"/>
      <c r="C38" s="121"/>
      <c r="D38" s="121"/>
      <c r="E38" s="121"/>
      <c r="F38" s="121"/>
      <c r="G38" s="121"/>
      <c r="H38" s="121"/>
      <c r="I38" s="121"/>
      <c r="J38" s="121"/>
      <c r="K38" s="121"/>
      <c r="L38" s="121"/>
      <c r="M38" s="121"/>
      <c r="N38" s="121"/>
      <c r="O38" s="121"/>
      <c r="P38" s="121"/>
      <c r="Q38" s="360">
        <v>2.2000000000000002</v>
      </c>
      <c r="R38" s="363" t="s">
        <v>832</v>
      </c>
      <c r="S38" s="363"/>
      <c r="T38" s="363"/>
      <c r="U38" s="363"/>
      <c r="V38" s="363"/>
      <c r="W38" s="363"/>
      <c r="X38" s="363"/>
      <c r="Y38" s="363"/>
      <c r="Z38" s="364"/>
      <c r="AA38"/>
      <c r="AB38"/>
      <c r="AC38"/>
      <c r="AD38"/>
      <c r="AE38"/>
      <c r="AF38"/>
      <c r="AG38"/>
      <c r="AH38"/>
      <c r="AI38"/>
    </row>
    <row r="39" spans="1:35" ht="12.75" customHeight="1">
      <c r="A39" s="121"/>
      <c r="B39" s="121"/>
      <c r="C39" s="121"/>
      <c r="D39" s="121"/>
      <c r="E39" s="121"/>
      <c r="F39" s="121"/>
      <c r="G39" s="121"/>
      <c r="H39" s="121"/>
      <c r="I39" s="121"/>
      <c r="J39" s="121"/>
      <c r="K39" s="121"/>
      <c r="L39" s="121"/>
      <c r="M39" s="121"/>
      <c r="N39" s="121"/>
      <c r="O39" s="121"/>
      <c r="P39" s="121"/>
      <c r="Q39" s="360"/>
      <c r="R39" s="998" t="s">
        <v>77</v>
      </c>
      <c r="S39" s="999"/>
      <c r="T39" s="1000"/>
      <c r="U39" s="1019" t="s">
        <v>824</v>
      </c>
      <c r="V39" s="1019" t="s">
        <v>828</v>
      </c>
      <c r="W39" s="1019" t="s">
        <v>826</v>
      </c>
      <c r="X39" s="1019" t="s">
        <v>23</v>
      </c>
      <c r="Y39" s="364"/>
      <c r="Z39" s="364"/>
      <c r="AA39"/>
      <c r="AB39"/>
      <c r="AC39"/>
      <c r="AD39"/>
      <c r="AE39"/>
      <c r="AF39"/>
      <c r="AG39"/>
      <c r="AH39"/>
      <c r="AI39"/>
    </row>
    <row r="40" spans="1:35" ht="12.75" customHeight="1">
      <c r="A40" s="121"/>
      <c r="B40" s="121"/>
      <c r="C40" s="121"/>
      <c r="D40" s="121"/>
      <c r="E40" s="121"/>
      <c r="F40" s="121"/>
      <c r="G40" s="121"/>
      <c r="H40" s="121"/>
      <c r="I40" s="121"/>
      <c r="J40" s="121"/>
      <c r="K40" s="121"/>
      <c r="L40" s="121"/>
      <c r="M40" s="121"/>
      <c r="N40" s="121"/>
      <c r="O40" s="121"/>
      <c r="P40" s="121"/>
      <c r="Q40" s="360"/>
      <c r="R40" s="1001"/>
      <c r="S40" s="1002"/>
      <c r="T40" s="1003"/>
      <c r="U40" s="1019"/>
      <c r="V40" s="1019"/>
      <c r="W40" s="1019"/>
      <c r="X40" s="1019"/>
      <c r="Y40" s="364"/>
      <c r="Z40" s="364"/>
      <c r="AA40"/>
      <c r="AB40"/>
      <c r="AC40"/>
      <c r="AD40"/>
      <c r="AE40"/>
      <c r="AF40"/>
      <c r="AG40"/>
      <c r="AH40"/>
      <c r="AI40"/>
    </row>
    <row r="41" spans="1:35" ht="12.75" customHeight="1">
      <c r="A41" s="121"/>
      <c r="B41" s="121"/>
      <c r="C41" s="121"/>
      <c r="D41" s="121"/>
      <c r="E41" s="121"/>
      <c r="F41" s="121"/>
      <c r="G41" s="121"/>
      <c r="H41" s="121"/>
      <c r="I41" s="121"/>
      <c r="J41" s="121"/>
      <c r="K41" s="121"/>
      <c r="L41" s="121"/>
      <c r="M41" s="121"/>
      <c r="N41" s="121"/>
      <c r="O41" s="121"/>
      <c r="P41" s="121"/>
      <c r="Q41" s="360"/>
      <c r="R41" s="1020" t="s">
        <v>500</v>
      </c>
      <c r="S41" s="1020"/>
      <c r="T41" s="1020"/>
      <c r="U41" s="556">
        <f>'Lookup Properties'!$B$13</f>
        <v>0.74</v>
      </c>
      <c r="V41" s="556">
        <f>'Lookup Properties'!$C$13</f>
        <v>0.78</v>
      </c>
      <c r="W41" s="556">
        <f>'Lookup Properties'!$D$13</f>
        <v>1.26</v>
      </c>
      <c r="X41" s="553">
        <f>SUM(U41:W41)</f>
        <v>2.7800000000000002</v>
      </c>
      <c r="Y41" s="364"/>
      <c r="Z41" s="364"/>
      <c r="AA41"/>
      <c r="AB41"/>
      <c r="AC41"/>
      <c r="AD41"/>
      <c r="AE41"/>
      <c r="AF41"/>
      <c r="AG41"/>
      <c r="AH41"/>
      <c r="AI41"/>
    </row>
    <row r="42" spans="1:35" ht="12.75" customHeight="1">
      <c r="A42" s="121"/>
      <c r="B42" s="121"/>
      <c r="C42" s="121"/>
      <c r="D42" s="121"/>
      <c r="E42" s="121"/>
      <c r="F42" s="121"/>
      <c r="G42" s="121"/>
      <c r="H42" s="121"/>
      <c r="I42" s="121"/>
      <c r="J42" s="121"/>
      <c r="K42" s="121"/>
      <c r="L42" s="121"/>
      <c r="M42" s="121"/>
      <c r="N42" s="121"/>
      <c r="O42" s="121"/>
      <c r="P42" s="121"/>
      <c r="Q42" s="360"/>
      <c r="R42" s="1017" t="s">
        <v>22</v>
      </c>
      <c r="S42" s="1017"/>
      <c r="T42" s="1017"/>
      <c r="U42" s="557">
        <f>'Lookup Properties'!$B$11</f>
        <v>0.71499999999999997</v>
      </c>
      <c r="V42" s="557">
        <f>'Lookup Properties'!$C$11</f>
        <v>1.03</v>
      </c>
      <c r="W42" s="557">
        <f>'Lookup Properties'!$D$11</f>
        <v>1.29</v>
      </c>
      <c r="X42" s="553">
        <f>SUM(U42:W42)</f>
        <v>3.0350000000000001</v>
      </c>
      <c r="Y42" s="364"/>
      <c r="Z42" s="364"/>
      <c r="AA42"/>
      <c r="AB42"/>
      <c r="AC42"/>
      <c r="AD42"/>
      <c r="AE42"/>
      <c r="AF42"/>
      <c r="AG42"/>
      <c r="AH42"/>
      <c r="AI42"/>
    </row>
    <row r="43" spans="1:35" ht="12.75" customHeight="1">
      <c r="A43" s="121"/>
      <c r="B43" s="121"/>
      <c r="C43" s="121"/>
      <c r="D43" s="121"/>
      <c r="E43" s="121"/>
      <c r="F43" s="121"/>
      <c r="G43" s="121"/>
      <c r="H43" s="121"/>
      <c r="I43" s="121"/>
      <c r="J43" s="121"/>
      <c r="K43" s="121"/>
      <c r="L43" s="121"/>
      <c r="M43" s="121"/>
      <c r="N43" s="121"/>
      <c r="O43" s="121"/>
      <c r="P43" s="121"/>
      <c r="Q43" s="360"/>
      <c r="R43" s="1018" t="s">
        <v>579</v>
      </c>
      <c r="S43" s="1018"/>
      <c r="T43" s="1018"/>
      <c r="U43" s="557">
        <f>'Lookup Properties'!$B$12</f>
        <v>0.755</v>
      </c>
      <c r="V43" s="557">
        <f>'Lookup Properties'!$C$12</f>
        <v>1.07</v>
      </c>
      <c r="W43" s="557">
        <f>'Lookup Properties'!$D$12</f>
        <v>1.2949999999999999</v>
      </c>
      <c r="X43" s="553">
        <f>SUM(U43:W43)</f>
        <v>3.12</v>
      </c>
      <c r="Y43" s="364"/>
      <c r="Z43" s="364"/>
      <c r="AA43"/>
      <c r="AB43"/>
      <c r="AC43"/>
      <c r="AD43"/>
      <c r="AE43"/>
      <c r="AF43"/>
      <c r="AG43"/>
      <c r="AH43"/>
      <c r="AI43"/>
    </row>
    <row r="44" spans="1:35" ht="12.75" customHeight="1">
      <c r="A44" s="121"/>
      <c r="B44" s="121"/>
      <c r="C44" s="121"/>
      <c r="D44" s="121"/>
      <c r="E44" s="121"/>
      <c r="F44" s="121"/>
      <c r="G44" s="121"/>
      <c r="H44" s="121"/>
      <c r="I44" s="121"/>
      <c r="J44" s="121"/>
      <c r="K44" s="121"/>
      <c r="L44" s="121"/>
      <c r="M44" s="121"/>
      <c r="N44" s="121"/>
      <c r="O44" s="121"/>
      <c r="P44" s="121"/>
      <c r="Q44" s="360"/>
      <c r="R44" s="1016" t="s">
        <v>21</v>
      </c>
      <c r="S44" s="1016"/>
      <c r="T44" s="1016"/>
      <c r="U44" s="557">
        <f>'Lookup Properties'!$B$10</f>
        <v>0.71</v>
      </c>
      <c r="V44" s="557">
        <f>'Lookup Properties'!$C$10</f>
        <v>1.03</v>
      </c>
      <c r="W44" s="557">
        <f>'Lookup Properties'!$D$10</f>
        <v>1.29</v>
      </c>
      <c r="X44" s="553">
        <f>SUM(U44:W44)</f>
        <v>3.0300000000000002</v>
      </c>
      <c r="Y44" s="364"/>
      <c r="Z44" s="364"/>
      <c r="AA44"/>
      <c r="AB44"/>
      <c r="AC44"/>
      <c r="AD44"/>
      <c r="AE44"/>
      <c r="AF44"/>
      <c r="AG44"/>
      <c r="AH44"/>
      <c r="AI44"/>
    </row>
    <row r="45" spans="1:35" ht="12.75" customHeight="1">
      <c r="A45" s="121"/>
      <c r="B45" s="121"/>
      <c r="C45" s="121"/>
      <c r="D45" s="121"/>
      <c r="E45" s="121"/>
      <c r="F45" s="121"/>
      <c r="G45" s="121"/>
      <c r="H45" s="121"/>
      <c r="I45" s="121"/>
      <c r="J45" s="121"/>
      <c r="K45" s="121"/>
      <c r="L45" s="121"/>
      <c r="M45" s="121"/>
      <c r="N45" s="121"/>
      <c r="O45" s="121"/>
      <c r="P45" s="121"/>
      <c r="Q45" s="364"/>
      <c r="R45" s="364"/>
      <c r="S45" s="364"/>
      <c r="T45" s="364"/>
      <c r="U45" s="555"/>
      <c r="V45" s="555"/>
      <c r="W45" s="555"/>
      <c r="X45" s="555"/>
      <c r="Y45" s="555"/>
      <c r="Z45" s="364"/>
      <c r="AA45"/>
      <c r="AB45"/>
      <c r="AC45"/>
      <c r="AD45"/>
      <c r="AE45"/>
      <c r="AF45"/>
      <c r="AG45"/>
      <c r="AH45"/>
      <c r="AI45"/>
    </row>
    <row r="46" spans="1:35" ht="12.75" customHeight="1">
      <c r="A46" s="121"/>
      <c r="B46" s="121"/>
      <c r="C46" s="121"/>
      <c r="D46" s="121"/>
      <c r="E46" s="121"/>
      <c r="F46" s="121"/>
      <c r="G46" s="121"/>
      <c r="H46" s="121"/>
      <c r="I46" s="121"/>
      <c r="J46" s="121"/>
      <c r="K46" s="121"/>
      <c r="L46" s="121"/>
      <c r="M46" s="121"/>
      <c r="N46" s="121"/>
      <c r="O46" s="121"/>
      <c r="P46" s="121"/>
      <c r="Q46" s="387" t="s">
        <v>817</v>
      </c>
      <c r="R46" s="1015" t="s">
        <v>206</v>
      </c>
      <c r="S46" s="1015"/>
      <c r="T46" s="1015"/>
      <c r="U46" s="1015"/>
      <c r="V46" s="1015"/>
      <c r="W46" s="1015"/>
      <c r="X46" s="1015"/>
      <c r="Y46" s="1015"/>
      <c r="Z46" s="536"/>
      <c r="AA46"/>
      <c r="AB46"/>
      <c r="AC46"/>
      <c r="AD46"/>
      <c r="AE46"/>
      <c r="AF46"/>
      <c r="AG46"/>
      <c r="AH46"/>
      <c r="AI46"/>
    </row>
    <row r="47" spans="1:35" ht="12.75" customHeight="1">
      <c r="A47" s="121"/>
      <c r="B47" s="121"/>
      <c r="C47" s="121"/>
      <c r="D47" s="121"/>
      <c r="E47" s="121"/>
      <c r="F47" s="121"/>
      <c r="G47" s="121"/>
      <c r="H47" s="121"/>
      <c r="I47" s="121"/>
      <c r="J47" s="121"/>
      <c r="K47" s="121"/>
      <c r="L47" s="121"/>
      <c r="M47" s="121"/>
      <c r="N47" s="121"/>
      <c r="O47" s="121"/>
      <c r="P47" s="121"/>
      <c r="Q47" s="668"/>
      <c r="R47" s="364"/>
      <c r="S47" s="364"/>
      <c r="T47" s="364"/>
      <c r="U47" s="555"/>
      <c r="V47" s="555"/>
      <c r="W47" s="555"/>
      <c r="X47" s="555"/>
      <c r="Y47" s="555"/>
      <c r="Z47" s="364"/>
      <c r="AA47"/>
      <c r="AB47"/>
      <c r="AC47"/>
      <c r="AD47"/>
      <c r="AE47"/>
      <c r="AF47"/>
      <c r="AG47"/>
      <c r="AH47"/>
      <c r="AI47"/>
    </row>
    <row r="48" spans="1:35" ht="12.75" customHeight="1">
      <c r="A48" s="121"/>
      <c r="B48" s="121"/>
      <c r="C48" s="121"/>
      <c r="D48" s="121"/>
      <c r="E48" s="121"/>
      <c r="F48" s="121"/>
      <c r="G48" s="121"/>
      <c r="H48" s="121"/>
      <c r="I48" s="121"/>
      <c r="J48" s="121"/>
      <c r="K48" s="121"/>
      <c r="L48" s="121"/>
      <c r="M48" s="121"/>
      <c r="N48" s="121"/>
      <c r="O48" s="121"/>
      <c r="P48" s="121"/>
      <c r="Q48" s="668" t="s">
        <v>196</v>
      </c>
      <c r="R48" s="364" t="s">
        <v>207</v>
      </c>
      <c r="S48" s="364"/>
      <c r="T48" s="364"/>
      <c r="U48" s="555"/>
      <c r="V48" s="555"/>
      <c r="W48" s="555"/>
      <c r="X48" s="555"/>
      <c r="Y48" s="555"/>
      <c r="Z48" s="364"/>
      <c r="AA48"/>
      <c r="AB48"/>
      <c r="AC48"/>
      <c r="AD48"/>
      <c r="AE48"/>
      <c r="AF48"/>
      <c r="AG48"/>
      <c r="AH48"/>
      <c r="AI48"/>
    </row>
    <row r="49" spans="1:35" ht="12.75" customHeight="1">
      <c r="A49" s="121"/>
      <c r="B49" s="121"/>
      <c r="C49" s="121"/>
      <c r="D49" s="121"/>
      <c r="E49" s="121"/>
      <c r="F49" s="121"/>
      <c r="G49" s="121"/>
      <c r="H49" s="121"/>
      <c r="I49" s="121"/>
      <c r="J49" s="121"/>
      <c r="K49" s="121"/>
      <c r="L49" s="121"/>
      <c r="M49" s="121"/>
      <c r="N49" s="121"/>
      <c r="O49" s="121"/>
      <c r="P49" s="121"/>
      <c r="Q49" s="364"/>
      <c r="R49" s="962" t="s">
        <v>678</v>
      </c>
      <c r="S49" s="963"/>
      <c r="T49" s="964"/>
      <c r="U49" s="949" t="s">
        <v>500</v>
      </c>
      <c r="V49" s="938" t="s">
        <v>22</v>
      </c>
      <c r="W49" s="940" t="s">
        <v>579</v>
      </c>
      <c r="X49" s="942" t="s">
        <v>21</v>
      </c>
      <c r="Y49" s="361"/>
      <c r="Z49" s="364"/>
      <c r="AA49"/>
      <c r="AB49"/>
      <c r="AC49"/>
      <c r="AD49"/>
      <c r="AE49"/>
      <c r="AF49"/>
      <c r="AG49"/>
      <c r="AH49"/>
      <c r="AI49"/>
    </row>
    <row r="50" spans="1:35" ht="12.75" customHeight="1">
      <c r="A50" s="121"/>
      <c r="B50" s="121"/>
      <c r="C50" s="121"/>
      <c r="D50" s="121"/>
      <c r="E50" s="121"/>
      <c r="F50" s="121"/>
      <c r="G50" s="121"/>
      <c r="H50" s="121"/>
      <c r="I50" s="121"/>
      <c r="J50" s="121"/>
      <c r="K50" s="121"/>
      <c r="L50" s="121"/>
      <c r="M50" s="121"/>
      <c r="N50" s="121"/>
      <c r="O50" s="121"/>
      <c r="P50" s="121"/>
      <c r="Q50" s="364"/>
      <c r="R50" s="965"/>
      <c r="S50" s="966"/>
      <c r="T50" s="967"/>
      <c r="U50" s="950"/>
      <c r="V50" s="939"/>
      <c r="W50" s="941"/>
      <c r="X50" s="943"/>
      <c r="Y50" s="361"/>
      <c r="Z50" s="364"/>
      <c r="AA50"/>
      <c r="AB50"/>
      <c r="AC50"/>
      <c r="AD50"/>
      <c r="AE50"/>
      <c r="AF50"/>
      <c r="AG50"/>
      <c r="AH50"/>
      <c r="AI50"/>
    </row>
    <row r="51" spans="1:35" ht="12.75" customHeight="1">
      <c r="A51" s="121"/>
      <c r="B51" s="121"/>
      <c r="C51" s="121"/>
      <c r="D51" s="121"/>
      <c r="E51" s="121"/>
      <c r="F51" s="121"/>
      <c r="G51" s="121"/>
      <c r="H51" s="121"/>
      <c r="I51" s="121"/>
      <c r="J51" s="121"/>
      <c r="K51" s="121"/>
      <c r="L51" s="121"/>
      <c r="M51" s="121"/>
      <c r="N51" s="121"/>
      <c r="O51" s="121"/>
      <c r="P51" s="121"/>
      <c r="Q51" s="364"/>
      <c r="R51" s="969" t="s">
        <v>210</v>
      </c>
      <c r="S51" s="969"/>
      <c r="T51" s="969"/>
      <c r="U51" s="560">
        <v>0.3</v>
      </c>
      <c r="V51" s="537">
        <f>VLOOKUP($V$5,'Lookup Penetration Rate'!$B$8:$E$208,3)</f>
        <v>0.4</v>
      </c>
      <c r="W51" s="537">
        <f>VLOOKUP($V$5,'Lookup Penetration Rate'!$B$8:$E$208,4)</f>
        <v>0.46</v>
      </c>
      <c r="X51" s="537">
        <f>VLOOKUP($V$5,'Lookup Penetration Rate'!$B$8:$E$208,2)</f>
        <v>0.56000000000000005</v>
      </c>
      <c r="Y51" s="361"/>
      <c r="Z51" s="364"/>
      <c r="AA51"/>
      <c r="AB51"/>
      <c r="AC51"/>
      <c r="AD51"/>
      <c r="AE51"/>
      <c r="AF51"/>
      <c r="AG51"/>
      <c r="AH51"/>
      <c r="AI51"/>
    </row>
    <row r="52" spans="1:35" ht="12.75" customHeight="1">
      <c r="A52" s="121"/>
      <c r="B52" s="121"/>
      <c r="C52" s="121"/>
      <c r="D52" s="121"/>
      <c r="E52" s="121"/>
      <c r="F52" s="121"/>
      <c r="G52" s="121"/>
      <c r="H52" s="121"/>
      <c r="I52" s="121"/>
      <c r="J52" s="121"/>
      <c r="K52" s="121"/>
      <c r="L52" s="121"/>
      <c r="M52" s="121"/>
      <c r="N52" s="121"/>
      <c r="O52" s="121"/>
      <c r="P52" s="121"/>
      <c r="Q52" s="364"/>
      <c r="R52" s="364"/>
      <c r="S52" s="364"/>
      <c r="T52" s="364"/>
      <c r="U52" s="555"/>
      <c r="V52" s="555"/>
      <c r="W52" s="555"/>
      <c r="X52" s="555"/>
      <c r="Y52" s="555"/>
      <c r="Z52" s="364"/>
      <c r="AA52"/>
      <c r="AB52"/>
      <c r="AC52"/>
      <c r="AD52"/>
      <c r="AE52"/>
      <c r="AF52"/>
      <c r="AG52"/>
      <c r="AH52"/>
      <c r="AI52"/>
    </row>
    <row r="53" spans="1:35" ht="12.75" customHeight="1">
      <c r="A53" s="121"/>
      <c r="B53" s="121"/>
      <c r="C53" s="121"/>
      <c r="D53" s="121"/>
      <c r="E53" s="121"/>
      <c r="F53" s="121"/>
      <c r="G53" s="121"/>
      <c r="H53" s="121"/>
      <c r="I53" s="121"/>
      <c r="J53" s="121"/>
      <c r="K53" s="121"/>
      <c r="L53" s="121"/>
      <c r="M53" s="121"/>
      <c r="N53" s="121"/>
      <c r="O53" s="121"/>
      <c r="P53" s="121"/>
      <c r="Q53" s="668" t="s">
        <v>197</v>
      </c>
      <c r="R53" s="364" t="s">
        <v>208</v>
      </c>
      <c r="S53" s="364"/>
      <c r="T53" s="364"/>
      <c r="U53" s="555"/>
      <c r="V53" s="555"/>
      <c r="W53" s="555"/>
      <c r="X53" s="555"/>
      <c r="Y53" s="555"/>
      <c r="Z53" s="364"/>
      <c r="AA53"/>
      <c r="AB53"/>
      <c r="AC53"/>
      <c r="AD53"/>
      <c r="AE53"/>
      <c r="AF53"/>
      <c r="AG53"/>
      <c r="AH53"/>
      <c r="AI53"/>
    </row>
    <row r="54" spans="1:35" ht="12.75" customHeight="1">
      <c r="A54" s="121"/>
      <c r="B54" s="121"/>
      <c r="C54" s="121"/>
      <c r="D54" s="121"/>
      <c r="E54" s="121"/>
      <c r="F54" s="121"/>
      <c r="G54" s="121"/>
      <c r="H54" s="121"/>
      <c r="I54" s="121"/>
      <c r="J54" s="121"/>
      <c r="K54" s="121"/>
      <c r="L54" s="121"/>
      <c r="M54" s="121"/>
      <c r="N54" s="121"/>
      <c r="O54" s="121"/>
      <c r="P54" s="121"/>
      <c r="Q54" s="668"/>
      <c r="R54" s="962" t="s">
        <v>678</v>
      </c>
      <c r="S54" s="963"/>
      <c r="T54" s="964"/>
      <c r="U54" s="949" t="s">
        <v>500</v>
      </c>
      <c r="V54" s="938" t="s">
        <v>22</v>
      </c>
      <c r="W54" s="940" t="s">
        <v>579</v>
      </c>
      <c r="X54" s="942" t="s">
        <v>21</v>
      </c>
      <c r="Y54" s="361"/>
      <c r="Z54" s="364"/>
      <c r="AA54"/>
      <c r="AB54"/>
      <c r="AC54"/>
      <c r="AD54"/>
      <c r="AE54"/>
      <c r="AF54"/>
      <c r="AG54"/>
      <c r="AH54"/>
      <c r="AI54"/>
    </row>
    <row r="55" spans="1:35" ht="12.75" customHeight="1">
      <c r="A55" s="121"/>
      <c r="B55" s="121"/>
      <c r="C55" s="121"/>
      <c r="D55" s="121"/>
      <c r="E55" s="121"/>
      <c r="F55" s="121"/>
      <c r="G55" s="121"/>
      <c r="H55" s="121"/>
      <c r="I55" s="121"/>
      <c r="J55" s="121"/>
      <c r="K55" s="121"/>
      <c r="L55" s="121"/>
      <c r="M55" s="121"/>
      <c r="N55" s="121"/>
      <c r="O55" s="121"/>
      <c r="P55" s="121"/>
      <c r="Q55" s="668"/>
      <c r="R55" s="965"/>
      <c r="S55" s="966"/>
      <c r="T55" s="967"/>
      <c r="U55" s="950"/>
      <c r="V55" s="939"/>
      <c r="W55" s="941"/>
      <c r="X55" s="943"/>
      <c r="Y55" s="361"/>
      <c r="Z55" s="364"/>
      <c r="AA55"/>
      <c r="AB55"/>
      <c r="AC55"/>
      <c r="AD55"/>
      <c r="AE55"/>
      <c r="AF55"/>
      <c r="AG55"/>
      <c r="AH55"/>
      <c r="AI55"/>
    </row>
    <row r="56" spans="1:35" ht="12.75" customHeight="1">
      <c r="A56" s="121"/>
      <c r="B56" s="121"/>
      <c r="C56" s="121"/>
      <c r="D56" s="121"/>
      <c r="E56" s="121"/>
      <c r="F56" s="121"/>
      <c r="G56" s="121"/>
      <c r="H56" s="121"/>
      <c r="I56" s="121"/>
      <c r="J56" s="121"/>
      <c r="K56" s="121"/>
      <c r="L56" s="121"/>
      <c r="M56" s="121"/>
      <c r="N56" s="121"/>
      <c r="O56" s="121"/>
      <c r="P56" s="121"/>
      <c r="Q56" s="668"/>
      <c r="R56" s="969" t="s">
        <v>209</v>
      </c>
      <c r="S56" s="969"/>
      <c r="T56" s="969"/>
      <c r="U56" s="560">
        <f>$V$20/U51</f>
        <v>4</v>
      </c>
      <c r="V56" s="669">
        <f>$V$20/V51</f>
        <v>2.9999999999999996</v>
      </c>
      <c r="W56" s="669">
        <f>$V$20/W51</f>
        <v>2.6086956521739126</v>
      </c>
      <c r="X56" s="669">
        <f>$V$20/X51</f>
        <v>2.1428571428571428</v>
      </c>
      <c r="Y56" s="361"/>
      <c r="Z56" s="364"/>
      <c r="AA56"/>
      <c r="AB56"/>
      <c r="AC56"/>
      <c r="AD56"/>
      <c r="AE56"/>
      <c r="AF56"/>
      <c r="AG56"/>
      <c r="AH56"/>
      <c r="AI56"/>
    </row>
    <row r="57" spans="1:35" ht="12.75" customHeight="1">
      <c r="A57" s="121"/>
      <c r="B57" s="121"/>
      <c r="C57" s="121"/>
      <c r="D57" s="121"/>
      <c r="E57" s="121"/>
      <c r="F57" s="121"/>
      <c r="G57" s="121"/>
      <c r="H57" s="121"/>
      <c r="I57" s="121"/>
      <c r="J57" s="121"/>
      <c r="K57" s="121"/>
      <c r="L57" s="121"/>
      <c r="M57" s="121"/>
      <c r="N57" s="121"/>
      <c r="O57" s="121"/>
      <c r="P57" s="121"/>
      <c r="Q57" s="364"/>
      <c r="R57" s="364"/>
      <c r="S57" s="364"/>
      <c r="T57" s="364"/>
      <c r="U57" s="555"/>
      <c r="V57" s="555"/>
      <c r="W57" s="555"/>
      <c r="X57" s="555"/>
      <c r="Y57" s="555"/>
      <c r="Z57" s="364"/>
      <c r="AA57"/>
      <c r="AB57"/>
      <c r="AC57"/>
      <c r="AD57"/>
      <c r="AE57"/>
      <c r="AF57"/>
      <c r="AG57"/>
      <c r="AH57"/>
      <c r="AI57"/>
    </row>
    <row r="58" spans="1:35" ht="12.75" customHeight="1">
      <c r="A58" s="121"/>
      <c r="B58" s="121"/>
      <c r="C58" s="121"/>
      <c r="D58" s="121"/>
      <c r="E58" s="121"/>
      <c r="F58" s="121"/>
      <c r="G58" s="121"/>
      <c r="H58" s="121"/>
      <c r="I58" s="121"/>
      <c r="J58" s="121"/>
      <c r="K58" s="121"/>
      <c r="L58" s="121"/>
      <c r="M58" s="121"/>
      <c r="N58" s="121"/>
      <c r="O58" s="121"/>
      <c r="P58" s="121"/>
      <c r="Q58" s="563">
        <v>3.3</v>
      </c>
      <c r="R58" s="363" t="s">
        <v>211</v>
      </c>
      <c r="S58" s="363"/>
      <c r="T58" s="363"/>
      <c r="U58" s="363"/>
      <c r="V58" s="363"/>
      <c r="W58" s="363"/>
      <c r="X58" s="363"/>
      <c r="Y58" s="363"/>
      <c r="Z58" s="364"/>
      <c r="AA58"/>
      <c r="AB58"/>
      <c r="AC58"/>
      <c r="AD58"/>
      <c r="AE58"/>
      <c r="AF58"/>
      <c r="AG58"/>
      <c r="AH58"/>
      <c r="AI58"/>
    </row>
    <row r="59" spans="1:35" ht="12.75" customHeight="1">
      <c r="A59" s="121"/>
      <c r="B59" s="121"/>
      <c r="C59" s="121"/>
      <c r="D59" s="121"/>
      <c r="E59" s="121"/>
      <c r="F59" s="121"/>
      <c r="G59" s="121"/>
      <c r="H59" s="121"/>
      <c r="I59" s="121"/>
      <c r="J59" s="121"/>
      <c r="K59" s="121"/>
      <c r="L59" s="121"/>
      <c r="M59" s="121"/>
      <c r="N59" s="121"/>
      <c r="O59" s="121"/>
      <c r="P59" s="121"/>
      <c r="Q59" s="563"/>
      <c r="R59" s="962" t="s">
        <v>678</v>
      </c>
      <c r="S59" s="963"/>
      <c r="T59" s="964"/>
      <c r="U59" s="949" t="s">
        <v>500</v>
      </c>
      <c r="V59" s="938" t="s">
        <v>22</v>
      </c>
      <c r="W59" s="940" t="s">
        <v>579</v>
      </c>
      <c r="X59" s="942" t="s">
        <v>21</v>
      </c>
      <c r="Y59" s="361"/>
      <c r="Z59" s="364"/>
      <c r="AA59"/>
      <c r="AB59"/>
      <c r="AC59"/>
      <c r="AD59"/>
      <c r="AE59"/>
      <c r="AF59"/>
      <c r="AG59"/>
      <c r="AH59"/>
      <c r="AI59"/>
    </row>
    <row r="60" spans="1:35" ht="12.75" customHeight="1">
      <c r="A60" s="121"/>
      <c r="B60" s="121"/>
      <c r="C60" s="121"/>
      <c r="D60" s="121"/>
      <c r="E60" s="121"/>
      <c r="F60" s="121"/>
      <c r="G60" s="121"/>
      <c r="H60" s="121"/>
      <c r="I60" s="121"/>
      <c r="J60" s="121"/>
      <c r="K60" s="121"/>
      <c r="L60" s="121"/>
      <c r="M60" s="121"/>
      <c r="N60" s="121"/>
      <c r="O60" s="121"/>
      <c r="P60" s="121"/>
      <c r="Q60" s="563"/>
      <c r="R60" s="965"/>
      <c r="S60" s="966"/>
      <c r="T60" s="967"/>
      <c r="U60" s="950"/>
      <c r="V60" s="939"/>
      <c r="W60" s="941"/>
      <c r="X60" s="943"/>
      <c r="Y60" s="361"/>
      <c r="Z60" s="364"/>
      <c r="AA60"/>
      <c r="AB60"/>
      <c r="AC60"/>
      <c r="AD60"/>
      <c r="AE60"/>
      <c r="AF60"/>
      <c r="AG60"/>
      <c r="AH60"/>
      <c r="AI60"/>
    </row>
    <row r="61" spans="1:35" ht="12.75" customHeight="1">
      <c r="A61" s="121"/>
      <c r="B61" s="121"/>
      <c r="C61" s="121"/>
      <c r="D61" s="121"/>
      <c r="E61" s="121"/>
      <c r="F61" s="121"/>
      <c r="G61" s="121"/>
      <c r="H61" s="121"/>
      <c r="I61" s="121"/>
      <c r="J61" s="121"/>
      <c r="K61" s="121"/>
      <c r="L61" s="121"/>
      <c r="M61" s="121"/>
      <c r="N61" s="121"/>
      <c r="O61" s="121"/>
      <c r="P61" s="121"/>
      <c r="Q61" s="563"/>
      <c r="R61" s="969" t="s">
        <v>209</v>
      </c>
      <c r="S61" s="969"/>
      <c r="T61" s="969"/>
      <c r="U61" s="562">
        <f>(U56*$V$24)/$V$23</f>
        <v>160</v>
      </c>
      <c r="V61" s="670">
        <f>(V56*$V$24)/$V$23</f>
        <v>119.99999999999997</v>
      </c>
      <c r="W61" s="670">
        <f>(W56*$V$24)/$V$23</f>
        <v>104.3478260869565</v>
      </c>
      <c r="X61" s="670">
        <f>(X56*$V$24)/$V$23</f>
        <v>85.714285714285708</v>
      </c>
      <c r="Y61" s="361"/>
      <c r="Z61" s="364"/>
      <c r="AA61"/>
      <c r="AB61"/>
      <c r="AC61"/>
      <c r="AD61"/>
      <c r="AE61"/>
      <c r="AF61"/>
      <c r="AG61"/>
      <c r="AH61"/>
      <c r="AI61"/>
    </row>
    <row r="62" spans="1:35" ht="12.75" customHeight="1">
      <c r="A62" s="121"/>
      <c r="B62" s="121"/>
      <c r="C62" s="121"/>
      <c r="D62" s="121"/>
      <c r="E62" s="121"/>
      <c r="F62" s="121"/>
      <c r="G62" s="121"/>
      <c r="H62" s="121"/>
      <c r="I62" s="121"/>
      <c r="J62" s="121"/>
      <c r="K62" s="121"/>
      <c r="L62" s="121"/>
      <c r="M62" s="121"/>
      <c r="N62" s="121"/>
      <c r="O62" s="121"/>
      <c r="P62" s="121"/>
      <c r="Q62" s="563"/>
      <c r="R62" s="931" t="s">
        <v>212</v>
      </c>
      <c r="S62" s="931"/>
      <c r="T62" s="931"/>
      <c r="U62" s="537">
        <f>U61/60</f>
        <v>2.6666666666666665</v>
      </c>
      <c r="V62" s="557">
        <f>V61/60</f>
        <v>1.9999999999999996</v>
      </c>
      <c r="W62" s="557">
        <f>W61/60</f>
        <v>1.7391304347826084</v>
      </c>
      <c r="X62" s="557">
        <f>X61/60</f>
        <v>1.4285714285714284</v>
      </c>
      <c r="Y62" s="361"/>
      <c r="Z62" s="364"/>
      <c r="AA62"/>
      <c r="AB62"/>
      <c r="AC62"/>
      <c r="AD62"/>
      <c r="AE62"/>
      <c r="AF62"/>
      <c r="AG62"/>
      <c r="AH62"/>
      <c r="AI62"/>
    </row>
    <row r="63" spans="1:35" ht="12.75" customHeight="1">
      <c r="A63" s="121"/>
      <c r="B63" s="121"/>
      <c r="C63" s="121"/>
      <c r="D63" s="121"/>
      <c r="E63" s="121"/>
      <c r="F63" s="121"/>
      <c r="G63" s="121"/>
      <c r="H63" s="121"/>
      <c r="I63" s="121"/>
      <c r="J63" s="121"/>
      <c r="K63" s="121"/>
      <c r="L63" s="121"/>
      <c r="M63" s="121"/>
      <c r="N63" s="121"/>
      <c r="O63" s="121"/>
      <c r="P63" s="121"/>
      <c r="Q63" s="563"/>
      <c r="R63" s="363"/>
      <c r="S63" s="363"/>
      <c r="T63" s="363"/>
      <c r="U63" s="363"/>
      <c r="V63" s="363"/>
      <c r="W63" s="363"/>
      <c r="X63" s="363"/>
      <c r="Y63" s="363"/>
      <c r="Z63" s="364"/>
      <c r="AA63"/>
      <c r="AB63"/>
      <c r="AC63"/>
      <c r="AD63"/>
      <c r="AE63"/>
      <c r="AF63"/>
      <c r="AG63"/>
      <c r="AH63"/>
      <c r="AI63"/>
    </row>
    <row r="64" spans="1:35" ht="12.75" customHeight="1">
      <c r="A64" s="121"/>
      <c r="B64" s="121"/>
      <c r="C64" s="121"/>
      <c r="D64" s="121"/>
      <c r="E64" s="121"/>
      <c r="F64" s="121"/>
      <c r="G64" s="121"/>
      <c r="H64" s="121"/>
      <c r="I64" s="121"/>
      <c r="J64" s="121"/>
      <c r="K64" s="121"/>
      <c r="L64" s="121"/>
      <c r="M64" s="121"/>
      <c r="N64" s="121"/>
      <c r="O64" s="121"/>
      <c r="P64" s="121"/>
      <c r="Q64" s="388" t="s">
        <v>295</v>
      </c>
      <c r="R64" s="1015" t="s">
        <v>216</v>
      </c>
      <c r="S64" s="1015"/>
      <c r="T64" s="1015"/>
      <c r="U64" s="1015"/>
      <c r="V64" s="1015"/>
      <c r="W64" s="1015"/>
      <c r="X64" s="1015"/>
      <c r="Y64" s="1015"/>
      <c r="Z64" s="536"/>
      <c r="AA64"/>
      <c r="AB64"/>
      <c r="AC64"/>
      <c r="AD64"/>
      <c r="AE64"/>
      <c r="AF64"/>
      <c r="AG64"/>
      <c r="AH64"/>
      <c r="AI64"/>
    </row>
    <row r="65" spans="1:36" ht="12.75" customHeight="1">
      <c r="A65" s="121"/>
      <c r="B65" s="121"/>
      <c r="C65" s="121"/>
      <c r="D65" s="121"/>
      <c r="E65" s="121"/>
      <c r="F65" s="121"/>
      <c r="G65" s="121"/>
      <c r="H65" s="121"/>
      <c r="I65" s="121"/>
      <c r="J65" s="121"/>
      <c r="K65" s="121"/>
      <c r="L65" s="121"/>
      <c r="M65" s="121"/>
      <c r="N65" s="121"/>
      <c r="O65" s="121"/>
      <c r="P65" s="121"/>
      <c r="Q65" s="563"/>
      <c r="R65" s="363"/>
      <c r="S65" s="363"/>
      <c r="T65" s="363"/>
      <c r="U65" s="363"/>
      <c r="V65" s="363"/>
      <c r="W65" s="363"/>
      <c r="X65" s="363"/>
      <c r="Y65" s="363"/>
      <c r="Z65" s="364"/>
      <c r="AA65"/>
      <c r="AB65"/>
      <c r="AC65"/>
      <c r="AD65"/>
      <c r="AE65"/>
      <c r="AF65"/>
      <c r="AG65"/>
      <c r="AH65"/>
      <c r="AI65"/>
    </row>
    <row r="66" spans="1:36" ht="12.75" customHeight="1">
      <c r="A66" s="121"/>
      <c r="B66" s="121"/>
      <c r="C66" s="121"/>
      <c r="D66" s="121"/>
      <c r="E66" s="121"/>
      <c r="F66" s="121"/>
      <c r="G66" s="121"/>
      <c r="H66" s="121"/>
      <c r="I66" s="121"/>
      <c r="J66" s="121"/>
      <c r="K66" s="121"/>
      <c r="L66" s="121"/>
      <c r="M66" s="121"/>
      <c r="N66" s="121"/>
      <c r="O66" s="121"/>
      <c r="P66" s="121"/>
      <c r="Q66" s="360" t="s">
        <v>502</v>
      </c>
      <c r="R66" s="364" t="s">
        <v>527</v>
      </c>
      <c r="S66" s="364"/>
      <c r="T66" s="364"/>
      <c r="U66" s="555"/>
      <c r="V66" s="555"/>
      <c r="W66" s="555"/>
      <c r="X66" s="555"/>
      <c r="Y66" s="555"/>
      <c r="Z66" s="364"/>
      <c r="AA66"/>
      <c r="AB66"/>
      <c r="AC66"/>
      <c r="AD66"/>
      <c r="AE66"/>
      <c r="AF66"/>
      <c r="AG66"/>
      <c r="AH66"/>
      <c r="AI66"/>
      <c r="AJ66" s="17"/>
    </row>
    <row r="67" spans="1:36" ht="12.75" customHeight="1">
      <c r="A67" s="121"/>
      <c r="B67" s="121"/>
      <c r="C67" s="121"/>
      <c r="D67" s="121"/>
      <c r="E67" s="121"/>
      <c r="F67" s="121"/>
      <c r="G67" s="121"/>
      <c r="H67" s="121"/>
      <c r="I67" s="121"/>
      <c r="J67" s="121"/>
      <c r="K67" s="121"/>
      <c r="L67" s="121"/>
      <c r="M67" s="121"/>
      <c r="N67" s="121"/>
      <c r="O67" s="121"/>
      <c r="P67" s="121"/>
      <c r="Q67" s="360"/>
      <c r="R67" s="962" t="s">
        <v>678</v>
      </c>
      <c r="S67" s="963"/>
      <c r="T67" s="964"/>
      <c r="U67" s="949" t="s">
        <v>500</v>
      </c>
      <c r="V67" s="938" t="s">
        <v>22</v>
      </c>
      <c r="W67" s="940" t="s">
        <v>579</v>
      </c>
      <c r="X67" s="942" t="s">
        <v>21</v>
      </c>
      <c r="Y67" s="361"/>
      <c r="Z67" s="364"/>
      <c r="AA67"/>
      <c r="AB67"/>
      <c r="AC67"/>
      <c r="AD67"/>
      <c r="AE67"/>
      <c r="AF67"/>
      <c r="AG67"/>
      <c r="AH67"/>
      <c r="AI67"/>
      <c r="AJ67" s="17"/>
    </row>
    <row r="68" spans="1:36" ht="12.75" customHeight="1">
      <c r="A68" s="121"/>
      <c r="B68" s="121"/>
      <c r="C68" s="121"/>
      <c r="D68" s="121"/>
      <c r="E68" s="121"/>
      <c r="F68" s="121"/>
      <c r="G68" s="121"/>
      <c r="H68" s="121"/>
      <c r="I68" s="121"/>
      <c r="J68" s="121"/>
      <c r="K68" s="121"/>
      <c r="L68" s="121"/>
      <c r="M68" s="121"/>
      <c r="N68" s="121"/>
      <c r="O68" s="121"/>
      <c r="P68" s="121"/>
      <c r="Q68" s="360"/>
      <c r="R68" s="965"/>
      <c r="S68" s="966"/>
      <c r="T68" s="967"/>
      <c r="U68" s="950"/>
      <c r="V68" s="939"/>
      <c r="W68" s="941"/>
      <c r="X68" s="943"/>
      <c r="Y68" s="361"/>
      <c r="Z68" s="364"/>
      <c r="AA68"/>
      <c r="AB68"/>
      <c r="AC68"/>
      <c r="AD68"/>
      <c r="AE68"/>
      <c r="AF68"/>
      <c r="AG68"/>
      <c r="AH68"/>
      <c r="AI68"/>
      <c r="AJ68" s="17"/>
    </row>
    <row r="69" spans="1:36" ht="12.75" customHeight="1">
      <c r="A69" s="121"/>
      <c r="B69" s="121"/>
      <c r="C69" s="121"/>
      <c r="D69" s="121"/>
      <c r="E69" s="121"/>
      <c r="F69" s="121"/>
      <c r="G69" s="121"/>
      <c r="H69" s="121"/>
      <c r="I69" s="121"/>
      <c r="J69" s="121"/>
      <c r="K69" s="121"/>
      <c r="L69" s="121"/>
      <c r="M69" s="121"/>
      <c r="N69" s="121"/>
      <c r="O69" s="121"/>
      <c r="P69" s="121"/>
      <c r="Q69" s="360"/>
      <c r="R69" s="969" t="s">
        <v>63</v>
      </c>
      <c r="S69" s="969"/>
      <c r="T69" s="969"/>
      <c r="U69" s="369">
        <v>102</v>
      </c>
      <c r="V69" s="369">
        <f>VLOOKUP($V$5,'Lookup dBA'!$B$8:$E$208,3)</f>
        <v>108</v>
      </c>
      <c r="W69" s="369">
        <f>VLOOKUP($V$5,'Lookup dBA'!$B$8:$E$208,4)</f>
        <v>109</v>
      </c>
      <c r="X69" s="369">
        <f>VLOOKUP($V$5,'Lookup dBA'!$B$8:$E$208,2)</f>
        <v>116</v>
      </c>
      <c r="Y69" s="361"/>
      <c r="Z69" s="364"/>
      <c r="AA69"/>
      <c r="AB69"/>
      <c r="AC69"/>
      <c r="AD69"/>
      <c r="AE69"/>
      <c r="AF69"/>
      <c r="AG69"/>
      <c r="AH69"/>
      <c r="AI69"/>
      <c r="AJ69" s="32"/>
    </row>
    <row r="70" spans="1:36" ht="12.75" customHeight="1">
      <c r="A70" s="121"/>
      <c r="B70" s="121"/>
      <c r="C70" s="121"/>
      <c r="D70" s="121"/>
      <c r="E70" s="121"/>
      <c r="F70" s="121"/>
      <c r="G70" s="121"/>
      <c r="H70" s="121"/>
      <c r="I70" s="121"/>
      <c r="J70" s="121"/>
      <c r="K70" s="121"/>
      <c r="L70" s="121"/>
      <c r="M70" s="121"/>
      <c r="N70" s="121"/>
      <c r="O70" s="121"/>
      <c r="P70" s="121"/>
      <c r="Q70" s="360"/>
      <c r="R70" s="969" t="s">
        <v>64</v>
      </c>
      <c r="S70" s="969"/>
      <c r="T70" s="969"/>
      <c r="U70" s="369">
        <f>U69-PPE!$I$15</f>
        <v>89</v>
      </c>
      <c r="V70" s="369">
        <f>V69-PPE!$I$15</f>
        <v>95</v>
      </c>
      <c r="W70" s="369">
        <f>W69-PPE!$I$15</f>
        <v>96</v>
      </c>
      <c r="X70" s="369">
        <f>X69-PPE!$I$15</f>
        <v>103</v>
      </c>
      <c r="Y70" s="361"/>
      <c r="Z70" s="364"/>
      <c r="AA70"/>
      <c r="AB70"/>
      <c r="AC70"/>
      <c r="AD70"/>
      <c r="AE70"/>
      <c r="AF70"/>
      <c r="AG70"/>
      <c r="AH70"/>
      <c r="AI70"/>
      <c r="AJ70" s="32"/>
    </row>
    <row r="71" spans="1:36" ht="12.75" customHeight="1">
      <c r="A71" s="121"/>
      <c r="B71" s="121"/>
      <c r="C71" s="121"/>
      <c r="D71" s="121"/>
      <c r="E71" s="121"/>
      <c r="F71" s="121"/>
      <c r="G71" s="121"/>
      <c r="H71" s="121"/>
      <c r="I71" s="121"/>
      <c r="J71" s="121"/>
      <c r="K71" s="121"/>
      <c r="L71" s="121"/>
      <c r="M71" s="121"/>
      <c r="N71" s="121"/>
      <c r="O71" s="121"/>
      <c r="P71" s="121"/>
      <c r="Q71" s="360"/>
      <c r="R71" s="969" t="s">
        <v>529</v>
      </c>
      <c r="S71" s="969"/>
      <c r="T71" s="969"/>
      <c r="U71" s="369">
        <v>110</v>
      </c>
      <c r="V71" s="369">
        <v>110</v>
      </c>
      <c r="W71" s="369">
        <v>110</v>
      </c>
      <c r="X71" s="369">
        <v>110</v>
      </c>
      <c r="Y71" s="361"/>
      <c r="Z71" s="364"/>
      <c r="AA71"/>
      <c r="AB71"/>
      <c r="AC71"/>
      <c r="AD71"/>
      <c r="AE71"/>
      <c r="AF71"/>
      <c r="AG71"/>
      <c r="AH71"/>
      <c r="AI71"/>
      <c r="AJ71" s="32"/>
    </row>
    <row r="72" spans="1:36" ht="12.75" customHeight="1">
      <c r="A72" s="121"/>
      <c r="B72" s="121"/>
      <c r="C72" s="121"/>
      <c r="D72" s="121"/>
      <c r="E72" s="121"/>
      <c r="F72" s="121"/>
      <c r="G72" s="121"/>
      <c r="H72" s="121"/>
      <c r="I72" s="121"/>
      <c r="J72" s="121"/>
      <c r="K72" s="121"/>
      <c r="L72" s="121"/>
      <c r="M72" s="121"/>
      <c r="N72" s="121"/>
      <c r="O72" s="121"/>
      <c r="P72" s="121"/>
      <c r="Q72" s="360"/>
      <c r="R72" s="363"/>
      <c r="S72" s="363"/>
      <c r="T72" s="363"/>
      <c r="U72" s="363"/>
      <c r="V72" s="363"/>
      <c r="W72" s="363"/>
      <c r="X72" s="363"/>
      <c r="Y72" s="555"/>
      <c r="Z72" s="364"/>
      <c r="AA72"/>
      <c r="AB72"/>
      <c r="AC72"/>
      <c r="AD72"/>
      <c r="AE72"/>
      <c r="AF72"/>
      <c r="AG72"/>
      <c r="AH72"/>
      <c r="AI72"/>
      <c r="AJ72" s="17"/>
    </row>
    <row r="73" spans="1:36" ht="12.75" customHeight="1">
      <c r="A73" s="121"/>
      <c r="B73" s="121"/>
      <c r="C73" s="121"/>
      <c r="D73" s="121"/>
      <c r="E73" s="121"/>
      <c r="F73" s="121"/>
      <c r="G73" s="121"/>
      <c r="H73" s="121"/>
      <c r="I73" s="121"/>
      <c r="J73" s="121"/>
      <c r="K73" s="121"/>
      <c r="L73" s="121"/>
      <c r="M73" s="121"/>
      <c r="N73" s="121"/>
      <c r="O73" s="121"/>
      <c r="P73" s="121"/>
      <c r="Q73" s="360" t="s">
        <v>503</v>
      </c>
      <c r="R73" s="364" t="s">
        <v>528</v>
      </c>
      <c r="S73" s="364"/>
      <c r="T73" s="364"/>
      <c r="U73" s="555"/>
      <c r="V73" s="555"/>
      <c r="W73" s="555"/>
      <c r="X73" s="555"/>
      <c r="Y73" s="555"/>
      <c r="Z73" s="364"/>
      <c r="AA73"/>
      <c r="AB73"/>
      <c r="AC73"/>
      <c r="AD73"/>
      <c r="AE73"/>
      <c r="AF73"/>
      <c r="AG73"/>
      <c r="AH73"/>
      <c r="AI73"/>
      <c r="AJ73" s="17"/>
    </row>
    <row r="74" spans="1:36" ht="12.75" customHeight="1">
      <c r="A74" s="121"/>
      <c r="B74" s="121"/>
      <c r="C74" s="121"/>
      <c r="D74" s="121"/>
      <c r="E74" s="121"/>
      <c r="F74" s="121"/>
      <c r="G74" s="121"/>
      <c r="H74" s="121"/>
      <c r="I74" s="121"/>
      <c r="J74" s="121"/>
      <c r="K74" s="121"/>
      <c r="L74" s="121"/>
      <c r="M74" s="121"/>
      <c r="N74" s="121"/>
      <c r="O74" s="121"/>
      <c r="P74" s="121"/>
      <c r="Q74" s="360"/>
      <c r="R74" s="935" t="s">
        <v>678</v>
      </c>
      <c r="S74" s="935"/>
      <c r="T74" s="935"/>
      <c r="U74" s="930" t="s">
        <v>500</v>
      </c>
      <c r="V74" s="928" t="s">
        <v>22</v>
      </c>
      <c r="W74" s="929" t="s">
        <v>579</v>
      </c>
      <c r="X74" s="927" t="s">
        <v>21</v>
      </c>
      <c r="Y74" s="361"/>
      <c r="Z74" s="364"/>
      <c r="AA74"/>
      <c r="AB74"/>
      <c r="AC74"/>
      <c r="AD74"/>
      <c r="AE74"/>
      <c r="AF74"/>
      <c r="AG74"/>
      <c r="AH74"/>
      <c r="AI74"/>
      <c r="AJ74" s="17"/>
    </row>
    <row r="75" spans="1:36" ht="12.75" customHeight="1">
      <c r="A75" s="121"/>
      <c r="B75" s="121"/>
      <c r="C75" s="121"/>
      <c r="D75" s="121"/>
      <c r="E75" s="121"/>
      <c r="F75" s="121"/>
      <c r="G75" s="121"/>
      <c r="H75" s="121"/>
      <c r="I75" s="121"/>
      <c r="J75" s="121"/>
      <c r="K75" s="121"/>
      <c r="L75" s="121"/>
      <c r="M75" s="121"/>
      <c r="N75" s="121"/>
      <c r="O75" s="121"/>
      <c r="P75" s="121"/>
      <c r="Q75" s="360"/>
      <c r="R75" s="935"/>
      <c r="S75" s="935"/>
      <c r="T75" s="935"/>
      <c r="U75" s="930"/>
      <c r="V75" s="928"/>
      <c r="W75" s="929"/>
      <c r="X75" s="927"/>
      <c r="Y75" s="361"/>
      <c r="Z75" s="364"/>
      <c r="AA75"/>
      <c r="AB75"/>
      <c r="AC75"/>
      <c r="AD75"/>
      <c r="AE75"/>
      <c r="AF75"/>
      <c r="AG75"/>
      <c r="AH75"/>
      <c r="AI75"/>
      <c r="AJ75" s="17"/>
    </row>
    <row r="76" spans="1:36" ht="12.75" customHeight="1">
      <c r="A76" s="121"/>
      <c r="B76" s="121"/>
      <c r="C76" s="121"/>
      <c r="D76" s="121"/>
      <c r="E76" s="121"/>
      <c r="F76" s="121"/>
      <c r="G76" s="121"/>
      <c r="H76" s="121"/>
      <c r="I76" s="121"/>
      <c r="J76" s="121"/>
      <c r="K76" s="121"/>
      <c r="L76" s="121"/>
      <c r="M76" s="121"/>
      <c r="N76" s="121"/>
      <c r="O76" s="121"/>
      <c r="P76" s="121"/>
      <c r="Q76" s="360"/>
      <c r="R76" s="969" t="s">
        <v>63</v>
      </c>
      <c r="S76" s="969"/>
      <c r="T76" s="969"/>
      <c r="U76" s="369">
        <f>VLOOKUP($V$21,$R$309:$Z$314,5)</f>
        <v>108.02059991327964</v>
      </c>
      <c r="V76" s="369">
        <f>VLOOKUP($V$21,$R$309:$Z$314,3)</f>
        <v>114.02059991327963</v>
      </c>
      <c r="W76" s="369">
        <f>VLOOKUP($V$21,$R$309:$Z$314,4)</f>
        <v>115.02059991327963</v>
      </c>
      <c r="X76" s="369">
        <f>VLOOKUP($V$21,$R$309:$Z$314,2)</f>
        <v>122.02059991327964</v>
      </c>
      <c r="Y76" s="361"/>
      <c r="Z76" s="364"/>
      <c r="AA76"/>
      <c r="AB76"/>
      <c r="AC76"/>
      <c r="AD76"/>
      <c r="AE76"/>
      <c r="AF76"/>
      <c r="AG76"/>
      <c r="AH76"/>
      <c r="AI76"/>
      <c r="AJ76" s="17"/>
    </row>
    <row r="77" spans="1:36" ht="12.75" customHeight="1">
      <c r="Q77" s="360"/>
      <c r="R77" s="969" t="s">
        <v>64</v>
      </c>
      <c r="S77" s="969"/>
      <c r="T77" s="969"/>
      <c r="U77" s="369">
        <f>U76-PPE!$I$15</f>
        <v>95.020599913279639</v>
      </c>
      <c r="V77" s="369">
        <f>V76-PPE!$I$15</f>
        <v>101.02059991327963</v>
      </c>
      <c r="W77" s="369">
        <f>W76-PPE!$I$15</f>
        <v>102.02059991327963</v>
      </c>
      <c r="X77" s="369">
        <f>X76-PPE!$I$15</f>
        <v>109.02059991327964</v>
      </c>
      <c r="Y77" s="361"/>
      <c r="Z77" s="364"/>
      <c r="AA77"/>
      <c r="AB77"/>
      <c r="AC77"/>
      <c r="AD77"/>
      <c r="AE77"/>
      <c r="AF77"/>
      <c r="AG77"/>
      <c r="AH77"/>
      <c r="AI77"/>
      <c r="AJ77" s="17"/>
    </row>
    <row r="78" spans="1:36" ht="12.75" customHeight="1">
      <c r="Q78" s="360"/>
      <c r="R78" s="969" t="s">
        <v>529</v>
      </c>
      <c r="S78" s="969"/>
      <c r="T78" s="969"/>
      <c r="U78" s="369">
        <v>110</v>
      </c>
      <c r="V78" s="369">
        <v>110</v>
      </c>
      <c r="W78" s="369">
        <v>110</v>
      </c>
      <c r="X78" s="369">
        <v>110</v>
      </c>
      <c r="Y78" s="361"/>
      <c r="Z78" s="364"/>
      <c r="AA78"/>
      <c r="AB78"/>
      <c r="AC78"/>
      <c r="AD78"/>
      <c r="AE78"/>
      <c r="AF78"/>
      <c r="AG78"/>
      <c r="AH78"/>
      <c r="AI78"/>
      <c r="AJ78" s="17"/>
    </row>
    <row r="79" spans="1:36" ht="12.75" customHeight="1">
      <c r="Q79" s="360"/>
      <c r="R79" s="364"/>
      <c r="S79" s="364"/>
      <c r="T79" s="364"/>
      <c r="U79" s="555"/>
      <c r="V79" s="555"/>
      <c r="W79" s="555"/>
      <c r="X79" s="555"/>
      <c r="Y79" s="555"/>
      <c r="Z79" s="364"/>
      <c r="AA79"/>
      <c r="AB79"/>
      <c r="AC79"/>
      <c r="AD79"/>
      <c r="AE79"/>
      <c r="AF79"/>
      <c r="AG79"/>
      <c r="AH79"/>
      <c r="AI79"/>
      <c r="AJ79" s="17"/>
    </row>
    <row r="80" spans="1:36" ht="12.75" customHeight="1">
      <c r="Q80" s="385" t="s">
        <v>305</v>
      </c>
      <c r="R80" s="1008" t="s">
        <v>218</v>
      </c>
      <c r="S80" s="1008"/>
      <c r="T80" s="1008"/>
      <c r="U80" s="1008"/>
      <c r="V80" s="1008"/>
      <c r="W80" s="1008"/>
      <c r="X80" s="1008"/>
      <c r="Y80" s="1008"/>
      <c r="Z80" s="536"/>
      <c r="AA80"/>
      <c r="AB80"/>
      <c r="AC80"/>
      <c r="AD80"/>
      <c r="AE80"/>
      <c r="AF80"/>
      <c r="AG80"/>
      <c r="AH80"/>
      <c r="AI80"/>
      <c r="AJ80" s="43"/>
    </row>
    <row r="81" spans="17:36" ht="12.75" customHeight="1">
      <c r="Q81" s="546"/>
      <c r="R81" s="363"/>
      <c r="S81" s="363"/>
      <c r="T81" s="363"/>
      <c r="U81" s="363"/>
      <c r="V81" s="363"/>
      <c r="W81" s="363"/>
      <c r="X81" s="363"/>
      <c r="Y81" s="363"/>
      <c r="Z81" s="364"/>
      <c r="AA81"/>
      <c r="AB81"/>
      <c r="AC81"/>
      <c r="AD81"/>
      <c r="AE81"/>
      <c r="AF81"/>
      <c r="AG81"/>
      <c r="AH81"/>
      <c r="AI81"/>
      <c r="AJ81" s="43"/>
    </row>
    <row r="82" spans="17:36" ht="12.75" customHeight="1">
      <c r="Q82" s="546"/>
      <c r="R82" s="363" t="s">
        <v>436</v>
      </c>
      <c r="S82" s="363"/>
      <c r="T82" s="363"/>
      <c r="U82" s="363"/>
      <c r="V82" s="363"/>
      <c r="W82" s="363"/>
      <c r="X82" s="363"/>
      <c r="Y82" s="363"/>
      <c r="Z82" s="364"/>
      <c r="AA82"/>
      <c r="AB82"/>
      <c r="AC82"/>
      <c r="AD82"/>
      <c r="AE82"/>
      <c r="AF82"/>
      <c r="AG82"/>
      <c r="AH82"/>
      <c r="AI82"/>
      <c r="AJ82" s="43"/>
    </row>
    <row r="83" spans="17:36" ht="12.75" customHeight="1">
      <c r="Q83" s="360"/>
      <c r="R83" s="935" t="s">
        <v>678</v>
      </c>
      <c r="S83" s="935"/>
      <c r="T83" s="935"/>
      <c r="U83" s="949" t="s">
        <v>500</v>
      </c>
      <c r="V83" s="1011" t="s">
        <v>22</v>
      </c>
      <c r="W83" s="1013" t="s">
        <v>579</v>
      </c>
      <c r="X83" s="1009" t="s">
        <v>21</v>
      </c>
      <c r="Y83" s="361"/>
      <c r="Z83" s="364"/>
      <c r="AA83"/>
      <c r="AB83"/>
      <c r="AC83"/>
      <c r="AD83"/>
      <c r="AE83"/>
      <c r="AF83"/>
      <c r="AG83"/>
      <c r="AH83"/>
      <c r="AI83"/>
    </row>
    <row r="84" spans="17:36" ht="12.75" customHeight="1">
      <c r="Q84" s="360"/>
      <c r="R84" s="935"/>
      <c r="S84" s="935"/>
      <c r="T84" s="935"/>
      <c r="U84" s="950"/>
      <c r="V84" s="1012"/>
      <c r="W84" s="1014"/>
      <c r="X84" s="1010"/>
      <c r="Y84" s="361"/>
      <c r="Z84" s="364"/>
      <c r="AA84"/>
      <c r="AB84"/>
      <c r="AC84"/>
      <c r="AD84"/>
      <c r="AE84"/>
      <c r="AF84"/>
      <c r="AG84"/>
      <c r="AH84"/>
      <c r="AI84"/>
    </row>
    <row r="85" spans="17:36" ht="12.75" customHeight="1">
      <c r="Q85" s="360"/>
      <c r="R85" s="969" t="s">
        <v>63</v>
      </c>
      <c r="S85" s="969"/>
      <c r="T85" s="969"/>
      <c r="U85" s="369">
        <f>U414</f>
        <v>97.15</v>
      </c>
      <c r="V85" s="369">
        <f>U356</f>
        <v>101.95</v>
      </c>
      <c r="W85" s="369">
        <f>U385</f>
        <v>102.4</v>
      </c>
      <c r="X85" s="369">
        <f>U327</f>
        <v>108.5</v>
      </c>
      <c r="Y85" s="361"/>
      <c r="Z85" s="364"/>
      <c r="AA85"/>
      <c r="AB85"/>
      <c r="AC85"/>
      <c r="AD85"/>
      <c r="AE85"/>
      <c r="AF85"/>
      <c r="AG85"/>
      <c r="AH85"/>
      <c r="AI85"/>
    </row>
    <row r="86" spans="17:36" ht="12.75" customHeight="1">
      <c r="Q86" s="360"/>
      <c r="R86" s="969" t="s">
        <v>64</v>
      </c>
      <c r="S86" s="969"/>
      <c r="T86" s="969"/>
      <c r="U86" s="369">
        <f>U427</f>
        <v>84.15</v>
      </c>
      <c r="V86" s="369">
        <f>U369</f>
        <v>88.95</v>
      </c>
      <c r="W86" s="369">
        <f>U398</f>
        <v>89.3</v>
      </c>
      <c r="X86" s="369">
        <f>U340</f>
        <v>95.55</v>
      </c>
      <c r="Y86" s="361"/>
      <c r="Z86" s="364"/>
      <c r="AA86"/>
      <c r="AB86"/>
      <c r="AC86"/>
      <c r="AD86"/>
      <c r="AE86"/>
      <c r="AF86"/>
      <c r="AG86"/>
      <c r="AH86"/>
      <c r="AI86"/>
    </row>
    <row r="87" spans="17:36" ht="12.75" customHeight="1">
      <c r="Q87" s="360"/>
      <c r="R87" s="969" t="s">
        <v>530</v>
      </c>
      <c r="S87" s="969"/>
      <c r="T87" s="969"/>
      <c r="U87" s="369">
        <v>85</v>
      </c>
      <c r="V87" s="369">
        <v>85</v>
      </c>
      <c r="W87" s="369">
        <v>85</v>
      </c>
      <c r="X87" s="369">
        <v>85</v>
      </c>
      <c r="Y87" s="361"/>
      <c r="Z87" s="364"/>
      <c r="AA87"/>
      <c r="AB87"/>
      <c r="AC87"/>
      <c r="AD87"/>
      <c r="AE87"/>
      <c r="AF87"/>
      <c r="AG87"/>
      <c r="AH87"/>
      <c r="AI87"/>
    </row>
    <row r="88" spans="17:36" ht="12.75" customHeight="1">
      <c r="Q88" s="360"/>
      <c r="R88" s="363"/>
      <c r="S88" s="363"/>
      <c r="T88" s="363"/>
      <c r="U88" s="363"/>
      <c r="V88" s="363"/>
      <c r="W88" s="363"/>
      <c r="X88" s="363"/>
      <c r="Y88" s="363"/>
      <c r="Z88" s="364"/>
      <c r="AA88"/>
      <c r="AB88"/>
      <c r="AC88"/>
      <c r="AD88"/>
      <c r="AE88"/>
      <c r="AF88"/>
      <c r="AG88"/>
      <c r="AH88"/>
      <c r="AI88"/>
    </row>
    <row r="89" spans="17:36" ht="12.75" customHeight="1">
      <c r="Q89" s="360"/>
      <c r="R89" s="363" t="s">
        <v>437</v>
      </c>
      <c r="S89" s="363"/>
      <c r="T89" s="363"/>
      <c r="U89" s="363"/>
      <c r="V89" s="363"/>
      <c r="W89" s="363"/>
      <c r="X89" s="363"/>
      <c r="Y89" s="363"/>
      <c r="Z89" s="364"/>
      <c r="AA89"/>
      <c r="AB89"/>
      <c r="AC89"/>
      <c r="AD89"/>
      <c r="AE89"/>
      <c r="AF89"/>
      <c r="AG89"/>
      <c r="AH89"/>
      <c r="AI89"/>
    </row>
    <row r="90" spans="17:36" ht="12.75" customHeight="1">
      <c r="Q90" s="360"/>
      <c r="R90" s="935" t="s">
        <v>678</v>
      </c>
      <c r="S90" s="935"/>
      <c r="T90" s="935"/>
      <c r="U90" s="949" t="s">
        <v>500</v>
      </c>
      <c r="V90" s="1011" t="s">
        <v>22</v>
      </c>
      <c r="W90" s="1013" t="s">
        <v>579</v>
      </c>
      <c r="X90" s="1009" t="s">
        <v>21</v>
      </c>
      <c r="Y90" s="361"/>
      <c r="Z90" s="364"/>
      <c r="AA90"/>
      <c r="AB90"/>
      <c r="AC90"/>
      <c r="AD90"/>
      <c r="AE90"/>
      <c r="AF90"/>
      <c r="AG90"/>
      <c r="AH90"/>
      <c r="AI90"/>
    </row>
    <row r="91" spans="17:36" ht="12.75" customHeight="1">
      <c r="Q91" s="360"/>
      <c r="R91" s="935"/>
      <c r="S91" s="935"/>
      <c r="T91" s="935"/>
      <c r="U91" s="950"/>
      <c r="V91" s="1012"/>
      <c r="W91" s="1014"/>
      <c r="X91" s="1010"/>
      <c r="Y91" s="361"/>
      <c r="Z91" s="364"/>
      <c r="AA91"/>
      <c r="AB91"/>
      <c r="AC91"/>
      <c r="AD91"/>
      <c r="AE91"/>
      <c r="AF91"/>
      <c r="AG91"/>
      <c r="AH91"/>
      <c r="AI91"/>
    </row>
    <row r="92" spans="17:36" ht="12.75" customHeight="1">
      <c r="Q92" s="360"/>
      <c r="R92" s="969" t="s">
        <v>63</v>
      </c>
      <c r="S92" s="969"/>
      <c r="T92" s="969"/>
      <c r="U92" s="369">
        <f>U533</f>
        <v>103.15</v>
      </c>
      <c r="V92" s="369">
        <f>U475</f>
        <v>107.95</v>
      </c>
      <c r="W92" s="369">
        <f>U504</f>
        <v>108.4</v>
      </c>
      <c r="X92" s="369">
        <f>U446</f>
        <v>113.95</v>
      </c>
      <c r="Y92" s="361"/>
      <c r="Z92" s="364"/>
      <c r="AA92"/>
      <c r="AB92"/>
      <c r="AC92"/>
      <c r="AD92"/>
      <c r="AE92"/>
      <c r="AF92"/>
      <c r="AG92"/>
      <c r="AH92"/>
      <c r="AI92"/>
    </row>
    <row r="93" spans="17:36" ht="12.75" customHeight="1">
      <c r="Q93" s="360"/>
      <c r="R93" s="969" t="s">
        <v>64</v>
      </c>
      <c r="S93" s="969"/>
      <c r="T93" s="969"/>
      <c r="U93" s="369">
        <f>U546</f>
        <v>90.15</v>
      </c>
      <c r="V93" s="369">
        <f>U488</f>
        <v>94.95</v>
      </c>
      <c r="W93" s="369">
        <f>U517</f>
        <v>95.3</v>
      </c>
      <c r="X93" s="369">
        <f>U459</f>
        <v>101.55</v>
      </c>
      <c r="Y93" s="361"/>
      <c r="Z93" s="364"/>
      <c r="AA93"/>
      <c r="AB93"/>
      <c r="AC93"/>
      <c r="AD93"/>
      <c r="AE93"/>
      <c r="AF93"/>
      <c r="AG93"/>
      <c r="AH93"/>
      <c r="AI93"/>
    </row>
    <row r="94" spans="17:36" ht="12.75" customHeight="1">
      <c r="Q94" s="360"/>
      <c r="R94" s="969" t="s">
        <v>530</v>
      </c>
      <c r="S94" s="969"/>
      <c r="T94" s="969"/>
      <c r="U94" s="369">
        <v>85</v>
      </c>
      <c r="V94" s="369">
        <v>85</v>
      </c>
      <c r="W94" s="369">
        <v>85</v>
      </c>
      <c r="X94" s="369">
        <v>85</v>
      </c>
      <c r="Y94" s="361"/>
      <c r="Z94" s="364"/>
      <c r="AA94"/>
      <c r="AB94"/>
      <c r="AC94"/>
      <c r="AD94"/>
      <c r="AE94"/>
      <c r="AF94"/>
      <c r="AG94"/>
      <c r="AH94"/>
      <c r="AI94"/>
    </row>
    <row r="95" spans="17:36" ht="12.75" customHeight="1">
      <c r="Q95" s="360"/>
      <c r="R95" s="363"/>
      <c r="S95" s="363"/>
      <c r="T95" s="363"/>
      <c r="U95" s="363"/>
      <c r="V95" s="363"/>
      <c r="W95" s="363"/>
      <c r="X95" s="363"/>
      <c r="Y95" s="363"/>
      <c r="Z95" s="364"/>
      <c r="AA95"/>
      <c r="AB95"/>
      <c r="AC95"/>
      <c r="AD95"/>
      <c r="AE95"/>
      <c r="AF95"/>
      <c r="AG95"/>
      <c r="AH95"/>
      <c r="AI95"/>
    </row>
    <row r="96" spans="17:36" s="133" customFormat="1" ht="12.75" customHeight="1">
      <c r="Q96" s="385" t="s">
        <v>222</v>
      </c>
      <c r="R96" s="1008" t="s">
        <v>504</v>
      </c>
      <c r="S96" s="1008"/>
      <c r="T96" s="1008"/>
      <c r="U96" s="1008"/>
      <c r="V96" s="1008"/>
      <c r="W96" s="1008"/>
      <c r="X96" s="1008"/>
      <c r="Y96" s="1008"/>
      <c r="Z96" s="547"/>
      <c r="AA96"/>
      <c r="AB96"/>
      <c r="AC96"/>
      <c r="AD96"/>
      <c r="AE96"/>
      <c r="AF96"/>
      <c r="AG96"/>
      <c r="AH96"/>
      <c r="AI96"/>
    </row>
    <row r="97" spans="17:35" ht="12.75" customHeight="1">
      <c r="Q97" s="360"/>
      <c r="R97" s="363"/>
      <c r="S97" s="363"/>
      <c r="T97" s="363"/>
      <c r="U97" s="363"/>
      <c r="V97" s="363"/>
      <c r="W97" s="363"/>
      <c r="X97" s="363"/>
      <c r="Y97" s="363"/>
      <c r="Z97" s="364"/>
      <c r="AA97"/>
      <c r="AB97"/>
      <c r="AC97"/>
      <c r="AD97"/>
      <c r="AE97"/>
      <c r="AF97"/>
      <c r="AG97"/>
      <c r="AH97"/>
      <c r="AI97"/>
    </row>
    <row r="98" spans="17:35" ht="12.75" customHeight="1">
      <c r="Q98" s="360" t="s">
        <v>505</v>
      </c>
      <c r="R98" s="363" t="s">
        <v>514</v>
      </c>
      <c r="S98" s="363"/>
      <c r="T98" s="363"/>
      <c r="U98" s="363"/>
      <c r="V98" s="363"/>
      <c r="W98" s="363"/>
      <c r="X98" s="363"/>
      <c r="Y98" s="363"/>
      <c r="Z98" s="364"/>
      <c r="AA98"/>
      <c r="AB98"/>
      <c r="AC98"/>
      <c r="AD98"/>
      <c r="AE98"/>
      <c r="AF98"/>
      <c r="AG98"/>
      <c r="AH98"/>
      <c r="AI98"/>
    </row>
    <row r="99" spans="17:35" ht="12.75" customHeight="1">
      <c r="Q99" s="360"/>
      <c r="R99" s="363" t="s">
        <v>512</v>
      </c>
      <c r="S99" s="363"/>
      <c r="T99" s="363"/>
      <c r="U99" s="363"/>
      <c r="V99" s="363"/>
      <c r="W99" s="363"/>
      <c r="X99" s="363"/>
      <c r="Y99" s="363"/>
      <c r="Z99" s="364"/>
      <c r="AA99"/>
      <c r="AB99"/>
      <c r="AC99"/>
      <c r="AD99"/>
      <c r="AE99"/>
      <c r="AF99"/>
      <c r="AG99"/>
      <c r="AH99"/>
      <c r="AI99"/>
    </row>
    <row r="100" spans="17:35" ht="12.75" customHeight="1">
      <c r="Q100" s="360"/>
      <c r="R100" s="998" t="s">
        <v>191</v>
      </c>
      <c r="S100" s="999"/>
      <c r="T100" s="1000"/>
      <c r="U100" s="949" t="s">
        <v>500</v>
      </c>
      <c r="V100" s="938" t="s">
        <v>22</v>
      </c>
      <c r="W100" s="940" t="s">
        <v>579</v>
      </c>
      <c r="X100" s="942" t="s">
        <v>21</v>
      </c>
      <c r="Y100" s="361"/>
      <c r="Z100" s="364"/>
      <c r="AA100"/>
      <c r="AB100"/>
      <c r="AC100"/>
      <c r="AD100"/>
      <c r="AE100"/>
      <c r="AF100"/>
      <c r="AG100"/>
      <c r="AH100"/>
      <c r="AI100"/>
    </row>
    <row r="101" spans="17:35" ht="12.75" customHeight="1">
      <c r="Q101" s="360"/>
      <c r="R101" s="1001"/>
      <c r="S101" s="1002"/>
      <c r="T101" s="1003"/>
      <c r="U101" s="950"/>
      <c r="V101" s="939"/>
      <c r="W101" s="941"/>
      <c r="X101" s="943"/>
      <c r="Y101" s="361"/>
      <c r="Z101" s="364"/>
      <c r="AA101"/>
      <c r="AB101"/>
      <c r="AC101"/>
      <c r="AD101"/>
      <c r="AE101"/>
      <c r="AF101"/>
      <c r="AG101"/>
      <c r="AH101"/>
      <c r="AI101"/>
    </row>
    <row r="102" spans="17:35" ht="12.75" customHeight="1">
      <c r="Q102" s="360"/>
      <c r="R102" s="969" t="s">
        <v>63</v>
      </c>
      <c r="S102" s="969"/>
      <c r="T102" s="969"/>
      <c r="U102" s="537">
        <f>VLOOKUP(U69,'Lookup Exposure Time'!$B$12:$C$732,2)</f>
        <v>10</v>
      </c>
      <c r="V102" s="537">
        <f>VLOOKUP(V69,'Lookup Exposure Time'!$B$12:$C$732,2)</f>
        <v>2.5</v>
      </c>
      <c r="W102" s="537">
        <f>VLOOKUP(W69,'Lookup Exposure Time'!$B$12:$C$732,2)</f>
        <v>1.875</v>
      </c>
      <c r="X102" s="537">
        <f>VLOOKUP(X69,'Lookup Exposure Time'!$B$12:$C$732,2)</f>
        <v>0.39061999999999986</v>
      </c>
      <c r="Y102" s="361"/>
      <c r="Z102" s="364"/>
      <c r="AA102"/>
      <c r="AB102"/>
      <c r="AC102"/>
      <c r="AD102"/>
      <c r="AE102"/>
      <c r="AF102"/>
      <c r="AG102"/>
      <c r="AH102"/>
      <c r="AI102"/>
    </row>
    <row r="103" spans="17:35" ht="12.75" customHeight="1">
      <c r="Q103" s="360"/>
      <c r="R103" s="969" t="s">
        <v>64</v>
      </c>
      <c r="S103" s="969"/>
      <c r="T103" s="969"/>
      <c r="U103" s="537">
        <f>VLOOKUP(U70,'Lookup Exposure Time'!$B$12:$C$732,2)</f>
        <v>200</v>
      </c>
      <c r="V103" s="537">
        <f>VLOOKUP(V70,'Lookup Exposure Time'!$B$12:$C$732,2)</f>
        <v>50</v>
      </c>
      <c r="W103" s="537">
        <f>VLOOKUP(W70,'Lookup Exposure Time'!$B$12:$C$732,2)</f>
        <v>40</v>
      </c>
      <c r="X103" s="537">
        <f>VLOOKUP(X70,'Lookup Exposure Time'!$B$12:$C$732,2)</f>
        <v>7.5</v>
      </c>
      <c r="Y103" s="361"/>
      <c r="Z103" s="364"/>
      <c r="AA103"/>
      <c r="AB103"/>
      <c r="AC103"/>
      <c r="AD103"/>
      <c r="AE103"/>
      <c r="AF103"/>
      <c r="AG103"/>
      <c r="AH103"/>
      <c r="AI103"/>
    </row>
    <row r="104" spans="17:35" ht="12.75" customHeight="1">
      <c r="Q104" s="360"/>
      <c r="R104" s="364"/>
      <c r="S104" s="364"/>
      <c r="T104" s="364"/>
      <c r="U104" s="364"/>
      <c r="V104" s="364"/>
      <c r="W104" s="364"/>
      <c r="X104" s="364"/>
      <c r="Y104" s="363"/>
      <c r="Z104" s="364"/>
      <c r="AA104"/>
      <c r="AB104"/>
      <c r="AC104"/>
      <c r="AD104"/>
      <c r="AE104"/>
      <c r="AF104"/>
      <c r="AG104"/>
      <c r="AH104"/>
      <c r="AI104"/>
    </row>
    <row r="105" spans="17:35" ht="12.75" customHeight="1">
      <c r="Q105" s="360" t="s">
        <v>507</v>
      </c>
      <c r="R105" s="363" t="s">
        <v>513</v>
      </c>
      <c r="S105" s="363"/>
      <c r="T105" s="363"/>
      <c r="U105" s="363"/>
      <c r="V105" s="363"/>
      <c r="W105" s="363"/>
      <c r="X105" s="363"/>
      <c r="Y105" s="363"/>
      <c r="Z105" s="364"/>
      <c r="AA105"/>
      <c r="AB105"/>
      <c r="AC105"/>
      <c r="AD105"/>
      <c r="AE105"/>
      <c r="AF105"/>
      <c r="AG105"/>
      <c r="AH105"/>
      <c r="AI105"/>
    </row>
    <row r="106" spans="17:35" ht="12.75" customHeight="1">
      <c r="Q106" s="360"/>
      <c r="R106" s="998" t="s">
        <v>191</v>
      </c>
      <c r="S106" s="999"/>
      <c r="T106" s="1000"/>
      <c r="U106" s="949" t="s">
        <v>500</v>
      </c>
      <c r="V106" s="938" t="s">
        <v>22</v>
      </c>
      <c r="W106" s="940" t="s">
        <v>579</v>
      </c>
      <c r="X106" s="942" t="s">
        <v>21</v>
      </c>
      <c r="Y106" s="361"/>
      <c r="Z106" s="364"/>
      <c r="AA106"/>
      <c r="AB106"/>
      <c r="AC106"/>
      <c r="AD106"/>
      <c r="AE106"/>
      <c r="AF106"/>
      <c r="AG106"/>
      <c r="AH106"/>
      <c r="AI106"/>
    </row>
    <row r="107" spans="17:35" ht="12.75" customHeight="1">
      <c r="Q107" s="360"/>
      <c r="R107" s="1001"/>
      <c r="S107" s="1002"/>
      <c r="T107" s="1003"/>
      <c r="U107" s="950"/>
      <c r="V107" s="939"/>
      <c r="W107" s="941"/>
      <c r="X107" s="943"/>
      <c r="Y107" s="361"/>
      <c r="Z107" s="364"/>
      <c r="AA107"/>
      <c r="AB107"/>
      <c r="AC107"/>
      <c r="AD107"/>
      <c r="AE107"/>
      <c r="AF107"/>
      <c r="AG107"/>
      <c r="AH107"/>
      <c r="AI107"/>
    </row>
    <row r="108" spans="17:35" ht="12.75" customHeight="1">
      <c r="Q108" s="360"/>
      <c r="R108" s="969" t="s">
        <v>63</v>
      </c>
      <c r="S108" s="969"/>
      <c r="T108" s="969"/>
      <c r="U108" s="671">
        <f>VLOOKUP(U76,'Lookup Exposure Time'!$B$12:$C$732,2)</f>
        <v>2.5</v>
      </c>
      <c r="V108" s="671">
        <f>VLOOKUP(V76,'Lookup Exposure Time'!$B$12:$C$732,2)</f>
        <v>0.625</v>
      </c>
      <c r="W108" s="671">
        <f>VLOOKUP(W76,'Lookup Exposure Time'!$B$12:$C$732,2)</f>
        <v>0.46875</v>
      </c>
      <c r="X108" s="671">
        <f>VLOOKUP(X76,'Lookup Exposure Time'!$B$12:$C$732,2)</f>
        <v>9.765625E-2</v>
      </c>
      <c r="Y108" s="361"/>
      <c r="Z108" s="364"/>
      <c r="AA108"/>
      <c r="AB108"/>
      <c r="AC108"/>
      <c r="AD108"/>
      <c r="AE108"/>
      <c r="AF108"/>
      <c r="AG108"/>
      <c r="AH108"/>
      <c r="AI108"/>
    </row>
    <row r="109" spans="17:35" ht="12.75" customHeight="1">
      <c r="Q109" s="360"/>
      <c r="R109" s="969" t="s">
        <v>64</v>
      </c>
      <c r="S109" s="969"/>
      <c r="T109" s="969"/>
      <c r="U109" s="557">
        <f>VLOOKUP(U77,'Lookup Exposure Time'!$B$12:$C$732,2)</f>
        <v>50</v>
      </c>
      <c r="V109" s="557">
        <f>VLOOKUP(V77,'Lookup Exposure Time'!$B$12:$C$732,2)</f>
        <v>12.5</v>
      </c>
      <c r="W109" s="557">
        <f>VLOOKUP(W77,'Lookup Exposure Time'!$B$12:$C$732,2)</f>
        <v>10</v>
      </c>
      <c r="X109" s="557">
        <f>VLOOKUP(X77,'Lookup Exposure Time'!$B$12:$C$732,2)</f>
        <v>1.875</v>
      </c>
      <c r="Y109" s="361"/>
      <c r="Z109" s="364"/>
      <c r="AA109"/>
      <c r="AB109"/>
      <c r="AC109"/>
      <c r="AD109"/>
      <c r="AE109"/>
      <c r="AF109"/>
      <c r="AG109"/>
      <c r="AH109"/>
      <c r="AI109"/>
    </row>
    <row r="110" spans="17:35" ht="12.75" customHeight="1">
      <c r="Q110" s="360"/>
      <c r="R110" s="363"/>
      <c r="S110" s="363"/>
      <c r="T110" s="363"/>
      <c r="U110" s="363"/>
      <c r="V110" s="363"/>
      <c r="W110" s="363"/>
      <c r="X110" s="363"/>
      <c r="Y110" s="363"/>
      <c r="Z110" s="364"/>
      <c r="AA110"/>
      <c r="AB110"/>
      <c r="AC110"/>
      <c r="AD110"/>
      <c r="AE110"/>
      <c r="AF110"/>
      <c r="AG110"/>
      <c r="AH110"/>
      <c r="AI110"/>
    </row>
    <row r="111" spans="17:35" ht="12.75" customHeight="1">
      <c r="Q111" s="360" t="s">
        <v>508</v>
      </c>
      <c r="R111" s="363" t="s">
        <v>531</v>
      </c>
      <c r="S111" s="363"/>
      <c r="T111" s="363"/>
      <c r="U111" s="363"/>
      <c r="V111" s="363"/>
      <c r="W111" s="363"/>
      <c r="X111" s="363"/>
      <c r="Y111" s="363"/>
      <c r="Z111" s="364"/>
      <c r="AA111"/>
      <c r="AB111"/>
      <c r="AC111"/>
      <c r="AD111"/>
      <c r="AE111"/>
      <c r="AF111"/>
      <c r="AG111"/>
      <c r="AH111"/>
      <c r="AI111"/>
    </row>
    <row r="112" spans="17:35" ht="12.75" customHeight="1">
      <c r="Q112" s="360"/>
      <c r="R112" s="998" t="s">
        <v>191</v>
      </c>
      <c r="S112" s="999"/>
      <c r="T112" s="1000"/>
      <c r="U112" s="949" t="s">
        <v>500</v>
      </c>
      <c r="V112" s="938" t="s">
        <v>22</v>
      </c>
      <c r="W112" s="940" t="s">
        <v>579</v>
      </c>
      <c r="X112" s="942" t="s">
        <v>21</v>
      </c>
      <c r="Y112" s="361"/>
      <c r="Z112" s="364"/>
      <c r="AA112"/>
      <c r="AB112"/>
      <c r="AC112"/>
      <c r="AD112"/>
      <c r="AE112"/>
      <c r="AF112"/>
      <c r="AG112"/>
      <c r="AH112"/>
      <c r="AI112"/>
    </row>
    <row r="113" spans="17:35" ht="12.75" customHeight="1">
      <c r="Q113" s="360"/>
      <c r="R113" s="1001"/>
      <c r="S113" s="1002"/>
      <c r="T113" s="1003"/>
      <c r="U113" s="950"/>
      <c r="V113" s="939"/>
      <c r="W113" s="941"/>
      <c r="X113" s="943"/>
      <c r="Y113" s="361"/>
      <c r="Z113" s="364"/>
      <c r="AA113"/>
      <c r="AB113"/>
      <c r="AC113"/>
      <c r="AD113"/>
      <c r="AE113"/>
      <c r="AF113"/>
      <c r="AG113"/>
      <c r="AH113"/>
      <c r="AI113"/>
    </row>
    <row r="114" spans="17:35" ht="12.75" customHeight="1">
      <c r="Q114" s="360"/>
      <c r="R114" s="969" t="s">
        <v>63</v>
      </c>
      <c r="S114" s="969"/>
      <c r="T114" s="969"/>
      <c r="U114" s="537">
        <f t="shared" ref="U114:X115" si="0">U102/60</f>
        <v>0.16666666666666666</v>
      </c>
      <c r="V114" s="537">
        <f t="shared" si="0"/>
        <v>4.1666666666666664E-2</v>
      </c>
      <c r="W114" s="537">
        <f t="shared" si="0"/>
        <v>3.125E-2</v>
      </c>
      <c r="X114" s="537">
        <f t="shared" si="0"/>
        <v>6.5103333333333306E-3</v>
      </c>
      <c r="Y114" s="361"/>
      <c r="Z114" s="364"/>
      <c r="AA114"/>
      <c r="AB114"/>
      <c r="AC114"/>
      <c r="AD114"/>
      <c r="AE114"/>
      <c r="AF114"/>
      <c r="AG114"/>
      <c r="AH114"/>
      <c r="AI114"/>
    </row>
    <row r="115" spans="17:35" ht="12.75" customHeight="1">
      <c r="Q115" s="360"/>
      <c r="R115" s="969" t="s">
        <v>64</v>
      </c>
      <c r="S115" s="969"/>
      <c r="T115" s="969"/>
      <c r="U115" s="537">
        <f t="shared" si="0"/>
        <v>3.3333333333333335</v>
      </c>
      <c r="V115" s="537">
        <f t="shared" si="0"/>
        <v>0.83333333333333337</v>
      </c>
      <c r="W115" s="537">
        <f t="shared" si="0"/>
        <v>0.66666666666666663</v>
      </c>
      <c r="X115" s="537">
        <f t="shared" si="0"/>
        <v>0.125</v>
      </c>
      <c r="Y115" s="361"/>
      <c r="Z115" s="364"/>
      <c r="AA115"/>
      <c r="AB115"/>
      <c r="AC115"/>
      <c r="AD115"/>
      <c r="AE115"/>
      <c r="AF115"/>
      <c r="AG115"/>
      <c r="AH115"/>
      <c r="AI115"/>
    </row>
    <row r="116" spans="17:35" ht="12.75" customHeight="1">
      <c r="Q116" s="360"/>
      <c r="R116" s="364"/>
      <c r="S116" s="364"/>
      <c r="T116" s="364"/>
      <c r="U116" s="364"/>
      <c r="V116" s="364"/>
      <c r="W116" s="364"/>
      <c r="X116" s="364"/>
      <c r="Y116" s="363"/>
      <c r="Z116" s="364"/>
      <c r="AA116"/>
      <c r="AB116"/>
      <c r="AC116"/>
      <c r="AD116"/>
      <c r="AE116"/>
      <c r="AF116"/>
      <c r="AG116"/>
      <c r="AH116"/>
      <c r="AI116"/>
    </row>
    <row r="117" spans="17:35" ht="12.75" customHeight="1">
      <c r="Q117" s="360" t="s">
        <v>506</v>
      </c>
      <c r="R117" s="363" t="s">
        <v>532</v>
      </c>
      <c r="S117" s="363"/>
      <c r="T117" s="363"/>
      <c r="U117" s="363"/>
      <c r="V117" s="363"/>
      <c r="W117" s="363"/>
      <c r="X117" s="363"/>
      <c r="Y117" s="363"/>
      <c r="Z117" s="364"/>
      <c r="AA117"/>
      <c r="AB117"/>
      <c r="AC117"/>
      <c r="AD117"/>
      <c r="AE117"/>
      <c r="AF117"/>
      <c r="AG117"/>
      <c r="AH117"/>
      <c r="AI117"/>
    </row>
    <row r="118" spans="17:35" ht="12.75" customHeight="1">
      <c r="Q118" s="360"/>
      <c r="R118" s="998" t="s">
        <v>191</v>
      </c>
      <c r="S118" s="999"/>
      <c r="T118" s="1000"/>
      <c r="U118" s="949" t="s">
        <v>500</v>
      </c>
      <c r="V118" s="938" t="s">
        <v>22</v>
      </c>
      <c r="W118" s="940" t="s">
        <v>579</v>
      </c>
      <c r="X118" s="942" t="s">
        <v>21</v>
      </c>
      <c r="Y118" s="361"/>
      <c r="Z118" s="364"/>
      <c r="AA118"/>
      <c r="AB118"/>
      <c r="AC118"/>
      <c r="AD118"/>
      <c r="AE118"/>
      <c r="AF118"/>
      <c r="AG118"/>
      <c r="AH118"/>
      <c r="AI118"/>
    </row>
    <row r="119" spans="17:35" ht="12.75" customHeight="1">
      <c r="Q119" s="360"/>
      <c r="R119" s="1001"/>
      <c r="S119" s="1002"/>
      <c r="T119" s="1003"/>
      <c r="U119" s="950"/>
      <c r="V119" s="939"/>
      <c r="W119" s="941"/>
      <c r="X119" s="943"/>
      <c r="Y119" s="361"/>
      <c r="Z119" s="364"/>
      <c r="AA119"/>
      <c r="AB119"/>
      <c r="AC119"/>
      <c r="AD119"/>
      <c r="AE119"/>
      <c r="AF119"/>
      <c r="AG119"/>
      <c r="AH119"/>
      <c r="AI119"/>
    </row>
    <row r="120" spans="17:35" ht="12.75" customHeight="1">
      <c r="Q120" s="360"/>
      <c r="R120" s="969" t="s">
        <v>63</v>
      </c>
      <c r="S120" s="969"/>
      <c r="T120" s="969"/>
      <c r="U120" s="537">
        <f t="shared" ref="U120:X121" si="1">U108/60</f>
        <v>4.1666666666666664E-2</v>
      </c>
      <c r="V120" s="537">
        <f t="shared" si="1"/>
        <v>1.0416666666666666E-2</v>
      </c>
      <c r="W120" s="537">
        <f t="shared" si="1"/>
        <v>7.8125E-3</v>
      </c>
      <c r="X120" s="537">
        <f t="shared" si="1"/>
        <v>1.6276041666666667E-3</v>
      </c>
      <c r="Y120" s="361"/>
      <c r="Z120" s="364"/>
      <c r="AA120"/>
      <c r="AB120"/>
      <c r="AC120"/>
      <c r="AD120"/>
      <c r="AE120"/>
      <c r="AF120"/>
      <c r="AG120"/>
      <c r="AH120"/>
      <c r="AI120"/>
    </row>
    <row r="121" spans="17:35" ht="12.75" customHeight="1">
      <c r="Q121" s="360"/>
      <c r="R121" s="969" t="s">
        <v>64</v>
      </c>
      <c r="S121" s="969"/>
      <c r="T121" s="969"/>
      <c r="U121" s="537">
        <f t="shared" si="1"/>
        <v>0.83333333333333337</v>
      </c>
      <c r="V121" s="537">
        <f t="shared" si="1"/>
        <v>0.20833333333333334</v>
      </c>
      <c r="W121" s="537">
        <f t="shared" si="1"/>
        <v>0.16666666666666666</v>
      </c>
      <c r="X121" s="537">
        <f t="shared" si="1"/>
        <v>3.125E-2</v>
      </c>
      <c r="Y121" s="361"/>
      <c r="Z121" s="364"/>
      <c r="AA121"/>
      <c r="AB121"/>
      <c r="AC121"/>
      <c r="AD121"/>
      <c r="AE121"/>
      <c r="AF121"/>
      <c r="AG121"/>
      <c r="AH121"/>
      <c r="AI121"/>
    </row>
    <row r="122" spans="17:35" ht="12.75" customHeight="1">
      <c r="Q122" s="360"/>
      <c r="R122" s="363"/>
      <c r="S122" s="363"/>
      <c r="T122" s="363"/>
      <c r="U122" s="363"/>
      <c r="V122" s="363"/>
      <c r="W122" s="363"/>
      <c r="X122" s="363"/>
      <c r="Y122" s="363"/>
      <c r="Z122" s="364"/>
      <c r="AA122"/>
      <c r="AB122"/>
      <c r="AC122"/>
      <c r="AD122"/>
      <c r="AE122"/>
      <c r="AF122"/>
      <c r="AG122"/>
      <c r="AH122"/>
      <c r="AI122"/>
    </row>
    <row r="123" spans="17:35" ht="12.75" customHeight="1">
      <c r="Q123" s="546" t="s">
        <v>231</v>
      </c>
      <c r="R123" s="952" t="s">
        <v>232</v>
      </c>
      <c r="S123" s="952"/>
      <c r="T123" s="952"/>
      <c r="U123" s="952"/>
      <c r="V123" s="952"/>
      <c r="W123" s="952"/>
      <c r="X123" s="952"/>
      <c r="Y123" s="952"/>
      <c r="Z123" s="360"/>
      <c r="AA123"/>
      <c r="AB123"/>
      <c r="AC123"/>
      <c r="AD123"/>
      <c r="AE123"/>
      <c r="AF123"/>
      <c r="AG123"/>
      <c r="AH123"/>
      <c r="AI123"/>
    </row>
    <row r="124" spans="17:35" ht="12.75" customHeight="1">
      <c r="Q124" s="546"/>
      <c r="R124" s="360"/>
      <c r="S124" s="360"/>
      <c r="T124" s="360"/>
      <c r="U124" s="360"/>
      <c r="V124" s="360"/>
      <c r="W124" s="360"/>
      <c r="X124" s="360"/>
      <c r="Y124" s="360"/>
      <c r="Z124" s="360"/>
      <c r="AA124"/>
      <c r="AB124"/>
      <c r="AC124"/>
      <c r="AD124"/>
      <c r="AE124"/>
      <c r="AF124"/>
      <c r="AG124"/>
      <c r="AH124"/>
      <c r="AI124"/>
    </row>
    <row r="125" spans="17:35" ht="12.75" customHeight="1">
      <c r="Q125" s="546"/>
      <c r="R125" s="363" t="s">
        <v>233</v>
      </c>
      <c r="S125" s="363"/>
      <c r="T125" s="363"/>
      <c r="U125" s="363"/>
      <c r="V125" s="363"/>
      <c r="W125" s="363"/>
      <c r="X125" s="363"/>
      <c r="Y125" s="363"/>
      <c r="Z125" s="364"/>
      <c r="AA125"/>
      <c r="AB125"/>
      <c r="AC125"/>
      <c r="AD125"/>
      <c r="AE125"/>
      <c r="AF125"/>
      <c r="AG125"/>
      <c r="AH125"/>
      <c r="AI125"/>
    </row>
    <row r="126" spans="17:35" ht="12.75" customHeight="1">
      <c r="Q126" s="360"/>
      <c r="R126" s="998" t="s">
        <v>678</v>
      </c>
      <c r="S126" s="999"/>
      <c r="T126" s="1000"/>
      <c r="U126" s="949" t="s">
        <v>470</v>
      </c>
      <c r="V126" s="938" t="s">
        <v>22</v>
      </c>
      <c r="W126" s="940" t="s">
        <v>579</v>
      </c>
      <c r="X126" s="942" t="s">
        <v>21</v>
      </c>
      <c r="Y126" s="361"/>
      <c r="Z126" s="364"/>
      <c r="AA126"/>
      <c r="AB126"/>
      <c r="AC126"/>
      <c r="AD126"/>
      <c r="AE126"/>
      <c r="AF126"/>
      <c r="AG126"/>
      <c r="AH126"/>
      <c r="AI126"/>
    </row>
    <row r="127" spans="17:35" ht="12.75" customHeight="1">
      <c r="Q127" s="360"/>
      <c r="R127" s="1001"/>
      <c r="S127" s="1002"/>
      <c r="T127" s="1003"/>
      <c r="U127" s="950"/>
      <c r="V127" s="939"/>
      <c r="W127" s="941"/>
      <c r="X127" s="943"/>
      <c r="Y127" s="361"/>
      <c r="Z127" s="364"/>
      <c r="AA127"/>
      <c r="AB127"/>
      <c r="AC127"/>
      <c r="AD127"/>
      <c r="AE127"/>
      <c r="AF127"/>
      <c r="AG127"/>
      <c r="AH127"/>
      <c r="AI127"/>
    </row>
    <row r="128" spans="17:35" ht="12.75" customHeight="1">
      <c r="Q128" s="360"/>
      <c r="R128" s="969" t="s">
        <v>234</v>
      </c>
      <c r="S128" s="969"/>
      <c r="T128" s="969"/>
      <c r="U128" s="672">
        <v>8.3000000000000007</v>
      </c>
      <c r="V128" s="672">
        <f>VLOOKUP($V$5,'Lookup Vibration'!$B$8:$F$208,3)</f>
        <v>18.049999999999951</v>
      </c>
      <c r="W128" s="672">
        <f>VLOOKUP($V$5,'Lookup Vibration'!$B$8:$F$208,4)</f>
        <v>19.950000000000074</v>
      </c>
      <c r="X128" s="672">
        <f>VLOOKUP($V$5,'Lookup Vibration'!$B$8:$F$208,2)</f>
        <v>18.049999999999951</v>
      </c>
      <c r="Y128" s="361"/>
      <c r="Z128" s="364"/>
      <c r="AA128"/>
      <c r="AB128"/>
      <c r="AC128"/>
      <c r="AD128"/>
      <c r="AE128"/>
      <c r="AF128"/>
      <c r="AG128"/>
      <c r="AH128"/>
      <c r="AI128"/>
    </row>
    <row r="129" spans="17:35" ht="12.75" customHeight="1">
      <c r="Q129" s="360"/>
      <c r="R129" s="363"/>
      <c r="S129" s="363"/>
      <c r="T129" s="363"/>
      <c r="U129" s="363"/>
      <c r="V129" s="363"/>
      <c r="W129" s="363"/>
      <c r="X129" s="363"/>
      <c r="Y129" s="363"/>
      <c r="Z129" s="364"/>
      <c r="AA129"/>
      <c r="AB129"/>
      <c r="AC129"/>
      <c r="AD129"/>
      <c r="AE129"/>
      <c r="AF129"/>
      <c r="AG129"/>
      <c r="AH129"/>
      <c r="AI129"/>
    </row>
    <row r="130" spans="17:35" ht="12.75" customHeight="1">
      <c r="Q130" s="546" t="s">
        <v>235</v>
      </c>
      <c r="R130" s="952" t="s">
        <v>34</v>
      </c>
      <c r="S130" s="952"/>
      <c r="T130" s="952"/>
      <c r="U130" s="952"/>
      <c r="V130" s="952"/>
      <c r="W130" s="952"/>
      <c r="X130" s="952"/>
      <c r="Y130" s="952"/>
      <c r="Z130" s="360"/>
      <c r="AA130"/>
      <c r="AB130"/>
      <c r="AC130"/>
      <c r="AD130"/>
      <c r="AE130"/>
      <c r="AF130"/>
      <c r="AG130"/>
      <c r="AH130"/>
      <c r="AI130"/>
    </row>
    <row r="131" spans="17:35" ht="12.75" customHeight="1">
      <c r="Q131" s="546"/>
      <c r="R131" s="363"/>
      <c r="S131" s="363"/>
      <c r="T131" s="363"/>
      <c r="U131" s="363"/>
      <c r="V131" s="363"/>
      <c r="W131" s="363"/>
      <c r="X131" s="363"/>
      <c r="Y131" s="363"/>
      <c r="Z131" s="364"/>
      <c r="AA131"/>
      <c r="AB131"/>
      <c r="AC131"/>
      <c r="AD131"/>
      <c r="AE131"/>
      <c r="AF131"/>
      <c r="AG131"/>
      <c r="AH131"/>
      <c r="AI131"/>
    </row>
    <row r="132" spans="17:35" ht="12.75" customHeight="1">
      <c r="Q132" s="360"/>
      <c r="R132" s="998" t="s">
        <v>678</v>
      </c>
      <c r="S132" s="999"/>
      <c r="T132" s="1000"/>
      <c r="U132" s="949" t="s">
        <v>500</v>
      </c>
      <c r="V132" s="938" t="s">
        <v>22</v>
      </c>
      <c r="W132" s="940" t="s">
        <v>579</v>
      </c>
      <c r="X132" s="942" t="s">
        <v>21</v>
      </c>
      <c r="Y132" s="361"/>
      <c r="Z132" s="364"/>
      <c r="AA132"/>
      <c r="AB132"/>
      <c r="AC132"/>
      <c r="AD132"/>
      <c r="AE132"/>
      <c r="AF132"/>
      <c r="AG132"/>
      <c r="AH132"/>
      <c r="AI132"/>
    </row>
    <row r="133" spans="17:35" ht="12.75" customHeight="1">
      <c r="Q133" s="360"/>
      <c r="R133" s="1001"/>
      <c r="S133" s="1002"/>
      <c r="T133" s="1003"/>
      <c r="U133" s="950"/>
      <c r="V133" s="939"/>
      <c r="W133" s="941"/>
      <c r="X133" s="943"/>
      <c r="Y133" s="361"/>
      <c r="Z133" s="364"/>
      <c r="AA133"/>
      <c r="AB133"/>
      <c r="AC133"/>
      <c r="AD133"/>
      <c r="AE133"/>
      <c r="AF133"/>
      <c r="AG133"/>
      <c r="AH133"/>
      <c r="AI133"/>
    </row>
    <row r="134" spans="17:35" ht="12.75" customHeight="1">
      <c r="Q134" s="360"/>
      <c r="R134" s="1004" t="s">
        <v>298</v>
      </c>
      <c r="S134" s="1004"/>
      <c r="T134" s="1004"/>
      <c r="U134" s="673" t="s">
        <v>819</v>
      </c>
      <c r="V134" s="673" t="s">
        <v>818</v>
      </c>
      <c r="W134" s="673" t="s">
        <v>819</v>
      </c>
      <c r="X134" s="673" t="s">
        <v>818</v>
      </c>
      <c r="Y134" s="361"/>
      <c r="Z134" s="364"/>
      <c r="AA134"/>
      <c r="AB134"/>
      <c r="AC134"/>
      <c r="AD134"/>
      <c r="AE134"/>
      <c r="AF134"/>
      <c r="AG134"/>
      <c r="AH134"/>
      <c r="AI134"/>
    </row>
    <row r="135" spans="17:35" ht="12.75" customHeight="1">
      <c r="Q135" s="360"/>
      <c r="R135" s="931" t="s">
        <v>299</v>
      </c>
      <c r="S135" s="931"/>
      <c r="T135" s="931"/>
      <c r="U135" s="673" t="s">
        <v>297</v>
      </c>
      <c r="V135" s="673" t="s">
        <v>296</v>
      </c>
      <c r="W135" s="673" t="s">
        <v>296</v>
      </c>
      <c r="X135" s="673" t="s">
        <v>296</v>
      </c>
      <c r="Y135" s="361"/>
      <c r="Z135" s="364"/>
      <c r="AA135"/>
      <c r="AB135"/>
      <c r="AC135"/>
      <c r="AD135"/>
      <c r="AE135"/>
      <c r="AF135"/>
      <c r="AG135"/>
      <c r="AH135"/>
      <c r="AI135"/>
    </row>
    <row r="136" spans="17:35" ht="12.75" customHeight="1">
      <c r="Q136" s="360"/>
      <c r="R136" s="363"/>
      <c r="S136" s="363"/>
      <c r="T136" s="363"/>
      <c r="U136" s="363"/>
      <c r="V136" s="363"/>
      <c r="W136" s="363"/>
      <c r="X136" s="363"/>
      <c r="Y136" s="363"/>
      <c r="Z136" s="363"/>
      <c r="AA136"/>
      <c r="AB136"/>
      <c r="AC136"/>
      <c r="AD136"/>
      <c r="AE136"/>
      <c r="AF136"/>
      <c r="AG136"/>
      <c r="AH136"/>
      <c r="AI136"/>
    </row>
    <row r="137" spans="17:35" ht="12.75" customHeight="1">
      <c r="Q137" s="546" t="s">
        <v>236</v>
      </c>
      <c r="R137" s="952" t="s">
        <v>237</v>
      </c>
      <c r="S137" s="952"/>
      <c r="T137" s="952"/>
      <c r="U137" s="952"/>
      <c r="V137" s="952"/>
      <c r="W137" s="952"/>
      <c r="X137" s="952"/>
      <c r="Y137" s="952"/>
      <c r="Z137" s="360"/>
      <c r="AA137"/>
      <c r="AB137"/>
      <c r="AC137"/>
      <c r="AD137"/>
      <c r="AE137"/>
      <c r="AF137"/>
      <c r="AG137"/>
      <c r="AH137"/>
      <c r="AI137"/>
    </row>
    <row r="138" spans="17:35" ht="12.75" customHeight="1">
      <c r="Q138" s="360"/>
      <c r="R138" s="363"/>
      <c r="S138" s="363"/>
      <c r="T138" s="363"/>
      <c r="U138" s="363"/>
      <c r="V138" s="363"/>
      <c r="W138" s="363"/>
      <c r="X138" s="363"/>
      <c r="Y138" s="363"/>
      <c r="Z138" s="363"/>
      <c r="AA138"/>
      <c r="AB138"/>
      <c r="AC138"/>
      <c r="AD138"/>
      <c r="AE138"/>
      <c r="AF138"/>
      <c r="AG138"/>
      <c r="AH138"/>
      <c r="AI138"/>
    </row>
    <row r="139" spans="17:35" ht="12.75" customHeight="1">
      <c r="Q139" s="668" t="s">
        <v>238</v>
      </c>
      <c r="R139" s="364" t="s">
        <v>239</v>
      </c>
      <c r="S139" s="364"/>
      <c r="T139" s="364"/>
      <c r="U139" s="364"/>
      <c r="V139" s="364"/>
      <c r="W139" s="364"/>
      <c r="X139" s="364"/>
      <c r="Y139" s="364"/>
      <c r="Z139" s="364"/>
      <c r="AA139"/>
      <c r="AB139"/>
      <c r="AC139"/>
      <c r="AD139"/>
      <c r="AE139"/>
      <c r="AF139"/>
      <c r="AG139"/>
      <c r="AH139"/>
      <c r="AI139"/>
    </row>
    <row r="140" spans="17:35" ht="12.75" customHeight="1">
      <c r="Q140" s="668"/>
      <c r="R140" s="364" t="s">
        <v>469</v>
      </c>
      <c r="S140" s="364"/>
      <c r="T140" s="364"/>
      <c r="U140" s="364"/>
      <c r="V140" s="364"/>
      <c r="W140" s="364"/>
      <c r="X140" s="364"/>
      <c r="Y140" s="364"/>
      <c r="Z140" s="364"/>
      <c r="AA140"/>
      <c r="AB140"/>
      <c r="AC140"/>
      <c r="AD140"/>
      <c r="AE140"/>
      <c r="AF140"/>
      <c r="AG140"/>
      <c r="AH140"/>
      <c r="AI140"/>
    </row>
    <row r="141" spans="17:35" ht="12.75" customHeight="1">
      <c r="Q141" s="668"/>
      <c r="R141" s="364"/>
      <c r="S141" s="364"/>
      <c r="T141" s="364"/>
      <c r="U141" s="364"/>
      <c r="V141" s="364"/>
      <c r="W141" s="364"/>
      <c r="X141" s="364"/>
      <c r="Y141" s="364"/>
      <c r="Z141" s="364"/>
      <c r="AA141"/>
      <c r="AB141"/>
      <c r="AC141"/>
      <c r="AD141"/>
      <c r="AE141"/>
      <c r="AF141"/>
      <c r="AG141"/>
      <c r="AH141"/>
      <c r="AI141"/>
    </row>
    <row r="142" spans="17:35" ht="12.75" customHeight="1">
      <c r="Q142" s="668"/>
      <c r="R142" s="1005" t="s">
        <v>734</v>
      </c>
      <c r="S142" s="1006"/>
      <c r="T142" s="1006"/>
      <c r="U142" s="1006"/>
      <c r="V142" s="1006"/>
      <c r="W142" s="1007"/>
      <c r="X142" s="351">
        <f>'Compressor Input Data'!G5</f>
        <v>22800</v>
      </c>
      <c r="Y142" s="364"/>
      <c r="Z142" s="364"/>
      <c r="AA142"/>
      <c r="AB142"/>
      <c r="AC142"/>
      <c r="AD142"/>
      <c r="AE142"/>
      <c r="AF142"/>
      <c r="AG142"/>
      <c r="AH142"/>
      <c r="AI142"/>
    </row>
    <row r="143" spans="17:35" ht="12.75" customHeight="1">
      <c r="Q143" s="668"/>
      <c r="R143" s="990" t="s">
        <v>430</v>
      </c>
      <c r="S143" s="991"/>
      <c r="T143" s="992"/>
      <c r="U143" s="949" t="s">
        <v>500</v>
      </c>
      <c r="V143" s="938" t="s">
        <v>22</v>
      </c>
      <c r="W143" s="940" t="s">
        <v>579</v>
      </c>
      <c r="X143" s="942" t="s">
        <v>21</v>
      </c>
      <c r="Y143" s="361"/>
      <c r="Z143" s="364"/>
      <c r="AA143"/>
      <c r="AB143"/>
      <c r="AC143"/>
      <c r="AD143"/>
      <c r="AE143"/>
      <c r="AF143"/>
      <c r="AG143"/>
      <c r="AH143"/>
      <c r="AI143"/>
    </row>
    <row r="144" spans="17:35" ht="12.75" customHeight="1">
      <c r="Q144" s="668"/>
      <c r="R144" s="993"/>
      <c r="S144" s="994"/>
      <c r="T144" s="995"/>
      <c r="U144" s="950"/>
      <c r="V144" s="939"/>
      <c r="W144" s="941"/>
      <c r="X144" s="943"/>
      <c r="Y144" s="361"/>
      <c r="Z144" s="364"/>
      <c r="AA144"/>
      <c r="AB144"/>
      <c r="AC144"/>
      <c r="AD144"/>
      <c r="AE144"/>
      <c r="AF144"/>
      <c r="AG144"/>
      <c r="AH144"/>
      <c r="AI144"/>
    </row>
    <row r="145" spans="17:35" ht="12.75" customHeight="1">
      <c r="Q145" s="668"/>
      <c r="R145" s="973" t="s">
        <v>555</v>
      </c>
      <c r="S145" s="973"/>
      <c r="T145" s="973"/>
      <c r="U145" s="996"/>
      <c r="V145" s="544">
        <f>X145</f>
        <v>22800</v>
      </c>
      <c r="W145" s="544">
        <f>X145</f>
        <v>22800</v>
      </c>
      <c r="X145" s="544">
        <f>X142</f>
        <v>22800</v>
      </c>
      <c r="Y145" s="361"/>
      <c r="Z145" s="364"/>
      <c r="AA145"/>
      <c r="AB145"/>
      <c r="AC145"/>
      <c r="AD145"/>
      <c r="AE145"/>
      <c r="AF145"/>
      <c r="AG145"/>
      <c r="AH145"/>
      <c r="AI145"/>
    </row>
    <row r="146" spans="17:35" ht="12.75" customHeight="1">
      <c r="Q146" s="668"/>
      <c r="R146" s="973" t="s">
        <v>549</v>
      </c>
      <c r="S146" s="973"/>
      <c r="T146" s="973"/>
      <c r="U146" s="997"/>
      <c r="V146" s="544">
        <f>X146</f>
        <v>24</v>
      </c>
      <c r="W146" s="544">
        <f>V146</f>
        <v>24</v>
      </c>
      <c r="X146" s="544">
        <f>'Compressor Input Data'!J15</f>
        <v>24</v>
      </c>
      <c r="Y146" s="361"/>
      <c r="Z146" s="364"/>
      <c r="AA146"/>
      <c r="AB146"/>
      <c r="AC146"/>
      <c r="AD146"/>
      <c r="AE146"/>
      <c r="AF146"/>
      <c r="AG146"/>
      <c r="AH146"/>
      <c r="AI146"/>
    </row>
    <row r="147" spans="17:35" ht="12.75" customHeight="1">
      <c r="Q147" s="668"/>
      <c r="R147" s="970" t="s">
        <v>556</v>
      </c>
      <c r="S147" s="971"/>
      <c r="T147" s="972"/>
      <c r="U147" s="566">
        <f>U62</f>
        <v>2.6666666666666665</v>
      </c>
      <c r="V147" s="566">
        <f>V62</f>
        <v>1.9999999999999996</v>
      </c>
      <c r="W147" s="566">
        <f>W62</f>
        <v>1.7391304347826084</v>
      </c>
      <c r="X147" s="566">
        <f>X62</f>
        <v>1.4285714285714284</v>
      </c>
      <c r="Y147" s="361"/>
      <c r="Z147" s="364"/>
      <c r="AA147"/>
      <c r="AB147"/>
      <c r="AC147"/>
      <c r="AD147"/>
      <c r="AE147"/>
      <c r="AF147"/>
      <c r="AG147"/>
      <c r="AH147"/>
      <c r="AI147"/>
    </row>
    <row r="148" spans="17:35" ht="12.75" customHeight="1">
      <c r="Q148" s="668"/>
      <c r="R148" s="973" t="s">
        <v>575</v>
      </c>
      <c r="S148" s="973"/>
      <c r="T148" s="973"/>
      <c r="U148" s="531">
        <f>W148</f>
        <v>0.22500000000000001</v>
      </c>
      <c r="V148" s="531">
        <f>X148</f>
        <v>0.22500000000000001</v>
      </c>
      <c r="W148" s="531">
        <f>V148</f>
        <v>0.22500000000000001</v>
      </c>
      <c r="X148" s="531">
        <f>'Compressor Input Data'!J17</f>
        <v>0.22500000000000001</v>
      </c>
      <c r="Y148" s="361"/>
      <c r="Z148" s="364"/>
      <c r="AA148"/>
      <c r="AB148"/>
      <c r="AC148"/>
      <c r="AD148"/>
      <c r="AE148"/>
      <c r="AF148"/>
      <c r="AG148"/>
      <c r="AH148"/>
      <c r="AI148"/>
    </row>
    <row r="149" spans="17:35" ht="12.75" customHeight="1">
      <c r="Q149" s="668"/>
      <c r="R149" s="987"/>
      <c r="S149" s="988"/>
      <c r="T149" s="988"/>
      <c r="U149" s="988"/>
      <c r="V149" s="988"/>
      <c r="W149" s="988"/>
      <c r="X149" s="989"/>
      <c r="Y149" s="364"/>
      <c r="Z149" s="364"/>
      <c r="AA149"/>
      <c r="AB149"/>
      <c r="AC149"/>
      <c r="AD149"/>
      <c r="AE149"/>
      <c r="AF149"/>
      <c r="AG149"/>
      <c r="AH149"/>
      <c r="AI149"/>
    </row>
    <row r="150" spans="17:35" ht="12.75" customHeight="1">
      <c r="Q150" s="668"/>
      <c r="R150" s="990" t="s">
        <v>467</v>
      </c>
      <c r="S150" s="991"/>
      <c r="T150" s="992"/>
      <c r="U150" s="949" t="s">
        <v>500</v>
      </c>
      <c r="V150" s="938" t="s">
        <v>22</v>
      </c>
      <c r="W150" s="940" t="s">
        <v>579</v>
      </c>
      <c r="X150" s="942" t="s">
        <v>21</v>
      </c>
      <c r="Y150" s="361"/>
      <c r="Z150" s="364"/>
      <c r="AA150"/>
      <c r="AB150"/>
      <c r="AC150"/>
      <c r="AD150"/>
      <c r="AE150"/>
      <c r="AF150"/>
      <c r="AG150"/>
      <c r="AH150"/>
      <c r="AI150"/>
    </row>
    <row r="151" spans="17:35" ht="12.75" customHeight="1">
      <c r="Q151" s="668"/>
      <c r="R151" s="993"/>
      <c r="S151" s="994"/>
      <c r="T151" s="995"/>
      <c r="U151" s="950"/>
      <c r="V151" s="939"/>
      <c r="W151" s="941"/>
      <c r="X151" s="943"/>
      <c r="Y151" s="361"/>
      <c r="Z151" s="364"/>
      <c r="AA151"/>
      <c r="AB151"/>
      <c r="AC151"/>
      <c r="AD151"/>
      <c r="AE151"/>
      <c r="AF151"/>
      <c r="AG151"/>
      <c r="AH151"/>
      <c r="AI151"/>
    </row>
    <row r="152" spans="17:35" ht="12.75" customHeight="1">
      <c r="Q152" s="668"/>
      <c r="R152" s="973" t="s">
        <v>554</v>
      </c>
      <c r="S152" s="973"/>
      <c r="T152" s="973"/>
      <c r="U152" s="986"/>
      <c r="V152" s="569">
        <f>X152</f>
        <v>1</v>
      </c>
      <c r="W152" s="570">
        <f>V152</f>
        <v>1</v>
      </c>
      <c r="X152" s="570">
        <f>'Compressor Input Data'!J20</f>
        <v>1</v>
      </c>
      <c r="Y152" s="361"/>
      <c r="Z152" s="364"/>
      <c r="AA152"/>
      <c r="AB152"/>
      <c r="AC152"/>
      <c r="AD152"/>
      <c r="AE152"/>
      <c r="AF152"/>
      <c r="AG152"/>
      <c r="AH152"/>
      <c r="AI152"/>
    </row>
    <row r="153" spans="17:35" ht="12.75" customHeight="1">
      <c r="Q153" s="668"/>
      <c r="R153" s="983" t="s">
        <v>551</v>
      </c>
      <c r="S153" s="984"/>
      <c r="T153" s="985"/>
      <c r="U153" s="986"/>
      <c r="V153" s="571">
        <f>V147/V146</f>
        <v>8.3333333333333315E-2</v>
      </c>
      <c r="W153" s="571">
        <f>W147/W146</f>
        <v>7.2463768115942018E-2</v>
      </c>
      <c r="X153" s="571">
        <f>X147/X146</f>
        <v>5.9523809523809514E-2</v>
      </c>
      <c r="Y153" s="361"/>
      <c r="Z153" s="364"/>
      <c r="AA153"/>
      <c r="AB153"/>
      <c r="AC153"/>
      <c r="AD153"/>
      <c r="AE153"/>
      <c r="AF153"/>
      <c r="AG153"/>
      <c r="AH153"/>
      <c r="AI153"/>
    </row>
    <row r="154" spans="17:35" ht="12.75" customHeight="1">
      <c r="Q154" s="668"/>
      <c r="R154" s="973" t="s">
        <v>552</v>
      </c>
      <c r="S154" s="973"/>
      <c r="T154" s="973"/>
      <c r="U154" s="986"/>
      <c r="V154" s="572">
        <f>X154</f>
        <v>0.6</v>
      </c>
      <c r="W154" s="572">
        <f>V154</f>
        <v>0.6</v>
      </c>
      <c r="X154" s="572">
        <f>'Compressor Input Data'!J22</f>
        <v>0.6</v>
      </c>
      <c r="Y154" s="361"/>
      <c r="Z154" s="364"/>
      <c r="AA154"/>
      <c r="AB154"/>
      <c r="AC154"/>
      <c r="AD154"/>
      <c r="AE154"/>
      <c r="AF154"/>
      <c r="AG154"/>
      <c r="AH154"/>
      <c r="AI154"/>
    </row>
    <row r="155" spans="17:35" ht="12.75" customHeight="1">
      <c r="Q155" s="668"/>
      <c r="R155" s="987"/>
      <c r="S155" s="988"/>
      <c r="T155" s="988"/>
      <c r="U155" s="988"/>
      <c r="V155" s="988"/>
      <c r="W155" s="988"/>
      <c r="X155" s="989"/>
      <c r="Y155" s="364"/>
      <c r="Z155" s="364"/>
      <c r="AA155"/>
      <c r="AB155"/>
      <c r="AC155"/>
      <c r="AD155"/>
      <c r="AE155"/>
      <c r="AF155"/>
      <c r="AG155"/>
      <c r="AH155"/>
      <c r="AI155"/>
    </row>
    <row r="156" spans="17:35" ht="12.75" customHeight="1">
      <c r="Q156" s="668"/>
      <c r="R156" s="990" t="s">
        <v>468</v>
      </c>
      <c r="S156" s="991"/>
      <c r="T156" s="992"/>
      <c r="U156" s="949" t="s">
        <v>500</v>
      </c>
      <c r="V156" s="938" t="s">
        <v>22</v>
      </c>
      <c r="W156" s="940" t="s">
        <v>579</v>
      </c>
      <c r="X156" s="942" t="s">
        <v>21</v>
      </c>
      <c r="Y156" s="361"/>
      <c r="Z156" s="364"/>
      <c r="AA156"/>
      <c r="AB156"/>
      <c r="AC156"/>
      <c r="AD156"/>
      <c r="AE156"/>
      <c r="AF156"/>
      <c r="AG156"/>
      <c r="AH156"/>
      <c r="AI156"/>
    </row>
    <row r="157" spans="17:35" ht="12.75" customHeight="1">
      <c r="Q157" s="668"/>
      <c r="R157" s="993"/>
      <c r="S157" s="994"/>
      <c r="T157" s="995"/>
      <c r="U157" s="950"/>
      <c r="V157" s="939"/>
      <c r="W157" s="941"/>
      <c r="X157" s="943"/>
      <c r="Y157" s="361"/>
      <c r="Z157" s="364"/>
      <c r="AA157"/>
      <c r="AB157"/>
      <c r="AC157"/>
      <c r="AD157"/>
      <c r="AE157"/>
      <c r="AF157"/>
      <c r="AG157"/>
      <c r="AH157"/>
      <c r="AI157"/>
    </row>
    <row r="158" spans="17:35" ht="12.75" customHeight="1">
      <c r="Q158" s="668"/>
      <c r="R158" s="973" t="s">
        <v>554</v>
      </c>
      <c r="S158" s="973"/>
      <c r="T158" s="973"/>
      <c r="U158" s="980"/>
      <c r="V158" s="572">
        <f>X158</f>
        <v>0.5</v>
      </c>
      <c r="W158" s="572">
        <f>V158</f>
        <v>0.5</v>
      </c>
      <c r="X158" s="572">
        <f>'Compressor Input Data'!J25</f>
        <v>0.5</v>
      </c>
      <c r="Y158" s="361"/>
      <c r="Z158" s="364"/>
      <c r="AA158"/>
      <c r="AB158"/>
      <c r="AC158"/>
      <c r="AD158"/>
      <c r="AE158"/>
      <c r="AF158"/>
      <c r="AG158"/>
      <c r="AH158"/>
      <c r="AI158"/>
    </row>
    <row r="159" spans="17:35" ht="12.75" customHeight="1">
      <c r="Q159" s="668"/>
      <c r="R159" s="983" t="s">
        <v>551</v>
      </c>
      <c r="S159" s="984"/>
      <c r="T159" s="985"/>
      <c r="U159" s="981"/>
      <c r="V159" s="572">
        <f>V152-V153</f>
        <v>0.91666666666666674</v>
      </c>
      <c r="W159" s="572">
        <f>W152-W153</f>
        <v>0.92753623188405798</v>
      </c>
      <c r="X159" s="572">
        <f>X152-X153</f>
        <v>0.94047619047619047</v>
      </c>
      <c r="Y159" s="361"/>
      <c r="Z159" s="364"/>
      <c r="AA159"/>
      <c r="AB159"/>
      <c r="AC159"/>
      <c r="AD159"/>
      <c r="AE159"/>
      <c r="AF159"/>
      <c r="AG159"/>
      <c r="AH159"/>
      <c r="AI159"/>
    </row>
    <row r="160" spans="17:35" ht="12.75" customHeight="1">
      <c r="Q160" s="668"/>
      <c r="R160" s="973" t="s">
        <v>552</v>
      </c>
      <c r="S160" s="973"/>
      <c r="T160" s="973"/>
      <c r="U160" s="982"/>
      <c r="V160" s="572">
        <f>X160</f>
        <v>0.6</v>
      </c>
      <c r="W160" s="572">
        <f>V160</f>
        <v>0.6</v>
      </c>
      <c r="X160" s="572">
        <f>'Compressor Input Data'!J27</f>
        <v>0.6</v>
      </c>
      <c r="Y160" s="361"/>
      <c r="Z160" s="364"/>
      <c r="AA160"/>
      <c r="AB160"/>
      <c r="AC160"/>
      <c r="AD160"/>
      <c r="AE160"/>
      <c r="AF160"/>
      <c r="AG160"/>
      <c r="AH160"/>
      <c r="AI160"/>
    </row>
    <row r="161" spans="17:35" ht="12.75" customHeight="1">
      <c r="Q161" s="668"/>
      <c r="R161" s="567"/>
      <c r="S161" s="568"/>
      <c r="T161" s="568"/>
      <c r="U161" s="573"/>
      <c r="V161" s="573"/>
      <c r="W161" s="573"/>
      <c r="X161" s="574"/>
      <c r="Y161" s="364"/>
      <c r="Z161" s="364"/>
      <c r="AA161"/>
      <c r="AB161"/>
      <c r="AC161"/>
      <c r="AD161"/>
      <c r="AE161"/>
      <c r="AF161"/>
      <c r="AG161"/>
      <c r="AH161"/>
      <c r="AI161"/>
    </row>
    <row r="162" spans="17:35" ht="12.75" customHeight="1">
      <c r="Q162" s="668"/>
      <c r="R162" s="901" t="s">
        <v>471</v>
      </c>
      <c r="S162" s="901"/>
      <c r="T162" s="901"/>
      <c r="U162" s="930" t="s">
        <v>500</v>
      </c>
      <c r="V162" s="928" t="s">
        <v>22</v>
      </c>
      <c r="W162" s="929" t="s">
        <v>579</v>
      </c>
      <c r="X162" s="927" t="s">
        <v>21</v>
      </c>
      <c r="Y162" s="361"/>
      <c r="Z162" s="364"/>
      <c r="AA162"/>
      <c r="AB162"/>
      <c r="AC162"/>
      <c r="AD162"/>
      <c r="AE162"/>
      <c r="AF162"/>
      <c r="AG162"/>
      <c r="AH162"/>
      <c r="AI162"/>
    </row>
    <row r="163" spans="17:35" ht="12.75" customHeight="1">
      <c r="Q163" s="668"/>
      <c r="R163" s="901"/>
      <c r="S163" s="901"/>
      <c r="T163" s="901"/>
      <c r="U163" s="930"/>
      <c r="V163" s="928"/>
      <c r="W163" s="929"/>
      <c r="X163" s="927"/>
      <c r="Y163" s="361"/>
      <c r="Z163" s="364"/>
      <c r="AA163"/>
      <c r="AB163"/>
      <c r="AC163"/>
      <c r="AD163"/>
      <c r="AE163"/>
      <c r="AF163"/>
      <c r="AG163"/>
      <c r="AH163"/>
      <c r="AI163"/>
    </row>
    <row r="164" spans="17:35" ht="12.75" customHeight="1">
      <c r="Q164" s="668"/>
      <c r="R164" s="973" t="s">
        <v>472</v>
      </c>
      <c r="S164" s="973"/>
      <c r="T164" s="973"/>
      <c r="U164" s="544">
        <f>$V$224</f>
        <v>938.66666666666674</v>
      </c>
      <c r="V164" s="544">
        <f>($V$145*$V$146*$V$153*$V$152)/$V$154</f>
        <v>75999.999999999985</v>
      </c>
      <c r="W164" s="544">
        <f>($W$145*$W$146*$W$153*$W$152)/$W$154</f>
        <v>66086.956521739121</v>
      </c>
      <c r="X164" s="544">
        <f>($X$145*$X$146*$X$153*$X$152)/$X$154</f>
        <v>54285.714285714275</v>
      </c>
      <c r="Y164" s="361"/>
      <c r="Z164" s="364"/>
      <c r="AA164"/>
      <c r="AB164"/>
      <c r="AC164"/>
      <c r="AD164"/>
      <c r="AE164"/>
      <c r="AF164"/>
      <c r="AG164"/>
      <c r="AH164"/>
      <c r="AI164"/>
    </row>
    <row r="165" spans="17:35" ht="12.75" customHeight="1">
      <c r="Q165" s="668"/>
      <c r="R165" s="973" t="s">
        <v>473</v>
      </c>
      <c r="S165" s="973"/>
      <c r="T165" s="973"/>
      <c r="U165" s="543"/>
      <c r="V165" s="544">
        <f>($V$145*$V$146*$V$159*$V$158)/$V$160</f>
        <v>418000.00000000006</v>
      </c>
      <c r="W165" s="544">
        <f>($W$145*$W$146*$W$159*$W$158)/$W$160</f>
        <v>422956.52173913049</v>
      </c>
      <c r="X165" s="544">
        <f>($X$145*$X$146*$X$159*$X$158)/$X$160</f>
        <v>428857.14285714284</v>
      </c>
      <c r="Y165" s="361"/>
      <c r="Z165" s="364"/>
      <c r="AA165"/>
      <c r="AB165"/>
      <c r="AC165"/>
      <c r="AD165"/>
      <c r="AE165"/>
      <c r="AF165"/>
      <c r="AG165"/>
      <c r="AH165"/>
      <c r="AI165"/>
    </row>
    <row r="166" spans="17:35" ht="12.75" customHeight="1">
      <c r="Q166" s="668"/>
      <c r="R166" s="567"/>
      <c r="S166" s="568"/>
      <c r="T166" s="568"/>
      <c r="U166" s="573"/>
      <c r="V166" s="573"/>
      <c r="W166" s="573"/>
      <c r="X166" s="574"/>
      <c r="Y166" s="364"/>
      <c r="Z166" s="364"/>
      <c r="AA166"/>
      <c r="AB166"/>
      <c r="AC166"/>
      <c r="AD166"/>
      <c r="AE166"/>
      <c r="AF166"/>
      <c r="AG166"/>
      <c r="AH166"/>
      <c r="AI166"/>
    </row>
    <row r="167" spans="17:35" ht="12.75" customHeight="1">
      <c r="Q167" s="668"/>
      <c r="R167" s="901" t="s">
        <v>474</v>
      </c>
      <c r="S167" s="901"/>
      <c r="T167" s="901"/>
      <c r="U167" s="930" t="s">
        <v>500</v>
      </c>
      <c r="V167" s="928" t="s">
        <v>22</v>
      </c>
      <c r="W167" s="929" t="s">
        <v>579</v>
      </c>
      <c r="X167" s="927" t="s">
        <v>21</v>
      </c>
      <c r="Y167" s="361"/>
      <c r="Z167" s="364"/>
      <c r="AA167"/>
      <c r="AB167"/>
      <c r="AC167"/>
      <c r="AD167"/>
      <c r="AE167"/>
      <c r="AF167"/>
      <c r="AG167"/>
      <c r="AH167"/>
      <c r="AI167"/>
    </row>
    <row r="168" spans="17:35" ht="12.75" customHeight="1">
      <c r="Q168" s="668"/>
      <c r="R168" s="901"/>
      <c r="S168" s="901"/>
      <c r="T168" s="901"/>
      <c r="U168" s="930"/>
      <c r="V168" s="928"/>
      <c r="W168" s="929"/>
      <c r="X168" s="927"/>
      <c r="Y168" s="361"/>
      <c r="Z168" s="364"/>
      <c r="AA168"/>
      <c r="AB168"/>
      <c r="AC168"/>
      <c r="AD168"/>
      <c r="AE168"/>
      <c r="AF168"/>
      <c r="AG168"/>
      <c r="AH168"/>
      <c r="AI168"/>
    </row>
    <row r="169" spans="17:35" ht="12.75" customHeight="1">
      <c r="Q169" s="668"/>
      <c r="R169" s="973" t="s">
        <v>472</v>
      </c>
      <c r="S169" s="973"/>
      <c r="T169" s="973"/>
      <c r="U169" s="544">
        <f>U164*$V$11</f>
        <v>21589.333333333336</v>
      </c>
      <c r="V169" s="544">
        <f>V164*$V$11</f>
        <v>1747999.9999999998</v>
      </c>
      <c r="W169" s="544">
        <f>W164*$V$11</f>
        <v>1519999.9999999998</v>
      </c>
      <c r="X169" s="544">
        <f>X164*$V$11</f>
        <v>1248571.4285714284</v>
      </c>
      <c r="Y169" s="361"/>
      <c r="Z169" s="364"/>
      <c r="AA169"/>
      <c r="AB169"/>
      <c r="AC169"/>
      <c r="AD169"/>
      <c r="AE169"/>
      <c r="AF169"/>
      <c r="AG169"/>
      <c r="AH169"/>
      <c r="AI169"/>
    </row>
    <row r="170" spans="17:35" ht="12.75" customHeight="1">
      <c r="Q170" s="668"/>
      <c r="R170" s="973" t="s">
        <v>473</v>
      </c>
      <c r="S170" s="973"/>
      <c r="T170" s="973"/>
      <c r="U170" s="543"/>
      <c r="V170" s="544">
        <f>V165*$V$11</f>
        <v>9614000.0000000019</v>
      </c>
      <c r="W170" s="544">
        <f>W165*$V$11</f>
        <v>9728000.0000000019</v>
      </c>
      <c r="X170" s="544">
        <f>X165*$V$11</f>
        <v>9863714.2857142854</v>
      </c>
      <c r="Y170" s="361"/>
      <c r="Z170" s="364"/>
      <c r="AA170"/>
      <c r="AB170"/>
      <c r="AC170"/>
      <c r="AD170"/>
      <c r="AE170"/>
      <c r="AF170"/>
      <c r="AG170"/>
      <c r="AH170"/>
      <c r="AI170"/>
    </row>
    <row r="171" spans="17:35" ht="12.75" customHeight="1">
      <c r="Q171" s="668"/>
      <c r="R171" s="567"/>
      <c r="S171" s="568"/>
      <c r="T171" s="568"/>
      <c r="U171" s="573"/>
      <c r="V171" s="573"/>
      <c r="W171" s="573"/>
      <c r="X171" s="574"/>
      <c r="Y171" s="364"/>
      <c r="Z171" s="364"/>
      <c r="AA171"/>
      <c r="AB171"/>
      <c r="AC171"/>
      <c r="AD171"/>
      <c r="AE171"/>
      <c r="AF171"/>
      <c r="AG171"/>
      <c r="AH171"/>
      <c r="AI171"/>
    </row>
    <row r="172" spans="17:35" ht="12.75" customHeight="1">
      <c r="Q172" s="668"/>
      <c r="R172" s="901" t="s">
        <v>474</v>
      </c>
      <c r="S172" s="901"/>
      <c r="T172" s="901"/>
      <c r="U172" s="930" t="s">
        <v>500</v>
      </c>
      <c r="V172" s="928" t="s">
        <v>22</v>
      </c>
      <c r="W172" s="929" t="s">
        <v>579</v>
      </c>
      <c r="X172" s="927" t="s">
        <v>21</v>
      </c>
      <c r="Y172" s="361"/>
      <c r="Z172" s="364"/>
      <c r="AA172"/>
      <c r="AB172"/>
      <c r="AC172"/>
      <c r="AD172"/>
      <c r="AE172"/>
      <c r="AF172"/>
      <c r="AG172"/>
      <c r="AH172"/>
      <c r="AI172"/>
    </row>
    <row r="173" spans="17:35" ht="12.75" customHeight="1">
      <c r="Q173" s="668"/>
      <c r="R173" s="901"/>
      <c r="S173" s="901"/>
      <c r="T173" s="901"/>
      <c r="U173" s="930"/>
      <c r="V173" s="928"/>
      <c r="W173" s="929"/>
      <c r="X173" s="927"/>
      <c r="Y173" s="361"/>
      <c r="Z173" s="364"/>
      <c r="AA173"/>
      <c r="AB173"/>
      <c r="AC173"/>
      <c r="AD173"/>
      <c r="AE173"/>
      <c r="AF173"/>
      <c r="AG173"/>
      <c r="AH173"/>
      <c r="AI173"/>
    </row>
    <row r="174" spans="17:35" ht="12.75" customHeight="1">
      <c r="Q174" s="668"/>
      <c r="R174" s="973" t="s">
        <v>472</v>
      </c>
      <c r="S174" s="973"/>
      <c r="T174" s="973"/>
      <c r="U174" s="544">
        <f>U169*12</f>
        <v>259072.00000000003</v>
      </c>
      <c r="V174" s="544">
        <f>V169*12</f>
        <v>20975999.999999996</v>
      </c>
      <c r="W174" s="544">
        <f>W169*12</f>
        <v>18239999.999999996</v>
      </c>
      <c r="X174" s="544">
        <f>X169*12</f>
        <v>14982857.142857142</v>
      </c>
      <c r="Y174" s="361"/>
      <c r="Z174" s="364"/>
      <c r="AA174"/>
      <c r="AB174"/>
      <c r="AC174"/>
      <c r="AD174"/>
      <c r="AE174"/>
      <c r="AF174"/>
      <c r="AG174"/>
      <c r="AH174"/>
      <c r="AI174"/>
    </row>
    <row r="175" spans="17:35" ht="12.75" customHeight="1">
      <c r="Q175" s="668"/>
      <c r="R175" s="973" t="s">
        <v>473</v>
      </c>
      <c r="S175" s="973"/>
      <c r="T175" s="973"/>
      <c r="U175" s="543"/>
      <c r="V175" s="544">
        <f>V170*12</f>
        <v>115368000.00000003</v>
      </c>
      <c r="W175" s="544">
        <f>W170*12</f>
        <v>116736000.00000003</v>
      </c>
      <c r="X175" s="544">
        <f>X170*12</f>
        <v>118364571.42857143</v>
      </c>
      <c r="Y175" s="361"/>
      <c r="Z175" s="364"/>
      <c r="AA175"/>
      <c r="AB175"/>
      <c r="AC175"/>
      <c r="AD175"/>
      <c r="AE175"/>
      <c r="AF175"/>
      <c r="AG175"/>
      <c r="AH175"/>
      <c r="AI175"/>
    </row>
    <row r="176" spans="17:35" ht="12.75" customHeight="1">
      <c r="Q176" s="668"/>
      <c r="R176" s="381"/>
      <c r="S176" s="381"/>
      <c r="T176" s="381"/>
      <c r="U176" s="381"/>
      <c r="V176" s="381"/>
      <c r="W176" s="381"/>
      <c r="X176" s="381"/>
      <c r="Y176" s="364"/>
      <c r="Z176" s="364"/>
      <c r="AA176"/>
      <c r="AB176"/>
      <c r="AC176"/>
      <c r="AD176"/>
      <c r="AE176"/>
      <c r="AF176"/>
      <c r="AG176"/>
      <c r="AH176"/>
      <c r="AI176"/>
    </row>
    <row r="177" spans="17:35" ht="12.75" customHeight="1">
      <c r="Q177" s="668"/>
      <c r="R177" s="901" t="s">
        <v>433</v>
      </c>
      <c r="S177" s="901"/>
      <c r="T177" s="901"/>
      <c r="U177" s="949" t="s">
        <v>500</v>
      </c>
      <c r="V177" s="938" t="s">
        <v>22</v>
      </c>
      <c r="W177" s="940" t="s">
        <v>579</v>
      </c>
      <c r="X177" s="942" t="s">
        <v>21</v>
      </c>
      <c r="Y177" s="361"/>
      <c r="Z177" s="364"/>
      <c r="AA177"/>
      <c r="AB177"/>
      <c r="AC177"/>
      <c r="AD177"/>
      <c r="AE177"/>
      <c r="AF177"/>
      <c r="AG177"/>
      <c r="AH177"/>
      <c r="AI177"/>
    </row>
    <row r="178" spans="17:35" ht="12.75" customHeight="1">
      <c r="Q178" s="668"/>
      <c r="R178" s="901"/>
      <c r="S178" s="901"/>
      <c r="T178" s="901"/>
      <c r="U178" s="950"/>
      <c r="V178" s="939"/>
      <c r="W178" s="941"/>
      <c r="X178" s="943"/>
      <c r="Y178" s="361"/>
      <c r="Z178" s="364"/>
      <c r="AA178"/>
      <c r="AB178"/>
      <c r="AC178"/>
      <c r="AD178"/>
      <c r="AE178"/>
      <c r="AF178"/>
      <c r="AG178"/>
      <c r="AH178"/>
      <c r="AI178"/>
    </row>
    <row r="179" spans="17:35" ht="12.75" customHeight="1">
      <c r="Q179" s="668"/>
      <c r="R179" s="970" t="s">
        <v>459</v>
      </c>
      <c r="S179" s="971"/>
      <c r="T179" s="972"/>
      <c r="U179" s="544">
        <f>U164</f>
        <v>938.66666666666674</v>
      </c>
      <c r="V179" s="544">
        <f>V164+V165</f>
        <v>494000.00000000006</v>
      </c>
      <c r="W179" s="544">
        <f>W164+W165</f>
        <v>489043.47826086963</v>
      </c>
      <c r="X179" s="544">
        <f>X164+X165</f>
        <v>483142.8571428571</v>
      </c>
      <c r="Y179" s="361"/>
      <c r="Z179" s="364"/>
      <c r="AA179"/>
      <c r="AB179"/>
      <c r="AC179"/>
      <c r="AD179"/>
      <c r="AE179"/>
      <c r="AF179"/>
      <c r="AG179"/>
      <c r="AH179"/>
      <c r="AI179"/>
    </row>
    <row r="180" spans="17:35" ht="12.75" customHeight="1">
      <c r="Q180" s="668"/>
      <c r="R180" s="973" t="s">
        <v>307</v>
      </c>
      <c r="S180" s="973"/>
      <c r="T180" s="973"/>
      <c r="U180" s="544">
        <f>U169</f>
        <v>21589.333333333336</v>
      </c>
      <c r="V180" s="544">
        <f>V169+V170</f>
        <v>11362000.000000002</v>
      </c>
      <c r="W180" s="544">
        <f>W169+W170</f>
        <v>11248000.000000002</v>
      </c>
      <c r="X180" s="544">
        <f>X169+X170</f>
        <v>11112285.714285715</v>
      </c>
      <c r="Y180" s="361"/>
      <c r="Z180" s="364"/>
      <c r="AA180"/>
      <c r="AB180"/>
      <c r="AC180"/>
      <c r="AD180"/>
      <c r="AE180"/>
      <c r="AF180"/>
      <c r="AG180"/>
      <c r="AH180"/>
      <c r="AI180"/>
    </row>
    <row r="181" spans="17:35" ht="12.75" customHeight="1">
      <c r="Q181" s="668"/>
      <c r="R181" s="973" t="s">
        <v>308</v>
      </c>
      <c r="S181" s="973"/>
      <c r="T181" s="973"/>
      <c r="U181" s="544">
        <f>U174</f>
        <v>259072.00000000003</v>
      </c>
      <c r="V181" s="544">
        <f>V174+V175</f>
        <v>136344000.00000003</v>
      </c>
      <c r="W181" s="544">
        <f>W174+W175</f>
        <v>134976000.00000003</v>
      </c>
      <c r="X181" s="544">
        <f>X174+X175</f>
        <v>133347428.57142857</v>
      </c>
      <c r="Y181" s="361"/>
      <c r="Z181" s="364"/>
      <c r="AA181"/>
      <c r="AB181"/>
      <c r="AC181"/>
      <c r="AD181"/>
      <c r="AE181"/>
      <c r="AF181"/>
      <c r="AG181"/>
      <c r="AH181"/>
      <c r="AI181"/>
    </row>
    <row r="182" spans="17:35" ht="12.75" customHeight="1">
      <c r="Q182" s="668"/>
      <c r="R182" s="381"/>
      <c r="S182" s="381"/>
      <c r="T182" s="381"/>
      <c r="U182" s="381"/>
      <c r="V182" s="381"/>
      <c r="W182" s="381"/>
      <c r="X182" s="381"/>
      <c r="Y182" s="364"/>
      <c r="Z182" s="364"/>
      <c r="AA182"/>
      <c r="AB182"/>
      <c r="AC182"/>
      <c r="AD182"/>
      <c r="AE182"/>
      <c r="AF182"/>
      <c r="AG182"/>
      <c r="AH182"/>
      <c r="AI182"/>
    </row>
    <row r="183" spans="17:35" ht="12.75" customHeight="1">
      <c r="Q183" s="668"/>
      <c r="R183" s="901" t="s">
        <v>475</v>
      </c>
      <c r="S183" s="901"/>
      <c r="T183" s="901"/>
      <c r="U183" s="930" t="s">
        <v>500</v>
      </c>
      <c r="V183" s="928" t="s">
        <v>22</v>
      </c>
      <c r="W183" s="929" t="s">
        <v>579</v>
      </c>
      <c r="X183" s="927" t="s">
        <v>21</v>
      </c>
      <c r="Y183" s="361"/>
      <c r="Z183" s="364"/>
      <c r="AA183"/>
      <c r="AB183"/>
      <c r="AC183"/>
      <c r="AD183"/>
      <c r="AE183"/>
      <c r="AF183"/>
      <c r="AG183"/>
      <c r="AH183"/>
      <c r="AI183"/>
    </row>
    <row r="184" spans="17:35" ht="12.75" customHeight="1">
      <c r="Q184" s="668"/>
      <c r="R184" s="901"/>
      <c r="S184" s="901"/>
      <c r="T184" s="901"/>
      <c r="U184" s="930"/>
      <c r="V184" s="928"/>
      <c r="W184" s="929"/>
      <c r="X184" s="927"/>
      <c r="Y184" s="361"/>
      <c r="Z184" s="364"/>
      <c r="AA184"/>
      <c r="AB184"/>
      <c r="AC184"/>
      <c r="AD184"/>
      <c r="AE184"/>
      <c r="AF184"/>
      <c r="AG184"/>
      <c r="AH184"/>
      <c r="AI184"/>
    </row>
    <row r="185" spans="17:35" ht="12.75" customHeight="1">
      <c r="Q185" s="668"/>
      <c r="R185" s="973" t="s">
        <v>472</v>
      </c>
      <c r="S185" s="973"/>
      <c r="T185" s="973"/>
      <c r="U185" s="593">
        <f>$V$224*$U$148</f>
        <v>211.20000000000002</v>
      </c>
      <c r="V185" s="593">
        <f>($V$145*$V$146*$V$153*$V$152*$V$148)/$V$154</f>
        <v>17099.999999999996</v>
      </c>
      <c r="W185" s="593">
        <f>($W$145*$W$146*$W$153*$W$152*$W$148)/$W$154</f>
        <v>14869.565217391304</v>
      </c>
      <c r="X185" s="593">
        <f>($X$145*$X$146*$X$153*$X$152*$X$148)/$X$154</f>
        <v>12214.285714285714</v>
      </c>
      <c r="Y185" s="361"/>
      <c r="Z185" s="364"/>
      <c r="AA185"/>
      <c r="AB185"/>
      <c r="AC185"/>
      <c r="AD185"/>
      <c r="AE185"/>
      <c r="AF185"/>
      <c r="AG185"/>
      <c r="AH185"/>
      <c r="AI185"/>
    </row>
    <row r="186" spans="17:35" ht="12.75" customHeight="1">
      <c r="Q186" s="668"/>
      <c r="R186" s="973" t="s">
        <v>473</v>
      </c>
      <c r="S186" s="973"/>
      <c r="T186" s="973"/>
      <c r="U186" s="543"/>
      <c r="V186" s="593">
        <f>($V$145*$V$146*$V$159*$V$158*$V$148)/$V$160</f>
        <v>94050.000000000015</v>
      </c>
      <c r="W186" s="593">
        <f>($W$145*$W$146*$W$159*$W$158*$W$148)/$W$160</f>
        <v>95165.217391304366</v>
      </c>
      <c r="X186" s="593">
        <f>($X$145*$X$146*$X$159*$X$158*$X$148)/$X$160</f>
        <v>96492.857142857145</v>
      </c>
      <c r="Y186" s="361"/>
      <c r="Z186" s="364"/>
      <c r="AA186"/>
      <c r="AB186"/>
      <c r="AC186"/>
      <c r="AD186"/>
      <c r="AE186"/>
      <c r="AF186"/>
      <c r="AG186"/>
      <c r="AH186"/>
      <c r="AI186"/>
    </row>
    <row r="187" spans="17:35" ht="12.75" customHeight="1">
      <c r="Q187" s="668"/>
      <c r="R187" s="381"/>
      <c r="S187" s="381"/>
      <c r="T187" s="381"/>
      <c r="U187" s="381"/>
      <c r="V187" s="381"/>
      <c r="W187" s="381"/>
      <c r="X187" s="381"/>
      <c r="Y187" s="552"/>
      <c r="Z187" s="364"/>
      <c r="AA187"/>
      <c r="AB187"/>
      <c r="AC187"/>
      <c r="AD187"/>
      <c r="AE187"/>
      <c r="AF187"/>
      <c r="AG187"/>
      <c r="AH187"/>
      <c r="AI187"/>
    </row>
    <row r="188" spans="17:35" ht="12.75" customHeight="1">
      <c r="Q188" s="668"/>
      <c r="R188" s="901" t="s">
        <v>476</v>
      </c>
      <c r="S188" s="901"/>
      <c r="T188" s="901"/>
      <c r="U188" s="930" t="s">
        <v>500</v>
      </c>
      <c r="V188" s="928" t="s">
        <v>22</v>
      </c>
      <c r="W188" s="929" t="s">
        <v>579</v>
      </c>
      <c r="X188" s="927" t="s">
        <v>21</v>
      </c>
      <c r="Y188" s="361"/>
      <c r="Z188" s="364"/>
      <c r="AA188"/>
      <c r="AB188"/>
      <c r="AC188"/>
      <c r="AD188"/>
      <c r="AE188"/>
      <c r="AF188"/>
      <c r="AG188"/>
      <c r="AH188"/>
      <c r="AI188"/>
    </row>
    <row r="189" spans="17:35" ht="12.75" customHeight="1">
      <c r="Q189" s="668"/>
      <c r="R189" s="901"/>
      <c r="S189" s="901"/>
      <c r="T189" s="901"/>
      <c r="U189" s="930"/>
      <c r="V189" s="928"/>
      <c r="W189" s="929"/>
      <c r="X189" s="927"/>
      <c r="Y189" s="361"/>
      <c r="Z189" s="364"/>
      <c r="AA189"/>
      <c r="AB189"/>
      <c r="AC189"/>
      <c r="AD189"/>
      <c r="AE189"/>
      <c r="AF189"/>
      <c r="AG189"/>
      <c r="AH189"/>
      <c r="AI189"/>
    </row>
    <row r="190" spans="17:35" ht="12.75" customHeight="1">
      <c r="Q190" s="668"/>
      <c r="R190" s="973" t="s">
        <v>472</v>
      </c>
      <c r="S190" s="973"/>
      <c r="T190" s="973"/>
      <c r="U190" s="593">
        <f>U185*$V$11</f>
        <v>4857.6000000000004</v>
      </c>
      <c r="V190" s="593">
        <f>V185*$V$11</f>
        <v>393299.99999999994</v>
      </c>
      <c r="W190" s="593">
        <f>W185*$V$11</f>
        <v>342000</v>
      </c>
      <c r="X190" s="593">
        <f>X185*$V$11</f>
        <v>280928.57142857142</v>
      </c>
      <c r="Y190" s="361"/>
      <c r="Z190" s="364"/>
      <c r="AA190"/>
      <c r="AB190"/>
      <c r="AC190"/>
      <c r="AD190"/>
      <c r="AE190"/>
      <c r="AF190"/>
      <c r="AG190"/>
      <c r="AH190"/>
      <c r="AI190"/>
    </row>
    <row r="191" spans="17:35" ht="12.75" customHeight="1">
      <c r="Q191" s="668"/>
      <c r="R191" s="973" t="s">
        <v>473</v>
      </c>
      <c r="S191" s="973"/>
      <c r="T191" s="973"/>
      <c r="U191" s="543"/>
      <c r="V191" s="593">
        <f>V186*$V$11</f>
        <v>2163150.0000000005</v>
      </c>
      <c r="W191" s="593">
        <f>W186*$V$11</f>
        <v>2188800.0000000005</v>
      </c>
      <c r="X191" s="593">
        <f>X186*$V$11</f>
        <v>2219335.7142857146</v>
      </c>
      <c r="Y191" s="361"/>
      <c r="Z191" s="364"/>
      <c r="AA191"/>
      <c r="AB191"/>
      <c r="AC191"/>
      <c r="AD191"/>
      <c r="AE191"/>
      <c r="AF191"/>
      <c r="AG191"/>
      <c r="AH191"/>
      <c r="AI191"/>
    </row>
    <row r="192" spans="17:35" ht="12.75" customHeight="1">
      <c r="Q192" s="668"/>
      <c r="R192" s="367"/>
      <c r="S192" s="367"/>
      <c r="T192" s="367"/>
      <c r="U192" s="367"/>
      <c r="V192" s="367"/>
      <c r="W192" s="367"/>
      <c r="X192" s="367"/>
      <c r="Y192" s="364"/>
      <c r="Z192" s="364"/>
      <c r="AA192"/>
      <c r="AB192"/>
      <c r="AC192"/>
      <c r="AD192"/>
      <c r="AE192"/>
      <c r="AF192"/>
      <c r="AG192"/>
      <c r="AH192"/>
      <c r="AI192"/>
    </row>
    <row r="193" spans="17:35" ht="12.75" customHeight="1">
      <c r="Q193" s="668"/>
      <c r="R193" s="901" t="s">
        <v>477</v>
      </c>
      <c r="S193" s="901"/>
      <c r="T193" s="901"/>
      <c r="U193" s="930" t="s">
        <v>500</v>
      </c>
      <c r="V193" s="928" t="s">
        <v>22</v>
      </c>
      <c r="W193" s="929" t="s">
        <v>579</v>
      </c>
      <c r="X193" s="927" t="s">
        <v>21</v>
      </c>
      <c r="Y193" s="361"/>
      <c r="Z193" s="364"/>
      <c r="AA193"/>
      <c r="AB193"/>
      <c r="AC193"/>
      <c r="AD193"/>
      <c r="AE193"/>
      <c r="AF193"/>
      <c r="AG193"/>
      <c r="AH193"/>
      <c r="AI193"/>
    </row>
    <row r="194" spans="17:35" ht="12.75" customHeight="1">
      <c r="Q194" s="668"/>
      <c r="R194" s="901"/>
      <c r="S194" s="901"/>
      <c r="T194" s="901"/>
      <c r="U194" s="930"/>
      <c r="V194" s="928"/>
      <c r="W194" s="929"/>
      <c r="X194" s="927"/>
      <c r="Y194" s="361"/>
      <c r="Z194" s="364"/>
      <c r="AA194"/>
      <c r="AB194"/>
      <c r="AC194"/>
      <c r="AD194"/>
      <c r="AE194"/>
      <c r="AF194"/>
      <c r="AG194"/>
      <c r="AH194"/>
      <c r="AI194"/>
    </row>
    <row r="195" spans="17:35" ht="12.75" customHeight="1">
      <c r="Q195" s="668"/>
      <c r="R195" s="973" t="s">
        <v>472</v>
      </c>
      <c r="S195" s="973"/>
      <c r="T195" s="973"/>
      <c r="U195" s="593">
        <f>U190*12</f>
        <v>58291.200000000004</v>
      </c>
      <c r="V195" s="593">
        <f>V190*12</f>
        <v>4719599.9999999991</v>
      </c>
      <c r="W195" s="593">
        <f>W190*12</f>
        <v>4104000</v>
      </c>
      <c r="X195" s="593">
        <f>X190*12</f>
        <v>3371142.8571428573</v>
      </c>
      <c r="Y195" s="361"/>
      <c r="Z195" s="364"/>
      <c r="AA195"/>
      <c r="AB195"/>
      <c r="AC195"/>
      <c r="AD195"/>
      <c r="AE195"/>
      <c r="AF195"/>
      <c r="AG195"/>
      <c r="AH195"/>
      <c r="AI195"/>
    </row>
    <row r="196" spans="17:35" ht="12.75" customHeight="1">
      <c r="Q196" s="668"/>
      <c r="R196" s="973" t="s">
        <v>473</v>
      </c>
      <c r="S196" s="973"/>
      <c r="T196" s="973"/>
      <c r="U196" s="543"/>
      <c r="V196" s="593">
        <f>V191*12</f>
        <v>25957800.000000007</v>
      </c>
      <c r="W196" s="593">
        <f>W191*12</f>
        <v>26265600.000000007</v>
      </c>
      <c r="X196" s="593">
        <f>X191*12</f>
        <v>26632028.571428575</v>
      </c>
      <c r="Y196" s="361"/>
      <c r="Z196" s="364"/>
      <c r="AA196"/>
      <c r="AB196"/>
      <c r="AC196"/>
      <c r="AD196"/>
      <c r="AE196"/>
      <c r="AF196"/>
      <c r="AG196"/>
      <c r="AH196"/>
      <c r="AI196"/>
    </row>
    <row r="197" spans="17:35" ht="12.75" customHeight="1">
      <c r="Q197" s="668"/>
      <c r="R197" s="367"/>
      <c r="S197" s="367"/>
      <c r="T197" s="367"/>
      <c r="U197" s="367"/>
      <c r="V197" s="367"/>
      <c r="W197" s="367"/>
      <c r="X197" s="367"/>
      <c r="Y197" s="364"/>
      <c r="Z197" s="364"/>
      <c r="AA197"/>
      <c r="AB197"/>
      <c r="AC197"/>
      <c r="AD197"/>
      <c r="AE197"/>
      <c r="AF197"/>
      <c r="AG197"/>
      <c r="AH197"/>
      <c r="AI197"/>
    </row>
    <row r="198" spans="17:35" ht="12.75" customHeight="1">
      <c r="Q198" s="668"/>
      <c r="R198" s="901" t="s">
        <v>116</v>
      </c>
      <c r="S198" s="901"/>
      <c r="T198" s="901"/>
      <c r="U198" s="949" t="s">
        <v>500</v>
      </c>
      <c r="V198" s="938" t="s">
        <v>22</v>
      </c>
      <c r="W198" s="940" t="s">
        <v>579</v>
      </c>
      <c r="X198" s="942" t="s">
        <v>21</v>
      </c>
      <c r="Y198" s="361"/>
      <c r="Z198" s="364"/>
      <c r="AA198"/>
      <c r="AB198"/>
      <c r="AC198"/>
      <c r="AD198"/>
      <c r="AE198"/>
      <c r="AF198"/>
      <c r="AG198"/>
      <c r="AH198"/>
      <c r="AI198"/>
    </row>
    <row r="199" spans="17:35" ht="12.75" customHeight="1">
      <c r="Q199" s="668"/>
      <c r="R199" s="901"/>
      <c r="S199" s="901"/>
      <c r="T199" s="901"/>
      <c r="U199" s="950"/>
      <c r="V199" s="939"/>
      <c r="W199" s="941"/>
      <c r="X199" s="943"/>
      <c r="Y199" s="361"/>
      <c r="Z199" s="364"/>
      <c r="AA199"/>
      <c r="AB199"/>
      <c r="AC199"/>
      <c r="AD199"/>
      <c r="AE199"/>
      <c r="AF199"/>
      <c r="AG199"/>
      <c r="AH199"/>
      <c r="AI199"/>
    </row>
    <row r="200" spans="17:35" ht="12.75" customHeight="1">
      <c r="Q200" s="668"/>
      <c r="R200" s="970" t="s">
        <v>459</v>
      </c>
      <c r="S200" s="971"/>
      <c r="T200" s="972"/>
      <c r="U200" s="593">
        <f>U185</f>
        <v>211.20000000000002</v>
      </c>
      <c r="V200" s="593">
        <f>V185+V186</f>
        <v>111150.00000000001</v>
      </c>
      <c r="W200" s="593">
        <f>W185+W186</f>
        <v>110034.78260869568</v>
      </c>
      <c r="X200" s="593">
        <f>X185+X186</f>
        <v>108707.14285714286</v>
      </c>
      <c r="Y200" s="361"/>
      <c r="Z200" s="364"/>
      <c r="AA200"/>
      <c r="AB200"/>
      <c r="AC200"/>
      <c r="AD200"/>
      <c r="AE200"/>
      <c r="AF200"/>
      <c r="AG200"/>
      <c r="AH200"/>
      <c r="AI200"/>
    </row>
    <row r="201" spans="17:35" ht="12.75" customHeight="1">
      <c r="Q201" s="668"/>
      <c r="R201" s="973" t="s">
        <v>307</v>
      </c>
      <c r="S201" s="973"/>
      <c r="T201" s="973"/>
      <c r="U201" s="593">
        <f>U190</f>
        <v>4857.6000000000004</v>
      </c>
      <c r="V201" s="593">
        <f>V190+V191</f>
        <v>2556450.0000000005</v>
      </c>
      <c r="W201" s="593">
        <f>W190+W191</f>
        <v>2530800.0000000005</v>
      </c>
      <c r="X201" s="593">
        <f>X190+X191</f>
        <v>2500264.2857142859</v>
      </c>
      <c r="Y201" s="361"/>
      <c r="Z201" s="364"/>
      <c r="AA201"/>
      <c r="AB201"/>
      <c r="AC201"/>
      <c r="AD201"/>
      <c r="AE201"/>
      <c r="AF201"/>
      <c r="AG201"/>
      <c r="AH201"/>
      <c r="AI201"/>
    </row>
    <row r="202" spans="17:35" ht="12.75" customHeight="1">
      <c r="Q202" s="668"/>
      <c r="R202" s="973" t="s">
        <v>308</v>
      </c>
      <c r="S202" s="973"/>
      <c r="T202" s="973"/>
      <c r="U202" s="593">
        <f>U195</f>
        <v>58291.200000000004</v>
      </c>
      <c r="V202" s="593">
        <f>V195+V196</f>
        <v>30677400.000000007</v>
      </c>
      <c r="W202" s="593">
        <f>W195+W196</f>
        <v>30369600.000000007</v>
      </c>
      <c r="X202" s="593">
        <f>X195+X196</f>
        <v>30003171.428571433</v>
      </c>
      <c r="Y202" s="361"/>
      <c r="Z202" s="364"/>
      <c r="AA202"/>
      <c r="AB202"/>
      <c r="AC202"/>
      <c r="AD202"/>
      <c r="AE202"/>
      <c r="AF202"/>
      <c r="AG202"/>
      <c r="AH202"/>
      <c r="AI202"/>
    </row>
    <row r="203" spans="17:35" ht="12.75" customHeight="1">
      <c r="Q203" s="668"/>
      <c r="R203" s="575"/>
      <c r="S203" s="575"/>
      <c r="T203" s="575"/>
      <c r="U203" s="382"/>
      <c r="V203" s="382"/>
      <c r="W203" s="382"/>
      <c r="X203" s="382"/>
      <c r="Y203" s="364"/>
      <c r="Z203" s="364"/>
      <c r="AA203"/>
      <c r="AB203"/>
      <c r="AC203"/>
      <c r="AD203"/>
      <c r="AE203"/>
      <c r="AF203"/>
      <c r="AG203"/>
      <c r="AH203"/>
      <c r="AI203"/>
    </row>
    <row r="204" spans="17:35" ht="12.75" customHeight="1">
      <c r="Q204" s="668"/>
      <c r="R204" s="974" t="s">
        <v>775</v>
      </c>
      <c r="S204" s="974"/>
      <c r="T204" s="974"/>
      <c r="U204" s="974"/>
      <c r="V204" s="974"/>
      <c r="W204" s="974"/>
      <c r="X204" s="974"/>
      <c r="Y204" s="974"/>
      <c r="Z204" s="364"/>
      <c r="AA204"/>
      <c r="AB204"/>
      <c r="AC204"/>
      <c r="AD204"/>
      <c r="AE204"/>
      <c r="AF204"/>
      <c r="AG204"/>
      <c r="AH204"/>
      <c r="AI204"/>
    </row>
    <row r="205" spans="17:35" ht="12.75" customHeight="1">
      <c r="Q205" s="668"/>
      <c r="R205" s="974"/>
      <c r="S205" s="974"/>
      <c r="T205" s="974"/>
      <c r="U205" s="974"/>
      <c r="V205" s="974"/>
      <c r="W205" s="974"/>
      <c r="X205" s="974"/>
      <c r="Y205" s="974"/>
      <c r="Z205" s="576"/>
      <c r="AA205"/>
      <c r="AB205"/>
      <c r="AC205"/>
      <c r="AD205"/>
      <c r="AE205"/>
      <c r="AF205"/>
      <c r="AG205"/>
      <c r="AH205"/>
      <c r="AI205"/>
    </row>
    <row r="206" spans="17:35" ht="12.75" customHeight="1">
      <c r="Q206" s="668"/>
      <c r="R206" s="974"/>
      <c r="S206" s="974"/>
      <c r="T206" s="974"/>
      <c r="U206" s="974"/>
      <c r="V206" s="974"/>
      <c r="W206" s="974"/>
      <c r="X206" s="974"/>
      <c r="Y206" s="974"/>
      <c r="Z206" s="576"/>
      <c r="AA206"/>
      <c r="AB206"/>
      <c r="AC206"/>
      <c r="AD206"/>
      <c r="AE206"/>
      <c r="AF206"/>
      <c r="AG206"/>
      <c r="AH206"/>
      <c r="AI206"/>
    </row>
    <row r="207" spans="17:35" ht="12.75" customHeight="1">
      <c r="Q207" s="668"/>
      <c r="R207" s="974"/>
      <c r="S207" s="974"/>
      <c r="T207" s="974"/>
      <c r="U207" s="974"/>
      <c r="V207" s="974"/>
      <c r="W207" s="974"/>
      <c r="X207" s="974"/>
      <c r="Y207" s="974"/>
      <c r="Z207" s="576"/>
      <c r="AA207"/>
      <c r="AB207"/>
      <c r="AC207"/>
      <c r="AD207"/>
      <c r="AE207"/>
      <c r="AF207"/>
      <c r="AG207"/>
      <c r="AH207"/>
      <c r="AI207"/>
    </row>
    <row r="208" spans="17:35" ht="12.75" customHeight="1">
      <c r="Q208" s="668"/>
      <c r="R208" s="974"/>
      <c r="S208" s="974"/>
      <c r="T208" s="974"/>
      <c r="U208" s="974"/>
      <c r="V208" s="974"/>
      <c r="W208" s="974"/>
      <c r="X208" s="974"/>
      <c r="Y208" s="974"/>
      <c r="Z208" s="576"/>
      <c r="AA208"/>
      <c r="AB208"/>
      <c r="AC208"/>
      <c r="AD208"/>
      <c r="AE208"/>
      <c r="AF208"/>
      <c r="AG208"/>
      <c r="AH208"/>
      <c r="AI208"/>
    </row>
    <row r="209" spans="17:35" ht="12.75" customHeight="1">
      <c r="Q209" s="668"/>
      <c r="R209" s="364"/>
      <c r="S209" s="375"/>
      <c r="T209" s="375"/>
      <c r="U209" s="577"/>
      <c r="V209" s="577"/>
      <c r="W209" s="577"/>
      <c r="X209" s="577"/>
      <c r="Y209" s="551"/>
      <c r="Z209" s="363"/>
      <c r="AA209"/>
      <c r="AB209"/>
      <c r="AC209"/>
      <c r="AD209"/>
      <c r="AE209"/>
      <c r="AF209"/>
      <c r="AG209"/>
      <c r="AH209"/>
      <c r="AI209"/>
    </row>
    <row r="210" spans="17:35" ht="12.75" customHeight="1">
      <c r="Q210" s="668"/>
      <c r="R210" s="975" t="s">
        <v>667</v>
      </c>
      <c r="S210" s="976"/>
      <c r="T210" s="976"/>
      <c r="U210" s="976"/>
      <c r="V210" s="976"/>
      <c r="W210" s="976"/>
      <c r="X210" s="979">
        <f>10*V25</f>
        <v>76800</v>
      </c>
      <c r="Y210" s="935" t="s">
        <v>668</v>
      </c>
      <c r="Z210" s="364"/>
      <c r="AA210"/>
      <c r="AB210"/>
      <c r="AC210"/>
      <c r="AD210"/>
      <c r="AE210"/>
      <c r="AF210"/>
      <c r="AG210"/>
      <c r="AH210"/>
      <c r="AI210"/>
    </row>
    <row r="211" spans="17:35" ht="12.75" customHeight="1">
      <c r="Q211" s="668"/>
      <c r="R211" s="977"/>
      <c r="S211" s="978"/>
      <c r="T211" s="978"/>
      <c r="U211" s="978"/>
      <c r="V211" s="978"/>
      <c r="W211" s="978"/>
      <c r="X211" s="979"/>
      <c r="Y211" s="935"/>
      <c r="Z211" s="364"/>
      <c r="AA211"/>
      <c r="AB211"/>
      <c r="AC211"/>
      <c r="AD211"/>
      <c r="AE211"/>
      <c r="AF211"/>
      <c r="AG211"/>
      <c r="AH211"/>
      <c r="AI211"/>
    </row>
    <row r="212" spans="17:35" ht="12.75" customHeight="1">
      <c r="Q212" s="668"/>
      <c r="R212" s="578"/>
      <c r="S212" s="578"/>
      <c r="T212" s="578"/>
      <c r="U212" s="578"/>
      <c r="V212" s="578"/>
      <c r="W212" s="578"/>
      <c r="X212" s="578"/>
      <c r="Y212" s="579"/>
      <c r="Z212" s="551"/>
      <c r="AA212"/>
      <c r="AB212"/>
      <c r="AC212"/>
      <c r="AD212"/>
      <c r="AE212"/>
      <c r="AF212"/>
      <c r="AG212"/>
      <c r="AH212"/>
      <c r="AI212"/>
    </row>
    <row r="213" spans="17:35" ht="12.75" customHeight="1">
      <c r="Q213" s="668"/>
      <c r="R213" s="937" t="s">
        <v>678</v>
      </c>
      <c r="S213" s="937"/>
      <c r="T213" s="937"/>
      <c r="U213" s="937"/>
      <c r="V213" s="949" t="s">
        <v>500</v>
      </c>
      <c r="W213" s="938" t="s">
        <v>22</v>
      </c>
      <c r="X213" s="940" t="s">
        <v>579</v>
      </c>
      <c r="Y213" s="942" t="s">
        <v>21</v>
      </c>
      <c r="Z213" s="361"/>
      <c r="AA213"/>
      <c r="AB213"/>
      <c r="AC213"/>
      <c r="AD213"/>
      <c r="AE213"/>
      <c r="AF213"/>
      <c r="AG213"/>
      <c r="AH213"/>
      <c r="AI213"/>
    </row>
    <row r="214" spans="17:35" ht="12.75" customHeight="1">
      <c r="Q214" s="668"/>
      <c r="R214" s="937"/>
      <c r="S214" s="937"/>
      <c r="T214" s="937"/>
      <c r="U214" s="937"/>
      <c r="V214" s="950"/>
      <c r="W214" s="939"/>
      <c r="X214" s="941"/>
      <c r="Y214" s="943"/>
      <c r="Z214" s="361"/>
      <c r="AA214"/>
      <c r="AB214"/>
      <c r="AC214"/>
      <c r="AD214"/>
      <c r="AE214"/>
      <c r="AF214"/>
      <c r="AG214"/>
      <c r="AH214"/>
      <c r="AI214"/>
    </row>
    <row r="215" spans="17:35" ht="12.75" customHeight="1">
      <c r="Q215" s="668"/>
      <c r="R215" s="968" t="s">
        <v>533</v>
      </c>
      <c r="S215" s="968"/>
      <c r="T215" s="968"/>
      <c r="U215" s="968"/>
      <c r="V215" s="580">
        <v>0.107</v>
      </c>
      <c r="W215" s="581">
        <f>VLOOKUP($V$5,'Lookup Energy kWhm'!$B$8:$E$208,3)</f>
        <v>0.13</v>
      </c>
      <c r="X215" s="581">
        <f>VLOOKUP($V$5,'Lookup Energy kWhm'!$B$8:$E$208,4)</f>
        <v>0.14799999999999999</v>
      </c>
      <c r="Y215" s="581">
        <f>VLOOKUP($V$5,'Lookup Energy kWhm'!$B$8:$E$208,2)</f>
        <v>0.1</v>
      </c>
      <c r="Z215" s="361"/>
      <c r="AA215"/>
      <c r="AB215"/>
      <c r="AC215"/>
      <c r="AD215"/>
      <c r="AE215"/>
      <c r="AF215"/>
      <c r="AG215"/>
      <c r="AH215"/>
      <c r="AI215"/>
    </row>
    <row r="216" spans="17:35" ht="12.75" customHeight="1">
      <c r="Q216" s="668"/>
      <c r="R216" s="969" t="s">
        <v>31</v>
      </c>
      <c r="S216" s="969"/>
      <c r="T216" s="969"/>
      <c r="U216" s="969"/>
      <c r="V216" s="556">
        <f t="shared" ref="V216:W219" si="2">X216</f>
        <v>1.2</v>
      </c>
      <c r="W216" s="556">
        <f t="shared" si="2"/>
        <v>1.2</v>
      </c>
      <c r="X216" s="556">
        <f>W216</f>
        <v>1.2</v>
      </c>
      <c r="Y216" s="556">
        <f>V20</f>
        <v>1.2</v>
      </c>
      <c r="Z216" s="361"/>
      <c r="AA216"/>
      <c r="AB216"/>
      <c r="AC216"/>
      <c r="AD216"/>
      <c r="AE216"/>
      <c r="AF216"/>
      <c r="AG216"/>
      <c r="AH216"/>
      <c r="AI216"/>
    </row>
    <row r="217" spans="17:35" ht="12.75" customHeight="1">
      <c r="Q217" s="668"/>
      <c r="R217" s="969" t="s">
        <v>314</v>
      </c>
      <c r="S217" s="969"/>
      <c r="T217" s="969"/>
      <c r="U217" s="969"/>
      <c r="V217" s="556">
        <f t="shared" si="2"/>
        <v>160</v>
      </c>
      <c r="W217" s="556">
        <f t="shared" si="2"/>
        <v>160</v>
      </c>
      <c r="X217" s="556">
        <f>W217</f>
        <v>160</v>
      </c>
      <c r="Y217" s="556">
        <f>V19</f>
        <v>160</v>
      </c>
      <c r="Z217" s="361"/>
      <c r="AA217"/>
      <c r="AB217"/>
      <c r="AC217"/>
      <c r="AD217"/>
      <c r="AE217"/>
      <c r="AF217"/>
      <c r="AG217"/>
      <c r="AH217"/>
      <c r="AI217"/>
    </row>
    <row r="218" spans="17:35" ht="12.75" customHeight="1">
      <c r="Q218" s="668"/>
      <c r="R218" s="969" t="s">
        <v>20</v>
      </c>
      <c r="S218" s="969"/>
      <c r="T218" s="969"/>
      <c r="U218" s="969"/>
      <c r="V218" s="556">
        <f t="shared" si="2"/>
        <v>40</v>
      </c>
      <c r="W218" s="556">
        <f t="shared" si="2"/>
        <v>40</v>
      </c>
      <c r="X218" s="556">
        <f>W218</f>
        <v>40</v>
      </c>
      <c r="Y218" s="556">
        <f>V22</f>
        <v>40</v>
      </c>
      <c r="Z218" s="361"/>
      <c r="AA218"/>
      <c r="AB218"/>
      <c r="AC218"/>
      <c r="AD218"/>
      <c r="AE218"/>
      <c r="AF218"/>
      <c r="AG218"/>
      <c r="AH218"/>
      <c r="AI218"/>
    </row>
    <row r="219" spans="17:35" ht="12.75" customHeight="1">
      <c r="Q219" s="668"/>
      <c r="R219" s="969" t="s">
        <v>310</v>
      </c>
      <c r="S219" s="969"/>
      <c r="T219" s="969"/>
      <c r="U219" s="969"/>
      <c r="V219" s="556">
        <f t="shared" si="2"/>
        <v>160</v>
      </c>
      <c r="W219" s="556">
        <f t="shared" si="2"/>
        <v>160</v>
      </c>
      <c r="X219" s="556">
        <f>W219</f>
        <v>160</v>
      </c>
      <c r="Y219" s="556">
        <f>V23</f>
        <v>160</v>
      </c>
      <c r="Z219" s="361"/>
      <c r="AA219"/>
      <c r="AB219"/>
      <c r="AC219"/>
      <c r="AD219"/>
      <c r="AE219"/>
      <c r="AF219"/>
      <c r="AG219"/>
      <c r="AH219"/>
      <c r="AI219"/>
    </row>
    <row r="220" spans="17:35" ht="12.75" customHeight="1">
      <c r="Q220" s="668"/>
      <c r="R220" s="968" t="s">
        <v>543</v>
      </c>
      <c r="S220" s="968"/>
      <c r="T220" s="968"/>
      <c r="U220" s="968"/>
      <c r="V220" s="582">
        <f>V215*V216*V217*V218</f>
        <v>821.75999999999988</v>
      </c>
      <c r="W220" s="582">
        <f>W215*W216*W217*W218</f>
        <v>998.40000000000009</v>
      </c>
      <c r="X220" s="582">
        <f>X215*X216*X217*X218</f>
        <v>1136.6399999999999</v>
      </c>
      <c r="Y220" s="582">
        <f>Y215*Y216*Y217*Y218</f>
        <v>768</v>
      </c>
      <c r="Z220" s="361"/>
      <c r="AA220"/>
      <c r="AB220"/>
      <c r="AC220"/>
      <c r="AD220"/>
      <c r="AE220"/>
      <c r="AF220"/>
      <c r="AG220"/>
      <c r="AH220"/>
      <c r="AI220"/>
    </row>
    <row r="221" spans="17:35" ht="12.75" customHeight="1">
      <c r="Q221" s="668"/>
      <c r="R221" s="968" t="s">
        <v>542</v>
      </c>
      <c r="S221" s="968"/>
      <c r="T221" s="968"/>
      <c r="U221" s="968"/>
      <c r="V221" s="583">
        <f>V220/V219</f>
        <v>5.1359999999999992</v>
      </c>
      <c r="W221" s="583">
        <f>W220/W219</f>
        <v>6.24</v>
      </c>
      <c r="X221" s="583">
        <f>X220/X219</f>
        <v>7.1039999999999992</v>
      </c>
      <c r="Y221" s="583">
        <f>Y220/Y219</f>
        <v>4.8</v>
      </c>
      <c r="Z221" s="361"/>
      <c r="AA221"/>
      <c r="AB221"/>
      <c r="AC221"/>
      <c r="AD221"/>
      <c r="AE221"/>
      <c r="AF221"/>
      <c r="AG221"/>
      <c r="AH221"/>
      <c r="AI221"/>
    </row>
    <row r="222" spans="17:35" ht="12.75" customHeight="1">
      <c r="Q222" s="668"/>
      <c r="R222" s="968" t="s">
        <v>538</v>
      </c>
      <c r="S222" s="968"/>
      <c r="T222" s="968"/>
      <c r="U222" s="968"/>
      <c r="V222" s="537">
        <f>U62</f>
        <v>2.6666666666666665</v>
      </c>
      <c r="W222" s="537">
        <f>V62</f>
        <v>1.9999999999999996</v>
      </c>
      <c r="X222" s="537">
        <f>W62</f>
        <v>1.7391304347826084</v>
      </c>
      <c r="Y222" s="537">
        <f>X62</f>
        <v>1.4285714285714284</v>
      </c>
      <c r="Z222" s="361"/>
      <c r="AA222"/>
      <c r="AB222"/>
      <c r="AC222"/>
      <c r="AD222"/>
      <c r="AE222"/>
      <c r="AF222"/>
      <c r="AG222"/>
      <c r="AH222"/>
      <c r="AI222"/>
    </row>
    <row r="223" spans="17:35" ht="12.75" customHeight="1">
      <c r="Q223" s="668"/>
      <c r="R223" s="968" t="s">
        <v>546</v>
      </c>
      <c r="S223" s="968"/>
      <c r="T223" s="968"/>
      <c r="U223" s="968"/>
      <c r="V223" s="584">
        <f>2.2*V222</f>
        <v>5.8666666666666671</v>
      </c>
      <c r="W223" s="584">
        <f>W222/W215</f>
        <v>15.384615384615381</v>
      </c>
      <c r="X223" s="584">
        <f>X222/X215</f>
        <v>11.750881316098706</v>
      </c>
      <c r="Y223" s="584">
        <f>Y222/Y215</f>
        <v>14.285714285714283</v>
      </c>
      <c r="Z223" s="361"/>
      <c r="AA223"/>
      <c r="AB223"/>
      <c r="AC223"/>
      <c r="AD223"/>
      <c r="AE223"/>
      <c r="AF223"/>
      <c r="AG223"/>
      <c r="AH223"/>
      <c r="AI223"/>
    </row>
    <row r="224" spans="17:35" ht="12.75" customHeight="1">
      <c r="Q224" s="668"/>
      <c r="R224" s="968" t="s">
        <v>544</v>
      </c>
      <c r="S224" s="968"/>
      <c r="T224" s="968"/>
      <c r="U224" s="968"/>
      <c r="V224" s="582">
        <f>V219*V223</f>
        <v>938.66666666666674</v>
      </c>
      <c r="W224" s="582">
        <f>W219*W223</f>
        <v>2461.538461538461</v>
      </c>
      <c r="X224" s="582">
        <f>X219*X223</f>
        <v>1880.141010575793</v>
      </c>
      <c r="Y224" s="674">
        <f>Y219*Y223</f>
        <v>2285.7142857142853</v>
      </c>
      <c r="Z224" s="361"/>
      <c r="AA224"/>
      <c r="AB224"/>
      <c r="AC224"/>
      <c r="AD224"/>
      <c r="AE224"/>
      <c r="AF224"/>
      <c r="AG224"/>
      <c r="AH224"/>
      <c r="AI224"/>
    </row>
    <row r="225" spans="17:35" ht="12.75" customHeight="1">
      <c r="Q225" s="668"/>
      <c r="R225" s="969" t="s">
        <v>535</v>
      </c>
      <c r="S225" s="969"/>
      <c r="T225" s="969"/>
      <c r="U225" s="969"/>
      <c r="V225" s="556">
        <f>V217/V222</f>
        <v>60</v>
      </c>
      <c r="W225" s="556">
        <f>W217/W222</f>
        <v>80.000000000000014</v>
      </c>
      <c r="X225" s="556">
        <f>X217/X222</f>
        <v>92.000000000000014</v>
      </c>
      <c r="Y225" s="556">
        <f>Y217/Y222</f>
        <v>112.00000000000001</v>
      </c>
      <c r="Z225" s="361"/>
      <c r="AA225"/>
      <c r="AB225"/>
      <c r="AC225"/>
      <c r="AD225"/>
      <c r="AE225"/>
      <c r="AF225"/>
      <c r="AG225"/>
      <c r="AH225"/>
      <c r="AI225"/>
    </row>
    <row r="226" spans="17:35" ht="12.75" customHeight="1">
      <c r="Q226" s="668"/>
      <c r="R226" s="969" t="s">
        <v>536</v>
      </c>
      <c r="S226" s="969"/>
      <c r="T226" s="969"/>
      <c r="U226" s="969"/>
      <c r="V226" s="675">
        <f>V216*V225</f>
        <v>72</v>
      </c>
      <c r="W226" s="675">
        <f>W216*W225</f>
        <v>96.000000000000014</v>
      </c>
      <c r="X226" s="675">
        <f>X216*X225</f>
        <v>110.40000000000002</v>
      </c>
      <c r="Y226" s="675">
        <f>Y216*Y225</f>
        <v>134.4</v>
      </c>
      <c r="Z226" s="361"/>
      <c r="AA226"/>
      <c r="AB226"/>
      <c r="AC226"/>
      <c r="AD226"/>
      <c r="AE226"/>
      <c r="AF226"/>
      <c r="AG226"/>
      <c r="AH226"/>
      <c r="AI226"/>
    </row>
    <row r="227" spans="17:35" ht="12.75" customHeight="1">
      <c r="Q227" s="668"/>
      <c r="R227" s="968" t="s">
        <v>534</v>
      </c>
      <c r="S227" s="968"/>
      <c r="T227" s="968"/>
      <c r="U227" s="968"/>
      <c r="V227" s="583">
        <f>U56</f>
        <v>4</v>
      </c>
      <c r="W227" s="583">
        <f>V56</f>
        <v>2.9999999999999996</v>
      </c>
      <c r="X227" s="583">
        <f>W56</f>
        <v>2.6086956521739126</v>
      </c>
      <c r="Y227" s="583">
        <f>X56</f>
        <v>2.1428571428571428</v>
      </c>
      <c r="Z227" s="361"/>
      <c r="AA227"/>
      <c r="AB227"/>
      <c r="AC227"/>
      <c r="AD227"/>
      <c r="AE227"/>
      <c r="AF227"/>
      <c r="AG227"/>
      <c r="AH227"/>
      <c r="AI227"/>
    </row>
    <row r="228" spans="17:35" ht="12.75" customHeight="1">
      <c r="Q228" s="668"/>
      <c r="R228" s="968" t="s">
        <v>537</v>
      </c>
      <c r="S228" s="968"/>
      <c r="T228" s="968"/>
      <c r="U228" s="968"/>
      <c r="V228" s="584">
        <f>V225*V227</f>
        <v>240</v>
      </c>
      <c r="W228" s="584">
        <f>W225*W227</f>
        <v>240</v>
      </c>
      <c r="X228" s="584">
        <f>X225*X227</f>
        <v>240</v>
      </c>
      <c r="Y228" s="584">
        <f>Y225*Y227</f>
        <v>240.00000000000003</v>
      </c>
      <c r="Z228" s="361"/>
      <c r="AA228"/>
      <c r="AB228"/>
      <c r="AC228"/>
      <c r="AD228"/>
      <c r="AE228"/>
      <c r="AF228"/>
      <c r="AG228"/>
      <c r="AH228"/>
      <c r="AI228"/>
    </row>
    <row r="229" spans="17:35" ht="12.75" customHeight="1">
      <c r="Q229" s="668"/>
      <c r="R229" s="968" t="s">
        <v>545</v>
      </c>
      <c r="S229" s="968"/>
      <c r="T229" s="968"/>
      <c r="U229" s="968"/>
      <c r="V229" s="585">
        <f>V221/V223</f>
        <v>0.87545454545454526</v>
      </c>
      <c r="W229" s="585">
        <f>W221/W223</f>
        <v>0.40560000000000007</v>
      </c>
      <c r="X229" s="585">
        <f>X221/X223</f>
        <v>0.60455040000000004</v>
      </c>
      <c r="Y229" s="585">
        <f>Y221/Y223</f>
        <v>0.33600000000000008</v>
      </c>
      <c r="Z229" s="361"/>
      <c r="AA229"/>
      <c r="AB229"/>
      <c r="AC229"/>
      <c r="AD229"/>
      <c r="AE229"/>
      <c r="AF229"/>
      <c r="AG229"/>
      <c r="AH229"/>
      <c r="AI229"/>
    </row>
    <row r="230" spans="17:35" ht="12.75" customHeight="1">
      <c r="Q230" s="668"/>
      <c r="R230" s="540" t="s">
        <v>547</v>
      </c>
      <c r="S230" s="540"/>
      <c r="T230" s="540"/>
      <c r="U230" s="540"/>
      <c r="V230" s="585"/>
      <c r="W230" s="586">
        <f>10*W217*W216*W218</f>
        <v>76800</v>
      </c>
      <c r="X230" s="586">
        <f>10*X217*X216*X218</f>
        <v>76800</v>
      </c>
      <c r="Y230" s="586">
        <f>10*Y217*Y216*Y218</f>
        <v>76800</v>
      </c>
      <c r="Z230" s="361"/>
      <c r="AA230"/>
      <c r="AB230"/>
      <c r="AC230"/>
      <c r="AD230"/>
      <c r="AE230"/>
      <c r="AF230"/>
      <c r="AG230"/>
      <c r="AH230"/>
      <c r="AI230"/>
    </row>
    <row r="231" spans="17:35" ht="12.75" customHeight="1">
      <c r="Q231" s="668"/>
      <c r="R231" s="968" t="s">
        <v>548</v>
      </c>
      <c r="S231" s="968"/>
      <c r="T231" s="968"/>
      <c r="U231" s="968"/>
      <c r="V231" s="585">
        <f>V229</f>
        <v>0.87545454545454526</v>
      </c>
      <c r="W231" s="585">
        <f>W220/W230</f>
        <v>1.3000000000000001E-2</v>
      </c>
      <c r="X231" s="585">
        <f>X220/X230</f>
        <v>1.4799999999999999E-2</v>
      </c>
      <c r="Y231" s="585">
        <f>Y220/Y230</f>
        <v>0.01</v>
      </c>
      <c r="Z231" s="361"/>
      <c r="AA231"/>
      <c r="AB231"/>
      <c r="AC231"/>
      <c r="AD231"/>
      <c r="AE231"/>
      <c r="AF231"/>
      <c r="AG231"/>
      <c r="AH231"/>
      <c r="AI231"/>
    </row>
    <row r="232" spans="17:35" ht="12.75" customHeight="1">
      <c r="Q232" s="668"/>
      <c r="R232" s="587"/>
      <c r="S232" s="587"/>
      <c r="T232" s="587"/>
      <c r="U232" s="587"/>
      <c r="V232" s="588"/>
      <c r="W232" s="588"/>
      <c r="X232" s="588"/>
      <c r="Y232" s="588"/>
      <c r="Z232" s="589"/>
      <c r="AA232"/>
      <c r="AB232"/>
      <c r="AC232"/>
      <c r="AD232"/>
      <c r="AE232"/>
      <c r="AF232"/>
      <c r="AG232"/>
      <c r="AH232"/>
      <c r="AI232"/>
    </row>
    <row r="233" spans="17:35" ht="12.75" customHeight="1">
      <c r="Q233" s="668"/>
      <c r="R233" s="587"/>
      <c r="S233" s="587"/>
      <c r="T233" s="587"/>
      <c r="U233" s="587"/>
      <c r="V233" s="676"/>
      <c r="W233" s="676"/>
      <c r="X233" s="676"/>
      <c r="Y233" s="588"/>
      <c r="Z233" s="364"/>
      <c r="AA233"/>
      <c r="AB233"/>
      <c r="AC233"/>
      <c r="AD233"/>
      <c r="AE233"/>
      <c r="AF233"/>
      <c r="AG233"/>
      <c r="AH233"/>
      <c r="AI233"/>
    </row>
    <row r="234" spans="17:35" ht="12.75" customHeight="1">
      <c r="Q234" s="668" t="s">
        <v>240</v>
      </c>
      <c r="R234" s="364" t="s">
        <v>241</v>
      </c>
      <c r="S234" s="364"/>
      <c r="T234" s="364"/>
      <c r="U234" s="364"/>
      <c r="V234" s="364"/>
      <c r="W234" s="364"/>
      <c r="X234" s="364"/>
      <c r="Y234" s="364"/>
      <c r="Z234" s="364"/>
      <c r="AA234"/>
      <c r="AB234"/>
      <c r="AC234"/>
      <c r="AD234"/>
      <c r="AE234"/>
      <c r="AF234"/>
      <c r="AG234"/>
      <c r="AH234"/>
      <c r="AI234"/>
    </row>
    <row r="235" spans="17:35" ht="12.75" customHeight="1">
      <c r="Q235" s="364"/>
      <c r="R235" s="962" t="s">
        <v>301</v>
      </c>
      <c r="S235" s="963"/>
      <c r="T235" s="964"/>
      <c r="U235" s="949" t="s">
        <v>500</v>
      </c>
      <c r="V235" s="938" t="s">
        <v>22</v>
      </c>
      <c r="W235" s="940" t="s">
        <v>579</v>
      </c>
      <c r="X235" s="942" t="s">
        <v>21</v>
      </c>
      <c r="Y235" s="361"/>
      <c r="Z235" s="364"/>
      <c r="AA235"/>
      <c r="AB235"/>
      <c r="AC235"/>
      <c r="AD235"/>
      <c r="AE235"/>
      <c r="AF235"/>
      <c r="AG235"/>
      <c r="AH235"/>
      <c r="AI235"/>
    </row>
    <row r="236" spans="17:35" ht="12.75" customHeight="1">
      <c r="Q236" s="364"/>
      <c r="R236" s="965"/>
      <c r="S236" s="966"/>
      <c r="T236" s="967"/>
      <c r="U236" s="950"/>
      <c r="V236" s="939"/>
      <c r="W236" s="941"/>
      <c r="X236" s="943"/>
      <c r="Y236" s="361"/>
      <c r="Z236" s="364"/>
      <c r="AA236"/>
      <c r="AB236"/>
      <c r="AC236"/>
      <c r="AD236"/>
      <c r="AE236"/>
      <c r="AF236"/>
      <c r="AG236"/>
      <c r="AH236"/>
      <c r="AI236"/>
    </row>
    <row r="237" spans="17:35" ht="12.75" customHeight="1">
      <c r="Q237" s="364"/>
      <c r="R237" s="931" t="s">
        <v>662</v>
      </c>
      <c r="S237" s="931"/>
      <c r="T237" s="931"/>
      <c r="U237" s="901" t="s">
        <v>427</v>
      </c>
      <c r="V237" s="562">
        <f>VLOOKUP($V$5,'Lookup Air Consumption'!$B$8:$E$208,3)</f>
        <v>38</v>
      </c>
      <c r="W237" s="562">
        <f>VLOOKUP($V$5,'Lookup Air Consumption'!$B$8:$E$208,4)</f>
        <v>50</v>
      </c>
      <c r="X237" s="562">
        <f>VLOOKUP($V$5,'Lookup Air Consumption'!$B$8:$E$208,2)</f>
        <v>41</v>
      </c>
      <c r="Y237" s="361"/>
      <c r="Z237" s="364"/>
      <c r="AA237"/>
      <c r="AB237"/>
      <c r="AC237"/>
      <c r="AD237"/>
      <c r="AE237"/>
      <c r="AF237"/>
      <c r="AG237"/>
      <c r="AH237"/>
      <c r="AI237"/>
    </row>
    <row r="238" spans="17:35" ht="12.75" customHeight="1">
      <c r="Q238" s="364"/>
      <c r="R238" s="931" t="s">
        <v>663</v>
      </c>
      <c r="S238" s="931"/>
      <c r="T238" s="931"/>
      <c r="U238" s="901"/>
      <c r="V238" s="590">
        <f>V237/1000</f>
        <v>3.7999999999999999E-2</v>
      </c>
      <c r="W238" s="590">
        <f>W237/1000</f>
        <v>0.05</v>
      </c>
      <c r="X238" s="590">
        <f>X237/1000</f>
        <v>4.1000000000000002E-2</v>
      </c>
      <c r="Y238" s="361"/>
      <c r="Z238" s="364"/>
      <c r="AA238"/>
      <c r="AB238"/>
      <c r="AC238"/>
      <c r="AD238"/>
      <c r="AE238"/>
      <c r="AF238"/>
      <c r="AG238"/>
      <c r="AH238"/>
      <c r="AI238"/>
    </row>
    <row r="239" spans="17:35" ht="12.75" customHeight="1">
      <c r="Q239" s="364"/>
      <c r="R239" s="931" t="s">
        <v>664</v>
      </c>
      <c r="S239" s="931"/>
      <c r="T239" s="931"/>
      <c r="U239" s="901"/>
      <c r="V239" s="560">
        <f>V238*35.31467</f>
        <v>1.3419574599999999</v>
      </c>
      <c r="W239" s="560">
        <f>W238*35.31467</f>
        <v>1.7657335000000001</v>
      </c>
      <c r="X239" s="560">
        <f>X238*35.31467</f>
        <v>1.4479014700000001</v>
      </c>
      <c r="Y239" s="361"/>
      <c r="Z239" s="364"/>
      <c r="AA239"/>
      <c r="AB239"/>
      <c r="AC239"/>
      <c r="AD239"/>
      <c r="AE239"/>
      <c r="AF239"/>
      <c r="AG239"/>
      <c r="AH239"/>
      <c r="AI239"/>
    </row>
    <row r="240" spans="17:35" ht="12.75" customHeight="1">
      <c r="Q240" s="360"/>
      <c r="R240" s="551"/>
      <c r="S240" s="551"/>
      <c r="T240" s="551"/>
      <c r="U240" s="591"/>
      <c r="V240" s="551"/>
      <c r="W240" s="551"/>
      <c r="X240" s="551"/>
      <c r="Y240" s="361"/>
      <c r="Z240" s="364"/>
      <c r="AA240"/>
      <c r="AB240"/>
      <c r="AC240"/>
      <c r="AD240"/>
      <c r="AE240"/>
      <c r="AF240"/>
      <c r="AG240"/>
      <c r="AH240"/>
      <c r="AI240"/>
    </row>
    <row r="241" spans="17:35" ht="12.75" customHeight="1">
      <c r="Q241" s="360"/>
      <c r="R241" s="962" t="s">
        <v>302</v>
      </c>
      <c r="S241" s="963"/>
      <c r="T241" s="964"/>
      <c r="U241" s="949" t="s">
        <v>500</v>
      </c>
      <c r="V241" s="938" t="s">
        <v>22</v>
      </c>
      <c r="W241" s="940" t="s">
        <v>579</v>
      </c>
      <c r="X241" s="942" t="s">
        <v>21</v>
      </c>
      <c r="Y241" s="361"/>
      <c r="Z241" s="364"/>
      <c r="AA241"/>
      <c r="AB241"/>
      <c r="AC241"/>
      <c r="AD241"/>
      <c r="AE241"/>
      <c r="AF241"/>
      <c r="AG241"/>
      <c r="AH241"/>
      <c r="AI241"/>
    </row>
    <row r="242" spans="17:35" ht="12.75" customHeight="1">
      <c r="Q242" s="360"/>
      <c r="R242" s="965"/>
      <c r="S242" s="966"/>
      <c r="T242" s="967"/>
      <c r="U242" s="950"/>
      <c r="V242" s="939"/>
      <c r="W242" s="941"/>
      <c r="X242" s="943"/>
      <c r="Y242" s="361"/>
      <c r="Z242" s="364"/>
      <c r="AA242"/>
      <c r="AB242"/>
      <c r="AC242"/>
      <c r="AD242"/>
      <c r="AE242"/>
      <c r="AF242"/>
      <c r="AG242"/>
      <c r="AH242"/>
      <c r="AI242"/>
    </row>
    <row r="243" spans="17:35" ht="12.75" customHeight="1">
      <c r="Q243" s="360"/>
      <c r="R243" s="931" t="s">
        <v>662</v>
      </c>
      <c r="S243" s="931"/>
      <c r="T243" s="931"/>
      <c r="U243" s="901" t="s">
        <v>427</v>
      </c>
      <c r="V243" s="549">
        <f t="shared" ref="V243:W245" si="3">V237*$V$23</f>
        <v>6080</v>
      </c>
      <c r="W243" s="549">
        <f t="shared" si="3"/>
        <v>8000</v>
      </c>
      <c r="X243" s="549">
        <f>X237*$V$23</f>
        <v>6560</v>
      </c>
      <c r="Y243" s="361"/>
      <c r="Z243" s="364"/>
      <c r="AA243"/>
      <c r="AB243"/>
      <c r="AC243"/>
      <c r="AD243"/>
      <c r="AE243"/>
      <c r="AF243"/>
      <c r="AG243"/>
      <c r="AH243"/>
      <c r="AI243"/>
    </row>
    <row r="244" spans="17:35" ht="12.75" customHeight="1">
      <c r="Q244" s="360"/>
      <c r="R244" s="931" t="s">
        <v>663</v>
      </c>
      <c r="S244" s="931"/>
      <c r="T244" s="931"/>
      <c r="U244" s="901"/>
      <c r="V244" s="560">
        <f t="shared" si="3"/>
        <v>6.08</v>
      </c>
      <c r="W244" s="560">
        <f t="shared" si="3"/>
        <v>8</v>
      </c>
      <c r="X244" s="560">
        <f>X238*$V$23</f>
        <v>6.5600000000000005</v>
      </c>
      <c r="Y244" s="361"/>
      <c r="Z244" s="364"/>
      <c r="AA244"/>
      <c r="AB244"/>
      <c r="AC244"/>
      <c r="AD244"/>
      <c r="AE244"/>
      <c r="AF244"/>
      <c r="AG244"/>
      <c r="AH244"/>
      <c r="AI244"/>
    </row>
    <row r="245" spans="17:35" ht="12.75" customHeight="1">
      <c r="Q245" s="360"/>
      <c r="R245" s="931" t="s">
        <v>664</v>
      </c>
      <c r="S245" s="931"/>
      <c r="T245" s="931"/>
      <c r="U245" s="901"/>
      <c r="V245" s="560">
        <f t="shared" si="3"/>
        <v>214.71319359999998</v>
      </c>
      <c r="W245" s="560">
        <f t="shared" si="3"/>
        <v>282.51736</v>
      </c>
      <c r="X245" s="560">
        <f>X239*$V$23</f>
        <v>231.66423520000001</v>
      </c>
      <c r="Y245" s="361"/>
      <c r="Z245" s="364"/>
      <c r="AA245"/>
      <c r="AB245"/>
      <c r="AC245"/>
      <c r="AD245"/>
      <c r="AE245"/>
      <c r="AF245"/>
      <c r="AG245"/>
      <c r="AH245"/>
      <c r="AI245"/>
    </row>
    <row r="246" spans="17:35" ht="12.75" customHeight="1">
      <c r="Q246" s="360"/>
      <c r="R246" s="364"/>
      <c r="S246" s="364"/>
      <c r="T246" s="364"/>
      <c r="U246" s="364"/>
      <c r="V246" s="555"/>
      <c r="W246" s="555"/>
      <c r="X246" s="555"/>
      <c r="Y246" s="361"/>
      <c r="Z246" s="364"/>
      <c r="AA246"/>
      <c r="AB246"/>
      <c r="AC246"/>
      <c r="AD246"/>
      <c r="AE246"/>
      <c r="AF246"/>
      <c r="AG246"/>
      <c r="AH246"/>
      <c r="AI246"/>
    </row>
    <row r="247" spans="17:35" ht="12.75" customHeight="1">
      <c r="Q247" s="360"/>
      <c r="R247" s="962" t="s">
        <v>303</v>
      </c>
      <c r="S247" s="963"/>
      <c r="T247" s="964"/>
      <c r="U247" s="949" t="s">
        <v>500</v>
      </c>
      <c r="V247" s="938" t="s">
        <v>22</v>
      </c>
      <c r="W247" s="940" t="s">
        <v>579</v>
      </c>
      <c r="X247" s="942" t="s">
        <v>21</v>
      </c>
      <c r="Y247" s="361"/>
      <c r="Z247" s="364"/>
      <c r="AA247"/>
      <c r="AB247"/>
      <c r="AC247"/>
      <c r="AD247"/>
      <c r="AE247"/>
      <c r="AF247"/>
      <c r="AG247"/>
      <c r="AH247"/>
      <c r="AI247"/>
    </row>
    <row r="248" spans="17:35" ht="12.75" customHeight="1">
      <c r="Q248" s="360"/>
      <c r="R248" s="965"/>
      <c r="S248" s="966"/>
      <c r="T248" s="967"/>
      <c r="U248" s="950"/>
      <c r="V248" s="939"/>
      <c r="W248" s="941"/>
      <c r="X248" s="943"/>
      <c r="Y248" s="361"/>
      <c r="Z248" s="364"/>
      <c r="AA248"/>
      <c r="AB248"/>
      <c r="AC248"/>
      <c r="AD248"/>
      <c r="AE248"/>
      <c r="AF248"/>
      <c r="AG248"/>
      <c r="AH248"/>
      <c r="AI248"/>
    </row>
    <row r="249" spans="17:35" ht="12.75" customHeight="1">
      <c r="Q249" s="563"/>
      <c r="R249" s="951" t="s">
        <v>517</v>
      </c>
      <c r="S249" s="951"/>
      <c r="T249" s="951"/>
      <c r="U249" s="901" t="s">
        <v>427</v>
      </c>
      <c r="V249" s="549">
        <f t="shared" ref="V249:X251" si="4">($V$25/$X$51)*60*V237</f>
        <v>31268571.428571429</v>
      </c>
      <c r="W249" s="549">
        <f t="shared" si="4"/>
        <v>41142857.142857142</v>
      </c>
      <c r="X249" s="549">
        <f t="shared" si="4"/>
        <v>33737142.857142858</v>
      </c>
      <c r="Y249" s="361"/>
      <c r="Z249" s="364"/>
      <c r="AA249"/>
      <c r="AB249"/>
      <c r="AC249"/>
      <c r="AD249"/>
      <c r="AE249"/>
      <c r="AF249"/>
      <c r="AG249"/>
      <c r="AH249"/>
      <c r="AI249"/>
    </row>
    <row r="250" spans="17:35" ht="12.75" customHeight="1">
      <c r="Q250" s="364"/>
      <c r="R250" s="951" t="s">
        <v>666</v>
      </c>
      <c r="S250" s="951"/>
      <c r="T250" s="951"/>
      <c r="U250" s="901"/>
      <c r="V250" s="549">
        <f t="shared" si="4"/>
        <v>31268.571428571428</v>
      </c>
      <c r="W250" s="549">
        <f t="shared" si="4"/>
        <v>41142.857142857145</v>
      </c>
      <c r="X250" s="549">
        <f t="shared" si="4"/>
        <v>33737.142857142855</v>
      </c>
      <c r="Y250" s="361"/>
      <c r="Z250" s="364"/>
      <c r="AA250"/>
      <c r="AB250"/>
      <c r="AC250"/>
      <c r="AD250"/>
      <c r="AE250"/>
      <c r="AF250"/>
      <c r="AG250"/>
      <c r="AH250"/>
      <c r="AI250"/>
    </row>
    <row r="251" spans="17:35" ht="12.75" customHeight="1">
      <c r="Q251" s="364"/>
      <c r="R251" s="951" t="s">
        <v>583</v>
      </c>
      <c r="S251" s="951"/>
      <c r="T251" s="951"/>
      <c r="U251" s="901"/>
      <c r="V251" s="549">
        <f t="shared" si="4"/>
        <v>1104239.2813714284</v>
      </c>
      <c r="W251" s="549">
        <f t="shared" si="4"/>
        <v>1452946.422857143</v>
      </c>
      <c r="X251" s="549">
        <f t="shared" si="4"/>
        <v>1191416.0667428572</v>
      </c>
      <c r="Y251" s="361"/>
      <c r="Z251" s="364"/>
      <c r="AA251"/>
      <c r="AB251"/>
      <c r="AC251"/>
      <c r="AD251"/>
      <c r="AE251"/>
      <c r="AF251"/>
      <c r="AG251"/>
      <c r="AH251"/>
      <c r="AI251"/>
    </row>
    <row r="252" spans="17:35" ht="12.75" customHeight="1">
      <c r="Q252" s="364"/>
      <c r="R252" s="364"/>
      <c r="S252" s="364"/>
      <c r="T252" s="364"/>
      <c r="U252" s="364"/>
      <c r="V252" s="364"/>
      <c r="W252" s="364"/>
      <c r="X252" s="364"/>
      <c r="Y252" s="361"/>
      <c r="Z252" s="364"/>
      <c r="AA252"/>
      <c r="AB252"/>
      <c r="AC252"/>
      <c r="AD252"/>
      <c r="AE252"/>
      <c r="AF252"/>
      <c r="AG252"/>
      <c r="AH252"/>
      <c r="AI252"/>
    </row>
    <row r="253" spans="17:35" ht="12.75" customHeight="1">
      <c r="Q253" s="668" t="s">
        <v>753</v>
      </c>
      <c r="R253" s="364" t="s">
        <v>300</v>
      </c>
      <c r="S253" s="364"/>
      <c r="T253" s="364"/>
      <c r="U253" s="364"/>
      <c r="V253" s="364"/>
      <c r="W253" s="364"/>
      <c r="X253" s="364"/>
      <c r="Y253" s="361"/>
      <c r="Z253" s="364"/>
      <c r="AA253"/>
      <c r="AB253"/>
      <c r="AC253"/>
      <c r="AD253"/>
      <c r="AE253"/>
      <c r="AF253"/>
      <c r="AG253"/>
      <c r="AH253"/>
      <c r="AI253"/>
    </row>
    <row r="254" spans="17:35" ht="12.75" customHeight="1">
      <c r="Q254" s="364"/>
      <c r="R254" s="957" t="s">
        <v>669</v>
      </c>
      <c r="S254" s="958"/>
      <c r="T254" s="959"/>
      <c r="U254" s="949" t="s">
        <v>500</v>
      </c>
      <c r="V254" s="938" t="s">
        <v>22</v>
      </c>
      <c r="W254" s="940" t="s">
        <v>579</v>
      </c>
      <c r="X254" s="942" t="s">
        <v>21</v>
      </c>
      <c r="Y254" s="361"/>
      <c r="Z254" s="364"/>
      <c r="AA254"/>
      <c r="AB254"/>
      <c r="AC254"/>
      <c r="AD254"/>
      <c r="AE254"/>
      <c r="AF254"/>
      <c r="AG254"/>
      <c r="AH254"/>
      <c r="AI254"/>
    </row>
    <row r="255" spans="17:35" ht="12.75" customHeight="1">
      <c r="Q255" s="364"/>
      <c r="R255" s="960"/>
      <c r="S255" s="961"/>
      <c r="T255" s="899"/>
      <c r="U255" s="950"/>
      <c r="V255" s="939"/>
      <c r="W255" s="941"/>
      <c r="X255" s="943"/>
      <c r="Y255" s="361"/>
      <c r="Z255" s="364"/>
      <c r="AA255"/>
      <c r="AB255"/>
      <c r="AC255"/>
      <c r="AD255"/>
      <c r="AE255"/>
      <c r="AF255"/>
      <c r="AG255"/>
      <c r="AH255"/>
      <c r="AI255"/>
    </row>
    <row r="256" spans="17:35" ht="12.75" customHeight="1">
      <c r="Q256" s="364"/>
      <c r="R256" s="541" t="s">
        <v>80</v>
      </c>
      <c r="S256" s="559"/>
      <c r="T256" s="559"/>
      <c r="U256" s="543">
        <v>6.5</v>
      </c>
      <c r="V256" s="669">
        <f>VLOOKUP($V$5,'Lookup Water Flow'!$B$8:$E$208,3)</f>
        <v>6.9</v>
      </c>
      <c r="W256" s="669">
        <f>VLOOKUP($V$5,'Lookup Water Flow'!$B$8:$E$208,4)</f>
        <v>12.1</v>
      </c>
      <c r="X256" s="669">
        <f>VLOOKUP($V$5,'Lookup Water Flow'!$B$8:$E$208,2)</f>
        <v>12.6</v>
      </c>
      <c r="Y256" s="361"/>
      <c r="Z256" s="364"/>
      <c r="AA256"/>
      <c r="AB256"/>
      <c r="AC256"/>
      <c r="AD256"/>
      <c r="AE256"/>
      <c r="AF256"/>
      <c r="AG256"/>
      <c r="AH256"/>
      <c r="AI256"/>
    </row>
    <row r="257" spans="17:35" ht="12.75" customHeight="1">
      <c r="Q257" s="364"/>
      <c r="R257" s="951" t="s">
        <v>81</v>
      </c>
      <c r="S257" s="951"/>
      <c r="T257" s="951"/>
      <c r="U257" s="677">
        <f>U256*V23</f>
        <v>1040</v>
      </c>
      <c r="V257" s="678">
        <f>V256*$V$23</f>
        <v>1104</v>
      </c>
      <c r="W257" s="678">
        <f>W256*$V$23</f>
        <v>1936</v>
      </c>
      <c r="X257" s="678">
        <f>X256*$V$23</f>
        <v>2016</v>
      </c>
      <c r="Y257" s="361"/>
      <c r="Z257" s="364"/>
      <c r="AA257"/>
      <c r="AB257"/>
      <c r="AC257"/>
      <c r="AD257"/>
      <c r="AE257"/>
      <c r="AF257"/>
      <c r="AG257"/>
      <c r="AH257"/>
      <c r="AI257"/>
    </row>
    <row r="258" spans="17:35" ht="12.75" customHeight="1">
      <c r="Q258" s="364"/>
      <c r="R258" s="592" t="s">
        <v>670</v>
      </c>
      <c r="S258" s="559"/>
      <c r="T258" s="559"/>
      <c r="U258" s="549">
        <f>(U256*U56*V24)+(24*2*V24)</f>
        <v>473600</v>
      </c>
      <c r="V258" s="679">
        <f>V256*$X$56*$V$24</f>
        <v>94628.571428571435</v>
      </c>
      <c r="W258" s="679">
        <f>W256*$X$56*$V$24</f>
        <v>165942.85714285713</v>
      </c>
      <c r="X258" s="679">
        <f>X256*$X$56*$V$24</f>
        <v>172800</v>
      </c>
      <c r="Y258" s="361"/>
      <c r="Z258" s="364"/>
      <c r="AA258"/>
      <c r="AB258"/>
      <c r="AC258"/>
      <c r="AD258"/>
      <c r="AE258"/>
      <c r="AF258"/>
      <c r="AG258"/>
      <c r="AH258"/>
      <c r="AI258"/>
    </row>
    <row r="259" spans="17:35" ht="12.75" customHeight="1">
      <c r="Q259" s="364"/>
      <c r="R259" s="364"/>
      <c r="S259" s="364"/>
      <c r="T259" s="364"/>
      <c r="U259" s="364"/>
      <c r="V259" s="364"/>
      <c r="W259" s="364"/>
      <c r="X259" s="364"/>
      <c r="Y259" s="364"/>
      <c r="Z259" s="364"/>
      <c r="AA259"/>
      <c r="AB259"/>
      <c r="AC259"/>
      <c r="AD259"/>
      <c r="AE259"/>
      <c r="AF259"/>
      <c r="AG259"/>
      <c r="AH259"/>
      <c r="AI259"/>
    </row>
    <row r="260" spans="17:35" ht="12.75" customHeight="1">
      <c r="Q260" s="680" t="s">
        <v>754</v>
      </c>
      <c r="R260" s="952" t="s">
        <v>309</v>
      </c>
      <c r="S260" s="952"/>
      <c r="T260" s="952"/>
      <c r="U260" s="952"/>
      <c r="V260" s="952"/>
      <c r="W260" s="952"/>
      <c r="X260" s="952"/>
      <c r="Y260" s="952"/>
      <c r="Z260" s="360"/>
      <c r="AA260"/>
      <c r="AB260"/>
      <c r="AC260"/>
      <c r="AD260"/>
      <c r="AE260"/>
      <c r="AF260"/>
      <c r="AG260"/>
      <c r="AH260"/>
      <c r="AI260"/>
    </row>
    <row r="261" spans="17:35" ht="12.75" customHeight="1">
      <c r="Q261" s="364"/>
      <c r="R261" s="364"/>
      <c r="S261" s="364"/>
      <c r="T261" s="364"/>
      <c r="U261" s="364"/>
      <c r="V261" s="364"/>
      <c r="W261" s="364"/>
      <c r="X261" s="364"/>
      <c r="Y261" s="364"/>
      <c r="Z261" s="364"/>
      <c r="AA261"/>
      <c r="AB261"/>
      <c r="AC261"/>
      <c r="AD261"/>
      <c r="AE261"/>
      <c r="AF261"/>
      <c r="AG261"/>
      <c r="AH261"/>
      <c r="AI261"/>
    </row>
    <row r="262" spans="17:35" ht="12.75" customHeight="1">
      <c r="Q262" s="668" t="s">
        <v>755</v>
      </c>
      <c r="R262" s="364" t="s">
        <v>239</v>
      </c>
      <c r="S262" s="364"/>
      <c r="T262" s="364"/>
      <c r="U262" s="364"/>
      <c r="V262" s="364"/>
      <c r="W262" s="364"/>
      <c r="X262" s="364"/>
      <c r="Y262" s="364"/>
      <c r="Z262" s="364"/>
      <c r="AA262"/>
      <c r="AB262"/>
      <c r="AC262"/>
      <c r="AD262"/>
      <c r="AE262"/>
      <c r="AF262"/>
      <c r="AG262"/>
      <c r="AH262"/>
      <c r="AI262"/>
    </row>
    <row r="263" spans="17:35" ht="12.75" customHeight="1">
      <c r="Q263" s="364"/>
      <c r="R263" s="364"/>
      <c r="S263" s="364"/>
      <c r="T263" s="364"/>
      <c r="U263" s="364"/>
      <c r="V263" s="364"/>
      <c r="W263" s="364"/>
      <c r="X263" s="364"/>
      <c r="Y263" s="364"/>
      <c r="Z263" s="364"/>
      <c r="AA263"/>
      <c r="AB263"/>
      <c r="AC263"/>
      <c r="AD263"/>
      <c r="AE263"/>
      <c r="AF263"/>
      <c r="AG263"/>
      <c r="AH263"/>
      <c r="AI263"/>
    </row>
    <row r="264" spans="17:35" ht="12.75" customHeight="1">
      <c r="Q264" s="364"/>
      <c r="R264" s="953" t="s">
        <v>676</v>
      </c>
      <c r="S264" s="954"/>
      <c r="T264" s="561" t="s">
        <v>320</v>
      </c>
      <c r="U264" s="935" t="s">
        <v>318</v>
      </c>
      <c r="V264" s="935"/>
      <c r="W264" s="681">
        <f>'Compressor Input Data'!G7</f>
        <v>0.19</v>
      </c>
      <c r="X264" s="594"/>
      <c r="Y264" s="595"/>
      <c r="Z264" s="363"/>
      <c r="AA264"/>
      <c r="AB264"/>
      <c r="AC264"/>
      <c r="AD264"/>
      <c r="AE264"/>
      <c r="AF264"/>
      <c r="AG264"/>
      <c r="AH264"/>
      <c r="AI264"/>
    </row>
    <row r="265" spans="17:35" ht="12.75" customHeight="1">
      <c r="Q265" s="364"/>
      <c r="R265" s="955"/>
      <c r="S265" s="956"/>
      <c r="T265" s="561" t="s">
        <v>321</v>
      </c>
      <c r="U265" s="935" t="s">
        <v>319</v>
      </c>
      <c r="V265" s="935"/>
      <c r="W265" s="681">
        <f>'Compressor Input Data'!G8</f>
        <v>0.33</v>
      </c>
      <c r="X265" s="594"/>
      <c r="Y265" s="595"/>
      <c r="Z265" s="595"/>
      <c r="AA265"/>
      <c r="AB265"/>
      <c r="AC265"/>
      <c r="AD265"/>
      <c r="AE265"/>
      <c r="AF265"/>
      <c r="AG265"/>
      <c r="AH265"/>
      <c r="AI265"/>
    </row>
    <row r="266" spans="17:35" ht="12.75" customHeight="1">
      <c r="Q266" s="364"/>
      <c r="R266" s="363"/>
      <c r="S266" s="363"/>
      <c r="T266" s="577"/>
      <c r="U266" s="577"/>
      <c r="V266" s="596"/>
      <c r="W266" s="363"/>
      <c r="X266" s="363"/>
      <c r="Y266" s="363"/>
      <c r="Z266" s="363"/>
      <c r="AA266"/>
      <c r="AB266"/>
      <c r="AC266"/>
      <c r="AD266"/>
      <c r="AE266"/>
      <c r="AF266"/>
      <c r="AG266"/>
      <c r="AH266"/>
      <c r="AI266"/>
    </row>
    <row r="267" spans="17:35" ht="12.75" customHeight="1">
      <c r="Q267" s="364"/>
      <c r="R267" s="935" t="s">
        <v>675</v>
      </c>
      <c r="S267" s="935"/>
      <c r="T267" s="935"/>
      <c r="U267" s="949" t="s">
        <v>500</v>
      </c>
      <c r="V267" s="938" t="s">
        <v>22</v>
      </c>
      <c r="W267" s="940" t="s">
        <v>579</v>
      </c>
      <c r="X267" s="942" t="s">
        <v>21</v>
      </c>
      <c r="Y267" s="361"/>
      <c r="Z267" s="364"/>
      <c r="AA267"/>
      <c r="AB267"/>
      <c r="AC267"/>
      <c r="AD267"/>
      <c r="AE267"/>
      <c r="AF267"/>
      <c r="AG267"/>
      <c r="AH267"/>
      <c r="AI267"/>
    </row>
    <row r="268" spans="17:35" ht="12.75" customHeight="1">
      <c r="Q268" s="364"/>
      <c r="R268" s="944" t="s">
        <v>320</v>
      </c>
      <c r="S268" s="947"/>
      <c r="T268" s="948"/>
      <c r="U268" s="950"/>
      <c r="V268" s="939"/>
      <c r="W268" s="941"/>
      <c r="X268" s="943"/>
      <c r="Y268" s="361"/>
      <c r="Z268" s="364"/>
      <c r="AA268"/>
      <c r="AB268"/>
      <c r="AC268"/>
      <c r="AD268"/>
      <c r="AE268"/>
      <c r="AF268"/>
      <c r="AG268"/>
      <c r="AH268"/>
      <c r="AI268"/>
    </row>
    <row r="269" spans="17:35" ht="12.75" customHeight="1">
      <c r="Q269" s="364"/>
      <c r="R269" s="945"/>
      <c r="S269" s="935" t="s">
        <v>306</v>
      </c>
      <c r="T269" s="935"/>
      <c r="U269" s="599">
        <f>U164*$W$264</f>
        <v>178.34666666666669</v>
      </c>
      <c r="V269" s="599">
        <f>V164*$W$264</f>
        <v>14439.999999999998</v>
      </c>
      <c r="W269" s="599">
        <f>W164*$W$264</f>
        <v>12556.521739130432</v>
      </c>
      <c r="X269" s="599">
        <f>X164*$W$264</f>
        <v>10314.285714285712</v>
      </c>
      <c r="Y269" s="361"/>
      <c r="Z269" s="364"/>
      <c r="AA269"/>
      <c r="AB269"/>
      <c r="AC269"/>
      <c r="AD269"/>
      <c r="AE269"/>
      <c r="AF269"/>
      <c r="AG269"/>
      <c r="AH269"/>
      <c r="AI269"/>
    </row>
    <row r="270" spans="17:35" ht="12.75" customHeight="1">
      <c r="Q270" s="364"/>
      <c r="R270" s="945"/>
      <c r="S270" s="935" t="s">
        <v>307</v>
      </c>
      <c r="T270" s="935"/>
      <c r="U270" s="599">
        <f>U269*$V$11</f>
        <v>4101.9733333333343</v>
      </c>
      <c r="V270" s="599">
        <f>V269*$V$11</f>
        <v>332119.99999999994</v>
      </c>
      <c r="W270" s="599">
        <f>W269*$V$11</f>
        <v>288799.99999999994</v>
      </c>
      <c r="X270" s="599">
        <f>X269*$V$11</f>
        <v>237228.57142857136</v>
      </c>
      <c r="Y270" s="361"/>
      <c r="Z270" s="364"/>
      <c r="AA270"/>
      <c r="AB270"/>
      <c r="AC270"/>
      <c r="AD270"/>
      <c r="AE270"/>
      <c r="AF270"/>
      <c r="AG270"/>
      <c r="AH270"/>
      <c r="AI270"/>
    </row>
    <row r="271" spans="17:35" ht="12.75" customHeight="1">
      <c r="Q271" s="364"/>
      <c r="R271" s="946"/>
      <c r="S271" s="935" t="s">
        <v>308</v>
      </c>
      <c r="T271" s="935"/>
      <c r="U271" s="599">
        <f>U270*9</f>
        <v>36917.760000000009</v>
      </c>
      <c r="V271" s="599">
        <f>V270*9</f>
        <v>2989079.9999999995</v>
      </c>
      <c r="W271" s="599">
        <f>W270*9</f>
        <v>2599199.9999999995</v>
      </c>
      <c r="X271" s="599">
        <f>X270*9</f>
        <v>2135057.1428571423</v>
      </c>
      <c r="Y271" s="361"/>
      <c r="Z271" s="364"/>
      <c r="AA271"/>
      <c r="AB271"/>
      <c r="AC271"/>
      <c r="AD271"/>
      <c r="AE271"/>
      <c r="AF271"/>
      <c r="AG271"/>
      <c r="AH271"/>
      <c r="AI271"/>
    </row>
    <row r="272" spans="17:35" ht="12.75" customHeight="1">
      <c r="Q272" s="597"/>
      <c r="R272" s="937"/>
      <c r="S272" s="937"/>
      <c r="T272" s="937"/>
      <c r="U272" s="937"/>
      <c r="V272" s="937"/>
      <c r="W272" s="937"/>
      <c r="X272" s="937"/>
      <c r="Y272" s="364"/>
      <c r="Z272" s="364"/>
      <c r="AA272"/>
      <c r="AB272"/>
      <c r="AC272"/>
      <c r="AD272"/>
      <c r="AE272"/>
      <c r="AF272"/>
      <c r="AG272"/>
      <c r="AH272"/>
      <c r="AI272"/>
    </row>
    <row r="273" spans="17:35" ht="12.75" customHeight="1">
      <c r="Q273" s="597"/>
      <c r="R273" s="935" t="s">
        <v>675</v>
      </c>
      <c r="S273" s="935"/>
      <c r="T273" s="935"/>
      <c r="U273" s="930" t="s">
        <v>500</v>
      </c>
      <c r="V273" s="928" t="s">
        <v>22</v>
      </c>
      <c r="W273" s="929" t="s">
        <v>579</v>
      </c>
      <c r="X273" s="927" t="s">
        <v>21</v>
      </c>
      <c r="Y273" s="361"/>
      <c r="Z273" s="364"/>
      <c r="AA273"/>
      <c r="AB273"/>
      <c r="AC273"/>
      <c r="AD273"/>
      <c r="AE273"/>
      <c r="AF273"/>
      <c r="AG273"/>
      <c r="AH273"/>
      <c r="AI273"/>
    </row>
    <row r="274" spans="17:35" ht="12.75" customHeight="1">
      <c r="Q274" s="597"/>
      <c r="R274" s="937" t="s">
        <v>321</v>
      </c>
      <c r="S274" s="937"/>
      <c r="T274" s="937"/>
      <c r="U274" s="930"/>
      <c r="V274" s="928"/>
      <c r="W274" s="929"/>
      <c r="X274" s="927"/>
      <c r="Y274" s="361"/>
      <c r="Z274" s="364"/>
      <c r="AA274"/>
      <c r="AB274"/>
      <c r="AC274"/>
      <c r="AD274"/>
      <c r="AE274"/>
      <c r="AF274"/>
      <c r="AG274"/>
      <c r="AH274"/>
      <c r="AI274"/>
    </row>
    <row r="275" spans="17:35" ht="12.75" customHeight="1">
      <c r="Q275" s="364"/>
      <c r="R275" s="937"/>
      <c r="S275" s="935" t="s">
        <v>306</v>
      </c>
      <c r="T275" s="935"/>
      <c r="U275" s="599">
        <f>U164*$W$265</f>
        <v>309.76000000000005</v>
      </c>
      <c r="V275" s="599">
        <f>V164*$W$265</f>
        <v>25079.999999999996</v>
      </c>
      <c r="W275" s="599">
        <f>W164*$W$265</f>
        <v>21808.695652173912</v>
      </c>
      <c r="X275" s="599">
        <f>X164*$W$265</f>
        <v>17914.28571428571</v>
      </c>
      <c r="Y275" s="361"/>
      <c r="Z275" s="364"/>
      <c r="AA275"/>
      <c r="AB275"/>
      <c r="AC275"/>
      <c r="AD275"/>
      <c r="AE275"/>
      <c r="AF275"/>
      <c r="AG275"/>
      <c r="AH275"/>
      <c r="AI275"/>
    </row>
    <row r="276" spans="17:35" ht="12.75" customHeight="1">
      <c r="Q276" s="597"/>
      <c r="R276" s="937"/>
      <c r="S276" s="935" t="s">
        <v>307</v>
      </c>
      <c r="T276" s="935"/>
      <c r="U276" s="599">
        <f>U275*$V$11</f>
        <v>7124.4800000000014</v>
      </c>
      <c r="V276" s="599">
        <f>V275*$V$11</f>
        <v>576839.99999999988</v>
      </c>
      <c r="W276" s="599">
        <f>W275*$V$11</f>
        <v>501600</v>
      </c>
      <c r="X276" s="599">
        <f>X275*$V$11</f>
        <v>412028.57142857136</v>
      </c>
      <c r="Y276" s="361"/>
      <c r="Z276" s="364"/>
      <c r="AA276"/>
      <c r="AB276"/>
      <c r="AC276"/>
      <c r="AD276"/>
      <c r="AE276"/>
      <c r="AF276"/>
      <c r="AG276"/>
      <c r="AH276"/>
      <c r="AI276"/>
    </row>
    <row r="277" spans="17:35" ht="12.75" customHeight="1">
      <c r="Q277" s="364"/>
      <c r="R277" s="937"/>
      <c r="S277" s="935" t="s">
        <v>308</v>
      </c>
      <c r="T277" s="935"/>
      <c r="U277" s="599">
        <f>U276*3</f>
        <v>21373.440000000002</v>
      </c>
      <c r="V277" s="599">
        <f>V276*3</f>
        <v>1730519.9999999995</v>
      </c>
      <c r="W277" s="599">
        <f>W276*3</f>
        <v>1504800</v>
      </c>
      <c r="X277" s="599">
        <f>X276*3</f>
        <v>1236085.7142857141</v>
      </c>
      <c r="Y277" s="361"/>
      <c r="Z277" s="364"/>
      <c r="AA277"/>
      <c r="AB277"/>
      <c r="AC277"/>
      <c r="AD277"/>
      <c r="AE277"/>
      <c r="AF277"/>
      <c r="AG277"/>
      <c r="AH277"/>
      <c r="AI277"/>
    </row>
    <row r="278" spans="17:35" ht="12.75" customHeight="1">
      <c r="Q278" s="364"/>
      <c r="R278" s="937"/>
      <c r="S278" s="937"/>
      <c r="T278" s="937"/>
      <c r="U278" s="937"/>
      <c r="V278" s="937"/>
      <c r="W278" s="937"/>
      <c r="X278" s="937"/>
      <c r="Y278" s="364"/>
      <c r="Z278" s="364"/>
      <c r="AA278"/>
      <c r="AB278"/>
      <c r="AC278"/>
      <c r="AD278"/>
      <c r="AE278"/>
      <c r="AF278"/>
      <c r="AG278"/>
      <c r="AH278"/>
      <c r="AI278"/>
    </row>
    <row r="279" spans="17:35" ht="12.75" customHeight="1">
      <c r="Q279" s="364"/>
      <c r="R279" s="935" t="s">
        <v>675</v>
      </c>
      <c r="S279" s="935"/>
      <c r="T279" s="935"/>
      <c r="U279" s="930" t="s">
        <v>500</v>
      </c>
      <c r="V279" s="928" t="s">
        <v>22</v>
      </c>
      <c r="W279" s="929" t="s">
        <v>579</v>
      </c>
      <c r="X279" s="927" t="s">
        <v>21</v>
      </c>
      <c r="Y279" s="361"/>
      <c r="Z279" s="364"/>
      <c r="AA279"/>
      <c r="AB279"/>
      <c r="AC279"/>
      <c r="AD279"/>
      <c r="AE279"/>
      <c r="AF279"/>
      <c r="AG279"/>
      <c r="AH279"/>
      <c r="AI279"/>
    </row>
    <row r="280" spans="17:35" ht="12.75" customHeight="1">
      <c r="Q280" s="364"/>
      <c r="R280" s="937" t="s">
        <v>322</v>
      </c>
      <c r="S280" s="937"/>
      <c r="T280" s="937"/>
      <c r="U280" s="930"/>
      <c r="V280" s="928"/>
      <c r="W280" s="929"/>
      <c r="X280" s="927"/>
      <c r="Y280" s="361"/>
      <c r="Z280" s="364"/>
      <c r="AA280"/>
      <c r="AB280"/>
      <c r="AC280"/>
      <c r="AD280"/>
      <c r="AE280"/>
      <c r="AF280"/>
      <c r="AG280"/>
      <c r="AH280"/>
      <c r="AI280"/>
    </row>
    <row r="281" spans="17:35" ht="12.75" customHeight="1">
      <c r="Q281" s="364"/>
      <c r="R281" s="937"/>
      <c r="S281" s="935" t="s">
        <v>306</v>
      </c>
      <c r="T281" s="935"/>
      <c r="U281" s="599">
        <f>U282/$V$11</f>
        <v>211.20000000000005</v>
      </c>
      <c r="V281" s="599">
        <f>V282/$V$11</f>
        <v>17099.999999999996</v>
      </c>
      <c r="W281" s="599">
        <f>W282/$V$11</f>
        <v>14869.565217391302</v>
      </c>
      <c r="X281" s="599">
        <f>X282/$V$11</f>
        <v>12214.285714285712</v>
      </c>
      <c r="Y281" s="361"/>
      <c r="Z281" s="364"/>
      <c r="AA281"/>
      <c r="AB281"/>
      <c r="AC281"/>
      <c r="AD281"/>
      <c r="AE281"/>
      <c r="AF281"/>
      <c r="AG281"/>
      <c r="AH281"/>
      <c r="AI281"/>
    </row>
    <row r="282" spans="17:35" ht="12.75" customHeight="1">
      <c r="Q282" s="364"/>
      <c r="R282" s="937"/>
      <c r="S282" s="935" t="s">
        <v>307</v>
      </c>
      <c r="T282" s="935"/>
      <c r="U282" s="599">
        <f>U283/12</f>
        <v>4857.6000000000013</v>
      </c>
      <c r="V282" s="599">
        <f>V283/12</f>
        <v>393299.99999999994</v>
      </c>
      <c r="W282" s="599">
        <f>W283/12</f>
        <v>341999.99999999994</v>
      </c>
      <c r="X282" s="599">
        <f>X283/12</f>
        <v>280928.57142857136</v>
      </c>
      <c r="Y282" s="361"/>
      <c r="Z282" s="364"/>
      <c r="AA282"/>
      <c r="AB282"/>
      <c r="AC282"/>
      <c r="AD282"/>
      <c r="AE282"/>
      <c r="AF282"/>
      <c r="AG282"/>
      <c r="AH282"/>
      <c r="AI282"/>
    </row>
    <row r="283" spans="17:35" ht="12.75" customHeight="1">
      <c r="Q283" s="364"/>
      <c r="R283" s="937"/>
      <c r="S283" s="935" t="s">
        <v>308</v>
      </c>
      <c r="T283" s="935"/>
      <c r="U283" s="599">
        <f>U271+U277</f>
        <v>58291.200000000012</v>
      </c>
      <c r="V283" s="599">
        <f>V271+V277</f>
        <v>4719599.9999999991</v>
      </c>
      <c r="W283" s="599">
        <f>W271+W277</f>
        <v>4103999.9999999995</v>
      </c>
      <c r="X283" s="599">
        <f>X271+X277</f>
        <v>3371142.8571428563</v>
      </c>
      <c r="Y283" s="361"/>
      <c r="Z283" s="364"/>
      <c r="AA283"/>
      <c r="AB283"/>
      <c r="AC283"/>
      <c r="AD283"/>
      <c r="AE283"/>
      <c r="AF283"/>
      <c r="AG283"/>
      <c r="AH283"/>
      <c r="AI283"/>
    </row>
    <row r="284" spans="17:35" ht="12.75" customHeight="1">
      <c r="Q284" s="364"/>
      <c r="R284" s="363"/>
      <c r="S284" s="363"/>
      <c r="T284" s="577"/>
      <c r="U284" s="577"/>
      <c r="V284" s="596"/>
      <c r="W284" s="363"/>
      <c r="X284" s="363"/>
      <c r="Y284" s="363"/>
      <c r="Z284" s="363"/>
      <c r="AA284"/>
      <c r="AB284"/>
      <c r="AC284"/>
      <c r="AD284"/>
      <c r="AE284"/>
      <c r="AF284"/>
      <c r="AG284"/>
      <c r="AH284"/>
      <c r="AI284"/>
    </row>
    <row r="285" spans="17:35" ht="12.75" customHeight="1">
      <c r="Q285" s="668" t="s">
        <v>756</v>
      </c>
      <c r="R285" s="363" t="s">
        <v>758</v>
      </c>
      <c r="S285" s="363"/>
      <c r="T285" s="577"/>
      <c r="U285" s="577"/>
      <c r="V285" s="596"/>
      <c r="W285" s="363"/>
      <c r="X285" s="363"/>
      <c r="Y285" s="363"/>
      <c r="Z285" s="363"/>
      <c r="AA285"/>
      <c r="AB285"/>
      <c r="AC285"/>
      <c r="AD285"/>
      <c r="AE285"/>
      <c r="AF285"/>
      <c r="AG285"/>
      <c r="AH285"/>
      <c r="AI285"/>
    </row>
    <row r="286" spans="17:35" ht="12.75" customHeight="1">
      <c r="Q286" s="364"/>
      <c r="R286" s="935" t="s">
        <v>678</v>
      </c>
      <c r="S286" s="935"/>
      <c r="T286" s="935"/>
      <c r="U286" s="935"/>
      <c r="V286" s="936" t="s">
        <v>500</v>
      </c>
      <c r="W286" s="936" t="s">
        <v>22</v>
      </c>
      <c r="X286" s="936" t="s">
        <v>579</v>
      </c>
      <c r="Y286" s="936" t="s">
        <v>21</v>
      </c>
      <c r="Z286" s="361"/>
      <c r="AA286"/>
      <c r="AB286"/>
      <c r="AC286"/>
      <c r="AD286"/>
      <c r="AE286"/>
      <c r="AF286"/>
      <c r="AG286"/>
      <c r="AH286"/>
      <c r="AI286"/>
    </row>
    <row r="287" spans="17:35" ht="12.75" customHeight="1">
      <c r="Q287" s="364"/>
      <c r="R287" s="935"/>
      <c r="S287" s="935"/>
      <c r="T287" s="935"/>
      <c r="U287" s="935"/>
      <c r="V287" s="936"/>
      <c r="W287" s="936"/>
      <c r="X287" s="936"/>
      <c r="Y287" s="936"/>
      <c r="Z287" s="361"/>
      <c r="AA287"/>
      <c r="AB287"/>
      <c r="AC287"/>
      <c r="AD287"/>
      <c r="AE287"/>
      <c r="AF287"/>
      <c r="AG287"/>
      <c r="AH287"/>
      <c r="AI287"/>
    </row>
    <row r="288" spans="17:35" ht="12.75" customHeight="1">
      <c r="Q288" s="364"/>
      <c r="R288" s="931" t="s">
        <v>35</v>
      </c>
      <c r="S288" s="931"/>
      <c r="T288" s="931"/>
      <c r="U288" s="931"/>
      <c r="V288" s="599">
        <f>AVERAGE(U196:W196)*5%</f>
        <v>1305585.0000000005</v>
      </c>
      <c r="W288" s="599">
        <f>V202*5%</f>
        <v>1533870.0000000005</v>
      </c>
      <c r="X288" s="599">
        <f>W202*5%</f>
        <v>1518480.0000000005</v>
      </c>
      <c r="Y288" s="599">
        <f>X202*5%</f>
        <v>1500158.5714285718</v>
      </c>
      <c r="Z288" s="361"/>
      <c r="AA288"/>
      <c r="AB288"/>
      <c r="AC288"/>
      <c r="AD288"/>
      <c r="AE288"/>
      <c r="AF288"/>
      <c r="AG288"/>
      <c r="AH288"/>
      <c r="AI288"/>
    </row>
    <row r="289" spans="17:35" ht="12.75" customHeight="1">
      <c r="Q289" s="364"/>
      <c r="R289" s="931" t="s">
        <v>481</v>
      </c>
      <c r="S289" s="931"/>
      <c r="T289" s="931"/>
      <c r="U289" s="931"/>
      <c r="V289" s="600" t="s">
        <v>479</v>
      </c>
      <c r="W289" s="599">
        <f>Y289</f>
        <v>1059840</v>
      </c>
      <c r="X289" s="600" t="s">
        <v>479</v>
      </c>
      <c r="Y289" s="599">
        <f>Consumables!E23*12</f>
        <v>1059840</v>
      </c>
      <c r="Z289" s="361"/>
      <c r="AA289"/>
      <c r="AB289"/>
      <c r="AC289"/>
      <c r="AD289"/>
      <c r="AE289"/>
      <c r="AF289"/>
      <c r="AG289"/>
      <c r="AH289"/>
      <c r="AI289"/>
    </row>
    <row r="290" spans="17:35" ht="12.75" customHeight="1">
      <c r="Q290" s="364"/>
      <c r="R290" s="931" t="s">
        <v>311</v>
      </c>
      <c r="S290" s="931"/>
      <c r="T290" s="931"/>
      <c r="U290" s="931"/>
      <c r="V290" s="600" t="s">
        <v>557</v>
      </c>
      <c r="W290" s="599">
        <f>Y290</f>
        <v>416000</v>
      </c>
      <c r="X290" s="599">
        <f>W290</f>
        <v>416000</v>
      </c>
      <c r="Y290" s="599">
        <f>Consumables!E21*12</f>
        <v>416000</v>
      </c>
      <c r="Z290" s="361"/>
      <c r="AA290"/>
      <c r="AB290"/>
      <c r="AC290"/>
      <c r="AD290"/>
      <c r="AE290"/>
      <c r="AF290"/>
      <c r="AG290"/>
      <c r="AH290"/>
      <c r="AI290"/>
    </row>
    <row r="291" spans="17:35" ht="12.75" customHeight="1">
      <c r="Q291" s="364"/>
      <c r="R291" s="931" t="s">
        <v>480</v>
      </c>
      <c r="S291" s="931"/>
      <c r="T291" s="931"/>
      <c r="U291" s="931"/>
      <c r="V291" s="599">
        <f>Consumables!H21*12</f>
        <v>3865001.2800000003</v>
      </c>
      <c r="W291" s="599">
        <v>0</v>
      </c>
      <c r="X291" s="599">
        <v>0</v>
      </c>
      <c r="Y291" s="599">
        <v>0</v>
      </c>
      <c r="Z291" s="361"/>
      <c r="AA291"/>
      <c r="AB291"/>
      <c r="AC291"/>
      <c r="AD291"/>
      <c r="AE291"/>
      <c r="AF291"/>
      <c r="AG291"/>
      <c r="AH291"/>
      <c r="AI291"/>
    </row>
    <row r="292" spans="17:35" ht="12.75" customHeight="1">
      <c r="Q292" s="364"/>
      <c r="R292" s="931" t="s">
        <v>312</v>
      </c>
      <c r="S292" s="931"/>
      <c r="T292" s="931"/>
      <c r="U292" s="931"/>
      <c r="V292" s="599">
        <f>Consumables!H20*12</f>
        <v>2691993.6000000001</v>
      </c>
      <c r="W292" s="599">
        <f>Y292</f>
        <v>2331648.0000000005</v>
      </c>
      <c r="X292" s="599">
        <f>W292</f>
        <v>2331648.0000000005</v>
      </c>
      <c r="Y292" s="599">
        <f>Consumables!E20*12</f>
        <v>2331648.0000000005</v>
      </c>
      <c r="Z292" s="361"/>
      <c r="AA292"/>
      <c r="AB292"/>
      <c r="AC292"/>
      <c r="AD292"/>
      <c r="AE292"/>
      <c r="AF292"/>
      <c r="AG292"/>
      <c r="AH292"/>
      <c r="AI292"/>
    </row>
    <row r="293" spans="17:35" ht="12.75" customHeight="1">
      <c r="Q293" s="364"/>
      <c r="R293" s="931" t="s">
        <v>313</v>
      </c>
      <c r="S293" s="931"/>
      <c r="T293" s="931"/>
      <c r="U293" s="931"/>
      <c r="V293" s="599">
        <f>Consumables!H19*12</f>
        <v>1674547.2000000002</v>
      </c>
      <c r="W293" s="599">
        <f>Y293</f>
        <v>1398988.8</v>
      </c>
      <c r="X293" s="599">
        <f>W293</f>
        <v>1398988.8</v>
      </c>
      <c r="Y293" s="599">
        <f>Consumables!E19*12</f>
        <v>1398988.8</v>
      </c>
      <c r="Z293" s="361"/>
      <c r="AA293"/>
      <c r="AB293"/>
      <c r="AC293"/>
      <c r="AD293"/>
      <c r="AE293"/>
      <c r="AF293"/>
      <c r="AG293"/>
      <c r="AH293"/>
      <c r="AI293"/>
    </row>
    <row r="294" spans="17:35" ht="12.75" customHeight="1">
      <c r="Q294" s="364"/>
      <c r="R294" s="931" t="s">
        <v>190</v>
      </c>
      <c r="S294" s="931"/>
      <c r="T294" s="931"/>
      <c r="U294" s="931"/>
      <c r="V294" s="599">
        <f>Consumables!H22*12</f>
        <v>8294400</v>
      </c>
      <c r="W294" s="599">
        <v>0</v>
      </c>
      <c r="X294" s="599">
        <v>0</v>
      </c>
      <c r="Y294" s="599">
        <v>0</v>
      </c>
      <c r="Z294" s="361"/>
      <c r="AA294"/>
      <c r="AB294"/>
      <c r="AC294"/>
      <c r="AD294"/>
      <c r="AE294"/>
      <c r="AF294"/>
      <c r="AG294"/>
      <c r="AH294"/>
      <c r="AI294"/>
    </row>
    <row r="295" spans="17:35" ht="12.75" customHeight="1">
      <c r="Q295" s="364"/>
      <c r="R295" s="931" t="s">
        <v>482</v>
      </c>
      <c r="S295" s="931"/>
      <c r="T295" s="931"/>
      <c r="U295" s="931"/>
      <c r="V295" s="599">
        <v>0</v>
      </c>
      <c r="W295" s="599">
        <f>Y295</f>
        <v>199600.00000000003</v>
      </c>
      <c r="X295" s="599">
        <f>W295</f>
        <v>199600.00000000003</v>
      </c>
      <c r="Y295" s="599">
        <f>Consumables!E25*12</f>
        <v>199600.00000000003</v>
      </c>
      <c r="Z295" s="361"/>
      <c r="AA295"/>
      <c r="AB295"/>
      <c r="AC295"/>
      <c r="AD295"/>
      <c r="AE295"/>
      <c r="AF295"/>
      <c r="AG295"/>
      <c r="AH295"/>
      <c r="AI295"/>
    </row>
    <row r="296" spans="17:35" ht="12.75" customHeight="1">
      <c r="Q296" s="364"/>
      <c r="R296" s="931" t="s">
        <v>483</v>
      </c>
      <c r="S296" s="931"/>
      <c r="T296" s="931"/>
      <c r="U296" s="931"/>
      <c r="V296" s="599">
        <v>0</v>
      </c>
      <c r="W296" s="599">
        <f>Y296</f>
        <v>40600</v>
      </c>
      <c r="X296" s="599">
        <f>W296</f>
        <v>40600</v>
      </c>
      <c r="Y296" s="599">
        <f>Consumables!E24*12</f>
        <v>40600</v>
      </c>
      <c r="Z296" s="361"/>
      <c r="AA296"/>
      <c r="AB296"/>
      <c r="AC296"/>
      <c r="AD296"/>
      <c r="AE296"/>
      <c r="AF296"/>
      <c r="AG296"/>
      <c r="AH296"/>
      <c r="AI296"/>
    </row>
    <row r="297" spans="17:35" ht="12.75" customHeight="1">
      <c r="Q297" s="364"/>
      <c r="R297" s="931" t="s">
        <v>478</v>
      </c>
      <c r="S297" s="931"/>
      <c r="T297" s="931"/>
      <c r="U297" s="931"/>
      <c r="V297" s="599">
        <f>U283</f>
        <v>58291.200000000012</v>
      </c>
      <c r="W297" s="599">
        <f>V283</f>
        <v>4719599.9999999991</v>
      </c>
      <c r="X297" s="599">
        <f>W283</f>
        <v>4103999.9999999995</v>
      </c>
      <c r="Y297" s="599">
        <f>X283</f>
        <v>3371142.8571428563</v>
      </c>
      <c r="Z297" s="361"/>
      <c r="AA297"/>
      <c r="AB297"/>
      <c r="AC297"/>
      <c r="AD297"/>
      <c r="AE297"/>
      <c r="AF297"/>
      <c r="AG297"/>
      <c r="AH297"/>
      <c r="AI297"/>
    </row>
    <row r="298" spans="17:35" ht="12.75" customHeight="1">
      <c r="Q298" s="364"/>
      <c r="R298" s="931" t="s">
        <v>484</v>
      </c>
      <c r="S298" s="931"/>
      <c r="T298" s="931"/>
      <c r="U298" s="931"/>
      <c r="V298" s="599">
        <f>'NIHL Compenation Cost'!AD21</f>
        <v>1715167.5</v>
      </c>
      <c r="W298" s="599">
        <f>'NIHL Compenation Cost'!Z21</f>
        <v>989115.00000000012</v>
      </c>
      <c r="X298" s="599">
        <f>'NIHL Compenation Cost'!AB21</f>
        <v>1087325</v>
      </c>
      <c r="Y298" s="599">
        <f>'NIHL Compenation Cost'!X21</f>
        <v>596275</v>
      </c>
      <c r="Z298" s="361"/>
      <c r="AA298"/>
      <c r="AB298"/>
      <c r="AC298"/>
      <c r="AD298"/>
      <c r="AE298"/>
      <c r="AF298"/>
      <c r="AG298"/>
      <c r="AH298"/>
      <c r="AI298"/>
    </row>
    <row r="299" spans="17:35" ht="12.75" customHeight="1">
      <c r="Q299" s="364"/>
      <c r="R299" s="932" t="s">
        <v>677</v>
      </c>
      <c r="S299" s="932"/>
      <c r="T299" s="932"/>
      <c r="U299" s="932"/>
      <c r="V299" s="599">
        <f>SUM(V288:V298)</f>
        <v>19604985.780000001</v>
      </c>
      <c r="W299" s="599">
        <f>SUM(W288:W298)</f>
        <v>12689261.800000001</v>
      </c>
      <c r="X299" s="599">
        <f>SUM(X288:X298)</f>
        <v>11096641.800000001</v>
      </c>
      <c r="Y299" s="599">
        <f>SUM(Y288:Y298)</f>
        <v>10914253.22857143</v>
      </c>
      <c r="Z299" s="361"/>
      <c r="AA299"/>
      <c r="AB299"/>
      <c r="AC299"/>
      <c r="AD299"/>
      <c r="AE299"/>
      <c r="AF299"/>
      <c r="AG299"/>
      <c r="AH299"/>
      <c r="AI299"/>
    </row>
    <row r="300" spans="17:35" ht="12.75" customHeight="1">
      <c r="Q300" s="364"/>
      <c r="R300" s="591"/>
      <c r="S300" s="591"/>
      <c r="T300" s="591"/>
      <c r="U300" s="591"/>
      <c r="V300" s="718"/>
      <c r="W300" s="718"/>
      <c r="X300" s="718"/>
      <c r="Y300" s="718"/>
      <c r="Z300" s="361"/>
      <c r="AA300"/>
      <c r="AB300"/>
      <c r="AC300"/>
      <c r="AD300"/>
      <c r="AE300"/>
      <c r="AF300"/>
      <c r="AG300"/>
      <c r="AH300"/>
      <c r="AI300"/>
    </row>
    <row r="301" spans="17:35" ht="12.75" customHeight="1">
      <c r="Q301" s="364"/>
      <c r="R301" s="591"/>
      <c r="S301" s="591"/>
      <c r="T301" s="933" t="s">
        <v>812</v>
      </c>
      <c r="U301" s="933"/>
      <c r="V301" s="718">
        <f>V299-V294</f>
        <v>11310585.780000001</v>
      </c>
      <c r="W301" s="718">
        <f>W299-W294</f>
        <v>12689261.800000001</v>
      </c>
      <c r="X301" s="718">
        <f>X299-X294</f>
        <v>11096641.800000001</v>
      </c>
      <c r="Y301" s="718">
        <f>Y299-Y294</f>
        <v>10914253.22857143</v>
      </c>
      <c r="Z301" s="361"/>
      <c r="AA301"/>
      <c r="AB301"/>
      <c r="AC301"/>
      <c r="AD301"/>
      <c r="AE301"/>
      <c r="AF301"/>
      <c r="AG301"/>
      <c r="AH301"/>
      <c r="AI301"/>
    </row>
    <row r="302" spans="17:35" ht="12.75" customHeight="1">
      <c r="Q302" s="364"/>
      <c r="R302" s="364"/>
      <c r="S302" s="364"/>
      <c r="T302" s="934" t="s">
        <v>350</v>
      </c>
      <c r="U302" s="934"/>
      <c r="V302" s="682">
        <f>V294</f>
        <v>8294400</v>
      </c>
      <c r="W302" s="682"/>
      <c r="X302" s="682"/>
      <c r="Y302" s="682"/>
      <c r="Z302" s="364"/>
      <c r="AA302"/>
      <c r="AB302"/>
      <c r="AC302"/>
      <c r="AD302"/>
      <c r="AE302"/>
      <c r="AF302"/>
      <c r="AG302"/>
      <c r="AH302"/>
      <c r="AI302"/>
    </row>
    <row r="303" spans="17:35" ht="12.75" customHeight="1">
      <c r="Q303" s="364">
        <v>10.3</v>
      </c>
      <c r="R303" s="363"/>
      <c r="S303" s="364"/>
      <c r="T303" s="364"/>
      <c r="U303" s="364"/>
      <c r="V303" s="682"/>
      <c r="W303" s="364"/>
      <c r="X303" s="362"/>
      <c r="Y303" s="682"/>
      <c r="Z303" s="364"/>
      <c r="AA303"/>
      <c r="AB303"/>
      <c r="AC303"/>
      <c r="AD303"/>
      <c r="AE303"/>
      <c r="AF303"/>
      <c r="AG303"/>
      <c r="AH303"/>
      <c r="AI303"/>
    </row>
    <row r="304" spans="17:35" ht="12.75" customHeight="1">
      <c r="Q304" s="364"/>
      <c r="R304" s="364"/>
      <c r="S304" s="364"/>
      <c r="T304" s="364"/>
      <c r="U304" s="364"/>
      <c r="V304" s="364"/>
      <c r="W304" s="364"/>
      <c r="X304" s="364"/>
      <c r="Y304" s="364"/>
      <c r="Z304" s="364"/>
      <c r="AA304"/>
      <c r="AB304"/>
      <c r="AC304"/>
      <c r="AD304"/>
      <c r="AE304"/>
      <c r="AF304"/>
      <c r="AG304"/>
      <c r="AH304"/>
      <c r="AI304"/>
    </row>
    <row r="305" spans="17:35" ht="12.75" customHeight="1">
      <c r="Q305" s="364"/>
      <c r="R305" s="935" t="s">
        <v>195</v>
      </c>
      <c r="S305" s="935"/>
      <c r="T305" s="935"/>
      <c r="U305" s="935"/>
      <c r="V305" s="935"/>
      <c r="W305" s="375"/>
      <c r="X305" s="683"/>
      <c r="Y305" s="375"/>
      <c r="Z305" s="375"/>
      <c r="AA305"/>
      <c r="AB305"/>
      <c r="AC305"/>
      <c r="AD305"/>
      <c r="AE305"/>
      <c r="AF305"/>
      <c r="AG305"/>
      <c r="AH305"/>
      <c r="AI305"/>
    </row>
    <row r="306" spans="17:35" ht="12.75" customHeight="1">
      <c r="Q306" s="364"/>
      <c r="R306" s="926" t="s">
        <v>509</v>
      </c>
      <c r="S306" s="927" t="s">
        <v>21</v>
      </c>
      <c r="T306" s="928" t="s">
        <v>22</v>
      </c>
      <c r="U306" s="929" t="s">
        <v>579</v>
      </c>
      <c r="V306" s="930" t="s">
        <v>500</v>
      </c>
      <c r="W306" s="363"/>
      <c r="X306" s="684"/>
      <c r="Y306" s="363"/>
      <c r="Z306" s="364"/>
      <c r="AA306"/>
      <c r="AB306"/>
      <c r="AC306"/>
      <c r="AD306"/>
      <c r="AE306"/>
      <c r="AF306"/>
      <c r="AG306"/>
      <c r="AH306"/>
      <c r="AI306"/>
    </row>
    <row r="307" spans="17:35" ht="12.75" customHeight="1">
      <c r="Q307" s="364"/>
      <c r="R307" s="926"/>
      <c r="S307" s="927"/>
      <c r="T307" s="928"/>
      <c r="U307" s="929"/>
      <c r="V307" s="930"/>
      <c r="W307" s="363"/>
      <c r="X307" s="684"/>
      <c r="Y307" s="363"/>
      <c r="Z307" s="364"/>
      <c r="AA307"/>
      <c r="AB307"/>
      <c r="AC307"/>
      <c r="AD307"/>
      <c r="AE307"/>
      <c r="AF307"/>
      <c r="AG307"/>
      <c r="AH307"/>
      <c r="AI307"/>
    </row>
    <row r="308" spans="17:35" ht="12.75" customHeight="1">
      <c r="Q308" s="364"/>
      <c r="R308" s="667" t="s">
        <v>204</v>
      </c>
      <c r="S308" s="667" t="s">
        <v>846</v>
      </c>
      <c r="T308" s="667" t="s">
        <v>846</v>
      </c>
      <c r="U308" s="667" t="s">
        <v>846</v>
      </c>
      <c r="V308" s="667" t="s">
        <v>846</v>
      </c>
      <c r="W308" s="363"/>
      <c r="X308" s="363"/>
      <c r="Y308" s="363"/>
      <c r="Z308" s="364"/>
      <c r="AA308"/>
      <c r="AB308"/>
      <c r="AC308"/>
      <c r="AD308"/>
      <c r="AE308"/>
      <c r="AF308"/>
      <c r="AG308"/>
      <c r="AH308"/>
      <c r="AI308"/>
    </row>
    <row r="309" spans="17:35" ht="12.75" customHeight="1">
      <c r="Q309" s="364"/>
      <c r="R309" s="600">
        <v>1</v>
      </c>
      <c r="S309" s="369">
        <f>$X$69</f>
        <v>116</v>
      </c>
      <c r="T309" s="584">
        <f>$V$69</f>
        <v>108</v>
      </c>
      <c r="U309" s="685">
        <f>$W$69</f>
        <v>109</v>
      </c>
      <c r="V309" s="369">
        <f>$U$69</f>
        <v>102</v>
      </c>
      <c r="W309" s="363"/>
      <c r="X309" s="363"/>
      <c r="Y309" s="363"/>
      <c r="Z309" s="364"/>
      <c r="AA309"/>
      <c r="AB309"/>
      <c r="AC309"/>
      <c r="AD309"/>
      <c r="AE309"/>
      <c r="AF309"/>
      <c r="AG309"/>
      <c r="AH309"/>
      <c r="AI309"/>
    </row>
    <row r="310" spans="17:35" ht="12.75" customHeight="1">
      <c r="Q310" s="364"/>
      <c r="R310" s="600">
        <v>2</v>
      </c>
      <c r="S310" s="584">
        <f>(LOG((10^(S309/10))+(10^(S309/10))))*10</f>
        <v>119.01029995663983</v>
      </c>
      <c r="T310" s="584">
        <f>(LOG((10^(T309/10))+(10^(T309/10))))*10</f>
        <v>111.01029995663981</v>
      </c>
      <c r="U310" s="584">
        <f>(LOG((10^(U309/10))+(10^(U309/10))))*10</f>
        <v>112.01029995663981</v>
      </c>
      <c r="V310" s="584">
        <f>(LOG((10^(V309/10))+(10^(V309/10))))*10</f>
        <v>105.01029995663983</v>
      </c>
      <c r="W310" s="363"/>
      <c r="X310" s="363"/>
      <c r="Y310" s="363"/>
      <c r="Z310" s="364"/>
      <c r="AA310"/>
      <c r="AB310"/>
      <c r="AC310"/>
      <c r="AD310"/>
      <c r="AE310"/>
      <c r="AF310"/>
      <c r="AG310"/>
      <c r="AH310"/>
      <c r="AI310"/>
    </row>
    <row r="311" spans="17:35" ht="12.75" customHeight="1">
      <c r="Q311" s="597"/>
      <c r="R311" s="600">
        <v>3</v>
      </c>
      <c r="S311" s="584">
        <f>(LOG((10^(S309/10))+(10^(S309/10))+(10^(S309/10)))*10)</f>
        <v>120.77121254719664</v>
      </c>
      <c r="T311" s="584">
        <f>(LOG((10^(T309/10))+(10^(T309/10))+(10^(T309/10)))*10)</f>
        <v>112.77121254719663</v>
      </c>
      <c r="U311" s="584">
        <f>(LOG((10^(U309/10))+(10^(U309/10))+(10^(U309/10)))*10)</f>
        <v>113.77121254719663</v>
      </c>
      <c r="V311" s="584">
        <f>(LOG((10^(V309/10))+(10^(V309/10))+(10^(V309/10)))*10)</f>
        <v>106.77121254719664</v>
      </c>
      <c r="W311" s="363"/>
      <c r="X311" s="363"/>
      <c r="Y311" s="363"/>
      <c r="Z311" s="364"/>
      <c r="AA311"/>
      <c r="AB311"/>
      <c r="AC311"/>
      <c r="AD311"/>
      <c r="AE311"/>
      <c r="AF311"/>
      <c r="AG311"/>
      <c r="AH311"/>
      <c r="AI311"/>
    </row>
    <row r="312" spans="17:35" ht="12.75" customHeight="1">
      <c r="Q312" s="364"/>
      <c r="R312" s="600">
        <v>4</v>
      </c>
      <c r="S312" s="584">
        <f>(LOG((10^(S309/10))+(10^(S309/10))+(10^(S309/10))+(10^(S309/10))))*10</f>
        <v>122.02059991327964</v>
      </c>
      <c r="T312" s="584">
        <f>(LOG((10^(T309/10))+(10^(T309/10))+(10^(T309/10))+(10^(T309/10))))*10</f>
        <v>114.02059991327963</v>
      </c>
      <c r="U312" s="584">
        <f>(LOG((10^(U309/10))+(10^(U309/10))+(10^(U309/10))+(10^(U309/10))))*10</f>
        <v>115.02059991327963</v>
      </c>
      <c r="V312" s="584">
        <f>(LOG((10^(V309/10))+(10^(V309/10))+(10^(V309/10))+(10^(V309/10))))*10</f>
        <v>108.02059991327964</v>
      </c>
      <c r="W312" s="363"/>
      <c r="X312" s="363"/>
      <c r="Y312" s="363"/>
      <c r="Z312" s="364"/>
      <c r="AA312"/>
      <c r="AB312"/>
      <c r="AC312"/>
      <c r="AD312"/>
      <c r="AE312"/>
      <c r="AF312"/>
      <c r="AG312"/>
      <c r="AH312"/>
      <c r="AI312"/>
    </row>
    <row r="313" spans="17:35" ht="12.75" customHeight="1">
      <c r="Q313" s="364"/>
      <c r="R313" s="600">
        <v>5</v>
      </c>
      <c r="S313" s="584">
        <f>(LOG((10^(S309/10))+(10^(S309/10))+(10^(S309/10))+(10^(S309/10))+(10^(S309/10))))*10</f>
        <v>122.9897000433602</v>
      </c>
      <c r="T313" s="584">
        <f>(LOG((10^(T309/10))+(10^(T309/10))+(10^(T309/10))+(10^(T309/10))+(10^(T309/10))))*10</f>
        <v>114.98970004336019</v>
      </c>
      <c r="U313" s="584">
        <f>(LOG((10^(U309/10))+(10^(U309/10))+(10^(U309/10))+(10^(U309/10))+(10^(U309/10))))*10</f>
        <v>115.98970004336019</v>
      </c>
      <c r="V313" s="584">
        <f>(LOG((10^(V309/10))+(10^(V309/10))+(10^(V309/10))+(10^(V309/10))+(10^(V309/10))))*10</f>
        <v>108.9897000433602</v>
      </c>
      <c r="W313" s="363"/>
      <c r="X313" s="363"/>
      <c r="Y313" s="363"/>
      <c r="Z313" s="364"/>
      <c r="AA313"/>
      <c r="AB313"/>
      <c r="AC313"/>
      <c r="AD313"/>
      <c r="AE313"/>
      <c r="AF313"/>
      <c r="AG313"/>
      <c r="AH313"/>
      <c r="AI313"/>
    </row>
    <row r="314" spans="17:35" ht="12.75" customHeight="1">
      <c r="Q314" s="364"/>
      <c r="R314" s="600">
        <v>6</v>
      </c>
      <c r="S314" s="584">
        <f>(LOG((10^(S309/10))+(10^(S309/10))+(10^(S309/10))+(10^(S309/10))+(10^(S309/10))+(10^(S309/10)))*10)</f>
        <v>123.78151250383645</v>
      </c>
      <c r="T314" s="584">
        <f>(LOG((10^(T309/10))+(10^(T309/10))+(10^(T309/10))+(10^(T309/10))+(10^(T309/10))+(10^(T309/10)))*10)</f>
        <v>115.78151250383644</v>
      </c>
      <c r="U314" s="584">
        <f>(LOG((10^(U309/10))+(10^(U309/10))+(10^(U309/10))+(10^(U309/10))+(10^(U309/10))+(10^(U309/10)))*10)</f>
        <v>116.78151250383644</v>
      </c>
      <c r="V314" s="584">
        <f>(LOG((10^(V309/10))+(10^(V309/10))+(10^(V309/10))+(10^(V309/10))+(10^(V309/10))+(10^(V309/10)))*10)</f>
        <v>109.78151250383645</v>
      </c>
      <c r="W314" s="363"/>
      <c r="X314" s="363"/>
      <c r="Y314" s="363"/>
      <c r="Z314" s="364"/>
      <c r="AA314"/>
      <c r="AB314"/>
      <c r="AC314"/>
      <c r="AD314"/>
      <c r="AE314"/>
      <c r="AF314"/>
      <c r="AG314"/>
      <c r="AH314"/>
      <c r="AI314"/>
    </row>
    <row r="315" spans="17:35" ht="12.75" customHeight="1" thickBot="1">
      <c r="Q315" s="364"/>
      <c r="R315" s="364"/>
      <c r="S315" s="364"/>
      <c r="T315" s="364"/>
      <c r="U315" s="364"/>
      <c r="V315" s="364"/>
      <c r="W315" s="364"/>
      <c r="X315" s="364"/>
      <c r="Y315" s="364"/>
      <c r="Z315" s="364"/>
      <c r="AA315"/>
      <c r="AB315"/>
      <c r="AC315"/>
      <c r="AD315"/>
      <c r="AE315"/>
      <c r="AF315"/>
      <c r="AG315"/>
      <c r="AH315"/>
      <c r="AI315"/>
    </row>
    <row r="316" spans="17:35" ht="12.75" customHeight="1" thickTop="1">
      <c r="Q316" s="364"/>
      <c r="R316" s="916" t="s">
        <v>428</v>
      </c>
      <c r="S316" s="917"/>
      <c r="T316" s="917"/>
      <c r="U316" s="917"/>
      <c r="V316" s="917"/>
      <c r="W316" s="918"/>
      <c r="X316" s="364"/>
      <c r="Y316" s="364"/>
      <c r="Z316" s="364"/>
      <c r="AA316"/>
      <c r="AB316"/>
      <c r="AC316"/>
      <c r="AD316"/>
      <c r="AE316"/>
      <c r="AF316"/>
      <c r="AG316"/>
      <c r="AH316"/>
      <c r="AI316"/>
    </row>
    <row r="317" spans="17:35" ht="12.75" customHeight="1">
      <c r="Q317" s="364"/>
      <c r="R317" s="919"/>
      <c r="S317" s="920"/>
      <c r="T317" s="920"/>
      <c r="U317" s="920"/>
      <c r="V317" s="920"/>
      <c r="W317" s="921"/>
      <c r="X317" s="364"/>
      <c r="Y317" s="364"/>
      <c r="Z317" s="364"/>
      <c r="AA317"/>
      <c r="AB317"/>
      <c r="AC317"/>
      <c r="AD317"/>
      <c r="AE317"/>
      <c r="AF317"/>
      <c r="AG317"/>
      <c r="AH317"/>
      <c r="AI317"/>
    </row>
    <row r="318" spans="17:35" ht="12.75" customHeight="1" thickBot="1">
      <c r="Q318" s="364"/>
      <c r="R318" s="922"/>
      <c r="S318" s="923"/>
      <c r="T318" s="923"/>
      <c r="U318" s="923"/>
      <c r="V318" s="923"/>
      <c r="W318" s="924"/>
      <c r="X318" s="364"/>
      <c r="Y318" s="364"/>
      <c r="Z318" s="364"/>
      <c r="AA318"/>
      <c r="AB318"/>
      <c r="AC318"/>
      <c r="AD318"/>
      <c r="AE318"/>
      <c r="AF318"/>
      <c r="AG318"/>
      <c r="AH318"/>
      <c r="AI318"/>
    </row>
    <row r="319" spans="17:35" ht="12.75" customHeight="1" thickTop="1">
      <c r="Q319" s="364"/>
      <c r="R319" s="925" t="str">
        <f>S306</f>
        <v>Seco S215</v>
      </c>
      <c r="S319" s="925"/>
      <c r="T319" s="925"/>
      <c r="U319" s="925"/>
      <c r="V319" s="925"/>
      <c r="W319" s="925"/>
      <c r="X319" s="364"/>
      <c r="Y319" s="364"/>
      <c r="Z319" s="364"/>
      <c r="AA319"/>
      <c r="AB319"/>
      <c r="AC319"/>
      <c r="AD319"/>
      <c r="AE319"/>
      <c r="AF319"/>
      <c r="AG319"/>
      <c r="AH319"/>
      <c r="AI319"/>
    </row>
    <row r="320" spans="17:35" ht="12.75" customHeight="1" thickBot="1">
      <c r="Q320" s="364"/>
      <c r="R320" s="910" t="s">
        <v>205</v>
      </c>
      <c r="S320" s="911"/>
      <c r="T320" s="911"/>
      <c r="U320" s="911"/>
      <c r="V320" s="911"/>
      <c r="W320" s="912"/>
      <c r="X320" s="364"/>
      <c r="Y320" s="364"/>
      <c r="Z320" s="364"/>
      <c r="AA320"/>
      <c r="AB320"/>
      <c r="AC320"/>
      <c r="AD320"/>
      <c r="AE320"/>
      <c r="AF320"/>
      <c r="AG320"/>
      <c r="AH320"/>
      <c r="AI320"/>
    </row>
    <row r="321" spans="17:35" ht="12.75" customHeight="1" thickBot="1">
      <c r="Q321" s="364"/>
      <c r="R321" s="686" t="s">
        <v>59</v>
      </c>
      <c r="S321" s="577"/>
      <c r="T321" s="687"/>
      <c r="U321" s="687"/>
      <c r="V321" s="687"/>
      <c r="W321" s="688"/>
      <c r="X321" s="364"/>
      <c r="Y321" s="364"/>
      <c r="Z321" s="364"/>
      <c r="AA321"/>
      <c r="AB321"/>
      <c r="AC321"/>
      <c r="AD321"/>
      <c r="AE321"/>
      <c r="AF321"/>
      <c r="AG321"/>
      <c r="AH321"/>
      <c r="AI321"/>
    </row>
    <row r="322" spans="17:35" ht="12.75" customHeight="1">
      <c r="Q322" s="364"/>
      <c r="R322" s="895" t="s">
        <v>845</v>
      </c>
      <c r="S322" s="896"/>
      <c r="T322" s="900" t="s">
        <v>835</v>
      </c>
      <c r="U322" s="900" t="s">
        <v>836</v>
      </c>
      <c r="V322" s="900" t="s">
        <v>837</v>
      </c>
      <c r="W322" s="902" t="s">
        <v>838</v>
      </c>
      <c r="X322" s="364"/>
      <c r="Y322" s="364"/>
      <c r="Z322" s="364"/>
      <c r="AA322"/>
      <c r="AB322"/>
      <c r="AC322"/>
      <c r="AD322"/>
      <c r="AE322"/>
      <c r="AF322"/>
      <c r="AG322"/>
      <c r="AH322"/>
      <c r="AI322"/>
    </row>
    <row r="323" spans="17:35" ht="12.75" customHeight="1">
      <c r="Q323" s="364"/>
      <c r="R323" s="892"/>
      <c r="S323" s="897"/>
      <c r="T323" s="904"/>
      <c r="U323" s="904"/>
      <c r="V323" s="904"/>
      <c r="W323" s="905"/>
      <c r="X323" s="364"/>
      <c r="Y323" s="364"/>
      <c r="Z323" s="364"/>
      <c r="AA323"/>
      <c r="AB323"/>
      <c r="AC323"/>
      <c r="AD323"/>
      <c r="AE323"/>
      <c r="AF323"/>
      <c r="AG323"/>
      <c r="AH323"/>
      <c r="AI323"/>
    </row>
    <row r="324" spans="17:35" ht="12.75" customHeight="1">
      <c r="Q324" s="364"/>
      <c r="R324" s="892"/>
      <c r="S324" s="897"/>
      <c r="T324" s="901"/>
      <c r="U324" s="901"/>
      <c r="V324" s="901"/>
      <c r="W324" s="903"/>
      <c r="X324" s="364"/>
      <c r="Y324" s="364"/>
      <c r="Z324" s="364"/>
      <c r="AA324"/>
      <c r="AB324"/>
      <c r="AC324"/>
      <c r="AD324"/>
      <c r="AE324"/>
      <c r="AF324"/>
      <c r="AG324"/>
      <c r="AH324"/>
      <c r="AI324"/>
    </row>
    <row r="325" spans="17:35" ht="12.75" customHeight="1">
      <c r="Q325" s="364"/>
      <c r="R325" s="892"/>
      <c r="S325" s="897"/>
      <c r="T325" s="689">
        <f>X69</f>
        <v>116</v>
      </c>
      <c r="U325" s="560">
        <f>X62</f>
        <v>1.4285714285714284</v>
      </c>
      <c r="V325" s="690">
        <f>IF(T325&gt;0,W325*U325," ")</f>
        <v>22857.142857142855</v>
      </c>
      <c r="W325" s="691">
        <f>IF(T325&gt;0,(VLOOKUP(T325,'Lookup Ready-reckoner'!$B$5:$E$1207,4))," ")</f>
        <v>16000</v>
      </c>
      <c r="X325" s="364"/>
      <c r="Y325" s="364"/>
      <c r="Z325" s="364"/>
      <c r="AA325"/>
      <c r="AB325"/>
      <c r="AC325"/>
      <c r="AD325"/>
      <c r="AE325"/>
      <c r="AF325"/>
      <c r="AG325"/>
      <c r="AH325"/>
      <c r="AI325"/>
    </row>
    <row r="326" spans="17:35" ht="12.75" customHeight="1">
      <c r="Q326" s="364"/>
      <c r="R326" s="898"/>
      <c r="S326" s="899"/>
      <c r="T326" s="447"/>
      <c r="U326" s="560"/>
      <c r="V326" s="690" t="str">
        <f>IF(T326&gt;0,W326*U326," ")</f>
        <v xml:space="preserve"> </v>
      </c>
      <c r="W326" s="691" t="str">
        <f>IF(T326&gt;0,(VLOOKUP(T326,'Lookup Ready-reckoner'!$B$5:$E$1007,4))," ")</f>
        <v xml:space="preserve"> </v>
      </c>
      <c r="X326" s="364"/>
      <c r="Y326" s="364"/>
      <c r="Z326" s="364"/>
      <c r="AA326"/>
      <c r="AB326"/>
      <c r="AC326"/>
      <c r="AD326"/>
      <c r="AE326"/>
      <c r="AF326"/>
      <c r="AG326"/>
      <c r="AH326"/>
      <c r="AI326"/>
    </row>
    <row r="327" spans="17:35" ht="12.75" customHeight="1" thickBot="1">
      <c r="Q327" s="364"/>
      <c r="R327" s="692" t="s">
        <v>839</v>
      </c>
      <c r="S327" s="693"/>
      <c r="T327" s="693"/>
      <c r="U327" s="694">
        <f>IF(T325&gt;0,(VLOOKUP(V327,'Lookup Ready-reckoner'!$L$5:$M$1207,2))," ")</f>
        <v>108.5</v>
      </c>
      <c r="V327" s="695">
        <f>IF(U325&gt;0,(SUM(V325:V326))," ")</f>
        <v>22857.142857142855</v>
      </c>
      <c r="W327" s="696"/>
      <c r="X327" s="364"/>
      <c r="Y327" s="364"/>
      <c r="Z327" s="364"/>
      <c r="AA327"/>
      <c r="AB327"/>
      <c r="AC327"/>
      <c r="AD327"/>
      <c r="AE327"/>
      <c r="AF327"/>
      <c r="AG327"/>
      <c r="AH327"/>
      <c r="AI327"/>
    </row>
    <row r="328" spans="17:35" ht="12.75" customHeight="1" thickBot="1">
      <c r="Q328" s="364"/>
      <c r="R328" s="892"/>
      <c r="S328" s="893"/>
      <c r="T328" s="893"/>
      <c r="U328" s="893"/>
      <c r="V328" s="893"/>
      <c r="W328" s="894"/>
      <c r="X328" s="364"/>
      <c r="Y328" s="364"/>
      <c r="Z328" s="364"/>
      <c r="AA328"/>
      <c r="AB328"/>
      <c r="AC328"/>
      <c r="AD328"/>
      <c r="AE328"/>
      <c r="AF328"/>
      <c r="AG328"/>
      <c r="AH328"/>
      <c r="AI328"/>
    </row>
    <row r="329" spans="17:35" ht="12.75" customHeight="1">
      <c r="Q329" s="364"/>
      <c r="R329" s="895" t="s">
        <v>886</v>
      </c>
      <c r="S329" s="896"/>
      <c r="T329" s="900" t="s">
        <v>835</v>
      </c>
      <c r="U329" s="900" t="s">
        <v>836</v>
      </c>
      <c r="V329" s="900" t="s">
        <v>837</v>
      </c>
      <c r="W329" s="902" t="s">
        <v>838</v>
      </c>
      <c r="X329" s="364"/>
      <c r="Y329" s="364"/>
      <c r="Z329" s="364"/>
      <c r="AA329"/>
      <c r="AB329"/>
      <c r="AC329"/>
      <c r="AD329"/>
      <c r="AE329"/>
      <c r="AF329"/>
      <c r="AG329"/>
      <c r="AH329"/>
      <c r="AI329"/>
    </row>
    <row r="330" spans="17:35" ht="12.75" customHeight="1">
      <c r="Q330" s="364"/>
      <c r="R330" s="892"/>
      <c r="S330" s="897"/>
      <c r="T330" s="901"/>
      <c r="U330" s="901"/>
      <c r="V330" s="901"/>
      <c r="W330" s="903"/>
      <c r="X330" s="364"/>
      <c r="Y330" s="364"/>
      <c r="Z330" s="364"/>
      <c r="AA330"/>
      <c r="AB330"/>
      <c r="AC330"/>
      <c r="AD330"/>
      <c r="AE330"/>
      <c r="AF330"/>
      <c r="AG330"/>
      <c r="AH330"/>
      <c r="AI330"/>
    </row>
    <row r="331" spans="17:35" ht="12.75" customHeight="1">
      <c r="Q331" s="364"/>
      <c r="R331" s="892"/>
      <c r="S331" s="897"/>
      <c r="T331" s="689">
        <f>T325*(1-0.0178*2)</f>
        <v>111.8704</v>
      </c>
      <c r="U331" s="560">
        <f>U325</f>
        <v>1.4285714285714284</v>
      </c>
      <c r="V331" s="690">
        <f>IF(T331&gt;0,W331*U331," ")</f>
        <v>8842.8571428571413</v>
      </c>
      <c r="W331" s="691">
        <f>IF(T331&gt;0,(VLOOKUP(T331,'Lookup Ready-reckoner'!$B$5:$E$1207,4))," ")</f>
        <v>6190</v>
      </c>
      <c r="X331" s="364"/>
      <c r="Y331" s="364"/>
      <c r="Z331" s="364"/>
      <c r="AA331"/>
      <c r="AB331"/>
      <c r="AC331"/>
      <c r="AD331"/>
      <c r="AE331"/>
      <c r="AF331"/>
      <c r="AG331"/>
      <c r="AH331"/>
      <c r="AI331"/>
    </row>
    <row r="332" spans="17:35" ht="12.75" customHeight="1">
      <c r="Q332" s="364"/>
      <c r="R332" s="898"/>
      <c r="S332" s="899"/>
      <c r="T332" s="447"/>
      <c r="U332" s="560"/>
      <c r="V332" s="690" t="str">
        <f>IF(T332&gt;0,W332*U332," ")</f>
        <v xml:space="preserve"> </v>
      </c>
      <c r="W332" s="691" t="str">
        <f>IF(T332&gt;0,(VLOOKUP(T332,'Lookup Ready-reckoner'!$B$5:$E$1007,4))," ")</f>
        <v xml:space="preserve"> </v>
      </c>
      <c r="X332" s="364"/>
      <c r="Y332" s="364"/>
      <c r="Z332" s="364"/>
      <c r="AA332"/>
      <c r="AB332"/>
      <c r="AC332"/>
      <c r="AD332"/>
      <c r="AE332"/>
      <c r="AF332"/>
      <c r="AG332"/>
      <c r="AH332"/>
      <c r="AI332"/>
    </row>
    <row r="333" spans="17:35" ht="12.75" customHeight="1" thickBot="1">
      <c r="Q333" s="364"/>
      <c r="R333" s="692" t="s">
        <v>839</v>
      </c>
      <c r="S333" s="693"/>
      <c r="T333" s="693"/>
      <c r="U333" s="694">
        <f>IF(T331&gt;0,(VLOOKUP(V333,'Lookup Ready-reckoner'!$L$5:$M$1207,2))," ")</f>
        <v>104.4</v>
      </c>
      <c r="V333" s="695">
        <f>IF(U331&gt;0,(SUM(V331:V332))," ")</f>
        <v>8842.8571428571413</v>
      </c>
      <c r="W333" s="696"/>
      <c r="X333" s="364"/>
      <c r="Y333" s="364"/>
      <c r="Z333" s="364"/>
      <c r="AA333"/>
      <c r="AB333"/>
      <c r="AC333"/>
      <c r="AD333"/>
      <c r="AE333"/>
      <c r="AF333"/>
      <c r="AG333"/>
      <c r="AH333"/>
      <c r="AI333"/>
    </row>
    <row r="334" spans="17:35" ht="12.75" customHeight="1">
      <c r="Q334" s="364"/>
      <c r="R334" s="697"/>
      <c r="S334" s="687"/>
      <c r="T334" s="687"/>
      <c r="U334" s="372"/>
      <c r="V334" s="374"/>
      <c r="W334" s="688"/>
      <c r="X334" s="364"/>
      <c r="Y334" s="364"/>
      <c r="Z334" s="364"/>
      <c r="AA334"/>
      <c r="AB334"/>
      <c r="AC334"/>
      <c r="AD334"/>
      <c r="AE334"/>
      <c r="AF334"/>
      <c r="AG334"/>
      <c r="AH334"/>
      <c r="AI334"/>
    </row>
    <row r="335" spans="17:35" ht="12.75" customHeight="1" thickBot="1">
      <c r="Q335" s="364"/>
      <c r="R335" s="686" t="s">
        <v>60</v>
      </c>
      <c r="S335" s="577"/>
      <c r="T335" s="577"/>
      <c r="U335" s="577"/>
      <c r="V335" s="577"/>
      <c r="W335" s="698"/>
      <c r="X335" s="364"/>
      <c r="Y335" s="364"/>
      <c r="Z335" s="364"/>
      <c r="AA335"/>
      <c r="AB335"/>
      <c r="AC335"/>
      <c r="AD335"/>
      <c r="AE335"/>
      <c r="AF335"/>
      <c r="AG335"/>
      <c r="AH335"/>
      <c r="AI335"/>
    </row>
    <row r="336" spans="17:35" ht="12.75" customHeight="1">
      <c r="Q336" s="364"/>
      <c r="R336" s="895" t="s">
        <v>845</v>
      </c>
      <c r="S336" s="896"/>
      <c r="T336" s="900" t="s">
        <v>835</v>
      </c>
      <c r="U336" s="900" t="s">
        <v>836</v>
      </c>
      <c r="V336" s="900" t="s">
        <v>837</v>
      </c>
      <c r="W336" s="902" t="s">
        <v>838</v>
      </c>
      <c r="X336" s="364"/>
      <c r="Y336" s="364"/>
      <c r="Z336" s="364"/>
      <c r="AA336"/>
      <c r="AB336"/>
      <c r="AC336"/>
      <c r="AD336"/>
      <c r="AE336"/>
      <c r="AF336"/>
      <c r="AG336"/>
      <c r="AH336"/>
      <c r="AI336"/>
    </row>
    <row r="337" spans="17:35" ht="12.75" customHeight="1">
      <c r="Q337" s="364"/>
      <c r="R337" s="892"/>
      <c r="S337" s="897"/>
      <c r="T337" s="901"/>
      <c r="U337" s="901"/>
      <c r="V337" s="901"/>
      <c r="W337" s="903"/>
      <c r="X337" s="364"/>
      <c r="Y337" s="364"/>
      <c r="Z337" s="364"/>
      <c r="AA337"/>
      <c r="AB337"/>
      <c r="AC337"/>
      <c r="AD337"/>
      <c r="AE337"/>
      <c r="AF337"/>
      <c r="AG337"/>
      <c r="AH337"/>
      <c r="AI337"/>
    </row>
    <row r="338" spans="17:35" ht="12.75" customHeight="1">
      <c r="Q338" s="364"/>
      <c r="R338" s="892"/>
      <c r="S338" s="897"/>
      <c r="T338" s="689">
        <f>T325-PPE!$I$15</f>
        <v>103</v>
      </c>
      <c r="U338" s="560">
        <f>U331</f>
        <v>1.4285714285714284</v>
      </c>
      <c r="V338" s="690">
        <f>IF(T338&gt;0,W338*U338," ")</f>
        <v>1142.8571428571427</v>
      </c>
      <c r="W338" s="691">
        <f>IF(T338&gt;0,(VLOOKUP(T338,'Lookup Ready-reckoner'!$B$5:$E$1207,4))," ")</f>
        <v>800</v>
      </c>
      <c r="X338" s="364"/>
      <c r="Y338" s="364"/>
      <c r="Z338" s="364"/>
      <c r="AA338"/>
      <c r="AB338"/>
      <c r="AC338"/>
      <c r="AD338"/>
      <c r="AE338"/>
      <c r="AF338"/>
      <c r="AG338"/>
      <c r="AH338"/>
      <c r="AI338"/>
    </row>
    <row r="339" spans="17:35" ht="12.75" customHeight="1">
      <c r="Q339" s="364"/>
      <c r="R339" s="898"/>
      <c r="S339" s="899"/>
      <c r="T339" s="447"/>
      <c r="U339" s="560"/>
      <c r="V339" s="690" t="str">
        <f>IF(T339&gt;0,W339*U339," ")</f>
        <v xml:space="preserve"> </v>
      </c>
      <c r="W339" s="691" t="str">
        <f>IF(T339&gt;0,(VLOOKUP(T339,'Lookup Ready-reckoner'!$B$5:$E$1007,4))," ")</f>
        <v xml:space="preserve"> </v>
      </c>
      <c r="X339" s="364"/>
      <c r="Y339" s="364"/>
      <c r="Z339" s="364"/>
      <c r="AA339"/>
      <c r="AB339"/>
      <c r="AC339"/>
      <c r="AD339"/>
      <c r="AE339"/>
      <c r="AF339"/>
      <c r="AG339"/>
      <c r="AH339"/>
      <c r="AI339"/>
    </row>
    <row r="340" spans="17:35" ht="12.75" customHeight="1" thickBot="1">
      <c r="Q340" s="364"/>
      <c r="R340" s="699" t="s">
        <v>839</v>
      </c>
      <c r="S340" s="693"/>
      <c r="T340" s="693"/>
      <c r="U340" s="694">
        <f>IF(T338&gt;0,(VLOOKUP(V340,'Lookup Ready-reckoner'!$L$5:$M$1207,2))," ")</f>
        <v>95.55</v>
      </c>
      <c r="V340" s="695">
        <f>IF(U338&gt;0,(SUM(V338:V339))," ")</f>
        <v>1142.8571428571427</v>
      </c>
      <c r="W340" s="696"/>
      <c r="X340" s="364"/>
      <c r="Y340" s="364"/>
      <c r="Z340" s="364"/>
      <c r="AA340"/>
      <c r="AB340"/>
      <c r="AC340"/>
      <c r="AD340"/>
      <c r="AE340"/>
      <c r="AF340"/>
      <c r="AG340"/>
      <c r="AH340"/>
      <c r="AI340"/>
    </row>
    <row r="341" spans="17:35" ht="12.75" customHeight="1" thickBot="1">
      <c r="Q341" s="364"/>
      <c r="R341" s="892"/>
      <c r="S341" s="893"/>
      <c r="T341" s="893"/>
      <c r="U341" s="893"/>
      <c r="V341" s="893"/>
      <c r="W341" s="894"/>
      <c r="X341" s="364"/>
      <c r="Y341" s="364"/>
      <c r="Z341" s="364"/>
      <c r="AA341"/>
      <c r="AB341"/>
      <c r="AC341"/>
      <c r="AD341"/>
      <c r="AE341"/>
      <c r="AF341"/>
      <c r="AG341"/>
      <c r="AH341"/>
      <c r="AI341"/>
    </row>
    <row r="342" spans="17:35" ht="12.75" customHeight="1">
      <c r="Q342" s="364"/>
      <c r="R342" s="895" t="s">
        <v>886</v>
      </c>
      <c r="S342" s="896"/>
      <c r="T342" s="900" t="s">
        <v>835</v>
      </c>
      <c r="U342" s="900" t="s">
        <v>836</v>
      </c>
      <c r="V342" s="900" t="s">
        <v>837</v>
      </c>
      <c r="W342" s="902" t="s">
        <v>838</v>
      </c>
      <c r="X342" s="364"/>
      <c r="Y342" s="364"/>
      <c r="Z342" s="364"/>
      <c r="AA342"/>
      <c r="AB342"/>
      <c r="AC342"/>
      <c r="AD342"/>
      <c r="AE342"/>
      <c r="AF342"/>
      <c r="AG342"/>
      <c r="AH342"/>
      <c r="AI342"/>
    </row>
    <row r="343" spans="17:35" ht="12.75" customHeight="1">
      <c r="Q343" s="364"/>
      <c r="R343" s="892"/>
      <c r="S343" s="897"/>
      <c r="T343" s="901"/>
      <c r="U343" s="901"/>
      <c r="V343" s="901"/>
      <c r="W343" s="903"/>
      <c r="X343" s="364"/>
      <c r="Y343" s="364"/>
      <c r="Z343" s="364"/>
      <c r="AA343"/>
      <c r="AB343"/>
      <c r="AC343"/>
      <c r="AD343"/>
      <c r="AE343"/>
      <c r="AF343"/>
      <c r="AG343"/>
      <c r="AH343"/>
      <c r="AI343"/>
    </row>
    <row r="344" spans="17:35" ht="12.75" customHeight="1">
      <c r="Q344" s="364"/>
      <c r="R344" s="892"/>
      <c r="S344" s="897"/>
      <c r="T344" s="689">
        <f>T331-PPE!$I$15</f>
        <v>98.870400000000004</v>
      </c>
      <c r="U344" s="560">
        <f>U338</f>
        <v>1.4285714285714284</v>
      </c>
      <c r="V344" s="690">
        <f>IF(T344&gt;0,W344*U344," ")</f>
        <v>433.03571428571422</v>
      </c>
      <c r="W344" s="691">
        <f>IF(T344&gt;0,(VLOOKUP(T344,'Lookup Ready-reckoner'!$B$5:$E$1207,4))," ")</f>
        <v>303.125</v>
      </c>
      <c r="X344" s="364"/>
      <c r="Y344" s="364"/>
      <c r="Z344" s="364"/>
      <c r="AA344"/>
      <c r="AB344"/>
      <c r="AC344"/>
      <c r="AD344"/>
      <c r="AE344"/>
      <c r="AF344"/>
      <c r="AG344"/>
      <c r="AH344"/>
      <c r="AI344"/>
    </row>
    <row r="345" spans="17:35" ht="12.75" customHeight="1">
      <c r="Q345" s="364"/>
      <c r="R345" s="898"/>
      <c r="S345" s="899"/>
      <c r="T345" s="447"/>
      <c r="U345" s="560"/>
      <c r="V345" s="690" t="str">
        <f>IF(T345&gt;0,W345*U345," ")</f>
        <v xml:space="preserve"> </v>
      </c>
      <c r="W345" s="691" t="str">
        <f>IF(T345&gt;0,(VLOOKUP(T345,'Lookup Ready-reckoner'!$B$5:$E$1007,4))," ")</f>
        <v xml:space="preserve"> </v>
      </c>
      <c r="X345" s="364"/>
      <c r="Y345" s="364"/>
      <c r="Z345" s="364"/>
      <c r="AA345"/>
      <c r="AB345"/>
      <c r="AC345"/>
      <c r="AD345"/>
      <c r="AE345"/>
      <c r="AF345"/>
      <c r="AG345"/>
      <c r="AH345"/>
      <c r="AI345"/>
    </row>
    <row r="346" spans="17:35" ht="12.75" customHeight="1" thickBot="1">
      <c r="Q346" s="364"/>
      <c r="R346" s="692" t="s">
        <v>839</v>
      </c>
      <c r="S346" s="693"/>
      <c r="T346" s="693"/>
      <c r="U346" s="694">
        <f>IF(T344&gt;0,(VLOOKUP(V346,'Lookup Ready-reckoner'!$L$5:$M$1207,2))," ")</f>
        <v>91.3</v>
      </c>
      <c r="V346" s="695">
        <f>IF(U344&gt;0,(SUM(V344:V345))," ")</f>
        <v>433.03571428571422</v>
      </c>
      <c r="W346" s="696"/>
      <c r="X346" s="364"/>
      <c r="Y346" s="364"/>
      <c r="Z346" s="364"/>
      <c r="AA346"/>
      <c r="AB346"/>
      <c r="AC346"/>
      <c r="AD346"/>
      <c r="AE346"/>
      <c r="AF346"/>
      <c r="AG346"/>
      <c r="AH346"/>
      <c r="AI346"/>
    </row>
    <row r="347" spans="17:35" ht="12.75" customHeight="1">
      <c r="Q347" s="364"/>
      <c r="R347" s="363"/>
      <c r="S347" s="363"/>
      <c r="T347" s="363"/>
      <c r="U347" s="363"/>
      <c r="V347" s="363"/>
      <c r="W347" s="363"/>
      <c r="X347" s="364"/>
      <c r="Y347" s="364"/>
      <c r="Z347" s="364"/>
      <c r="AA347"/>
      <c r="AB347"/>
      <c r="AC347"/>
      <c r="AD347"/>
      <c r="AE347"/>
      <c r="AF347"/>
      <c r="AG347"/>
      <c r="AH347"/>
      <c r="AI347"/>
    </row>
    <row r="348" spans="17:35" ht="12.75" customHeight="1" thickBot="1">
      <c r="Q348" s="364"/>
      <c r="R348" s="915" t="str">
        <f>T306</f>
        <v>Seco S215 Muffled</v>
      </c>
      <c r="S348" s="915"/>
      <c r="T348" s="915"/>
      <c r="U348" s="915"/>
      <c r="V348" s="915"/>
      <c r="W348" s="915"/>
      <c r="X348" s="364"/>
      <c r="Y348" s="363"/>
      <c r="Z348" s="363"/>
      <c r="AA348"/>
      <c r="AB348"/>
      <c r="AC348"/>
      <c r="AD348"/>
      <c r="AE348"/>
      <c r="AF348"/>
      <c r="AG348"/>
      <c r="AH348"/>
      <c r="AI348"/>
    </row>
    <row r="349" spans="17:35" ht="12.75" customHeight="1" thickBot="1">
      <c r="Q349" s="364"/>
      <c r="R349" s="906" t="s">
        <v>205</v>
      </c>
      <c r="S349" s="907"/>
      <c r="T349" s="907"/>
      <c r="U349" s="907"/>
      <c r="V349" s="907"/>
      <c r="W349" s="908"/>
      <c r="X349" s="364"/>
      <c r="Y349" s="363"/>
      <c r="Z349" s="363"/>
      <c r="AA349"/>
      <c r="AB349"/>
      <c r="AC349"/>
      <c r="AD349"/>
      <c r="AE349"/>
      <c r="AF349"/>
      <c r="AG349"/>
      <c r="AH349"/>
      <c r="AI349"/>
    </row>
    <row r="350" spans="17:35" ht="12.75" customHeight="1" thickBot="1">
      <c r="Q350" s="364"/>
      <c r="R350" s="686" t="s">
        <v>59</v>
      </c>
      <c r="S350" s="577"/>
      <c r="T350" s="687"/>
      <c r="U350" s="687"/>
      <c r="V350" s="687"/>
      <c r="W350" s="688"/>
      <c r="X350" s="364"/>
      <c r="Y350" s="363"/>
      <c r="Z350" s="363"/>
      <c r="AA350"/>
      <c r="AB350"/>
      <c r="AC350"/>
      <c r="AD350"/>
      <c r="AE350"/>
      <c r="AF350"/>
      <c r="AG350"/>
      <c r="AH350"/>
      <c r="AI350"/>
    </row>
    <row r="351" spans="17:35" ht="12.75" customHeight="1">
      <c r="Q351" s="364"/>
      <c r="R351" s="895" t="s">
        <v>845</v>
      </c>
      <c r="S351" s="896"/>
      <c r="T351" s="900" t="s">
        <v>835</v>
      </c>
      <c r="U351" s="900" t="s">
        <v>836</v>
      </c>
      <c r="V351" s="900" t="s">
        <v>837</v>
      </c>
      <c r="W351" s="902" t="s">
        <v>838</v>
      </c>
      <c r="X351" s="364"/>
      <c r="Y351" s="363"/>
      <c r="Z351" s="363"/>
      <c r="AA351"/>
      <c r="AB351"/>
      <c r="AC351"/>
      <c r="AD351"/>
      <c r="AE351"/>
      <c r="AF351"/>
      <c r="AG351"/>
      <c r="AH351"/>
      <c r="AI351"/>
    </row>
    <row r="352" spans="17:35" ht="12.75" customHeight="1">
      <c r="Q352" s="364"/>
      <c r="R352" s="892"/>
      <c r="S352" s="897"/>
      <c r="T352" s="904"/>
      <c r="U352" s="904"/>
      <c r="V352" s="904"/>
      <c r="W352" s="905"/>
      <c r="X352" s="364"/>
      <c r="Y352" s="363"/>
      <c r="Z352" s="363"/>
      <c r="AA352"/>
      <c r="AB352"/>
      <c r="AC352"/>
      <c r="AD352"/>
      <c r="AE352"/>
      <c r="AF352"/>
      <c r="AG352"/>
      <c r="AH352"/>
      <c r="AI352"/>
    </row>
    <row r="353" spans="17:35" ht="12.75" customHeight="1">
      <c r="Q353" s="364"/>
      <c r="R353" s="892"/>
      <c r="S353" s="897"/>
      <c r="T353" s="901"/>
      <c r="U353" s="901"/>
      <c r="V353" s="901"/>
      <c r="W353" s="903"/>
      <c r="X353" s="364"/>
      <c r="Y353" s="363"/>
      <c r="Z353" s="363"/>
      <c r="AA353"/>
      <c r="AB353"/>
      <c r="AC353"/>
      <c r="AD353"/>
      <c r="AE353"/>
      <c r="AF353"/>
      <c r="AG353"/>
      <c r="AH353"/>
      <c r="AI353"/>
    </row>
    <row r="354" spans="17:35" ht="12.75" customHeight="1">
      <c r="Q354" s="364"/>
      <c r="R354" s="892"/>
      <c r="S354" s="897"/>
      <c r="T354" s="700">
        <f>V69</f>
        <v>108</v>
      </c>
      <c r="U354" s="560">
        <f>V62</f>
        <v>1.9999999999999996</v>
      </c>
      <c r="V354" s="690">
        <f>IF(T354&gt;0,W354*U354," ")</f>
        <v>4999.9999999999991</v>
      </c>
      <c r="W354" s="691">
        <f>IF(T354&gt;0,(VLOOKUP(T354,'Lookup Ready-reckoner'!$B$5:$E$1207,4))," ")</f>
        <v>2500</v>
      </c>
      <c r="X354" s="364"/>
      <c r="Y354" s="363"/>
      <c r="Z354" s="363"/>
      <c r="AA354"/>
      <c r="AB354"/>
      <c r="AC354"/>
      <c r="AD354"/>
      <c r="AE354"/>
      <c r="AF354"/>
      <c r="AG354"/>
      <c r="AH354"/>
      <c r="AI354"/>
    </row>
    <row r="355" spans="17:35" ht="12.75" customHeight="1">
      <c r="Q355" s="364"/>
      <c r="R355" s="898"/>
      <c r="S355" s="899"/>
      <c r="T355" s="447"/>
      <c r="U355" s="560"/>
      <c r="V355" s="690" t="str">
        <f>IF(T355&gt;0,W355*U355," ")</f>
        <v xml:space="preserve"> </v>
      </c>
      <c r="W355" s="691" t="str">
        <f>IF(T355&gt;0,(VLOOKUP(T355,'Lookup Ready-reckoner'!$B$5:$E$1007,4))," ")</f>
        <v xml:space="preserve"> </v>
      </c>
      <c r="X355" s="364"/>
      <c r="Y355" s="363"/>
      <c r="Z355" s="363"/>
      <c r="AA355"/>
      <c r="AB355"/>
      <c r="AC355"/>
      <c r="AD355"/>
      <c r="AE355"/>
      <c r="AF355"/>
      <c r="AG355"/>
      <c r="AH355"/>
      <c r="AI355"/>
    </row>
    <row r="356" spans="17:35" ht="12.75" customHeight="1" thickBot="1">
      <c r="Q356" s="364"/>
      <c r="R356" s="699" t="s">
        <v>839</v>
      </c>
      <c r="S356" s="693"/>
      <c r="T356" s="693"/>
      <c r="U356" s="701">
        <f>IF(T354&gt;0,(VLOOKUP(V356,'Lookup Ready-reckoner'!$L$5:$M$1207,2))," ")</f>
        <v>101.95</v>
      </c>
      <c r="V356" s="695">
        <f>IF(U354&gt;0,(SUM(V354:V355))," ")</f>
        <v>4999.9999999999991</v>
      </c>
      <c r="W356" s="696"/>
      <c r="X356" s="364"/>
      <c r="Y356" s="363"/>
      <c r="Z356" s="363"/>
      <c r="AA356"/>
      <c r="AB356"/>
      <c r="AC356"/>
      <c r="AD356"/>
      <c r="AE356"/>
      <c r="AF356"/>
      <c r="AG356"/>
      <c r="AH356"/>
      <c r="AI356"/>
    </row>
    <row r="357" spans="17:35" ht="12.75" customHeight="1" thickBot="1">
      <c r="Q357" s="364"/>
      <c r="R357" s="892"/>
      <c r="S357" s="893"/>
      <c r="T357" s="893"/>
      <c r="U357" s="893"/>
      <c r="V357" s="893"/>
      <c r="W357" s="894"/>
      <c r="X357" s="364"/>
      <c r="Y357" s="363"/>
      <c r="Z357" s="363"/>
      <c r="AA357"/>
      <c r="AB357"/>
      <c r="AC357"/>
      <c r="AD357"/>
      <c r="AE357"/>
      <c r="AF357"/>
      <c r="AG357"/>
      <c r="AH357"/>
      <c r="AI357"/>
    </row>
    <row r="358" spans="17:35" ht="12.75" customHeight="1">
      <c r="Q358" s="364"/>
      <c r="R358" s="895" t="s">
        <v>886</v>
      </c>
      <c r="S358" s="896"/>
      <c r="T358" s="900" t="s">
        <v>835</v>
      </c>
      <c r="U358" s="900" t="s">
        <v>836</v>
      </c>
      <c r="V358" s="900" t="s">
        <v>837</v>
      </c>
      <c r="W358" s="902" t="s">
        <v>838</v>
      </c>
      <c r="X358" s="364"/>
      <c r="Y358" s="363"/>
      <c r="Z358" s="363"/>
      <c r="AA358"/>
      <c r="AB358"/>
      <c r="AC358"/>
      <c r="AD358"/>
      <c r="AE358"/>
      <c r="AF358"/>
      <c r="AG358"/>
      <c r="AH358"/>
      <c r="AI358"/>
    </row>
    <row r="359" spans="17:35" ht="12.75" customHeight="1">
      <c r="Q359" s="364"/>
      <c r="R359" s="892"/>
      <c r="S359" s="897"/>
      <c r="T359" s="901"/>
      <c r="U359" s="901"/>
      <c r="V359" s="901"/>
      <c r="W359" s="903"/>
      <c r="X359" s="364"/>
      <c r="Y359" s="363"/>
      <c r="Z359" s="363"/>
      <c r="AA359"/>
      <c r="AB359"/>
      <c r="AC359"/>
      <c r="AD359"/>
      <c r="AE359"/>
      <c r="AF359"/>
      <c r="AG359"/>
      <c r="AH359"/>
      <c r="AI359"/>
    </row>
    <row r="360" spans="17:35" ht="12.75" customHeight="1">
      <c r="Q360" s="364"/>
      <c r="R360" s="892"/>
      <c r="S360" s="897"/>
      <c r="T360" s="700">
        <f>T354*(1-0.0178*2)</f>
        <v>104.15520000000001</v>
      </c>
      <c r="U360" s="560">
        <f>U354</f>
        <v>1.9999999999999996</v>
      </c>
      <c r="V360" s="690">
        <f>IF(T360&gt;0,W360*U360," ")</f>
        <v>2074.9999999999995</v>
      </c>
      <c r="W360" s="691">
        <f>IF(T360&gt;0,(VLOOKUP(T360,'Lookup Ready-reckoner'!$B$5:$E$1207,4))," ")</f>
        <v>1037.5</v>
      </c>
      <c r="X360" s="364"/>
      <c r="Y360" s="363"/>
      <c r="Z360" s="363"/>
      <c r="AA360"/>
      <c r="AB360"/>
      <c r="AC360"/>
      <c r="AD360"/>
      <c r="AE360"/>
      <c r="AF360"/>
      <c r="AG360"/>
      <c r="AH360"/>
      <c r="AI360"/>
    </row>
    <row r="361" spans="17:35" ht="12.75" customHeight="1">
      <c r="Q361" s="364"/>
      <c r="R361" s="898"/>
      <c r="S361" s="899"/>
      <c r="T361" s="447"/>
      <c r="U361" s="560"/>
      <c r="V361" s="690" t="str">
        <f>IF(T361&gt;0,W361*U361," ")</f>
        <v xml:space="preserve"> </v>
      </c>
      <c r="W361" s="691" t="str">
        <f>IF(T361&gt;0,(VLOOKUP(T361,'Lookup Ready-reckoner'!$B$5:$E$1007,4))," ")</f>
        <v xml:space="preserve"> </v>
      </c>
      <c r="X361" s="364"/>
      <c r="Y361" s="363"/>
      <c r="Z361" s="363"/>
      <c r="AA361"/>
      <c r="AB361"/>
      <c r="AC361"/>
      <c r="AD361"/>
      <c r="AE361"/>
      <c r="AF361"/>
      <c r="AG361"/>
      <c r="AH361"/>
      <c r="AI361"/>
    </row>
    <row r="362" spans="17:35" ht="12.75" customHeight="1" thickBot="1">
      <c r="Q362" s="364"/>
      <c r="R362" s="692" t="s">
        <v>839</v>
      </c>
      <c r="S362" s="693"/>
      <c r="T362" s="693"/>
      <c r="U362" s="701">
        <f>IF(T360&gt;0,(VLOOKUP(V362,'Lookup Ready-reckoner'!$L$5:$M$1207,2))," ")</f>
        <v>98.1</v>
      </c>
      <c r="V362" s="695">
        <f>IF(U360&gt;0,(SUM(V360:V361))," ")</f>
        <v>2074.9999999999995</v>
      </c>
      <c r="W362" s="696"/>
      <c r="X362" s="364"/>
      <c r="Y362" s="363"/>
      <c r="Z362" s="363"/>
      <c r="AA362"/>
      <c r="AB362"/>
      <c r="AC362"/>
      <c r="AD362"/>
      <c r="AE362"/>
      <c r="AF362"/>
      <c r="AG362"/>
      <c r="AH362"/>
      <c r="AI362"/>
    </row>
    <row r="363" spans="17:35" ht="12.75" customHeight="1">
      <c r="Q363" s="364"/>
      <c r="R363" s="697"/>
      <c r="S363" s="687"/>
      <c r="T363" s="687"/>
      <c r="U363" s="372"/>
      <c r="V363" s="374"/>
      <c r="W363" s="688"/>
      <c r="X363" s="364"/>
      <c r="Y363" s="363"/>
      <c r="Z363" s="363"/>
      <c r="AA363"/>
      <c r="AB363"/>
      <c r="AC363"/>
      <c r="AD363"/>
      <c r="AE363"/>
      <c r="AF363"/>
      <c r="AG363"/>
      <c r="AH363"/>
      <c r="AI363"/>
    </row>
    <row r="364" spans="17:35" ht="12.75" customHeight="1" thickBot="1">
      <c r="Q364" s="364"/>
      <c r="R364" s="686" t="s">
        <v>60</v>
      </c>
      <c r="S364" s="577"/>
      <c r="T364" s="577"/>
      <c r="U364" s="577"/>
      <c r="V364" s="577"/>
      <c r="W364" s="698"/>
      <c r="X364" s="364"/>
      <c r="Y364" s="363"/>
      <c r="Z364" s="363"/>
      <c r="AA364"/>
      <c r="AB364"/>
      <c r="AC364"/>
      <c r="AD364"/>
      <c r="AE364"/>
      <c r="AF364"/>
      <c r="AG364"/>
      <c r="AH364"/>
      <c r="AI364"/>
    </row>
    <row r="365" spans="17:35" ht="12.75" customHeight="1">
      <c r="Q365" s="364"/>
      <c r="R365" s="895" t="s">
        <v>845</v>
      </c>
      <c r="S365" s="896"/>
      <c r="T365" s="900" t="s">
        <v>835</v>
      </c>
      <c r="U365" s="900" t="s">
        <v>836</v>
      </c>
      <c r="V365" s="900" t="s">
        <v>837</v>
      </c>
      <c r="W365" s="902" t="s">
        <v>838</v>
      </c>
      <c r="X365" s="364"/>
      <c r="Y365" s="363"/>
      <c r="Z365" s="363"/>
      <c r="AA365"/>
      <c r="AB365"/>
      <c r="AC365"/>
      <c r="AD365"/>
      <c r="AE365"/>
      <c r="AF365"/>
      <c r="AG365"/>
      <c r="AH365"/>
      <c r="AI365"/>
    </row>
    <row r="366" spans="17:35" ht="12.75" customHeight="1">
      <c r="Q366" s="364"/>
      <c r="R366" s="892"/>
      <c r="S366" s="897"/>
      <c r="T366" s="901"/>
      <c r="U366" s="901"/>
      <c r="V366" s="901"/>
      <c r="W366" s="903"/>
      <c r="X366" s="364"/>
      <c r="Y366" s="363"/>
      <c r="Z366" s="363"/>
      <c r="AA366"/>
      <c r="AB366"/>
      <c r="AC366"/>
      <c r="AD366"/>
      <c r="AE366"/>
      <c r="AF366"/>
      <c r="AG366"/>
      <c r="AH366"/>
      <c r="AI366"/>
    </row>
    <row r="367" spans="17:35" ht="12.75" customHeight="1">
      <c r="Q367" s="364"/>
      <c r="R367" s="892"/>
      <c r="S367" s="897"/>
      <c r="T367" s="700">
        <f>T354-PPE!$I$15</f>
        <v>95</v>
      </c>
      <c r="U367" s="560">
        <f>U360</f>
        <v>1.9999999999999996</v>
      </c>
      <c r="V367" s="690">
        <f>IF(T367&gt;0,W367*U367," ")</f>
        <v>249.99999999999994</v>
      </c>
      <c r="W367" s="691">
        <f>IF(T367&gt;0,(VLOOKUP(T367,'Lookup Ready-reckoner'!$B$5:$E$1207,4))," ")</f>
        <v>125</v>
      </c>
      <c r="X367" s="364"/>
      <c r="Y367" s="363"/>
      <c r="Z367" s="363"/>
      <c r="AA367"/>
      <c r="AB367"/>
      <c r="AC367"/>
      <c r="AD367"/>
      <c r="AE367"/>
      <c r="AF367"/>
      <c r="AG367"/>
      <c r="AH367"/>
      <c r="AI367"/>
    </row>
    <row r="368" spans="17:35" ht="12.75" customHeight="1">
      <c r="Q368" s="364"/>
      <c r="R368" s="898"/>
      <c r="S368" s="899"/>
      <c r="T368" s="447"/>
      <c r="U368" s="560"/>
      <c r="V368" s="690" t="str">
        <f>IF(T368&gt;0,W368*U368," ")</f>
        <v xml:space="preserve"> </v>
      </c>
      <c r="W368" s="691" t="str">
        <f>IF(T368&gt;0,(VLOOKUP(T368,'Lookup Ready-reckoner'!$B$5:$E$1007,4))," ")</f>
        <v xml:space="preserve"> </v>
      </c>
      <c r="X368" s="364"/>
      <c r="Y368" s="363"/>
      <c r="Z368" s="363"/>
      <c r="AA368"/>
      <c r="AB368"/>
      <c r="AC368"/>
      <c r="AD368"/>
      <c r="AE368"/>
      <c r="AF368"/>
      <c r="AG368"/>
      <c r="AH368"/>
      <c r="AI368"/>
    </row>
    <row r="369" spans="17:35" ht="12.75" customHeight="1" thickBot="1">
      <c r="Q369" s="364"/>
      <c r="R369" s="692" t="s">
        <v>839</v>
      </c>
      <c r="S369" s="693"/>
      <c r="T369" s="693"/>
      <c r="U369" s="701">
        <f>IF(T367&gt;0,(VLOOKUP(V369,'Lookup Ready-reckoner'!$L$5:$M$1207,2))," ")</f>
        <v>88.95</v>
      </c>
      <c r="V369" s="695">
        <f>IF(U367&gt;0,(SUM(V367:V368))," ")</f>
        <v>249.99999999999994</v>
      </c>
      <c r="W369" s="696"/>
      <c r="X369" s="364"/>
      <c r="Y369" s="363"/>
      <c r="Z369" s="363"/>
      <c r="AA369"/>
      <c r="AB369"/>
      <c r="AC369"/>
      <c r="AD369"/>
      <c r="AE369"/>
      <c r="AF369"/>
      <c r="AG369"/>
      <c r="AH369"/>
      <c r="AI369"/>
    </row>
    <row r="370" spans="17:35" ht="12.75" customHeight="1" thickBot="1">
      <c r="Q370" s="364"/>
      <c r="R370" s="892"/>
      <c r="S370" s="893"/>
      <c r="T370" s="893"/>
      <c r="U370" s="893"/>
      <c r="V370" s="893"/>
      <c r="W370" s="894"/>
      <c r="X370" s="364"/>
      <c r="Y370" s="363"/>
      <c r="Z370" s="363"/>
      <c r="AA370"/>
      <c r="AB370"/>
      <c r="AC370"/>
      <c r="AD370"/>
      <c r="AE370"/>
      <c r="AF370"/>
      <c r="AG370"/>
      <c r="AH370"/>
      <c r="AI370"/>
    </row>
    <row r="371" spans="17:35" ht="12.75" customHeight="1">
      <c r="Q371" s="364"/>
      <c r="R371" s="895" t="s">
        <v>886</v>
      </c>
      <c r="S371" s="896"/>
      <c r="T371" s="900" t="s">
        <v>835</v>
      </c>
      <c r="U371" s="900" t="s">
        <v>836</v>
      </c>
      <c r="V371" s="900" t="s">
        <v>837</v>
      </c>
      <c r="W371" s="902" t="s">
        <v>838</v>
      </c>
      <c r="X371" s="364"/>
      <c r="Y371" s="363"/>
      <c r="Z371" s="363"/>
      <c r="AA371"/>
      <c r="AB371"/>
      <c r="AC371"/>
      <c r="AD371"/>
      <c r="AE371"/>
      <c r="AF371"/>
      <c r="AG371"/>
      <c r="AH371"/>
      <c r="AI371"/>
    </row>
    <row r="372" spans="17:35" ht="12.75" customHeight="1">
      <c r="Q372" s="364"/>
      <c r="R372" s="892"/>
      <c r="S372" s="897"/>
      <c r="T372" s="901"/>
      <c r="U372" s="901"/>
      <c r="V372" s="901"/>
      <c r="W372" s="903"/>
      <c r="X372" s="364"/>
      <c r="Y372" s="363"/>
      <c r="Z372" s="363"/>
      <c r="AA372"/>
      <c r="AB372"/>
      <c r="AC372"/>
      <c r="AD372"/>
      <c r="AE372"/>
      <c r="AF372"/>
      <c r="AG372"/>
      <c r="AH372"/>
      <c r="AI372"/>
    </row>
    <row r="373" spans="17:35" ht="12.75" customHeight="1">
      <c r="Q373" s="364"/>
      <c r="R373" s="892"/>
      <c r="S373" s="897"/>
      <c r="T373" s="700">
        <f>T360-PPE!$I$15</f>
        <v>91.155200000000008</v>
      </c>
      <c r="U373" s="560">
        <f>U367</f>
        <v>1.9999999999999996</v>
      </c>
      <c r="V373" s="690">
        <f>IF(T373&gt;0,W373*U373," ")</f>
        <v>103.74999999999997</v>
      </c>
      <c r="W373" s="691">
        <f>IF(T373&gt;0,(VLOOKUP(T373,'Lookup Ready-reckoner'!$B$5:$E$1207,4))," ")</f>
        <v>51.875</v>
      </c>
      <c r="X373" s="364"/>
      <c r="Y373" s="363"/>
      <c r="Z373" s="363"/>
      <c r="AA373"/>
      <c r="AB373"/>
      <c r="AC373"/>
      <c r="AD373"/>
      <c r="AE373"/>
      <c r="AF373"/>
      <c r="AG373"/>
      <c r="AH373"/>
      <c r="AI373"/>
    </row>
    <row r="374" spans="17:35" ht="12.75" customHeight="1">
      <c r="Q374" s="364"/>
      <c r="R374" s="898"/>
      <c r="S374" s="899"/>
      <c r="T374" s="447"/>
      <c r="U374" s="560"/>
      <c r="V374" s="690" t="str">
        <f>IF(T374&gt;0,W374*U374," ")</f>
        <v xml:space="preserve"> </v>
      </c>
      <c r="W374" s="691" t="str">
        <f>IF(T374&gt;0,(VLOOKUP(T374,'Lookup Ready-reckoner'!$B$5:$E$1007,4))," ")</f>
        <v xml:space="preserve"> </v>
      </c>
      <c r="X374" s="364"/>
      <c r="Y374" s="363"/>
      <c r="Z374" s="363"/>
      <c r="AA374"/>
      <c r="AB374"/>
      <c r="AC374"/>
      <c r="AD374"/>
      <c r="AE374"/>
      <c r="AF374"/>
      <c r="AG374"/>
      <c r="AH374"/>
      <c r="AI374"/>
    </row>
    <row r="375" spans="17:35" ht="12.75" customHeight="1" thickBot="1">
      <c r="Q375" s="364"/>
      <c r="R375" s="692" t="s">
        <v>839</v>
      </c>
      <c r="S375" s="693"/>
      <c r="T375" s="693"/>
      <c r="U375" s="701">
        <f>IF(T373&gt;0,(VLOOKUP(V375,'Lookup Ready-reckoner'!$L$5:$M$1207,2))," ")</f>
        <v>85.1</v>
      </c>
      <c r="V375" s="695">
        <f>IF(U373&gt;0,(SUM(V373:V374))," ")</f>
        <v>103.74999999999997</v>
      </c>
      <c r="W375" s="696"/>
      <c r="X375" s="364"/>
      <c r="Y375" s="363"/>
      <c r="Z375" s="363"/>
      <c r="AA375"/>
      <c r="AB375"/>
      <c r="AC375"/>
      <c r="AD375"/>
      <c r="AE375"/>
      <c r="AF375"/>
      <c r="AG375"/>
      <c r="AH375"/>
      <c r="AI375"/>
    </row>
    <row r="376" spans="17:35" ht="12.75" customHeight="1">
      <c r="Q376" s="364"/>
      <c r="R376" s="363"/>
      <c r="S376" s="363"/>
      <c r="T376" s="363"/>
      <c r="U376" s="363"/>
      <c r="V376" s="363"/>
      <c r="W376" s="363"/>
      <c r="X376" s="364"/>
      <c r="Y376" s="364"/>
      <c r="Z376" s="364"/>
      <c r="AA376"/>
      <c r="AB376"/>
      <c r="AC376"/>
      <c r="AD376"/>
      <c r="AE376"/>
      <c r="AF376"/>
      <c r="AG376"/>
      <c r="AH376"/>
      <c r="AI376"/>
    </row>
    <row r="377" spans="17:35" ht="12.75" customHeight="1">
      <c r="Q377" s="364"/>
      <c r="R377" s="913" t="str">
        <f>U306</f>
        <v>Sulzer ADDS</v>
      </c>
      <c r="S377" s="914"/>
      <c r="T377" s="914"/>
      <c r="U377" s="914"/>
      <c r="V377" s="914"/>
      <c r="W377" s="914"/>
      <c r="X377" s="364"/>
      <c r="Y377" s="363"/>
      <c r="Z377" s="363"/>
      <c r="AA377"/>
      <c r="AB377"/>
      <c r="AC377"/>
      <c r="AD377"/>
      <c r="AE377"/>
      <c r="AF377"/>
      <c r="AG377"/>
      <c r="AH377"/>
      <c r="AI377"/>
    </row>
    <row r="378" spans="17:35" ht="12.75" customHeight="1" thickBot="1">
      <c r="Q378" s="364"/>
      <c r="R378" s="910" t="s">
        <v>205</v>
      </c>
      <c r="S378" s="911"/>
      <c r="T378" s="911"/>
      <c r="U378" s="911"/>
      <c r="V378" s="911"/>
      <c r="W378" s="912"/>
      <c r="X378" s="364"/>
      <c r="Y378" s="363"/>
      <c r="Z378" s="363"/>
      <c r="AA378"/>
      <c r="AB378"/>
      <c r="AC378"/>
      <c r="AD378"/>
      <c r="AE378"/>
      <c r="AF378"/>
      <c r="AG378"/>
      <c r="AH378"/>
      <c r="AI378"/>
    </row>
    <row r="379" spans="17:35" ht="12.75" customHeight="1" thickBot="1">
      <c r="Q379" s="364"/>
      <c r="R379" s="686" t="s">
        <v>59</v>
      </c>
      <c r="S379" s="577"/>
      <c r="T379" s="687"/>
      <c r="U379" s="687"/>
      <c r="V379" s="687"/>
      <c r="W379" s="688"/>
      <c r="X379" s="364"/>
      <c r="Y379" s="363"/>
      <c r="Z379" s="363"/>
      <c r="AA379"/>
      <c r="AB379"/>
      <c r="AC379"/>
      <c r="AD379"/>
      <c r="AE379"/>
      <c r="AF379"/>
      <c r="AG379"/>
      <c r="AH379"/>
      <c r="AI379"/>
    </row>
    <row r="380" spans="17:35" ht="12.75" customHeight="1">
      <c r="Q380" s="364"/>
      <c r="R380" s="895" t="s">
        <v>845</v>
      </c>
      <c r="S380" s="896"/>
      <c r="T380" s="900" t="s">
        <v>835</v>
      </c>
      <c r="U380" s="900" t="s">
        <v>836</v>
      </c>
      <c r="V380" s="900" t="s">
        <v>837</v>
      </c>
      <c r="W380" s="902" t="s">
        <v>838</v>
      </c>
      <c r="X380" s="364"/>
      <c r="Y380" s="363"/>
      <c r="Z380" s="363"/>
      <c r="AA380"/>
      <c r="AB380"/>
      <c r="AC380"/>
      <c r="AD380"/>
      <c r="AE380"/>
      <c r="AF380"/>
      <c r="AG380"/>
      <c r="AH380"/>
      <c r="AI380"/>
    </row>
    <row r="381" spans="17:35" ht="12.75" customHeight="1">
      <c r="Q381" s="364"/>
      <c r="R381" s="892"/>
      <c r="S381" s="897"/>
      <c r="T381" s="904"/>
      <c r="U381" s="904"/>
      <c r="V381" s="904"/>
      <c r="W381" s="905"/>
      <c r="X381" s="364"/>
      <c r="Y381" s="363"/>
      <c r="Z381" s="363"/>
      <c r="AA381"/>
      <c r="AB381"/>
      <c r="AC381"/>
      <c r="AD381"/>
      <c r="AE381"/>
      <c r="AF381"/>
      <c r="AG381"/>
      <c r="AH381"/>
      <c r="AI381"/>
    </row>
    <row r="382" spans="17:35" ht="12.75" customHeight="1">
      <c r="Q382" s="364"/>
      <c r="R382" s="892"/>
      <c r="S382" s="897"/>
      <c r="T382" s="901"/>
      <c r="U382" s="901"/>
      <c r="V382" s="901"/>
      <c r="W382" s="903"/>
      <c r="X382" s="364"/>
      <c r="Y382" s="363"/>
      <c r="Z382" s="363"/>
      <c r="AA382"/>
      <c r="AB382"/>
      <c r="AC382"/>
      <c r="AD382"/>
      <c r="AE382"/>
      <c r="AF382"/>
      <c r="AG382"/>
      <c r="AH382"/>
      <c r="AI382"/>
    </row>
    <row r="383" spans="17:35" ht="12.75" customHeight="1">
      <c r="Q383" s="364"/>
      <c r="R383" s="892"/>
      <c r="S383" s="897"/>
      <c r="T383" s="702">
        <f>W69</f>
        <v>109</v>
      </c>
      <c r="U383" s="560">
        <f>W62</f>
        <v>1.7391304347826084</v>
      </c>
      <c r="V383" s="690">
        <f>IF(T383&gt;0,W383*U383," ")</f>
        <v>5565.2173913043471</v>
      </c>
      <c r="W383" s="691">
        <f>IF(T383&gt;0,(VLOOKUP(T383,'Lookup Ready-reckoner'!$B$5:$E$1207,4))," ")</f>
        <v>3200</v>
      </c>
      <c r="X383" s="364"/>
      <c r="Y383" s="363"/>
      <c r="Z383" s="363"/>
      <c r="AA383"/>
      <c r="AB383"/>
      <c r="AC383"/>
      <c r="AD383"/>
      <c r="AE383"/>
      <c r="AF383"/>
      <c r="AG383"/>
      <c r="AH383"/>
      <c r="AI383"/>
    </row>
    <row r="384" spans="17:35" ht="12.75" customHeight="1">
      <c r="Q384" s="364"/>
      <c r="R384" s="898"/>
      <c r="S384" s="899"/>
      <c r="T384" s="447"/>
      <c r="U384" s="560"/>
      <c r="V384" s="690" t="str">
        <f>IF(T384&gt;0,W384*U384," ")</f>
        <v xml:space="preserve"> </v>
      </c>
      <c r="W384" s="691" t="str">
        <f>IF(T384&gt;0,(VLOOKUP(T384,'Lookup Ready-reckoner'!$B$5:$E$1007,4))," ")</f>
        <v xml:space="preserve"> </v>
      </c>
      <c r="X384" s="364"/>
      <c r="Y384" s="363"/>
      <c r="Z384" s="363"/>
      <c r="AA384"/>
      <c r="AB384"/>
      <c r="AC384"/>
      <c r="AD384"/>
      <c r="AE384"/>
      <c r="AF384"/>
      <c r="AG384"/>
      <c r="AH384"/>
      <c r="AI384"/>
    </row>
    <row r="385" spans="17:35" ht="12.75" customHeight="1" thickBot="1">
      <c r="Q385" s="364"/>
      <c r="R385" s="692" t="s">
        <v>839</v>
      </c>
      <c r="S385" s="693"/>
      <c r="T385" s="693"/>
      <c r="U385" s="703">
        <f>IF(T383&gt;0,(VLOOKUP(V385,'Lookup Ready-reckoner'!$L$5:$M$1207,2))," ")</f>
        <v>102.4</v>
      </c>
      <c r="V385" s="695">
        <f>IF(U383&gt;0,(SUM(V383:V384))," ")</f>
        <v>5565.2173913043471</v>
      </c>
      <c r="W385" s="696"/>
      <c r="X385" s="364"/>
      <c r="Y385" s="363"/>
      <c r="Z385" s="363"/>
      <c r="AA385"/>
      <c r="AB385"/>
      <c r="AC385"/>
      <c r="AD385"/>
      <c r="AE385"/>
      <c r="AF385"/>
      <c r="AG385"/>
      <c r="AH385"/>
      <c r="AI385"/>
    </row>
    <row r="386" spans="17:35" ht="12.75" customHeight="1" thickBot="1">
      <c r="Q386" s="364"/>
      <c r="R386" s="892"/>
      <c r="S386" s="893"/>
      <c r="T386" s="893"/>
      <c r="U386" s="893"/>
      <c r="V386" s="893"/>
      <c r="W386" s="894"/>
      <c r="X386" s="364"/>
      <c r="Y386" s="363"/>
      <c r="Z386" s="363"/>
      <c r="AA386"/>
      <c r="AB386"/>
      <c r="AC386"/>
      <c r="AD386"/>
      <c r="AE386"/>
      <c r="AF386"/>
      <c r="AG386"/>
      <c r="AH386"/>
      <c r="AI386"/>
    </row>
    <row r="387" spans="17:35" ht="12.75" customHeight="1">
      <c r="Q387" s="364"/>
      <c r="R387" s="895" t="s">
        <v>886</v>
      </c>
      <c r="S387" s="896"/>
      <c r="T387" s="900" t="s">
        <v>835</v>
      </c>
      <c r="U387" s="900" t="s">
        <v>836</v>
      </c>
      <c r="V387" s="900" t="s">
        <v>837</v>
      </c>
      <c r="W387" s="902" t="s">
        <v>838</v>
      </c>
      <c r="X387" s="364"/>
      <c r="Y387" s="363"/>
      <c r="Z387" s="363"/>
      <c r="AA387"/>
      <c r="AB387"/>
      <c r="AC387"/>
      <c r="AD387"/>
      <c r="AE387"/>
      <c r="AF387"/>
      <c r="AG387"/>
      <c r="AH387"/>
      <c r="AI387"/>
    </row>
    <row r="388" spans="17:35" ht="12.75" customHeight="1">
      <c r="Q388" s="364"/>
      <c r="R388" s="892"/>
      <c r="S388" s="897"/>
      <c r="T388" s="901"/>
      <c r="U388" s="901"/>
      <c r="V388" s="901"/>
      <c r="W388" s="903"/>
      <c r="X388" s="364"/>
      <c r="Y388" s="363"/>
      <c r="Z388" s="363"/>
      <c r="AA388"/>
      <c r="AB388"/>
      <c r="AC388"/>
      <c r="AD388"/>
      <c r="AE388"/>
      <c r="AF388"/>
      <c r="AG388"/>
      <c r="AH388"/>
      <c r="AI388"/>
    </row>
    <row r="389" spans="17:35" ht="12.75" customHeight="1">
      <c r="Q389" s="364"/>
      <c r="R389" s="892"/>
      <c r="S389" s="897"/>
      <c r="T389" s="702">
        <f>T383*(1-0.0178*2)</f>
        <v>105.11960000000001</v>
      </c>
      <c r="U389" s="560">
        <f>U383</f>
        <v>1.7391304347826084</v>
      </c>
      <c r="V389" s="690">
        <f>IF(T389&gt;0,W389*U389," ")</f>
        <v>2234.782608695652</v>
      </c>
      <c r="W389" s="691">
        <f>IF(T389&gt;0,(VLOOKUP(T389,'Lookup Ready-reckoner'!$B$5:$E$1207,4))," ")</f>
        <v>1285</v>
      </c>
      <c r="X389" s="364"/>
      <c r="Y389" s="363"/>
      <c r="Z389" s="363"/>
      <c r="AA389"/>
      <c r="AB389"/>
      <c r="AC389"/>
      <c r="AD389"/>
      <c r="AE389"/>
      <c r="AF389"/>
      <c r="AG389"/>
      <c r="AH389"/>
      <c r="AI389"/>
    </row>
    <row r="390" spans="17:35" ht="12.75" customHeight="1">
      <c r="Q390" s="364"/>
      <c r="R390" s="898"/>
      <c r="S390" s="899"/>
      <c r="T390" s="447"/>
      <c r="U390" s="560"/>
      <c r="V390" s="690" t="str">
        <f>IF(T390&gt;0,W390*U390," ")</f>
        <v xml:space="preserve"> </v>
      </c>
      <c r="W390" s="691" t="str">
        <f>IF(T390&gt;0,(VLOOKUP(T390,'Lookup Ready-reckoner'!$B$5:$E$1007,4))," ")</f>
        <v xml:space="preserve"> </v>
      </c>
      <c r="X390" s="364"/>
      <c r="Y390" s="363"/>
      <c r="Z390" s="363"/>
      <c r="AA390"/>
      <c r="AB390"/>
      <c r="AC390"/>
      <c r="AD390"/>
      <c r="AE390"/>
      <c r="AF390"/>
      <c r="AG390"/>
      <c r="AH390"/>
      <c r="AI390"/>
    </row>
    <row r="391" spans="17:35" ht="12.75" customHeight="1" thickBot="1">
      <c r="Q391" s="364"/>
      <c r="R391" s="692" t="s">
        <v>839</v>
      </c>
      <c r="S391" s="693"/>
      <c r="T391" s="693"/>
      <c r="U391" s="703">
        <f>IF(T389&gt;0,(VLOOKUP(V391,'Lookup Ready-reckoner'!$L$5:$M$1207,2))," ")</f>
        <v>98.45</v>
      </c>
      <c r="V391" s="695">
        <f>IF(U389&gt;0,(SUM(V389:V390))," ")</f>
        <v>2234.782608695652</v>
      </c>
      <c r="W391" s="696"/>
      <c r="X391" s="364"/>
      <c r="Y391" s="363"/>
      <c r="Z391" s="363"/>
      <c r="AA391"/>
      <c r="AB391"/>
      <c r="AC391"/>
      <c r="AD391"/>
      <c r="AE391"/>
      <c r="AF391"/>
      <c r="AG391"/>
      <c r="AH391"/>
      <c r="AI391"/>
    </row>
    <row r="392" spans="17:35" ht="12.75" customHeight="1">
      <c r="Q392" s="364"/>
      <c r="R392" s="697"/>
      <c r="S392" s="687"/>
      <c r="T392" s="687"/>
      <c r="U392" s="372"/>
      <c r="V392" s="374"/>
      <c r="W392" s="688"/>
      <c r="X392" s="364"/>
      <c r="Y392" s="363"/>
      <c r="Z392" s="363"/>
      <c r="AA392"/>
      <c r="AB392"/>
      <c r="AC392"/>
      <c r="AD392"/>
      <c r="AE392"/>
      <c r="AF392"/>
      <c r="AG392"/>
      <c r="AH392"/>
      <c r="AI392"/>
    </row>
    <row r="393" spans="17:35" ht="12.75" customHeight="1" thickBot="1">
      <c r="Q393" s="364"/>
      <c r="R393" s="686" t="s">
        <v>60</v>
      </c>
      <c r="S393" s="577"/>
      <c r="T393" s="577"/>
      <c r="U393" s="577"/>
      <c r="V393" s="577"/>
      <c r="W393" s="698"/>
      <c r="X393" s="364"/>
      <c r="Y393" s="363"/>
      <c r="Z393" s="363"/>
      <c r="AA393"/>
      <c r="AB393"/>
      <c r="AC393"/>
      <c r="AD393"/>
      <c r="AE393"/>
      <c r="AF393"/>
      <c r="AG393"/>
      <c r="AH393"/>
      <c r="AI393"/>
    </row>
    <row r="394" spans="17:35" ht="12.75" customHeight="1">
      <c r="Q394" s="364"/>
      <c r="R394" s="895" t="s">
        <v>845</v>
      </c>
      <c r="S394" s="896"/>
      <c r="T394" s="900" t="s">
        <v>835</v>
      </c>
      <c r="U394" s="900" t="s">
        <v>836</v>
      </c>
      <c r="V394" s="900" t="s">
        <v>837</v>
      </c>
      <c r="W394" s="902" t="s">
        <v>838</v>
      </c>
      <c r="X394" s="364"/>
      <c r="Y394" s="363"/>
      <c r="Z394" s="363"/>
      <c r="AA394"/>
      <c r="AB394"/>
      <c r="AC394"/>
      <c r="AD394"/>
      <c r="AE394"/>
      <c r="AF394"/>
      <c r="AG394"/>
      <c r="AH394"/>
      <c r="AI394"/>
    </row>
    <row r="395" spans="17:35" ht="12.75" customHeight="1">
      <c r="Q395" s="364"/>
      <c r="R395" s="892"/>
      <c r="S395" s="897"/>
      <c r="T395" s="901"/>
      <c r="U395" s="901"/>
      <c r="V395" s="901"/>
      <c r="W395" s="903"/>
      <c r="X395" s="364"/>
      <c r="Y395" s="363"/>
      <c r="Z395" s="363"/>
      <c r="AA395"/>
      <c r="AB395"/>
      <c r="AC395"/>
      <c r="AD395"/>
      <c r="AE395"/>
      <c r="AF395"/>
      <c r="AG395"/>
      <c r="AH395"/>
      <c r="AI395"/>
    </row>
    <row r="396" spans="17:35" ht="12.75" customHeight="1">
      <c r="Q396" s="364"/>
      <c r="R396" s="892"/>
      <c r="S396" s="897"/>
      <c r="T396" s="702">
        <f>T383-PPE!$I$15</f>
        <v>96</v>
      </c>
      <c r="U396" s="560">
        <f>U389</f>
        <v>1.7391304347826084</v>
      </c>
      <c r="V396" s="690">
        <f>IF(T396&gt;0,W396*U396," ")</f>
        <v>271.73913043478257</v>
      </c>
      <c r="W396" s="691">
        <f>IF(T396&gt;0,(VLOOKUP(T396,'Lookup Ready-reckoner'!$B$5:$E$1207,4))," ")</f>
        <v>156.25</v>
      </c>
      <c r="X396" s="364"/>
      <c r="Y396" s="363"/>
      <c r="Z396" s="363"/>
      <c r="AA396"/>
      <c r="AB396"/>
      <c r="AC396"/>
      <c r="AD396"/>
      <c r="AE396"/>
      <c r="AF396"/>
      <c r="AG396"/>
      <c r="AH396"/>
      <c r="AI396"/>
    </row>
    <row r="397" spans="17:35" ht="12.75" customHeight="1">
      <c r="Q397" s="364"/>
      <c r="R397" s="898"/>
      <c r="S397" s="899"/>
      <c r="T397" s="447"/>
      <c r="U397" s="560"/>
      <c r="V397" s="690" t="str">
        <f>IF(T397&gt;0,W397*U397," ")</f>
        <v xml:space="preserve"> </v>
      </c>
      <c r="W397" s="691" t="str">
        <f>IF(T397&gt;0,(VLOOKUP(T397,'Lookup Ready-reckoner'!$B$5:$E$1007,4))," ")</f>
        <v xml:space="preserve"> </v>
      </c>
      <c r="X397" s="364"/>
      <c r="Y397" s="363"/>
      <c r="Z397" s="363"/>
      <c r="AA397"/>
      <c r="AB397"/>
      <c r="AC397"/>
      <c r="AD397"/>
      <c r="AE397"/>
      <c r="AF397"/>
      <c r="AG397"/>
      <c r="AH397"/>
      <c r="AI397"/>
    </row>
    <row r="398" spans="17:35" ht="12.75" customHeight="1" thickBot="1">
      <c r="Q398" s="364"/>
      <c r="R398" s="692" t="s">
        <v>839</v>
      </c>
      <c r="S398" s="693"/>
      <c r="T398" s="693"/>
      <c r="U398" s="703">
        <f>IF(T396&gt;0,(VLOOKUP(V398,'Lookup Ready-reckoner'!$L$5:$M$1207,2))," ")</f>
        <v>89.3</v>
      </c>
      <c r="V398" s="695">
        <f>IF(U396&gt;0,(SUM(V396:V397))," ")</f>
        <v>271.73913043478257</v>
      </c>
      <c r="W398" s="696"/>
      <c r="X398" s="364"/>
      <c r="Y398" s="363"/>
      <c r="Z398" s="363"/>
      <c r="AA398"/>
      <c r="AB398"/>
      <c r="AC398"/>
      <c r="AD398"/>
      <c r="AE398"/>
      <c r="AF398"/>
      <c r="AG398"/>
      <c r="AH398"/>
      <c r="AI398"/>
    </row>
    <row r="399" spans="17:35" ht="12.75" customHeight="1" thickBot="1">
      <c r="Q399" s="364"/>
      <c r="R399" s="892"/>
      <c r="S399" s="893"/>
      <c r="T399" s="893"/>
      <c r="U399" s="893"/>
      <c r="V399" s="893"/>
      <c r="W399" s="894"/>
      <c r="X399" s="364"/>
      <c r="Y399" s="363"/>
      <c r="Z399" s="363"/>
      <c r="AA399"/>
      <c r="AB399"/>
      <c r="AC399"/>
      <c r="AD399"/>
      <c r="AE399"/>
      <c r="AF399"/>
      <c r="AG399"/>
      <c r="AH399"/>
      <c r="AI399"/>
    </row>
    <row r="400" spans="17:35" ht="12.75" customHeight="1">
      <c r="Q400" s="364"/>
      <c r="R400" s="895" t="s">
        <v>886</v>
      </c>
      <c r="S400" s="896"/>
      <c r="T400" s="900" t="s">
        <v>835</v>
      </c>
      <c r="U400" s="900" t="s">
        <v>836</v>
      </c>
      <c r="V400" s="900" t="s">
        <v>837</v>
      </c>
      <c r="W400" s="902" t="s">
        <v>838</v>
      </c>
      <c r="X400" s="364"/>
      <c r="Y400" s="363"/>
      <c r="Z400" s="363"/>
      <c r="AA400"/>
      <c r="AB400"/>
      <c r="AC400"/>
      <c r="AD400"/>
      <c r="AE400"/>
      <c r="AF400"/>
      <c r="AG400"/>
      <c r="AH400"/>
      <c r="AI400"/>
    </row>
    <row r="401" spans="17:35" ht="12.75" customHeight="1">
      <c r="Q401" s="364"/>
      <c r="R401" s="892"/>
      <c r="S401" s="897"/>
      <c r="T401" s="901"/>
      <c r="U401" s="901"/>
      <c r="V401" s="901"/>
      <c r="W401" s="903"/>
      <c r="X401" s="364"/>
      <c r="Y401" s="363"/>
      <c r="Z401" s="363"/>
      <c r="AA401"/>
      <c r="AB401"/>
      <c r="AC401"/>
      <c r="AD401"/>
      <c r="AE401"/>
      <c r="AF401"/>
      <c r="AG401"/>
      <c r="AH401"/>
      <c r="AI401"/>
    </row>
    <row r="402" spans="17:35" ht="12.75" customHeight="1">
      <c r="Q402" s="364"/>
      <c r="R402" s="892"/>
      <c r="S402" s="897"/>
      <c r="T402" s="702">
        <f>T389-PPE!$I$15</f>
        <v>92.119600000000005</v>
      </c>
      <c r="U402" s="560">
        <f>U396</f>
        <v>1.7391304347826084</v>
      </c>
      <c r="V402" s="690">
        <f>IF(T402&gt;0,W402*U402," ")</f>
        <v>111.52173913043477</v>
      </c>
      <c r="W402" s="691">
        <f>IF(T402&gt;0,(VLOOKUP(T402,'Lookup Ready-reckoner'!$B$5:$E$1207,4))," ")</f>
        <v>64.125</v>
      </c>
      <c r="X402" s="364"/>
      <c r="Y402" s="363"/>
      <c r="Z402" s="363"/>
      <c r="AA402"/>
      <c r="AB402"/>
      <c r="AC402"/>
      <c r="AD402"/>
      <c r="AE402"/>
      <c r="AF402"/>
      <c r="AG402"/>
      <c r="AH402"/>
      <c r="AI402"/>
    </row>
    <row r="403" spans="17:35" ht="12.75" customHeight="1">
      <c r="Q403" s="364"/>
      <c r="R403" s="898"/>
      <c r="S403" s="899"/>
      <c r="T403" s="447"/>
      <c r="U403" s="560"/>
      <c r="V403" s="690" t="str">
        <f>IF(T403&gt;0,W403*U403," ")</f>
        <v xml:space="preserve"> </v>
      </c>
      <c r="W403" s="691" t="str">
        <f>IF(T403&gt;0,(VLOOKUP(T403,'Lookup Ready-reckoner'!$B$5:$E$1007,4))," ")</f>
        <v xml:space="preserve"> </v>
      </c>
      <c r="X403" s="364"/>
      <c r="Y403" s="363"/>
      <c r="Z403" s="363"/>
      <c r="AA403"/>
      <c r="AB403"/>
      <c r="AC403"/>
      <c r="AD403"/>
      <c r="AE403"/>
      <c r="AF403"/>
      <c r="AG403"/>
      <c r="AH403"/>
      <c r="AI403"/>
    </row>
    <row r="404" spans="17:35" ht="12.75" customHeight="1" thickBot="1">
      <c r="Q404" s="364"/>
      <c r="R404" s="692" t="s">
        <v>839</v>
      </c>
      <c r="S404" s="693"/>
      <c r="T404" s="693"/>
      <c r="U404" s="703">
        <f>IF(T402&gt;0,(VLOOKUP(V404,'Lookup Ready-reckoner'!$L$5:$M$1207,2))," ")</f>
        <v>85.45</v>
      </c>
      <c r="V404" s="695">
        <f>IF(U402&gt;0,(SUM(V402:V403))," ")</f>
        <v>111.52173913043477</v>
      </c>
      <c r="W404" s="696"/>
      <c r="X404" s="364"/>
      <c r="Y404" s="363"/>
      <c r="Z404" s="363"/>
      <c r="AA404"/>
      <c r="AB404"/>
      <c r="AC404"/>
      <c r="AD404"/>
      <c r="AE404"/>
      <c r="AF404"/>
      <c r="AG404"/>
      <c r="AH404"/>
      <c r="AI404"/>
    </row>
    <row r="405" spans="17:35" ht="12.75" customHeight="1">
      <c r="Q405" s="364"/>
      <c r="R405" s="363"/>
      <c r="S405" s="363"/>
      <c r="T405" s="363"/>
      <c r="U405" s="363"/>
      <c r="V405" s="363"/>
      <c r="W405" s="363"/>
      <c r="X405" s="364"/>
      <c r="Y405" s="364"/>
      <c r="Z405" s="364"/>
      <c r="AA405"/>
      <c r="AB405"/>
      <c r="AC405"/>
      <c r="AD405"/>
      <c r="AE405"/>
      <c r="AF405"/>
      <c r="AG405"/>
      <c r="AH405"/>
      <c r="AI405"/>
    </row>
    <row r="406" spans="17:35" ht="12.75" customHeight="1">
      <c r="Q406" s="364"/>
      <c r="R406" s="909" t="str">
        <f>V306</f>
        <v xml:space="preserve">Hilti TE MD20 </v>
      </c>
      <c r="S406" s="909"/>
      <c r="T406" s="909"/>
      <c r="U406" s="909"/>
      <c r="V406" s="909"/>
      <c r="W406" s="909"/>
      <c r="X406" s="364"/>
      <c r="Y406" s="364"/>
      <c r="Z406" s="364"/>
      <c r="AA406"/>
      <c r="AB406"/>
      <c r="AC406"/>
      <c r="AD406"/>
      <c r="AE406"/>
      <c r="AF406"/>
      <c r="AG406"/>
      <c r="AH406"/>
      <c r="AI406"/>
    </row>
    <row r="407" spans="17:35" ht="12.75" customHeight="1" thickBot="1">
      <c r="Q407" s="364"/>
      <c r="R407" s="910" t="s">
        <v>205</v>
      </c>
      <c r="S407" s="911"/>
      <c r="T407" s="911"/>
      <c r="U407" s="911"/>
      <c r="V407" s="911"/>
      <c r="W407" s="912"/>
      <c r="X407" s="364"/>
      <c r="Y407" s="364"/>
      <c r="Z407" s="364"/>
      <c r="AA407"/>
      <c r="AB407"/>
      <c r="AC407"/>
      <c r="AD407"/>
      <c r="AE407"/>
      <c r="AF407"/>
      <c r="AG407"/>
      <c r="AH407"/>
      <c r="AI407"/>
    </row>
    <row r="408" spans="17:35" ht="12.75" customHeight="1" thickBot="1">
      <c r="Q408" s="364"/>
      <c r="R408" s="686" t="s">
        <v>59</v>
      </c>
      <c r="S408" s="577"/>
      <c r="T408" s="687"/>
      <c r="U408" s="687"/>
      <c r="V408" s="687"/>
      <c r="W408" s="688"/>
      <c r="X408" s="364"/>
      <c r="Y408" s="364"/>
      <c r="Z408" s="364"/>
      <c r="AA408"/>
      <c r="AB408"/>
      <c r="AC408"/>
      <c r="AD408"/>
      <c r="AE408"/>
      <c r="AF408"/>
      <c r="AG408"/>
      <c r="AH408"/>
      <c r="AI408"/>
    </row>
    <row r="409" spans="17:35" ht="12.75" customHeight="1">
      <c r="Q409" s="364"/>
      <c r="R409" s="895" t="s">
        <v>845</v>
      </c>
      <c r="S409" s="896"/>
      <c r="T409" s="900" t="s">
        <v>835</v>
      </c>
      <c r="U409" s="900" t="s">
        <v>836</v>
      </c>
      <c r="V409" s="900" t="s">
        <v>837</v>
      </c>
      <c r="W409" s="902" t="s">
        <v>838</v>
      </c>
      <c r="X409" s="364"/>
      <c r="Y409" s="364"/>
      <c r="Z409" s="364"/>
      <c r="AA409"/>
      <c r="AB409"/>
      <c r="AC409"/>
      <c r="AD409"/>
      <c r="AE409"/>
      <c r="AF409"/>
      <c r="AG409"/>
      <c r="AH409"/>
      <c r="AI409"/>
    </row>
    <row r="410" spans="17:35" ht="12.75" customHeight="1">
      <c r="Q410" s="364"/>
      <c r="R410" s="892"/>
      <c r="S410" s="897"/>
      <c r="T410" s="904"/>
      <c r="U410" s="904"/>
      <c r="V410" s="904"/>
      <c r="W410" s="905"/>
      <c r="X410" s="364"/>
      <c r="Y410" s="364"/>
      <c r="Z410" s="364"/>
      <c r="AA410"/>
      <c r="AB410"/>
      <c r="AC410"/>
      <c r="AD410"/>
      <c r="AE410"/>
      <c r="AF410"/>
      <c r="AG410"/>
      <c r="AH410"/>
      <c r="AI410"/>
    </row>
    <row r="411" spans="17:35" ht="12.75" customHeight="1">
      <c r="Q411" s="364"/>
      <c r="R411" s="892"/>
      <c r="S411" s="897"/>
      <c r="T411" s="901"/>
      <c r="U411" s="901"/>
      <c r="V411" s="901"/>
      <c r="W411" s="903"/>
      <c r="X411" s="364"/>
      <c r="Y411" s="364"/>
      <c r="Z411" s="364"/>
      <c r="AA411"/>
      <c r="AB411"/>
      <c r="AC411"/>
      <c r="AD411"/>
      <c r="AE411"/>
      <c r="AF411"/>
      <c r="AG411"/>
      <c r="AH411"/>
      <c r="AI411"/>
    </row>
    <row r="412" spans="17:35" ht="12.75" customHeight="1">
      <c r="Q412" s="364"/>
      <c r="R412" s="892"/>
      <c r="S412" s="897"/>
      <c r="T412" s="704">
        <f>U69</f>
        <v>102</v>
      </c>
      <c r="U412" s="560">
        <f>U62</f>
        <v>2.6666666666666665</v>
      </c>
      <c r="V412" s="690">
        <f>IF(T412&gt;0,W412*U412," ")</f>
        <v>1666.6666666666665</v>
      </c>
      <c r="W412" s="691">
        <f>IF(T412&gt;0,(VLOOKUP(T412,'Lookup Ready-reckoner'!$B$5:$E$1207,4))," ")</f>
        <v>625</v>
      </c>
      <c r="X412" s="364"/>
      <c r="Y412" s="364"/>
      <c r="Z412" s="364"/>
      <c r="AA412"/>
      <c r="AB412"/>
      <c r="AC412"/>
      <c r="AD412"/>
      <c r="AE412"/>
      <c r="AF412"/>
      <c r="AG412"/>
      <c r="AH412"/>
      <c r="AI412"/>
    </row>
    <row r="413" spans="17:35" ht="12.75" customHeight="1">
      <c r="Q413" s="364"/>
      <c r="R413" s="898"/>
      <c r="S413" s="899"/>
      <c r="T413" s="447"/>
      <c r="U413" s="560"/>
      <c r="V413" s="690" t="str">
        <f>IF(T413&gt;0,W413*U413," ")</f>
        <v xml:space="preserve"> </v>
      </c>
      <c r="W413" s="691" t="str">
        <f>IF(T413&gt;0,(VLOOKUP(T413,'Lookup Ready-reckoner'!$B$5:$E$1007,4))," ")</f>
        <v xml:space="preserve"> </v>
      </c>
      <c r="X413" s="364"/>
      <c r="Y413" s="364"/>
      <c r="Z413" s="364"/>
      <c r="AA413"/>
      <c r="AB413"/>
      <c r="AC413"/>
      <c r="AD413"/>
      <c r="AE413"/>
      <c r="AF413"/>
      <c r="AG413"/>
      <c r="AH413"/>
      <c r="AI413"/>
    </row>
    <row r="414" spans="17:35" ht="12.75" customHeight="1" thickBot="1">
      <c r="Q414" s="364"/>
      <c r="R414" s="692" t="s">
        <v>839</v>
      </c>
      <c r="S414" s="693"/>
      <c r="T414" s="693"/>
      <c r="U414" s="705">
        <f>IF(T412&gt;0,(VLOOKUP(V414,'Lookup Ready-reckoner'!$L$5:$M$1207,2))," ")</f>
        <v>97.15</v>
      </c>
      <c r="V414" s="695">
        <f>IF(U412&gt;0,(SUM(V412:V413))," ")</f>
        <v>1666.6666666666665</v>
      </c>
      <c r="W414" s="696"/>
      <c r="X414" s="364"/>
      <c r="Y414" s="364"/>
      <c r="Z414" s="364"/>
      <c r="AA414"/>
      <c r="AB414"/>
      <c r="AC414"/>
      <c r="AD414"/>
      <c r="AE414"/>
      <c r="AF414"/>
      <c r="AG414"/>
      <c r="AH414"/>
      <c r="AI414"/>
    </row>
    <row r="415" spans="17:35" ht="12.75" customHeight="1" thickBot="1">
      <c r="Q415" s="364"/>
      <c r="R415" s="906"/>
      <c r="S415" s="907"/>
      <c r="T415" s="907"/>
      <c r="U415" s="907"/>
      <c r="V415" s="907"/>
      <c r="W415" s="908"/>
      <c r="X415" s="364"/>
      <c r="Y415" s="364"/>
      <c r="Z415" s="364"/>
      <c r="AA415"/>
      <c r="AB415"/>
      <c r="AC415"/>
      <c r="AD415"/>
      <c r="AE415"/>
      <c r="AF415"/>
      <c r="AG415"/>
      <c r="AH415"/>
      <c r="AI415"/>
    </row>
    <row r="416" spans="17:35" ht="12.75" customHeight="1">
      <c r="Q416" s="364"/>
      <c r="R416" s="895" t="s">
        <v>886</v>
      </c>
      <c r="S416" s="896"/>
      <c r="T416" s="900" t="s">
        <v>835</v>
      </c>
      <c r="U416" s="900" t="s">
        <v>836</v>
      </c>
      <c r="V416" s="900" t="s">
        <v>837</v>
      </c>
      <c r="W416" s="902" t="s">
        <v>838</v>
      </c>
      <c r="X416" s="364"/>
      <c r="Y416" s="364"/>
      <c r="Z416" s="364"/>
      <c r="AA416"/>
      <c r="AB416"/>
      <c r="AC416"/>
      <c r="AD416"/>
      <c r="AE416"/>
      <c r="AF416"/>
      <c r="AG416"/>
      <c r="AH416"/>
      <c r="AI416"/>
    </row>
    <row r="417" spans="17:35" ht="12.75" customHeight="1">
      <c r="Q417" s="364"/>
      <c r="R417" s="892"/>
      <c r="S417" s="897"/>
      <c r="T417" s="901"/>
      <c r="U417" s="901"/>
      <c r="V417" s="901"/>
      <c r="W417" s="903"/>
      <c r="X417" s="364"/>
      <c r="Y417" s="364"/>
      <c r="Z417" s="364"/>
      <c r="AA417"/>
      <c r="AB417"/>
      <c r="AC417"/>
      <c r="AD417"/>
      <c r="AE417"/>
      <c r="AF417"/>
      <c r="AG417"/>
      <c r="AH417"/>
      <c r="AI417"/>
    </row>
    <row r="418" spans="17:35" ht="12.75" customHeight="1">
      <c r="Q418" s="364"/>
      <c r="R418" s="892"/>
      <c r="S418" s="897"/>
      <c r="T418" s="704">
        <f>T412*(1-0.0178*2)</f>
        <v>98.368800000000007</v>
      </c>
      <c r="U418" s="560">
        <f>U412</f>
        <v>2.6666666666666665</v>
      </c>
      <c r="V418" s="690">
        <f>IF(T418&gt;0,W418*U418," ")</f>
        <v>725</v>
      </c>
      <c r="W418" s="691">
        <f>IF(T418&gt;0,(VLOOKUP(T418,'Lookup Ready-reckoner'!$B$5:$E$1207,4))," ")</f>
        <v>271.875</v>
      </c>
      <c r="X418" s="364"/>
      <c r="Y418" s="364"/>
      <c r="Z418" s="364"/>
      <c r="AA418"/>
      <c r="AB418"/>
      <c r="AC418"/>
      <c r="AD418"/>
      <c r="AE418"/>
      <c r="AF418"/>
      <c r="AG418"/>
      <c r="AH418"/>
      <c r="AI418"/>
    </row>
    <row r="419" spans="17:35" ht="12.75" customHeight="1">
      <c r="Q419" s="364"/>
      <c r="R419" s="898"/>
      <c r="S419" s="899"/>
      <c r="T419" s="447"/>
      <c r="U419" s="560"/>
      <c r="V419" s="690" t="str">
        <f>IF(T419&gt;0,W419*U419," ")</f>
        <v xml:space="preserve"> </v>
      </c>
      <c r="W419" s="691" t="str">
        <f>IF(T419&gt;0,(VLOOKUP(T419,'Lookup Ready-reckoner'!$B$5:$E$1007,4))," ")</f>
        <v xml:space="preserve"> </v>
      </c>
      <c r="X419" s="364"/>
      <c r="Y419" s="364"/>
      <c r="Z419" s="364"/>
      <c r="AA419"/>
      <c r="AB419"/>
      <c r="AC419"/>
      <c r="AD419"/>
      <c r="AE419"/>
      <c r="AF419"/>
      <c r="AG419"/>
      <c r="AH419"/>
      <c r="AI419"/>
    </row>
    <row r="420" spans="17:35" ht="12.75" customHeight="1" thickBot="1">
      <c r="Q420" s="364"/>
      <c r="R420" s="692" t="s">
        <v>839</v>
      </c>
      <c r="S420" s="693"/>
      <c r="T420" s="693"/>
      <c r="U420" s="705">
        <f>IF(T418&gt;0,(VLOOKUP(V420,'Lookup Ready-reckoner'!$L$5:$M$1207,2))," ")</f>
        <v>93.55</v>
      </c>
      <c r="V420" s="695">
        <f>IF(U418&gt;0,(SUM(V418:V419))," ")</f>
        <v>725</v>
      </c>
      <c r="W420" s="696"/>
      <c r="X420" s="364"/>
      <c r="Y420" s="364"/>
      <c r="Z420" s="364"/>
      <c r="AA420"/>
      <c r="AB420"/>
      <c r="AC420"/>
      <c r="AD420"/>
      <c r="AE420"/>
      <c r="AF420"/>
      <c r="AG420"/>
      <c r="AH420"/>
      <c r="AI420"/>
    </row>
    <row r="421" spans="17:35" ht="12.75" customHeight="1">
      <c r="Q421" s="364"/>
      <c r="R421" s="697"/>
      <c r="S421" s="687"/>
      <c r="T421" s="687"/>
      <c r="U421" s="372"/>
      <c r="V421" s="374"/>
      <c r="W421" s="688"/>
      <c r="X421" s="364"/>
      <c r="Y421" s="364"/>
      <c r="Z421" s="364"/>
      <c r="AA421"/>
      <c r="AB421"/>
      <c r="AC421"/>
      <c r="AD421"/>
      <c r="AE421"/>
      <c r="AF421"/>
      <c r="AG421"/>
      <c r="AH421"/>
      <c r="AI421"/>
    </row>
    <row r="422" spans="17:35" ht="12.75" customHeight="1" thickBot="1">
      <c r="Q422" s="364"/>
      <c r="R422" s="686" t="s">
        <v>60</v>
      </c>
      <c r="S422" s="577"/>
      <c r="T422" s="577"/>
      <c r="U422" s="577"/>
      <c r="V422" s="577"/>
      <c r="W422" s="698"/>
      <c r="X422" s="364"/>
      <c r="Y422" s="364"/>
      <c r="Z422" s="364"/>
      <c r="AA422"/>
      <c r="AB422"/>
      <c r="AC422"/>
      <c r="AD422"/>
      <c r="AE422"/>
      <c r="AF422"/>
      <c r="AG422"/>
      <c r="AH422"/>
      <c r="AI422"/>
    </row>
    <row r="423" spans="17:35" ht="12.75" customHeight="1">
      <c r="Q423" s="364"/>
      <c r="R423" s="895" t="s">
        <v>845</v>
      </c>
      <c r="S423" s="896"/>
      <c r="T423" s="900" t="s">
        <v>835</v>
      </c>
      <c r="U423" s="900" t="s">
        <v>836</v>
      </c>
      <c r="V423" s="900" t="s">
        <v>837</v>
      </c>
      <c r="W423" s="902" t="s">
        <v>838</v>
      </c>
      <c r="X423" s="364"/>
      <c r="Y423" s="364"/>
      <c r="Z423" s="364"/>
      <c r="AA423"/>
      <c r="AB423"/>
      <c r="AC423"/>
      <c r="AD423"/>
      <c r="AE423"/>
      <c r="AF423"/>
      <c r="AG423"/>
      <c r="AH423"/>
      <c r="AI423"/>
    </row>
    <row r="424" spans="17:35" ht="12.75" customHeight="1">
      <c r="Q424" s="364"/>
      <c r="R424" s="892"/>
      <c r="S424" s="897"/>
      <c r="T424" s="901"/>
      <c r="U424" s="901"/>
      <c r="V424" s="901"/>
      <c r="W424" s="903"/>
      <c r="X424" s="364"/>
      <c r="Y424" s="364"/>
      <c r="Z424" s="364"/>
      <c r="AA424"/>
      <c r="AB424"/>
      <c r="AC424"/>
      <c r="AD424"/>
      <c r="AE424"/>
      <c r="AF424"/>
      <c r="AG424"/>
      <c r="AH424"/>
      <c r="AI424"/>
    </row>
    <row r="425" spans="17:35" ht="12.75" customHeight="1">
      <c r="Q425" s="364"/>
      <c r="R425" s="892"/>
      <c r="S425" s="897"/>
      <c r="T425" s="704">
        <f>T412-PPE!$I$15</f>
        <v>89</v>
      </c>
      <c r="U425" s="560">
        <f>U418</f>
        <v>2.6666666666666665</v>
      </c>
      <c r="V425" s="690">
        <f>IF(T425&gt;0,W425*U425," ")</f>
        <v>83.333333333333329</v>
      </c>
      <c r="W425" s="691">
        <f>IF(T425&gt;0,(VLOOKUP(T425,'Lookup Ready-reckoner'!$B$5:$E$1207,4))," ")</f>
        <v>31.25</v>
      </c>
      <c r="X425" s="364"/>
      <c r="Y425" s="364"/>
      <c r="Z425" s="364"/>
      <c r="AA425"/>
      <c r="AB425"/>
      <c r="AC425"/>
      <c r="AD425"/>
      <c r="AE425"/>
      <c r="AF425"/>
      <c r="AG425"/>
      <c r="AH425"/>
      <c r="AI425"/>
    </row>
    <row r="426" spans="17:35" ht="12.75" customHeight="1">
      <c r="Q426" s="364"/>
      <c r="R426" s="898"/>
      <c r="S426" s="899"/>
      <c r="T426" s="447"/>
      <c r="U426" s="560"/>
      <c r="V426" s="690" t="str">
        <f>IF(T426&gt;0,W426*U426," ")</f>
        <v xml:space="preserve"> </v>
      </c>
      <c r="W426" s="691" t="str">
        <f>IF(T426&gt;0,(VLOOKUP(T426,'Lookup Ready-reckoner'!$B$5:$E$1007,4))," ")</f>
        <v xml:space="preserve"> </v>
      </c>
      <c r="X426" s="364"/>
      <c r="Y426" s="364"/>
      <c r="Z426" s="364"/>
      <c r="AA426"/>
      <c r="AB426"/>
      <c r="AC426"/>
      <c r="AD426"/>
      <c r="AE426"/>
      <c r="AF426"/>
      <c r="AG426"/>
      <c r="AH426"/>
      <c r="AI426"/>
    </row>
    <row r="427" spans="17:35" ht="12.75" customHeight="1" thickBot="1">
      <c r="Q427" s="364"/>
      <c r="R427" s="692" t="s">
        <v>839</v>
      </c>
      <c r="S427" s="693"/>
      <c r="T427" s="693"/>
      <c r="U427" s="705">
        <f>IF(T425&gt;0,(VLOOKUP(V427,'Lookup Ready-reckoner'!$L$5:$M$1207,2))," ")</f>
        <v>84.15</v>
      </c>
      <c r="V427" s="695">
        <f>IF(U425&gt;0,(SUM(V425:V426))," ")</f>
        <v>83.333333333333329</v>
      </c>
      <c r="W427" s="696"/>
      <c r="X427" s="364"/>
      <c r="Y427" s="364"/>
      <c r="Z427" s="364"/>
      <c r="AA427"/>
      <c r="AB427"/>
      <c r="AC427"/>
      <c r="AD427"/>
      <c r="AE427"/>
      <c r="AF427"/>
      <c r="AG427"/>
      <c r="AH427"/>
      <c r="AI427"/>
    </row>
    <row r="428" spans="17:35" ht="12.75" customHeight="1" thickBot="1">
      <c r="Q428" s="364"/>
      <c r="R428" s="892"/>
      <c r="S428" s="893"/>
      <c r="T428" s="893"/>
      <c r="U428" s="893"/>
      <c r="V428" s="893"/>
      <c r="W428" s="894"/>
      <c r="X428" s="364"/>
      <c r="Y428" s="364"/>
      <c r="Z428" s="364"/>
      <c r="AA428"/>
      <c r="AB428"/>
      <c r="AC428"/>
      <c r="AD428"/>
      <c r="AE428"/>
      <c r="AF428"/>
      <c r="AG428"/>
      <c r="AH428"/>
      <c r="AI428"/>
    </row>
    <row r="429" spans="17:35" ht="12.75" customHeight="1">
      <c r="Q429" s="364"/>
      <c r="R429" s="895" t="s">
        <v>886</v>
      </c>
      <c r="S429" s="896"/>
      <c r="T429" s="900" t="s">
        <v>835</v>
      </c>
      <c r="U429" s="900" t="s">
        <v>836</v>
      </c>
      <c r="V429" s="900" t="s">
        <v>837</v>
      </c>
      <c r="W429" s="902" t="s">
        <v>838</v>
      </c>
      <c r="X429" s="364"/>
      <c r="Y429" s="364"/>
      <c r="Z429" s="364"/>
      <c r="AA429"/>
      <c r="AB429"/>
      <c r="AC429"/>
      <c r="AD429"/>
      <c r="AE429"/>
      <c r="AF429"/>
      <c r="AG429"/>
      <c r="AH429"/>
      <c r="AI429"/>
    </row>
    <row r="430" spans="17:35" ht="12.75" customHeight="1">
      <c r="Q430" s="364"/>
      <c r="R430" s="892"/>
      <c r="S430" s="897"/>
      <c r="T430" s="901"/>
      <c r="U430" s="901"/>
      <c r="V430" s="901"/>
      <c r="W430" s="903"/>
      <c r="X430" s="364"/>
      <c r="Y430" s="364"/>
      <c r="Z430" s="364"/>
      <c r="AA430"/>
      <c r="AB430"/>
      <c r="AC430"/>
      <c r="AD430"/>
      <c r="AE430"/>
      <c r="AF430"/>
      <c r="AG430"/>
      <c r="AH430"/>
      <c r="AI430"/>
    </row>
    <row r="431" spans="17:35" ht="12.75" customHeight="1">
      <c r="Q431" s="364"/>
      <c r="R431" s="892"/>
      <c r="S431" s="897"/>
      <c r="T431" s="704">
        <f>T418-PPE!$I$15</f>
        <v>85.368800000000007</v>
      </c>
      <c r="U431" s="560">
        <f>U425</f>
        <v>2.6666666666666665</v>
      </c>
      <c r="V431" s="690">
        <f>IF(T431&gt;0,W431*U431," ")</f>
        <v>36.25</v>
      </c>
      <c r="W431" s="691">
        <f>IF(T431&gt;0,(VLOOKUP(T431,'Lookup Ready-reckoner'!$B$5:$E$1207,4))," ")</f>
        <v>13.59375</v>
      </c>
      <c r="X431" s="364"/>
      <c r="Y431" s="364"/>
      <c r="Z431" s="364"/>
      <c r="AA431"/>
      <c r="AB431"/>
      <c r="AC431"/>
      <c r="AD431"/>
      <c r="AE431"/>
      <c r="AF431"/>
      <c r="AG431"/>
      <c r="AH431"/>
      <c r="AI431"/>
    </row>
    <row r="432" spans="17:35" ht="12.75" customHeight="1">
      <c r="Q432" s="364"/>
      <c r="R432" s="898"/>
      <c r="S432" s="899"/>
      <c r="T432" s="447"/>
      <c r="U432" s="560"/>
      <c r="V432" s="690" t="str">
        <f>IF(T432&gt;0,W432*U432," ")</f>
        <v xml:space="preserve"> </v>
      </c>
      <c r="W432" s="691" t="str">
        <f>IF(T432&gt;0,(VLOOKUP(T432,'Lookup Ready-reckoner'!$B$5:$E$1007,4))," ")</f>
        <v xml:space="preserve"> </v>
      </c>
      <c r="X432" s="364"/>
      <c r="Y432" s="364"/>
      <c r="Z432" s="364"/>
      <c r="AA432"/>
      <c r="AB432"/>
      <c r="AC432"/>
      <c r="AD432"/>
      <c r="AE432"/>
      <c r="AF432"/>
      <c r="AG432"/>
      <c r="AH432"/>
      <c r="AI432"/>
    </row>
    <row r="433" spans="17:35" ht="12.75" customHeight="1" thickBot="1">
      <c r="Q433" s="364"/>
      <c r="R433" s="692" t="s">
        <v>839</v>
      </c>
      <c r="S433" s="693"/>
      <c r="T433" s="693"/>
      <c r="U433" s="705">
        <f>IF(T431&gt;0,(VLOOKUP(V433,'Lookup Ready-reckoner'!$L$5:$M$1207,2))," ")</f>
        <v>80.5</v>
      </c>
      <c r="V433" s="695">
        <f>IF(U431&gt;0,(SUM(V431:V432))," ")</f>
        <v>36.25</v>
      </c>
      <c r="W433" s="696"/>
      <c r="X433" s="364"/>
      <c r="Y433" s="364"/>
      <c r="Z433" s="364"/>
      <c r="AA433"/>
      <c r="AB433"/>
      <c r="AC433"/>
      <c r="AD433"/>
      <c r="AE433"/>
      <c r="AF433"/>
      <c r="AG433"/>
      <c r="AH433"/>
      <c r="AI433"/>
    </row>
    <row r="434" spans="17:35" ht="12.75" customHeight="1" thickBot="1">
      <c r="Q434" s="364"/>
      <c r="R434" s="364"/>
      <c r="S434" s="364"/>
      <c r="T434" s="364"/>
      <c r="U434" s="364"/>
      <c r="V434" s="364"/>
      <c r="W434" s="364"/>
      <c r="X434" s="364"/>
      <c r="Y434" s="364"/>
      <c r="Z434" s="364"/>
      <c r="AA434"/>
      <c r="AB434"/>
      <c r="AC434"/>
      <c r="AD434"/>
      <c r="AE434"/>
      <c r="AF434"/>
      <c r="AG434"/>
      <c r="AH434"/>
      <c r="AI434"/>
    </row>
    <row r="435" spans="17:35" ht="12.75" customHeight="1" thickTop="1">
      <c r="Q435" s="364"/>
      <c r="R435" s="916" t="s">
        <v>429</v>
      </c>
      <c r="S435" s="917"/>
      <c r="T435" s="917"/>
      <c r="U435" s="917"/>
      <c r="V435" s="917"/>
      <c r="W435" s="918"/>
      <c r="X435" s="364"/>
      <c r="Y435" s="364"/>
      <c r="Z435" s="364"/>
      <c r="AA435"/>
      <c r="AB435"/>
      <c r="AC435"/>
      <c r="AD435"/>
      <c r="AE435"/>
      <c r="AF435"/>
      <c r="AG435"/>
      <c r="AH435"/>
      <c r="AI435"/>
    </row>
    <row r="436" spans="17:35" ht="12.75" customHeight="1">
      <c r="Q436" s="364"/>
      <c r="R436" s="919"/>
      <c r="S436" s="920"/>
      <c r="T436" s="920"/>
      <c r="U436" s="920"/>
      <c r="V436" s="920"/>
      <c r="W436" s="921"/>
      <c r="X436" s="364"/>
      <c r="Y436" s="364"/>
      <c r="Z436" s="364"/>
      <c r="AA436"/>
      <c r="AB436"/>
      <c r="AC436"/>
      <c r="AD436"/>
      <c r="AE436"/>
      <c r="AF436"/>
      <c r="AG436"/>
      <c r="AH436"/>
      <c r="AI436"/>
    </row>
    <row r="437" spans="17:35" ht="12.75" customHeight="1" thickBot="1">
      <c r="Q437" s="364"/>
      <c r="R437" s="922"/>
      <c r="S437" s="923"/>
      <c r="T437" s="923"/>
      <c r="U437" s="923"/>
      <c r="V437" s="923"/>
      <c r="W437" s="924"/>
      <c r="X437" s="364"/>
      <c r="Y437" s="364"/>
      <c r="Z437" s="364"/>
      <c r="AA437"/>
      <c r="AB437"/>
      <c r="AC437"/>
      <c r="AD437"/>
      <c r="AE437"/>
      <c r="AF437"/>
      <c r="AG437"/>
      <c r="AH437"/>
      <c r="AI437"/>
    </row>
    <row r="438" spans="17:35" ht="12.75" customHeight="1" thickTop="1">
      <c r="Q438" s="364"/>
      <c r="R438" s="925" t="str">
        <f>R319</f>
        <v>Seco S215</v>
      </c>
      <c r="S438" s="925"/>
      <c r="T438" s="925"/>
      <c r="U438" s="925"/>
      <c r="V438" s="925"/>
      <c r="W438" s="925"/>
      <c r="X438" s="364"/>
      <c r="Y438" s="364"/>
      <c r="Z438" s="364"/>
      <c r="AA438"/>
      <c r="AB438"/>
      <c r="AC438"/>
      <c r="AD438"/>
      <c r="AE438"/>
      <c r="AF438"/>
      <c r="AG438"/>
      <c r="AH438"/>
      <c r="AI438"/>
    </row>
    <row r="439" spans="17:35" ht="12.75" customHeight="1" thickBot="1">
      <c r="Q439" s="364"/>
      <c r="R439" s="910" t="s">
        <v>205</v>
      </c>
      <c r="S439" s="911"/>
      <c r="T439" s="911"/>
      <c r="U439" s="911"/>
      <c r="V439" s="911"/>
      <c r="W439" s="912"/>
      <c r="X439" s="364"/>
      <c r="Y439" s="364"/>
      <c r="Z439" s="364"/>
      <c r="AA439"/>
      <c r="AB439"/>
      <c r="AC439"/>
      <c r="AD439"/>
      <c r="AE439"/>
      <c r="AF439"/>
      <c r="AG439"/>
      <c r="AH439"/>
      <c r="AI439"/>
    </row>
    <row r="440" spans="17:35" ht="12.75" customHeight="1" thickBot="1">
      <c r="Q440" s="364"/>
      <c r="R440" s="686" t="s">
        <v>59</v>
      </c>
      <c r="S440" s="577"/>
      <c r="T440" s="687"/>
      <c r="U440" s="687"/>
      <c r="V440" s="687"/>
      <c r="W440" s="688"/>
      <c r="X440" s="364"/>
      <c r="Y440" s="364"/>
      <c r="Z440" s="364"/>
      <c r="AA440"/>
      <c r="AB440"/>
      <c r="AC440"/>
      <c r="AD440"/>
      <c r="AE440"/>
      <c r="AF440"/>
      <c r="AG440"/>
      <c r="AH440"/>
      <c r="AI440"/>
    </row>
    <row r="441" spans="17:35" ht="12.75" customHeight="1">
      <c r="Q441" s="364"/>
      <c r="R441" s="895" t="s">
        <v>845</v>
      </c>
      <c r="S441" s="896"/>
      <c r="T441" s="900" t="s">
        <v>835</v>
      </c>
      <c r="U441" s="900" t="s">
        <v>836</v>
      </c>
      <c r="V441" s="900" t="s">
        <v>837</v>
      </c>
      <c r="W441" s="902" t="s">
        <v>838</v>
      </c>
      <c r="X441" s="364"/>
      <c r="Y441" s="364"/>
      <c r="Z441" s="364"/>
      <c r="AA441"/>
      <c r="AB441"/>
      <c r="AC441"/>
      <c r="AD441"/>
      <c r="AE441"/>
      <c r="AF441"/>
      <c r="AG441"/>
      <c r="AH441"/>
      <c r="AI441"/>
    </row>
    <row r="442" spans="17:35" ht="12.75" customHeight="1">
      <c r="Q442" s="364"/>
      <c r="R442" s="892"/>
      <c r="S442" s="897"/>
      <c r="T442" s="904"/>
      <c r="U442" s="904"/>
      <c r="V442" s="904"/>
      <c r="W442" s="905"/>
      <c r="X442" s="364"/>
      <c r="Y442" s="364"/>
      <c r="Z442" s="364"/>
      <c r="AA442"/>
      <c r="AB442"/>
      <c r="AC442"/>
      <c r="AD442"/>
      <c r="AE442"/>
      <c r="AF442"/>
      <c r="AG442"/>
      <c r="AH442"/>
      <c r="AI442"/>
    </row>
    <row r="443" spans="17:35" ht="12.75" customHeight="1">
      <c r="Q443" s="364"/>
      <c r="R443" s="892"/>
      <c r="S443" s="897"/>
      <c r="T443" s="901"/>
      <c r="U443" s="901"/>
      <c r="V443" s="901"/>
      <c r="W443" s="903"/>
      <c r="X443" s="364"/>
      <c r="Y443" s="364"/>
      <c r="Z443" s="364"/>
      <c r="AA443"/>
      <c r="AB443"/>
      <c r="AC443"/>
      <c r="AD443"/>
      <c r="AE443"/>
      <c r="AF443"/>
      <c r="AG443"/>
      <c r="AH443"/>
      <c r="AI443"/>
    </row>
    <row r="444" spans="17:35" ht="12.75" customHeight="1">
      <c r="Q444" s="364"/>
      <c r="R444" s="892"/>
      <c r="S444" s="897"/>
      <c r="T444" s="689">
        <f>X76</f>
        <v>122.02059991327964</v>
      </c>
      <c r="U444" s="560">
        <f>X62</f>
        <v>1.4285714285714284</v>
      </c>
      <c r="V444" s="690">
        <f>IF(T444&gt;0,W444*U444," ")</f>
        <v>79999.999999999985</v>
      </c>
      <c r="W444" s="691">
        <f>IF(T444&gt;0,(VLOOKUP(T444,'Lookup Ready-reckoner'!$B$5:$E$1207,4))," ")</f>
        <v>56000</v>
      </c>
      <c r="X444" s="364"/>
      <c r="Y444" s="364"/>
      <c r="Z444" s="364"/>
      <c r="AA444"/>
      <c r="AB444"/>
      <c r="AC444"/>
      <c r="AD444"/>
      <c r="AE444"/>
      <c r="AF444"/>
      <c r="AG444"/>
      <c r="AH444"/>
      <c r="AI444"/>
    </row>
    <row r="445" spans="17:35" ht="12.75" customHeight="1">
      <c r="Q445" s="364"/>
      <c r="R445" s="898"/>
      <c r="S445" s="899"/>
      <c r="T445" s="447"/>
      <c r="U445" s="560"/>
      <c r="V445" s="690" t="str">
        <f>IF(T445&gt;0,W445*U445," ")</f>
        <v xml:space="preserve"> </v>
      </c>
      <c r="W445" s="691" t="str">
        <f>IF(T445&gt;0,(VLOOKUP(T445,'Lookup Ready-reckoner'!$B$5:$E$1007,4))," ")</f>
        <v xml:space="preserve"> </v>
      </c>
      <c r="X445" s="364"/>
      <c r="Y445" s="364"/>
      <c r="Z445" s="364"/>
      <c r="AA445"/>
      <c r="AB445"/>
      <c r="AC445"/>
      <c r="AD445"/>
      <c r="AE445"/>
      <c r="AF445"/>
      <c r="AG445"/>
      <c r="AH445"/>
      <c r="AI445"/>
    </row>
    <row r="446" spans="17:35" ht="12.75" customHeight="1" thickBot="1">
      <c r="Q446" s="364"/>
      <c r="R446" s="692" t="s">
        <v>839</v>
      </c>
      <c r="S446" s="693"/>
      <c r="T446" s="693"/>
      <c r="U446" s="694">
        <f>IF(T444&gt;0,(VLOOKUP(V446,'Lookup Ready-reckoner'!$L$5:$M$1207,2))," ")</f>
        <v>113.95</v>
      </c>
      <c r="V446" s="695">
        <f>IF(U444&gt;0,(SUM(V444:V445))," ")</f>
        <v>79999.999999999985</v>
      </c>
      <c r="W446" s="696"/>
      <c r="X446" s="364"/>
      <c r="Y446" s="364"/>
      <c r="Z446" s="364"/>
      <c r="AA446"/>
      <c r="AB446"/>
      <c r="AC446"/>
      <c r="AD446"/>
      <c r="AE446"/>
      <c r="AF446"/>
      <c r="AG446"/>
      <c r="AH446"/>
      <c r="AI446"/>
    </row>
    <row r="447" spans="17:35" ht="12.75" customHeight="1" thickBot="1">
      <c r="Q447" s="364"/>
      <c r="R447" s="892"/>
      <c r="S447" s="893"/>
      <c r="T447" s="893"/>
      <c r="U447" s="893"/>
      <c r="V447" s="893"/>
      <c r="W447" s="894"/>
      <c r="X447" s="364"/>
      <c r="Y447" s="364"/>
      <c r="Z447" s="364"/>
      <c r="AA447"/>
      <c r="AB447"/>
      <c r="AC447"/>
      <c r="AD447"/>
      <c r="AE447"/>
      <c r="AF447"/>
      <c r="AG447"/>
      <c r="AH447"/>
      <c r="AI447"/>
    </row>
    <row r="448" spans="17:35" ht="12.75" customHeight="1">
      <c r="Q448" s="364"/>
      <c r="R448" s="895" t="s">
        <v>886</v>
      </c>
      <c r="S448" s="896"/>
      <c r="T448" s="900" t="s">
        <v>835</v>
      </c>
      <c r="U448" s="900" t="s">
        <v>836</v>
      </c>
      <c r="V448" s="900" t="s">
        <v>837</v>
      </c>
      <c r="W448" s="902" t="s">
        <v>838</v>
      </c>
      <c r="X448" s="364"/>
      <c r="Y448" s="364"/>
      <c r="Z448" s="364"/>
      <c r="AA448"/>
      <c r="AB448"/>
      <c r="AC448"/>
      <c r="AD448"/>
      <c r="AE448"/>
      <c r="AF448"/>
      <c r="AG448"/>
      <c r="AH448"/>
      <c r="AI448"/>
    </row>
    <row r="449" spans="17:35" ht="12.75" customHeight="1">
      <c r="Q449" s="364"/>
      <c r="R449" s="892"/>
      <c r="S449" s="897"/>
      <c r="T449" s="901"/>
      <c r="U449" s="901"/>
      <c r="V449" s="901"/>
      <c r="W449" s="903"/>
      <c r="X449" s="364"/>
      <c r="Y449" s="364"/>
      <c r="Z449" s="364"/>
      <c r="AA449"/>
      <c r="AB449"/>
      <c r="AC449"/>
      <c r="AD449"/>
      <c r="AE449"/>
      <c r="AF449"/>
      <c r="AG449"/>
      <c r="AH449"/>
      <c r="AI449"/>
    </row>
    <row r="450" spans="17:35" ht="12.75" customHeight="1">
      <c r="Q450" s="364"/>
      <c r="R450" s="892"/>
      <c r="S450" s="897"/>
      <c r="T450" s="689">
        <f>T444*(1-0.0178*2)</f>
        <v>117.67666655636688</v>
      </c>
      <c r="U450" s="560">
        <f>U444</f>
        <v>1.4285714285714284</v>
      </c>
      <c r="V450" s="690">
        <f>IF(T450&gt;0,W450*U450," ")</f>
        <v>33771.428571428565</v>
      </c>
      <c r="W450" s="691">
        <f>IF(T450&gt;0,(VLOOKUP(T450,'Lookup Ready-reckoner'!$B$5:$E$1207,4))," ")</f>
        <v>23640</v>
      </c>
      <c r="X450" s="364"/>
      <c r="Y450" s="364"/>
      <c r="Z450" s="364"/>
      <c r="AA450"/>
      <c r="AB450"/>
      <c r="AC450"/>
      <c r="AD450"/>
      <c r="AE450"/>
      <c r="AF450"/>
      <c r="AG450"/>
      <c r="AH450"/>
      <c r="AI450"/>
    </row>
    <row r="451" spans="17:35" ht="12.75" customHeight="1">
      <c r="Q451" s="364"/>
      <c r="R451" s="898"/>
      <c r="S451" s="899"/>
      <c r="T451" s="447"/>
      <c r="U451" s="560"/>
      <c r="V451" s="690" t="str">
        <f>IF(T451&gt;0,W451*U451," ")</f>
        <v xml:space="preserve"> </v>
      </c>
      <c r="W451" s="691" t="str">
        <f>IF(T451&gt;0,(VLOOKUP(T451,'Lookup Ready-reckoner'!$B$5:$E$1007,4))," ")</f>
        <v xml:space="preserve"> </v>
      </c>
      <c r="X451" s="364"/>
      <c r="Y451" s="364"/>
      <c r="Z451" s="364"/>
      <c r="AA451"/>
      <c r="AB451"/>
      <c r="AC451"/>
      <c r="AD451"/>
      <c r="AE451"/>
      <c r="AF451"/>
      <c r="AG451"/>
      <c r="AH451"/>
      <c r="AI451"/>
    </row>
    <row r="452" spans="17:35" ht="12.75" customHeight="1" thickBot="1">
      <c r="Q452" s="364"/>
      <c r="R452" s="692" t="s">
        <v>839</v>
      </c>
      <c r="S452" s="693"/>
      <c r="T452" s="693"/>
      <c r="U452" s="694">
        <f>IF(T450&gt;0,(VLOOKUP(V452,'Lookup Ready-reckoner'!$L$5:$M$1207,2))," ")</f>
        <v>110.2</v>
      </c>
      <c r="V452" s="695">
        <f>IF(U450&gt;0,(SUM(V450:V451))," ")</f>
        <v>33771.428571428565</v>
      </c>
      <c r="W452" s="696"/>
      <c r="X452" s="364"/>
      <c r="Y452" s="364"/>
      <c r="Z452" s="364"/>
      <c r="AA452"/>
      <c r="AB452"/>
      <c r="AC452"/>
      <c r="AD452"/>
      <c r="AE452"/>
      <c r="AF452"/>
      <c r="AG452"/>
      <c r="AH452"/>
      <c r="AI452"/>
    </row>
    <row r="453" spans="17:35" ht="12.75" customHeight="1">
      <c r="Q453" s="364"/>
      <c r="R453" s="697"/>
      <c r="S453" s="687"/>
      <c r="T453" s="687"/>
      <c r="U453" s="372"/>
      <c r="V453" s="374"/>
      <c r="W453" s="688"/>
      <c r="X453" s="364"/>
      <c r="Y453" s="364"/>
      <c r="Z453" s="364"/>
      <c r="AA453"/>
      <c r="AB453"/>
      <c r="AC453"/>
      <c r="AD453"/>
      <c r="AE453"/>
      <c r="AF453"/>
      <c r="AG453"/>
      <c r="AH453"/>
      <c r="AI453"/>
    </row>
    <row r="454" spans="17:35" ht="12.75" customHeight="1" thickBot="1">
      <c r="Q454" s="364"/>
      <c r="R454" s="686" t="s">
        <v>60</v>
      </c>
      <c r="S454" s="577"/>
      <c r="T454" s="577"/>
      <c r="U454" s="577"/>
      <c r="V454" s="577"/>
      <c r="W454" s="698"/>
      <c r="X454" s="364"/>
      <c r="Y454" s="364"/>
      <c r="Z454" s="364"/>
      <c r="AA454"/>
      <c r="AB454"/>
      <c r="AC454"/>
      <c r="AD454"/>
      <c r="AE454"/>
      <c r="AF454"/>
      <c r="AG454"/>
      <c r="AH454"/>
      <c r="AI454"/>
    </row>
    <row r="455" spans="17:35" ht="12.75" customHeight="1">
      <c r="Q455" s="364"/>
      <c r="R455" s="895" t="s">
        <v>845</v>
      </c>
      <c r="S455" s="896"/>
      <c r="T455" s="900" t="s">
        <v>835</v>
      </c>
      <c r="U455" s="900" t="s">
        <v>836</v>
      </c>
      <c r="V455" s="900" t="s">
        <v>837</v>
      </c>
      <c r="W455" s="902" t="s">
        <v>838</v>
      </c>
      <c r="X455" s="364"/>
      <c r="Y455" s="364"/>
      <c r="Z455" s="364"/>
      <c r="AA455"/>
      <c r="AB455"/>
      <c r="AC455"/>
      <c r="AD455"/>
      <c r="AE455"/>
      <c r="AF455"/>
      <c r="AG455"/>
      <c r="AH455"/>
      <c r="AI455"/>
    </row>
    <row r="456" spans="17:35" ht="12.75" customHeight="1">
      <c r="Q456" s="364"/>
      <c r="R456" s="892"/>
      <c r="S456" s="897"/>
      <c r="T456" s="901"/>
      <c r="U456" s="901"/>
      <c r="V456" s="901"/>
      <c r="W456" s="903"/>
      <c r="X456" s="364"/>
      <c r="Y456" s="364"/>
      <c r="Z456" s="364"/>
      <c r="AA456"/>
      <c r="AB456"/>
      <c r="AC456"/>
      <c r="AD456"/>
      <c r="AE456"/>
      <c r="AF456"/>
      <c r="AG456"/>
      <c r="AH456"/>
      <c r="AI456"/>
    </row>
    <row r="457" spans="17:35" ht="12.75" customHeight="1">
      <c r="Q457" s="364"/>
      <c r="R457" s="892"/>
      <c r="S457" s="897"/>
      <c r="T457" s="689">
        <f>T444-PPE!$I$15</f>
        <v>109.02059991327964</v>
      </c>
      <c r="U457" s="560">
        <f>U450</f>
        <v>1.4285714285714284</v>
      </c>
      <c r="V457" s="690">
        <f>IF(T457&gt;0,W457*U457," ")</f>
        <v>4571.4285714285706</v>
      </c>
      <c r="W457" s="691">
        <f>IF(T457&gt;0,(VLOOKUP(T457,'Lookup Ready-reckoner'!$B$5:$E$1207,4))," ")</f>
        <v>3200</v>
      </c>
      <c r="X457" s="364"/>
      <c r="Y457" s="364"/>
      <c r="Z457" s="364"/>
      <c r="AA457"/>
      <c r="AB457"/>
      <c r="AC457"/>
      <c r="AD457"/>
      <c r="AE457"/>
      <c r="AF457"/>
      <c r="AG457"/>
      <c r="AH457"/>
      <c r="AI457"/>
    </row>
    <row r="458" spans="17:35" ht="12.75" customHeight="1">
      <c r="Q458" s="364"/>
      <c r="R458" s="898"/>
      <c r="S458" s="899"/>
      <c r="T458" s="447"/>
      <c r="U458" s="560"/>
      <c r="V458" s="690" t="str">
        <f>IF(T458&gt;0,W458*U458," ")</f>
        <v xml:space="preserve"> </v>
      </c>
      <c r="W458" s="691" t="str">
        <f>IF(T458&gt;0,(VLOOKUP(T458,'Lookup Ready-reckoner'!$B$5:$E$1007,4))," ")</f>
        <v xml:space="preserve"> </v>
      </c>
      <c r="X458" s="364"/>
      <c r="Y458" s="364"/>
      <c r="Z458" s="364"/>
      <c r="AA458"/>
      <c r="AB458"/>
      <c r="AC458"/>
      <c r="AD458"/>
      <c r="AE458"/>
      <c r="AF458"/>
      <c r="AG458"/>
      <c r="AH458"/>
      <c r="AI458"/>
    </row>
    <row r="459" spans="17:35" ht="12.75" customHeight="1" thickBot="1">
      <c r="Q459" s="364"/>
      <c r="R459" s="699" t="s">
        <v>839</v>
      </c>
      <c r="S459" s="693"/>
      <c r="T459" s="693"/>
      <c r="U459" s="694">
        <f>IF(T457&gt;0,(VLOOKUP(V459,'Lookup Ready-reckoner'!$L$5:$M$1207,2))," ")</f>
        <v>101.55</v>
      </c>
      <c r="V459" s="695">
        <f>IF(U457&gt;0,(SUM(V457:V458))," ")</f>
        <v>4571.4285714285706</v>
      </c>
      <c r="W459" s="696"/>
      <c r="X459" s="364"/>
      <c r="Y459" s="364"/>
      <c r="Z459" s="364"/>
      <c r="AA459"/>
      <c r="AB459"/>
      <c r="AC459"/>
      <c r="AD459"/>
      <c r="AE459"/>
      <c r="AF459"/>
      <c r="AG459"/>
      <c r="AH459"/>
      <c r="AI459"/>
    </row>
    <row r="460" spans="17:35" ht="12.75" customHeight="1" thickBot="1">
      <c r="Q460" s="364"/>
      <c r="R460" s="892"/>
      <c r="S460" s="893"/>
      <c r="T460" s="893"/>
      <c r="U460" s="893"/>
      <c r="V460" s="893"/>
      <c r="W460" s="894"/>
      <c r="X460" s="364"/>
      <c r="Y460" s="364"/>
      <c r="Z460" s="364"/>
      <c r="AA460"/>
      <c r="AB460"/>
      <c r="AC460"/>
      <c r="AD460"/>
      <c r="AE460"/>
      <c r="AF460"/>
      <c r="AG460"/>
      <c r="AH460"/>
      <c r="AI460"/>
    </row>
    <row r="461" spans="17:35" ht="12.75" customHeight="1">
      <c r="Q461" s="364"/>
      <c r="R461" s="895" t="s">
        <v>886</v>
      </c>
      <c r="S461" s="896"/>
      <c r="T461" s="900" t="s">
        <v>835</v>
      </c>
      <c r="U461" s="900" t="s">
        <v>836</v>
      </c>
      <c r="V461" s="900" t="s">
        <v>837</v>
      </c>
      <c r="W461" s="902" t="s">
        <v>838</v>
      </c>
      <c r="X461" s="364"/>
      <c r="Y461" s="364"/>
      <c r="Z461" s="364"/>
      <c r="AA461"/>
      <c r="AB461"/>
      <c r="AC461"/>
      <c r="AD461"/>
      <c r="AE461"/>
      <c r="AF461"/>
      <c r="AG461"/>
      <c r="AH461"/>
      <c r="AI461"/>
    </row>
    <row r="462" spans="17:35" ht="12.75" customHeight="1">
      <c r="Q462" s="364"/>
      <c r="R462" s="892"/>
      <c r="S462" s="897"/>
      <c r="T462" s="901"/>
      <c r="U462" s="901"/>
      <c r="V462" s="901"/>
      <c r="W462" s="903"/>
      <c r="X462" s="364"/>
      <c r="Y462" s="364"/>
      <c r="Z462" s="364"/>
      <c r="AA462"/>
      <c r="AB462"/>
      <c r="AC462"/>
      <c r="AD462"/>
      <c r="AE462"/>
      <c r="AF462"/>
      <c r="AG462"/>
      <c r="AH462"/>
      <c r="AI462"/>
    </row>
    <row r="463" spans="17:35" ht="12.75" customHeight="1">
      <c r="Q463" s="364"/>
      <c r="R463" s="892"/>
      <c r="S463" s="897"/>
      <c r="T463" s="689">
        <f>T450-PPE!$I$15</f>
        <v>104.67666655636688</v>
      </c>
      <c r="U463" s="560">
        <f>U457</f>
        <v>1.4285714285714284</v>
      </c>
      <c r="V463" s="690">
        <f>IF(T463&gt;0,W463*U463," ")</f>
        <v>1660.7142857142856</v>
      </c>
      <c r="W463" s="691">
        <f>IF(T463&gt;0,(VLOOKUP(T463,'Lookup Ready-reckoner'!$B$5:$E$1207,4))," ")</f>
        <v>1162.5</v>
      </c>
      <c r="X463" s="364"/>
      <c r="Y463" s="364"/>
      <c r="Z463" s="364"/>
      <c r="AA463"/>
      <c r="AB463"/>
      <c r="AC463"/>
      <c r="AD463"/>
      <c r="AE463"/>
      <c r="AF463"/>
      <c r="AG463"/>
      <c r="AH463"/>
      <c r="AI463"/>
    </row>
    <row r="464" spans="17:35" ht="12.75" customHeight="1">
      <c r="Q464" s="364"/>
      <c r="R464" s="898"/>
      <c r="S464" s="899"/>
      <c r="T464" s="447"/>
      <c r="U464" s="560"/>
      <c r="V464" s="690" t="str">
        <f>IF(T464&gt;0,W464*U464," ")</f>
        <v xml:space="preserve"> </v>
      </c>
      <c r="W464" s="691" t="str">
        <f>IF(T464&gt;0,(VLOOKUP(T464,'Lookup Ready-reckoner'!$B$5:$E$1007,4))," ")</f>
        <v xml:space="preserve"> </v>
      </c>
      <c r="X464" s="364"/>
      <c r="Y464" s="364"/>
      <c r="Z464" s="364"/>
      <c r="AA464"/>
      <c r="AB464"/>
      <c r="AC464"/>
      <c r="AD464"/>
      <c r="AE464"/>
      <c r="AF464"/>
      <c r="AG464"/>
      <c r="AH464"/>
      <c r="AI464"/>
    </row>
    <row r="465" spans="17:35" ht="12.75" customHeight="1" thickBot="1">
      <c r="Q465" s="364"/>
      <c r="R465" s="692" t="s">
        <v>839</v>
      </c>
      <c r="S465" s="693"/>
      <c r="T465" s="693"/>
      <c r="U465" s="694">
        <f>IF(T463&gt;0,(VLOOKUP(V465,'Lookup Ready-reckoner'!$L$5:$M$1207,2))," ")</f>
        <v>97.15</v>
      </c>
      <c r="V465" s="695">
        <f>IF(U463&gt;0,(SUM(V463:V464))," ")</f>
        <v>1660.7142857142856</v>
      </c>
      <c r="W465" s="696"/>
      <c r="X465" s="364"/>
      <c r="Y465" s="364"/>
      <c r="Z465" s="364"/>
      <c r="AA465"/>
      <c r="AB465"/>
      <c r="AC465"/>
      <c r="AD465"/>
      <c r="AE465"/>
      <c r="AF465"/>
      <c r="AG465"/>
      <c r="AH465"/>
      <c r="AI465"/>
    </row>
    <row r="466" spans="17:35" ht="12.75" customHeight="1">
      <c r="Q466" s="364"/>
      <c r="R466" s="363"/>
      <c r="S466" s="363"/>
      <c r="T466" s="363"/>
      <c r="U466" s="363"/>
      <c r="V466" s="363"/>
      <c r="W466" s="363"/>
      <c r="X466" s="364"/>
      <c r="Y466" s="364"/>
      <c r="Z466" s="364"/>
      <c r="AA466"/>
      <c r="AB466"/>
      <c r="AC466"/>
      <c r="AD466"/>
      <c r="AE466"/>
      <c r="AF466"/>
      <c r="AG466"/>
      <c r="AH466"/>
      <c r="AI466"/>
    </row>
    <row r="467" spans="17:35" ht="12.75" customHeight="1" thickBot="1">
      <c r="Q467" s="364"/>
      <c r="R467" s="915" t="str">
        <f>R348</f>
        <v>Seco S215 Muffled</v>
      </c>
      <c r="S467" s="915"/>
      <c r="T467" s="915"/>
      <c r="U467" s="915"/>
      <c r="V467" s="915"/>
      <c r="W467" s="915"/>
      <c r="X467" s="364"/>
      <c r="Y467" s="364"/>
      <c r="Z467" s="364"/>
      <c r="AA467"/>
      <c r="AB467"/>
      <c r="AC467"/>
      <c r="AD467"/>
      <c r="AE467"/>
      <c r="AF467"/>
      <c r="AG467"/>
      <c r="AH467"/>
      <c r="AI467"/>
    </row>
    <row r="468" spans="17:35" ht="12.75" customHeight="1" thickBot="1">
      <c r="Q468" s="364"/>
      <c r="R468" s="906" t="s">
        <v>205</v>
      </c>
      <c r="S468" s="907"/>
      <c r="T468" s="907"/>
      <c r="U468" s="907"/>
      <c r="V468" s="907"/>
      <c r="W468" s="908"/>
      <c r="X468" s="364"/>
      <c r="Y468" s="364"/>
      <c r="Z468" s="364"/>
      <c r="AA468"/>
      <c r="AB468"/>
      <c r="AC468"/>
      <c r="AD468"/>
      <c r="AE468"/>
      <c r="AF468"/>
      <c r="AG468"/>
      <c r="AH468"/>
      <c r="AI468"/>
    </row>
    <row r="469" spans="17:35" ht="12.75" customHeight="1" thickBot="1">
      <c r="Q469" s="364"/>
      <c r="R469" s="686" t="s">
        <v>59</v>
      </c>
      <c r="S469" s="577"/>
      <c r="T469" s="687"/>
      <c r="U469" s="687"/>
      <c r="V469" s="687"/>
      <c r="W469" s="688"/>
      <c r="X469" s="364"/>
      <c r="Y469" s="364"/>
      <c r="Z469" s="364"/>
      <c r="AA469"/>
      <c r="AB469"/>
      <c r="AC469"/>
      <c r="AD469"/>
      <c r="AE469"/>
      <c r="AF469"/>
      <c r="AG469"/>
      <c r="AH469"/>
      <c r="AI469"/>
    </row>
    <row r="470" spans="17:35" ht="12.75" customHeight="1">
      <c r="Q470" s="364"/>
      <c r="R470" s="895" t="s">
        <v>845</v>
      </c>
      <c r="S470" s="896"/>
      <c r="T470" s="900" t="s">
        <v>835</v>
      </c>
      <c r="U470" s="900" t="s">
        <v>836</v>
      </c>
      <c r="V470" s="900" t="s">
        <v>837</v>
      </c>
      <c r="W470" s="902" t="s">
        <v>838</v>
      </c>
      <c r="X470" s="364"/>
      <c r="Y470" s="364"/>
      <c r="Z470" s="364"/>
      <c r="AA470"/>
      <c r="AB470"/>
      <c r="AC470"/>
      <c r="AD470"/>
      <c r="AE470"/>
      <c r="AF470"/>
      <c r="AG470"/>
      <c r="AH470"/>
      <c r="AI470"/>
    </row>
    <row r="471" spans="17:35" ht="12.75" customHeight="1">
      <c r="Q471" s="364"/>
      <c r="R471" s="892"/>
      <c r="S471" s="897"/>
      <c r="T471" s="904"/>
      <c r="U471" s="904"/>
      <c r="V471" s="904"/>
      <c r="W471" s="905"/>
      <c r="X471" s="364"/>
      <c r="Y471" s="364"/>
      <c r="Z471" s="364"/>
      <c r="AA471"/>
      <c r="AB471"/>
      <c r="AC471"/>
      <c r="AD471"/>
      <c r="AE471"/>
      <c r="AF471"/>
      <c r="AG471"/>
      <c r="AH471"/>
      <c r="AI471"/>
    </row>
    <row r="472" spans="17:35" ht="12.75" customHeight="1">
      <c r="Q472" s="364"/>
      <c r="R472" s="892"/>
      <c r="S472" s="897"/>
      <c r="T472" s="901"/>
      <c r="U472" s="901"/>
      <c r="V472" s="901"/>
      <c r="W472" s="903"/>
      <c r="X472" s="364"/>
      <c r="Y472" s="364"/>
      <c r="Z472" s="364"/>
      <c r="AA472"/>
      <c r="AB472"/>
      <c r="AC472"/>
      <c r="AD472"/>
      <c r="AE472"/>
      <c r="AF472"/>
      <c r="AG472"/>
      <c r="AH472"/>
      <c r="AI472"/>
    </row>
    <row r="473" spans="17:35" ht="12.75" customHeight="1">
      <c r="Q473" s="364"/>
      <c r="R473" s="892"/>
      <c r="S473" s="897"/>
      <c r="T473" s="700">
        <f>V76</f>
        <v>114.02059991327963</v>
      </c>
      <c r="U473" s="560">
        <f>V62</f>
        <v>1.9999999999999996</v>
      </c>
      <c r="V473" s="690">
        <f>IF(T473&gt;0,W473*U473," ")</f>
        <v>19999.999999999996</v>
      </c>
      <c r="W473" s="691">
        <f>IF(T473&gt;0,(VLOOKUP(T473,'Lookup Ready-reckoner'!$B$5:$E$1207,4))," ")</f>
        <v>10000</v>
      </c>
      <c r="X473" s="364"/>
      <c r="Y473" s="364"/>
      <c r="Z473" s="364"/>
      <c r="AA473"/>
      <c r="AB473"/>
      <c r="AC473"/>
      <c r="AD473"/>
      <c r="AE473"/>
      <c r="AF473"/>
      <c r="AG473"/>
      <c r="AH473"/>
      <c r="AI473"/>
    </row>
    <row r="474" spans="17:35" ht="12.75" customHeight="1">
      <c r="Q474" s="364"/>
      <c r="R474" s="898"/>
      <c r="S474" s="899"/>
      <c r="T474" s="447"/>
      <c r="U474" s="560"/>
      <c r="V474" s="690" t="str">
        <f>IF(T474&gt;0,W474*U474," ")</f>
        <v xml:space="preserve"> </v>
      </c>
      <c r="W474" s="691" t="str">
        <f>IF(T474&gt;0,(VLOOKUP(T474,'Lookup Ready-reckoner'!$B$5:$E$1007,4))," ")</f>
        <v xml:space="preserve"> </v>
      </c>
      <c r="X474" s="364"/>
      <c r="Y474" s="364"/>
      <c r="Z474" s="364"/>
      <c r="AA474"/>
      <c r="AB474"/>
      <c r="AC474"/>
      <c r="AD474"/>
      <c r="AE474"/>
      <c r="AF474"/>
      <c r="AG474"/>
      <c r="AH474"/>
      <c r="AI474"/>
    </row>
    <row r="475" spans="17:35" ht="12.75" customHeight="1" thickBot="1">
      <c r="Q475" s="364"/>
      <c r="R475" s="699" t="s">
        <v>839</v>
      </c>
      <c r="S475" s="693"/>
      <c r="T475" s="693"/>
      <c r="U475" s="701">
        <f>IF(T473&gt;0,(VLOOKUP(V475,'Lookup Ready-reckoner'!$L$5:$M$1207,2))," ")</f>
        <v>107.95</v>
      </c>
      <c r="V475" s="695">
        <f>IF(U473&gt;0,(SUM(V473:V474))," ")</f>
        <v>19999.999999999996</v>
      </c>
      <c r="W475" s="696"/>
      <c r="X475" s="364"/>
      <c r="Y475" s="364"/>
      <c r="Z475" s="364"/>
      <c r="AA475"/>
      <c r="AB475"/>
      <c r="AC475"/>
      <c r="AD475"/>
      <c r="AE475"/>
      <c r="AF475"/>
      <c r="AG475"/>
      <c r="AH475"/>
      <c r="AI475"/>
    </row>
    <row r="476" spans="17:35" ht="12.75" customHeight="1" thickBot="1">
      <c r="Q476" s="364"/>
      <c r="R476" s="892"/>
      <c r="S476" s="893"/>
      <c r="T476" s="893"/>
      <c r="U476" s="893"/>
      <c r="V476" s="893"/>
      <c r="W476" s="894"/>
      <c r="X476" s="364"/>
      <c r="Y476" s="364"/>
      <c r="Z476" s="364"/>
      <c r="AA476"/>
      <c r="AB476"/>
      <c r="AC476"/>
      <c r="AD476"/>
      <c r="AE476"/>
      <c r="AF476"/>
      <c r="AG476"/>
      <c r="AH476"/>
      <c r="AI476"/>
    </row>
    <row r="477" spans="17:35" ht="12.75" customHeight="1">
      <c r="Q477" s="364"/>
      <c r="R477" s="895" t="s">
        <v>886</v>
      </c>
      <c r="S477" s="896"/>
      <c r="T477" s="900" t="s">
        <v>835</v>
      </c>
      <c r="U477" s="900" t="s">
        <v>836</v>
      </c>
      <c r="V477" s="900" t="s">
        <v>837</v>
      </c>
      <c r="W477" s="902" t="s">
        <v>838</v>
      </c>
      <c r="X477" s="364"/>
      <c r="Y477" s="364"/>
      <c r="Z477" s="364"/>
      <c r="AA477"/>
      <c r="AB477"/>
      <c r="AC477"/>
      <c r="AD477"/>
      <c r="AE477"/>
      <c r="AF477"/>
      <c r="AG477"/>
      <c r="AH477"/>
      <c r="AI477"/>
    </row>
    <row r="478" spans="17:35" ht="12.75" customHeight="1">
      <c r="Q478" s="364"/>
      <c r="R478" s="892"/>
      <c r="S478" s="897"/>
      <c r="T478" s="901"/>
      <c r="U478" s="901"/>
      <c r="V478" s="901"/>
      <c r="W478" s="903"/>
      <c r="X478" s="364"/>
      <c r="Y478" s="364"/>
      <c r="Z478" s="364"/>
      <c r="AA478"/>
      <c r="AB478"/>
      <c r="AC478"/>
      <c r="AD478"/>
      <c r="AE478"/>
      <c r="AF478"/>
      <c r="AG478"/>
      <c r="AH478"/>
      <c r="AI478"/>
    </row>
    <row r="479" spans="17:35" ht="12.75" customHeight="1">
      <c r="Q479" s="364"/>
      <c r="R479" s="892"/>
      <c r="S479" s="897"/>
      <c r="T479" s="700">
        <f>T473*(1-0.0178*2)</f>
        <v>109.96146655636687</v>
      </c>
      <c r="U479" s="560">
        <f>U473</f>
        <v>1.9999999999999996</v>
      </c>
      <c r="V479" s="690">
        <f>IF(T479&gt;0,W479*U479," ")</f>
        <v>7919.9999999999982</v>
      </c>
      <c r="W479" s="691">
        <f>IF(T479&gt;0,(VLOOKUP(T479,'Lookup Ready-reckoner'!$B$5:$E$1207,4))," ")</f>
        <v>3960</v>
      </c>
      <c r="X479" s="364"/>
      <c r="Y479" s="364"/>
      <c r="Z479" s="364"/>
      <c r="AA479"/>
      <c r="AB479"/>
      <c r="AC479"/>
      <c r="AD479"/>
      <c r="AE479"/>
      <c r="AF479"/>
      <c r="AG479"/>
      <c r="AH479"/>
      <c r="AI479"/>
    </row>
    <row r="480" spans="17:35" ht="12.75" customHeight="1">
      <c r="Q480" s="364"/>
      <c r="R480" s="898"/>
      <c r="S480" s="899"/>
      <c r="T480" s="447"/>
      <c r="U480" s="560"/>
      <c r="V480" s="690" t="str">
        <f>IF(T480&gt;0,W480*U480," ")</f>
        <v xml:space="preserve"> </v>
      </c>
      <c r="W480" s="691" t="str">
        <f>IF(T480&gt;0,(VLOOKUP(T480,'Lookup Ready-reckoner'!$B$5:$E$1007,4))," ")</f>
        <v xml:space="preserve"> </v>
      </c>
      <c r="X480" s="364"/>
      <c r="Y480" s="364"/>
      <c r="Z480" s="364"/>
      <c r="AA480"/>
      <c r="AB480"/>
      <c r="AC480"/>
      <c r="AD480"/>
      <c r="AE480"/>
      <c r="AF480"/>
      <c r="AG480"/>
      <c r="AH480"/>
      <c r="AI480"/>
    </row>
    <row r="481" spans="17:35" ht="12.75" customHeight="1" thickBot="1">
      <c r="Q481" s="364"/>
      <c r="R481" s="692" t="s">
        <v>839</v>
      </c>
      <c r="S481" s="693"/>
      <c r="T481" s="693"/>
      <c r="U481" s="701">
        <f>IF(T479&gt;0,(VLOOKUP(V481,'Lookup Ready-reckoner'!$L$5:$M$1207,2))," ")</f>
        <v>103.9</v>
      </c>
      <c r="V481" s="695">
        <f>IF(U479&gt;0,(SUM(V479:V480))," ")</f>
        <v>7919.9999999999982</v>
      </c>
      <c r="W481" s="696"/>
      <c r="X481" s="364"/>
      <c r="Y481" s="364"/>
      <c r="Z481" s="364"/>
      <c r="AA481"/>
      <c r="AB481"/>
      <c r="AC481"/>
      <c r="AD481"/>
      <c r="AE481"/>
      <c r="AF481"/>
      <c r="AG481"/>
      <c r="AH481"/>
      <c r="AI481"/>
    </row>
    <row r="482" spans="17:35" ht="12.75" customHeight="1">
      <c r="Q482" s="364"/>
      <c r="R482" s="697"/>
      <c r="S482" s="687"/>
      <c r="T482" s="687"/>
      <c r="U482" s="372"/>
      <c r="V482" s="374"/>
      <c r="W482" s="688"/>
      <c r="X482" s="364"/>
      <c r="Y482" s="364"/>
      <c r="Z482" s="364"/>
      <c r="AA482"/>
      <c r="AB482"/>
      <c r="AC482"/>
      <c r="AD482"/>
      <c r="AE482"/>
      <c r="AF482"/>
      <c r="AG482"/>
      <c r="AH482"/>
      <c r="AI482"/>
    </row>
    <row r="483" spans="17:35" ht="12.75" customHeight="1" thickBot="1">
      <c r="Q483" s="364"/>
      <c r="R483" s="686" t="s">
        <v>60</v>
      </c>
      <c r="S483" s="577"/>
      <c r="T483" s="577"/>
      <c r="U483" s="577"/>
      <c r="V483" s="577"/>
      <c r="W483" s="698"/>
      <c r="X483" s="364"/>
      <c r="Y483" s="364"/>
      <c r="Z483" s="364"/>
      <c r="AA483"/>
      <c r="AB483"/>
      <c r="AC483"/>
      <c r="AD483"/>
      <c r="AE483"/>
      <c r="AF483"/>
      <c r="AG483"/>
      <c r="AH483"/>
      <c r="AI483"/>
    </row>
    <row r="484" spans="17:35" ht="12.75" customHeight="1">
      <c r="Q484" s="364"/>
      <c r="R484" s="895" t="s">
        <v>845</v>
      </c>
      <c r="S484" s="896"/>
      <c r="T484" s="900" t="s">
        <v>835</v>
      </c>
      <c r="U484" s="900" t="s">
        <v>836</v>
      </c>
      <c r="V484" s="900" t="s">
        <v>837</v>
      </c>
      <c r="W484" s="902" t="s">
        <v>838</v>
      </c>
      <c r="X484" s="364"/>
      <c r="Y484" s="364"/>
      <c r="Z484" s="364"/>
      <c r="AA484"/>
      <c r="AB484"/>
      <c r="AC484"/>
      <c r="AD484"/>
      <c r="AE484"/>
      <c r="AF484"/>
      <c r="AG484"/>
      <c r="AH484"/>
      <c r="AI484"/>
    </row>
    <row r="485" spans="17:35" ht="12.75" customHeight="1">
      <c r="Q485" s="364"/>
      <c r="R485" s="892"/>
      <c r="S485" s="897"/>
      <c r="T485" s="901"/>
      <c r="U485" s="901"/>
      <c r="V485" s="901"/>
      <c r="W485" s="903"/>
      <c r="X485" s="364"/>
      <c r="Y485" s="364"/>
      <c r="Z485" s="364"/>
      <c r="AA485"/>
      <c r="AB485"/>
      <c r="AC485"/>
      <c r="AD485"/>
      <c r="AE485"/>
      <c r="AF485"/>
      <c r="AG485"/>
      <c r="AH485"/>
      <c r="AI485"/>
    </row>
    <row r="486" spans="17:35" ht="12.75" customHeight="1">
      <c r="Q486" s="364"/>
      <c r="R486" s="892"/>
      <c r="S486" s="897"/>
      <c r="T486" s="700">
        <f>T473-PPE!$I$15</f>
        <v>101.02059991327963</v>
      </c>
      <c r="U486" s="560">
        <f>U479</f>
        <v>1.9999999999999996</v>
      </c>
      <c r="V486" s="690">
        <f>IF(T486&gt;0,W486*U486," ")</f>
        <v>999.99999999999977</v>
      </c>
      <c r="W486" s="691">
        <f>IF(T486&gt;0,(VLOOKUP(T486,'Lookup Ready-reckoner'!$B$5:$E$1207,4))," ")</f>
        <v>500</v>
      </c>
      <c r="X486" s="364"/>
      <c r="Y486" s="364"/>
      <c r="Z486" s="364"/>
      <c r="AA486"/>
      <c r="AB486"/>
      <c r="AC486"/>
      <c r="AD486"/>
      <c r="AE486"/>
      <c r="AF486"/>
      <c r="AG486"/>
      <c r="AH486"/>
      <c r="AI486"/>
    </row>
    <row r="487" spans="17:35" ht="12.75" customHeight="1">
      <c r="Q487" s="364"/>
      <c r="R487" s="898"/>
      <c r="S487" s="899"/>
      <c r="T487" s="447"/>
      <c r="U487" s="560"/>
      <c r="V487" s="690" t="str">
        <f>IF(T487&gt;0,W487*U487," ")</f>
        <v xml:space="preserve"> </v>
      </c>
      <c r="W487" s="691" t="str">
        <f>IF(T487&gt;0,(VLOOKUP(T487,'Lookup Ready-reckoner'!$B$5:$E$1007,4))," ")</f>
        <v xml:space="preserve"> </v>
      </c>
      <c r="X487" s="364"/>
      <c r="Y487" s="364"/>
      <c r="Z487" s="364"/>
      <c r="AA487"/>
      <c r="AB487"/>
      <c r="AC487"/>
      <c r="AD487"/>
      <c r="AE487"/>
      <c r="AF487"/>
      <c r="AG487"/>
      <c r="AH487"/>
      <c r="AI487"/>
    </row>
    <row r="488" spans="17:35" ht="12.75" customHeight="1" thickBot="1">
      <c r="Q488" s="364"/>
      <c r="R488" s="692" t="s">
        <v>839</v>
      </c>
      <c r="S488" s="693"/>
      <c r="T488" s="693"/>
      <c r="U488" s="701">
        <f>IF(T486&gt;0,(VLOOKUP(V488,'Lookup Ready-reckoner'!$L$5:$M$1207,2))," ")</f>
        <v>94.95</v>
      </c>
      <c r="V488" s="695">
        <f>IF(U486&gt;0,(SUM(V486:V487))," ")</f>
        <v>999.99999999999977</v>
      </c>
      <c r="W488" s="696"/>
      <c r="X488" s="364"/>
      <c r="Y488" s="364"/>
      <c r="Z488" s="364"/>
      <c r="AA488"/>
      <c r="AB488"/>
      <c r="AC488"/>
      <c r="AD488"/>
      <c r="AE488"/>
      <c r="AF488"/>
      <c r="AG488"/>
      <c r="AH488"/>
      <c r="AI488"/>
    </row>
    <row r="489" spans="17:35" ht="12.75" customHeight="1" thickBot="1">
      <c r="Q489" s="364"/>
      <c r="R489" s="892"/>
      <c r="S489" s="893"/>
      <c r="T489" s="893"/>
      <c r="U489" s="893"/>
      <c r="V489" s="893"/>
      <c r="W489" s="894"/>
      <c r="X489" s="364"/>
      <c r="Y489" s="364"/>
      <c r="Z489" s="364"/>
      <c r="AA489"/>
      <c r="AB489"/>
      <c r="AC489"/>
      <c r="AD489"/>
      <c r="AE489"/>
      <c r="AF489"/>
      <c r="AG489"/>
      <c r="AH489"/>
      <c r="AI489"/>
    </row>
    <row r="490" spans="17:35" ht="12.75" customHeight="1">
      <c r="Q490" s="364"/>
      <c r="R490" s="895" t="s">
        <v>886</v>
      </c>
      <c r="S490" s="896"/>
      <c r="T490" s="900" t="s">
        <v>835</v>
      </c>
      <c r="U490" s="900" t="s">
        <v>836</v>
      </c>
      <c r="V490" s="900" t="s">
        <v>837</v>
      </c>
      <c r="W490" s="902" t="s">
        <v>838</v>
      </c>
      <c r="X490" s="364"/>
      <c r="Y490" s="364"/>
      <c r="Z490" s="364"/>
      <c r="AA490"/>
      <c r="AB490"/>
      <c r="AC490"/>
      <c r="AD490"/>
      <c r="AE490"/>
      <c r="AF490"/>
      <c r="AG490"/>
      <c r="AH490"/>
      <c r="AI490"/>
    </row>
    <row r="491" spans="17:35" ht="12.75" customHeight="1">
      <c r="Q491" s="364"/>
      <c r="R491" s="892"/>
      <c r="S491" s="897"/>
      <c r="T491" s="901"/>
      <c r="U491" s="901"/>
      <c r="V491" s="901"/>
      <c r="W491" s="903"/>
      <c r="X491" s="364"/>
      <c r="Y491" s="364"/>
      <c r="Z491" s="364"/>
      <c r="AA491"/>
      <c r="AB491"/>
      <c r="AC491"/>
      <c r="AD491"/>
      <c r="AE491"/>
      <c r="AF491"/>
      <c r="AG491"/>
      <c r="AH491"/>
      <c r="AI491"/>
    </row>
    <row r="492" spans="17:35" ht="12.75" customHeight="1">
      <c r="Q492" s="364"/>
      <c r="R492" s="892"/>
      <c r="S492" s="897"/>
      <c r="T492" s="700">
        <f>T479-PPE!$I$15</f>
        <v>96.961466556366872</v>
      </c>
      <c r="U492" s="560">
        <f>U486</f>
        <v>1.9999999999999996</v>
      </c>
      <c r="V492" s="690">
        <f>IF(T492&gt;0,W492*U492," ")</f>
        <v>395.62499999999989</v>
      </c>
      <c r="W492" s="691">
        <f>IF(T492&gt;0,(VLOOKUP(T492,'Lookup Ready-reckoner'!$B$5:$E$1207,4))," ")</f>
        <v>197.8125</v>
      </c>
      <c r="X492" s="364"/>
      <c r="Y492" s="364"/>
      <c r="Z492" s="364"/>
      <c r="AA492"/>
      <c r="AB492"/>
      <c r="AC492"/>
      <c r="AD492"/>
      <c r="AE492"/>
      <c r="AF492"/>
      <c r="AG492"/>
      <c r="AH492"/>
      <c r="AI492"/>
    </row>
    <row r="493" spans="17:35" ht="12.75" customHeight="1">
      <c r="Q493" s="364"/>
      <c r="R493" s="898"/>
      <c r="S493" s="899"/>
      <c r="T493" s="447"/>
      <c r="U493" s="560"/>
      <c r="V493" s="690" t="str">
        <f>IF(T493&gt;0,W493*U493," ")</f>
        <v xml:space="preserve"> </v>
      </c>
      <c r="W493" s="691" t="str">
        <f>IF(T493&gt;0,(VLOOKUP(T493,'Lookup Ready-reckoner'!$B$5:$E$1007,4))," ")</f>
        <v xml:space="preserve"> </v>
      </c>
      <c r="X493" s="364"/>
      <c r="Y493" s="364"/>
      <c r="Z493" s="364"/>
      <c r="AA493"/>
      <c r="AB493"/>
      <c r="AC493"/>
      <c r="AD493"/>
      <c r="AE493"/>
      <c r="AF493"/>
      <c r="AG493"/>
      <c r="AH493"/>
      <c r="AI493"/>
    </row>
    <row r="494" spans="17:35" ht="12.75" customHeight="1" thickBot="1">
      <c r="Q494" s="364"/>
      <c r="R494" s="692" t="s">
        <v>839</v>
      </c>
      <c r="S494" s="693"/>
      <c r="T494" s="693"/>
      <c r="U494" s="701">
        <f>IF(T492&gt;0,(VLOOKUP(V494,'Lookup Ready-reckoner'!$L$5:$M$1207,2))," ")</f>
        <v>90.9</v>
      </c>
      <c r="V494" s="695">
        <f>IF(U492&gt;0,(SUM(V492:V493))," ")</f>
        <v>395.62499999999989</v>
      </c>
      <c r="W494" s="696"/>
      <c r="X494" s="364"/>
      <c r="Y494" s="364"/>
      <c r="Z494" s="364"/>
      <c r="AA494"/>
      <c r="AB494"/>
      <c r="AC494"/>
      <c r="AD494"/>
      <c r="AE494"/>
      <c r="AF494"/>
      <c r="AG494"/>
      <c r="AH494"/>
      <c r="AI494"/>
    </row>
    <row r="495" spans="17:35" ht="12.75" customHeight="1">
      <c r="Q495" s="364"/>
      <c r="R495" s="363"/>
      <c r="S495" s="363"/>
      <c r="T495" s="363"/>
      <c r="U495" s="363"/>
      <c r="V495" s="363"/>
      <c r="W495" s="363"/>
      <c r="X495" s="364"/>
      <c r="Y495" s="364"/>
      <c r="Z495" s="364"/>
      <c r="AA495"/>
      <c r="AB495"/>
      <c r="AC495"/>
      <c r="AD495"/>
      <c r="AE495"/>
      <c r="AF495"/>
      <c r="AG495"/>
      <c r="AH495"/>
      <c r="AI495"/>
    </row>
    <row r="496" spans="17:35" ht="12.75" customHeight="1">
      <c r="Q496" s="364"/>
      <c r="R496" s="913" t="str">
        <f>R377</f>
        <v>Sulzer ADDS</v>
      </c>
      <c r="S496" s="914"/>
      <c r="T496" s="914"/>
      <c r="U496" s="914"/>
      <c r="V496" s="914"/>
      <c r="W496" s="914"/>
      <c r="X496" s="364"/>
      <c r="Y496" s="364"/>
      <c r="Z496" s="364"/>
      <c r="AA496"/>
      <c r="AB496"/>
      <c r="AC496"/>
      <c r="AD496"/>
      <c r="AE496"/>
      <c r="AF496"/>
      <c r="AG496"/>
      <c r="AH496"/>
      <c r="AI496"/>
    </row>
    <row r="497" spans="17:35" ht="12.75" customHeight="1" thickBot="1">
      <c r="Q497" s="364"/>
      <c r="R497" s="910" t="s">
        <v>205</v>
      </c>
      <c r="S497" s="911"/>
      <c r="T497" s="911"/>
      <c r="U497" s="911"/>
      <c r="V497" s="911"/>
      <c r="W497" s="912"/>
      <c r="X497" s="364"/>
      <c r="Y497" s="364"/>
      <c r="Z497" s="364"/>
      <c r="AA497"/>
      <c r="AB497"/>
      <c r="AC497"/>
      <c r="AD497"/>
      <c r="AE497"/>
      <c r="AF497"/>
      <c r="AG497"/>
      <c r="AH497"/>
      <c r="AI497"/>
    </row>
    <row r="498" spans="17:35" ht="12.75" customHeight="1" thickBot="1">
      <c r="Q498" s="364"/>
      <c r="R498" s="686" t="s">
        <v>59</v>
      </c>
      <c r="S498" s="577"/>
      <c r="T498" s="687"/>
      <c r="U498" s="687"/>
      <c r="V498" s="687"/>
      <c r="W498" s="688"/>
      <c r="X498" s="364"/>
      <c r="Y498" s="364"/>
      <c r="Z498" s="364"/>
      <c r="AA498"/>
      <c r="AB498"/>
      <c r="AC498"/>
      <c r="AD498"/>
      <c r="AE498"/>
      <c r="AF498"/>
      <c r="AG498"/>
      <c r="AH498"/>
      <c r="AI498"/>
    </row>
    <row r="499" spans="17:35" ht="12.75" customHeight="1">
      <c r="Q499" s="364"/>
      <c r="R499" s="895" t="s">
        <v>845</v>
      </c>
      <c r="S499" s="896"/>
      <c r="T499" s="900" t="s">
        <v>835</v>
      </c>
      <c r="U499" s="900" t="s">
        <v>836</v>
      </c>
      <c r="V499" s="900" t="s">
        <v>837</v>
      </c>
      <c r="W499" s="902" t="s">
        <v>838</v>
      </c>
      <c r="X499" s="364"/>
      <c r="Y499" s="364"/>
      <c r="Z499" s="364"/>
      <c r="AA499"/>
      <c r="AB499"/>
      <c r="AC499"/>
      <c r="AD499"/>
      <c r="AE499"/>
      <c r="AF499"/>
      <c r="AG499"/>
      <c r="AH499"/>
      <c r="AI499"/>
    </row>
    <row r="500" spans="17:35" ht="12.75" customHeight="1">
      <c r="Q500" s="364"/>
      <c r="R500" s="892"/>
      <c r="S500" s="897"/>
      <c r="T500" s="904"/>
      <c r="U500" s="904"/>
      <c r="V500" s="904"/>
      <c r="W500" s="905"/>
      <c r="X500" s="364"/>
      <c r="Y500" s="364"/>
      <c r="Z500" s="364"/>
      <c r="AA500"/>
      <c r="AB500"/>
      <c r="AC500"/>
      <c r="AD500"/>
      <c r="AE500"/>
      <c r="AF500"/>
      <c r="AG500"/>
      <c r="AH500"/>
      <c r="AI500"/>
    </row>
    <row r="501" spans="17:35" ht="12.75" customHeight="1">
      <c r="Q501" s="364"/>
      <c r="R501" s="892"/>
      <c r="S501" s="897"/>
      <c r="T501" s="901"/>
      <c r="U501" s="901"/>
      <c r="V501" s="901"/>
      <c r="W501" s="903"/>
      <c r="X501" s="364"/>
      <c r="Y501" s="364"/>
      <c r="Z501" s="364"/>
      <c r="AA501"/>
      <c r="AB501"/>
      <c r="AC501"/>
      <c r="AD501"/>
      <c r="AE501"/>
      <c r="AF501"/>
      <c r="AG501"/>
      <c r="AH501"/>
      <c r="AI501"/>
    </row>
    <row r="502" spans="17:35" ht="12.75" customHeight="1">
      <c r="Q502" s="364"/>
      <c r="R502" s="892"/>
      <c r="S502" s="897"/>
      <c r="T502" s="702">
        <f>W76</f>
        <v>115.02059991327963</v>
      </c>
      <c r="U502" s="560">
        <f>W62</f>
        <v>1.7391304347826084</v>
      </c>
      <c r="V502" s="690">
        <f>IF(T502&gt;0,W502*U502," ")</f>
        <v>22260.869565217388</v>
      </c>
      <c r="W502" s="691">
        <f>IF(T502&gt;0,(VLOOKUP(T502,'Lookup Ready-reckoner'!$B$5:$E$1207,4))," ")</f>
        <v>12800</v>
      </c>
      <c r="X502" s="364"/>
      <c r="Y502" s="364"/>
      <c r="Z502" s="364"/>
      <c r="AA502"/>
      <c r="AB502"/>
      <c r="AC502"/>
      <c r="AD502"/>
      <c r="AE502"/>
      <c r="AF502"/>
      <c r="AG502"/>
      <c r="AH502"/>
      <c r="AI502"/>
    </row>
    <row r="503" spans="17:35" ht="12.75" customHeight="1">
      <c r="Q503" s="364"/>
      <c r="R503" s="898"/>
      <c r="S503" s="899"/>
      <c r="T503" s="447"/>
      <c r="U503" s="560"/>
      <c r="V503" s="690" t="str">
        <f>IF(T503&gt;0,W503*U503," ")</f>
        <v xml:space="preserve"> </v>
      </c>
      <c r="W503" s="691" t="str">
        <f>IF(T503&gt;0,(VLOOKUP(T503,'Lookup Ready-reckoner'!$B$5:$E$1007,4))," ")</f>
        <v xml:space="preserve"> </v>
      </c>
      <c r="X503" s="364"/>
      <c r="Y503" s="364"/>
      <c r="Z503" s="364"/>
      <c r="AA503"/>
      <c r="AB503"/>
      <c r="AC503"/>
      <c r="AD503"/>
      <c r="AE503"/>
      <c r="AF503"/>
      <c r="AG503"/>
      <c r="AH503"/>
      <c r="AI503"/>
    </row>
    <row r="504" spans="17:35" ht="12.75" customHeight="1" thickBot="1">
      <c r="Q504" s="364"/>
      <c r="R504" s="692" t="s">
        <v>839</v>
      </c>
      <c r="S504" s="693"/>
      <c r="T504" s="693"/>
      <c r="U504" s="703">
        <f>IF(T502&gt;0,(VLOOKUP(V504,'Lookup Ready-reckoner'!$L$5:$M$1207,2))," ")</f>
        <v>108.4</v>
      </c>
      <c r="V504" s="695">
        <f>IF(U502&gt;0,(SUM(V502:V503))," ")</f>
        <v>22260.869565217388</v>
      </c>
      <c r="W504" s="696"/>
      <c r="X504" s="364"/>
      <c r="Y504" s="364"/>
      <c r="Z504" s="364"/>
      <c r="AA504"/>
      <c r="AB504"/>
      <c r="AC504"/>
      <c r="AD504"/>
      <c r="AE504"/>
      <c r="AF504"/>
      <c r="AG504"/>
      <c r="AH504"/>
      <c r="AI504"/>
    </row>
    <row r="505" spans="17:35" ht="12.75" customHeight="1" thickBot="1">
      <c r="Q505" s="364"/>
      <c r="R505" s="892"/>
      <c r="S505" s="893"/>
      <c r="T505" s="893"/>
      <c r="U505" s="893"/>
      <c r="V505" s="893"/>
      <c r="W505" s="894"/>
      <c r="X505" s="364"/>
      <c r="Y505" s="364"/>
      <c r="Z505" s="364"/>
      <c r="AA505"/>
      <c r="AB505"/>
      <c r="AC505"/>
      <c r="AD505"/>
      <c r="AE505"/>
      <c r="AF505"/>
      <c r="AG505"/>
      <c r="AH505"/>
      <c r="AI505"/>
    </row>
    <row r="506" spans="17:35" ht="12.75" customHeight="1">
      <c r="Q506" s="364"/>
      <c r="R506" s="895" t="s">
        <v>886</v>
      </c>
      <c r="S506" s="896"/>
      <c r="T506" s="900" t="s">
        <v>835</v>
      </c>
      <c r="U506" s="900" t="s">
        <v>836</v>
      </c>
      <c r="V506" s="900" t="s">
        <v>837</v>
      </c>
      <c r="W506" s="902" t="s">
        <v>838</v>
      </c>
      <c r="X506" s="364"/>
      <c r="Y506" s="364"/>
      <c r="Z506" s="364"/>
      <c r="AA506"/>
      <c r="AB506"/>
      <c r="AC506"/>
      <c r="AD506"/>
      <c r="AE506"/>
      <c r="AF506"/>
      <c r="AG506"/>
      <c r="AH506"/>
      <c r="AI506"/>
    </row>
    <row r="507" spans="17:35" ht="12.75" customHeight="1">
      <c r="Q507" s="364"/>
      <c r="R507" s="892"/>
      <c r="S507" s="897"/>
      <c r="T507" s="901"/>
      <c r="U507" s="901"/>
      <c r="V507" s="901"/>
      <c r="W507" s="903"/>
      <c r="X507" s="364"/>
      <c r="Y507" s="364"/>
      <c r="Z507" s="364"/>
      <c r="AA507"/>
      <c r="AB507"/>
      <c r="AC507"/>
      <c r="AD507"/>
      <c r="AE507"/>
      <c r="AF507"/>
      <c r="AG507"/>
      <c r="AH507"/>
      <c r="AI507"/>
    </row>
    <row r="508" spans="17:35" ht="12.75" customHeight="1">
      <c r="Q508" s="364"/>
      <c r="R508" s="892"/>
      <c r="S508" s="897"/>
      <c r="T508" s="702">
        <f>T502*(1-0.0178*2)</f>
        <v>110.92586655636687</v>
      </c>
      <c r="U508" s="560">
        <f>U502</f>
        <v>1.7391304347826084</v>
      </c>
      <c r="V508" s="690">
        <f>IF(T508&gt;0,W508*U508," ")</f>
        <v>8521.7391304347821</v>
      </c>
      <c r="W508" s="691">
        <f>IF(T508&gt;0,(VLOOKUP(T508,'Lookup Ready-reckoner'!$B$5:$E$1207,4))," ")</f>
        <v>4900</v>
      </c>
      <c r="X508" s="364"/>
      <c r="Y508" s="364"/>
      <c r="Z508" s="364"/>
      <c r="AA508"/>
      <c r="AB508"/>
      <c r="AC508"/>
      <c r="AD508"/>
      <c r="AE508"/>
      <c r="AF508"/>
      <c r="AG508"/>
      <c r="AH508"/>
      <c r="AI508"/>
    </row>
    <row r="509" spans="17:35" ht="12.75" customHeight="1">
      <c r="Q509" s="364"/>
      <c r="R509" s="898"/>
      <c r="S509" s="899"/>
      <c r="T509" s="447"/>
      <c r="U509" s="560"/>
      <c r="V509" s="690" t="str">
        <f>IF(T509&gt;0,W509*U509," ")</f>
        <v xml:space="preserve"> </v>
      </c>
      <c r="W509" s="691" t="str">
        <f>IF(T509&gt;0,(VLOOKUP(T509,'Lookup Ready-reckoner'!$B$5:$E$1007,4))," ")</f>
        <v xml:space="preserve"> </v>
      </c>
      <c r="X509" s="364"/>
      <c r="Y509" s="364"/>
      <c r="Z509" s="364"/>
      <c r="AA509"/>
      <c r="AB509"/>
      <c r="AC509"/>
      <c r="AD509"/>
      <c r="AE509"/>
      <c r="AF509"/>
      <c r="AG509"/>
      <c r="AH509"/>
      <c r="AI509"/>
    </row>
    <row r="510" spans="17:35" ht="12.75" customHeight="1" thickBot="1">
      <c r="Q510" s="364"/>
      <c r="R510" s="692" t="s">
        <v>839</v>
      </c>
      <c r="S510" s="693"/>
      <c r="T510" s="693"/>
      <c r="U510" s="703">
        <f>IF(T508&gt;0,(VLOOKUP(V510,'Lookup Ready-reckoner'!$L$5:$M$1207,2))," ")</f>
        <v>104.25</v>
      </c>
      <c r="V510" s="695">
        <f>IF(U508&gt;0,(SUM(V508:V509))," ")</f>
        <v>8521.7391304347821</v>
      </c>
      <c r="W510" s="696"/>
      <c r="X510" s="364"/>
      <c r="Y510" s="364"/>
      <c r="Z510" s="364"/>
      <c r="AA510"/>
      <c r="AB510"/>
      <c r="AC510"/>
      <c r="AD510"/>
      <c r="AE510"/>
      <c r="AF510"/>
      <c r="AG510"/>
      <c r="AH510"/>
      <c r="AI510"/>
    </row>
    <row r="511" spans="17:35" ht="12.75" customHeight="1">
      <c r="Q511" s="364"/>
      <c r="R511" s="697"/>
      <c r="S511" s="687"/>
      <c r="T511" s="687"/>
      <c r="U511" s="372"/>
      <c r="V511" s="374"/>
      <c r="W511" s="688"/>
      <c r="X511" s="364"/>
      <c r="Y511" s="364"/>
      <c r="Z511" s="364"/>
      <c r="AA511"/>
      <c r="AB511"/>
      <c r="AC511"/>
      <c r="AD511"/>
      <c r="AE511"/>
      <c r="AF511"/>
      <c r="AG511"/>
      <c r="AH511"/>
      <c r="AI511"/>
    </row>
    <row r="512" spans="17:35" ht="12.75" customHeight="1" thickBot="1">
      <c r="Q512" s="364"/>
      <c r="R512" s="686" t="s">
        <v>60</v>
      </c>
      <c r="S512" s="577"/>
      <c r="T512" s="577"/>
      <c r="U512" s="577"/>
      <c r="V512" s="577"/>
      <c r="W512" s="698"/>
      <c r="X512" s="364"/>
      <c r="Y512" s="364"/>
      <c r="Z512" s="364"/>
      <c r="AA512"/>
      <c r="AB512"/>
      <c r="AC512"/>
      <c r="AD512"/>
      <c r="AE512"/>
      <c r="AF512"/>
      <c r="AG512"/>
      <c r="AH512"/>
      <c r="AI512"/>
    </row>
    <row r="513" spans="17:35" ht="12.75" customHeight="1">
      <c r="Q513" s="364"/>
      <c r="R513" s="895" t="s">
        <v>845</v>
      </c>
      <c r="S513" s="896"/>
      <c r="T513" s="900" t="s">
        <v>835</v>
      </c>
      <c r="U513" s="900" t="s">
        <v>836</v>
      </c>
      <c r="V513" s="900" t="s">
        <v>837</v>
      </c>
      <c r="W513" s="902" t="s">
        <v>838</v>
      </c>
      <c r="X513" s="364"/>
      <c r="Y513" s="364"/>
      <c r="Z513" s="364"/>
      <c r="AA513"/>
      <c r="AB513"/>
      <c r="AC513"/>
      <c r="AD513"/>
      <c r="AE513"/>
      <c r="AF513"/>
      <c r="AG513"/>
      <c r="AH513"/>
      <c r="AI513"/>
    </row>
    <row r="514" spans="17:35" ht="12.75" customHeight="1">
      <c r="Q514" s="364"/>
      <c r="R514" s="892"/>
      <c r="S514" s="897"/>
      <c r="T514" s="901"/>
      <c r="U514" s="901"/>
      <c r="V514" s="901"/>
      <c r="W514" s="903"/>
      <c r="X514" s="364"/>
      <c r="Y514" s="364"/>
      <c r="Z514" s="364"/>
      <c r="AA514"/>
      <c r="AB514"/>
      <c r="AC514"/>
      <c r="AD514"/>
      <c r="AE514"/>
      <c r="AF514"/>
      <c r="AG514"/>
      <c r="AH514"/>
      <c r="AI514"/>
    </row>
    <row r="515" spans="17:35" ht="12.75" customHeight="1">
      <c r="Q515" s="364"/>
      <c r="R515" s="892"/>
      <c r="S515" s="897"/>
      <c r="T515" s="702">
        <f>T502-PPE!$I$15</f>
        <v>102.02059991327963</v>
      </c>
      <c r="U515" s="560">
        <f>U508</f>
        <v>1.7391304347826084</v>
      </c>
      <c r="V515" s="690">
        <f>IF(T515&gt;0,W515*U515," ")</f>
        <v>1086.9565217391303</v>
      </c>
      <c r="W515" s="691">
        <f>IF(T515&gt;0,(VLOOKUP(T515,'Lookup Ready-reckoner'!$B$5:$E$1207,4))," ")</f>
        <v>625</v>
      </c>
      <c r="X515" s="364"/>
      <c r="Y515" s="364"/>
      <c r="Z515" s="364"/>
      <c r="AA515"/>
      <c r="AB515"/>
      <c r="AC515"/>
      <c r="AD515"/>
      <c r="AE515"/>
      <c r="AF515"/>
      <c r="AG515"/>
      <c r="AH515"/>
      <c r="AI515"/>
    </row>
    <row r="516" spans="17:35" ht="12.75" customHeight="1">
      <c r="Q516" s="364"/>
      <c r="R516" s="898"/>
      <c r="S516" s="899"/>
      <c r="T516" s="447"/>
      <c r="U516" s="560"/>
      <c r="V516" s="690" t="str">
        <f>IF(T516&gt;0,W516*U516," ")</f>
        <v xml:space="preserve"> </v>
      </c>
      <c r="W516" s="691" t="str">
        <f>IF(T516&gt;0,(VLOOKUP(T516,'Lookup Ready-reckoner'!$B$5:$E$1007,4))," ")</f>
        <v xml:space="preserve"> </v>
      </c>
      <c r="X516" s="364"/>
      <c r="Y516" s="364"/>
      <c r="Z516" s="364"/>
      <c r="AA516"/>
      <c r="AB516"/>
      <c r="AC516"/>
      <c r="AD516"/>
      <c r="AE516"/>
      <c r="AF516"/>
      <c r="AG516"/>
      <c r="AH516"/>
      <c r="AI516"/>
    </row>
    <row r="517" spans="17:35" ht="12.75" customHeight="1" thickBot="1">
      <c r="Q517" s="364"/>
      <c r="R517" s="692" t="s">
        <v>839</v>
      </c>
      <c r="S517" s="693"/>
      <c r="T517" s="693"/>
      <c r="U517" s="703">
        <f>IF(T515&gt;0,(VLOOKUP(V517,'Lookup Ready-reckoner'!$L$5:$M$1207,2))," ")</f>
        <v>95.3</v>
      </c>
      <c r="V517" s="695">
        <f>IF(U515&gt;0,(SUM(V515:V516))," ")</f>
        <v>1086.9565217391303</v>
      </c>
      <c r="W517" s="696"/>
      <c r="X517" s="364"/>
      <c r="Y517" s="364"/>
      <c r="Z517" s="364"/>
      <c r="AA517"/>
      <c r="AB517"/>
      <c r="AC517"/>
      <c r="AD517"/>
      <c r="AE517"/>
      <c r="AF517"/>
      <c r="AG517"/>
      <c r="AH517"/>
      <c r="AI517"/>
    </row>
    <row r="518" spans="17:35" ht="12.75" customHeight="1" thickBot="1">
      <c r="Q518" s="364"/>
      <c r="R518" s="892"/>
      <c r="S518" s="893"/>
      <c r="T518" s="893"/>
      <c r="U518" s="893"/>
      <c r="V518" s="893"/>
      <c r="W518" s="894"/>
      <c r="X518" s="364"/>
      <c r="Y518" s="364"/>
      <c r="Z518" s="364"/>
      <c r="AA518"/>
      <c r="AB518"/>
      <c r="AC518"/>
      <c r="AD518"/>
      <c r="AE518"/>
      <c r="AF518"/>
      <c r="AG518"/>
      <c r="AH518"/>
      <c r="AI518"/>
    </row>
    <row r="519" spans="17:35" ht="12.75" customHeight="1">
      <c r="Q519" s="364"/>
      <c r="R519" s="895" t="s">
        <v>886</v>
      </c>
      <c r="S519" s="896"/>
      <c r="T519" s="900" t="s">
        <v>835</v>
      </c>
      <c r="U519" s="900" t="s">
        <v>836</v>
      </c>
      <c r="V519" s="900" t="s">
        <v>837</v>
      </c>
      <c r="W519" s="902" t="s">
        <v>838</v>
      </c>
      <c r="X519" s="364"/>
      <c r="Y519" s="364"/>
      <c r="Z519" s="364"/>
      <c r="AA519"/>
      <c r="AB519"/>
      <c r="AC519"/>
      <c r="AD519"/>
      <c r="AE519"/>
      <c r="AF519"/>
      <c r="AG519"/>
      <c r="AH519"/>
      <c r="AI519"/>
    </row>
    <row r="520" spans="17:35" ht="12.75" customHeight="1">
      <c r="Q520" s="364"/>
      <c r="R520" s="892"/>
      <c r="S520" s="897"/>
      <c r="T520" s="901"/>
      <c r="U520" s="901"/>
      <c r="V520" s="901"/>
      <c r="W520" s="903"/>
      <c r="X520" s="364"/>
      <c r="Y520" s="364"/>
      <c r="Z520" s="364"/>
      <c r="AA520"/>
      <c r="AB520"/>
      <c r="AC520"/>
      <c r="AD520"/>
      <c r="AE520"/>
      <c r="AF520"/>
      <c r="AG520"/>
      <c r="AH520"/>
      <c r="AI520"/>
    </row>
    <row r="521" spans="17:35" ht="12.75" customHeight="1">
      <c r="Q521" s="364"/>
      <c r="R521" s="892"/>
      <c r="S521" s="897"/>
      <c r="T521" s="702">
        <f>T508-PPE!$I$15</f>
        <v>97.92586655636687</v>
      </c>
      <c r="U521" s="560">
        <f>U515</f>
        <v>1.7391304347826084</v>
      </c>
      <c r="V521" s="690">
        <f>IF(T521&gt;0,W521*U521," ")</f>
        <v>426.08695652173907</v>
      </c>
      <c r="W521" s="691">
        <f>IF(T521&gt;0,(VLOOKUP(T521,'Lookup Ready-reckoner'!$B$5:$E$1207,4))," ")</f>
        <v>245</v>
      </c>
      <c r="X521" s="364"/>
      <c r="Y521" s="364"/>
      <c r="Z521" s="364"/>
      <c r="AA521"/>
      <c r="AB521"/>
      <c r="AC521"/>
      <c r="AD521"/>
      <c r="AE521"/>
      <c r="AF521"/>
      <c r="AG521"/>
      <c r="AH521"/>
      <c r="AI521"/>
    </row>
    <row r="522" spans="17:35" ht="12.75" customHeight="1">
      <c r="Q522" s="364"/>
      <c r="R522" s="898"/>
      <c r="S522" s="899"/>
      <c r="T522" s="447"/>
      <c r="U522" s="560"/>
      <c r="V522" s="690" t="str">
        <f>IF(T522&gt;0,W522*U522," ")</f>
        <v xml:space="preserve"> </v>
      </c>
      <c r="W522" s="691" t="str">
        <f>IF(T522&gt;0,(VLOOKUP(T522,'Lookup Ready-reckoner'!$B$5:$E$1007,4))," ")</f>
        <v xml:space="preserve"> </v>
      </c>
      <c r="X522" s="364"/>
      <c r="Y522" s="364"/>
      <c r="Z522" s="364"/>
      <c r="AA522"/>
      <c r="AB522"/>
      <c r="AC522"/>
      <c r="AD522"/>
      <c r="AE522"/>
      <c r="AF522"/>
      <c r="AG522"/>
      <c r="AH522"/>
      <c r="AI522"/>
    </row>
    <row r="523" spans="17:35" ht="12.75" customHeight="1" thickBot="1">
      <c r="Q523" s="364"/>
      <c r="R523" s="692" t="s">
        <v>839</v>
      </c>
      <c r="S523" s="693"/>
      <c r="T523" s="693"/>
      <c r="U523" s="703">
        <f>IF(T521&gt;0,(VLOOKUP(V523,'Lookup Ready-reckoner'!$L$5:$M$1207,2))," ")</f>
        <v>91.25</v>
      </c>
      <c r="V523" s="695">
        <f>IF(U521&gt;0,(SUM(V521:V522))," ")</f>
        <v>426.08695652173907</v>
      </c>
      <c r="W523" s="696"/>
      <c r="X523" s="364"/>
      <c r="Y523" s="364"/>
      <c r="Z523" s="364"/>
      <c r="AA523"/>
      <c r="AB523"/>
      <c r="AC523"/>
      <c r="AD523"/>
      <c r="AE523"/>
      <c r="AF523"/>
      <c r="AG523"/>
      <c r="AH523"/>
      <c r="AI523"/>
    </row>
    <row r="524" spans="17:35" ht="12.75" customHeight="1">
      <c r="Q524" s="364"/>
      <c r="R524" s="363"/>
      <c r="S524" s="363"/>
      <c r="T524" s="363"/>
      <c r="U524" s="363"/>
      <c r="V524" s="363"/>
      <c r="W524" s="363"/>
      <c r="X524" s="364"/>
      <c r="Y524" s="364"/>
      <c r="Z524" s="364"/>
      <c r="AA524"/>
      <c r="AB524"/>
      <c r="AC524"/>
      <c r="AD524"/>
      <c r="AE524"/>
      <c r="AF524"/>
      <c r="AG524"/>
      <c r="AH524"/>
      <c r="AI524"/>
    </row>
    <row r="525" spans="17:35" ht="12.75" customHeight="1">
      <c r="Q525" s="364"/>
      <c r="R525" s="909" t="str">
        <f>R406</f>
        <v xml:space="preserve">Hilti TE MD20 </v>
      </c>
      <c r="S525" s="909"/>
      <c r="T525" s="909"/>
      <c r="U525" s="909"/>
      <c r="V525" s="909"/>
      <c r="W525" s="909"/>
      <c r="X525" s="364"/>
      <c r="Y525" s="364"/>
      <c r="Z525" s="364"/>
      <c r="AA525"/>
      <c r="AB525"/>
      <c r="AC525"/>
      <c r="AD525"/>
      <c r="AE525"/>
      <c r="AF525"/>
      <c r="AG525"/>
      <c r="AH525"/>
      <c r="AI525"/>
    </row>
    <row r="526" spans="17:35" ht="12.75" customHeight="1" thickBot="1">
      <c r="Q526" s="364"/>
      <c r="R526" s="910" t="s">
        <v>205</v>
      </c>
      <c r="S526" s="911"/>
      <c r="T526" s="911"/>
      <c r="U526" s="911"/>
      <c r="V526" s="911"/>
      <c r="W526" s="912"/>
      <c r="X526" s="364"/>
      <c r="Y526" s="364"/>
      <c r="Z526" s="364"/>
      <c r="AA526"/>
      <c r="AB526"/>
      <c r="AC526"/>
      <c r="AD526"/>
      <c r="AE526"/>
      <c r="AF526"/>
      <c r="AG526"/>
      <c r="AH526"/>
      <c r="AI526"/>
    </row>
    <row r="527" spans="17:35" ht="12.75" customHeight="1" thickBot="1">
      <c r="Q527" s="364"/>
      <c r="R527" s="686" t="s">
        <v>59</v>
      </c>
      <c r="S527" s="577"/>
      <c r="T527" s="687"/>
      <c r="U527" s="687"/>
      <c r="V527" s="687"/>
      <c r="W527" s="688"/>
      <c r="X527" s="364"/>
      <c r="Y527" s="364"/>
      <c r="Z527" s="364"/>
      <c r="AA527"/>
      <c r="AB527"/>
      <c r="AC527"/>
      <c r="AD527"/>
      <c r="AE527"/>
      <c r="AF527"/>
      <c r="AG527"/>
      <c r="AH527"/>
      <c r="AI527"/>
    </row>
    <row r="528" spans="17:35" ht="12.75" customHeight="1">
      <c r="Q528" s="364"/>
      <c r="R528" s="895" t="s">
        <v>845</v>
      </c>
      <c r="S528" s="896"/>
      <c r="T528" s="900" t="s">
        <v>835</v>
      </c>
      <c r="U528" s="900" t="s">
        <v>836</v>
      </c>
      <c r="V528" s="900" t="s">
        <v>837</v>
      </c>
      <c r="W528" s="902" t="s">
        <v>838</v>
      </c>
      <c r="X528" s="364"/>
      <c r="Y528" s="364"/>
      <c r="Z528" s="364"/>
      <c r="AA528"/>
      <c r="AB528"/>
      <c r="AC528"/>
      <c r="AD528"/>
      <c r="AE528"/>
      <c r="AF528"/>
      <c r="AG528"/>
      <c r="AH528"/>
      <c r="AI528"/>
    </row>
    <row r="529" spans="17:35" ht="12.75" customHeight="1">
      <c r="Q529" s="364"/>
      <c r="R529" s="892"/>
      <c r="S529" s="897"/>
      <c r="T529" s="904"/>
      <c r="U529" s="904"/>
      <c r="V529" s="904"/>
      <c r="W529" s="905"/>
      <c r="X529" s="364"/>
      <c r="Y529" s="364"/>
      <c r="Z529" s="364"/>
      <c r="AA529"/>
      <c r="AB529"/>
      <c r="AC529"/>
      <c r="AD529"/>
      <c r="AE529"/>
      <c r="AF529"/>
      <c r="AG529"/>
      <c r="AH529"/>
      <c r="AI529"/>
    </row>
    <row r="530" spans="17:35" ht="12.75" customHeight="1">
      <c r="Q530" s="364"/>
      <c r="R530" s="892"/>
      <c r="S530" s="897"/>
      <c r="T530" s="901"/>
      <c r="U530" s="901"/>
      <c r="V530" s="901"/>
      <c r="W530" s="903"/>
      <c r="X530" s="364"/>
      <c r="Y530" s="364"/>
      <c r="Z530" s="364"/>
      <c r="AA530"/>
      <c r="AB530"/>
      <c r="AC530"/>
      <c r="AD530"/>
      <c r="AE530"/>
      <c r="AF530"/>
      <c r="AG530"/>
      <c r="AH530"/>
      <c r="AI530"/>
    </row>
    <row r="531" spans="17:35" ht="12.75" customHeight="1">
      <c r="Q531" s="364"/>
      <c r="R531" s="892"/>
      <c r="S531" s="897"/>
      <c r="T531" s="704">
        <f>U76</f>
        <v>108.02059991327964</v>
      </c>
      <c r="U531" s="560">
        <f>U62</f>
        <v>2.6666666666666665</v>
      </c>
      <c r="V531" s="690">
        <f>IF(T531&gt;0,W531*U531," ")</f>
        <v>6666.6666666666661</v>
      </c>
      <c r="W531" s="691">
        <f>IF(T531&gt;0,(VLOOKUP(T531,'Lookup Ready-reckoner'!$B$5:$E$1207,4))," ")</f>
        <v>2500</v>
      </c>
      <c r="X531" s="364"/>
      <c r="Y531" s="364"/>
      <c r="Z531" s="364"/>
      <c r="AA531"/>
      <c r="AB531"/>
      <c r="AC531"/>
      <c r="AD531"/>
      <c r="AE531"/>
      <c r="AF531"/>
      <c r="AG531"/>
      <c r="AH531"/>
      <c r="AI531"/>
    </row>
    <row r="532" spans="17:35" ht="12.75" customHeight="1">
      <c r="Q532" s="364"/>
      <c r="R532" s="898"/>
      <c r="S532" s="899"/>
      <c r="T532" s="447"/>
      <c r="U532" s="560"/>
      <c r="V532" s="690" t="str">
        <f>IF(T532&gt;0,W532*U532," ")</f>
        <v xml:space="preserve"> </v>
      </c>
      <c r="W532" s="691" t="str">
        <f>IF(T532&gt;0,(VLOOKUP(T532,'Lookup Ready-reckoner'!$B$5:$E$1007,4))," ")</f>
        <v xml:space="preserve"> </v>
      </c>
      <c r="X532" s="364"/>
      <c r="Y532" s="364"/>
      <c r="Z532" s="364"/>
      <c r="AA532"/>
      <c r="AB532"/>
      <c r="AC532"/>
      <c r="AD532"/>
      <c r="AE532"/>
      <c r="AF532"/>
      <c r="AG532"/>
      <c r="AH532"/>
      <c r="AI532"/>
    </row>
    <row r="533" spans="17:35" ht="12.75" customHeight="1" thickBot="1">
      <c r="Q533" s="364"/>
      <c r="R533" s="692" t="s">
        <v>839</v>
      </c>
      <c r="S533" s="693"/>
      <c r="T533" s="693"/>
      <c r="U533" s="705">
        <f>IF(T531&gt;0,(VLOOKUP(V533,'Lookup Ready-reckoner'!$L$5:$M$1207,2))," ")</f>
        <v>103.15</v>
      </c>
      <c r="V533" s="695">
        <f>IF(U531&gt;0,(SUM(V531:V532))," ")</f>
        <v>6666.6666666666661</v>
      </c>
      <c r="W533" s="696"/>
      <c r="X533" s="364"/>
      <c r="Y533" s="364"/>
      <c r="Z533" s="364"/>
      <c r="AA533"/>
      <c r="AB533"/>
      <c r="AC533"/>
      <c r="AD533"/>
      <c r="AE533"/>
      <c r="AF533"/>
      <c r="AG533"/>
      <c r="AH533"/>
      <c r="AI533"/>
    </row>
    <row r="534" spans="17:35" ht="12.75" customHeight="1" thickBot="1">
      <c r="Q534" s="364"/>
      <c r="R534" s="906"/>
      <c r="S534" s="907"/>
      <c r="T534" s="907"/>
      <c r="U534" s="907"/>
      <c r="V534" s="907"/>
      <c r="W534" s="908"/>
      <c r="X534" s="364"/>
      <c r="Y534" s="364"/>
      <c r="Z534" s="364"/>
      <c r="AA534"/>
      <c r="AB534"/>
      <c r="AC534"/>
      <c r="AD534"/>
      <c r="AE534"/>
      <c r="AF534"/>
      <c r="AG534"/>
      <c r="AH534"/>
      <c r="AI534"/>
    </row>
    <row r="535" spans="17:35" ht="12.75" customHeight="1">
      <c r="Q535" s="364"/>
      <c r="R535" s="895" t="s">
        <v>886</v>
      </c>
      <c r="S535" s="896"/>
      <c r="T535" s="900" t="s">
        <v>835</v>
      </c>
      <c r="U535" s="900" t="s">
        <v>836</v>
      </c>
      <c r="V535" s="900" t="s">
        <v>837</v>
      </c>
      <c r="W535" s="902" t="s">
        <v>838</v>
      </c>
      <c r="X535" s="364"/>
      <c r="Y535" s="364"/>
      <c r="Z535" s="364"/>
      <c r="AA535"/>
      <c r="AB535"/>
      <c r="AC535"/>
      <c r="AD535"/>
      <c r="AE535"/>
      <c r="AF535"/>
      <c r="AG535"/>
      <c r="AH535"/>
      <c r="AI535"/>
    </row>
    <row r="536" spans="17:35" ht="12.75" customHeight="1">
      <c r="Q536" s="364"/>
      <c r="R536" s="892"/>
      <c r="S536" s="897"/>
      <c r="T536" s="901"/>
      <c r="U536" s="901"/>
      <c r="V536" s="901"/>
      <c r="W536" s="903"/>
      <c r="X536" s="364"/>
      <c r="Y536" s="364"/>
      <c r="Z536" s="364"/>
      <c r="AA536"/>
      <c r="AB536"/>
      <c r="AC536"/>
      <c r="AD536"/>
      <c r="AE536"/>
      <c r="AF536"/>
      <c r="AG536"/>
      <c r="AH536"/>
      <c r="AI536"/>
    </row>
    <row r="537" spans="17:35" ht="12.75" customHeight="1">
      <c r="Q537" s="364"/>
      <c r="R537" s="892"/>
      <c r="S537" s="897"/>
      <c r="T537" s="704">
        <f>T531*(1-0.0178*2)</f>
        <v>104.17506655636689</v>
      </c>
      <c r="U537" s="560">
        <f>U531</f>
        <v>2.6666666666666665</v>
      </c>
      <c r="V537" s="690">
        <f>IF(T537&gt;0,W537*U537," ")</f>
        <v>2766.6666666666665</v>
      </c>
      <c r="W537" s="691">
        <f>IF(T537&gt;0,(VLOOKUP(T537,'Lookup Ready-reckoner'!$B$5:$E$1207,4))," ")</f>
        <v>1037.5</v>
      </c>
      <c r="X537" s="364"/>
      <c r="Y537" s="364"/>
      <c r="Z537" s="364"/>
      <c r="AA537"/>
      <c r="AB537"/>
      <c r="AC537"/>
      <c r="AD537"/>
      <c r="AE537"/>
      <c r="AF537"/>
      <c r="AG537"/>
      <c r="AH537"/>
      <c r="AI537"/>
    </row>
    <row r="538" spans="17:35" ht="12.75" customHeight="1">
      <c r="Q538" s="364"/>
      <c r="R538" s="898"/>
      <c r="S538" s="899"/>
      <c r="T538" s="447"/>
      <c r="U538" s="560"/>
      <c r="V538" s="690" t="str">
        <f>IF(T538&gt;0,W538*U538," ")</f>
        <v xml:space="preserve"> </v>
      </c>
      <c r="W538" s="691" t="str">
        <f>IF(T538&gt;0,(VLOOKUP(T538,'Lookup Ready-reckoner'!$B$5:$E$1007,4))," ")</f>
        <v xml:space="preserve"> </v>
      </c>
      <c r="X538" s="364"/>
      <c r="Y538" s="364"/>
      <c r="Z538" s="364"/>
      <c r="AA538"/>
      <c r="AB538"/>
      <c r="AC538"/>
      <c r="AD538"/>
      <c r="AE538"/>
      <c r="AF538"/>
      <c r="AG538"/>
      <c r="AH538"/>
      <c r="AI538"/>
    </row>
    <row r="539" spans="17:35" ht="12.75" customHeight="1" thickBot="1">
      <c r="Q539" s="364"/>
      <c r="R539" s="692" t="s">
        <v>839</v>
      </c>
      <c r="S539" s="693"/>
      <c r="T539" s="693"/>
      <c r="U539" s="705">
        <f>IF(T537&gt;0,(VLOOKUP(V539,'Lookup Ready-reckoner'!$L$5:$M$1207,2))," ")</f>
        <v>99.35</v>
      </c>
      <c r="V539" s="695">
        <f>IF(U537&gt;0,(SUM(V537:V538))," ")</f>
        <v>2766.6666666666665</v>
      </c>
      <c r="W539" s="696"/>
      <c r="X539" s="364"/>
      <c r="Y539" s="364"/>
      <c r="Z539" s="364"/>
      <c r="AA539"/>
      <c r="AB539"/>
      <c r="AC539"/>
      <c r="AD539"/>
      <c r="AE539"/>
      <c r="AF539"/>
      <c r="AG539"/>
      <c r="AH539"/>
      <c r="AI539"/>
    </row>
    <row r="540" spans="17:35" ht="12.75" customHeight="1">
      <c r="Q540" s="364"/>
      <c r="R540" s="697"/>
      <c r="S540" s="687"/>
      <c r="T540" s="687"/>
      <c r="U540" s="372"/>
      <c r="V540" s="374"/>
      <c r="W540" s="688"/>
      <c r="X540" s="364"/>
      <c r="Y540" s="364"/>
      <c r="Z540" s="364"/>
      <c r="AA540"/>
      <c r="AB540"/>
      <c r="AC540"/>
      <c r="AD540"/>
      <c r="AE540"/>
      <c r="AF540"/>
      <c r="AG540"/>
      <c r="AH540"/>
      <c r="AI540"/>
    </row>
    <row r="541" spans="17:35" ht="12.75" customHeight="1" thickBot="1">
      <c r="Q541" s="364"/>
      <c r="R541" s="686" t="s">
        <v>60</v>
      </c>
      <c r="S541" s="577"/>
      <c r="T541" s="577"/>
      <c r="U541" s="577"/>
      <c r="V541" s="577"/>
      <c r="W541" s="698"/>
      <c r="X541" s="364"/>
      <c r="Y541" s="364"/>
      <c r="Z541" s="364"/>
      <c r="AA541"/>
      <c r="AB541"/>
      <c r="AC541"/>
      <c r="AD541"/>
      <c r="AE541"/>
      <c r="AF541"/>
      <c r="AG541"/>
      <c r="AH541"/>
      <c r="AI541"/>
    </row>
    <row r="542" spans="17:35" ht="12.75" customHeight="1">
      <c r="Q542" s="364"/>
      <c r="R542" s="895" t="s">
        <v>845</v>
      </c>
      <c r="S542" s="896"/>
      <c r="T542" s="900" t="s">
        <v>835</v>
      </c>
      <c r="U542" s="900" t="s">
        <v>836</v>
      </c>
      <c r="V542" s="900" t="s">
        <v>837</v>
      </c>
      <c r="W542" s="902" t="s">
        <v>838</v>
      </c>
      <c r="X542" s="364"/>
      <c r="Y542" s="364"/>
      <c r="Z542" s="364"/>
      <c r="AA542"/>
      <c r="AB542"/>
      <c r="AC542"/>
      <c r="AD542"/>
      <c r="AE542"/>
      <c r="AF542"/>
      <c r="AG542"/>
      <c r="AH542"/>
      <c r="AI542"/>
    </row>
    <row r="543" spans="17:35" ht="12.75" customHeight="1">
      <c r="Q543" s="364"/>
      <c r="R543" s="892"/>
      <c r="S543" s="897"/>
      <c r="T543" s="901"/>
      <c r="U543" s="901"/>
      <c r="V543" s="901"/>
      <c r="W543" s="903"/>
      <c r="X543" s="364"/>
      <c r="Y543" s="364"/>
      <c r="Z543" s="364"/>
      <c r="AA543"/>
      <c r="AB543"/>
      <c r="AC543"/>
      <c r="AD543"/>
      <c r="AE543"/>
      <c r="AF543"/>
      <c r="AG543"/>
      <c r="AH543"/>
      <c r="AI543"/>
    </row>
    <row r="544" spans="17:35" ht="12.75" customHeight="1">
      <c r="Q544" s="364"/>
      <c r="R544" s="892"/>
      <c r="S544" s="897"/>
      <c r="T544" s="704">
        <f>T531-PPE!$I$15</f>
        <v>95.020599913279639</v>
      </c>
      <c r="U544" s="560">
        <f>U537</f>
        <v>2.6666666666666665</v>
      </c>
      <c r="V544" s="690">
        <f>IF(T544&gt;0,W544*U544," ")</f>
        <v>333.33333333333331</v>
      </c>
      <c r="W544" s="691">
        <f>IF(T544&gt;0,(VLOOKUP(T544,'Lookup Ready-reckoner'!$B$5:$E$1207,4))," ")</f>
        <v>125</v>
      </c>
      <c r="X544" s="364"/>
      <c r="Y544" s="364"/>
      <c r="Z544" s="364"/>
      <c r="AA544"/>
      <c r="AB544"/>
      <c r="AC544"/>
      <c r="AD544"/>
      <c r="AE544"/>
      <c r="AF544"/>
      <c r="AG544"/>
      <c r="AH544"/>
      <c r="AI544"/>
    </row>
    <row r="545" spans="17:35" ht="12.75" customHeight="1">
      <c r="Q545" s="364"/>
      <c r="R545" s="898"/>
      <c r="S545" s="899"/>
      <c r="T545" s="447"/>
      <c r="U545" s="560"/>
      <c r="V545" s="690" t="str">
        <f>IF(T545&gt;0,W545*U545," ")</f>
        <v xml:space="preserve"> </v>
      </c>
      <c r="W545" s="691" t="str">
        <f>IF(T545&gt;0,(VLOOKUP(T545,'Lookup Ready-reckoner'!$B$5:$E$1007,4))," ")</f>
        <v xml:space="preserve"> </v>
      </c>
      <c r="X545" s="364"/>
      <c r="Y545" s="364"/>
      <c r="Z545" s="364"/>
      <c r="AA545"/>
      <c r="AB545"/>
      <c r="AC545"/>
      <c r="AD545"/>
      <c r="AE545"/>
      <c r="AF545"/>
      <c r="AG545"/>
      <c r="AH545"/>
      <c r="AI545"/>
    </row>
    <row r="546" spans="17:35" ht="12.75" customHeight="1" thickBot="1">
      <c r="Q546" s="364"/>
      <c r="R546" s="692" t="s">
        <v>839</v>
      </c>
      <c r="S546" s="693"/>
      <c r="T546" s="693"/>
      <c r="U546" s="705">
        <f>IF(T544&gt;0,(VLOOKUP(V546,'Lookup Ready-reckoner'!$L$5:$M$1207,2))," ")</f>
        <v>90.15</v>
      </c>
      <c r="V546" s="695">
        <f>IF(U544&gt;0,(SUM(V544:V545))," ")</f>
        <v>333.33333333333331</v>
      </c>
      <c r="W546" s="696"/>
      <c r="X546" s="364"/>
      <c r="Y546" s="364"/>
      <c r="Z546" s="364"/>
      <c r="AA546"/>
      <c r="AB546"/>
      <c r="AC546"/>
      <c r="AD546"/>
      <c r="AE546"/>
      <c r="AF546"/>
      <c r="AG546"/>
      <c r="AH546"/>
      <c r="AI546"/>
    </row>
    <row r="547" spans="17:35" ht="12.75" customHeight="1" thickBot="1">
      <c r="Q547" s="364"/>
      <c r="R547" s="892"/>
      <c r="S547" s="893"/>
      <c r="T547" s="893"/>
      <c r="U547" s="893"/>
      <c r="V547" s="893"/>
      <c r="W547" s="894"/>
      <c r="X547" s="364"/>
      <c r="Y547" s="364"/>
      <c r="Z547" s="364"/>
      <c r="AA547"/>
      <c r="AB547"/>
      <c r="AC547"/>
      <c r="AD547"/>
      <c r="AE547"/>
      <c r="AF547"/>
      <c r="AG547"/>
      <c r="AH547"/>
      <c r="AI547"/>
    </row>
    <row r="548" spans="17:35" ht="12.75" customHeight="1">
      <c r="Q548" s="364"/>
      <c r="R548" s="895" t="s">
        <v>886</v>
      </c>
      <c r="S548" s="896"/>
      <c r="T548" s="900" t="s">
        <v>835</v>
      </c>
      <c r="U548" s="900" t="s">
        <v>836</v>
      </c>
      <c r="V548" s="900" t="s">
        <v>837</v>
      </c>
      <c r="W548" s="902" t="s">
        <v>838</v>
      </c>
      <c r="X548" s="364"/>
      <c r="Y548" s="364"/>
      <c r="Z548" s="364"/>
      <c r="AA548"/>
      <c r="AB548"/>
      <c r="AC548"/>
      <c r="AD548"/>
      <c r="AE548"/>
      <c r="AF548"/>
      <c r="AG548"/>
      <c r="AH548"/>
      <c r="AI548"/>
    </row>
    <row r="549" spans="17:35" ht="12.75" customHeight="1">
      <c r="Q549" s="364"/>
      <c r="R549" s="892"/>
      <c r="S549" s="897"/>
      <c r="T549" s="901"/>
      <c r="U549" s="901"/>
      <c r="V549" s="901"/>
      <c r="W549" s="903"/>
      <c r="X549" s="364"/>
      <c r="Y549" s="364"/>
      <c r="Z549" s="364"/>
      <c r="AA549"/>
      <c r="AB549"/>
      <c r="AC549"/>
      <c r="AD549"/>
      <c r="AE549"/>
      <c r="AF549"/>
      <c r="AG549"/>
      <c r="AH549"/>
      <c r="AI549"/>
    </row>
    <row r="550" spans="17:35" ht="12.75" customHeight="1">
      <c r="Q550" s="364"/>
      <c r="R550" s="892"/>
      <c r="S550" s="897"/>
      <c r="T550" s="704">
        <f>T537-PPE!$I$15</f>
        <v>91.175066556366886</v>
      </c>
      <c r="U550" s="560">
        <f>U544</f>
        <v>2.6666666666666665</v>
      </c>
      <c r="V550" s="690">
        <f>IF(T550&gt;0,W550*U550," ")</f>
        <v>138.33333333333331</v>
      </c>
      <c r="W550" s="691">
        <f>IF(T550&gt;0,(VLOOKUP(T550,'Lookup Ready-reckoner'!$B$5:$E$1207,4))," ")</f>
        <v>51.875</v>
      </c>
      <c r="X550" s="364"/>
      <c r="Y550" s="364"/>
      <c r="Z550" s="364"/>
      <c r="AA550"/>
      <c r="AB550"/>
      <c r="AC550"/>
      <c r="AD550"/>
      <c r="AE550"/>
      <c r="AF550"/>
      <c r="AG550"/>
      <c r="AH550"/>
      <c r="AI550"/>
    </row>
    <row r="551" spans="17:35" ht="12.75" customHeight="1">
      <c r="Q551" s="364"/>
      <c r="R551" s="898"/>
      <c r="S551" s="899"/>
      <c r="T551" s="447"/>
      <c r="U551" s="560"/>
      <c r="V551" s="690" t="str">
        <f>IF(T551&gt;0,W551*U551," ")</f>
        <v xml:space="preserve"> </v>
      </c>
      <c r="W551" s="691" t="str">
        <f>IF(T551&gt;0,(VLOOKUP(T551,'Lookup Ready-reckoner'!$B$5:$E$1007,4))," ")</f>
        <v xml:space="preserve"> </v>
      </c>
      <c r="X551" s="364"/>
      <c r="Y551" s="364"/>
      <c r="Z551" s="364"/>
      <c r="AA551"/>
      <c r="AB551"/>
      <c r="AC551"/>
      <c r="AD551"/>
      <c r="AE551"/>
      <c r="AF551"/>
      <c r="AG551"/>
      <c r="AH551"/>
      <c r="AI551"/>
    </row>
    <row r="552" spans="17:35" ht="12.75" customHeight="1" thickBot="1">
      <c r="Q552" s="364"/>
      <c r="R552" s="692" t="s">
        <v>839</v>
      </c>
      <c r="S552" s="693"/>
      <c r="T552" s="693"/>
      <c r="U552" s="705">
        <f>IF(T550&gt;0,(VLOOKUP(V552,'Lookup Ready-reckoner'!$L$5:$M$1207,2))," ")</f>
        <v>86.35</v>
      </c>
      <c r="V552" s="695">
        <f>IF(U550&gt;0,(SUM(V550:V551))," ")</f>
        <v>138.33333333333331</v>
      </c>
      <c r="W552" s="696"/>
      <c r="X552" s="364"/>
      <c r="Y552" s="364"/>
      <c r="Z552" s="364"/>
      <c r="AA552"/>
      <c r="AB552"/>
      <c r="AC552"/>
      <c r="AD552"/>
      <c r="AE552"/>
      <c r="AF552"/>
      <c r="AG552"/>
      <c r="AH552"/>
      <c r="AI552"/>
    </row>
    <row r="553" spans="17:35" ht="12.75" customHeight="1">
      <c r="Q553" s="364"/>
      <c r="R553" s="364"/>
      <c r="S553" s="364"/>
      <c r="T553" s="364"/>
      <c r="U553" s="364"/>
      <c r="V553" s="364"/>
      <c r="W553" s="364"/>
      <c r="X553" s="364"/>
      <c r="Y553" s="364"/>
      <c r="Z553" s="364"/>
      <c r="AA553"/>
      <c r="AB553"/>
      <c r="AC553"/>
      <c r="AD553"/>
      <c r="AE553"/>
      <c r="AF553"/>
      <c r="AG553"/>
      <c r="AH553"/>
      <c r="AI553"/>
    </row>
    <row r="554" spans="17:35" ht="12.75" customHeight="1">
      <c r="Q554"/>
      <c r="R554"/>
      <c r="S554"/>
      <c r="T554"/>
      <c r="U554"/>
      <c r="V554"/>
      <c r="W554"/>
      <c r="X554"/>
      <c r="Y554"/>
      <c r="Z554"/>
      <c r="AA554"/>
      <c r="AB554"/>
      <c r="AC554"/>
      <c r="AD554"/>
      <c r="AE554"/>
      <c r="AF554"/>
      <c r="AG554"/>
      <c r="AH554"/>
      <c r="AI554"/>
    </row>
    <row r="555" spans="17:35" ht="12.75" customHeight="1">
      <c r="Q555"/>
      <c r="R555"/>
      <c r="S555"/>
      <c r="T555"/>
      <c r="U555"/>
      <c r="V555"/>
      <c r="W555"/>
      <c r="X555"/>
      <c r="Y555"/>
      <c r="Z555"/>
      <c r="AA555"/>
      <c r="AB555"/>
      <c r="AC555"/>
      <c r="AD555"/>
      <c r="AE555"/>
      <c r="AF555"/>
      <c r="AG555"/>
      <c r="AH555"/>
      <c r="AI555"/>
    </row>
    <row r="556" spans="17:35" ht="12.75" customHeight="1">
      <c r="Q556"/>
      <c r="R556"/>
      <c r="S556"/>
      <c r="T556"/>
      <c r="U556"/>
      <c r="V556"/>
      <c r="W556"/>
      <c r="X556"/>
      <c r="Y556"/>
      <c r="Z556"/>
      <c r="AA556"/>
      <c r="AB556"/>
      <c r="AC556"/>
      <c r="AD556"/>
      <c r="AE556"/>
      <c r="AF556"/>
      <c r="AG556"/>
      <c r="AH556"/>
      <c r="AI556"/>
    </row>
    <row r="557" spans="17:35" ht="12.75" customHeight="1">
      <c r="Q557"/>
      <c r="R557"/>
      <c r="S557"/>
      <c r="T557"/>
      <c r="U557"/>
      <c r="V557"/>
      <c r="W557"/>
      <c r="X557"/>
      <c r="Y557"/>
      <c r="Z557"/>
      <c r="AA557"/>
      <c r="AB557"/>
      <c r="AC557"/>
      <c r="AD557"/>
      <c r="AE557"/>
      <c r="AF557"/>
      <c r="AG557"/>
      <c r="AH557"/>
      <c r="AI557"/>
    </row>
    <row r="558" spans="17:35" ht="12.75" customHeight="1">
      <c r="Q558"/>
      <c r="R558"/>
      <c r="S558"/>
      <c r="T558"/>
      <c r="U558"/>
      <c r="V558"/>
      <c r="W558"/>
      <c r="X558"/>
      <c r="Y558"/>
      <c r="Z558"/>
      <c r="AA558"/>
      <c r="AB558"/>
      <c r="AC558"/>
      <c r="AD558"/>
      <c r="AE558"/>
      <c r="AF558"/>
      <c r="AG558"/>
      <c r="AH558"/>
      <c r="AI558"/>
    </row>
    <row r="559" spans="17:35" ht="12.75" customHeight="1">
      <c r="Q559"/>
      <c r="R559"/>
      <c r="S559"/>
      <c r="T559"/>
      <c r="U559"/>
      <c r="V559"/>
      <c r="W559"/>
      <c r="X559"/>
      <c r="Y559"/>
      <c r="Z559"/>
      <c r="AA559"/>
      <c r="AB559"/>
      <c r="AC559"/>
      <c r="AD559"/>
      <c r="AE559"/>
      <c r="AF559"/>
      <c r="AG559"/>
      <c r="AH559"/>
      <c r="AI559"/>
    </row>
    <row r="560" spans="17:35" ht="12.75" customHeight="1">
      <c r="Q560"/>
      <c r="R560"/>
      <c r="S560"/>
      <c r="T560"/>
      <c r="U560"/>
      <c r="V560"/>
      <c r="W560"/>
      <c r="X560"/>
      <c r="Y560"/>
      <c r="Z560"/>
      <c r="AA560"/>
      <c r="AB560"/>
      <c r="AC560"/>
      <c r="AD560"/>
      <c r="AE560"/>
      <c r="AF560"/>
      <c r="AG560"/>
      <c r="AH560"/>
      <c r="AI560"/>
    </row>
    <row r="561" spans="17:35" ht="12.75" customHeight="1">
      <c r="Q561"/>
      <c r="R561"/>
      <c r="S561"/>
      <c r="T561"/>
      <c r="U561"/>
      <c r="V561"/>
      <c r="W561"/>
      <c r="X561"/>
      <c r="Y561"/>
      <c r="Z561"/>
      <c r="AA561"/>
      <c r="AB561"/>
      <c r="AC561"/>
      <c r="AD561"/>
      <c r="AE561"/>
      <c r="AF561"/>
      <c r="AG561"/>
      <c r="AH561"/>
      <c r="AI561"/>
    </row>
    <row r="562" spans="17:35" ht="12.75" customHeight="1">
      <c r="Q562"/>
      <c r="R562"/>
      <c r="S562"/>
      <c r="T562"/>
      <c r="U562"/>
      <c r="V562"/>
      <c r="W562"/>
      <c r="X562"/>
      <c r="Y562"/>
      <c r="Z562"/>
      <c r="AA562"/>
      <c r="AB562"/>
      <c r="AC562"/>
      <c r="AD562"/>
      <c r="AE562"/>
      <c r="AF562"/>
      <c r="AG562"/>
      <c r="AH562"/>
      <c r="AI562"/>
    </row>
    <row r="563" spans="17:35" ht="12.75" customHeight="1">
      <c r="Q563"/>
      <c r="R563"/>
      <c r="S563"/>
      <c r="T563"/>
      <c r="U563"/>
      <c r="V563"/>
      <c r="W563"/>
      <c r="X563"/>
      <c r="Y563"/>
      <c r="Z563"/>
      <c r="AA563"/>
      <c r="AB563"/>
      <c r="AC563"/>
      <c r="AD563"/>
      <c r="AE563"/>
      <c r="AF563"/>
      <c r="AG563"/>
      <c r="AH563"/>
      <c r="AI563"/>
    </row>
    <row r="564" spans="17:35" ht="12.75" customHeight="1">
      <c r="Q564"/>
      <c r="R564"/>
      <c r="S564"/>
      <c r="T564"/>
      <c r="U564"/>
      <c r="V564"/>
      <c r="W564"/>
      <c r="X564"/>
      <c r="Y564"/>
      <c r="Z564"/>
      <c r="AA564"/>
      <c r="AB564"/>
      <c r="AC564"/>
      <c r="AD564"/>
      <c r="AE564"/>
      <c r="AF564"/>
      <c r="AG564"/>
      <c r="AH564"/>
      <c r="AI564"/>
    </row>
    <row r="565" spans="17:35" ht="12.75" customHeight="1">
      <c r="Q565"/>
      <c r="R565"/>
      <c r="S565"/>
      <c r="T565"/>
      <c r="U565"/>
      <c r="V565"/>
      <c r="W565"/>
      <c r="X565"/>
      <c r="Y565"/>
      <c r="Z565"/>
      <c r="AA565"/>
      <c r="AB565"/>
      <c r="AC565"/>
      <c r="AD565"/>
      <c r="AE565"/>
      <c r="AF565"/>
      <c r="AG565"/>
      <c r="AH565"/>
      <c r="AI565"/>
    </row>
    <row r="566" spans="17:35" ht="12.75" customHeight="1">
      <c r="Q566"/>
      <c r="R566"/>
      <c r="S566"/>
      <c r="T566"/>
      <c r="U566"/>
      <c r="V566"/>
      <c r="W566"/>
      <c r="X566"/>
      <c r="Y566"/>
      <c r="Z566"/>
      <c r="AA566"/>
      <c r="AB566"/>
      <c r="AC566"/>
      <c r="AD566"/>
      <c r="AE566"/>
      <c r="AF566"/>
      <c r="AG566"/>
      <c r="AH566"/>
      <c r="AI566"/>
    </row>
    <row r="567" spans="17:35" ht="12.75" customHeight="1">
      <c r="Q567"/>
      <c r="R567"/>
      <c r="S567"/>
      <c r="T567"/>
      <c r="U567"/>
      <c r="V567"/>
      <c r="W567"/>
      <c r="X567"/>
      <c r="Y567"/>
      <c r="Z567"/>
      <c r="AA567"/>
      <c r="AB567"/>
      <c r="AC567"/>
      <c r="AD567"/>
      <c r="AE567"/>
      <c r="AF567"/>
      <c r="AG567"/>
      <c r="AH567"/>
      <c r="AI567"/>
    </row>
    <row r="568" spans="17:35" ht="12.75" customHeight="1">
      <c r="Q568"/>
      <c r="R568"/>
      <c r="S568"/>
      <c r="T568"/>
      <c r="U568"/>
      <c r="V568"/>
      <c r="W568"/>
      <c r="X568"/>
      <c r="Y568"/>
      <c r="Z568"/>
      <c r="AA568"/>
      <c r="AB568"/>
      <c r="AC568"/>
      <c r="AD568"/>
      <c r="AE568"/>
      <c r="AF568"/>
      <c r="AG568"/>
      <c r="AH568"/>
      <c r="AI568"/>
    </row>
    <row r="569" spans="17:35" ht="12.75" customHeight="1">
      <c r="Q569"/>
      <c r="R569"/>
      <c r="S569"/>
      <c r="T569"/>
      <c r="U569"/>
      <c r="V569"/>
      <c r="W569"/>
      <c r="X569"/>
      <c r="Y569"/>
      <c r="Z569"/>
      <c r="AA569"/>
      <c r="AB569"/>
      <c r="AC569"/>
      <c r="AD569"/>
      <c r="AE569"/>
      <c r="AF569"/>
      <c r="AG569"/>
      <c r="AH569"/>
      <c r="AI569"/>
    </row>
    <row r="570" spans="17:35" ht="12.75" customHeight="1">
      <c r="Q570"/>
      <c r="R570"/>
      <c r="S570"/>
      <c r="T570"/>
      <c r="U570"/>
      <c r="V570"/>
      <c r="W570"/>
      <c r="X570"/>
      <c r="Y570"/>
      <c r="Z570"/>
      <c r="AA570"/>
      <c r="AB570"/>
      <c r="AC570"/>
      <c r="AD570"/>
      <c r="AE570"/>
      <c r="AF570"/>
      <c r="AG570"/>
      <c r="AH570"/>
      <c r="AI570"/>
    </row>
    <row r="571" spans="17:35" ht="12.75" customHeight="1">
      <c r="Q571"/>
      <c r="R571"/>
      <c r="S571"/>
      <c r="T571"/>
      <c r="U571"/>
      <c r="V571"/>
      <c r="W571"/>
      <c r="X571"/>
      <c r="Y571"/>
      <c r="Z571"/>
      <c r="AA571"/>
      <c r="AB571"/>
      <c r="AC571"/>
      <c r="AD571"/>
      <c r="AE571"/>
      <c r="AF571"/>
      <c r="AG571"/>
      <c r="AH571"/>
      <c r="AI571"/>
    </row>
    <row r="572" spans="17:35" ht="12.75" customHeight="1">
      <c r="Q572"/>
      <c r="R572"/>
      <c r="S572"/>
      <c r="T572"/>
      <c r="U572"/>
      <c r="V572"/>
      <c r="W572"/>
      <c r="X572"/>
      <c r="Y572"/>
      <c r="Z572"/>
      <c r="AA572"/>
      <c r="AB572"/>
      <c r="AC572"/>
      <c r="AD572"/>
      <c r="AE572"/>
      <c r="AF572"/>
      <c r="AG572"/>
      <c r="AH572"/>
      <c r="AI572"/>
    </row>
    <row r="573" spans="17:35" ht="12.75" customHeight="1">
      <c r="Q573"/>
      <c r="R573"/>
      <c r="S573"/>
      <c r="T573"/>
      <c r="U573"/>
      <c r="V573"/>
      <c r="W573"/>
      <c r="X573"/>
      <c r="Y573"/>
      <c r="Z573"/>
      <c r="AA573"/>
      <c r="AB573"/>
      <c r="AC573"/>
      <c r="AD573"/>
      <c r="AE573"/>
      <c r="AF573"/>
      <c r="AG573"/>
      <c r="AH573"/>
      <c r="AI573"/>
    </row>
    <row r="574" spans="17:35" ht="12.75" customHeight="1">
      <c r="Q574"/>
      <c r="R574"/>
      <c r="S574"/>
      <c r="T574"/>
      <c r="U574"/>
      <c r="V574"/>
      <c r="W574"/>
      <c r="X574"/>
      <c r="Y574"/>
      <c r="Z574"/>
      <c r="AA574"/>
      <c r="AB574"/>
      <c r="AC574"/>
      <c r="AD574"/>
      <c r="AE574"/>
      <c r="AF574"/>
      <c r="AG574"/>
      <c r="AH574"/>
      <c r="AI574"/>
    </row>
    <row r="575" spans="17:35" ht="12.75" customHeight="1">
      <c r="Q575"/>
      <c r="R575"/>
      <c r="S575"/>
      <c r="T575"/>
      <c r="U575"/>
      <c r="V575"/>
      <c r="W575"/>
      <c r="X575"/>
      <c r="Y575"/>
      <c r="Z575"/>
      <c r="AA575"/>
      <c r="AB575"/>
      <c r="AC575"/>
      <c r="AD575"/>
      <c r="AE575"/>
      <c r="AF575"/>
      <c r="AG575"/>
      <c r="AH575"/>
      <c r="AI575"/>
    </row>
    <row r="576" spans="17:35" ht="12.75" customHeight="1">
      <c r="Q576"/>
      <c r="R576"/>
      <c r="S576"/>
      <c r="T576"/>
      <c r="U576"/>
      <c r="V576"/>
      <c r="W576"/>
      <c r="X576"/>
      <c r="Y576"/>
      <c r="Z576"/>
      <c r="AA576"/>
      <c r="AB576"/>
      <c r="AC576"/>
      <c r="AD576"/>
      <c r="AE576"/>
      <c r="AF576"/>
      <c r="AG576"/>
      <c r="AH576"/>
      <c r="AI576"/>
    </row>
    <row r="577" spans="17:35" ht="12.75" customHeight="1">
      <c r="Q577"/>
      <c r="R577"/>
      <c r="S577"/>
      <c r="T577"/>
      <c r="U577"/>
      <c r="V577"/>
      <c r="W577"/>
      <c r="X577"/>
      <c r="Y577"/>
      <c r="Z577"/>
      <c r="AA577"/>
      <c r="AB577"/>
      <c r="AC577"/>
      <c r="AD577"/>
      <c r="AE577"/>
      <c r="AF577"/>
      <c r="AG577"/>
      <c r="AH577"/>
      <c r="AI577"/>
    </row>
    <row r="578" spans="17:35" ht="12.75" customHeight="1">
      <c r="Q578"/>
      <c r="R578"/>
      <c r="S578"/>
      <c r="T578"/>
      <c r="U578"/>
      <c r="V578"/>
      <c r="W578"/>
      <c r="X578"/>
      <c r="Y578"/>
      <c r="Z578"/>
      <c r="AA578"/>
      <c r="AB578"/>
      <c r="AC578"/>
      <c r="AD578"/>
      <c r="AE578"/>
      <c r="AF578"/>
      <c r="AG578"/>
      <c r="AH578"/>
      <c r="AI578"/>
    </row>
    <row r="579" spans="17:35" ht="12.75" customHeight="1">
      <c r="Q579"/>
      <c r="R579"/>
      <c r="S579"/>
      <c r="T579"/>
      <c r="U579"/>
      <c r="V579"/>
      <c r="W579"/>
      <c r="X579"/>
      <c r="Y579"/>
      <c r="Z579"/>
      <c r="AA579"/>
      <c r="AB579"/>
      <c r="AC579"/>
      <c r="AD579"/>
      <c r="AE579"/>
      <c r="AF579"/>
      <c r="AG579"/>
      <c r="AH579"/>
      <c r="AI579"/>
    </row>
    <row r="580" spans="17:35" ht="12.75" customHeight="1">
      <c r="Q580"/>
      <c r="R580"/>
      <c r="S580"/>
      <c r="T580"/>
      <c r="U580"/>
      <c r="V580"/>
      <c r="W580"/>
      <c r="X580"/>
      <c r="Y580"/>
      <c r="Z580"/>
      <c r="AA580"/>
      <c r="AB580"/>
      <c r="AC580"/>
      <c r="AD580"/>
      <c r="AE580"/>
      <c r="AF580"/>
      <c r="AG580"/>
      <c r="AH580"/>
      <c r="AI580"/>
    </row>
    <row r="581" spans="17:35" ht="12.75" customHeight="1">
      <c r="Q581"/>
      <c r="R581"/>
      <c r="S581"/>
      <c r="T581"/>
      <c r="U581"/>
      <c r="V581"/>
      <c r="W581"/>
      <c r="X581"/>
      <c r="Y581"/>
      <c r="Z581"/>
      <c r="AA581"/>
      <c r="AB581"/>
      <c r="AC581"/>
      <c r="AD581"/>
      <c r="AE581"/>
      <c r="AF581"/>
      <c r="AG581"/>
      <c r="AH581"/>
      <c r="AI581"/>
    </row>
    <row r="582" spans="17:35" ht="12.75" customHeight="1">
      <c r="Q582"/>
      <c r="R582"/>
      <c r="S582"/>
      <c r="T582"/>
      <c r="U582"/>
      <c r="V582"/>
      <c r="W582"/>
      <c r="X582"/>
      <c r="Y582"/>
      <c r="Z582"/>
      <c r="AA582"/>
      <c r="AB582"/>
      <c r="AC582"/>
      <c r="AD582"/>
      <c r="AE582"/>
      <c r="AF582"/>
      <c r="AG582"/>
      <c r="AH582"/>
      <c r="AI582"/>
    </row>
    <row r="583" spans="17:35" ht="12.75" customHeight="1">
      <c r="Q583"/>
      <c r="R583"/>
      <c r="S583"/>
      <c r="T583"/>
      <c r="U583"/>
      <c r="V583"/>
      <c r="W583"/>
      <c r="X583"/>
      <c r="Y583"/>
      <c r="Z583"/>
      <c r="AA583"/>
      <c r="AB583"/>
      <c r="AC583"/>
      <c r="AD583"/>
      <c r="AE583"/>
      <c r="AF583"/>
      <c r="AG583"/>
      <c r="AH583"/>
      <c r="AI583"/>
    </row>
    <row r="584" spans="17:35" ht="12.75" customHeight="1">
      <c r="Q584"/>
      <c r="R584"/>
      <c r="S584"/>
      <c r="T584"/>
      <c r="U584"/>
      <c r="V584"/>
      <c r="W584"/>
      <c r="X584"/>
      <c r="Y584"/>
      <c r="Z584"/>
      <c r="AA584"/>
      <c r="AB584"/>
      <c r="AC584"/>
      <c r="AD584"/>
      <c r="AE584"/>
      <c r="AF584"/>
      <c r="AG584"/>
      <c r="AH584"/>
      <c r="AI584"/>
    </row>
    <row r="585" spans="17:35" ht="12.75" customHeight="1">
      <c r="Q585"/>
      <c r="R585"/>
      <c r="S585"/>
      <c r="T585"/>
      <c r="U585"/>
      <c r="V585"/>
      <c r="W585"/>
      <c r="X585"/>
      <c r="Y585"/>
      <c r="Z585"/>
      <c r="AA585"/>
      <c r="AB585"/>
      <c r="AC585"/>
      <c r="AD585"/>
      <c r="AE585"/>
      <c r="AF585"/>
      <c r="AG585"/>
      <c r="AH585"/>
      <c r="AI585"/>
    </row>
    <row r="586" spans="17:35" ht="12.75" customHeight="1">
      <c r="Q586"/>
      <c r="R586"/>
      <c r="S586"/>
      <c r="T586"/>
      <c r="U586"/>
      <c r="V586"/>
      <c r="W586"/>
      <c r="X586"/>
      <c r="Y586"/>
      <c r="Z586"/>
      <c r="AA586"/>
      <c r="AB586"/>
      <c r="AC586"/>
      <c r="AD586"/>
      <c r="AE586"/>
      <c r="AF586"/>
      <c r="AG586"/>
      <c r="AH586"/>
      <c r="AI586"/>
    </row>
    <row r="587" spans="17:35" ht="12.75" customHeight="1">
      <c r="Q587"/>
      <c r="R587"/>
      <c r="S587"/>
      <c r="T587"/>
      <c r="U587"/>
      <c r="V587"/>
      <c r="W587"/>
      <c r="X587"/>
      <c r="Y587"/>
      <c r="Z587"/>
      <c r="AA587"/>
      <c r="AB587"/>
      <c r="AC587"/>
      <c r="AD587"/>
      <c r="AE587"/>
      <c r="AF587"/>
      <c r="AG587"/>
      <c r="AH587"/>
      <c r="AI587"/>
    </row>
    <row r="588" spans="17:35" ht="12.75" customHeight="1">
      <c r="Q588"/>
      <c r="R588"/>
      <c r="S588"/>
      <c r="T588"/>
      <c r="U588"/>
      <c r="V588"/>
      <c r="W588"/>
      <c r="X588"/>
      <c r="Y588"/>
      <c r="Z588"/>
      <c r="AA588"/>
      <c r="AB588"/>
      <c r="AC588"/>
      <c r="AD588"/>
      <c r="AE588"/>
      <c r="AF588"/>
      <c r="AG588"/>
      <c r="AH588"/>
      <c r="AI588"/>
    </row>
    <row r="589" spans="17:35" ht="12.75" customHeight="1">
      <c r="Q589"/>
      <c r="R589"/>
      <c r="S589"/>
      <c r="T589"/>
      <c r="U589"/>
      <c r="V589"/>
      <c r="W589"/>
      <c r="X589"/>
      <c r="Y589"/>
      <c r="Z589"/>
      <c r="AA589"/>
      <c r="AB589"/>
      <c r="AC589"/>
      <c r="AD589"/>
      <c r="AE589"/>
      <c r="AF589"/>
      <c r="AG589"/>
      <c r="AH589"/>
      <c r="AI589"/>
    </row>
    <row r="590" spans="17:35" ht="12.75" customHeight="1">
      <c r="Q590"/>
      <c r="R590"/>
      <c r="S590"/>
      <c r="T590"/>
      <c r="U590"/>
      <c r="V590"/>
      <c r="W590"/>
      <c r="X590"/>
      <c r="Y590"/>
      <c r="Z590"/>
      <c r="AA590"/>
      <c r="AB590"/>
      <c r="AC590"/>
      <c r="AD590"/>
      <c r="AE590"/>
      <c r="AF590"/>
      <c r="AG590"/>
      <c r="AH590"/>
      <c r="AI590"/>
    </row>
    <row r="591" spans="17:35" ht="12.75" customHeight="1">
      <c r="Q591"/>
      <c r="R591"/>
      <c r="S591"/>
      <c r="T591"/>
      <c r="U591"/>
      <c r="V591"/>
      <c r="W591"/>
      <c r="X591"/>
      <c r="Y591"/>
      <c r="Z591"/>
      <c r="AA591"/>
      <c r="AB591"/>
      <c r="AC591"/>
      <c r="AD591"/>
      <c r="AE591"/>
      <c r="AF591"/>
      <c r="AG591"/>
      <c r="AH591"/>
      <c r="AI591"/>
    </row>
    <row r="592" spans="17:35" ht="12.75" customHeight="1">
      <c r="Q592"/>
      <c r="R592"/>
      <c r="S592"/>
      <c r="T592"/>
      <c r="U592"/>
      <c r="V592"/>
      <c r="W592"/>
      <c r="X592"/>
      <c r="Y592"/>
      <c r="Z592"/>
      <c r="AA592"/>
      <c r="AB592"/>
      <c r="AC592"/>
      <c r="AD592"/>
      <c r="AE592"/>
      <c r="AF592"/>
      <c r="AG592"/>
      <c r="AH592"/>
      <c r="AI592"/>
    </row>
    <row r="593" spans="17:35" ht="12.75" customHeight="1">
      <c r="Q593"/>
      <c r="R593"/>
      <c r="S593"/>
      <c r="T593"/>
      <c r="U593"/>
      <c r="V593"/>
      <c r="W593"/>
      <c r="X593"/>
      <c r="Y593"/>
      <c r="Z593"/>
      <c r="AA593"/>
      <c r="AB593"/>
      <c r="AC593"/>
      <c r="AD593"/>
      <c r="AE593"/>
      <c r="AF593"/>
      <c r="AG593"/>
      <c r="AH593"/>
      <c r="AI593"/>
    </row>
    <row r="594" spans="17:35" ht="12.75" customHeight="1">
      <c r="Q594"/>
      <c r="R594"/>
      <c r="S594"/>
      <c r="T594"/>
      <c r="U594"/>
      <c r="V594"/>
      <c r="W594"/>
      <c r="X594"/>
      <c r="Y594"/>
      <c r="Z594"/>
      <c r="AA594"/>
      <c r="AB594"/>
      <c r="AC594"/>
      <c r="AD594"/>
      <c r="AE594"/>
      <c r="AF594"/>
      <c r="AG594"/>
      <c r="AH594"/>
      <c r="AI594"/>
    </row>
    <row r="595" spans="17:35" ht="12.75" customHeight="1">
      <c r="Q595"/>
      <c r="R595"/>
      <c r="S595"/>
      <c r="T595"/>
      <c r="U595"/>
      <c r="V595"/>
      <c r="W595"/>
      <c r="X595"/>
      <c r="Y595"/>
      <c r="Z595"/>
      <c r="AA595"/>
      <c r="AB595"/>
      <c r="AC595"/>
      <c r="AD595"/>
      <c r="AE595"/>
      <c r="AF595"/>
      <c r="AG595"/>
      <c r="AH595"/>
      <c r="AI595"/>
    </row>
    <row r="596" spans="17:35" ht="12.75" customHeight="1">
      <c r="Q596"/>
      <c r="R596"/>
      <c r="S596"/>
      <c r="T596"/>
      <c r="U596"/>
      <c r="V596"/>
      <c r="W596"/>
      <c r="X596"/>
      <c r="Y596"/>
      <c r="Z596"/>
      <c r="AA596"/>
      <c r="AB596"/>
      <c r="AC596"/>
      <c r="AD596"/>
      <c r="AE596"/>
      <c r="AF596"/>
      <c r="AG596"/>
      <c r="AH596"/>
      <c r="AI596"/>
    </row>
    <row r="597" spans="17:35" ht="12.75" customHeight="1">
      <c r="Q597"/>
      <c r="R597"/>
      <c r="S597"/>
      <c r="T597"/>
      <c r="U597"/>
      <c r="V597"/>
      <c r="W597"/>
      <c r="X597"/>
      <c r="Y597"/>
      <c r="Z597"/>
      <c r="AA597"/>
      <c r="AB597"/>
      <c r="AC597"/>
      <c r="AD597"/>
      <c r="AE597"/>
      <c r="AF597"/>
      <c r="AG597"/>
      <c r="AH597"/>
      <c r="AI597"/>
    </row>
    <row r="598" spans="17:35" ht="12.75" customHeight="1">
      <c r="Q598"/>
      <c r="R598"/>
      <c r="S598"/>
      <c r="T598"/>
      <c r="U598"/>
      <c r="V598"/>
      <c r="W598"/>
      <c r="X598"/>
      <c r="Y598"/>
      <c r="Z598"/>
      <c r="AA598"/>
      <c r="AB598"/>
      <c r="AC598"/>
      <c r="AD598"/>
      <c r="AE598"/>
      <c r="AF598"/>
      <c r="AG598"/>
      <c r="AH598"/>
      <c r="AI598"/>
    </row>
    <row r="599" spans="17:35" ht="12.75" customHeight="1">
      <c r="Q599"/>
      <c r="R599"/>
      <c r="S599"/>
      <c r="T599"/>
      <c r="U599"/>
      <c r="V599"/>
      <c r="W599"/>
      <c r="X599"/>
      <c r="Y599"/>
      <c r="Z599"/>
      <c r="AA599"/>
      <c r="AB599"/>
      <c r="AC599"/>
      <c r="AD599"/>
      <c r="AE599"/>
      <c r="AF599"/>
      <c r="AG599"/>
      <c r="AH599"/>
      <c r="AI599"/>
    </row>
    <row r="600" spans="17:35" ht="12.75" customHeight="1">
      <c r="Q600"/>
      <c r="R600"/>
      <c r="S600"/>
      <c r="T600"/>
      <c r="U600"/>
      <c r="V600"/>
      <c r="W600"/>
      <c r="X600"/>
      <c r="Y600"/>
      <c r="Z600"/>
      <c r="AA600"/>
      <c r="AB600"/>
      <c r="AC600"/>
      <c r="AD600"/>
      <c r="AE600"/>
      <c r="AF600"/>
      <c r="AG600"/>
      <c r="AH600"/>
      <c r="AI600"/>
    </row>
    <row r="601" spans="17:35" ht="12.75" customHeight="1">
      <c r="Q601"/>
      <c r="R601"/>
      <c r="S601"/>
      <c r="T601"/>
      <c r="U601"/>
      <c r="V601"/>
      <c r="W601"/>
      <c r="X601"/>
      <c r="Y601"/>
      <c r="Z601"/>
      <c r="AA601"/>
      <c r="AB601"/>
      <c r="AC601"/>
      <c r="AD601"/>
      <c r="AE601"/>
      <c r="AF601"/>
      <c r="AG601"/>
      <c r="AH601"/>
      <c r="AI601"/>
    </row>
    <row r="602" spans="17:35" ht="12.75" customHeight="1">
      <c r="Q602"/>
      <c r="R602"/>
      <c r="S602"/>
      <c r="T602"/>
      <c r="U602"/>
      <c r="V602"/>
      <c r="W602"/>
      <c r="X602"/>
      <c r="Y602"/>
      <c r="Z602"/>
      <c r="AA602"/>
      <c r="AB602"/>
      <c r="AC602"/>
      <c r="AD602"/>
      <c r="AE602"/>
      <c r="AF602"/>
      <c r="AG602"/>
      <c r="AH602"/>
      <c r="AI602"/>
    </row>
    <row r="603" spans="17:35" ht="12.75" customHeight="1">
      <c r="Q603"/>
      <c r="R603"/>
      <c r="S603"/>
      <c r="T603"/>
      <c r="U603"/>
      <c r="V603"/>
      <c r="W603"/>
      <c r="X603"/>
      <c r="Y603"/>
      <c r="Z603"/>
      <c r="AA603"/>
      <c r="AB603"/>
      <c r="AC603"/>
      <c r="AD603"/>
      <c r="AE603"/>
      <c r="AF603"/>
      <c r="AG603"/>
      <c r="AH603"/>
      <c r="AI603"/>
    </row>
    <row r="604" spans="17:35" ht="12.75" customHeight="1">
      <c r="Q604"/>
      <c r="R604"/>
      <c r="S604"/>
      <c r="T604"/>
      <c r="U604"/>
      <c r="V604"/>
      <c r="W604"/>
      <c r="X604"/>
      <c r="Y604"/>
      <c r="Z604"/>
      <c r="AA604"/>
      <c r="AB604"/>
      <c r="AC604"/>
      <c r="AD604"/>
      <c r="AE604"/>
      <c r="AF604"/>
      <c r="AG604"/>
      <c r="AH604"/>
      <c r="AI604"/>
    </row>
    <row r="605" spans="17:35" ht="12.75" customHeight="1">
      <c r="Q605"/>
      <c r="R605"/>
      <c r="S605"/>
      <c r="T605"/>
      <c r="U605"/>
      <c r="V605"/>
      <c r="W605"/>
      <c r="X605"/>
      <c r="Y605"/>
      <c r="Z605"/>
      <c r="AA605"/>
      <c r="AB605"/>
      <c r="AC605"/>
      <c r="AD605"/>
      <c r="AE605"/>
      <c r="AF605"/>
      <c r="AG605"/>
      <c r="AH605"/>
      <c r="AI605"/>
    </row>
    <row r="606" spans="17:35" ht="12.75" customHeight="1">
      <c r="Q606"/>
      <c r="R606"/>
      <c r="S606"/>
      <c r="T606"/>
      <c r="U606"/>
      <c r="V606"/>
      <c r="W606"/>
      <c r="X606"/>
      <c r="Y606"/>
      <c r="Z606"/>
      <c r="AA606"/>
      <c r="AB606"/>
      <c r="AC606"/>
      <c r="AD606"/>
      <c r="AE606"/>
      <c r="AF606"/>
      <c r="AG606"/>
      <c r="AH606"/>
      <c r="AI606"/>
    </row>
    <row r="607" spans="17:35" ht="12.75" customHeight="1">
      <c r="Q607"/>
      <c r="R607"/>
      <c r="S607"/>
      <c r="T607"/>
      <c r="U607"/>
      <c r="V607"/>
      <c r="W607"/>
      <c r="X607"/>
      <c r="Y607"/>
      <c r="Z607"/>
      <c r="AA607"/>
      <c r="AB607"/>
      <c r="AC607"/>
      <c r="AD607"/>
      <c r="AE607"/>
      <c r="AF607"/>
      <c r="AG607"/>
      <c r="AH607"/>
      <c r="AI607"/>
    </row>
    <row r="608" spans="17:35" ht="12.75" customHeight="1">
      <c r="Q608"/>
      <c r="R608"/>
      <c r="S608"/>
      <c r="T608"/>
      <c r="U608"/>
      <c r="V608"/>
      <c r="W608"/>
      <c r="X608"/>
      <c r="Y608"/>
      <c r="Z608"/>
      <c r="AA608"/>
      <c r="AB608"/>
      <c r="AC608"/>
      <c r="AD608"/>
      <c r="AE608"/>
      <c r="AF608"/>
      <c r="AG608"/>
      <c r="AH608"/>
      <c r="AI608"/>
    </row>
    <row r="609" spans="17:35" ht="12.75" customHeight="1">
      <c r="Q609"/>
      <c r="R609"/>
      <c r="S609"/>
      <c r="T609"/>
      <c r="U609"/>
      <c r="V609"/>
      <c r="W609"/>
      <c r="X609"/>
      <c r="Y609"/>
      <c r="Z609"/>
      <c r="AA609"/>
      <c r="AB609"/>
      <c r="AC609"/>
      <c r="AD609"/>
      <c r="AE609"/>
      <c r="AF609"/>
      <c r="AG609"/>
      <c r="AH609"/>
      <c r="AI609"/>
    </row>
    <row r="610" spans="17:35" ht="12.75" customHeight="1">
      <c r="Q610"/>
      <c r="R610"/>
      <c r="S610"/>
      <c r="T610"/>
      <c r="U610"/>
      <c r="V610"/>
      <c r="W610"/>
      <c r="X610"/>
      <c r="Y610"/>
      <c r="Z610"/>
      <c r="AA610"/>
      <c r="AB610"/>
      <c r="AC610"/>
      <c r="AD610"/>
      <c r="AE610"/>
      <c r="AF610"/>
      <c r="AG610"/>
      <c r="AH610"/>
      <c r="AI610"/>
    </row>
    <row r="611" spans="17:35" ht="12.75" customHeight="1">
      <c r="Q611"/>
      <c r="R611"/>
      <c r="S611"/>
      <c r="T611"/>
      <c r="U611"/>
      <c r="V611"/>
      <c r="W611"/>
      <c r="X611"/>
      <c r="Y611"/>
      <c r="Z611"/>
      <c r="AA611"/>
      <c r="AB611"/>
      <c r="AC611"/>
      <c r="AD611"/>
      <c r="AE611"/>
      <c r="AF611"/>
      <c r="AG611"/>
      <c r="AH611"/>
      <c r="AI611"/>
    </row>
    <row r="612" spans="17:35" ht="12.75" customHeight="1">
      <c r="Q612"/>
      <c r="R612"/>
      <c r="S612"/>
      <c r="T612"/>
      <c r="U612"/>
      <c r="V612"/>
      <c r="W612"/>
      <c r="X612"/>
      <c r="Y612"/>
      <c r="Z612"/>
      <c r="AA612"/>
      <c r="AB612"/>
      <c r="AC612"/>
      <c r="AD612"/>
      <c r="AE612"/>
      <c r="AF612"/>
      <c r="AG612"/>
      <c r="AH612"/>
      <c r="AI612"/>
    </row>
    <row r="613" spans="17:35" ht="12.75" customHeight="1">
      <c r="Q613"/>
      <c r="R613"/>
      <c r="S613"/>
      <c r="T613"/>
      <c r="U613"/>
      <c r="V613"/>
      <c r="W613"/>
      <c r="X613"/>
      <c r="Y613"/>
      <c r="Z613"/>
      <c r="AA613"/>
      <c r="AB613"/>
      <c r="AC613"/>
      <c r="AD613"/>
      <c r="AE613"/>
      <c r="AF613"/>
      <c r="AG613"/>
      <c r="AH613"/>
      <c r="AI613"/>
    </row>
    <row r="614" spans="17:35" ht="12.75" customHeight="1">
      <c r="Q614"/>
      <c r="R614"/>
      <c r="S614"/>
      <c r="T614"/>
      <c r="U614"/>
      <c r="V614"/>
      <c r="W614"/>
      <c r="X614"/>
      <c r="Y614"/>
      <c r="Z614"/>
      <c r="AA614"/>
      <c r="AB614"/>
      <c r="AC614"/>
      <c r="AD614"/>
      <c r="AE614"/>
      <c r="AF614"/>
      <c r="AG614"/>
      <c r="AH614"/>
      <c r="AI614"/>
    </row>
    <row r="615" spans="17:35" ht="12.75" customHeight="1">
      <c r="Q615"/>
      <c r="R615"/>
      <c r="S615"/>
      <c r="T615"/>
      <c r="U615"/>
      <c r="V615"/>
      <c r="W615"/>
      <c r="X615"/>
      <c r="Y615"/>
      <c r="Z615"/>
      <c r="AA615"/>
      <c r="AB615"/>
      <c r="AC615"/>
      <c r="AD615"/>
      <c r="AE615"/>
      <c r="AF615"/>
      <c r="AG615"/>
      <c r="AH615"/>
      <c r="AI615"/>
    </row>
    <row r="616" spans="17:35" ht="12.75" customHeight="1">
      <c r="Q616"/>
      <c r="R616"/>
      <c r="S616"/>
      <c r="T616"/>
      <c r="U616"/>
      <c r="V616"/>
      <c r="W616"/>
      <c r="X616"/>
      <c r="Y616"/>
      <c r="Z616"/>
      <c r="AA616"/>
      <c r="AB616"/>
      <c r="AC616"/>
      <c r="AD616"/>
      <c r="AE616"/>
      <c r="AF616"/>
      <c r="AG616"/>
      <c r="AH616"/>
      <c r="AI616"/>
    </row>
    <row r="617" spans="17:35" ht="12.75" customHeight="1">
      <c r="Q617"/>
      <c r="R617"/>
      <c r="S617"/>
      <c r="T617"/>
      <c r="U617"/>
      <c r="V617"/>
      <c r="W617"/>
      <c r="X617"/>
      <c r="Y617"/>
      <c r="Z617"/>
      <c r="AA617"/>
      <c r="AB617"/>
      <c r="AC617"/>
      <c r="AD617"/>
      <c r="AE617"/>
      <c r="AF617"/>
      <c r="AG617"/>
      <c r="AH617"/>
      <c r="AI617"/>
    </row>
    <row r="618" spans="17:35" ht="12.75" customHeight="1">
      <c r="Q618"/>
      <c r="R618"/>
      <c r="S618"/>
      <c r="T618"/>
      <c r="U618"/>
      <c r="V618"/>
      <c r="W618"/>
      <c r="X618"/>
      <c r="Y618"/>
      <c r="Z618"/>
      <c r="AA618"/>
      <c r="AB618"/>
      <c r="AC618"/>
      <c r="AD618"/>
      <c r="AE618"/>
      <c r="AF618"/>
      <c r="AG618"/>
      <c r="AH618"/>
      <c r="AI618"/>
    </row>
    <row r="619" spans="17:35" ht="12.75" customHeight="1">
      <c r="Q619"/>
      <c r="R619"/>
      <c r="S619"/>
      <c r="T619"/>
      <c r="U619"/>
      <c r="V619"/>
      <c r="W619"/>
      <c r="X619"/>
      <c r="Y619"/>
      <c r="Z619"/>
      <c r="AA619"/>
      <c r="AB619"/>
      <c r="AC619"/>
      <c r="AD619"/>
      <c r="AE619"/>
      <c r="AF619"/>
      <c r="AG619"/>
      <c r="AH619"/>
      <c r="AI619"/>
    </row>
    <row r="620" spans="17:35" ht="12.75" customHeight="1">
      <c r="Q620"/>
      <c r="R620"/>
      <c r="S620"/>
      <c r="T620"/>
      <c r="U620"/>
      <c r="V620"/>
      <c r="W620"/>
      <c r="X620"/>
      <c r="Y620"/>
      <c r="Z620"/>
      <c r="AA620"/>
      <c r="AB620"/>
      <c r="AC620"/>
      <c r="AD620"/>
      <c r="AE620"/>
      <c r="AF620"/>
      <c r="AG620"/>
      <c r="AH620"/>
      <c r="AI620"/>
    </row>
    <row r="621" spans="17:35" ht="12.75" customHeight="1">
      <c r="Q621"/>
      <c r="R621"/>
      <c r="S621"/>
      <c r="T621"/>
      <c r="U621"/>
      <c r="V621"/>
      <c r="W621"/>
      <c r="X621"/>
      <c r="Y621"/>
      <c r="Z621"/>
      <c r="AA621"/>
      <c r="AB621"/>
      <c r="AC621"/>
      <c r="AD621"/>
      <c r="AE621"/>
      <c r="AF621"/>
      <c r="AG621"/>
      <c r="AH621"/>
      <c r="AI621"/>
    </row>
    <row r="622" spans="17:35" ht="12.75" customHeight="1">
      <c r="Q622"/>
      <c r="R622"/>
      <c r="S622"/>
      <c r="T622"/>
      <c r="U622"/>
      <c r="V622"/>
      <c r="W622"/>
      <c r="X622"/>
      <c r="Y622"/>
      <c r="Z622"/>
      <c r="AA622"/>
      <c r="AB622"/>
      <c r="AC622"/>
      <c r="AD622"/>
      <c r="AE622"/>
      <c r="AF622"/>
      <c r="AG622"/>
      <c r="AH622"/>
      <c r="AI622"/>
    </row>
    <row r="623" spans="17:35" ht="12.75" customHeight="1">
      <c r="Q623"/>
      <c r="R623"/>
      <c r="S623"/>
      <c r="T623"/>
      <c r="U623"/>
      <c r="V623"/>
      <c r="W623"/>
      <c r="X623"/>
      <c r="Y623"/>
      <c r="Z623"/>
      <c r="AA623"/>
      <c r="AB623"/>
      <c r="AC623"/>
      <c r="AD623"/>
      <c r="AE623"/>
      <c r="AF623"/>
      <c r="AG623"/>
      <c r="AH623"/>
      <c r="AI623"/>
    </row>
    <row r="624" spans="17:35" ht="12.75" customHeight="1">
      <c r="Q624"/>
      <c r="R624"/>
      <c r="S624"/>
      <c r="T624"/>
      <c r="U624"/>
      <c r="V624"/>
      <c r="W624"/>
      <c r="X624"/>
      <c r="Y624"/>
      <c r="Z624"/>
      <c r="AA624"/>
      <c r="AB624"/>
      <c r="AC624"/>
      <c r="AD624"/>
      <c r="AE624"/>
      <c r="AF624"/>
      <c r="AG624"/>
      <c r="AH624"/>
      <c r="AI624"/>
    </row>
    <row r="625" spans="17:35" ht="12.75" customHeight="1">
      <c r="Q625"/>
      <c r="R625"/>
      <c r="S625"/>
      <c r="T625"/>
      <c r="U625"/>
      <c r="V625"/>
      <c r="W625"/>
      <c r="X625"/>
      <c r="Y625"/>
      <c r="Z625"/>
      <c r="AA625"/>
      <c r="AB625"/>
      <c r="AC625"/>
      <c r="AD625"/>
      <c r="AE625"/>
      <c r="AF625"/>
      <c r="AG625"/>
      <c r="AH625"/>
      <c r="AI625"/>
    </row>
    <row r="626" spans="17:35" ht="12.75" customHeight="1">
      <c r="Q626"/>
      <c r="R626"/>
      <c r="S626"/>
      <c r="T626"/>
      <c r="U626"/>
      <c r="V626"/>
      <c r="W626"/>
      <c r="X626"/>
      <c r="Y626"/>
      <c r="Z626"/>
      <c r="AA626"/>
      <c r="AB626"/>
      <c r="AC626"/>
      <c r="AD626"/>
      <c r="AE626"/>
      <c r="AF626"/>
      <c r="AG626"/>
      <c r="AH626"/>
      <c r="AI626"/>
    </row>
    <row r="627" spans="17:35" ht="12.75" customHeight="1">
      <c r="Q627"/>
      <c r="R627"/>
      <c r="S627"/>
      <c r="T627"/>
      <c r="U627"/>
      <c r="V627"/>
      <c r="W627"/>
      <c r="X627"/>
      <c r="Y627"/>
      <c r="Z627"/>
      <c r="AA627"/>
      <c r="AB627"/>
      <c r="AC627"/>
      <c r="AD627"/>
      <c r="AE627"/>
      <c r="AF627"/>
      <c r="AG627"/>
      <c r="AH627"/>
      <c r="AI627"/>
    </row>
    <row r="628" spans="17:35" ht="12.75" customHeight="1">
      <c r="Q628"/>
      <c r="R628"/>
      <c r="S628"/>
      <c r="T628"/>
      <c r="U628"/>
      <c r="V628"/>
      <c r="W628"/>
      <c r="X628"/>
      <c r="Y628"/>
      <c r="Z628"/>
      <c r="AA628"/>
      <c r="AB628"/>
      <c r="AC628"/>
      <c r="AD628"/>
      <c r="AE628"/>
      <c r="AF628"/>
      <c r="AG628"/>
      <c r="AH628"/>
      <c r="AI628"/>
    </row>
    <row r="629" spans="17:35" ht="12.75" customHeight="1">
      <c r="Q629"/>
      <c r="R629"/>
      <c r="S629"/>
      <c r="T629"/>
      <c r="U629"/>
      <c r="V629"/>
      <c r="W629"/>
      <c r="X629"/>
      <c r="Y629"/>
      <c r="Z629"/>
      <c r="AA629"/>
      <c r="AB629"/>
      <c r="AC629"/>
      <c r="AD629"/>
      <c r="AE629"/>
      <c r="AF629"/>
      <c r="AG629"/>
      <c r="AH629"/>
      <c r="AI629"/>
    </row>
    <row r="630" spans="17:35" ht="12.75" customHeight="1">
      <c r="Q630"/>
      <c r="R630"/>
      <c r="S630"/>
      <c r="T630"/>
      <c r="U630"/>
      <c r="V630"/>
      <c r="W630"/>
      <c r="X630"/>
      <c r="Y630"/>
      <c r="Z630"/>
      <c r="AA630"/>
      <c r="AB630"/>
      <c r="AC630"/>
      <c r="AD630"/>
      <c r="AE630"/>
      <c r="AF630"/>
      <c r="AG630"/>
      <c r="AH630"/>
      <c r="AI630"/>
    </row>
    <row r="631" spans="17:35" ht="12.75" customHeight="1">
      <c r="Q631"/>
      <c r="R631"/>
      <c r="S631"/>
      <c r="T631"/>
      <c r="U631"/>
      <c r="V631"/>
      <c r="W631"/>
      <c r="X631"/>
      <c r="Y631"/>
      <c r="Z631"/>
      <c r="AA631"/>
      <c r="AB631"/>
      <c r="AC631"/>
      <c r="AD631"/>
      <c r="AE631"/>
      <c r="AF631"/>
      <c r="AG631"/>
      <c r="AH631"/>
      <c r="AI631"/>
    </row>
    <row r="632" spans="17:35" ht="12.75" customHeight="1">
      <c r="Q632"/>
      <c r="R632"/>
      <c r="S632"/>
      <c r="T632"/>
      <c r="U632"/>
      <c r="V632"/>
      <c r="W632"/>
      <c r="X632"/>
      <c r="Y632"/>
      <c r="Z632"/>
      <c r="AA632"/>
      <c r="AB632"/>
      <c r="AC632"/>
      <c r="AD632"/>
      <c r="AE632"/>
      <c r="AF632"/>
      <c r="AG632"/>
      <c r="AH632"/>
      <c r="AI632"/>
    </row>
    <row r="633" spans="17:35" ht="12.75" customHeight="1">
      <c r="Q633"/>
      <c r="R633"/>
      <c r="S633"/>
      <c r="T633"/>
      <c r="U633"/>
      <c r="V633"/>
      <c r="W633"/>
      <c r="X633"/>
      <c r="Y633"/>
      <c r="Z633"/>
      <c r="AA633"/>
      <c r="AB633"/>
      <c r="AC633"/>
      <c r="AD633"/>
      <c r="AE633"/>
      <c r="AF633"/>
      <c r="AG633"/>
      <c r="AH633"/>
      <c r="AI633"/>
    </row>
    <row r="634" spans="17:35" ht="12.75" customHeight="1">
      <c r="Q634"/>
      <c r="R634"/>
      <c r="S634"/>
      <c r="T634"/>
      <c r="U634"/>
      <c r="V634"/>
      <c r="W634"/>
      <c r="X634"/>
      <c r="Y634"/>
      <c r="Z634"/>
      <c r="AA634"/>
      <c r="AB634"/>
      <c r="AC634"/>
      <c r="AD634"/>
      <c r="AE634"/>
      <c r="AF634"/>
      <c r="AG634"/>
      <c r="AH634"/>
      <c r="AI634"/>
    </row>
    <row r="635" spans="17:35" ht="12.75" customHeight="1">
      <c r="Q635"/>
      <c r="R635"/>
      <c r="S635"/>
      <c r="T635"/>
      <c r="U635"/>
      <c r="V635"/>
      <c r="W635"/>
      <c r="X635"/>
      <c r="Y635"/>
      <c r="Z635"/>
      <c r="AA635"/>
      <c r="AB635"/>
      <c r="AC635"/>
      <c r="AD635"/>
      <c r="AE635"/>
      <c r="AF635"/>
      <c r="AG635"/>
      <c r="AH635"/>
      <c r="AI635"/>
    </row>
    <row r="636" spans="17:35" ht="12.75" customHeight="1">
      <c r="Q636"/>
      <c r="R636"/>
      <c r="S636"/>
      <c r="T636"/>
      <c r="U636"/>
      <c r="V636"/>
      <c r="W636"/>
      <c r="X636"/>
      <c r="Y636"/>
      <c r="Z636"/>
      <c r="AA636"/>
      <c r="AB636"/>
      <c r="AC636"/>
      <c r="AD636"/>
      <c r="AE636"/>
      <c r="AF636"/>
      <c r="AG636"/>
      <c r="AH636"/>
      <c r="AI636"/>
    </row>
    <row r="637" spans="17:35" ht="12.75" customHeight="1">
      <c r="Q637"/>
      <c r="R637"/>
      <c r="S637"/>
      <c r="T637"/>
      <c r="U637"/>
      <c r="V637"/>
      <c r="W637"/>
      <c r="X637"/>
      <c r="Y637"/>
      <c r="Z637"/>
      <c r="AA637"/>
      <c r="AB637"/>
      <c r="AC637"/>
      <c r="AD637"/>
      <c r="AE637"/>
      <c r="AF637"/>
      <c r="AG637"/>
      <c r="AH637"/>
      <c r="AI637"/>
    </row>
    <row r="638" spans="17:35" ht="12.75" customHeight="1">
      <c r="Q638"/>
      <c r="R638"/>
      <c r="S638"/>
      <c r="T638"/>
      <c r="U638"/>
      <c r="V638"/>
      <c r="W638"/>
      <c r="X638"/>
      <c r="Y638"/>
      <c r="Z638"/>
      <c r="AA638"/>
      <c r="AB638"/>
      <c r="AC638"/>
      <c r="AD638"/>
      <c r="AE638"/>
      <c r="AF638"/>
      <c r="AG638"/>
      <c r="AH638"/>
      <c r="AI638"/>
    </row>
    <row r="639" spans="17:35" ht="12.75" customHeight="1">
      <c r="Q639"/>
      <c r="R639"/>
      <c r="S639"/>
      <c r="T639"/>
      <c r="U639"/>
      <c r="V639"/>
      <c r="W639"/>
      <c r="X639"/>
      <c r="Y639"/>
      <c r="Z639"/>
      <c r="AA639"/>
      <c r="AB639"/>
      <c r="AC639"/>
      <c r="AD639"/>
      <c r="AE639"/>
      <c r="AF639"/>
      <c r="AG639"/>
      <c r="AH639"/>
      <c r="AI639"/>
    </row>
    <row r="640" spans="17:35" ht="12.75" customHeight="1">
      <c r="Q640"/>
      <c r="R640"/>
      <c r="S640"/>
      <c r="T640"/>
      <c r="U640"/>
      <c r="V640"/>
      <c r="W640"/>
      <c r="X640"/>
      <c r="Y640"/>
      <c r="Z640"/>
      <c r="AA640"/>
      <c r="AB640"/>
      <c r="AC640"/>
      <c r="AD640"/>
      <c r="AE640"/>
      <c r="AF640"/>
      <c r="AG640"/>
      <c r="AH640"/>
      <c r="AI640"/>
    </row>
    <row r="641" spans="17:35" ht="12.75" customHeight="1">
      <c r="Q641"/>
      <c r="R641"/>
      <c r="S641"/>
      <c r="T641"/>
      <c r="U641"/>
      <c r="V641"/>
      <c r="W641"/>
      <c r="X641"/>
      <c r="Y641"/>
      <c r="Z641"/>
      <c r="AA641"/>
      <c r="AB641"/>
      <c r="AC641"/>
      <c r="AD641"/>
      <c r="AE641"/>
      <c r="AF641"/>
      <c r="AG641"/>
      <c r="AH641"/>
      <c r="AI641"/>
    </row>
    <row r="642" spans="17:35" ht="12.75" customHeight="1">
      <c r="Q642"/>
      <c r="R642"/>
      <c r="S642"/>
      <c r="T642"/>
      <c r="U642"/>
      <c r="V642"/>
      <c r="W642"/>
      <c r="X642"/>
      <c r="Y642"/>
      <c r="Z642"/>
      <c r="AA642"/>
      <c r="AB642"/>
      <c r="AC642"/>
      <c r="AD642"/>
      <c r="AE642"/>
      <c r="AF642"/>
      <c r="AG642"/>
      <c r="AH642"/>
      <c r="AI642"/>
    </row>
    <row r="643" spans="17:35" ht="12.75" customHeight="1">
      <c r="Q643"/>
      <c r="R643"/>
      <c r="S643"/>
      <c r="T643"/>
      <c r="U643"/>
      <c r="V643"/>
      <c r="W643"/>
      <c r="X643"/>
      <c r="Y643"/>
      <c r="Z643"/>
      <c r="AA643"/>
      <c r="AB643"/>
      <c r="AC643"/>
      <c r="AD643"/>
      <c r="AE643"/>
      <c r="AF643"/>
      <c r="AG643"/>
      <c r="AH643"/>
      <c r="AI643"/>
    </row>
    <row r="644" spans="17:35" ht="12.75" customHeight="1">
      <c r="Q644"/>
      <c r="R644"/>
      <c r="S644"/>
      <c r="T644"/>
      <c r="U644"/>
      <c r="V644"/>
      <c r="W644"/>
      <c r="X644"/>
      <c r="Y644"/>
      <c r="Z644"/>
      <c r="AA644"/>
      <c r="AB644"/>
      <c r="AC644"/>
      <c r="AD644"/>
      <c r="AE644"/>
      <c r="AF644"/>
      <c r="AG644"/>
      <c r="AH644"/>
      <c r="AI644"/>
    </row>
    <row r="645" spans="17:35" ht="12.75" customHeight="1">
      <c r="Q645"/>
      <c r="R645"/>
      <c r="S645"/>
      <c r="T645"/>
      <c r="U645"/>
      <c r="V645"/>
      <c r="W645"/>
      <c r="X645"/>
      <c r="Y645"/>
      <c r="Z645"/>
      <c r="AA645"/>
      <c r="AB645"/>
      <c r="AC645"/>
      <c r="AD645"/>
      <c r="AE645"/>
      <c r="AF645"/>
      <c r="AG645"/>
      <c r="AH645"/>
      <c r="AI645"/>
    </row>
    <row r="646" spans="17:35" ht="12.75" customHeight="1">
      <c r="Q646"/>
      <c r="R646"/>
      <c r="S646"/>
      <c r="T646"/>
      <c r="U646"/>
      <c r="V646"/>
      <c r="W646"/>
      <c r="X646"/>
      <c r="Y646"/>
      <c r="Z646"/>
      <c r="AA646"/>
      <c r="AB646"/>
      <c r="AC646"/>
      <c r="AD646"/>
      <c r="AE646"/>
      <c r="AF646"/>
      <c r="AG646"/>
      <c r="AH646"/>
      <c r="AI646"/>
    </row>
    <row r="647" spans="17:35" ht="12.75" customHeight="1">
      <c r="Q647"/>
      <c r="R647"/>
      <c r="S647"/>
      <c r="T647"/>
      <c r="U647"/>
      <c r="V647"/>
      <c r="W647"/>
      <c r="X647"/>
      <c r="Y647"/>
      <c r="Z647"/>
      <c r="AA647"/>
      <c r="AB647"/>
      <c r="AC647"/>
      <c r="AD647"/>
      <c r="AE647"/>
      <c r="AF647"/>
      <c r="AG647"/>
      <c r="AH647"/>
      <c r="AI647"/>
    </row>
    <row r="648" spans="17:35" ht="12.75" customHeight="1">
      <c r="Q648"/>
      <c r="R648"/>
      <c r="S648"/>
      <c r="T648"/>
      <c r="U648"/>
      <c r="V648"/>
      <c r="W648"/>
      <c r="X648"/>
      <c r="Y648"/>
      <c r="Z648"/>
      <c r="AA648"/>
      <c r="AB648"/>
      <c r="AC648"/>
      <c r="AD648"/>
      <c r="AE648"/>
      <c r="AF648"/>
      <c r="AG648"/>
      <c r="AH648"/>
      <c r="AI648"/>
    </row>
    <row r="649" spans="17:35" ht="12.75" customHeight="1">
      <c r="Q649"/>
      <c r="R649"/>
      <c r="S649"/>
      <c r="T649"/>
      <c r="U649"/>
      <c r="V649"/>
      <c r="W649"/>
      <c r="X649"/>
      <c r="Y649"/>
      <c r="Z649"/>
      <c r="AA649"/>
      <c r="AB649"/>
      <c r="AC649"/>
      <c r="AD649"/>
      <c r="AE649"/>
      <c r="AF649"/>
      <c r="AG649"/>
      <c r="AH649"/>
      <c r="AI649"/>
    </row>
    <row r="650" spans="17:35" ht="12.75" customHeight="1">
      <c r="Q650"/>
      <c r="R650"/>
      <c r="S650"/>
      <c r="T650"/>
      <c r="U650"/>
      <c r="V650"/>
      <c r="W650"/>
      <c r="X650"/>
      <c r="Y650"/>
      <c r="Z650"/>
      <c r="AA650"/>
      <c r="AB650"/>
      <c r="AC650"/>
      <c r="AD650"/>
      <c r="AE650"/>
      <c r="AF650"/>
      <c r="AG650"/>
      <c r="AH650"/>
      <c r="AI650"/>
    </row>
    <row r="651" spans="17:35" ht="12.75" customHeight="1">
      <c r="Q651"/>
      <c r="R651"/>
      <c r="S651"/>
      <c r="T651"/>
      <c r="U651"/>
      <c r="V651"/>
      <c r="W651"/>
      <c r="X651"/>
      <c r="Y651"/>
      <c r="Z651"/>
      <c r="AA651"/>
      <c r="AB651"/>
      <c r="AC651"/>
      <c r="AD651"/>
      <c r="AE651"/>
      <c r="AF651"/>
      <c r="AG651"/>
      <c r="AH651"/>
      <c r="AI651"/>
    </row>
    <row r="652" spans="17:35" ht="12.75" customHeight="1">
      <c r="Q652"/>
      <c r="R652"/>
      <c r="S652"/>
      <c r="T652"/>
      <c r="U652"/>
      <c r="V652"/>
      <c r="W652"/>
      <c r="X652"/>
      <c r="Y652"/>
      <c r="Z652"/>
      <c r="AA652"/>
      <c r="AB652"/>
      <c r="AC652"/>
      <c r="AD652"/>
      <c r="AE652"/>
      <c r="AF652"/>
      <c r="AG652"/>
      <c r="AH652"/>
      <c r="AI652"/>
    </row>
    <row r="653" spans="17:35" ht="12.75" customHeight="1">
      <c r="Q653"/>
      <c r="R653"/>
      <c r="S653"/>
      <c r="T653"/>
      <c r="U653"/>
      <c r="V653"/>
      <c r="W653"/>
      <c r="X653"/>
      <c r="Y653"/>
      <c r="Z653"/>
      <c r="AA653"/>
      <c r="AB653"/>
      <c r="AC653"/>
      <c r="AD653"/>
      <c r="AE653"/>
      <c r="AF653"/>
      <c r="AG653"/>
      <c r="AH653"/>
      <c r="AI653"/>
    </row>
    <row r="654" spans="17:35" ht="12.75" customHeight="1">
      <c r="Q654"/>
      <c r="R654"/>
      <c r="S654"/>
      <c r="T654"/>
      <c r="U654"/>
      <c r="V654"/>
      <c r="W654"/>
      <c r="X654"/>
      <c r="Y654"/>
      <c r="Z654"/>
      <c r="AA654"/>
      <c r="AB654"/>
      <c r="AC654"/>
      <c r="AD654"/>
      <c r="AE654"/>
      <c r="AF654"/>
      <c r="AG654"/>
      <c r="AH654"/>
      <c r="AI654"/>
    </row>
    <row r="655" spans="17:35" ht="12.75" customHeight="1">
      <c r="Q655"/>
      <c r="R655"/>
      <c r="S655"/>
      <c r="T655"/>
      <c r="U655"/>
      <c r="V655"/>
      <c r="W655"/>
      <c r="X655"/>
      <c r="Y655"/>
      <c r="Z655"/>
      <c r="AA655"/>
      <c r="AB655"/>
      <c r="AC655"/>
      <c r="AD655"/>
      <c r="AE655"/>
      <c r="AF655"/>
      <c r="AG655"/>
      <c r="AH655"/>
      <c r="AI655"/>
    </row>
    <row r="656" spans="17:35" ht="12.75" customHeight="1">
      <c r="Q656"/>
      <c r="R656"/>
      <c r="S656"/>
      <c r="T656"/>
      <c r="U656"/>
      <c r="V656"/>
      <c r="W656"/>
      <c r="X656"/>
      <c r="Y656"/>
      <c r="Z656"/>
      <c r="AA656"/>
      <c r="AB656"/>
      <c r="AC656"/>
      <c r="AD656"/>
      <c r="AE656"/>
      <c r="AF656"/>
      <c r="AG656"/>
      <c r="AH656"/>
      <c r="AI656"/>
    </row>
    <row r="657" spans="17:35" ht="12.75" customHeight="1">
      <c r="Q657"/>
      <c r="R657"/>
      <c r="S657"/>
      <c r="T657"/>
      <c r="U657"/>
      <c r="V657"/>
      <c r="W657"/>
      <c r="X657"/>
      <c r="Y657"/>
      <c r="Z657"/>
      <c r="AA657"/>
      <c r="AB657"/>
      <c r="AC657"/>
      <c r="AD657"/>
      <c r="AE657"/>
      <c r="AF657"/>
      <c r="AG657"/>
      <c r="AH657"/>
      <c r="AI657"/>
    </row>
    <row r="658" spans="17:35" ht="12.75" customHeight="1">
      <c r="Q658"/>
      <c r="R658"/>
      <c r="S658"/>
      <c r="T658"/>
      <c r="U658"/>
      <c r="V658"/>
      <c r="W658"/>
      <c r="X658"/>
      <c r="Y658"/>
      <c r="Z658"/>
      <c r="AA658"/>
      <c r="AB658"/>
      <c r="AC658"/>
      <c r="AD658"/>
      <c r="AE658"/>
      <c r="AF658"/>
      <c r="AG658"/>
      <c r="AH658"/>
      <c r="AI658"/>
    </row>
    <row r="659" spans="17:35" ht="12.75" customHeight="1">
      <c r="Q659"/>
      <c r="R659"/>
      <c r="S659"/>
      <c r="T659"/>
      <c r="U659"/>
      <c r="V659"/>
      <c r="W659"/>
      <c r="X659"/>
      <c r="Y659"/>
      <c r="Z659"/>
      <c r="AA659"/>
      <c r="AB659"/>
      <c r="AC659"/>
      <c r="AD659"/>
      <c r="AE659"/>
      <c r="AF659"/>
      <c r="AG659"/>
      <c r="AH659"/>
      <c r="AI659"/>
    </row>
    <row r="660" spans="17:35" ht="12.75" customHeight="1">
      <c r="Q660"/>
      <c r="R660"/>
      <c r="S660"/>
      <c r="T660"/>
      <c r="U660"/>
      <c r="V660"/>
      <c r="W660"/>
      <c r="X660"/>
      <c r="Y660"/>
      <c r="Z660"/>
      <c r="AA660"/>
      <c r="AB660"/>
      <c r="AC660"/>
      <c r="AD660"/>
      <c r="AE660"/>
      <c r="AF660"/>
      <c r="AG660"/>
      <c r="AH660"/>
      <c r="AI660"/>
    </row>
    <row r="661" spans="17:35" ht="12.75" customHeight="1">
      <c r="Q661"/>
      <c r="R661"/>
      <c r="S661"/>
      <c r="T661"/>
      <c r="U661"/>
      <c r="V661"/>
      <c r="W661"/>
      <c r="X661"/>
      <c r="Y661"/>
      <c r="Z661"/>
      <c r="AA661"/>
      <c r="AB661"/>
      <c r="AC661"/>
      <c r="AD661"/>
      <c r="AE661"/>
      <c r="AF661"/>
      <c r="AG661"/>
      <c r="AH661"/>
      <c r="AI661"/>
    </row>
    <row r="662" spans="17:35" ht="12.75" customHeight="1">
      <c r="Q662"/>
      <c r="R662"/>
      <c r="S662"/>
      <c r="T662"/>
      <c r="U662"/>
      <c r="V662"/>
      <c r="W662"/>
      <c r="X662"/>
      <c r="Y662"/>
      <c r="Z662"/>
      <c r="AA662"/>
      <c r="AB662"/>
      <c r="AC662"/>
      <c r="AD662"/>
      <c r="AE662"/>
      <c r="AF662"/>
      <c r="AG662"/>
      <c r="AH662"/>
      <c r="AI662"/>
    </row>
    <row r="663" spans="17:35" ht="12.75" customHeight="1">
      <c r="Q663"/>
      <c r="R663"/>
      <c r="S663"/>
      <c r="T663"/>
      <c r="U663"/>
      <c r="V663"/>
      <c r="W663"/>
      <c r="X663"/>
      <c r="Y663"/>
      <c r="Z663"/>
      <c r="AA663"/>
      <c r="AB663"/>
      <c r="AC663"/>
      <c r="AD663"/>
      <c r="AE663"/>
      <c r="AF663"/>
      <c r="AG663"/>
      <c r="AH663"/>
      <c r="AI663"/>
    </row>
    <row r="664" spans="17:35" ht="12.75" customHeight="1">
      <c r="Q664"/>
      <c r="R664"/>
      <c r="S664"/>
      <c r="T664"/>
      <c r="U664"/>
      <c r="V664"/>
      <c r="W664"/>
      <c r="X664"/>
      <c r="Y664"/>
      <c r="Z664"/>
      <c r="AA664"/>
      <c r="AB664"/>
      <c r="AC664"/>
      <c r="AD664"/>
      <c r="AE664"/>
      <c r="AF664"/>
      <c r="AG664"/>
      <c r="AH664"/>
      <c r="AI664"/>
    </row>
    <row r="665" spans="17:35" ht="12.75" customHeight="1">
      <c r="Q665"/>
      <c r="R665"/>
      <c r="S665"/>
      <c r="T665"/>
      <c r="U665"/>
      <c r="V665"/>
      <c r="W665"/>
      <c r="X665"/>
      <c r="Y665"/>
      <c r="Z665"/>
      <c r="AA665"/>
      <c r="AB665"/>
      <c r="AC665"/>
      <c r="AD665"/>
      <c r="AE665"/>
      <c r="AF665"/>
      <c r="AG665"/>
      <c r="AH665"/>
      <c r="AI665"/>
    </row>
    <row r="666" spans="17:35" ht="12.75" customHeight="1">
      <c r="Q666"/>
      <c r="R666"/>
      <c r="S666"/>
      <c r="T666"/>
      <c r="U666"/>
      <c r="V666"/>
      <c r="W666"/>
      <c r="X666"/>
      <c r="Y666"/>
      <c r="Z666"/>
      <c r="AA666"/>
      <c r="AB666"/>
      <c r="AC666"/>
      <c r="AD666"/>
      <c r="AE666"/>
      <c r="AF666"/>
      <c r="AG666"/>
      <c r="AH666"/>
      <c r="AI666"/>
    </row>
    <row r="667" spans="17:35" ht="12.75" customHeight="1">
      <c r="Q667"/>
      <c r="R667"/>
      <c r="S667"/>
      <c r="T667"/>
      <c r="U667"/>
      <c r="V667"/>
      <c r="W667"/>
      <c r="X667"/>
      <c r="Y667"/>
      <c r="Z667"/>
      <c r="AA667"/>
      <c r="AB667"/>
      <c r="AC667"/>
      <c r="AD667"/>
      <c r="AE667"/>
      <c r="AF667"/>
      <c r="AG667"/>
      <c r="AH667"/>
      <c r="AI667"/>
    </row>
    <row r="668" spans="17:35" ht="12.75" customHeight="1">
      <c r="Q668"/>
      <c r="R668"/>
      <c r="S668"/>
      <c r="T668"/>
      <c r="U668"/>
      <c r="V668"/>
      <c r="W668"/>
      <c r="X668"/>
      <c r="Y668"/>
      <c r="Z668"/>
      <c r="AA668"/>
      <c r="AB668"/>
      <c r="AC668"/>
      <c r="AD668"/>
      <c r="AE668"/>
      <c r="AF668"/>
      <c r="AG668"/>
      <c r="AH668"/>
      <c r="AI668"/>
    </row>
    <row r="669" spans="17:35" ht="12.75" customHeight="1">
      <c r="Q669"/>
      <c r="R669"/>
      <c r="S669"/>
      <c r="T669"/>
      <c r="U669"/>
      <c r="V669"/>
      <c r="W669"/>
      <c r="X669"/>
      <c r="Y669"/>
      <c r="Z669"/>
      <c r="AA669"/>
      <c r="AB669"/>
      <c r="AC669"/>
      <c r="AD669"/>
      <c r="AE669"/>
      <c r="AF669"/>
      <c r="AG669"/>
      <c r="AH669"/>
      <c r="AI669"/>
    </row>
    <row r="670" spans="17:35" ht="12.75" customHeight="1">
      <c r="Q670"/>
      <c r="R670"/>
      <c r="S670"/>
      <c r="T670"/>
      <c r="U670"/>
      <c r="V670"/>
      <c r="W670"/>
      <c r="X670"/>
      <c r="Y670"/>
      <c r="Z670"/>
      <c r="AA670"/>
      <c r="AB670"/>
      <c r="AC670"/>
      <c r="AD670"/>
      <c r="AE670"/>
      <c r="AF670"/>
      <c r="AG670"/>
      <c r="AH670"/>
      <c r="AI670"/>
    </row>
    <row r="671" spans="17:35" ht="12.75" customHeight="1">
      <c r="Q671"/>
      <c r="R671"/>
      <c r="S671"/>
      <c r="T671"/>
      <c r="U671"/>
      <c r="V671"/>
      <c r="W671"/>
      <c r="X671"/>
      <c r="Y671"/>
      <c r="Z671"/>
      <c r="AA671"/>
      <c r="AB671"/>
      <c r="AC671"/>
      <c r="AD671"/>
      <c r="AE671"/>
      <c r="AF671"/>
      <c r="AG671"/>
      <c r="AH671"/>
      <c r="AI671"/>
    </row>
    <row r="672" spans="17:35" ht="12.75" customHeight="1">
      <c r="Q672"/>
      <c r="R672"/>
      <c r="S672"/>
      <c r="T672"/>
      <c r="U672"/>
      <c r="V672"/>
      <c r="W672"/>
      <c r="X672"/>
      <c r="Y672"/>
      <c r="Z672"/>
      <c r="AA672"/>
      <c r="AB672"/>
      <c r="AC672"/>
      <c r="AD672"/>
      <c r="AE672"/>
      <c r="AF672"/>
      <c r="AG672"/>
      <c r="AH672"/>
      <c r="AI672"/>
    </row>
    <row r="673" spans="17:35" ht="12.75" customHeight="1">
      <c r="Q673"/>
      <c r="R673"/>
      <c r="S673"/>
      <c r="T673"/>
      <c r="U673"/>
      <c r="V673"/>
      <c r="W673"/>
      <c r="X673"/>
      <c r="Y673"/>
      <c r="Z673"/>
      <c r="AA673"/>
      <c r="AB673"/>
      <c r="AC673"/>
      <c r="AD673"/>
      <c r="AE673"/>
      <c r="AF673"/>
      <c r="AG673"/>
      <c r="AH673"/>
      <c r="AI673"/>
    </row>
    <row r="674" spans="17:35" ht="12.75" customHeight="1">
      <c r="Q674"/>
      <c r="R674"/>
      <c r="S674"/>
      <c r="T674"/>
      <c r="U674"/>
      <c r="V674"/>
      <c r="W674"/>
      <c r="X674"/>
      <c r="Y674"/>
      <c r="Z674"/>
      <c r="AA674"/>
      <c r="AB674"/>
      <c r="AC674"/>
      <c r="AD674"/>
      <c r="AE674"/>
      <c r="AF674"/>
      <c r="AG674"/>
      <c r="AH674"/>
      <c r="AI674"/>
    </row>
    <row r="675" spans="17:35" ht="12.75" customHeight="1">
      <c r="Q675"/>
      <c r="R675"/>
      <c r="S675"/>
      <c r="T675"/>
      <c r="U675"/>
      <c r="V675"/>
      <c r="W675"/>
      <c r="X675"/>
      <c r="Y675"/>
      <c r="Z675"/>
      <c r="AA675"/>
      <c r="AB675"/>
      <c r="AC675"/>
      <c r="AD675"/>
      <c r="AE675"/>
      <c r="AF675"/>
      <c r="AG675"/>
      <c r="AH675"/>
      <c r="AI675"/>
    </row>
    <row r="676" spans="17:35" ht="12.75" customHeight="1">
      <c r="Q676"/>
      <c r="R676"/>
      <c r="S676"/>
      <c r="T676"/>
      <c r="U676"/>
      <c r="V676"/>
      <c r="W676"/>
      <c r="X676"/>
      <c r="Y676"/>
      <c r="Z676"/>
      <c r="AA676"/>
      <c r="AB676"/>
      <c r="AC676"/>
      <c r="AD676"/>
      <c r="AE676"/>
      <c r="AF676"/>
      <c r="AG676"/>
      <c r="AH676"/>
      <c r="AI676"/>
    </row>
    <row r="677" spans="17:35" ht="12.75" customHeight="1">
      <c r="Q677"/>
      <c r="R677"/>
      <c r="S677"/>
      <c r="T677"/>
      <c r="U677"/>
      <c r="V677"/>
      <c r="W677"/>
      <c r="X677"/>
      <c r="Y677"/>
      <c r="Z677"/>
      <c r="AA677"/>
      <c r="AB677"/>
      <c r="AC677"/>
      <c r="AD677"/>
      <c r="AE677"/>
      <c r="AF677"/>
      <c r="AG677"/>
      <c r="AH677"/>
      <c r="AI677"/>
    </row>
    <row r="678" spans="17:35" ht="12.75" customHeight="1">
      <c r="Q678"/>
      <c r="R678"/>
      <c r="S678"/>
      <c r="T678"/>
      <c r="U678"/>
      <c r="V678"/>
      <c r="W678"/>
      <c r="X678"/>
      <c r="Y678"/>
      <c r="Z678"/>
      <c r="AA678"/>
      <c r="AB678"/>
      <c r="AC678"/>
      <c r="AD678"/>
      <c r="AE678"/>
      <c r="AF678"/>
      <c r="AG678"/>
      <c r="AH678"/>
      <c r="AI678"/>
    </row>
    <row r="679" spans="17:35" ht="12.75" customHeight="1">
      <c r="Q679"/>
      <c r="R679"/>
      <c r="S679"/>
      <c r="T679"/>
      <c r="U679"/>
      <c r="V679"/>
      <c r="W679"/>
      <c r="X679"/>
      <c r="Y679"/>
      <c r="Z679"/>
      <c r="AA679"/>
      <c r="AB679"/>
      <c r="AC679"/>
      <c r="AD679"/>
      <c r="AE679"/>
      <c r="AF679"/>
      <c r="AG679"/>
      <c r="AH679"/>
      <c r="AI679"/>
    </row>
    <row r="680" spans="17:35" ht="12.75" customHeight="1">
      <c r="Q680"/>
      <c r="R680"/>
      <c r="S680"/>
      <c r="T680"/>
      <c r="U680"/>
      <c r="V680"/>
      <c r="W680"/>
      <c r="X680"/>
      <c r="Y680"/>
      <c r="Z680"/>
      <c r="AA680"/>
      <c r="AB680"/>
      <c r="AC680"/>
      <c r="AD680"/>
      <c r="AE680"/>
      <c r="AF680"/>
      <c r="AG680"/>
      <c r="AH680"/>
      <c r="AI680"/>
    </row>
    <row r="681" spans="17:35" ht="12.75" customHeight="1">
      <c r="Q681"/>
      <c r="R681"/>
      <c r="S681"/>
      <c r="T681"/>
      <c r="U681"/>
      <c r="V681"/>
      <c r="W681"/>
      <c r="X681"/>
      <c r="Y681"/>
      <c r="Z681"/>
      <c r="AA681"/>
      <c r="AB681"/>
      <c r="AC681"/>
      <c r="AD681"/>
      <c r="AE681"/>
      <c r="AF681"/>
      <c r="AG681"/>
      <c r="AH681"/>
      <c r="AI681"/>
    </row>
    <row r="682" spans="17:35" ht="12.75" customHeight="1">
      <c r="Q682"/>
      <c r="R682"/>
      <c r="S682"/>
      <c r="T682"/>
      <c r="U682"/>
      <c r="V682"/>
      <c r="W682"/>
      <c r="X682"/>
      <c r="Y682"/>
      <c r="Z682"/>
      <c r="AA682"/>
      <c r="AB682"/>
      <c r="AC682"/>
      <c r="AD682"/>
      <c r="AE682"/>
      <c r="AF682"/>
      <c r="AG682"/>
      <c r="AH682"/>
      <c r="AI682"/>
    </row>
    <row r="683" spans="17:35" ht="12.75" customHeight="1">
      <c r="Q683"/>
      <c r="R683"/>
      <c r="S683"/>
      <c r="T683"/>
      <c r="U683"/>
      <c r="V683"/>
      <c r="W683"/>
      <c r="X683"/>
      <c r="Y683"/>
      <c r="Z683"/>
      <c r="AA683"/>
      <c r="AB683"/>
      <c r="AC683"/>
      <c r="AD683"/>
      <c r="AE683"/>
      <c r="AF683"/>
      <c r="AG683"/>
      <c r="AH683"/>
      <c r="AI683"/>
    </row>
    <row r="684" spans="17:35" ht="12.75" customHeight="1">
      <c r="Q684"/>
      <c r="R684"/>
      <c r="S684"/>
      <c r="T684"/>
      <c r="U684"/>
      <c r="V684"/>
      <c r="W684"/>
      <c r="X684"/>
      <c r="Y684"/>
      <c r="Z684"/>
      <c r="AA684"/>
      <c r="AB684"/>
      <c r="AC684"/>
      <c r="AD684"/>
      <c r="AE684"/>
      <c r="AF684"/>
      <c r="AG684"/>
      <c r="AH684"/>
      <c r="AI684"/>
    </row>
    <row r="685" spans="17:35" ht="12.75" customHeight="1">
      <c r="Q685"/>
      <c r="R685"/>
      <c r="S685"/>
      <c r="T685"/>
      <c r="U685"/>
      <c r="V685"/>
      <c r="W685"/>
      <c r="X685"/>
      <c r="Y685"/>
      <c r="Z685"/>
      <c r="AA685"/>
      <c r="AB685"/>
      <c r="AC685"/>
      <c r="AD685"/>
      <c r="AE685"/>
      <c r="AF685"/>
      <c r="AG685"/>
      <c r="AH685"/>
      <c r="AI685"/>
    </row>
    <row r="686" spans="17:35" ht="12.75" customHeight="1">
      <c r="Q686"/>
      <c r="R686"/>
      <c r="S686"/>
      <c r="T686"/>
      <c r="U686"/>
      <c r="V686"/>
      <c r="W686"/>
      <c r="X686"/>
      <c r="Y686"/>
      <c r="Z686"/>
      <c r="AA686"/>
      <c r="AB686"/>
      <c r="AC686"/>
      <c r="AD686"/>
      <c r="AE686"/>
      <c r="AF686"/>
      <c r="AG686"/>
      <c r="AH686"/>
      <c r="AI686"/>
    </row>
    <row r="687" spans="17:35" ht="12.75" customHeight="1">
      <c r="Q687"/>
      <c r="R687"/>
      <c r="S687"/>
      <c r="T687"/>
      <c r="U687"/>
      <c r="V687"/>
      <c r="W687"/>
      <c r="X687"/>
      <c r="Y687"/>
      <c r="Z687"/>
      <c r="AA687"/>
      <c r="AB687"/>
      <c r="AC687"/>
      <c r="AD687"/>
      <c r="AE687"/>
      <c r="AF687"/>
      <c r="AG687"/>
      <c r="AH687"/>
      <c r="AI687"/>
    </row>
    <row r="688" spans="17:35" ht="12.75" customHeight="1">
      <c r="Q688"/>
      <c r="R688"/>
      <c r="S688"/>
      <c r="T688"/>
      <c r="U688"/>
      <c r="V688"/>
      <c r="W688"/>
      <c r="X688"/>
      <c r="Y688"/>
      <c r="Z688"/>
      <c r="AA688"/>
      <c r="AB688"/>
      <c r="AC688"/>
      <c r="AD688"/>
      <c r="AE688"/>
      <c r="AF688"/>
      <c r="AG688"/>
      <c r="AH688"/>
      <c r="AI688"/>
    </row>
    <row r="689" spans="17:35" ht="12.75" customHeight="1">
      <c r="Q689"/>
      <c r="R689"/>
      <c r="S689"/>
      <c r="T689"/>
      <c r="U689"/>
      <c r="V689"/>
      <c r="W689"/>
      <c r="X689"/>
      <c r="Y689"/>
      <c r="Z689"/>
      <c r="AA689"/>
      <c r="AB689"/>
      <c r="AC689"/>
      <c r="AD689"/>
      <c r="AE689"/>
      <c r="AF689"/>
      <c r="AG689"/>
      <c r="AH689"/>
      <c r="AI689"/>
    </row>
    <row r="690" spans="17:35" ht="12.75" customHeight="1">
      <c r="Q690"/>
      <c r="R690"/>
      <c r="S690"/>
      <c r="T690"/>
      <c r="U690"/>
      <c r="V690"/>
      <c r="W690"/>
      <c r="X690"/>
      <c r="Y690"/>
      <c r="Z690"/>
      <c r="AA690"/>
      <c r="AB690"/>
      <c r="AC690"/>
      <c r="AD690"/>
      <c r="AE690"/>
      <c r="AF690"/>
      <c r="AG690"/>
      <c r="AH690"/>
      <c r="AI690"/>
    </row>
    <row r="691" spans="17:35" ht="12.75" customHeight="1">
      <c r="Q691"/>
      <c r="R691"/>
      <c r="S691"/>
      <c r="T691"/>
      <c r="U691"/>
      <c r="V691"/>
      <c r="W691"/>
      <c r="X691"/>
      <c r="Y691"/>
      <c r="Z691"/>
      <c r="AA691"/>
      <c r="AB691"/>
      <c r="AC691"/>
      <c r="AD691"/>
      <c r="AE691"/>
      <c r="AF691"/>
      <c r="AG691"/>
      <c r="AH691"/>
      <c r="AI691"/>
    </row>
    <row r="692" spans="17:35" ht="12.75" customHeight="1">
      <c r="Q692"/>
      <c r="R692"/>
      <c r="S692"/>
      <c r="T692"/>
      <c r="U692"/>
      <c r="V692"/>
      <c r="W692"/>
      <c r="X692"/>
      <c r="Y692"/>
      <c r="Z692"/>
      <c r="AA692"/>
      <c r="AB692"/>
      <c r="AC692"/>
      <c r="AD692"/>
      <c r="AE692"/>
      <c r="AF692"/>
      <c r="AG692"/>
      <c r="AH692"/>
      <c r="AI692"/>
    </row>
    <row r="693" spans="17:35" ht="12.75" customHeight="1">
      <c r="Q693"/>
      <c r="R693"/>
      <c r="S693"/>
      <c r="T693"/>
      <c r="U693"/>
      <c r="V693"/>
      <c r="W693"/>
      <c r="X693"/>
      <c r="Y693"/>
      <c r="Z693"/>
      <c r="AA693"/>
      <c r="AB693"/>
      <c r="AC693"/>
      <c r="AD693"/>
      <c r="AE693"/>
      <c r="AF693"/>
      <c r="AG693"/>
      <c r="AH693"/>
      <c r="AI693"/>
    </row>
    <row r="694" spans="17:35">
      <c r="Q694"/>
      <c r="R694"/>
      <c r="S694"/>
      <c r="T694"/>
      <c r="U694"/>
      <c r="V694"/>
      <c r="W694"/>
      <c r="X694"/>
      <c r="Y694"/>
      <c r="Z694"/>
      <c r="AA694"/>
      <c r="AB694"/>
      <c r="AC694"/>
      <c r="AD694"/>
      <c r="AE694"/>
      <c r="AF694"/>
      <c r="AG694"/>
      <c r="AH694"/>
      <c r="AI694"/>
    </row>
    <row r="695" spans="17:35">
      <c r="Q695"/>
      <c r="R695"/>
      <c r="S695"/>
      <c r="T695"/>
      <c r="U695"/>
      <c r="V695"/>
      <c r="W695"/>
      <c r="X695"/>
      <c r="Y695"/>
      <c r="Z695"/>
      <c r="AA695"/>
      <c r="AB695"/>
      <c r="AC695"/>
      <c r="AD695"/>
      <c r="AE695"/>
      <c r="AF695"/>
      <c r="AG695"/>
      <c r="AH695"/>
      <c r="AI695"/>
    </row>
    <row r="696" spans="17:35">
      <c r="Q696"/>
      <c r="R696"/>
      <c r="S696"/>
      <c r="T696"/>
      <c r="U696"/>
      <c r="V696"/>
      <c r="W696"/>
      <c r="X696"/>
      <c r="Y696"/>
      <c r="Z696"/>
      <c r="AA696"/>
      <c r="AB696"/>
      <c r="AC696"/>
      <c r="AD696"/>
      <c r="AE696"/>
      <c r="AF696"/>
      <c r="AG696"/>
      <c r="AH696"/>
      <c r="AI696"/>
    </row>
    <row r="697" spans="17:35">
      <c r="Q697"/>
      <c r="R697"/>
      <c r="S697"/>
      <c r="T697"/>
      <c r="U697"/>
      <c r="V697"/>
      <c r="W697"/>
      <c r="X697"/>
      <c r="Y697"/>
      <c r="Z697"/>
      <c r="AA697"/>
      <c r="AB697"/>
      <c r="AC697"/>
      <c r="AD697"/>
      <c r="AE697"/>
      <c r="AF697"/>
      <c r="AG697"/>
      <c r="AH697"/>
      <c r="AI697"/>
    </row>
    <row r="698" spans="17:35">
      <c r="Q698"/>
      <c r="R698"/>
      <c r="S698"/>
      <c r="T698"/>
      <c r="U698"/>
      <c r="V698"/>
      <c r="W698"/>
      <c r="X698"/>
      <c r="Y698"/>
      <c r="Z698"/>
      <c r="AA698"/>
      <c r="AB698"/>
      <c r="AC698"/>
      <c r="AD698"/>
      <c r="AE698"/>
      <c r="AF698"/>
      <c r="AG698"/>
      <c r="AH698"/>
      <c r="AI698"/>
    </row>
    <row r="699" spans="17:35">
      <c r="Q699"/>
      <c r="R699"/>
      <c r="S699"/>
      <c r="T699"/>
      <c r="U699"/>
      <c r="V699"/>
      <c r="W699"/>
      <c r="X699"/>
      <c r="Y699"/>
      <c r="Z699"/>
      <c r="AA699"/>
      <c r="AB699"/>
      <c r="AC699"/>
      <c r="AD699"/>
      <c r="AE699"/>
      <c r="AF699"/>
      <c r="AG699"/>
      <c r="AH699"/>
      <c r="AI699"/>
    </row>
    <row r="700" spans="17:35">
      <c r="Q700"/>
      <c r="R700"/>
      <c r="S700"/>
      <c r="T700"/>
      <c r="U700"/>
      <c r="V700"/>
      <c r="W700"/>
      <c r="X700"/>
      <c r="Y700"/>
      <c r="Z700"/>
      <c r="AA700"/>
      <c r="AB700"/>
      <c r="AC700"/>
      <c r="AD700"/>
      <c r="AE700"/>
      <c r="AF700"/>
      <c r="AG700"/>
      <c r="AH700"/>
      <c r="AI700"/>
    </row>
    <row r="701" spans="17:35">
      <c r="Q701"/>
      <c r="R701"/>
      <c r="S701"/>
      <c r="T701"/>
      <c r="U701"/>
      <c r="V701"/>
      <c r="W701"/>
      <c r="X701"/>
      <c r="Y701"/>
      <c r="Z701"/>
      <c r="AA701"/>
      <c r="AB701"/>
      <c r="AC701"/>
      <c r="AD701"/>
      <c r="AE701"/>
      <c r="AF701"/>
      <c r="AG701"/>
      <c r="AH701"/>
      <c r="AI701"/>
    </row>
    <row r="702" spans="17:35">
      <c r="Q702"/>
      <c r="R702"/>
      <c r="S702"/>
      <c r="T702"/>
      <c r="U702"/>
      <c r="V702"/>
      <c r="W702"/>
      <c r="X702"/>
      <c r="Y702"/>
      <c r="Z702"/>
      <c r="AA702"/>
      <c r="AB702"/>
      <c r="AC702"/>
      <c r="AD702"/>
      <c r="AE702"/>
      <c r="AF702"/>
      <c r="AG702"/>
      <c r="AH702"/>
      <c r="AI702"/>
    </row>
    <row r="703" spans="17:35">
      <c r="Q703"/>
      <c r="R703"/>
      <c r="S703"/>
      <c r="T703"/>
      <c r="U703"/>
      <c r="V703"/>
      <c r="W703"/>
      <c r="X703"/>
      <c r="Y703"/>
      <c r="Z703"/>
      <c r="AA703"/>
      <c r="AB703"/>
      <c r="AC703"/>
      <c r="AD703"/>
      <c r="AE703"/>
      <c r="AF703"/>
      <c r="AG703"/>
      <c r="AH703"/>
      <c r="AI703"/>
    </row>
    <row r="704" spans="17:35">
      <c r="Q704"/>
      <c r="R704"/>
      <c r="S704"/>
      <c r="T704"/>
      <c r="U704"/>
      <c r="V704"/>
      <c r="W704"/>
      <c r="X704"/>
      <c r="Y704"/>
      <c r="Z704"/>
      <c r="AA704"/>
      <c r="AB704"/>
      <c r="AC704"/>
      <c r="AD704"/>
      <c r="AE704"/>
      <c r="AF704"/>
      <c r="AG704"/>
      <c r="AH704"/>
      <c r="AI704"/>
    </row>
    <row r="705" spans="17:35">
      <c r="Q705"/>
      <c r="R705"/>
      <c r="S705"/>
      <c r="T705"/>
      <c r="U705"/>
      <c r="V705"/>
      <c r="W705"/>
      <c r="X705"/>
      <c r="Y705"/>
      <c r="Z705"/>
      <c r="AA705"/>
      <c r="AB705"/>
      <c r="AC705"/>
      <c r="AD705"/>
      <c r="AE705"/>
      <c r="AF705"/>
      <c r="AG705"/>
      <c r="AH705"/>
      <c r="AI705"/>
    </row>
    <row r="706" spans="17:35">
      <c r="Q706"/>
      <c r="R706"/>
      <c r="S706"/>
      <c r="T706"/>
      <c r="U706"/>
      <c r="V706"/>
      <c r="W706"/>
      <c r="X706"/>
      <c r="Y706"/>
      <c r="Z706"/>
      <c r="AA706"/>
      <c r="AB706"/>
      <c r="AC706"/>
      <c r="AD706"/>
      <c r="AE706"/>
      <c r="AF706"/>
      <c r="AG706"/>
      <c r="AH706"/>
      <c r="AI706"/>
    </row>
    <row r="707" spans="17:35">
      <c r="Q707"/>
      <c r="R707"/>
      <c r="S707"/>
      <c r="T707"/>
      <c r="U707"/>
      <c r="V707"/>
      <c r="W707"/>
      <c r="X707"/>
      <c r="Y707"/>
      <c r="Z707"/>
      <c r="AA707"/>
      <c r="AB707"/>
      <c r="AC707"/>
      <c r="AD707"/>
      <c r="AE707"/>
      <c r="AF707"/>
      <c r="AG707"/>
      <c r="AH707"/>
      <c r="AI707"/>
    </row>
    <row r="708" spans="17:35">
      <c r="Q708"/>
      <c r="R708"/>
      <c r="S708"/>
      <c r="T708"/>
      <c r="U708"/>
      <c r="V708"/>
      <c r="W708"/>
      <c r="X708"/>
      <c r="Y708"/>
      <c r="Z708"/>
      <c r="AA708"/>
      <c r="AB708"/>
      <c r="AC708"/>
      <c r="AD708"/>
      <c r="AE708"/>
      <c r="AF708"/>
      <c r="AG708"/>
      <c r="AH708"/>
      <c r="AI708"/>
    </row>
    <row r="709" spans="17:35">
      <c r="Q709"/>
      <c r="R709"/>
      <c r="S709"/>
      <c r="T709"/>
      <c r="U709"/>
      <c r="V709"/>
      <c r="W709"/>
      <c r="X709"/>
      <c r="Y709"/>
      <c r="Z709"/>
      <c r="AA709"/>
      <c r="AB709"/>
      <c r="AC709"/>
      <c r="AD709"/>
      <c r="AE709"/>
      <c r="AF709"/>
      <c r="AG709"/>
      <c r="AH709"/>
      <c r="AI709"/>
    </row>
    <row r="710" spans="17:35">
      <c r="Q710"/>
      <c r="R710"/>
      <c r="S710"/>
      <c r="T710"/>
      <c r="U710"/>
      <c r="V710"/>
      <c r="W710"/>
      <c r="X710"/>
      <c r="Y710"/>
      <c r="Z710"/>
      <c r="AA710"/>
      <c r="AB710"/>
      <c r="AC710"/>
      <c r="AD710"/>
      <c r="AE710"/>
      <c r="AF710"/>
      <c r="AG710"/>
      <c r="AH710"/>
      <c r="AI710"/>
    </row>
    <row r="711" spans="17:35">
      <c r="Q711"/>
      <c r="R711"/>
      <c r="S711"/>
      <c r="T711"/>
      <c r="U711"/>
      <c r="V711"/>
      <c r="W711"/>
      <c r="X711"/>
      <c r="Y711"/>
      <c r="Z711"/>
      <c r="AA711"/>
      <c r="AB711"/>
      <c r="AC711"/>
      <c r="AD711"/>
      <c r="AE711"/>
      <c r="AF711"/>
      <c r="AG711"/>
      <c r="AH711"/>
      <c r="AI711"/>
    </row>
    <row r="712" spans="17:35">
      <c r="Q712"/>
      <c r="R712"/>
      <c r="S712"/>
      <c r="T712"/>
      <c r="U712"/>
      <c r="V712"/>
      <c r="W712"/>
      <c r="X712"/>
      <c r="Y712"/>
      <c r="Z712"/>
      <c r="AA712"/>
      <c r="AB712"/>
      <c r="AC712"/>
      <c r="AD712"/>
      <c r="AE712"/>
      <c r="AF712"/>
      <c r="AG712"/>
      <c r="AH712"/>
      <c r="AI712"/>
    </row>
    <row r="713" spans="17:35">
      <c r="Q713"/>
      <c r="R713"/>
      <c r="S713"/>
      <c r="T713"/>
      <c r="U713"/>
      <c r="V713"/>
      <c r="W713"/>
      <c r="X713"/>
      <c r="Y713"/>
      <c r="Z713"/>
      <c r="AA713"/>
      <c r="AB713"/>
      <c r="AC713"/>
      <c r="AD713"/>
      <c r="AE713"/>
      <c r="AF713"/>
      <c r="AG713"/>
      <c r="AH713"/>
      <c r="AI713"/>
    </row>
    <row r="714" spans="17:35">
      <c r="Q714"/>
      <c r="R714"/>
      <c r="S714"/>
      <c r="T714"/>
      <c r="U714"/>
      <c r="V714"/>
      <c r="W714"/>
      <c r="X714"/>
      <c r="Y714"/>
      <c r="Z714"/>
      <c r="AA714"/>
      <c r="AB714"/>
      <c r="AC714"/>
      <c r="AD714"/>
      <c r="AE714"/>
      <c r="AF714"/>
      <c r="AG714"/>
      <c r="AH714"/>
      <c r="AI714"/>
    </row>
    <row r="715" spans="17:35">
      <c r="Q715"/>
      <c r="R715"/>
      <c r="S715"/>
      <c r="T715"/>
      <c r="U715"/>
      <c r="V715"/>
      <c r="W715"/>
      <c r="X715"/>
      <c r="Y715"/>
      <c r="Z715"/>
      <c r="AA715"/>
      <c r="AB715"/>
      <c r="AC715"/>
      <c r="AD715"/>
      <c r="AE715"/>
      <c r="AF715"/>
      <c r="AG715"/>
      <c r="AH715"/>
      <c r="AI715"/>
    </row>
    <row r="716" spans="17:35">
      <c r="Q716"/>
      <c r="R716"/>
      <c r="S716"/>
      <c r="T716"/>
      <c r="U716"/>
      <c r="V716"/>
      <c r="W716"/>
      <c r="X716"/>
      <c r="Y716"/>
      <c r="Z716"/>
      <c r="AA716"/>
      <c r="AB716"/>
      <c r="AC716"/>
      <c r="AD716"/>
      <c r="AE716"/>
      <c r="AF716"/>
      <c r="AG716"/>
      <c r="AH716"/>
      <c r="AI716"/>
    </row>
    <row r="717" spans="17:35">
      <c r="Q717"/>
      <c r="R717"/>
      <c r="S717"/>
      <c r="T717"/>
      <c r="U717"/>
      <c r="V717"/>
      <c r="W717"/>
      <c r="X717"/>
      <c r="Y717"/>
      <c r="Z717"/>
      <c r="AA717"/>
      <c r="AB717"/>
      <c r="AC717"/>
      <c r="AD717"/>
      <c r="AE717"/>
      <c r="AF717"/>
      <c r="AG717"/>
      <c r="AH717"/>
      <c r="AI717"/>
    </row>
    <row r="718" spans="17:35">
      <c r="Q718"/>
      <c r="R718"/>
      <c r="S718"/>
      <c r="T718"/>
      <c r="U718"/>
      <c r="V718"/>
      <c r="W718"/>
      <c r="X718"/>
      <c r="Y718"/>
      <c r="Z718"/>
      <c r="AA718"/>
      <c r="AB718"/>
      <c r="AC718"/>
      <c r="AD718"/>
      <c r="AE718"/>
      <c r="AF718"/>
      <c r="AG718"/>
      <c r="AH718"/>
      <c r="AI718"/>
    </row>
    <row r="719" spans="17:35">
      <c r="Q719"/>
      <c r="R719"/>
      <c r="S719"/>
      <c r="T719"/>
      <c r="U719"/>
      <c r="V719"/>
      <c r="W719"/>
      <c r="X719"/>
      <c r="Y719"/>
      <c r="Z719"/>
      <c r="AA719"/>
      <c r="AB719"/>
      <c r="AC719"/>
      <c r="AD719"/>
      <c r="AE719"/>
      <c r="AF719"/>
      <c r="AG719"/>
      <c r="AH719"/>
      <c r="AI719"/>
    </row>
    <row r="720" spans="17:35">
      <c r="Q720"/>
      <c r="R720"/>
      <c r="S720"/>
      <c r="T720"/>
      <c r="U720"/>
      <c r="V720"/>
      <c r="W720"/>
      <c r="X720"/>
      <c r="Y720"/>
      <c r="Z720"/>
      <c r="AA720"/>
      <c r="AB720"/>
      <c r="AC720"/>
      <c r="AD720"/>
      <c r="AE720"/>
      <c r="AF720"/>
      <c r="AG720"/>
      <c r="AH720"/>
      <c r="AI720"/>
    </row>
    <row r="721" spans="17:35">
      <c r="Q721"/>
      <c r="R721"/>
      <c r="S721"/>
      <c r="T721"/>
      <c r="U721"/>
      <c r="V721"/>
      <c r="W721"/>
      <c r="X721"/>
      <c r="Y721"/>
      <c r="Z721"/>
      <c r="AA721"/>
      <c r="AB721"/>
      <c r="AC721"/>
      <c r="AD721"/>
      <c r="AE721"/>
      <c r="AF721"/>
      <c r="AG721"/>
      <c r="AH721"/>
      <c r="AI721"/>
    </row>
    <row r="722" spans="17:35">
      <c r="Q722"/>
      <c r="R722"/>
      <c r="S722"/>
      <c r="T722"/>
      <c r="U722"/>
      <c r="V722"/>
      <c r="W722"/>
      <c r="X722"/>
      <c r="Y722"/>
      <c r="Z722"/>
      <c r="AA722"/>
      <c r="AB722"/>
      <c r="AC722"/>
      <c r="AD722"/>
      <c r="AE722"/>
      <c r="AF722"/>
      <c r="AG722"/>
      <c r="AH722"/>
      <c r="AI722"/>
    </row>
    <row r="723" spans="17:35">
      <c r="Q723"/>
      <c r="R723"/>
      <c r="S723"/>
      <c r="T723"/>
      <c r="U723"/>
      <c r="V723"/>
      <c r="W723"/>
      <c r="X723"/>
      <c r="Y723"/>
      <c r="Z723"/>
      <c r="AA723"/>
      <c r="AB723"/>
      <c r="AC723"/>
      <c r="AD723"/>
      <c r="AE723"/>
      <c r="AF723"/>
      <c r="AG723"/>
      <c r="AH723"/>
      <c r="AI723"/>
    </row>
    <row r="724" spans="17:35">
      <c r="Q724"/>
      <c r="R724"/>
      <c r="S724"/>
      <c r="T724"/>
      <c r="U724"/>
      <c r="V724"/>
      <c r="W724"/>
      <c r="X724"/>
      <c r="Y724"/>
      <c r="Z724"/>
      <c r="AA724"/>
      <c r="AB724"/>
      <c r="AC724"/>
      <c r="AD724"/>
      <c r="AE724"/>
      <c r="AF724"/>
      <c r="AG724"/>
      <c r="AH724"/>
      <c r="AI724"/>
    </row>
    <row r="725" spans="17:35">
      <c r="Q725"/>
      <c r="R725"/>
      <c r="S725"/>
      <c r="T725"/>
      <c r="U725"/>
      <c r="V725"/>
      <c r="W725"/>
      <c r="X725"/>
      <c r="Y725"/>
      <c r="Z725"/>
      <c r="AA725"/>
      <c r="AB725"/>
      <c r="AC725"/>
      <c r="AD725"/>
      <c r="AE725"/>
      <c r="AF725"/>
      <c r="AG725"/>
      <c r="AH725"/>
      <c r="AI725"/>
    </row>
    <row r="726" spans="17:35">
      <c r="Q726"/>
      <c r="R726"/>
      <c r="S726"/>
      <c r="T726"/>
      <c r="U726"/>
      <c r="V726"/>
      <c r="W726"/>
      <c r="X726"/>
      <c r="Y726"/>
      <c r="Z726"/>
      <c r="AA726"/>
      <c r="AB726"/>
      <c r="AC726"/>
      <c r="AD726"/>
      <c r="AE726"/>
      <c r="AF726"/>
      <c r="AG726"/>
      <c r="AH726"/>
      <c r="AI726"/>
    </row>
    <row r="727" spans="17:35">
      <c r="Q727"/>
      <c r="R727"/>
      <c r="S727"/>
      <c r="T727"/>
      <c r="U727"/>
      <c r="V727"/>
      <c r="W727"/>
      <c r="X727"/>
      <c r="Y727"/>
      <c r="Z727"/>
      <c r="AA727"/>
      <c r="AB727"/>
      <c r="AC727"/>
      <c r="AD727"/>
      <c r="AE727"/>
      <c r="AF727"/>
      <c r="AG727"/>
      <c r="AH727"/>
      <c r="AI727"/>
    </row>
    <row r="728" spans="17:35">
      <c r="Q728"/>
      <c r="R728"/>
      <c r="S728"/>
      <c r="T728"/>
      <c r="U728"/>
      <c r="V728"/>
      <c r="W728"/>
      <c r="X728"/>
      <c r="Y728"/>
      <c r="Z728"/>
      <c r="AA728"/>
      <c r="AB728"/>
      <c r="AC728"/>
      <c r="AD728"/>
      <c r="AE728"/>
      <c r="AF728"/>
      <c r="AG728"/>
      <c r="AH728"/>
      <c r="AI728"/>
    </row>
    <row r="729" spans="17:35">
      <c r="Q729"/>
      <c r="R729"/>
      <c r="S729"/>
      <c r="T729"/>
      <c r="U729"/>
      <c r="V729"/>
      <c r="W729"/>
      <c r="X729"/>
      <c r="Y729"/>
      <c r="Z729"/>
      <c r="AA729"/>
      <c r="AB729"/>
      <c r="AC729"/>
      <c r="AD729"/>
      <c r="AE729"/>
      <c r="AF729"/>
      <c r="AG729"/>
      <c r="AH729"/>
      <c r="AI729"/>
    </row>
    <row r="730" spans="17:35">
      <c r="Q730"/>
      <c r="R730"/>
      <c r="S730"/>
      <c r="T730"/>
      <c r="U730"/>
      <c r="V730"/>
      <c r="W730"/>
      <c r="X730"/>
      <c r="Y730"/>
      <c r="Z730"/>
      <c r="AA730"/>
      <c r="AB730"/>
      <c r="AC730"/>
      <c r="AD730"/>
      <c r="AE730"/>
      <c r="AF730"/>
      <c r="AG730"/>
      <c r="AH730"/>
      <c r="AI730"/>
    </row>
    <row r="731" spans="17:35">
      <c r="Q731"/>
      <c r="R731"/>
      <c r="S731"/>
      <c r="T731"/>
      <c r="U731"/>
      <c r="V731"/>
      <c r="W731"/>
      <c r="X731"/>
      <c r="Y731"/>
      <c r="Z731"/>
      <c r="AA731"/>
      <c r="AB731"/>
      <c r="AC731"/>
      <c r="AD731"/>
      <c r="AE731"/>
      <c r="AF731"/>
      <c r="AG731"/>
      <c r="AH731"/>
      <c r="AI731"/>
    </row>
    <row r="732" spans="17:35">
      <c r="Q732"/>
      <c r="R732"/>
      <c r="S732"/>
      <c r="T732"/>
      <c r="U732"/>
      <c r="V732"/>
      <c r="W732"/>
      <c r="X732"/>
      <c r="Y732"/>
      <c r="Z732"/>
      <c r="AA732"/>
      <c r="AB732"/>
      <c r="AC732"/>
      <c r="AD732"/>
      <c r="AE732"/>
      <c r="AF732"/>
      <c r="AG732"/>
      <c r="AH732"/>
      <c r="AI732"/>
    </row>
    <row r="733" spans="17:35">
      <c r="Q733"/>
      <c r="R733"/>
      <c r="S733"/>
      <c r="T733"/>
      <c r="U733"/>
      <c r="V733"/>
      <c r="W733"/>
      <c r="X733"/>
      <c r="Y733"/>
      <c r="Z733"/>
      <c r="AA733"/>
      <c r="AB733"/>
      <c r="AC733"/>
      <c r="AD733"/>
      <c r="AE733"/>
      <c r="AF733"/>
      <c r="AG733"/>
      <c r="AH733"/>
      <c r="AI733"/>
    </row>
    <row r="734" spans="17:35">
      <c r="Q734"/>
      <c r="R734"/>
      <c r="S734"/>
      <c r="T734"/>
      <c r="U734"/>
      <c r="V734"/>
      <c r="W734"/>
      <c r="X734"/>
      <c r="Y734"/>
      <c r="Z734"/>
      <c r="AA734"/>
      <c r="AB734"/>
      <c r="AC734"/>
      <c r="AD734"/>
      <c r="AE734"/>
      <c r="AF734"/>
      <c r="AG734"/>
      <c r="AH734"/>
      <c r="AI734"/>
    </row>
    <row r="735" spans="17:35">
      <c r="Q735"/>
      <c r="R735"/>
      <c r="S735"/>
      <c r="T735"/>
      <c r="U735"/>
      <c r="V735"/>
      <c r="W735"/>
      <c r="X735"/>
      <c r="Y735"/>
      <c r="Z735"/>
      <c r="AA735"/>
      <c r="AB735"/>
      <c r="AC735"/>
      <c r="AD735"/>
      <c r="AE735"/>
      <c r="AF735"/>
      <c r="AG735"/>
      <c r="AH735"/>
      <c r="AI735"/>
    </row>
    <row r="736" spans="17:35">
      <c r="Q736"/>
      <c r="R736"/>
      <c r="S736"/>
      <c r="T736"/>
      <c r="U736"/>
      <c r="V736"/>
      <c r="W736"/>
      <c r="X736"/>
      <c r="Y736"/>
      <c r="Z736"/>
      <c r="AA736"/>
      <c r="AB736"/>
      <c r="AC736"/>
      <c r="AD736"/>
      <c r="AE736"/>
      <c r="AF736"/>
      <c r="AG736"/>
      <c r="AH736"/>
      <c r="AI736"/>
    </row>
    <row r="737" spans="17:35">
      <c r="Q737"/>
      <c r="R737"/>
      <c r="S737"/>
      <c r="T737"/>
      <c r="U737"/>
      <c r="V737"/>
      <c r="W737"/>
      <c r="X737"/>
      <c r="Y737"/>
      <c r="Z737"/>
      <c r="AA737"/>
      <c r="AB737"/>
      <c r="AC737"/>
      <c r="AD737"/>
      <c r="AE737"/>
      <c r="AF737"/>
      <c r="AG737"/>
      <c r="AH737"/>
      <c r="AI737"/>
    </row>
    <row r="738" spans="17:35">
      <c r="Q738"/>
      <c r="R738"/>
      <c r="S738"/>
      <c r="T738"/>
      <c r="U738"/>
      <c r="V738"/>
      <c r="W738"/>
      <c r="X738"/>
      <c r="Y738"/>
      <c r="Z738"/>
      <c r="AA738"/>
      <c r="AB738"/>
      <c r="AC738"/>
      <c r="AD738"/>
      <c r="AE738"/>
      <c r="AF738"/>
      <c r="AG738"/>
      <c r="AH738"/>
      <c r="AI738"/>
    </row>
    <row r="739" spans="17:35">
      <c r="Q739"/>
      <c r="R739"/>
      <c r="S739"/>
      <c r="T739"/>
      <c r="U739"/>
      <c r="V739"/>
      <c r="W739"/>
      <c r="X739"/>
      <c r="Y739"/>
      <c r="Z739"/>
      <c r="AA739"/>
      <c r="AB739"/>
      <c r="AC739"/>
      <c r="AD739"/>
      <c r="AE739"/>
      <c r="AF739"/>
      <c r="AG739"/>
      <c r="AH739"/>
      <c r="AI739"/>
    </row>
    <row r="740" spans="17:35">
      <c r="Q740"/>
      <c r="R740"/>
      <c r="S740"/>
      <c r="T740"/>
      <c r="U740"/>
      <c r="V740"/>
      <c r="W740"/>
      <c r="X740"/>
      <c r="Y740"/>
      <c r="Z740"/>
      <c r="AA740"/>
      <c r="AB740"/>
      <c r="AC740"/>
      <c r="AD740"/>
      <c r="AE740"/>
      <c r="AF740"/>
      <c r="AG740"/>
      <c r="AH740"/>
      <c r="AI740"/>
    </row>
    <row r="741" spans="17:35">
      <c r="Q741"/>
      <c r="R741"/>
      <c r="S741"/>
      <c r="T741"/>
      <c r="U741"/>
      <c r="V741"/>
      <c r="W741"/>
      <c r="X741"/>
      <c r="Y741"/>
      <c r="Z741"/>
      <c r="AA741"/>
      <c r="AB741"/>
      <c r="AC741"/>
      <c r="AD741"/>
      <c r="AE741"/>
      <c r="AF741"/>
      <c r="AG741"/>
      <c r="AH741"/>
      <c r="AI741"/>
    </row>
    <row r="742" spans="17:35">
      <c r="Q742"/>
      <c r="R742"/>
      <c r="S742"/>
      <c r="T742"/>
      <c r="U742"/>
      <c r="V742"/>
      <c r="W742"/>
      <c r="X742"/>
      <c r="Y742"/>
      <c r="Z742"/>
      <c r="AA742"/>
      <c r="AB742"/>
      <c r="AC742"/>
      <c r="AD742"/>
      <c r="AE742"/>
      <c r="AF742"/>
      <c r="AG742"/>
      <c r="AH742"/>
      <c r="AI742"/>
    </row>
    <row r="743" spans="17:35">
      <c r="Q743"/>
      <c r="R743"/>
      <c r="S743"/>
      <c r="T743"/>
      <c r="U743"/>
      <c r="V743"/>
      <c r="W743"/>
      <c r="X743"/>
      <c r="Y743"/>
      <c r="Z743"/>
      <c r="AA743"/>
      <c r="AB743"/>
      <c r="AC743"/>
      <c r="AD743"/>
      <c r="AE743"/>
      <c r="AF743"/>
      <c r="AG743"/>
      <c r="AH743"/>
      <c r="AI743"/>
    </row>
    <row r="744" spans="17:35">
      <c r="Q744"/>
      <c r="R744"/>
      <c r="S744"/>
      <c r="T744"/>
      <c r="U744"/>
      <c r="V744"/>
      <c r="W744"/>
      <c r="X744"/>
      <c r="Y744"/>
      <c r="Z744"/>
      <c r="AA744"/>
      <c r="AB744"/>
      <c r="AC744"/>
      <c r="AD744"/>
      <c r="AE744"/>
      <c r="AF744"/>
      <c r="AG744"/>
      <c r="AH744"/>
      <c r="AI744"/>
    </row>
    <row r="745" spans="17:35">
      <c r="Q745"/>
      <c r="R745"/>
      <c r="S745"/>
      <c r="T745"/>
      <c r="U745"/>
      <c r="V745"/>
      <c r="W745"/>
      <c r="X745"/>
      <c r="Y745"/>
      <c r="Z745"/>
      <c r="AA745"/>
      <c r="AB745"/>
      <c r="AC745"/>
      <c r="AD745"/>
      <c r="AE745"/>
      <c r="AF745"/>
      <c r="AG745"/>
      <c r="AH745"/>
      <c r="AI745"/>
    </row>
    <row r="746" spans="17:35">
      <c r="Q746"/>
      <c r="R746"/>
      <c r="S746"/>
      <c r="T746"/>
      <c r="U746"/>
      <c r="V746"/>
      <c r="W746"/>
      <c r="X746"/>
      <c r="Y746"/>
      <c r="Z746"/>
      <c r="AA746"/>
      <c r="AB746"/>
      <c r="AC746"/>
      <c r="AD746"/>
      <c r="AE746"/>
      <c r="AF746"/>
      <c r="AG746"/>
      <c r="AH746"/>
      <c r="AI746"/>
    </row>
    <row r="747" spans="17:35">
      <c r="Q747"/>
      <c r="R747"/>
      <c r="S747"/>
      <c r="T747"/>
      <c r="U747"/>
      <c r="V747"/>
      <c r="W747"/>
      <c r="X747"/>
      <c r="Y747"/>
      <c r="Z747"/>
      <c r="AA747"/>
      <c r="AB747"/>
      <c r="AC747"/>
      <c r="AD747"/>
      <c r="AE747"/>
      <c r="AF747"/>
      <c r="AG747"/>
      <c r="AH747"/>
      <c r="AI747"/>
    </row>
    <row r="748" spans="17:35">
      <c r="Q748"/>
      <c r="R748"/>
      <c r="S748"/>
      <c r="T748"/>
      <c r="U748"/>
      <c r="V748"/>
      <c r="W748"/>
      <c r="X748"/>
      <c r="Y748"/>
      <c r="Z748"/>
      <c r="AA748"/>
      <c r="AB748"/>
      <c r="AC748"/>
      <c r="AD748"/>
      <c r="AE748"/>
      <c r="AF748"/>
      <c r="AG748"/>
      <c r="AH748"/>
      <c r="AI748"/>
    </row>
    <row r="749" spans="17:35">
      <c r="Q749"/>
      <c r="R749"/>
      <c r="S749"/>
      <c r="T749"/>
      <c r="U749"/>
      <c r="V749"/>
      <c r="W749"/>
      <c r="X749"/>
      <c r="Y749"/>
      <c r="Z749"/>
      <c r="AA749"/>
      <c r="AB749"/>
      <c r="AC749"/>
      <c r="AD749"/>
      <c r="AE749"/>
      <c r="AF749"/>
      <c r="AG749"/>
      <c r="AH749"/>
      <c r="AI749"/>
    </row>
    <row r="750" spans="17:35">
      <c r="Q750"/>
      <c r="R750"/>
      <c r="S750"/>
      <c r="T750"/>
      <c r="U750"/>
      <c r="V750"/>
      <c r="W750"/>
      <c r="X750"/>
      <c r="Y750"/>
      <c r="Z750"/>
      <c r="AA750"/>
      <c r="AB750"/>
      <c r="AC750"/>
      <c r="AD750"/>
      <c r="AE750"/>
      <c r="AF750"/>
      <c r="AG750"/>
      <c r="AH750"/>
      <c r="AI750"/>
    </row>
    <row r="751" spans="17:35">
      <c r="Q751"/>
      <c r="R751"/>
      <c r="S751"/>
      <c r="T751"/>
      <c r="U751"/>
      <c r="V751"/>
      <c r="W751"/>
      <c r="X751"/>
      <c r="Y751"/>
      <c r="Z751"/>
      <c r="AA751"/>
      <c r="AB751"/>
      <c r="AC751"/>
      <c r="AD751"/>
      <c r="AE751"/>
      <c r="AF751"/>
      <c r="AG751"/>
      <c r="AH751"/>
      <c r="AI751"/>
    </row>
    <row r="752" spans="17:35">
      <c r="Q752"/>
      <c r="R752"/>
      <c r="S752"/>
      <c r="T752"/>
      <c r="U752"/>
      <c r="V752"/>
      <c r="W752"/>
      <c r="X752"/>
      <c r="Y752"/>
      <c r="Z752"/>
      <c r="AA752"/>
      <c r="AB752"/>
      <c r="AC752"/>
      <c r="AD752"/>
      <c r="AE752"/>
      <c r="AF752"/>
      <c r="AG752"/>
      <c r="AH752"/>
      <c r="AI752"/>
    </row>
    <row r="753" spans="17:35">
      <c r="Q753"/>
      <c r="R753"/>
      <c r="S753"/>
      <c r="T753"/>
      <c r="U753"/>
      <c r="V753"/>
      <c r="W753"/>
      <c r="X753"/>
      <c r="Y753"/>
      <c r="Z753"/>
      <c r="AA753"/>
      <c r="AB753"/>
      <c r="AC753"/>
      <c r="AD753"/>
      <c r="AE753"/>
      <c r="AF753"/>
      <c r="AG753"/>
      <c r="AH753"/>
      <c r="AI753"/>
    </row>
    <row r="754" spans="17:35">
      <c r="Q754"/>
      <c r="R754"/>
      <c r="S754"/>
      <c r="T754"/>
      <c r="U754"/>
      <c r="V754"/>
      <c r="W754"/>
      <c r="X754"/>
      <c r="Y754"/>
      <c r="Z754"/>
      <c r="AA754"/>
      <c r="AB754"/>
      <c r="AC754"/>
      <c r="AD754"/>
      <c r="AE754"/>
      <c r="AF754"/>
      <c r="AG754"/>
      <c r="AH754"/>
      <c r="AI754"/>
    </row>
    <row r="755" spans="17:35">
      <c r="Q755"/>
      <c r="R755"/>
      <c r="S755"/>
      <c r="T755"/>
      <c r="U755"/>
      <c r="V755"/>
      <c r="W755"/>
      <c r="X755"/>
      <c r="Y755"/>
      <c r="Z755"/>
      <c r="AA755"/>
      <c r="AB755"/>
      <c r="AC755"/>
      <c r="AD755"/>
      <c r="AE755"/>
      <c r="AF755"/>
      <c r="AG755"/>
      <c r="AH755"/>
      <c r="AI755"/>
    </row>
    <row r="756" spans="17:35">
      <c r="Q756"/>
      <c r="R756"/>
      <c r="S756"/>
      <c r="T756"/>
      <c r="U756"/>
      <c r="V756"/>
      <c r="W756"/>
      <c r="X756"/>
      <c r="Y756"/>
      <c r="Z756"/>
      <c r="AA756"/>
      <c r="AB756"/>
      <c r="AC756"/>
      <c r="AD756"/>
      <c r="AE756"/>
      <c r="AF756"/>
      <c r="AG756"/>
      <c r="AH756"/>
      <c r="AI756"/>
    </row>
    <row r="757" spans="17:35">
      <c r="Q757"/>
      <c r="R757"/>
      <c r="S757"/>
      <c r="T757"/>
      <c r="U757"/>
      <c r="V757"/>
      <c r="W757"/>
      <c r="X757"/>
      <c r="Y757"/>
      <c r="Z757"/>
      <c r="AA757"/>
      <c r="AB757"/>
      <c r="AC757"/>
      <c r="AD757"/>
      <c r="AE757"/>
      <c r="AF757"/>
      <c r="AG757"/>
      <c r="AH757"/>
      <c r="AI757"/>
    </row>
    <row r="758" spans="17:35">
      <c r="Q758"/>
      <c r="R758"/>
      <c r="S758"/>
      <c r="T758"/>
      <c r="U758"/>
      <c r="V758"/>
      <c r="W758"/>
      <c r="X758"/>
      <c r="Y758"/>
      <c r="Z758"/>
      <c r="AA758"/>
      <c r="AB758"/>
      <c r="AC758"/>
      <c r="AD758"/>
      <c r="AE758"/>
      <c r="AF758"/>
      <c r="AG758"/>
      <c r="AH758"/>
      <c r="AI758"/>
    </row>
    <row r="759" spans="17:35">
      <c r="Q759"/>
      <c r="R759"/>
      <c r="S759"/>
      <c r="T759"/>
      <c r="U759"/>
      <c r="V759"/>
      <c r="W759"/>
      <c r="X759"/>
      <c r="Y759"/>
      <c r="Z759"/>
      <c r="AA759"/>
      <c r="AB759"/>
      <c r="AC759"/>
      <c r="AD759"/>
      <c r="AE759"/>
      <c r="AF759"/>
      <c r="AG759"/>
      <c r="AH759"/>
      <c r="AI759"/>
    </row>
    <row r="760" spans="17:35">
      <c r="Q760"/>
      <c r="R760"/>
      <c r="S760"/>
      <c r="T760"/>
      <c r="U760"/>
      <c r="V760"/>
      <c r="W760"/>
      <c r="X760"/>
      <c r="Y760"/>
      <c r="Z760"/>
      <c r="AA760"/>
      <c r="AB760"/>
      <c r="AC760"/>
      <c r="AD760"/>
      <c r="AE760"/>
      <c r="AF760"/>
      <c r="AG760"/>
      <c r="AH760"/>
      <c r="AI760"/>
    </row>
    <row r="761" spans="17:35">
      <c r="Q761"/>
      <c r="R761"/>
      <c r="S761"/>
      <c r="T761"/>
      <c r="U761"/>
      <c r="V761"/>
      <c r="W761"/>
      <c r="X761"/>
      <c r="Y761"/>
      <c r="Z761"/>
      <c r="AA761"/>
      <c r="AB761"/>
      <c r="AC761"/>
      <c r="AD761"/>
      <c r="AE761"/>
      <c r="AF761"/>
      <c r="AG761"/>
      <c r="AH761"/>
      <c r="AI761"/>
    </row>
    <row r="762" spans="17:35">
      <c r="Q762"/>
      <c r="R762"/>
      <c r="S762"/>
      <c r="T762"/>
      <c r="U762"/>
      <c r="V762"/>
      <c r="W762"/>
      <c r="X762"/>
      <c r="Y762"/>
      <c r="Z762"/>
      <c r="AA762"/>
      <c r="AB762"/>
      <c r="AC762"/>
      <c r="AD762"/>
      <c r="AE762"/>
      <c r="AF762"/>
      <c r="AG762"/>
      <c r="AH762"/>
      <c r="AI762"/>
    </row>
    <row r="763" spans="17:35">
      <c r="Q763"/>
      <c r="R763"/>
      <c r="S763"/>
      <c r="T763"/>
      <c r="U763"/>
      <c r="V763"/>
      <c r="W763"/>
      <c r="X763"/>
      <c r="Y763"/>
      <c r="Z763"/>
      <c r="AA763"/>
      <c r="AB763"/>
      <c r="AC763"/>
      <c r="AD763"/>
      <c r="AE763"/>
      <c r="AF763"/>
      <c r="AG763"/>
      <c r="AH763"/>
      <c r="AI763"/>
    </row>
    <row r="764" spans="17:35">
      <c r="Q764"/>
      <c r="R764"/>
      <c r="S764"/>
      <c r="T764"/>
      <c r="U764"/>
      <c r="V764"/>
      <c r="W764"/>
      <c r="X764"/>
      <c r="Y764"/>
      <c r="Z764"/>
      <c r="AA764"/>
      <c r="AB764"/>
      <c r="AC764"/>
      <c r="AD764"/>
      <c r="AE764"/>
      <c r="AF764"/>
      <c r="AG764"/>
      <c r="AH764"/>
      <c r="AI764"/>
    </row>
    <row r="765" spans="17:35">
      <c r="Q765"/>
      <c r="R765"/>
      <c r="S765"/>
      <c r="T765"/>
      <c r="U765"/>
      <c r="V765"/>
      <c r="W765"/>
      <c r="X765"/>
      <c r="Y765"/>
      <c r="Z765"/>
      <c r="AA765"/>
      <c r="AB765"/>
      <c r="AC765"/>
      <c r="AD765"/>
      <c r="AE765"/>
      <c r="AF765"/>
      <c r="AG765"/>
      <c r="AH765"/>
      <c r="AI765"/>
    </row>
    <row r="766" spans="17:35">
      <c r="Q766"/>
      <c r="R766"/>
      <c r="S766"/>
      <c r="T766"/>
      <c r="U766"/>
      <c r="V766"/>
      <c r="W766"/>
      <c r="X766"/>
      <c r="Y766"/>
      <c r="Z766"/>
      <c r="AA766"/>
      <c r="AB766"/>
      <c r="AC766"/>
      <c r="AD766"/>
      <c r="AE766"/>
      <c r="AF766"/>
      <c r="AG766"/>
      <c r="AH766"/>
      <c r="AI766"/>
    </row>
    <row r="767" spans="17:35">
      <c r="Q767"/>
      <c r="R767"/>
      <c r="S767"/>
      <c r="T767"/>
      <c r="U767"/>
      <c r="V767"/>
      <c r="W767"/>
      <c r="X767"/>
      <c r="Y767"/>
      <c r="Z767"/>
      <c r="AA767"/>
      <c r="AB767"/>
      <c r="AC767"/>
      <c r="AD767"/>
      <c r="AE767"/>
      <c r="AF767"/>
      <c r="AG767"/>
      <c r="AH767"/>
      <c r="AI767"/>
    </row>
    <row r="768" spans="17:35">
      <c r="Q768"/>
      <c r="R768"/>
      <c r="S768"/>
      <c r="T768"/>
      <c r="U768"/>
      <c r="V768"/>
      <c r="W768"/>
      <c r="X768"/>
      <c r="Y768"/>
      <c r="Z768"/>
      <c r="AA768"/>
      <c r="AB768"/>
      <c r="AC768"/>
      <c r="AD768"/>
      <c r="AE768"/>
      <c r="AF768"/>
      <c r="AG768"/>
      <c r="AH768"/>
      <c r="AI768"/>
    </row>
    <row r="769" spans="17:35">
      <c r="Q769"/>
      <c r="R769"/>
      <c r="S769"/>
      <c r="T769"/>
      <c r="U769"/>
      <c r="V769"/>
      <c r="W769"/>
      <c r="X769"/>
      <c r="Y769"/>
      <c r="Z769"/>
      <c r="AA769"/>
      <c r="AB769"/>
      <c r="AC769"/>
      <c r="AD769"/>
      <c r="AE769"/>
      <c r="AF769"/>
      <c r="AG769"/>
      <c r="AH769"/>
      <c r="AI769"/>
    </row>
    <row r="770" spans="17:35">
      <c r="Q770"/>
      <c r="R770"/>
      <c r="S770"/>
      <c r="T770"/>
      <c r="U770"/>
      <c r="V770"/>
      <c r="W770"/>
      <c r="X770"/>
      <c r="Y770"/>
      <c r="Z770"/>
      <c r="AA770"/>
      <c r="AB770"/>
      <c r="AC770"/>
      <c r="AD770"/>
      <c r="AE770"/>
      <c r="AF770"/>
      <c r="AG770"/>
      <c r="AH770"/>
      <c r="AI770"/>
    </row>
    <row r="771" spans="17:35">
      <c r="Q771"/>
      <c r="R771"/>
      <c r="S771"/>
      <c r="T771"/>
      <c r="U771"/>
      <c r="V771"/>
      <c r="W771"/>
      <c r="X771"/>
      <c r="Y771"/>
      <c r="Z771"/>
      <c r="AA771"/>
      <c r="AB771"/>
      <c r="AC771"/>
      <c r="AD771"/>
      <c r="AE771"/>
      <c r="AF771"/>
      <c r="AG771"/>
      <c r="AH771"/>
      <c r="AI771"/>
    </row>
    <row r="772" spans="17:35">
      <c r="Q772"/>
      <c r="R772"/>
      <c r="S772"/>
      <c r="T772"/>
      <c r="U772"/>
      <c r="V772"/>
      <c r="W772"/>
      <c r="X772"/>
      <c r="Y772"/>
      <c r="Z772"/>
      <c r="AA772"/>
      <c r="AB772"/>
      <c r="AC772"/>
      <c r="AD772"/>
      <c r="AE772"/>
      <c r="AF772"/>
      <c r="AG772"/>
      <c r="AH772"/>
      <c r="AI772"/>
    </row>
    <row r="773" spans="17:35">
      <c r="Q773"/>
      <c r="R773"/>
      <c r="S773"/>
      <c r="T773"/>
      <c r="U773"/>
      <c r="V773"/>
      <c r="W773"/>
      <c r="X773"/>
      <c r="Y773"/>
      <c r="Z773"/>
      <c r="AA773"/>
      <c r="AB773"/>
      <c r="AC773"/>
      <c r="AD773"/>
      <c r="AE773"/>
      <c r="AF773"/>
      <c r="AG773"/>
      <c r="AH773"/>
      <c r="AI773"/>
    </row>
    <row r="774" spans="17:35">
      <c r="Q774"/>
      <c r="R774"/>
      <c r="S774"/>
      <c r="T774"/>
      <c r="U774"/>
      <c r="V774"/>
      <c r="W774"/>
      <c r="X774"/>
      <c r="Y774"/>
      <c r="Z774"/>
      <c r="AA774"/>
      <c r="AB774"/>
      <c r="AC774"/>
      <c r="AD774"/>
      <c r="AE774"/>
      <c r="AF774"/>
      <c r="AG774"/>
      <c r="AH774"/>
      <c r="AI774"/>
    </row>
    <row r="775" spans="17:35">
      <c r="Q775"/>
      <c r="R775"/>
      <c r="S775"/>
      <c r="T775"/>
      <c r="U775"/>
      <c r="V775"/>
      <c r="W775"/>
      <c r="X775"/>
      <c r="Y775"/>
      <c r="Z775"/>
      <c r="AA775"/>
      <c r="AB775"/>
      <c r="AC775"/>
      <c r="AD775"/>
      <c r="AE775"/>
      <c r="AF775"/>
      <c r="AG775"/>
      <c r="AH775"/>
      <c r="AI775"/>
    </row>
    <row r="776" spans="17:35">
      <c r="Q776"/>
      <c r="R776"/>
      <c r="S776"/>
      <c r="T776"/>
      <c r="U776"/>
      <c r="V776"/>
      <c r="W776"/>
      <c r="X776"/>
      <c r="Y776"/>
      <c r="Z776"/>
      <c r="AA776"/>
      <c r="AB776"/>
      <c r="AC776"/>
      <c r="AD776"/>
      <c r="AE776"/>
      <c r="AF776"/>
      <c r="AG776"/>
      <c r="AH776"/>
      <c r="AI776"/>
    </row>
    <row r="777" spans="17:35">
      <c r="Q777"/>
      <c r="R777"/>
      <c r="S777"/>
      <c r="T777"/>
      <c r="U777"/>
      <c r="V777"/>
      <c r="W777"/>
      <c r="X777"/>
      <c r="Y777"/>
      <c r="Z777"/>
      <c r="AA777"/>
      <c r="AB777"/>
      <c r="AC777"/>
      <c r="AD777"/>
      <c r="AE777"/>
      <c r="AF777"/>
      <c r="AG777"/>
      <c r="AH777"/>
      <c r="AI777"/>
    </row>
    <row r="778" spans="17:35">
      <c r="Q778"/>
      <c r="R778"/>
      <c r="S778"/>
      <c r="T778"/>
      <c r="U778"/>
      <c r="V778"/>
      <c r="W778"/>
      <c r="X778"/>
      <c r="Y778"/>
      <c r="Z778"/>
      <c r="AA778"/>
      <c r="AB778"/>
      <c r="AC778"/>
      <c r="AD778"/>
      <c r="AE778"/>
      <c r="AF778"/>
      <c r="AG778"/>
      <c r="AH778"/>
      <c r="AI778"/>
    </row>
    <row r="779" spans="17:35">
      <c r="Q779"/>
      <c r="R779"/>
      <c r="S779"/>
      <c r="T779"/>
      <c r="U779"/>
      <c r="V779"/>
      <c r="W779"/>
      <c r="X779"/>
      <c r="Y779"/>
      <c r="Z779"/>
      <c r="AA779"/>
      <c r="AB779"/>
      <c r="AC779"/>
      <c r="AD779"/>
      <c r="AE779"/>
      <c r="AF779"/>
      <c r="AG779"/>
      <c r="AH779"/>
      <c r="AI779"/>
    </row>
    <row r="780" spans="17:35">
      <c r="Q780"/>
      <c r="R780"/>
      <c r="S780"/>
      <c r="T780"/>
      <c r="U780"/>
      <c r="V780"/>
      <c r="W780"/>
      <c r="X780"/>
      <c r="Y780"/>
      <c r="Z780"/>
      <c r="AA780"/>
      <c r="AB780"/>
      <c r="AC780"/>
      <c r="AD780"/>
      <c r="AE780"/>
      <c r="AF780"/>
      <c r="AG780"/>
      <c r="AH780"/>
      <c r="AI780"/>
    </row>
    <row r="781" spans="17:35">
      <c r="Q781"/>
      <c r="R781"/>
      <c r="S781"/>
      <c r="T781"/>
      <c r="U781"/>
      <c r="V781"/>
      <c r="W781"/>
      <c r="X781"/>
      <c r="Y781"/>
      <c r="Z781"/>
      <c r="AA781"/>
      <c r="AB781"/>
      <c r="AC781"/>
      <c r="AD781"/>
      <c r="AE781"/>
      <c r="AF781"/>
      <c r="AG781"/>
      <c r="AH781"/>
      <c r="AI781"/>
    </row>
    <row r="782" spans="17:35">
      <c r="Q782"/>
      <c r="R782"/>
      <c r="S782"/>
      <c r="T782"/>
      <c r="U782"/>
      <c r="V782"/>
      <c r="W782"/>
      <c r="X782"/>
      <c r="Y782"/>
      <c r="Z782"/>
      <c r="AA782"/>
      <c r="AB782"/>
      <c r="AC782"/>
      <c r="AD782"/>
      <c r="AE782"/>
      <c r="AF782"/>
      <c r="AG782"/>
      <c r="AH782"/>
      <c r="AI782"/>
    </row>
    <row r="783" spans="17:35">
      <c r="Q783"/>
      <c r="R783"/>
      <c r="S783"/>
      <c r="T783"/>
      <c r="U783"/>
      <c r="V783"/>
      <c r="W783"/>
      <c r="X783"/>
      <c r="Y783"/>
      <c r="Z783"/>
      <c r="AA783"/>
      <c r="AB783"/>
      <c r="AC783"/>
      <c r="AD783"/>
      <c r="AE783"/>
      <c r="AF783"/>
      <c r="AG783"/>
      <c r="AH783"/>
      <c r="AI783"/>
    </row>
    <row r="784" spans="17:35">
      <c r="Q784"/>
      <c r="R784"/>
      <c r="S784"/>
      <c r="T784"/>
      <c r="U784"/>
      <c r="V784"/>
      <c r="W784"/>
      <c r="X784"/>
      <c r="Y784"/>
      <c r="Z784"/>
      <c r="AA784"/>
      <c r="AB784"/>
      <c r="AC784"/>
      <c r="AD784"/>
      <c r="AE784"/>
      <c r="AF784"/>
      <c r="AG784"/>
      <c r="AH784"/>
      <c r="AI784"/>
    </row>
    <row r="785" spans="17:35">
      <c r="Q785"/>
      <c r="R785"/>
      <c r="S785"/>
      <c r="T785"/>
      <c r="U785"/>
      <c r="V785"/>
      <c r="W785"/>
      <c r="X785"/>
      <c r="Y785"/>
      <c r="Z785"/>
      <c r="AA785"/>
      <c r="AB785"/>
      <c r="AC785"/>
      <c r="AD785"/>
      <c r="AE785"/>
      <c r="AF785"/>
      <c r="AG785"/>
      <c r="AH785"/>
      <c r="AI785"/>
    </row>
    <row r="786" spans="17:35">
      <c r="Q786"/>
      <c r="R786"/>
      <c r="S786"/>
      <c r="T786"/>
      <c r="U786"/>
      <c r="V786"/>
      <c r="W786"/>
      <c r="X786"/>
      <c r="Y786"/>
      <c r="Z786"/>
      <c r="AA786"/>
      <c r="AB786"/>
      <c r="AC786"/>
      <c r="AD786"/>
      <c r="AE786"/>
      <c r="AF786"/>
      <c r="AG786"/>
      <c r="AH786"/>
      <c r="AI786"/>
    </row>
    <row r="787" spans="17:35">
      <c r="Q787"/>
      <c r="R787"/>
      <c r="S787"/>
      <c r="T787"/>
      <c r="U787"/>
      <c r="V787"/>
      <c r="W787"/>
      <c r="X787"/>
      <c r="Y787"/>
      <c r="Z787"/>
      <c r="AA787"/>
      <c r="AB787"/>
      <c r="AC787"/>
      <c r="AD787"/>
      <c r="AE787"/>
      <c r="AF787"/>
      <c r="AG787"/>
      <c r="AH787"/>
      <c r="AI787"/>
    </row>
    <row r="788" spans="17:35">
      <c r="Q788"/>
      <c r="R788"/>
      <c r="S788"/>
      <c r="T788"/>
      <c r="U788"/>
      <c r="V788"/>
      <c r="W788"/>
      <c r="X788"/>
      <c r="Y788"/>
      <c r="Z788"/>
      <c r="AA788"/>
      <c r="AB788"/>
      <c r="AC788"/>
      <c r="AD788"/>
      <c r="AE788"/>
      <c r="AF788"/>
      <c r="AG788"/>
      <c r="AH788"/>
      <c r="AI788"/>
    </row>
    <row r="789" spans="17:35">
      <c r="Q789"/>
      <c r="R789"/>
      <c r="S789"/>
      <c r="T789"/>
      <c r="U789"/>
      <c r="V789"/>
      <c r="W789"/>
      <c r="X789"/>
      <c r="Y789"/>
      <c r="Z789"/>
      <c r="AA789"/>
      <c r="AB789"/>
      <c r="AC789"/>
      <c r="AD789"/>
      <c r="AE789"/>
      <c r="AF789"/>
      <c r="AG789"/>
      <c r="AH789"/>
      <c r="AI789"/>
    </row>
    <row r="790" spans="17:35">
      <c r="Q790"/>
      <c r="R790"/>
      <c r="S790"/>
      <c r="T790"/>
      <c r="U790"/>
      <c r="V790"/>
      <c r="W790"/>
      <c r="X790"/>
      <c r="Y790"/>
      <c r="Z790"/>
      <c r="AA790"/>
      <c r="AB790"/>
      <c r="AC790"/>
      <c r="AD790"/>
      <c r="AE790"/>
      <c r="AF790"/>
      <c r="AG790"/>
      <c r="AH790"/>
      <c r="AI790"/>
    </row>
    <row r="791" spans="17:35">
      <c r="Q791"/>
      <c r="R791"/>
      <c r="S791"/>
      <c r="T791"/>
      <c r="U791"/>
      <c r="V791"/>
      <c r="W791"/>
      <c r="X791"/>
      <c r="Y791"/>
      <c r="Z791"/>
      <c r="AA791"/>
      <c r="AB791"/>
      <c r="AC791"/>
      <c r="AD791"/>
      <c r="AE791"/>
      <c r="AF791"/>
      <c r="AG791"/>
      <c r="AH791"/>
      <c r="AI791"/>
    </row>
    <row r="792" spans="17:35">
      <c r="Q792"/>
      <c r="R792"/>
      <c r="S792"/>
      <c r="T792"/>
      <c r="U792"/>
      <c r="V792"/>
      <c r="W792"/>
      <c r="X792"/>
      <c r="Y792"/>
      <c r="Z792"/>
      <c r="AA792"/>
      <c r="AB792"/>
      <c r="AC792"/>
      <c r="AD792"/>
      <c r="AE792"/>
      <c r="AF792"/>
      <c r="AG792"/>
      <c r="AH792"/>
      <c r="AI792"/>
    </row>
    <row r="793" spans="17:35">
      <c r="Q793"/>
      <c r="R793"/>
      <c r="S793"/>
      <c r="T793"/>
      <c r="U793"/>
      <c r="V793"/>
      <c r="W793"/>
      <c r="X793"/>
      <c r="Y793"/>
      <c r="Z793"/>
      <c r="AA793"/>
      <c r="AB793"/>
      <c r="AC793"/>
      <c r="AD793"/>
      <c r="AE793"/>
      <c r="AF793"/>
      <c r="AG793"/>
      <c r="AH793"/>
      <c r="AI793"/>
    </row>
    <row r="794" spans="17:35">
      <c r="Q794"/>
      <c r="R794"/>
      <c r="S794"/>
      <c r="T794"/>
      <c r="U794"/>
      <c r="V794"/>
      <c r="W794"/>
      <c r="X794"/>
      <c r="Y794"/>
      <c r="Z794"/>
      <c r="AA794"/>
      <c r="AB794"/>
      <c r="AC794"/>
      <c r="AD794"/>
      <c r="AE794"/>
      <c r="AF794"/>
      <c r="AG794"/>
      <c r="AH794"/>
      <c r="AI794"/>
    </row>
    <row r="795" spans="17:35">
      <c r="Q795"/>
      <c r="R795"/>
      <c r="S795"/>
      <c r="T795"/>
      <c r="U795"/>
      <c r="V795"/>
      <c r="W795"/>
      <c r="X795"/>
      <c r="Y795"/>
      <c r="Z795"/>
      <c r="AA795"/>
      <c r="AB795"/>
      <c r="AC795"/>
      <c r="AD795"/>
      <c r="AE795"/>
      <c r="AF795"/>
      <c r="AG795"/>
      <c r="AH795"/>
      <c r="AI795"/>
    </row>
    <row r="796" spans="17:35">
      <c r="Q796"/>
      <c r="R796"/>
      <c r="S796"/>
      <c r="T796"/>
      <c r="U796"/>
      <c r="V796"/>
      <c r="W796"/>
      <c r="X796"/>
      <c r="Y796"/>
      <c r="Z796"/>
      <c r="AA796"/>
      <c r="AB796"/>
      <c r="AC796"/>
      <c r="AD796"/>
      <c r="AE796"/>
      <c r="AF796"/>
      <c r="AG796"/>
      <c r="AH796"/>
      <c r="AI796"/>
    </row>
    <row r="797" spans="17:35">
      <c r="Q797"/>
      <c r="R797"/>
      <c r="S797"/>
      <c r="T797"/>
      <c r="U797"/>
      <c r="V797"/>
      <c r="W797"/>
      <c r="X797"/>
      <c r="Y797"/>
      <c r="Z797"/>
      <c r="AA797"/>
      <c r="AB797"/>
      <c r="AC797"/>
      <c r="AD797"/>
      <c r="AE797"/>
      <c r="AF797"/>
      <c r="AG797"/>
      <c r="AH797"/>
      <c r="AI797"/>
    </row>
    <row r="798" spans="17:35">
      <c r="Q798"/>
      <c r="R798"/>
      <c r="S798"/>
      <c r="T798"/>
      <c r="U798"/>
      <c r="V798"/>
      <c r="W798"/>
      <c r="X798"/>
      <c r="Y798"/>
      <c r="Z798"/>
      <c r="AA798"/>
      <c r="AB798"/>
      <c r="AC798"/>
      <c r="AD798"/>
      <c r="AE798"/>
      <c r="AF798"/>
      <c r="AG798"/>
      <c r="AH798"/>
      <c r="AI798"/>
    </row>
    <row r="799" spans="17:35">
      <c r="Q799"/>
      <c r="R799"/>
      <c r="S799"/>
      <c r="T799"/>
      <c r="U799"/>
      <c r="V799"/>
      <c r="W799"/>
      <c r="X799"/>
      <c r="Y799"/>
      <c r="Z799"/>
      <c r="AA799"/>
      <c r="AB799"/>
      <c r="AC799"/>
      <c r="AD799"/>
      <c r="AE799"/>
      <c r="AF799"/>
      <c r="AG799"/>
      <c r="AH799"/>
      <c r="AI799"/>
    </row>
    <row r="800" spans="17:35">
      <c r="Q800"/>
      <c r="R800"/>
      <c r="S800"/>
      <c r="T800"/>
      <c r="U800"/>
      <c r="V800"/>
      <c r="W800"/>
      <c r="X800"/>
      <c r="Y800"/>
      <c r="Z800"/>
      <c r="AA800"/>
      <c r="AB800"/>
      <c r="AC800"/>
      <c r="AD800"/>
      <c r="AE800"/>
      <c r="AF800"/>
      <c r="AG800"/>
      <c r="AH800"/>
      <c r="AI800"/>
    </row>
    <row r="801" spans="17:35">
      <c r="Q801"/>
      <c r="R801"/>
      <c r="S801"/>
      <c r="T801"/>
      <c r="U801"/>
      <c r="V801"/>
      <c r="W801"/>
      <c r="X801"/>
      <c r="Y801"/>
      <c r="Z801"/>
      <c r="AA801"/>
      <c r="AB801"/>
      <c r="AC801"/>
      <c r="AD801"/>
      <c r="AE801"/>
      <c r="AF801"/>
      <c r="AG801"/>
      <c r="AH801"/>
      <c r="AI801"/>
    </row>
    <row r="802" spans="17:35">
      <c r="Q802"/>
      <c r="R802"/>
      <c r="S802"/>
      <c r="T802"/>
      <c r="U802"/>
      <c r="V802"/>
      <c r="W802"/>
      <c r="X802"/>
      <c r="Y802"/>
      <c r="Z802"/>
      <c r="AA802"/>
      <c r="AB802"/>
      <c r="AC802"/>
      <c r="AD802"/>
      <c r="AE802"/>
      <c r="AF802"/>
      <c r="AG802"/>
      <c r="AH802"/>
      <c r="AI802"/>
    </row>
    <row r="803" spans="17:35">
      <c r="Q803"/>
      <c r="R803"/>
      <c r="S803"/>
      <c r="T803"/>
      <c r="U803"/>
      <c r="V803"/>
      <c r="W803"/>
      <c r="X803"/>
      <c r="Y803"/>
      <c r="Z803"/>
      <c r="AA803"/>
      <c r="AB803"/>
      <c r="AC803"/>
      <c r="AD803"/>
      <c r="AE803"/>
      <c r="AF803"/>
      <c r="AG803"/>
      <c r="AH803"/>
      <c r="AI803"/>
    </row>
    <row r="804" spans="17:35">
      <c r="Q804"/>
      <c r="R804"/>
      <c r="S804"/>
      <c r="T804"/>
      <c r="U804"/>
      <c r="V804"/>
      <c r="W804"/>
      <c r="X804"/>
      <c r="Y804"/>
      <c r="Z804"/>
      <c r="AA804"/>
      <c r="AB804"/>
      <c r="AC804"/>
      <c r="AD804"/>
      <c r="AE804"/>
      <c r="AF804"/>
      <c r="AG804"/>
      <c r="AH804"/>
      <c r="AI804"/>
    </row>
    <row r="805" spans="17:35">
      <c r="Q805"/>
      <c r="R805"/>
      <c r="S805"/>
      <c r="T805"/>
      <c r="U805"/>
      <c r="V805"/>
      <c r="W805"/>
      <c r="X805"/>
      <c r="Y805"/>
      <c r="Z805"/>
      <c r="AA805"/>
      <c r="AB805"/>
      <c r="AC805"/>
      <c r="AD805"/>
      <c r="AE805"/>
      <c r="AF805"/>
      <c r="AG805"/>
      <c r="AH805"/>
      <c r="AI805"/>
    </row>
    <row r="806" spans="17:35">
      <c r="Q806"/>
      <c r="R806"/>
      <c r="S806"/>
      <c r="T806"/>
      <c r="U806"/>
      <c r="V806"/>
      <c r="W806"/>
      <c r="X806"/>
      <c r="Y806"/>
      <c r="Z806"/>
      <c r="AA806"/>
      <c r="AB806"/>
      <c r="AC806"/>
      <c r="AD806"/>
      <c r="AE806"/>
      <c r="AF806"/>
      <c r="AG806"/>
      <c r="AH806"/>
      <c r="AI806"/>
    </row>
    <row r="807" spans="17:35">
      <c r="Q807"/>
      <c r="R807"/>
      <c r="S807"/>
      <c r="T807"/>
      <c r="U807"/>
      <c r="V807"/>
      <c r="W807"/>
      <c r="X807"/>
      <c r="Y807"/>
      <c r="Z807"/>
      <c r="AA807"/>
      <c r="AB807"/>
      <c r="AC807"/>
      <c r="AD807"/>
      <c r="AE807"/>
      <c r="AF807"/>
      <c r="AG807"/>
      <c r="AH807"/>
      <c r="AI807"/>
    </row>
    <row r="808" spans="17:35">
      <c r="Q808"/>
      <c r="R808"/>
      <c r="S808"/>
      <c r="T808"/>
      <c r="U808"/>
      <c r="V808"/>
      <c r="W808"/>
      <c r="X808"/>
      <c r="Y808"/>
      <c r="Z808"/>
      <c r="AA808"/>
      <c r="AB808"/>
      <c r="AC808"/>
      <c r="AD808"/>
      <c r="AE808"/>
      <c r="AF808"/>
      <c r="AG808"/>
      <c r="AH808"/>
      <c r="AI808"/>
    </row>
    <row r="809" spans="17:35">
      <c r="Q809"/>
      <c r="R809"/>
      <c r="S809"/>
      <c r="T809"/>
      <c r="U809"/>
      <c r="V809"/>
      <c r="W809"/>
      <c r="X809"/>
      <c r="Y809"/>
      <c r="Z809"/>
      <c r="AA809"/>
      <c r="AB809"/>
      <c r="AC809"/>
      <c r="AD809"/>
      <c r="AE809"/>
      <c r="AF809"/>
      <c r="AG809"/>
      <c r="AH809"/>
      <c r="AI809"/>
    </row>
    <row r="810" spans="17:35">
      <c r="Q810"/>
      <c r="R810"/>
      <c r="S810"/>
      <c r="T810"/>
      <c r="U810"/>
      <c r="V810"/>
      <c r="W810"/>
      <c r="X810"/>
      <c r="Y810"/>
      <c r="Z810"/>
      <c r="AA810"/>
      <c r="AB810"/>
      <c r="AC810"/>
      <c r="AD810"/>
      <c r="AE810"/>
      <c r="AF810"/>
      <c r="AG810"/>
      <c r="AH810"/>
      <c r="AI810"/>
    </row>
    <row r="811" spans="17:35">
      <c r="Q811"/>
      <c r="R811"/>
      <c r="S811"/>
      <c r="T811"/>
      <c r="U811"/>
      <c r="V811"/>
      <c r="W811"/>
      <c r="X811"/>
      <c r="Y811"/>
      <c r="Z811"/>
      <c r="AA811"/>
      <c r="AB811"/>
      <c r="AC811"/>
      <c r="AD811"/>
      <c r="AE811"/>
      <c r="AF811"/>
      <c r="AG811"/>
      <c r="AH811"/>
      <c r="AI811"/>
    </row>
    <row r="812" spans="17:35">
      <c r="Q812"/>
      <c r="R812"/>
      <c r="S812"/>
      <c r="T812"/>
      <c r="U812"/>
      <c r="V812"/>
      <c r="W812"/>
      <c r="X812"/>
      <c r="Y812"/>
      <c r="Z812"/>
      <c r="AA812"/>
      <c r="AB812"/>
      <c r="AC812"/>
      <c r="AD812"/>
      <c r="AE812"/>
      <c r="AF812"/>
      <c r="AG812"/>
      <c r="AH812"/>
      <c r="AI812"/>
    </row>
    <row r="813" spans="17:35">
      <c r="Q813"/>
      <c r="R813"/>
      <c r="S813"/>
      <c r="T813"/>
      <c r="U813"/>
      <c r="V813"/>
      <c r="W813"/>
      <c r="X813"/>
      <c r="Y813"/>
      <c r="Z813"/>
      <c r="AA813"/>
      <c r="AB813"/>
      <c r="AC813"/>
      <c r="AD813"/>
      <c r="AE813"/>
      <c r="AF813"/>
      <c r="AG813"/>
      <c r="AH813"/>
      <c r="AI813"/>
    </row>
    <row r="814" spans="17:35">
      <c r="Q814"/>
      <c r="R814"/>
      <c r="S814"/>
      <c r="T814"/>
      <c r="U814"/>
      <c r="V814"/>
      <c r="W814"/>
      <c r="X814"/>
      <c r="Y814"/>
      <c r="Z814"/>
      <c r="AA814"/>
      <c r="AB814"/>
      <c r="AC814"/>
      <c r="AD814"/>
      <c r="AE814"/>
      <c r="AF814"/>
      <c r="AG814"/>
      <c r="AH814"/>
      <c r="AI814"/>
    </row>
    <row r="815" spans="17:35">
      <c r="Q815"/>
      <c r="R815"/>
      <c r="S815"/>
      <c r="T815"/>
      <c r="U815"/>
      <c r="V815"/>
      <c r="W815"/>
      <c r="X815"/>
      <c r="Y815"/>
      <c r="Z815"/>
      <c r="AA815"/>
      <c r="AB815"/>
      <c r="AC815"/>
      <c r="AD815"/>
      <c r="AE815"/>
      <c r="AF815"/>
      <c r="AG815"/>
      <c r="AH815"/>
      <c r="AI815"/>
    </row>
    <row r="816" spans="17:35">
      <c r="Q816"/>
      <c r="R816"/>
      <c r="S816"/>
      <c r="T816"/>
      <c r="U816"/>
      <c r="V816"/>
      <c r="W816"/>
      <c r="X816"/>
      <c r="Y816"/>
      <c r="Z816"/>
      <c r="AA816"/>
      <c r="AB816"/>
      <c r="AC816"/>
      <c r="AD816"/>
      <c r="AE816"/>
      <c r="AF816"/>
      <c r="AG816"/>
      <c r="AH816"/>
      <c r="AI816"/>
    </row>
    <row r="817" spans="17:35">
      <c r="Q817"/>
      <c r="R817"/>
      <c r="S817"/>
      <c r="T817"/>
      <c r="U817"/>
      <c r="V817"/>
      <c r="W817"/>
      <c r="X817"/>
      <c r="Y817"/>
      <c r="Z817"/>
      <c r="AA817"/>
      <c r="AB817"/>
      <c r="AC817"/>
      <c r="AD817"/>
      <c r="AE817"/>
      <c r="AF817"/>
      <c r="AG817"/>
      <c r="AH817"/>
      <c r="AI817"/>
    </row>
    <row r="818" spans="17:35">
      <c r="Q818"/>
      <c r="R818"/>
      <c r="S818"/>
      <c r="T818"/>
      <c r="U818"/>
      <c r="V818"/>
      <c r="W818"/>
      <c r="X818"/>
      <c r="Y818"/>
      <c r="Z818"/>
      <c r="AA818"/>
      <c r="AB818"/>
      <c r="AC818"/>
      <c r="AD818"/>
      <c r="AE818"/>
      <c r="AF818"/>
      <c r="AG818"/>
      <c r="AH818"/>
      <c r="AI818"/>
    </row>
    <row r="819" spans="17:35">
      <c r="Q819"/>
      <c r="R819"/>
      <c r="S819"/>
      <c r="T819"/>
      <c r="U819"/>
      <c r="V819"/>
      <c r="W819"/>
      <c r="X819"/>
      <c r="Y819"/>
      <c r="Z819"/>
      <c r="AA819"/>
      <c r="AB819"/>
      <c r="AC819"/>
      <c r="AD819"/>
      <c r="AE819"/>
      <c r="AF819"/>
      <c r="AG819"/>
      <c r="AH819"/>
      <c r="AI819"/>
    </row>
    <row r="820" spans="17:35">
      <c r="Q820"/>
      <c r="R820"/>
      <c r="S820"/>
      <c r="T820"/>
      <c r="U820"/>
      <c r="V820"/>
      <c r="W820"/>
      <c r="X820"/>
      <c r="Y820"/>
      <c r="Z820"/>
      <c r="AA820"/>
      <c r="AB820"/>
      <c r="AC820"/>
      <c r="AD820"/>
      <c r="AE820"/>
      <c r="AF820"/>
      <c r="AG820"/>
      <c r="AH820"/>
      <c r="AI820"/>
    </row>
    <row r="821" spans="17:35">
      <c r="Q821"/>
      <c r="R821"/>
      <c r="S821"/>
      <c r="T821"/>
      <c r="U821"/>
      <c r="V821"/>
      <c r="W821"/>
      <c r="X821"/>
      <c r="Y821"/>
      <c r="Z821"/>
      <c r="AA821"/>
      <c r="AB821"/>
      <c r="AC821"/>
      <c r="AD821"/>
      <c r="AE821"/>
      <c r="AF821"/>
      <c r="AG821"/>
      <c r="AH821"/>
      <c r="AI821"/>
    </row>
    <row r="822" spans="17:35">
      <c r="Q822"/>
      <c r="R822"/>
      <c r="S822"/>
      <c r="T822"/>
      <c r="U822"/>
      <c r="V822"/>
      <c r="W822"/>
      <c r="X822"/>
      <c r="Y822"/>
      <c r="Z822"/>
      <c r="AA822"/>
      <c r="AB822"/>
      <c r="AC822"/>
      <c r="AD822"/>
      <c r="AE822"/>
      <c r="AF822"/>
      <c r="AG822"/>
      <c r="AH822"/>
      <c r="AI822"/>
    </row>
    <row r="823" spans="17:35">
      <c r="Q823"/>
      <c r="R823"/>
      <c r="S823"/>
      <c r="T823"/>
      <c r="U823"/>
      <c r="V823"/>
      <c r="W823"/>
      <c r="X823"/>
      <c r="Y823"/>
      <c r="Z823"/>
      <c r="AA823"/>
      <c r="AB823"/>
      <c r="AC823"/>
      <c r="AD823"/>
      <c r="AE823"/>
      <c r="AF823"/>
      <c r="AG823"/>
      <c r="AH823"/>
      <c r="AI823"/>
    </row>
    <row r="824" spans="17:35">
      <c r="Q824"/>
      <c r="R824"/>
      <c r="S824"/>
      <c r="T824"/>
      <c r="U824"/>
      <c r="V824"/>
      <c r="W824"/>
      <c r="X824"/>
      <c r="Y824"/>
      <c r="Z824"/>
      <c r="AA824"/>
      <c r="AB824"/>
      <c r="AC824"/>
      <c r="AD824"/>
      <c r="AE824"/>
      <c r="AF824"/>
      <c r="AG824"/>
      <c r="AH824"/>
      <c r="AI824"/>
    </row>
    <row r="825" spans="17:35">
      <c r="Q825"/>
      <c r="R825"/>
      <c r="S825"/>
      <c r="T825"/>
      <c r="U825"/>
      <c r="V825"/>
      <c r="W825"/>
      <c r="X825"/>
      <c r="Y825"/>
      <c r="Z825"/>
      <c r="AA825"/>
      <c r="AB825"/>
      <c r="AC825"/>
      <c r="AD825"/>
      <c r="AE825"/>
      <c r="AF825"/>
      <c r="AG825"/>
      <c r="AH825"/>
      <c r="AI825"/>
    </row>
    <row r="826" spans="17:35">
      <c r="Q826"/>
      <c r="R826"/>
      <c r="S826"/>
      <c r="T826"/>
      <c r="U826"/>
      <c r="V826"/>
      <c r="W826"/>
      <c r="X826"/>
      <c r="Y826"/>
      <c r="Z826"/>
      <c r="AA826"/>
      <c r="AB826"/>
      <c r="AC826"/>
      <c r="AD826"/>
      <c r="AE826"/>
      <c r="AF826"/>
      <c r="AG826"/>
      <c r="AH826"/>
      <c r="AI826"/>
    </row>
    <row r="827" spans="17:35">
      <c r="Q827"/>
      <c r="R827"/>
      <c r="S827"/>
      <c r="T827"/>
      <c r="U827"/>
      <c r="V827"/>
      <c r="W827"/>
      <c r="X827"/>
      <c r="Y827"/>
      <c r="Z827"/>
      <c r="AA827"/>
      <c r="AB827"/>
      <c r="AC827"/>
      <c r="AD827"/>
      <c r="AE827"/>
      <c r="AF827"/>
      <c r="AG827"/>
      <c r="AH827"/>
      <c r="AI827"/>
    </row>
    <row r="828" spans="17:35">
      <c r="Q828"/>
      <c r="R828"/>
      <c r="S828"/>
      <c r="T828"/>
      <c r="U828"/>
      <c r="V828"/>
      <c r="W828"/>
      <c r="X828"/>
      <c r="Y828"/>
      <c r="Z828"/>
      <c r="AA828"/>
      <c r="AB828"/>
      <c r="AC828"/>
      <c r="AD828"/>
      <c r="AE828"/>
      <c r="AF828"/>
      <c r="AG828"/>
      <c r="AH828"/>
      <c r="AI828"/>
    </row>
    <row r="829" spans="17:35">
      <c r="Q829"/>
      <c r="R829"/>
      <c r="S829"/>
      <c r="T829"/>
      <c r="U829"/>
      <c r="V829"/>
      <c r="W829"/>
      <c r="X829"/>
      <c r="Y829"/>
      <c r="Z829"/>
      <c r="AA829"/>
      <c r="AB829"/>
      <c r="AC829"/>
      <c r="AD829"/>
      <c r="AE829"/>
      <c r="AF829"/>
      <c r="AG829"/>
      <c r="AH829"/>
      <c r="AI829"/>
    </row>
    <row r="830" spans="17:35">
      <c r="Q830"/>
      <c r="R830"/>
      <c r="S830"/>
      <c r="T830"/>
      <c r="U830"/>
      <c r="V830"/>
      <c r="W830"/>
      <c r="X830"/>
      <c r="Y830"/>
      <c r="Z830"/>
      <c r="AA830"/>
      <c r="AB830"/>
      <c r="AC830"/>
      <c r="AD830"/>
      <c r="AE830"/>
      <c r="AF830"/>
      <c r="AG830"/>
      <c r="AH830"/>
      <c r="AI830"/>
    </row>
    <row r="831" spans="17:35">
      <c r="Q831"/>
      <c r="R831"/>
      <c r="S831"/>
      <c r="T831"/>
      <c r="U831"/>
      <c r="V831"/>
      <c r="W831"/>
      <c r="X831"/>
      <c r="Y831"/>
      <c r="Z831"/>
      <c r="AA831"/>
      <c r="AB831"/>
      <c r="AC831"/>
      <c r="AD831"/>
      <c r="AE831"/>
      <c r="AF831"/>
      <c r="AG831"/>
      <c r="AH831"/>
      <c r="AI831"/>
    </row>
    <row r="832" spans="17:35">
      <c r="Q832"/>
      <c r="R832"/>
      <c r="S832"/>
      <c r="T832"/>
      <c r="U832"/>
      <c r="V832"/>
      <c r="W832"/>
      <c r="X832"/>
      <c r="Y832"/>
      <c r="Z832"/>
      <c r="AA832"/>
      <c r="AB832"/>
      <c r="AC832"/>
      <c r="AD832"/>
      <c r="AE832"/>
      <c r="AF832"/>
      <c r="AG832"/>
      <c r="AH832"/>
      <c r="AI832"/>
    </row>
    <row r="833" spans="17:35">
      <c r="Q833"/>
      <c r="R833"/>
      <c r="S833"/>
      <c r="T833"/>
      <c r="U833"/>
      <c r="V833"/>
      <c r="W833"/>
      <c r="X833"/>
      <c r="Y833"/>
      <c r="Z833"/>
      <c r="AA833"/>
      <c r="AB833"/>
      <c r="AC833"/>
      <c r="AD833"/>
      <c r="AE833"/>
      <c r="AF833"/>
      <c r="AG833"/>
      <c r="AH833"/>
      <c r="AI833"/>
    </row>
    <row r="834" spans="17:35">
      <c r="Q834"/>
      <c r="R834"/>
      <c r="S834"/>
      <c r="T834"/>
      <c r="U834"/>
      <c r="V834"/>
      <c r="W834"/>
      <c r="X834"/>
      <c r="Y834"/>
      <c r="Z834"/>
      <c r="AA834"/>
      <c r="AB834"/>
      <c r="AC834"/>
      <c r="AD834"/>
      <c r="AE834"/>
      <c r="AF834"/>
      <c r="AG834"/>
      <c r="AH834"/>
      <c r="AI834"/>
    </row>
    <row r="835" spans="17:35">
      <c r="Q835"/>
      <c r="R835"/>
      <c r="S835"/>
      <c r="T835"/>
      <c r="U835"/>
      <c r="V835"/>
      <c r="W835"/>
      <c r="X835"/>
      <c r="Y835"/>
      <c r="Z835"/>
      <c r="AA835"/>
      <c r="AB835"/>
      <c r="AC835"/>
      <c r="AD835"/>
      <c r="AE835"/>
      <c r="AF835"/>
      <c r="AG835"/>
      <c r="AH835"/>
      <c r="AI835"/>
    </row>
    <row r="836" spans="17:35">
      <c r="Q836"/>
      <c r="R836"/>
      <c r="S836"/>
      <c r="T836"/>
      <c r="U836"/>
      <c r="V836"/>
      <c r="W836"/>
      <c r="X836"/>
      <c r="Y836"/>
      <c r="Z836"/>
      <c r="AA836"/>
      <c r="AB836"/>
      <c r="AC836"/>
      <c r="AD836"/>
      <c r="AE836"/>
      <c r="AF836"/>
      <c r="AG836"/>
      <c r="AH836"/>
      <c r="AI836"/>
    </row>
    <row r="837" spans="17:35">
      <c r="Q837"/>
      <c r="R837"/>
      <c r="S837"/>
      <c r="T837"/>
      <c r="U837"/>
      <c r="V837"/>
      <c r="W837"/>
      <c r="X837"/>
      <c r="Y837"/>
      <c r="Z837"/>
      <c r="AA837"/>
      <c r="AB837"/>
      <c r="AC837"/>
      <c r="AD837"/>
      <c r="AE837"/>
      <c r="AF837"/>
      <c r="AG837"/>
      <c r="AH837"/>
      <c r="AI837"/>
    </row>
    <row r="838" spans="17:35">
      <c r="Q838"/>
      <c r="R838"/>
      <c r="S838"/>
      <c r="T838"/>
      <c r="U838"/>
      <c r="V838"/>
      <c r="W838"/>
      <c r="X838"/>
      <c r="Y838"/>
      <c r="Z838"/>
      <c r="AA838"/>
      <c r="AB838"/>
      <c r="AC838"/>
      <c r="AD838"/>
      <c r="AE838"/>
      <c r="AF838"/>
      <c r="AG838"/>
      <c r="AH838"/>
      <c r="AI838"/>
    </row>
    <row r="839" spans="17:35">
      <c r="Q839"/>
      <c r="R839"/>
      <c r="S839"/>
      <c r="T839"/>
      <c r="U839"/>
      <c r="V839"/>
      <c r="W839"/>
      <c r="X839"/>
      <c r="Y839"/>
      <c r="Z839"/>
      <c r="AA839"/>
      <c r="AB839"/>
      <c r="AC839"/>
      <c r="AD839"/>
      <c r="AE839"/>
      <c r="AF839"/>
      <c r="AG839"/>
      <c r="AH839"/>
      <c r="AI839"/>
    </row>
    <row r="840" spans="17:35">
      <c r="Q840"/>
      <c r="R840"/>
      <c r="S840"/>
      <c r="T840"/>
      <c r="U840"/>
      <c r="V840"/>
      <c r="W840"/>
      <c r="X840"/>
      <c r="Y840"/>
      <c r="Z840"/>
      <c r="AA840"/>
      <c r="AB840"/>
      <c r="AC840"/>
      <c r="AD840"/>
      <c r="AE840"/>
      <c r="AF840"/>
      <c r="AG840"/>
      <c r="AH840"/>
      <c r="AI840"/>
    </row>
    <row r="841" spans="17:35">
      <c r="Q841"/>
      <c r="R841"/>
      <c r="S841"/>
      <c r="T841"/>
      <c r="U841"/>
      <c r="V841"/>
      <c r="W841"/>
      <c r="X841"/>
      <c r="Y841"/>
      <c r="Z841"/>
      <c r="AA841"/>
      <c r="AB841"/>
      <c r="AC841"/>
      <c r="AD841"/>
      <c r="AE841"/>
      <c r="AF841"/>
      <c r="AG841"/>
      <c r="AH841"/>
      <c r="AI841"/>
    </row>
    <row r="842" spans="17:35">
      <c r="Q842"/>
      <c r="R842"/>
      <c r="S842"/>
      <c r="T842"/>
      <c r="U842"/>
      <c r="V842"/>
      <c r="W842"/>
      <c r="X842"/>
      <c r="Y842"/>
      <c r="Z842"/>
      <c r="AA842"/>
      <c r="AB842"/>
      <c r="AC842"/>
      <c r="AD842"/>
      <c r="AE842"/>
      <c r="AF842"/>
      <c r="AG842"/>
      <c r="AH842"/>
      <c r="AI842"/>
    </row>
    <row r="843" spans="17:35">
      <c r="Q843"/>
      <c r="R843"/>
      <c r="S843"/>
      <c r="T843"/>
      <c r="U843"/>
      <c r="V843"/>
      <c r="W843"/>
      <c r="X843"/>
      <c r="Y843"/>
      <c r="Z843"/>
      <c r="AA843"/>
      <c r="AB843"/>
      <c r="AC843"/>
      <c r="AD843"/>
      <c r="AE843"/>
      <c r="AF843"/>
      <c r="AG843"/>
      <c r="AH843"/>
      <c r="AI843"/>
    </row>
    <row r="844" spans="17:35">
      <c r="Q844"/>
      <c r="R844"/>
      <c r="S844"/>
      <c r="T844"/>
      <c r="U844"/>
      <c r="V844"/>
      <c r="W844"/>
      <c r="X844"/>
      <c r="Y844"/>
      <c r="Z844"/>
      <c r="AA844"/>
      <c r="AB844"/>
      <c r="AC844"/>
      <c r="AD844"/>
      <c r="AE844"/>
      <c r="AF844"/>
      <c r="AG844"/>
      <c r="AH844"/>
      <c r="AI844"/>
    </row>
    <row r="845" spans="17:35">
      <c r="Q845"/>
      <c r="R845"/>
      <c r="S845"/>
      <c r="T845"/>
      <c r="U845"/>
      <c r="V845"/>
      <c r="W845"/>
      <c r="X845"/>
      <c r="Y845"/>
      <c r="Z845"/>
      <c r="AA845"/>
      <c r="AB845"/>
      <c r="AC845"/>
      <c r="AD845"/>
      <c r="AE845"/>
      <c r="AF845"/>
      <c r="AG845"/>
      <c r="AH845"/>
      <c r="AI845"/>
    </row>
    <row r="846" spans="17:35">
      <c r="Q846"/>
      <c r="R846"/>
      <c r="S846"/>
      <c r="T846"/>
      <c r="U846"/>
      <c r="V846"/>
      <c r="W846"/>
      <c r="X846"/>
      <c r="Y846"/>
      <c r="Z846"/>
      <c r="AA846"/>
      <c r="AB846"/>
      <c r="AC846"/>
      <c r="AD846"/>
      <c r="AE846"/>
      <c r="AF846"/>
      <c r="AG846"/>
      <c r="AH846"/>
      <c r="AI846"/>
    </row>
    <row r="847" spans="17:35">
      <c r="Q847"/>
      <c r="R847"/>
      <c r="S847"/>
      <c r="T847"/>
      <c r="U847"/>
      <c r="V847"/>
      <c r="W847"/>
      <c r="X847"/>
      <c r="Y847"/>
      <c r="Z847"/>
      <c r="AA847"/>
      <c r="AB847"/>
      <c r="AC847"/>
      <c r="AD847"/>
      <c r="AE847"/>
      <c r="AF847"/>
      <c r="AG847"/>
      <c r="AH847"/>
      <c r="AI847"/>
    </row>
    <row r="848" spans="17:35">
      <c r="Q848"/>
      <c r="R848"/>
      <c r="S848"/>
      <c r="T848"/>
      <c r="U848"/>
      <c r="V848"/>
      <c r="W848"/>
      <c r="X848"/>
      <c r="Y848"/>
      <c r="Z848"/>
      <c r="AA848"/>
      <c r="AB848"/>
      <c r="AC848"/>
      <c r="AD848"/>
      <c r="AE848"/>
      <c r="AF848"/>
      <c r="AG848"/>
      <c r="AH848"/>
      <c r="AI848"/>
    </row>
    <row r="849" spans="17:35">
      <c r="Q849"/>
      <c r="R849"/>
      <c r="S849"/>
      <c r="T849"/>
      <c r="U849"/>
      <c r="V849"/>
      <c r="W849"/>
      <c r="X849"/>
      <c r="Y849"/>
      <c r="Z849"/>
      <c r="AA849"/>
      <c r="AB849"/>
      <c r="AC849"/>
      <c r="AD849"/>
      <c r="AE849"/>
      <c r="AF849"/>
      <c r="AG849"/>
      <c r="AH849"/>
      <c r="AI849"/>
    </row>
    <row r="850" spans="17:35">
      <c r="Q850"/>
      <c r="R850"/>
      <c r="S850"/>
      <c r="T850"/>
      <c r="U850"/>
      <c r="V850"/>
      <c r="W850"/>
      <c r="X850"/>
      <c r="Y850"/>
      <c r="Z850"/>
      <c r="AA850"/>
      <c r="AB850"/>
      <c r="AC850"/>
      <c r="AD850"/>
      <c r="AE850"/>
      <c r="AF850"/>
      <c r="AG850"/>
      <c r="AH850"/>
      <c r="AI850"/>
    </row>
    <row r="851" spans="17:35">
      <c r="Q851"/>
      <c r="R851"/>
      <c r="S851"/>
      <c r="T851"/>
      <c r="U851"/>
      <c r="V851"/>
      <c r="W851"/>
      <c r="X851"/>
      <c r="Y851"/>
      <c r="Z851"/>
      <c r="AA851"/>
      <c r="AB851"/>
      <c r="AC851"/>
      <c r="AD851"/>
      <c r="AE851"/>
      <c r="AF851"/>
      <c r="AG851"/>
      <c r="AH851"/>
      <c r="AI851"/>
    </row>
    <row r="852" spans="17:35">
      <c r="Q852"/>
      <c r="R852"/>
      <c r="S852"/>
      <c r="T852"/>
      <c r="U852"/>
      <c r="V852"/>
      <c r="W852"/>
      <c r="X852"/>
      <c r="Y852"/>
      <c r="Z852"/>
      <c r="AA852"/>
      <c r="AB852"/>
      <c r="AC852"/>
      <c r="AD852"/>
      <c r="AE852"/>
      <c r="AF852"/>
      <c r="AG852"/>
      <c r="AH852"/>
      <c r="AI852"/>
    </row>
    <row r="853" spans="17:35">
      <c r="Q853"/>
      <c r="R853"/>
      <c r="S853"/>
      <c r="T853"/>
      <c r="U853"/>
      <c r="V853"/>
      <c r="W853"/>
      <c r="X853"/>
      <c r="Y853"/>
      <c r="Z853"/>
      <c r="AA853"/>
      <c r="AB853"/>
      <c r="AC853"/>
      <c r="AD853"/>
      <c r="AE853"/>
      <c r="AF853"/>
      <c r="AG853"/>
      <c r="AH853"/>
      <c r="AI853"/>
    </row>
    <row r="854" spans="17:35">
      <c r="Q854"/>
      <c r="R854"/>
      <c r="S854"/>
      <c r="T854"/>
      <c r="U854"/>
      <c r="V854"/>
      <c r="W854"/>
      <c r="X854"/>
      <c r="Y854"/>
      <c r="Z854"/>
      <c r="AA854"/>
      <c r="AB854"/>
      <c r="AC854"/>
      <c r="AD854"/>
      <c r="AE854"/>
      <c r="AF854"/>
      <c r="AG854"/>
      <c r="AH854"/>
      <c r="AI854"/>
    </row>
    <row r="855" spans="17:35">
      <c r="Q855"/>
      <c r="R855"/>
      <c r="S855"/>
      <c r="T855"/>
      <c r="U855"/>
      <c r="V855"/>
      <c r="W855"/>
      <c r="X855"/>
      <c r="Y855"/>
      <c r="Z855"/>
      <c r="AA855"/>
      <c r="AB855"/>
      <c r="AC855"/>
      <c r="AD855"/>
      <c r="AE855"/>
      <c r="AF855"/>
      <c r="AG855"/>
      <c r="AH855"/>
      <c r="AI855"/>
    </row>
    <row r="856" spans="17:35">
      <c r="Q856"/>
      <c r="R856"/>
      <c r="S856"/>
      <c r="T856"/>
      <c r="U856"/>
      <c r="V856"/>
      <c r="W856"/>
      <c r="X856"/>
      <c r="Y856"/>
      <c r="Z856"/>
      <c r="AA856"/>
      <c r="AB856"/>
      <c r="AC856"/>
      <c r="AD856"/>
      <c r="AE856"/>
      <c r="AF856"/>
      <c r="AG856"/>
      <c r="AH856"/>
      <c r="AI856"/>
    </row>
    <row r="857" spans="17:35">
      <c r="Q857"/>
      <c r="R857"/>
      <c r="S857"/>
      <c r="T857"/>
      <c r="U857"/>
      <c r="V857"/>
      <c r="W857"/>
      <c r="X857"/>
      <c r="Y857"/>
      <c r="Z857"/>
      <c r="AA857"/>
      <c r="AB857"/>
      <c r="AC857"/>
      <c r="AD857"/>
      <c r="AE857"/>
      <c r="AF857"/>
      <c r="AG857"/>
      <c r="AH857"/>
      <c r="AI857"/>
    </row>
    <row r="858" spans="17:35">
      <c r="Q858"/>
      <c r="R858"/>
      <c r="S858"/>
      <c r="T858"/>
      <c r="U858"/>
      <c r="V858"/>
      <c r="W858"/>
      <c r="X858"/>
      <c r="Y858"/>
      <c r="Z858"/>
      <c r="AA858"/>
      <c r="AB858"/>
      <c r="AC858"/>
      <c r="AD858"/>
      <c r="AE858"/>
      <c r="AF858"/>
      <c r="AG858"/>
      <c r="AH858"/>
      <c r="AI858"/>
    </row>
    <row r="859" spans="17:35">
      <c r="Q859"/>
      <c r="R859"/>
      <c r="S859"/>
      <c r="T859"/>
      <c r="U859"/>
      <c r="V859"/>
      <c r="W859"/>
      <c r="X859"/>
      <c r="Y859"/>
      <c r="Z859"/>
      <c r="AA859"/>
      <c r="AB859"/>
      <c r="AC859"/>
      <c r="AD859"/>
      <c r="AE859"/>
      <c r="AF859"/>
      <c r="AG859"/>
      <c r="AH859"/>
      <c r="AI859"/>
    </row>
    <row r="860" spans="17:35">
      <c r="Q860"/>
      <c r="R860"/>
      <c r="S860"/>
      <c r="T860"/>
      <c r="U860"/>
      <c r="V860"/>
      <c r="W860"/>
      <c r="X860"/>
      <c r="Y860"/>
      <c r="Z860"/>
      <c r="AA860"/>
      <c r="AB860"/>
      <c r="AC860"/>
      <c r="AD860"/>
      <c r="AE860"/>
      <c r="AF860"/>
      <c r="AG860"/>
      <c r="AH860"/>
      <c r="AI860"/>
    </row>
    <row r="861" spans="17:35">
      <c r="Q861"/>
      <c r="R861"/>
      <c r="S861"/>
      <c r="T861"/>
      <c r="U861"/>
      <c r="V861"/>
      <c r="W861"/>
      <c r="X861"/>
      <c r="Y861"/>
      <c r="Z861"/>
      <c r="AA861"/>
      <c r="AB861"/>
      <c r="AC861"/>
      <c r="AD861"/>
      <c r="AE861"/>
      <c r="AF861"/>
      <c r="AG861"/>
      <c r="AH861"/>
      <c r="AI861"/>
    </row>
    <row r="862" spans="17:35">
      <c r="Q862"/>
      <c r="R862"/>
      <c r="S862"/>
      <c r="T862"/>
      <c r="U862"/>
      <c r="V862"/>
      <c r="W862"/>
      <c r="X862"/>
      <c r="Y862"/>
      <c r="Z862"/>
      <c r="AA862"/>
      <c r="AB862"/>
      <c r="AC862"/>
      <c r="AD862"/>
      <c r="AE862"/>
      <c r="AF862"/>
      <c r="AG862"/>
      <c r="AH862"/>
      <c r="AI862"/>
    </row>
    <row r="863" spans="17:35">
      <c r="Q863"/>
      <c r="R863"/>
      <c r="S863"/>
      <c r="T863"/>
      <c r="U863"/>
      <c r="V863"/>
      <c r="W863"/>
      <c r="X863"/>
      <c r="Y863"/>
      <c r="Z863"/>
      <c r="AA863"/>
      <c r="AB863"/>
      <c r="AC863"/>
      <c r="AD863"/>
      <c r="AE863"/>
      <c r="AF863"/>
      <c r="AG863"/>
      <c r="AH863"/>
      <c r="AI863"/>
    </row>
    <row r="864" spans="17:35">
      <c r="Q864"/>
      <c r="R864"/>
      <c r="S864"/>
      <c r="T864"/>
      <c r="U864"/>
      <c r="V864"/>
      <c r="W864"/>
      <c r="X864"/>
      <c r="Y864"/>
      <c r="Z864"/>
      <c r="AA864"/>
      <c r="AB864"/>
      <c r="AC864"/>
      <c r="AD864"/>
      <c r="AE864"/>
      <c r="AF864"/>
      <c r="AG864"/>
      <c r="AH864"/>
      <c r="AI864"/>
    </row>
    <row r="865" spans="17:35">
      <c r="Q865"/>
      <c r="R865"/>
      <c r="S865"/>
      <c r="T865"/>
      <c r="U865"/>
      <c r="V865"/>
      <c r="W865"/>
      <c r="X865"/>
      <c r="Y865"/>
      <c r="Z865"/>
      <c r="AA865"/>
      <c r="AB865"/>
      <c r="AC865"/>
      <c r="AD865"/>
      <c r="AE865"/>
      <c r="AF865"/>
      <c r="AG865"/>
      <c r="AH865"/>
      <c r="AI865"/>
    </row>
    <row r="866" spans="17:35">
      <c r="Q866"/>
      <c r="R866"/>
      <c r="S866"/>
      <c r="T866"/>
      <c r="U866"/>
      <c r="V866"/>
      <c r="W866"/>
      <c r="X866"/>
      <c r="Y866"/>
      <c r="Z866"/>
      <c r="AA866"/>
      <c r="AB866"/>
      <c r="AC866"/>
      <c r="AD866"/>
      <c r="AE866"/>
      <c r="AF866"/>
      <c r="AG866"/>
      <c r="AH866"/>
      <c r="AI866"/>
    </row>
    <row r="867" spans="17:35">
      <c r="Q867"/>
      <c r="R867"/>
      <c r="S867"/>
      <c r="T867"/>
      <c r="U867"/>
      <c r="V867"/>
      <c r="W867"/>
      <c r="X867"/>
      <c r="Y867"/>
      <c r="Z867"/>
      <c r="AA867"/>
      <c r="AB867"/>
      <c r="AC867"/>
      <c r="AD867"/>
      <c r="AE867"/>
      <c r="AF867"/>
      <c r="AG867"/>
      <c r="AH867"/>
      <c r="AI867"/>
    </row>
    <row r="868" spans="17:35">
      <c r="Q868"/>
      <c r="R868"/>
      <c r="S868"/>
      <c r="T868"/>
      <c r="U868"/>
      <c r="V868"/>
      <c r="W868"/>
      <c r="X868"/>
      <c r="Y868"/>
      <c r="Z868"/>
      <c r="AA868"/>
      <c r="AB868"/>
      <c r="AC868"/>
      <c r="AD868"/>
      <c r="AE868"/>
      <c r="AF868"/>
      <c r="AG868"/>
      <c r="AH868"/>
      <c r="AI868"/>
    </row>
    <row r="869" spans="17:35">
      <c r="Q869"/>
      <c r="R869"/>
      <c r="S869"/>
      <c r="T869"/>
      <c r="U869"/>
      <c r="V869"/>
      <c r="W869"/>
      <c r="X869"/>
      <c r="Y869"/>
      <c r="Z869"/>
      <c r="AA869"/>
      <c r="AB869"/>
      <c r="AC869"/>
      <c r="AD869"/>
      <c r="AE869"/>
      <c r="AF869"/>
      <c r="AG869"/>
      <c r="AH869"/>
      <c r="AI869"/>
    </row>
    <row r="870" spans="17:35">
      <c r="Q870"/>
      <c r="R870"/>
      <c r="S870"/>
      <c r="T870"/>
      <c r="U870"/>
      <c r="V870"/>
      <c r="W870"/>
      <c r="X870"/>
      <c r="Y870"/>
      <c r="Z870"/>
      <c r="AA870"/>
      <c r="AB870"/>
      <c r="AC870"/>
      <c r="AD870"/>
      <c r="AE870"/>
      <c r="AF870"/>
      <c r="AG870"/>
      <c r="AH870"/>
      <c r="AI870"/>
    </row>
    <row r="871" spans="17:35">
      <c r="Q871"/>
      <c r="R871"/>
      <c r="S871"/>
      <c r="T871"/>
      <c r="U871"/>
      <c r="V871"/>
      <c r="W871"/>
      <c r="X871"/>
      <c r="Y871"/>
      <c r="Z871"/>
      <c r="AA871"/>
      <c r="AB871"/>
      <c r="AC871"/>
      <c r="AD871"/>
      <c r="AE871"/>
      <c r="AF871"/>
      <c r="AG871"/>
      <c r="AH871"/>
      <c r="AI871"/>
    </row>
    <row r="872" spans="17:35">
      <c r="Q872"/>
      <c r="R872"/>
      <c r="S872"/>
      <c r="T872"/>
      <c r="U872"/>
      <c r="V872"/>
      <c r="W872"/>
      <c r="X872"/>
      <c r="Y872"/>
      <c r="Z872"/>
      <c r="AA872"/>
      <c r="AB872"/>
      <c r="AC872"/>
      <c r="AD872"/>
      <c r="AE872"/>
      <c r="AF872"/>
      <c r="AG872"/>
      <c r="AH872"/>
      <c r="AI872"/>
    </row>
    <row r="873" spans="17:35">
      <c r="Q873"/>
      <c r="R873"/>
      <c r="S873"/>
      <c r="T873"/>
      <c r="U873"/>
      <c r="V873"/>
      <c r="W873"/>
      <c r="X873"/>
      <c r="Y873"/>
      <c r="Z873"/>
      <c r="AA873"/>
      <c r="AB873"/>
      <c r="AC873"/>
      <c r="AD873"/>
      <c r="AE873"/>
      <c r="AF873"/>
      <c r="AG873"/>
      <c r="AH873"/>
      <c r="AI873"/>
    </row>
    <row r="874" spans="17:35">
      <c r="Q874"/>
      <c r="R874"/>
      <c r="S874"/>
      <c r="T874"/>
      <c r="U874"/>
      <c r="V874"/>
      <c r="W874"/>
      <c r="X874"/>
      <c r="Y874"/>
      <c r="Z874"/>
      <c r="AA874"/>
      <c r="AB874"/>
      <c r="AC874"/>
      <c r="AD874"/>
      <c r="AE874"/>
      <c r="AF874"/>
      <c r="AG874"/>
      <c r="AH874"/>
      <c r="AI874"/>
    </row>
    <row r="875" spans="17:35">
      <c r="Q875"/>
      <c r="R875"/>
      <c r="S875"/>
      <c r="T875"/>
      <c r="U875"/>
      <c r="V875"/>
      <c r="W875"/>
      <c r="X875"/>
      <c r="Y875"/>
      <c r="Z875"/>
      <c r="AA875"/>
      <c r="AB875"/>
      <c r="AC875"/>
      <c r="AD875"/>
      <c r="AE875"/>
      <c r="AF875"/>
      <c r="AG875"/>
      <c r="AH875"/>
      <c r="AI875"/>
    </row>
    <row r="876" spans="17:35">
      <c r="Q876"/>
      <c r="R876"/>
      <c r="S876"/>
      <c r="T876"/>
      <c r="U876"/>
      <c r="V876"/>
      <c r="W876"/>
      <c r="X876"/>
      <c r="Y876"/>
      <c r="Z876"/>
      <c r="AA876"/>
      <c r="AB876"/>
      <c r="AC876"/>
      <c r="AD876"/>
      <c r="AE876"/>
      <c r="AF876"/>
      <c r="AG876"/>
      <c r="AH876"/>
      <c r="AI876"/>
    </row>
    <row r="877" spans="17:35">
      <c r="Q877"/>
      <c r="R877"/>
      <c r="S877"/>
      <c r="T877"/>
      <c r="U877"/>
      <c r="V877"/>
      <c r="W877"/>
      <c r="X877"/>
      <c r="Y877"/>
      <c r="Z877"/>
      <c r="AA877"/>
      <c r="AB877"/>
      <c r="AC877"/>
      <c r="AD877"/>
      <c r="AE877"/>
      <c r="AF877"/>
      <c r="AG877"/>
      <c r="AH877"/>
      <c r="AI877"/>
    </row>
    <row r="878" spans="17:35">
      <c r="Q878"/>
      <c r="R878"/>
      <c r="S878"/>
      <c r="T878"/>
      <c r="U878"/>
      <c r="V878"/>
      <c r="W878"/>
      <c r="X878"/>
      <c r="Y878"/>
      <c r="Z878"/>
      <c r="AA878"/>
      <c r="AB878"/>
      <c r="AC878"/>
      <c r="AD878"/>
      <c r="AE878"/>
      <c r="AF878"/>
      <c r="AG878"/>
      <c r="AH878"/>
      <c r="AI878"/>
    </row>
    <row r="879" spans="17:35">
      <c r="Q879"/>
      <c r="R879"/>
      <c r="S879"/>
      <c r="T879"/>
      <c r="U879"/>
      <c r="V879"/>
      <c r="W879"/>
      <c r="X879"/>
      <c r="Y879"/>
      <c r="Z879"/>
      <c r="AA879"/>
      <c r="AB879"/>
      <c r="AC879"/>
      <c r="AD879"/>
      <c r="AE879"/>
      <c r="AF879"/>
      <c r="AG879"/>
      <c r="AH879"/>
      <c r="AI879"/>
    </row>
    <row r="880" spans="17:35">
      <c r="Q880"/>
      <c r="R880"/>
      <c r="S880"/>
      <c r="T880"/>
      <c r="U880"/>
      <c r="V880"/>
      <c r="W880"/>
      <c r="X880"/>
      <c r="Y880"/>
      <c r="Z880"/>
      <c r="AA880"/>
      <c r="AB880"/>
      <c r="AC880"/>
      <c r="AD880"/>
      <c r="AE880"/>
      <c r="AF880"/>
      <c r="AG880"/>
      <c r="AH880"/>
      <c r="AI880"/>
    </row>
    <row r="881" spans="17:35">
      <c r="Q881"/>
      <c r="R881"/>
      <c r="S881"/>
      <c r="T881"/>
      <c r="U881"/>
      <c r="V881"/>
      <c r="W881"/>
      <c r="X881"/>
      <c r="Y881"/>
      <c r="Z881"/>
      <c r="AA881"/>
      <c r="AB881"/>
      <c r="AC881"/>
      <c r="AD881"/>
      <c r="AE881"/>
      <c r="AF881"/>
      <c r="AG881"/>
      <c r="AH881"/>
      <c r="AI881"/>
    </row>
    <row r="882" spans="17:35">
      <c r="Q882"/>
      <c r="R882"/>
      <c r="S882"/>
      <c r="T882"/>
      <c r="U882"/>
      <c r="V882"/>
      <c r="W882"/>
      <c r="X882"/>
      <c r="Y882"/>
      <c r="Z882"/>
      <c r="AA882"/>
      <c r="AB882"/>
      <c r="AC882"/>
      <c r="AD882"/>
      <c r="AE882"/>
      <c r="AF882"/>
      <c r="AG882"/>
      <c r="AH882"/>
      <c r="AI882"/>
    </row>
    <row r="883" spans="17:35">
      <c r="Q883"/>
      <c r="R883"/>
      <c r="S883"/>
      <c r="T883"/>
      <c r="U883"/>
      <c r="V883"/>
      <c r="W883"/>
      <c r="X883"/>
      <c r="Y883"/>
      <c r="Z883"/>
      <c r="AA883"/>
      <c r="AB883"/>
      <c r="AC883"/>
      <c r="AD883"/>
      <c r="AE883"/>
      <c r="AF883"/>
      <c r="AG883"/>
      <c r="AH883"/>
      <c r="AI883"/>
    </row>
    <row r="884" spans="17:35">
      <c r="Q884"/>
      <c r="R884"/>
      <c r="S884"/>
      <c r="T884"/>
      <c r="U884"/>
      <c r="V884"/>
      <c r="W884"/>
      <c r="X884"/>
      <c r="Y884"/>
      <c r="Z884"/>
      <c r="AA884"/>
      <c r="AB884"/>
      <c r="AC884"/>
      <c r="AD884"/>
      <c r="AE884"/>
      <c r="AF884"/>
      <c r="AG884"/>
      <c r="AH884"/>
      <c r="AI884"/>
    </row>
    <row r="885" spans="17:35">
      <c r="Q885"/>
      <c r="R885"/>
      <c r="S885"/>
      <c r="T885"/>
      <c r="U885"/>
      <c r="V885"/>
      <c r="W885"/>
      <c r="X885"/>
      <c r="Y885"/>
      <c r="Z885"/>
      <c r="AA885"/>
      <c r="AB885"/>
      <c r="AC885"/>
      <c r="AD885"/>
      <c r="AE885"/>
      <c r="AF885"/>
      <c r="AG885"/>
      <c r="AH885"/>
      <c r="AI885"/>
    </row>
    <row r="886" spans="17:35">
      <c r="Q886"/>
      <c r="R886"/>
      <c r="S886"/>
      <c r="T886"/>
      <c r="U886"/>
      <c r="V886"/>
      <c r="W886"/>
      <c r="X886"/>
      <c r="Y886"/>
      <c r="Z886"/>
      <c r="AA886"/>
      <c r="AB886"/>
      <c r="AC886"/>
      <c r="AD886"/>
      <c r="AE886"/>
      <c r="AF886"/>
      <c r="AG886"/>
      <c r="AH886"/>
      <c r="AI886"/>
    </row>
    <row r="887" spans="17:35">
      <c r="Q887"/>
      <c r="R887"/>
      <c r="S887"/>
      <c r="T887"/>
      <c r="U887"/>
      <c r="V887"/>
      <c r="W887"/>
      <c r="X887"/>
      <c r="Y887"/>
      <c r="Z887"/>
      <c r="AA887"/>
      <c r="AB887"/>
      <c r="AC887"/>
      <c r="AD887"/>
      <c r="AE887"/>
      <c r="AF887"/>
      <c r="AG887"/>
      <c r="AH887"/>
      <c r="AI887"/>
    </row>
    <row r="888" spans="17:35">
      <c r="Q888"/>
      <c r="R888"/>
      <c r="S888"/>
      <c r="T888"/>
      <c r="U888"/>
      <c r="V888"/>
      <c r="W888"/>
      <c r="X888"/>
      <c r="Y888"/>
      <c r="Z888"/>
      <c r="AA888"/>
      <c r="AB888"/>
      <c r="AC888"/>
      <c r="AD888"/>
      <c r="AE888"/>
      <c r="AF888"/>
      <c r="AG888"/>
      <c r="AH888"/>
      <c r="AI888"/>
    </row>
    <row r="889" spans="17:35">
      <c r="Q889"/>
      <c r="R889"/>
      <c r="S889"/>
      <c r="T889"/>
      <c r="U889"/>
      <c r="V889"/>
      <c r="W889"/>
      <c r="X889"/>
      <c r="Y889"/>
      <c r="Z889"/>
      <c r="AA889"/>
      <c r="AB889"/>
      <c r="AC889"/>
      <c r="AD889"/>
      <c r="AE889"/>
      <c r="AF889"/>
      <c r="AG889"/>
      <c r="AH889"/>
      <c r="AI889"/>
    </row>
    <row r="890" spans="17:35">
      <c r="Q890"/>
      <c r="R890"/>
      <c r="S890"/>
      <c r="T890"/>
      <c r="U890"/>
      <c r="V890"/>
      <c r="W890"/>
      <c r="X890"/>
      <c r="Y890"/>
      <c r="Z890"/>
      <c r="AA890"/>
      <c r="AB890"/>
      <c r="AC890"/>
      <c r="AD890"/>
      <c r="AE890"/>
      <c r="AF890"/>
      <c r="AG890"/>
      <c r="AH890"/>
      <c r="AI890"/>
    </row>
    <row r="891" spans="17:35">
      <c r="Q891"/>
      <c r="R891"/>
      <c r="S891"/>
      <c r="T891"/>
      <c r="U891"/>
      <c r="V891"/>
      <c r="W891"/>
      <c r="X891"/>
      <c r="Y891"/>
      <c r="Z891"/>
      <c r="AA891"/>
      <c r="AB891"/>
      <c r="AC891"/>
      <c r="AD891"/>
      <c r="AE891"/>
      <c r="AF891"/>
      <c r="AG891"/>
      <c r="AH891"/>
      <c r="AI891"/>
    </row>
    <row r="892" spans="17:35">
      <c r="Q892"/>
      <c r="R892"/>
      <c r="S892"/>
      <c r="T892"/>
      <c r="U892"/>
      <c r="V892"/>
      <c r="W892"/>
      <c r="X892"/>
      <c r="Y892"/>
      <c r="Z892"/>
      <c r="AA892"/>
      <c r="AB892"/>
      <c r="AC892"/>
      <c r="AD892"/>
      <c r="AE892"/>
      <c r="AF892"/>
      <c r="AG892"/>
      <c r="AH892"/>
      <c r="AI892"/>
    </row>
    <row r="893" spans="17:35">
      <c r="Q893"/>
      <c r="R893"/>
      <c r="S893"/>
      <c r="T893"/>
      <c r="U893"/>
      <c r="V893"/>
      <c r="W893"/>
      <c r="X893"/>
      <c r="Y893"/>
      <c r="Z893"/>
      <c r="AA893"/>
      <c r="AB893"/>
      <c r="AC893"/>
      <c r="AD893"/>
      <c r="AE893"/>
      <c r="AF893"/>
      <c r="AG893"/>
      <c r="AH893"/>
      <c r="AI893"/>
    </row>
    <row r="894" spans="17:35">
      <c r="Q894"/>
      <c r="R894"/>
      <c r="S894"/>
      <c r="T894"/>
      <c r="U894"/>
      <c r="V894"/>
      <c r="W894"/>
      <c r="X894"/>
      <c r="Y894"/>
      <c r="Z894"/>
      <c r="AA894"/>
      <c r="AB894"/>
      <c r="AC894"/>
      <c r="AD894"/>
      <c r="AE894"/>
      <c r="AF894"/>
      <c r="AG894"/>
      <c r="AH894"/>
      <c r="AI894"/>
    </row>
    <row r="895" spans="17:35">
      <c r="Q895"/>
      <c r="R895"/>
      <c r="S895"/>
      <c r="T895"/>
      <c r="U895"/>
      <c r="V895"/>
      <c r="W895"/>
      <c r="X895"/>
      <c r="Y895"/>
      <c r="Z895"/>
      <c r="AA895"/>
      <c r="AB895"/>
      <c r="AC895"/>
      <c r="AD895"/>
      <c r="AE895"/>
      <c r="AF895"/>
      <c r="AG895"/>
      <c r="AH895"/>
      <c r="AI895"/>
    </row>
    <row r="896" spans="17:35">
      <c r="Q896"/>
      <c r="R896"/>
      <c r="S896"/>
      <c r="T896"/>
      <c r="U896"/>
      <c r="V896"/>
      <c r="W896"/>
      <c r="X896"/>
      <c r="Y896"/>
      <c r="Z896"/>
      <c r="AA896"/>
      <c r="AB896"/>
      <c r="AC896"/>
      <c r="AD896"/>
      <c r="AE896"/>
      <c r="AF896"/>
      <c r="AG896"/>
      <c r="AH896"/>
      <c r="AI896"/>
    </row>
    <row r="897" spans="17:35">
      <c r="Q897"/>
      <c r="R897"/>
      <c r="S897"/>
      <c r="T897"/>
      <c r="U897"/>
      <c r="V897"/>
      <c r="W897"/>
      <c r="X897"/>
      <c r="Y897"/>
      <c r="Z897"/>
      <c r="AA897"/>
      <c r="AB897"/>
      <c r="AC897"/>
      <c r="AD897"/>
      <c r="AE897"/>
      <c r="AF897"/>
      <c r="AG897"/>
      <c r="AH897"/>
      <c r="AI897"/>
    </row>
    <row r="898" spans="17:35">
      <c r="Q898"/>
      <c r="R898"/>
      <c r="S898"/>
      <c r="T898"/>
      <c r="U898"/>
      <c r="V898"/>
      <c r="W898"/>
      <c r="X898"/>
      <c r="Y898"/>
      <c r="Z898"/>
      <c r="AA898"/>
      <c r="AB898"/>
      <c r="AC898"/>
      <c r="AD898"/>
      <c r="AE898"/>
      <c r="AF898"/>
      <c r="AG898"/>
      <c r="AH898"/>
      <c r="AI898"/>
    </row>
    <row r="899" spans="17:35">
      <c r="Q899"/>
      <c r="R899"/>
      <c r="S899"/>
      <c r="T899"/>
      <c r="U899"/>
      <c r="V899"/>
      <c r="W899"/>
      <c r="X899"/>
      <c r="Y899"/>
      <c r="Z899"/>
      <c r="AA899"/>
      <c r="AB899"/>
      <c r="AC899"/>
      <c r="AD899"/>
      <c r="AE899"/>
      <c r="AF899"/>
      <c r="AG899"/>
      <c r="AH899"/>
      <c r="AI899"/>
    </row>
    <row r="900" spans="17:35">
      <c r="Q900"/>
      <c r="R900"/>
      <c r="S900"/>
      <c r="T900"/>
      <c r="U900"/>
      <c r="V900"/>
      <c r="W900"/>
      <c r="X900"/>
      <c r="Y900"/>
      <c r="Z900"/>
      <c r="AA900"/>
      <c r="AB900"/>
      <c r="AC900"/>
      <c r="AD900"/>
      <c r="AE900"/>
      <c r="AF900"/>
      <c r="AG900"/>
      <c r="AH900"/>
      <c r="AI900"/>
    </row>
    <row r="901" spans="17:35">
      <c r="Q901"/>
      <c r="R901"/>
      <c r="S901"/>
      <c r="T901"/>
      <c r="U901"/>
      <c r="V901"/>
      <c r="W901"/>
      <c r="X901"/>
      <c r="Y901"/>
      <c r="Z901"/>
      <c r="AA901"/>
      <c r="AB901"/>
      <c r="AC901"/>
      <c r="AD901"/>
      <c r="AE901"/>
      <c r="AF901"/>
      <c r="AG901"/>
      <c r="AH901"/>
      <c r="AI901"/>
    </row>
    <row r="902" spans="17:35">
      <c r="Q902"/>
      <c r="R902"/>
      <c r="S902"/>
      <c r="T902"/>
      <c r="U902"/>
      <c r="V902"/>
      <c r="W902"/>
      <c r="X902"/>
      <c r="Y902"/>
      <c r="Z902"/>
      <c r="AA902"/>
      <c r="AB902"/>
      <c r="AC902"/>
      <c r="AD902"/>
      <c r="AE902"/>
      <c r="AF902"/>
      <c r="AG902"/>
      <c r="AH902"/>
      <c r="AI902"/>
    </row>
    <row r="903" spans="17:35">
      <c r="Q903"/>
      <c r="R903"/>
      <c r="S903"/>
      <c r="T903"/>
      <c r="U903"/>
      <c r="V903"/>
      <c r="W903"/>
      <c r="X903"/>
      <c r="Y903"/>
      <c r="Z903"/>
      <c r="AA903"/>
      <c r="AB903"/>
      <c r="AC903"/>
      <c r="AD903"/>
      <c r="AE903"/>
      <c r="AF903"/>
      <c r="AG903"/>
      <c r="AH903"/>
      <c r="AI903"/>
    </row>
    <row r="904" spans="17:35">
      <c r="Q904"/>
      <c r="R904"/>
      <c r="S904"/>
      <c r="T904"/>
      <c r="U904"/>
      <c r="V904"/>
      <c r="W904"/>
      <c r="X904"/>
      <c r="Y904"/>
      <c r="Z904"/>
      <c r="AA904"/>
      <c r="AB904"/>
      <c r="AC904"/>
      <c r="AD904"/>
      <c r="AE904"/>
      <c r="AF904"/>
      <c r="AG904"/>
      <c r="AH904"/>
      <c r="AI904"/>
    </row>
    <row r="905" spans="17:35">
      <c r="Q905"/>
      <c r="R905"/>
      <c r="S905"/>
      <c r="T905"/>
      <c r="U905"/>
      <c r="V905"/>
      <c r="W905"/>
      <c r="X905"/>
      <c r="Y905"/>
      <c r="Z905"/>
      <c r="AA905"/>
      <c r="AB905"/>
      <c r="AC905"/>
      <c r="AD905"/>
      <c r="AE905"/>
      <c r="AF905"/>
      <c r="AG905"/>
      <c r="AH905"/>
      <c r="AI905"/>
    </row>
    <row r="906" spans="17:35">
      <c r="Q906"/>
      <c r="R906"/>
      <c r="S906"/>
      <c r="T906"/>
      <c r="U906"/>
      <c r="V906"/>
      <c r="W906"/>
      <c r="X906"/>
      <c r="Y906"/>
      <c r="Z906"/>
      <c r="AA906"/>
      <c r="AB906"/>
      <c r="AC906"/>
      <c r="AD906"/>
      <c r="AE906"/>
      <c r="AF906"/>
      <c r="AG906"/>
      <c r="AH906"/>
      <c r="AI906"/>
    </row>
    <row r="907" spans="17:35">
      <c r="Q907"/>
      <c r="R907"/>
      <c r="S907"/>
      <c r="T907"/>
      <c r="U907"/>
      <c r="V907"/>
      <c r="W907"/>
      <c r="X907"/>
      <c r="Y907"/>
      <c r="Z907"/>
      <c r="AA907"/>
      <c r="AB907"/>
      <c r="AC907"/>
      <c r="AD907"/>
      <c r="AE907"/>
      <c r="AF907"/>
      <c r="AG907"/>
      <c r="AH907"/>
      <c r="AI907"/>
    </row>
    <row r="908" spans="17:35">
      <c r="Q908"/>
      <c r="R908"/>
      <c r="S908"/>
      <c r="T908"/>
      <c r="U908"/>
      <c r="V908"/>
      <c r="W908"/>
      <c r="X908"/>
      <c r="Y908"/>
      <c r="Z908"/>
      <c r="AA908"/>
      <c r="AB908"/>
      <c r="AC908"/>
      <c r="AD908"/>
      <c r="AE908"/>
      <c r="AF908"/>
      <c r="AG908"/>
      <c r="AH908"/>
      <c r="AI908"/>
    </row>
    <row r="909" spans="17:35">
      <c r="Q909"/>
      <c r="R909"/>
      <c r="S909"/>
      <c r="T909"/>
      <c r="U909"/>
      <c r="V909"/>
      <c r="W909"/>
      <c r="X909"/>
      <c r="Y909"/>
      <c r="Z909"/>
      <c r="AA909"/>
      <c r="AB909"/>
      <c r="AC909"/>
      <c r="AD909"/>
      <c r="AE909"/>
      <c r="AF909"/>
      <c r="AG909"/>
      <c r="AH909"/>
      <c r="AI909"/>
    </row>
    <row r="910" spans="17:35">
      <c r="Q910"/>
      <c r="R910"/>
      <c r="S910"/>
      <c r="T910"/>
      <c r="U910"/>
      <c r="V910"/>
      <c r="W910"/>
      <c r="X910"/>
      <c r="Y910"/>
      <c r="Z910"/>
      <c r="AA910"/>
      <c r="AB910"/>
      <c r="AC910"/>
      <c r="AD910"/>
      <c r="AE910"/>
      <c r="AF910"/>
      <c r="AG910"/>
      <c r="AH910"/>
      <c r="AI910"/>
    </row>
    <row r="911" spans="17:35">
      <c r="Q911"/>
      <c r="R911"/>
      <c r="S911"/>
      <c r="T911"/>
      <c r="U911"/>
      <c r="V911"/>
      <c r="W911"/>
      <c r="X911"/>
      <c r="Y911"/>
      <c r="Z911"/>
      <c r="AA911"/>
      <c r="AB911"/>
      <c r="AC911"/>
      <c r="AD911"/>
      <c r="AE911"/>
      <c r="AF911"/>
      <c r="AG911"/>
      <c r="AH911"/>
      <c r="AI911"/>
    </row>
    <row r="912" spans="17:35">
      <c r="Q912"/>
      <c r="R912"/>
      <c r="S912"/>
      <c r="T912"/>
      <c r="U912"/>
      <c r="V912"/>
      <c r="W912"/>
      <c r="X912"/>
      <c r="Y912"/>
      <c r="Z912"/>
      <c r="AA912"/>
      <c r="AB912"/>
      <c r="AC912"/>
      <c r="AD912"/>
      <c r="AE912"/>
      <c r="AF912"/>
      <c r="AG912"/>
      <c r="AH912"/>
      <c r="AI912"/>
    </row>
    <row r="913" spans="17:35">
      <c r="Q913"/>
      <c r="R913"/>
      <c r="S913"/>
      <c r="T913"/>
      <c r="U913"/>
      <c r="V913"/>
      <c r="W913"/>
      <c r="X913"/>
      <c r="Y913"/>
      <c r="Z913"/>
      <c r="AA913"/>
      <c r="AB913"/>
      <c r="AC913"/>
      <c r="AD913"/>
      <c r="AE913"/>
      <c r="AF913"/>
      <c r="AG913"/>
      <c r="AH913"/>
      <c r="AI913"/>
    </row>
    <row r="914" spans="17:35">
      <c r="Q914"/>
      <c r="R914"/>
      <c r="S914"/>
      <c r="T914"/>
      <c r="U914"/>
      <c r="V914"/>
      <c r="W914"/>
      <c r="X914"/>
      <c r="Y914"/>
      <c r="Z914"/>
      <c r="AA914"/>
      <c r="AB914"/>
      <c r="AC914"/>
      <c r="AD914"/>
      <c r="AE914"/>
      <c r="AF914"/>
      <c r="AG914"/>
      <c r="AH914"/>
      <c r="AI914"/>
    </row>
    <row r="915" spans="17:35">
      <c r="Q915"/>
      <c r="R915"/>
      <c r="S915"/>
      <c r="T915"/>
      <c r="U915"/>
      <c r="V915"/>
      <c r="W915"/>
      <c r="X915"/>
      <c r="Y915"/>
      <c r="Z915"/>
      <c r="AA915"/>
      <c r="AB915"/>
      <c r="AC915"/>
      <c r="AD915"/>
      <c r="AE915"/>
      <c r="AF915"/>
      <c r="AG915"/>
      <c r="AH915"/>
      <c r="AI915"/>
    </row>
    <row r="916" spans="17:35">
      <c r="Q916"/>
      <c r="R916"/>
      <c r="S916"/>
      <c r="T916"/>
      <c r="U916"/>
      <c r="V916"/>
      <c r="W916"/>
      <c r="X916"/>
      <c r="Y916"/>
      <c r="Z916"/>
      <c r="AA916"/>
      <c r="AB916"/>
      <c r="AC916"/>
      <c r="AD916"/>
      <c r="AE916"/>
      <c r="AF916"/>
      <c r="AG916"/>
      <c r="AH916"/>
      <c r="AI916"/>
    </row>
    <row r="917" spans="17:35">
      <c r="Q917"/>
      <c r="R917"/>
      <c r="S917"/>
      <c r="T917"/>
      <c r="U917"/>
      <c r="V917"/>
      <c r="W917"/>
      <c r="X917"/>
      <c r="Y917"/>
      <c r="Z917"/>
      <c r="AA917"/>
      <c r="AB917"/>
      <c r="AC917"/>
      <c r="AD917"/>
      <c r="AE917"/>
      <c r="AF917"/>
      <c r="AG917"/>
      <c r="AH917"/>
      <c r="AI917"/>
    </row>
    <row r="918" spans="17:35">
      <c r="Q918"/>
      <c r="R918"/>
      <c r="S918"/>
      <c r="T918"/>
      <c r="U918"/>
      <c r="V918"/>
      <c r="W918"/>
      <c r="X918"/>
      <c r="Y918"/>
      <c r="Z918"/>
      <c r="AA918"/>
      <c r="AB918"/>
      <c r="AC918"/>
      <c r="AD918"/>
      <c r="AE918"/>
      <c r="AF918"/>
      <c r="AG918"/>
      <c r="AH918"/>
      <c r="AI918"/>
    </row>
    <row r="919" spans="17:35">
      <c r="Q919"/>
      <c r="R919"/>
      <c r="S919"/>
      <c r="T919"/>
      <c r="U919"/>
      <c r="V919"/>
      <c r="W919"/>
      <c r="X919"/>
      <c r="Y919"/>
      <c r="Z919"/>
      <c r="AA919"/>
      <c r="AB919"/>
      <c r="AC919"/>
      <c r="AD919"/>
      <c r="AE919"/>
      <c r="AF919"/>
      <c r="AG919"/>
      <c r="AH919"/>
      <c r="AI919"/>
    </row>
    <row r="920" spans="17:35">
      <c r="Q920"/>
      <c r="R920"/>
      <c r="S920"/>
      <c r="T920"/>
      <c r="U920"/>
      <c r="V920"/>
      <c r="W920"/>
      <c r="X920"/>
      <c r="Y920"/>
      <c r="Z920"/>
      <c r="AA920"/>
      <c r="AB920"/>
      <c r="AC920"/>
      <c r="AD920"/>
      <c r="AE920"/>
      <c r="AF920"/>
      <c r="AG920"/>
      <c r="AH920"/>
      <c r="AI920"/>
    </row>
    <row r="921" spans="17:35">
      <c r="Q921"/>
      <c r="R921"/>
      <c r="S921"/>
      <c r="T921"/>
      <c r="U921"/>
      <c r="V921"/>
      <c r="W921"/>
      <c r="X921"/>
      <c r="Y921"/>
      <c r="Z921"/>
      <c r="AA921"/>
      <c r="AB921"/>
      <c r="AC921"/>
      <c r="AD921"/>
      <c r="AE921"/>
      <c r="AF921"/>
      <c r="AG921"/>
      <c r="AH921"/>
      <c r="AI921"/>
    </row>
    <row r="922" spans="17:35">
      <c r="Q922"/>
      <c r="R922"/>
      <c r="S922"/>
      <c r="T922"/>
      <c r="U922"/>
      <c r="V922"/>
      <c r="W922"/>
      <c r="X922"/>
      <c r="Y922"/>
      <c r="Z922"/>
      <c r="AA922"/>
      <c r="AB922"/>
      <c r="AC922"/>
      <c r="AD922"/>
      <c r="AE922"/>
      <c r="AF922"/>
      <c r="AG922"/>
      <c r="AH922"/>
      <c r="AI922"/>
    </row>
    <row r="923" spans="17:35">
      <c r="Q923"/>
      <c r="R923"/>
      <c r="S923"/>
      <c r="T923"/>
      <c r="U923"/>
      <c r="V923"/>
      <c r="W923"/>
      <c r="X923"/>
      <c r="Y923"/>
      <c r="Z923"/>
      <c r="AA923"/>
      <c r="AB923"/>
      <c r="AC923"/>
      <c r="AD923"/>
      <c r="AE923"/>
      <c r="AF923"/>
      <c r="AG923"/>
      <c r="AH923"/>
      <c r="AI923"/>
    </row>
    <row r="924" spans="17:35">
      <c r="Q924"/>
      <c r="R924"/>
      <c r="S924"/>
      <c r="T924"/>
      <c r="U924"/>
      <c r="V924"/>
      <c r="W924"/>
      <c r="X924"/>
      <c r="Y924"/>
      <c r="Z924"/>
      <c r="AA924"/>
      <c r="AB924"/>
      <c r="AC924"/>
      <c r="AD924"/>
      <c r="AE924"/>
      <c r="AF924"/>
      <c r="AG924"/>
      <c r="AH924"/>
      <c r="AI924"/>
    </row>
    <row r="925" spans="17:35">
      <c r="Q925"/>
      <c r="R925"/>
      <c r="S925"/>
      <c r="T925"/>
      <c r="U925"/>
      <c r="V925"/>
      <c r="W925"/>
      <c r="X925"/>
      <c r="Y925"/>
      <c r="Z925"/>
      <c r="AA925"/>
      <c r="AB925"/>
      <c r="AC925"/>
      <c r="AD925"/>
      <c r="AE925"/>
      <c r="AF925"/>
      <c r="AG925"/>
      <c r="AH925"/>
      <c r="AI925"/>
    </row>
    <row r="926" spans="17:35">
      <c r="Q926"/>
      <c r="R926"/>
      <c r="S926"/>
      <c r="T926"/>
      <c r="U926"/>
      <c r="V926"/>
      <c r="W926"/>
      <c r="X926"/>
      <c r="Y926"/>
      <c r="Z926"/>
      <c r="AA926"/>
      <c r="AB926"/>
      <c r="AC926"/>
      <c r="AD926"/>
      <c r="AE926"/>
      <c r="AF926"/>
      <c r="AG926"/>
      <c r="AH926"/>
      <c r="AI926"/>
    </row>
    <row r="927" spans="17:35">
      <c r="Q927"/>
      <c r="R927"/>
      <c r="S927"/>
      <c r="T927"/>
      <c r="U927"/>
      <c r="V927"/>
      <c r="W927"/>
      <c r="X927"/>
      <c r="Y927"/>
      <c r="Z927"/>
      <c r="AA927"/>
      <c r="AB927"/>
      <c r="AC927"/>
      <c r="AD927"/>
      <c r="AE927"/>
      <c r="AF927"/>
      <c r="AG927"/>
      <c r="AH927"/>
      <c r="AI927"/>
    </row>
    <row r="928" spans="17:35">
      <c r="Q928"/>
      <c r="R928"/>
      <c r="S928"/>
      <c r="T928"/>
      <c r="U928"/>
      <c r="V928"/>
      <c r="W928"/>
      <c r="X928"/>
      <c r="Y928"/>
      <c r="Z928"/>
      <c r="AA928"/>
      <c r="AB928"/>
      <c r="AC928"/>
      <c r="AD928"/>
      <c r="AE928"/>
      <c r="AF928"/>
      <c r="AG928"/>
      <c r="AH928"/>
      <c r="AI928"/>
    </row>
    <row r="929" spans="17:35">
      <c r="Q929"/>
      <c r="R929"/>
      <c r="S929"/>
      <c r="T929"/>
      <c r="U929"/>
      <c r="V929"/>
      <c r="W929"/>
      <c r="X929"/>
      <c r="Y929"/>
      <c r="Z929"/>
      <c r="AA929"/>
      <c r="AB929"/>
      <c r="AC929"/>
      <c r="AD929"/>
      <c r="AE929"/>
      <c r="AF929"/>
      <c r="AG929"/>
      <c r="AH929"/>
      <c r="AI929"/>
    </row>
    <row r="930" spans="17:35">
      <c r="Q930"/>
      <c r="R930"/>
      <c r="S930"/>
      <c r="T930"/>
      <c r="U930"/>
      <c r="V930"/>
      <c r="W930"/>
      <c r="X930"/>
      <c r="Y930"/>
      <c r="Z930"/>
      <c r="AA930"/>
      <c r="AB930"/>
      <c r="AC930"/>
      <c r="AD930"/>
      <c r="AE930"/>
      <c r="AF930"/>
      <c r="AG930"/>
      <c r="AH930"/>
      <c r="AI930"/>
    </row>
    <row r="931" spans="17:35">
      <c r="Q931"/>
      <c r="R931"/>
      <c r="S931"/>
      <c r="T931"/>
      <c r="U931"/>
      <c r="V931"/>
      <c r="W931"/>
      <c r="X931"/>
      <c r="Y931"/>
      <c r="Z931"/>
      <c r="AA931"/>
      <c r="AB931"/>
      <c r="AC931"/>
      <c r="AD931"/>
      <c r="AE931"/>
      <c r="AF931"/>
      <c r="AG931"/>
      <c r="AH931"/>
      <c r="AI931"/>
    </row>
    <row r="932" spans="17:35">
      <c r="Q932"/>
      <c r="R932"/>
      <c r="S932"/>
      <c r="T932"/>
      <c r="U932"/>
      <c r="V932"/>
      <c r="W932"/>
      <c r="X932"/>
      <c r="Y932"/>
      <c r="Z932"/>
      <c r="AA932"/>
      <c r="AB932"/>
      <c r="AC932"/>
      <c r="AD932"/>
      <c r="AE932"/>
      <c r="AF932"/>
      <c r="AG932"/>
      <c r="AH932"/>
      <c r="AI932"/>
    </row>
    <row r="933" spans="17:35">
      <c r="Q933"/>
      <c r="R933"/>
      <c r="S933"/>
      <c r="T933"/>
      <c r="U933"/>
      <c r="V933"/>
      <c r="W933"/>
      <c r="X933"/>
      <c r="Y933"/>
      <c r="Z933"/>
      <c r="AA933"/>
      <c r="AB933"/>
      <c r="AC933"/>
      <c r="AD933"/>
      <c r="AE933"/>
      <c r="AF933"/>
      <c r="AG933"/>
      <c r="AH933"/>
      <c r="AI933"/>
    </row>
    <row r="934" spans="17:35">
      <c r="Q934"/>
      <c r="R934"/>
      <c r="S934"/>
      <c r="T934"/>
      <c r="U934"/>
      <c r="V934"/>
      <c r="W934"/>
      <c r="X934"/>
      <c r="Y934"/>
      <c r="Z934"/>
      <c r="AA934"/>
      <c r="AB934"/>
      <c r="AC934"/>
      <c r="AD934"/>
      <c r="AE934"/>
      <c r="AF934"/>
      <c r="AG934"/>
      <c r="AH934"/>
      <c r="AI934"/>
    </row>
  </sheetData>
  <mergeCells count="540">
    <mergeCell ref="R25:U25"/>
    <mergeCell ref="R36:T36"/>
    <mergeCell ref="R41:T41"/>
    <mergeCell ref="R42:T42"/>
    <mergeCell ref="R31:T32"/>
    <mergeCell ref="R33:T33"/>
    <mergeCell ref="R34:T34"/>
    <mergeCell ref="R35:T35"/>
    <mergeCell ref="R39:T40"/>
    <mergeCell ref="R67:T68"/>
    <mergeCell ref="R64:Y64"/>
    <mergeCell ref="R56:T56"/>
    <mergeCell ref="X54:X55"/>
    <mergeCell ref="V67:V68"/>
    <mergeCell ref="V54:V55"/>
    <mergeCell ref="X59:X60"/>
    <mergeCell ref="X31:X32"/>
    <mergeCell ref="V39:V40"/>
    <mergeCell ref="U59:U60"/>
    <mergeCell ref="R49:T50"/>
    <mergeCell ref="R51:T51"/>
    <mergeCell ref="W59:W60"/>
    <mergeCell ref="R59:T60"/>
    <mergeCell ref="R54:T55"/>
    <mergeCell ref="W54:W55"/>
    <mergeCell ref="R71:T71"/>
    <mergeCell ref="W67:W68"/>
    <mergeCell ref="W74:W75"/>
    <mergeCell ref="V59:V60"/>
    <mergeCell ref="R69:T69"/>
    <mergeCell ref="U54:U55"/>
    <mergeCell ref="R70:T70"/>
    <mergeCell ref="R61:T61"/>
    <mergeCell ref="R62:T62"/>
    <mergeCell ref="R43:T43"/>
    <mergeCell ref="R44:T44"/>
    <mergeCell ref="W39:W40"/>
    <mergeCell ref="U31:U32"/>
    <mergeCell ref="V31:V32"/>
    <mergeCell ref="W31:W32"/>
    <mergeCell ref="X39:X40"/>
    <mergeCell ref="U83:U84"/>
    <mergeCell ref="V83:V84"/>
    <mergeCell ref="W83:W84"/>
    <mergeCell ref="U49:U50"/>
    <mergeCell ref="V49:V50"/>
    <mergeCell ref="W49:W50"/>
    <mergeCell ref="U67:U68"/>
    <mergeCell ref="U39:U40"/>
    <mergeCell ref="X49:X50"/>
    <mergeCell ref="U365:U366"/>
    <mergeCell ref="R365:S368"/>
    <mergeCell ref="T365:T366"/>
    <mergeCell ref="R299:U299"/>
    <mergeCell ref="T301:U301"/>
    <mergeCell ref="T302:U302"/>
    <mergeCell ref="R319:W319"/>
    <mergeCell ref="R316:W318"/>
    <mergeCell ref="R320:W320"/>
    <mergeCell ref="R349:W349"/>
    <mergeCell ref="R146:T146"/>
    <mergeCell ref="R149:X149"/>
    <mergeCell ref="V112:V113"/>
    <mergeCell ref="X112:X113"/>
    <mergeCell ref="R134:T134"/>
    <mergeCell ref="R135:T135"/>
    <mergeCell ref="R112:T113"/>
    <mergeCell ref="R121:T121"/>
    <mergeCell ref="R126:T127"/>
    <mergeCell ref="U132:U133"/>
    <mergeCell ref="R83:T84"/>
    <mergeCell ref="R85:T85"/>
    <mergeCell ref="R102:T102"/>
    <mergeCell ref="R108:T108"/>
    <mergeCell ref="R87:T87"/>
    <mergeCell ref="R145:T145"/>
    <mergeCell ref="R336:S339"/>
    <mergeCell ref="R164:T164"/>
    <mergeCell ref="R170:T170"/>
    <mergeCell ref="R152:T152"/>
    <mergeCell ref="R153:T153"/>
    <mergeCell ref="R158:T158"/>
    <mergeCell ref="R165:T165"/>
    <mergeCell ref="R273:T273"/>
    <mergeCell ref="R231:U231"/>
    <mergeCell ref="R235:T236"/>
    <mergeCell ref="W400:W401"/>
    <mergeCell ref="R92:T92"/>
    <mergeCell ref="R90:T91"/>
    <mergeCell ref="R86:T86"/>
    <mergeCell ref="R103:T103"/>
    <mergeCell ref="R386:W386"/>
    <mergeCell ref="R387:S390"/>
    <mergeCell ref="T387:T388"/>
    <mergeCell ref="R159:T159"/>
    <mergeCell ref="R279:T279"/>
    <mergeCell ref="U90:U91"/>
    <mergeCell ref="R348:W348"/>
    <mergeCell ref="R377:W377"/>
    <mergeCell ref="V365:V366"/>
    <mergeCell ref="W365:W366"/>
    <mergeCell ref="R406:W406"/>
    <mergeCell ref="W394:W395"/>
    <mergeCell ref="U394:U395"/>
    <mergeCell ref="V394:V395"/>
    <mergeCell ref="V400:V401"/>
    <mergeCell ref="R46:Y46"/>
    <mergeCell ref="R24:U24"/>
    <mergeCell ref="R400:S403"/>
    <mergeCell ref="T400:T401"/>
    <mergeCell ref="U400:U401"/>
    <mergeCell ref="R74:T75"/>
    <mergeCell ref="R76:T76"/>
    <mergeCell ref="R106:T107"/>
    <mergeCell ref="R78:T78"/>
    <mergeCell ref="R132:T133"/>
    <mergeCell ref="R94:T94"/>
    <mergeCell ref="R114:T114"/>
    <mergeCell ref="R12:U12"/>
    <mergeCell ref="R15:U15"/>
    <mergeCell ref="R16:U16"/>
    <mergeCell ref="R13:U13"/>
    <mergeCell ref="R14:U14"/>
    <mergeCell ref="R77:T77"/>
    <mergeCell ref="R21:U21"/>
    <mergeCell ref="R28:Y28"/>
    <mergeCell ref="V100:V101"/>
    <mergeCell ref="W100:W101"/>
    <mergeCell ref="R109:T109"/>
    <mergeCell ref="R120:T120"/>
    <mergeCell ref="R100:T101"/>
    <mergeCell ref="U112:U113"/>
    <mergeCell ref="U100:U101"/>
    <mergeCell ref="R115:T115"/>
    <mergeCell ref="U336:U337"/>
    <mergeCell ref="R179:T179"/>
    <mergeCell ref="R93:T93"/>
    <mergeCell ref="V90:V91"/>
    <mergeCell ref="W90:W91"/>
    <mergeCell ref="X90:X91"/>
    <mergeCell ref="W112:W113"/>
    <mergeCell ref="X106:X107"/>
    <mergeCell ref="V106:V107"/>
    <mergeCell ref="W106:W107"/>
    <mergeCell ref="W342:W343"/>
    <mergeCell ref="R351:S355"/>
    <mergeCell ref="X100:X101"/>
    <mergeCell ref="T336:T337"/>
    <mergeCell ref="R341:W341"/>
    <mergeCell ref="R169:T169"/>
    <mergeCell ref="R172:T173"/>
    <mergeCell ref="V336:V337"/>
    <mergeCell ref="W336:W337"/>
    <mergeCell ref="U172:U173"/>
    <mergeCell ref="V126:V127"/>
    <mergeCell ref="W126:W127"/>
    <mergeCell ref="R180:T180"/>
    <mergeCell ref="U351:U353"/>
    <mergeCell ref="V351:V353"/>
    <mergeCell ref="W351:W353"/>
    <mergeCell ref="R342:S345"/>
    <mergeCell ref="T342:T343"/>
    <mergeCell ref="U342:U343"/>
    <mergeCell ref="V342:V343"/>
    <mergeCell ref="R143:T144"/>
    <mergeCell ref="U143:U144"/>
    <mergeCell ref="T351:T353"/>
    <mergeCell ref="R130:Y130"/>
    <mergeCell ref="U106:U107"/>
    <mergeCell ref="U145:U146"/>
    <mergeCell ref="X126:X127"/>
    <mergeCell ref="U126:U127"/>
    <mergeCell ref="X118:X119"/>
    <mergeCell ref="R123:Y123"/>
    <mergeCell ref="R455:S458"/>
    <mergeCell ref="R181:T181"/>
    <mergeCell ref="V132:V133"/>
    <mergeCell ref="V143:V144"/>
    <mergeCell ref="W143:W144"/>
    <mergeCell ref="X132:X133"/>
    <mergeCell ref="X143:X144"/>
    <mergeCell ref="R175:T175"/>
    <mergeCell ref="R137:Y137"/>
    <mergeCell ref="R142:W142"/>
    <mergeCell ref="R435:W437"/>
    <mergeCell ref="R439:W439"/>
    <mergeCell ref="R423:S426"/>
    <mergeCell ref="T423:T424"/>
    <mergeCell ref="U423:U424"/>
    <mergeCell ref="V423:V424"/>
    <mergeCell ref="T455:T456"/>
    <mergeCell ref="U455:U456"/>
    <mergeCell ref="V455:V456"/>
    <mergeCell ref="R476:W476"/>
    <mergeCell ref="R461:S464"/>
    <mergeCell ref="T461:T462"/>
    <mergeCell ref="U461:U462"/>
    <mergeCell ref="V461:V462"/>
    <mergeCell ref="W461:W462"/>
    <mergeCell ref="W455:W456"/>
    <mergeCell ref="R496:W496"/>
    <mergeCell ref="R467:W467"/>
    <mergeCell ref="R468:W468"/>
    <mergeCell ref="R470:S474"/>
    <mergeCell ref="T470:T472"/>
    <mergeCell ref="U470:U472"/>
    <mergeCell ref="V470:V472"/>
    <mergeCell ref="W470:W472"/>
    <mergeCell ref="V477:V478"/>
    <mergeCell ref="T484:T485"/>
    <mergeCell ref="U484:U485"/>
    <mergeCell ref="V484:V485"/>
    <mergeCell ref="W484:W485"/>
    <mergeCell ref="V490:V491"/>
    <mergeCell ref="W490:W491"/>
    <mergeCell ref="T513:T514"/>
    <mergeCell ref="R518:W518"/>
    <mergeCell ref="R519:S522"/>
    <mergeCell ref="T519:T520"/>
    <mergeCell ref="U519:U520"/>
    <mergeCell ref="V519:V520"/>
    <mergeCell ref="X67:X68"/>
    <mergeCell ref="U118:U119"/>
    <mergeCell ref="V118:V119"/>
    <mergeCell ref="W118:W119"/>
    <mergeCell ref="X74:X75"/>
    <mergeCell ref="U74:U75"/>
    <mergeCell ref="V74:V75"/>
    <mergeCell ref="X83:X84"/>
    <mergeCell ref="R80:Y80"/>
    <mergeCell ref="R96:Y96"/>
    <mergeCell ref="B5:D5"/>
    <mergeCell ref="R2:Y3"/>
    <mergeCell ref="R5:U5"/>
    <mergeCell ref="R7:Y7"/>
    <mergeCell ref="B2:K3"/>
    <mergeCell ref="R20:U20"/>
    <mergeCell ref="R10:U10"/>
    <mergeCell ref="R11:U11"/>
    <mergeCell ref="R22:U22"/>
    <mergeCell ref="R23:U23"/>
    <mergeCell ref="R26:U26"/>
    <mergeCell ref="R19:U19"/>
    <mergeCell ref="W150:W151"/>
    <mergeCell ref="X150:X151"/>
    <mergeCell ref="R128:T128"/>
    <mergeCell ref="R118:T119"/>
    <mergeCell ref="W132:W133"/>
    <mergeCell ref="V150:V151"/>
    <mergeCell ref="R147:T147"/>
    <mergeCell ref="X156:X157"/>
    <mergeCell ref="R150:T151"/>
    <mergeCell ref="U150:U151"/>
    <mergeCell ref="V156:V157"/>
    <mergeCell ref="W156:W157"/>
    <mergeCell ref="U152:U154"/>
    <mergeCell ref="R155:X155"/>
    <mergeCell ref="R154:T154"/>
    <mergeCell ref="R148:T148"/>
    <mergeCell ref="U158:U160"/>
    <mergeCell ref="R156:T157"/>
    <mergeCell ref="U156:U157"/>
    <mergeCell ref="R160:T160"/>
    <mergeCell ref="X162:X163"/>
    <mergeCell ref="R167:T168"/>
    <mergeCell ref="U167:U168"/>
    <mergeCell ref="V167:V168"/>
    <mergeCell ref="W167:W168"/>
    <mergeCell ref="X167:X168"/>
    <mergeCell ref="R162:T163"/>
    <mergeCell ref="U162:U163"/>
    <mergeCell ref="V162:V163"/>
    <mergeCell ref="W162:W163"/>
    <mergeCell ref="V172:V173"/>
    <mergeCell ref="W172:W173"/>
    <mergeCell ref="X172:X173"/>
    <mergeCell ref="R174:T174"/>
    <mergeCell ref="W177:W178"/>
    <mergeCell ref="X177:X178"/>
    <mergeCell ref="U177:U178"/>
    <mergeCell ref="V177:V178"/>
    <mergeCell ref="R177:T178"/>
    <mergeCell ref="R183:T184"/>
    <mergeCell ref="V188:V189"/>
    <mergeCell ref="V183:V184"/>
    <mergeCell ref="R185:T185"/>
    <mergeCell ref="U183:U184"/>
    <mergeCell ref="W183:W184"/>
    <mergeCell ref="X183:X184"/>
    <mergeCell ref="X188:X189"/>
    <mergeCell ref="R186:T186"/>
    <mergeCell ref="V193:V194"/>
    <mergeCell ref="W193:W194"/>
    <mergeCell ref="X193:X194"/>
    <mergeCell ref="R188:T189"/>
    <mergeCell ref="U188:U189"/>
    <mergeCell ref="R190:T190"/>
    <mergeCell ref="R191:T191"/>
    <mergeCell ref="R193:T194"/>
    <mergeCell ref="U193:U194"/>
    <mergeCell ref="W188:W189"/>
    <mergeCell ref="R195:T195"/>
    <mergeCell ref="R196:T196"/>
    <mergeCell ref="R198:T199"/>
    <mergeCell ref="U198:U199"/>
    <mergeCell ref="V198:V199"/>
    <mergeCell ref="W198:W199"/>
    <mergeCell ref="X198:X199"/>
    <mergeCell ref="R200:T200"/>
    <mergeCell ref="R201:T201"/>
    <mergeCell ref="R202:T202"/>
    <mergeCell ref="R204:Y208"/>
    <mergeCell ref="R210:W211"/>
    <mergeCell ref="X210:X211"/>
    <mergeCell ref="Y210:Y211"/>
    <mergeCell ref="Y213:Y214"/>
    <mergeCell ref="R215:U215"/>
    <mergeCell ref="R216:U216"/>
    <mergeCell ref="R217:U217"/>
    <mergeCell ref="R213:U214"/>
    <mergeCell ref="V213:V214"/>
    <mergeCell ref="W213:W214"/>
    <mergeCell ref="X213:X214"/>
    <mergeCell ref="R218:U218"/>
    <mergeCell ref="R219:U219"/>
    <mergeCell ref="R220:U220"/>
    <mergeCell ref="R221:U221"/>
    <mergeCell ref="R222:U222"/>
    <mergeCell ref="R223:U223"/>
    <mergeCell ref="R224:U224"/>
    <mergeCell ref="R225:U225"/>
    <mergeCell ref="R226:U226"/>
    <mergeCell ref="R227:U227"/>
    <mergeCell ref="R228:U228"/>
    <mergeCell ref="R229:U229"/>
    <mergeCell ref="U235:U236"/>
    <mergeCell ref="V235:V236"/>
    <mergeCell ref="W235:W236"/>
    <mergeCell ref="X235:X236"/>
    <mergeCell ref="R237:T237"/>
    <mergeCell ref="U237:U239"/>
    <mergeCell ref="R238:T238"/>
    <mergeCell ref="R241:T242"/>
    <mergeCell ref="U241:U242"/>
    <mergeCell ref="R239:T239"/>
    <mergeCell ref="V241:V242"/>
    <mergeCell ref="W241:W242"/>
    <mergeCell ref="X241:X242"/>
    <mergeCell ref="R243:T243"/>
    <mergeCell ref="U243:U245"/>
    <mergeCell ref="R244:T244"/>
    <mergeCell ref="R245:T245"/>
    <mergeCell ref="X247:X248"/>
    <mergeCell ref="U249:U251"/>
    <mergeCell ref="R250:T250"/>
    <mergeCell ref="R251:T251"/>
    <mergeCell ref="R247:T248"/>
    <mergeCell ref="U247:U248"/>
    <mergeCell ref="V247:V248"/>
    <mergeCell ref="W247:W248"/>
    <mergeCell ref="R249:T249"/>
    <mergeCell ref="X254:X255"/>
    <mergeCell ref="R257:T257"/>
    <mergeCell ref="R260:Y260"/>
    <mergeCell ref="W254:W255"/>
    <mergeCell ref="R264:S265"/>
    <mergeCell ref="U264:V264"/>
    <mergeCell ref="U265:V265"/>
    <mergeCell ref="R254:T255"/>
    <mergeCell ref="U254:U255"/>
    <mergeCell ref="V254:V255"/>
    <mergeCell ref="X267:X268"/>
    <mergeCell ref="R268:R271"/>
    <mergeCell ref="S268:T268"/>
    <mergeCell ref="S269:T269"/>
    <mergeCell ref="S270:T270"/>
    <mergeCell ref="S271:T271"/>
    <mergeCell ref="R267:T267"/>
    <mergeCell ref="U267:U268"/>
    <mergeCell ref="V267:V268"/>
    <mergeCell ref="W267:W268"/>
    <mergeCell ref="R272:X272"/>
    <mergeCell ref="U273:U274"/>
    <mergeCell ref="V273:V274"/>
    <mergeCell ref="W273:W274"/>
    <mergeCell ref="X273:X274"/>
    <mergeCell ref="R274:R277"/>
    <mergeCell ref="S274:T274"/>
    <mergeCell ref="S275:T275"/>
    <mergeCell ref="S276:T276"/>
    <mergeCell ref="S277:T277"/>
    <mergeCell ref="R278:X278"/>
    <mergeCell ref="U279:U280"/>
    <mergeCell ref="V279:V280"/>
    <mergeCell ref="W279:W280"/>
    <mergeCell ref="X279:X280"/>
    <mergeCell ref="R280:R283"/>
    <mergeCell ref="S280:T280"/>
    <mergeCell ref="S281:T281"/>
    <mergeCell ref="S282:T282"/>
    <mergeCell ref="S283:T283"/>
    <mergeCell ref="Y286:Y287"/>
    <mergeCell ref="R288:U288"/>
    <mergeCell ref="R289:U289"/>
    <mergeCell ref="R290:U290"/>
    <mergeCell ref="R286:U287"/>
    <mergeCell ref="V286:V287"/>
    <mergeCell ref="W286:W287"/>
    <mergeCell ref="X286:X287"/>
    <mergeCell ref="R291:U291"/>
    <mergeCell ref="R292:U292"/>
    <mergeCell ref="R293:U293"/>
    <mergeCell ref="R294:U294"/>
    <mergeCell ref="R295:U295"/>
    <mergeCell ref="R296:U296"/>
    <mergeCell ref="R297:U297"/>
    <mergeCell ref="R298:U298"/>
    <mergeCell ref="V322:V324"/>
    <mergeCell ref="R305:V305"/>
    <mergeCell ref="R306:R307"/>
    <mergeCell ref="S306:S307"/>
    <mergeCell ref="T306:T307"/>
    <mergeCell ref="U306:U307"/>
    <mergeCell ref="V306:V307"/>
    <mergeCell ref="W322:W324"/>
    <mergeCell ref="R328:W328"/>
    <mergeCell ref="R329:S332"/>
    <mergeCell ref="T329:T330"/>
    <mergeCell ref="U329:U330"/>
    <mergeCell ref="V329:V330"/>
    <mergeCell ref="W329:W330"/>
    <mergeCell ref="R322:S326"/>
    <mergeCell ref="T322:T324"/>
    <mergeCell ref="U322:U324"/>
    <mergeCell ref="R357:W357"/>
    <mergeCell ref="R358:S361"/>
    <mergeCell ref="T358:T359"/>
    <mergeCell ref="U358:U359"/>
    <mergeCell ref="V358:V359"/>
    <mergeCell ref="W358:W359"/>
    <mergeCell ref="R370:W370"/>
    <mergeCell ref="R371:S374"/>
    <mergeCell ref="T371:T372"/>
    <mergeCell ref="U371:U372"/>
    <mergeCell ref="V371:V372"/>
    <mergeCell ref="W371:W372"/>
    <mergeCell ref="R378:W378"/>
    <mergeCell ref="R380:S384"/>
    <mergeCell ref="T380:T382"/>
    <mergeCell ref="U380:U382"/>
    <mergeCell ref="V380:V382"/>
    <mergeCell ref="W380:W382"/>
    <mergeCell ref="U387:U388"/>
    <mergeCell ref="V387:V388"/>
    <mergeCell ref="W387:W388"/>
    <mergeCell ref="R399:W399"/>
    <mergeCell ref="R394:S397"/>
    <mergeCell ref="T394:T395"/>
    <mergeCell ref="R407:W407"/>
    <mergeCell ref="R409:S413"/>
    <mergeCell ref="T409:T411"/>
    <mergeCell ref="U409:U411"/>
    <mergeCell ref="V409:V411"/>
    <mergeCell ref="W409:W411"/>
    <mergeCell ref="R415:W415"/>
    <mergeCell ref="R416:S419"/>
    <mergeCell ref="T416:T417"/>
    <mergeCell ref="U416:U417"/>
    <mergeCell ref="V416:V417"/>
    <mergeCell ref="W416:W417"/>
    <mergeCell ref="V441:V443"/>
    <mergeCell ref="W423:W424"/>
    <mergeCell ref="R428:W428"/>
    <mergeCell ref="R429:S432"/>
    <mergeCell ref="T429:T430"/>
    <mergeCell ref="U429:U430"/>
    <mergeCell ref="V429:V430"/>
    <mergeCell ref="W429:W430"/>
    <mergeCell ref="R438:W438"/>
    <mergeCell ref="W441:W443"/>
    <mergeCell ref="R441:S445"/>
    <mergeCell ref="T441:T443"/>
    <mergeCell ref="U441:U443"/>
    <mergeCell ref="R460:W460"/>
    <mergeCell ref="R447:W447"/>
    <mergeCell ref="R448:S451"/>
    <mergeCell ref="T448:T449"/>
    <mergeCell ref="U448:U449"/>
    <mergeCell ref="V448:V449"/>
    <mergeCell ref="W448:W449"/>
    <mergeCell ref="V506:V507"/>
    <mergeCell ref="R490:S493"/>
    <mergeCell ref="T490:T491"/>
    <mergeCell ref="U490:U491"/>
    <mergeCell ref="U477:U478"/>
    <mergeCell ref="R477:S480"/>
    <mergeCell ref="T477:T478"/>
    <mergeCell ref="R505:W505"/>
    <mergeCell ref="R506:S509"/>
    <mergeCell ref="R484:S487"/>
    <mergeCell ref="R513:S516"/>
    <mergeCell ref="W477:W478"/>
    <mergeCell ref="R489:W489"/>
    <mergeCell ref="T506:T507"/>
    <mergeCell ref="U506:U507"/>
    <mergeCell ref="R497:W497"/>
    <mergeCell ref="R499:S503"/>
    <mergeCell ref="T499:T501"/>
    <mergeCell ref="U499:U501"/>
    <mergeCell ref="V499:V501"/>
    <mergeCell ref="W528:W530"/>
    <mergeCell ref="R534:W534"/>
    <mergeCell ref="R548:S551"/>
    <mergeCell ref="W506:W507"/>
    <mergeCell ref="W499:W501"/>
    <mergeCell ref="W519:W520"/>
    <mergeCell ref="W513:W514"/>
    <mergeCell ref="R525:W525"/>
    <mergeCell ref="U513:U514"/>
    <mergeCell ref="V513:V514"/>
    <mergeCell ref="W542:W543"/>
    <mergeCell ref="R535:S538"/>
    <mergeCell ref="V548:V549"/>
    <mergeCell ref="R542:S545"/>
    <mergeCell ref="T535:T536"/>
    <mergeCell ref="R526:W526"/>
    <mergeCell ref="R528:S532"/>
    <mergeCell ref="T528:T530"/>
    <mergeCell ref="U528:U530"/>
    <mergeCell ref="V528:V530"/>
    <mergeCell ref="U535:U536"/>
    <mergeCell ref="V535:V536"/>
    <mergeCell ref="T548:T549"/>
    <mergeCell ref="U548:U549"/>
    <mergeCell ref="T542:T543"/>
    <mergeCell ref="W535:W536"/>
    <mergeCell ref="U542:U543"/>
    <mergeCell ref="R547:W547"/>
    <mergeCell ref="W548:W549"/>
    <mergeCell ref="V542:V543"/>
  </mergeCells>
  <phoneticPr fontId="0" type="noConversion"/>
  <conditionalFormatting sqref="U108:X109">
    <cfRule type="cellIs" dxfId="291" priority="1" stopIfTrue="1" operator="equal">
      <formula>"yes"</formula>
    </cfRule>
    <cfRule type="cellIs" dxfId="290" priority="2" stopIfTrue="1" operator="equal">
      <formula>"no"</formula>
    </cfRule>
  </conditionalFormatting>
  <conditionalFormatting sqref="X254:X255 X106:X107 X247:X248 X49:X50 X235:X236 X54:X55 X67:X68 X74:X75 X100:X101 X112:X113 X118:X119 X132:X133 X279:X280 X126:X127 X241:X242 X59:X60 Y286:Y287 S306:S307 X143:X144 X183:X184 X177:X178 X267:X268 X273:X274 Y213:Y214 X83 X90 X156:X157 X150:X151 X198:X199 X162:X163 X167:X168 X172:X173 X188:X189 X193:X194">
    <cfRule type="cellIs" dxfId="289" priority="3" stopIfTrue="1" operator="equal">
      <formula>$U$31</formula>
    </cfRule>
    <cfRule type="cellIs" dxfId="288" priority="4" stopIfTrue="1" operator="equal">
      <formula>$W$31</formula>
    </cfRule>
    <cfRule type="cellIs" dxfId="287" priority="5" stopIfTrue="1" operator="equal">
      <formula>$Y$31</formula>
    </cfRule>
  </conditionalFormatting>
  <conditionalFormatting sqref="R36 R44">
    <cfRule type="cellIs" dxfId="286" priority="6" stopIfTrue="1" operator="equal">
      <formula>$AI$31</formula>
    </cfRule>
    <cfRule type="cellIs" dxfId="285" priority="7" stopIfTrue="1" operator="equal">
      <formula>$AK$31</formula>
    </cfRule>
    <cfRule type="cellIs" dxfId="284" priority="8" stopIfTrue="1" operator="equal">
      <formula>$AM$31</formula>
    </cfRule>
  </conditionalFormatting>
  <conditionalFormatting sqref="V106:V107 V247:V248 V49:V50 V241:V242 V54:V55 V59:V60 V67:V68 V74:V75 W286:W287 V100:V101 V112:V113 V118:V119 V126:V127 V132:V133 V279:V280 V235:V236 V254:V255 T306:T307 V143:V144 V183:V184 V177:V178 V267:V268 V273:V274 W213:W214 V83 V90 V156:V157 V150:V151 V198:V199 V162:V163 V167:V168 V172:V173 V188:V189 V193:V194">
    <cfRule type="cellIs" dxfId="283" priority="9" stopIfTrue="1" operator="equal">
      <formula>$R$6</formula>
    </cfRule>
    <cfRule type="cellIs" dxfId="282" priority="10" stopIfTrue="1" operator="equal">
      <formula>$V$33</formula>
    </cfRule>
    <cfRule type="cellIs" dxfId="281" priority="11" stopIfTrue="1" operator="equal">
      <formula>$R$8</formula>
    </cfRule>
  </conditionalFormatting>
  <conditionalFormatting sqref="W106:W107 W126:W127 W247:W248 W49:W50 W241:W242 W54:W55 W59:W60 W67:W68 W74:W75 X286:X287 W100:W101 W112:W113 W118:W119 W132:W133 W279:W280 W235:W236 W254:W255 U306:U307 W143:W144 W183:W184 W177:W178 W267:W268 W273:W274 X213:X214 W83 W90 W156:W157 W150:W151 W198:W199 W162:W163 W167:W168 W172:W173 W188:W189 W193:W194">
    <cfRule type="cellIs" dxfId="280" priority="12" stopIfTrue="1" operator="equal">
      <formula>$R$6</formula>
    </cfRule>
    <cfRule type="cellIs" dxfId="279" priority="13" stopIfTrue="1" operator="equal">
      <formula>$R$7</formula>
    </cfRule>
    <cfRule type="cellIs" dxfId="278" priority="14" stopIfTrue="1" operator="equal">
      <formula>$W$33</formula>
    </cfRule>
  </conditionalFormatting>
  <conditionalFormatting sqref="R34 R42">
    <cfRule type="cellIs" dxfId="277" priority="15" stopIfTrue="1" operator="equal">
      <formula>$AF$6</formula>
    </cfRule>
    <cfRule type="cellIs" dxfId="276" priority="16" stopIfTrue="1" operator="equal">
      <formula>$AJ$33</formula>
    </cfRule>
    <cfRule type="cellIs" dxfId="275" priority="17" stopIfTrue="1" operator="equal">
      <formula>$AF$8</formula>
    </cfRule>
  </conditionalFormatting>
  <conditionalFormatting sqref="R35 R43">
    <cfRule type="cellIs" dxfId="274" priority="18" stopIfTrue="1" operator="equal">
      <formula>$AF$6</formula>
    </cfRule>
    <cfRule type="cellIs" dxfId="273" priority="19" stopIfTrue="1" operator="equal">
      <formula>$AF$7</formula>
    </cfRule>
    <cfRule type="cellIs" dxfId="272" priority="20" stopIfTrue="1" operator="equal">
      <formula>$AK$33</formula>
    </cfRule>
  </conditionalFormatting>
  <pageMargins left="0" right="0" top="0.59055118110236227" bottom="0.39370078740157483" header="0.51181102362204722" footer="0.51181102362204722"/>
  <pageSetup paperSize="9" scale="96" fitToHeight="6"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sheetPr codeName="Sheet73">
    <pageSetUpPr fitToPage="1"/>
  </sheetPr>
  <dimension ref="A1:AJ964"/>
  <sheetViews>
    <sheetView showRowColHeaders="0" workbookViewId="0">
      <selection activeCell="B2" sqref="B2:K3"/>
    </sheetView>
  </sheetViews>
  <sheetFormatPr defaultRowHeight="12.75"/>
  <cols>
    <col min="1" max="11" width="11.7109375" style="1" customWidth="1"/>
    <col min="12" max="16" width="10.7109375" style="1" customWidth="1"/>
    <col min="17" max="17" width="4.7109375" style="20" customWidth="1"/>
    <col min="18" max="20" width="10.7109375" style="18" customWidth="1"/>
    <col min="21" max="23" width="11.7109375" style="18" customWidth="1"/>
    <col min="24" max="26" width="10.7109375" style="18" customWidth="1"/>
    <col min="27" max="27" width="10.7109375" style="1" customWidth="1"/>
    <col min="28" max="30" width="8.7109375" style="1" customWidth="1"/>
    <col min="31" max="35" width="13.7109375" style="1" customWidth="1"/>
    <col min="36" max="37" width="10.7109375" style="1" customWidth="1"/>
    <col min="38" max="54" width="10.28515625" style="1" customWidth="1"/>
    <col min="55" max="110" width="10.7109375" style="1" customWidth="1"/>
    <col min="111" max="16384" width="9.140625" style="1"/>
  </cols>
  <sheetData>
    <row r="1" spans="1:33" ht="6" customHeight="1" thickBot="1">
      <c r="A1" s="121"/>
      <c r="B1" s="121"/>
      <c r="C1" s="121"/>
      <c r="D1" s="121"/>
      <c r="E1" s="121"/>
      <c r="F1" s="121"/>
      <c r="G1" s="121"/>
      <c r="H1" s="121"/>
      <c r="I1" s="121"/>
      <c r="J1" s="121"/>
      <c r="K1" s="121"/>
      <c r="L1" s="121"/>
      <c r="M1" s="121"/>
      <c r="N1" s="121"/>
      <c r="O1" s="121"/>
      <c r="P1" s="121"/>
      <c r="Q1" s="360"/>
      <c r="R1" s="361"/>
      <c r="S1" s="361"/>
      <c r="T1" s="361"/>
      <c r="U1" s="361"/>
      <c r="V1" s="361"/>
      <c r="W1" s="361"/>
      <c r="X1" s="361"/>
      <c r="Y1" s="361"/>
      <c r="Z1" s="361"/>
      <c r="AA1"/>
      <c r="AB1"/>
      <c r="AC1"/>
      <c r="AD1"/>
      <c r="AE1"/>
      <c r="AF1"/>
      <c r="AG1"/>
    </row>
    <row r="2" spans="1:33" ht="12.75" customHeight="1" thickTop="1">
      <c r="A2" s="121"/>
      <c r="B2" s="753" t="s">
        <v>548</v>
      </c>
      <c r="C2" s="754"/>
      <c r="D2" s="754"/>
      <c r="E2" s="754"/>
      <c r="F2" s="754"/>
      <c r="G2" s="754"/>
      <c r="H2" s="754"/>
      <c r="I2" s="754"/>
      <c r="J2" s="754"/>
      <c r="K2" s="755"/>
      <c r="L2" s="121"/>
      <c r="M2" s="121"/>
      <c r="N2" s="121"/>
      <c r="O2" s="121"/>
      <c r="P2" s="121"/>
      <c r="Q2" s="363"/>
      <c r="R2" s="1024" t="s">
        <v>396</v>
      </c>
      <c r="S2" s="1025"/>
      <c r="T2" s="1025"/>
      <c r="U2" s="1025"/>
      <c r="V2" s="1025"/>
      <c r="W2" s="1025"/>
      <c r="X2" s="1025"/>
      <c r="Y2" s="1026"/>
      <c r="Z2" s="362"/>
      <c r="AA2"/>
      <c r="AB2"/>
      <c r="AC2"/>
      <c r="AD2"/>
      <c r="AE2"/>
      <c r="AF2"/>
      <c r="AG2"/>
    </row>
    <row r="3" spans="1:33" ht="12.75" customHeight="1" thickBot="1">
      <c r="A3" s="121"/>
      <c r="B3" s="756"/>
      <c r="C3" s="757"/>
      <c r="D3" s="757"/>
      <c r="E3" s="757"/>
      <c r="F3" s="757"/>
      <c r="G3" s="757"/>
      <c r="H3" s="757"/>
      <c r="I3" s="757"/>
      <c r="J3" s="757"/>
      <c r="K3" s="758"/>
      <c r="L3" s="121"/>
      <c r="M3" s="121"/>
      <c r="N3" s="121"/>
      <c r="O3" s="121"/>
      <c r="P3" s="121"/>
      <c r="Q3" s="363"/>
      <c r="R3" s="1027"/>
      <c r="S3" s="1028"/>
      <c r="T3" s="1028"/>
      <c r="U3" s="1028"/>
      <c r="V3" s="1028"/>
      <c r="W3" s="1028"/>
      <c r="X3" s="1028"/>
      <c r="Y3" s="1029"/>
      <c r="Z3" s="362"/>
      <c r="AA3"/>
      <c r="AB3"/>
      <c r="AC3"/>
      <c r="AD3"/>
      <c r="AE3"/>
      <c r="AF3"/>
      <c r="AG3"/>
    </row>
    <row r="4" spans="1:33" ht="12.75" customHeight="1" thickTop="1">
      <c r="A4" s="121"/>
      <c r="B4" s="121"/>
      <c r="C4" s="121"/>
      <c r="D4" s="121"/>
      <c r="E4" s="121"/>
      <c r="F4" s="121"/>
      <c r="G4" s="121"/>
      <c r="H4" s="121"/>
      <c r="I4" s="121"/>
      <c r="J4" s="121"/>
      <c r="K4" s="121"/>
      <c r="L4" s="121"/>
      <c r="M4" s="121"/>
      <c r="N4" s="121"/>
      <c r="O4" s="121"/>
      <c r="P4" s="121"/>
      <c r="Q4" s="363"/>
      <c r="R4" s="361"/>
      <c r="S4" s="361"/>
      <c r="T4" s="361"/>
      <c r="U4" s="361"/>
      <c r="V4" s="361"/>
      <c r="W4" s="361"/>
      <c r="X4" s="361"/>
      <c r="Y4" s="361"/>
      <c r="Z4" s="361"/>
      <c r="AA4"/>
      <c r="AB4"/>
      <c r="AC4"/>
      <c r="AD4"/>
      <c r="AE4"/>
      <c r="AF4"/>
      <c r="AG4"/>
    </row>
    <row r="5" spans="1:33" ht="12.75" customHeight="1">
      <c r="A5" s="121"/>
      <c r="B5" s="828" t="s">
        <v>581</v>
      </c>
      <c r="C5" s="829"/>
      <c r="D5" s="830"/>
      <c r="E5" s="460">
        <v>450</v>
      </c>
      <c r="F5" s="461">
        <f>+E5</f>
        <v>450</v>
      </c>
      <c r="G5" s="121"/>
      <c r="H5" s="121"/>
      <c r="I5" s="121"/>
      <c r="J5" s="121"/>
      <c r="K5" s="121"/>
      <c r="L5" s="121"/>
      <c r="M5" s="121"/>
      <c r="N5" s="121"/>
      <c r="O5" s="121"/>
      <c r="P5" s="121"/>
      <c r="Q5" s="360"/>
      <c r="R5" s="951" t="s">
        <v>868</v>
      </c>
      <c r="S5" s="951"/>
      <c r="T5" s="951"/>
      <c r="U5" s="951"/>
      <c r="V5" s="447">
        <f>F5</f>
        <v>450</v>
      </c>
      <c r="W5" s="362"/>
      <c r="X5" s="362"/>
      <c r="Y5" s="362"/>
      <c r="Z5" s="362"/>
      <c r="AA5"/>
      <c r="AB5"/>
      <c r="AC5"/>
      <c r="AD5"/>
      <c r="AE5"/>
      <c r="AF5"/>
      <c r="AG5"/>
    </row>
    <row r="6" spans="1:33" ht="12.75" customHeight="1">
      <c r="A6" s="121"/>
      <c r="B6" s="121"/>
      <c r="C6" s="121"/>
      <c r="D6" s="121"/>
      <c r="E6" s="121"/>
      <c r="F6" s="121"/>
      <c r="G6" s="121"/>
      <c r="H6" s="121"/>
      <c r="I6" s="121"/>
      <c r="J6" s="121"/>
      <c r="K6" s="121"/>
      <c r="L6" s="121"/>
      <c r="M6" s="121"/>
      <c r="N6" s="121"/>
      <c r="O6" s="121"/>
      <c r="P6" s="121"/>
      <c r="Q6" s="360"/>
      <c r="R6" s="362"/>
      <c r="S6" s="362"/>
      <c r="T6" s="362"/>
      <c r="U6" s="362"/>
      <c r="V6" s="361"/>
      <c r="W6" s="361"/>
      <c r="X6" s="361"/>
      <c r="Y6" s="361"/>
      <c r="Z6" s="361"/>
      <c r="AA6"/>
      <c r="AB6"/>
      <c r="AC6"/>
      <c r="AD6"/>
      <c r="AE6"/>
      <c r="AF6"/>
      <c r="AG6"/>
    </row>
    <row r="7" spans="1:33" ht="12.75" customHeight="1">
      <c r="A7" s="121"/>
      <c r="B7" s="121"/>
      <c r="C7" s="121"/>
      <c r="D7" s="121"/>
      <c r="E7" s="121"/>
      <c r="F7" s="121"/>
      <c r="G7" s="121"/>
      <c r="H7" s="121"/>
      <c r="I7" s="121"/>
      <c r="J7" s="121"/>
      <c r="K7" s="121"/>
      <c r="L7" s="121"/>
      <c r="M7" s="121"/>
      <c r="N7" s="121"/>
      <c r="O7" s="121"/>
      <c r="P7" s="121"/>
      <c r="Q7" s="385">
        <v>1</v>
      </c>
      <c r="R7" s="1008" t="s">
        <v>24</v>
      </c>
      <c r="S7" s="1008"/>
      <c r="T7" s="1008"/>
      <c r="U7" s="1008"/>
      <c r="V7" s="1008"/>
      <c r="W7" s="1008"/>
      <c r="X7" s="1008"/>
      <c r="Y7" s="1008"/>
      <c r="Z7" s="536"/>
      <c r="AA7"/>
      <c r="AB7"/>
      <c r="AC7"/>
      <c r="AD7"/>
      <c r="AE7"/>
      <c r="AF7"/>
      <c r="AG7"/>
    </row>
    <row r="8" spans="1:33" ht="12.75" customHeight="1">
      <c r="A8" s="121"/>
      <c r="B8" s="121"/>
      <c r="C8" s="121"/>
      <c r="D8" s="121"/>
      <c r="E8" s="121"/>
      <c r="F8" s="121"/>
      <c r="G8" s="121"/>
      <c r="H8" s="121"/>
      <c r="I8" s="121"/>
      <c r="J8" s="121"/>
      <c r="K8" s="121"/>
      <c r="L8" s="121"/>
      <c r="M8" s="121"/>
      <c r="N8" s="121"/>
      <c r="O8" s="121"/>
      <c r="P8" s="121"/>
      <c r="Q8" s="386"/>
      <c r="R8" s="361"/>
      <c r="S8" s="361"/>
      <c r="T8" s="361"/>
      <c r="U8" s="361"/>
      <c r="V8" s="361"/>
      <c r="W8" s="361"/>
      <c r="X8" s="361"/>
      <c r="Y8" s="361"/>
      <c r="Z8" s="361"/>
      <c r="AA8"/>
      <c r="AB8"/>
      <c r="AC8"/>
      <c r="AD8"/>
      <c r="AE8"/>
      <c r="AF8"/>
      <c r="AG8"/>
    </row>
    <row r="9" spans="1:33" ht="12.75" customHeight="1">
      <c r="A9" s="121"/>
      <c r="B9" s="121"/>
      <c r="C9" s="121"/>
      <c r="D9" s="121"/>
      <c r="E9" s="121"/>
      <c r="F9" s="121"/>
      <c r="G9" s="121"/>
      <c r="H9" s="121"/>
      <c r="I9" s="121"/>
      <c r="J9" s="121"/>
      <c r="K9" s="121"/>
      <c r="L9" s="121"/>
      <c r="M9" s="121"/>
      <c r="N9" s="121"/>
      <c r="O9" s="121"/>
      <c r="P9" s="121"/>
      <c r="Q9" s="360">
        <v>1.1000000000000001</v>
      </c>
      <c r="R9" s="364" t="s">
        <v>586</v>
      </c>
      <c r="S9" s="363"/>
      <c r="T9" s="363"/>
      <c r="U9" s="363"/>
      <c r="V9" s="363"/>
      <c r="W9" s="363"/>
      <c r="X9" s="363"/>
      <c r="Y9" s="363"/>
      <c r="Z9" s="363"/>
      <c r="AA9"/>
      <c r="AB9"/>
      <c r="AC9"/>
      <c r="AD9"/>
      <c r="AE9"/>
      <c r="AF9"/>
      <c r="AG9"/>
    </row>
    <row r="10" spans="1:33" ht="12.75" customHeight="1">
      <c r="A10" s="121"/>
      <c r="B10" s="121"/>
      <c r="C10" s="121"/>
      <c r="D10" s="121"/>
      <c r="E10" s="121"/>
      <c r="F10" s="121"/>
      <c r="G10" s="121"/>
      <c r="H10" s="121"/>
      <c r="I10" s="121"/>
      <c r="J10" s="121"/>
      <c r="K10" s="121"/>
      <c r="L10" s="121"/>
      <c r="M10" s="121"/>
      <c r="N10" s="121"/>
      <c r="O10" s="121"/>
      <c r="P10" s="121"/>
      <c r="Q10" s="360"/>
      <c r="R10" s="969" t="s">
        <v>25</v>
      </c>
      <c r="S10" s="969"/>
      <c r="T10" s="969"/>
      <c r="U10" s="969"/>
      <c r="V10" s="447">
        <f>'Prod Parameters'!$F$8</f>
        <v>23</v>
      </c>
      <c r="W10" s="363"/>
      <c r="X10" s="363"/>
      <c r="Y10" s="363"/>
      <c r="Z10" s="363"/>
      <c r="AA10"/>
      <c r="AB10"/>
      <c r="AC10"/>
      <c r="AD10"/>
      <c r="AE10"/>
      <c r="AF10"/>
      <c r="AG10"/>
    </row>
    <row r="11" spans="1:33" ht="12.75" customHeight="1">
      <c r="A11" s="121"/>
      <c r="B11" s="121"/>
      <c r="C11" s="121"/>
      <c r="D11" s="121"/>
      <c r="E11" s="121"/>
      <c r="F11" s="121"/>
      <c r="G11" s="121"/>
      <c r="H11" s="121"/>
      <c r="I11" s="121"/>
      <c r="J11" s="121"/>
      <c r="K11" s="121"/>
      <c r="L11" s="121"/>
      <c r="M11" s="121"/>
      <c r="N11" s="121"/>
      <c r="O11" s="121"/>
      <c r="P11" s="121"/>
      <c r="Q11" s="360"/>
      <c r="R11" s="969" t="s">
        <v>325</v>
      </c>
      <c r="S11" s="969"/>
      <c r="T11" s="969"/>
      <c r="U11" s="969"/>
      <c r="V11" s="447">
        <f>'Prod Parameters'!$F$9</f>
        <v>23</v>
      </c>
      <c r="W11" s="363"/>
      <c r="X11" s="363"/>
      <c r="Y11" s="363"/>
      <c r="Z11" s="363"/>
      <c r="AA11"/>
      <c r="AB11"/>
      <c r="AC11"/>
      <c r="AD11"/>
      <c r="AE11"/>
      <c r="AF11"/>
      <c r="AG11"/>
    </row>
    <row r="12" spans="1:33" ht="12.75" customHeight="1">
      <c r="A12" s="121"/>
      <c r="B12" s="121"/>
      <c r="C12" s="121"/>
      <c r="D12" s="121"/>
      <c r="E12" s="121"/>
      <c r="F12" s="121"/>
      <c r="G12" s="121"/>
      <c r="H12" s="121"/>
      <c r="I12" s="121"/>
      <c r="J12" s="121"/>
      <c r="K12" s="121"/>
      <c r="L12" s="121"/>
      <c r="M12" s="121"/>
      <c r="N12" s="121"/>
      <c r="O12" s="121"/>
      <c r="P12" s="121"/>
      <c r="Q12" s="360"/>
      <c r="R12" s="1021" t="s">
        <v>26</v>
      </c>
      <c r="S12" s="1022"/>
      <c r="T12" s="1022"/>
      <c r="U12" s="1023"/>
      <c r="V12" s="447">
        <f>'Prod Parameters'!$F$10</f>
        <v>6</v>
      </c>
      <c r="W12" s="363"/>
      <c r="X12" s="363"/>
      <c r="Y12" s="363"/>
      <c r="Z12" s="363"/>
      <c r="AA12"/>
      <c r="AB12"/>
      <c r="AC12"/>
      <c r="AD12"/>
      <c r="AE12"/>
      <c r="AF12"/>
      <c r="AG12"/>
    </row>
    <row r="13" spans="1:33" ht="12.75" customHeight="1">
      <c r="A13" s="121"/>
      <c r="B13" s="121"/>
      <c r="C13" s="121"/>
      <c r="D13" s="121"/>
      <c r="E13" s="121"/>
      <c r="F13" s="121"/>
      <c r="G13" s="121"/>
      <c r="H13" s="121"/>
      <c r="I13" s="121"/>
      <c r="J13" s="121"/>
      <c r="K13" s="121"/>
      <c r="L13" s="121"/>
      <c r="M13" s="121"/>
      <c r="N13" s="121"/>
      <c r="O13" s="121"/>
      <c r="P13" s="121"/>
      <c r="Q13" s="360"/>
      <c r="R13" s="969" t="s">
        <v>27</v>
      </c>
      <c r="S13" s="969"/>
      <c r="T13" s="969"/>
      <c r="U13" s="969"/>
      <c r="V13" s="447">
        <f>'Prod Parameters'!$F$11</f>
        <v>52</v>
      </c>
      <c r="W13" s="363"/>
      <c r="X13" s="363"/>
      <c r="Y13" s="363"/>
      <c r="Z13" s="363"/>
      <c r="AA13"/>
      <c r="AB13"/>
      <c r="AC13"/>
      <c r="AD13"/>
      <c r="AE13"/>
      <c r="AF13"/>
      <c r="AG13"/>
    </row>
    <row r="14" spans="1:33" ht="12.75" customHeight="1">
      <c r="A14" s="121"/>
      <c r="B14" s="121"/>
      <c r="C14" s="121"/>
      <c r="D14" s="121"/>
      <c r="E14" s="121"/>
      <c r="F14" s="121"/>
      <c r="G14" s="121"/>
      <c r="H14" s="121"/>
      <c r="I14" s="121"/>
      <c r="J14" s="121"/>
      <c r="K14" s="121"/>
      <c r="L14" s="121"/>
      <c r="M14" s="121"/>
      <c r="N14" s="121"/>
      <c r="O14" s="121"/>
      <c r="P14" s="121"/>
      <c r="Q14" s="360"/>
      <c r="R14" s="969" t="s">
        <v>28</v>
      </c>
      <c r="S14" s="969"/>
      <c r="T14" s="969"/>
      <c r="U14" s="969"/>
      <c r="V14" s="447">
        <f>'Prod Parameters'!$F$12</f>
        <v>260</v>
      </c>
      <c r="W14" s="363"/>
      <c r="X14" s="363"/>
      <c r="Y14" s="363"/>
      <c r="Z14" s="363"/>
      <c r="AA14"/>
      <c r="AB14"/>
      <c r="AC14"/>
      <c r="AD14"/>
      <c r="AE14"/>
      <c r="AF14"/>
      <c r="AG14"/>
    </row>
    <row r="15" spans="1:33" ht="12.75" customHeight="1">
      <c r="A15" s="121"/>
      <c r="B15" s="121"/>
      <c r="C15" s="121"/>
      <c r="D15" s="121"/>
      <c r="E15" s="121"/>
      <c r="F15" s="121"/>
      <c r="G15" s="121"/>
      <c r="H15" s="121"/>
      <c r="I15" s="121"/>
      <c r="J15" s="121"/>
      <c r="K15" s="121"/>
      <c r="L15" s="121"/>
      <c r="M15" s="121"/>
      <c r="N15" s="121"/>
      <c r="O15" s="121"/>
      <c r="P15" s="121"/>
      <c r="Q15" s="360"/>
      <c r="R15" s="969" t="s">
        <v>29</v>
      </c>
      <c r="S15" s="969"/>
      <c r="T15" s="969"/>
      <c r="U15" s="969"/>
      <c r="V15" s="447">
        <f>'Prod Parameters'!$F$13</f>
        <v>30</v>
      </c>
      <c r="W15" s="363"/>
      <c r="X15" s="363"/>
      <c r="Y15" s="363"/>
      <c r="Z15" s="363"/>
      <c r="AA15"/>
      <c r="AB15"/>
      <c r="AC15"/>
      <c r="AD15"/>
      <c r="AE15"/>
      <c r="AF15"/>
      <c r="AG15"/>
    </row>
    <row r="16" spans="1:33" ht="12.75" customHeight="1">
      <c r="A16" s="121"/>
      <c r="B16" s="121"/>
      <c r="C16" s="121"/>
      <c r="D16" s="121"/>
      <c r="E16" s="121"/>
      <c r="F16" s="121"/>
      <c r="G16" s="121"/>
      <c r="H16" s="121"/>
      <c r="I16" s="121"/>
      <c r="J16" s="121"/>
      <c r="K16" s="121"/>
      <c r="L16" s="121"/>
      <c r="M16" s="121"/>
      <c r="N16" s="121"/>
      <c r="O16" s="121"/>
      <c r="P16" s="121"/>
      <c r="Q16" s="360"/>
      <c r="R16" s="968" t="s">
        <v>30</v>
      </c>
      <c r="S16" s="968"/>
      <c r="T16" s="968"/>
      <c r="U16" s="968"/>
      <c r="V16" s="447">
        <f>'Prod Parameters'!$F$14</f>
        <v>230</v>
      </c>
      <c r="W16" s="363"/>
      <c r="X16" s="363"/>
      <c r="Y16" s="363"/>
      <c r="Z16" s="363"/>
      <c r="AA16"/>
      <c r="AB16"/>
      <c r="AC16"/>
      <c r="AD16"/>
      <c r="AE16"/>
      <c r="AF16"/>
      <c r="AG16"/>
    </row>
    <row r="17" spans="1:33" ht="12.75" customHeight="1">
      <c r="A17" s="121"/>
      <c r="B17" s="121"/>
      <c r="C17" s="121"/>
      <c r="D17" s="121"/>
      <c r="E17" s="121"/>
      <c r="F17" s="121"/>
      <c r="G17" s="121"/>
      <c r="H17" s="121"/>
      <c r="I17" s="121"/>
      <c r="J17" s="121"/>
      <c r="K17" s="121"/>
      <c r="L17" s="121"/>
      <c r="M17" s="121"/>
      <c r="N17" s="121"/>
      <c r="O17" s="121"/>
      <c r="P17" s="121"/>
      <c r="Q17" s="360"/>
      <c r="R17" s="363"/>
      <c r="S17" s="363"/>
      <c r="T17" s="363"/>
      <c r="U17" s="363"/>
      <c r="V17" s="363"/>
      <c r="W17" s="363"/>
      <c r="X17" s="363"/>
      <c r="Y17" s="363"/>
      <c r="Z17" s="363"/>
      <c r="AA17"/>
      <c r="AB17"/>
      <c r="AC17"/>
      <c r="AD17"/>
      <c r="AE17"/>
      <c r="AF17"/>
      <c r="AG17"/>
    </row>
    <row r="18" spans="1:33" ht="12.75" customHeight="1">
      <c r="A18" s="121"/>
      <c r="B18" s="121"/>
      <c r="C18" s="121"/>
      <c r="D18" s="121"/>
      <c r="E18" s="121"/>
      <c r="F18" s="121"/>
      <c r="G18" s="121"/>
      <c r="H18" s="121"/>
      <c r="I18" s="121"/>
      <c r="J18" s="121"/>
      <c r="K18" s="121"/>
      <c r="L18" s="121"/>
      <c r="M18" s="121"/>
      <c r="N18" s="121"/>
      <c r="O18" s="121"/>
      <c r="P18" s="121"/>
      <c r="Q18" s="360">
        <v>1.2</v>
      </c>
      <c r="R18" s="364" t="s">
        <v>19</v>
      </c>
      <c r="S18" s="363"/>
      <c r="T18" s="363"/>
      <c r="U18" s="363"/>
      <c r="V18" s="363"/>
      <c r="W18" s="363"/>
      <c r="X18" s="363"/>
      <c r="Y18" s="363"/>
      <c r="Z18" s="363"/>
      <c r="AA18"/>
      <c r="AB18"/>
      <c r="AC18"/>
      <c r="AD18"/>
      <c r="AE18"/>
      <c r="AF18"/>
      <c r="AG18"/>
    </row>
    <row r="19" spans="1:33" ht="12.75" customHeight="1">
      <c r="A19" s="121"/>
      <c r="B19" s="121"/>
      <c r="C19" s="121"/>
      <c r="D19" s="121"/>
      <c r="E19" s="121"/>
      <c r="F19" s="121"/>
      <c r="G19" s="121"/>
      <c r="H19" s="121"/>
      <c r="I19" s="121"/>
      <c r="J19" s="121"/>
      <c r="K19" s="121"/>
      <c r="L19" s="121"/>
      <c r="M19" s="121"/>
      <c r="N19" s="121"/>
      <c r="O19" s="121"/>
      <c r="P19" s="121"/>
      <c r="Q19" s="360"/>
      <c r="R19" s="969" t="s">
        <v>314</v>
      </c>
      <c r="S19" s="969"/>
      <c r="T19" s="969"/>
      <c r="U19" s="969"/>
      <c r="V19" s="447">
        <f>'Prod Parameters'!$F$17</f>
        <v>160</v>
      </c>
      <c r="W19" s="363"/>
      <c r="X19" s="363"/>
      <c r="Y19" s="363"/>
      <c r="Z19" s="363"/>
      <c r="AA19"/>
      <c r="AB19"/>
      <c r="AC19"/>
      <c r="AD19"/>
      <c r="AE19"/>
      <c r="AF19"/>
      <c r="AG19"/>
    </row>
    <row r="20" spans="1:33" ht="12.75" customHeight="1">
      <c r="A20" s="121"/>
      <c r="B20" s="121"/>
      <c r="C20" s="121"/>
      <c r="D20" s="121"/>
      <c r="E20" s="121"/>
      <c r="F20" s="121"/>
      <c r="G20" s="121"/>
      <c r="H20" s="121"/>
      <c r="I20" s="121"/>
      <c r="J20" s="121"/>
      <c r="K20" s="121"/>
      <c r="L20" s="121"/>
      <c r="M20" s="121"/>
      <c r="N20" s="121"/>
      <c r="O20" s="121"/>
      <c r="P20" s="121"/>
      <c r="Q20" s="360"/>
      <c r="R20" s="969" t="s">
        <v>31</v>
      </c>
      <c r="S20" s="969"/>
      <c r="T20" s="969"/>
      <c r="U20" s="969"/>
      <c r="V20" s="447">
        <f>'Prod Parameters'!$F$18</f>
        <v>1.2</v>
      </c>
      <c r="W20" s="363"/>
      <c r="X20" s="363"/>
      <c r="Y20" s="363"/>
      <c r="Z20" s="363"/>
      <c r="AA20"/>
      <c r="AB20"/>
      <c r="AC20"/>
      <c r="AD20"/>
      <c r="AE20"/>
      <c r="AF20"/>
      <c r="AG20"/>
    </row>
    <row r="21" spans="1:33" ht="12.75" customHeight="1">
      <c r="A21" s="121"/>
      <c r="B21" s="121"/>
      <c r="C21" s="121"/>
      <c r="D21" s="121"/>
      <c r="E21" s="121"/>
      <c r="F21" s="121"/>
      <c r="G21" s="121"/>
      <c r="H21" s="121"/>
      <c r="I21" s="121"/>
      <c r="J21" s="121"/>
      <c r="K21" s="121"/>
      <c r="L21" s="121"/>
      <c r="M21" s="121"/>
      <c r="N21" s="121"/>
      <c r="O21" s="121"/>
      <c r="P21" s="121"/>
      <c r="Q21" s="360"/>
      <c r="R21" s="969" t="s">
        <v>199</v>
      </c>
      <c r="S21" s="969"/>
      <c r="T21" s="969"/>
      <c r="U21" s="969"/>
      <c r="V21" s="447">
        <f>'Prod Parameters'!$F$19</f>
        <v>4</v>
      </c>
      <c r="W21" s="363"/>
      <c r="X21" s="363"/>
      <c r="Y21" s="363"/>
      <c r="Z21" s="363"/>
      <c r="AA21"/>
      <c r="AB21"/>
      <c r="AC21"/>
      <c r="AD21"/>
      <c r="AE21"/>
      <c r="AF21"/>
      <c r="AG21"/>
    </row>
    <row r="22" spans="1:33" ht="12.75" customHeight="1">
      <c r="A22" s="121"/>
      <c r="B22" s="121"/>
      <c r="C22" s="121"/>
      <c r="D22" s="121"/>
      <c r="E22" s="121"/>
      <c r="F22" s="121"/>
      <c r="G22" s="121"/>
      <c r="H22" s="121"/>
      <c r="I22" s="121"/>
      <c r="J22" s="121"/>
      <c r="K22" s="121"/>
      <c r="L22" s="121"/>
      <c r="M22" s="121"/>
      <c r="N22" s="121"/>
      <c r="O22" s="121"/>
      <c r="P22" s="121"/>
      <c r="Q22" s="360"/>
      <c r="R22" s="969" t="s">
        <v>20</v>
      </c>
      <c r="S22" s="969"/>
      <c r="T22" s="969"/>
      <c r="U22" s="969"/>
      <c r="V22" s="447">
        <f>'Prod Parameters'!$F$20</f>
        <v>40</v>
      </c>
      <c r="W22" s="363"/>
      <c r="X22" s="363"/>
      <c r="Y22" s="363"/>
      <c r="Z22" s="363"/>
      <c r="AA22"/>
      <c r="AB22"/>
      <c r="AC22"/>
      <c r="AD22"/>
      <c r="AE22"/>
      <c r="AF22"/>
      <c r="AG22"/>
    </row>
    <row r="23" spans="1:33" ht="12.75" customHeight="1">
      <c r="A23" s="121"/>
      <c r="B23" s="121"/>
      <c r="C23" s="121"/>
      <c r="D23" s="121"/>
      <c r="E23" s="121"/>
      <c r="F23" s="121"/>
      <c r="G23" s="121"/>
      <c r="H23" s="121"/>
      <c r="I23" s="121"/>
      <c r="J23" s="121"/>
      <c r="K23" s="121"/>
      <c r="L23" s="121"/>
      <c r="M23" s="121"/>
      <c r="N23" s="121"/>
      <c r="O23" s="121"/>
      <c r="P23" s="121"/>
      <c r="Q23" s="360"/>
      <c r="R23" s="969" t="s">
        <v>310</v>
      </c>
      <c r="S23" s="969"/>
      <c r="T23" s="969"/>
      <c r="U23" s="969"/>
      <c r="V23" s="447">
        <f>'Prod Parameters'!$F$21</f>
        <v>160</v>
      </c>
      <c r="W23" s="363"/>
      <c r="X23" s="363"/>
      <c r="Y23" s="363"/>
      <c r="Z23" s="363"/>
      <c r="AA23"/>
      <c r="AB23"/>
      <c r="AC23"/>
      <c r="AD23"/>
      <c r="AE23"/>
      <c r="AF23"/>
      <c r="AG23"/>
    </row>
    <row r="24" spans="1:33" ht="12.75" customHeight="1">
      <c r="A24" s="121"/>
      <c r="B24" s="121"/>
      <c r="C24" s="121"/>
      <c r="D24" s="121"/>
      <c r="E24" s="121"/>
      <c r="F24" s="121"/>
      <c r="G24" s="121"/>
      <c r="H24" s="121"/>
      <c r="I24" s="121"/>
      <c r="J24" s="121"/>
      <c r="K24" s="121"/>
      <c r="L24" s="121"/>
      <c r="M24" s="121"/>
      <c r="N24" s="121"/>
      <c r="O24" s="121"/>
      <c r="P24" s="121"/>
      <c r="Q24" s="360"/>
      <c r="R24" s="969" t="s">
        <v>315</v>
      </c>
      <c r="S24" s="969"/>
      <c r="T24" s="969"/>
      <c r="U24" s="969"/>
      <c r="V24" s="549">
        <f>'Prod Parameters'!$F$22</f>
        <v>6400</v>
      </c>
      <c r="W24" s="363"/>
      <c r="X24" s="363"/>
      <c r="Y24" s="363"/>
      <c r="Z24" s="363"/>
      <c r="AA24"/>
      <c r="AB24"/>
      <c r="AC24"/>
      <c r="AD24"/>
      <c r="AE24"/>
      <c r="AF24"/>
      <c r="AG24"/>
    </row>
    <row r="25" spans="1:33" ht="12.75" customHeight="1">
      <c r="A25" s="121"/>
      <c r="B25" s="121"/>
      <c r="C25" s="121"/>
      <c r="D25" s="121"/>
      <c r="E25" s="121"/>
      <c r="F25" s="121"/>
      <c r="G25" s="121"/>
      <c r="H25" s="121"/>
      <c r="I25" s="121"/>
      <c r="J25" s="121"/>
      <c r="K25" s="121"/>
      <c r="L25" s="121"/>
      <c r="M25" s="121"/>
      <c r="N25" s="121"/>
      <c r="O25" s="121"/>
      <c r="P25" s="121"/>
      <c r="Q25" s="360"/>
      <c r="R25" s="969" t="s">
        <v>187</v>
      </c>
      <c r="S25" s="969"/>
      <c r="T25" s="969"/>
      <c r="U25" s="969"/>
      <c r="V25" s="549">
        <f>'Prod Parameters'!$F$23</f>
        <v>7680</v>
      </c>
      <c r="W25" s="363"/>
      <c r="X25" s="363"/>
      <c r="Y25" s="363"/>
      <c r="Z25" s="363"/>
      <c r="AA25"/>
      <c r="AB25"/>
      <c r="AC25"/>
      <c r="AD25"/>
      <c r="AE25"/>
      <c r="AF25"/>
      <c r="AG25"/>
    </row>
    <row r="26" spans="1:33" ht="12.75" customHeight="1">
      <c r="A26" s="121"/>
      <c r="B26" s="121"/>
      <c r="C26" s="121"/>
      <c r="D26" s="121"/>
      <c r="E26" s="121"/>
      <c r="F26" s="121"/>
      <c r="G26" s="121"/>
      <c r="H26" s="121"/>
      <c r="I26" s="121"/>
      <c r="J26" s="121"/>
      <c r="K26" s="121"/>
      <c r="L26" s="121"/>
      <c r="M26" s="121"/>
      <c r="N26" s="121"/>
      <c r="O26" s="121"/>
      <c r="P26" s="121"/>
      <c r="Q26" s="360"/>
      <c r="R26" s="969" t="s">
        <v>200</v>
      </c>
      <c r="S26" s="969"/>
      <c r="T26" s="969"/>
      <c r="U26" s="969"/>
      <c r="V26" s="549">
        <f>'Prod Parameters'!$F$24</f>
        <v>176640</v>
      </c>
      <c r="W26" s="363"/>
      <c r="X26" s="363"/>
      <c r="Y26" s="363"/>
      <c r="Z26" s="363"/>
      <c r="AA26"/>
      <c r="AB26"/>
      <c r="AC26"/>
      <c r="AD26"/>
      <c r="AE26"/>
      <c r="AF26"/>
      <c r="AG26"/>
    </row>
    <row r="27" spans="1:33" ht="12.75" customHeight="1">
      <c r="A27" s="121"/>
      <c r="B27" s="121"/>
      <c r="C27" s="121"/>
      <c r="D27" s="121"/>
      <c r="E27" s="121"/>
      <c r="F27" s="121"/>
      <c r="G27" s="121"/>
      <c r="H27" s="121"/>
      <c r="I27" s="121"/>
      <c r="J27" s="121"/>
      <c r="K27" s="121"/>
      <c r="L27" s="121"/>
      <c r="M27" s="121"/>
      <c r="N27" s="121"/>
      <c r="O27" s="121"/>
      <c r="P27" s="121"/>
      <c r="Q27" s="360"/>
      <c r="R27" s="363"/>
      <c r="S27" s="363"/>
      <c r="T27" s="363"/>
      <c r="U27" s="363"/>
      <c r="V27" s="363"/>
      <c r="W27" s="363"/>
      <c r="X27" s="363"/>
      <c r="Y27" s="363"/>
      <c r="Z27" s="363"/>
      <c r="AA27"/>
      <c r="AB27"/>
      <c r="AC27"/>
      <c r="AD27"/>
      <c r="AE27"/>
      <c r="AF27"/>
      <c r="AG27"/>
    </row>
    <row r="28" spans="1:33" ht="12.75" customHeight="1">
      <c r="A28" s="121"/>
      <c r="B28" s="121"/>
      <c r="C28" s="121"/>
      <c r="D28" s="121"/>
      <c r="E28" s="121"/>
      <c r="F28" s="121"/>
      <c r="G28" s="121"/>
      <c r="H28" s="121"/>
      <c r="I28" s="121"/>
      <c r="J28" s="121"/>
      <c r="K28" s="121"/>
      <c r="L28" s="121"/>
      <c r="M28" s="121"/>
      <c r="N28" s="121"/>
      <c r="O28" s="121"/>
      <c r="P28" s="121"/>
      <c r="Q28" s="385" t="s">
        <v>33</v>
      </c>
      <c r="R28" s="1008" t="s">
        <v>821</v>
      </c>
      <c r="S28" s="1008"/>
      <c r="T28" s="1008"/>
      <c r="U28" s="1008"/>
      <c r="V28" s="1008"/>
      <c r="W28" s="1008"/>
      <c r="X28" s="1008"/>
      <c r="Y28" s="1008"/>
      <c r="Z28" s="536"/>
      <c r="AA28"/>
      <c r="AB28"/>
      <c r="AC28"/>
      <c r="AD28"/>
      <c r="AE28"/>
      <c r="AF28"/>
      <c r="AG28"/>
    </row>
    <row r="29" spans="1:33" ht="12.75" customHeight="1">
      <c r="A29" s="114"/>
      <c r="B29" s="114"/>
      <c r="C29" s="114"/>
      <c r="D29" s="114"/>
      <c r="E29" s="114"/>
      <c r="F29" s="114"/>
      <c r="G29" s="114"/>
      <c r="H29" s="114"/>
      <c r="I29" s="114"/>
      <c r="J29" s="114"/>
      <c r="K29" s="114"/>
      <c r="L29" s="121"/>
      <c r="M29" s="121"/>
      <c r="N29" s="121"/>
      <c r="O29" s="121"/>
      <c r="P29" s="121"/>
      <c r="Q29" s="546"/>
      <c r="R29" s="363"/>
      <c r="S29" s="363"/>
      <c r="T29" s="363"/>
      <c r="U29" s="363"/>
      <c r="V29" s="363"/>
      <c r="W29" s="363"/>
      <c r="X29" s="363"/>
      <c r="Y29" s="363"/>
      <c r="Z29" s="363"/>
      <c r="AA29"/>
      <c r="AB29"/>
      <c r="AC29"/>
      <c r="AD29"/>
      <c r="AE29"/>
      <c r="AF29"/>
      <c r="AG29"/>
    </row>
    <row r="30" spans="1:33" ht="12.75" customHeight="1">
      <c r="A30" s="121"/>
      <c r="B30" s="121"/>
      <c r="C30" s="121"/>
      <c r="D30" s="121"/>
      <c r="E30" s="121"/>
      <c r="F30" s="121"/>
      <c r="G30" s="121"/>
      <c r="H30" s="121"/>
      <c r="I30" s="121"/>
      <c r="J30" s="121"/>
      <c r="K30" s="121"/>
      <c r="L30" s="121"/>
      <c r="M30" s="121"/>
      <c r="N30" s="121"/>
      <c r="O30" s="121"/>
      <c r="P30" s="121"/>
      <c r="Q30" s="546">
        <v>2.1</v>
      </c>
      <c r="R30" s="363" t="s">
        <v>831</v>
      </c>
      <c r="S30" s="363"/>
      <c r="T30" s="363"/>
      <c r="U30" s="550"/>
      <c r="V30" s="550"/>
      <c r="W30" s="550"/>
      <c r="X30" s="550"/>
      <c r="Y30" s="551"/>
      <c r="Z30" s="551"/>
      <c r="AA30"/>
      <c r="AB30"/>
      <c r="AC30"/>
      <c r="AD30"/>
      <c r="AE30"/>
      <c r="AF30"/>
      <c r="AG30"/>
    </row>
    <row r="31" spans="1:33" ht="12.75" customHeight="1">
      <c r="A31" s="121"/>
      <c r="B31" s="121"/>
      <c r="C31" s="121"/>
      <c r="D31" s="121"/>
      <c r="E31" s="121"/>
      <c r="F31" s="121"/>
      <c r="G31" s="121"/>
      <c r="H31" s="121"/>
      <c r="I31" s="121"/>
      <c r="J31" s="121"/>
      <c r="K31" s="121"/>
      <c r="L31" s="121"/>
      <c r="M31" s="121"/>
      <c r="N31" s="121"/>
      <c r="O31" s="121"/>
      <c r="P31" s="121"/>
      <c r="Q31" s="546"/>
      <c r="R31" s="998" t="s">
        <v>77</v>
      </c>
      <c r="S31" s="999"/>
      <c r="T31" s="1000"/>
      <c r="U31" s="1019" t="s">
        <v>824</v>
      </c>
      <c r="V31" s="1019" t="s">
        <v>828</v>
      </c>
      <c r="W31" s="1019" t="s">
        <v>826</v>
      </c>
      <c r="X31" s="1019" t="s">
        <v>23</v>
      </c>
      <c r="Y31" s="552"/>
      <c r="Z31" s="552"/>
      <c r="AA31"/>
      <c r="AB31"/>
      <c r="AC31"/>
      <c r="AD31"/>
      <c r="AE31"/>
      <c r="AF31"/>
      <c r="AG31"/>
    </row>
    <row r="32" spans="1:33" ht="12.75" customHeight="1">
      <c r="A32" s="121"/>
      <c r="B32" s="121"/>
      <c r="C32" s="121"/>
      <c r="D32" s="121"/>
      <c r="E32" s="121"/>
      <c r="F32" s="121"/>
      <c r="G32" s="121"/>
      <c r="H32" s="121"/>
      <c r="I32" s="121"/>
      <c r="J32" s="121"/>
      <c r="K32" s="121"/>
      <c r="L32" s="121"/>
      <c r="M32" s="121"/>
      <c r="N32" s="121"/>
      <c r="O32" s="121"/>
      <c r="P32" s="121"/>
      <c r="Q32" s="546"/>
      <c r="R32" s="1001"/>
      <c r="S32" s="1002"/>
      <c r="T32" s="1003"/>
      <c r="U32" s="1019"/>
      <c r="V32" s="1019"/>
      <c r="W32" s="1019"/>
      <c r="X32" s="1019"/>
      <c r="Y32" s="364"/>
      <c r="Z32" s="364"/>
      <c r="AA32"/>
      <c r="AB32"/>
      <c r="AC32"/>
      <c r="AD32"/>
      <c r="AE32"/>
      <c r="AF32"/>
      <c r="AG32"/>
    </row>
    <row r="33" spans="1:33" ht="12.75" customHeight="1">
      <c r="A33" s="121"/>
      <c r="B33" s="121"/>
      <c r="C33" s="121"/>
      <c r="D33" s="121"/>
      <c r="E33" s="121"/>
      <c r="F33" s="121"/>
      <c r="G33" s="121"/>
      <c r="H33" s="121"/>
      <c r="I33" s="121"/>
      <c r="J33" s="121"/>
      <c r="K33" s="121"/>
      <c r="L33" s="121"/>
      <c r="M33" s="121"/>
      <c r="N33" s="121"/>
      <c r="O33" s="121"/>
      <c r="P33" s="121"/>
      <c r="Q33" s="546"/>
      <c r="R33" s="1020" t="s">
        <v>500</v>
      </c>
      <c r="S33" s="1020"/>
      <c r="T33" s="1020"/>
      <c r="U33" s="369">
        <v>23.9</v>
      </c>
      <c r="V33" s="369">
        <f>'Lookup Properties'!$C$7</f>
        <v>15.4</v>
      </c>
      <c r="W33" s="369">
        <f>'Lookup Properties'!$D$7</f>
        <v>4.8</v>
      </c>
      <c r="X33" s="553">
        <f>SUM(U33:W33)</f>
        <v>44.099999999999994</v>
      </c>
      <c r="Y33" s="364"/>
      <c r="Z33" s="364"/>
      <c r="AA33"/>
      <c r="AB33"/>
      <c r="AC33"/>
      <c r="AD33"/>
      <c r="AE33"/>
      <c r="AF33"/>
      <c r="AG33"/>
    </row>
    <row r="34" spans="1:33" ht="12.75" customHeight="1">
      <c r="A34" s="121"/>
      <c r="B34" s="121"/>
      <c r="C34" s="121"/>
      <c r="D34" s="121"/>
      <c r="E34" s="121"/>
      <c r="F34" s="121"/>
      <c r="G34" s="121"/>
      <c r="H34" s="121"/>
      <c r="I34" s="121"/>
      <c r="J34" s="121"/>
      <c r="K34" s="121"/>
      <c r="L34" s="121"/>
      <c r="M34" s="121"/>
      <c r="N34" s="121"/>
      <c r="O34" s="121"/>
      <c r="P34" s="121"/>
      <c r="Q34" s="546"/>
      <c r="R34" s="1017" t="s">
        <v>22</v>
      </c>
      <c r="S34" s="1017"/>
      <c r="T34" s="1017"/>
      <c r="U34" s="369">
        <f>'Lookup Properties'!$B$5</f>
        <v>22.35</v>
      </c>
      <c r="V34" s="369">
        <f>'Lookup Properties'!$C$5</f>
        <v>17.399999999999999</v>
      </c>
      <c r="W34" s="369">
        <f>'Lookup Properties'!$D$5</f>
        <v>5</v>
      </c>
      <c r="X34" s="553">
        <f>SUM(U34:W34)</f>
        <v>44.75</v>
      </c>
      <c r="Y34" s="364"/>
      <c r="Z34" s="364"/>
      <c r="AA34"/>
      <c r="AB34"/>
      <c r="AC34"/>
      <c r="AD34"/>
      <c r="AE34"/>
      <c r="AF34"/>
      <c r="AG34"/>
    </row>
    <row r="35" spans="1:33" ht="12.75" customHeight="1">
      <c r="A35" s="121"/>
      <c r="B35" s="121"/>
      <c r="C35" s="121"/>
      <c r="D35" s="121"/>
      <c r="E35" s="121"/>
      <c r="F35" s="121"/>
      <c r="G35" s="121"/>
      <c r="H35" s="121"/>
      <c r="I35" s="121"/>
      <c r="J35" s="121"/>
      <c r="K35" s="121"/>
      <c r="L35" s="121"/>
      <c r="M35" s="121"/>
      <c r="N35" s="121"/>
      <c r="O35" s="121"/>
      <c r="P35" s="121"/>
      <c r="Q35" s="546"/>
      <c r="R35" s="1018" t="s">
        <v>579</v>
      </c>
      <c r="S35" s="1018"/>
      <c r="T35" s="1018"/>
      <c r="U35" s="369">
        <f>'Lookup Properties'!$B$6</f>
        <v>22.15</v>
      </c>
      <c r="V35" s="369">
        <f>'Lookup Properties'!$C$6</f>
        <v>18.149999999999999</v>
      </c>
      <c r="W35" s="369">
        <f>'Lookup Properties'!$D$6</f>
        <v>5</v>
      </c>
      <c r="X35" s="553">
        <f>SUM(U35:W35)</f>
        <v>45.3</v>
      </c>
      <c r="Y35" s="364"/>
      <c r="Z35" s="364"/>
      <c r="AA35"/>
      <c r="AB35"/>
      <c r="AC35"/>
      <c r="AD35"/>
      <c r="AE35"/>
      <c r="AF35"/>
      <c r="AG35"/>
    </row>
    <row r="36" spans="1:33" ht="12.75" customHeight="1">
      <c r="A36" s="121"/>
      <c r="B36" s="121"/>
      <c r="C36" s="121"/>
      <c r="D36" s="121"/>
      <c r="E36" s="121"/>
      <c r="F36" s="121"/>
      <c r="G36" s="121"/>
      <c r="H36" s="121"/>
      <c r="I36" s="121"/>
      <c r="J36" s="121"/>
      <c r="K36" s="121"/>
      <c r="L36" s="121"/>
      <c r="M36" s="121"/>
      <c r="N36" s="121"/>
      <c r="O36" s="121"/>
      <c r="P36" s="121"/>
      <c r="Q36" s="546"/>
      <c r="R36" s="1016" t="s">
        <v>21</v>
      </c>
      <c r="S36" s="1016"/>
      <c r="T36" s="1016"/>
      <c r="U36" s="369">
        <f>'Lookup Properties'!$B$4</f>
        <v>21.25</v>
      </c>
      <c r="V36" s="369">
        <f>'Lookup Properties'!$C$4</f>
        <v>17.399999999999999</v>
      </c>
      <c r="W36" s="369">
        <f>'Lookup Properties'!$D$4</f>
        <v>5</v>
      </c>
      <c r="X36" s="553">
        <f>SUM(U36:W36)</f>
        <v>43.65</v>
      </c>
      <c r="Y36" s="364"/>
      <c r="Z36" s="364"/>
      <c r="AA36"/>
      <c r="AB36"/>
      <c r="AC36"/>
      <c r="AD36"/>
      <c r="AE36"/>
      <c r="AF36"/>
      <c r="AG36"/>
    </row>
    <row r="37" spans="1:33" ht="12.75" customHeight="1">
      <c r="A37" s="121"/>
      <c r="B37" s="121"/>
      <c r="C37" s="121"/>
      <c r="D37" s="121"/>
      <c r="E37" s="121"/>
      <c r="F37" s="121"/>
      <c r="G37" s="121"/>
      <c r="H37" s="121"/>
      <c r="I37" s="121"/>
      <c r="J37" s="121"/>
      <c r="K37" s="121"/>
      <c r="L37" s="121"/>
      <c r="M37" s="121"/>
      <c r="N37" s="121"/>
      <c r="O37" s="121"/>
      <c r="P37" s="121"/>
      <c r="Q37" s="364"/>
      <c r="R37" s="364"/>
      <c r="S37" s="364"/>
      <c r="T37" s="364"/>
      <c r="U37" s="555"/>
      <c r="V37" s="555"/>
      <c r="W37" s="555"/>
      <c r="X37" s="555"/>
      <c r="Y37" s="555"/>
      <c r="Z37" s="364"/>
      <c r="AA37"/>
      <c r="AB37"/>
      <c r="AC37"/>
      <c r="AD37"/>
      <c r="AE37"/>
      <c r="AF37"/>
      <c r="AG37"/>
    </row>
    <row r="38" spans="1:33" ht="12.75" customHeight="1">
      <c r="A38" s="121"/>
      <c r="B38" s="121"/>
      <c r="C38" s="121"/>
      <c r="D38" s="121"/>
      <c r="E38" s="121"/>
      <c r="F38" s="121"/>
      <c r="G38" s="121"/>
      <c r="H38" s="121"/>
      <c r="I38" s="121"/>
      <c r="J38" s="121"/>
      <c r="K38" s="121"/>
      <c r="L38" s="121"/>
      <c r="M38" s="121"/>
      <c r="N38" s="121"/>
      <c r="O38" s="121"/>
      <c r="P38" s="121"/>
      <c r="Q38" s="360">
        <v>2.2000000000000002</v>
      </c>
      <c r="R38" s="363" t="s">
        <v>832</v>
      </c>
      <c r="S38" s="363"/>
      <c r="T38" s="363"/>
      <c r="U38" s="363"/>
      <c r="V38" s="363"/>
      <c r="W38" s="363"/>
      <c r="X38" s="363"/>
      <c r="Y38" s="363"/>
      <c r="Z38" s="364"/>
      <c r="AA38"/>
      <c r="AB38"/>
      <c r="AC38"/>
      <c r="AD38"/>
      <c r="AE38"/>
      <c r="AF38"/>
      <c r="AG38"/>
    </row>
    <row r="39" spans="1:33" ht="12.75" customHeight="1">
      <c r="A39" s="121"/>
      <c r="B39" s="121"/>
      <c r="C39" s="121"/>
      <c r="D39" s="121"/>
      <c r="E39" s="121"/>
      <c r="F39" s="121"/>
      <c r="G39" s="121"/>
      <c r="H39" s="121"/>
      <c r="I39" s="121"/>
      <c r="J39" s="121"/>
      <c r="K39" s="121"/>
      <c r="L39" s="121"/>
      <c r="M39" s="121"/>
      <c r="N39" s="121"/>
      <c r="O39" s="121"/>
      <c r="P39" s="121"/>
      <c r="Q39" s="360"/>
      <c r="R39" s="998" t="s">
        <v>77</v>
      </c>
      <c r="S39" s="999"/>
      <c r="T39" s="1000"/>
      <c r="U39" s="1019" t="s">
        <v>824</v>
      </c>
      <c r="V39" s="1019" t="s">
        <v>828</v>
      </c>
      <c r="W39" s="1019" t="s">
        <v>826</v>
      </c>
      <c r="X39" s="1019" t="s">
        <v>23</v>
      </c>
      <c r="Y39" s="364"/>
      <c r="Z39" s="364"/>
      <c r="AA39"/>
      <c r="AB39"/>
      <c r="AC39"/>
      <c r="AD39"/>
      <c r="AE39"/>
      <c r="AF39"/>
      <c r="AG39"/>
    </row>
    <row r="40" spans="1:33" ht="12.75" customHeight="1">
      <c r="A40" s="121"/>
      <c r="B40" s="121"/>
      <c r="C40" s="121"/>
      <c r="D40" s="121"/>
      <c r="E40" s="121"/>
      <c r="F40" s="121"/>
      <c r="G40" s="121"/>
      <c r="H40" s="121"/>
      <c r="I40" s="121"/>
      <c r="J40" s="121"/>
      <c r="K40" s="121"/>
      <c r="L40" s="121"/>
      <c r="M40" s="121"/>
      <c r="N40" s="121"/>
      <c r="O40" s="121"/>
      <c r="P40" s="121"/>
      <c r="Q40" s="360"/>
      <c r="R40" s="1001"/>
      <c r="S40" s="1002"/>
      <c r="T40" s="1003"/>
      <c r="U40" s="1019"/>
      <c r="V40" s="1019"/>
      <c r="W40" s="1019"/>
      <c r="X40" s="1019"/>
      <c r="Y40" s="364"/>
      <c r="Z40" s="364"/>
      <c r="AA40"/>
      <c r="AB40"/>
      <c r="AC40"/>
      <c r="AD40"/>
      <c r="AE40"/>
      <c r="AF40"/>
      <c r="AG40"/>
    </row>
    <row r="41" spans="1:33" ht="12.75" customHeight="1">
      <c r="A41" s="121"/>
      <c r="B41" s="121"/>
      <c r="C41" s="121"/>
      <c r="D41" s="121"/>
      <c r="E41" s="121"/>
      <c r="F41" s="121"/>
      <c r="G41" s="121"/>
      <c r="H41" s="121"/>
      <c r="I41" s="121"/>
      <c r="J41" s="121"/>
      <c r="K41" s="121"/>
      <c r="L41" s="121"/>
      <c r="M41" s="121"/>
      <c r="N41" s="121"/>
      <c r="O41" s="121"/>
      <c r="P41" s="121"/>
      <c r="Q41" s="360"/>
      <c r="R41" s="1020" t="s">
        <v>500</v>
      </c>
      <c r="S41" s="1020"/>
      <c r="T41" s="1020"/>
      <c r="U41" s="556">
        <f>'Lookup Properties'!$B$13</f>
        <v>0.74</v>
      </c>
      <c r="V41" s="556">
        <f>'Lookup Properties'!$C$13</f>
        <v>0.78</v>
      </c>
      <c r="W41" s="556">
        <f>'Lookup Properties'!$D$13</f>
        <v>1.26</v>
      </c>
      <c r="X41" s="553">
        <f>SUM(U41:W41)</f>
        <v>2.7800000000000002</v>
      </c>
      <c r="Y41" s="364"/>
      <c r="Z41" s="364"/>
      <c r="AA41"/>
      <c r="AB41"/>
      <c r="AC41"/>
      <c r="AD41"/>
      <c r="AE41"/>
      <c r="AF41"/>
      <c r="AG41"/>
    </row>
    <row r="42" spans="1:33" ht="12.75" customHeight="1">
      <c r="A42" s="121"/>
      <c r="B42" s="121"/>
      <c r="C42" s="121"/>
      <c r="D42" s="121"/>
      <c r="E42" s="121"/>
      <c r="F42" s="121"/>
      <c r="G42" s="121"/>
      <c r="H42" s="121"/>
      <c r="I42" s="121"/>
      <c r="J42" s="121"/>
      <c r="K42" s="121"/>
      <c r="L42" s="121"/>
      <c r="M42" s="121"/>
      <c r="N42" s="121"/>
      <c r="O42" s="121"/>
      <c r="P42" s="121"/>
      <c r="Q42" s="360"/>
      <c r="R42" s="1017" t="s">
        <v>22</v>
      </c>
      <c r="S42" s="1017"/>
      <c r="T42" s="1017"/>
      <c r="U42" s="557">
        <f>'Lookup Properties'!$B$11</f>
        <v>0.71499999999999997</v>
      </c>
      <c r="V42" s="557">
        <f>'Lookup Properties'!$C$11</f>
        <v>1.03</v>
      </c>
      <c r="W42" s="557">
        <f>'Lookup Properties'!$D$11</f>
        <v>1.29</v>
      </c>
      <c r="X42" s="553">
        <f>SUM(U42:W42)</f>
        <v>3.0350000000000001</v>
      </c>
      <c r="Y42" s="364"/>
      <c r="Z42" s="364"/>
      <c r="AA42"/>
      <c r="AB42"/>
      <c r="AC42"/>
      <c r="AD42"/>
      <c r="AE42"/>
      <c r="AF42"/>
      <c r="AG42"/>
    </row>
    <row r="43" spans="1:33" ht="12.75" customHeight="1">
      <c r="A43" s="121"/>
      <c r="B43" s="121"/>
      <c r="C43" s="121"/>
      <c r="D43" s="121"/>
      <c r="E43" s="121"/>
      <c r="F43" s="121"/>
      <c r="G43" s="121"/>
      <c r="H43" s="121"/>
      <c r="I43" s="121"/>
      <c r="J43" s="121"/>
      <c r="K43" s="121"/>
      <c r="L43" s="121"/>
      <c r="M43" s="121"/>
      <c r="N43" s="121"/>
      <c r="O43" s="121"/>
      <c r="P43" s="121"/>
      <c r="Q43" s="360"/>
      <c r="R43" s="1018" t="s">
        <v>579</v>
      </c>
      <c r="S43" s="1018"/>
      <c r="T43" s="1018"/>
      <c r="U43" s="557">
        <f>'Lookup Properties'!$B$12</f>
        <v>0.755</v>
      </c>
      <c r="V43" s="557">
        <f>'Lookup Properties'!$C$12</f>
        <v>1.07</v>
      </c>
      <c r="W43" s="557">
        <f>'Lookup Properties'!$D$12</f>
        <v>1.2949999999999999</v>
      </c>
      <c r="X43" s="553">
        <f>SUM(U43:W43)</f>
        <v>3.12</v>
      </c>
      <c r="Y43" s="364"/>
      <c r="Z43" s="364"/>
      <c r="AA43"/>
      <c r="AB43"/>
      <c r="AC43"/>
      <c r="AD43"/>
      <c r="AE43"/>
      <c r="AF43"/>
      <c r="AG43"/>
    </row>
    <row r="44" spans="1:33" ht="12.75" customHeight="1">
      <c r="A44" s="121"/>
      <c r="B44" s="121"/>
      <c r="C44" s="121"/>
      <c r="D44" s="121"/>
      <c r="E44" s="121"/>
      <c r="F44" s="121"/>
      <c r="G44" s="121"/>
      <c r="H44" s="121"/>
      <c r="I44" s="121"/>
      <c r="J44" s="121"/>
      <c r="K44" s="121"/>
      <c r="L44" s="121"/>
      <c r="M44" s="121"/>
      <c r="N44" s="121"/>
      <c r="O44" s="121"/>
      <c r="P44" s="121"/>
      <c r="Q44" s="360"/>
      <c r="R44" s="1016" t="s">
        <v>21</v>
      </c>
      <c r="S44" s="1016"/>
      <c r="T44" s="1016"/>
      <c r="U44" s="557">
        <f>'Lookup Properties'!$B$10</f>
        <v>0.71</v>
      </c>
      <c r="V44" s="557">
        <f>'Lookup Properties'!$C$10</f>
        <v>1.03</v>
      </c>
      <c r="W44" s="557">
        <f>'Lookup Properties'!$D$10</f>
        <v>1.29</v>
      </c>
      <c r="X44" s="553">
        <f>SUM(U44:W44)</f>
        <v>3.0300000000000002</v>
      </c>
      <c r="Y44" s="364"/>
      <c r="Z44" s="364"/>
      <c r="AA44"/>
      <c r="AB44"/>
      <c r="AC44"/>
      <c r="AD44"/>
      <c r="AE44"/>
      <c r="AF44"/>
      <c r="AG44"/>
    </row>
    <row r="45" spans="1:33" ht="12.75" customHeight="1">
      <c r="A45" s="121"/>
      <c r="B45" s="121"/>
      <c r="C45" s="121"/>
      <c r="D45" s="121"/>
      <c r="E45" s="121"/>
      <c r="F45" s="121"/>
      <c r="G45" s="121"/>
      <c r="H45" s="121"/>
      <c r="I45" s="121"/>
      <c r="J45" s="121"/>
      <c r="K45" s="121"/>
      <c r="L45" s="121"/>
      <c r="M45" s="121"/>
      <c r="N45" s="121"/>
      <c r="O45" s="121"/>
      <c r="P45" s="121"/>
      <c r="Q45" s="364"/>
      <c r="R45" s="364"/>
      <c r="S45" s="364"/>
      <c r="T45" s="364"/>
      <c r="U45" s="555"/>
      <c r="V45" s="555"/>
      <c r="W45" s="555"/>
      <c r="X45" s="555"/>
      <c r="Y45" s="555"/>
      <c r="Z45" s="364"/>
      <c r="AA45"/>
      <c r="AB45"/>
      <c r="AC45"/>
      <c r="AD45"/>
      <c r="AE45"/>
      <c r="AF45"/>
      <c r="AG45"/>
    </row>
    <row r="46" spans="1:33" ht="12.75" customHeight="1">
      <c r="A46" s="121"/>
      <c r="B46" s="121"/>
      <c r="C46" s="121"/>
      <c r="D46" s="121"/>
      <c r="E46" s="121"/>
      <c r="F46" s="121"/>
      <c r="G46" s="121"/>
      <c r="H46" s="121"/>
      <c r="I46" s="121"/>
      <c r="J46" s="121"/>
      <c r="K46" s="121"/>
      <c r="L46" s="121"/>
      <c r="M46" s="121"/>
      <c r="N46" s="121"/>
      <c r="O46" s="121"/>
      <c r="P46" s="121"/>
      <c r="Q46" s="387" t="s">
        <v>817</v>
      </c>
      <c r="R46" s="1015" t="s">
        <v>206</v>
      </c>
      <c r="S46" s="1015"/>
      <c r="T46" s="1015"/>
      <c r="U46" s="1015"/>
      <c r="V46" s="1015"/>
      <c r="W46" s="1015"/>
      <c r="X46" s="1015"/>
      <c r="Y46" s="1015"/>
      <c r="Z46" s="536"/>
      <c r="AA46"/>
      <c r="AB46"/>
      <c r="AC46"/>
      <c r="AD46"/>
      <c r="AE46"/>
      <c r="AF46"/>
      <c r="AG46"/>
    </row>
    <row r="47" spans="1:33" ht="12.75" customHeight="1">
      <c r="A47" s="121"/>
      <c r="B47" s="121"/>
      <c r="C47" s="121"/>
      <c r="D47" s="121"/>
      <c r="E47" s="121"/>
      <c r="F47" s="121"/>
      <c r="G47" s="121"/>
      <c r="H47" s="121"/>
      <c r="I47" s="121"/>
      <c r="J47" s="121"/>
      <c r="K47" s="121"/>
      <c r="L47" s="121"/>
      <c r="M47" s="121"/>
      <c r="N47" s="121"/>
      <c r="O47" s="121"/>
      <c r="P47" s="121"/>
      <c r="Q47" s="668"/>
      <c r="R47" s="364"/>
      <c r="S47" s="364"/>
      <c r="T47" s="364"/>
      <c r="U47" s="555"/>
      <c r="V47" s="555"/>
      <c r="W47" s="555"/>
      <c r="X47" s="555"/>
      <c r="Y47" s="555"/>
      <c r="Z47" s="364"/>
      <c r="AA47"/>
      <c r="AB47"/>
      <c r="AC47"/>
      <c r="AD47"/>
      <c r="AE47"/>
      <c r="AF47"/>
      <c r="AG47"/>
    </row>
    <row r="48" spans="1:33" ht="12.75" customHeight="1">
      <c r="A48" s="121"/>
      <c r="B48" s="121"/>
      <c r="C48" s="121"/>
      <c r="D48" s="121"/>
      <c r="E48" s="121"/>
      <c r="F48" s="121"/>
      <c r="G48" s="121"/>
      <c r="H48" s="121"/>
      <c r="I48" s="121"/>
      <c r="J48" s="121"/>
      <c r="K48" s="121"/>
      <c r="L48" s="121"/>
      <c r="M48" s="121"/>
      <c r="N48" s="121"/>
      <c r="O48" s="121"/>
      <c r="P48" s="121"/>
      <c r="Q48" s="668" t="s">
        <v>196</v>
      </c>
      <c r="R48" s="364" t="s">
        <v>207</v>
      </c>
      <c r="S48" s="364"/>
      <c r="T48" s="364"/>
      <c r="U48" s="555"/>
      <c r="V48" s="555"/>
      <c r="W48" s="555"/>
      <c r="X48" s="555"/>
      <c r="Y48" s="555"/>
      <c r="Z48" s="364"/>
      <c r="AA48"/>
      <c r="AB48"/>
      <c r="AC48"/>
      <c r="AD48"/>
      <c r="AE48"/>
      <c r="AF48"/>
      <c r="AG48"/>
    </row>
    <row r="49" spans="1:33" ht="12.75" customHeight="1">
      <c r="A49" s="121"/>
      <c r="B49" s="121"/>
      <c r="C49" s="121"/>
      <c r="D49" s="121"/>
      <c r="E49" s="121"/>
      <c r="F49" s="121"/>
      <c r="G49" s="121"/>
      <c r="H49" s="121"/>
      <c r="I49" s="121"/>
      <c r="J49" s="121"/>
      <c r="K49" s="121"/>
      <c r="L49" s="121"/>
      <c r="M49" s="121"/>
      <c r="N49" s="121"/>
      <c r="O49" s="121"/>
      <c r="P49" s="121"/>
      <c r="Q49" s="364"/>
      <c r="R49" s="962" t="s">
        <v>678</v>
      </c>
      <c r="S49" s="963"/>
      <c r="T49" s="964"/>
      <c r="U49" s="949" t="s">
        <v>500</v>
      </c>
      <c r="V49" s="938" t="s">
        <v>22</v>
      </c>
      <c r="W49" s="940" t="s">
        <v>579</v>
      </c>
      <c r="X49" s="942" t="s">
        <v>21</v>
      </c>
      <c r="Y49" s="361"/>
      <c r="Z49" s="364"/>
      <c r="AA49"/>
      <c r="AB49"/>
      <c r="AC49"/>
      <c r="AD49"/>
      <c r="AE49"/>
      <c r="AF49"/>
      <c r="AG49"/>
    </row>
    <row r="50" spans="1:33" ht="12.75" customHeight="1">
      <c r="A50" s="121"/>
      <c r="B50" s="121"/>
      <c r="C50" s="121"/>
      <c r="D50" s="121"/>
      <c r="E50" s="121"/>
      <c r="F50" s="121"/>
      <c r="G50" s="121"/>
      <c r="H50" s="121"/>
      <c r="I50" s="121"/>
      <c r="J50" s="121"/>
      <c r="K50" s="121"/>
      <c r="L50" s="121"/>
      <c r="M50" s="121"/>
      <c r="N50" s="121"/>
      <c r="O50" s="121"/>
      <c r="P50" s="121"/>
      <c r="Q50" s="364"/>
      <c r="R50" s="965"/>
      <c r="S50" s="966"/>
      <c r="T50" s="967"/>
      <c r="U50" s="950"/>
      <c r="V50" s="939"/>
      <c r="W50" s="941"/>
      <c r="X50" s="943"/>
      <c r="Y50" s="361"/>
      <c r="Z50" s="364"/>
      <c r="AA50"/>
      <c r="AB50"/>
      <c r="AC50"/>
      <c r="AD50"/>
      <c r="AE50"/>
      <c r="AF50"/>
      <c r="AG50"/>
    </row>
    <row r="51" spans="1:33" ht="12.75" customHeight="1">
      <c r="A51" s="121"/>
      <c r="B51" s="121"/>
      <c r="C51" s="121"/>
      <c r="D51" s="121"/>
      <c r="E51" s="121"/>
      <c r="F51" s="121"/>
      <c r="G51" s="121"/>
      <c r="H51" s="121"/>
      <c r="I51" s="121"/>
      <c r="J51" s="121"/>
      <c r="K51" s="121"/>
      <c r="L51" s="121"/>
      <c r="M51" s="121"/>
      <c r="N51" s="121"/>
      <c r="O51" s="121"/>
      <c r="P51" s="121"/>
      <c r="Q51" s="364"/>
      <c r="R51" s="969" t="s">
        <v>210</v>
      </c>
      <c r="S51" s="969"/>
      <c r="T51" s="969"/>
      <c r="U51" s="560">
        <v>0.3</v>
      </c>
      <c r="V51" s="537">
        <f>VLOOKUP($V$5,'Lookup Penetration Rate'!$B$8:$E$208,3)</f>
        <v>0.4</v>
      </c>
      <c r="W51" s="537">
        <f>VLOOKUP($V$5,'Lookup Penetration Rate'!$B$8:$E$208,4)</f>
        <v>0.46</v>
      </c>
      <c r="X51" s="537">
        <f>VLOOKUP($V$5,'Lookup Penetration Rate'!$B$8:$E$208,2)</f>
        <v>0.56000000000000005</v>
      </c>
      <c r="Y51" s="361"/>
      <c r="Z51" s="364"/>
      <c r="AA51"/>
      <c r="AB51"/>
      <c r="AC51"/>
      <c r="AD51"/>
      <c r="AE51"/>
      <c r="AF51"/>
      <c r="AG51"/>
    </row>
    <row r="52" spans="1:33" ht="12.75" customHeight="1">
      <c r="A52" s="121"/>
      <c r="B52" s="121"/>
      <c r="C52" s="121"/>
      <c r="D52" s="121"/>
      <c r="E52" s="121"/>
      <c r="F52" s="121"/>
      <c r="G52" s="121"/>
      <c r="H52" s="121"/>
      <c r="I52" s="121"/>
      <c r="J52" s="121"/>
      <c r="K52" s="121"/>
      <c r="L52" s="121"/>
      <c r="M52" s="121"/>
      <c r="N52" s="121"/>
      <c r="O52" s="121"/>
      <c r="P52" s="121"/>
      <c r="Q52" s="364"/>
      <c r="R52" s="364"/>
      <c r="S52" s="364"/>
      <c r="T52" s="364"/>
      <c r="U52" s="555"/>
      <c r="V52" s="555"/>
      <c r="W52" s="555"/>
      <c r="X52" s="555"/>
      <c r="Y52" s="555"/>
      <c r="Z52" s="364"/>
      <c r="AA52"/>
      <c r="AB52"/>
      <c r="AC52"/>
      <c r="AD52"/>
      <c r="AE52"/>
      <c r="AF52"/>
      <c r="AG52"/>
    </row>
    <row r="53" spans="1:33" ht="12.75" customHeight="1">
      <c r="A53" s="121"/>
      <c r="B53" s="121"/>
      <c r="C53" s="121"/>
      <c r="D53" s="121"/>
      <c r="E53" s="121"/>
      <c r="F53" s="121"/>
      <c r="G53" s="121"/>
      <c r="H53" s="121"/>
      <c r="I53" s="121"/>
      <c r="J53" s="121"/>
      <c r="K53" s="121"/>
      <c r="L53" s="121"/>
      <c r="M53" s="121"/>
      <c r="N53" s="121"/>
      <c r="O53" s="121"/>
      <c r="P53" s="121"/>
      <c r="Q53" s="668" t="s">
        <v>197</v>
      </c>
      <c r="R53" s="364" t="s">
        <v>208</v>
      </c>
      <c r="S53" s="364"/>
      <c r="T53" s="364"/>
      <c r="U53" s="555"/>
      <c r="V53" s="555"/>
      <c r="W53" s="555"/>
      <c r="X53" s="555"/>
      <c r="Y53" s="555"/>
      <c r="Z53" s="364"/>
      <c r="AA53"/>
      <c r="AB53"/>
      <c r="AC53"/>
      <c r="AD53"/>
      <c r="AE53"/>
      <c r="AF53"/>
      <c r="AG53"/>
    </row>
    <row r="54" spans="1:33" ht="12.75" customHeight="1">
      <c r="A54" s="121"/>
      <c r="B54" s="121"/>
      <c r="C54" s="121"/>
      <c r="D54" s="121"/>
      <c r="E54" s="121"/>
      <c r="F54" s="121"/>
      <c r="G54" s="121"/>
      <c r="H54" s="121"/>
      <c r="I54" s="121"/>
      <c r="J54" s="121"/>
      <c r="K54" s="121"/>
      <c r="L54" s="121"/>
      <c r="M54" s="121"/>
      <c r="N54" s="121"/>
      <c r="O54" s="121"/>
      <c r="P54" s="121"/>
      <c r="Q54" s="668"/>
      <c r="R54" s="962" t="s">
        <v>678</v>
      </c>
      <c r="S54" s="963"/>
      <c r="T54" s="964"/>
      <c r="U54" s="949" t="s">
        <v>500</v>
      </c>
      <c r="V54" s="938" t="s">
        <v>22</v>
      </c>
      <c r="W54" s="940" t="s">
        <v>579</v>
      </c>
      <c r="X54" s="942" t="s">
        <v>21</v>
      </c>
      <c r="Y54" s="361"/>
      <c r="Z54" s="364"/>
      <c r="AA54"/>
      <c r="AB54"/>
      <c r="AC54"/>
      <c r="AD54"/>
      <c r="AE54"/>
      <c r="AF54"/>
      <c r="AG54"/>
    </row>
    <row r="55" spans="1:33" ht="12.75" customHeight="1">
      <c r="A55" s="121"/>
      <c r="B55" s="121"/>
      <c r="C55" s="121"/>
      <c r="D55" s="121"/>
      <c r="E55" s="121"/>
      <c r="F55" s="121"/>
      <c r="G55" s="121"/>
      <c r="H55" s="121"/>
      <c r="I55" s="121"/>
      <c r="J55" s="121"/>
      <c r="K55" s="121"/>
      <c r="L55" s="121"/>
      <c r="M55" s="121"/>
      <c r="N55" s="121"/>
      <c r="O55" s="121"/>
      <c r="P55" s="121"/>
      <c r="Q55" s="668"/>
      <c r="R55" s="965"/>
      <c r="S55" s="966"/>
      <c r="T55" s="967"/>
      <c r="U55" s="950"/>
      <c r="V55" s="939"/>
      <c r="W55" s="941"/>
      <c r="X55" s="943"/>
      <c r="Y55" s="361"/>
      <c r="Z55" s="364"/>
      <c r="AA55"/>
      <c r="AB55"/>
      <c r="AC55"/>
      <c r="AD55"/>
      <c r="AE55"/>
      <c r="AF55"/>
      <c r="AG55"/>
    </row>
    <row r="56" spans="1:33" ht="12.75" customHeight="1">
      <c r="A56" s="121"/>
      <c r="B56" s="121"/>
      <c r="C56" s="121"/>
      <c r="D56" s="121"/>
      <c r="E56" s="121"/>
      <c r="F56" s="121"/>
      <c r="G56" s="121"/>
      <c r="H56" s="121"/>
      <c r="I56" s="121"/>
      <c r="J56" s="121"/>
      <c r="K56" s="121"/>
      <c r="L56" s="121"/>
      <c r="M56" s="121"/>
      <c r="N56" s="121"/>
      <c r="O56" s="121"/>
      <c r="P56" s="121"/>
      <c r="Q56" s="668"/>
      <c r="R56" s="969" t="s">
        <v>209</v>
      </c>
      <c r="S56" s="969"/>
      <c r="T56" s="969"/>
      <c r="U56" s="560">
        <f>$V$20/U51</f>
        <v>4</v>
      </c>
      <c r="V56" s="669">
        <f>$V$20/V51</f>
        <v>2.9999999999999996</v>
      </c>
      <c r="W56" s="669">
        <f>$V$20/W51</f>
        <v>2.6086956521739126</v>
      </c>
      <c r="X56" s="669">
        <f>$V$20/X51</f>
        <v>2.1428571428571428</v>
      </c>
      <c r="Y56" s="361"/>
      <c r="Z56" s="364"/>
      <c r="AA56"/>
      <c r="AB56"/>
      <c r="AC56"/>
      <c r="AD56"/>
      <c r="AE56"/>
      <c r="AF56"/>
      <c r="AG56"/>
    </row>
    <row r="57" spans="1:33" ht="12.75" customHeight="1">
      <c r="A57" s="121"/>
      <c r="B57" s="121"/>
      <c r="C57" s="121"/>
      <c r="D57" s="121"/>
      <c r="E57" s="121"/>
      <c r="F57" s="121"/>
      <c r="G57" s="121"/>
      <c r="H57" s="121"/>
      <c r="I57" s="121"/>
      <c r="J57" s="121"/>
      <c r="K57" s="121"/>
      <c r="L57" s="121"/>
      <c r="M57" s="121"/>
      <c r="N57" s="121"/>
      <c r="O57" s="121"/>
      <c r="P57" s="121"/>
      <c r="Q57" s="364"/>
      <c r="R57" s="364"/>
      <c r="S57" s="364"/>
      <c r="T57" s="364"/>
      <c r="U57" s="555"/>
      <c r="V57" s="555"/>
      <c r="W57" s="555"/>
      <c r="X57" s="555"/>
      <c r="Y57" s="555"/>
      <c r="Z57" s="364"/>
      <c r="AA57"/>
      <c r="AB57"/>
      <c r="AC57"/>
      <c r="AD57"/>
      <c r="AE57"/>
      <c r="AF57"/>
      <c r="AG57"/>
    </row>
    <row r="58" spans="1:33" ht="12.75" customHeight="1">
      <c r="A58" s="121"/>
      <c r="B58" s="121"/>
      <c r="C58" s="121"/>
      <c r="D58" s="121"/>
      <c r="E58" s="121"/>
      <c r="F58" s="121"/>
      <c r="G58" s="121"/>
      <c r="H58" s="121"/>
      <c r="I58" s="121"/>
      <c r="J58" s="121"/>
      <c r="K58" s="121"/>
      <c r="L58" s="121"/>
      <c r="M58" s="121"/>
      <c r="N58" s="121"/>
      <c r="O58" s="121"/>
      <c r="P58" s="121"/>
      <c r="Q58" s="563">
        <v>3.3</v>
      </c>
      <c r="R58" s="363" t="s">
        <v>211</v>
      </c>
      <c r="S58" s="363"/>
      <c r="T58" s="363"/>
      <c r="U58" s="363"/>
      <c r="V58" s="363"/>
      <c r="W58" s="363"/>
      <c r="X58" s="363"/>
      <c r="Y58" s="363"/>
      <c r="Z58" s="364"/>
      <c r="AA58"/>
      <c r="AB58"/>
      <c r="AC58"/>
      <c r="AD58"/>
      <c r="AE58"/>
      <c r="AF58"/>
      <c r="AG58"/>
    </row>
    <row r="59" spans="1:33" ht="12.75" customHeight="1">
      <c r="A59" s="121"/>
      <c r="B59" s="121"/>
      <c r="C59" s="121"/>
      <c r="D59" s="121"/>
      <c r="E59" s="121"/>
      <c r="F59" s="121"/>
      <c r="G59" s="121"/>
      <c r="H59" s="121"/>
      <c r="I59" s="121"/>
      <c r="J59" s="121"/>
      <c r="K59" s="121"/>
      <c r="L59" s="121"/>
      <c r="M59" s="121"/>
      <c r="N59" s="121"/>
      <c r="O59" s="121"/>
      <c r="P59" s="121"/>
      <c r="Q59" s="563"/>
      <c r="R59" s="962" t="s">
        <v>678</v>
      </c>
      <c r="S59" s="963"/>
      <c r="T59" s="964"/>
      <c r="U59" s="949" t="s">
        <v>500</v>
      </c>
      <c r="V59" s="938" t="s">
        <v>22</v>
      </c>
      <c r="W59" s="940" t="s">
        <v>579</v>
      </c>
      <c r="X59" s="942" t="s">
        <v>21</v>
      </c>
      <c r="Y59" s="361"/>
      <c r="Z59" s="364"/>
      <c r="AA59"/>
      <c r="AB59"/>
      <c r="AC59"/>
      <c r="AD59"/>
      <c r="AE59"/>
      <c r="AF59"/>
      <c r="AG59"/>
    </row>
    <row r="60" spans="1:33" ht="12.75" customHeight="1">
      <c r="A60" s="121"/>
      <c r="B60" s="121"/>
      <c r="C60" s="121"/>
      <c r="D60" s="121"/>
      <c r="E60" s="121"/>
      <c r="F60" s="121"/>
      <c r="G60" s="121"/>
      <c r="H60" s="121"/>
      <c r="I60" s="121"/>
      <c r="J60" s="121"/>
      <c r="K60" s="121"/>
      <c r="L60" s="121"/>
      <c r="M60" s="121"/>
      <c r="N60" s="121"/>
      <c r="O60" s="121"/>
      <c r="P60" s="121"/>
      <c r="Q60" s="563"/>
      <c r="R60" s="965"/>
      <c r="S60" s="966"/>
      <c r="T60" s="967"/>
      <c r="U60" s="950"/>
      <c r="V60" s="939"/>
      <c r="W60" s="941"/>
      <c r="X60" s="943"/>
      <c r="Y60" s="361"/>
      <c r="Z60" s="364"/>
      <c r="AA60"/>
      <c r="AB60"/>
      <c r="AC60"/>
      <c r="AD60"/>
      <c r="AE60"/>
      <c r="AF60"/>
      <c r="AG60"/>
    </row>
    <row r="61" spans="1:33" ht="12.75" customHeight="1">
      <c r="A61" s="121"/>
      <c r="B61" s="121"/>
      <c r="C61" s="121"/>
      <c r="D61" s="121"/>
      <c r="E61" s="121"/>
      <c r="F61" s="121"/>
      <c r="G61" s="121"/>
      <c r="H61" s="121"/>
      <c r="I61" s="121"/>
      <c r="J61" s="121"/>
      <c r="K61" s="121"/>
      <c r="L61" s="121"/>
      <c r="M61" s="121"/>
      <c r="N61" s="121"/>
      <c r="O61" s="121"/>
      <c r="P61" s="121"/>
      <c r="Q61" s="563"/>
      <c r="R61" s="969" t="s">
        <v>209</v>
      </c>
      <c r="S61" s="969"/>
      <c r="T61" s="969"/>
      <c r="U61" s="562">
        <f>(U56*$V$24)/$V$23</f>
        <v>160</v>
      </c>
      <c r="V61" s="670">
        <f>(V56*$V$24)/$V$23</f>
        <v>119.99999999999997</v>
      </c>
      <c r="W61" s="670">
        <f>(W56*$V$24)/$V$23</f>
        <v>104.3478260869565</v>
      </c>
      <c r="X61" s="670">
        <f>(X56*$V$24)/$V$23</f>
        <v>85.714285714285708</v>
      </c>
      <c r="Y61" s="361"/>
      <c r="Z61" s="364"/>
      <c r="AA61"/>
      <c r="AB61"/>
      <c r="AC61"/>
      <c r="AD61"/>
      <c r="AE61"/>
      <c r="AF61"/>
      <c r="AG61"/>
    </row>
    <row r="62" spans="1:33" ht="12.75" customHeight="1">
      <c r="A62" s="121"/>
      <c r="B62" s="121"/>
      <c r="C62" s="121"/>
      <c r="D62" s="121"/>
      <c r="E62" s="121"/>
      <c r="F62" s="121"/>
      <c r="G62" s="121"/>
      <c r="H62" s="121"/>
      <c r="I62" s="121"/>
      <c r="J62" s="121"/>
      <c r="K62" s="121"/>
      <c r="L62" s="121"/>
      <c r="M62" s="121"/>
      <c r="N62" s="121"/>
      <c r="O62" s="121"/>
      <c r="P62" s="121"/>
      <c r="Q62" s="563"/>
      <c r="R62" s="931" t="s">
        <v>212</v>
      </c>
      <c r="S62" s="931"/>
      <c r="T62" s="931"/>
      <c r="U62" s="537">
        <f>U61/60</f>
        <v>2.6666666666666665</v>
      </c>
      <c r="V62" s="557">
        <f>V61/60</f>
        <v>1.9999999999999996</v>
      </c>
      <c r="W62" s="557">
        <f>W61/60</f>
        <v>1.7391304347826084</v>
      </c>
      <c r="X62" s="557">
        <f>X61/60</f>
        <v>1.4285714285714284</v>
      </c>
      <c r="Y62" s="361"/>
      <c r="Z62" s="364"/>
      <c r="AA62"/>
      <c r="AB62"/>
      <c r="AC62"/>
      <c r="AD62"/>
      <c r="AE62"/>
      <c r="AF62"/>
      <c r="AG62"/>
    </row>
    <row r="63" spans="1:33" ht="12.75" customHeight="1">
      <c r="A63" s="121"/>
      <c r="B63" s="121"/>
      <c r="C63" s="121"/>
      <c r="D63" s="121"/>
      <c r="E63" s="121"/>
      <c r="F63" s="121"/>
      <c r="G63" s="121"/>
      <c r="H63" s="121"/>
      <c r="I63" s="121"/>
      <c r="J63" s="121"/>
      <c r="K63" s="121"/>
      <c r="L63" s="121"/>
      <c r="M63" s="121"/>
      <c r="N63" s="121"/>
      <c r="O63" s="121"/>
      <c r="P63" s="121"/>
      <c r="Q63" s="563"/>
      <c r="R63" s="363"/>
      <c r="S63" s="363"/>
      <c r="T63" s="363"/>
      <c r="U63" s="363"/>
      <c r="V63" s="363"/>
      <c r="W63" s="363"/>
      <c r="X63" s="363"/>
      <c r="Y63" s="363"/>
      <c r="Z63" s="364"/>
      <c r="AA63"/>
      <c r="AB63"/>
      <c r="AC63"/>
      <c r="AD63"/>
      <c r="AE63"/>
      <c r="AF63"/>
      <c r="AG63"/>
    </row>
    <row r="64" spans="1:33" ht="12.75" customHeight="1">
      <c r="A64" s="121"/>
      <c r="B64" s="121"/>
      <c r="C64" s="121"/>
      <c r="D64" s="121"/>
      <c r="E64" s="121"/>
      <c r="F64" s="121"/>
      <c r="G64" s="121"/>
      <c r="H64" s="121"/>
      <c r="I64" s="121"/>
      <c r="J64" s="121"/>
      <c r="K64" s="121"/>
      <c r="L64" s="121"/>
      <c r="M64" s="121"/>
      <c r="N64" s="121"/>
      <c r="O64" s="121"/>
      <c r="P64" s="121"/>
      <c r="Q64" s="388" t="s">
        <v>295</v>
      </c>
      <c r="R64" s="1015" t="s">
        <v>216</v>
      </c>
      <c r="S64" s="1015"/>
      <c r="T64" s="1015"/>
      <c r="U64" s="1015"/>
      <c r="V64" s="1015"/>
      <c r="W64" s="1015"/>
      <c r="X64" s="1015"/>
      <c r="Y64" s="1015"/>
      <c r="Z64" s="536"/>
      <c r="AA64"/>
      <c r="AB64"/>
      <c r="AC64"/>
      <c r="AD64"/>
      <c r="AE64"/>
      <c r="AF64"/>
      <c r="AG64"/>
    </row>
    <row r="65" spans="1:36" ht="12.75" customHeight="1">
      <c r="A65" s="121"/>
      <c r="B65" s="121"/>
      <c r="C65" s="121"/>
      <c r="D65" s="121"/>
      <c r="E65" s="121"/>
      <c r="F65" s="121"/>
      <c r="G65" s="121"/>
      <c r="H65" s="121"/>
      <c r="I65" s="121"/>
      <c r="J65" s="121"/>
      <c r="K65" s="121"/>
      <c r="L65" s="121"/>
      <c r="M65" s="121"/>
      <c r="N65" s="121"/>
      <c r="O65" s="121"/>
      <c r="P65" s="121"/>
      <c r="Q65" s="563"/>
      <c r="R65" s="363"/>
      <c r="S65" s="363"/>
      <c r="T65" s="363"/>
      <c r="U65" s="363"/>
      <c r="V65" s="363"/>
      <c r="W65" s="363"/>
      <c r="X65" s="363"/>
      <c r="Y65" s="363"/>
      <c r="Z65" s="364"/>
      <c r="AA65"/>
      <c r="AB65"/>
      <c r="AC65"/>
      <c r="AD65"/>
      <c r="AE65"/>
      <c r="AF65"/>
      <c r="AG65"/>
      <c r="AH65" s="23"/>
      <c r="AI65" s="23"/>
    </row>
    <row r="66" spans="1:36" ht="12.75" customHeight="1">
      <c r="A66" s="121"/>
      <c r="B66" s="121"/>
      <c r="C66" s="121"/>
      <c r="D66" s="121"/>
      <c r="E66" s="121"/>
      <c r="F66" s="121"/>
      <c r="G66" s="121"/>
      <c r="H66" s="121"/>
      <c r="I66" s="121"/>
      <c r="J66" s="121"/>
      <c r="K66" s="121"/>
      <c r="L66" s="121"/>
      <c r="M66" s="121"/>
      <c r="N66" s="121"/>
      <c r="O66" s="121"/>
      <c r="P66" s="121"/>
      <c r="Q66" s="360" t="s">
        <v>502</v>
      </c>
      <c r="R66" s="364" t="s">
        <v>527</v>
      </c>
      <c r="S66" s="364"/>
      <c r="T66" s="364"/>
      <c r="U66" s="555"/>
      <c r="V66" s="555"/>
      <c r="W66" s="555"/>
      <c r="X66" s="555"/>
      <c r="Y66" s="555"/>
      <c r="Z66" s="364"/>
      <c r="AA66"/>
      <c r="AB66"/>
      <c r="AC66"/>
      <c r="AD66"/>
      <c r="AE66"/>
      <c r="AF66"/>
      <c r="AG66"/>
      <c r="AJ66" s="17"/>
    </row>
    <row r="67" spans="1:36" ht="12.75" customHeight="1">
      <c r="A67" s="121"/>
      <c r="B67" s="121"/>
      <c r="C67" s="121"/>
      <c r="D67" s="121"/>
      <c r="E67" s="121"/>
      <c r="F67" s="121"/>
      <c r="G67" s="121"/>
      <c r="H67" s="121"/>
      <c r="I67" s="121"/>
      <c r="J67" s="121"/>
      <c r="K67" s="121"/>
      <c r="L67" s="121"/>
      <c r="M67" s="121"/>
      <c r="N67" s="121"/>
      <c r="O67" s="121"/>
      <c r="P67" s="121"/>
      <c r="Q67" s="360"/>
      <c r="R67" s="962" t="s">
        <v>678</v>
      </c>
      <c r="S67" s="963"/>
      <c r="T67" s="964"/>
      <c r="U67" s="949" t="s">
        <v>500</v>
      </c>
      <c r="V67" s="938" t="s">
        <v>22</v>
      </c>
      <c r="W67" s="940" t="s">
        <v>579</v>
      </c>
      <c r="X67" s="942" t="s">
        <v>21</v>
      </c>
      <c r="Y67" s="361"/>
      <c r="Z67" s="364"/>
      <c r="AA67"/>
      <c r="AB67"/>
      <c r="AC67"/>
      <c r="AD67"/>
      <c r="AE67"/>
      <c r="AF67"/>
      <c r="AG67"/>
      <c r="AJ67" s="17"/>
    </row>
    <row r="68" spans="1:36" ht="12.75" customHeight="1">
      <c r="A68" s="121"/>
      <c r="B68" s="121"/>
      <c r="C68" s="121"/>
      <c r="D68" s="121"/>
      <c r="E68" s="121"/>
      <c r="F68" s="121"/>
      <c r="G68" s="121"/>
      <c r="H68" s="121"/>
      <c r="I68" s="121"/>
      <c r="J68" s="121"/>
      <c r="K68" s="121"/>
      <c r="L68" s="121"/>
      <c r="M68" s="121"/>
      <c r="N68" s="121"/>
      <c r="O68" s="121"/>
      <c r="P68" s="121"/>
      <c r="Q68" s="360"/>
      <c r="R68" s="965"/>
      <c r="S68" s="966"/>
      <c r="T68" s="967"/>
      <c r="U68" s="950"/>
      <c r="V68" s="939"/>
      <c r="W68" s="941"/>
      <c r="X68" s="943"/>
      <c r="Y68" s="361"/>
      <c r="Z68" s="364"/>
      <c r="AA68"/>
      <c r="AB68"/>
      <c r="AC68"/>
      <c r="AD68"/>
      <c r="AE68"/>
      <c r="AF68"/>
      <c r="AG68"/>
      <c r="AJ68" s="17"/>
    </row>
    <row r="69" spans="1:36" ht="12.75" customHeight="1">
      <c r="A69" s="121"/>
      <c r="B69" s="121"/>
      <c r="C69" s="121"/>
      <c r="D69" s="121"/>
      <c r="E69" s="121"/>
      <c r="F69" s="121"/>
      <c r="G69" s="121"/>
      <c r="H69" s="121"/>
      <c r="I69" s="121"/>
      <c r="J69" s="121"/>
      <c r="K69" s="121"/>
      <c r="L69" s="121"/>
      <c r="M69" s="121"/>
      <c r="N69" s="121"/>
      <c r="O69" s="121"/>
      <c r="P69" s="121"/>
      <c r="Q69" s="360"/>
      <c r="R69" s="969" t="s">
        <v>63</v>
      </c>
      <c r="S69" s="969"/>
      <c r="T69" s="969"/>
      <c r="U69" s="369">
        <v>102</v>
      </c>
      <c r="V69" s="369">
        <f>VLOOKUP($V$5,'Lookup dBA'!$B$8:$E$208,3)</f>
        <v>108</v>
      </c>
      <c r="W69" s="369">
        <f>VLOOKUP($V$5,'Lookup dBA'!$B$8:$E$208,4)</f>
        <v>109</v>
      </c>
      <c r="X69" s="369">
        <f>VLOOKUP($V$5,'Lookup dBA'!$B$8:$E$208,2)</f>
        <v>116</v>
      </c>
      <c r="Y69" s="361"/>
      <c r="Z69" s="364"/>
      <c r="AA69"/>
      <c r="AB69"/>
      <c r="AC69"/>
      <c r="AD69"/>
      <c r="AE69"/>
      <c r="AF69"/>
      <c r="AG69"/>
      <c r="AJ69" s="32"/>
    </row>
    <row r="70" spans="1:36" ht="12.75" customHeight="1">
      <c r="A70" s="121"/>
      <c r="B70" s="121"/>
      <c r="C70" s="121"/>
      <c r="D70" s="121"/>
      <c r="E70" s="121"/>
      <c r="F70" s="121"/>
      <c r="G70" s="121"/>
      <c r="H70" s="121"/>
      <c r="I70" s="121"/>
      <c r="J70" s="121"/>
      <c r="K70" s="121"/>
      <c r="L70" s="121"/>
      <c r="M70" s="121"/>
      <c r="N70" s="121"/>
      <c r="O70" s="121"/>
      <c r="P70" s="121"/>
      <c r="Q70" s="360"/>
      <c r="R70" s="969" t="s">
        <v>64</v>
      </c>
      <c r="S70" s="969"/>
      <c r="T70" s="969"/>
      <c r="U70" s="369">
        <f>U69-PPE!$I$15</f>
        <v>89</v>
      </c>
      <c r="V70" s="369">
        <f>V69-PPE!$I$15</f>
        <v>95</v>
      </c>
      <c r="W70" s="369">
        <f>W69-PPE!$I$15</f>
        <v>96</v>
      </c>
      <c r="X70" s="369">
        <f>X69-PPE!$I$15</f>
        <v>103</v>
      </c>
      <c r="Y70" s="361"/>
      <c r="Z70" s="364"/>
      <c r="AA70"/>
      <c r="AB70"/>
      <c r="AC70"/>
      <c r="AD70"/>
      <c r="AE70"/>
      <c r="AF70"/>
      <c r="AG70"/>
      <c r="AJ70" s="32"/>
    </row>
    <row r="71" spans="1:36" ht="12.75" customHeight="1">
      <c r="A71" s="121"/>
      <c r="B71" s="121"/>
      <c r="C71" s="121"/>
      <c r="D71" s="121"/>
      <c r="E71" s="121"/>
      <c r="F71" s="121"/>
      <c r="G71" s="121"/>
      <c r="H71" s="121"/>
      <c r="I71" s="121"/>
      <c r="J71" s="121"/>
      <c r="K71" s="121"/>
      <c r="L71" s="121"/>
      <c r="M71" s="121"/>
      <c r="N71" s="121"/>
      <c r="O71" s="121"/>
      <c r="P71" s="121"/>
      <c r="Q71" s="360"/>
      <c r="R71" s="969" t="s">
        <v>529</v>
      </c>
      <c r="S71" s="969"/>
      <c r="T71" s="969"/>
      <c r="U71" s="369">
        <v>110</v>
      </c>
      <c r="V71" s="369">
        <v>110</v>
      </c>
      <c r="W71" s="369">
        <v>110</v>
      </c>
      <c r="X71" s="369">
        <v>110</v>
      </c>
      <c r="Y71" s="361"/>
      <c r="Z71" s="364"/>
      <c r="AA71"/>
      <c r="AB71"/>
      <c r="AC71"/>
      <c r="AD71"/>
      <c r="AE71"/>
      <c r="AF71"/>
      <c r="AG71"/>
      <c r="AJ71" s="32"/>
    </row>
    <row r="72" spans="1:36" ht="12.75" customHeight="1">
      <c r="A72" s="121"/>
      <c r="B72" s="121"/>
      <c r="C72" s="121"/>
      <c r="D72" s="121"/>
      <c r="E72" s="121"/>
      <c r="F72" s="121"/>
      <c r="G72" s="121"/>
      <c r="H72" s="121"/>
      <c r="I72" s="121"/>
      <c r="J72" s="121"/>
      <c r="K72" s="121"/>
      <c r="L72" s="121"/>
      <c r="M72" s="121"/>
      <c r="N72" s="121"/>
      <c r="O72" s="121"/>
      <c r="P72" s="121"/>
      <c r="Q72" s="360"/>
      <c r="R72" s="363"/>
      <c r="S72" s="363"/>
      <c r="T72" s="363"/>
      <c r="U72" s="363"/>
      <c r="V72" s="363"/>
      <c r="W72" s="363"/>
      <c r="X72" s="363"/>
      <c r="Y72" s="555"/>
      <c r="Z72" s="364"/>
      <c r="AA72"/>
      <c r="AB72"/>
      <c r="AC72"/>
      <c r="AD72"/>
      <c r="AE72"/>
      <c r="AF72"/>
      <c r="AG72"/>
      <c r="AJ72" s="17"/>
    </row>
    <row r="73" spans="1:36" ht="12.75" customHeight="1">
      <c r="A73" s="121"/>
      <c r="B73" s="121"/>
      <c r="C73" s="121"/>
      <c r="D73" s="121"/>
      <c r="E73" s="121"/>
      <c r="F73" s="121"/>
      <c r="G73" s="121"/>
      <c r="H73" s="121"/>
      <c r="I73" s="121"/>
      <c r="J73" s="121"/>
      <c r="K73" s="121"/>
      <c r="L73" s="121"/>
      <c r="M73" s="121"/>
      <c r="N73" s="121"/>
      <c r="O73" s="121"/>
      <c r="P73" s="121"/>
      <c r="Q73" s="360" t="s">
        <v>503</v>
      </c>
      <c r="R73" s="364" t="s">
        <v>528</v>
      </c>
      <c r="S73" s="364"/>
      <c r="T73" s="364"/>
      <c r="U73" s="555"/>
      <c r="V73" s="555"/>
      <c r="W73" s="555"/>
      <c r="X73" s="555"/>
      <c r="Y73" s="555"/>
      <c r="Z73" s="364"/>
      <c r="AA73"/>
      <c r="AB73"/>
      <c r="AC73"/>
      <c r="AD73"/>
      <c r="AE73"/>
      <c r="AF73"/>
      <c r="AG73"/>
      <c r="AJ73" s="17"/>
    </row>
    <row r="74" spans="1:36" ht="12.75" customHeight="1">
      <c r="A74" s="121"/>
      <c r="B74" s="121"/>
      <c r="C74" s="121"/>
      <c r="D74" s="121"/>
      <c r="E74" s="121"/>
      <c r="F74" s="121"/>
      <c r="G74" s="121"/>
      <c r="H74" s="121"/>
      <c r="I74" s="121"/>
      <c r="J74" s="121"/>
      <c r="K74" s="121"/>
      <c r="L74" s="121"/>
      <c r="M74" s="121"/>
      <c r="N74" s="121"/>
      <c r="O74" s="121"/>
      <c r="P74" s="121"/>
      <c r="Q74" s="360"/>
      <c r="R74" s="935" t="s">
        <v>678</v>
      </c>
      <c r="S74" s="935"/>
      <c r="T74" s="935"/>
      <c r="U74" s="930" t="s">
        <v>500</v>
      </c>
      <c r="V74" s="928" t="s">
        <v>22</v>
      </c>
      <c r="W74" s="929" t="s">
        <v>579</v>
      </c>
      <c r="X74" s="927" t="s">
        <v>21</v>
      </c>
      <c r="Y74" s="361"/>
      <c r="Z74" s="364"/>
      <c r="AA74"/>
      <c r="AB74"/>
      <c r="AC74"/>
      <c r="AD74"/>
      <c r="AE74"/>
      <c r="AF74"/>
      <c r="AG74"/>
      <c r="AJ74" s="17"/>
    </row>
    <row r="75" spans="1:36" ht="12.75" customHeight="1">
      <c r="A75" s="121"/>
      <c r="B75" s="121"/>
      <c r="C75" s="121"/>
      <c r="D75" s="121"/>
      <c r="E75" s="121"/>
      <c r="F75" s="121"/>
      <c r="G75" s="121"/>
      <c r="H75" s="121"/>
      <c r="I75" s="121"/>
      <c r="J75" s="121"/>
      <c r="K75" s="121"/>
      <c r="L75" s="121"/>
      <c r="M75" s="121"/>
      <c r="N75" s="121"/>
      <c r="O75" s="121"/>
      <c r="P75" s="121"/>
      <c r="Q75" s="360"/>
      <c r="R75" s="935"/>
      <c r="S75" s="935"/>
      <c r="T75" s="935"/>
      <c r="U75" s="930"/>
      <c r="V75" s="928"/>
      <c r="W75" s="929"/>
      <c r="X75" s="927"/>
      <c r="Y75" s="361"/>
      <c r="Z75" s="364"/>
      <c r="AA75"/>
      <c r="AB75"/>
      <c r="AC75"/>
      <c r="AD75"/>
      <c r="AE75"/>
      <c r="AF75"/>
      <c r="AG75"/>
      <c r="AJ75" s="17"/>
    </row>
    <row r="76" spans="1:36" ht="12.75" customHeight="1">
      <c r="A76" s="121"/>
      <c r="B76" s="121"/>
      <c r="C76" s="121"/>
      <c r="D76" s="121"/>
      <c r="E76" s="121"/>
      <c r="F76" s="121"/>
      <c r="G76" s="121"/>
      <c r="H76" s="121"/>
      <c r="I76" s="121"/>
      <c r="J76" s="121"/>
      <c r="K76" s="121"/>
      <c r="L76" s="121"/>
      <c r="M76" s="121"/>
      <c r="N76" s="121"/>
      <c r="O76" s="121"/>
      <c r="P76" s="121"/>
      <c r="Q76" s="360"/>
      <c r="R76" s="969" t="s">
        <v>63</v>
      </c>
      <c r="S76" s="969"/>
      <c r="T76" s="969"/>
      <c r="U76" s="369">
        <f>VLOOKUP($V$21,$R$309:$Z$314,5)</f>
        <v>108.02059991327964</v>
      </c>
      <c r="V76" s="369">
        <f>VLOOKUP($V$21,$R$309:$Z$314,3)</f>
        <v>114.02059991327963</v>
      </c>
      <c r="W76" s="369">
        <f>VLOOKUP($V$21,$R$309:$Z$314,4)</f>
        <v>115.02059991327963</v>
      </c>
      <c r="X76" s="369">
        <f>VLOOKUP($V$21,$R$309:$Z$314,2)</f>
        <v>122.02059991327964</v>
      </c>
      <c r="Y76" s="361"/>
      <c r="Z76" s="364"/>
      <c r="AA76"/>
      <c r="AB76"/>
      <c r="AC76"/>
      <c r="AD76"/>
      <c r="AE76"/>
      <c r="AF76"/>
      <c r="AG76"/>
      <c r="AJ76" s="17"/>
    </row>
    <row r="77" spans="1:36" ht="12.75" customHeight="1">
      <c r="Q77" s="360"/>
      <c r="R77" s="969" t="s">
        <v>64</v>
      </c>
      <c r="S77" s="969"/>
      <c r="T77" s="969"/>
      <c r="U77" s="369">
        <f>U76-PPE!$I$15</f>
        <v>95.020599913279639</v>
      </c>
      <c r="V77" s="369">
        <f>V76-PPE!$I$15</f>
        <v>101.02059991327963</v>
      </c>
      <c r="W77" s="369">
        <f>W76-PPE!$I$15</f>
        <v>102.02059991327963</v>
      </c>
      <c r="X77" s="369">
        <f>X76-PPE!$I$15</f>
        <v>109.02059991327964</v>
      </c>
      <c r="Y77" s="361"/>
      <c r="Z77" s="364"/>
      <c r="AA77"/>
      <c r="AB77"/>
      <c r="AC77"/>
      <c r="AD77"/>
      <c r="AE77"/>
      <c r="AF77"/>
      <c r="AG77"/>
      <c r="AJ77" s="17"/>
    </row>
    <row r="78" spans="1:36" ht="12.75" customHeight="1">
      <c r="Q78" s="360"/>
      <c r="R78" s="969" t="s">
        <v>529</v>
      </c>
      <c r="S78" s="969"/>
      <c r="T78" s="969"/>
      <c r="U78" s="369">
        <v>110</v>
      </c>
      <c r="V78" s="369">
        <v>110</v>
      </c>
      <c r="W78" s="369">
        <v>110</v>
      </c>
      <c r="X78" s="369">
        <v>110</v>
      </c>
      <c r="Y78" s="361"/>
      <c r="Z78" s="364"/>
      <c r="AA78"/>
      <c r="AB78"/>
      <c r="AC78"/>
      <c r="AD78"/>
      <c r="AE78"/>
      <c r="AF78"/>
      <c r="AG78"/>
      <c r="AJ78" s="17"/>
    </row>
    <row r="79" spans="1:36" ht="12.75" customHeight="1">
      <c r="Q79" s="360"/>
      <c r="R79" s="364"/>
      <c r="S79" s="364"/>
      <c r="T79" s="364"/>
      <c r="U79" s="555"/>
      <c r="V79" s="555"/>
      <c r="W79" s="555"/>
      <c r="X79" s="555"/>
      <c r="Y79" s="555"/>
      <c r="Z79" s="364"/>
      <c r="AA79"/>
      <c r="AB79"/>
      <c r="AC79"/>
      <c r="AD79"/>
      <c r="AE79"/>
      <c r="AF79"/>
      <c r="AG79"/>
      <c r="AJ79" s="17"/>
    </row>
    <row r="80" spans="1:36" ht="12.75" customHeight="1">
      <c r="Q80" s="385" t="s">
        <v>305</v>
      </c>
      <c r="R80" s="1008" t="s">
        <v>218</v>
      </c>
      <c r="S80" s="1008"/>
      <c r="T80" s="1008"/>
      <c r="U80" s="1008"/>
      <c r="V80" s="1008"/>
      <c r="W80" s="1008"/>
      <c r="X80" s="1008"/>
      <c r="Y80" s="1008"/>
      <c r="Z80" s="536"/>
      <c r="AA80"/>
      <c r="AB80"/>
      <c r="AC80"/>
      <c r="AD80"/>
      <c r="AE80"/>
      <c r="AF80"/>
      <c r="AG80"/>
      <c r="AJ80" s="43"/>
    </row>
    <row r="81" spans="17:36" ht="12.75" customHeight="1">
      <c r="Q81" s="546"/>
      <c r="R81" s="363"/>
      <c r="S81" s="363"/>
      <c r="T81" s="363"/>
      <c r="U81" s="363"/>
      <c r="V81" s="363"/>
      <c r="W81" s="363"/>
      <c r="X81" s="363"/>
      <c r="Y81" s="363"/>
      <c r="Z81" s="364"/>
      <c r="AA81"/>
      <c r="AB81"/>
      <c r="AC81"/>
      <c r="AD81"/>
      <c r="AE81"/>
      <c r="AF81"/>
      <c r="AG81"/>
      <c r="AJ81" s="43"/>
    </row>
    <row r="82" spans="17:36" ht="12.75" customHeight="1">
      <c r="Q82" s="546"/>
      <c r="R82" s="363" t="s">
        <v>436</v>
      </c>
      <c r="S82" s="363"/>
      <c r="T82" s="363"/>
      <c r="U82" s="363"/>
      <c r="V82" s="363"/>
      <c r="W82" s="363"/>
      <c r="X82" s="363"/>
      <c r="Y82" s="363"/>
      <c r="Z82" s="364"/>
      <c r="AA82"/>
      <c r="AB82"/>
      <c r="AC82"/>
      <c r="AD82"/>
      <c r="AE82"/>
      <c r="AF82"/>
      <c r="AG82"/>
      <c r="AJ82" s="43"/>
    </row>
    <row r="83" spans="17:36" ht="12.75" customHeight="1">
      <c r="Q83" s="360"/>
      <c r="R83" s="935" t="s">
        <v>678</v>
      </c>
      <c r="S83" s="935"/>
      <c r="T83" s="935"/>
      <c r="U83" s="949" t="s">
        <v>500</v>
      </c>
      <c r="V83" s="1011" t="s">
        <v>22</v>
      </c>
      <c r="W83" s="1013" t="s">
        <v>579</v>
      </c>
      <c r="X83" s="1009" t="s">
        <v>21</v>
      </c>
      <c r="Y83" s="361"/>
      <c r="Z83" s="364"/>
      <c r="AA83"/>
      <c r="AB83"/>
      <c r="AC83"/>
      <c r="AD83"/>
      <c r="AE83"/>
      <c r="AF83"/>
      <c r="AG83"/>
    </row>
    <row r="84" spans="17:36" ht="12.75" customHeight="1">
      <c r="Q84" s="360"/>
      <c r="R84" s="935"/>
      <c r="S84" s="935"/>
      <c r="T84" s="935"/>
      <c r="U84" s="950"/>
      <c r="V84" s="1012"/>
      <c r="W84" s="1014"/>
      <c r="X84" s="1010"/>
      <c r="Y84" s="361"/>
      <c r="Z84" s="364"/>
      <c r="AA84"/>
      <c r="AB84"/>
      <c r="AC84"/>
      <c r="AD84"/>
      <c r="AE84"/>
      <c r="AF84"/>
      <c r="AG84"/>
    </row>
    <row r="85" spans="17:36" ht="12.75" customHeight="1">
      <c r="Q85" s="360"/>
      <c r="R85" s="969" t="s">
        <v>63</v>
      </c>
      <c r="S85" s="969"/>
      <c r="T85" s="969"/>
      <c r="U85" s="369">
        <f>U414</f>
        <v>97.15</v>
      </c>
      <c r="V85" s="369">
        <f>U356</f>
        <v>101.95</v>
      </c>
      <c r="W85" s="369">
        <f>U385</f>
        <v>102.4</v>
      </c>
      <c r="X85" s="369">
        <f>U327</f>
        <v>108.5</v>
      </c>
      <c r="Y85" s="361"/>
      <c r="Z85" s="364"/>
      <c r="AA85"/>
      <c r="AB85"/>
      <c r="AC85"/>
      <c r="AD85"/>
      <c r="AE85"/>
      <c r="AF85"/>
      <c r="AG85"/>
    </row>
    <row r="86" spans="17:36" ht="12.75" customHeight="1">
      <c r="Q86" s="360"/>
      <c r="R86" s="969" t="s">
        <v>64</v>
      </c>
      <c r="S86" s="969"/>
      <c r="T86" s="969"/>
      <c r="U86" s="369">
        <f>U427</f>
        <v>84.15</v>
      </c>
      <c r="V86" s="369">
        <f>U369</f>
        <v>88.95</v>
      </c>
      <c r="W86" s="369">
        <f>U398</f>
        <v>89.3</v>
      </c>
      <c r="X86" s="369">
        <f>U340</f>
        <v>95.55</v>
      </c>
      <c r="Y86" s="361"/>
      <c r="Z86" s="364"/>
      <c r="AA86"/>
      <c r="AB86"/>
      <c r="AC86"/>
      <c r="AD86"/>
      <c r="AE86"/>
      <c r="AF86"/>
      <c r="AG86"/>
    </row>
    <row r="87" spans="17:36" ht="12.75" customHeight="1">
      <c r="Q87" s="360"/>
      <c r="R87" s="969" t="s">
        <v>530</v>
      </c>
      <c r="S87" s="969"/>
      <c r="T87" s="969"/>
      <c r="U87" s="369">
        <v>85</v>
      </c>
      <c r="V87" s="369">
        <v>85</v>
      </c>
      <c r="W87" s="369">
        <v>85</v>
      </c>
      <c r="X87" s="369">
        <v>85</v>
      </c>
      <c r="Y87" s="361"/>
      <c r="Z87" s="364"/>
      <c r="AA87"/>
      <c r="AB87"/>
      <c r="AC87"/>
      <c r="AD87"/>
      <c r="AE87"/>
      <c r="AF87"/>
      <c r="AG87"/>
    </row>
    <row r="88" spans="17:36" ht="12.75" customHeight="1">
      <c r="Q88" s="360"/>
      <c r="R88" s="363"/>
      <c r="S88" s="363"/>
      <c r="T88" s="363"/>
      <c r="U88" s="363"/>
      <c r="V88" s="363"/>
      <c r="W88" s="363"/>
      <c r="X88" s="363"/>
      <c r="Y88" s="363"/>
      <c r="Z88" s="364"/>
      <c r="AA88"/>
      <c r="AB88"/>
      <c r="AC88"/>
      <c r="AD88"/>
      <c r="AE88"/>
      <c r="AF88"/>
      <c r="AG88"/>
    </row>
    <row r="89" spans="17:36" ht="12.75" customHeight="1">
      <c r="Q89" s="360"/>
      <c r="R89" s="363" t="s">
        <v>437</v>
      </c>
      <c r="S89" s="363"/>
      <c r="T89" s="363"/>
      <c r="U89" s="363"/>
      <c r="V89" s="363"/>
      <c r="W89" s="363"/>
      <c r="X89" s="363"/>
      <c r="Y89" s="363"/>
      <c r="Z89" s="364"/>
      <c r="AA89"/>
      <c r="AB89"/>
      <c r="AC89"/>
      <c r="AD89"/>
      <c r="AE89"/>
      <c r="AF89"/>
      <c r="AG89"/>
    </row>
    <row r="90" spans="17:36" ht="12.75" customHeight="1">
      <c r="Q90" s="360"/>
      <c r="R90" s="935" t="s">
        <v>678</v>
      </c>
      <c r="S90" s="935"/>
      <c r="T90" s="935"/>
      <c r="U90" s="949" t="s">
        <v>500</v>
      </c>
      <c r="V90" s="1011" t="s">
        <v>22</v>
      </c>
      <c r="W90" s="1013" t="s">
        <v>579</v>
      </c>
      <c r="X90" s="1009" t="s">
        <v>21</v>
      </c>
      <c r="Y90" s="361"/>
      <c r="Z90" s="364"/>
      <c r="AA90"/>
      <c r="AB90"/>
      <c r="AC90"/>
      <c r="AD90"/>
      <c r="AE90"/>
      <c r="AF90"/>
      <c r="AG90"/>
    </row>
    <row r="91" spans="17:36" ht="12.75" customHeight="1">
      <c r="Q91" s="360"/>
      <c r="R91" s="935"/>
      <c r="S91" s="935"/>
      <c r="T91" s="935"/>
      <c r="U91" s="950"/>
      <c r="V91" s="1012"/>
      <c r="W91" s="1014"/>
      <c r="X91" s="1010"/>
      <c r="Y91" s="361"/>
      <c r="Z91" s="364"/>
      <c r="AA91"/>
      <c r="AB91"/>
      <c r="AC91"/>
      <c r="AD91"/>
      <c r="AE91"/>
      <c r="AF91"/>
      <c r="AG91"/>
    </row>
    <row r="92" spans="17:36" ht="12.75" customHeight="1">
      <c r="Q92" s="360"/>
      <c r="R92" s="969" t="s">
        <v>63</v>
      </c>
      <c r="S92" s="969"/>
      <c r="T92" s="969"/>
      <c r="U92" s="369">
        <f>U533</f>
        <v>103.15</v>
      </c>
      <c r="V92" s="369">
        <f>U475</f>
        <v>107.95</v>
      </c>
      <c r="W92" s="369">
        <f>U504</f>
        <v>108.4</v>
      </c>
      <c r="X92" s="369">
        <f>U446</f>
        <v>113.95</v>
      </c>
      <c r="Y92" s="361"/>
      <c r="Z92" s="364"/>
      <c r="AA92"/>
      <c r="AB92"/>
      <c r="AC92"/>
      <c r="AD92"/>
      <c r="AE92"/>
      <c r="AF92"/>
      <c r="AG92"/>
    </row>
    <row r="93" spans="17:36" ht="12.75" customHeight="1">
      <c r="Q93" s="360"/>
      <c r="R93" s="969" t="s">
        <v>64</v>
      </c>
      <c r="S93" s="969"/>
      <c r="T93" s="969"/>
      <c r="U93" s="369">
        <f>U546</f>
        <v>90.15</v>
      </c>
      <c r="V93" s="369">
        <f>U488</f>
        <v>94.95</v>
      </c>
      <c r="W93" s="369">
        <f>U517</f>
        <v>95.3</v>
      </c>
      <c r="X93" s="369">
        <f>U459</f>
        <v>101.55</v>
      </c>
      <c r="Y93" s="361"/>
      <c r="Z93" s="364"/>
      <c r="AA93"/>
      <c r="AB93"/>
      <c r="AC93"/>
      <c r="AD93"/>
      <c r="AE93"/>
      <c r="AF93"/>
      <c r="AG93"/>
    </row>
    <row r="94" spans="17:36" ht="12.75" customHeight="1">
      <c r="Q94" s="360"/>
      <c r="R94" s="969" t="s">
        <v>530</v>
      </c>
      <c r="S94" s="969"/>
      <c r="T94" s="969"/>
      <c r="U94" s="369">
        <v>85</v>
      </c>
      <c r="V94" s="369">
        <v>85</v>
      </c>
      <c r="W94" s="369">
        <v>85</v>
      </c>
      <c r="X94" s="369">
        <v>85</v>
      </c>
      <c r="Y94" s="361"/>
      <c r="Z94" s="364"/>
      <c r="AA94"/>
      <c r="AB94"/>
      <c r="AC94"/>
      <c r="AD94"/>
      <c r="AE94"/>
      <c r="AF94"/>
      <c r="AG94"/>
    </row>
    <row r="95" spans="17:36" ht="12.75" customHeight="1">
      <c r="Q95" s="360"/>
      <c r="R95" s="363"/>
      <c r="S95" s="363"/>
      <c r="T95" s="363"/>
      <c r="U95" s="363"/>
      <c r="V95" s="363"/>
      <c r="W95" s="363"/>
      <c r="X95" s="363"/>
      <c r="Y95" s="363"/>
      <c r="Z95" s="364"/>
      <c r="AA95"/>
      <c r="AB95"/>
      <c r="AC95"/>
      <c r="AD95"/>
      <c r="AE95"/>
      <c r="AF95"/>
      <c r="AG95"/>
    </row>
    <row r="96" spans="17:36" s="133" customFormat="1" ht="12.75" customHeight="1">
      <c r="Q96" s="385" t="s">
        <v>222</v>
      </c>
      <c r="R96" s="1008" t="s">
        <v>504</v>
      </c>
      <c r="S96" s="1008"/>
      <c r="T96" s="1008"/>
      <c r="U96" s="1008"/>
      <c r="V96" s="1008"/>
      <c r="W96" s="1008"/>
      <c r="X96" s="1008"/>
      <c r="Y96" s="1008"/>
      <c r="Z96" s="547"/>
      <c r="AA96"/>
      <c r="AB96"/>
      <c r="AC96"/>
      <c r="AD96"/>
      <c r="AE96"/>
      <c r="AF96"/>
      <c r="AG96"/>
    </row>
    <row r="97" spans="17:33" ht="12.75" customHeight="1">
      <c r="Q97" s="360"/>
      <c r="R97" s="363"/>
      <c r="S97" s="363"/>
      <c r="T97" s="363"/>
      <c r="U97" s="363"/>
      <c r="V97" s="363"/>
      <c r="W97" s="363"/>
      <c r="X97" s="363"/>
      <c r="Y97" s="363"/>
      <c r="Z97" s="364"/>
      <c r="AA97"/>
      <c r="AB97"/>
      <c r="AC97"/>
      <c r="AD97"/>
      <c r="AE97"/>
      <c r="AF97"/>
      <c r="AG97"/>
    </row>
    <row r="98" spans="17:33" ht="12.75" customHeight="1">
      <c r="Q98" s="360" t="s">
        <v>505</v>
      </c>
      <c r="R98" s="363" t="s">
        <v>514</v>
      </c>
      <c r="S98" s="363"/>
      <c r="T98" s="363"/>
      <c r="U98" s="363"/>
      <c r="V98" s="363"/>
      <c r="W98" s="363"/>
      <c r="X98" s="363"/>
      <c r="Y98" s="363"/>
      <c r="Z98" s="364"/>
      <c r="AA98"/>
      <c r="AB98"/>
      <c r="AC98"/>
      <c r="AD98"/>
      <c r="AE98"/>
      <c r="AF98"/>
      <c r="AG98"/>
    </row>
    <row r="99" spans="17:33" ht="12.75" customHeight="1">
      <c r="Q99" s="360"/>
      <c r="R99" s="363" t="s">
        <v>512</v>
      </c>
      <c r="S99" s="363"/>
      <c r="T99" s="363"/>
      <c r="U99" s="363"/>
      <c r="V99" s="363"/>
      <c r="W99" s="363"/>
      <c r="X99" s="363"/>
      <c r="Y99" s="363"/>
      <c r="Z99" s="364"/>
      <c r="AA99"/>
      <c r="AB99"/>
      <c r="AC99"/>
      <c r="AD99"/>
      <c r="AE99"/>
      <c r="AF99"/>
      <c r="AG99"/>
    </row>
    <row r="100" spans="17:33" ht="12.75" customHeight="1">
      <c r="Q100" s="360"/>
      <c r="R100" s="998" t="s">
        <v>191</v>
      </c>
      <c r="S100" s="999"/>
      <c r="T100" s="1000"/>
      <c r="U100" s="949" t="s">
        <v>500</v>
      </c>
      <c r="V100" s="938" t="s">
        <v>22</v>
      </c>
      <c r="W100" s="940" t="s">
        <v>579</v>
      </c>
      <c r="X100" s="942" t="s">
        <v>21</v>
      </c>
      <c r="Y100" s="361"/>
      <c r="Z100" s="364"/>
      <c r="AA100"/>
      <c r="AB100"/>
      <c r="AC100"/>
      <c r="AD100"/>
      <c r="AE100"/>
      <c r="AF100"/>
      <c r="AG100"/>
    </row>
    <row r="101" spans="17:33" ht="12.75" customHeight="1">
      <c r="Q101" s="360"/>
      <c r="R101" s="1001"/>
      <c r="S101" s="1002"/>
      <c r="T101" s="1003"/>
      <c r="U101" s="950"/>
      <c r="V101" s="939"/>
      <c r="W101" s="941"/>
      <c r="X101" s="943"/>
      <c r="Y101" s="361"/>
      <c r="Z101" s="364"/>
      <c r="AA101"/>
      <c r="AB101"/>
      <c r="AC101"/>
      <c r="AD101"/>
      <c r="AE101"/>
      <c r="AF101"/>
      <c r="AG101"/>
    </row>
    <row r="102" spans="17:33" ht="12.75" customHeight="1">
      <c r="Q102" s="360"/>
      <c r="R102" s="969" t="s">
        <v>63</v>
      </c>
      <c r="S102" s="969"/>
      <c r="T102" s="969"/>
      <c r="U102" s="537">
        <f>VLOOKUP(U69,'Lookup Exposure Time'!$B$12:$C$732,2)</f>
        <v>10</v>
      </c>
      <c r="V102" s="537">
        <f>VLOOKUP(V69,'Lookup Exposure Time'!$B$12:$C$732,2)</f>
        <v>2.5</v>
      </c>
      <c r="W102" s="537">
        <f>VLOOKUP(W69,'Lookup Exposure Time'!$B$12:$C$732,2)</f>
        <v>1.875</v>
      </c>
      <c r="X102" s="537">
        <f>VLOOKUP(X69,'Lookup Exposure Time'!$B$12:$C$732,2)</f>
        <v>0.39061999999999986</v>
      </c>
      <c r="Y102" s="361"/>
      <c r="Z102" s="364"/>
      <c r="AA102"/>
      <c r="AB102"/>
      <c r="AC102"/>
      <c r="AD102"/>
      <c r="AE102"/>
      <c r="AF102"/>
      <c r="AG102"/>
    </row>
    <row r="103" spans="17:33" ht="12.75" customHeight="1">
      <c r="Q103" s="360"/>
      <c r="R103" s="969" t="s">
        <v>64</v>
      </c>
      <c r="S103" s="969"/>
      <c r="T103" s="969"/>
      <c r="U103" s="537">
        <f>VLOOKUP(U70,'Lookup Exposure Time'!$B$12:$C$732,2)</f>
        <v>200</v>
      </c>
      <c r="V103" s="537">
        <f>VLOOKUP(V70,'Lookup Exposure Time'!$B$12:$C$732,2)</f>
        <v>50</v>
      </c>
      <c r="W103" s="537">
        <f>VLOOKUP(W70,'Lookup Exposure Time'!$B$12:$C$732,2)</f>
        <v>40</v>
      </c>
      <c r="X103" s="537">
        <f>VLOOKUP(X70,'Lookup Exposure Time'!$B$12:$C$732,2)</f>
        <v>7.5</v>
      </c>
      <c r="Y103" s="361"/>
      <c r="Z103" s="364"/>
      <c r="AA103"/>
      <c r="AB103"/>
      <c r="AC103"/>
      <c r="AD103"/>
      <c r="AE103"/>
      <c r="AF103"/>
      <c r="AG103"/>
    </row>
    <row r="104" spans="17:33" ht="12.75" customHeight="1">
      <c r="Q104" s="360"/>
      <c r="R104" s="364"/>
      <c r="S104" s="364"/>
      <c r="T104" s="364"/>
      <c r="U104" s="364"/>
      <c r="V104" s="364"/>
      <c r="W104" s="364"/>
      <c r="X104" s="364"/>
      <c r="Y104" s="363"/>
      <c r="Z104" s="364"/>
      <c r="AA104"/>
      <c r="AB104"/>
      <c r="AC104"/>
      <c r="AD104"/>
      <c r="AE104"/>
      <c r="AF104"/>
      <c r="AG104"/>
    </row>
    <row r="105" spans="17:33" ht="12.75" customHeight="1">
      <c r="Q105" s="360" t="s">
        <v>507</v>
      </c>
      <c r="R105" s="363" t="s">
        <v>513</v>
      </c>
      <c r="S105" s="363"/>
      <c r="T105" s="363"/>
      <c r="U105" s="363"/>
      <c r="V105" s="363"/>
      <c r="W105" s="363"/>
      <c r="X105" s="363"/>
      <c r="Y105" s="363"/>
      <c r="Z105" s="364"/>
      <c r="AA105"/>
      <c r="AB105"/>
      <c r="AC105"/>
      <c r="AD105"/>
      <c r="AE105"/>
      <c r="AF105"/>
      <c r="AG105"/>
    </row>
    <row r="106" spans="17:33" ht="12.75" customHeight="1">
      <c r="Q106" s="360"/>
      <c r="R106" s="998" t="s">
        <v>191</v>
      </c>
      <c r="S106" s="999"/>
      <c r="T106" s="1000"/>
      <c r="U106" s="949" t="s">
        <v>500</v>
      </c>
      <c r="V106" s="938" t="s">
        <v>22</v>
      </c>
      <c r="W106" s="940" t="s">
        <v>579</v>
      </c>
      <c r="X106" s="942" t="s">
        <v>21</v>
      </c>
      <c r="Y106" s="361"/>
      <c r="Z106" s="364"/>
      <c r="AA106"/>
      <c r="AB106"/>
      <c r="AC106"/>
      <c r="AD106"/>
      <c r="AE106"/>
      <c r="AF106"/>
      <c r="AG106"/>
    </row>
    <row r="107" spans="17:33" ht="12.75" customHeight="1">
      <c r="Q107" s="360"/>
      <c r="R107" s="1001"/>
      <c r="S107" s="1002"/>
      <c r="T107" s="1003"/>
      <c r="U107" s="950"/>
      <c r="V107" s="939"/>
      <c r="W107" s="941"/>
      <c r="X107" s="943"/>
      <c r="Y107" s="361"/>
      <c r="Z107" s="364"/>
      <c r="AA107"/>
      <c r="AB107"/>
      <c r="AC107"/>
      <c r="AD107"/>
      <c r="AE107"/>
      <c r="AF107"/>
      <c r="AG107"/>
    </row>
    <row r="108" spans="17:33" ht="12.75" customHeight="1">
      <c r="Q108" s="360"/>
      <c r="R108" s="969" t="s">
        <v>63</v>
      </c>
      <c r="S108" s="969"/>
      <c r="T108" s="969"/>
      <c r="U108" s="671">
        <f>VLOOKUP(U76,'Lookup Exposure Time'!$B$12:$C$732,2)</f>
        <v>2.5</v>
      </c>
      <c r="V108" s="671">
        <f>VLOOKUP(V76,'Lookup Exposure Time'!$B$12:$C$732,2)</f>
        <v>0.625</v>
      </c>
      <c r="W108" s="671">
        <f>VLOOKUP(W76,'Lookup Exposure Time'!$B$12:$C$732,2)</f>
        <v>0.46875</v>
      </c>
      <c r="X108" s="671">
        <f>VLOOKUP(X76,'Lookup Exposure Time'!$B$12:$C$732,2)</f>
        <v>9.765625E-2</v>
      </c>
      <c r="Y108" s="361"/>
      <c r="Z108" s="364"/>
      <c r="AA108"/>
      <c r="AB108"/>
      <c r="AC108"/>
      <c r="AD108"/>
      <c r="AE108"/>
      <c r="AF108"/>
      <c r="AG108"/>
    </row>
    <row r="109" spans="17:33" ht="12.75" customHeight="1">
      <c r="Q109" s="360"/>
      <c r="R109" s="969" t="s">
        <v>64</v>
      </c>
      <c r="S109" s="969"/>
      <c r="T109" s="969"/>
      <c r="U109" s="557">
        <f>VLOOKUP(U77,'Lookup Exposure Time'!$B$12:$C$732,2)</f>
        <v>50</v>
      </c>
      <c r="V109" s="557">
        <f>VLOOKUP(V77,'Lookup Exposure Time'!$B$12:$C$732,2)</f>
        <v>12.5</v>
      </c>
      <c r="W109" s="557">
        <f>VLOOKUP(W77,'Lookup Exposure Time'!$B$12:$C$732,2)</f>
        <v>10</v>
      </c>
      <c r="X109" s="557">
        <f>VLOOKUP(X77,'Lookup Exposure Time'!$B$12:$C$732,2)</f>
        <v>1.875</v>
      </c>
      <c r="Y109" s="361"/>
      <c r="Z109" s="364"/>
      <c r="AA109"/>
      <c r="AB109"/>
      <c r="AC109"/>
      <c r="AD109"/>
      <c r="AE109"/>
      <c r="AF109"/>
      <c r="AG109"/>
    </row>
    <row r="110" spans="17:33" ht="12.75" customHeight="1">
      <c r="Q110" s="360"/>
      <c r="R110" s="363"/>
      <c r="S110" s="363"/>
      <c r="T110" s="363"/>
      <c r="U110" s="363"/>
      <c r="V110" s="363"/>
      <c r="W110" s="363"/>
      <c r="X110" s="363"/>
      <c r="Y110" s="363"/>
      <c r="Z110" s="364"/>
      <c r="AA110"/>
      <c r="AB110"/>
      <c r="AC110"/>
      <c r="AD110"/>
      <c r="AE110"/>
      <c r="AF110"/>
      <c r="AG110"/>
    </row>
    <row r="111" spans="17:33" ht="12.75" customHeight="1">
      <c r="Q111" s="360" t="s">
        <v>508</v>
      </c>
      <c r="R111" s="363" t="s">
        <v>531</v>
      </c>
      <c r="S111" s="363"/>
      <c r="T111" s="363"/>
      <c r="U111" s="363"/>
      <c r="V111" s="363"/>
      <c r="W111" s="363"/>
      <c r="X111" s="363"/>
      <c r="Y111" s="363"/>
      <c r="Z111" s="364"/>
      <c r="AA111"/>
      <c r="AB111"/>
      <c r="AC111"/>
      <c r="AD111"/>
      <c r="AE111"/>
      <c r="AF111"/>
      <c r="AG111"/>
    </row>
    <row r="112" spans="17:33" ht="12.75" customHeight="1">
      <c r="Q112" s="360"/>
      <c r="R112" s="998" t="s">
        <v>191</v>
      </c>
      <c r="S112" s="999"/>
      <c r="T112" s="1000"/>
      <c r="U112" s="949" t="s">
        <v>500</v>
      </c>
      <c r="V112" s="938" t="s">
        <v>22</v>
      </c>
      <c r="W112" s="940" t="s">
        <v>579</v>
      </c>
      <c r="X112" s="942" t="s">
        <v>21</v>
      </c>
      <c r="Y112" s="361"/>
      <c r="Z112" s="364"/>
      <c r="AA112"/>
      <c r="AB112"/>
      <c r="AC112"/>
      <c r="AD112"/>
      <c r="AE112"/>
      <c r="AF112"/>
      <c r="AG112"/>
    </row>
    <row r="113" spans="17:33" ht="12.75" customHeight="1">
      <c r="Q113" s="360"/>
      <c r="R113" s="1001"/>
      <c r="S113" s="1002"/>
      <c r="T113" s="1003"/>
      <c r="U113" s="950"/>
      <c r="V113" s="939"/>
      <c r="W113" s="941"/>
      <c r="X113" s="943"/>
      <c r="Y113" s="361"/>
      <c r="Z113" s="364"/>
      <c r="AA113"/>
      <c r="AB113"/>
      <c r="AC113"/>
      <c r="AD113"/>
      <c r="AE113"/>
      <c r="AF113"/>
      <c r="AG113"/>
    </row>
    <row r="114" spans="17:33" ht="12.75" customHeight="1">
      <c r="Q114" s="360"/>
      <c r="R114" s="969" t="s">
        <v>63</v>
      </c>
      <c r="S114" s="969"/>
      <c r="T114" s="969"/>
      <c r="U114" s="537">
        <f t="shared" ref="U114:X115" si="0">U102/60</f>
        <v>0.16666666666666666</v>
      </c>
      <c r="V114" s="537">
        <f t="shared" si="0"/>
        <v>4.1666666666666664E-2</v>
      </c>
      <c r="W114" s="537">
        <f t="shared" si="0"/>
        <v>3.125E-2</v>
      </c>
      <c r="X114" s="537">
        <f t="shared" si="0"/>
        <v>6.5103333333333306E-3</v>
      </c>
      <c r="Y114" s="361"/>
      <c r="Z114" s="364"/>
      <c r="AA114"/>
      <c r="AB114"/>
      <c r="AC114"/>
      <c r="AD114"/>
      <c r="AE114"/>
      <c r="AF114"/>
      <c r="AG114"/>
    </row>
    <row r="115" spans="17:33" ht="12.75" customHeight="1">
      <c r="Q115" s="360"/>
      <c r="R115" s="969" t="s">
        <v>64</v>
      </c>
      <c r="S115" s="969"/>
      <c r="T115" s="969"/>
      <c r="U115" s="537">
        <f t="shared" si="0"/>
        <v>3.3333333333333335</v>
      </c>
      <c r="V115" s="537">
        <f t="shared" si="0"/>
        <v>0.83333333333333337</v>
      </c>
      <c r="W115" s="537">
        <f t="shared" si="0"/>
        <v>0.66666666666666663</v>
      </c>
      <c r="X115" s="537">
        <f t="shared" si="0"/>
        <v>0.125</v>
      </c>
      <c r="Y115" s="361"/>
      <c r="Z115" s="364"/>
      <c r="AA115"/>
      <c r="AB115"/>
      <c r="AC115"/>
      <c r="AD115"/>
      <c r="AE115"/>
      <c r="AF115"/>
      <c r="AG115"/>
    </row>
    <row r="116" spans="17:33" ht="12.75" customHeight="1">
      <c r="Q116" s="360"/>
      <c r="R116" s="364"/>
      <c r="S116" s="364"/>
      <c r="T116" s="364"/>
      <c r="U116" s="364"/>
      <c r="V116" s="364"/>
      <c r="W116" s="364"/>
      <c r="X116" s="364"/>
      <c r="Y116" s="363"/>
      <c r="Z116" s="364"/>
      <c r="AA116"/>
      <c r="AB116"/>
      <c r="AC116"/>
      <c r="AD116"/>
      <c r="AE116"/>
      <c r="AF116"/>
      <c r="AG116"/>
    </row>
    <row r="117" spans="17:33" ht="12.75" customHeight="1">
      <c r="Q117" s="360" t="s">
        <v>506</v>
      </c>
      <c r="R117" s="363" t="s">
        <v>532</v>
      </c>
      <c r="S117" s="363"/>
      <c r="T117" s="363"/>
      <c r="U117" s="363"/>
      <c r="V117" s="363"/>
      <c r="W117" s="363"/>
      <c r="X117" s="363"/>
      <c r="Y117" s="363"/>
      <c r="Z117" s="364"/>
      <c r="AA117"/>
      <c r="AB117"/>
      <c r="AC117"/>
      <c r="AD117"/>
      <c r="AE117"/>
      <c r="AF117"/>
      <c r="AG117"/>
    </row>
    <row r="118" spans="17:33" ht="12.75" customHeight="1">
      <c r="Q118" s="360"/>
      <c r="R118" s="998" t="s">
        <v>191</v>
      </c>
      <c r="S118" s="999"/>
      <c r="T118" s="1000"/>
      <c r="U118" s="949" t="s">
        <v>500</v>
      </c>
      <c r="V118" s="938" t="s">
        <v>22</v>
      </c>
      <c r="W118" s="940" t="s">
        <v>579</v>
      </c>
      <c r="X118" s="942" t="s">
        <v>21</v>
      </c>
      <c r="Y118" s="361"/>
      <c r="Z118" s="364"/>
      <c r="AA118"/>
      <c r="AB118"/>
      <c r="AC118"/>
      <c r="AD118"/>
      <c r="AE118"/>
      <c r="AF118"/>
      <c r="AG118"/>
    </row>
    <row r="119" spans="17:33" ht="12.75" customHeight="1">
      <c r="Q119" s="360"/>
      <c r="R119" s="1001"/>
      <c r="S119" s="1002"/>
      <c r="T119" s="1003"/>
      <c r="U119" s="950"/>
      <c r="V119" s="939"/>
      <c r="W119" s="941"/>
      <c r="X119" s="943"/>
      <c r="Y119" s="361"/>
      <c r="Z119" s="364"/>
      <c r="AA119"/>
      <c r="AB119"/>
      <c r="AC119"/>
      <c r="AD119"/>
      <c r="AE119"/>
      <c r="AF119"/>
      <c r="AG119"/>
    </row>
    <row r="120" spans="17:33" ht="12.75" customHeight="1">
      <c r="Q120" s="360"/>
      <c r="R120" s="969" t="s">
        <v>63</v>
      </c>
      <c r="S120" s="969"/>
      <c r="T120" s="969"/>
      <c r="U120" s="537">
        <f t="shared" ref="U120:X121" si="1">U108/60</f>
        <v>4.1666666666666664E-2</v>
      </c>
      <c r="V120" s="537">
        <f t="shared" si="1"/>
        <v>1.0416666666666666E-2</v>
      </c>
      <c r="W120" s="537">
        <f t="shared" si="1"/>
        <v>7.8125E-3</v>
      </c>
      <c r="X120" s="537">
        <f t="shared" si="1"/>
        <v>1.6276041666666667E-3</v>
      </c>
      <c r="Y120" s="361"/>
      <c r="Z120" s="364"/>
      <c r="AA120"/>
      <c r="AB120"/>
      <c r="AC120"/>
      <c r="AD120"/>
      <c r="AE120"/>
      <c r="AF120"/>
      <c r="AG120"/>
    </row>
    <row r="121" spans="17:33" ht="12.75" customHeight="1">
      <c r="Q121" s="360"/>
      <c r="R121" s="969" t="s">
        <v>64</v>
      </c>
      <c r="S121" s="969"/>
      <c r="T121" s="969"/>
      <c r="U121" s="537">
        <f t="shared" si="1"/>
        <v>0.83333333333333337</v>
      </c>
      <c r="V121" s="537">
        <f t="shared" si="1"/>
        <v>0.20833333333333334</v>
      </c>
      <c r="W121" s="537">
        <f t="shared" si="1"/>
        <v>0.16666666666666666</v>
      </c>
      <c r="X121" s="537">
        <f t="shared" si="1"/>
        <v>3.125E-2</v>
      </c>
      <c r="Y121" s="361"/>
      <c r="Z121" s="364"/>
      <c r="AA121"/>
      <c r="AB121"/>
      <c r="AC121"/>
      <c r="AD121"/>
      <c r="AE121"/>
      <c r="AF121"/>
      <c r="AG121"/>
    </row>
    <row r="122" spans="17:33" ht="12.75" customHeight="1">
      <c r="Q122" s="360"/>
      <c r="R122" s="363"/>
      <c r="S122" s="363"/>
      <c r="T122" s="363"/>
      <c r="U122" s="363"/>
      <c r="V122" s="363"/>
      <c r="W122" s="363"/>
      <c r="X122" s="363"/>
      <c r="Y122" s="363"/>
      <c r="Z122" s="364"/>
      <c r="AA122"/>
      <c r="AB122"/>
      <c r="AC122"/>
      <c r="AD122"/>
      <c r="AE122"/>
      <c r="AF122"/>
      <c r="AG122"/>
    </row>
    <row r="123" spans="17:33" ht="12.75" customHeight="1">
      <c r="Q123" s="546" t="s">
        <v>231</v>
      </c>
      <c r="R123" s="952" t="s">
        <v>232</v>
      </c>
      <c r="S123" s="952"/>
      <c r="T123" s="952"/>
      <c r="U123" s="952"/>
      <c r="V123" s="952"/>
      <c r="W123" s="952"/>
      <c r="X123" s="952"/>
      <c r="Y123" s="952"/>
      <c r="Z123" s="360"/>
      <c r="AA123"/>
      <c r="AB123"/>
      <c r="AC123"/>
      <c r="AD123"/>
      <c r="AE123"/>
      <c r="AF123"/>
      <c r="AG123"/>
    </row>
    <row r="124" spans="17:33" ht="12.75" customHeight="1">
      <c r="Q124" s="546"/>
      <c r="R124" s="360"/>
      <c r="S124" s="360"/>
      <c r="T124" s="360"/>
      <c r="U124" s="360"/>
      <c r="V124" s="360"/>
      <c r="W124" s="360"/>
      <c r="X124" s="360"/>
      <c r="Y124" s="360"/>
      <c r="Z124" s="360"/>
      <c r="AA124"/>
      <c r="AB124"/>
      <c r="AC124"/>
      <c r="AD124"/>
      <c r="AE124"/>
      <c r="AF124"/>
      <c r="AG124"/>
    </row>
    <row r="125" spans="17:33" ht="12.75" customHeight="1">
      <c r="Q125" s="546"/>
      <c r="R125" s="363" t="s">
        <v>233</v>
      </c>
      <c r="S125" s="363"/>
      <c r="T125" s="363"/>
      <c r="U125" s="363"/>
      <c r="V125" s="363"/>
      <c r="W125" s="363"/>
      <c r="X125" s="363"/>
      <c r="Y125" s="363"/>
      <c r="Z125" s="364"/>
      <c r="AA125"/>
      <c r="AB125"/>
      <c r="AC125"/>
      <c r="AD125"/>
      <c r="AE125"/>
      <c r="AF125"/>
      <c r="AG125"/>
    </row>
    <row r="126" spans="17:33" ht="12.75" customHeight="1">
      <c r="Q126" s="360"/>
      <c r="R126" s="998" t="s">
        <v>678</v>
      </c>
      <c r="S126" s="999"/>
      <c r="T126" s="1000"/>
      <c r="U126" s="949" t="s">
        <v>470</v>
      </c>
      <c r="V126" s="938" t="s">
        <v>22</v>
      </c>
      <c r="W126" s="940" t="s">
        <v>579</v>
      </c>
      <c r="X126" s="942" t="s">
        <v>21</v>
      </c>
      <c r="Y126" s="361"/>
      <c r="Z126" s="364"/>
      <c r="AA126"/>
      <c r="AB126"/>
      <c r="AC126"/>
      <c r="AD126"/>
      <c r="AE126"/>
      <c r="AF126"/>
      <c r="AG126"/>
    </row>
    <row r="127" spans="17:33" ht="12.75" customHeight="1">
      <c r="Q127" s="360"/>
      <c r="R127" s="1001"/>
      <c r="S127" s="1002"/>
      <c r="T127" s="1003"/>
      <c r="U127" s="950"/>
      <c r="V127" s="939"/>
      <c r="W127" s="941"/>
      <c r="X127" s="943"/>
      <c r="Y127" s="361"/>
      <c r="Z127" s="364"/>
      <c r="AA127"/>
      <c r="AB127"/>
      <c r="AC127"/>
      <c r="AD127"/>
      <c r="AE127"/>
      <c r="AF127"/>
      <c r="AG127"/>
    </row>
    <row r="128" spans="17:33" ht="12.75" customHeight="1">
      <c r="Q128" s="360"/>
      <c r="R128" s="969" t="s">
        <v>234</v>
      </c>
      <c r="S128" s="969"/>
      <c r="T128" s="969"/>
      <c r="U128" s="672">
        <v>8.3000000000000007</v>
      </c>
      <c r="V128" s="672">
        <f>VLOOKUP($V$5,'Lookup Vibration'!$B$8:$F$208,3)</f>
        <v>18.049999999999951</v>
      </c>
      <c r="W128" s="672">
        <f>VLOOKUP($V$5,'Lookup Vibration'!$B$8:$F$208,4)</f>
        <v>19.950000000000074</v>
      </c>
      <c r="X128" s="672">
        <f>VLOOKUP($V$5,'Lookup Vibration'!$B$8:$F$208,2)</f>
        <v>18.049999999999951</v>
      </c>
      <c r="Y128" s="361"/>
      <c r="Z128" s="364"/>
      <c r="AA128"/>
      <c r="AB128"/>
      <c r="AC128"/>
      <c r="AD128"/>
      <c r="AE128"/>
      <c r="AF128"/>
      <c r="AG128"/>
    </row>
    <row r="129" spans="17:33" ht="12.75" customHeight="1">
      <c r="Q129" s="360"/>
      <c r="R129" s="363"/>
      <c r="S129" s="363"/>
      <c r="T129" s="363"/>
      <c r="U129" s="363"/>
      <c r="V129" s="363"/>
      <c r="W129" s="363"/>
      <c r="X129" s="363"/>
      <c r="Y129" s="363"/>
      <c r="Z129" s="364"/>
      <c r="AA129"/>
      <c r="AB129"/>
      <c r="AC129"/>
      <c r="AD129"/>
      <c r="AE129"/>
      <c r="AF129"/>
      <c r="AG129"/>
    </row>
    <row r="130" spans="17:33" ht="12.75" customHeight="1">
      <c r="Q130" s="546" t="s">
        <v>235</v>
      </c>
      <c r="R130" s="952" t="s">
        <v>34</v>
      </c>
      <c r="S130" s="952"/>
      <c r="T130" s="952"/>
      <c r="U130" s="952"/>
      <c r="V130" s="952"/>
      <c r="W130" s="952"/>
      <c r="X130" s="952"/>
      <c r="Y130" s="952"/>
      <c r="Z130" s="360"/>
      <c r="AA130"/>
      <c r="AB130"/>
      <c r="AC130"/>
      <c r="AD130"/>
      <c r="AE130"/>
      <c r="AF130"/>
      <c r="AG130"/>
    </row>
    <row r="131" spans="17:33" ht="12.75" customHeight="1">
      <c r="Q131" s="546"/>
      <c r="R131" s="363"/>
      <c r="S131" s="363"/>
      <c r="T131" s="363"/>
      <c r="U131" s="363"/>
      <c r="V131" s="363"/>
      <c r="W131" s="363"/>
      <c r="X131" s="363"/>
      <c r="Y131" s="363"/>
      <c r="Z131" s="364"/>
      <c r="AA131"/>
      <c r="AB131"/>
      <c r="AC131"/>
      <c r="AD131"/>
      <c r="AE131"/>
      <c r="AF131"/>
      <c r="AG131"/>
    </row>
    <row r="132" spans="17:33" ht="12.75" customHeight="1">
      <c r="Q132" s="360"/>
      <c r="R132" s="998" t="s">
        <v>678</v>
      </c>
      <c r="S132" s="999"/>
      <c r="T132" s="1000"/>
      <c r="U132" s="949" t="s">
        <v>500</v>
      </c>
      <c r="V132" s="938" t="s">
        <v>22</v>
      </c>
      <c r="W132" s="940" t="s">
        <v>579</v>
      </c>
      <c r="X132" s="942" t="s">
        <v>21</v>
      </c>
      <c r="Y132" s="361"/>
      <c r="Z132" s="364"/>
      <c r="AA132"/>
      <c r="AB132"/>
      <c r="AC132"/>
      <c r="AD132"/>
      <c r="AE132"/>
      <c r="AF132"/>
      <c r="AG132"/>
    </row>
    <row r="133" spans="17:33" ht="12.75" customHeight="1">
      <c r="Q133" s="360"/>
      <c r="R133" s="1001"/>
      <c r="S133" s="1002"/>
      <c r="T133" s="1003"/>
      <c r="U133" s="950"/>
      <c r="V133" s="939"/>
      <c r="W133" s="941"/>
      <c r="X133" s="943"/>
      <c r="Y133" s="361"/>
      <c r="Z133" s="364"/>
      <c r="AA133"/>
      <c r="AB133"/>
      <c r="AC133"/>
      <c r="AD133"/>
      <c r="AE133"/>
      <c r="AF133"/>
      <c r="AG133"/>
    </row>
    <row r="134" spans="17:33" ht="12.75" customHeight="1">
      <c r="Q134" s="360"/>
      <c r="R134" s="1004" t="s">
        <v>298</v>
      </c>
      <c r="S134" s="1004"/>
      <c r="T134" s="1004"/>
      <c r="U134" s="673" t="s">
        <v>819</v>
      </c>
      <c r="V134" s="673" t="s">
        <v>818</v>
      </c>
      <c r="W134" s="673" t="s">
        <v>819</v>
      </c>
      <c r="X134" s="673" t="s">
        <v>818</v>
      </c>
      <c r="Y134" s="361"/>
      <c r="Z134" s="364"/>
      <c r="AA134"/>
      <c r="AB134"/>
      <c r="AC134"/>
      <c r="AD134"/>
      <c r="AE134"/>
      <c r="AF134"/>
      <c r="AG134"/>
    </row>
    <row r="135" spans="17:33" ht="12.75" customHeight="1">
      <c r="Q135" s="360"/>
      <c r="R135" s="931" t="s">
        <v>299</v>
      </c>
      <c r="S135" s="931"/>
      <c r="T135" s="931"/>
      <c r="U135" s="673" t="s">
        <v>297</v>
      </c>
      <c r="V135" s="673" t="s">
        <v>296</v>
      </c>
      <c r="W135" s="673" t="s">
        <v>296</v>
      </c>
      <c r="X135" s="673" t="s">
        <v>296</v>
      </c>
      <c r="Y135" s="361"/>
      <c r="Z135" s="364"/>
      <c r="AA135"/>
      <c r="AB135"/>
      <c r="AC135"/>
      <c r="AD135"/>
      <c r="AE135"/>
      <c r="AF135"/>
      <c r="AG135"/>
    </row>
    <row r="136" spans="17:33" ht="12.75" customHeight="1">
      <c r="Q136" s="360"/>
      <c r="R136" s="363"/>
      <c r="S136" s="363"/>
      <c r="T136" s="363"/>
      <c r="U136" s="363"/>
      <c r="V136" s="363"/>
      <c r="W136" s="363"/>
      <c r="X136" s="363"/>
      <c r="Y136" s="363"/>
      <c r="Z136" s="363"/>
      <c r="AA136"/>
      <c r="AB136"/>
      <c r="AC136"/>
      <c r="AD136"/>
      <c r="AE136"/>
      <c r="AF136"/>
      <c r="AG136"/>
    </row>
    <row r="137" spans="17:33" ht="12.75" customHeight="1">
      <c r="Q137" s="546" t="s">
        <v>236</v>
      </c>
      <c r="R137" s="952" t="s">
        <v>237</v>
      </c>
      <c r="S137" s="952"/>
      <c r="T137" s="952"/>
      <c r="U137" s="952"/>
      <c r="V137" s="952"/>
      <c r="W137" s="952"/>
      <c r="X137" s="952"/>
      <c r="Y137" s="952"/>
      <c r="Z137" s="360"/>
      <c r="AA137"/>
      <c r="AB137"/>
      <c r="AC137"/>
      <c r="AD137"/>
      <c r="AE137"/>
      <c r="AF137"/>
      <c r="AG137"/>
    </row>
    <row r="138" spans="17:33" ht="12.75" customHeight="1">
      <c r="Q138" s="360"/>
      <c r="R138" s="363"/>
      <c r="S138" s="363"/>
      <c r="T138" s="363"/>
      <c r="U138" s="363"/>
      <c r="V138" s="363"/>
      <c r="W138" s="363"/>
      <c r="X138" s="363"/>
      <c r="Y138" s="363"/>
      <c r="Z138" s="363"/>
      <c r="AA138"/>
      <c r="AB138"/>
      <c r="AC138"/>
      <c r="AD138"/>
      <c r="AE138"/>
      <c r="AF138"/>
      <c r="AG138"/>
    </row>
    <row r="139" spans="17:33" ht="12.75" customHeight="1">
      <c r="Q139" s="668" t="s">
        <v>238</v>
      </c>
      <c r="R139" s="364" t="s">
        <v>239</v>
      </c>
      <c r="S139" s="364"/>
      <c r="T139" s="364"/>
      <c r="U139" s="364"/>
      <c r="V139" s="364"/>
      <c r="W139" s="364"/>
      <c r="X139" s="364"/>
      <c r="Y139" s="364"/>
      <c r="Z139" s="364"/>
      <c r="AA139"/>
      <c r="AB139"/>
      <c r="AC139"/>
      <c r="AD139"/>
      <c r="AE139"/>
      <c r="AF139"/>
      <c r="AG139"/>
    </row>
    <row r="140" spans="17:33" ht="12.75" customHeight="1">
      <c r="Q140" s="668"/>
      <c r="R140" s="364" t="s">
        <v>469</v>
      </c>
      <c r="S140" s="364"/>
      <c r="T140" s="364"/>
      <c r="U140" s="364"/>
      <c r="V140" s="364"/>
      <c r="W140" s="364"/>
      <c r="X140" s="364"/>
      <c r="Y140" s="364"/>
      <c r="Z140" s="364"/>
      <c r="AA140"/>
      <c r="AB140"/>
      <c r="AC140"/>
      <c r="AD140"/>
      <c r="AE140"/>
      <c r="AF140"/>
      <c r="AG140"/>
    </row>
    <row r="141" spans="17:33" ht="12.75" customHeight="1">
      <c r="Q141" s="668"/>
      <c r="R141" s="364"/>
      <c r="S141" s="364"/>
      <c r="T141" s="364"/>
      <c r="U141" s="364"/>
      <c r="V141" s="364"/>
      <c r="W141" s="364"/>
      <c r="X141" s="364"/>
      <c r="Y141" s="364"/>
      <c r="Z141" s="364"/>
      <c r="AA141"/>
      <c r="AB141"/>
      <c r="AC141"/>
      <c r="AD141"/>
      <c r="AE141"/>
      <c r="AF141"/>
      <c r="AG141"/>
    </row>
    <row r="142" spans="17:33" ht="12.75" customHeight="1">
      <c r="Q142" s="668"/>
      <c r="R142" s="1005" t="s">
        <v>734</v>
      </c>
      <c r="S142" s="1006"/>
      <c r="T142" s="1006"/>
      <c r="U142" s="1006"/>
      <c r="V142" s="1006"/>
      <c r="W142" s="1007"/>
      <c r="X142" s="351">
        <f>'Compressor Input Data'!G5</f>
        <v>22800</v>
      </c>
      <c r="Y142" s="364"/>
      <c r="Z142" s="364"/>
      <c r="AA142"/>
      <c r="AB142"/>
      <c r="AC142"/>
      <c r="AD142"/>
      <c r="AE142"/>
      <c r="AF142"/>
      <c r="AG142"/>
    </row>
    <row r="143" spans="17:33" ht="12.75" customHeight="1">
      <c r="Q143" s="668"/>
      <c r="R143" s="990" t="s">
        <v>430</v>
      </c>
      <c r="S143" s="991"/>
      <c r="T143" s="992"/>
      <c r="U143" s="949" t="s">
        <v>500</v>
      </c>
      <c r="V143" s="938" t="s">
        <v>22</v>
      </c>
      <c r="W143" s="940" t="s">
        <v>579</v>
      </c>
      <c r="X143" s="942" t="s">
        <v>21</v>
      </c>
      <c r="Y143" s="361"/>
      <c r="Z143" s="364"/>
      <c r="AA143"/>
      <c r="AB143"/>
      <c r="AC143"/>
      <c r="AD143"/>
      <c r="AE143"/>
      <c r="AF143"/>
      <c r="AG143"/>
    </row>
    <row r="144" spans="17:33" ht="12.75" customHeight="1">
      <c r="Q144" s="668"/>
      <c r="R144" s="993"/>
      <c r="S144" s="994"/>
      <c r="T144" s="995"/>
      <c r="U144" s="950"/>
      <c r="V144" s="939"/>
      <c r="W144" s="941"/>
      <c r="X144" s="943"/>
      <c r="Y144" s="361"/>
      <c r="Z144" s="364"/>
      <c r="AA144"/>
      <c r="AB144"/>
      <c r="AC144"/>
      <c r="AD144"/>
      <c r="AE144"/>
      <c r="AF144"/>
      <c r="AG144"/>
    </row>
    <row r="145" spans="17:33" ht="12.75" customHeight="1">
      <c r="Q145" s="668"/>
      <c r="R145" s="973" t="s">
        <v>555</v>
      </c>
      <c r="S145" s="973"/>
      <c r="T145" s="973"/>
      <c r="U145" s="996"/>
      <c r="V145" s="544">
        <f>X145</f>
        <v>22800</v>
      </c>
      <c r="W145" s="544">
        <f>X145</f>
        <v>22800</v>
      </c>
      <c r="X145" s="544">
        <f>X142</f>
        <v>22800</v>
      </c>
      <c r="Y145" s="361"/>
      <c r="Z145" s="364"/>
      <c r="AA145"/>
      <c r="AB145"/>
      <c r="AC145"/>
      <c r="AD145"/>
      <c r="AE145"/>
      <c r="AF145"/>
      <c r="AG145"/>
    </row>
    <row r="146" spans="17:33" ht="12.75" customHeight="1">
      <c r="Q146" s="668"/>
      <c r="R146" s="973" t="s">
        <v>549</v>
      </c>
      <c r="S146" s="973"/>
      <c r="T146" s="973"/>
      <c r="U146" s="997"/>
      <c r="V146" s="544">
        <f>X146</f>
        <v>24</v>
      </c>
      <c r="W146" s="544">
        <f>V146</f>
        <v>24</v>
      </c>
      <c r="X146" s="544">
        <f>'Compressor Input Data'!J15</f>
        <v>24</v>
      </c>
      <c r="Y146" s="361"/>
      <c r="Z146" s="364"/>
      <c r="AA146"/>
      <c r="AB146"/>
      <c r="AC146"/>
      <c r="AD146"/>
      <c r="AE146"/>
      <c r="AF146"/>
      <c r="AG146"/>
    </row>
    <row r="147" spans="17:33" ht="12.75" customHeight="1">
      <c r="Q147" s="668"/>
      <c r="R147" s="970" t="s">
        <v>556</v>
      </c>
      <c r="S147" s="971"/>
      <c r="T147" s="972"/>
      <c r="U147" s="566">
        <f>U62</f>
        <v>2.6666666666666665</v>
      </c>
      <c r="V147" s="566">
        <f>V62</f>
        <v>1.9999999999999996</v>
      </c>
      <c r="W147" s="566">
        <f>W62</f>
        <v>1.7391304347826084</v>
      </c>
      <c r="X147" s="566">
        <f>X62</f>
        <v>1.4285714285714284</v>
      </c>
      <c r="Y147" s="361"/>
      <c r="Z147" s="364"/>
      <c r="AA147"/>
      <c r="AB147"/>
      <c r="AC147"/>
      <c r="AD147"/>
      <c r="AE147"/>
      <c r="AF147"/>
      <c r="AG147"/>
    </row>
    <row r="148" spans="17:33" ht="12.75" customHeight="1">
      <c r="Q148" s="668"/>
      <c r="R148" s="973" t="s">
        <v>575</v>
      </c>
      <c r="S148" s="973"/>
      <c r="T148" s="973"/>
      <c r="U148" s="531">
        <f>W148</f>
        <v>0.22500000000000001</v>
      </c>
      <c r="V148" s="531">
        <f>X148</f>
        <v>0.22500000000000001</v>
      </c>
      <c r="W148" s="531">
        <f>V148</f>
        <v>0.22500000000000001</v>
      </c>
      <c r="X148" s="531">
        <f>'Compressor Input Data'!J17</f>
        <v>0.22500000000000001</v>
      </c>
      <c r="Y148" s="361"/>
      <c r="Z148" s="364"/>
      <c r="AA148"/>
      <c r="AB148"/>
      <c r="AC148"/>
      <c r="AD148"/>
      <c r="AE148"/>
      <c r="AF148"/>
      <c r="AG148"/>
    </row>
    <row r="149" spans="17:33" ht="12.75" customHeight="1">
      <c r="Q149" s="668"/>
      <c r="R149" s="987"/>
      <c r="S149" s="988"/>
      <c r="T149" s="988"/>
      <c r="U149" s="988"/>
      <c r="V149" s="988"/>
      <c r="W149" s="988"/>
      <c r="X149" s="989"/>
      <c r="Y149" s="364"/>
      <c r="Z149" s="364"/>
      <c r="AA149"/>
      <c r="AB149"/>
      <c r="AC149"/>
      <c r="AD149"/>
      <c r="AE149"/>
      <c r="AF149"/>
      <c r="AG149"/>
    </row>
    <row r="150" spans="17:33" ht="12.75" customHeight="1">
      <c r="Q150" s="668"/>
      <c r="R150" s="990" t="s">
        <v>467</v>
      </c>
      <c r="S150" s="991"/>
      <c r="T150" s="992"/>
      <c r="U150" s="949" t="s">
        <v>500</v>
      </c>
      <c r="V150" s="938" t="s">
        <v>22</v>
      </c>
      <c r="W150" s="940" t="s">
        <v>579</v>
      </c>
      <c r="X150" s="942" t="s">
        <v>21</v>
      </c>
      <c r="Y150" s="361"/>
      <c r="Z150" s="364"/>
      <c r="AA150"/>
      <c r="AB150"/>
      <c r="AC150"/>
      <c r="AD150"/>
      <c r="AE150"/>
      <c r="AF150"/>
      <c r="AG150"/>
    </row>
    <row r="151" spans="17:33" ht="12.75" customHeight="1">
      <c r="Q151" s="668"/>
      <c r="R151" s="993"/>
      <c r="S151" s="994"/>
      <c r="T151" s="995"/>
      <c r="U151" s="950"/>
      <c r="V151" s="939"/>
      <c r="W151" s="941"/>
      <c r="X151" s="943"/>
      <c r="Y151" s="361"/>
      <c r="Z151" s="364"/>
      <c r="AA151"/>
      <c r="AB151"/>
      <c r="AC151"/>
      <c r="AD151"/>
      <c r="AE151"/>
      <c r="AF151"/>
      <c r="AG151"/>
    </row>
    <row r="152" spans="17:33" ht="12.75" customHeight="1">
      <c r="Q152" s="668"/>
      <c r="R152" s="973" t="s">
        <v>554</v>
      </c>
      <c r="S152" s="973"/>
      <c r="T152" s="973"/>
      <c r="U152" s="986"/>
      <c r="V152" s="569">
        <f>X152</f>
        <v>1</v>
      </c>
      <c r="W152" s="570">
        <f>V152</f>
        <v>1</v>
      </c>
      <c r="X152" s="570">
        <f>'Compressor Input Data'!J20</f>
        <v>1</v>
      </c>
      <c r="Y152" s="361"/>
      <c r="Z152" s="364"/>
      <c r="AA152"/>
      <c r="AB152"/>
      <c r="AC152"/>
      <c r="AD152"/>
      <c r="AE152"/>
      <c r="AF152"/>
      <c r="AG152"/>
    </row>
    <row r="153" spans="17:33" ht="12.75" customHeight="1">
      <c r="Q153" s="668"/>
      <c r="R153" s="983" t="s">
        <v>551</v>
      </c>
      <c r="S153" s="984"/>
      <c r="T153" s="985"/>
      <c r="U153" s="986"/>
      <c r="V153" s="571">
        <f>V147/V146</f>
        <v>8.3333333333333315E-2</v>
      </c>
      <c r="W153" s="571">
        <f>W147/W146</f>
        <v>7.2463768115942018E-2</v>
      </c>
      <c r="X153" s="571">
        <f>X147/X146</f>
        <v>5.9523809523809514E-2</v>
      </c>
      <c r="Y153" s="361"/>
      <c r="Z153" s="364"/>
      <c r="AA153"/>
      <c r="AB153"/>
      <c r="AC153"/>
      <c r="AD153"/>
      <c r="AE153"/>
      <c r="AF153"/>
      <c r="AG153"/>
    </row>
    <row r="154" spans="17:33" ht="12.75" customHeight="1">
      <c r="Q154" s="668"/>
      <c r="R154" s="973" t="s">
        <v>552</v>
      </c>
      <c r="S154" s="973"/>
      <c r="T154" s="973"/>
      <c r="U154" s="986"/>
      <c r="V154" s="572">
        <f>X154</f>
        <v>0.6</v>
      </c>
      <c r="W154" s="572">
        <f>V154</f>
        <v>0.6</v>
      </c>
      <c r="X154" s="572">
        <f>'Compressor Input Data'!J22</f>
        <v>0.6</v>
      </c>
      <c r="Y154" s="361"/>
      <c r="Z154" s="364"/>
      <c r="AA154"/>
      <c r="AB154"/>
      <c r="AC154"/>
      <c r="AD154"/>
      <c r="AE154"/>
      <c r="AF154"/>
      <c r="AG154"/>
    </row>
    <row r="155" spans="17:33" ht="12.75" customHeight="1">
      <c r="Q155" s="668"/>
      <c r="R155" s="987"/>
      <c r="S155" s="988"/>
      <c r="T155" s="988"/>
      <c r="U155" s="988"/>
      <c r="V155" s="988"/>
      <c r="W155" s="988"/>
      <c r="X155" s="989"/>
      <c r="Y155" s="364"/>
      <c r="Z155" s="364"/>
      <c r="AA155"/>
      <c r="AB155"/>
      <c r="AC155"/>
      <c r="AD155"/>
      <c r="AE155"/>
      <c r="AF155"/>
      <c r="AG155"/>
    </row>
    <row r="156" spans="17:33" ht="12.75" customHeight="1">
      <c r="Q156" s="668"/>
      <c r="R156" s="990" t="s">
        <v>468</v>
      </c>
      <c r="S156" s="991"/>
      <c r="T156" s="992"/>
      <c r="U156" s="949" t="s">
        <v>500</v>
      </c>
      <c r="V156" s="938" t="s">
        <v>22</v>
      </c>
      <c r="W156" s="940" t="s">
        <v>579</v>
      </c>
      <c r="X156" s="942" t="s">
        <v>21</v>
      </c>
      <c r="Y156" s="361"/>
      <c r="Z156" s="364"/>
      <c r="AA156"/>
      <c r="AB156"/>
      <c r="AC156"/>
      <c r="AD156"/>
      <c r="AE156"/>
      <c r="AF156"/>
      <c r="AG156"/>
    </row>
    <row r="157" spans="17:33" ht="12.75" customHeight="1">
      <c r="Q157" s="668"/>
      <c r="R157" s="993"/>
      <c r="S157" s="994"/>
      <c r="T157" s="995"/>
      <c r="U157" s="950"/>
      <c r="V157" s="939"/>
      <c r="W157" s="941"/>
      <c r="X157" s="943"/>
      <c r="Y157" s="361"/>
      <c r="Z157" s="364"/>
      <c r="AA157"/>
      <c r="AB157"/>
      <c r="AC157"/>
      <c r="AD157"/>
      <c r="AE157"/>
      <c r="AF157"/>
      <c r="AG157"/>
    </row>
    <row r="158" spans="17:33" ht="12.75" customHeight="1">
      <c r="Q158" s="668"/>
      <c r="R158" s="973" t="s">
        <v>554</v>
      </c>
      <c r="S158" s="973"/>
      <c r="T158" s="973"/>
      <c r="U158" s="980"/>
      <c r="V158" s="572">
        <f>X158</f>
        <v>0.5</v>
      </c>
      <c r="W158" s="572">
        <f>V158</f>
        <v>0.5</v>
      </c>
      <c r="X158" s="572">
        <f>'Compressor Input Data'!J25</f>
        <v>0.5</v>
      </c>
      <c r="Y158" s="361"/>
      <c r="Z158" s="364"/>
      <c r="AA158"/>
      <c r="AB158"/>
      <c r="AC158"/>
      <c r="AD158"/>
      <c r="AE158"/>
      <c r="AF158"/>
      <c r="AG158"/>
    </row>
    <row r="159" spans="17:33" ht="12.75" customHeight="1">
      <c r="Q159" s="668"/>
      <c r="R159" s="983" t="s">
        <v>551</v>
      </c>
      <c r="S159" s="984"/>
      <c r="T159" s="985"/>
      <c r="U159" s="981"/>
      <c r="V159" s="572">
        <f>V152-V153</f>
        <v>0.91666666666666674</v>
      </c>
      <c r="W159" s="572">
        <f>W152-W153</f>
        <v>0.92753623188405798</v>
      </c>
      <c r="X159" s="572">
        <f>X152-X153</f>
        <v>0.94047619047619047</v>
      </c>
      <c r="Y159" s="361"/>
      <c r="Z159" s="364"/>
      <c r="AA159"/>
      <c r="AB159"/>
      <c r="AC159"/>
      <c r="AD159"/>
      <c r="AE159"/>
      <c r="AF159"/>
      <c r="AG159"/>
    </row>
    <row r="160" spans="17:33" ht="12.75" customHeight="1">
      <c r="Q160" s="668"/>
      <c r="R160" s="973" t="s">
        <v>552</v>
      </c>
      <c r="S160" s="973"/>
      <c r="T160" s="973"/>
      <c r="U160" s="982"/>
      <c r="V160" s="572">
        <f>X160</f>
        <v>0.6</v>
      </c>
      <c r="W160" s="572">
        <f>V160</f>
        <v>0.6</v>
      </c>
      <c r="X160" s="572">
        <f>'Compressor Input Data'!J27</f>
        <v>0.6</v>
      </c>
      <c r="Y160" s="361"/>
      <c r="Z160" s="364"/>
      <c r="AA160"/>
      <c r="AB160"/>
      <c r="AC160"/>
      <c r="AD160"/>
      <c r="AE160"/>
      <c r="AF160"/>
      <c r="AG160"/>
    </row>
    <row r="161" spans="17:33" ht="12.75" customHeight="1">
      <c r="Q161" s="668"/>
      <c r="R161" s="567"/>
      <c r="S161" s="568"/>
      <c r="T161" s="568"/>
      <c r="U161" s="573"/>
      <c r="V161" s="573"/>
      <c r="W161" s="573"/>
      <c r="X161" s="574"/>
      <c r="Y161" s="364"/>
      <c r="Z161" s="364"/>
      <c r="AA161"/>
      <c r="AB161"/>
      <c r="AC161"/>
      <c r="AD161"/>
      <c r="AE161"/>
      <c r="AF161"/>
      <c r="AG161"/>
    </row>
    <row r="162" spans="17:33" ht="12.75" customHeight="1">
      <c r="Q162" s="668"/>
      <c r="R162" s="901" t="s">
        <v>471</v>
      </c>
      <c r="S162" s="901"/>
      <c r="T162" s="901"/>
      <c r="U162" s="930" t="s">
        <v>500</v>
      </c>
      <c r="V162" s="928" t="s">
        <v>22</v>
      </c>
      <c r="W162" s="929" t="s">
        <v>579</v>
      </c>
      <c r="X162" s="927" t="s">
        <v>21</v>
      </c>
      <c r="Y162" s="361"/>
      <c r="Z162" s="364"/>
      <c r="AA162"/>
      <c r="AB162"/>
      <c r="AC162"/>
      <c r="AD162"/>
      <c r="AE162"/>
      <c r="AF162"/>
      <c r="AG162"/>
    </row>
    <row r="163" spans="17:33" ht="12.75" customHeight="1">
      <c r="Q163" s="668"/>
      <c r="R163" s="901"/>
      <c r="S163" s="901"/>
      <c r="T163" s="901"/>
      <c r="U163" s="930"/>
      <c r="V163" s="928"/>
      <c r="W163" s="929"/>
      <c r="X163" s="927"/>
      <c r="Y163" s="361"/>
      <c r="Z163" s="364"/>
      <c r="AA163"/>
      <c r="AB163"/>
      <c r="AC163"/>
      <c r="AD163"/>
      <c r="AE163"/>
      <c r="AF163"/>
      <c r="AG163"/>
    </row>
    <row r="164" spans="17:33" ht="12.75" customHeight="1">
      <c r="Q164" s="668"/>
      <c r="R164" s="973" t="s">
        <v>472</v>
      </c>
      <c r="S164" s="973"/>
      <c r="T164" s="973"/>
      <c r="U164" s="544">
        <f>$V$224</f>
        <v>938.66666666666674</v>
      </c>
      <c r="V164" s="544">
        <f>($V$145*$V$146*$V$153*$V$152)/$V$154</f>
        <v>75999.999999999985</v>
      </c>
      <c r="W164" s="544">
        <f>($W$145*$W$146*$W$153*$W$152)/$W$154</f>
        <v>66086.956521739121</v>
      </c>
      <c r="X164" s="544">
        <f>($X$145*$X$146*$X$153*$X$152)/$X$154</f>
        <v>54285.714285714275</v>
      </c>
      <c r="Y164" s="361"/>
      <c r="Z164" s="364"/>
      <c r="AA164"/>
      <c r="AB164"/>
      <c r="AC164"/>
      <c r="AD164"/>
      <c r="AE164"/>
      <c r="AF164"/>
      <c r="AG164"/>
    </row>
    <row r="165" spans="17:33" ht="12.75" customHeight="1">
      <c r="Q165" s="668"/>
      <c r="R165" s="973" t="s">
        <v>473</v>
      </c>
      <c r="S165" s="973"/>
      <c r="T165" s="973"/>
      <c r="U165" s="543"/>
      <c r="V165" s="544">
        <f>($V$145*$V$146*$V$159*$V$158)/$V$160</f>
        <v>418000.00000000006</v>
      </c>
      <c r="W165" s="544">
        <f>($W$145*$W$146*$W$159*$W$158)/$W$160</f>
        <v>422956.52173913049</v>
      </c>
      <c r="X165" s="544">
        <f>($X$145*$X$146*$X$159*$X$158)/$X$160</f>
        <v>428857.14285714284</v>
      </c>
      <c r="Y165" s="361"/>
      <c r="Z165" s="364"/>
      <c r="AA165"/>
      <c r="AB165"/>
      <c r="AC165"/>
      <c r="AD165"/>
      <c r="AE165"/>
      <c r="AF165"/>
      <c r="AG165"/>
    </row>
    <row r="166" spans="17:33" ht="12.75" customHeight="1">
      <c r="Q166" s="668"/>
      <c r="R166" s="567"/>
      <c r="S166" s="568"/>
      <c r="T166" s="568"/>
      <c r="U166" s="573"/>
      <c r="V166" s="573"/>
      <c r="W166" s="573"/>
      <c r="X166" s="574"/>
      <c r="Y166" s="364"/>
      <c r="Z166" s="364"/>
      <c r="AA166"/>
      <c r="AB166"/>
      <c r="AC166"/>
      <c r="AD166"/>
      <c r="AE166"/>
      <c r="AF166"/>
      <c r="AG166"/>
    </row>
    <row r="167" spans="17:33" ht="12.75" customHeight="1">
      <c r="Q167" s="668"/>
      <c r="R167" s="901" t="s">
        <v>474</v>
      </c>
      <c r="S167" s="901"/>
      <c r="T167" s="901"/>
      <c r="U167" s="930" t="s">
        <v>500</v>
      </c>
      <c r="V167" s="928" t="s">
        <v>22</v>
      </c>
      <c r="W167" s="929" t="s">
        <v>579</v>
      </c>
      <c r="X167" s="927" t="s">
        <v>21</v>
      </c>
      <c r="Y167" s="361"/>
      <c r="Z167" s="364"/>
      <c r="AA167"/>
      <c r="AB167"/>
      <c r="AC167"/>
      <c r="AD167"/>
      <c r="AE167"/>
      <c r="AF167"/>
      <c r="AG167"/>
    </row>
    <row r="168" spans="17:33" ht="12.75" customHeight="1">
      <c r="Q168" s="668"/>
      <c r="R168" s="901"/>
      <c r="S168" s="901"/>
      <c r="T168" s="901"/>
      <c r="U168" s="930"/>
      <c r="V168" s="928"/>
      <c r="W168" s="929"/>
      <c r="X168" s="927"/>
      <c r="Y168" s="361"/>
      <c r="Z168" s="364"/>
      <c r="AA168"/>
      <c r="AB168"/>
      <c r="AC168"/>
      <c r="AD168"/>
      <c r="AE168"/>
      <c r="AF168"/>
      <c r="AG168"/>
    </row>
    <row r="169" spans="17:33" ht="12.75" customHeight="1">
      <c r="Q169" s="668"/>
      <c r="R169" s="973" t="s">
        <v>472</v>
      </c>
      <c r="S169" s="973"/>
      <c r="T169" s="973"/>
      <c r="U169" s="544">
        <f>U164*$V$11</f>
        <v>21589.333333333336</v>
      </c>
      <c r="V169" s="544">
        <f>V164*$V$11</f>
        <v>1747999.9999999998</v>
      </c>
      <c r="W169" s="544">
        <f>W164*$V$11</f>
        <v>1519999.9999999998</v>
      </c>
      <c r="X169" s="544">
        <f>X164*$V$11</f>
        <v>1248571.4285714284</v>
      </c>
      <c r="Y169" s="361"/>
      <c r="Z169" s="364"/>
      <c r="AA169"/>
      <c r="AB169"/>
      <c r="AC169"/>
      <c r="AD169"/>
      <c r="AE169"/>
      <c r="AF169"/>
      <c r="AG169"/>
    </row>
    <row r="170" spans="17:33" ht="12.75" customHeight="1">
      <c r="Q170" s="668"/>
      <c r="R170" s="973" t="s">
        <v>473</v>
      </c>
      <c r="S170" s="973"/>
      <c r="T170" s="973"/>
      <c r="U170" s="543"/>
      <c r="V170" s="544">
        <f>V165*$V$11</f>
        <v>9614000.0000000019</v>
      </c>
      <c r="W170" s="544">
        <f>W165*$V$11</f>
        <v>9728000.0000000019</v>
      </c>
      <c r="X170" s="544">
        <f>X165*$V$11</f>
        <v>9863714.2857142854</v>
      </c>
      <c r="Y170" s="361"/>
      <c r="Z170" s="364"/>
      <c r="AA170"/>
      <c r="AB170"/>
      <c r="AC170"/>
      <c r="AD170"/>
      <c r="AE170"/>
      <c r="AF170"/>
      <c r="AG170"/>
    </row>
    <row r="171" spans="17:33" ht="12.75" customHeight="1">
      <c r="Q171" s="668"/>
      <c r="R171" s="567"/>
      <c r="S171" s="568"/>
      <c r="T171" s="568"/>
      <c r="U171" s="573"/>
      <c r="V171" s="573"/>
      <c r="W171" s="573"/>
      <c r="X171" s="574"/>
      <c r="Y171" s="364"/>
      <c r="Z171" s="364"/>
      <c r="AA171"/>
      <c r="AB171"/>
      <c r="AC171"/>
      <c r="AD171"/>
      <c r="AE171"/>
      <c r="AF171"/>
      <c r="AG171"/>
    </row>
    <row r="172" spans="17:33" ht="12.75" customHeight="1">
      <c r="Q172" s="668"/>
      <c r="R172" s="901" t="s">
        <v>474</v>
      </c>
      <c r="S172" s="901"/>
      <c r="T172" s="901"/>
      <c r="U172" s="930" t="s">
        <v>500</v>
      </c>
      <c r="V172" s="928" t="s">
        <v>22</v>
      </c>
      <c r="W172" s="929" t="s">
        <v>579</v>
      </c>
      <c r="X172" s="927" t="s">
        <v>21</v>
      </c>
      <c r="Y172" s="361"/>
      <c r="Z172" s="364"/>
      <c r="AA172"/>
      <c r="AB172"/>
      <c r="AC172"/>
      <c r="AD172"/>
      <c r="AE172"/>
      <c r="AF172"/>
      <c r="AG172"/>
    </row>
    <row r="173" spans="17:33" ht="12.75" customHeight="1">
      <c r="Q173" s="668"/>
      <c r="R173" s="901"/>
      <c r="S173" s="901"/>
      <c r="T173" s="901"/>
      <c r="U173" s="930"/>
      <c r="V173" s="928"/>
      <c r="W173" s="929"/>
      <c r="X173" s="927"/>
      <c r="Y173" s="361"/>
      <c r="Z173" s="364"/>
      <c r="AA173"/>
      <c r="AB173"/>
      <c r="AC173"/>
      <c r="AD173"/>
      <c r="AE173"/>
      <c r="AF173"/>
      <c r="AG173"/>
    </row>
    <row r="174" spans="17:33" ht="12.75" customHeight="1">
      <c r="Q174" s="668"/>
      <c r="R174" s="973" t="s">
        <v>472</v>
      </c>
      <c r="S174" s="973"/>
      <c r="T174" s="973"/>
      <c r="U174" s="544">
        <f>U169*12</f>
        <v>259072.00000000003</v>
      </c>
      <c r="V174" s="544">
        <f>V169*12</f>
        <v>20975999.999999996</v>
      </c>
      <c r="W174" s="544">
        <f>W169*12</f>
        <v>18239999.999999996</v>
      </c>
      <c r="X174" s="544">
        <f>X169*12</f>
        <v>14982857.142857142</v>
      </c>
      <c r="Y174" s="361"/>
      <c r="Z174" s="364"/>
      <c r="AA174"/>
      <c r="AB174"/>
      <c r="AC174"/>
      <c r="AD174"/>
      <c r="AE174"/>
      <c r="AF174"/>
      <c r="AG174"/>
    </row>
    <row r="175" spans="17:33" ht="12.75" customHeight="1">
      <c r="Q175" s="668"/>
      <c r="R175" s="973" t="s">
        <v>473</v>
      </c>
      <c r="S175" s="973"/>
      <c r="T175" s="973"/>
      <c r="U175" s="543"/>
      <c r="V175" s="544">
        <f>V170*12</f>
        <v>115368000.00000003</v>
      </c>
      <c r="W175" s="544">
        <f>W170*12</f>
        <v>116736000.00000003</v>
      </c>
      <c r="X175" s="544">
        <f>X170*12</f>
        <v>118364571.42857143</v>
      </c>
      <c r="Y175" s="361"/>
      <c r="Z175" s="364"/>
      <c r="AA175"/>
      <c r="AB175"/>
      <c r="AC175"/>
      <c r="AD175"/>
      <c r="AE175"/>
      <c r="AF175"/>
      <c r="AG175"/>
    </row>
    <row r="176" spans="17:33" ht="12.75" customHeight="1">
      <c r="Q176" s="668"/>
      <c r="R176" s="381"/>
      <c r="S176" s="381"/>
      <c r="T176" s="381"/>
      <c r="U176" s="381"/>
      <c r="V176" s="381"/>
      <c r="W176" s="381"/>
      <c r="X176" s="381"/>
      <c r="Y176" s="364"/>
      <c r="Z176" s="364"/>
      <c r="AA176"/>
      <c r="AB176"/>
      <c r="AC176"/>
      <c r="AD176"/>
      <c r="AE176"/>
      <c r="AF176"/>
      <c r="AG176"/>
    </row>
    <row r="177" spans="17:33" ht="12.75" customHeight="1">
      <c r="Q177" s="668"/>
      <c r="R177" s="901" t="s">
        <v>433</v>
      </c>
      <c r="S177" s="901"/>
      <c r="T177" s="901"/>
      <c r="U177" s="949" t="s">
        <v>500</v>
      </c>
      <c r="V177" s="938" t="s">
        <v>22</v>
      </c>
      <c r="W177" s="940" t="s">
        <v>579</v>
      </c>
      <c r="X177" s="942" t="s">
        <v>21</v>
      </c>
      <c r="Y177" s="361"/>
      <c r="Z177" s="364"/>
      <c r="AA177"/>
      <c r="AB177"/>
      <c r="AC177"/>
      <c r="AD177"/>
      <c r="AE177"/>
      <c r="AF177"/>
      <c r="AG177"/>
    </row>
    <row r="178" spans="17:33" ht="12.75" customHeight="1">
      <c r="Q178" s="668"/>
      <c r="R178" s="901"/>
      <c r="S178" s="901"/>
      <c r="T178" s="901"/>
      <c r="U178" s="950"/>
      <c r="V178" s="939"/>
      <c r="W178" s="941"/>
      <c r="X178" s="943"/>
      <c r="Y178" s="361"/>
      <c r="Z178" s="364"/>
      <c r="AA178"/>
      <c r="AB178"/>
      <c r="AC178"/>
      <c r="AD178"/>
      <c r="AE178"/>
      <c r="AF178"/>
      <c r="AG178"/>
    </row>
    <row r="179" spans="17:33" ht="12.75" customHeight="1">
      <c r="Q179" s="668"/>
      <c r="R179" s="970" t="s">
        <v>459</v>
      </c>
      <c r="S179" s="971"/>
      <c r="T179" s="972"/>
      <c r="U179" s="544">
        <f>U164</f>
        <v>938.66666666666674</v>
      </c>
      <c r="V179" s="544">
        <f>V164+V165</f>
        <v>494000.00000000006</v>
      </c>
      <c r="W179" s="544">
        <f>W164+W165</f>
        <v>489043.47826086963</v>
      </c>
      <c r="X179" s="544">
        <f>X164+X165</f>
        <v>483142.8571428571</v>
      </c>
      <c r="Y179" s="361"/>
      <c r="Z179" s="364"/>
      <c r="AA179"/>
      <c r="AB179"/>
      <c r="AC179"/>
      <c r="AD179"/>
      <c r="AE179"/>
      <c r="AF179"/>
      <c r="AG179"/>
    </row>
    <row r="180" spans="17:33" ht="12.75" customHeight="1">
      <c r="Q180" s="668"/>
      <c r="R180" s="973" t="s">
        <v>307</v>
      </c>
      <c r="S180" s="973"/>
      <c r="T180" s="973"/>
      <c r="U180" s="544">
        <f>U169</f>
        <v>21589.333333333336</v>
      </c>
      <c r="V180" s="544">
        <f>V169+V170</f>
        <v>11362000.000000002</v>
      </c>
      <c r="W180" s="544">
        <f>W169+W170</f>
        <v>11248000.000000002</v>
      </c>
      <c r="X180" s="544">
        <f>X169+X170</f>
        <v>11112285.714285715</v>
      </c>
      <c r="Y180" s="361"/>
      <c r="Z180" s="364"/>
      <c r="AA180"/>
      <c r="AB180"/>
      <c r="AC180"/>
      <c r="AD180"/>
      <c r="AE180"/>
      <c r="AF180"/>
      <c r="AG180"/>
    </row>
    <row r="181" spans="17:33" ht="12.75" customHeight="1">
      <c r="Q181" s="668"/>
      <c r="R181" s="973" t="s">
        <v>308</v>
      </c>
      <c r="S181" s="973"/>
      <c r="T181" s="973"/>
      <c r="U181" s="544">
        <f>U174</f>
        <v>259072.00000000003</v>
      </c>
      <c r="V181" s="544">
        <f>V174+V175</f>
        <v>136344000.00000003</v>
      </c>
      <c r="W181" s="544">
        <f>W174+W175</f>
        <v>134976000.00000003</v>
      </c>
      <c r="X181" s="544">
        <f>X174+X175</f>
        <v>133347428.57142857</v>
      </c>
      <c r="Y181" s="361"/>
      <c r="Z181" s="364"/>
      <c r="AA181"/>
      <c r="AB181"/>
      <c r="AC181"/>
      <c r="AD181"/>
      <c r="AE181"/>
      <c r="AF181"/>
      <c r="AG181"/>
    </row>
    <row r="182" spans="17:33" ht="12.75" customHeight="1">
      <c r="Q182" s="668"/>
      <c r="R182" s="381"/>
      <c r="S182" s="381"/>
      <c r="T182" s="381"/>
      <c r="U182" s="381"/>
      <c r="V182" s="381"/>
      <c r="W182" s="381"/>
      <c r="X182" s="381"/>
      <c r="Y182" s="364"/>
      <c r="Z182" s="364"/>
      <c r="AA182"/>
      <c r="AB182"/>
      <c r="AC182"/>
      <c r="AD182"/>
      <c r="AE182"/>
      <c r="AF182"/>
      <c r="AG182"/>
    </row>
    <row r="183" spans="17:33" ht="12.75" customHeight="1">
      <c r="Q183" s="668"/>
      <c r="R183" s="901" t="s">
        <v>475</v>
      </c>
      <c r="S183" s="901"/>
      <c r="T183" s="901"/>
      <c r="U183" s="930" t="s">
        <v>500</v>
      </c>
      <c r="V183" s="928" t="s">
        <v>22</v>
      </c>
      <c r="W183" s="929" t="s">
        <v>579</v>
      </c>
      <c r="X183" s="927" t="s">
        <v>21</v>
      </c>
      <c r="Y183" s="361"/>
      <c r="Z183" s="364"/>
      <c r="AA183"/>
      <c r="AB183"/>
      <c r="AC183"/>
      <c r="AD183"/>
      <c r="AE183"/>
      <c r="AF183"/>
      <c r="AG183"/>
    </row>
    <row r="184" spans="17:33" ht="12.75" customHeight="1">
      <c r="Q184" s="668"/>
      <c r="R184" s="901"/>
      <c r="S184" s="901"/>
      <c r="T184" s="901"/>
      <c r="U184" s="930"/>
      <c r="V184" s="928"/>
      <c r="W184" s="929"/>
      <c r="X184" s="927"/>
      <c r="Y184" s="361"/>
      <c r="Z184" s="364"/>
      <c r="AA184"/>
      <c r="AB184"/>
      <c r="AC184"/>
      <c r="AD184"/>
      <c r="AE184"/>
      <c r="AF184"/>
      <c r="AG184"/>
    </row>
    <row r="185" spans="17:33" ht="12.75" customHeight="1">
      <c r="Q185" s="668"/>
      <c r="R185" s="973" t="s">
        <v>472</v>
      </c>
      <c r="S185" s="973"/>
      <c r="T185" s="973"/>
      <c r="U185" s="593">
        <f>$V$224*$U$148</f>
        <v>211.20000000000002</v>
      </c>
      <c r="V185" s="593">
        <f>($V$145*$V$146*$V$153*$V$152*$V$148)/$V$154</f>
        <v>17099.999999999996</v>
      </c>
      <c r="W185" s="593">
        <f>($W$145*$W$146*$W$153*$W$152*$W$148)/$W$154</f>
        <v>14869.565217391304</v>
      </c>
      <c r="X185" s="593">
        <f>($X$145*$X$146*$X$153*$X$152*$X$148)/$X$154</f>
        <v>12214.285714285714</v>
      </c>
      <c r="Y185" s="361"/>
      <c r="Z185" s="364"/>
      <c r="AA185"/>
      <c r="AB185"/>
      <c r="AC185"/>
      <c r="AD185"/>
      <c r="AE185"/>
      <c r="AF185"/>
      <c r="AG185"/>
    </row>
    <row r="186" spans="17:33" ht="12.75" customHeight="1">
      <c r="Q186" s="668"/>
      <c r="R186" s="973" t="s">
        <v>473</v>
      </c>
      <c r="S186" s="973"/>
      <c r="T186" s="973"/>
      <c r="U186" s="543"/>
      <c r="V186" s="593">
        <f>($V$145*$V$146*$V$159*$V$158*$V$148)/$V$160</f>
        <v>94050.000000000015</v>
      </c>
      <c r="W186" s="593">
        <f>($W$145*$W$146*$W$159*$W$158*$W$148)/$W$160</f>
        <v>95165.217391304366</v>
      </c>
      <c r="X186" s="593">
        <f>($X$145*$X$146*$X$159*$X$158*$X$148)/$X$160</f>
        <v>96492.857142857145</v>
      </c>
      <c r="Y186" s="361"/>
      <c r="Z186" s="364"/>
      <c r="AA186"/>
      <c r="AB186"/>
      <c r="AC186"/>
      <c r="AD186"/>
      <c r="AE186"/>
      <c r="AF186"/>
      <c r="AG186"/>
    </row>
    <row r="187" spans="17:33" ht="12.75" customHeight="1">
      <c r="Q187" s="668"/>
      <c r="R187" s="381"/>
      <c r="S187" s="381"/>
      <c r="T187" s="381"/>
      <c r="U187" s="381"/>
      <c r="V187" s="381"/>
      <c r="W187" s="381"/>
      <c r="X187" s="381"/>
      <c r="Y187" s="552"/>
      <c r="Z187" s="364"/>
      <c r="AA187"/>
      <c r="AB187"/>
      <c r="AC187"/>
      <c r="AD187"/>
      <c r="AE187"/>
      <c r="AF187"/>
      <c r="AG187"/>
    </row>
    <row r="188" spans="17:33" ht="12.75" customHeight="1">
      <c r="Q188" s="668"/>
      <c r="R188" s="901" t="s">
        <v>476</v>
      </c>
      <c r="S188" s="901"/>
      <c r="T188" s="901"/>
      <c r="U188" s="930" t="s">
        <v>500</v>
      </c>
      <c r="V188" s="928" t="s">
        <v>22</v>
      </c>
      <c r="W188" s="929" t="s">
        <v>579</v>
      </c>
      <c r="X188" s="927" t="s">
        <v>21</v>
      </c>
      <c r="Y188" s="361"/>
      <c r="Z188" s="364"/>
      <c r="AA188"/>
      <c r="AB188"/>
      <c r="AC188"/>
      <c r="AD188"/>
      <c r="AE188"/>
      <c r="AF188"/>
      <c r="AG188"/>
    </row>
    <row r="189" spans="17:33" ht="12.75" customHeight="1">
      <c r="Q189" s="668"/>
      <c r="R189" s="901"/>
      <c r="S189" s="901"/>
      <c r="T189" s="901"/>
      <c r="U189" s="930"/>
      <c r="V189" s="928"/>
      <c r="W189" s="929"/>
      <c r="X189" s="927"/>
      <c r="Y189" s="361"/>
      <c r="Z189" s="364"/>
      <c r="AA189"/>
      <c r="AB189"/>
      <c r="AC189"/>
      <c r="AD189"/>
      <c r="AE189"/>
      <c r="AF189"/>
      <c r="AG189"/>
    </row>
    <row r="190" spans="17:33" ht="12.75" customHeight="1">
      <c r="Q190" s="668"/>
      <c r="R190" s="973" t="s">
        <v>472</v>
      </c>
      <c r="S190" s="973"/>
      <c r="T190" s="973"/>
      <c r="U190" s="593">
        <f>U185*$V$11</f>
        <v>4857.6000000000004</v>
      </c>
      <c r="V190" s="593">
        <f>V185*$V$11</f>
        <v>393299.99999999994</v>
      </c>
      <c r="W190" s="593">
        <f>W185*$V$11</f>
        <v>342000</v>
      </c>
      <c r="X190" s="593">
        <f>X185*$V$11</f>
        <v>280928.57142857142</v>
      </c>
      <c r="Y190" s="361"/>
      <c r="Z190" s="364"/>
      <c r="AA190"/>
      <c r="AB190"/>
      <c r="AC190"/>
      <c r="AD190"/>
      <c r="AE190"/>
      <c r="AF190"/>
      <c r="AG190"/>
    </row>
    <row r="191" spans="17:33" ht="12.75" customHeight="1">
      <c r="Q191" s="668"/>
      <c r="R191" s="973" t="s">
        <v>473</v>
      </c>
      <c r="S191" s="973"/>
      <c r="T191" s="973"/>
      <c r="U191" s="543"/>
      <c r="V191" s="593">
        <f>V186*$V$11</f>
        <v>2163150.0000000005</v>
      </c>
      <c r="W191" s="593">
        <f>W186*$V$11</f>
        <v>2188800.0000000005</v>
      </c>
      <c r="X191" s="593">
        <f>X186*$V$11</f>
        <v>2219335.7142857146</v>
      </c>
      <c r="Y191" s="361"/>
      <c r="Z191" s="364"/>
      <c r="AA191"/>
      <c r="AB191"/>
      <c r="AC191"/>
      <c r="AD191"/>
      <c r="AE191"/>
      <c r="AF191"/>
      <c r="AG191"/>
    </row>
    <row r="192" spans="17:33" ht="12.75" customHeight="1">
      <c r="Q192" s="668"/>
      <c r="R192" s="367"/>
      <c r="S192" s="367"/>
      <c r="T192" s="367"/>
      <c r="U192" s="367"/>
      <c r="V192" s="367"/>
      <c r="W192" s="367"/>
      <c r="X192" s="367"/>
      <c r="Y192" s="364"/>
      <c r="Z192" s="364"/>
      <c r="AA192"/>
      <c r="AB192"/>
      <c r="AC192"/>
      <c r="AD192"/>
      <c r="AE192"/>
      <c r="AF192"/>
      <c r="AG192"/>
    </row>
    <row r="193" spans="17:33" ht="12.75" customHeight="1">
      <c r="Q193" s="668"/>
      <c r="R193" s="901" t="s">
        <v>477</v>
      </c>
      <c r="S193" s="901"/>
      <c r="T193" s="901"/>
      <c r="U193" s="930" t="s">
        <v>500</v>
      </c>
      <c r="V193" s="928" t="s">
        <v>22</v>
      </c>
      <c r="W193" s="929" t="s">
        <v>579</v>
      </c>
      <c r="X193" s="927" t="s">
        <v>21</v>
      </c>
      <c r="Y193" s="361"/>
      <c r="Z193" s="364"/>
      <c r="AA193"/>
      <c r="AB193"/>
      <c r="AC193"/>
      <c r="AD193"/>
      <c r="AE193"/>
      <c r="AF193"/>
      <c r="AG193"/>
    </row>
    <row r="194" spans="17:33" ht="12.75" customHeight="1">
      <c r="Q194" s="668"/>
      <c r="R194" s="901"/>
      <c r="S194" s="901"/>
      <c r="T194" s="901"/>
      <c r="U194" s="930"/>
      <c r="V194" s="928"/>
      <c r="W194" s="929"/>
      <c r="X194" s="927"/>
      <c r="Y194" s="361"/>
      <c r="Z194" s="364"/>
      <c r="AA194"/>
      <c r="AB194"/>
      <c r="AC194"/>
      <c r="AD194"/>
      <c r="AE194"/>
      <c r="AF194"/>
      <c r="AG194"/>
    </row>
    <row r="195" spans="17:33" ht="12.75" customHeight="1">
      <c r="Q195" s="668"/>
      <c r="R195" s="973" t="s">
        <v>472</v>
      </c>
      <c r="S195" s="973"/>
      <c r="T195" s="973"/>
      <c r="U195" s="593">
        <f>U190*12</f>
        <v>58291.200000000004</v>
      </c>
      <c r="V195" s="593">
        <f>V190*12</f>
        <v>4719599.9999999991</v>
      </c>
      <c r="W195" s="593">
        <f>W190*12</f>
        <v>4104000</v>
      </c>
      <c r="X195" s="593">
        <f>X190*12</f>
        <v>3371142.8571428573</v>
      </c>
      <c r="Y195" s="361"/>
      <c r="Z195" s="364"/>
      <c r="AA195"/>
      <c r="AB195"/>
      <c r="AC195"/>
      <c r="AD195"/>
      <c r="AE195"/>
      <c r="AF195"/>
      <c r="AG195"/>
    </row>
    <row r="196" spans="17:33" ht="12.75" customHeight="1">
      <c r="Q196" s="668"/>
      <c r="R196" s="973" t="s">
        <v>473</v>
      </c>
      <c r="S196" s="973"/>
      <c r="T196" s="973"/>
      <c r="U196" s="543"/>
      <c r="V196" s="593">
        <f>V191*12</f>
        <v>25957800.000000007</v>
      </c>
      <c r="W196" s="593">
        <f>W191*12</f>
        <v>26265600.000000007</v>
      </c>
      <c r="X196" s="593">
        <f>X191*12</f>
        <v>26632028.571428575</v>
      </c>
      <c r="Y196" s="361"/>
      <c r="Z196" s="364"/>
      <c r="AA196"/>
      <c r="AB196"/>
      <c r="AC196"/>
      <c r="AD196"/>
      <c r="AE196"/>
      <c r="AF196"/>
      <c r="AG196"/>
    </row>
    <row r="197" spans="17:33" ht="12.75" customHeight="1">
      <c r="Q197" s="668"/>
      <c r="R197" s="367"/>
      <c r="S197" s="367"/>
      <c r="T197" s="367"/>
      <c r="U197" s="367"/>
      <c r="V197" s="367"/>
      <c r="W197" s="367"/>
      <c r="X197" s="367"/>
      <c r="Y197" s="364"/>
      <c r="Z197" s="364"/>
      <c r="AA197"/>
      <c r="AB197"/>
      <c r="AC197"/>
      <c r="AD197"/>
      <c r="AE197"/>
      <c r="AF197"/>
      <c r="AG197"/>
    </row>
    <row r="198" spans="17:33" ht="12.75" customHeight="1">
      <c r="Q198" s="668"/>
      <c r="R198" s="901" t="s">
        <v>116</v>
      </c>
      <c r="S198" s="901"/>
      <c r="T198" s="901"/>
      <c r="U198" s="949" t="s">
        <v>500</v>
      </c>
      <c r="V198" s="938" t="s">
        <v>22</v>
      </c>
      <c r="W198" s="940" t="s">
        <v>579</v>
      </c>
      <c r="X198" s="942" t="s">
        <v>21</v>
      </c>
      <c r="Y198" s="361"/>
      <c r="Z198" s="364"/>
      <c r="AA198"/>
      <c r="AB198"/>
      <c r="AC198"/>
      <c r="AD198"/>
      <c r="AE198"/>
      <c r="AF198"/>
      <c r="AG198"/>
    </row>
    <row r="199" spans="17:33" ht="12.75" customHeight="1">
      <c r="Q199" s="668"/>
      <c r="R199" s="901"/>
      <c r="S199" s="901"/>
      <c r="T199" s="901"/>
      <c r="U199" s="950"/>
      <c r="V199" s="939"/>
      <c r="W199" s="941"/>
      <c r="X199" s="943"/>
      <c r="Y199" s="361"/>
      <c r="Z199" s="364"/>
      <c r="AA199"/>
      <c r="AB199"/>
      <c r="AC199"/>
      <c r="AD199"/>
      <c r="AE199"/>
      <c r="AF199"/>
      <c r="AG199"/>
    </row>
    <row r="200" spans="17:33" ht="12.75" customHeight="1">
      <c r="Q200" s="668"/>
      <c r="R200" s="970" t="s">
        <v>459</v>
      </c>
      <c r="S200" s="971"/>
      <c r="T200" s="972"/>
      <c r="U200" s="593">
        <f>U185</f>
        <v>211.20000000000002</v>
      </c>
      <c r="V200" s="593">
        <f>V185+V186</f>
        <v>111150.00000000001</v>
      </c>
      <c r="W200" s="593">
        <f>W185+W186</f>
        <v>110034.78260869568</v>
      </c>
      <c r="X200" s="593">
        <f>X185+X186</f>
        <v>108707.14285714286</v>
      </c>
      <c r="Y200" s="361"/>
      <c r="Z200" s="364"/>
      <c r="AA200"/>
      <c r="AB200"/>
      <c r="AC200"/>
      <c r="AD200"/>
      <c r="AE200"/>
      <c r="AF200"/>
      <c r="AG200"/>
    </row>
    <row r="201" spans="17:33" ht="12.75" customHeight="1">
      <c r="Q201" s="668"/>
      <c r="R201" s="973" t="s">
        <v>307</v>
      </c>
      <c r="S201" s="973"/>
      <c r="T201" s="973"/>
      <c r="U201" s="593">
        <f>U190</f>
        <v>4857.6000000000004</v>
      </c>
      <c r="V201" s="593">
        <f>V190+V191</f>
        <v>2556450.0000000005</v>
      </c>
      <c r="W201" s="593">
        <f>W190+W191</f>
        <v>2530800.0000000005</v>
      </c>
      <c r="X201" s="593">
        <f>X190+X191</f>
        <v>2500264.2857142859</v>
      </c>
      <c r="Y201" s="361"/>
      <c r="Z201" s="364"/>
      <c r="AA201"/>
      <c r="AB201"/>
      <c r="AC201"/>
      <c r="AD201"/>
      <c r="AE201"/>
      <c r="AF201"/>
      <c r="AG201"/>
    </row>
    <row r="202" spans="17:33" ht="12.75" customHeight="1">
      <c r="Q202" s="668"/>
      <c r="R202" s="973" t="s">
        <v>308</v>
      </c>
      <c r="S202" s="973"/>
      <c r="T202" s="973"/>
      <c r="U202" s="593">
        <f>U195</f>
        <v>58291.200000000004</v>
      </c>
      <c r="V202" s="593">
        <f>V195+V196</f>
        <v>30677400.000000007</v>
      </c>
      <c r="W202" s="593">
        <f>W195+W196</f>
        <v>30369600.000000007</v>
      </c>
      <c r="X202" s="593">
        <f>X195+X196</f>
        <v>30003171.428571433</v>
      </c>
      <c r="Y202" s="361"/>
      <c r="Z202" s="364"/>
      <c r="AA202"/>
      <c r="AB202"/>
      <c r="AC202"/>
      <c r="AD202"/>
      <c r="AE202"/>
      <c r="AF202"/>
      <c r="AG202"/>
    </row>
    <row r="203" spans="17:33" ht="12.75" customHeight="1">
      <c r="Q203" s="668"/>
      <c r="R203" s="575"/>
      <c r="S203" s="575"/>
      <c r="T203" s="575"/>
      <c r="U203" s="382"/>
      <c r="V203" s="382"/>
      <c r="W203" s="382"/>
      <c r="X203" s="382"/>
      <c r="Y203" s="364"/>
      <c r="Z203" s="364"/>
      <c r="AA203"/>
      <c r="AB203"/>
      <c r="AC203"/>
      <c r="AD203"/>
      <c r="AE203"/>
      <c r="AF203"/>
      <c r="AG203"/>
    </row>
    <row r="204" spans="17:33" ht="12.75" customHeight="1">
      <c r="Q204" s="668"/>
      <c r="R204" s="974" t="s">
        <v>775</v>
      </c>
      <c r="S204" s="974"/>
      <c r="T204" s="974"/>
      <c r="U204" s="974"/>
      <c r="V204" s="974"/>
      <c r="W204" s="974"/>
      <c r="X204" s="974"/>
      <c r="Y204" s="974"/>
      <c r="Z204" s="364"/>
      <c r="AA204"/>
      <c r="AB204"/>
      <c r="AC204"/>
      <c r="AD204"/>
      <c r="AE204"/>
      <c r="AF204"/>
      <c r="AG204"/>
    </row>
    <row r="205" spans="17:33" ht="12.75" customHeight="1">
      <c r="Q205" s="668"/>
      <c r="R205" s="974"/>
      <c r="S205" s="974"/>
      <c r="T205" s="974"/>
      <c r="U205" s="974"/>
      <c r="V205" s="974"/>
      <c r="W205" s="974"/>
      <c r="X205" s="974"/>
      <c r="Y205" s="974"/>
      <c r="Z205" s="576"/>
      <c r="AA205"/>
      <c r="AB205"/>
      <c r="AC205"/>
      <c r="AD205"/>
      <c r="AE205"/>
      <c r="AF205"/>
      <c r="AG205"/>
    </row>
    <row r="206" spans="17:33" ht="12.75" customHeight="1">
      <c r="Q206" s="668"/>
      <c r="R206" s="974"/>
      <c r="S206" s="974"/>
      <c r="T206" s="974"/>
      <c r="U206" s="974"/>
      <c r="V206" s="974"/>
      <c r="W206" s="974"/>
      <c r="X206" s="974"/>
      <c r="Y206" s="974"/>
      <c r="Z206" s="576"/>
      <c r="AA206"/>
      <c r="AB206"/>
      <c r="AC206"/>
      <c r="AD206"/>
      <c r="AE206"/>
      <c r="AF206"/>
      <c r="AG206"/>
    </row>
    <row r="207" spans="17:33" ht="12.75" customHeight="1">
      <c r="Q207" s="668"/>
      <c r="R207" s="974"/>
      <c r="S207" s="974"/>
      <c r="T207" s="974"/>
      <c r="U207" s="974"/>
      <c r="V207" s="974"/>
      <c r="W207" s="974"/>
      <c r="X207" s="974"/>
      <c r="Y207" s="974"/>
      <c r="Z207" s="576"/>
      <c r="AA207"/>
      <c r="AB207"/>
      <c r="AC207"/>
      <c r="AD207"/>
      <c r="AE207"/>
      <c r="AF207"/>
      <c r="AG207"/>
    </row>
    <row r="208" spans="17:33" ht="12.75" customHeight="1">
      <c r="Q208" s="668"/>
      <c r="R208" s="974"/>
      <c r="S208" s="974"/>
      <c r="T208" s="974"/>
      <c r="U208" s="974"/>
      <c r="V208" s="974"/>
      <c r="W208" s="974"/>
      <c r="X208" s="974"/>
      <c r="Y208" s="974"/>
      <c r="Z208" s="576"/>
      <c r="AA208"/>
      <c r="AB208"/>
      <c r="AC208"/>
      <c r="AD208"/>
      <c r="AE208"/>
      <c r="AF208"/>
      <c r="AG208"/>
    </row>
    <row r="209" spans="17:33" ht="12.75" customHeight="1">
      <c r="Q209" s="668"/>
      <c r="R209" s="364"/>
      <c r="S209" s="375"/>
      <c r="T209" s="375"/>
      <c r="U209" s="577"/>
      <c r="V209" s="577"/>
      <c r="W209" s="577"/>
      <c r="X209" s="577"/>
      <c r="Y209" s="551"/>
      <c r="Z209" s="363"/>
      <c r="AA209"/>
      <c r="AB209"/>
      <c r="AC209"/>
      <c r="AD209"/>
      <c r="AE209"/>
      <c r="AF209"/>
      <c r="AG209"/>
    </row>
    <row r="210" spans="17:33" ht="12.75" customHeight="1">
      <c r="Q210" s="668"/>
      <c r="R210" s="975" t="s">
        <v>667</v>
      </c>
      <c r="S210" s="976"/>
      <c r="T210" s="976"/>
      <c r="U210" s="976"/>
      <c r="V210" s="976"/>
      <c r="W210" s="976"/>
      <c r="X210" s="979">
        <f>10*V25</f>
        <v>76800</v>
      </c>
      <c r="Y210" s="935" t="s">
        <v>668</v>
      </c>
      <c r="Z210" s="364"/>
      <c r="AA210"/>
      <c r="AB210"/>
      <c r="AC210"/>
      <c r="AD210"/>
      <c r="AE210"/>
      <c r="AF210"/>
      <c r="AG210"/>
    </row>
    <row r="211" spans="17:33" ht="12.75" customHeight="1">
      <c r="Q211" s="668"/>
      <c r="R211" s="977"/>
      <c r="S211" s="978"/>
      <c r="T211" s="978"/>
      <c r="U211" s="978"/>
      <c r="V211" s="978"/>
      <c r="W211" s="978"/>
      <c r="X211" s="979"/>
      <c r="Y211" s="935"/>
      <c r="Z211" s="364"/>
      <c r="AA211"/>
      <c r="AB211"/>
      <c r="AC211"/>
      <c r="AD211"/>
      <c r="AE211"/>
      <c r="AF211"/>
      <c r="AG211"/>
    </row>
    <row r="212" spans="17:33" ht="12.75" customHeight="1">
      <c r="Q212" s="668"/>
      <c r="R212" s="578"/>
      <c r="S212" s="578"/>
      <c r="T212" s="578"/>
      <c r="U212" s="578"/>
      <c r="V212" s="578"/>
      <c r="W212" s="578"/>
      <c r="X212" s="578"/>
      <c r="Y212" s="579"/>
      <c r="Z212" s="551"/>
      <c r="AA212"/>
      <c r="AB212"/>
      <c r="AC212"/>
      <c r="AD212"/>
      <c r="AE212"/>
      <c r="AF212"/>
      <c r="AG212"/>
    </row>
    <row r="213" spans="17:33" ht="12.75" customHeight="1">
      <c r="Q213" s="668"/>
      <c r="R213" s="937" t="s">
        <v>678</v>
      </c>
      <c r="S213" s="937"/>
      <c r="T213" s="937"/>
      <c r="U213" s="937"/>
      <c r="V213" s="949" t="s">
        <v>500</v>
      </c>
      <c r="W213" s="938" t="s">
        <v>22</v>
      </c>
      <c r="X213" s="940" t="s">
        <v>579</v>
      </c>
      <c r="Y213" s="942" t="s">
        <v>21</v>
      </c>
      <c r="Z213" s="361"/>
      <c r="AA213"/>
      <c r="AB213"/>
      <c r="AC213"/>
      <c r="AD213"/>
      <c r="AE213"/>
      <c r="AF213"/>
      <c r="AG213"/>
    </row>
    <row r="214" spans="17:33" ht="12.75" customHeight="1">
      <c r="Q214" s="668"/>
      <c r="R214" s="937"/>
      <c r="S214" s="937"/>
      <c r="T214" s="937"/>
      <c r="U214" s="937"/>
      <c r="V214" s="950"/>
      <c r="W214" s="939"/>
      <c r="X214" s="941"/>
      <c r="Y214" s="943"/>
      <c r="Z214" s="361"/>
      <c r="AA214"/>
      <c r="AB214"/>
      <c r="AC214"/>
      <c r="AD214"/>
      <c r="AE214"/>
      <c r="AF214"/>
      <c r="AG214"/>
    </row>
    <row r="215" spans="17:33" ht="12.75" customHeight="1">
      <c r="Q215" s="668"/>
      <c r="R215" s="968" t="s">
        <v>533</v>
      </c>
      <c r="S215" s="968"/>
      <c r="T215" s="968"/>
      <c r="U215" s="968"/>
      <c r="V215" s="580">
        <v>0.107</v>
      </c>
      <c r="W215" s="581">
        <f>VLOOKUP($V$5,'Lookup Energy kWhm'!$B$8:$E$208,3)</f>
        <v>0.13</v>
      </c>
      <c r="X215" s="581">
        <f>VLOOKUP($V$5,'Lookup Energy kWhm'!$B$8:$E$208,4)</f>
        <v>0.14799999999999999</v>
      </c>
      <c r="Y215" s="581">
        <f>VLOOKUP($V$5,'Lookup Energy kWhm'!$B$8:$E$208,2)</f>
        <v>0.1</v>
      </c>
      <c r="Z215" s="361"/>
      <c r="AA215"/>
      <c r="AB215"/>
      <c r="AC215"/>
      <c r="AD215"/>
      <c r="AE215"/>
      <c r="AF215"/>
      <c r="AG215"/>
    </row>
    <row r="216" spans="17:33" ht="12.75" customHeight="1">
      <c r="Q216" s="668"/>
      <c r="R216" s="969" t="s">
        <v>31</v>
      </c>
      <c r="S216" s="969"/>
      <c r="T216" s="969"/>
      <c r="U216" s="969"/>
      <c r="V216" s="556">
        <f t="shared" ref="V216:W219" si="2">X216</f>
        <v>1.2</v>
      </c>
      <c r="W216" s="556">
        <f t="shared" si="2"/>
        <v>1.2</v>
      </c>
      <c r="X216" s="556">
        <f>W216</f>
        <v>1.2</v>
      </c>
      <c r="Y216" s="556">
        <f>V20</f>
        <v>1.2</v>
      </c>
      <c r="Z216" s="361"/>
      <c r="AA216"/>
      <c r="AB216"/>
      <c r="AC216"/>
      <c r="AD216"/>
      <c r="AE216"/>
      <c r="AF216"/>
      <c r="AG216"/>
    </row>
    <row r="217" spans="17:33" ht="12.75" customHeight="1">
      <c r="Q217" s="668"/>
      <c r="R217" s="969" t="s">
        <v>314</v>
      </c>
      <c r="S217" s="969"/>
      <c r="T217" s="969"/>
      <c r="U217" s="969"/>
      <c r="V217" s="556">
        <f t="shared" si="2"/>
        <v>160</v>
      </c>
      <c r="W217" s="556">
        <f t="shared" si="2"/>
        <v>160</v>
      </c>
      <c r="X217" s="556">
        <f>W217</f>
        <v>160</v>
      </c>
      <c r="Y217" s="556">
        <f>V19</f>
        <v>160</v>
      </c>
      <c r="Z217" s="361"/>
      <c r="AA217"/>
      <c r="AB217"/>
      <c r="AC217"/>
      <c r="AD217"/>
      <c r="AE217"/>
      <c r="AF217"/>
      <c r="AG217"/>
    </row>
    <row r="218" spans="17:33" ht="12.75" customHeight="1">
      <c r="Q218" s="668"/>
      <c r="R218" s="969" t="s">
        <v>20</v>
      </c>
      <c r="S218" s="969"/>
      <c r="T218" s="969"/>
      <c r="U218" s="969"/>
      <c r="V218" s="556">
        <f t="shared" si="2"/>
        <v>40</v>
      </c>
      <c r="W218" s="556">
        <f t="shared" si="2"/>
        <v>40</v>
      </c>
      <c r="X218" s="556">
        <f>W218</f>
        <v>40</v>
      </c>
      <c r="Y218" s="556">
        <f>V22</f>
        <v>40</v>
      </c>
      <c r="Z218" s="361"/>
      <c r="AA218"/>
      <c r="AB218"/>
      <c r="AC218"/>
      <c r="AD218"/>
      <c r="AE218"/>
      <c r="AF218"/>
      <c r="AG218"/>
    </row>
    <row r="219" spans="17:33" ht="12.75" customHeight="1">
      <c r="Q219" s="668"/>
      <c r="R219" s="969" t="s">
        <v>310</v>
      </c>
      <c r="S219" s="969"/>
      <c r="T219" s="969"/>
      <c r="U219" s="969"/>
      <c r="V219" s="556">
        <f t="shared" si="2"/>
        <v>160</v>
      </c>
      <c r="W219" s="556">
        <f t="shared" si="2"/>
        <v>160</v>
      </c>
      <c r="X219" s="556">
        <f>W219</f>
        <v>160</v>
      </c>
      <c r="Y219" s="556">
        <f>V23</f>
        <v>160</v>
      </c>
      <c r="Z219" s="361"/>
      <c r="AA219"/>
      <c r="AB219"/>
      <c r="AC219"/>
      <c r="AD219"/>
      <c r="AE219"/>
      <c r="AF219"/>
      <c r="AG219"/>
    </row>
    <row r="220" spans="17:33" ht="12.75" customHeight="1">
      <c r="Q220" s="668"/>
      <c r="R220" s="968" t="s">
        <v>543</v>
      </c>
      <c r="S220" s="968"/>
      <c r="T220" s="968"/>
      <c r="U220" s="968"/>
      <c r="V220" s="582">
        <f>V215*V216*V217*V218</f>
        <v>821.75999999999988</v>
      </c>
      <c r="W220" s="582">
        <f>W215*W216*W217*W218</f>
        <v>998.40000000000009</v>
      </c>
      <c r="X220" s="582">
        <f>X215*X216*X217*X218</f>
        <v>1136.6399999999999</v>
      </c>
      <c r="Y220" s="582">
        <f>Y215*Y216*Y217*Y218</f>
        <v>768</v>
      </c>
      <c r="Z220" s="361"/>
      <c r="AA220"/>
      <c r="AB220"/>
      <c r="AC220"/>
      <c r="AD220"/>
      <c r="AE220"/>
      <c r="AF220"/>
      <c r="AG220"/>
    </row>
    <row r="221" spans="17:33" ht="12.75" customHeight="1">
      <c r="Q221" s="668"/>
      <c r="R221" s="968" t="s">
        <v>542</v>
      </c>
      <c r="S221" s="968"/>
      <c r="T221" s="968"/>
      <c r="U221" s="968"/>
      <c r="V221" s="583">
        <f>V220/V219</f>
        <v>5.1359999999999992</v>
      </c>
      <c r="W221" s="583">
        <f>W220/W219</f>
        <v>6.24</v>
      </c>
      <c r="X221" s="583">
        <f>X220/X219</f>
        <v>7.1039999999999992</v>
      </c>
      <c r="Y221" s="583">
        <f>Y220/Y219</f>
        <v>4.8</v>
      </c>
      <c r="Z221" s="361"/>
      <c r="AA221"/>
      <c r="AB221"/>
      <c r="AC221"/>
      <c r="AD221"/>
      <c r="AE221"/>
      <c r="AF221"/>
      <c r="AG221"/>
    </row>
    <row r="222" spans="17:33" ht="12.75" customHeight="1">
      <c r="Q222" s="668"/>
      <c r="R222" s="968" t="s">
        <v>538</v>
      </c>
      <c r="S222" s="968"/>
      <c r="T222" s="968"/>
      <c r="U222" s="968"/>
      <c r="V222" s="537">
        <f>U62</f>
        <v>2.6666666666666665</v>
      </c>
      <c r="W222" s="537">
        <f>V62</f>
        <v>1.9999999999999996</v>
      </c>
      <c r="X222" s="537">
        <f>W62</f>
        <v>1.7391304347826084</v>
      </c>
      <c r="Y222" s="537">
        <f>X62</f>
        <v>1.4285714285714284</v>
      </c>
      <c r="Z222" s="361"/>
      <c r="AA222"/>
      <c r="AB222"/>
      <c r="AC222"/>
      <c r="AD222"/>
      <c r="AE222"/>
      <c r="AF222"/>
      <c r="AG222"/>
    </row>
    <row r="223" spans="17:33" ht="12.75" customHeight="1">
      <c r="Q223" s="668"/>
      <c r="R223" s="968" t="s">
        <v>546</v>
      </c>
      <c r="S223" s="968"/>
      <c r="T223" s="968"/>
      <c r="U223" s="968"/>
      <c r="V223" s="584">
        <f>2.2*V222</f>
        <v>5.8666666666666671</v>
      </c>
      <c r="W223" s="584">
        <f>W222/W215</f>
        <v>15.384615384615381</v>
      </c>
      <c r="X223" s="584">
        <f>X222/X215</f>
        <v>11.750881316098706</v>
      </c>
      <c r="Y223" s="584">
        <f>Y222/Y215</f>
        <v>14.285714285714283</v>
      </c>
      <c r="Z223" s="361"/>
      <c r="AA223"/>
      <c r="AB223"/>
      <c r="AC223"/>
      <c r="AD223"/>
      <c r="AE223"/>
      <c r="AF223"/>
      <c r="AG223"/>
    </row>
    <row r="224" spans="17:33" ht="12.75" customHeight="1">
      <c r="Q224" s="668"/>
      <c r="R224" s="968" t="s">
        <v>544</v>
      </c>
      <c r="S224" s="968"/>
      <c r="T224" s="968"/>
      <c r="U224" s="968"/>
      <c r="V224" s="582">
        <f>V219*V223</f>
        <v>938.66666666666674</v>
      </c>
      <c r="W224" s="582">
        <f>W219*W223</f>
        <v>2461.538461538461</v>
      </c>
      <c r="X224" s="582">
        <f>X219*X223</f>
        <v>1880.141010575793</v>
      </c>
      <c r="Y224" s="674">
        <f>Y219*Y223</f>
        <v>2285.7142857142853</v>
      </c>
      <c r="Z224" s="361"/>
      <c r="AA224"/>
      <c r="AB224"/>
      <c r="AC224"/>
      <c r="AD224"/>
      <c r="AE224"/>
      <c r="AF224"/>
      <c r="AG224"/>
    </row>
    <row r="225" spans="17:33" ht="12.75" customHeight="1">
      <c r="Q225" s="668"/>
      <c r="R225" s="969" t="s">
        <v>535</v>
      </c>
      <c r="S225" s="969"/>
      <c r="T225" s="969"/>
      <c r="U225" s="969"/>
      <c r="V225" s="556">
        <f>V217/V222</f>
        <v>60</v>
      </c>
      <c r="W225" s="556">
        <f>W217/W222</f>
        <v>80.000000000000014</v>
      </c>
      <c r="X225" s="556">
        <f>X217/X222</f>
        <v>92.000000000000014</v>
      </c>
      <c r="Y225" s="556">
        <f>Y217/Y222</f>
        <v>112.00000000000001</v>
      </c>
      <c r="Z225" s="361"/>
      <c r="AA225"/>
      <c r="AB225"/>
      <c r="AC225"/>
      <c r="AD225"/>
      <c r="AE225"/>
      <c r="AF225"/>
      <c r="AG225"/>
    </row>
    <row r="226" spans="17:33" ht="12.75" customHeight="1">
      <c r="Q226" s="668"/>
      <c r="R226" s="969" t="s">
        <v>536</v>
      </c>
      <c r="S226" s="969"/>
      <c r="T226" s="969"/>
      <c r="U226" s="969"/>
      <c r="V226" s="675">
        <f>V216*V225</f>
        <v>72</v>
      </c>
      <c r="W226" s="675">
        <f>W216*W225</f>
        <v>96.000000000000014</v>
      </c>
      <c r="X226" s="675">
        <f>X216*X225</f>
        <v>110.40000000000002</v>
      </c>
      <c r="Y226" s="675">
        <f>Y216*Y225</f>
        <v>134.4</v>
      </c>
      <c r="Z226" s="361"/>
      <c r="AA226"/>
      <c r="AB226"/>
      <c r="AC226"/>
      <c r="AD226"/>
      <c r="AE226"/>
      <c r="AF226"/>
      <c r="AG226"/>
    </row>
    <row r="227" spans="17:33" ht="12.75" customHeight="1">
      <c r="Q227" s="668"/>
      <c r="R227" s="968" t="s">
        <v>534</v>
      </c>
      <c r="S227" s="968"/>
      <c r="T227" s="968"/>
      <c r="U227" s="968"/>
      <c r="V227" s="583">
        <f>U56</f>
        <v>4</v>
      </c>
      <c r="W227" s="583">
        <f>V56</f>
        <v>2.9999999999999996</v>
      </c>
      <c r="X227" s="583">
        <f>W56</f>
        <v>2.6086956521739126</v>
      </c>
      <c r="Y227" s="583">
        <f>X56</f>
        <v>2.1428571428571428</v>
      </c>
      <c r="Z227" s="361"/>
      <c r="AA227"/>
      <c r="AB227"/>
      <c r="AC227"/>
      <c r="AD227"/>
      <c r="AE227"/>
      <c r="AF227"/>
      <c r="AG227"/>
    </row>
    <row r="228" spans="17:33" ht="12.75" customHeight="1">
      <c r="Q228" s="668"/>
      <c r="R228" s="968" t="s">
        <v>537</v>
      </c>
      <c r="S228" s="968"/>
      <c r="T228" s="968"/>
      <c r="U228" s="968"/>
      <c r="V228" s="584">
        <f>V225*V227</f>
        <v>240</v>
      </c>
      <c r="W228" s="584">
        <f>W225*W227</f>
        <v>240</v>
      </c>
      <c r="X228" s="584">
        <f>X225*X227</f>
        <v>240</v>
      </c>
      <c r="Y228" s="584">
        <f>Y225*Y227</f>
        <v>240.00000000000003</v>
      </c>
      <c r="Z228" s="361"/>
      <c r="AA228"/>
      <c r="AB228"/>
      <c r="AC228"/>
      <c r="AD228"/>
      <c r="AE228"/>
      <c r="AF228"/>
      <c r="AG228"/>
    </row>
    <row r="229" spans="17:33" ht="12.75" customHeight="1">
      <c r="Q229" s="668"/>
      <c r="R229" s="968" t="s">
        <v>545</v>
      </c>
      <c r="S229" s="968"/>
      <c r="T229" s="968"/>
      <c r="U229" s="968"/>
      <c r="V229" s="585">
        <f>V221/V223</f>
        <v>0.87545454545454526</v>
      </c>
      <c r="W229" s="585">
        <f>W221/W223</f>
        <v>0.40560000000000007</v>
      </c>
      <c r="X229" s="585">
        <f>X221/X223</f>
        <v>0.60455040000000004</v>
      </c>
      <c r="Y229" s="585">
        <f>Y221/Y223</f>
        <v>0.33600000000000008</v>
      </c>
      <c r="Z229" s="361"/>
      <c r="AA229"/>
      <c r="AB229"/>
      <c r="AC229"/>
      <c r="AD229"/>
      <c r="AE229"/>
      <c r="AF229"/>
      <c r="AG229"/>
    </row>
    <row r="230" spans="17:33" ht="12.75" customHeight="1">
      <c r="Q230" s="668"/>
      <c r="R230" s="540" t="s">
        <v>547</v>
      </c>
      <c r="S230" s="540"/>
      <c r="T230" s="540"/>
      <c r="U230" s="540"/>
      <c r="V230" s="585"/>
      <c r="W230" s="586">
        <f>10*W217*W216*W218</f>
        <v>76800</v>
      </c>
      <c r="X230" s="586">
        <f>10*X217*X216*X218</f>
        <v>76800</v>
      </c>
      <c r="Y230" s="586">
        <f>10*Y217*Y216*Y218</f>
        <v>76800</v>
      </c>
      <c r="Z230" s="361"/>
      <c r="AA230"/>
      <c r="AB230"/>
      <c r="AC230"/>
      <c r="AD230"/>
      <c r="AE230"/>
      <c r="AF230"/>
      <c r="AG230"/>
    </row>
    <row r="231" spans="17:33" ht="12.75" customHeight="1">
      <c r="Q231" s="668"/>
      <c r="R231" s="968" t="s">
        <v>548</v>
      </c>
      <c r="S231" s="968"/>
      <c r="T231" s="968"/>
      <c r="U231" s="968"/>
      <c r="V231" s="585">
        <f>V229</f>
        <v>0.87545454545454526</v>
      </c>
      <c r="W231" s="585">
        <f>W220/W230</f>
        <v>1.3000000000000001E-2</v>
      </c>
      <c r="X231" s="585">
        <f>X220/X230</f>
        <v>1.4799999999999999E-2</v>
      </c>
      <c r="Y231" s="585">
        <f>Y220/Y230</f>
        <v>0.01</v>
      </c>
      <c r="Z231" s="361"/>
      <c r="AA231"/>
      <c r="AB231"/>
      <c r="AC231"/>
      <c r="AD231"/>
      <c r="AE231"/>
      <c r="AF231"/>
      <c r="AG231"/>
    </row>
    <row r="232" spans="17:33" ht="12.75" customHeight="1">
      <c r="Q232" s="668"/>
      <c r="R232" s="587"/>
      <c r="S232" s="587"/>
      <c r="T232" s="587"/>
      <c r="U232" s="587"/>
      <c r="V232" s="588"/>
      <c r="W232" s="588"/>
      <c r="X232" s="588"/>
      <c r="Y232" s="588"/>
      <c r="Z232" s="589"/>
      <c r="AA232"/>
      <c r="AB232"/>
      <c r="AC232"/>
      <c r="AD232"/>
      <c r="AE232"/>
      <c r="AF232"/>
      <c r="AG232"/>
    </row>
    <row r="233" spans="17:33" ht="12.75" customHeight="1">
      <c r="Q233" s="668"/>
      <c r="R233" s="587"/>
      <c r="S233" s="587"/>
      <c r="T233" s="587"/>
      <c r="U233" s="587"/>
      <c r="V233" s="676"/>
      <c r="W233" s="676"/>
      <c r="X233" s="676"/>
      <c r="Y233" s="588"/>
      <c r="Z233" s="364"/>
      <c r="AA233"/>
      <c r="AB233"/>
      <c r="AC233"/>
      <c r="AD233"/>
      <c r="AE233"/>
      <c r="AF233"/>
      <c r="AG233"/>
    </row>
    <row r="234" spans="17:33" ht="12.75" customHeight="1">
      <c r="Q234" s="668" t="s">
        <v>240</v>
      </c>
      <c r="R234" s="364" t="s">
        <v>241</v>
      </c>
      <c r="S234" s="364"/>
      <c r="T234" s="364"/>
      <c r="U234" s="364"/>
      <c r="V234" s="364"/>
      <c r="W234" s="364"/>
      <c r="X234" s="364"/>
      <c r="Y234" s="364"/>
      <c r="Z234" s="364"/>
      <c r="AA234"/>
      <c r="AB234"/>
      <c r="AC234"/>
      <c r="AD234"/>
      <c r="AE234"/>
      <c r="AF234"/>
      <c r="AG234"/>
    </row>
    <row r="235" spans="17:33" ht="12.75" customHeight="1">
      <c r="Q235" s="364"/>
      <c r="R235" s="962" t="s">
        <v>301</v>
      </c>
      <c r="S235" s="963"/>
      <c r="T235" s="964"/>
      <c r="U235" s="949" t="s">
        <v>500</v>
      </c>
      <c r="V235" s="938" t="s">
        <v>22</v>
      </c>
      <c r="W235" s="940" t="s">
        <v>579</v>
      </c>
      <c r="X235" s="942" t="s">
        <v>21</v>
      </c>
      <c r="Y235" s="361"/>
      <c r="Z235" s="364"/>
      <c r="AA235"/>
      <c r="AB235"/>
      <c r="AC235"/>
      <c r="AD235"/>
      <c r="AE235"/>
      <c r="AF235"/>
      <c r="AG235"/>
    </row>
    <row r="236" spans="17:33" ht="12.75" customHeight="1">
      <c r="Q236" s="364"/>
      <c r="R236" s="965"/>
      <c r="S236" s="966"/>
      <c r="T236" s="967"/>
      <c r="U236" s="950"/>
      <c r="V236" s="939"/>
      <c r="W236" s="941"/>
      <c r="X236" s="943"/>
      <c r="Y236" s="361"/>
      <c r="Z236" s="364"/>
      <c r="AA236"/>
      <c r="AB236"/>
      <c r="AC236"/>
      <c r="AD236"/>
      <c r="AE236"/>
      <c r="AF236"/>
      <c r="AG236"/>
    </row>
    <row r="237" spans="17:33" ht="12.75" customHeight="1">
      <c r="Q237" s="364"/>
      <c r="R237" s="931" t="s">
        <v>662</v>
      </c>
      <c r="S237" s="931"/>
      <c r="T237" s="931"/>
      <c r="U237" s="901" t="s">
        <v>427</v>
      </c>
      <c r="V237" s="562">
        <f>VLOOKUP($V$5,'Lookup Air Consumption'!$B$8:$E$208,3)</f>
        <v>38</v>
      </c>
      <c r="W237" s="562">
        <f>VLOOKUP($V$5,'Lookup Air Consumption'!$B$8:$E$208,4)</f>
        <v>50</v>
      </c>
      <c r="X237" s="562">
        <f>VLOOKUP($V$5,'Lookup Air Consumption'!$B$8:$E$208,2)</f>
        <v>41</v>
      </c>
      <c r="Y237" s="361"/>
      <c r="Z237" s="364"/>
      <c r="AA237"/>
      <c r="AB237"/>
      <c r="AC237"/>
      <c r="AD237"/>
      <c r="AE237"/>
      <c r="AF237"/>
      <c r="AG237"/>
    </row>
    <row r="238" spans="17:33" ht="12.75" customHeight="1">
      <c r="Q238" s="364"/>
      <c r="R238" s="931" t="s">
        <v>663</v>
      </c>
      <c r="S238" s="931"/>
      <c r="T238" s="931"/>
      <c r="U238" s="901"/>
      <c r="V238" s="590">
        <f>V237/1000</f>
        <v>3.7999999999999999E-2</v>
      </c>
      <c r="W238" s="590">
        <f>W237/1000</f>
        <v>0.05</v>
      </c>
      <c r="X238" s="590">
        <f>X237/1000</f>
        <v>4.1000000000000002E-2</v>
      </c>
      <c r="Y238" s="361"/>
      <c r="Z238" s="364"/>
      <c r="AA238"/>
      <c r="AB238"/>
      <c r="AC238"/>
      <c r="AD238"/>
      <c r="AE238"/>
      <c r="AF238"/>
      <c r="AG238"/>
    </row>
    <row r="239" spans="17:33" ht="12.75" customHeight="1">
      <c r="Q239" s="364"/>
      <c r="R239" s="931" t="s">
        <v>664</v>
      </c>
      <c r="S239" s="931"/>
      <c r="T239" s="931"/>
      <c r="U239" s="901"/>
      <c r="V239" s="560">
        <f>V238*35.31467</f>
        <v>1.3419574599999999</v>
      </c>
      <c r="W239" s="560">
        <f>W238*35.31467</f>
        <v>1.7657335000000001</v>
      </c>
      <c r="X239" s="560">
        <f>X238*35.31467</f>
        <v>1.4479014700000001</v>
      </c>
      <c r="Y239" s="361"/>
      <c r="Z239" s="364"/>
      <c r="AA239"/>
      <c r="AB239"/>
      <c r="AC239"/>
      <c r="AD239"/>
      <c r="AE239"/>
      <c r="AF239"/>
      <c r="AG239"/>
    </row>
    <row r="240" spans="17:33" ht="12.75" customHeight="1">
      <c r="Q240" s="360"/>
      <c r="R240" s="551"/>
      <c r="S240" s="551"/>
      <c r="T240" s="551"/>
      <c r="U240" s="591"/>
      <c r="V240" s="551"/>
      <c r="W240" s="551"/>
      <c r="X240" s="551"/>
      <c r="Y240" s="361"/>
      <c r="Z240" s="364"/>
      <c r="AA240"/>
      <c r="AB240"/>
      <c r="AC240"/>
      <c r="AD240"/>
      <c r="AE240"/>
      <c r="AF240"/>
      <c r="AG240"/>
    </row>
    <row r="241" spans="17:33" ht="12.75" customHeight="1">
      <c r="Q241" s="360"/>
      <c r="R241" s="962" t="s">
        <v>302</v>
      </c>
      <c r="S241" s="963"/>
      <c r="T241" s="964"/>
      <c r="U241" s="949" t="s">
        <v>500</v>
      </c>
      <c r="V241" s="938" t="s">
        <v>22</v>
      </c>
      <c r="W241" s="940" t="s">
        <v>579</v>
      </c>
      <c r="X241" s="942" t="s">
        <v>21</v>
      </c>
      <c r="Y241" s="361"/>
      <c r="Z241" s="364"/>
      <c r="AA241"/>
      <c r="AB241"/>
      <c r="AC241"/>
      <c r="AD241"/>
      <c r="AE241"/>
      <c r="AF241"/>
      <c r="AG241"/>
    </row>
    <row r="242" spans="17:33" ht="12.75" customHeight="1">
      <c r="Q242" s="360"/>
      <c r="R242" s="965"/>
      <c r="S242" s="966"/>
      <c r="T242" s="967"/>
      <c r="U242" s="950"/>
      <c r="V242" s="939"/>
      <c r="W242" s="941"/>
      <c r="X242" s="943"/>
      <c r="Y242" s="361"/>
      <c r="Z242" s="364"/>
      <c r="AA242"/>
      <c r="AB242"/>
      <c r="AC242"/>
      <c r="AD242"/>
      <c r="AE242"/>
      <c r="AF242"/>
      <c r="AG242"/>
    </row>
    <row r="243" spans="17:33" ht="12.75" customHeight="1">
      <c r="Q243" s="360"/>
      <c r="R243" s="931" t="s">
        <v>662</v>
      </c>
      <c r="S243" s="931"/>
      <c r="T243" s="931"/>
      <c r="U243" s="901" t="s">
        <v>427</v>
      </c>
      <c r="V243" s="549">
        <f t="shared" ref="V243:W245" si="3">V237*$V$23</f>
        <v>6080</v>
      </c>
      <c r="W243" s="549">
        <f t="shared" si="3"/>
        <v>8000</v>
      </c>
      <c r="X243" s="549">
        <f>X237*$V$23</f>
        <v>6560</v>
      </c>
      <c r="Y243" s="361"/>
      <c r="Z243" s="364"/>
      <c r="AA243"/>
      <c r="AB243"/>
      <c r="AC243"/>
      <c r="AD243"/>
      <c r="AE243"/>
      <c r="AF243"/>
      <c r="AG243"/>
    </row>
    <row r="244" spans="17:33" ht="12.75" customHeight="1">
      <c r="Q244" s="360"/>
      <c r="R244" s="931" t="s">
        <v>663</v>
      </c>
      <c r="S244" s="931"/>
      <c r="T244" s="931"/>
      <c r="U244" s="901"/>
      <c r="V244" s="560">
        <f t="shared" si="3"/>
        <v>6.08</v>
      </c>
      <c r="W244" s="560">
        <f t="shared" si="3"/>
        <v>8</v>
      </c>
      <c r="X244" s="560">
        <f>X238*$V$23</f>
        <v>6.5600000000000005</v>
      </c>
      <c r="Y244" s="361"/>
      <c r="Z244" s="364"/>
      <c r="AA244"/>
      <c r="AB244"/>
      <c r="AC244"/>
      <c r="AD244"/>
      <c r="AE244"/>
      <c r="AF244"/>
      <c r="AG244"/>
    </row>
    <row r="245" spans="17:33" ht="12.75" customHeight="1">
      <c r="Q245" s="360"/>
      <c r="R245" s="931" t="s">
        <v>664</v>
      </c>
      <c r="S245" s="931"/>
      <c r="T245" s="931"/>
      <c r="U245" s="901"/>
      <c r="V245" s="560">
        <f t="shared" si="3"/>
        <v>214.71319359999998</v>
      </c>
      <c r="W245" s="560">
        <f t="shared" si="3"/>
        <v>282.51736</v>
      </c>
      <c r="X245" s="560">
        <f>X239*$V$23</f>
        <v>231.66423520000001</v>
      </c>
      <c r="Y245" s="361"/>
      <c r="Z245" s="364"/>
      <c r="AA245"/>
      <c r="AB245"/>
      <c r="AC245"/>
      <c r="AD245"/>
      <c r="AE245"/>
      <c r="AF245"/>
      <c r="AG245"/>
    </row>
    <row r="246" spans="17:33" ht="12.75" customHeight="1">
      <c r="Q246" s="360"/>
      <c r="R246" s="364"/>
      <c r="S246" s="364"/>
      <c r="T246" s="364"/>
      <c r="U246" s="364"/>
      <c r="V246" s="555"/>
      <c r="W246" s="555"/>
      <c r="X246" s="555"/>
      <c r="Y246" s="361"/>
      <c r="Z246" s="364"/>
      <c r="AA246"/>
      <c r="AB246"/>
      <c r="AC246"/>
      <c r="AD246"/>
      <c r="AE246"/>
      <c r="AF246"/>
      <c r="AG246"/>
    </row>
    <row r="247" spans="17:33" ht="12.75" customHeight="1">
      <c r="Q247" s="360"/>
      <c r="R247" s="962" t="s">
        <v>303</v>
      </c>
      <c r="S247" s="963"/>
      <c r="T247" s="964"/>
      <c r="U247" s="949" t="s">
        <v>500</v>
      </c>
      <c r="V247" s="938" t="s">
        <v>22</v>
      </c>
      <c r="W247" s="940" t="s">
        <v>579</v>
      </c>
      <c r="X247" s="942" t="s">
        <v>21</v>
      </c>
      <c r="Y247" s="361"/>
      <c r="Z247" s="364"/>
      <c r="AA247"/>
      <c r="AB247"/>
      <c r="AC247"/>
      <c r="AD247"/>
      <c r="AE247"/>
      <c r="AF247"/>
      <c r="AG247"/>
    </row>
    <row r="248" spans="17:33" ht="12.75" customHeight="1">
      <c r="Q248" s="360"/>
      <c r="R248" s="965"/>
      <c r="S248" s="966"/>
      <c r="T248" s="967"/>
      <c r="U248" s="950"/>
      <c r="V248" s="939"/>
      <c r="W248" s="941"/>
      <c r="X248" s="943"/>
      <c r="Y248" s="361"/>
      <c r="Z248" s="364"/>
      <c r="AA248"/>
      <c r="AB248"/>
      <c r="AC248"/>
      <c r="AD248"/>
      <c r="AE248"/>
      <c r="AF248"/>
      <c r="AG248"/>
    </row>
    <row r="249" spans="17:33" ht="12.75" customHeight="1">
      <c r="Q249" s="563"/>
      <c r="R249" s="951" t="s">
        <v>517</v>
      </c>
      <c r="S249" s="951"/>
      <c r="T249" s="951"/>
      <c r="U249" s="901" t="s">
        <v>427</v>
      </c>
      <c r="V249" s="549">
        <f t="shared" ref="V249:X251" si="4">($V$25/$X$51)*60*V237</f>
        <v>31268571.428571429</v>
      </c>
      <c r="W249" s="549">
        <f t="shared" si="4"/>
        <v>41142857.142857142</v>
      </c>
      <c r="X249" s="549">
        <f t="shared" si="4"/>
        <v>33737142.857142858</v>
      </c>
      <c r="Y249" s="361"/>
      <c r="Z249" s="364"/>
      <c r="AA249"/>
      <c r="AB249"/>
      <c r="AC249"/>
      <c r="AD249"/>
      <c r="AE249"/>
      <c r="AF249"/>
      <c r="AG249"/>
    </row>
    <row r="250" spans="17:33" ht="12.75" customHeight="1">
      <c r="Q250" s="364"/>
      <c r="R250" s="951" t="s">
        <v>666</v>
      </c>
      <c r="S250" s="951"/>
      <c r="T250" s="951"/>
      <c r="U250" s="901"/>
      <c r="V250" s="549">
        <f t="shared" si="4"/>
        <v>31268.571428571428</v>
      </c>
      <c r="W250" s="549">
        <f t="shared" si="4"/>
        <v>41142.857142857145</v>
      </c>
      <c r="X250" s="549">
        <f t="shared" si="4"/>
        <v>33737.142857142855</v>
      </c>
      <c r="Y250" s="361"/>
      <c r="Z250" s="364"/>
      <c r="AA250"/>
      <c r="AB250"/>
      <c r="AC250"/>
      <c r="AD250"/>
      <c r="AE250"/>
      <c r="AF250"/>
      <c r="AG250"/>
    </row>
    <row r="251" spans="17:33" ht="12.75" customHeight="1">
      <c r="Q251" s="364"/>
      <c r="R251" s="951" t="s">
        <v>583</v>
      </c>
      <c r="S251" s="951"/>
      <c r="T251" s="951"/>
      <c r="U251" s="901"/>
      <c r="V251" s="549">
        <f t="shared" si="4"/>
        <v>1104239.2813714284</v>
      </c>
      <c r="W251" s="549">
        <f t="shared" si="4"/>
        <v>1452946.422857143</v>
      </c>
      <c r="X251" s="549">
        <f t="shared" si="4"/>
        <v>1191416.0667428572</v>
      </c>
      <c r="Y251" s="361"/>
      <c r="Z251" s="364"/>
      <c r="AA251"/>
      <c r="AB251"/>
      <c r="AC251"/>
      <c r="AD251"/>
      <c r="AE251"/>
      <c r="AF251"/>
      <c r="AG251"/>
    </row>
    <row r="252" spans="17:33" ht="12.75" customHeight="1">
      <c r="Q252" s="364"/>
      <c r="R252" s="364"/>
      <c r="S252" s="364"/>
      <c r="T252" s="364"/>
      <c r="U252" s="364"/>
      <c r="V252" s="364"/>
      <c r="W252" s="364"/>
      <c r="X252" s="364"/>
      <c r="Y252" s="361"/>
      <c r="Z252" s="364"/>
      <c r="AA252"/>
      <c r="AB252"/>
      <c r="AC252"/>
      <c r="AD252"/>
      <c r="AE252"/>
      <c r="AF252"/>
      <c r="AG252"/>
    </row>
    <row r="253" spans="17:33" ht="12.75" customHeight="1">
      <c r="Q253" s="668" t="s">
        <v>753</v>
      </c>
      <c r="R253" s="364" t="s">
        <v>300</v>
      </c>
      <c r="S253" s="364"/>
      <c r="T253" s="364"/>
      <c r="U253" s="364"/>
      <c r="V253" s="364"/>
      <c r="W253" s="364"/>
      <c r="X253" s="364"/>
      <c r="Y253" s="361"/>
      <c r="Z253" s="364"/>
      <c r="AA253"/>
      <c r="AB253"/>
      <c r="AC253"/>
      <c r="AD253"/>
      <c r="AE253"/>
      <c r="AF253"/>
      <c r="AG253"/>
    </row>
    <row r="254" spans="17:33" ht="12.75" customHeight="1">
      <c r="Q254" s="364"/>
      <c r="R254" s="957" t="s">
        <v>669</v>
      </c>
      <c r="S254" s="958"/>
      <c r="T254" s="959"/>
      <c r="U254" s="949" t="s">
        <v>500</v>
      </c>
      <c r="V254" s="938" t="s">
        <v>22</v>
      </c>
      <c r="W254" s="940" t="s">
        <v>579</v>
      </c>
      <c r="X254" s="942" t="s">
        <v>21</v>
      </c>
      <c r="Y254" s="361"/>
      <c r="Z254" s="364"/>
      <c r="AA254"/>
      <c r="AB254"/>
      <c r="AC254"/>
      <c r="AD254"/>
      <c r="AE254"/>
      <c r="AF254"/>
      <c r="AG254"/>
    </row>
    <row r="255" spans="17:33" ht="12.75" customHeight="1">
      <c r="Q255" s="364"/>
      <c r="R255" s="960"/>
      <c r="S255" s="961"/>
      <c r="T255" s="899"/>
      <c r="U255" s="950"/>
      <c r="V255" s="939"/>
      <c r="W255" s="941"/>
      <c r="X255" s="943"/>
      <c r="Y255" s="361"/>
      <c r="Z255" s="364"/>
      <c r="AA255"/>
      <c r="AB255"/>
      <c r="AC255"/>
      <c r="AD255"/>
      <c r="AE255"/>
      <c r="AF255"/>
      <c r="AG255"/>
    </row>
    <row r="256" spans="17:33" ht="12.75" customHeight="1">
      <c r="Q256" s="364"/>
      <c r="R256" s="541" t="s">
        <v>80</v>
      </c>
      <c r="S256" s="559"/>
      <c r="T256" s="559"/>
      <c r="U256" s="543">
        <v>6.5</v>
      </c>
      <c r="V256" s="669">
        <f>VLOOKUP($V$5,'Lookup Water Flow'!$B$8:$E$208,3)</f>
        <v>6.9</v>
      </c>
      <c r="W256" s="669">
        <f>VLOOKUP($V$5,'Lookup Water Flow'!$B$8:$E$208,4)</f>
        <v>12.1</v>
      </c>
      <c r="X256" s="669">
        <f>VLOOKUP($V$5,'Lookup Water Flow'!$B$8:$E$208,2)</f>
        <v>12.6</v>
      </c>
      <c r="Y256" s="361"/>
      <c r="Z256" s="364"/>
      <c r="AA256"/>
      <c r="AB256"/>
      <c r="AC256"/>
      <c r="AD256"/>
      <c r="AE256"/>
      <c r="AF256"/>
      <c r="AG256"/>
    </row>
    <row r="257" spans="17:33" ht="12.75" customHeight="1">
      <c r="Q257" s="364"/>
      <c r="R257" s="951" t="s">
        <v>81</v>
      </c>
      <c r="S257" s="951"/>
      <c r="T257" s="951"/>
      <c r="U257" s="677">
        <f>U256*V23</f>
        <v>1040</v>
      </c>
      <c r="V257" s="678">
        <f>V256*$V$23</f>
        <v>1104</v>
      </c>
      <c r="W257" s="678">
        <f>W256*$V$23</f>
        <v>1936</v>
      </c>
      <c r="X257" s="678">
        <f>X256*$V$23</f>
        <v>2016</v>
      </c>
      <c r="Y257" s="361"/>
      <c r="Z257" s="364"/>
      <c r="AA257"/>
      <c r="AB257"/>
      <c r="AC257"/>
      <c r="AD257"/>
      <c r="AE257"/>
      <c r="AF257"/>
      <c r="AG257"/>
    </row>
    <row r="258" spans="17:33" ht="12.75" customHeight="1">
      <c r="Q258" s="364"/>
      <c r="R258" s="592" t="s">
        <v>670</v>
      </c>
      <c r="S258" s="559"/>
      <c r="T258" s="559"/>
      <c r="U258" s="549">
        <f>(U256*U56*V24)+(24*2*V24)</f>
        <v>473600</v>
      </c>
      <c r="V258" s="679">
        <f>V256*$X$56*$V$24</f>
        <v>94628.571428571435</v>
      </c>
      <c r="W258" s="679">
        <f>W256*$X$56*$V$24</f>
        <v>165942.85714285713</v>
      </c>
      <c r="X258" s="679">
        <f>X256*$X$56*$V$24</f>
        <v>172800</v>
      </c>
      <c r="Y258" s="361"/>
      <c r="Z258" s="364"/>
      <c r="AA258"/>
      <c r="AB258"/>
      <c r="AC258"/>
      <c r="AD258"/>
      <c r="AE258"/>
      <c r="AF258"/>
      <c r="AG258"/>
    </row>
    <row r="259" spans="17:33" ht="12.75" customHeight="1">
      <c r="Q259" s="364"/>
      <c r="R259" s="364"/>
      <c r="S259" s="364"/>
      <c r="T259" s="364"/>
      <c r="U259" s="364"/>
      <c r="V259" s="364"/>
      <c r="W259" s="364"/>
      <c r="X259" s="364"/>
      <c r="Y259" s="364"/>
      <c r="Z259" s="364"/>
      <c r="AA259"/>
      <c r="AB259"/>
      <c r="AC259"/>
      <c r="AD259"/>
      <c r="AE259"/>
      <c r="AF259"/>
      <c r="AG259"/>
    </row>
    <row r="260" spans="17:33" ht="12.75" customHeight="1">
      <c r="Q260" s="680" t="s">
        <v>754</v>
      </c>
      <c r="R260" s="952" t="s">
        <v>309</v>
      </c>
      <c r="S260" s="952"/>
      <c r="T260" s="952"/>
      <c r="U260" s="952"/>
      <c r="V260" s="952"/>
      <c r="W260" s="952"/>
      <c r="X260" s="952"/>
      <c r="Y260" s="952"/>
      <c r="Z260" s="360"/>
      <c r="AA260"/>
      <c r="AB260"/>
      <c r="AC260"/>
      <c r="AD260"/>
      <c r="AE260"/>
      <c r="AF260"/>
      <c r="AG260"/>
    </row>
    <row r="261" spans="17:33" ht="12.75" customHeight="1">
      <c r="Q261" s="364"/>
      <c r="R261" s="364"/>
      <c r="S261" s="364"/>
      <c r="T261" s="364"/>
      <c r="U261" s="364"/>
      <c r="V261" s="364"/>
      <c r="W261" s="364"/>
      <c r="X261" s="364"/>
      <c r="Y261" s="364"/>
      <c r="Z261" s="364"/>
      <c r="AA261"/>
      <c r="AB261"/>
      <c r="AC261"/>
      <c r="AD261"/>
      <c r="AE261"/>
      <c r="AF261"/>
      <c r="AG261"/>
    </row>
    <row r="262" spans="17:33" ht="12.75" customHeight="1">
      <c r="Q262" s="668" t="s">
        <v>755</v>
      </c>
      <c r="R262" s="364" t="s">
        <v>239</v>
      </c>
      <c r="S262" s="364"/>
      <c r="T262" s="364"/>
      <c r="U262" s="364"/>
      <c r="V262" s="364"/>
      <c r="W262" s="364"/>
      <c r="X262" s="364"/>
      <c r="Y262" s="364"/>
      <c r="Z262" s="364"/>
      <c r="AA262"/>
      <c r="AB262"/>
      <c r="AC262"/>
      <c r="AD262"/>
      <c r="AE262"/>
      <c r="AF262"/>
      <c r="AG262"/>
    </row>
    <row r="263" spans="17:33" ht="12.75" customHeight="1">
      <c r="Q263" s="364"/>
      <c r="R263" s="364"/>
      <c r="S263" s="364"/>
      <c r="T263" s="364"/>
      <c r="U263" s="364"/>
      <c r="V263" s="364"/>
      <c r="W263" s="364"/>
      <c r="X263" s="364"/>
      <c r="Y263" s="364"/>
      <c r="Z263" s="364"/>
      <c r="AA263"/>
      <c r="AB263"/>
      <c r="AC263"/>
      <c r="AD263"/>
      <c r="AE263"/>
      <c r="AF263"/>
      <c r="AG263"/>
    </row>
    <row r="264" spans="17:33" ht="12.75" customHeight="1">
      <c r="Q264" s="364"/>
      <c r="R264" s="953" t="s">
        <v>676</v>
      </c>
      <c r="S264" s="954"/>
      <c r="T264" s="561" t="s">
        <v>320</v>
      </c>
      <c r="U264" s="935" t="s">
        <v>318</v>
      </c>
      <c r="V264" s="935"/>
      <c r="W264" s="681">
        <f>'Compressor Input Data'!G7</f>
        <v>0.19</v>
      </c>
      <c r="X264" s="594"/>
      <c r="Y264" s="595"/>
      <c r="Z264" s="363"/>
      <c r="AA264"/>
      <c r="AB264"/>
      <c r="AC264"/>
      <c r="AD264"/>
      <c r="AE264"/>
      <c r="AF264"/>
      <c r="AG264"/>
    </row>
    <row r="265" spans="17:33" ht="12.75" customHeight="1">
      <c r="Q265" s="364"/>
      <c r="R265" s="955"/>
      <c r="S265" s="956"/>
      <c r="T265" s="561" t="s">
        <v>321</v>
      </c>
      <c r="U265" s="935" t="s">
        <v>319</v>
      </c>
      <c r="V265" s="935"/>
      <c r="W265" s="681">
        <f>'Compressor Input Data'!G8</f>
        <v>0.33</v>
      </c>
      <c r="X265" s="594"/>
      <c r="Y265" s="595"/>
      <c r="Z265" s="595"/>
      <c r="AA265"/>
      <c r="AB265"/>
      <c r="AC265"/>
      <c r="AD265"/>
      <c r="AE265"/>
      <c r="AF265"/>
      <c r="AG265"/>
    </row>
    <row r="266" spans="17:33" ht="12.75" customHeight="1">
      <c r="Q266" s="364"/>
      <c r="R266" s="363"/>
      <c r="S266" s="363"/>
      <c r="T266" s="577"/>
      <c r="U266" s="577"/>
      <c r="V266" s="596"/>
      <c r="W266" s="363"/>
      <c r="X266" s="363"/>
      <c r="Y266" s="363"/>
      <c r="Z266" s="363"/>
      <c r="AA266"/>
      <c r="AB266"/>
      <c r="AC266"/>
      <c r="AD266"/>
      <c r="AE266"/>
      <c r="AF266"/>
      <c r="AG266"/>
    </row>
    <row r="267" spans="17:33" ht="12.75" customHeight="1">
      <c r="Q267" s="364"/>
      <c r="R267" s="935" t="s">
        <v>675</v>
      </c>
      <c r="S267" s="935"/>
      <c r="T267" s="935"/>
      <c r="U267" s="949" t="s">
        <v>500</v>
      </c>
      <c r="V267" s="938" t="s">
        <v>22</v>
      </c>
      <c r="W267" s="940" t="s">
        <v>579</v>
      </c>
      <c r="X267" s="942" t="s">
        <v>21</v>
      </c>
      <c r="Y267" s="361"/>
      <c r="Z267" s="364"/>
      <c r="AA267"/>
      <c r="AB267"/>
      <c r="AC267"/>
      <c r="AD267"/>
      <c r="AE267"/>
      <c r="AF267"/>
      <c r="AG267"/>
    </row>
    <row r="268" spans="17:33" ht="12.75" customHeight="1">
      <c r="Q268" s="364"/>
      <c r="R268" s="944" t="s">
        <v>320</v>
      </c>
      <c r="S268" s="947"/>
      <c r="T268" s="948"/>
      <c r="U268" s="950"/>
      <c r="V268" s="939"/>
      <c r="W268" s="941"/>
      <c r="X268" s="943"/>
      <c r="Y268" s="361"/>
      <c r="Z268" s="364"/>
      <c r="AA268"/>
      <c r="AB268"/>
      <c r="AC268"/>
      <c r="AD268"/>
      <c r="AE268"/>
      <c r="AF268"/>
      <c r="AG268"/>
    </row>
    <row r="269" spans="17:33" ht="12.75" customHeight="1">
      <c r="Q269" s="364"/>
      <c r="R269" s="945"/>
      <c r="S269" s="935" t="s">
        <v>306</v>
      </c>
      <c r="T269" s="935"/>
      <c r="U269" s="599">
        <f>U164*$W$264</f>
        <v>178.34666666666669</v>
      </c>
      <c r="V269" s="599">
        <f>V164*$W$264</f>
        <v>14439.999999999998</v>
      </c>
      <c r="W269" s="599">
        <f>W164*$W$264</f>
        <v>12556.521739130432</v>
      </c>
      <c r="X269" s="599">
        <f>X164*$W$264</f>
        <v>10314.285714285712</v>
      </c>
      <c r="Y269" s="361"/>
      <c r="Z269" s="364"/>
      <c r="AA269"/>
      <c r="AB269"/>
      <c r="AC269"/>
      <c r="AD269"/>
      <c r="AE269"/>
      <c r="AF269"/>
      <c r="AG269"/>
    </row>
    <row r="270" spans="17:33" ht="12.75" customHeight="1">
      <c r="Q270" s="364"/>
      <c r="R270" s="945"/>
      <c r="S270" s="935" t="s">
        <v>307</v>
      </c>
      <c r="T270" s="935"/>
      <c r="U270" s="599">
        <f>U269*$V$11</f>
        <v>4101.9733333333343</v>
      </c>
      <c r="V270" s="599">
        <f>V269*$V$11</f>
        <v>332119.99999999994</v>
      </c>
      <c r="W270" s="599">
        <f>W269*$V$11</f>
        <v>288799.99999999994</v>
      </c>
      <c r="X270" s="599">
        <f>X269*$V$11</f>
        <v>237228.57142857136</v>
      </c>
      <c r="Y270" s="361"/>
      <c r="Z270" s="364"/>
      <c r="AA270"/>
      <c r="AB270"/>
      <c r="AC270"/>
      <c r="AD270"/>
      <c r="AE270"/>
      <c r="AF270"/>
      <c r="AG270"/>
    </row>
    <row r="271" spans="17:33" ht="12.75" customHeight="1">
      <c r="Q271" s="364"/>
      <c r="R271" s="946"/>
      <c r="S271" s="935" t="s">
        <v>308</v>
      </c>
      <c r="T271" s="935"/>
      <c r="U271" s="599">
        <f>U270*9</f>
        <v>36917.760000000009</v>
      </c>
      <c r="V271" s="599">
        <f>V270*9</f>
        <v>2989079.9999999995</v>
      </c>
      <c r="W271" s="599">
        <f>W270*9</f>
        <v>2599199.9999999995</v>
      </c>
      <c r="X271" s="599">
        <f>X270*9</f>
        <v>2135057.1428571423</v>
      </c>
      <c r="Y271" s="361"/>
      <c r="Z271" s="364"/>
      <c r="AA271"/>
      <c r="AB271"/>
      <c r="AC271"/>
      <c r="AD271"/>
      <c r="AE271"/>
      <c r="AF271"/>
      <c r="AG271"/>
    </row>
    <row r="272" spans="17:33" ht="12.75" customHeight="1">
      <c r="Q272" s="597"/>
      <c r="R272" s="937"/>
      <c r="S272" s="937"/>
      <c r="T272" s="937"/>
      <c r="U272" s="937"/>
      <c r="V272" s="937"/>
      <c r="W272" s="937"/>
      <c r="X272" s="937"/>
      <c r="Y272" s="364"/>
      <c r="Z272" s="364"/>
      <c r="AA272"/>
      <c r="AB272"/>
      <c r="AC272"/>
      <c r="AD272"/>
      <c r="AE272"/>
      <c r="AF272"/>
      <c r="AG272"/>
    </row>
    <row r="273" spans="17:33" ht="12.75" customHeight="1">
      <c r="Q273" s="597"/>
      <c r="R273" s="935" t="s">
        <v>675</v>
      </c>
      <c r="S273" s="935"/>
      <c r="T273" s="935"/>
      <c r="U273" s="930" t="s">
        <v>500</v>
      </c>
      <c r="V273" s="928" t="s">
        <v>22</v>
      </c>
      <c r="W273" s="929" t="s">
        <v>579</v>
      </c>
      <c r="X273" s="927" t="s">
        <v>21</v>
      </c>
      <c r="Y273" s="361"/>
      <c r="Z273" s="364"/>
      <c r="AA273"/>
      <c r="AB273"/>
      <c r="AC273"/>
      <c r="AD273"/>
      <c r="AE273"/>
      <c r="AF273"/>
      <c r="AG273"/>
    </row>
    <row r="274" spans="17:33" ht="12.75" customHeight="1">
      <c r="Q274" s="597"/>
      <c r="R274" s="937" t="s">
        <v>321</v>
      </c>
      <c r="S274" s="937"/>
      <c r="T274" s="937"/>
      <c r="U274" s="930"/>
      <c r="V274" s="928"/>
      <c r="W274" s="929"/>
      <c r="X274" s="927"/>
      <c r="Y274" s="361"/>
      <c r="Z274" s="364"/>
      <c r="AA274"/>
      <c r="AB274"/>
      <c r="AC274"/>
      <c r="AD274"/>
      <c r="AE274"/>
      <c r="AF274"/>
      <c r="AG274"/>
    </row>
    <row r="275" spans="17:33" ht="12.75" customHeight="1">
      <c r="Q275" s="364"/>
      <c r="R275" s="937"/>
      <c r="S275" s="935" t="s">
        <v>306</v>
      </c>
      <c r="T275" s="935"/>
      <c r="U275" s="599">
        <f>U164*$W$265</f>
        <v>309.76000000000005</v>
      </c>
      <c r="V275" s="599">
        <f>V164*$W$265</f>
        <v>25079.999999999996</v>
      </c>
      <c r="W275" s="599">
        <f>W164*$W$265</f>
        <v>21808.695652173912</v>
      </c>
      <c r="X275" s="599">
        <f>X164*$W$265</f>
        <v>17914.28571428571</v>
      </c>
      <c r="Y275" s="361"/>
      <c r="Z275" s="364"/>
      <c r="AA275"/>
      <c r="AB275"/>
      <c r="AC275"/>
      <c r="AD275"/>
      <c r="AE275"/>
      <c r="AF275"/>
      <c r="AG275"/>
    </row>
    <row r="276" spans="17:33" ht="12.75" customHeight="1">
      <c r="Q276" s="597"/>
      <c r="R276" s="937"/>
      <c r="S276" s="935" t="s">
        <v>307</v>
      </c>
      <c r="T276" s="935"/>
      <c r="U276" s="599">
        <f>U275*$V$11</f>
        <v>7124.4800000000014</v>
      </c>
      <c r="V276" s="599">
        <f>V275*$V$11</f>
        <v>576839.99999999988</v>
      </c>
      <c r="W276" s="599">
        <f>W275*$V$11</f>
        <v>501600</v>
      </c>
      <c r="X276" s="599">
        <f>X275*$V$11</f>
        <v>412028.57142857136</v>
      </c>
      <c r="Y276" s="361"/>
      <c r="Z276" s="364"/>
      <c r="AA276"/>
      <c r="AB276"/>
      <c r="AC276"/>
      <c r="AD276"/>
      <c r="AE276"/>
      <c r="AF276"/>
      <c r="AG276"/>
    </row>
    <row r="277" spans="17:33" ht="12.75" customHeight="1">
      <c r="Q277" s="364"/>
      <c r="R277" s="937"/>
      <c r="S277" s="935" t="s">
        <v>308</v>
      </c>
      <c r="T277" s="935"/>
      <c r="U277" s="599">
        <f>U276*3</f>
        <v>21373.440000000002</v>
      </c>
      <c r="V277" s="599">
        <f>V276*3</f>
        <v>1730519.9999999995</v>
      </c>
      <c r="W277" s="599">
        <f>W276*3</f>
        <v>1504800</v>
      </c>
      <c r="X277" s="599">
        <f>X276*3</f>
        <v>1236085.7142857141</v>
      </c>
      <c r="Y277" s="361"/>
      <c r="Z277" s="364"/>
      <c r="AA277"/>
      <c r="AB277"/>
      <c r="AC277"/>
      <c r="AD277"/>
      <c r="AE277"/>
      <c r="AF277"/>
      <c r="AG277"/>
    </row>
    <row r="278" spans="17:33" ht="12.75" customHeight="1">
      <c r="Q278" s="364"/>
      <c r="R278" s="937"/>
      <c r="S278" s="937"/>
      <c r="T278" s="937"/>
      <c r="U278" s="937"/>
      <c r="V278" s="937"/>
      <c r="W278" s="937"/>
      <c r="X278" s="937"/>
      <c r="Y278" s="364"/>
      <c r="Z278" s="364"/>
      <c r="AA278"/>
      <c r="AB278"/>
      <c r="AC278"/>
      <c r="AD278"/>
      <c r="AE278"/>
      <c r="AF278"/>
      <c r="AG278"/>
    </row>
    <row r="279" spans="17:33" ht="12.75" customHeight="1">
      <c r="Q279" s="364"/>
      <c r="R279" s="935" t="s">
        <v>675</v>
      </c>
      <c r="S279" s="935"/>
      <c r="T279" s="935"/>
      <c r="U279" s="930" t="s">
        <v>500</v>
      </c>
      <c r="V279" s="928" t="s">
        <v>22</v>
      </c>
      <c r="W279" s="929" t="s">
        <v>579</v>
      </c>
      <c r="X279" s="927" t="s">
        <v>21</v>
      </c>
      <c r="Y279" s="361"/>
      <c r="Z279" s="364"/>
      <c r="AA279"/>
      <c r="AB279"/>
      <c r="AC279"/>
      <c r="AD279"/>
      <c r="AE279"/>
      <c r="AF279"/>
      <c r="AG279"/>
    </row>
    <row r="280" spans="17:33" ht="12.75" customHeight="1">
      <c r="Q280" s="364"/>
      <c r="R280" s="937" t="s">
        <v>322</v>
      </c>
      <c r="S280" s="937"/>
      <c r="T280" s="937"/>
      <c r="U280" s="930"/>
      <c r="V280" s="928"/>
      <c r="W280" s="929"/>
      <c r="X280" s="927"/>
      <c r="Y280" s="361"/>
      <c r="Z280" s="364"/>
      <c r="AA280"/>
      <c r="AB280"/>
      <c r="AC280"/>
      <c r="AD280"/>
      <c r="AE280"/>
      <c r="AF280"/>
      <c r="AG280"/>
    </row>
    <row r="281" spans="17:33" ht="12.75" customHeight="1">
      <c r="Q281" s="364"/>
      <c r="R281" s="937"/>
      <c r="S281" s="935" t="s">
        <v>306</v>
      </c>
      <c r="T281" s="935"/>
      <c r="U281" s="599">
        <f>U282/$V$11</f>
        <v>211.20000000000005</v>
      </c>
      <c r="V281" s="599">
        <f>V282/$V$11</f>
        <v>17099.999999999996</v>
      </c>
      <c r="W281" s="599">
        <f>W282/$V$11</f>
        <v>14869.565217391302</v>
      </c>
      <c r="X281" s="599">
        <f>X282/$V$11</f>
        <v>12214.285714285712</v>
      </c>
      <c r="Y281" s="361"/>
      <c r="Z281" s="364"/>
      <c r="AA281"/>
      <c r="AB281"/>
      <c r="AC281"/>
      <c r="AD281"/>
      <c r="AE281"/>
      <c r="AF281"/>
      <c r="AG281"/>
    </row>
    <row r="282" spans="17:33" ht="12.75" customHeight="1">
      <c r="Q282" s="364"/>
      <c r="R282" s="937"/>
      <c r="S282" s="935" t="s">
        <v>307</v>
      </c>
      <c r="T282" s="935"/>
      <c r="U282" s="599">
        <f>U283/12</f>
        <v>4857.6000000000013</v>
      </c>
      <c r="V282" s="599">
        <f>V283/12</f>
        <v>393299.99999999994</v>
      </c>
      <c r="W282" s="599">
        <f>W283/12</f>
        <v>341999.99999999994</v>
      </c>
      <c r="X282" s="599">
        <f>X283/12</f>
        <v>280928.57142857136</v>
      </c>
      <c r="Y282" s="361"/>
      <c r="Z282" s="364"/>
      <c r="AA282"/>
      <c r="AB282"/>
      <c r="AC282"/>
      <c r="AD282"/>
      <c r="AE282"/>
      <c r="AF282"/>
      <c r="AG282"/>
    </row>
    <row r="283" spans="17:33" ht="12.75" customHeight="1">
      <c r="Q283" s="364"/>
      <c r="R283" s="937"/>
      <c r="S283" s="935" t="s">
        <v>308</v>
      </c>
      <c r="T283" s="935"/>
      <c r="U283" s="599">
        <f>U271+U277</f>
        <v>58291.200000000012</v>
      </c>
      <c r="V283" s="599">
        <f>V271+V277</f>
        <v>4719599.9999999991</v>
      </c>
      <c r="W283" s="599">
        <f>W271+W277</f>
        <v>4103999.9999999995</v>
      </c>
      <c r="X283" s="599">
        <f>X271+X277</f>
        <v>3371142.8571428563</v>
      </c>
      <c r="Y283" s="361"/>
      <c r="Z283" s="364"/>
      <c r="AA283"/>
      <c r="AB283"/>
      <c r="AC283"/>
      <c r="AD283"/>
      <c r="AE283"/>
      <c r="AF283"/>
      <c r="AG283"/>
    </row>
    <row r="284" spans="17:33" ht="12.75" customHeight="1">
      <c r="Q284" s="364"/>
      <c r="R284" s="363"/>
      <c r="S284" s="363"/>
      <c r="T284" s="577"/>
      <c r="U284" s="577"/>
      <c r="V284" s="596"/>
      <c r="W284" s="363"/>
      <c r="X284" s="363"/>
      <c r="Y284" s="363"/>
      <c r="Z284" s="363"/>
      <c r="AA284"/>
      <c r="AB284"/>
      <c r="AC284"/>
      <c r="AD284"/>
      <c r="AE284"/>
      <c r="AF284"/>
      <c r="AG284"/>
    </row>
    <row r="285" spans="17:33" ht="12.75" customHeight="1">
      <c r="Q285" s="668" t="s">
        <v>756</v>
      </c>
      <c r="R285" s="363" t="s">
        <v>758</v>
      </c>
      <c r="S285" s="363"/>
      <c r="T285" s="577"/>
      <c r="U285" s="577"/>
      <c r="V285" s="596"/>
      <c r="W285" s="363"/>
      <c r="X285" s="363"/>
      <c r="Y285" s="363"/>
      <c r="Z285" s="363"/>
      <c r="AA285"/>
      <c r="AB285"/>
      <c r="AC285"/>
      <c r="AD285"/>
      <c r="AE285"/>
      <c r="AF285"/>
      <c r="AG285"/>
    </row>
    <row r="286" spans="17:33" ht="12.75" customHeight="1">
      <c r="Q286" s="364"/>
      <c r="R286" s="935" t="s">
        <v>678</v>
      </c>
      <c r="S286" s="935"/>
      <c r="T286" s="935"/>
      <c r="U286" s="935"/>
      <c r="V286" s="936" t="s">
        <v>500</v>
      </c>
      <c r="W286" s="936" t="s">
        <v>22</v>
      </c>
      <c r="X286" s="936" t="s">
        <v>579</v>
      </c>
      <c r="Y286" s="936" t="s">
        <v>21</v>
      </c>
      <c r="Z286" s="361"/>
      <c r="AA286"/>
      <c r="AB286"/>
      <c r="AC286"/>
      <c r="AD286"/>
      <c r="AE286"/>
      <c r="AF286"/>
      <c r="AG286"/>
    </row>
    <row r="287" spans="17:33" ht="12.75" customHeight="1">
      <c r="Q287" s="364"/>
      <c r="R287" s="935"/>
      <c r="S287" s="935"/>
      <c r="T287" s="935"/>
      <c r="U287" s="935"/>
      <c r="V287" s="936"/>
      <c r="W287" s="936"/>
      <c r="X287" s="936"/>
      <c r="Y287" s="936"/>
      <c r="Z287" s="361"/>
      <c r="AA287"/>
      <c r="AB287"/>
      <c r="AC287"/>
      <c r="AD287"/>
      <c r="AE287"/>
      <c r="AF287"/>
      <c r="AG287"/>
    </row>
    <row r="288" spans="17:33" ht="12.75" customHeight="1">
      <c r="Q288" s="364"/>
      <c r="R288" s="931" t="s">
        <v>35</v>
      </c>
      <c r="S288" s="931"/>
      <c r="T288" s="931"/>
      <c r="U288" s="931"/>
      <c r="V288" s="599">
        <f>AVERAGE(U196:W196)*5%</f>
        <v>1305585.0000000005</v>
      </c>
      <c r="W288" s="599">
        <f>V202*5%</f>
        <v>1533870.0000000005</v>
      </c>
      <c r="X288" s="599">
        <f>W202*5%</f>
        <v>1518480.0000000005</v>
      </c>
      <c r="Y288" s="599">
        <f>X202*5%</f>
        <v>1500158.5714285718</v>
      </c>
      <c r="Z288" s="361"/>
      <c r="AA288"/>
      <c r="AB288"/>
      <c r="AC288"/>
      <c r="AD288"/>
      <c r="AE288"/>
      <c r="AF288"/>
      <c r="AG288"/>
    </row>
    <row r="289" spans="17:33" ht="12.75" customHeight="1">
      <c r="Q289" s="364"/>
      <c r="R289" s="931" t="s">
        <v>481</v>
      </c>
      <c r="S289" s="931"/>
      <c r="T289" s="931"/>
      <c r="U289" s="931"/>
      <c r="V289" s="600" t="s">
        <v>479</v>
      </c>
      <c r="W289" s="599">
        <f>Y289</f>
        <v>1059840</v>
      </c>
      <c r="X289" s="600" t="s">
        <v>479</v>
      </c>
      <c r="Y289" s="599">
        <f>Consumables!E23*12</f>
        <v>1059840</v>
      </c>
      <c r="Z289" s="361"/>
      <c r="AA289"/>
      <c r="AB289"/>
      <c r="AC289"/>
      <c r="AD289"/>
      <c r="AE289"/>
      <c r="AF289"/>
      <c r="AG289"/>
    </row>
    <row r="290" spans="17:33" ht="12.75" customHeight="1">
      <c r="Q290" s="364"/>
      <c r="R290" s="931" t="s">
        <v>311</v>
      </c>
      <c r="S290" s="931"/>
      <c r="T290" s="931"/>
      <c r="U290" s="931"/>
      <c r="V290" s="600" t="s">
        <v>557</v>
      </c>
      <c r="W290" s="599">
        <f>Y290</f>
        <v>416000</v>
      </c>
      <c r="X290" s="599">
        <f>W290</f>
        <v>416000</v>
      </c>
      <c r="Y290" s="599">
        <f>Consumables!E21*12</f>
        <v>416000</v>
      </c>
      <c r="Z290" s="361"/>
      <c r="AA290"/>
      <c r="AB290"/>
      <c r="AC290"/>
      <c r="AD290"/>
      <c r="AE290"/>
      <c r="AF290"/>
      <c r="AG290"/>
    </row>
    <row r="291" spans="17:33" ht="12.75" customHeight="1">
      <c r="Q291" s="364"/>
      <c r="R291" s="931" t="s">
        <v>480</v>
      </c>
      <c r="S291" s="931"/>
      <c r="T291" s="931"/>
      <c r="U291" s="931"/>
      <c r="V291" s="599">
        <f>Consumables!H21*12</f>
        <v>3865001.2800000003</v>
      </c>
      <c r="W291" s="599">
        <v>0</v>
      </c>
      <c r="X291" s="599">
        <v>0</v>
      </c>
      <c r="Y291" s="599">
        <v>0</v>
      </c>
      <c r="Z291" s="361"/>
      <c r="AA291"/>
      <c r="AB291"/>
      <c r="AC291"/>
      <c r="AD291"/>
      <c r="AE291"/>
      <c r="AF291"/>
      <c r="AG291"/>
    </row>
    <row r="292" spans="17:33" ht="12.75" customHeight="1">
      <c r="Q292" s="364"/>
      <c r="R292" s="931" t="s">
        <v>312</v>
      </c>
      <c r="S292" s="931"/>
      <c r="T292" s="931"/>
      <c r="U292" s="931"/>
      <c r="V292" s="599">
        <f>Consumables!H20*12</f>
        <v>2691993.6000000001</v>
      </c>
      <c r="W292" s="599">
        <f>Y292</f>
        <v>2331648.0000000005</v>
      </c>
      <c r="X292" s="599">
        <f>W292</f>
        <v>2331648.0000000005</v>
      </c>
      <c r="Y292" s="599">
        <f>Consumables!E20*12</f>
        <v>2331648.0000000005</v>
      </c>
      <c r="Z292" s="361"/>
      <c r="AA292"/>
      <c r="AB292"/>
      <c r="AC292"/>
      <c r="AD292"/>
      <c r="AE292"/>
      <c r="AF292"/>
      <c r="AG292"/>
    </row>
    <row r="293" spans="17:33" ht="12.75" customHeight="1">
      <c r="Q293" s="364"/>
      <c r="R293" s="931" t="s">
        <v>313</v>
      </c>
      <c r="S293" s="931"/>
      <c r="T293" s="931"/>
      <c r="U293" s="931"/>
      <c r="V293" s="599">
        <f>Consumables!H19*12</f>
        <v>1674547.2000000002</v>
      </c>
      <c r="W293" s="599">
        <f>Y293</f>
        <v>1398988.8</v>
      </c>
      <c r="X293" s="599">
        <f>W293</f>
        <v>1398988.8</v>
      </c>
      <c r="Y293" s="599">
        <f>Consumables!E19*12</f>
        <v>1398988.8</v>
      </c>
      <c r="Z293" s="361"/>
      <c r="AA293"/>
      <c r="AB293"/>
      <c r="AC293"/>
      <c r="AD293"/>
      <c r="AE293"/>
      <c r="AF293"/>
      <c r="AG293"/>
    </row>
    <row r="294" spans="17:33" ht="12.75" customHeight="1">
      <c r="Q294" s="364"/>
      <c r="R294" s="931" t="s">
        <v>190</v>
      </c>
      <c r="S294" s="931"/>
      <c r="T294" s="931"/>
      <c r="U294" s="931"/>
      <c r="V294" s="599">
        <f>Consumables!H22*12</f>
        <v>8294400</v>
      </c>
      <c r="W294" s="599">
        <v>0</v>
      </c>
      <c r="X294" s="599">
        <v>0</v>
      </c>
      <c r="Y294" s="599">
        <v>0</v>
      </c>
      <c r="Z294" s="361"/>
      <c r="AA294"/>
      <c r="AB294"/>
      <c r="AC294"/>
      <c r="AD294"/>
      <c r="AE294"/>
      <c r="AF294"/>
      <c r="AG294"/>
    </row>
    <row r="295" spans="17:33" ht="12.75" customHeight="1">
      <c r="Q295" s="364"/>
      <c r="R295" s="931" t="s">
        <v>482</v>
      </c>
      <c r="S295" s="931"/>
      <c r="T295" s="931"/>
      <c r="U295" s="931"/>
      <c r="V295" s="599">
        <v>0</v>
      </c>
      <c r="W295" s="599">
        <f>Y295</f>
        <v>199600.00000000003</v>
      </c>
      <c r="X295" s="599">
        <f>W295</f>
        <v>199600.00000000003</v>
      </c>
      <c r="Y295" s="599">
        <f>Consumables!E25*12</f>
        <v>199600.00000000003</v>
      </c>
      <c r="Z295" s="361"/>
      <c r="AA295"/>
      <c r="AB295"/>
      <c r="AC295"/>
      <c r="AD295"/>
      <c r="AE295"/>
      <c r="AF295"/>
      <c r="AG295"/>
    </row>
    <row r="296" spans="17:33" ht="12.75" customHeight="1">
      <c r="Q296" s="364"/>
      <c r="R296" s="931" t="s">
        <v>483</v>
      </c>
      <c r="S296" s="931"/>
      <c r="T296" s="931"/>
      <c r="U296" s="931"/>
      <c r="V296" s="599">
        <v>0</v>
      </c>
      <c r="W296" s="599">
        <f>Y296</f>
        <v>40600</v>
      </c>
      <c r="X296" s="599">
        <f>W296</f>
        <v>40600</v>
      </c>
      <c r="Y296" s="599">
        <f>Consumables!E24*12</f>
        <v>40600</v>
      </c>
      <c r="Z296" s="361"/>
      <c r="AA296"/>
      <c r="AB296"/>
      <c r="AC296"/>
      <c r="AD296"/>
      <c r="AE296"/>
      <c r="AF296"/>
      <c r="AG296"/>
    </row>
    <row r="297" spans="17:33" ht="12.75" customHeight="1">
      <c r="Q297" s="364"/>
      <c r="R297" s="931" t="s">
        <v>478</v>
      </c>
      <c r="S297" s="931"/>
      <c r="T297" s="931"/>
      <c r="U297" s="931"/>
      <c r="V297" s="599">
        <f>U283</f>
        <v>58291.200000000012</v>
      </c>
      <c r="W297" s="599">
        <f>V283</f>
        <v>4719599.9999999991</v>
      </c>
      <c r="X297" s="599">
        <f>W283</f>
        <v>4103999.9999999995</v>
      </c>
      <c r="Y297" s="599">
        <f>X283</f>
        <v>3371142.8571428563</v>
      </c>
      <c r="Z297" s="361"/>
      <c r="AA297"/>
      <c r="AB297"/>
      <c r="AC297"/>
      <c r="AD297"/>
      <c r="AE297"/>
      <c r="AF297"/>
      <c r="AG297"/>
    </row>
    <row r="298" spans="17:33" ht="12.75" customHeight="1">
      <c r="Q298" s="364"/>
      <c r="R298" s="931" t="s">
        <v>484</v>
      </c>
      <c r="S298" s="931"/>
      <c r="T298" s="931"/>
      <c r="U298" s="931"/>
      <c r="V298" s="599">
        <f>'NIHL Compenation Cost'!AD21</f>
        <v>1715167.5</v>
      </c>
      <c r="W298" s="599">
        <f>'NIHL Compenation Cost'!Z21</f>
        <v>989115.00000000012</v>
      </c>
      <c r="X298" s="599">
        <f>'NIHL Compenation Cost'!AB21</f>
        <v>1087325</v>
      </c>
      <c r="Y298" s="599">
        <f>'NIHL Compenation Cost'!X21</f>
        <v>596275</v>
      </c>
      <c r="Z298" s="361"/>
      <c r="AA298"/>
      <c r="AB298"/>
      <c r="AC298"/>
      <c r="AD298"/>
      <c r="AE298"/>
      <c r="AF298"/>
      <c r="AG298"/>
    </row>
    <row r="299" spans="17:33" ht="12.75" customHeight="1">
      <c r="Q299" s="364"/>
      <c r="R299" s="932" t="s">
        <v>677</v>
      </c>
      <c r="S299" s="932"/>
      <c r="T299" s="932"/>
      <c r="U299" s="932"/>
      <c r="V299" s="599">
        <f>SUM(V288:V298)</f>
        <v>19604985.780000001</v>
      </c>
      <c r="W299" s="599">
        <f>SUM(W288:W298)</f>
        <v>12689261.800000001</v>
      </c>
      <c r="X299" s="599">
        <f>SUM(X288:X298)</f>
        <v>11096641.800000001</v>
      </c>
      <c r="Y299" s="599">
        <f>SUM(Y288:Y298)</f>
        <v>10914253.22857143</v>
      </c>
      <c r="Z299" s="361"/>
      <c r="AA299"/>
      <c r="AB299"/>
      <c r="AC299"/>
      <c r="AD299"/>
      <c r="AE299"/>
      <c r="AF299"/>
      <c r="AG299"/>
    </row>
    <row r="300" spans="17:33" ht="12.75" customHeight="1">
      <c r="Q300" s="364"/>
      <c r="R300" s="591"/>
      <c r="S300" s="591"/>
      <c r="T300" s="591"/>
      <c r="U300" s="591"/>
      <c r="V300" s="718"/>
      <c r="W300" s="718"/>
      <c r="X300" s="718"/>
      <c r="Y300" s="718"/>
      <c r="Z300" s="361"/>
      <c r="AA300"/>
      <c r="AB300"/>
      <c r="AC300"/>
      <c r="AD300"/>
      <c r="AE300"/>
      <c r="AF300"/>
      <c r="AG300"/>
    </row>
    <row r="301" spans="17:33" ht="12.75" customHeight="1">
      <c r="Q301" s="364"/>
      <c r="R301" s="591"/>
      <c r="S301" s="591"/>
      <c r="T301" s="933" t="s">
        <v>812</v>
      </c>
      <c r="U301" s="933"/>
      <c r="V301" s="718">
        <f>V299-V294</f>
        <v>11310585.780000001</v>
      </c>
      <c r="W301" s="718">
        <f>W299-W294</f>
        <v>12689261.800000001</v>
      </c>
      <c r="X301" s="718">
        <f>X299-X294</f>
        <v>11096641.800000001</v>
      </c>
      <c r="Y301" s="718">
        <f>Y299-Y294</f>
        <v>10914253.22857143</v>
      </c>
      <c r="Z301" s="361"/>
      <c r="AA301"/>
      <c r="AB301"/>
      <c r="AC301"/>
      <c r="AD301"/>
      <c r="AE301"/>
      <c r="AF301"/>
      <c r="AG301"/>
    </row>
    <row r="302" spans="17:33" ht="12.75" customHeight="1">
      <c r="Q302" s="364"/>
      <c r="R302" s="364"/>
      <c r="S302" s="364"/>
      <c r="T302" s="934" t="s">
        <v>350</v>
      </c>
      <c r="U302" s="934"/>
      <c r="V302" s="682">
        <f>V294</f>
        <v>8294400</v>
      </c>
      <c r="W302" s="682"/>
      <c r="X302" s="682"/>
      <c r="Y302" s="682"/>
      <c r="Z302" s="364"/>
      <c r="AA302"/>
      <c r="AB302"/>
      <c r="AC302"/>
      <c r="AD302"/>
      <c r="AE302"/>
      <c r="AF302"/>
      <c r="AG302"/>
    </row>
    <row r="303" spans="17:33" ht="12.75" customHeight="1">
      <c r="Q303" s="364">
        <v>10.3</v>
      </c>
      <c r="R303" s="363"/>
      <c r="S303" s="364"/>
      <c r="T303" s="364"/>
      <c r="U303" s="364"/>
      <c r="V303" s="682"/>
      <c r="W303" s="364"/>
      <c r="X303" s="362"/>
      <c r="Y303" s="682"/>
      <c r="Z303" s="364"/>
      <c r="AA303"/>
      <c r="AB303"/>
      <c r="AC303"/>
      <c r="AD303"/>
      <c r="AE303"/>
      <c r="AF303"/>
      <c r="AG303"/>
    </row>
    <row r="304" spans="17:33" ht="12.75" customHeight="1">
      <c r="Q304" s="364"/>
      <c r="R304" s="364"/>
      <c r="S304" s="364"/>
      <c r="T304" s="364"/>
      <c r="U304" s="364"/>
      <c r="V304" s="364"/>
      <c r="W304" s="364"/>
      <c r="X304" s="364"/>
      <c r="Y304" s="364"/>
      <c r="Z304" s="364"/>
      <c r="AA304"/>
      <c r="AB304"/>
      <c r="AC304"/>
      <c r="AD304"/>
      <c r="AE304"/>
      <c r="AF304"/>
      <c r="AG304"/>
    </row>
    <row r="305" spans="17:33" ht="12.75" customHeight="1">
      <c r="Q305" s="364"/>
      <c r="R305" s="935" t="s">
        <v>195</v>
      </c>
      <c r="S305" s="935"/>
      <c r="T305" s="935"/>
      <c r="U305" s="935"/>
      <c r="V305" s="935"/>
      <c r="W305" s="375"/>
      <c r="X305" s="683"/>
      <c r="Y305" s="375"/>
      <c r="Z305" s="375"/>
      <c r="AA305"/>
      <c r="AB305"/>
      <c r="AC305"/>
      <c r="AD305"/>
      <c r="AE305"/>
      <c r="AF305"/>
      <c r="AG305"/>
    </row>
    <row r="306" spans="17:33" ht="12.75" customHeight="1">
      <c r="Q306" s="364"/>
      <c r="R306" s="926" t="s">
        <v>509</v>
      </c>
      <c r="S306" s="927" t="s">
        <v>21</v>
      </c>
      <c r="T306" s="928" t="s">
        <v>22</v>
      </c>
      <c r="U306" s="929" t="s">
        <v>579</v>
      </c>
      <c r="V306" s="930" t="s">
        <v>500</v>
      </c>
      <c r="W306" s="363"/>
      <c r="X306" s="684"/>
      <c r="Y306" s="363"/>
      <c r="Z306" s="364"/>
      <c r="AA306"/>
      <c r="AB306"/>
      <c r="AC306"/>
      <c r="AD306"/>
      <c r="AE306"/>
      <c r="AF306"/>
      <c r="AG306"/>
    </row>
    <row r="307" spans="17:33" ht="12.75" customHeight="1">
      <c r="Q307" s="364"/>
      <c r="R307" s="926"/>
      <c r="S307" s="927"/>
      <c r="T307" s="928"/>
      <c r="U307" s="929"/>
      <c r="V307" s="930"/>
      <c r="W307" s="363"/>
      <c r="X307" s="684"/>
      <c r="Y307" s="363"/>
      <c r="Z307" s="364"/>
      <c r="AA307"/>
      <c r="AB307"/>
      <c r="AC307"/>
      <c r="AD307"/>
      <c r="AE307"/>
      <c r="AF307"/>
      <c r="AG307"/>
    </row>
    <row r="308" spans="17:33" ht="12.75" customHeight="1">
      <c r="Q308" s="364"/>
      <c r="R308" s="667" t="s">
        <v>204</v>
      </c>
      <c r="S308" s="667" t="s">
        <v>846</v>
      </c>
      <c r="T308" s="667" t="s">
        <v>846</v>
      </c>
      <c r="U308" s="667" t="s">
        <v>846</v>
      </c>
      <c r="V308" s="667" t="s">
        <v>846</v>
      </c>
      <c r="W308" s="363"/>
      <c r="X308" s="363"/>
      <c r="Y308" s="363"/>
      <c r="Z308" s="364"/>
      <c r="AA308"/>
      <c r="AB308"/>
      <c r="AC308"/>
      <c r="AD308"/>
      <c r="AE308"/>
      <c r="AF308"/>
      <c r="AG308"/>
    </row>
    <row r="309" spans="17:33" ht="12.75" customHeight="1">
      <c r="Q309" s="364"/>
      <c r="R309" s="600">
        <v>1</v>
      </c>
      <c r="S309" s="369">
        <f>$X$69</f>
        <v>116</v>
      </c>
      <c r="T309" s="584">
        <f>$V$69</f>
        <v>108</v>
      </c>
      <c r="U309" s="685">
        <f>$W$69</f>
        <v>109</v>
      </c>
      <c r="V309" s="369">
        <f>$U$69</f>
        <v>102</v>
      </c>
      <c r="W309" s="363"/>
      <c r="X309" s="363"/>
      <c r="Y309" s="363"/>
      <c r="Z309" s="364"/>
      <c r="AA309"/>
      <c r="AB309"/>
      <c r="AC309"/>
      <c r="AD309"/>
      <c r="AE309"/>
      <c r="AF309"/>
      <c r="AG309"/>
    </row>
    <row r="310" spans="17:33" ht="12.75" customHeight="1">
      <c r="Q310" s="364"/>
      <c r="R310" s="600">
        <v>2</v>
      </c>
      <c r="S310" s="584">
        <f>(LOG((10^(S309/10))+(10^(S309/10))))*10</f>
        <v>119.01029995663983</v>
      </c>
      <c r="T310" s="584">
        <f>(LOG((10^(T309/10))+(10^(T309/10))))*10</f>
        <v>111.01029995663981</v>
      </c>
      <c r="U310" s="584">
        <f>(LOG((10^(U309/10))+(10^(U309/10))))*10</f>
        <v>112.01029995663981</v>
      </c>
      <c r="V310" s="584">
        <f>(LOG((10^(V309/10))+(10^(V309/10))))*10</f>
        <v>105.01029995663983</v>
      </c>
      <c r="W310" s="363"/>
      <c r="X310" s="363"/>
      <c r="Y310" s="363"/>
      <c r="Z310" s="364"/>
      <c r="AA310"/>
      <c r="AB310"/>
      <c r="AC310"/>
      <c r="AD310"/>
      <c r="AE310"/>
      <c r="AF310"/>
      <c r="AG310"/>
    </row>
    <row r="311" spans="17:33" ht="12.75" customHeight="1">
      <c r="Q311" s="597"/>
      <c r="R311" s="600">
        <v>3</v>
      </c>
      <c r="S311" s="584">
        <f>(LOG((10^(S309/10))+(10^(S309/10))+(10^(S309/10)))*10)</f>
        <v>120.77121254719664</v>
      </c>
      <c r="T311" s="584">
        <f>(LOG((10^(T309/10))+(10^(T309/10))+(10^(T309/10)))*10)</f>
        <v>112.77121254719663</v>
      </c>
      <c r="U311" s="584">
        <f>(LOG((10^(U309/10))+(10^(U309/10))+(10^(U309/10)))*10)</f>
        <v>113.77121254719663</v>
      </c>
      <c r="V311" s="584">
        <f>(LOG((10^(V309/10))+(10^(V309/10))+(10^(V309/10)))*10)</f>
        <v>106.77121254719664</v>
      </c>
      <c r="W311" s="363"/>
      <c r="X311" s="363"/>
      <c r="Y311" s="363"/>
      <c r="Z311" s="364"/>
      <c r="AA311"/>
      <c r="AB311"/>
      <c r="AC311"/>
      <c r="AD311"/>
      <c r="AE311"/>
      <c r="AF311"/>
      <c r="AG311"/>
    </row>
    <row r="312" spans="17:33" ht="12.75" customHeight="1">
      <c r="Q312" s="364"/>
      <c r="R312" s="600">
        <v>4</v>
      </c>
      <c r="S312" s="584">
        <f>(LOG((10^(S309/10))+(10^(S309/10))+(10^(S309/10))+(10^(S309/10))))*10</f>
        <v>122.02059991327964</v>
      </c>
      <c r="T312" s="584">
        <f>(LOG((10^(T309/10))+(10^(T309/10))+(10^(T309/10))+(10^(T309/10))))*10</f>
        <v>114.02059991327963</v>
      </c>
      <c r="U312" s="584">
        <f>(LOG((10^(U309/10))+(10^(U309/10))+(10^(U309/10))+(10^(U309/10))))*10</f>
        <v>115.02059991327963</v>
      </c>
      <c r="V312" s="584">
        <f>(LOG((10^(V309/10))+(10^(V309/10))+(10^(V309/10))+(10^(V309/10))))*10</f>
        <v>108.02059991327964</v>
      </c>
      <c r="W312" s="363"/>
      <c r="X312" s="363"/>
      <c r="Y312" s="363"/>
      <c r="Z312" s="364"/>
      <c r="AA312"/>
      <c r="AB312"/>
      <c r="AC312"/>
      <c r="AD312"/>
      <c r="AE312"/>
      <c r="AF312"/>
      <c r="AG312"/>
    </row>
    <row r="313" spans="17:33" ht="12.75" customHeight="1">
      <c r="Q313" s="364"/>
      <c r="R313" s="600">
        <v>5</v>
      </c>
      <c r="S313" s="584">
        <f>(LOG((10^(S309/10))+(10^(S309/10))+(10^(S309/10))+(10^(S309/10))+(10^(S309/10))))*10</f>
        <v>122.9897000433602</v>
      </c>
      <c r="T313" s="584">
        <f>(LOG((10^(T309/10))+(10^(T309/10))+(10^(T309/10))+(10^(T309/10))+(10^(T309/10))))*10</f>
        <v>114.98970004336019</v>
      </c>
      <c r="U313" s="584">
        <f>(LOG((10^(U309/10))+(10^(U309/10))+(10^(U309/10))+(10^(U309/10))+(10^(U309/10))))*10</f>
        <v>115.98970004336019</v>
      </c>
      <c r="V313" s="584">
        <f>(LOG((10^(V309/10))+(10^(V309/10))+(10^(V309/10))+(10^(V309/10))+(10^(V309/10))))*10</f>
        <v>108.9897000433602</v>
      </c>
      <c r="W313" s="363"/>
      <c r="X313" s="363"/>
      <c r="Y313" s="363"/>
      <c r="Z313" s="364"/>
      <c r="AA313"/>
      <c r="AB313"/>
      <c r="AC313"/>
      <c r="AD313"/>
      <c r="AE313"/>
      <c r="AF313"/>
      <c r="AG313"/>
    </row>
    <row r="314" spans="17:33" ht="12.75" customHeight="1">
      <c r="Q314" s="364"/>
      <c r="R314" s="600">
        <v>6</v>
      </c>
      <c r="S314" s="584">
        <f>(LOG((10^(S309/10))+(10^(S309/10))+(10^(S309/10))+(10^(S309/10))+(10^(S309/10))+(10^(S309/10)))*10)</f>
        <v>123.78151250383645</v>
      </c>
      <c r="T314" s="584">
        <f>(LOG((10^(T309/10))+(10^(T309/10))+(10^(T309/10))+(10^(T309/10))+(10^(T309/10))+(10^(T309/10)))*10)</f>
        <v>115.78151250383644</v>
      </c>
      <c r="U314" s="584">
        <f>(LOG((10^(U309/10))+(10^(U309/10))+(10^(U309/10))+(10^(U309/10))+(10^(U309/10))+(10^(U309/10)))*10)</f>
        <v>116.78151250383644</v>
      </c>
      <c r="V314" s="584">
        <f>(LOG((10^(V309/10))+(10^(V309/10))+(10^(V309/10))+(10^(V309/10))+(10^(V309/10))+(10^(V309/10)))*10)</f>
        <v>109.78151250383645</v>
      </c>
      <c r="W314" s="363"/>
      <c r="X314" s="363"/>
      <c r="Y314" s="363"/>
      <c r="Z314" s="364"/>
      <c r="AA314"/>
      <c r="AB314"/>
      <c r="AC314"/>
      <c r="AD314"/>
      <c r="AE314"/>
      <c r="AF314"/>
      <c r="AG314"/>
    </row>
    <row r="315" spans="17:33" ht="12.75" customHeight="1" thickBot="1">
      <c r="Q315" s="364"/>
      <c r="R315" s="364"/>
      <c r="S315" s="364"/>
      <c r="T315" s="364"/>
      <c r="U315" s="364"/>
      <c r="V315" s="364"/>
      <c r="W315" s="364"/>
      <c r="X315" s="364"/>
      <c r="Y315" s="364"/>
      <c r="Z315" s="364"/>
      <c r="AA315"/>
      <c r="AB315"/>
      <c r="AC315"/>
      <c r="AD315"/>
      <c r="AE315"/>
      <c r="AF315"/>
      <c r="AG315"/>
    </row>
    <row r="316" spans="17:33" ht="12.75" customHeight="1" thickTop="1">
      <c r="Q316" s="364"/>
      <c r="R316" s="916" t="s">
        <v>428</v>
      </c>
      <c r="S316" s="917"/>
      <c r="T316" s="917"/>
      <c r="U316" s="917"/>
      <c r="V316" s="917"/>
      <c r="W316" s="918"/>
      <c r="X316" s="364"/>
      <c r="Y316" s="364"/>
      <c r="Z316" s="364"/>
      <c r="AA316"/>
      <c r="AB316"/>
      <c r="AC316"/>
      <c r="AD316"/>
      <c r="AE316"/>
      <c r="AF316"/>
      <c r="AG316"/>
    </row>
    <row r="317" spans="17:33" ht="12.75" customHeight="1">
      <c r="Q317" s="364"/>
      <c r="R317" s="919"/>
      <c r="S317" s="920"/>
      <c r="T317" s="920"/>
      <c r="U317" s="920"/>
      <c r="V317" s="920"/>
      <c r="W317" s="921"/>
      <c r="X317" s="364"/>
      <c r="Y317" s="364"/>
      <c r="Z317" s="364"/>
      <c r="AA317"/>
      <c r="AB317"/>
      <c r="AC317"/>
      <c r="AD317"/>
      <c r="AE317"/>
      <c r="AF317"/>
      <c r="AG317"/>
    </row>
    <row r="318" spans="17:33" ht="12.75" customHeight="1" thickBot="1">
      <c r="Q318" s="364"/>
      <c r="R318" s="922"/>
      <c r="S318" s="923"/>
      <c r="T318" s="923"/>
      <c r="U318" s="923"/>
      <c r="V318" s="923"/>
      <c r="W318" s="924"/>
      <c r="X318" s="364"/>
      <c r="Y318" s="364"/>
      <c r="Z318" s="364"/>
      <c r="AA318"/>
      <c r="AB318"/>
      <c r="AC318"/>
      <c r="AD318"/>
      <c r="AE318"/>
      <c r="AF318"/>
      <c r="AG318"/>
    </row>
    <row r="319" spans="17:33" ht="12.75" customHeight="1" thickTop="1">
      <c r="Q319" s="364"/>
      <c r="R319" s="925" t="str">
        <f>S306</f>
        <v>Seco S215</v>
      </c>
      <c r="S319" s="925"/>
      <c r="T319" s="925"/>
      <c r="U319" s="925"/>
      <c r="V319" s="925"/>
      <c r="W319" s="925"/>
      <c r="X319" s="364"/>
      <c r="Y319" s="364"/>
      <c r="Z319" s="364"/>
      <c r="AA319"/>
      <c r="AB319"/>
      <c r="AC319"/>
      <c r="AD319"/>
      <c r="AE319"/>
      <c r="AF319"/>
      <c r="AG319"/>
    </row>
    <row r="320" spans="17:33" ht="12.75" customHeight="1" thickBot="1">
      <c r="Q320" s="364"/>
      <c r="R320" s="910" t="s">
        <v>205</v>
      </c>
      <c r="S320" s="911"/>
      <c r="T320" s="911"/>
      <c r="U320" s="911"/>
      <c r="V320" s="911"/>
      <c r="W320" s="912"/>
      <c r="X320" s="364"/>
      <c r="Y320" s="364"/>
      <c r="Z320" s="364"/>
      <c r="AA320"/>
      <c r="AB320"/>
      <c r="AC320"/>
      <c r="AD320"/>
      <c r="AE320"/>
      <c r="AF320"/>
      <c r="AG320"/>
    </row>
    <row r="321" spans="17:33" ht="12.75" customHeight="1" thickBot="1">
      <c r="Q321" s="364"/>
      <c r="R321" s="686" t="s">
        <v>59</v>
      </c>
      <c r="S321" s="577"/>
      <c r="T321" s="687"/>
      <c r="U321" s="687"/>
      <c r="V321" s="687"/>
      <c r="W321" s="688"/>
      <c r="X321" s="364"/>
      <c r="Y321" s="364"/>
      <c r="Z321" s="364"/>
      <c r="AA321"/>
      <c r="AB321"/>
      <c r="AC321"/>
      <c r="AD321"/>
      <c r="AE321"/>
      <c r="AF321"/>
      <c r="AG321"/>
    </row>
    <row r="322" spans="17:33" ht="12.75" customHeight="1">
      <c r="Q322" s="364"/>
      <c r="R322" s="895" t="s">
        <v>845</v>
      </c>
      <c r="S322" s="896"/>
      <c r="T322" s="900" t="s">
        <v>835</v>
      </c>
      <c r="U322" s="900" t="s">
        <v>836</v>
      </c>
      <c r="V322" s="900" t="s">
        <v>837</v>
      </c>
      <c r="W322" s="902" t="s">
        <v>838</v>
      </c>
      <c r="X322" s="364"/>
      <c r="Y322" s="364"/>
      <c r="Z322" s="364"/>
      <c r="AA322"/>
      <c r="AB322"/>
      <c r="AC322"/>
      <c r="AD322"/>
      <c r="AE322"/>
      <c r="AF322"/>
      <c r="AG322"/>
    </row>
    <row r="323" spans="17:33" ht="12.75" customHeight="1">
      <c r="Q323" s="364"/>
      <c r="R323" s="892"/>
      <c r="S323" s="897"/>
      <c r="T323" s="904"/>
      <c r="U323" s="904"/>
      <c r="V323" s="904"/>
      <c r="W323" s="905"/>
      <c r="X323" s="364"/>
      <c r="Y323" s="364"/>
      <c r="Z323" s="364"/>
      <c r="AA323"/>
      <c r="AB323"/>
      <c r="AC323"/>
      <c r="AD323"/>
      <c r="AE323"/>
      <c r="AF323"/>
      <c r="AG323"/>
    </row>
    <row r="324" spans="17:33" ht="12.75" customHeight="1">
      <c r="Q324" s="364"/>
      <c r="R324" s="892"/>
      <c r="S324" s="897"/>
      <c r="T324" s="901"/>
      <c r="U324" s="901"/>
      <c r="V324" s="901"/>
      <c r="W324" s="903"/>
      <c r="X324" s="364"/>
      <c r="Y324" s="364"/>
      <c r="Z324" s="364"/>
      <c r="AA324"/>
      <c r="AB324"/>
      <c r="AC324"/>
      <c r="AD324"/>
      <c r="AE324"/>
      <c r="AF324"/>
      <c r="AG324"/>
    </row>
    <row r="325" spans="17:33" ht="12.75" customHeight="1">
      <c r="Q325" s="364"/>
      <c r="R325" s="892"/>
      <c r="S325" s="897"/>
      <c r="T325" s="689">
        <f>X69</f>
        <v>116</v>
      </c>
      <c r="U325" s="560">
        <f>X62</f>
        <v>1.4285714285714284</v>
      </c>
      <c r="V325" s="690">
        <f>IF(T325&gt;0,W325*U325," ")</f>
        <v>22857.142857142855</v>
      </c>
      <c r="W325" s="691">
        <f>IF(T325&gt;0,(VLOOKUP(T325,'Lookup Ready-reckoner'!$B$5:$E$1207,4))," ")</f>
        <v>16000</v>
      </c>
      <c r="X325" s="364"/>
      <c r="Y325" s="364"/>
      <c r="Z325" s="364"/>
      <c r="AA325"/>
      <c r="AB325"/>
      <c r="AC325"/>
      <c r="AD325"/>
      <c r="AE325"/>
      <c r="AF325"/>
      <c r="AG325"/>
    </row>
    <row r="326" spans="17:33" ht="12.75" customHeight="1">
      <c r="Q326" s="364"/>
      <c r="R326" s="898"/>
      <c r="S326" s="899"/>
      <c r="T326" s="447"/>
      <c r="U326" s="560"/>
      <c r="V326" s="690" t="str">
        <f>IF(T326&gt;0,W326*U326," ")</f>
        <v xml:space="preserve"> </v>
      </c>
      <c r="W326" s="691" t="str">
        <f>IF(T326&gt;0,(VLOOKUP(T326,'Lookup Ready-reckoner'!$B$5:$E$1007,4))," ")</f>
        <v xml:space="preserve"> </v>
      </c>
      <c r="X326" s="364"/>
      <c r="Y326" s="364"/>
      <c r="Z326" s="364"/>
      <c r="AA326"/>
      <c r="AB326"/>
      <c r="AC326"/>
      <c r="AD326"/>
      <c r="AE326"/>
      <c r="AF326"/>
      <c r="AG326"/>
    </row>
    <row r="327" spans="17:33" ht="12.75" customHeight="1" thickBot="1">
      <c r="Q327" s="364"/>
      <c r="R327" s="692" t="s">
        <v>839</v>
      </c>
      <c r="S327" s="693"/>
      <c r="T327" s="693"/>
      <c r="U327" s="694">
        <f>IF(T325&gt;0,(VLOOKUP(V327,'Lookup Ready-reckoner'!$L$5:$M$1207,2))," ")</f>
        <v>108.5</v>
      </c>
      <c r="V327" s="695">
        <f>IF(U325&gt;0,(SUM(V325:V326))," ")</f>
        <v>22857.142857142855</v>
      </c>
      <c r="W327" s="696"/>
      <c r="X327" s="364"/>
      <c r="Y327" s="364"/>
      <c r="Z327" s="364"/>
      <c r="AA327"/>
      <c r="AB327"/>
      <c r="AC327"/>
      <c r="AD327"/>
      <c r="AE327"/>
      <c r="AF327"/>
      <c r="AG327"/>
    </row>
    <row r="328" spans="17:33" ht="12.75" customHeight="1" thickBot="1">
      <c r="Q328" s="364"/>
      <c r="R328" s="892"/>
      <c r="S328" s="893"/>
      <c r="T328" s="893"/>
      <c r="U328" s="893"/>
      <c r="V328" s="893"/>
      <c r="W328" s="894"/>
      <c r="X328" s="364"/>
      <c r="Y328" s="364"/>
      <c r="Z328" s="364"/>
      <c r="AA328"/>
      <c r="AB328"/>
      <c r="AC328"/>
      <c r="AD328"/>
      <c r="AE328"/>
      <c r="AF328"/>
      <c r="AG328"/>
    </row>
    <row r="329" spans="17:33" ht="12.75" customHeight="1">
      <c r="Q329" s="364"/>
      <c r="R329" s="895" t="s">
        <v>886</v>
      </c>
      <c r="S329" s="896"/>
      <c r="T329" s="900" t="s">
        <v>835</v>
      </c>
      <c r="U329" s="900" t="s">
        <v>836</v>
      </c>
      <c r="V329" s="900" t="s">
        <v>837</v>
      </c>
      <c r="W329" s="902" t="s">
        <v>838</v>
      </c>
      <c r="X329" s="364"/>
      <c r="Y329" s="364"/>
      <c r="Z329" s="364"/>
      <c r="AA329"/>
      <c r="AB329"/>
      <c r="AC329"/>
      <c r="AD329"/>
      <c r="AE329"/>
      <c r="AF329"/>
      <c r="AG329"/>
    </row>
    <row r="330" spans="17:33" ht="12.75" customHeight="1">
      <c r="Q330" s="364"/>
      <c r="R330" s="892"/>
      <c r="S330" s="897"/>
      <c r="T330" s="901"/>
      <c r="U330" s="901"/>
      <c r="V330" s="901"/>
      <c r="W330" s="903"/>
      <c r="X330" s="364"/>
      <c r="Y330" s="364"/>
      <c r="Z330" s="364"/>
      <c r="AA330"/>
      <c r="AB330"/>
      <c r="AC330"/>
      <c r="AD330"/>
      <c r="AE330"/>
      <c r="AF330"/>
      <c r="AG330"/>
    </row>
    <row r="331" spans="17:33" ht="12.75" customHeight="1">
      <c r="Q331" s="364"/>
      <c r="R331" s="892"/>
      <c r="S331" s="897"/>
      <c r="T331" s="689">
        <f>T325*(1-0.0178*2)</f>
        <v>111.8704</v>
      </c>
      <c r="U331" s="560">
        <f>U325</f>
        <v>1.4285714285714284</v>
      </c>
      <c r="V331" s="690">
        <f>IF(T331&gt;0,W331*U331," ")</f>
        <v>8842.8571428571413</v>
      </c>
      <c r="W331" s="691">
        <f>IF(T331&gt;0,(VLOOKUP(T331,'Lookup Ready-reckoner'!$B$5:$E$1207,4))," ")</f>
        <v>6190</v>
      </c>
      <c r="X331" s="364"/>
      <c r="Y331" s="364"/>
      <c r="Z331" s="364"/>
      <c r="AA331"/>
      <c r="AB331"/>
      <c r="AC331"/>
      <c r="AD331"/>
      <c r="AE331"/>
      <c r="AF331"/>
      <c r="AG331"/>
    </row>
    <row r="332" spans="17:33" ht="12.75" customHeight="1">
      <c r="Q332" s="364"/>
      <c r="R332" s="898"/>
      <c r="S332" s="899"/>
      <c r="T332" s="447"/>
      <c r="U332" s="560"/>
      <c r="V332" s="690" t="str">
        <f>IF(T332&gt;0,W332*U332," ")</f>
        <v xml:space="preserve"> </v>
      </c>
      <c r="W332" s="691" t="str">
        <f>IF(T332&gt;0,(VLOOKUP(T332,'Lookup Ready-reckoner'!$B$5:$E$1007,4))," ")</f>
        <v xml:space="preserve"> </v>
      </c>
      <c r="X332" s="364"/>
      <c r="Y332" s="364"/>
      <c r="Z332" s="364"/>
      <c r="AA332"/>
      <c r="AB332"/>
      <c r="AC332"/>
      <c r="AD332"/>
      <c r="AE332"/>
      <c r="AF332"/>
      <c r="AG332"/>
    </row>
    <row r="333" spans="17:33" ht="12.75" customHeight="1" thickBot="1">
      <c r="Q333" s="364"/>
      <c r="R333" s="692" t="s">
        <v>839</v>
      </c>
      <c r="S333" s="693"/>
      <c r="T333" s="693"/>
      <c r="U333" s="694">
        <f>IF(T331&gt;0,(VLOOKUP(V333,'Lookup Ready-reckoner'!$L$5:$M$1207,2))," ")</f>
        <v>104.4</v>
      </c>
      <c r="V333" s="695">
        <f>IF(U331&gt;0,(SUM(V331:V332))," ")</f>
        <v>8842.8571428571413</v>
      </c>
      <c r="W333" s="696"/>
      <c r="X333" s="364"/>
      <c r="Y333" s="364"/>
      <c r="Z333" s="364"/>
      <c r="AA333"/>
      <c r="AB333"/>
      <c r="AC333"/>
      <c r="AD333"/>
      <c r="AE333"/>
      <c r="AF333"/>
      <c r="AG333"/>
    </row>
    <row r="334" spans="17:33" ht="12.75" customHeight="1">
      <c r="Q334" s="364"/>
      <c r="R334" s="697"/>
      <c r="S334" s="687"/>
      <c r="T334" s="687"/>
      <c r="U334" s="372"/>
      <c r="V334" s="374"/>
      <c r="W334" s="688"/>
      <c r="X334" s="364"/>
      <c r="Y334" s="364"/>
      <c r="Z334" s="364"/>
      <c r="AA334"/>
      <c r="AB334"/>
      <c r="AC334"/>
      <c r="AD334"/>
      <c r="AE334"/>
      <c r="AF334"/>
      <c r="AG334"/>
    </row>
    <row r="335" spans="17:33" ht="12.75" customHeight="1" thickBot="1">
      <c r="Q335" s="364"/>
      <c r="R335" s="686" t="s">
        <v>60</v>
      </c>
      <c r="S335" s="577"/>
      <c r="T335" s="577"/>
      <c r="U335" s="577"/>
      <c r="V335" s="577"/>
      <c r="W335" s="698"/>
      <c r="X335" s="364"/>
      <c r="Y335" s="364"/>
      <c r="Z335" s="364"/>
      <c r="AA335"/>
      <c r="AB335"/>
      <c r="AC335"/>
      <c r="AD335"/>
      <c r="AE335"/>
      <c r="AF335"/>
      <c r="AG335"/>
    </row>
    <row r="336" spans="17:33" ht="12.75" customHeight="1">
      <c r="Q336" s="364"/>
      <c r="R336" s="895" t="s">
        <v>845</v>
      </c>
      <c r="S336" s="896"/>
      <c r="T336" s="900" t="s">
        <v>835</v>
      </c>
      <c r="U336" s="900" t="s">
        <v>836</v>
      </c>
      <c r="V336" s="900" t="s">
        <v>837</v>
      </c>
      <c r="W336" s="902" t="s">
        <v>838</v>
      </c>
      <c r="X336" s="364"/>
      <c r="Y336" s="364"/>
      <c r="Z336" s="364"/>
      <c r="AA336"/>
      <c r="AB336"/>
      <c r="AC336"/>
      <c r="AD336"/>
      <c r="AE336"/>
      <c r="AF336"/>
      <c r="AG336"/>
    </row>
    <row r="337" spans="17:33" ht="12.75" customHeight="1">
      <c r="Q337" s="364"/>
      <c r="R337" s="892"/>
      <c r="S337" s="897"/>
      <c r="T337" s="901"/>
      <c r="U337" s="901"/>
      <c r="V337" s="901"/>
      <c r="W337" s="903"/>
      <c r="X337" s="364"/>
      <c r="Y337" s="364"/>
      <c r="Z337" s="364"/>
      <c r="AA337"/>
      <c r="AB337"/>
      <c r="AC337"/>
      <c r="AD337"/>
      <c r="AE337"/>
      <c r="AF337"/>
      <c r="AG337"/>
    </row>
    <row r="338" spans="17:33" ht="12.75" customHeight="1">
      <c r="Q338" s="364"/>
      <c r="R338" s="892"/>
      <c r="S338" s="897"/>
      <c r="T338" s="689">
        <f>T325-PPE!$I$15</f>
        <v>103</v>
      </c>
      <c r="U338" s="560">
        <f>U331</f>
        <v>1.4285714285714284</v>
      </c>
      <c r="V338" s="690">
        <f>IF(T338&gt;0,W338*U338," ")</f>
        <v>1142.8571428571427</v>
      </c>
      <c r="W338" s="691">
        <f>IF(T338&gt;0,(VLOOKUP(T338,'Lookup Ready-reckoner'!$B$5:$E$1207,4))," ")</f>
        <v>800</v>
      </c>
      <c r="X338" s="364"/>
      <c r="Y338" s="364"/>
      <c r="Z338" s="364"/>
      <c r="AA338"/>
      <c r="AB338"/>
      <c r="AC338"/>
      <c r="AD338"/>
      <c r="AE338"/>
      <c r="AF338"/>
      <c r="AG338"/>
    </row>
    <row r="339" spans="17:33" ht="12.75" customHeight="1">
      <c r="Q339" s="364"/>
      <c r="R339" s="898"/>
      <c r="S339" s="899"/>
      <c r="T339" s="447"/>
      <c r="U339" s="560"/>
      <c r="V339" s="690" t="str">
        <f>IF(T339&gt;0,W339*U339," ")</f>
        <v xml:space="preserve"> </v>
      </c>
      <c r="W339" s="691" t="str">
        <f>IF(T339&gt;0,(VLOOKUP(T339,'Lookup Ready-reckoner'!$B$5:$E$1007,4))," ")</f>
        <v xml:space="preserve"> </v>
      </c>
      <c r="X339" s="364"/>
      <c r="Y339" s="364"/>
      <c r="Z339" s="364"/>
      <c r="AA339"/>
      <c r="AB339"/>
      <c r="AC339"/>
      <c r="AD339"/>
      <c r="AE339"/>
      <c r="AF339"/>
      <c r="AG339"/>
    </row>
    <row r="340" spans="17:33" ht="12.75" customHeight="1" thickBot="1">
      <c r="Q340" s="364"/>
      <c r="R340" s="699" t="s">
        <v>839</v>
      </c>
      <c r="S340" s="693"/>
      <c r="T340" s="693"/>
      <c r="U340" s="694">
        <f>IF(T338&gt;0,(VLOOKUP(V340,'Lookup Ready-reckoner'!$L$5:$M$1207,2))," ")</f>
        <v>95.55</v>
      </c>
      <c r="V340" s="695">
        <f>IF(U338&gt;0,(SUM(V338:V339))," ")</f>
        <v>1142.8571428571427</v>
      </c>
      <c r="W340" s="696"/>
      <c r="X340" s="364"/>
      <c r="Y340" s="364"/>
      <c r="Z340" s="364"/>
      <c r="AA340"/>
      <c r="AB340"/>
      <c r="AC340"/>
      <c r="AD340"/>
      <c r="AE340"/>
      <c r="AF340"/>
      <c r="AG340"/>
    </row>
    <row r="341" spans="17:33" ht="12.75" customHeight="1" thickBot="1">
      <c r="Q341" s="364"/>
      <c r="R341" s="892"/>
      <c r="S341" s="893"/>
      <c r="T341" s="893"/>
      <c r="U341" s="893"/>
      <c r="V341" s="893"/>
      <c r="W341" s="894"/>
      <c r="X341" s="364"/>
      <c r="Y341" s="364"/>
      <c r="Z341" s="364"/>
      <c r="AA341"/>
      <c r="AB341"/>
      <c r="AC341"/>
      <c r="AD341"/>
      <c r="AE341"/>
      <c r="AF341"/>
      <c r="AG341"/>
    </row>
    <row r="342" spans="17:33" ht="12.75" customHeight="1">
      <c r="Q342" s="364"/>
      <c r="R342" s="895" t="s">
        <v>886</v>
      </c>
      <c r="S342" s="896"/>
      <c r="T342" s="900" t="s">
        <v>835</v>
      </c>
      <c r="U342" s="900" t="s">
        <v>836</v>
      </c>
      <c r="V342" s="900" t="s">
        <v>837</v>
      </c>
      <c r="W342" s="902" t="s">
        <v>838</v>
      </c>
      <c r="X342" s="364"/>
      <c r="Y342" s="364"/>
      <c r="Z342" s="364"/>
      <c r="AA342"/>
      <c r="AB342"/>
      <c r="AC342"/>
      <c r="AD342"/>
      <c r="AE342"/>
      <c r="AF342"/>
      <c r="AG342"/>
    </row>
    <row r="343" spans="17:33" ht="12.75" customHeight="1">
      <c r="Q343" s="364"/>
      <c r="R343" s="892"/>
      <c r="S343" s="897"/>
      <c r="T343" s="901"/>
      <c r="U343" s="901"/>
      <c r="V343" s="901"/>
      <c r="W343" s="903"/>
      <c r="X343" s="364"/>
      <c r="Y343" s="364"/>
      <c r="Z343" s="364"/>
      <c r="AA343"/>
      <c r="AB343"/>
      <c r="AC343"/>
      <c r="AD343"/>
      <c r="AE343"/>
      <c r="AF343"/>
      <c r="AG343"/>
    </row>
    <row r="344" spans="17:33" ht="12.75" customHeight="1">
      <c r="Q344" s="364"/>
      <c r="R344" s="892"/>
      <c r="S344" s="897"/>
      <c r="T344" s="689">
        <f>T331-PPE!$I$15</f>
        <v>98.870400000000004</v>
      </c>
      <c r="U344" s="560">
        <f>U338</f>
        <v>1.4285714285714284</v>
      </c>
      <c r="V344" s="690">
        <f>IF(T344&gt;0,W344*U344," ")</f>
        <v>433.03571428571422</v>
      </c>
      <c r="W344" s="691">
        <f>IF(T344&gt;0,(VLOOKUP(T344,'Lookup Ready-reckoner'!$B$5:$E$1207,4))," ")</f>
        <v>303.125</v>
      </c>
      <c r="X344" s="364"/>
      <c r="Y344" s="364"/>
      <c r="Z344" s="364"/>
      <c r="AA344"/>
      <c r="AB344"/>
      <c r="AC344"/>
      <c r="AD344"/>
      <c r="AE344"/>
      <c r="AF344"/>
      <c r="AG344"/>
    </row>
    <row r="345" spans="17:33" ht="12.75" customHeight="1">
      <c r="Q345" s="364"/>
      <c r="R345" s="898"/>
      <c r="S345" s="899"/>
      <c r="T345" s="447"/>
      <c r="U345" s="560"/>
      <c r="V345" s="690" t="str">
        <f>IF(T345&gt;0,W345*U345," ")</f>
        <v xml:space="preserve"> </v>
      </c>
      <c r="W345" s="691" t="str">
        <f>IF(T345&gt;0,(VLOOKUP(T345,'Lookup Ready-reckoner'!$B$5:$E$1007,4))," ")</f>
        <v xml:space="preserve"> </v>
      </c>
      <c r="X345" s="364"/>
      <c r="Y345" s="364"/>
      <c r="Z345" s="364"/>
      <c r="AA345"/>
      <c r="AB345"/>
      <c r="AC345"/>
      <c r="AD345"/>
      <c r="AE345"/>
      <c r="AF345"/>
      <c r="AG345"/>
    </row>
    <row r="346" spans="17:33" ht="12.75" customHeight="1" thickBot="1">
      <c r="Q346" s="364"/>
      <c r="R346" s="692" t="s">
        <v>839</v>
      </c>
      <c r="S346" s="693"/>
      <c r="T346" s="693"/>
      <c r="U346" s="694">
        <f>IF(T344&gt;0,(VLOOKUP(V346,'Lookup Ready-reckoner'!$L$5:$M$1207,2))," ")</f>
        <v>91.3</v>
      </c>
      <c r="V346" s="695">
        <f>IF(U344&gt;0,(SUM(V344:V345))," ")</f>
        <v>433.03571428571422</v>
      </c>
      <c r="W346" s="696"/>
      <c r="X346" s="364"/>
      <c r="Y346" s="364"/>
      <c r="Z346" s="364"/>
      <c r="AA346"/>
      <c r="AB346"/>
      <c r="AC346"/>
      <c r="AD346"/>
      <c r="AE346"/>
      <c r="AF346"/>
      <c r="AG346"/>
    </row>
    <row r="347" spans="17:33" ht="12.75" customHeight="1">
      <c r="Q347" s="364"/>
      <c r="R347" s="363"/>
      <c r="S347" s="363"/>
      <c r="T347" s="363"/>
      <c r="U347" s="363"/>
      <c r="V347" s="363"/>
      <c r="W347" s="363"/>
      <c r="X347" s="364"/>
      <c r="Y347" s="364"/>
      <c r="Z347" s="364"/>
      <c r="AA347"/>
      <c r="AB347"/>
      <c r="AC347"/>
      <c r="AD347"/>
      <c r="AE347"/>
      <c r="AF347"/>
      <c r="AG347"/>
    </row>
    <row r="348" spans="17:33" ht="12.75" customHeight="1" thickBot="1">
      <c r="Q348" s="364"/>
      <c r="R348" s="915" t="str">
        <f>T306</f>
        <v>Seco S215 Muffled</v>
      </c>
      <c r="S348" s="915"/>
      <c r="T348" s="915"/>
      <c r="U348" s="915"/>
      <c r="V348" s="915"/>
      <c r="W348" s="915"/>
      <c r="X348" s="364"/>
      <c r="Y348" s="363"/>
      <c r="Z348" s="363"/>
      <c r="AA348"/>
      <c r="AB348"/>
      <c r="AC348"/>
      <c r="AD348"/>
      <c r="AE348"/>
      <c r="AF348"/>
      <c r="AG348"/>
    </row>
    <row r="349" spans="17:33" ht="12.75" customHeight="1" thickBot="1">
      <c r="Q349" s="364"/>
      <c r="R349" s="906" t="s">
        <v>205</v>
      </c>
      <c r="S349" s="907"/>
      <c r="T349" s="907"/>
      <c r="U349" s="907"/>
      <c r="V349" s="907"/>
      <c r="W349" s="908"/>
      <c r="X349" s="364"/>
      <c r="Y349" s="363"/>
      <c r="Z349" s="363"/>
      <c r="AA349"/>
      <c r="AB349"/>
      <c r="AC349"/>
      <c r="AD349"/>
      <c r="AE349"/>
      <c r="AF349"/>
      <c r="AG349"/>
    </row>
    <row r="350" spans="17:33" ht="12.75" customHeight="1" thickBot="1">
      <c r="Q350" s="364"/>
      <c r="R350" s="686" t="s">
        <v>59</v>
      </c>
      <c r="S350" s="577"/>
      <c r="T350" s="687"/>
      <c r="U350" s="687"/>
      <c r="V350" s="687"/>
      <c r="W350" s="688"/>
      <c r="X350" s="364"/>
      <c r="Y350" s="363"/>
      <c r="Z350" s="363"/>
      <c r="AA350"/>
      <c r="AB350"/>
      <c r="AC350"/>
      <c r="AD350"/>
      <c r="AE350"/>
      <c r="AF350"/>
      <c r="AG350"/>
    </row>
    <row r="351" spans="17:33" ht="12.75" customHeight="1">
      <c r="Q351" s="364"/>
      <c r="R351" s="895" t="s">
        <v>845</v>
      </c>
      <c r="S351" s="896"/>
      <c r="T351" s="900" t="s">
        <v>835</v>
      </c>
      <c r="U351" s="900" t="s">
        <v>836</v>
      </c>
      <c r="V351" s="900" t="s">
        <v>837</v>
      </c>
      <c r="W351" s="902" t="s">
        <v>838</v>
      </c>
      <c r="X351" s="364"/>
      <c r="Y351" s="363"/>
      <c r="Z351" s="363"/>
      <c r="AA351"/>
      <c r="AB351"/>
      <c r="AC351"/>
      <c r="AD351"/>
      <c r="AE351"/>
      <c r="AF351"/>
      <c r="AG351"/>
    </row>
    <row r="352" spans="17:33" ht="12.75" customHeight="1">
      <c r="Q352" s="364"/>
      <c r="R352" s="892"/>
      <c r="S352" s="897"/>
      <c r="T352" s="904"/>
      <c r="U352" s="904"/>
      <c r="V352" s="904"/>
      <c r="W352" s="905"/>
      <c r="X352" s="364"/>
      <c r="Y352" s="363"/>
      <c r="Z352" s="363"/>
      <c r="AA352"/>
      <c r="AB352"/>
      <c r="AC352"/>
      <c r="AD352"/>
      <c r="AE352"/>
      <c r="AF352"/>
      <c r="AG352"/>
    </row>
    <row r="353" spans="17:33" ht="12.75" customHeight="1">
      <c r="Q353" s="364"/>
      <c r="R353" s="892"/>
      <c r="S353" s="897"/>
      <c r="T353" s="901"/>
      <c r="U353" s="901"/>
      <c r="V353" s="901"/>
      <c r="W353" s="903"/>
      <c r="X353" s="364"/>
      <c r="Y353" s="363"/>
      <c r="Z353" s="363"/>
      <c r="AA353"/>
      <c r="AB353"/>
      <c r="AC353"/>
      <c r="AD353"/>
      <c r="AE353"/>
      <c r="AF353"/>
      <c r="AG353"/>
    </row>
    <row r="354" spans="17:33" ht="12.75" customHeight="1">
      <c r="Q354" s="364"/>
      <c r="R354" s="892"/>
      <c r="S354" s="897"/>
      <c r="T354" s="700">
        <f>V69</f>
        <v>108</v>
      </c>
      <c r="U354" s="560">
        <f>V62</f>
        <v>1.9999999999999996</v>
      </c>
      <c r="V354" s="690">
        <f>IF(T354&gt;0,W354*U354," ")</f>
        <v>4999.9999999999991</v>
      </c>
      <c r="W354" s="691">
        <f>IF(T354&gt;0,(VLOOKUP(T354,'Lookup Ready-reckoner'!$B$5:$E$1207,4))," ")</f>
        <v>2500</v>
      </c>
      <c r="X354" s="364"/>
      <c r="Y354" s="363"/>
      <c r="Z354" s="363"/>
      <c r="AA354"/>
      <c r="AB354"/>
      <c r="AC354"/>
      <c r="AD354"/>
      <c r="AE354"/>
      <c r="AF354"/>
      <c r="AG354"/>
    </row>
    <row r="355" spans="17:33" ht="12.75" customHeight="1">
      <c r="Q355" s="364"/>
      <c r="R355" s="898"/>
      <c r="S355" s="899"/>
      <c r="T355" s="447"/>
      <c r="U355" s="560"/>
      <c r="V355" s="690" t="str">
        <f>IF(T355&gt;0,W355*U355," ")</f>
        <v xml:space="preserve"> </v>
      </c>
      <c r="W355" s="691" t="str">
        <f>IF(T355&gt;0,(VLOOKUP(T355,'Lookup Ready-reckoner'!$B$5:$E$1007,4))," ")</f>
        <v xml:space="preserve"> </v>
      </c>
      <c r="X355" s="364"/>
      <c r="Y355" s="363"/>
      <c r="Z355" s="363"/>
      <c r="AA355"/>
      <c r="AB355"/>
      <c r="AC355"/>
      <c r="AD355"/>
      <c r="AE355"/>
      <c r="AF355"/>
      <c r="AG355"/>
    </row>
    <row r="356" spans="17:33" ht="12.75" customHeight="1" thickBot="1">
      <c r="Q356" s="364"/>
      <c r="R356" s="699" t="s">
        <v>839</v>
      </c>
      <c r="S356" s="693"/>
      <c r="T356" s="693"/>
      <c r="U356" s="701">
        <f>IF(T354&gt;0,(VLOOKUP(V356,'Lookup Ready-reckoner'!$L$5:$M$1207,2))," ")</f>
        <v>101.95</v>
      </c>
      <c r="V356" s="695">
        <f>IF(U354&gt;0,(SUM(V354:V355))," ")</f>
        <v>4999.9999999999991</v>
      </c>
      <c r="W356" s="696"/>
      <c r="X356" s="364"/>
      <c r="Y356" s="363"/>
      <c r="Z356" s="363"/>
      <c r="AA356"/>
      <c r="AB356"/>
      <c r="AC356"/>
      <c r="AD356"/>
      <c r="AE356"/>
      <c r="AF356"/>
      <c r="AG356"/>
    </row>
    <row r="357" spans="17:33" ht="12.75" customHeight="1" thickBot="1">
      <c r="Q357" s="364"/>
      <c r="R357" s="892"/>
      <c r="S357" s="893"/>
      <c r="T357" s="893"/>
      <c r="U357" s="893"/>
      <c r="V357" s="893"/>
      <c r="W357" s="894"/>
      <c r="X357" s="364"/>
      <c r="Y357" s="363"/>
      <c r="Z357" s="363"/>
      <c r="AA357"/>
      <c r="AB357"/>
      <c r="AC357"/>
      <c r="AD357"/>
      <c r="AE357"/>
      <c r="AF357"/>
      <c r="AG357"/>
    </row>
    <row r="358" spans="17:33" ht="12.75" customHeight="1">
      <c r="Q358" s="364"/>
      <c r="R358" s="895" t="s">
        <v>886</v>
      </c>
      <c r="S358" s="896"/>
      <c r="T358" s="900" t="s">
        <v>835</v>
      </c>
      <c r="U358" s="900" t="s">
        <v>836</v>
      </c>
      <c r="V358" s="900" t="s">
        <v>837</v>
      </c>
      <c r="W358" s="902" t="s">
        <v>838</v>
      </c>
      <c r="X358" s="364"/>
      <c r="Y358" s="363"/>
      <c r="Z358" s="363"/>
      <c r="AA358"/>
      <c r="AB358"/>
      <c r="AC358"/>
      <c r="AD358"/>
      <c r="AE358"/>
      <c r="AF358"/>
      <c r="AG358"/>
    </row>
    <row r="359" spans="17:33" ht="12.75" customHeight="1">
      <c r="Q359" s="364"/>
      <c r="R359" s="892"/>
      <c r="S359" s="897"/>
      <c r="T359" s="901"/>
      <c r="U359" s="901"/>
      <c r="V359" s="901"/>
      <c r="W359" s="903"/>
      <c r="X359" s="364"/>
      <c r="Y359" s="363"/>
      <c r="Z359" s="363"/>
      <c r="AA359"/>
      <c r="AB359"/>
      <c r="AC359"/>
      <c r="AD359"/>
      <c r="AE359"/>
      <c r="AF359"/>
      <c r="AG359"/>
    </row>
    <row r="360" spans="17:33" ht="12.75" customHeight="1">
      <c r="Q360" s="364"/>
      <c r="R360" s="892"/>
      <c r="S360" s="897"/>
      <c r="T360" s="700">
        <f>T354*(1-0.0178*2)</f>
        <v>104.15520000000001</v>
      </c>
      <c r="U360" s="560">
        <f>U354</f>
        <v>1.9999999999999996</v>
      </c>
      <c r="V360" s="690">
        <f>IF(T360&gt;0,W360*U360," ")</f>
        <v>2074.9999999999995</v>
      </c>
      <c r="W360" s="691">
        <f>IF(T360&gt;0,(VLOOKUP(T360,'Lookup Ready-reckoner'!$B$5:$E$1207,4))," ")</f>
        <v>1037.5</v>
      </c>
      <c r="X360" s="364"/>
      <c r="Y360" s="363"/>
      <c r="Z360" s="363"/>
      <c r="AA360"/>
      <c r="AB360"/>
      <c r="AC360"/>
      <c r="AD360"/>
      <c r="AE360"/>
      <c r="AF360"/>
      <c r="AG360"/>
    </row>
    <row r="361" spans="17:33" ht="12.75" customHeight="1">
      <c r="Q361" s="364"/>
      <c r="R361" s="898"/>
      <c r="S361" s="899"/>
      <c r="T361" s="447"/>
      <c r="U361" s="560"/>
      <c r="V361" s="690" t="str">
        <f>IF(T361&gt;0,W361*U361," ")</f>
        <v xml:space="preserve"> </v>
      </c>
      <c r="W361" s="691" t="str">
        <f>IF(T361&gt;0,(VLOOKUP(T361,'Lookup Ready-reckoner'!$B$5:$E$1007,4))," ")</f>
        <v xml:space="preserve"> </v>
      </c>
      <c r="X361" s="364"/>
      <c r="Y361" s="363"/>
      <c r="Z361" s="363"/>
      <c r="AA361"/>
      <c r="AB361"/>
      <c r="AC361"/>
      <c r="AD361"/>
      <c r="AE361"/>
      <c r="AF361"/>
      <c r="AG361"/>
    </row>
    <row r="362" spans="17:33" ht="12.75" customHeight="1" thickBot="1">
      <c r="Q362" s="364"/>
      <c r="R362" s="692" t="s">
        <v>839</v>
      </c>
      <c r="S362" s="693"/>
      <c r="T362" s="693"/>
      <c r="U362" s="701">
        <f>IF(T360&gt;0,(VLOOKUP(V362,'Lookup Ready-reckoner'!$L$5:$M$1207,2))," ")</f>
        <v>98.1</v>
      </c>
      <c r="V362" s="695">
        <f>IF(U360&gt;0,(SUM(V360:V361))," ")</f>
        <v>2074.9999999999995</v>
      </c>
      <c r="W362" s="696"/>
      <c r="X362" s="364"/>
      <c r="Y362" s="363"/>
      <c r="Z362" s="363"/>
      <c r="AA362"/>
      <c r="AB362"/>
      <c r="AC362"/>
      <c r="AD362"/>
      <c r="AE362"/>
      <c r="AF362"/>
      <c r="AG362"/>
    </row>
    <row r="363" spans="17:33" ht="12.75" customHeight="1">
      <c r="Q363" s="364"/>
      <c r="R363" s="697"/>
      <c r="S363" s="687"/>
      <c r="T363" s="687"/>
      <c r="U363" s="372"/>
      <c r="V363" s="374"/>
      <c r="W363" s="688"/>
      <c r="X363" s="364"/>
      <c r="Y363" s="363"/>
      <c r="Z363" s="363"/>
      <c r="AA363"/>
      <c r="AB363"/>
      <c r="AC363"/>
      <c r="AD363"/>
      <c r="AE363"/>
      <c r="AF363"/>
      <c r="AG363"/>
    </row>
    <row r="364" spans="17:33" ht="12.75" customHeight="1" thickBot="1">
      <c r="Q364" s="364"/>
      <c r="R364" s="686" t="s">
        <v>60</v>
      </c>
      <c r="S364" s="577"/>
      <c r="T364" s="577"/>
      <c r="U364" s="577"/>
      <c r="V364" s="577"/>
      <c r="W364" s="698"/>
      <c r="X364" s="364"/>
      <c r="Y364" s="363"/>
      <c r="Z364" s="363"/>
      <c r="AA364"/>
      <c r="AB364"/>
      <c r="AC364"/>
      <c r="AD364"/>
      <c r="AE364"/>
      <c r="AF364"/>
      <c r="AG364"/>
    </row>
    <row r="365" spans="17:33" ht="12.75" customHeight="1">
      <c r="Q365" s="364"/>
      <c r="R365" s="895" t="s">
        <v>845</v>
      </c>
      <c r="S365" s="896"/>
      <c r="T365" s="900" t="s">
        <v>835</v>
      </c>
      <c r="U365" s="900" t="s">
        <v>836</v>
      </c>
      <c r="V365" s="900" t="s">
        <v>837</v>
      </c>
      <c r="W365" s="902" t="s">
        <v>838</v>
      </c>
      <c r="X365" s="364"/>
      <c r="Y365" s="363"/>
      <c r="Z365" s="363"/>
      <c r="AA365"/>
      <c r="AB365"/>
      <c r="AC365"/>
      <c r="AD365"/>
      <c r="AE365"/>
      <c r="AF365"/>
      <c r="AG365"/>
    </row>
    <row r="366" spans="17:33" ht="12.75" customHeight="1">
      <c r="Q366" s="364"/>
      <c r="R366" s="892"/>
      <c r="S366" s="897"/>
      <c r="T366" s="901"/>
      <c r="U366" s="901"/>
      <c r="V366" s="901"/>
      <c r="W366" s="903"/>
      <c r="X366" s="364"/>
      <c r="Y366" s="363"/>
      <c r="Z366" s="363"/>
      <c r="AA366"/>
      <c r="AB366"/>
      <c r="AC366"/>
      <c r="AD366"/>
      <c r="AE366"/>
      <c r="AF366"/>
      <c r="AG366"/>
    </row>
    <row r="367" spans="17:33" ht="12.75" customHeight="1">
      <c r="Q367" s="364"/>
      <c r="R367" s="892"/>
      <c r="S367" s="897"/>
      <c r="T367" s="700">
        <f>T354-PPE!$I$15</f>
        <v>95</v>
      </c>
      <c r="U367" s="560">
        <f>U360</f>
        <v>1.9999999999999996</v>
      </c>
      <c r="V367" s="690">
        <f>IF(T367&gt;0,W367*U367," ")</f>
        <v>249.99999999999994</v>
      </c>
      <c r="W367" s="691">
        <f>IF(T367&gt;0,(VLOOKUP(T367,'Lookup Ready-reckoner'!$B$5:$E$1207,4))," ")</f>
        <v>125</v>
      </c>
      <c r="X367" s="364"/>
      <c r="Y367" s="363"/>
      <c r="Z367" s="363"/>
      <c r="AA367"/>
      <c r="AB367"/>
      <c r="AC367"/>
      <c r="AD367"/>
      <c r="AE367"/>
      <c r="AF367"/>
      <c r="AG367"/>
    </row>
    <row r="368" spans="17:33" ht="12.75" customHeight="1">
      <c r="Q368" s="364"/>
      <c r="R368" s="898"/>
      <c r="S368" s="899"/>
      <c r="T368" s="447"/>
      <c r="U368" s="560"/>
      <c r="V368" s="690" t="str">
        <f>IF(T368&gt;0,W368*U368," ")</f>
        <v xml:space="preserve"> </v>
      </c>
      <c r="W368" s="691" t="str">
        <f>IF(T368&gt;0,(VLOOKUP(T368,'Lookup Ready-reckoner'!$B$5:$E$1007,4))," ")</f>
        <v xml:space="preserve"> </v>
      </c>
      <c r="X368" s="364"/>
      <c r="Y368" s="363"/>
      <c r="Z368" s="363"/>
      <c r="AA368"/>
      <c r="AB368"/>
      <c r="AC368"/>
      <c r="AD368"/>
      <c r="AE368"/>
      <c r="AF368"/>
      <c r="AG368"/>
    </row>
    <row r="369" spans="17:33" ht="12.75" customHeight="1" thickBot="1">
      <c r="Q369" s="364"/>
      <c r="R369" s="692" t="s">
        <v>839</v>
      </c>
      <c r="S369" s="693"/>
      <c r="T369" s="693"/>
      <c r="U369" s="701">
        <f>IF(T367&gt;0,(VLOOKUP(V369,'Lookup Ready-reckoner'!$L$5:$M$1207,2))," ")</f>
        <v>88.95</v>
      </c>
      <c r="V369" s="695">
        <f>IF(U367&gt;0,(SUM(V367:V368))," ")</f>
        <v>249.99999999999994</v>
      </c>
      <c r="W369" s="696"/>
      <c r="X369" s="364"/>
      <c r="Y369" s="363"/>
      <c r="Z369" s="363"/>
      <c r="AA369"/>
      <c r="AB369"/>
      <c r="AC369"/>
      <c r="AD369"/>
      <c r="AE369"/>
      <c r="AF369"/>
      <c r="AG369"/>
    </row>
    <row r="370" spans="17:33" ht="12.75" customHeight="1" thickBot="1">
      <c r="Q370" s="364"/>
      <c r="R370" s="892"/>
      <c r="S370" s="893"/>
      <c r="T370" s="893"/>
      <c r="U370" s="893"/>
      <c r="V370" s="893"/>
      <c r="W370" s="894"/>
      <c r="X370" s="364"/>
      <c r="Y370" s="363"/>
      <c r="Z370" s="363"/>
      <c r="AA370"/>
      <c r="AB370"/>
      <c r="AC370"/>
      <c r="AD370"/>
      <c r="AE370"/>
      <c r="AF370"/>
      <c r="AG370"/>
    </row>
    <row r="371" spans="17:33" ht="12.75" customHeight="1">
      <c r="Q371" s="364"/>
      <c r="R371" s="895" t="s">
        <v>886</v>
      </c>
      <c r="S371" s="896"/>
      <c r="T371" s="900" t="s">
        <v>835</v>
      </c>
      <c r="U371" s="900" t="s">
        <v>836</v>
      </c>
      <c r="V371" s="900" t="s">
        <v>837</v>
      </c>
      <c r="W371" s="902" t="s">
        <v>838</v>
      </c>
      <c r="X371" s="364"/>
      <c r="Y371" s="363"/>
      <c r="Z371" s="363"/>
      <c r="AA371"/>
      <c r="AB371"/>
      <c r="AC371"/>
      <c r="AD371"/>
      <c r="AE371"/>
      <c r="AF371"/>
      <c r="AG371"/>
    </row>
    <row r="372" spans="17:33" ht="12.75" customHeight="1">
      <c r="Q372" s="364"/>
      <c r="R372" s="892"/>
      <c r="S372" s="897"/>
      <c r="T372" s="901"/>
      <c r="U372" s="901"/>
      <c r="V372" s="901"/>
      <c r="W372" s="903"/>
      <c r="X372" s="364"/>
      <c r="Y372" s="363"/>
      <c r="Z372" s="363"/>
      <c r="AA372"/>
      <c r="AB372"/>
      <c r="AC372"/>
      <c r="AD372"/>
      <c r="AE372"/>
      <c r="AF372"/>
      <c r="AG372"/>
    </row>
    <row r="373" spans="17:33" ht="12.75" customHeight="1">
      <c r="Q373" s="364"/>
      <c r="R373" s="892"/>
      <c r="S373" s="897"/>
      <c r="T373" s="700">
        <f>T360-PPE!$I$15</f>
        <v>91.155200000000008</v>
      </c>
      <c r="U373" s="560">
        <f>U367</f>
        <v>1.9999999999999996</v>
      </c>
      <c r="V373" s="690">
        <f>IF(T373&gt;0,W373*U373," ")</f>
        <v>103.74999999999997</v>
      </c>
      <c r="W373" s="691">
        <f>IF(T373&gt;0,(VLOOKUP(T373,'Lookup Ready-reckoner'!$B$5:$E$1207,4))," ")</f>
        <v>51.875</v>
      </c>
      <c r="X373" s="364"/>
      <c r="Y373" s="363"/>
      <c r="Z373" s="363"/>
      <c r="AA373"/>
      <c r="AB373"/>
      <c r="AC373"/>
      <c r="AD373"/>
      <c r="AE373"/>
      <c r="AF373"/>
      <c r="AG373"/>
    </row>
    <row r="374" spans="17:33" ht="12.75" customHeight="1">
      <c r="Q374" s="364"/>
      <c r="R374" s="898"/>
      <c r="S374" s="899"/>
      <c r="T374" s="447"/>
      <c r="U374" s="560"/>
      <c r="V374" s="690" t="str">
        <f>IF(T374&gt;0,W374*U374," ")</f>
        <v xml:space="preserve"> </v>
      </c>
      <c r="W374" s="691" t="str">
        <f>IF(T374&gt;0,(VLOOKUP(T374,'Lookup Ready-reckoner'!$B$5:$E$1007,4))," ")</f>
        <v xml:space="preserve"> </v>
      </c>
      <c r="X374" s="364"/>
      <c r="Y374" s="363"/>
      <c r="Z374" s="363"/>
      <c r="AA374"/>
      <c r="AB374"/>
      <c r="AC374"/>
      <c r="AD374"/>
      <c r="AE374"/>
      <c r="AF374"/>
      <c r="AG374"/>
    </row>
    <row r="375" spans="17:33" ht="12.75" customHeight="1" thickBot="1">
      <c r="Q375" s="364"/>
      <c r="R375" s="692" t="s">
        <v>839</v>
      </c>
      <c r="S375" s="693"/>
      <c r="T375" s="693"/>
      <c r="U375" s="701">
        <f>IF(T373&gt;0,(VLOOKUP(V375,'Lookup Ready-reckoner'!$L$5:$M$1207,2))," ")</f>
        <v>85.1</v>
      </c>
      <c r="V375" s="695">
        <f>IF(U373&gt;0,(SUM(V373:V374))," ")</f>
        <v>103.74999999999997</v>
      </c>
      <c r="W375" s="696"/>
      <c r="X375" s="364"/>
      <c r="Y375" s="363"/>
      <c r="Z375" s="363"/>
      <c r="AA375"/>
      <c r="AB375"/>
      <c r="AC375"/>
      <c r="AD375"/>
      <c r="AE375"/>
      <c r="AF375"/>
      <c r="AG375"/>
    </row>
    <row r="376" spans="17:33" ht="12.75" customHeight="1">
      <c r="Q376" s="364"/>
      <c r="R376" s="363"/>
      <c r="S376" s="363"/>
      <c r="T376" s="363"/>
      <c r="U376" s="363"/>
      <c r="V376" s="363"/>
      <c r="W376" s="363"/>
      <c r="X376" s="364"/>
      <c r="Y376" s="364"/>
      <c r="Z376" s="364"/>
      <c r="AA376"/>
      <c r="AB376"/>
      <c r="AC376"/>
      <c r="AD376"/>
      <c r="AE376"/>
      <c r="AF376"/>
      <c r="AG376"/>
    </row>
    <row r="377" spans="17:33" ht="12.75" customHeight="1">
      <c r="Q377" s="364"/>
      <c r="R377" s="913" t="str">
        <f>U306</f>
        <v>Sulzer ADDS</v>
      </c>
      <c r="S377" s="914"/>
      <c r="T377" s="914"/>
      <c r="U377" s="914"/>
      <c r="V377" s="914"/>
      <c r="W377" s="914"/>
      <c r="X377" s="364"/>
      <c r="Y377" s="363"/>
      <c r="Z377" s="363"/>
      <c r="AA377"/>
      <c r="AB377"/>
      <c r="AC377"/>
      <c r="AD377"/>
      <c r="AE377"/>
      <c r="AF377"/>
      <c r="AG377"/>
    </row>
    <row r="378" spans="17:33" ht="12.75" customHeight="1" thickBot="1">
      <c r="Q378" s="364"/>
      <c r="R378" s="910" t="s">
        <v>205</v>
      </c>
      <c r="S378" s="911"/>
      <c r="T378" s="911"/>
      <c r="U378" s="911"/>
      <c r="V378" s="911"/>
      <c r="W378" s="912"/>
      <c r="X378" s="364"/>
      <c r="Y378" s="363"/>
      <c r="Z378" s="363"/>
      <c r="AA378"/>
      <c r="AB378"/>
      <c r="AC378"/>
      <c r="AD378"/>
      <c r="AE378"/>
      <c r="AF378"/>
      <c r="AG378"/>
    </row>
    <row r="379" spans="17:33" ht="12.75" customHeight="1" thickBot="1">
      <c r="Q379" s="364"/>
      <c r="R379" s="686" t="s">
        <v>59</v>
      </c>
      <c r="S379" s="577"/>
      <c r="T379" s="687"/>
      <c r="U379" s="687"/>
      <c r="V379" s="687"/>
      <c r="W379" s="688"/>
      <c r="X379" s="364"/>
      <c r="Y379" s="363"/>
      <c r="Z379" s="363"/>
      <c r="AA379"/>
      <c r="AB379"/>
      <c r="AC379"/>
      <c r="AD379"/>
      <c r="AE379"/>
      <c r="AF379"/>
      <c r="AG379"/>
    </row>
    <row r="380" spans="17:33" ht="12.75" customHeight="1">
      <c r="Q380" s="364"/>
      <c r="R380" s="895" t="s">
        <v>845</v>
      </c>
      <c r="S380" s="896"/>
      <c r="T380" s="900" t="s">
        <v>835</v>
      </c>
      <c r="U380" s="900" t="s">
        <v>836</v>
      </c>
      <c r="V380" s="900" t="s">
        <v>837</v>
      </c>
      <c r="W380" s="902" t="s">
        <v>838</v>
      </c>
      <c r="X380" s="364"/>
      <c r="Y380" s="363"/>
      <c r="Z380" s="363"/>
      <c r="AA380"/>
      <c r="AB380"/>
      <c r="AC380"/>
      <c r="AD380"/>
      <c r="AE380"/>
      <c r="AF380"/>
      <c r="AG380"/>
    </row>
    <row r="381" spans="17:33" ht="12.75" customHeight="1">
      <c r="Q381" s="364"/>
      <c r="R381" s="892"/>
      <c r="S381" s="897"/>
      <c r="T381" s="904"/>
      <c r="U381" s="904"/>
      <c r="V381" s="904"/>
      <c r="W381" s="905"/>
      <c r="X381" s="364"/>
      <c r="Y381" s="363"/>
      <c r="Z381" s="363"/>
      <c r="AA381"/>
      <c r="AB381"/>
      <c r="AC381"/>
      <c r="AD381"/>
      <c r="AE381"/>
      <c r="AF381"/>
      <c r="AG381"/>
    </row>
    <row r="382" spans="17:33" ht="12.75" customHeight="1">
      <c r="Q382" s="364"/>
      <c r="R382" s="892"/>
      <c r="S382" s="897"/>
      <c r="T382" s="901"/>
      <c r="U382" s="901"/>
      <c r="V382" s="901"/>
      <c r="W382" s="903"/>
      <c r="X382" s="364"/>
      <c r="Y382" s="363"/>
      <c r="Z382" s="363"/>
      <c r="AA382"/>
      <c r="AB382"/>
      <c r="AC382"/>
      <c r="AD382"/>
      <c r="AE382"/>
      <c r="AF382"/>
      <c r="AG382"/>
    </row>
    <row r="383" spans="17:33" ht="12.75" customHeight="1">
      <c r="Q383" s="364"/>
      <c r="R383" s="892"/>
      <c r="S383" s="897"/>
      <c r="T383" s="702">
        <f>W69</f>
        <v>109</v>
      </c>
      <c r="U383" s="560">
        <f>W62</f>
        <v>1.7391304347826084</v>
      </c>
      <c r="V383" s="690">
        <f>IF(T383&gt;0,W383*U383," ")</f>
        <v>5565.2173913043471</v>
      </c>
      <c r="W383" s="691">
        <f>IF(T383&gt;0,(VLOOKUP(T383,'Lookup Ready-reckoner'!$B$5:$E$1207,4))," ")</f>
        <v>3200</v>
      </c>
      <c r="X383" s="364"/>
      <c r="Y383" s="363"/>
      <c r="Z383" s="363"/>
      <c r="AA383"/>
      <c r="AB383"/>
      <c r="AC383"/>
      <c r="AD383"/>
      <c r="AE383"/>
      <c r="AF383"/>
      <c r="AG383"/>
    </row>
    <row r="384" spans="17:33" ht="12.75" customHeight="1">
      <c r="Q384" s="364"/>
      <c r="R384" s="898"/>
      <c r="S384" s="899"/>
      <c r="T384" s="447"/>
      <c r="U384" s="560"/>
      <c r="V384" s="690" t="str">
        <f>IF(T384&gt;0,W384*U384," ")</f>
        <v xml:space="preserve"> </v>
      </c>
      <c r="W384" s="691" t="str">
        <f>IF(T384&gt;0,(VLOOKUP(T384,'Lookup Ready-reckoner'!$B$5:$E$1007,4))," ")</f>
        <v xml:space="preserve"> </v>
      </c>
      <c r="X384" s="364"/>
      <c r="Y384" s="363"/>
      <c r="Z384" s="363"/>
      <c r="AA384"/>
      <c r="AB384"/>
      <c r="AC384"/>
      <c r="AD384"/>
      <c r="AE384"/>
      <c r="AF384"/>
      <c r="AG384"/>
    </row>
    <row r="385" spans="17:33" ht="12.75" customHeight="1" thickBot="1">
      <c r="Q385" s="364"/>
      <c r="R385" s="692" t="s">
        <v>839</v>
      </c>
      <c r="S385" s="693"/>
      <c r="T385" s="693"/>
      <c r="U385" s="703">
        <f>IF(T383&gt;0,(VLOOKUP(V385,'Lookup Ready-reckoner'!$L$5:$M$1207,2))," ")</f>
        <v>102.4</v>
      </c>
      <c r="V385" s="695">
        <f>IF(U383&gt;0,(SUM(V383:V384))," ")</f>
        <v>5565.2173913043471</v>
      </c>
      <c r="W385" s="696"/>
      <c r="X385" s="364"/>
      <c r="Y385" s="363"/>
      <c r="Z385" s="363"/>
      <c r="AA385"/>
      <c r="AB385"/>
      <c r="AC385"/>
      <c r="AD385"/>
      <c r="AE385"/>
      <c r="AF385"/>
      <c r="AG385"/>
    </row>
    <row r="386" spans="17:33" ht="12.75" customHeight="1" thickBot="1">
      <c r="Q386" s="364"/>
      <c r="R386" s="892"/>
      <c r="S386" s="893"/>
      <c r="T386" s="893"/>
      <c r="U386" s="893"/>
      <c r="V386" s="893"/>
      <c r="W386" s="894"/>
      <c r="X386" s="364"/>
      <c r="Y386" s="363"/>
      <c r="Z386" s="363"/>
      <c r="AA386"/>
      <c r="AB386"/>
      <c r="AC386"/>
      <c r="AD386"/>
      <c r="AE386"/>
      <c r="AF386"/>
      <c r="AG386"/>
    </row>
    <row r="387" spans="17:33" ht="12.75" customHeight="1">
      <c r="Q387" s="364"/>
      <c r="R387" s="895" t="s">
        <v>886</v>
      </c>
      <c r="S387" s="896"/>
      <c r="T387" s="900" t="s">
        <v>835</v>
      </c>
      <c r="U387" s="900" t="s">
        <v>836</v>
      </c>
      <c r="V387" s="900" t="s">
        <v>837</v>
      </c>
      <c r="W387" s="902" t="s">
        <v>838</v>
      </c>
      <c r="X387" s="364"/>
      <c r="Y387" s="363"/>
      <c r="Z387" s="363"/>
      <c r="AA387"/>
      <c r="AB387"/>
      <c r="AC387"/>
      <c r="AD387"/>
      <c r="AE387"/>
      <c r="AF387"/>
      <c r="AG387"/>
    </row>
    <row r="388" spans="17:33" ht="12.75" customHeight="1">
      <c r="Q388" s="364"/>
      <c r="R388" s="892"/>
      <c r="S388" s="897"/>
      <c r="T388" s="901"/>
      <c r="U388" s="901"/>
      <c r="V388" s="901"/>
      <c r="W388" s="903"/>
      <c r="X388" s="364"/>
      <c r="Y388" s="363"/>
      <c r="Z388" s="363"/>
      <c r="AA388"/>
      <c r="AB388"/>
      <c r="AC388"/>
      <c r="AD388"/>
      <c r="AE388"/>
      <c r="AF388"/>
      <c r="AG388"/>
    </row>
    <row r="389" spans="17:33" ht="12.75" customHeight="1">
      <c r="Q389" s="364"/>
      <c r="R389" s="892"/>
      <c r="S389" s="897"/>
      <c r="T389" s="702">
        <f>T383*(1-0.0178*2)</f>
        <v>105.11960000000001</v>
      </c>
      <c r="U389" s="560">
        <f>U383</f>
        <v>1.7391304347826084</v>
      </c>
      <c r="V389" s="690">
        <f>IF(T389&gt;0,W389*U389," ")</f>
        <v>2234.782608695652</v>
      </c>
      <c r="W389" s="691">
        <f>IF(T389&gt;0,(VLOOKUP(T389,'Lookup Ready-reckoner'!$B$5:$E$1207,4))," ")</f>
        <v>1285</v>
      </c>
      <c r="X389" s="364"/>
      <c r="Y389" s="363"/>
      <c r="Z389" s="363"/>
      <c r="AA389"/>
      <c r="AB389"/>
      <c r="AC389"/>
      <c r="AD389"/>
      <c r="AE389"/>
      <c r="AF389"/>
      <c r="AG389"/>
    </row>
    <row r="390" spans="17:33" ht="12.75" customHeight="1">
      <c r="Q390" s="364"/>
      <c r="R390" s="898"/>
      <c r="S390" s="899"/>
      <c r="T390" s="447"/>
      <c r="U390" s="560"/>
      <c r="V390" s="690" t="str">
        <f>IF(T390&gt;0,W390*U390," ")</f>
        <v xml:space="preserve"> </v>
      </c>
      <c r="W390" s="691" t="str">
        <f>IF(T390&gt;0,(VLOOKUP(T390,'Lookup Ready-reckoner'!$B$5:$E$1007,4))," ")</f>
        <v xml:space="preserve"> </v>
      </c>
      <c r="X390" s="364"/>
      <c r="Y390" s="363"/>
      <c r="Z390" s="363"/>
      <c r="AA390"/>
      <c r="AB390"/>
      <c r="AC390"/>
      <c r="AD390"/>
      <c r="AE390"/>
      <c r="AF390"/>
      <c r="AG390"/>
    </row>
    <row r="391" spans="17:33" ht="12.75" customHeight="1" thickBot="1">
      <c r="Q391" s="364"/>
      <c r="R391" s="692" t="s">
        <v>839</v>
      </c>
      <c r="S391" s="693"/>
      <c r="T391" s="693"/>
      <c r="U391" s="703">
        <f>IF(T389&gt;0,(VLOOKUP(V391,'Lookup Ready-reckoner'!$L$5:$M$1207,2))," ")</f>
        <v>98.45</v>
      </c>
      <c r="V391" s="695">
        <f>IF(U389&gt;0,(SUM(V389:V390))," ")</f>
        <v>2234.782608695652</v>
      </c>
      <c r="W391" s="696"/>
      <c r="X391" s="364"/>
      <c r="Y391" s="363"/>
      <c r="Z391" s="363"/>
      <c r="AA391"/>
      <c r="AB391"/>
      <c r="AC391"/>
      <c r="AD391"/>
      <c r="AE391"/>
      <c r="AF391"/>
      <c r="AG391"/>
    </row>
    <row r="392" spans="17:33" ht="12.75" customHeight="1">
      <c r="Q392" s="364"/>
      <c r="R392" s="697"/>
      <c r="S392" s="687"/>
      <c r="T392" s="687"/>
      <c r="U392" s="372"/>
      <c r="V392" s="374"/>
      <c r="W392" s="688"/>
      <c r="X392" s="364"/>
      <c r="Y392" s="363"/>
      <c r="Z392" s="363"/>
      <c r="AA392"/>
      <c r="AB392"/>
      <c r="AC392"/>
      <c r="AD392"/>
      <c r="AE392"/>
      <c r="AF392"/>
      <c r="AG392"/>
    </row>
    <row r="393" spans="17:33" ht="12.75" customHeight="1" thickBot="1">
      <c r="Q393" s="364"/>
      <c r="R393" s="686" t="s">
        <v>60</v>
      </c>
      <c r="S393" s="577"/>
      <c r="T393" s="577"/>
      <c r="U393" s="577"/>
      <c r="V393" s="577"/>
      <c r="W393" s="698"/>
      <c r="X393" s="364"/>
      <c r="Y393" s="363"/>
      <c r="Z393" s="363"/>
      <c r="AA393"/>
      <c r="AB393"/>
      <c r="AC393"/>
      <c r="AD393"/>
      <c r="AE393"/>
      <c r="AF393"/>
      <c r="AG393"/>
    </row>
    <row r="394" spans="17:33" ht="12.75" customHeight="1">
      <c r="Q394" s="364"/>
      <c r="R394" s="895" t="s">
        <v>845</v>
      </c>
      <c r="S394" s="896"/>
      <c r="T394" s="900" t="s">
        <v>835</v>
      </c>
      <c r="U394" s="900" t="s">
        <v>836</v>
      </c>
      <c r="V394" s="900" t="s">
        <v>837</v>
      </c>
      <c r="W394" s="902" t="s">
        <v>838</v>
      </c>
      <c r="X394" s="364"/>
      <c r="Y394" s="363"/>
      <c r="Z394" s="363"/>
      <c r="AA394"/>
      <c r="AB394"/>
      <c r="AC394"/>
      <c r="AD394"/>
      <c r="AE394"/>
      <c r="AF394"/>
      <c r="AG394"/>
    </row>
    <row r="395" spans="17:33" ht="12.75" customHeight="1">
      <c r="Q395" s="364"/>
      <c r="R395" s="892"/>
      <c r="S395" s="897"/>
      <c r="T395" s="901"/>
      <c r="U395" s="901"/>
      <c r="V395" s="901"/>
      <c r="W395" s="903"/>
      <c r="X395" s="364"/>
      <c r="Y395" s="363"/>
      <c r="Z395" s="363"/>
      <c r="AA395"/>
      <c r="AB395"/>
      <c r="AC395"/>
      <c r="AD395"/>
      <c r="AE395"/>
      <c r="AF395"/>
      <c r="AG395"/>
    </row>
    <row r="396" spans="17:33" ht="12.75" customHeight="1">
      <c r="Q396" s="364"/>
      <c r="R396" s="892"/>
      <c r="S396" s="897"/>
      <c r="T396" s="702">
        <f>T383-PPE!$I$15</f>
        <v>96</v>
      </c>
      <c r="U396" s="560">
        <f>U389</f>
        <v>1.7391304347826084</v>
      </c>
      <c r="V396" s="690">
        <f>IF(T396&gt;0,W396*U396," ")</f>
        <v>271.73913043478257</v>
      </c>
      <c r="W396" s="691">
        <f>IF(T396&gt;0,(VLOOKUP(T396,'Lookup Ready-reckoner'!$B$5:$E$1207,4))," ")</f>
        <v>156.25</v>
      </c>
      <c r="X396" s="364"/>
      <c r="Y396" s="363"/>
      <c r="Z396" s="363"/>
      <c r="AA396"/>
      <c r="AB396"/>
      <c r="AC396"/>
      <c r="AD396"/>
      <c r="AE396"/>
      <c r="AF396"/>
      <c r="AG396"/>
    </row>
    <row r="397" spans="17:33" ht="12.75" customHeight="1">
      <c r="Q397" s="364"/>
      <c r="R397" s="898"/>
      <c r="S397" s="899"/>
      <c r="T397" s="447"/>
      <c r="U397" s="560"/>
      <c r="V397" s="690" t="str">
        <f>IF(T397&gt;0,W397*U397," ")</f>
        <v xml:space="preserve"> </v>
      </c>
      <c r="W397" s="691" t="str">
        <f>IF(T397&gt;0,(VLOOKUP(T397,'Lookup Ready-reckoner'!$B$5:$E$1007,4))," ")</f>
        <v xml:space="preserve"> </v>
      </c>
      <c r="X397" s="364"/>
      <c r="Y397" s="363"/>
      <c r="Z397" s="363"/>
      <c r="AA397"/>
      <c r="AB397"/>
      <c r="AC397"/>
      <c r="AD397"/>
      <c r="AE397"/>
      <c r="AF397"/>
      <c r="AG397"/>
    </row>
    <row r="398" spans="17:33" ht="12.75" customHeight="1" thickBot="1">
      <c r="Q398" s="364"/>
      <c r="R398" s="692" t="s">
        <v>839</v>
      </c>
      <c r="S398" s="693"/>
      <c r="T398" s="693"/>
      <c r="U398" s="703">
        <f>IF(T396&gt;0,(VLOOKUP(V398,'Lookup Ready-reckoner'!$L$5:$M$1207,2))," ")</f>
        <v>89.3</v>
      </c>
      <c r="V398" s="695">
        <f>IF(U396&gt;0,(SUM(V396:V397))," ")</f>
        <v>271.73913043478257</v>
      </c>
      <c r="W398" s="696"/>
      <c r="X398" s="364"/>
      <c r="Y398" s="363"/>
      <c r="Z398" s="363"/>
      <c r="AA398"/>
      <c r="AB398"/>
      <c r="AC398"/>
      <c r="AD398"/>
      <c r="AE398"/>
      <c r="AF398"/>
      <c r="AG398"/>
    </row>
    <row r="399" spans="17:33" ht="12.75" customHeight="1" thickBot="1">
      <c r="Q399" s="364"/>
      <c r="R399" s="892"/>
      <c r="S399" s="893"/>
      <c r="T399" s="893"/>
      <c r="U399" s="893"/>
      <c r="V399" s="893"/>
      <c r="W399" s="894"/>
      <c r="X399" s="364"/>
      <c r="Y399" s="363"/>
      <c r="Z399" s="363"/>
      <c r="AA399"/>
      <c r="AB399"/>
      <c r="AC399"/>
      <c r="AD399"/>
      <c r="AE399"/>
      <c r="AF399"/>
      <c r="AG399"/>
    </row>
    <row r="400" spans="17:33" ht="12.75" customHeight="1">
      <c r="Q400" s="364"/>
      <c r="R400" s="895" t="s">
        <v>886</v>
      </c>
      <c r="S400" s="896"/>
      <c r="T400" s="900" t="s">
        <v>835</v>
      </c>
      <c r="U400" s="900" t="s">
        <v>836</v>
      </c>
      <c r="V400" s="900" t="s">
        <v>837</v>
      </c>
      <c r="W400" s="902" t="s">
        <v>838</v>
      </c>
      <c r="X400" s="364"/>
      <c r="Y400" s="363"/>
      <c r="Z400" s="363"/>
      <c r="AA400"/>
      <c r="AB400"/>
      <c r="AC400"/>
      <c r="AD400"/>
      <c r="AE400"/>
      <c r="AF400"/>
      <c r="AG400"/>
    </row>
    <row r="401" spans="17:33" ht="12.75" customHeight="1">
      <c r="Q401" s="364"/>
      <c r="R401" s="892"/>
      <c r="S401" s="897"/>
      <c r="T401" s="901"/>
      <c r="U401" s="901"/>
      <c r="V401" s="901"/>
      <c r="W401" s="903"/>
      <c r="X401" s="364"/>
      <c r="Y401" s="363"/>
      <c r="Z401" s="363"/>
      <c r="AA401"/>
      <c r="AB401"/>
      <c r="AC401"/>
      <c r="AD401"/>
      <c r="AE401"/>
      <c r="AF401"/>
      <c r="AG401"/>
    </row>
    <row r="402" spans="17:33" ht="12.75" customHeight="1">
      <c r="Q402" s="364"/>
      <c r="R402" s="892"/>
      <c r="S402" s="897"/>
      <c r="T402" s="702">
        <f>T389-PPE!$I$15</f>
        <v>92.119600000000005</v>
      </c>
      <c r="U402" s="560">
        <f>U396</f>
        <v>1.7391304347826084</v>
      </c>
      <c r="V402" s="690">
        <f>IF(T402&gt;0,W402*U402," ")</f>
        <v>111.52173913043477</v>
      </c>
      <c r="W402" s="691">
        <f>IF(T402&gt;0,(VLOOKUP(T402,'Lookup Ready-reckoner'!$B$5:$E$1207,4))," ")</f>
        <v>64.125</v>
      </c>
      <c r="X402" s="364"/>
      <c r="Y402" s="363"/>
      <c r="Z402" s="363"/>
      <c r="AA402"/>
      <c r="AB402"/>
      <c r="AC402"/>
      <c r="AD402"/>
      <c r="AE402"/>
      <c r="AF402"/>
      <c r="AG402"/>
    </row>
    <row r="403" spans="17:33" ht="12.75" customHeight="1">
      <c r="Q403" s="364"/>
      <c r="R403" s="898"/>
      <c r="S403" s="899"/>
      <c r="T403" s="447"/>
      <c r="U403" s="560"/>
      <c r="V403" s="690" t="str">
        <f>IF(T403&gt;0,W403*U403," ")</f>
        <v xml:space="preserve"> </v>
      </c>
      <c r="W403" s="691" t="str">
        <f>IF(T403&gt;0,(VLOOKUP(T403,'Lookup Ready-reckoner'!$B$5:$E$1007,4))," ")</f>
        <v xml:space="preserve"> </v>
      </c>
      <c r="X403" s="364"/>
      <c r="Y403" s="363"/>
      <c r="Z403" s="363"/>
      <c r="AA403"/>
      <c r="AB403"/>
      <c r="AC403"/>
      <c r="AD403"/>
      <c r="AE403"/>
      <c r="AF403"/>
      <c r="AG403"/>
    </row>
    <row r="404" spans="17:33" ht="12.75" customHeight="1" thickBot="1">
      <c r="Q404" s="364"/>
      <c r="R404" s="692" t="s">
        <v>839</v>
      </c>
      <c r="S404" s="693"/>
      <c r="T404" s="693"/>
      <c r="U404" s="703">
        <f>IF(T402&gt;0,(VLOOKUP(V404,'Lookup Ready-reckoner'!$L$5:$M$1207,2))," ")</f>
        <v>85.45</v>
      </c>
      <c r="V404" s="695">
        <f>IF(U402&gt;0,(SUM(V402:V403))," ")</f>
        <v>111.52173913043477</v>
      </c>
      <c r="W404" s="696"/>
      <c r="X404" s="364"/>
      <c r="Y404" s="363"/>
      <c r="Z404" s="363"/>
      <c r="AA404"/>
      <c r="AB404"/>
      <c r="AC404"/>
      <c r="AD404"/>
      <c r="AE404"/>
      <c r="AF404"/>
      <c r="AG404"/>
    </row>
    <row r="405" spans="17:33" ht="12.75" customHeight="1">
      <c r="Q405" s="364"/>
      <c r="R405" s="363"/>
      <c r="S405" s="363"/>
      <c r="T405" s="363"/>
      <c r="U405" s="363"/>
      <c r="V405" s="363"/>
      <c r="W405" s="363"/>
      <c r="X405" s="364"/>
      <c r="Y405" s="364"/>
      <c r="Z405" s="364"/>
      <c r="AA405"/>
      <c r="AB405"/>
      <c r="AC405"/>
      <c r="AD405"/>
      <c r="AE405"/>
      <c r="AF405"/>
      <c r="AG405"/>
    </row>
    <row r="406" spans="17:33" ht="12.75" customHeight="1">
      <c r="Q406" s="364"/>
      <c r="R406" s="909" t="str">
        <f>V306</f>
        <v xml:space="preserve">Hilti TE MD20 </v>
      </c>
      <c r="S406" s="909"/>
      <c r="T406" s="909"/>
      <c r="U406" s="909"/>
      <c r="V406" s="909"/>
      <c r="W406" s="909"/>
      <c r="X406" s="364"/>
      <c r="Y406" s="364"/>
      <c r="Z406" s="364"/>
      <c r="AA406"/>
      <c r="AB406"/>
      <c r="AC406"/>
      <c r="AD406"/>
      <c r="AE406"/>
      <c r="AF406"/>
      <c r="AG406"/>
    </row>
    <row r="407" spans="17:33" ht="12.75" customHeight="1" thickBot="1">
      <c r="Q407" s="364"/>
      <c r="R407" s="910" t="s">
        <v>205</v>
      </c>
      <c r="S407" s="911"/>
      <c r="T407" s="911"/>
      <c r="U407" s="911"/>
      <c r="V407" s="911"/>
      <c r="W407" s="912"/>
      <c r="X407" s="364"/>
      <c r="Y407" s="364"/>
      <c r="Z407" s="364"/>
      <c r="AA407"/>
      <c r="AB407"/>
      <c r="AC407"/>
      <c r="AD407"/>
      <c r="AE407"/>
      <c r="AF407"/>
      <c r="AG407"/>
    </row>
    <row r="408" spans="17:33" ht="12.75" customHeight="1" thickBot="1">
      <c r="Q408" s="364"/>
      <c r="R408" s="686" t="s">
        <v>59</v>
      </c>
      <c r="S408" s="577"/>
      <c r="T408" s="687"/>
      <c r="U408" s="687"/>
      <c r="V408" s="687"/>
      <c r="W408" s="688"/>
      <c r="X408" s="364"/>
      <c r="Y408" s="364"/>
      <c r="Z408" s="364"/>
      <c r="AA408"/>
      <c r="AB408"/>
      <c r="AC408"/>
      <c r="AD408"/>
      <c r="AE408"/>
      <c r="AF408"/>
      <c r="AG408"/>
    </row>
    <row r="409" spans="17:33" ht="12.75" customHeight="1">
      <c r="Q409" s="364"/>
      <c r="R409" s="895" t="s">
        <v>845</v>
      </c>
      <c r="S409" s="896"/>
      <c r="T409" s="900" t="s">
        <v>835</v>
      </c>
      <c r="U409" s="900" t="s">
        <v>836</v>
      </c>
      <c r="V409" s="900" t="s">
        <v>837</v>
      </c>
      <c r="W409" s="902" t="s">
        <v>838</v>
      </c>
      <c r="X409" s="364"/>
      <c r="Y409" s="364"/>
      <c r="Z409" s="364"/>
      <c r="AA409"/>
      <c r="AB409"/>
      <c r="AC409"/>
      <c r="AD409"/>
      <c r="AE409"/>
      <c r="AF409"/>
      <c r="AG409"/>
    </row>
    <row r="410" spans="17:33" ht="12.75" customHeight="1">
      <c r="Q410" s="364"/>
      <c r="R410" s="892"/>
      <c r="S410" s="897"/>
      <c r="T410" s="904"/>
      <c r="U410" s="904"/>
      <c r="V410" s="904"/>
      <c r="W410" s="905"/>
      <c r="X410" s="364"/>
      <c r="Y410" s="364"/>
      <c r="Z410" s="364"/>
      <c r="AA410"/>
      <c r="AB410"/>
      <c r="AC410"/>
      <c r="AD410"/>
      <c r="AE410"/>
      <c r="AF410"/>
      <c r="AG410"/>
    </row>
    <row r="411" spans="17:33" ht="12.75" customHeight="1">
      <c r="Q411" s="364"/>
      <c r="R411" s="892"/>
      <c r="S411" s="897"/>
      <c r="T411" s="901"/>
      <c r="U411" s="901"/>
      <c r="V411" s="901"/>
      <c r="W411" s="903"/>
      <c r="X411" s="364"/>
      <c r="Y411" s="364"/>
      <c r="Z411" s="364"/>
      <c r="AA411"/>
      <c r="AB411"/>
      <c r="AC411"/>
      <c r="AD411"/>
      <c r="AE411"/>
      <c r="AF411"/>
      <c r="AG411"/>
    </row>
    <row r="412" spans="17:33" ht="12.75" customHeight="1">
      <c r="Q412" s="364"/>
      <c r="R412" s="892"/>
      <c r="S412" s="897"/>
      <c r="T412" s="704">
        <f>U69</f>
        <v>102</v>
      </c>
      <c r="U412" s="560">
        <f>U62</f>
        <v>2.6666666666666665</v>
      </c>
      <c r="V412" s="690">
        <f>IF(T412&gt;0,W412*U412," ")</f>
        <v>1666.6666666666665</v>
      </c>
      <c r="W412" s="691">
        <f>IF(T412&gt;0,(VLOOKUP(T412,'Lookup Ready-reckoner'!$B$5:$E$1207,4))," ")</f>
        <v>625</v>
      </c>
      <c r="X412" s="364"/>
      <c r="Y412" s="364"/>
      <c r="Z412" s="364"/>
      <c r="AA412"/>
      <c r="AB412"/>
      <c r="AC412"/>
      <c r="AD412"/>
      <c r="AE412"/>
      <c r="AF412"/>
      <c r="AG412"/>
    </row>
    <row r="413" spans="17:33" ht="12.75" customHeight="1">
      <c r="Q413" s="364"/>
      <c r="R413" s="898"/>
      <c r="S413" s="899"/>
      <c r="T413" s="447"/>
      <c r="U413" s="560"/>
      <c r="V413" s="690" t="str">
        <f>IF(T413&gt;0,W413*U413," ")</f>
        <v xml:space="preserve"> </v>
      </c>
      <c r="W413" s="691" t="str">
        <f>IF(T413&gt;0,(VLOOKUP(T413,'Lookup Ready-reckoner'!$B$5:$E$1007,4))," ")</f>
        <v xml:space="preserve"> </v>
      </c>
      <c r="X413" s="364"/>
      <c r="Y413" s="364"/>
      <c r="Z413" s="364"/>
      <c r="AA413"/>
      <c r="AB413"/>
      <c r="AC413"/>
      <c r="AD413"/>
      <c r="AE413"/>
      <c r="AF413"/>
      <c r="AG413"/>
    </row>
    <row r="414" spans="17:33" ht="12.75" customHeight="1" thickBot="1">
      <c r="Q414" s="364"/>
      <c r="R414" s="692" t="s">
        <v>839</v>
      </c>
      <c r="S414" s="693"/>
      <c r="T414" s="693"/>
      <c r="U414" s="705">
        <f>IF(T412&gt;0,(VLOOKUP(V414,'Lookup Ready-reckoner'!$L$5:$M$1207,2))," ")</f>
        <v>97.15</v>
      </c>
      <c r="V414" s="695">
        <f>IF(U412&gt;0,(SUM(V412:V413))," ")</f>
        <v>1666.6666666666665</v>
      </c>
      <c r="W414" s="696"/>
      <c r="X414" s="364"/>
      <c r="Y414" s="364"/>
      <c r="Z414" s="364"/>
      <c r="AA414"/>
      <c r="AB414"/>
      <c r="AC414"/>
      <c r="AD414"/>
      <c r="AE414"/>
      <c r="AF414"/>
      <c r="AG414"/>
    </row>
    <row r="415" spans="17:33" ht="12.75" customHeight="1" thickBot="1">
      <c r="Q415" s="364"/>
      <c r="R415" s="906"/>
      <c r="S415" s="907"/>
      <c r="T415" s="907"/>
      <c r="U415" s="907"/>
      <c r="V415" s="907"/>
      <c r="W415" s="908"/>
      <c r="X415" s="364"/>
      <c r="Y415" s="364"/>
      <c r="Z415" s="364"/>
      <c r="AA415"/>
      <c r="AB415"/>
      <c r="AC415"/>
      <c r="AD415"/>
      <c r="AE415"/>
      <c r="AF415"/>
      <c r="AG415"/>
    </row>
    <row r="416" spans="17:33" ht="12.75" customHeight="1">
      <c r="Q416" s="364"/>
      <c r="R416" s="895" t="s">
        <v>886</v>
      </c>
      <c r="S416" s="896"/>
      <c r="T416" s="900" t="s">
        <v>835</v>
      </c>
      <c r="U416" s="900" t="s">
        <v>836</v>
      </c>
      <c r="V416" s="900" t="s">
        <v>837</v>
      </c>
      <c r="W416" s="902" t="s">
        <v>838</v>
      </c>
      <c r="X416" s="364"/>
      <c r="Y416" s="364"/>
      <c r="Z416" s="364"/>
      <c r="AA416"/>
      <c r="AB416"/>
      <c r="AC416"/>
      <c r="AD416"/>
      <c r="AE416"/>
      <c r="AF416"/>
      <c r="AG416"/>
    </row>
    <row r="417" spans="17:33" ht="12.75" customHeight="1">
      <c r="Q417" s="364"/>
      <c r="R417" s="892"/>
      <c r="S417" s="897"/>
      <c r="T417" s="901"/>
      <c r="U417" s="901"/>
      <c r="V417" s="901"/>
      <c r="W417" s="903"/>
      <c r="X417" s="364"/>
      <c r="Y417" s="364"/>
      <c r="Z417" s="364"/>
      <c r="AA417"/>
      <c r="AB417"/>
      <c r="AC417"/>
      <c r="AD417"/>
      <c r="AE417"/>
      <c r="AF417"/>
      <c r="AG417"/>
    </row>
    <row r="418" spans="17:33" ht="12.75" customHeight="1">
      <c r="Q418" s="364"/>
      <c r="R418" s="892"/>
      <c r="S418" s="897"/>
      <c r="T418" s="704">
        <f>T412*(1-0.0178*2)</f>
        <v>98.368800000000007</v>
      </c>
      <c r="U418" s="560">
        <f>U412</f>
        <v>2.6666666666666665</v>
      </c>
      <c r="V418" s="690">
        <f>IF(T418&gt;0,W418*U418," ")</f>
        <v>725</v>
      </c>
      <c r="W418" s="691">
        <f>IF(T418&gt;0,(VLOOKUP(T418,'Lookup Ready-reckoner'!$B$5:$E$1207,4))," ")</f>
        <v>271.875</v>
      </c>
      <c r="X418" s="364"/>
      <c r="Y418" s="364"/>
      <c r="Z418" s="364"/>
      <c r="AA418"/>
      <c r="AB418"/>
      <c r="AC418"/>
      <c r="AD418"/>
      <c r="AE418"/>
      <c r="AF418"/>
      <c r="AG418"/>
    </row>
    <row r="419" spans="17:33" ht="12.75" customHeight="1">
      <c r="Q419" s="364"/>
      <c r="R419" s="898"/>
      <c r="S419" s="899"/>
      <c r="T419" s="447"/>
      <c r="U419" s="560"/>
      <c r="V419" s="690" t="str">
        <f>IF(T419&gt;0,W419*U419," ")</f>
        <v xml:space="preserve"> </v>
      </c>
      <c r="W419" s="691" t="str">
        <f>IF(T419&gt;0,(VLOOKUP(T419,'Lookup Ready-reckoner'!$B$5:$E$1007,4))," ")</f>
        <v xml:space="preserve"> </v>
      </c>
      <c r="X419" s="364"/>
      <c r="Y419" s="364"/>
      <c r="Z419" s="364"/>
      <c r="AA419"/>
      <c r="AB419"/>
      <c r="AC419"/>
      <c r="AD419"/>
      <c r="AE419"/>
      <c r="AF419"/>
      <c r="AG419"/>
    </row>
    <row r="420" spans="17:33" ht="12.75" customHeight="1" thickBot="1">
      <c r="Q420" s="364"/>
      <c r="R420" s="692" t="s">
        <v>839</v>
      </c>
      <c r="S420" s="693"/>
      <c r="T420" s="693"/>
      <c r="U420" s="705">
        <f>IF(T418&gt;0,(VLOOKUP(V420,'Lookup Ready-reckoner'!$L$5:$M$1207,2))," ")</f>
        <v>93.55</v>
      </c>
      <c r="V420" s="695">
        <f>IF(U418&gt;0,(SUM(V418:V419))," ")</f>
        <v>725</v>
      </c>
      <c r="W420" s="696"/>
      <c r="X420" s="364"/>
      <c r="Y420" s="364"/>
      <c r="Z420" s="364"/>
      <c r="AA420"/>
      <c r="AB420"/>
      <c r="AC420"/>
      <c r="AD420"/>
      <c r="AE420"/>
      <c r="AF420"/>
      <c r="AG420"/>
    </row>
    <row r="421" spans="17:33" ht="12.75" customHeight="1">
      <c r="Q421" s="364"/>
      <c r="R421" s="697"/>
      <c r="S421" s="687"/>
      <c r="T421" s="687"/>
      <c r="U421" s="372"/>
      <c r="V421" s="374"/>
      <c r="W421" s="688"/>
      <c r="X421" s="364"/>
      <c r="Y421" s="364"/>
      <c r="Z421" s="364"/>
      <c r="AA421"/>
      <c r="AB421"/>
      <c r="AC421"/>
      <c r="AD421"/>
      <c r="AE421"/>
      <c r="AF421"/>
      <c r="AG421"/>
    </row>
    <row r="422" spans="17:33" ht="12.75" customHeight="1" thickBot="1">
      <c r="Q422" s="364"/>
      <c r="R422" s="686" t="s">
        <v>60</v>
      </c>
      <c r="S422" s="577"/>
      <c r="T422" s="577"/>
      <c r="U422" s="577"/>
      <c r="V422" s="577"/>
      <c r="W422" s="698"/>
      <c r="X422" s="364"/>
      <c r="Y422" s="364"/>
      <c r="Z422" s="364"/>
      <c r="AA422"/>
      <c r="AB422"/>
      <c r="AC422"/>
      <c r="AD422"/>
      <c r="AE422"/>
      <c r="AF422"/>
      <c r="AG422"/>
    </row>
    <row r="423" spans="17:33" ht="12.75" customHeight="1">
      <c r="Q423" s="364"/>
      <c r="R423" s="895" t="s">
        <v>845</v>
      </c>
      <c r="S423" s="896"/>
      <c r="T423" s="900" t="s">
        <v>835</v>
      </c>
      <c r="U423" s="900" t="s">
        <v>836</v>
      </c>
      <c r="V423" s="900" t="s">
        <v>837</v>
      </c>
      <c r="W423" s="902" t="s">
        <v>838</v>
      </c>
      <c r="X423" s="364"/>
      <c r="Y423" s="364"/>
      <c r="Z423" s="364"/>
      <c r="AA423"/>
      <c r="AB423"/>
      <c r="AC423"/>
      <c r="AD423"/>
      <c r="AE423"/>
      <c r="AF423"/>
      <c r="AG423"/>
    </row>
    <row r="424" spans="17:33" ht="12.75" customHeight="1">
      <c r="Q424" s="364"/>
      <c r="R424" s="892"/>
      <c r="S424" s="897"/>
      <c r="T424" s="901"/>
      <c r="U424" s="901"/>
      <c r="V424" s="901"/>
      <c r="W424" s="903"/>
      <c r="X424" s="364"/>
      <c r="Y424" s="364"/>
      <c r="Z424" s="364"/>
      <c r="AA424"/>
      <c r="AB424"/>
      <c r="AC424"/>
      <c r="AD424"/>
      <c r="AE424"/>
      <c r="AF424"/>
      <c r="AG424"/>
    </row>
    <row r="425" spans="17:33" ht="12.75" customHeight="1">
      <c r="Q425" s="364"/>
      <c r="R425" s="892"/>
      <c r="S425" s="897"/>
      <c r="T425" s="704">
        <f>T412-PPE!$I$15</f>
        <v>89</v>
      </c>
      <c r="U425" s="560">
        <f>U418</f>
        <v>2.6666666666666665</v>
      </c>
      <c r="V425" s="690">
        <f>IF(T425&gt;0,W425*U425," ")</f>
        <v>83.333333333333329</v>
      </c>
      <c r="W425" s="691">
        <f>IF(T425&gt;0,(VLOOKUP(T425,'Lookup Ready-reckoner'!$B$5:$E$1207,4))," ")</f>
        <v>31.25</v>
      </c>
      <c r="X425" s="364"/>
      <c r="Y425" s="364"/>
      <c r="Z425" s="364"/>
      <c r="AA425"/>
      <c r="AB425"/>
      <c r="AC425"/>
      <c r="AD425"/>
      <c r="AE425"/>
      <c r="AF425"/>
      <c r="AG425"/>
    </row>
    <row r="426" spans="17:33" ht="12.75" customHeight="1">
      <c r="Q426" s="364"/>
      <c r="R426" s="898"/>
      <c r="S426" s="899"/>
      <c r="T426" s="447"/>
      <c r="U426" s="560"/>
      <c r="V426" s="690" t="str">
        <f>IF(T426&gt;0,W426*U426," ")</f>
        <v xml:space="preserve"> </v>
      </c>
      <c r="W426" s="691" t="str">
        <f>IF(T426&gt;0,(VLOOKUP(T426,'Lookup Ready-reckoner'!$B$5:$E$1007,4))," ")</f>
        <v xml:space="preserve"> </v>
      </c>
      <c r="X426" s="364"/>
      <c r="Y426" s="364"/>
      <c r="Z426" s="364"/>
      <c r="AA426"/>
      <c r="AB426"/>
      <c r="AC426"/>
      <c r="AD426"/>
      <c r="AE426"/>
      <c r="AF426"/>
      <c r="AG426"/>
    </row>
    <row r="427" spans="17:33" ht="12.75" customHeight="1" thickBot="1">
      <c r="Q427" s="364"/>
      <c r="R427" s="692" t="s">
        <v>839</v>
      </c>
      <c r="S427" s="693"/>
      <c r="T427" s="693"/>
      <c r="U427" s="705">
        <f>IF(T425&gt;0,(VLOOKUP(V427,'Lookup Ready-reckoner'!$L$5:$M$1207,2))," ")</f>
        <v>84.15</v>
      </c>
      <c r="V427" s="695">
        <f>IF(U425&gt;0,(SUM(V425:V426))," ")</f>
        <v>83.333333333333329</v>
      </c>
      <c r="W427" s="696"/>
      <c r="X427" s="364"/>
      <c r="Y427" s="364"/>
      <c r="Z427" s="364"/>
      <c r="AA427"/>
      <c r="AB427"/>
      <c r="AC427"/>
      <c r="AD427"/>
      <c r="AE427"/>
      <c r="AF427"/>
      <c r="AG427"/>
    </row>
    <row r="428" spans="17:33" ht="12.75" customHeight="1" thickBot="1">
      <c r="Q428" s="364"/>
      <c r="R428" s="892"/>
      <c r="S428" s="893"/>
      <c r="T428" s="893"/>
      <c r="U428" s="893"/>
      <c r="V428" s="893"/>
      <c r="W428" s="894"/>
      <c r="X428" s="364"/>
      <c r="Y428" s="364"/>
      <c r="Z428" s="364"/>
      <c r="AA428"/>
      <c r="AB428"/>
      <c r="AC428"/>
      <c r="AD428"/>
      <c r="AE428"/>
      <c r="AF428"/>
      <c r="AG428"/>
    </row>
    <row r="429" spans="17:33" ht="12.75" customHeight="1">
      <c r="Q429" s="364"/>
      <c r="R429" s="895" t="s">
        <v>886</v>
      </c>
      <c r="S429" s="896"/>
      <c r="T429" s="900" t="s">
        <v>835</v>
      </c>
      <c r="U429" s="900" t="s">
        <v>836</v>
      </c>
      <c r="V429" s="900" t="s">
        <v>837</v>
      </c>
      <c r="W429" s="902" t="s">
        <v>838</v>
      </c>
      <c r="X429" s="364"/>
      <c r="Y429" s="364"/>
      <c r="Z429" s="364"/>
      <c r="AA429"/>
      <c r="AB429"/>
      <c r="AC429"/>
      <c r="AD429"/>
      <c r="AE429"/>
      <c r="AF429"/>
      <c r="AG429"/>
    </row>
    <row r="430" spans="17:33" ht="12.75" customHeight="1">
      <c r="Q430" s="364"/>
      <c r="R430" s="892"/>
      <c r="S430" s="897"/>
      <c r="T430" s="901"/>
      <c r="U430" s="901"/>
      <c r="V430" s="901"/>
      <c r="W430" s="903"/>
      <c r="X430" s="364"/>
      <c r="Y430" s="364"/>
      <c r="Z430" s="364"/>
      <c r="AA430"/>
      <c r="AB430"/>
      <c r="AC430"/>
      <c r="AD430"/>
      <c r="AE430"/>
      <c r="AF430"/>
      <c r="AG430"/>
    </row>
    <row r="431" spans="17:33" ht="12.75" customHeight="1">
      <c r="Q431" s="364"/>
      <c r="R431" s="892"/>
      <c r="S431" s="897"/>
      <c r="T431" s="704">
        <f>T418-PPE!$I$15</f>
        <v>85.368800000000007</v>
      </c>
      <c r="U431" s="560">
        <f>U425</f>
        <v>2.6666666666666665</v>
      </c>
      <c r="V431" s="690">
        <f>IF(T431&gt;0,W431*U431," ")</f>
        <v>36.25</v>
      </c>
      <c r="W431" s="691">
        <f>IF(T431&gt;0,(VLOOKUP(T431,'Lookup Ready-reckoner'!$B$5:$E$1207,4))," ")</f>
        <v>13.59375</v>
      </c>
      <c r="X431" s="364"/>
      <c r="Y431" s="364"/>
      <c r="Z431" s="364"/>
      <c r="AA431"/>
      <c r="AB431"/>
      <c r="AC431"/>
      <c r="AD431"/>
      <c r="AE431"/>
      <c r="AF431"/>
      <c r="AG431"/>
    </row>
    <row r="432" spans="17:33" ht="12.75" customHeight="1">
      <c r="Q432" s="364"/>
      <c r="R432" s="898"/>
      <c r="S432" s="899"/>
      <c r="T432" s="447"/>
      <c r="U432" s="560"/>
      <c r="V432" s="690" t="str">
        <f>IF(T432&gt;0,W432*U432," ")</f>
        <v xml:space="preserve"> </v>
      </c>
      <c r="W432" s="691" t="str">
        <f>IF(T432&gt;0,(VLOOKUP(T432,'Lookup Ready-reckoner'!$B$5:$E$1007,4))," ")</f>
        <v xml:space="preserve"> </v>
      </c>
      <c r="X432" s="364"/>
      <c r="Y432" s="364"/>
      <c r="Z432" s="364"/>
      <c r="AA432"/>
      <c r="AB432"/>
      <c r="AC432"/>
      <c r="AD432"/>
      <c r="AE432"/>
      <c r="AF432"/>
      <c r="AG432"/>
    </row>
    <row r="433" spans="17:33" ht="12.75" customHeight="1" thickBot="1">
      <c r="Q433" s="364"/>
      <c r="R433" s="692" t="s">
        <v>839</v>
      </c>
      <c r="S433" s="693"/>
      <c r="T433" s="693"/>
      <c r="U433" s="705">
        <f>IF(T431&gt;0,(VLOOKUP(V433,'Lookup Ready-reckoner'!$L$5:$M$1207,2))," ")</f>
        <v>80.5</v>
      </c>
      <c r="V433" s="695">
        <f>IF(U431&gt;0,(SUM(V431:V432))," ")</f>
        <v>36.25</v>
      </c>
      <c r="W433" s="696"/>
      <c r="X433" s="364"/>
      <c r="Y433" s="364"/>
      <c r="Z433" s="364"/>
      <c r="AA433"/>
      <c r="AB433"/>
      <c r="AC433"/>
      <c r="AD433"/>
      <c r="AE433"/>
      <c r="AF433"/>
      <c r="AG433"/>
    </row>
    <row r="434" spans="17:33" ht="12.75" customHeight="1" thickBot="1">
      <c r="Q434" s="364"/>
      <c r="R434" s="364"/>
      <c r="S434" s="364"/>
      <c r="T434" s="364"/>
      <c r="U434" s="364"/>
      <c r="V434" s="364"/>
      <c r="W434" s="364"/>
      <c r="X434" s="364"/>
      <c r="Y434" s="364"/>
      <c r="Z434" s="364"/>
      <c r="AA434"/>
      <c r="AB434"/>
      <c r="AC434"/>
      <c r="AD434"/>
      <c r="AE434"/>
      <c r="AF434"/>
      <c r="AG434"/>
    </row>
    <row r="435" spans="17:33" ht="12.75" customHeight="1" thickTop="1">
      <c r="Q435" s="364"/>
      <c r="R435" s="916" t="s">
        <v>429</v>
      </c>
      <c r="S435" s="917"/>
      <c r="T435" s="917"/>
      <c r="U435" s="917"/>
      <c r="V435" s="917"/>
      <c r="W435" s="918"/>
      <c r="X435" s="364"/>
      <c r="Y435" s="364"/>
      <c r="Z435" s="364"/>
      <c r="AA435"/>
      <c r="AB435"/>
      <c r="AC435"/>
      <c r="AD435"/>
      <c r="AE435"/>
      <c r="AF435"/>
      <c r="AG435"/>
    </row>
    <row r="436" spans="17:33" ht="12.75" customHeight="1">
      <c r="Q436" s="364"/>
      <c r="R436" s="919"/>
      <c r="S436" s="920"/>
      <c r="T436" s="920"/>
      <c r="U436" s="920"/>
      <c r="V436" s="920"/>
      <c r="W436" s="921"/>
      <c r="X436" s="364"/>
      <c r="Y436" s="364"/>
      <c r="Z436" s="364"/>
      <c r="AA436"/>
      <c r="AB436"/>
      <c r="AC436"/>
      <c r="AD436"/>
      <c r="AE436"/>
      <c r="AF436"/>
      <c r="AG436"/>
    </row>
    <row r="437" spans="17:33" ht="12.75" customHeight="1" thickBot="1">
      <c r="Q437" s="364"/>
      <c r="R437" s="922"/>
      <c r="S437" s="923"/>
      <c r="T437" s="923"/>
      <c r="U437" s="923"/>
      <c r="V437" s="923"/>
      <c r="W437" s="924"/>
      <c r="X437" s="364"/>
      <c r="Y437" s="364"/>
      <c r="Z437" s="364"/>
      <c r="AA437"/>
      <c r="AB437"/>
      <c r="AC437"/>
      <c r="AD437"/>
      <c r="AE437"/>
      <c r="AF437"/>
      <c r="AG437"/>
    </row>
    <row r="438" spans="17:33" ht="12.75" customHeight="1" thickTop="1">
      <c r="Q438" s="364"/>
      <c r="R438" s="925" t="str">
        <f>R319</f>
        <v>Seco S215</v>
      </c>
      <c r="S438" s="925"/>
      <c r="T438" s="925"/>
      <c r="U438" s="925"/>
      <c r="V438" s="925"/>
      <c r="W438" s="925"/>
      <c r="X438" s="364"/>
      <c r="Y438" s="364"/>
      <c r="Z438" s="364"/>
      <c r="AA438"/>
      <c r="AB438"/>
      <c r="AC438"/>
      <c r="AD438"/>
      <c r="AE438"/>
      <c r="AF438"/>
      <c r="AG438"/>
    </row>
    <row r="439" spans="17:33" ht="12.75" customHeight="1" thickBot="1">
      <c r="Q439" s="364"/>
      <c r="R439" s="910" t="s">
        <v>205</v>
      </c>
      <c r="S439" s="911"/>
      <c r="T439" s="911"/>
      <c r="U439" s="911"/>
      <c r="V439" s="911"/>
      <c r="W439" s="912"/>
      <c r="X439" s="364"/>
      <c r="Y439" s="364"/>
      <c r="Z439" s="364"/>
      <c r="AA439"/>
      <c r="AB439"/>
      <c r="AC439"/>
      <c r="AD439"/>
      <c r="AE439"/>
      <c r="AF439"/>
      <c r="AG439"/>
    </row>
    <row r="440" spans="17:33" ht="12.75" customHeight="1" thickBot="1">
      <c r="Q440" s="364"/>
      <c r="R440" s="686" t="s">
        <v>59</v>
      </c>
      <c r="S440" s="577"/>
      <c r="T440" s="687"/>
      <c r="U440" s="687"/>
      <c r="V440" s="687"/>
      <c r="W440" s="688"/>
      <c r="X440" s="364"/>
      <c r="Y440" s="364"/>
      <c r="Z440" s="364"/>
      <c r="AA440"/>
      <c r="AB440"/>
      <c r="AC440"/>
      <c r="AD440"/>
      <c r="AE440"/>
      <c r="AF440"/>
      <c r="AG440"/>
    </row>
    <row r="441" spans="17:33" ht="12.75" customHeight="1">
      <c r="Q441" s="364"/>
      <c r="R441" s="895" t="s">
        <v>845</v>
      </c>
      <c r="S441" s="896"/>
      <c r="T441" s="900" t="s">
        <v>835</v>
      </c>
      <c r="U441" s="900" t="s">
        <v>836</v>
      </c>
      <c r="V441" s="900" t="s">
        <v>837</v>
      </c>
      <c r="W441" s="902" t="s">
        <v>838</v>
      </c>
      <c r="X441" s="364"/>
      <c r="Y441" s="364"/>
      <c r="Z441" s="364"/>
      <c r="AA441"/>
      <c r="AB441"/>
      <c r="AC441"/>
      <c r="AD441"/>
      <c r="AE441"/>
      <c r="AF441"/>
      <c r="AG441"/>
    </row>
    <row r="442" spans="17:33" ht="12.75" customHeight="1">
      <c r="Q442" s="364"/>
      <c r="R442" s="892"/>
      <c r="S442" s="897"/>
      <c r="T442" s="904"/>
      <c r="U442" s="904"/>
      <c r="V442" s="904"/>
      <c r="W442" s="905"/>
      <c r="X442" s="364"/>
      <c r="Y442" s="364"/>
      <c r="Z442" s="364"/>
      <c r="AA442"/>
      <c r="AB442"/>
      <c r="AC442"/>
      <c r="AD442"/>
      <c r="AE442"/>
      <c r="AF442"/>
      <c r="AG442"/>
    </row>
    <row r="443" spans="17:33" ht="12.75" customHeight="1">
      <c r="Q443" s="364"/>
      <c r="R443" s="892"/>
      <c r="S443" s="897"/>
      <c r="T443" s="901"/>
      <c r="U443" s="901"/>
      <c r="V443" s="901"/>
      <c r="W443" s="903"/>
      <c r="X443" s="364"/>
      <c r="Y443" s="364"/>
      <c r="Z443" s="364"/>
      <c r="AA443"/>
      <c r="AB443"/>
      <c r="AC443"/>
      <c r="AD443"/>
      <c r="AE443"/>
      <c r="AF443"/>
      <c r="AG443"/>
    </row>
    <row r="444" spans="17:33" ht="12.75" customHeight="1">
      <c r="Q444" s="364"/>
      <c r="R444" s="892"/>
      <c r="S444" s="897"/>
      <c r="T444" s="689">
        <f>X76</f>
        <v>122.02059991327964</v>
      </c>
      <c r="U444" s="560">
        <f>X62</f>
        <v>1.4285714285714284</v>
      </c>
      <c r="V444" s="690">
        <f>IF(T444&gt;0,W444*U444," ")</f>
        <v>79999.999999999985</v>
      </c>
      <c r="W444" s="691">
        <f>IF(T444&gt;0,(VLOOKUP(T444,'Lookup Ready-reckoner'!$B$5:$E$1207,4))," ")</f>
        <v>56000</v>
      </c>
      <c r="X444" s="364"/>
      <c r="Y444" s="364"/>
      <c r="Z444" s="364"/>
      <c r="AA444"/>
      <c r="AB444"/>
      <c r="AC444"/>
      <c r="AD444"/>
      <c r="AE444"/>
      <c r="AF444"/>
      <c r="AG444"/>
    </row>
    <row r="445" spans="17:33" ht="12.75" customHeight="1">
      <c r="Q445" s="364"/>
      <c r="R445" s="898"/>
      <c r="S445" s="899"/>
      <c r="T445" s="447"/>
      <c r="U445" s="560"/>
      <c r="V445" s="690" t="str">
        <f>IF(T445&gt;0,W445*U445," ")</f>
        <v xml:space="preserve"> </v>
      </c>
      <c r="W445" s="691" t="str">
        <f>IF(T445&gt;0,(VLOOKUP(T445,'Lookup Ready-reckoner'!$B$5:$E$1007,4))," ")</f>
        <v xml:space="preserve"> </v>
      </c>
      <c r="X445" s="364"/>
      <c r="Y445" s="364"/>
      <c r="Z445" s="364"/>
      <c r="AA445"/>
      <c r="AB445"/>
      <c r="AC445"/>
      <c r="AD445"/>
      <c r="AE445"/>
      <c r="AF445"/>
      <c r="AG445"/>
    </row>
    <row r="446" spans="17:33" ht="12.75" customHeight="1" thickBot="1">
      <c r="Q446" s="364"/>
      <c r="R446" s="692" t="s">
        <v>839</v>
      </c>
      <c r="S446" s="693"/>
      <c r="T446" s="693"/>
      <c r="U446" s="694">
        <f>IF(T444&gt;0,(VLOOKUP(V446,'Lookup Ready-reckoner'!$L$5:$M$1207,2))," ")</f>
        <v>113.95</v>
      </c>
      <c r="V446" s="695">
        <f>IF(U444&gt;0,(SUM(V444:V445))," ")</f>
        <v>79999.999999999985</v>
      </c>
      <c r="W446" s="696"/>
      <c r="X446" s="364"/>
      <c r="Y446" s="364"/>
      <c r="Z446" s="364"/>
      <c r="AA446"/>
      <c r="AB446"/>
      <c r="AC446"/>
      <c r="AD446"/>
      <c r="AE446"/>
      <c r="AF446"/>
      <c r="AG446"/>
    </row>
    <row r="447" spans="17:33" ht="12.75" customHeight="1" thickBot="1">
      <c r="Q447" s="364"/>
      <c r="R447" s="892"/>
      <c r="S447" s="893"/>
      <c r="T447" s="893"/>
      <c r="U447" s="893"/>
      <c r="V447" s="893"/>
      <c r="W447" s="894"/>
      <c r="X447" s="364"/>
      <c r="Y447" s="364"/>
      <c r="Z447" s="364"/>
      <c r="AA447"/>
      <c r="AB447"/>
      <c r="AC447"/>
      <c r="AD447"/>
      <c r="AE447"/>
      <c r="AF447"/>
      <c r="AG447"/>
    </row>
    <row r="448" spans="17:33" ht="12.75" customHeight="1">
      <c r="Q448" s="364"/>
      <c r="R448" s="895" t="s">
        <v>886</v>
      </c>
      <c r="S448" s="896"/>
      <c r="T448" s="900" t="s">
        <v>835</v>
      </c>
      <c r="U448" s="900" t="s">
        <v>836</v>
      </c>
      <c r="V448" s="900" t="s">
        <v>837</v>
      </c>
      <c r="W448" s="902" t="s">
        <v>838</v>
      </c>
      <c r="X448" s="364"/>
      <c r="Y448" s="364"/>
      <c r="Z448" s="364"/>
      <c r="AA448"/>
      <c r="AB448"/>
      <c r="AC448"/>
      <c r="AD448"/>
      <c r="AE448"/>
      <c r="AF448"/>
      <c r="AG448"/>
    </row>
    <row r="449" spans="17:33" ht="12.75" customHeight="1">
      <c r="Q449" s="364"/>
      <c r="R449" s="892"/>
      <c r="S449" s="897"/>
      <c r="T449" s="901"/>
      <c r="U449" s="901"/>
      <c r="V449" s="901"/>
      <c r="W449" s="903"/>
      <c r="X449" s="364"/>
      <c r="Y449" s="364"/>
      <c r="Z449" s="364"/>
      <c r="AA449"/>
      <c r="AB449"/>
      <c r="AC449"/>
      <c r="AD449"/>
      <c r="AE449"/>
      <c r="AF449"/>
      <c r="AG449"/>
    </row>
    <row r="450" spans="17:33" ht="12.75" customHeight="1">
      <c r="Q450" s="364"/>
      <c r="R450" s="892"/>
      <c r="S450" s="897"/>
      <c r="T450" s="689">
        <f>T444*(1-0.0178*2)</f>
        <v>117.67666655636688</v>
      </c>
      <c r="U450" s="560">
        <f>U444</f>
        <v>1.4285714285714284</v>
      </c>
      <c r="V450" s="690">
        <f>IF(T450&gt;0,W450*U450," ")</f>
        <v>33771.428571428565</v>
      </c>
      <c r="W450" s="691">
        <f>IF(T450&gt;0,(VLOOKUP(T450,'Lookup Ready-reckoner'!$B$5:$E$1207,4))," ")</f>
        <v>23640</v>
      </c>
      <c r="X450" s="364"/>
      <c r="Y450" s="364"/>
      <c r="Z450" s="364"/>
      <c r="AA450"/>
      <c r="AB450"/>
      <c r="AC450"/>
      <c r="AD450"/>
      <c r="AE450"/>
      <c r="AF450"/>
      <c r="AG450"/>
    </row>
    <row r="451" spans="17:33" ht="12.75" customHeight="1">
      <c r="Q451" s="364"/>
      <c r="R451" s="898"/>
      <c r="S451" s="899"/>
      <c r="T451" s="447"/>
      <c r="U451" s="560"/>
      <c r="V451" s="690" t="str">
        <f>IF(T451&gt;0,W451*U451," ")</f>
        <v xml:space="preserve"> </v>
      </c>
      <c r="W451" s="691" t="str">
        <f>IF(T451&gt;0,(VLOOKUP(T451,'Lookup Ready-reckoner'!$B$5:$E$1007,4))," ")</f>
        <v xml:space="preserve"> </v>
      </c>
      <c r="X451" s="364"/>
      <c r="Y451" s="364"/>
      <c r="Z451" s="364"/>
      <c r="AA451"/>
      <c r="AB451"/>
      <c r="AC451"/>
      <c r="AD451"/>
      <c r="AE451"/>
      <c r="AF451"/>
      <c r="AG451"/>
    </row>
    <row r="452" spans="17:33" ht="12.75" customHeight="1" thickBot="1">
      <c r="Q452" s="364"/>
      <c r="R452" s="692" t="s">
        <v>839</v>
      </c>
      <c r="S452" s="693"/>
      <c r="T452" s="693"/>
      <c r="U452" s="694">
        <f>IF(T450&gt;0,(VLOOKUP(V452,'Lookup Ready-reckoner'!$L$5:$M$1207,2))," ")</f>
        <v>110.2</v>
      </c>
      <c r="V452" s="695">
        <f>IF(U450&gt;0,(SUM(V450:V451))," ")</f>
        <v>33771.428571428565</v>
      </c>
      <c r="W452" s="696"/>
      <c r="X452" s="364"/>
      <c r="Y452" s="364"/>
      <c r="Z452" s="364"/>
      <c r="AA452"/>
      <c r="AB452"/>
      <c r="AC452"/>
      <c r="AD452"/>
      <c r="AE452"/>
      <c r="AF452"/>
      <c r="AG452"/>
    </row>
    <row r="453" spans="17:33" ht="12.75" customHeight="1">
      <c r="Q453" s="364"/>
      <c r="R453" s="697"/>
      <c r="S453" s="687"/>
      <c r="T453" s="687"/>
      <c r="U453" s="372"/>
      <c r="V453" s="374"/>
      <c r="W453" s="688"/>
      <c r="X453" s="364"/>
      <c r="Y453" s="364"/>
      <c r="Z453" s="364"/>
      <c r="AA453"/>
      <c r="AB453"/>
      <c r="AC453"/>
      <c r="AD453"/>
      <c r="AE453"/>
      <c r="AF453"/>
      <c r="AG453"/>
    </row>
    <row r="454" spans="17:33" ht="12.75" customHeight="1" thickBot="1">
      <c r="Q454" s="364"/>
      <c r="R454" s="686" t="s">
        <v>60</v>
      </c>
      <c r="S454" s="577"/>
      <c r="T454" s="577"/>
      <c r="U454" s="577"/>
      <c r="V454" s="577"/>
      <c r="W454" s="698"/>
      <c r="X454" s="364"/>
      <c r="Y454" s="364"/>
      <c r="Z454" s="364"/>
      <c r="AA454"/>
      <c r="AB454"/>
      <c r="AC454"/>
      <c r="AD454"/>
      <c r="AE454"/>
      <c r="AF454"/>
      <c r="AG454"/>
    </row>
    <row r="455" spans="17:33" ht="12.75" customHeight="1">
      <c r="Q455" s="364"/>
      <c r="R455" s="895" t="s">
        <v>845</v>
      </c>
      <c r="S455" s="896"/>
      <c r="T455" s="900" t="s">
        <v>835</v>
      </c>
      <c r="U455" s="900" t="s">
        <v>836</v>
      </c>
      <c r="V455" s="900" t="s">
        <v>837</v>
      </c>
      <c r="W455" s="902" t="s">
        <v>838</v>
      </c>
      <c r="X455" s="364"/>
      <c r="Y455" s="364"/>
      <c r="Z455" s="364"/>
      <c r="AA455"/>
      <c r="AB455"/>
      <c r="AC455"/>
      <c r="AD455"/>
      <c r="AE455"/>
      <c r="AF455"/>
      <c r="AG455"/>
    </row>
    <row r="456" spans="17:33" ht="12.75" customHeight="1">
      <c r="Q456" s="364"/>
      <c r="R456" s="892"/>
      <c r="S456" s="897"/>
      <c r="T456" s="901"/>
      <c r="U456" s="901"/>
      <c r="V456" s="901"/>
      <c r="W456" s="903"/>
      <c r="X456" s="364"/>
      <c r="Y456" s="364"/>
      <c r="Z456" s="364"/>
      <c r="AA456"/>
      <c r="AB456"/>
      <c r="AC456"/>
      <c r="AD456"/>
      <c r="AE456"/>
      <c r="AF456"/>
      <c r="AG456"/>
    </row>
    <row r="457" spans="17:33" ht="12.75" customHeight="1">
      <c r="Q457" s="364"/>
      <c r="R457" s="892"/>
      <c r="S457" s="897"/>
      <c r="T457" s="689">
        <f>T444-PPE!$I$15</f>
        <v>109.02059991327964</v>
      </c>
      <c r="U457" s="560">
        <f>U450</f>
        <v>1.4285714285714284</v>
      </c>
      <c r="V457" s="690">
        <f>IF(T457&gt;0,W457*U457," ")</f>
        <v>4571.4285714285706</v>
      </c>
      <c r="W457" s="691">
        <f>IF(T457&gt;0,(VLOOKUP(T457,'Lookup Ready-reckoner'!$B$5:$E$1207,4))," ")</f>
        <v>3200</v>
      </c>
      <c r="X457" s="364"/>
      <c r="Y457" s="364"/>
      <c r="Z457" s="364"/>
      <c r="AA457"/>
      <c r="AB457"/>
      <c r="AC457"/>
      <c r="AD457"/>
      <c r="AE457"/>
      <c r="AF457"/>
      <c r="AG457"/>
    </row>
    <row r="458" spans="17:33" ht="12.75" customHeight="1">
      <c r="Q458" s="364"/>
      <c r="R458" s="898"/>
      <c r="S458" s="899"/>
      <c r="T458" s="447"/>
      <c r="U458" s="560"/>
      <c r="V458" s="690" t="str">
        <f>IF(T458&gt;0,W458*U458," ")</f>
        <v xml:space="preserve"> </v>
      </c>
      <c r="W458" s="691" t="str">
        <f>IF(T458&gt;0,(VLOOKUP(T458,'Lookup Ready-reckoner'!$B$5:$E$1007,4))," ")</f>
        <v xml:space="preserve"> </v>
      </c>
      <c r="X458" s="364"/>
      <c r="Y458" s="364"/>
      <c r="Z458" s="364"/>
      <c r="AA458"/>
      <c r="AB458"/>
      <c r="AC458"/>
      <c r="AD458"/>
      <c r="AE458"/>
      <c r="AF458"/>
      <c r="AG458"/>
    </row>
    <row r="459" spans="17:33" ht="12.75" customHeight="1" thickBot="1">
      <c r="Q459" s="364"/>
      <c r="R459" s="699" t="s">
        <v>839</v>
      </c>
      <c r="S459" s="693"/>
      <c r="T459" s="693"/>
      <c r="U459" s="694">
        <f>IF(T457&gt;0,(VLOOKUP(V459,'Lookup Ready-reckoner'!$L$5:$M$1207,2))," ")</f>
        <v>101.55</v>
      </c>
      <c r="V459" s="695">
        <f>IF(U457&gt;0,(SUM(V457:V458))," ")</f>
        <v>4571.4285714285706</v>
      </c>
      <c r="W459" s="696"/>
      <c r="X459" s="364"/>
      <c r="Y459" s="364"/>
      <c r="Z459" s="364"/>
      <c r="AA459"/>
      <c r="AB459"/>
      <c r="AC459"/>
      <c r="AD459"/>
      <c r="AE459"/>
      <c r="AF459"/>
      <c r="AG459"/>
    </row>
    <row r="460" spans="17:33" ht="12.75" customHeight="1" thickBot="1">
      <c r="Q460" s="364"/>
      <c r="R460" s="892"/>
      <c r="S460" s="893"/>
      <c r="T460" s="893"/>
      <c r="U460" s="893"/>
      <c r="V460" s="893"/>
      <c r="W460" s="894"/>
      <c r="X460" s="364"/>
      <c r="Y460" s="364"/>
      <c r="Z460" s="364"/>
      <c r="AA460"/>
      <c r="AB460"/>
      <c r="AC460"/>
      <c r="AD460"/>
      <c r="AE460"/>
      <c r="AF460"/>
      <c r="AG460"/>
    </row>
    <row r="461" spans="17:33" ht="12.75" customHeight="1">
      <c r="Q461" s="364"/>
      <c r="R461" s="895" t="s">
        <v>886</v>
      </c>
      <c r="S461" s="896"/>
      <c r="T461" s="900" t="s">
        <v>835</v>
      </c>
      <c r="U461" s="900" t="s">
        <v>836</v>
      </c>
      <c r="V461" s="900" t="s">
        <v>837</v>
      </c>
      <c r="W461" s="902" t="s">
        <v>838</v>
      </c>
      <c r="X461" s="364"/>
      <c r="Y461" s="364"/>
      <c r="Z461" s="364"/>
      <c r="AA461"/>
      <c r="AB461"/>
      <c r="AC461"/>
      <c r="AD461"/>
      <c r="AE461"/>
      <c r="AF461"/>
      <c r="AG461"/>
    </row>
    <row r="462" spans="17:33" ht="12.75" customHeight="1">
      <c r="Q462" s="364"/>
      <c r="R462" s="892"/>
      <c r="S462" s="897"/>
      <c r="T462" s="901"/>
      <c r="U462" s="901"/>
      <c r="V462" s="901"/>
      <c r="W462" s="903"/>
      <c r="X462" s="364"/>
      <c r="Y462" s="364"/>
      <c r="Z462" s="364"/>
      <c r="AA462"/>
      <c r="AB462"/>
      <c r="AC462"/>
      <c r="AD462"/>
      <c r="AE462"/>
      <c r="AF462"/>
      <c r="AG462"/>
    </row>
    <row r="463" spans="17:33" ht="12.75" customHeight="1">
      <c r="Q463" s="364"/>
      <c r="R463" s="892"/>
      <c r="S463" s="897"/>
      <c r="T463" s="689">
        <f>T450-PPE!$I$15</f>
        <v>104.67666655636688</v>
      </c>
      <c r="U463" s="560">
        <f>U457</f>
        <v>1.4285714285714284</v>
      </c>
      <c r="V463" s="690">
        <f>IF(T463&gt;0,W463*U463," ")</f>
        <v>1660.7142857142856</v>
      </c>
      <c r="W463" s="691">
        <f>IF(T463&gt;0,(VLOOKUP(T463,'Lookup Ready-reckoner'!$B$5:$E$1207,4))," ")</f>
        <v>1162.5</v>
      </c>
      <c r="X463" s="364"/>
      <c r="Y463" s="364"/>
      <c r="Z463" s="364"/>
      <c r="AA463"/>
      <c r="AB463"/>
      <c r="AC463"/>
      <c r="AD463"/>
      <c r="AE463"/>
      <c r="AF463"/>
      <c r="AG463"/>
    </row>
    <row r="464" spans="17:33" ht="12.75" customHeight="1">
      <c r="Q464" s="364"/>
      <c r="R464" s="898"/>
      <c r="S464" s="899"/>
      <c r="T464" s="447"/>
      <c r="U464" s="560"/>
      <c r="V464" s="690" t="str">
        <f>IF(T464&gt;0,W464*U464," ")</f>
        <v xml:space="preserve"> </v>
      </c>
      <c r="W464" s="691" t="str">
        <f>IF(T464&gt;0,(VLOOKUP(T464,'Lookup Ready-reckoner'!$B$5:$E$1007,4))," ")</f>
        <v xml:space="preserve"> </v>
      </c>
      <c r="X464" s="364"/>
      <c r="Y464" s="364"/>
      <c r="Z464" s="364"/>
      <c r="AA464"/>
      <c r="AB464"/>
      <c r="AC464"/>
      <c r="AD464"/>
      <c r="AE464"/>
      <c r="AF464"/>
      <c r="AG464"/>
    </row>
    <row r="465" spans="17:33" ht="12.75" customHeight="1" thickBot="1">
      <c r="Q465" s="364"/>
      <c r="R465" s="692" t="s">
        <v>839</v>
      </c>
      <c r="S465" s="693"/>
      <c r="T465" s="693"/>
      <c r="U465" s="694">
        <f>IF(T463&gt;0,(VLOOKUP(V465,'Lookup Ready-reckoner'!$L$5:$M$1207,2))," ")</f>
        <v>97.15</v>
      </c>
      <c r="V465" s="695">
        <f>IF(U463&gt;0,(SUM(V463:V464))," ")</f>
        <v>1660.7142857142856</v>
      </c>
      <c r="W465" s="696"/>
      <c r="X465" s="364"/>
      <c r="Y465" s="364"/>
      <c r="Z465" s="364"/>
      <c r="AA465"/>
      <c r="AB465"/>
      <c r="AC465"/>
      <c r="AD465"/>
      <c r="AE465"/>
      <c r="AF465"/>
      <c r="AG465"/>
    </row>
    <row r="466" spans="17:33" ht="12.75" customHeight="1">
      <c r="Q466" s="364"/>
      <c r="R466" s="363"/>
      <c r="S466" s="363"/>
      <c r="T466" s="363"/>
      <c r="U466" s="363"/>
      <c r="V466" s="363"/>
      <c r="W466" s="363"/>
      <c r="X466" s="364"/>
      <c r="Y466" s="364"/>
      <c r="Z466" s="364"/>
      <c r="AA466"/>
      <c r="AB466"/>
      <c r="AC466"/>
      <c r="AD466"/>
      <c r="AE466"/>
      <c r="AF466"/>
      <c r="AG466"/>
    </row>
    <row r="467" spans="17:33" ht="12.75" customHeight="1" thickBot="1">
      <c r="Q467" s="364"/>
      <c r="R467" s="915" t="str">
        <f>R348</f>
        <v>Seco S215 Muffled</v>
      </c>
      <c r="S467" s="915"/>
      <c r="T467" s="915"/>
      <c r="U467" s="915"/>
      <c r="V467" s="915"/>
      <c r="W467" s="915"/>
      <c r="X467" s="364"/>
      <c r="Y467" s="364"/>
      <c r="Z467" s="364"/>
      <c r="AA467"/>
      <c r="AB467"/>
      <c r="AC467"/>
      <c r="AD467"/>
      <c r="AE467"/>
      <c r="AF467"/>
      <c r="AG467"/>
    </row>
    <row r="468" spans="17:33" ht="12.75" customHeight="1" thickBot="1">
      <c r="Q468" s="364"/>
      <c r="R468" s="906" t="s">
        <v>205</v>
      </c>
      <c r="S468" s="907"/>
      <c r="T468" s="907"/>
      <c r="U468" s="907"/>
      <c r="V468" s="907"/>
      <c r="W468" s="908"/>
      <c r="X468" s="364"/>
      <c r="Y468" s="364"/>
      <c r="Z468" s="364"/>
      <c r="AA468"/>
      <c r="AB468"/>
      <c r="AC468"/>
      <c r="AD468"/>
      <c r="AE468"/>
      <c r="AF468"/>
      <c r="AG468"/>
    </row>
    <row r="469" spans="17:33" ht="12.75" customHeight="1" thickBot="1">
      <c r="Q469" s="364"/>
      <c r="R469" s="686" t="s">
        <v>59</v>
      </c>
      <c r="S469" s="577"/>
      <c r="T469" s="687"/>
      <c r="U469" s="687"/>
      <c r="V469" s="687"/>
      <c r="W469" s="688"/>
      <c r="X469" s="364"/>
      <c r="Y469" s="364"/>
      <c r="Z469" s="364"/>
      <c r="AA469"/>
      <c r="AB469"/>
      <c r="AC469"/>
      <c r="AD469"/>
      <c r="AE469"/>
      <c r="AF469"/>
      <c r="AG469"/>
    </row>
    <row r="470" spans="17:33" ht="12.75" customHeight="1">
      <c r="Q470" s="364"/>
      <c r="R470" s="895" t="s">
        <v>845</v>
      </c>
      <c r="S470" s="896"/>
      <c r="T470" s="900" t="s">
        <v>835</v>
      </c>
      <c r="U470" s="900" t="s">
        <v>836</v>
      </c>
      <c r="V470" s="900" t="s">
        <v>837</v>
      </c>
      <c r="W470" s="902" t="s">
        <v>838</v>
      </c>
      <c r="X470" s="364"/>
      <c r="Y470" s="364"/>
      <c r="Z470" s="364"/>
      <c r="AA470"/>
      <c r="AB470"/>
      <c r="AC470"/>
      <c r="AD470"/>
      <c r="AE470"/>
      <c r="AF470"/>
      <c r="AG470"/>
    </row>
    <row r="471" spans="17:33" ht="12.75" customHeight="1">
      <c r="Q471" s="364"/>
      <c r="R471" s="892"/>
      <c r="S471" s="897"/>
      <c r="T471" s="904"/>
      <c r="U471" s="904"/>
      <c r="V471" s="904"/>
      <c r="W471" s="905"/>
      <c r="X471" s="364"/>
      <c r="Y471" s="364"/>
      <c r="Z471" s="364"/>
      <c r="AA471"/>
      <c r="AB471"/>
      <c r="AC471"/>
      <c r="AD471"/>
      <c r="AE471"/>
      <c r="AF471"/>
      <c r="AG471"/>
    </row>
    <row r="472" spans="17:33" ht="12.75" customHeight="1">
      <c r="Q472" s="364"/>
      <c r="R472" s="892"/>
      <c r="S472" s="897"/>
      <c r="T472" s="901"/>
      <c r="U472" s="901"/>
      <c r="V472" s="901"/>
      <c r="W472" s="903"/>
      <c r="X472" s="364"/>
      <c r="Y472" s="364"/>
      <c r="Z472" s="364"/>
      <c r="AA472"/>
      <c r="AB472"/>
      <c r="AC472"/>
      <c r="AD472"/>
      <c r="AE472"/>
      <c r="AF472"/>
      <c r="AG472"/>
    </row>
    <row r="473" spans="17:33" ht="12.75" customHeight="1">
      <c r="Q473" s="364"/>
      <c r="R473" s="892"/>
      <c r="S473" s="897"/>
      <c r="T473" s="700">
        <f>V76</f>
        <v>114.02059991327963</v>
      </c>
      <c r="U473" s="560">
        <f>V62</f>
        <v>1.9999999999999996</v>
      </c>
      <c r="V473" s="690">
        <f>IF(T473&gt;0,W473*U473," ")</f>
        <v>19999.999999999996</v>
      </c>
      <c r="W473" s="691">
        <f>IF(T473&gt;0,(VLOOKUP(T473,'Lookup Ready-reckoner'!$B$5:$E$1207,4))," ")</f>
        <v>10000</v>
      </c>
      <c r="X473" s="364"/>
      <c r="Y473" s="364"/>
      <c r="Z473" s="364"/>
      <c r="AA473"/>
      <c r="AB473"/>
      <c r="AC473"/>
      <c r="AD473"/>
      <c r="AE473"/>
      <c r="AF473"/>
      <c r="AG473"/>
    </row>
    <row r="474" spans="17:33" ht="12.75" customHeight="1">
      <c r="Q474" s="364"/>
      <c r="R474" s="898"/>
      <c r="S474" s="899"/>
      <c r="T474" s="447"/>
      <c r="U474" s="560"/>
      <c r="V474" s="690" t="str">
        <f>IF(T474&gt;0,W474*U474," ")</f>
        <v xml:space="preserve"> </v>
      </c>
      <c r="W474" s="691" t="str">
        <f>IF(T474&gt;0,(VLOOKUP(T474,'Lookup Ready-reckoner'!$B$5:$E$1007,4))," ")</f>
        <v xml:space="preserve"> </v>
      </c>
      <c r="X474" s="364"/>
      <c r="Y474" s="364"/>
      <c r="Z474" s="364"/>
      <c r="AA474"/>
      <c r="AB474"/>
      <c r="AC474"/>
      <c r="AD474"/>
      <c r="AE474"/>
      <c r="AF474"/>
      <c r="AG474"/>
    </row>
    <row r="475" spans="17:33" ht="12.75" customHeight="1" thickBot="1">
      <c r="Q475" s="364"/>
      <c r="R475" s="699" t="s">
        <v>839</v>
      </c>
      <c r="S475" s="693"/>
      <c r="T475" s="693"/>
      <c r="U475" s="701">
        <f>IF(T473&gt;0,(VLOOKUP(V475,'Lookup Ready-reckoner'!$L$5:$M$1207,2))," ")</f>
        <v>107.95</v>
      </c>
      <c r="V475" s="695">
        <f>IF(U473&gt;0,(SUM(V473:V474))," ")</f>
        <v>19999.999999999996</v>
      </c>
      <c r="W475" s="696"/>
      <c r="X475" s="364"/>
      <c r="Y475" s="364"/>
      <c r="Z475" s="364"/>
      <c r="AA475"/>
      <c r="AB475"/>
      <c r="AC475"/>
      <c r="AD475"/>
      <c r="AE475"/>
      <c r="AF475"/>
      <c r="AG475"/>
    </row>
    <row r="476" spans="17:33" ht="12.75" customHeight="1" thickBot="1">
      <c r="Q476" s="364"/>
      <c r="R476" s="892"/>
      <c r="S476" s="893"/>
      <c r="T476" s="893"/>
      <c r="U476" s="893"/>
      <c r="V476" s="893"/>
      <c r="W476" s="894"/>
      <c r="X476" s="364"/>
      <c r="Y476" s="364"/>
      <c r="Z476" s="364"/>
      <c r="AA476"/>
      <c r="AB476"/>
      <c r="AC476"/>
      <c r="AD476"/>
      <c r="AE476"/>
      <c r="AF476"/>
      <c r="AG476"/>
    </row>
    <row r="477" spans="17:33" ht="12.75" customHeight="1">
      <c r="Q477" s="364"/>
      <c r="R477" s="895" t="s">
        <v>886</v>
      </c>
      <c r="S477" s="896"/>
      <c r="T477" s="900" t="s">
        <v>835</v>
      </c>
      <c r="U477" s="900" t="s">
        <v>836</v>
      </c>
      <c r="V477" s="900" t="s">
        <v>837</v>
      </c>
      <c r="W477" s="902" t="s">
        <v>838</v>
      </c>
      <c r="X477" s="364"/>
      <c r="Y477" s="364"/>
      <c r="Z477" s="364"/>
      <c r="AA477"/>
      <c r="AB477"/>
      <c r="AC477"/>
      <c r="AD477"/>
      <c r="AE477"/>
      <c r="AF477"/>
      <c r="AG477"/>
    </row>
    <row r="478" spans="17:33" ht="12.75" customHeight="1">
      <c r="Q478" s="364"/>
      <c r="R478" s="892"/>
      <c r="S478" s="897"/>
      <c r="T478" s="901"/>
      <c r="U478" s="901"/>
      <c r="V478" s="901"/>
      <c r="W478" s="903"/>
      <c r="X478" s="364"/>
      <c r="Y478" s="364"/>
      <c r="Z478" s="364"/>
      <c r="AA478"/>
      <c r="AB478"/>
      <c r="AC478"/>
      <c r="AD478"/>
      <c r="AE478"/>
      <c r="AF478"/>
      <c r="AG478"/>
    </row>
    <row r="479" spans="17:33" ht="12.75" customHeight="1">
      <c r="Q479" s="364"/>
      <c r="R479" s="892"/>
      <c r="S479" s="897"/>
      <c r="T479" s="700">
        <f>T473*(1-0.0178*2)</f>
        <v>109.96146655636687</v>
      </c>
      <c r="U479" s="560">
        <f>U473</f>
        <v>1.9999999999999996</v>
      </c>
      <c r="V479" s="690">
        <f>IF(T479&gt;0,W479*U479," ")</f>
        <v>7919.9999999999982</v>
      </c>
      <c r="W479" s="691">
        <f>IF(T479&gt;0,(VLOOKUP(T479,'Lookup Ready-reckoner'!$B$5:$E$1207,4))," ")</f>
        <v>3960</v>
      </c>
      <c r="X479" s="364"/>
      <c r="Y479" s="364"/>
      <c r="Z479" s="364"/>
      <c r="AA479"/>
      <c r="AB479"/>
      <c r="AC479"/>
      <c r="AD479"/>
      <c r="AE479"/>
      <c r="AF479"/>
      <c r="AG479"/>
    </row>
    <row r="480" spans="17:33" ht="12.75" customHeight="1">
      <c r="Q480" s="364"/>
      <c r="R480" s="898"/>
      <c r="S480" s="899"/>
      <c r="T480" s="447"/>
      <c r="U480" s="560"/>
      <c r="V480" s="690" t="str">
        <f>IF(T480&gt;0,W480*U480," ")</f>
        <v xml:space="preserve"> </v>
      </c>
      <c r="W480" s="691" t="str">
        <f>IF(T480&gt;0,(VLOOKUP(T480,'Lookup Ready-reckoner'!$B$5:$E$1007,4))," ")</f>
        <v xml:space="preserve"> </v>
      </c>
      <c r="X480" s="364"/>
      <c r="Y480" s="364"/>
      <c r="Z480" s="364"/>
      <c r="AA480"/>
      <c r="AB480"/>
      <c r="AC480"/>
      <c r="AD480"/>
      <c r="AE480"/>
      <c r="AF480"/>
      <c r="AG480"/>
    </row>
    <row r="481" spans="17:33" ht="12.75" customHeight="1" thickBot="1">
      <c r="Q481" s="364"/>
      <c r="R481" s="692" t="s">
        <v>839</v>
      </c>
      <c r="S481" s="693"/>
      <c r="T481" s="693"/>
      <c r="U481" s="701">
        <f>IF(T479&gt;0,(VLOOKUP(V481,'Lookup Ready-reckoner'!$L$5:$M$1207,2))," ")</f>
        <v>103.9</v>
      </c>
      <c r="V481" s="695">
        <f>IF(U479&gt;0,(SUM(V479:V480))," ")</f>
        <v>7919.9999999999982</v>
      </c>
      <c r="W481" s="696"/>
      <c r="X481" s="364"/>
      <c r="Y481" s="364"/>
      <c r="Z481" s="364"/>
      <c r="AA481"/>
      <c r="AB481"/>
      <c r="AC481"/>
      <c r="AD481"/>
      <c r="AE481"/>
      <c r="AF481"/>
      <c r="AG481"/>
    </row>
    <row r="482" spans="17:33" ht="12.75" customHeight="1">
      <c r="Q482" s="364"/>
      <c r="R482" s="697"/>
      <c r="S482" s="687"/>
      <c r="T482" s="687"/>
      <c r="U482" s="372"/>
      <c r="V482" s="374"/>
      <c r="W482" s="688"/>
      <c r="X482" s="364"/>
      <c r="Y482" s="364"/>
      <c r="Z482" s="364"/>
      <c r="AA482"/>
      <c r="AB482"/>
      <c r="AC482"/>
      <c r="AD482"/>
      <c r="AE482"/>
      <c r="AF482"/>
      <c r="AG482"/>
    </row>
    <row r="483" spans="17:33" ht="12.75" customHeight="1" thickBot="1">
      <c r="Q483" s="364"/>
      <c r="R483" s="686" t="s">
        <v>60</v>
      </c>
      <c r="S483" s="577"/>
      <c r="T483" s="577"/>
      <c r="U483" s="577"/>
      <c r="V483" s="577"/>
      <c r="W483" s="698"/>
      <c r="X483" s="364"/>
      <c r="Y483" s="364"/>
      <c r="Z483" s="364"/>
      <c r="AA483"/>
      <c r="AB483"/>
      <c r="AC483"/>
      <c r="AD483"/>
      <c r="AE483"/>
      <c r="AF483"/>
      <c r="AG483"/>
    </row>
    <row r="484" spans="17:33" ht="12.75" customHeight="1">
      <c r="Q484" s="364"/>
      <c r="R484" s="895" t="s">
        <v>845</v>
      </c>
      <c r="S484" s="896"/>
      <c r="T484" s="900" t="s">
        <v>835</v>
      </c>
      <c r="U484" s="900" t="s">
        <v>836</v>
      </c>
      <c r="V484" s="900" t="s">
        <v>837</v>
      </c>
      <c r="W484" s="902" t="s">
        <v>838</v>
      </c>
      <c r="X484" s="364"/>
      <c r="Y484" s="364"/>
      <c r="Z484" s="364"/>
      <c r="AA484"/>
      <c r="AB484"/>
      <c r="AC484"/>
      <c r="AD484"/>
      <c r="AE484"/>
      <c r="AF484"/>
      <c r="AG484"/>
    </row>
    <row r="485" spans="17:33" ht="12.75" customHeight="1">
      <c r="Q485" s="364"/>
      <c r="R485" s="892"/>
      <c r="S485" s="897"/>
      <c r="T485" s="901"/>
      <c r="U485" s="901"/>
      <c r="V485" s="901"/>
      <c r="W485" s="903"/>
      <c r="X485" s="364"/>
      <c r="Y485" s="364"/>
      <c r="Z485" s="364"/>
      <c r="AA485"/>
      <c r="AB485"/>
      <c r="AC485"/>
      <c r="AD485"/>
      <c r="AE485"/>
      <c r="AF485"/>
      <c r="AG485"/>
    </row>
    <row r="486" spans="17:33" ht="12.75" customHeight="1">
      <c r="Q486" s="364"/>
      <c r="R486" s="892"/>
      <c r="S486" s="897"/>
      <c r="T486" s="700">
        <f>T473-PPE!$I$15</f>
        <v>101.02059991327963</v>
      </c>
      <c r="U486" s="560">
        <f>U479</f>
        <v>1.9999999999999996</v>
      </c>
      <c r="V486" s="690">
        <f>IF(T486&gt;0,W486*U486," ")</f>
        <v>999.99999999999977</v>
      </c>
      <c r="W486" s="691">
        <f>IF(T486&gt;0,(VLOOKUP(T486,'Lookup Ready-reckoner'!$B$5:$E$1207,4))," ")</f>
        <v>500</v>
      </c>
      <c r="X486" s="364"/>
      <c r="Y486" s="364"/>
      <c r="Z486" s="364"/>
      <c r="AA486"/>
      <c r="AB486"/>
      <c r="AC486"/>
      <c r="AD486"/>
      <c r="AE486"/>
      <c r="AF486"/>
      <c r="AG486"/>
    </row>
    <row r="487" spans="17:33" ht="12.75" customHeight="1">
      <c r="Q487" s="364"/>
      <c r="R487" s="898"/>
      <c r="S487" s="899"/>
      <c r="T487" s="447"/>
      <c r="U487" s="560"/>
      <c r="V487" s="690" t="str">
        <f>IF(T487&gt;0,W487*U487," ")</f>
        <v xml:space="preserve"> </v>
      </c>
      <c r="W487" s="691" t="str">
        <f>IF(T487&gt;0,(VLOOKUP(T487,'Lookup Ready-reckoner'!$B$5:$E$1007,4))," ")</f>
        <v xml:space="preserve"> </v>
      </c>
      <c r="X487" s="364"/>
      <c r="Y487" s="364"/>
      <c r="Z487" s="364"/>
      <c r="AA487"/>
      <c r="AB487"/>
      <c r="AC487"/>
      <c r="AD487"/>
      <c r="AE487"/>
      <c r="AF487"/>
      <c r="AG487"/>
    </row>
    <row r="488" spans="17:33" ht="12.75" customHeight="1" thickBot="1">
      <c r="Q488" s="364"/>
      <c r="R488" s="692" t="s">
        <v>839</v>
      </c>
      <c r="S488" s="693"/>
      <c r="T488" s="693"/>
      <c r="U488" s="701">
        <f>IF(T486&gt;0,(VLOOKUP(V488,'Lookup Ready-reckoner'!$L$5:$M$1207,2))," ")</f>
        <v>94.95</v>
      </c>
      <c r="V488" s="695">
        <f>IF(U486&gt;0,(SUM(V486:V487))," ")</f>
        <v>999.99999999999977</v>
      </c>
      <c r="W488" s="696"/>
      <c r="X488" s="364"/>
      <c r="Y488" s="364"/>
      <c r="Z488" s="364"/>
      <c r="AA488"/>
      <c r="AB488"/>
      <c r="AC488"/>
      <c r="AD488"/>
      <c r="AE488"/>
      <c r="AF488"/>
      <c r="AG488"/>
    </row>
    <row r="489" spans="17:33" ht="12.75" customHeight="1" thickBot="1">
      <c r="Q489" s="364"/>
      <c r="R489" s="892"/>
      <c r="S489" s="893"/>
      <c r="T489" s="893"/>
      <c r="U489" s="893"/>
      <c r="V489" s="893"/>
      <c r="W489" s="894"/>
      <c r="X489" s="364"/>
      <c r="Y489" s="364"/>
      <c r="Z489" s="364"/>
      <c r="AA489"/>
      <c r="AB489"/>
      <c r="AC489"/>
      <c r="AD489"/>
      <c r="AE489"/>
      <c r="AF489"/>
      <c r="AG489"/>
    </row>
    <row r="490" spans="17:33" ht="12.75" customHeight="1">
      <c r="Q490" s="364"/>
      <c r="R490" s="895" t="s">
        <v>886</v>
      </c>
      <c r="S490" s="896"/>
      <c r="T490" s="900" t="s">
        <v>835</v>
      </c>
      <c r="U490" s="900" t="s">
        <v>836</v>
      </c>
      <c r="V490" s="900" t="s">
        <v>837</v>
      </c>
      <c r="W490" s="902" t="s">
        <v>838</v>
      </c>
      <c r="X490" s="364"/>
      <c r="Y490" s="364"/>
      <c r="Z490" s="364"/>
      <c r="AA490"/>
      <c r="AB490"/>
      <c r="AC490"/>
      <c r="AD490"/>
      <c r="AE490"/>
      <c r="AF490"/>
      <c r="AG490"/>
    </row>
    <row r="491" spans="17:33" ht="12.75" customHeight="1">
      <c r="Q491" s="364"/>
      <c r="R491" s="892"/>
      <c r="S491" s="897"/>
      <c r="T491" s="901"/>
      <c r="U491" s="901"/>
      <c r="V491" s="901"/>
      <c r="W491" s="903"/>
      <c r="X491" s="364"/>
      <c r="Y491" s="364"/>
      <c r="Z491" s="364"/>
      <c r="AA491"/>
      <c r="AB491"/>
      <c r="AC491"/>
      <c r="AD491"/>
      <c r="AE491"/>
      <c r="AF491"/>
      <c r="AG491"/>
    </row>
    <row r="492" spans="17:33" ht="12.75" customHeight="1">
      <c r="Q492" s="364"/>
      <c r="R492" s="892"/>
      <c r="S492" s="897"/>
      <c r="T492" s="700">
        <f>T479-PPE!$I$15</f>
        <v>96.961466556366872</v>
      </c>
      <c r="U492" s="560">
        <f>U486</f>
        <v>1.9999999999999996</v>
      </c>
      <c r="V492" s="690">
        <f>IF(T492&gt;0,W492*U492," ")</f>
        <v>395.62499999999989</v>
      </c>
      <c r="W492" s="691">
        <f>IF(T492&gt;0,(VLOOKUP(T492,'Lookup Ready-reckoner'!$B$5:$E$1207,4))," ")</f>
        <v>197.8125</v>
      </c>
      <c r="X492" s="364"/>
      <c r="Y492" s="364"/>
      <c r="Z492" s="364"/>
      <c r="AA492"/>
      <c r="AB492"/>
      <c r="AC492"/>
      <c r="AD492"/>
      <c r="AE492"/>
      <c r="AF492"/>
      <c r="AG492"/>
    </row>
    <row r="493" spans="17:33" ht="12.75" customHeight="1">
      <c r="Q493" s="364"/>
      <c r="R493" s="898"/>
      <c r="S493" s="899"/>
      <c r="T493" s="447"/>
      <c r="U493" s="560"/>
      <c r="V493" s="690" t="str">
        <f>IF(T493&gt;0,W493*U493," ")</f>
        <v xml:space="preserve"> </v>
      </c>
      <c r="W493" s="691" t="str">
        <f>IF(T493&gt;0,(VLOOKUP(T493,'Lookup Ready-reckoner'!$B$5:$E$1007,4))," ")</f>
        <v xml:space="preserve"> </v>
      </c>
      <c r="X493" s="364"/>
      <c r="Y493" s="364"/>
      <c r="Z493" s="364"/>
      <c r="AA493"/>
      <c r="AB493"/>
      <c r="AC493"/>
      <c r="AD493"/>
      <c r="AE493"/>
      <c r="AF493"/>
      <c r="AG493"/>
    </row>
    <row r="494" spans="17:33" ht="12.75" customHeight="1" thickBot="1">
      <c r="Q494" s="364"/>
      <c r="R494" s="692" t="s">
        <v>839</v>
      </c>
      <c r="S494" s="693"/>
      <c r="T494" s="693"/>
      <c r="U494" s="701">
        <f>IF(T492&gt;0,(VLOOKUP(V494,'Lookup Ready-reckoner'!$L$5:$M$1207,2))," ")</f>
        <v>90.9</v>
      </c>
      <c r="V494" s="695">
        <f>IF(U492&gt;0,(SUM(V492:V493))," ")</f>
        <v>395.62499999999989</v>
      </c>
      <c r="W494" s="696"/>
      <c r="X494" s="364"/>
      <c r="Y494" s="364"/>
      <c r="Z494" s="364"/>
      <c r="AA494"/>
      <c r="AB494"/>
      <c r="AC494"/>
      <c r="AD494"/>
      <c r="AE494"/>
      <c r="AF494"/>
      <c r="AG494"/>
    </row>
    <row r="495" spans="17:33" ht="12.75" customHeight="1">
      <c r="Q495" s="364"/>
      <c r="R495" s="363"/>
      <c r="S495" s="363"/>
      <c r="T495" s="363"/>
      <c r="U495" s="363"/>
      <c r="V495" s="363"/>
      <c r="W495" s="363"/>
      <c r="X495" s="364"/>
      <c r="Y495" s="364"/>
      <c r="Z495" s="364"/>
      <c r="AA495"/>
      <c r="AB495"/>
      <c r="AC495"/>
      <c r="AD495"/>
      <c r="AE495"/>
      <c r="AF495"/>
      <c r="AG495"/>
    </row>
    <row r="496" spans="17:33" ht="12.75" customHeight="1">
      <c r="Q496" s="364"/>
      <c r="R496" s="913" t="str">
        <f>R377</f>
        <v>Sulzer ADDS</v>
      </c>
      <c r="S496" s="914"/>
      <c r="T496" s="914"/>
      <c r="U496" s="914"/>
      <c r="V496" s="914"/>
      <c r="W496" s="914"/>
      <c r="X496" s="364"/>
      <c r="Y496" s="364"/>
      <c r="Z496" s="364"/>
      <c r="AA496"/>
      <c r="AB496"/>
      <c r="AC496"/>
      <c r="AD496"/>
      <c r="AE496"/>
      <c r="AF496"/>
      <c r="AG496"/>
    </row>
    <row r="497" spans="17:33" ht="12.75" customHeight="1" thickBot="1">
      <c r="Q497" s="364"/>
      <c r="R497" s="910" t="s">
        <v>205</v>
      </c>
      <c r="S497" s="911"/>
      <c r="T497" s="911"/>
      <c r="U497" s="911"/>
      <c r="V497" s="911"/>
      <c r="W497" s="912"/>
      <c r="X497" s="364"/>
      <c r="Y497" s="364"/>
      <c r="Z497" s="364"/>
      <c r="AA497"/>
      <c r="AB497"/>
      <c r="AC497"/>
      <c r="AD497"/>
      <c r="AE497"/>
      <c r="AF497"/>
      <c r="AG497"/>
    </row>
    <row r="498" spans="17:33" ht="12.75" customHeight="1" thickBot="1">
      <c r="Q498" s="364"/>
      <c r="R498" s="686" t="s">
        <v>59</v>
      </c>
      <c r="S498" s="577"/>
      <c r="T498" s="687"/>
      <c r="U498" s="687"/>
      <c r="V498" s="687"/>
      <c r="W498" s="688"/>
      <c r="X498" s="364"/>
      <c r="Y498" s="364"/>
      <c r="Z498" s="364"/>
      <c r="AA498"/>
      <c r="AB498"/>
      <c r="AC498"/>
      <c r="AD498"/>
      <c r="AE498"/>
      <c r="AF498"/>
      <c r="AG498"/>
    </row>
    <row r="499" spans="17:33" ht="12.75" customHeight="1">
      <c r="Q499" s="364"/>
      <c r="R499" s="895" t="s">
        <v>845</v>
      </c>
      <c r="S499" s="896"/>
      <c r="T499" s="900" t="s">
        <v>835</v>
      </c>
      <c r="U499" s="900" t="s">
        <v>836</v>
      </c>
      <c r="V499" s="900" t="s">
        <v>837</v>
      </c>
      <c r="W499" s="902" t="s">
        <v>838</v>
      </c>
      <c r="X499" s="364"/>
      <c r="Y499" s="364"/>
      <c r="Z499" s="364"/>
      <c r="AA499"/>
      <c r="AB499"/>
      <c r="AC499"/>
      <c r="AD499"/>
      <c r="AE499"/>
      <c r="AF499"/>
      <c r="AG499"/>
    </row>
    <row r="500" spans="17:33" ht="12.75" customHeight="1">
      <c r="Q500" s="364"/>
      <c r="R500" s="892"/>
      <c r="S500" s="897"/>
      <c r="T500" s="904"/>
      <c r="U500" s="904"/>
      <c r="V500" s="904"/>
      <c r="W500" s="905"/>
      <c r="X500" s="364"/>
      <c r="Y500" s="364"/>
      <c r="Z500" s="364"/>
      <c r="AA500"/>
      <c r="AB500"/>
      <c r="AC500"/>
      <c r="AD500"/>
      <c r="AE500"/>
      <c r="AF500"/>
      <c r="AG500"/>
    </row>
    <row r="501" spans="17:33" ht="12.75" customHeight="1">
      <c r="Q501" s="364"/>
      <c r="R501" s="892"/>
      <c r="S501" s="897"/>
      <c r="T501" s="901"/>
      <c r="U501" s="901"/>
      <c r="V501" s="901"/>
      <c r="W501" s="903"/>
      <c r="X501" s="364"/>
      <c r="Y501" s="364"/>
      <c r="Z501" s="364"/>
      <c r="AA501"/>
      <c r="AB501"/>
      <c r="AC501"/>
      <c r="AD501"/>
      <c r="AE501"/>
      <c r="AF501"/>
      <c r="AG501"/>
    </row>
    <row r="502" spans="17:33" ht="12.75" customHeight="1">
      <c r="Q502" s="364"/>
      <c r="R502" s="892"/>
      <c r="S502" s="897"/>
      <c r="T502" s="702">
        <f>W76</f>
        <v>115.02059991327963</v>
      </c>
      <c r="U502" s="560">
        <f>W62</f>
        <v>1.7391304347826084</v>
      </c>
      <c r="V502" s="690">
        <f>IF(T502&gt;0,W502*U502," ")</f>
        <v>22260.869565217388</v>
      </c>
      <c r="W502" s="691">
        <f>IF(T502&gt;0,(VLOOKUP(T502,'Lookup Ready-reckoner'!$B$5:$E$1207,4))," ")</f>
        <v>12800</v>
      </c>
      <c r="X502" s="364"/>
      <c r="Y502" s="364"/>
      <c r="Z502" s="364"/>
      <c r="AA502"/>
      <c r="AB502"/>
      <c r="AC502"/>
      <c r="AD502"/>
      <c r="AE502"/>
      <c r="AF502"/>
      <c r="AG502"/>
    </row>
    <row r="503" spans="17:33" ht="12.75" customHeight="1">
      <c r="Q503" s="364"/>
      <c r="R503" s="898"/>
      <c r="S503" s="899"/>
      <c r="T503" s="447"/>
      <c r="U503" s="560"/>
      <c r="V503" s="690" t="str">
        <f>IF(T503&gt;0,W503*U503," ")</f>
        <v xml:space="preserve"> </v>
      </c>
      <c r="W503" s="691" t="str">
        <f>IF(T503&gt;0,(VLOOKUP(T503,'Lookup Ready-reckoner'!$B$5:$E$1007,4))," ")</f>
        <v xml:space="preserve"> </v>
      </c>
      <c r="X503" s="364"/>
      <c r="Y503" s="364"/>
      <c r="Z503" s="364"/>
      <c r="AA503"/>
      <c r="AB503"/>
      <c r="AC503"/>
      <c r="AD503"/>
      <c r="AE503"/>
      <c r="AF503"/>
      <c r="AG503"/>
    </row>
    <row r="504" spans="17:33" ht="12.75" customHeight="1" thickBot="1">
      <c r="Q504" s="364"/>
      <c r="R504" s="692" t="s">
        <v>839</v>
      </c>
      <c r="S504" s="693"/>
      <c r="T504" s="693"/>
      <c r="U504" s="703">
        <f>IF(T502&gt;0,(VLOOKUP(V504,'Lookup Ready-reckoner'!$L$5:$M$1207,2))," ")</f>
        <v>108.4</v>
      </c>
      <c r="V504" s="695">
        <f>IF(U502&gt;0,(SUM(V502:V503))," ")</f>
        <v>22260.869565217388</v>
      </c>
      <c r="W504" s="696"/>
      <c r="X504" s="364"/>
      <c r="Y504" s="364"/>
      <c r="Z504" s="364"/>
      <c r="AA504"/>
      <c r="AB504"/>
      <c r="AC504"/>
      <c r="AD504"/>
      <c r="AE504"/>
      <c r="AF504"/>
      <c r="AG504"/>
    </row>
    <row r="505" spans="17:33" ht="12.75" customHeight="1" thickBot="1">
      <c r="Q505" s="364"/>
      <c r="R505" s="892"/>
      <c r="S505" s="893"/>
      <c r="T505" s="893"/>
      <c r="U505" s="893"/>
      <c r="V505" s="893"/>
      <c r="W505" s="894"/>
      <c r="X505" s="364"/>
      <c r="Y505" s="364"/>
      <c r="Z505" s="364"/>
      <c r="AA505"/>
      <c r="AB505"/>
      <c r="AC505"/>
      <c r="AD505"/>
      <c r="AE505"/>
      <c r="AF505"/>
      <c r="AG505"/>
    </row>
    <row r="506" spans="17:33" ht="12.75" customHeight="1">
      <c r="Q506" s="364"/>
      <c r="R506" s="895" t="s">
        <v>886</v>
      </c>
      <c r="S506" s="896"/>
      <c r="T506" s="900" t="s">
        <v>835</v>
      </c>
      <c r="U506" s="900" t="s">
        <v>836</v>
      </c>
      <c r="V506" s="900" t="s">
        <v>837</v>
      </c>
      <c r="W506" s="902" t="s">
        <v>838</v>
      </c>
      <c r="X506" s="364"/>
      <c r="Y506" s="364"/>
      <c r="Z506" s="364"/>
      <c r="AA506"/>
      <c r="AB506"/>
      <c r="AC506"/>
      <c r="AD506"/>
      <c r="AE506"/>
      <c r="AF506"/>
      <c r="AG506"/>
    </row>
    <row r="507" spans="17:33" ht="12.75" customHeight="1">
      <c r="Q507" s="364"/>
      <c r="R507" s="892"/>
      <c r="S507" s="897"/>
      <c r="T507" s="901"/>
      <c r="U507" s="901"/>
      <c r="V507" s="901"/>
      <c r="W507" s="903"/>
      <c r="X507" s="364"/>
      <c r="Y507" s="364"/>
      <c r="Z507" s="364"/>
      <c r="AA507"/>
      <c r="AB507"/>
      <c r="AC507"/>
      <c r="AD507"/>
      <c r="AE507"/>
      <c r="AF507"/>
      <c r="AG507"/>
    </row>
    <row r="508" spans="17:33" ht="12.75" customHeight="1">
      <c r="Q508" s="364"/>
      <c r="R508" s="892"/>
      <c r="S508" s="897"/>
      <c r="T508" s="702">
        <f>T502*(1-0.0178*2)</f>
        <v>110.92586655636687</v>
      </c>
      <c r="U508" s="560">
        <f>U502</f>
        <v>1.7391304347826084</v>
      </c>
      <c r="V508" s="690">
        <f>IF(T508&gt;0,W508*U508," ")</f>
        <v>8521.7391304347821</v>
      </c>
      <c r="W508" s="691">
        <f>IF(T508&gt;0,(VLOOKUP(T508,'Lookup Ready-reckoner'!$B$5:$E$1207,4))," ")</f>
        <v>4900</v>
      </c>
      <c r="X508" s="364"/>
      <c r="Y508" s="364"/>
      <c r="Z508" s="364"/>
      <c r="AA508"/>
      <c r="AB508"/>
      <c r="AC508"/>
      <c r="AD508"/>
      <c r="AE508"/>
      <c r="AF508"/>
      <c r="AG508"/>
    </row>
    <row r="509" spans="17:33" ht="12.75" customHeight="1">
      <c r="Q509" s="364"/>
      <c r="R509" s="898"/>
      <c r="S509" s="899"/>
      <c r="T509" s="447"/>
      <c r="U509" s="560"/>
      <c r="V509" s="690" t="str">
        <f>IF(T509&gt;0,W509*U509," ")</f>
        <v xml:space="preserve"> </v>
      </c>
      <c r="W509" s="691" t="str">
        <f>IF(T509&gt;0,(VLOOKUP(T509,'Lookup Ready-reckoner'!$B$5:$E$1007,4))," ")</f>
        <v xml:space="preserve"> </v>
      </c>
      <c r="X509" s="364"/>
      <c r="Y509" s="364"/>
      <c r="Z509" s="364"/>
      <c r="AA509"/>
      <c r="AB509"/>
      <c r="AC509"/>
      <c r="AD509"/>
      <c r="AE509"/>
      <c r="AF509"/>
      <c r="AG509"/>
    </row>
    <row r="510" spans="17:33" ht="12.75" customHeight="1" thickBot="1">
      <c r="Q510" s="364"/>
      <c r="R510" s="692" t="s">
        <v>839</v>
      </c>
      <c r="S510" s="693"/>
      <c r="T510" s="693"/>
      <c r="U510" s="703">
        <f>IF(T508&gt;0,(VLOOKUP(V510,'Lookup Ready-reckoner'!$L$5:$M$1207,2))," ")</f>
        <v>104.25</v>
      </c>
      <c r="V510" s="695">
        <f>IF(U508&gt;0,(SUM(V508:V509))," ")</f>
        <v>8521.7391304347821</v>
      </c>
      <c r="W510" s="696"/>
      <c r="X510" s="364"/>
      <c r="Y510" s="364"/>
      <c r="Z510" s="364"/>
      <c r="AA510"/>
      <c r="AB510"/>
      <c r="AC510"/>
      <c r="AD510"/>
      <c r="AE510"/>
      <c r="AF510"/>
      <c r="AG510"/>
    </row>
    <row r="511" spans="17:33" ht="12.75" customHeight="1">
      <c r="Q511" s="364"/>
      <c r="R511" s="697"/>
      <c r="S511" s="687"/>
      <c r="T511" s="687"/>
      <c r="U511" s="372"/>
      <c r="V511" s="374"/>
      <c r="W511" s="688"/>
      <c r="X511" s="364"/>
      <c r="Y511" s="364"/>
      <c r="Z511" s="364"/>
      <c r="AA511"/>
      <c r="AB511"/>
      <c r="AC511"/>
      <c r="AD511"/>
      <c r="AE511"/>
      <c r="AF511"/>
      <c r="AG511"/>
    </row>
    <row r="512" spans="17:33" ht="12.75" customHeight="1" thickBot="1">
      <c r="Q512" s="364"/>
      <c r="R512" s="686" t="s">
        <v>60</v>
      </c>
      <c r="S512" s="577"/>
      <c r="T512" s="577"/>
      <c r="U512" s="577"/>
      <c r="V512" s="577"/>
      <c r="W512" s="698"/>
      <c r="X512" s="364"/>
      <c r="Y512" s="364"/>
      <c r="Z512" s="364"/>
      <c r="AA512"/>
      <c r="AB512"/>
      <c r="AC512"/>
      <c r="AD512"/>
      <c r="AE512"/>
      <c r="AF512"/>
      <c r="AG512"/>
    </row>
    <row r="513" spans="17:33" ht="12.75" customHeight="1">
      <c r="Q513" s="364"/>
      <c r="R513" s="895" t="s">
        <v>845</v>
      </c>
      <c r="S513" s="896"/>
      <c r="T513" s="900" t="s">
        <v>835</v>
      </c>
      <c r="U513" s="900" t="s">
        <v>836</v>
      </c>
      <c r="V513" s="900" t="s">
        <v>837</v>
      </c>
      <c r="W513" s="902" t="s">
        <v>838</v>
      </c>
      <c r="X513" s="364"/>
      <c r="Y513" s="364"/>
      <c r="Z513" s="364"/>
      <c r="AA513"/>
      <c r="AB513"/>
      <c r="AC513"/>
      <c r="AD513"/>
      <c r="AE513"/>
      <c r="AF513"/>
      <c r="AG513"/>
    </row>
    <row r="514" spans="17:33" ht="12.75" customHeight="1">
      <c r="Q514" s="364"/>
      <c r="R514" s="892"/>
      <c r="S514" s="897"/>
      <c r="T514" s="901"/>
      <c r="U514" s="901"/>
      <c r="V514" s="901"/>
      <c r="W514" s="903"/>
      <c r="X514" s="364"/>
      <c r="Y514" s="364"/>
      <c r="Z514" s="364"/>
      <c r="AA514"/>
      <c r="AB514"/>
      <c r="AC514"/>
      <c r="AD514"/>
      <c r="AE514"/>
      <c r="AF514"/>
      <c r="AG514"/>
    </row>
    <row r="515" spans="17:33" ht="12.75" customHeight="1">
      <c r="Q515" s="364"/>
      <c r="R515" s="892"/>
      <c r="S515" s="897"/>
      <c r="T515" s="702">
        <f>T502-PPE!$I$15</f>
        <v>102.02059991327963</v>
      </c>
      <c r="U515" s="560">
        <f>U508</f>
        <v>1.7391304347826084</v>
      </c>
      <c r="V515" s="690">
        <f>IF(T515&gt;0,W515*U515," ")</f>
        <v>1086.9565217391303</v>
      </c>
      <c r="W515" s="691">
        <f>IF(T515&gt;0,(VLOOKUP(T515,'Lookup Ready-reckoner'!$B$5:$E$1207,4))," ")</f>
        <v>625</v>
      </c>
      <c r="X515" s="364"/>
      <c r="Y515" s="364"/>
      <c r="Z515" s="364"/>
      <c r="AA515"/>
      <c r="AB515"/>
      <c r="AC515"/>
      <c r="AD515"/>
      <c r="AE515"/>
      <c r="AF515"/>
      <c r="AG515"/>
    </row>
    <row r="516" spans="17:33" ht="12.75" customHeight="1">
      <c r="Q516" s="364"/>
      <c r="R516" s="898"/>
      <c r="S516" s="899"/>
      <c r="T516" s="447"/>
      <c r="U516" s="560"/>
      <c r="V516" s="690" t="str">
        <f>IF(T516&gt;0,W516*U516," ")</f>
        <v xml:space="preserve"> </v>
      </c>
      <c r="W516" s="691" t="str">
        <f>IF(T516&gt;0,(VLOOKUP(T516,'Lookup Ready-reckoner'!$B$5:$E$1007,4))," ")</f>
        <v xml:space="preserve"> </v>
      </c>
      <c r="X516" s="364"/>
      <c r="Y516" s="364"/>
      <c r="Z516" s="364"/>
      <c r="AA516"/>
      <c r="AB516"/>
      <c r="AC516"/>
      <c r="AD516"/>
      <c r="AE516"/>
      <c r="AF516"/>
      <c r="AG516"/>
    </row>
    <row r="517" spans="17:33" ht="12.75" customHeight="1" thickBot="1">
      <c r="Q517" s="364"/>
      <c r="R517" s="692" t="s">
        <v>839</v>
      </c>
      <c r="S517" s="693"/>
      <c r="T517" s="693"/>
      <c r="U517" s="703">
        <f>IF(T515&gt;0,(VLOOKUP(V517,'Lookup Ready-reckoner'!$L$5:$M$1207,2))," ")</f>
        <v>95.3</v>
      </c>
      <c r="V517" s="695">
        <f>IF(U515&gt;0,(SUM(V515:V516))," ")</f>
        <v>1086.9565217391303</v>
      </c>
      <c r="W517" s="696"/>
      <c r="X517" s="364"/>
      <c r="Y517" s="364"/>
      <c r="Z517" s="364"/>
      <c r="AA517"/>
      <c r="AB517"/>
      <c r="AC517"/>
      <c r="AD517"/>
      <c r="AE517"/>
      <c r="AF517"/>
      <c r="AG517"/>
    </row>
    <row r="518" spans="17:33" ht="12.75" customHeight="1" thickBot="1">
      <c r="Q518" s="364"/>
      <c r="R518" s="892"/>
      <c r="S518" s="893"/>
      <c r="T518" s="893"/>
      <c r="U518" s="893"/>
      <c r="V518" s="893"/>
      <c r="W518" s="894"/>
      <c r="X518" s="364"/>
      <c r="Y518" s="364"/>
      <c r="Z518" s="364"/>
      <c r="AA518"/>
      <c r="AB518"/>
      <c r="AC518"/>
      <c r="AD518"/>
      <c r="AE518"/>
      <c r="AF518"/>
      <c r="AG518"/>
    </row>
    <row r="519" spans="17:33" ht="12.75" customHeight="1">
      <c r="Q519" s="364"/>
      <c r="R519" s="895" t="s">
        <v>886</v>
      </c>
      <c r="S519" s="896"/>
      <c r="T519" s="900" t="s">
        <v>835</v>
      </c>
      <c r="U519" s="900" t="s">
        <v>836</v>
      </c>
      <c r="V519" s="900" t="s">
        <v>837</v>
      </c>
      <c r="W519" s="902" t="s">
        <v>838</v>
      </c>
      <c r="X519" s="364"/>
      <c r="Y519" s="364"/>
      <c r="Z519" s="364"/>
      <c r="AA519"/>
      <c r="AB519"/>
      <c r="AC519"/>
      <c r="AD519"/>
      <c r="AE519"/>
      <c r="AF519"/>
      <c r="AG519"/>
    </row>
    <row r="520" spans="17:33" ht="12.75" customHeight="1">
      <c r="Q520" s="364"/>
      <c r="R520" s="892"/>
      <c r="S520" s="897"/>
      <c r="T520" s="901"/>
      <c r="U520" s="901"/>
      <c r="V520" s="901"/>
      <c r="W520" s="903"/>
      <c r="X520" s="364"/>
      <c r="Y520" s="364"/>
      <c r="Z520" s="364"/>
      <c r="AA520"/>
      <c r="AB520"/>
      <c r="AC520"/>
      <c r="AD520"/>
      <c r="AE520"/>
      <c r="AF520"/>
      <c r="AG520"/>
    </row>
    <row r="521" spans="17:33" ht="12.75" customHeight="1">
      <c r="Q521" s="364"/>
      <c r="R521" s="892"/>
      <c r="S521" s="897"/>
      <c r="T521" s="702">
        <f>T508-PPE!$I$15</f>
        <v>97.92586655636687</v>
      </c>
      <c r="U521" s="560">
        <f>U515</f>
        <v>1.7391304347826084</v>
      </c>
      <c r="V521" s="690">
        <f>IF(T521&gt;0,W521*U521," ")</f>
        <v>426.08695652173907</v>
      </c>
      <c r="W521" s="691">
        <f>IF(T521&gt;0,(VLOOKUP(T521,'Lookup Ready-reckoner'!$B$5:$E$1207,4))," ")</f>
        <v>245</v>
      </c>
      <c r="X521" s="364"/>
      <c r="Y521" s="364"/>
      <c r="Z521" s="364"/>
      <c r="AA521"/>
      <c r="AB521"/>
      <c r="AC521"/>
      <c r="AD521"/>
      <c r="AE521"/>
      <c r="AF521"/>
      <c r="AG521"/>
    </row>
    <row r="522" spans="17:33" ht="12.75" customHeight="1">
      <c r="Q522" s="364"/>
      <c r="R522" s="898"/>
      <c r="S522" s="899"/>
      <c r="T522" s="447"/>
      <c r="U522" s="560"/>
      <c r="V522" s="690" t="str">
        <f>IF(T522&gt;0,W522*U522," ")</f>
        <v xml:space="preserve"> </v>
      </c>
      <c r="W522" s="691" t="str">
        <f>IF(T522&gt;0,(VLOOKUP(T522,'Lookup Ready-reckoner'!$B$5:$E$1007,4))," ")</f>
        <v xml:space="preserve"> </v>
      </c>
      <c r="X522" s="364"/>
      <c r="Y522" s="364"/>
      <c r="Z522" s="364"/>
      <c r="AA522"/>
      <c r="AB522"/>
      <c r="AC522"/>
      <c r="AD522"/>
      <c r="AE522"/>
      <c r="AF522"/>
      <c r="AG522"/>
    </row>
    <row r="523" spans="17:33" ht="12.75" customHeight="1" thickBot="1">
      <c r="Q523" s="364"/>
      <c r="R523" s="692" t="s">
        <v>839</v>
      </c>
      <c r="S523" s="693"/>
      <c r="T523" s="693"/>
      <c r="U523" s="703">
        <f>IF(T521&gt;0,(VLOOKUP(V523,'Lookup Ready-reckoner'!$L$5:$M$1207,2))," ")</f>
        <v>91.25</v>
      </c>
      <c r="V523" s="695">
        <f>IF(U521&gt;0,(SUM(V521:V522))," ")</f>
        <v>426.08695652173907</v>
      </c>
      <c r="W523" s="696"/>
      <c r="X523" s="364"/>
      <c r="Y523" s="364"/>
      <c r="Z523" s="364"/>
      <c r="AA523"/>
      <c r="AB523"/>
      <c r="AC523"/>
      <c r="AD523"/>
      <c r="AE523"/>
      <c r="AF523"/>
      <c r="AG523"/>
    </row>
    <row r="524" spans="17:33" ht="12.75" customHeight="1">
      <c r="Q524" s="364"/>
      <c r="R524" s="363"/>
      <c r="S524" s="363"/>
      <c r="T524" s="363"/>
      <c r="U524" s="363"/>
      <c r="V524" s="363"/>
      <c r="W524" s="363"/>
      <c r="X524" s="364"/>
      <c r="Y524" s="364"/>
      <c r="Z524" s="364"/>
      <c r="AA524"/>
      <c r="AB524"/>
      <c r="AC524"/>
      <c r="AD524"/>
      <c r="AE524"/>
      <c r="AF524"/>
      <c r="AG524"/>
    </row>
    <row r="525" spans="17:33" ht="12.75" customHeight="1">
      <c r="Q525" s="364"/>
      <c r="R525" s="909" t="str">
        <f>R406</f>
        <v xml:space="preserve">Hilti TE MD20 </v>
      </c>
      <c r="S525" s="909"/>
      <c r="T525" s="909"/>
      <c r="U525" s="909"/>
      <c r="V525" s="909"/>
      <c r="W525" s="909"/>
      <c r="X525" s="364"/>
      <c r="Y525" s="364"/>
      <c r="Z525" s="364"/>
      <c r="AA525"/>
      <c r="AB525"/>
      <c r="AC525"/>
      <c r="AD525"/>
      <c r="AE525"/>
      <c r="AF525"/>
      <c r="AG525"/>
    </row>
    <row r="526" spans="17:33" ht="12.75" customHeight="1" thickBot="1">
      <c r="Q526" s="364"/>
      <c r="R526" s="910" t="s">
        <v>205</v>
      </c>
      <c r="S526" s="911"/>
      <c r="T526" s="911"/>
      <c r="U526" s="911"/>
      <c r="V526" s="911"/>
      <c r="W526" s="912"/>
      <c r="X526" s="364"/>
      <c r="Y526" s="364"/>
      <c r="Z526" s="364"/>
      <c r="AA526"/>
      <c r="AB526"/>
      <c r="AC526"/>
      <c r="AD526"/>
      <c r="AE526"/>
      <c r="AF526"/>
      <c r="AG526"/>
    </row>
    <row r="527" spans="17:33" ht="12.75" customHeight="1" thickBot="1">
      <c r="Q527" s="364"/>
      <c r="R527" s="686" t="s">
        <v>59</v>
      </c>
      <c r="S527" s="577"/>
      <c r="T527" s="687"/>
      <c r="U527" s="687"/>
      <c r="V527" s="687"/>
      <c r="W527" s="688"/>
      <c r="X527" s="364"/>
      <c r="Y527" s="364"/>
      <c r="Z527" s="364"/>
      <c r="AA527"/>
      <c r="AB527"/>
      <c r="AC527"/>
      <c r="AD527"/>
      <c r="AE527"/>
      <c r="AF527"/>
      <c r="AG527"/>
    </row>
    <row r="528" spans="17:33" ht="12.75" customHeight="1">
      <c r="Q528" s="364"/>
      <c r="R528" s="895" t="s">
        <v>845</v>
      </c>
      <c r="S528" s="896"/>
      <c r="T528" s="900" t="s">
        <v>835</v>
      </c>
      <c r="U528" s="900" t="s">
        <v>836</v>
      </c>
      <c r="V528" s="900" t="s">
        <v>837</v>
      </c>
      <c r="W528" s="902" t="s">
        <v>838</v>
      </c>
      <c r="X528" s="364"/>
      <c r="Y528" s="364"/>
      <c r="Z528" s="364"/>
      <c r="AA528"/>
      <c r="AB528"/>
      <c r="AC528"/>
      <c r="AD528"/>
      <c r="AE528"/>
      <c r="AF528"/>
      <c r="AG528"/>
    </row>
    <row r="529" spans="17:33" ht="12.75" customHeight="1">
      <c r="Q529" s="364"/>
      <c r="R529" s="892"/>
      <c r="S529" s="897"/>
      <c r="T529" s="904"/>
      <c r="U529" s="904"/>
      <c r="V529" s="904"/>
      <c r="W529" s="905"/>
      <c r="X529" s="364"/>
      <c r="Y529" s="364"/>
      <c r="Z529" s="364"/>
      <c r="AA529"/>
      <c r="AB529"/>
      <c r="AC529"/>
      <c r="AD529"/>
      <c r="AE529"/>
      <c r="AF529"/>
      <c r="AG529"/>
    </row>
    <row r="530" spans="17:33" ht="12.75" customHeight="1">
      <c r="Q530" s="364"/>
      <c r="R530" s="892"/>
      <c r="S530" s="897"/>
      <c r="T530" s="901"/>
      <c r="U530" s="901"/>
      <c r="V530" s="901"/>
      <c r="W530" s="903"/>
      <c r="X530" s="364"/>
      <c r="Y530" s="364"/>
      <c r="Z530" s="364"/>
      <c r="AA530"/>
      <c r="AB530"/>
      <c r="AC530"/>
      <c r="AD530"/>
      <c r="AE530"/>
      <c r="AF530"/>
      <c r="AG530"/>
    </row>
    <row r="531" spans="17:33" ht="12.75" customHeight="1">
      <c r="Q531" s="364"/>
      <c r="R531" s="892"/>
      <c r="S531" s="897"/>
      <c r="T531" s="704">
        <f>U76</f>
        <v>108.02059991327964</v>
      </c>
      <c r="U531" s="560">
        <f>U62</f>
        <v>2.6666666666666665</v>
      </c>
      <c r="V531" s="690">
        <f>IF(T531&gt;0,W531*U531," ")</f>
        <v>6666.6666666666661</v>
      </c>
      <c r="W531" s="691">
        <f>IF(T531&gt;0,(VLOOKUP(T531,'Lookup Ready-reckoner'!$B$5:$E$1207,4))," ")</f>
        <v>2500</v>
      </c>
      <c r="X531" s="364"/>
      <c r="Y531" s="364"/>
      <c r="Z531" s="364"/>
      <c r="AA531"/>
      <c r="AB531"/>
      <c r="AC531"/>
      <c r="AD531"/>
      <c r="AE531"/>
      <c r="AF531"/>
      <c r="AG531"/>
    </row>
    <row r="532" spans="17:33" ht="12.75" customHeight="1">
      <c r="Q532" s="364"/>
      <c r="R532" s="898"/>
      <c r="S532" s="899"/>
      <c r="T532" s="447"/>
      <c r="U532" s="560"/>
      <c r="V532" s="690" t="str">
        <f>IF(T532&gt;0,W532*U532," ")</f>
        <v xml:space="preserve"> </v>
      </c>
      <c r="W532" s="691" t="str">
        <f>IF(T532&gt;0,(VLOOKUP(T532,'Lookup Ready-reckoner'!$B$5:$E$1007,4))," ")</f>
        <v xml:space="preserve"> </v>
      </c>
      <c r="X532" s="364"/>
      <c r="Y532" s="364"/>
      <c r="Z532" s="364"/>
      <c r="AA532"/>
      <c r="AB532"/>
      <c r="AC532"/>
      <c r="AD532"/>
      <c r="AE532"/>
      <c r="AF532"/>
      <c r="AG532"/>
    </row>
    <row r="533" spans="17:33" ht="12.75" customHeight="1" thickBot="1">
      <c r="Q533" s="364"/>
      <c r="R533" s="692" t="s">
        <v>839</v>
      </c>
      <c r="S533" s="693"/>
      <c r="T533" s="693"/>
      <c r="U533" s="705">
        <f>IF(T531&gt;0,(VLOOKUP(V533,'Lookup Ready-reckoner'!$L$5:$M$1207,2))," ")</f>
        <v>103.15</v>
      </c>
      <c r="V533" s="695">
        <f>IF(U531&gt;0,(SUM(V531:V532))," ")</f>
        <v>6666.6666666666661</v>
      </c>
      <c r="W533" s="696"/>
      <c r="X533" s="364"/>
      <c r="Y533" s="364"/>
      <c r="Z533" s="364"/>
      <c r="AA533"/>
      <c r="AB533"/>
      <c r="AC533"/>
      <c r="AD533"/>
      <c r="AE533"/>
      <c r="AF533"/>
      <c r="AG533"/>
    </row>
    <row r="534" spans="17:33" ht="12.75" customHeight="1" thickBot="1">
      <c r="Q534" s="364"/>
      <c r="R534" s="906"/>
      <c r="S534" s="907"/>
      <c r="T534" s="907"/>
      <c r="U534" s="907"/>
      <c r="V534" s="907"/>
      <c r="W534" s="908"/>
      <c r="X534" s="364"/>
      <c r="Y534" s="364"/>
      <c r="Z534" s="364"/>
      <c r="AA534"/>
      <c r="AB534"/>
      <c r="AC534"/>
      <c r="AD534"/>
      <c r="AE534"/>
      <c r="AF534"/>
      <c r="AG534"/>
    </row>
    <row r="535" spans="17:33" ht="12.75" customHeight="1">
      <c r="Q535" s="364"/>
      <c r="R535" s="895" t="s">
        <v>886</v>
      </c>
      <c r="S535" s="896"/>
      <c r="T535" s="900" t="s">
        <v>835</v>
      </c>
      <c r="U535" s="900" t="s">
        <v>836</v>
      </c>
      <c r="V535" s="900" t="s">
        <v>837</v>
      </c>
      <c r="W535" s="902" t="s">
        <v>838</v>
      </c>
      <c r="X535" s="364"/>
      <c r="Y535" s="364"/>
      <c r="Z535" s="364"/>
      <c r="AA535"/>
      <c r="AB535"/>
      <c r="AC535"/>
      <c r="AD535"/>
      <c r="AE535"/>
      <c r="AF535"/>
      <c r="AG535"/>
    </row>
    <row r="536" spans="17:33" ht="12.75" customHeight="1">
      <c r="Q536" s="364"/>
      <c r="R536" s="892"/>
      <c r="S536" s="897"/>
      <c r="T536" s="901"/>
      <c r="U536" s="901"/>
      <c r="V536" s="901"/>
      <c r="W536" s="903"/>
      <c r="X536" s="364"/>
      <c r="Y536" s="364"/>
      <c r="Z536" s="364"/>
      <c r="AA536"/>
      <c r="AB536"/>
      <c r="AC536"/>
      <c r="AD536"/>
      <c r="AE536"/>
      <c r="AF536"/>
      <c r="AG536"/>
    </row>
    <row r="537" spans="17:33" ht="12.75" customHeight="1">
      <c r="Q537" s="364"/>
      <c r="R537" s="892"/>
      <c r="S537" s="897"/>
      <c r="T537" s="704">
        <f>T531*(1-0.0178*2)</f>
        <v>104.17506655636689</v>
      </c>
      <c r="U537" s="560">
        <f>U531</f>
        <v>2.6666666666666665</v>
      </c>
      <c r="V537" s="690">
        <f>IF(T537&gt;0,W537*U537," ")</f>
        <v>2766.6666666666665</v>
      </c>
      <c r="W537" s="691">
        <f>IF(T537&gt;0,(VLOOKUP(T537,'Lookup Ready-reckoner'!$B$5:$E$1207,4))," ")</f>
        <v>1037.5</v>
      </c>
      <c r="X537" s="364"/>
      <c r="Y537" s="364"/>
      <c r="Z537" s="364"/>
      <c r="AA537"/>
      <c r="AB537"/>
      <c r="AC537"/>
      <c r="AD537"/>
      <c r="AE537"/>
      <c r="AF537"/>
      <c r="AG537"/>
    </row>
    <row r="538" spans="17:33" ht="12.75" customHeight="1">
      <c r="Q538" s="364"/>
      <c r="R538" s="898"/>
      <c r="S538" s="899"/>
      <c r="T538" s="447"/>
      <c r="U538" s="560"/>
      <c r="V538" s="690" t="str">
        <f>IF(T538&gt;0,W538*U538," ")</f>
        <v xml:space="preserve"> </v>
      </c>
      <c r="W538" s="691" t="str">
        <f>IF(T538&gt;0,(VLOOKUP(T538,'Lookup Ready-reckoner'!$B$5:$E$1007,4))," ")</f>
        <v xml:space="preserve"> </v>
      </c>
      <c r="X538" s="364"/>
      <c r="Y538" s="364"/>
      <c r="Z538" s="364"/>
      <c r="AA538"/>
      <c r="AB538"/>
      <c r="AC538"/>
      <c r="AD538"/>
      <c r="AE538"/>
      <c r="AF538"/>
      <c r="AG538"/>
    </row>
    <row r="539" spans="17:33" ht="12.75" customHeight="1" thickBot="1">
      <c r="Q539" s="364"/>
      <c r="R539" s="692" t="s">
        <v>839</v>
      </c>
      <c r="S539" s="693"/>
      <c r="T539" s="693"/>
      <c r="U539" s="705">
        <f>IF(T537&gt;0,(VLOOKUP(V539,'Lookup Ready-reckoner'!$L$5:$M$1207,2))," ")</f>
        <v>99.35</v>
      </c>
      <c r="V539" s="695">
        <f>IF(U537&gt;0,(SUM(V537:V538))," ")</f>
        <v>2766.6666666666665</v>
      </c>
      <c r="W539" s="696"/>
      <c r="X539" s="364"/>
      <c r="Y539" s="364"/>
      <c r="Z539" s="364"/>
      <c r="AA539"/>
      <c r="AB539"/>
      <c r="AC539"/>
      <c r="AD539"/>
      <c r="AE539"/>
      <c r="AF539"/>
      <c r="AG539"/>
    </row>
    <row r="540" spans="17:33" ht="12.75" customHeight="1">
      <c r="Q540" s="364"/>
      <c r="R540" s="697"/>
      <c r="S540" s="687"/>
      <c r="T540" s="687"/>
      <c r="U540" s="372"/>
      <c r="V540" s="374"/>
      <c r="W540" s="688"/>
      <c r="X540" s="364"/>
      <c r="Y540" s="364"/>
      <c r="Z540" s="364"/>
      <c r="AA540"/>
      <c r="AB540"/>
      <c r="AC540"/>
      <c r="AD540"/>
      <c r="AE540"/>
      <c r="AF540"/>
      <c r="AG540"/>
    </row>
    <row r="541" spans="17:33" ht="12.75" customHeight="1" thickBot="1">
      <c r="Q541" s="364"/>
      <c r="R541" s="686" t="s">
        <v>60</v>
      </c>
      <c r="S541" s="577"/>
      <c r="T541" s="577"/>
      <c r="U541" s="577"/>
      <c r="V541" s="577"/>
      <c r="W541" s="698"/>
      <c r="X541" s="364"/>
      <c r="Y541" s="364"/>
      <c r="Z541" s="364"/>
      <c r="AA541"/>
      <c r="AB541"/>
      <c r="AC541"/>
      <c r="AD541"/>
      <c r="AE541"/>
      <c r="AF541"/>
      <c r="AG541"/>
    </row>
    <row r="542" spans="17:33" ht="12.75" customHeight="1">
      <c r="Q542" s="364"/>
      <c r="R542" s="895" t="s">
        <v>845</v>
      </c>
      <c r="S542" s="896"/>
      <c r="T542" s="900" t="s">
        <v>835</v>
      </c>
      <c r="U542" s="900" t="s">
        <v>836</v>
      </c>
      <c r="V542" s="900" t="s">
        <v>837</v>
      </c>
      <c r="W542" s="902" t="s">
        <v>838</v>
      </c>
      <c r="X542" s="364"/>
      <c r="Y542" s="364"/>
      <c r="Z542" s="364"/>
      <c r="AA542"/>
      <c r="AB542"/>
      <c r="AC542"/>
      <c r="AD542"/>
      <c r="AE542"/>
      <c r="AF542"/>
      <c r="AG542"/>
    </row>
    <row r="543" spans="17:33" ht="12.75" customHeight="1">
      <c r="Q543" s="364"/>
      <c r="R543" s="892"/>
      <c r="S543" s="897"/>
      <c r="T543" s="901"/>
      <c r="U543" s="901"/>
      <c r="V543" s="901"/>
      <c r="W543" s="903"/>
      <c r="X543" s="364"/>
      <c r="Y543" s="364"/>
      <c r="Z543" s="364"/>
      <c r="AA543"/>
      <c r="AB543"/>
      <c r="AC543"/>
      <c r="AD543"/>
      <c r="AE543"/>
      <c r="AF543"/>
      <c r="AG543"/>
    </row>
    <row r="544" spans="17:33" ht="12.75" customHeight="1">
      <c r="Q544" s="364"/>
      <c r="R544" s="892"/>
      <c r="S544" s="897"/>
      <c r="T544" s="704">
        <f>T531-PPE!$I$15</f>
        <v>95.020599913279639</v>
      </c>
      <c r="U544" s="560">
        <f>U537</f>
        <v>2.6666666666666665</v>
      </c>
      <c r="V544" s="690">
        <f>IF(T544&gt;0,W544*U544," ")</f>
        <v>333.33333333333331</v>
      </c>
      <c r="W544" s="691">
        <f>IF(T544&gt;0,(VLOOKUP(T544,'Lookup Ready-reckoner'!$B$5:$E$1207,4))," ")</f>
        <v>125</v>
      </c>
      <c r="X544" s="364"/>
      <c r="Y544" s="364"/>
      <c r="Z544" s="364"/>
      <c r="AA544"/>
      <c r="AB544"/>
      <c r="AC544"/>
      <c r="AD544"/>
      <c r="AE544"/>
      <c r="AF544"/>
      <c r="AG544"/>
    </row>
    <row r="545" spans="17:33" ht="12.75" customHeight="1">
      <c r="Q545" s="364"/>
      <c r="R545" s="898"/>
      <c r="S545" s="899"/>
      <c r="T545" s="447"/>
      <c r="U545" s="560"/>
      <c r="V545" s="690" t="str">
        <f>IF(T545&gt;0,W545*U545," ")</f>
        <v xml:space="preserve"> </v>
      </c>
      <c r="W545" s="691" t="str">
        <f>IF(T545&gt;0,(VLOOKUP(T545,'Lookup Ready-reckoner'!$B$5:$E$1007,4))," ")</f>
        <v xml:space="preserve"> </v>
      </c>
      <c r="X545" s="364"/>
      <c r="Y545" s="364"/>
      <c r="Z545" s="364"/>
      <c r="AA545"/>
      <c r="AB545"/>
      <c r="AC545"/>
      <c r="AD545"/>
      <c r="AE545"/>
      <c r="AF545"/>
      <c r="AG545"/>
    </row>
    <row r="546" spans="17:33" ht="12.75" customHeight="1" thickBot="1">
      <c r="Q546" s="364"/>
      <c r="R546" s="692" t="s">
        <v>839</v>
      </c>
      <c r="S546" s="693"/>
      <c r="T546" s="693"/>
      <c r="U546" s="705">
        <f>IF(T544&gt;0,(VLOOKUP(V546,'Lookup Ready-reckoner'!$L$5:$M$1207,2))," ")</f>
        <v>90.15</v>
      </c>
      <c r="V546" s="695">
        <f>IF(U544&gt;0,(SUM(V544:V545))," ")</f>
        <v>333.33333333333331</v>
      </c>
      <c r="W546" s="696"/>
      <c r="X546" s="364"/>
      <c r="Y546" s="364"/>
      <c r="Z546" s="364"/>
      <c r="AA546"/>
      <c r="AB546"/>
      <c r="AC546"/>
      <c r="AD546"/>
      <c r="AE546"/>
      <c r="AF546"/>
      <c r="AG546"/>
    </row>
    <row r="547" spans="17:33" ht="12.75" customHeight="1" thickBot="1">
      <c r="Q547" s="364"/>
      <c r="R547" s="892"/>
      <c r="S547" s="893"/>
      <c r="T547" s="893"/>
      <c r="U547" s="893"/>
      <c r="V547" s="893"/>
      <c r="W547" s="894"/>
      <c r="X547" s="364"/>
      <c r="Y547" s="364"/>
      <c r="Z547" s="364"/>
      <c r="AA547"/>
      <c r="AB547"/>
      <c r="AC547"/>
      <c r="AD547"/>
      <c r="AE547"/>
      <c r="AF547"/>
      <c r="AG547"/>
    </row>
    <row r="548" spans="17:33" ht="12.75" customHeight="1">
      <c r="Q548" s="364"/>
      <c r="R548" s="895" t="s">
        <v>886</v>
      </c>
      <c r="S548" s="896"/>
      <c r="T548" s="900" t="s">
        <v>835</v>
      </c>
      <c r="U548" s="900" t="s">
        <v>836</v>
      </c>
      <c r="V548" s="900" t="s">
        <v>837</v>
      </c>
      <c r="W548" s="902" t="s">
        <v>838</v>
      </c>
      <c r="X548" s="364"/>
      <c r="Y548" s="364"/>
      <c r="Z548" s="364"/>
      <c r="AA548"/>
      <c r="AB548"/>
      <c r="AC548"/>
      <c r="AD548"/>
      <c r="AE548"/>
      <c r="AF548"/>
      <c r="AG548"/>
    </row>
    <row r="549" spans="17:33" ht="12.75" customHeight="1">
      <c r="Q549" s="364"/>
      <c r="R549" s="892"/>
      <c r="S549" s="897"/>
      <c r="T549" s="901"/>
      <c r="U549" s="901"/>
      <c r="V549" s="901"/>
      <c r="W549" s="903"/>
      <c r="X549" s="364"/>
      <c r="Y549" s="364"/>
      <c r="Z549" s="364"/>
      <c r="AA549"/>
      <c r="AB549"/>
      <c r="AC549"/>
      <c r="AD549"/>
      <c r="AE549"/>
      <c r="AF549"/>
      <c r="AG549"/>
    </row>
    <row r="550" spans="17:33" ht="12.75" customHeight="1">
      <c r="Q550" s="364"/>
      <c r="R550" s="892"/>
      <c r="S550" s="897"/>
      <c r="T550" s="704">
        <f>T537-PPE!$I$15</f>
        <v>91.175066556366886</v>
      </c>
      <c r="U550" s="560">
        <f>U544</f>
        <v>2.6666666666666665</v>
      </c>
      <c r="V550" s="690">
        <f>IF(T550&gt;0,W550*U550," ")</f>
        <v>138.33333333333331</v>
      </c>
      <c r="W550" s="691">
        <f>IF(T550&gt;0,(VLOOKUP(T550,'Lookup Ready-reckoner'!$B$5:$E$1207,4))," ")</f>
        <v>51.875</v>
      </c>
      <c r="X550" s="364"/>
      <c r="Y550" s="364"/>
      <c r="Z550" s="364"/>
      <c r="AA550"/>
      <c r="AB550"/>
      <c r="AC550"/>
      <c r="AD550"/>
      <c r="AE550"/>
      <c r="AF550"/>
      <c r="AG550"/>
    </row>
    <row r="551" spans="17:33" ht="12.75" customHeight="1">
      <c r="Q551" s="364"/>
      <c r="R551" s="898"/>
      <c r="S551" s="899"/>
      <c r="T551" s="447"/>
      <c r="U551" s="560"/>
      <c r="V551" s="690" t="str">
        <f>IF(T551&gt;0,W551*U551," ")</f>
        <v xml:space="preserve"> </v>
      </c>
      <c r="W551" s="691" t="str">
        <f>IF(T551&gt;0,(VLOOKUP(T551,'Lookup Ready-reckoner'!$B$5:$E$1007,4))," ")</f>
        <v xml:space="preserve"> </v>
      </c>
      <c r="X551" s="364"/>
      <c r="Y551" s="364"/>
      <c r="Z551" s="364"/>
      <c r="AA551"/>
      <c r="AB551"/>
      <c r="AC551"/>
      <c r="AD551"/>
      <c r="AE551"/>
      <c r="AF551"/>
      <c r="AG551"/>
    </row>
    <row r="552" spans="17:33" ht="12.75" customHeight="1" thickBot="1">
      <c r="Q552" s="364"/>
      <c r="R552" s="692" t="s">
        <v>839</v>
      </c>
      <c r="S552" s="693"/>
      <c r="T552" s="693"/>
      <c r="U552" s="705">
        <f>IF(T550&gt;0,(VLOOKUP(V552,'Lookup Ready-reckoner'!$L$5:$M$1207,2))," ")</f>
        <v>86.35</v>
      </c>
      <c r="V552" s="695">
        <f>IF(U550&gt;0,(SUM(V550:V551))," ")</f>
        <v>138.33333333333331</v>
      </c>
      <c r="W552" s="696"/>
      <c r="X552" s="364"/>
      <c r="Y552" s="364"/>
      <c r="Z552" s="364"/>
      <c r="AA552"/>
      <c r="AB552"/>
      <c r="AC552"/>
      <c r="AD552"/>
      <c r="AE552"/>
      <c r="AF552"/>
      <c r="AG552"/>
    </row>
    <row r="553" spans="17:33" ht="12.75" customHeight="1">
      <c r="Q553" s="364"/>
      <c r="R553" s="364"/>
      <c r="S553" s="364"/>
      <c r="T553" s="364"/>
      <c r="U553" s="364"/>
      <c r="V553" s="364"/>
      <c r="W553" s="364"/>
      <c r="X553" s="364"/>
      <c r="Y553" s="364"/>
      <c r="Z553" s="364"/>
      <c r="AA553"/>
      <c r="AB553"/>
      <c r="AC553"/>
      <c r="AD553"/>
      <c r="AE553"/>
      <c r="AF553"/>
      <c r="AG553"/>
    </row>
    <row r="554" spans="17:33" ht="12.75" customHeight="1">
      <c r="Q554"/>
      <c r="R554"/>
      <c r="S554"/>
      <c r="T554"/>
      <c r="U554"/>
      <c r="V554"/>
      <c r="W554"/>
      <c r="X554"/>
      <c r="Y554"/>
      <c r="Z554"/>
      <c r="AA554"/>
      <c r="AB554"/>
      <c r="AC554"/>
      <c r="AD554"/>
      <c r="AE554"/>
      <c r="AF554"/>
      <c r="AG554"/>
    </row>
    <row r="555" spans="17:33" ht="12.75" customHeight="1">
      <c r="Q555"/>
      <c r="R555"/>
      <c r="S555"/>
      <c r="T555"/>
      <c r="U555"/>
      <c r="V555"/>
      <c r="W555"/>
      <c r="X555"/>
      <c r="Y555"/>
      <c r="Z555"/>
      <c r="AA555"/>
      <c r="AB555"/>
      <c r="AC555"/>
      <c r="AD555"/>
      <c r="AE555"/>
      <c r="AF555"/>
      <c r="AG555"/>
    </row>
    <row r="556" spans="17:33" ht="12.75" customHeight="1">
      <c r="Q556"/>
      <c r="R556"/>
      <c r="S556"/>
      <c r="T556"/>
      <c r="U556"/>
      <c r="V556"/>
      <c r="W556"/>
      <c r="X556"/>
      <c r="Y556"/>
      <c r="Z556"/>
      <c r="AA556"/>
      <c r="AB556"/>
      <c r="AC556"/>
      <c r="AD556"/>
      <c r="AE556"/>
      <c r="AF556"/>
      <c r="AG556"/>
    </row>
    <row r="557" spans="17:33" ht="12.75" customHeight="1">
      <c r="Q557"/>
      <c r="R557"/>
      <c r="S557"/>
      <c r="T557"/>
      <c r="U557"/>
      <c r="V557"/>
      <c r="W557"/>
      <c r="X557"/>
      <c r="Y557"/>
      <c r="Z557"/>
      <c r="AA557"/>
      <c r="AB557"/>
      <c r="AC557"/>
      <c r="AD557"/>
      <c r="AE557"/>
      <c r="AF557"/>
      <c r="AG557"/>
    </row>
    <row r="558" spans="17:33" ht="12.75" customHeight="1">
      <c r="Q558"/>
      <c r="R558"/>
      <c r="S558"/>
      <c r="T558"/>
      <c r="U558"/>
      <c r="V558"/>
      <c r="W558"/>
      <c r="X558"/>
      <c r="Y558"/>
      <c r="Z558"/>
      <c r="AA558"/>
      <c r="AB558"/>
      <c r="AC558"/>
      <c r="AD558"/>
      <c r="AE558"/>
      <c r="AF558"/>
      <c r="AG558"/>
    </row>
    <row r="559" spans="17:33" ht="12.75" customHeight="1">
      <c r="Q559"/>
      <c r="R559"/>
      <c r="S559"/>
      <c r="T559"/>
      <c r="U559"/>
      <c r="V559"/>
      <c r="W559"/>
      <c r="X559"/>
      <c r="Y559"/>
      <c r="Z559"/>
      <c r="AA559"/>
      <c r="AB559"/>
      <c r="AC559"/>
      <c r="AD559"/>
      <c r="AE559"/>
      <c r="AF559"/>
      <c r="AG559"/>
    </row>
    <row r="560" spans="17:33" ht="12.75" customHeight="1">
      <c r="Q560"/>
      <c r="R560"/>
      <c r="S560"/>
      <c r="T560"/>
      <c r="U560"/>
      <c r="V560"/>
      <c r="W560"/>
      <c r="X560"/>
      <c r="Y560"/>
      <c r="Z560"/>
      <c r="AA560"/>
      <c r="AB560"/>
      <c r="AC560"/>
      <c r="AD560"/>
      <c r="AE560"/>
      <c r="AF560"/>
      <c r="AG560"/>
    </row>
    <row r="561" spans="17:33" ht="12.75" customHeight="1">
      <c r="Q561"/>
      <c r="R561"/>
      <c r="S561"/>
      <c r="T561"/>
      <c r="U561"/>
      <c r="V561"/>
      <c r="W561"/>
      <c r="X561"/>
      <c r="Y561"/>
      <c r="Z561"/>
      <c r="AA561"/>
      <c r="AB561"/>
      <c r="AC561"/>
      <c r="AD561"/>
      <c r="AE561"/>
      <c r="AF561"/>
      <c r="AG561"/>
    </row>
    <row r="562" spans="17:33" ht="12.75" customHeight="1">
      <c r="Q562"/>
      <c r="R562"/>
      <c r="S562"/>
      <c r="T562"/>
      <c r="U562"/>
      <c r="V562"/>
      <c r="W562"/>
      <c r="X562"/>
      <c r="Y562"/>
      <c r="Z562"/>
      <c r="AA562"/>
      <c r="AB562"/>
      <c r="AC562"/>
      <c r="AD562"/>
      <c r="AE562"/>
      <c r="AF562"/>
      <c r="AG562"/>
    </row>
    <row r="563" spans="17:33" ht="12.75" customHeight="1">
      <c r="Q563"/>
      <c r="R563"/>
      <c r="S563"/>
      <c r="T563"/>
      <c r="U563"/>
      <c r="V563"/>
      <c r="W563"/>
      <c r="X563"/>
      <c r="Y563"/>
      <c r="Z563"/>
      <c r="AA563"/>
      <c r="AB563"/>
      <c r="AC563"/>
      <c r="AD563"/>
      <c r="AE563"/>
      <c r="AF563"/>
      <c r="AG563"/>
    </row>
    <row r="564" spans="17:33" ht="12.75" customHeight="1">
      <c r="Q564"/>
      <c r="R564"/>
      <c r="S564"/>
      <c r="T564"/>
      <c r="U564"/>
      <c r="V564"/>
      <c r="W564"/>
      <c r="X564"/>
      <c r="Y564"/>
      <c r="Z564"/>
      <c r="AA564"/>
      <c r="AB564"/>
      <c r="AC564"/>
      <c r="AD564"/>
      <c r="AE564"/>
      <c r="AF564"/>
      <c r="AG564"/>
    </row>
    <row r="565" spans="17:33" ht="12.75" customHeight="1">
      <c r="Q565"/>
      <c r="R565"/>
      <c r="S565"/>
      <c r="T565"/>
      <c r="U565"/>
      <c r="V565"/>
      <c r="W565"/>
      <c r="X565"/>
      <c r="Y565"/>
      <c r="Z565"/>
      <c r="AA565"/>
      <c r="AB565"/>
      <c r="AC565"/>
      <c r="AD565"/>
      <c r="AE565"/>
      <c r="AF565"/>
      <c r="AG565"/>
    </row>
    <row r="566" spans="17:33" ht="12.75" customHeight="1">
      <c r="Q566"/>
      <c r="R566"/>
      <c r="S566"/>
      <c r="T566"/>
      <c r="U566"/>
      <c r="V566"/>
      <c r="W566"/>
      <c r="X566"/>
      <c r="Y566"/>
      <c r="Z566"/>
      <c r="AA566"/>
      <c r="AB566"/>
      <c r="AC566"/>
      <c r="AD566"/>
      <c r="AE566"/>
      <c r="AF566"/>
      <c r="AG566"/>
    </row>
    <row r="567" spans="17:33" ht="12.75" customHeight="1">
      <c r="Q567"/>
      <c r="R567"/>
      <c r="S567"/>
      <c r="T567"/>
      <c r="U567"/>
      <c r="V567"/>
      <c r="W567"/>
      <c r="X567"/>
      <c r="Y567"/>
      <c r="Z567"/>
      <c r="AA567"/>
      <c r="AB567"/>
      <c r="AC567"/>
      <c r="AD567"/>
      <c r="AE567"/>
      <c r="AF567"/>
      <c r="AG567"/>
    </row>
    <row r="568" spans="17:33" ht="12.75" customHeight="1">
      <c r="Q568"/>
      <c r="R568"/>
      <c r="S568"/>
      <c r="T568"/>
      <c r="U568"/>
      <c r="V568"/>
      <c r="W568"/>
      <c r="X568"/>
      <c r="Y568"/>
      <c r="Z568"/>
      <c r="AA568"/>
      <c r="AB568"/>
      <c r="AC568"/>
      <c r="AD568"/>
      <c r="AE568"/>
      <c r="AF568"/>
      <c r="AG568"/>
    </row>
    <row r="569" spans="17:33" ht="12.75" customHeight="1">
      <c r="Q569"/>
      <c r="R569"/>
      <c r="S569"/>
      <c r="T569"/>
      <c r="U569"/>
      <c r="V569"/>
      <c r="W569"/>
      <c r="X569"/>
      <c r="Y569"/>
      <c r="Z569"/>
      <c r="AA569"/>
      <c r="AB569"/>
      <c r="AC569"/>
      <c r="AD569"/>
      <c r="AE569"/>
      <c r="AF569"/>
      <c r="AG569"/>
    </row>
    <row r="570" spans="17:33" ht="12.75" customHeight="1">
      <c r="Q570"/>
      <c r="R570"/>
      <c r="S570"/>
      <c r="T570"/>
      <c r="U570"/>
      <c r="V570"/>
      <c r="W570"/>
      <c r="X570"/>
      <c r="Y570"/>
      <c r="Z570"/>
      <c r="AA570"/>
      <c r="AB570"/>
      <c r="AC570"/>
      <c r="AD570"/>
      <c r="AE570"/>
      <c r="AF570"/>
      <c r="AG570"/>
    </row>
    <row r="571" spans="17:33" ht="12.75" customHeight="1">
      <c r="Q571"/>
      <c r="R571"/>
      <c r="S571"/>
      <c r="T571"/>
      <c r="U571"/>
      <c r="V571"/>
      <c r="W571"/>
      <c r="X571"/>
      <c r="Y571"/>
      <c r="Z571"/>
      <c r="AA571"/>
      <c r="AB571"/>
      <c r="AC571"/>
      <c r="AD571"/>
      <c r="AE571"/>
      <c r="AF571"/>
      <c r="AG571"/>
    </row>
    <row r="572" spans="17:33" ht="12.75" customHeight="1">
      <c r="Q572"/>
      <c r="R572"/>
      <c r="S572"/>
      <c r="T572"/>
      <c r="U572"/>
      <c r="V572"/>
      <c r="W572"/>
      <c r="X572"/>
      <c r="Y572"/>
      <c r="Z572"/>
      <c r="AA572"/>
      <c r="AB572"/>
      <c r="AC572"/>
      <c r="AD572"/>
      <c r="AE572"/>
      <c r="AF572"/>
      <c r="AG572"/>
    </row>
    <row r="573" spans="17:33" ht="12.75" customHeight="1">
      <c r="Q573"/>
      <c r="R573"/>
      <c r="S573"/>
      <c r="T573"/>
      <c r="U573"/>
      <c r="V573"/>
      <c r="W573"/>
      <c r="X573"/>
      <c r="Y573"/>
      <c r="Z573"/>
      <c r="AA573"/>
      <c r="AB573"/>
      <c r="AC573"/>
      <c r="AD573"/>
      <c r="AE573"/>
      <c r="AF573"/>
      <c r="AG573"/>
    </row>
    <row r="574" spans="17:33" ht="12.75" customHeight="1">
      <c r="Q574"/>
      <c r="R574"/>
      <c r="S574"/>
      <c r="T574"/>
      <c r="U574"/>
      <c r="V574"/>
      <c r="W574"/>
      <c r="X574"/>
      <c r="Y574"/>
      <c r="Z574"/>
      <c r="AA574"/>
      <c r="AB574"/>
      <c r="AC574"/>
      <c r="AD574"/>
      <c r="AE574"/>
      <c r="AF574"/>
      <c r="AG574"/>
    </row>
    <row r="575" spans="17:33" ht="12.75" customHeight="1">
      <c r="Q575"/>
      <c r="R575"/>
      <c r="S575"/>
      <c r="T575"/>
      <c r="U575"/>
      <c r="V575"/>
      <c r="W575"/>
      <c r="X575"/>
      <c r="Y575"/>
      <c r="Z575"/>
      <c r="AA575"/>
      <c r="AB575"/>
      <c r="AC575"/>
      <c r="AD575"/>
      <c r="AE575"/>
      <c r="AF575"/>
      <c r="AG575"/>
    </row>
    <row r="576" spans="17:33" ht="12.75" customHeight="1">
      <c r="Q576"/>
      <c r="R576"/>
      <c r="S576"/>
      <c r="T576"/>
      <c r="U576"/>
      <c r="V576"/>
      <c r="W576"/>
      <c r="X576"/>
      <c r="Y576"/>
      <c r="Z576"/>
      <c r="AA576"/>
      <c r="AB576"/>
      <c r="AC576"/>
      <c r="AD576"/>
      <c r="AE576"/>
      <c r="AF576"/>
      <c r="AG576"/>
    </row>
    <row r="577" spans="17:33" ht="12.75" customHeight="1">
      <c r="Q577"/>
      <c r="R577"/>
      <c r="S577"/>
      <c r="T577"/>
      <c r="U577"/>
      <c r="V577"/>
      <c r="W577"/>
      <c r="X577"/>
      <c r="Y577"/>
      <c r="Z577"/>
      <c r="AA577"/>
      <c r="AB577"/>
      <c r="AC577"/>
      <c r="AD577"/>
      <c r="AE577"/>
      <c r="AF577"/>
      <c r="AG577"/>
    </row>
    <row r="578" spans="17:33" ht="12.75" customHeight="1">
      <c r="Q578"/>
      <c r="R578"/>
      <c r="S578"/>
      <c r="T578"/>
      <c r="U578"/>
      <c r="V578"/>
      <c r="W578"/>
      <c r="X578"/>
      <c r="Y578"/>
      <c r="Z578"/>
      <c r="AA578"/>
      <c r="AB578"/>
      <c r="AC578"/>
      <c r="AD578"/>
      <c r="AE578"/>
      <c r="AF578"/>
      <c r="AG578"/>
    </row>
    <row r="579" spans="17:33" ht="12.75" customHeight="1">
      <c r="Q579"/>
      <c r="R579"/>
      <c r="S579"/>
      <c r="T579"/>
      <c r="U579"/>
      <c r="V579"/>
      <c r="W579"/>
      <c r="X579"/>
      <c r="Y579"/>
      <c r="Z579"/>
      <c r="AA579"/>
      <c r="AB579"/>
      <c r="AC579"/>
      <c r="AD579"/>
      <c r="AE579"/>
      <c r="AF579"/>
      <c r="AG579"/>
    </row>
    <row r="580" spans="17:33" ht="12.75" customHeight="1">
      <c r="Q580"/>
      <c r="R580"/>
      <c r="S580"/>
      <c r="T580"/>
      <c r="U580"/>
      <c r="V580"/>
      <c r="W580"/>
      <c r="X580"/>
      <c r="Y580"/>
      <c r="Z580"/>
      <c r="AA580"/>
      <c r="AB580"/>
      <c r="AC580"/>
      <c r="AD580"/>
      <c r="AE580"/>
      <c r="AF580"/>
      <c r="AG580"/>
    </row>
    <row r="581" spans="17:33" ht="12.75" customHeight="1">
      <c r="Q581"/>
      <c r="R581"/>
      <c r="S581"/>
      <c r="T581"/>
      <c r="U581"/>
      <c r="V581"/>
      <c r="W581"/>
      <c r="X581"/>
      <c r="Y581"/>
      <c r="Z581"/>
      <c r="AA581"/>
      <c r="AB581"/>
      <c r="AC581"/>
      <c r="AD581"/>
      <c r="AE581"/>
      <c r="AF581"/>
      <c r="AG581"/>
    </row>
    <row r="582" spans="17:33" ht="12.75" customHeight="1">
      <c r="Q582"/>
      <c r="R582"/>
      <c r="S582"/>
      <c r="T582"/>
      <c r="U582"/>
      <c r="V582"/>
      <c r="W582"/>
      <c r="X582"/>
      <c r="Y582"/>
      <c r="Z582"/>
      <c r="AA582"/>
      <c r="AB582"/>
      <c r="AC582"/>
      <c r="AD582"/>
      <c r="AE582"/>
      <c r="AF582"/>
      <c r="AG582"/>
    </row>
    <row r="583" spans="17:33" ht="12.75" customHeight="1">
      <c r="Q583"/>
      <c r="R583"/>
      <c r="S583"/>
      <c r="T583"/>
      <c r="U583"/>
      <c r="V583"/>
      <c r="W583"/>
      <c r="X583"/>
      <c r="Y583"/>
      <c r="Z583"/>
      <c r="AA583"/>
      <c r="AB583"/>
      <c r="AC583"/>
      <c r="AD583"/>
      <c r="AE583"/>
      <c r="AF583"/>
      <c r="AG583"/>
    </row>
    <row r="584" spans="17:33" ht="12.75" customHeight="1">
      <c r="Q584"/>
      <c r="R584"/>
      <c r="S584"/>
      <c r="T584"/>
      <c r="U584"/>
      <c r="V584"/>
      <c r="W584"/>
      <c r="X584"/>
      <c r="Y584"/>
      <c r="Z584"/>
      <c r="AA584"/>
      <c r="AB584"/>
      <c r="AC584"/>
      <c r="AD584"/>
      <c r="AE584"/>
      <c r="AF584"/>
      <c r="AG584"/>
    </row>
    <row r="585" spans="17:33" ht="12.75" customHeight="1">
      <c r="Q585"/>
      <c r="R585"/>
      <c r="S585"/>
      <c r="T585"/>
      <c r="U585"/>
      <c r="V585"/>
      <c r="W585"/>
      <c r="X585"/>
      <c r="Y585"/>
      <c r="Z585"/>
      <c r="AA585"/>
      <c r="AB585"/>
      <c r="AC585"/>
      <c r="AD585"/>
      <c r="AE585"/>
      <c r="AF585"/>
      <c r="AG585"/>
    </row>
    <row r="586" spans="17:33" ht="12.75" customHeight="1">
      <c r="Q586"/>
      <c r="R586"/>
      <c r="S586"/>
      <c r="T586"/>
      <c r="U586"/>
      <c r="V586"/>
      <c r="W586"/>
      <c r="X586"/>
      <c r="Y586"/>
      <c r="Z586"/>
      <c r="AA586"/>
      <c r="AB586"/>
      <c r="AC586"/>
      <c r="AD586"/>
      <c r="AE586"/>
      <c r="AF586"/>
      <c r="AG586"/>
    </row>
    <row r="587" spans="17:33" ht="12.75" customHeight="1">
      <c r="Q587"/>
      <c r="R587"/>
      <c r="S587"/>
      <c r="T587"/>
      <c r="U587"/>
      <c r="V587"/>
      <c r="W587"/>
      <c r="X587"/>
      <c r="Y587"/>
      <c r="Z587"/>
      <c r="AA587"/>
      <c r="AB587"/>
      <c r="AC587"/>
      <c r="AD587"/>
      <c r="AE587"/>
      <c r="AF587"/>
      <c r="AG587"/>
    </row>
    <row r="588" spans="17:33" ht="12.75" customHeight="1">
      <c r="Q588"/>
      <c r="R588"/>
      <c r="S588"/>
      <c r="T588"/>
      <c r="U588"/>
      <c r="V588"/>
      <c r="W588"/>
      <c r="X588"/>
      <c r="Y588"/>
      <c r="Z588"/>
      <c r="AA588"/>
      <c r="AB588"/>
      <c r="AC588"/>
      <c r="AD588"/>
      <c r="AE588"/>
      <c r="AF588"/>
      <c r="AG588"/>
    </row>
    <row r="589" spans="17:33" ht="12.75" customHeight="1">
      <c r="Q589"/>
      <c r="R589"/>
      <c r="S589"/>
      <c r="T589"/>
      <c r="U589"/>
      <c r="V589"/>
      <c r="W589"/>
      <c r="X589"/>
      <c r="Y589"/>
      <c r="Z589"/>
      <c r="AA589"/>
      <c r="AB589"/>
      <c r="AC589"/>
      <c r="AD589"/>
      <c r="AE589"/>
      <c r="AF589"/>
      <c r="AG589"/>
    </row>
    <row r="590" spans="17:33" ht="12.75" customHeight="1">
      <c r="Q590"/>
      <c r="R590"/>
      <c r="S590"/>
      <c r="T590"/>
      <c r="U590"/>
      <c r="V590"/>
      <c r="W590"/>
      <c r="X590"/>
      <c r="Y590"/>
      <c r="Z590"/>
      <c r="AA590"/>
      <c r="AB590"/>
      <c r="AC590"/>
      <c r="AD590"/>
      <c r="AE590"/>
      <c r="AF590"/>
      <c r="AG590"/>
    </row>
    <row r="591" spans="17:33" ht="12.75" customHeight="1">
      <c r="Q591"/>
      <c r="R591"/>
      <c r="S591"/>
      <c r="T591"/>
      <c r="U591"/>
      <c r="V591"/>
      <c r="W591"/>
      <c r="X591"/>
      <c r="Y591"/>
      <c r="Z591"/>
      <c r="AA591"/>
      <c r="AB591"/>
      <c r="AC591"/>
      <c r="AD591"/>
      <c r="AE591"/>
      <c r="AF591"/>
      <c r="AG591"/>
    </row>
    <row r="592" spans="17:33" ht="12.75" customHeight="1">
      <c r="Q592"/>
      <c r="R592"/>
      <c r="S592"/>
      <c r="T592"/>
      <c r="U592"/>
      <c r="V592"/>
      <c r="W592"/>
      <c r="X592"/>
      <c r="Y592"/>
      <c r="Z592"/>
      <c r="AA592"/>
      <c r="AB592"/>
      <c r="AC592"/>
      <c r="AD592"/>
      <c r="AE592"/>
      <c r="AF592"/>
      <c r="AG592"/>
    </row>
    <row r="593" spans="17:33" ht="12.75" customHeight="1">
      <c r="Q593"/>
      <c r="R593"/>
      <c r="S593"/>
      <c r="T593"/>
      <c r="U593"/>
      <c r="V593"/>
      <c r="W593"/>
      <c r="X593"/>
      <c r="Y593"/>
      <c r="Z593"/>
      <c r="AA593"/>
      <c r="AB593"/>
      <c r="AC593"/>
      <c r="AD593"/>
      <c r="AE593"/>
      <c r="AF593"/>
      <c r="AG593"/>
    </row>
    <row r="594" spans="17:33" ht="12.75" customHeight="1">
      <c r="Q594"/>
      <c r="R594"/>
      <c r="S594"/>
      <c r="T594"/>
      <c r="U594"/>
      <c r="V594"/>
      <c r="W594"/>
      <c r="X594"/>
      <c r="Y594"/>
      <c r="Z594"/>
      <c r="AA594"/>
      <c r="AB594"/>
      <c r="AC594"/>
      <c r="AD594"/>
      <c r="AE594"/>
      <c r="AF594"/>
      <c r="AG594"/>
    </row>
    <row r="595" spans="17:33" ht="12.75" customHeight="1">
      <c r="Q595"/>
      <c r="R595"/>
      <c r="S595"/>
      <c r="T595"/>
      <c r="U595"/>
      <c r="V595"/>
      <c r="W595"/>
      <c r="X595"/>
      <c r="Y595"/>
      <c r="Z595"/>
      <c r="AA595"/>
      <c r="AB595"/>
      <c r="AC595"/>
      <c r="AD595"/>
      <c r="AE595"/>
      <c r="AF595"/>
      <c r="AG595"/>
    </row>
    <row r="596" spans="17:33" ht="12.75" customHeight="1">
      <c r="Q596"/>
      <c r="R596"/>
      <c r="S596"/>
      <c r="T596"/>
      <c r="U596"/>
      <c r="V596"/>
      <c r="W596"/>
      <c r="X596"/>
      <c r="Y596"/>
      <c r="Z596"/>
      <c r="AA596"/>
      <c r="AB596"/>
      <c r="AC596"/>
      <c r="AD596"/>
      <c r="AE596"/>
      <c r="AF596"/>
      <c r="AG596"/>
    </row>
    <row r="597" spans="17:33" ht="12.75" customHeight="1">
      <c r="Q597"/>
      <c r="R597"/>
      <c r="S597"/>
      <c r="T597"/>
      <c r="U597"/>
      <c r="V597"/>
      <c r="W597"/>
      <c r="X597"/>
      <c r="Y597"/>
      <c r="Z597"/>
      <c r="AA597"/>
      <c r="AB597"/>
      <c r="AC597"/>
      <c r="AD597"/>
      <c r="AE597"/>
      <c r="AF597"/>
      <c r="AG597"/>
    </row>
    <row r="598" spans="17:33" ht="12.75" customHeight="1">
      <c r="Q598"/>
      <c r="R598"/>
      <c r="S598"/>
      <c r="T598"/>
      <c r="U598"/>
      <c r="V598"/>
      <c r="W598"/>
      <c r="X598"/>
      <c r="Y598"/>
      <c r="Z598"/>
      <c r="AA598"/>
      <c r="AB598"/>
      <c r="AC598"/>
      <c r="AD598"/>
      <c r="AE598"/>
      <c r="AF598"/>
      <c r="AG598"/>
    </row>
    <row r="599" spans="17:33" ht="12.75" customHeight="1">
      <c r="Q599"/>
      <c r="R599"/>
      <c r="S599"/>
      <c r="T599"/>
      <c r="U599"/>
      <c r="V599"/>
      <c r="W599"/>
      <c r="X599"/>
      <c r="Y599"/>
      <c r="Z599"/>
      <c r="AA599"/>
      <c r="AB599"/>
      <c r="AC599"/>
      <c r="AD599"/>
      <c r="AE599"/>
      <c r="AF599"/>
      <c r="AG599"/>
    </row>
    <row r="600" spans="17:33" ht="12.75" customHeight="1">
      <c r="Q600"/>
      <c r="R600"/>
      <c r="S600"/>
      <c r="T600"/>
      <c r="U600"/>
      <c r="V600"/>
      <c r="W600"/>
      <c r="X600"/>
      <c r="Y600"/>
      <c r="Z600"/>
      <c r="AA600"/>
      <c r="AB600"/>
      <c r="AC600"/>
      <c r="AD600"/>
      <c r="AE600"/>
      <c r="AF600"/>
      <c r="AG600"/>
    </row>
    <row r="601" spans="17:33" ht="12.75" customHeight="1">
      <c r="Q601"/>
      <c r="R601"/>
      <c r="S601"/>
      <c r="T601"/>
      <c r="U601"/>
      <c r="V601"/>
      <c r="W601"/>
      <c r="X601"/>
      <c r="Y601"/>
      <c r="Z601"/>
      <c r="AA601"/>
      <c r="AB601"/>
      <c r="AC601"/>
      <c r="AD601"/>
      <c r="AE601"/>
      <c r="AF601"/>
      <c r="AG601"/>
    </row>
    <row r="602" spans="17:33" ht="12.75" customHeight="1">
      <c r="Q602"/>
      <c r="R602"/>
      <c r="S602"/>
      <c r="T602"/>
      <c r="U602"/>
      <c r="V602"/>
      <c r="W602"/>
      <c r="X602"/>
      <c r="Y602"/>
      <c r="Z602"/>
      <c r="AA602"/>
      <c r="AB602"/>
      <c r="AC602"/>
      <c r="AD602"/>
      <c r="AE602"/>
      <c r="AF602"/>
      <c r="AG602"/>
    </row>
    <row r="603" spans="17:33" ht="12.75" customHeight="1">
      <c r="Q603"/>
      <c r="R603"/>
      <c r="S603"/>
      <c r="T603"/>
      <c r="U603"/>
      <c r="V603"/>
      <c r="W603"/>
      <c r="X603"/>
      <c r="Y603"/>
      <c r="Z603"/>
      <c r="AA603"/>
      <c r="AB603"/>
      <c r="AC603"/>
      <c r="AD603"/>
      <c r="AE603"/>
      <c r="AF603"/>
      <c r="AG603"/>
    </row>
    <row r="604" spans="17:33" ht="12.75" customHeight="1">
      <c r="Q604"/>
      <c r="R604"/>
      <c r="S604"/>
      <c r="T604"/>
      <c r="U604"/>
      <c r="V604"/>
      <c r="W604"/>
      <c r="X604"/>
      <c r="Y604"/>
      <c r="Z604"/>
      <c r="AA604"/>
      <c r="AB604"/>
      <c r="AC604"/>
      <c r="AD604"/>
      <c r="AE604"/>
      <c r="AF604"/>
      <c r="AG604"/>
    </row>
    <row r="605" spans="17:33" ht="12.75" customHeight="1">
      <c r="Q605"/>
      <c r="R605"/>
      <c r="S605"/>
      <c r="T605"/>
      <c r="U605"/>
      <c r="V605"/>
      <c r="W605"/>
      <c r="X605"/>
      <c r="Y605"/>
      <c r="Z605"/>
      <c r="AA605"/>
      <c r="AB605"/>
      <c r="AC605"/>
      <c r="AD605"/>
      <c r="AE605"/>
      <c r="AF605"/>
      <c r="AG605"/>
    </row>
    <row r="606" spans="17:33" ht="12.75" customHeight="1">
      <c r="Q606"/>
      <c r="R606"/>
      <c r="S606"/>
      <c r="T606"/>
      <c r="U606"/>
      <c r="V606"/>
      <c r="W606"/>
      <c r="X606"/>
      <c r="Y606"/>
      <c r="Z606"/>
      <c r="AA606"/>
      <c r="AB606"/>
      <c r="AC606"/>
      <c r="AD606"/>
      <c r="AE606"/>
      <c r="AF606"/>
      <c r="AG606"/>
    </row>
    <row r="607" spans="17:33" ht="12.75" customHeight="1">
      <c r="Q607"/>
      <c r="R607"/>
      <c r="S607"/>
      <c r="T607"/>
      <c r="U607"/>
      <c r="V607"/>
      <c r="W607"/>
      <c r="X607"/>
      <c r="Y607"/>
      <c r="Z607"/>
      <c r="AA607"/>
      <c r="AB607"/>
      <c r="AC607"/>
      <c r="AD607"/>
      <c r="AE607"/>
      <c r="AF607"/>
      <c r="AG607"/>
    </row>
    <row r="608" spans="17:33" ht="12.75" customHeight="1">
      <c r="Q608"/>
      <c r="R608"/>
      <c r="S608"/>
      <c r="T608"/>
      <c r="U608"/>
      <c r="V608"/>
      <c r="W608"/>
      <c r="X608"/>
      <c r="Y608"/>
      <c r="Z608"/>
      <c r="AA608"/>
      <c r="AB608"/>
      <c r="AC608"/>
      <c r="AD608"/>
      <c r="AE608"/>
      <c r="AF608"/>
      <c r="AG608"/>
    </row>
    <row r="609" spans="17:33" ht="12.75" customHeight="1">
      <c r="Q609"/>
      <c r="R609"/>
      <c r="S609"/>
      <c r="T609"/>
      <c r="U609"/>
      <c r="V609"/>
      <c r="W609"/>
      <c r="X609"/>
      <c r="Y609"/>
      <c r="Z609"/>
      <c r="AA609"/>
      <c r="AB609"/>
      <c r="AC609"/>
      <c r="AD609"/>
      <c r="AE609"/>
      <c r="AF609"/>
      <c r="AG609"/>
    </row>
    <row r="610" spans="17:33" ht="12.75" customHeight="1">
      <c r="Q610"/>
      <c r="R610"/>
      <c r="S610"/>
      <c r="T610"/>
      <c r="U610"/>
      <c r="V610"/>
      <c r="W610"/>
      <c r="X610"/>
      <c r="Y610"/>
      <c r="Z610"/>
      <c r="AA610"/>
      <c r="AB610"/>
      <c r="AC610"/>
      <c r="AD610"/>
      <c r="AE610"/>
      <c r="AF610"/>
      <c r="AG610"/>
    </row>
    <row r="611" spans="17:33" ht="12.75" customHeight="1">
      <c r="Q611"/>
      <c r="R611"/>
      <c r="S611"/>
      <c r="T611"/>
      <c r="U611"/>
      <c r="V611"/>
      <c r="W611"/>
      <c r="X611"/>
      <c r="Y611"/>
      <c r="Z611"/>
      <c r="AA611"/>
      <c r="AB611"/>
      <c r="AC611"/>
      <c r="AD611"/>
      <c r="AE611"/>
      <c r="AF611"/>
      <c r="AG611"/>
    </row>
    <row r="612" spans="17:33" ht="12.75" customHeight="1">
      <c r="Q612"/>
      <c r="R612"/>
      <c r="S612"/>
      <c r="T612"/>
      <c r="U612"/>
      <c r="V612"/>
      <c r="W612"/>
      <c r="X612"/>
      <c r="Y612"/>
      <c r="Z612"/>
      <c r="AA612"/>
      <c r="AB612"/>
      <c r="AC612"/>
      <c r="AD612"/>
      <c r="AE612"/>
      <c r="AF612"/>
      <c r="AG612"/>
    </row>
    <row r="613" spans="17:33" ht="12.75" customHeight="1">
      <c r="Q613"/>
      <c r="R613"/>
      <c r="S613"/>
      <c r="T613"/>
      <c r="U613"/>
      <c r="V613"/>
      <c r="W613"/>
      <c r="X613"/>
      <c r="Y613"/>
      <c r="Z613"/>
      <c r="AA613"/>
      <c r="AB613"/>
      <c r="AC613"/>
      <c r="AD613"/>
      <c r="AE613"/>
      <c r="AF613"/>
      <c r="AG613"/>
    </row>
    <row r="614" spans="17:33" ht="12.75" customHeight="1">
      <c r="Q614"/>
      <c r="R614"/>
      <c r="S614"/>
      <c r="T614"/>
      <c r="U614"/>
      <c r="V614"/>
      <c r="W614"/>
      <c r="X614"/>
      <c r="Y614"/>
      <c r="Z614"/>
      <c r="AA614"/>
      <c r="AB614"/>
      <c r="AC614"/>
      <c r="AD614"/>
      <c r="AE614"/>
      <c r="AF614"/>
      <c r="AG614"/>
    </row>
    <row r="615" spans="17:33" ht="12.75" customHeight="1">
      <c r="Q615"/>
      <c r="R615"/>
      <c r="S615"/>
      <c r="T615"/>
      <c r="U615"/>
      <c r="V615"/>
      <c r="W615"/>
      <c r="X615"/>
      <c r="Y615"/>
      <c r="Z615"/>
      <c r="AA615"/>
      <c r="AB615"/>
      <c r="AC615"/>
      <c r="AD615"/>
      <c r="AE615"/>
      <c r="AF615"/>
      <c r="AG615"/>
    </row>
    <row r="616" spans="17:33" ht="12.75" customHeight="1">
      <c r="Q616"/>
      <c r="R616"/>
      <c r="S616"/>
      <c r="T616"/>
      <c r="U616"/>
      <c r="V616"/>
      <c r="W616"/>
      <c r="X616"/>
      <c r="Y616"/>
      <c r="Z616"/>
      <c r="AA616"/>
      <c r="AB616"/>
      <c r="AC616"/>
      <c r="AD616"/>
      <c r="AE616"/>
      <c r="AF616"/>
      <c r="AG616"/>
    </row>
    <row r="617" spans="17:33" ht="12.75" customHeight="1">
      <c r="Q617"/>
      <c r="R617"/>
      <c r="S617"/>
      <c r="T617"/>
      <c r="U617"/>
      <c r="V617"/>
      <c r="W617"/>
      <c r="X617"/>
      <c r="Y617"/>
      <c r="Z617"/>
      <c r="AA617"/>
      <c r="AB617"/>
      <c r="AC617"/>
      <c r="AD617"/>
      <c r="AE617"/>
      <c r="AF617"/>
      <c r="AG617"/>
    </row>
    <row r="618" spans="17:33" ht="12.75" customHeight="1">
      <c r="Q618"/>
      <c r="R618"/>
      <c r="S618"/>
      <c r="T618"/>
      <c r="U618"/>
      <c r="V618"/>
      <c r="W618"/>
      <c r="X618"/>
      <c r="Y618"/>
      <c r="Z618"/>
      <c r="AA618"/>
      <c r="AB618"/>
      <c r="AC618"/>
      <c r="AD618"/>
      <c r="AE618"/>
      <c r="AF618"/>
      <c r="AG618"/>
    </row>
    <row r="619" spans="17:33" ht="12.75" customHeight="1">
      <c r="Q619"/>
      <c r="R619"/>
      <c r="S619"/>
      <c r="T619"/>
      <c r="U619"/>
      <c r="V619"/>
      <c r="W619"/>
      <c r="X619"/>
      <c r="Y619"/>
      <c r="Z619"/>
      <c r="AA619"/>
      <c r="AB619"/>
      <c r="AC619"/>
      <c r="AD619"/>
      <c r="AE619"/>
      <c r="AF619"/>
      <c r="AG619"/>
    </row>
    <row r="620" spans="17:33" ht="12.75" customHeight="1">
      <c r="Q620"/>
      <c r="R620"/>
      <c r="S620"/>
      <c r="T620"/>
      <c r="U620"/>
      <c r="V620"/>
      <c r="W620"/>
      <c r="X620"/>
      <c r="Y620"/>
      <c r="Z620"/>
      <c r="AA620"/>
      <c r="AB620"/>
      <c r="AC620"/>
      <c r="AD620"/>
      <c r="AE620"/>
      <c r="AF620"/>
      <c r="AG620"/>
    </row>
    <row r="621" spans="17:33" ht="12.75" customHeight="1">
      <c r="Q621"/>
      <c r="R621"/>
      <c r="S621"/>
      <c r="T621"/>
      <c r="U621"/>
      <c r="V621"/>
      <c r="W621"/>
      <c r="X621"/>
      <c r="Y621"/>
      <c r="Z621"/>
      <c r="AA621"/>
      <c r="AB621"/>
      <c r="AC621"/>
      <c r="AD621"/>
      <c r="AE621"/>
      <c r="AF621"/>
      <c r="AG621"/>
    </row>
    <row r="622" spans="17:33" ht="12.75" customHeight="1">
      <c r="Q622"/>
      <c r="R622"/>
      <c r="S622"/>
      <c r="T622"/>
      <c r="U622"/>
      <c r="V622"/>
      <c r="W622"/>
      <c r="X622"/>
      <c r="Y622"/>
      <c r="Z622"/>
      <c r="AA622"/>
      <c r="AB622"/>
      <c r="AC622"/>
      <c r="AD622"/>
      <c r="AE622"/>
      <c r="AF622"/>
      <c r="AG622"/>
    </row>
    <row r="623" spans="17:33" ht="12.75" customHeight="1">
      <c r="Q623"/>
      <c r="R623"/>
      <c r="S623"/>
      <c r="T623"/>
      <c r="U623"/>
      <c r="V623"/>
      <c r="W623"/>
      <c r="X623"/>
      <c r="Y623"/>
      <c r="Z623"/>
      <c r="AA623"/>
      <c r="AB623"/>
      <c r="AC623"/>
      <c r="AD623"/>
      <c r="AE623"/>
      <c r="AF623"/>
      <c r="AG623"/>
    </row>
    <row r="624" spans="17:33" ht="12.75" customHeight="1">
      <c r="Q624"/>
      <c r="R624"/>
      <c r="S624"/>
      <c r="T624"/>
      <c r="U624"/>
      <c r="V624"/>
      <c r="W624"/>
      <c r="X624"/>
      <c r="Y624"/>
      <c r="Z624"/>
      <c r="AA624"/>
      <c r="AB624"/>
      <c r="AC624"/>
      <c r="AD624"/>
      <c r="AE624"/>
      <c r="AF624"/>
      <c r="AG624"/>
    </row>
    <row r="625" spans="17:33" ht="12.75" customHeight="1">
      <c r="Q625"/>
      <c r="R625"/>
      <c r="S625"/>
      <c r="T625"/>
      <c r="U625"/>
      <c r="V625"/>
      <c r="W625"/>
      <c r="X625"/>
      <c r="Y625"/>
      <c r="Z625"/>
      <c r="AA625"/>
      <c r="AB625"/>
      <c r="AC625"/>
      <c r="AD625"/>
      <c r="AE625"/>
      <c r="AF625"/>
      <c r="AG625"/>
    </row>
    <row r="626" spans="17:33" ht="12.75" customHeight="1">
      <c r="Q626"/>
      <c r="R626"/>
      <c r="S626"/>
      <c r="T626"/>
      <c r="U626"/>
      <c r="V626"/>
      <c r="W626"/>
      <c r="X626"/>
      <c r="Y626"/>
      <c r="Z626"/>
      <c r="AA626"/>
      <c r="AB626"/>
      <c r="AC626"/>
      <c r="AD626"/>
      <c r="AE626"/>
      <c r="AF626"/>
      <c r="AG626"/>
    </row>
    <row r="627" spans="17:33" ht="12.75" customHeight="1">
      <c r="Q627"/>
      <c r="R627"/>
      <c r="S627"/>
      <c r="T627"/>
      <c r="U627"/>
      <c r="V627"/>
      <c r="W627"/>
      <c r="X627"/>
      <c r="Y627"/>
      <c r="Z627"/>
      <c r="AA627"/>
      <c r="AB627"/>
      <c r="AC627"/>
      <c r="AD627"/>
      <c r="AE627"/>
      <c r="AF627"/>
      <c r="AG627"/>
    </row>
    <row r="628" spans="17:33" ht="12.75" customHeight="1">
      <c r="Q628"/>
      <c r="R628"/>
      <c r="S628"/>
      <c r="T628"/>
      <c r="U628"/>
      <c r="V628"/>
      <c r="W628"/>
      <c r="X628"/>
      <c r="Y628"/>
      <c r="Z628"/>
      <c r="AA628"/>
      <c r="AB628"/>
      <c r="AC628"/>
      <c r="AD628"/>
      <c r="AE628"/>
      <c r="AF628"/>
      <c r="AG628"/>
    </row>
    <row r="629" spans="17:33" ht="12.75" customHeight="1">
      <c r="Q629"/>
      <c r="R629"/>
      <c r="S629"/>
      <c r="T629"/>
      <c r="U629"/>
      <c r="V629"/>
      <c r="W629"/>
      <c r="X629"/>
      <c r="Y629"/>
      <c r="Z629"/>
      <c r="AA629"/>
      <c r="AB629"/>
      <c r="AC629"/>
      <c r="AD629"/>
      <c r="AE629"/>
      <c r="AF629"/>
      <c r="AG629"/>
    </row>
    <row r="630" spans="17:33" ht="12.75" customHeight="1">
      <c r="Q630"/>
      <c r="R630"/>
      <c r="S630"/>
      <c r="T630"/>
      <c r="U630"/>
      <c r="V630"/>
      <c r="W630"/>
      <c r="X630"/>
      <c r="Y630"/>
      <c r="Z630"/>
      <c r="AA630"/>
      <c r="AB630"/>
      <c r="AC630"/>
      <c r="AD630"/>
      <c r="AE630"/>
      <c r="AF630"/>
      <c r="AG630"/>
    </row>
    <row r="631" spans="17:33" ht="12.75" customHeight="1">
      <c r="Q631"/>
      <c r="R631"/>
      <c r="S631"/>
      <c r="T631"/>
      <c r="U631"/>
      <c r="V631"/>
      <c r="W631"/>
      <c r="X631"/>
      <c r="Y631"/>
      <c r="Z631"/>
      <c r="AA631"/>
      <c r="AB631"/>
      <c r="AC631"/>
      <c r="AD631"/>
      <c r="AE631"/>
      <c r="AF631"/>
      <c r="AG631"/>
    </row>
    <row r="632" spans="17:33" ht="12.75" customHeight="1">
      <c r="Q632"/>
      <c r="R632"/>
      <c r="S632"/>
      <c r="T632"/>
      <c r="U632"/>
      <c r="V632"/>
      <c r="W632"/>
      <c r="X632"/>
      <c r="Y632"/>
      <c r="Z632"/>
      <c r="AA632"/>
      <c r="AB632"/>
      <c r="AC632"/>
      <c r="AD632"/>
      <c r="AE632"/>
      <c r="AF632"/>
      <c r="AG632"/>
    </row>
    <row r="633" spans="17:33" ht="12.75" customHeight="1">
      <c r="Q633"/>
      <c r="R633"/>
      <c r="S633"/>
      <c r="T633"/>
      <c r="U633"/>
      <c r="V633"/>
      <c r="W633"/>
      <c r="X633"/>
      <c r="Y633"/>
      <c r="Z633"/>
      <c r="AA633"/>
      <c r="AB633"/>
      <c r="AC633"/>
      <c r="AD633"/>
      <c r="AE633"/>
      <c r="AF633"/>
      <c r="AG633"/>
    </row>
    <row r="634" spans="17:33" ht="12.75" customHeight="1">
      <c r="Q634"/>
      <c r="R634"/>
      <c r="S634"/>
      <c r="T634"/>
      <c r="U634"/>
      <c r="V634"/>
      <c r="W634"/>
      <c r="X634"/>
      <c r="Y634"/>
      <c r="Z634"/>
      <c r="AA634"/>
      <c r="AB634"/>
      <c r="AC634"/>
      <c r="AD634"/>
      <c r="AE634"/>
      <c r="AF634"/>
      <c r="AG634"/>
    </row>
    <row r="635" spans="17:33" ht="12.75" customHeight="1">
      <c r="Q635"/>
      <c r="R635"/>
      <c r="S635"/>
      <c r="T635"/>
      <c r="U635"/>
      <c r="V635"/>
      <c r="W635"/>
      <c r="X635"/>
      <c r="Y635"/>
      <c r="Z635"/>
      <c r="AA635"/>
      <c r="AB635"/>
      <c r="AC635"/>
      <c r="AD635"/>
      <c r="AE635"/>
      <c r="AF635"/>
      <c r="AG635"/>
    </row>
    <row r="636" spans="17:33" ht="12.75" customHeight="1">
      <c r="Q636"/>
      <c r="R636"/>
      <c r="S636"/>
      <c r="T636"/>
      <c r="U636"/>
      <c r="V636"/>
      <c r="W636"/>
      <c r="X636"/>
      <c r="Y636"/>
      <c r="Z636"/>
      <c r="AA636"/>
      <c r="AB636"/>
      <c r="AC636"/>
      <c r="AD636"/>
      <c r="AE636"/>
      <c r="AF636"/>
      <c r="AG636"/>
    </row>
    <row r="637" spans="17:33" ht="12.75" customHeight="1">
      <c r="Q637"/>
      <c r="R637"/>
      <c r="S637"/>
      <c r="T637"/>
      <c r="U637"/>
      <c r="V637"/>
      <c r="W637"/>
      <c r="X637"/>
      <c r="Y637"/>
      <c r="Z637"/>
      <c r="AA637"/>
      <c r="AB637"/>
      <c r="AC637"/>
      <c r="AD637"/>
      <c r="AE637"/>
      <c r="AF637"/>
      <c r="AG637"/>
    </row>
    <row r="638" spans="17:33" ht="12.75" customHeight="1">
      <c r="Q638"/>
      <c r="R638"/>
      <c r="S638"/>
      <c r="T638"/>
      <c r="U638"/>
      <c r="V638"/>
      <c r="W638"/>
      <c r="X638"/>
      <c r="Y638"/>
      <c r="Z638"/>
      <c r="AA638"/>
      <c r="AB638"/>
      <c r="AC638"/>
      <c r="AD638"/>
      <c r="AE638"/>
      <c r="AF638"/>
      <c r="AG638"/>
    </row>
    <row r="639" spans="17:33" ht="12.75" customHeight="1">
      <c r="Q639"/>
      <c r="R639"/>
      <c r="S639"/>
      <c r="T639"/>
      <c r="U639"/>
      <c r="V639"/>
      <c r="W639"/>
      <c r="X639"/>
      <c r="Y639"/>
      <c r="Z639"/>
      <c r="AA639"/>
      <c r="AB639"/>
      <c r="AC639"/>
      <c r="AD639"/>
      <c r="AE639"/>
      <c r="AF639"/>
      <c r="AG639"/>
    </row>
    <row r="640" spans="17:33" ht="12.75" customHeight="1">
      <c r="Q640"/>
      <c r="R640"/>
      <c r="S640"/>
      <c r="T640"/>
      <c r="U640"/>
      <c r="V640"/>
      <c r="W640"/>
      <c r="X640"/>
      <c r="Y640"/>
      <c r="Z640"/>
      <c r="AA640"/>
      <c r="AB640"/>
      <c r="AC640"/>
      <c r="AD640"/>
      <c r="AE640"/>
      <c r="AF640"/>
      <c r="AG640"/>
    </row>
    <row r="641" spans="17:33" ht="12.75" customHeight="1">
      <c r="Q641"/>
      <c r="R641"/>
      <c r="S641"/>
      <c r="T641"/>
      <c r="U641"/>
      <c r="V641"/>
      <c r="W641"/>
      <c r="X641"/>
      <c r="Y641"/>
      <c r="Z641"/>
      <c r="AA641"/>
      <c r="AB641"/>
      <c r="AC641"/>
      <c r="AD641"/>
      <c r="AE641"/>
      <c r="AF641"/>
      <c r="AG641"/>
    </row>
    <row r="642" spans="17:33" ht="12.75" customHeight="1">
      <c r="Q642"/>
      <c r="R642"/>
      <c r="S642"/>
      <c r="T642"/>
      <c r="U642"/>
      <c r="V642"/>
      <c r="W642"/>
      <c r="X642"/>
      <c r="Y642"/>
      <c r="Z642"/>
      <c r="AA642"/>
      <c r="AB642"/>
      <c r="AC642"/>
      <c r="AD642"/>
      <c r="AE642"/>
      <c r="AF642"/>
      <c r="AG642"/>
    </row>
    <row r="643" spans="17:33" ht="12.75" customHeight="1">
      <c r="Q643"/>
      <c r="R643"/>
      <c r="S643"/>
      <c r="T643"/>
      <c r="U643"/>
      <c r="V643"/>
      <c r="W643"/>
      <c r="X643"/>
      <c r="Y643"/>
      <c r="Z643"/>
      <c r="AA643"/>
      <c r="AB643"/>
      <c r="AC643"/>
      <c r="AD643"/>
      <c r="AE643"/>
      <c r="AF643"/>
      <c r="AG643"/>
    </row>
    <row r="644" spans="17:33" ht="12.75" customHeight="1">
      <c r="Q644"/>
      <c r="R644"/>
      <c r="S644"/>
      <c r="T644"/>
      <c r="U644"/>
      <c r="V644"/>
      <c r="W644"/>
      <c r="X644"/>
      <c r="Y644"/>
      <c r="Z644"/>
      <c r="AA644"/>
      <c r="AB644"/>
      <c r="AC644"/>
      <c r="AD644"/>
      <c r="AE644"/>
      <c r="AF644"/>
      <c r="AG644"/>
    </row>
    <row r="645" spans="17:33" ht="12.75" customHeight="1">
      <c r="Q645"/>
      <c r="R645"/>
      <c r="S645"/>
      <c r="T645"/>
      <c r="U645"/>
      <c r="V645"/>
      <c r="W645"/>
      <c r="X645"/>
      <c r="Y645"/>
      <c r="Z645"/>
      <c r="AA645"/>
      <c r="AB645"/>
      <c r="AC645"/>
      <c r="AD645"/>
      <c r="AE645"/>
      <c r="AF645"/>
      <c r="AG645"/>
    </row>
    <row r="646" spans="17:33" ht="12.75" customHeight="1">
      <c r="Q646"/>
      <c r="R646"/>
      <c r="S646"/>
      <c r="T646"/>
      <c r="U646"/>
      <c r="V646"/>
      <c r="W646"/>
      <c r="X646"/>
      <c r="Y646"/>
      <c r="Z646"/>
      <c r="AA646"/>
      <c r="AB646"/>
      <c r="AC646"/>
      <c r="AD646"/>
      <c r="AE646"/>
      <c r="AF646"/>
      <c r="AG646"/>
    </row>
    <row r="647" spans="17:33" ht="12.75" customHeight="1">
      <c r="Q647"/>
      <c r="R647"/>
      <c r="S647"/>
      <c r="T647"/>
      <c r="U647"/>
      <c r="V647"/>
      <c r="W647"/>
      <c r="X647"/>
      <c r="Y647"/>
      <c r="Z647"/>
      <c r="AA647"/>
      <c r="AB647"/>
      <c r="AC647"/>
      <c r="AD647"/>
      <c r="AE647"/>
      <c r="AF647"/>
      <c r="AG647"/>
    </row>
    <row r="648" spans="17:33" ht="12.75" customHeight="1">
      <c r="Q648"/>
      <c r="R648"/>
      <c r="S648"/>
      <c r="T648"/>
      <c r="U648"/>
      <c r="V648"/>
      <c r="W648"/>
      <c r="X648"/>
      <c r="Y648"/>
      <c r="Z648"/>
      <c r="AA648"/>
      <c r="AB648"/>
      <c r="AC648"/>
      <c r="AD648"/>
      <c r="AE648"/>
      <c r="AF648"/>
      <c r="AG648"/>
    </row>
    <row r="649" spans="17:33" ht="12.75" customHeight="1">
      <c r="Q649"/>
      <c r="R649"/>
      <c r="S649"/>
      <c r="T649"/>
      <c r="U649"/>
      <c r="V649"/>
      <c r="W649"/>
      <c r="X649"/>
      <c r="Y649"/>
      <c r="Z649"/>
      <c r="AA649"/>
      <c r="AB649"/>
      <c r="AC649"/>
      <c r="AD649"/>
      <c r="AE649"/>
      <c r="AF649"/>
      <c r="AG649"/>
    </row>
    <row r="650" spans="17:33" ht="12.75" customHeight="1">
      <c r="Q650"/>
      <c r="R650"/>
      <c r="S650"/>
      <c r="T650"/>
      <c r="U650"/>
      <c r="V650"/>
      <c r="W650"/>
      <c r="X650"/>
      <c r="Y650"/>
      <c r="Z650"/>
      <c r="AA650"/>
      <c r="AB650"/>
      <c r="AC650"/>
      <c r="AD650"/>
      <c r="AE650"/>
      <c r="AF650"/>
      <c r="AG650"/>
    </row>
    <row r="651" spans="17:33" ht="12.75" customHeight="1">
      <c r="Q651"/>
      <c r="R651"/>
      <c r="S651"/>
      <c r="T651"/>
      <c r="U651"/>
      <c r="V651"/>
      <c r="W651"/>
      <c r="X651"/>
      <c r="Y651"/>
      <c r="Z651"/>
      <c r="AA651"/>
      <c r="AB651"/>
      <c r="AC651"/>
      <c r="AD651"/>
      <c r="AE651"/>
      <c r="AF651"/>
      <c r="AG651"/>
    </row>
    <row r="652" spans="17:33" ht="12.75" customHeight="1">
      <c r="Q652"/>
      <c r="R652"/>
      <c r="S652"/>
      <c r="T652"/>
      <c r="U652"/>
      <c r="V652"/>
      <c r="W652"/>
      <c r="X652"/>
      <c r="Y652"/>
      <c r="Z652"/>
      <c r="AA652"/>
      <c r="AB652"/>
      <c r="AC652"/>
      <c r="AD652"/>
      <c r="AE652"/>
      <c r="AF652"/>
      <c r="AG652"/>
    </row>
    <row r="653" spans="17:33" ht="12.75" customHeight="1">
      <c r="Q653"/>
      <c r="R653"/>
      <c r="S653"/>
      <c r="T653"/>
      <c r="U653"/>
      <c r="V653"/>
      <c r="W653"/>
      <c r="X653"/>
      <c r="Y653"/>
      <c r="Z653"/>
      <c r="AA653"/>
      <c r="AB653"/>
      <c r="AC653"/>
      <c r="AD653"/>
      <c r="AE653"/>
      <c r="AF653"/>
      <c r="AG653"/>
    </row>
    <row r="654" spans="17:33" ht="12.75" customHeight="1">
      <c r="Q654"/>
      <c r="R654"/>
      <c r="S654"/>
      <c r="T654"/>
      <c r="U654"/>
      <c r="V654"/>
      <c r="W654"/>
      <c r="X654"/>
      <c r="Y654"/>
      <c r="Z654"/>
      <c r="AA654"/>
      <c r="AB654"/>
      <c r="AC654"/>
      <c r="AD654"/>
      <c r="AE654"/>
      <c r="AF654"/>
      <c r="AG654"/>
    </row>
    <row r="655" spans="17:33" ht="12.75" customHeight="1">
      <c r="Q655"/>
      <c r="R655"/>
      <c r="S655"/>
      <c r="T655"/>
      <c r="U655"/>
      <c r="V655"/>
      <c r="W655"/>
      <c r="X655"/>
      <c r="Y655"/>
      <c r="Z655"/>
      <c r="AA655"/>
      <c r="AB655"/>
      <c r="AC655"/>
      <c r="AD655"/>
      <c r="AE655"/>
      <c r="AF655"/>
      <c r="AG655"/>
    </row>
    <row r="656" spans="17:33" ht="12.75" customHeight="1">
      <c r="Q656"/>
      <c r="R656"/>
      <c r="S656"/>
      <c r="T656"/>
      <c r="U656"/>
      <c r="V656"/>
      <c r="W656"/>
      <c r="X656"/>
      <c r="Y656"/>
      <c r="Z656"/>
      <c r="AA656"/>
      <c r="AB656"/>
      <c r="AC656"/>
      <c r="AD656"/>
      <c r="AE656"/>
      <c r="AF656"/>
      <c r="AG656"/>
    </row>
    <row r="657" spans="17:33" ht="12.75" customHeight="1">
      <c r="Q657"/>
      <c r="R657"/>
      <c r="S657"/>
      <c r="T657"/>
      <c r="U657"/>
      <c r="V657"/>
      <c r="W657"/>
      <c r="X657"/>
      <c r="Y657"/>
      <c r="Z657"/>
      <c r="AA657"/>
      <c r="AB657"/>
      <c r="AC657"/>
      <c r="AD657"/>
      <c r="AE657"/>
      <c r="AF657"/>
      <c r="AG657"/>
    </row>
    <row r="658" spans="17:33" ht="12.75" customHeight="1">
      <c r="Q658"/>
      <c r="R658"/>
      <c r="S658"/>
      <c r="T658"/>
      <c r="U658"/>
      <c r="V658"/>
      <c r="W658"/>
      <c r="X658"/>
      <c r="Y658"/>
      <c r="Z658"/>
      <c r="AA658"/>
      <c r="AB658"/>
      <c r="AC658"/>
      <c r="AD658"/>
      <c r="AE658"/>
      <c r="AF658"/>
      <c r="AG658"/>
    </row>
    <row r="659" spans="17:33" ht="12.75" customHeight="1">
      <c r="Q659"/>
      <c r="R659"/>
      <c r="S659"/>
      <c r="T659"/>
      <c r="U659"/>
      <c r="V659"/>
      <c r="W659"/>
      <c r="X659"/>
      <c r="Y659"/>
      <c r="Z659"/>
      <c r="AA659"/>
      <c r="AB659"/>
      <c r="AC659"/>
      <c r="AD659"/>
      <c r="AE659"/>
      <c r="AF659"/>
      <c r="AG659"/>
    </row>
    <row r="660" spans="17:33" ht="12.75" customHeight="1">
      <c r="Q660"/>
      <c r="R660"/>
      <c r="S660"/>
      <c r="T660"/>
      <c r="U660"/>
      <c r="V660"/>
      <c r="W660"/>
      <c r="X660"/>
      <c r="Y660"/>
      <c r="Z660"/>
      <c r="AA660"/>
      <c r="AB660"/>
      <c r="AC660"/>
      <c r="AD660"/>
      <c r="AE660"/>
      <c r="AF660"/>
      <c r="AG660"/>
    </row>
    <row r="661" spans="17:33" ht="12.75" customHeight="1">
      <c r="Q661"/>
      <c r="R661"/>
      <c r="S661"/>
      <c r="T661"/>
      <c r="U661"/>
      <c r="V661"/>
      <c r="W661"/>
      <c r="X661"/>
      <c r="Y661"/>
      <c r="Z661"/>
      <c r="AA661"/>
      <c r="AB661"/>
      <c r="AC661"/>
      <c r="AD661"/>
      <c r="AE661"/>
      <c r="AF661"/>
      <c r="AG661"/>
    </row>
    <row r="662" spans="17:33" ht="12.75" customHeight="1">
      <c r="Q662"/>
      <c r="R662"/>
      <c r="S662"/>
      <c r="T662"/>
      <c r="U662"/>
      <c r="V662"/>
      <c r="W662"/>
      <c r="X662"/>
      <c r="Y662"/>
      <c r="Z662"/>
      <c r="AA662"/>
      <c r="AB662"/>
      <c r="AC662"/>
      <c r="AD662"/>
      <c r="AE662"/>
      <c r="AF662"/>
      <c r="AG662"/>
    </row>
    <row r="663" spans="17:33" ht="12.75" customHeight="1">
      <c r="Q663"/>
      <c r="R663"/>
      <c r="S663"/>
      <c r="T663"/>
      <c r="U663"/>
      <c r="V663"/>
      <c r="W663"/>
      <c r="X663"/>
      <c r="Y663"/>
      <c r="Z663"/>
      <c r="AA663"/>
      <c r="AB663"/>
      <c r="AC663"/>
      <c r="AD663"/>
      <c r="AE663"/>
      <c r="AF663"/>
      <c r="AG663"/>
    </row>
    <row r="664" spans="17:33" ht="12.75" customHeight="1">
      <c r="Q664"/>
      <c r="R664"/>
      <c r="S664"/>
      <c r="T664"/>
      <c r="U664"/>
      <c r="V664"/>
      <c r="W664"/>
      <c r="X664"/>
      <c r="Y664"/>
      <c r="Z664"/>
      <c r="AA664"/>
      <c r="AB664"/>
      <c r="AC664"/>
      <c r="AD664"/>
      <c r="AE664"/>
      <c r="AF664"/>
      <c r="AG664"/>
    </row>
    <row r="665" spans="17:33" ht="12.75" customHeight="1">
      <c r="Q665"/>
      <c r="R665"/>
      <c r="S665"/>
      <c r="T665"/>
      <c r="U665"/>
      <c r="V665"/>
      <c r="W665"/>
      <c r="X665"/>
      <c r="Y665"/>
      <c r="Z665"/>
      <c r="AA665"/>
      <c r="AB665"/>
      <c r="AC665"/>
      <c r="AD665"/>
      <c r="AE665"/>
      <c r="AF665"/>
      <c r="AG665"/>
    </row>
    <row r="666" spans="17:33" ht="12.75" customHeight="1">
      <c r="Q666"/>
      <c r="R666"/>
      <c r="S666"/>
      <c r="T666"/>
      <c r="U666"/>
      <c r="V666"/>
      <c r="W666"/>
      <c r="X666"/>
      <c r="Y666"/>
      <c r="Z666"/>
      <c r="AA666"/>
      <c r="AB666"/>
      <c r="AC666"/>
      <c r="AD666"/>
      <c r="AE666"/>
      <c r="AF666"/>
      <c r="AG666"/>
    </row>
    <row r="667" spans="17:33" ht="12.75" customHeight="1">
      <c r="Q667"/>
      <c r="R667"/>
      <c r="S667"/>
      <c r="T667"/>
      <c r="U667"/>
      <c r="V667"/>
      <c r="W667"/>
      <c r="X667"/>
      <c r="Y667"/>
      <c r="Z667"/>
      <c r="AA667"/>
      <c r="AB667"/>
      <c r="AC667"/>
      <c r="AD667"/>
      <c r="AE667"/>
      <c r="AF667"/>
      <c r="AG667"/>
    </row>
    <row r="668" spans="17:33" ht="12.75" customHeight="1">
      <c r="Q668"/>
      <c r="R668"/>
      <c r="S668"/>
      <c r="T668"/>
      <c r="U668"/>
      <c r="V668"/>
      <c r="W668"/>
      <c r="X668"/>
      <c r="Y668"/>
      <c r="Z668"/>
      <c r="AA668"/>
      <c r="AB668"/>
      <c r="AC668"/>
      <c r="AD668"/>
      <c r="AE668"/>
      <c r="AF668"/>
      <c r="AG668"/>
    </row>
    <row r="669" spans="17:33" ht="12.75" customHeight="1">
      <c r="Q669"/>
      <c r="R669"/>
      <c r="S669"/>
      <c r="T669"/>
      <c r="U669"/>
      <c r="V669"/>
      <c r="W669"/>
      <c r="X669"/>
      <c r="Y669"/>
      <c r="Z669"/>
      <c r="AA669"/>
      <c r="AB669"/>
      <c r="AC669"/>
      <c r="AD669"/>
      <c r="AE669"/>
      <c r="AF669"/>
      <c r="AG669"/>
    </row>
    <row r="670" spans="17:33" ht="12.75" customHeight="1">
      <c r="Q670"/>
      <c r="R670"/>
      <c r="S670"/>
      <c r="T670"/>
      <c r="U670"/>
      <c r="V670"/>
      <c r="W670"/>
      <c r="X670"/>
      <c r="Y670"/>
      <c r="Z670"/>
      <c r="AA670"/>
      <c r="AB670"/>
      <c r="AC670"/>
      <c r="AD670"/>
      <c r="AE670"/>
      <c r="AF670"/>
      <c r="AG670"/>
    </row>
    <row r="671" spans="17:33" ht="12.75" customHeight="1">
      <c r="Q671"/>
      <c r="R671"/>
      <c r="S671"/>
      <c r="T671"/>
      <c r="U671"/>
      <c r="V671"/>
      <c r="W671"/>
      <c r="X671"/>
      <c r="Y671"/>
      <c r="Z671"/>
      <c r="AA671"/>
      <c r="AB671"/>
      <c r="AC671"/>
      <c r="AD671"/>
      <c r="AE671"/>
      <c r="AF671"/>
      <c r="AG671"/>
    </row>
    <row r="672" spans="17:33" ht="12.75" customHeight="1">
      <c r="Q672"/>
      <c r="R672"/>
      <c r="S672"/>
      <c r="T672"/>
      <c r="U672"/>
      <c r="V672"/>
      <c r="W672"/>
      <c r="X672"/>
      <c r="Y672"/>
      <c r="Z672"/>
      <c r="AA672"/>
      <c r="AB672"/>
      <c r="AC672"/>
      <c r="AD672"/>
      <c r="AE672"/>
      <c r="AF672"/>
      <c r="AG672"/>
    </row>
    <row r="673" spans="17:33" ht="12.75" customHeight="1">
      <c r="Q673"/>
      <c r="R673"/>
      <c r="S673"/>
      <c r="T673"/>
      <c r="U673"/>
      <c r="V673"/>
      <c r="W673"/>
      <c r="X673"/>
      <c r="Y673"/>
      <c r="Z673"/>
      <c r="AA673"/>
      <c r="AB673"/>
      <c r="AC673"/>
      <c r="AD673"/>
      <c r="AE673"/>
      <c r="AF673"/>
      <c r="AG673"/>
    </row>
    <row r="674" spans="17:33" ht="12.75" customHeight="1">
      <c r="Q674"/>
      <c r="R674"/>
      <c r="S674"/>
      <c r="T674"/>
      <c r="U674"/>
      <c r="V674"/>
      <c r="W674"/>
      <c r="X674"/>
      <c r="Y674"/>
      <c r="Z674"/>
      <c r="AA674"/>
      <c r="AB674"/>
      <c r="AC674"/>
      <c r="AD674"/>
      <c r="AE674"/>
      <c r="AF674"/>
      <c r="AG674"/>
    </row>
    <row r="675" spans="17:33" ht="12.75" customHeight="1">
      <c r="Q675"/>
      <c r="R675"/>
      <c r="S675"/>
      <c r="T675"/>
      <c r="U675"/>
      <c r="V675"/>
      <c r="W675"/>
      <c r="X675"/>
      <c r="Y675"/>
      <c r="Z675"/>
      <c r="AA675"/>
      <c r="AB675"/>
      <c r="AC675"/>
      <c r="AD675"/>
      <c r="AE675"/>
      <c r="AF675"/>
      <c r="AG675"/>
    </row>
    <row r="676" spans="17:33" ht="12.75" customHeight="1">
      <c r="Q676"/>
      <c r="R676"/>
      <c r="S676"/>
      <c r="T676"/>
      <c r="U676"/>
      <c r="V676"/>
      <c r="W676"/>
      <c r="X676"/>
      <c r="Y676"/>
      <c r="Z676"/>
      <c r="AA676"/>
      <c r="AB676"/>
      <c r="AC676"/>
      <c r="AD676"/>
      <c r="AE676"/>
      <c r="AF676"/>
      <c r="AG676"/>
    </row>
    <row r="677" spans="17:33" ht="12.75" customHeight="1">
      <c r="Q677"/>
      <c r="R677"/>
      <c r="S677"/>
      <c r="T677"/>
      <c r="U677"/>
      <c r="V677"/>
      <c r="W677"/>
      <c r="X677"/>
      <c r="Y677"/>
      <c r="Z677"/>
      <c r="AA677"/>
      <c r="AB677"/>
      <c r="AC677"/>
      <c r="AD677"/>
      <c r="AE677"/>
      <c r="AF677"/>
      <c r="AG677"/>
    </row>
    <row r="678" spans="17:33" ht="12.75" customHeight="1">
      <c r="Q678"/>
      <c r="R678"/>
      <c r="S678"/>
      <c r="T678"/>
      <c r="U678"/>
      <c r="V678"/>
      <c r="W678"/>
      <c r="X678"/>
      <c r="Y678"/>
      <c r="Z678"/>
      <c r="AA678"/>
      <c r="AB678"/>
      <c r="AC678"/>
      <c r="AD678"/>
      <c r="AE678"/>
      <c r="AF678"/>
      <c r="AG678"/>
    </row>
    <row r="679" spans="17:33" ht="12.75" customHeight="1">
      <c r="Q679"/>
      <c r="R679"/>
      <c r="S679"/>
      <c r="T679"/>
      <c r="U679"/>
      <c r="V679"/>
      <c r="W679"/>
      <c r="X679"/>
      <c r="Y679"/>
      <c r="Z679"/>
      <c r="AA679"/>
      <c r="AB679"/>
      <c r="AC679"/>
      <c r="AD679"/>
      <c r="AE679"/>
      <c r="AF679"/>
      <c r="AG679"/>
    </row>
    <row r="680" spans="17:33" ht="12.75" customHeight="1">
      <c r="Q680"/>
      <c r="R680"/>
      <c r="S680"/>
      <c r="T680"/>
      <c r="U680"/>
      <c r="V680"/>
      <c r="W680"/>
      <c r="X680"/>
      <c r="Y680"/>
      <c r="Z680"/>
      <c r="AA680"/>
      <c r="AB680"/>
      <c r="AC680"/>
      <c r="AD680"/>
      <c r="AE680"/>
      <c r="AF680"/>
      <c r="AG680"/>
    </row>
    <row r="681" spans="17:33" ht="12.75" customHeight="1">
      <c r="Q681"/>
      <c r="R681"/>
      <c r="S681"/>
      <c r="T681"/>
      <c r="U681"/>
      <c r="V681"/>
      <c r="W681"/>
      <c r="X681"/>
      <c r="Y681"/>
      <c r="Z681"/>
      <c r="AA681"/>
      <c r="AB681"/>
      <c r="AC681"/>
      <c r="AD681"/>
      <c r="AE681"/>
      <c r="AF681"/>
      <c r="AG681"/>
    </row>
    <row r="682" spans="17:33" ht="12.75" customHeight="1">
      <c r="Q682"/>
      <c r="R682"/>
      <c r="S682"/>
      <c r="T682"/>
      <c r="U682"/>
      <c r="V682"/>
      <c r="W682"/>
      <c r="X682"/>
      <c r="Y682"/>
      <c r="Z682"/>
      <c r="AA682"/>
      <c r="AB682"/>
      <c r="AC682"/>
      <c r="AD682"/>
      <c r="AE682"/>
      <c r="AF682"/>
      <c r="AG682"/>
    </row>
    <row r="683" spans="17:33" ht="12.75" customHeight="1">
      <c r="Q683"/>
      <c r="R683"/>
      <c r="S683"/>
      <c r="T683"/>
      <c r="U683"/>
      <c r="V683"/>
      <c r="W683"/>
      <c r="X683"/>
      <c r="Y683"/>
      <c r="Z683"/>
      <c r="AA683"/>
      <c r="AB683"/>
      <c r="AC683"/>
      <c r="AD683"/>
      <c r="AE683"/>
      <c r="AF683"/>
      <c r="AG683"/>
    </row>
    <row r="684" spans="17:33" ht="12.75" customHeight="1">
      <c r="Q684"/>
      <c r="R684"/>
      <c r="S684"/>
      <c r="T684"/>
      <c r="U684"/>
      <c r="V684"/>
      <c r="W684"/>
      <c r="X684"/>
      <c r="Y684"/>
      <c r="Z684"/>
      <c r="AA684"/>
      <c r="AB684"/>
      <c r="AC684"/>
      <c r="AD684"/>
      <c r="AE684"/>
      <c r="AF684"/>
      <c r="AG684"/>
    </row>
    <row r="685" spans="17:33" ht="12.75" customHeight="1">
      <c r="Q685"/>
      <c r="R685"/>
      <c r="S685"/>
      <c r="T685"/>
      <c r="U685"/>
      <c r="V685"/>
      <c r="W685"/>
      <c r="X685"/>
      <c r="Y685"/>
      <c r="Z685"/>
      <c r="AA685"/>
      <c r="AB685"/>
      <c r="AC685"/>
      <c r="AD685"/>
      <c r="AE685"/>
      <c r="AF685"/>
      <c r="AG685"/>
    </row>
    <row r="686" spans="17:33" ht="12.75" customHeight="1">
      <c r="Q686"/>
      <c r="R686"/>
      <c r="S686"/>
      <c r="T686"/>
      <c r="U686"/>
      <c r="V686"/>
      <c r="W686"/>
      <c r="X686"/>
      <c r="Y686"/>
      <c r="Z686"/>
      <c r="AA686"/>
      <c r="AB686"/>
      <c r="AC686"/>
      <c r="AD686"/>
      <c r="AE686"/>
      <c r="AF686"/>
      <c r="AG686"/>
    </row>
    <row r="687" spans="17:33" ht="12.75" customHeight="1">
      <c r="Q687"/>
      <c r="R687"/>
      <c r="S687"/>
      <c r="T687"/>
      <c r="U687"/>
      <c r="V687"/>
      <c r="W687"/>
      <c r="X687"/>
      <c r="Y687"/>
      <c r="Z687"/>
      <c r="AA687"/>
      <c r="AB687"/>
      <c r="AC687"/>
      <c r="AD687"/>
      <c r="AE687"/>
      <c r="AF687"/>
      <c r="AG687"/>
    </row>
    <row r="688" spans="17:33" ht="12.75" customHeight="1">
      <c r="Q688"/>
      <c r="R688"/>
      <c r="S688"/>
      <c r="T688"/>
      <c r="U688"/>
      <c r="V688"/>
      <c r="W688"/>
      <c r="X688"/>
      <c r="Y688"/>
      <c r="Z688"/>
      <c r="AA688"/>
      <c r="AB688"/>
      <c r="AC688"/>
      <c r="AD688"/>
      <c r="AE688"/>
      <c r="AF688"/>
      <c r="AG688"/>
    </row>
    <row r="689" spans="17:33">
      <c r="Q689"/>
      <c r="R689"/>
      <c r="S689"/>
      <c r="T689"/>
      <c r="U689"/>
      <c r="V689"/>
      <c r="W689"/>
      <c r="X689"/>
      <c r="Y689"/>
      <c r="Z689"/>
      <c r="AA689"/>
      <c r="AB689"/>
      <c r="AC689"/>
      <c r="AD689"/>
      <c r="AE689"/>
      <c r="AF689"/>
      <c r="AG689"/>
    </row>
    <row r="690" spans="17:33">
      <c r="Q690"/>
      <c r="R690"/>
      <c r="S690"/>
      <c r="T690"/>
      <c r="U690"/>
      <c r="V690"/>
      <c r="W690"/>
      <c r="X690"/>
      <c r="Y690"/>
      <c r="Z690"/>
      <c r="AA690"/>
      <c r="AB690"/>
      <c r="AC690"/>
      <c r="AD690"/>
      <c r="AE690"/>
      <c r="AF690"/>
      <c r="AG690"/>
    </row>
    <row r="691" spans="17:33">
      <c r="Q691"/>
      <c r="R691"/>
      <c r="S691"/>
      <c r="T691"/>
      <c r="U691"/>
      <c r="V691"/>
      <c r="W691"/>
      <c r="X691"/>
      <c r="Y691"/>
      <c r="Z691"/>
      <c r="AA691"/>
      <c r="AB691"/>
      <c r="AC691"/>
      <c r="AD691"/>
      <c r="AE691"/>
      <c r="AF691"/>
      <c r="AG691"/>
    </row>
    <row r="692" spans="17:33">
      <c r="Q692"/>
      <c r="R692"/>
      <c r="S692"/>
      <c r="T692"/>
      <c r="U692"/>
      <c r="V692"/>
      <c r="W692"/>
      <c r="X692"/>
      <c r="Y692"/>
      <c r="Z692"/>
      <c r="AA692"/>
      <c r="AB692"/>
      <c r="AC692"/>
      <c r="AD692"/>
      <c r="AE692"/>
      <c r="AF692"/>
      <c r="AG692"/>
    </row>
    <row r="693" spans="17:33">
      <c r="Q693"/>
      <c r="R693"/>
      <c r="S693"/>
      <c r="T693"/>
      <c r="U693"/>
      <c r="V693"/>
      <c r="W693"/>
      <c r="X693"/>
      <c r="Y693"/>
      <c r="Z693"/>
      <c r="AA693"/>
      <c r="AB693"/>
      <c r="AC693"/>
      <c r="AD693"/>
      <c r="AE693"/>
      <c r="AF693"/>
      <c r="AG693"/>
    </row>
    <row r="694" spans="17:33">
      <c r="Q694"/>
      <c r="R694"/>
      <c r="S694"/>
      <c r="T694"/>
      <c r="U694"/>
      <c r="V694"/>
      <c r="W694"/>
      <c r="X694"/>
      <c r="Y694"/>
      <c r="Z694"/>
      <c r="AA694"/>
      <c r="AB694"/>
      <c r="AC694"/>
      <c r="AD694"/>
      <c r="AE694"/>
      <c r="AF694"/>
      <c r="AG694"/>
    </row>
    <row r="695" spans="17:33">
      <c r="Q695"/>
      <c r="R695"/>
      <c r="S695"/>
      <c r="T695"/>
      <c r="U695"/>
      <c r="V695"/>
      <c r="W695"/>
      <c r="X695"/>
      <c r="Y695"/>
      <c r="Z695"/>
      <c r="AA695"/>
      <c r="AB695"/>
      <c r="AC695"/>
      <c r="AD695"/>
      <c r="AE695"/>
      <c r="AF695"/>
      <c r="AG695"/>
    </row>
    <row r="696" spans="17:33">
      <c r="Q696"/>
      <c r="R696"/>
      <c r="S696"/>
      <c r="T696"/>
      <c r="U696"/>
      <c r="V696"/>
      <c r="W696"/>
      <c r="X696"/>
      <c r="Y696"/>
      <c r="Z696"/>
      <c r="AA696"/>
      <c r="AB696"/>
      <c r="AC696"/>
      <c r="AD696"/>
      <c r="AE696"/>
      <c r="AF696"/>
      <c r="AG696"/>
    </row>
    <row r="697" spans="17:33">
      <c r="Q697"/>
      <c r="R697"/>
      <c r="S697"/>
      <c r="T697"/>
      <c r="U697"/>
      <c r="V697"/>
      <c r="W697"/>
      <c r="X697"/>
      <c r="Y697"/>
      <c r="Z697"/>
      <c r="AA697"/>
      <c r="AB697"/>
      <c r="AC697"/>
      <c r="AD697"/>
      <c r="AE697"/>
      <c r="AF697"/>
      <c r="AG697"/>
    </row>
    <row r="698" spans="17:33">
      <c r="Q698"/>
      <c r="R698"/>
      <c r="S698"/>
      <c r="T698"/>
      <c r="U698"/>
      <c r="V698"/>
      <c r="W698"/>
      <c r="X698"/>
      <c r="Y698"/>
      <c r="Z698"/>
      <c r="AA698"/>
      <c r="AB698"/>
      <c r="AC698"/>
      <c r="AD698"/>
      <c r="AE698"/>
      <c r="AF698"/>
      <c r="AG698"/>
    </row>
    <row r="699" spans="17:33">
      <c r="Q699"/>
      <c r="R699"/>
      <c r="S699"/>
      <c r="T699"/>
      <c r="U699"/>
      <c r="V699"/>
      <c r="W699"/>
      <c r="X699"/>
      <c r="Y699"/>
      <c r="Z699"/>
      <c r="AA699"/>
      <c r="AB699"/>
      <c r="AC699"/>
      <c r="AD699"/>
      <c r="AE699"/>
      <c r="AF699"/>
      <c r="AG699"/>
    </row>
    <row r="700" spans="17:33">
      <c r="Q700"/>
      <c r="R700"/>
      <c r="S700"/>
      <c r="T700"/>
      <c r="U700"/>
      <c r="V700"/>
      <c r="W700"/>
      <c r="X700"/>
      <c r="Y700"/>
      <c r="Z700"/>
      <c r="AA700"/>
      <c r="AB700"/>
      <c r="AC700"/>
      <c r="AD700"/>
      <c r="AE700"/>
      <c r="AF700"/>
      <c r="AG700"/>
    </row>
    <row r="701" spans="17:33">
      <c r="Q701"/>
      <c r="R701"/>
      <c r="S701"/>
      <c r="T701"/>
      <c r="U701"/>
      <c r="V701"/>
      <c r="W701"/>
      <c r="X701"/>
      <c r="Y701"/>
      <c r="Z701"/>
      <c r="AA701"/>
      <c r="AB701"/>
      <c r="AC701"/>
      <c r="AD701"/>
      <c r="AE701"/>
      <c r="AF701"/>
      <c r="AG701"/>
    </row>
    <row r="702" spans="17:33">
      <c r="Q702"/>
      <c r="R702"/>
      <c r="S702"/>
      <c r="T702"/>
      <c r="U702"/>
      <c r="V702"/>
      <c r="W702"/>
      <c r="X702"/>
      <c r="Y702"/>
      <c r="Z702"/>
      <c r="AA702"/>
      <c r="AB702"/>
      <c r="AC702"/>
      <c r="AD702"/>
      <c r="AE702"/>
      <c r="AF702"/>
      <c r="AG702"/>
    </row>
    <row r="703" spans="17:33">
      <c r="Q703"/>
      <c r="R703"/>
      <c r="S703"/>
      <c r="T703"/>
      <c r="U703"/>
      <c r="V703"/>
      <c r="W703"/>
      <c r="X703"/>
      <c r="Y703"/>
      <c r="Z703"/>
      <c r="AA703"/>
      <c r="AB703"/>
      <c r="AC703"/>
      <c r="AD703"/>
      <c r="AE703"/>
      <c r="AF703"/>
      <c r="AG703"/>
    </row>
    <row r="704" spans="17:33">
      <c r="Q704"/>
      <c r="R704"/>
      <c r="S704"/>
      <c r="T704"/>
      <c r="U704"/>
      <c r="V704"/>
      <c r="W704"/>
      <c r="X704"/>
      <c r="Y704"/>
      <c r="Z704"/>
      <c r="AA704"/>
      <c r="AB704"/>
      <c r="AC704"/>
      <c r="AD704"/>
      <c r="AE704"/>
      <c r="AF704"/>
      <c r="AG704"/>
    </row>
    <row r="705" spans="17:33">
      <c r="Q705"/>
      <c r="R705"/>
      <c r="S705"/>
      <c r="T705"/>
      <c r="U705"/>
      <c r="V705"/>
      <c r="W705"/>
      <c r="X705"/>
      <c r="Y705"/>
      <c r="Z705"/>
      <c r="AA705"/>
      <c r="AB705"/>
      <c r="AC705"/>
      <c r="AD705"/>
      <c r="AE705"/>
      <c r="AF705"/>
      <c r="AG705"/>
    </row>
    <row r="706" spans="17:33">
      <c r="Q706"/>
      <c r="R706"/>
      <c r="S706"/>
      <c r="T706"/>
      <c r="U706"/>
      <c r="V706"/>
      <c r="W706"/>
      <c r="X706"/>
      <c r="Y706"/>
      <c r="Z706"/>
      <c r="AA706"/>
      <c r="AB706"/>
      <c r="AC706"/>
      <c r="AD706"/>
      <c r="AE706"/>
      <c r="AF706"/>
      <c r="AG706"/>
    </row>
    <row r="707" spans="17:33">
      <c r="Q707"/>
      <c r="R707"/>
      <c r="S707"/>
      <c r="T707"/>
      <c r="U707"/>
      <c r="V707"/>
      <c r="W707"/>
      <c r="X707"/>
      <c r="Y707"/>
      <c r="Z707"/>
      <c r="AA707"/>
      <c r="AB707"/>
      <c r="AC707"/>
      <c r="AD707"/>
      <c r="AE707"/>
      <c r="AF707"/>
      <c r="AG707"/>
    </row>
    <row r="708" spans="17:33">
      <c r="Q708"/>
      <c r="R708"/>
      <c r="S708"/>
      <c r="T708"/>
      <c r="U708"/>
      <c r="V708"/>
      <c r="W708"/>
      <c r="X708"/>
      <c r="Y708"/>
      <c r="Z708"/>
      <c r="AA708"/>
      <c r="AB708"/>
      <c r="AC708"/>
      <c r="AD708"/>
      <c r="AE708"/>
      <c r="AF708"/>
      <c r="AG708"/>
    </row>
    <row r="709" spans="17:33">
      <c r="Q709"/>
      <c r="R709"/>
      <c r="S709"/>
      <c r="T709"/>
      <c r="U709"/>
      <c r="V709"/>
      <c r="W709"/>
      <c r="X709"/>
      <c r="Y709"/>
      <c r="Z709"/>
      <c r="AA709"/>
      <c r="AB709"/>
      <c r="AC709"/>
      <c r="AD709"/>
      <c r="AE709"/>
      <c r="AF709"/>
      <c r="AG709"/>
    </row>
    <row r="710" spans="17:33">
      <c r="Q710"/>
      <c r="R710"/>
      <c r="S710"/>
      <c r="T710"/>
      <c r="U710"/>
      <c r="V710"/>
      <c r="W710"/>
      <c r="X710"/>
      <c r="Y710"/>
      <c r="Z710"/>
      <c r="AA710"/>
      <c r="AB710"/>
      <c r="AC710"/>
      <c r="AD710"/>
      <c r="AE710"/>
      <c r="AF710"/>
      <c r="AG710"/>
    </row>
    <row r="711" spans="17:33">
      <c r="Q711"/>
      <c r="R711"/>
      <c r="S711"/>
      <c r="T711"/>
      <c r="U711"/>
      <c r="V711"/>
      <c r="W711"/>
      <c r="X711"/>
      <c r="Y711"/>
      <c r="Z711"/>
      <c r="AA711"/>
      <c r="AB711"/>
      <c r="AC711"/>
      <c r="AD711"/>
      <c r="AE711"/>
      <c r="AF711"/>
      <c r="AG711"/>
    </row>
    <row r="712" spans="17:33">
      <c r="Q712"/>
      <c r="R712"/>
      <c r="S712"/>
      <c r="T712"/>
      <c r="U712"/>
      <c r="V712"/>
      <c r="W712"/>
      <c r="X712"/>
      <c r="Y712"/>
      <c r="Z712"/>
      <c r="AA712"/>
      <c r="AB712"/>
      <c r="AC712"/>
      <c r="AD712"/>
      <c r="AE712"/>
      <c r="AF712"/>
      <c r="AG712"/>
    </row>
    <row r="713" spans="17:33">
      <c r="Q713"/>
      <c r="R713"/>
      <c r="S713"/>
      <c r="T713"/>
      <c r="U713"/>
      <c r="V713"/>
      <c r="W713"/>
      <c r="X713"/>
      <c r="Y713"/>
      <c r="Z713"/>
      <c r="AA713"/>
      <c r="AB713"/>
      <c r="AC713"/>
      <c r="AD713"/>
      <c r="AE713"/>
      <c r="AF713"/>
      <c r="AG713"/>
    </row>
    <row r="714" spans="17:33">
      <c r="Q714"/>
      <c r="R714"/>
      <c r="S714"/>
      <c r="T714"/>
      <c r="U714"/>
      <c r="V714"/>
      <c r="W714"/>
      <c r="X714"/>
      <c r="Y714"/>
      <c r="Z714"/>
      <c r="AA714"/>
      <c r="AB714"/>
      <c r="AC714"/>
      <c r="AD714"/>
      <c r="AE714"/>
      <c r="AF714"/>
      <c r="AG714"/>
    </row>
    <row r="715" spans="17:33">
      <c r="Q715"/>
      <c r="R715"/>
      <c r="S715"/>
      <c r="T715"/>
      <c r="U715"/>
      <c r="V715"/>
      <c r="W715"/>
      <c r="X715"/>
      <c r="Y715"/>
      <c r="Z715"/>
      <c r="AA715"/>
      <c r="AB715"/>
      <c r="AC715"/>
      <c r="AD715"/>
      <c r="AE715"/>
      <c r="AF715"/>
      <c r="AG715"/>
    </row>
    <row r="716" spans="17:33">
      <c r="Q716"/>
      <c r="R716"/>
      <c r="S716"/>
      <c r="T716"/>
      <c r="U716"/>
      <c r="V716"/>
      <c r="W716"/>
      <c r="X716"/>
      <c r="Y716"/>
      <c r="Z716"/>
      <c r="AA716"/>
      <c r="AB716"/>
      <c r="AC716"/>
      <c r="AD716"/>
      <c r="AE716"/>
      <c r="AF716"/>
      <c r="AG716"/>
    </row>
    <row r="717" spans="17:33">
      <c r="Q717"/>
      <c r="R717"/>
      <c r="S717"/>
      <c r="T717"/>
      <c r="U717"/>
      <c r="V717"/>
      <c r="W717"/>
      <c r="X717"/>
      <c r="Y717"/>
      <c r="Z717"/>
      <c r="AA717"/>
      <c r="AB717"/>
      <c r="AC717"/>
      <c r="AD717"/>
      <c r="AE717"/>
      <c r="AF717"/>
      <c r="AG717"/>
    </row>
    <row r="718" spans="17:33">
      <c r="Q718"/>
      <c r="R718"/>
      <c r="S718"/>
      <c r="T718"/>
      <c r="U718"/>
      <c r="V718"/>
      <c r="W718"/>
      <c r="X718"/>
      <c r="Y718"/>
      <c r="Z718"/>
      <c r="AA718"/>
      <c r="AB718"/>
      <c r="AC718"/>
      <c r="AD718"/>
      <c r="AE718"/>
      <c r="AF718"/>
      <c r="AG718"/>
    </row>
    <row r="719" spans="17:33">
      <c r="Q719"/>
      <c r="R719"/>
      <c r="S719"/>
      <c r="T719"/>
      <c r="U719"/>
      <c r="V719"/>
      <c r="W719"/>
      <c r="X719"/>
      <c r="Y719"/>
      <c r="Z719"/>
      <c r="AA719"/>
      <c r="AB719"/>
      <c r="AC719"/>
      <c r="AD719"/>
      <c r="AE719"/>
      <c r="AF719"/>
      <c r="AG719"/>
    </row>
    <row r="720" spans="17:33">
      <c r="Q720"/>
      <c r="R720"/>
      <c r="S720"/>
      <c r="T720"/>
      <c r="U720"/>
      <c r="V720"/>
      <c r="W720"/>
      <c r="X720"/>
      <c r="Y720"/>
      <c r="Z720"/>
      <c r="AA720"/>
      <c r="AB720"/>
      <c r="AC720"/>
      <c r="AD720"/>
      <c r="AE720"/>
      <c r="AF720"/>
      <c r="AG720"/>
    </row>
    <row r="721" spans="17:33">
      <c r="Q721"/>
      <c r="R721"/>
      <c r="S721"/>
      <c r="T721"/>
      <c r="U721"/>
      <c r="V721"/>
      <c r="W721"/>
      <c r="X721"/>
      <c r="Y721"/>
      <c r="Z721"/>
      <c r="AA721"/>
      <c r="AB721"/>
      <c r="AC721"/>
      <c r="AD721"/>
      <c r="AE721"/>
      <c r="AF721"/>
      <c r="AG721"/>
    </row>
    <row r="722" spans="17:33">
      <c r="Q722"/>
      <c r="R722"/>
      <c r="S722"/>
      <c r="T722"/>
      <c r="U722"/>
      <c r="V722"/>
      <c r="W722"/>
      <c r="X722"/>
      <c r="Y722"/>
      <c r="Z722"/>
      <c r="AA722"/>
      <c r="AB722"/>
      <c r="AC722"/>
      <c r="AD722"/>
      <c r="AE722"/>
      <c r="AF722"/>
      <c r="AG722"/>
    </row>
    <row r="723" spans="17:33">
      <c r="Q723"/>
      <c r="R723"/>
      <c r="S723"/>
      <c r="T723"/>
      <c r="U723"/>
      <c r="V723"/>
      <c r="W723"/>
      <c r="X723"/>
      <c r="Y723"/>
      <c r="Z723"/>
      <c r="AA723"/>
      <c r="AB723"/>
      <c r="AC723"/>
      <c r="AD723"/>
      <c r="AE723"/>
      <c r="AF723"/>
      <c r="AG723"/>
    </row>
    <row r="724" spans="17:33">
      <c r="Q724"/>
      <c r="R724"/>
      <c r="S724"/>
      <c r="T724"/>
      <c r="U724"/>
      <c r="V724"/>
      <c r="W724"/>
      <c r="X724"/>
      <c r="Y724"/>
      <c r="Z724"/>
      <c r="AA724"/>
      <c r="AB724"/>
      <c r="AC724"/>
      <c r="AD724"/>
      <c r="AE724"/>
      <c r="AF724"/>
      <c r="AG724"/>
    </row>
    <row r="725" spans="17:33">
      <c r="Q725"/>
      <c r="R725"/>
      <c r="S725"/>
      <c r="T725"/>
      <c r="U725"/>
      <c r="V725"/>
      <c r="W725"/>
      <c r="X725"/>
      <c r="Y725"/>
      <c r="Z725"/>
      <c r="AA725"/>
      <c r="AB725"/>
      <c r="AC725"/>
      <c r="AD725"/>
      <c r="AE725"/>
      <c r="AF725"/>
      <c r="AG725"/>
    </row>
    <row r="726" spans="17:33">
      <c r="Q726"/>
      <c r="R726"/>
      <c r="S726"/>
      <c r="T726"/>
      <c r="U726"/>
      <c r="V726"/>
      <c r="W726"/>
      <c r="X726"/>
      <c r="Y726"/>
      <c r="Z726"/>
      <c r="AA726"/>
      <c r="AB726"/>
      <c r="AC726"/>
      <c r="AD726"/>
      <c r="AE726"/>
      <c r="AF726"/>
      <c r="AG726"/>
    </row>
    <row r="727" spans="17:33">
      <c r="Q727"/>
      <c r="R727"/>
      <c r="S727"/>
      <c r="T727"/>
      <c r="U727"/>
      <c r="V727"/>
      <c r="W727"/>
      <c r="X727"/>
      <c r="Y727"/>
      <c r="Z727"/>
      <c r="AA727"/>
      <c r="AB727"/>
      <c r="AC727"/>
      <c r="AD727"/>
      <c r="AE727"/>
      <c r="AF727"/>
      <c r="AG727"/>
    </row>
    <row r="728" spans="17:33">
      <c r="Q728"/>
      <c r="R728"/>
      <c r="S728"/>
      <c r="T728"/>
      <c r="U728"/>
      <c r="V728"/>
      <c r="W728"/>
      <c r="X728"/>
      <c r="Y728"/>
      <c r="Z728"/>
      <c r="AA728"/>
      <c r="AB728"/>
      <c r="AC728"/>
      <c r="AD728"/>
      <c r="AE728"/>
      <c r="AF728"/>
      <c r="AG728"/>
    </row>
    <row r="729" spans="17:33">
      <c r="Q729"/>
      <c r="R729"/>
      <c r="S729"/>
      <c r="T729"/>
      <c r="U729"/>
      <c r="V729"/>
      <c r="W729"/>
      <c r="X729"/>
      <c r="Y729"/>
      <c r="Z729"/>
      <c r="AA729"/>
      <c r="AB729"/>
      <c r="AC729"/>
      <c r="AD729"/>
      <c r="AE729"/>
      <c r="AF729"/>
      <c r="AG729"/>
    </row>
    <row r="730" spans="17:33">
      <c r="Q730"/>
      <c r="R730"/>
      <c r="S730"/>
      <c r="T730"/>
      <c r="U730"/>
      <c r="V730"/>
      <c r="W730"/>
      <c r="X730"/>
      <c r="Y730"/>
      <c r="Z730"/>
      <c r="AA730"/>
      <c r="AB730"/>
      <c r="AC730"/>
      <c r="AD730"/>
      <c r="AE730"/>
      <c r="AF730"/>
      <c r="AG730"/>
    </row>
    <row r="731" spans="17:33">
      <c r="Q731"/>
      <c r="R731"/>
      <c r="S731"/>
      <c r="T731"/>
      <c r="U731"/>
      <c r="V731"/>
      <c r="W731"/>
      <c r="X731"/>
      <c r="Y731"/>
      <c r="Z731"/>
      <c r="AA731"/>
      <c r="AB731"/>
      <c r="AC731"/>
      <c r="AD731"/>
      <c r="AE731"/>
      <c r="AF731"/>
      <c r="AG731"/>
    </row>
    <row r="732" spans="17:33">
      <c r="Q732"/>
      <c r="R732"/>
      <c r="S732"/>
      <c r="T732"/>
      <c r="U732"/>
      <c r="V732"/>
      <c r="W732"/>
      <c r="X732"/>
      <c r="Y732"/>
      <c r="Z732"/>
      <c r="AA732"/>
      <c r="AB732"/>
      <c r="AC732"/>
      <c r="AD732"/>
      <c r="AE732"/>
      <c r="AF732"/>
      <c r="AG732"/>
    </row>
    <row r="733" spans="17:33">
      <c r="Q733"/>
      <c r="R733"/>
      <c r="S733"/>
      <c r="T733"/>
      <c r="U733"/>
      <c r="V733"/>
      <c r="W733"/>
      <c r="X733"/>
      <c r="Y733"/>
      <c r="Z733"/>
      <c r="AA733"/>
      <c r="AB733"/>
      <c r="AC733"/>
      <c r="AD733"/>
      <c r="AE733"/>
      <c r="AF733"/>
      <c r="AG733"/>
    </row>
    <row r="734" spans="17:33">
      <c r="Q734"/>
      <c r="R734"/>
      <c r="S734"/>
      <c r="T734"/>
      <c r="U734"/>
      <c r="V734"/>
      <c r="W734"/>
      <c r="X734"/>
      <c r="Y734"/>
      <c r="Z734"/>
      <c r="AA734"/>
      <c r="AB734"/>
      <c r="AC734"/>
      <c r="AD734"/>
      <c r="AE734"/>
      <c r="AF734"/>
      <c r="AG734"/>
    </row>
    <row r="735" spans="17:33">
      <c r="Q735"/>
      <c r="R735"/>
      <c r="S735"/>
      <c r="T735"/>
      <c r="U735"/>
      <c r="V735"/>
      <c r="W735"/>
      <c r="X735"/>
      <c r="Y735"/>
      <c r="Z735"/>
      <c r="AA735"/>
      <c r="AB735"/>
      <c r="AC735"/>
      <c r="AD735"/>
      <c r="AE735"/>
      <c r="AF735"/>
      <c r="AG735"/>
    </row>
    <row r="736" spans="17:33">
      <c r="Q736"/>
      <c r="R736"/>
      <c r="S736"/>
      <c r="T736"/>
      <c r="U736"/>
      <c r="V736"/>
      <c r="W736"/>
      <c r="X736"/>
      <c r="Y736"/>
      <c r="Z736"/>
      <c r="AA736"/>
      <c r="AB736"/>
      <c r="AC736"/>
      <c r="AD736"/>
      <c r="AE736"/>
      <c r="AF736"/>
      <c r="AG736"/>
    </row>
    <row r="737" spans="17:33">
      <c r="Q737"/>
      <c r="R737"/>
      <c r="S737"/>
      <c r="T737"/>
      <c r="U737"/>
      <c r="V737"/>
      <c r="W737"/>
      <c r="X737"/>
      <c r="Y737"/>
      <c r="Z737"/>
      <c r="AA737"/>
      <c r="AB737"/>
      <c r="AC737"/>
      <c r="AD737"/>
      <c r="AE737"/>
      <c r="AF737"/>
      <c r="AG737"/>
    </row>
    <row r="738" spans="17:33">
      <c r="Q738"/>
      <c r="R738"/>
      <c r="S738"/>
      <c r="T738"/>
      <c r="U738"/>
      <c r="V738"/>
      <c r="W738"/>
      <c r="X738"/>
      <c r="Y738"/>
      <c r="Z738"/>
      <c r="AA738"/>
      <c r="AB738"/>
      <c r="AC738"/>
      <c r="AD738"/>
      <c r="AE738"/>
      <c r="AF738"/>
      <c r="AG738"/>
    </row>
    <row r="739" spans="17:33">
      <c r="Q739"/>
      <c r="R739"/>
      <c r="S739"/>
      <c r="T739"/>
      <c r="U739"/>
      <c r="V739"/>
      <c r="W739"/>
      <c r="X739"/>
      <c r="Y739"/>
      <c r="Z739"/>
      <c r="AA739"/>
      <c r="AB739"/>
      <c r="AC739"/>
      <c r="AD739"/>
      <c r="AE739"/>
      <c r="AF739"/>
      <c r="AG739"/>
    </row>
    <row r="740" spans="17:33">
      <c r="Q740"/>
      <c r="R740"/>
      <c r="S740"/>
      <c r="T740"/>
      <c r="U740"/>
      <c r="V740"/>
      <c r="W740"/>
      <c r="X740"/>
      <c r="Y740"/>
      <c r="Z740"/>
      <c r="AA740"/>
      <c r="AB740"/>
      <c r="AC740"/>
      <c r="AD740"/>
      <c r="AE740"/>
      <c r="AF740"/>
      <c r="AG740"/>
    </row>
    <row r="741" spans="17:33">
      <c r="Q741"/>
      <c r="R741"/>
      <c r="S741"/>
      <c r="T741"/>
      <c r="U741"/>
      <c r="V741"/>
      <c r="W741"/>
      <c r="X741"/>
      <c r="Y741"/>
      <c r="Z741"/>
      <c r="AA741"/>
      <c r="AB741"/>
      <c r="AC741"/>
      <c r="AD741"/>
      <c r="AE741"/>
      <c r="AF741"/>
      <c r="AG741"/>
    </row>
    <row r="742" spans="17:33">
      <c r="Q742"/>
      <c r="R742"/>
      <c r="S742"/>
      <c r="T742"/>
      <c r="U742"/>
      <c r="V742"/>
      <c r="W742"/>
      <c r="X742"/>
      <c r="Y742"/>
      <c r="Z742"/>
      <c r="AA742"/>
      <c r="AB742"/>
      <c r="AC742"/>
      <c r="AD742"/>
      <c r="AE742"/>
      <c r="AF742"/>
      <c r="AG742"/>
    </row>
    <row r="743" spans="17:33">
      <c r="Q743"/>
      <c r="R743"/>
      <c r="S743"/>
      <c r="T743"/>
      <c r="U743"/>
      <c r="V743"/>
      <c r="W743"/>
      <c r="X743"/>
      <c r="Y743"/>
      <c r="Z743"/>
      <c r="AA743"/>
      <c r="AB743"/>
      <c r="AC743"/>
      <c r="AD743"/>
      <c r="AE743"/>
      <c r="AF743"/>
      <c r="AG743"/>
    </row>
    <row r="744" spans="17:33">
      <c r="Q744"/>
      <c r="R744"/>
      <c r="S744"/>
      <c r="T744"/>
      <c r="U744"/>
      <c r="V744"/>
      <c r="W744"/>
      <c r="X744"/>
      <c r="Y744"/>
      <c r="Z744"/>
      <c r="AA744"/>
      <c r="AB744"/>
      <c r="AC744"/>
      <c r="AD744"/>
      <c r="AE744"/>
      <c r="AF744"/>
      <c r="AG744"/>
    </row>
    <row r="745" spans="17:33">
      <c r="Q745"/>
      <c r="R745"/>
      <c r="S745"/>
      <c r="T745"/>
      <c r="U745"/>
      <c r="V745"/>
      <c r="W745"/>
      <c r="X745"/>
      <c r="Y745"/>
      <c r="Z745"/>
      <c r="AA745"/>
      <c r="AB745"/>
      <c r="AC745"/>
      <c r="AD745"/>
      <c r="AE745"/>
      <c r="AF745"/>
      <c r="AG745"/>
    </row>
    <row r="746" spans="17:33">
      <c r="Q746"/>
      <c r="R746"/>
      <c r="S746"/>
      <c r="T746"/>
      <c r="U746"/>
      <c r="V746"/>
      <c r="W746"/>
      <c r="X746"/>
      <c r="Y746"/>
      <c r="Z746"/>
      <c r="AA746"/>
      <c r="AB746"/>
      <c r="AC746"/>
      <c r="AD746"/>
      <c r="AE746"/>
      <c r="AF746"/>
      <c r="AG746"/>
    </row>
    <row r="747" spans="17:33">
      <c r="Q747"/>
      <c r="R747"/>
      <c r="S747"/>
      <c r="T747"/>
      <c r="U747"/>
      <c r="V747"/>
      <c r="W747"/>
      <c r="X747"/>
      <c r="Y747"/>
      <c r="Z747"/>
      <c r="AA747"/>
      <c r="AB747"/>
      <c r="AC747"/>
      <c r="AD747"/>
      <c r="AE747"/>
      <c r="AF747"/>
      <c r="AG747"/>
    </row>
    <row r="748" spans="17:33">
      <c r="Q748"/>
      <c r="R748"/>
      <c r="S748"/>
      <c r="T748"/>
      <c r="U748"/>
      <c r="V748"/>
      <c r="W748"/>
      <c r="X748"/>
      <c r="Y748"/>
      <c r="Z748"/>
      <c r="AA748"/>
      <c r="AB748"/>
      <c r="AC748"/>
      <c r="AD748"/>
      <c r="AE748"/>
      <c r="AF748"/>
      <c r="AG748"/>
    </row>
    <row r="749" spans="17:33">
      <c r="Q749"/>
      <c r="R749"/>
      <c r="S749"/>
      <c r="T749"/>
      <c r="U749"/>
      <c r="V749"/>
      <c r="W749"/>
      <c r="X749"/>
      <c r="Y749"/>
      <c r="Z749"/>
      <c r="AA749"/>
      <c r="AB749"/>
      <c r="AC749"/>
      <c r="AD749"/>
      <c r="AE749"/>
      <c r="AF749"/>
      <c r="AG749"/>
    </row>
    <row r="750" spans="17:33">
      <c r="Q750"/>
      <c r="R750"/>
      <c r="S750"/>
      <c r="T750"/>
      <c r="U750"/>
      <c r="V750"/>
      <c r="W750"/>
      <c r="X750"/>
      <c r="Y750"/>
      <c r="Z750"/>
      <c r="AA750"/>
      <c r="AB750"/>
      <c r="AC750"/>
      <c r="AD750"/>
      <c r="AE750"/>
      <c r="AF750"/>
      <c r="AG750"/>
    </row>
    <row r="751" spans="17:33">
      <c r="Q751"/>
      <c r="R751"/>
      <c r="S751"/>
      <c r="T751"/>
      <c r="U751"/>
      <c r="V751"/>
      <c r="W751"/>
      <c r="X751"/>
      <c r="Y751"/>
      <c r="Z751"/>
      <c r="AA751"/>
      <c r="AB751"/>
      <c r="AC751"/>
      <c r="AD751"/>
      <c r="AE751"/>
      <c r="AF751"/>
      <c r="AG751"/>
    </row>
    <row r="752" spans="17:33">
      <c r="Q752"/>
      <c r="R752"/>
      <c r="S752"/>
      <c r="T752"/>
      <c r="U752"/>
      <c r="V752"/>
      <c r="W752"/>
      <c r="X752"/>
      <c r="Y752"/>
      <c r="Z752"/>
      <c r="AA752"/>
      <c r="AB752"/>
      <c r="AC752"/>
      <c r="AD752"/>
      <c r="AE752"/>
      <c r="AF752"/>
      <c r="AG752"/>
    </row>
    <row r="753" spans="17:33">
      <c r="Q753"/>
      <c r="R753"/>
      <c r="S753"/>
      <c r="T753"/>
      <c r="U753"/>
      <c r="V753"/>
      <c r="W753"/>
      <c r="X753"/>
      <c r="Y753"/>
      <c r="Z753"/>
      <c r="AA753"/>
      <c r="AB753"/>
      <c r="AC753"/>
      <c r="AD753"/>
      <c r="AE753"/>
      <c r="AF753"/>
      <c r="AG753"/>
    </row>
    <row r="754" spans="17:33">
      <c r="Q754"/>
      <c r="R754"/>
      <c r="S754"/>
      <c r="T754"/>
      <c r="U754"/>
      <c r="V754"/>
      <c r="W754"/>
      <c r="X754"/>
      <c r="Y754"/>
      <c r="Z754"/>
      <c r="AA754"/>
      <c r="AB754"/>
      <c r="AC754"/>
      <c r="AD754"/>
      <c r="AE754"/>
      <c r="AF754"/>
      <c r="AG754"/>
    </row>
    <row r="755" spans="17:33">
      <c r="Q755"/>
      <c r="R755"/>
      <c r="S755"/>
      <c r="T755"/>
      <c r="U755"/>
      <c r="V755"/>
      <c r="W755"/>
      <c r="X755"/>
      <c r="Y755"/>
      <c r="Z755"/>
      <c r="AA755"/>
      <c r="AB755"/>
      <c r="AC755"/>
      <c r="AD755"/>
      <c r="AE755"/>
      <c r="AF755"/>
      <c r="AG755"/>
    </row>
    <row r="756" spans="17:33">
      <c r="Q756"/>
      <c r="R756"/>
      <c r="S756"/>
      <c r="T756"/>
      <c r="U756"/>
      <c r="V756"/>
      <c r="W756"/>
      <c r="X756"/>
      <c r="Y756"/>
      <c r="Z756"/>
      <c r="AA756"/>
      <c r="AB756"/>
      <c r="AC756"/>
      <c r="AD756"/>
      <c r="AE756"/>
      <c r="AF756"/>
      <c r="AG756"/>
    </row>
    <row r="757" spans="17:33">
      <c r="Q757"/>
      <c r="R757"/>
      <c r="S757"/>
      <c r="T757"/>
      <c r="U757"/>
      <c r="V757"/>
      <c r="W757"/>
      <c r="X757"/>
      <c r="Y757"/>
      <c r="Z757"/>
      <c r="AA757"/>
      <c r="AB757"/>
      <c r="AC757"/>
      <c r="AD757"/>
      <c r="AE757"/>
      <c r="AF757"/>
      <c r="AG757"/>
    </row>
    <row r="758" spans="17:33">
      <c r="Q758"/>
      <c r="R758"/>
      <c r="S758"/>
      <c r="T758"/>
      <c r="U758"/>
      <c r="V758"/>
      <c r="W758"/>
      <c r="X758"/>
      <c r="Y758"/>
      <c r="Z758"/>
      <c r="AA758"/>
      <c r="AB758"/>
      <c r="AC758"/>
      <c r="AD758"/>
      <c r="AE758"/>
      <c r="AF758"/>
      <c r="AG758"/>
    </row>
    <row r="759" spans="17:33">
      <c r="Q759"/>
      <c r="R759"/>
      <c r="S759"/>
      <c r="T759"/>
      <c r="U759"/>
      <c r="V759"/>
      <c r="W759"/>
      <c r="X759"/>
      <c r="Y759"/>
      <c r="Z759"/>
      <c r="AA759"/>
      <c r="AB759"/>
      <c r="AC759"/>
      <c r="AD759"/>
      <c r="AE759"/>
      <c r="AF759"/>
      <c r="AG759"/>
    </row>
    <row r="760" spans="17:33">
      <c r="Q760"/>
      <c r="R760"/>
      <c r="S760"/>
      <c r="T760"/>
      <c r="U760"/>
      <c r="V760"/>
      <c r="W760"/>
      <c r="X760"/>
      <c r="Y760"/>
      <c r="Z760"/>
      <c r="AA760"/>
      <c r="AB760"/>
      <c r="AC760"/>
      <c r="AD760"/>
      <c r="AE760"/>
      <c r="AF760"/>
      <c r="AG760"/>
    </row>
    <row r="761" spans="17:33">
      <c r="Q761"/>
      <c r="R761"/>
      <c r="S761"/>
      <c r="T761"/>
      <c r="U761"/>
      <c r="V761"/>
      <c r="W761"/>
      <c r="X761"/>
      <c r="Y761"/>
      <c r="Z761"/>
      <c r="AA761"/>
      <c r="AB761"/>
      <c r="AC761"/>
      <c r="AD761"/>
      <c r="AE761"/>
      <c r="AF761"/>
      <c r="AG761"/>
    </row>
    <row r="762" spans="17:33">
      <c r="Q762"/>
      <c r="R762"/>
      <c r="S762"/>
      <c r="T762"/>
      <c r="U762"/>
      <c r="V762"/>
      <c r="W762"/>
      <c r="X762"/>
      <c r="Y762"/>
      <c r="Z762"/>
      <c r="AA762"/>
      <c r="AB762"/>
      <c r="AC762"/>
      <c r="AD762"/>
      <c r="AE762"/>
      <c r="AF762"/>
      <c r="AG762"/>
    </row>
    <row r="763" spans="17:33">
      <c r="Q763"/>
      <c r="R763"/>
      <c r="S763"/>
      <c r="T763"/>
      <c r="U763"/>
      <c r="V763"/>
      <c r="W763"/>
      <c r="X763"/>
      <c r="Y763"/>
      <c r="Z763"/>
      <c r="AA763"/>
      <c r="AB763"/>
      <c r="AC763"/>
      <c r="AD763"/>
      <c r="AE763"/>
      <c r="AF763"/>
      <c r="AG763"/>
    </row>
    <row r="764" spans="17:33">
      <c r="Q764"/>
      <c r="R764"/>
      <c r="S764"/>
      <c r="T764"/>
      <c r="U764"/>
      <c r="V764"/>
      <c r="W764"/>
      <c r="X764"/>
      <c r="Y764"/>
      <c r="Z764"/>
      <c r="AA764"/>
      <c r="AB764"/>
      <c r="AC764"/>
      <c r="AD764"/>
      <c r="AE764"/>
      <c r="AF764"/>
      <c r="AG764"/>
    </row>
    <row r="765" spans="17:33">
      <c r="Q765"/>
      <c r="R765"/>
      <c r="S765"/>
      <c r="T765"/>
      <c r="U765"/>
      <c r="V765"/>
      <c r="W765"/>
      <c r="X765"/>
      <c r="Y765"/>
      <c r="Z765"/>
      <c r="AA765"/>
      <c r="AB765"/>
      <c r="AC765"/>
      <c r="AD765"/>
      <c r="AE765"/>
      <c r="AF765"/>
      <c r="AG765"/>
    </row>
    <row r="766" spans="17:33">
      <c r="Q766"/>
      <c r="R766"/>
      <c r="S766"/>
      <c r="T766"/>
      <c r="U766"/>
      <c r="V766"/>
      <c r="W766"/>
      <c r="X766"/>
      <c r="Y766"/>
      <c r="Z766"/>
      <c r="AA766"/>
      <c r="AB766"/>
      <c r="AC766"/>
      <c r="AD766"/>
      <c r="AE766"/>
      <c r="AF766"/>
      <c r="AG766"/>
    </row>
    <row r="767" spans="17:33">
      <c r="Q767"/>
      <c r="R767"/>
      <c r="S767"/>
      <c r="T767"/>
      <c r="U767"/>
      <c r="V767"/>
      <c r="W767"/>
      <c r="X767"/>
      <c r="Y767"/>
      <c r="Z767"/>
      <c r="AA767"/>
      <c r="AB767"/>
      <c r="AC767"/>
      <c r="AD767"/>
      <c r="AE767"/>
      <c r="AF767"/>
      <c r="AG767"/>
    </row>
    <row r="768" spans="17:33">
      <c r="Q768"/>
      <c r="R768"/>
      <c r="S768"/>
      <c r="T768"/>
      <c r="U768"/>
      <c r="V768"/>
      <c r="W768"/>
      <c r="X768"/>
      <c r="Y768"/>
      <c r="Z768"/>
      <c r="AA768"/>
      <c r="AB768"/>
      <c r="AC768"/>
      <c r="AD768"/>
      <c r="AE768"/>
      <c r="AF768"/>
      <c r="AG768"/>
    </row>
    <row r="769" spans="17:33">
      <c r="Q769"/>
      <c r="R769"/>
      <c r="S769"/>
      <c r="T769"/>
      <c r="U769"/>
      <c r="V769"/>
      <c r="W769"/>
      <c r="X769"/>
      <c r="Y769"/>
      <c r="Z769"/>
      <c r="AA769"/>
      <c r="AB769"/>
      <c r="AC769"/>
      <c r="AD769"/>
      <c r="AE769"/>
      <c r="AF769"/>
      <c r="AG769"/>
    </row>
    <row r="770" spans="17:33">
      <c r="Q770"/>
      <c r="R770"/>
      <c r="S770"/>
      <c r="T770"/>
      <c r="U770"/>
      <c r="V770"/>
      <c r="W770"/>
      <c r="X770"/>
      <c r="Y770"/>
      <c r="Z770"/>
      <c r="AA770"/>
      <c r="AB770"/>
      <c r="AC770"/>
      <c r="AD770"/>
      <c r="AE770"/>
      <c r="AF770"/>
      <c r="AG770"/>
    </row>
    <row r="771" spans="17:33">
      <c r="Q771"/>
      <c r="R771"/>
      <c r="S771"/>
      <c r="T771"/>
      <c r="U771"/>
      <c r="V771"/>
      <c r="W771"/>
      <c r="X771"/>
      <c r="Y771"/>
      <c r="Z771"/>
      <c r="AA771"/>
      <c r="AB771"/>
      <c r="AC771"/>
      <c r="AD771"/>
      <c r="AE771"/>
      <c r="AF771"/>
      <c r="AG771"/>
    </row>
    <row r="772" spans="17:33">
      <c r="Q772"/>
      <c r="R772"/>
      <c r="S772"/>
      <c r="T772"/>
      <c r="U772"/>
      <c r="V772"/>
      <c r="W772"/>
      <c r="X772"/>
      <c r="Y772"/>
      <c r="Z772"/>
      <c r="AA772"/>
      <c r="AB772"/>
      <c r="AC772"/>
      <c r="AD772"/>
      <c r="AE772"/>
      <c r="AF772"/>
      <c r="AG772"/>
    </row>
    <row r="773" spans="17:33">
      <c r="Q773"/>
      <c r="R773"/>
      <c r="S773"/>
      <c r="T773"/>
      <c r="U773"/>
      <c r="V773"/>
      <c r="W773"/>
      <c r="X773"/>
      <c r="Y773"/>
      <c r="Z773"/>
      <c r="AA773"/>
      <c r="AB773"/>
      <c r="AC773"/>
      <c r="AD773"/>
      <c r="AE773"/>
      <c r="AF773"/>
      <c r="AG773"/>
    </row>
    <row r="774" spans="17:33">
      <c r="Q774"/>
      <c r="R774"/>
      <c r="S774"/>
      <c r="T774"/>
      <c r="U774"/>
      <c r="V774"/>
      <c r="W774"/>
      <c r="X774"/>
      <c r="Y774"/>
      <c r="Z774"/>
      <c r="AA774"/>
      <c r="AB774"/>
      <c r="AC774"/>
      <c r="AD774"/>
      <c r="AE774"/>
      <c r="AF774"/>
      <c r="AG774"/>
    </row>
    <row r="775" spans="17:33">
      <c r="Q775"/>
      <c r="R775"/>
      <c r="S775"/>
      <c r="T775"/>
      <c r="U775"/>
      <c r="V775"/>
      <c r="W775"/>
      <c r="X775"/>
      <c r="Y775"/>
      <c r="Z775"/>
      <c r="AA775"/>
      <c r="AB775"/>
      <c r="AC775"/>
      <c r="AD775"/>
      <c r="AE775"/>
      <c r="AF775"/>
      <c r="AG775"/>
    </row>
    <row r="776" spans="17:33">
      <c r="Q776"/>
      <c r="R776"/>
      <c r="S776"/>
      <c r="T776"/>
      <c r="U776"/>
      <c r="V776"/>
      <c r="W776"/>
      <c r="X776"/>
      <c r="Y776"/>
      <c r="Z776"/>
      <c r="AA776"/>
      <c r="AB776"/>
      <c r="AC776"/>
      <c r="AD776"/>
      <c r="AE776"/>
      <c r="AF776"/>
      <c r="AG776"/>
    </row>
    <row r="777" spans="17:33">
      <c r="Q777"/>
      <c r="R777"/>
      <c r="S777"/>
      <c r="T777"/>
      <c r="U777"/>
      <c r="V777"/>
      <c r="W777"/>
      <c r="X777"/>
      <c r="Y777"/>
      <c r="Z777"/>
      <c r="AA777"/>
      <c r="AB777"/>
      <c r="AC777"/>
      <c r="AD777"/>
      <c r="AE777"/>
      <c r="AF777"/>
      <c r="AG777"/>
    </row>
    <row r="778" spans="17:33">
      <c r="Q778"/>
      <c r="R778"/>
      <c r="S778"/>
      <c r="T778"/>
      <c r="U778"/>
      <c r="V778"/>
      <c r="W778"/>
      <c r="X778"/>
      <c r="Y778"/>
      <c r="Z778"/>
      <c r="AA778"/>
      <c r="AB778"/>
      <c r="AC778"/>
      <c r="AD778"/>
      <c r="AE778"/>
      <c r="AF778"/>
      <c r="AG778"/>
    </row>
    <row r="779" spans="17:33">
      <c r="Q779"/>
      <c r="R779"/>
      <c r="S779"/>
      <c r="T779"/>
      <c r="U779"/>
      <c r="V779"/>
      <c r="W779"/>
      <c r="X779"/>
      <c r="Y779"/>
      <c r="Z779"/>
      <c r="AA779"/>
      <c r="AB779"/>
      <c r="AC779"/>
      <c r="AD779"/>
      <c r="AE779"/>
      <c r="AF779"/>
      <c r="AG779"/>
    </row>
    <row r="780" spans="17:33">
      <c r="Q780"/>
      <c r="R780"/>
      <c r="S780"/>
      <c r="T780"/>
      <c r="U780"/>
      <c r="V780"/>
      <c r="W780"/>
      <c r="X780"/>
      <c r="Y780"/>
      <c r="Z780"/>
      <c r="AA780"/>
      <c r="AB780"/>
      <c r="AC780"/>
      <c r="AD780"/>
      <c r="AE780"/>
      <c r="AF780"/>
      <c r="AG780"/>
    </row>
    <row r="781" spans="17:33">
      <c r="Q781"/>
      <c r="R781"/>
      <c r="S781"/>
      <c r="T781"/>
      <c r="U781"/>
      <c r="V781"/>
      <c r="W781"/>
      <c r="X781"/>
      <c r="Y781"/>
      <c r="Z781"/>
      <c r="AA781"/>
      <c r="AB781"/>
      <c r="AC781"/>
      <c r="AD781"/>
      <c r="AE781"/>
      <c r="AF781"/>
      <c r="AG781"/>
    </row>
    <row r="782" spans="17:33">
      <c r="Q782"/>
      <c r="R782"/>
      <c r="S782"/>
      <c r="T782"/>
      <c r="U782"/>
      <c r="V782"/>
      <c r="W782"/>
      <c r="X782"/>
      <c r="Y782"/>
      <c r="Z782"/>
      <c r="AA782"/>
      <c r="AB782"/>
      <c r="AC782"/>
      <c r="AD782"/>
      <c r="AE782"/>
      <c r="AF782"/>
      <c r="AG782"/>
    </row>
    <row r="783" spans="17:33">
      <c r="Q783"/>
      <c r="R783"/>
      <c r="S783"/>
      <c r="T783"/>
      <c r="U783"/>
      <c r="V783"/>
      <c r="W783"/>
      <c r="X783"/>
      <c r="Y783"/>
      <c r="Z783"/>
      <c r="AA783"/>
      <c r="AB783"/>
      <c r="AC783"/>
      <c r="AD783"/>
      <c r="AE783"/>
      <c r="AF783"/>
      <c r="AG783"/>
    </row>
    <row r="784" spans="17:33">
      <c r="Q784"/>
      <c r="R784"/>
      <c r="S784"/>
      <c r="T784"/>
      <c r="U784"/>
      <c r="V784"/>
      <c r="W784"/>
      <c r="X784"/>
      <c r="Y784"/>
      <c r="Z784"/>
      <c r="AA784"/>
      <c r="AB784"/>
      <c r="AC784"/>
      <c r="AD784"/>
      <c r="AE784"/>
      <c r="AF784"/>
      <c r="AG784"/>
    </row>
    <row r="785" spans="17:33">
      <c r="Q785"/>
      <c r="R785"/>
      <c r="S785"/>
      <c r="T785"/>
      <c r="U785"/>
      <c r="V785"/>
      <c r="W785"/>
      <c r="X785"/>
      <c r="Y785"/>
      <c r="Z785"/>
      <c r="AA785"/>
      <c r="AB785"/>
      <c r="AC785"/>
      <c r="AD785"/>
      <c r="AE785"/>
      <c r="AF785"/>
      <c r="AG785"/>
    </row>
    <row r="786" spans="17:33">
      <c r="Q786"/>
      <c r="R786"/>
      <c r="S786"/>
      <c r="T786"/>
      <c r="U786"/>
      <c r="V786"/>
      <c r="W786"/>
      <c r="X786"/>
      <c r="Y786"/>
      <c r="Z786"/>
      <c r="AA786"/>
      <c r="AB786"/>
      <c r="AC786"/>
      <c r="AD786"/>
      <c r="AE786"/>
      <c r="AF786"/>
      <c r="AG786"/>
    </row>
    <row r="787" spans="17:33">
      <c r="Q787"/>
      <c r="R787"/>
      <c r="S787"/>
      <c r="T787"/>
      <c r="U787"/>
      <c r="V787"/>
      <c r="W787"/>
      <c r="X787"/>
      <c r="Y787"/>
      <c r="Z787"/>
      <c r="AA787"/>
      <c r="AB787"/>
      <c r="AC787"/>
      <c r="AD787"/>
      <c r="AE787"/>
      <c r="AF787"/>
      <c r="AG787"/>
    </row>
    <row r="788" spans="17:33">
      <c r="Q788"/>
      <c r="R788"/>
      <c r="S788"/>
      <c r="T788"/>
      <c r="U788"/>
      <c r="V788"/>
      <c r="W788"/>
      <c r="X788"/>
      <c r="Y788"/>
      <c r="Z788"/>
      <c r="AA788"/>
      <c r="AB788"/>
      <c r="AC788"/>
      <c r="AD788"/>
      <c r="AE788"/>
      <c r="AF788"/>
      <c r="AG788"/>
    </row>
    <row r="789" spans="17:33">
      <c r="Q789"/>
      <c r="R789"/>
      <c r="S789"/>
      <c r="T789"/>
      <c r="U789"/>
      <c r="V789"/>
      <c r="W789"/>
      <c r="X789"/>
      <c r="Y789"/>
      <c r="Z789"/>
      <c r="AA789"/>
      <c r="AB789"/>
      <c r="AC789"/>
      <c r="AD789"/>
      <c r="AE789"/>
      <c r="AF789"/>
      <c r="AG789"/>
    </row>
    <row r="790" spans="17:33">
      <c r="Q790"/>
      <c r="R790"/>
      <c r="S790"/>
      <c r="T790"/>
      <c r="U790"/>
      <c r="V790"/>
      <c r="W790"/>
      <c r="X790"/>
      <c r="Y790"/>
      <c r="Z790"/>
      <c r="AA790"/>
      <c r="AB790"/>
      <c r="AC790"/>
      <c r="AD790"/>
      <c r="AE790"/>
      <c r="AF790"/>
      <c r="AG790"/>
    </row>
    <row r="791" spans="17:33">
      <c r="Q791"/>
      <c r="R791"/>
      <c r="S791"/>
      <c r="T791"/>
      <c r="U791"/>
      <c r="V791"/>
      <c r="W791"/>
      <c r="X791"/>
      <c r="Y791"/>
      <c r="Z791"/>
      <c r="AA791"/>
      <c r="AB791"/>
      <c r="AC791"/>
      <c r="AD791"/>
      <c r="AE791"/>
      <c r="AF791"/>
      <c r="AG791"/>
    </row>
    <row r="792" spans="17:33">
      <c r="Q792"/>
      <c r="R792"/>
      <c r="S792"/>
      <c r="T792"/>
      <c r="U792"/>
      <c r="V792"/>
      <c r="W792"/>
      <c r="X792"/>
      <c r="Y792"/>
      <c r="Z792"/>
      <c r="AA792"/>
      <c r="AB792"/>
      <c r="AC792"/>
      <c r="AD792"/>
      <c r="AE792"/>
      <c r="AF792"/>
      <c r="AG792"/>
    </row>
    <row r="793" spans="17:33">
      <c r="Q793"/>
      <c r="R793"/>
      <c r="S793"/>
      <c r="T793"/>
      <c r="U793"/>
      <c r="V793"/>
      <c r="W793"/>
      <c r="X793"/>
      <c r="Y793"/>
      <c r="Z793"/>
      <c r="AA793"/>
      <c r="AB793"/>
      <c r="AC793"/>
      <c r="AD793"/>
      <c r="AE793"/>
      <c r="AF793"/>
      <c r="AG793"/>
    </row>
    <row r="794" spans="17:33">
      <c r="Q794"/>
      <c r="R794"/>
      <c r="S794"/>
      <c r="T794"/>
      <c r="U794"/>
      <c r="V794"/>
      <c r="W794"/>
      <c r="X794"/>
      <c r="Y794"/>
      <c r="Z794"/>
      <c r="AA794"/>
      <c r="AB794"/>
      <c r="AC794"/>
      <c r="AD794"/>
      <c r="AE794"/>
      <c r="AF794"/>
      <c r="AG794"/>
    </row>
    <row r="795" spans="17:33">
      <c r="Q795"/>
      <c r="R795"/>
      <c r="S795"/>
      <c r="T795"/>
      <c r="U795"/>
      <c r="V795"/>
      <c r="W795"/>
      <c r="X795"/>
      <c r="Y795"/>
      <c r="Z795"/>
      <c r="AA795"/>
      <c r="AB795"/>
      <c r="AC795"/>
      <c r="AD795"/>
      <c r="AE795"/>
      <c r="AF795"/>
      <c r="AG795"/>
    </row>
    <row r="796" spans="17:33">
      <c r="Q796"/>
      <c r="R796"/>
      <c r="S796"/>
      <c r="T796"/>
      <c r="U796"/>
      <c r="V796"/>
      <c r="W796"/>
      <c r="X796"/>
      <c r="Y796"/>
      <c r="Z796"/>
      <c r="AA796"/>
      <c r="AB796"/>
      <c r="AC796"/>
      <c r="AD796"/>
      <c r="AE796"/>
      <c r="AF796"/>
      <c r="AG796"/>
    </row>
    <row r="797" spans="17:33">
      <c r="Q797"/>
      <c r="R797"/>
      <c r="S797"/>
      <c r="T797"/>
      <c r="U797"/>
      <c r="V797"/>
      <c r="W797"/>
      <c r="X797"/>
      <c r="Y797"/>
      <c r="Z797"/>
      <c r="AA797"/>
      <c r="AB797"/>
      <c r="AC797"/>
      <c r="AD797"/>
      <c r="AE797"/>
      <c r="AF797"/>
      <c r="AG797"/>
    </row>
    <row r="798" spans="17:33">
      <c r="Q798"/>
      <c r="R798"/>
      <c r="S798"/>
      <c r="T798"/>
      <c r="U798"/>
      <c r="V798"/>
      <c r="W798"/>
      <c r="X798"/>
      <c r="Y798"/>
      <c r="Z798"/>
      <c r="AA798"/>
      <c r="AB798"/>
      <c r="AC798"/>
      <c r="AD798"/>
      <c r="AE798"/>
      <c r="AF798"/>
      <c r="AG798"/>
    </row>
    <row r="799" spans="17:33">
      <c r="Q799"/>
      <c r="R799"/>
      <c r="S799"/>
      <c r="T799"/>
      <c r="U799"/>
      <c r="V799"/>
      <c r="W799"/>
      <c r="X799"/>
      <c r="Y799"/>
      <c r="Z799"/>
      <c r="AA799"/>
      <c r="AB799"/>
      <c r="AC799"/>
      <c r="AD799"/>
      <c r="AE799"/>
      <c r="AF799"/>
      <c r="AG799"/>
    </row>
    <row r="800" spans="17:33">
      <c r="Q800"/>
      <c r="R800"/>
      <c r="S800"/>
      <c r="T800"/>
      <c r="U800"/>
      <c r="V800"/>
      <c r="W800"/>
      <c r="X800"/>
      <c r="Y800"/>
      <c r="Z800"/>
      <c r="AA800"/>
      <c r="AB800"/>
      <c r="AC800"/>
      <c r="AD800"/>
      <c r="AE800"/>
      <c r="AF800"/>
      <c r="AG800"/>
    </row>
    <row r="801" spans="17:33">
      <c r="Q801"/>
      <c r="R801"/>
      <c r="S801"/>
      <c r="T801"/>
      <c r="U801"/>
      <c r="V801"/>
      <c r="W801"/>
      <c r="X801"/>
      <c r="Y801"/>
      <c r="Z801"/>
      <c r="AA801"/>
      <c r="AB801"/>
      <c r="AC801"/>
      <c r="AD801"/>
      <c r="AE801"/>
      <c r="AF801"/>
      <c r="AG801"/>
    </row>
    <row r="802" spans="17:33">
      <c r="Q802"/>
      <c r="R802"/>
      <c r="S802"/>
      <c r="T802"/>
      <c r="U802"/>
      <c r="V802"/>
      <c r="W802"/>
      <c r="X802"/>
      <c r="Y802"/>
      <c r="Z802"/>
      <c r="AA802"/>
      <c r="AB802"/>
      <c r="AC802"/>
      <c r="AD802"/>
      <c r="AE802"/>
      <c r="AF802"/>
      <c r="AG802"/>
    </row>
    <row r="803" spans="17:33">
      <c r="Q803"/>
      <c r="R803"/>
      <c r="S803"/>
      <c r="T803"/>
      <c r="U803"/>
      <c r="V803"/>
      <c r="W803"/>
      <c r="X803"/>
      <c r="Y803"/>
      <c r="Z803"/>
      <c r="AA803"/>
      <c r="AB803"/>
      <c r="AC803"/>
      <c r="AD803"/>
      <c r="AE803"/>
      <c r="AF803"/>
      <c r="AG803"/>
    </row>
    <row r="804" spans="17:33">
      <c r="Q804"/>
      <c r="R804"/>
      <c r="S804"/>
      <c r="T804"/>
      <c r="U804"/>
      <c r="V804"/>
      <c r="W804"/>
      <c r="X804"/>
      <c r="Y804"/>
      <c r="Z804"/>
      <c r="AA804"/>
      <c r="AB804"/>
      <c r="AC804"/>
      <c r="AD804"/>
      <c r="AE804"/>
      <c r="AF804"/>
      <c r="AG804"/>
    </row>
    <row r="805" spans="17:33">
      <c r="Q805"/>
      <c r="R805"/>
      <c r="S805"/>
      <c r="T805"/>
      <c r="U805"/>
      <c r="V805"/>
      <c r="W805"/>
      <c r="X805"/>
      <c r="Y805"/>
      <c r="Z805"/>
      <c r="AA805"/>
      <c r="AB805"/>
      <c r="AC805"/>
      <c r="AD805"/>
      <c r="AE805"/>
      <c r="AF805"/>
      <c r="AG805"/>
    </row>
    <row r="806" spans="17:33">
      <c r="Q806"/>
      <c r="R806"/>
      <c r="S806"/>
      <c r="T806"/>
      <c r="U806"/>
      <c r="V806"/>
      <c r="W806"/>
      <c r="X806"/>
      <c r="Y806"/>
      <c r="Z806"/>
      <c r="AA806"/>
      <c r="AB806"/>
      <c r="AC806"/>
      <c r="AD806"/>
      <c r="AE806"/>
      <c r="AF806"/>
      <c r="AG806"/>
    </row>
    <row r="807" spans="17:33">
      <c r="Q807"/>
      <c r="R807"/>
      <c r="S807"/>
      <c r="T807"/>
      <c r="U807"/>
      <c r="V807"/>
      <c r="W807"/>
      <c r="X807"/>
      <c r="Y807"/>
      <c r="Z807"/>
      <c r="AA807"/>
      <c r="AB807"/>
      <c r="AC807"/>
      <c r="AD807"/>
      <c r="AE807"/>
      <c r="AF807"/>
      <c r="AG807"/>
    </row>
    <row r="808" spans="17:33">
      <c r="Q808"/>
      <c r="R808"/>
      <c r="S808"/>
      <c r="T808"/>
      <c r="U808"/>
      <c r="V808"/>
      <c r="W808"/>
      <c r="X808"/>
      <c r="Y808"/>
      <c r="Z808"/>
      <c r="AA808"/>
      <c r="AB808"/>
      <c r="AC808"/>
      <c r="AD808"/>
      <c r="AE808"/>
      <c r="AF808"/>
      <c r="AG808"/>
    </row>
    <row r="809" spans="17:33">
      <c r="Q809"/>
      <c r="R809"/>
      <c r="S809"/>
      <c r="T809"/>
      <c r="U809"/>
      <c r="V809"/>
      <c r="W809"/>
      <c r="X809"/>
      <c r="Y809"/>
      <c r="Z809"/>
      <c r="AA809"/>
      <c r="AB809"/>
      <c r="AC809"/>
      <c r="AD809"/>
      <c r="AE809"/>
      <c r="AF809"/>
      <c r="AG809"/>
    </row>
    <row r="810" spans="17:33">
      <c r="Q810"/>
      <c r="R810"/>
      <c r="S810"/>
      <c r="T810"/>
      <c r="U810"/>
      <c r="V810"/>
      <c r="W810"/>
      <c r="X810"/>
      <c r="Y810"/>
      <c r="Z810"/>
      <c r="AA810"/>
      <c r="AB810"/>
      <c r="AC810"/>
      <c r="AD810"/>
      <c r="AE810"/>
      <c r="AF810"/>
      <c r="AG810"/>
    </row>
    <row r="811" spans="17:33">
      <c r="Q811"/>
      <c r="R811"/>
      <c r="S811"/>
      <c r="T811"/>
      <c r="U811"/>
      <c r="V811"/>
      <c r="W811"/>
      <c r="X811"/>
      <c r="Y811"/>
      <c r="Z811"/>
      <c r="AA811"/>
      <c r="AB811"/>
      <c r="AC811"/>
      <c r="AD811"/>
      <c r="AE811"/>
      <c r="AF811"/>
      <c r="AG811"/>
    </row>
    <row r="812" spans="17:33">
      <c r="Q812"/>
      <c r="R812"/>
      <c r="S812"/>
      <c r="T812"/>
      <c r="U812"/>
      <c r="V812"/>
      <c r="W812"/>
      <c r="X812"/>
      <c r="Y812"/>
      <c r="Z812"/>
      <c r="AA812"/>
      <c r="AB812"/>
      <c r="AC812"/>
      <c r="AD812"/>
      <c r="AE812"/>
      <c r="AF812"/>
      <c r="AG812"/>
    </row>
    <row r="813" spans="17:33">
      <c r="Q813"/>
      <c r="R813"/>
      <c r="S813"/>
      <c r="T813"/>
      <c r="U813"/>
      <c r="V813"/>
      <c r="W813"/>
      <c r="X813"/>
      <c r="Y813"/>
      <c r="Z813"/>
      <c r="AA813"/>
      <c r="AB813"/>
      <c r="AC813"/>
      <c r="AD813"/>
      <c r="AE813"/>
      <c r="AF813"/>
      <c r="AG813"/>
    </row>
    <row r="814" spans="17:33">
      <c r="Q814"/>
      <c r="R814"/>
      <c r="S814"/>
      <c r="T814"/>
      <c r="U814"/>
      <c r="V814"/>
      <c r="W814"/>
      <c r="X814"/>
      <c r="Y814"/>
      <c r="Z814"/>
      <c r="AA814"/>
      <c r="AB814"/>
      <c r="AC814"/>
      <c r="AD814"/>
      <c r="AE814"/>
      <c r="AF814"/>
      <c r="AG814"/>
    </row>
    <row r="815" spans="17:33">
      <c r="Q815"/>
      <c r="R815"/>
      <c r="S815"/>
      <c r="T815"/>
      <c r="U815"/>
      <c r="V815"/>
      <c r="W815"/>
      <c r="X815"/>
      <c r="Y815"/>
      <c r="Z815"/>
      <c r="AA815"/>
      <c r="AB815"/>
      <c r="AC815"/>
      <c r="AD815"/>
      <c r="AE815"/>
      <c r="AF815"/>
      <c r="AG815"/>
    </row>
    <row r="816" spans="17:33">
      <c r="Q816"/>
      <c r="R816"/>
      <c r="S816"/>
      <c r="T816"/>
      <c r="U816"/>
      <c r="V816"/>
      <c r="W816"/>
      <c r="X816"/>
      <c r="Y816"/>
      <c r="Z816"/>
      <c r="AA816"/>
      <c r="AB816"/>
      <c r="AC816"/>
      <c r="AD816"/>
      <c r="AE816"/>
      <c r="AF816"/>
      <c r="AG816"/>
    </row>
    <row r="817" spans="17:33">
      <c r="Q817"/>
      <c r="R817"/>
      <c r="S817"/>
      <c r="T817"/>
      <c r="U817"/>
      <c r="V817"/>
      <c r="W817"/>
      <c r="X817"/>
      <c r="Y817"/>
      <c r="Z817"/>
      <c r="AA817"/>
      <c r="AB817"/>
      <c r="AC817"/>
      <c r="AD817"/>
      <c r="AE817"/>
      <c r="AF817"/>
      <c r="AG817"/>
    </row>
    <row r="818" spans="17:33">
      <c r="Q818"/>
      <c r="R818"/>
      <c r="S818"/>
      <c r="T818"/>
      <c r="U818"/>
      <c r="V818"/>
      <c r="W818"/>
      <c r="X818"/>
      <c r="Y818"/>
      <c r="Z818"/>
      <c r="AA818"/>
      <c r="AB818"/>
      <c r="AC818"/>
      <c r="AD818"/>
      <c r="AE818"/>
      <c r="AF818"/>
      <c r="AG818"/>
    </row>
    <row r="819" spans="17:33">
      <c r="Q819"/>
      <c r="R819"/>
      <c r="S819"/>
      <c r="T819"/>
      <c r="U819"/>
      <c r="V819"/>
      <c r="W819"/>
      <c r="X819"/>
      <c r="Y819"/>
      <c r="Z819"/>
      <c r="AA819"/>
      <c r="AB819"/>
      <c r="AC819"/>
      <c r="AD819"/>
      <c r="AE819"/>
      <c r="AF819"/>
      <c r="AG819"/>
    </row>
    <row r="820" spans="17:33">
      <c r="Q820"/>
      <c r="R820"/>
      <c r="S820"/>
      <c r="T820"/>
      <c r="U820"/>
      <c r="V820"/>
      <c r="W820"/>
      <c r="X820"/>
      <c r="Y820"/>
      <c r="Z820"/>
      <c r="AA820"/>
      <c r="AB820"/>
      <c r="AC820"/>
      <c r="AD820"/>
      <c r="AE820"/>
      <c r="AF820"/>
      <c r="AG820"/>
    </row>
    <row r="821" spans="17:33">
      <c r="Q821"/>
      <c r="R821"/>
      <c r="S821"/>
      <c r="T821"/>
      <c r="U821"/>
      <c r="V821"/>
      <c r="W821"/>
      <c r="X821"/>
      <c r="Y821"/>
      <c r="Z821"/>
      <c r="AA821"/>
      <c r="AB821"/>
      <c r="AC821"/>
      <c r="AD821"/>
      <c r="AE821"/>
      <c r="AF821"/>
      <c r="AG821"/>
    </row>
    <row r="822" spans="17:33">
      <c r="Q822"/>
      <c r="R822"/>
      <c r="S822"/>
      <c r="T822"/>
      <c r="U822"/>
      <c r="V822"/>
      <c r="W822"/>
      <c r="X822"/>
      <c r="Y822"/>
      <c r="Z822"/>
      <c r="AA822"/>
      <c r="AB822"/>
      <c r="AC822"/>
      <c r="AD822"/>
      <c r="AE822"/>
      <c r="AF822"/>
      <c r="AG822"/>
    </row>
    <row r="823" spans="17:33">
      <c r="Q823"/>
      <c r="R823"/>
      <c r="S823"/>
      <c r="T823"/>
      <c r="U823"/>
      <c r="V823"/>
      <c r="W823"/>
      <c r="X823"/>
      <c r="Y823"/>
      <c r="Z823"/>
      <c r="AA823"/>
      <c r="AB823"/>
      <c r="AC823"/>
      <c r="AD823"/>
      <c r="AE823"/>
      <c r="AF823"/>
      <c r="AG823"/>
    </row>
    <row r="824" spans="17:33">
      <c r="Q824"/>
      <c r="R824"/>
      <c r="S824"/>
      <c r="T824"/>
      <c r="U824"/>
      <c r="V824"/>
      <c r="W824"/>
      <c r="X824"/>
      <c r="Y824"/>
      <c r="Z824"/>
      <c r="AA824"/>
      <c r="AB824"/>
      <c r="AC824"/>
      <c r="AD824"/>
      <c r="AE824"/>
      <c r="AF824"/>
      <c r="AG824"/>
    </row>
    <row r="825" spans="17:33">
      <c r="Q825"/>
      <c r="R825"/>
      <c r="S825"/>
      <c r="T825"/>
      <c r="U825"/>
      <c r="V825"/>
      <c r="W825"/>
      <c r="X825"/>
      <c r="Y825"/>
      <c r="Z825"/>
      <c r="AA825"/>
      <c r="AB825"/>
      <c r="AC825"/>
      <c r="AD825"/>
      <c r="AE825"/>
      <c r="AF825"/>
      <c r="AG825"/>
    </row>
    <row r="826" spans="17:33">
      <c r="Q826"/>
      <c r="R826"/>
      <c r="S826"/>
      <c r="T826"/>
      <c r="U826"/>
      <c r="V826"/>
      <c r="W826"/>
      <c r="X826"/>
      <c r="Y826"/>
      <c r="Z826"/>
      <c r="AA826"/>
      <c r="AB826"/>
      <c r="AC826"/>
      <c r="AD826"/>
      <c r="AE826"/>
      <c r="AF826"/>
      <c r="AG826"/>
    </row>
    <row r="827" spans="17:33">
      <c r="Q827"/>
      <c r="R827"/>
      <c r="S827"/>
      <c r="T827"/>
      <c r="U827"/>
      <c r="V827"/>
      <c r="W827"/>
      <c r="X827"/>
      <c r="Y827"/>
      <c r="Z827"/>
      <c r="AA827"/>
      <c r="AB827"/>
      <c r="AC827"/>
      <c r="AD827"/>
      <c r="AE827"/>
      <c r="AF827"/>
      <c r="AG827"/>
    </row>
    <row r="828" spans="17:33">
      <c r="Q828"/>
      <c r="R828"/>
      <c r="S828"/>
      <c r="T828"/>
      <c r="U828"/>
      <c r="V828"/>
      <c r="W828"/>
      <c r="X828"/>
      <c r="Y828"/>
      <c r="Z828"/>
      <c r="AA828"/>
      <c r="AB828"/>
      <c r="AC828"/>
      <c r="AD828"/>
      <c r="AE828"/>
      <c r="AF828"/>
      <c r="AG828"/>
    </row>
    <row r="829" spans="17:33">
      <c r="Q829"/>
      <c r="R829"/>
      <c r="S829"/>
      <c r="T829"/>
      <c r="U829"/>
      <c r="V829"/>
      <c r="W829"/>
      <c r="X829"/>
      <c r="Y829"/>
      <c r="Z829"/>
      <c r="AA829"/>
      <c r="AB829"/>
      <c r="AC829"/>
      <c r="AD829"/>
      <c r="AE829"/>
      <c r="AF829"/>
      <c r="AG829"/>
    </row>
    <row r="830" spans="17:33">
      <c r="Q830"/>
      <c r="R830"/>
      <c r="S830"/>
      <c r="T830"/>
      <c r="U830"/>
      <c r="V830"/>
      <c r="W830"/>
      <c r="X830"/>
      <c r="Y830"/>
      <c r="Z830"/>
      <c r="AA830"/>
      <c r="AB830"/>
      <c r="AC830"/>
      <c r="AD830"/>
      <c r="AE830"/>
      <c r="AF830"/>
      <c r="AG830"/>
    </row>
    <row r="831" spans="17:33">
      <c r="Q831"/>
      <c r="R831"/>
      <c r="S831"/>
      <c r="T831"/>
      <c r="U831"/>
      <c r="V831"/>
      <c r="W831"/>
      <c r="X831"/>
      <c r="Y831"/>
      <c r="Z831"/>
      <c r="AA831"/>
      <c r="AB831"/>
      <c r="AC831"/>
      <c r="AD831"/>
      <c r="AE831"/>
      <c r="AF831"/>
      <c r="AG831"/>
    </row>
    <row r="832" spans="17:33">
      <c r="Q832"/>
      <c r="R832"/>
      <c r="S832"/>
      <c r="T832"/>
      <c r="U832"/>
      <c r="V832"/>
      <c r="W832"/>
      <c r="X832"/>
      <c r="Y832"/>
      <c r="Z832"/>
      <c r="AA832"/>
      <c r="AB832"/>
      <c r="AC832"/>
      <c r="AD832"/>
      <c r="AE832"/>
      <c r="AF832"/>
      <c r="AG832"/>
    </row>
    <row r="833" spans="17:33">
      <c r="Q833"/>
      <c r="R833"/>
      <c r="S833"/>
      <c r="T833"/>
      <c r="U833"/>
      <c r="V833"/>
      <c r="W833"/>
      <c r="X833"/>
      <c r="Y833"/>
      <c r="Z833"/>
      <c r="AA833"/>
      <c r="AB833"/>
      <c r="AC833"/>
      <c r="AD833"/>
      <c r="AE833"/>
      <c r="AF833"/>
      <c r="AG833"/>
    </row>
    <row r="834" spans="17:33">
      <c r="Q834"/>
      <c r="R834"/>
      <c r="S834"/>
      <c r="T834"/>
      <c r="U834"/>
      <c r="V834"/>
      <c r="W834"/>
      <c r="X834"/>
      <c r="Y834"/>
      <c r="Z834"/>
      <c r="AA834"/>
      <c r="AB834"/>
      <c r="AC834"/>
      <c r="AD834"/>
      <c r="AE834"/>
      <c r="AF834"/>
      <c r="AG834"/>
    </row>
    <row r="835" spans="17:33">
      <c r="Q835"/>
      <c r="R835"/>
      <c r="S835"/>
      <c r="T835"/>
      <c r="U835"/>
      <c r="V835"/>
      <c r="W835"/>
      <c r="X835"/>
      <c r="Y835"/>
      <c r="Z835"/>
      <c r="AA835"/>
      <c r="AB835"/>
      <c r="AC835"/>
      <c r="AD835"/>
      <c r="AE835"/>
      <c r="AF835"/>
      <c r="AG835"/>
    </row>
    <row r="836" spans="17:33">
      <c r="Q836"/>
      <c r="R836"/>
      <c r="S836"/>
      <c r="T836"/>
      <c r="U836"/>
      <c r="V836"/>
      <c r="W836"/>
      <c r="X836"/>
      <c r="Y836"/>
      <c r="Z836"/>
      <c r="AA836"/>
      <c r="AB836"/>
      <c r="AC836"/>
      <c r="AD836"/>
      <c r="AE836"/>
      <c r="AF836"/>
      <c r="AG836"/>
    </row>
    <row r="837" spans="17:33">
      <c r="Q837"/>
      <c r="R837"/>
      <c r="S837"/>
      <c r="T837"/>
      <c r="U837"/>
      <c r="V837"/>
      <c r="W837"/>
      <c r="X837"/>
      <c r="Y837"/>
      <c r="Z837"/>
      <c r="AA837"/>
      <c r="AB837"/>
      <c r="AC837"/>
      <c r="AD837"/>
      <c r="AE837"/>
      <c r="AF837"/>
      <c r="AG837"/>
    </row>
    <row r="838" spans="17:33">
      <c r="Q838"/>
      <c r="R838"/>
      <c r="S838"/>
      <c r="T838"/>
      <c r="U838"/>
      <c r="V838"/>
      <c r="W838"/>
      <c r="X838"/>
      <c r="Y838"/>
      <c r="Z838"/>
      <c r="AA838"/>
      <c r="AB838"/>
      <c r="AC838"/>
      <c r="AD838"/>
      <c r="AE838"/>
      <c r="AF838"/>
      <c r="AG838"/>
    </row>
    <row r="839" spans="17:33">
      <c r="Q839"/>
      <c r="R839"/>
      <c r="S839"/>
      <c r="T839"/>
      <c r="U839"/>
      <c r="V839"/>
      <c r="W839"/>
      <c r="X839"/>
      <c r="Y839"/>
      <c r="Z839"/>
      <c r="AA839"/>
      <c r="AB839"/>
      <c r="AC839"/>
      <c r="AD839"/>
      <c r="AE839"/>
      <c r="AF839"/>
      <c r="AG839"/>
    </row>
    <row r="840" spans="17:33">
      <c r="Q840"/>
      <c r="R840"/>
      <c r="S840"/>
      <c r="T840"/>
      <c r="U840"/>
      <c r="V840"/>
      <c r="W840"/>
      <c r="X840"/>
      <c r="Y840"/>
      <c r="Z840"/>
      <c r="AA840"/>
      <c r="AB840"/>
      <c r="AC840"/>
      <c r="AD840"/>
      <c r="AE840"/>
      <c r="AF840"/>
      <c r="AG840"/>
    </row>
    <row r="841" spans="17:33">
      <c r="Q841"/>
      <c r="R841"/>
      <c r="S841"/>
      <c r="T841"/>
      <c r="U841"/>
      <c r="V841"/>
      <c r="W841"/>
      <c r="X841"/>
      <c r="Y841"/>
      <c r="Z841"/>
      <c r="AA841"/>
      <c r="AB841"/>
      <c r="AC841"/>
      <c r="AD841"/>
      <c r="AE841"/>
      <c r="AF841"/>
      <c r="AG841"/>
    </row>
    <row r="842" spans="17:33">
      <c r="Q842"/>
      <c r="R842"/>
      <c r="S842"/>
      <c r="T842"/>
      <c r="U842"/>
      <c r="V842"/>
      <c r="W842"/>
      <c r="X842"/>
      <c r="Y842"/>
      <c r="Z842"/>
      <c r="AA842"/>
      <c r="AB842"/>
      <c r="AC842"/>
      <c r="AD842"/>
      <c r="AE842"/>
      <c r="AF842"/>
      <c r="AG842"/>
    </row>
    <row r="843" spans="17:33">
      <c r="Q843"/>
      <c r="R843"/>
      <c r="S843"/>
      <c r="T843"/>
      <c r="U843"/>
      <c r="V843"/>
      <c r="W843"/>
      <c r="X843"/>
      <c r="Y843"/>
      <c r="Z843"/>
      <c r="AA843"/>
      <c r="AB843"/>
      <c r="AC843"/>
      <c r="AD843"/>
      <c r="AE843"/>
      <c r="AF843"/>
      <c r="AG843"/>
    </row>
    <row r="844" spans="17:33">
      <c r="Q844"/>
      <c r="R844"/>
      <c r="S844"/>
      <c r="T844"/>
      <c r="U844"/>
      <c r="V844"/>
      <c r="W844"/>
      <c r="X844"/>
      <c r="Y844"/>
      <c r="Z844"/>
      <c r="AA844"/>
      <c r="AB844"/>
      <c r="AC844"/>
      <c r="AD844"/>
      <c r="AE844"/>
      <c r="AF844"/>
      <c r="AG844"/>
    </row>
    <row r="845" spans="17:33">
      <c r="Q845"/>
      <c r="R845"/>
      <c r="S845"/>
      <c r="T845"/>
      <c r="U845"/>
      <c r="V845"/>
      <c r="W845"/>
      <c r="X845"/>
      <c r="Y845"/>
      <c r="Z845"/>
      <c r="AA845"/>
      <c r="AB845"/>
      <c r="AC845"/>
      <c r="AD845"/>
      <c r="AE845"/>
      <c r="AF845"/>
      <c r="AG845"/>
    </row>
    <row r="846" spans="17:33">
      <c r="Q846"/>
      <c r="R846"/>
      <c r="S846"/>
      <c r="T846"/>
      <c r="U846"/>
      <c r="V846"/>
      <c r="W846"/>
      <c r="X846"/>
      <c r="Y846"/>
      <c r="Z846"/>
      <c r="AA846"/>
      <c r="AB846"/>
      <c r="AC846"/>
      <c r="AD846"/>
      <c r="AE846"/>
      <c r="AF846"/>
      <c r="AG846"/>
    </row>
    <row r="847" spans="17:33">
      <c r="Q847"/>
      <c r="R847"/>
      <c r="S847"/>
      <c r="T847"/>
      <c r="U847"/>
      <c r="V847"/>
      <c r="W847"/>
      <c r="X847"/>
      <c r="Y847"/>
      <c r="Z847"/>
      <c r="AA847"/>
      <c r="AB847"/>
      <c r="AC847"/>
      <c r="AD847"/>
      <c r="AE847"/>
      <c r="AF847"/>
      <c r="AG847"/>
    </row>
    <row r="848" spans="17:33">
      <c r="Q848"/>
      <c r="R848"/>
      <c r="S848"/>
      <c r="T848"/>
      <c r="U848"/>
      <c r="V848"/>
      <c r="W848"/>
      <c r="X848"/>
      <c r="Y848"/>
      <c r="Z848"/>
      <c r="AA848"/>
      <c r="AB848"/>
      <c r="AC848"/>
      <c r="AD848"/>
      <c r="AE848"/>
      <c r="AF848"/>
      <c r="AG848"/>
    </row>
    <row r="849" spans="17:33">
      <c r="Q849"/>
      <c r="R849"/>
      <c r="S849"/>
      <c r="T849"/>
      <c r="U849"/>
      <c r="V849"/>
      <c r="W849"/>
      <c r="X849"/>
      <c r="Y849"/>
      <c r="Z849"/>
      <c r="AA849"/>
      <c r="AB849"/>
      <c r="AC849"/>
      <c r="AD849"/>
      <c r="AE849"/>
      <c r="AF849"/>
      <c r="AG849"/>
    </row>
    <row r="850" spans="17:33">
      <c r="Q850"/>
      <c r="R850"/>
      <c r="S850"/>
      <c r="T850"/>
      <c r="U850"/>
      <c r="V850"/>
      <c r="W850"/>
      <c r="X850"/>
      <c r="Y850"/>
      <c r="Z850"/>
      <c r="AA850"/>
      <c r="AB850"/>
      <c r="AC850"/>
      <c r="AD850"/>
      <c r="AE850"/>
      <c r="AF850"/>
      <c r="AG850"/>
    </row>
    <row r="851" spans="17:33">
      <c r="Q851"/>
      <c r="R851"/>
      <c r="S851"/>
      <c r="T851"/>
      <c r="U851"/>
      <c r="V851"/>
      <c r="W851"/>
      <c r="X851"/>
      <c r="Y851"/>
      <c r="Z851"/>
      <c r="AA851"/>
      <c r="AB851"/>
      <c r="AC851"/>
      <c r="AD851"/>
      <c r="AE851"/>
      <c r="AF851"/>
      <c r="AG851"/>
    </row>
    <row r="852" spans="17:33">
      <c r="Q852"/>
      <c r="R852"/>
      <c r="S852"/>
      <c r="T852"/>
      <c r="U852"/>
      <c r="V852"/>
      <c r="W852"/>
      <c r="X852"/>
      <c r="Y852"/>
      <c r="Z852"/>
      <c r="AA852"/>
      <c r="AB852"/>
      <c r="AC852"/>
      <c r="AD852"/>
      <c r="AE852"/>
      <c r="AF852"/>
      <c r="AG852"/>
    </row>
    <row r="853" spans="17:33">
      <c r="Q853"/>
      <c r="R853"/>
      <c r="S853"/>
      <c r="T853"/>
      <c r="U853"/>
      <c r="V853"/>
      <c r="W853"/>
      <c r="X853"/>
      <c r="Y853"/>
      <c r="Z853"/>
      <c r="AA853"/>
      <c r="AB853"/>
      <c r="AC853"/>
      <c r="AD853"/>
      <c r="AE853"/>
      <c r="AF853"/>
      <c r="AG853"/>
    </row>
    <row r="854" spans="17:33">
      <c r="Q854"/>
      <c r="R854"/>
      <c r="S854"/>
      <c r="T854"/>
      <c r="U854"/>
      <c r="V854"/>
      <c r="W854"/>
      <c r="X854"/>
      <c r="Y854"/>
      <c r="Z854"/>
      <c r="AA854"/>
      <c r="AB854"/>
      <c r="AC854"/>
      <c r="AD854"/>
      <c r="AE854"/>
      <c r="AF854"/>
      <c r="AG854"/>
    </row>
    <row r="855" spans="17:33">
      <c r="Q855"/>
      <c r="R855"/>
      <c r="S855"/>
      <c r="T855"/>
      <c r="U855"/>
      <c r="V855"/>
      <c r="W855"/>
      <c r="X855"/>
      <c r="Y855"/>
      <c r="Z855"/>
      <c r="AA855"/>
      <c r="AB855"/>
      <c r="AC855"/>
      <c r="AD855"/>
      <c r="AE855"/>
      <c r="AF855"/>
      <c r="AG855"/>
    </row>
    <row r="856" spans="17:33">
      <c r="Q856"/>
      <c r="R856"/>
      <c r="S856"/>
      <c r="T856"/>
      <c r="U856"/>
      <c r="V856"/>
      <c r="W856"/>
      <c r="X856"/>
      <c r="Y856"/>
      <c r="Z856"/>
      <c r="AA856"/>
      <c r="AB856"/>
      <c r="AC856"/>
      <c r="AD856"/>
      <c r="AE856"/>
      <c r="AF856"/>
      <c r="AG856"/>
    </row>
    <row r="857" spans="17:33">
      <c r="Q857"/>
      <c r="R857"/>
      <c r="S857"/>
      <c r="T857"/>
      <c r="U857"/>
      <c r="V857"/>
      <c r="W857"/>
      <c r="X857"/>
      <c r="Y857"/>
      <c r="Z857"/>
      <c r="AA857"/>
      <c r="AB857"/>
      <c r="AC857"/>
      <c r="AD857"/>
      <c r="AE857"/>
      <c r="AF857"/>
      <c r="AG857"/>
    </row>
    <row r="858" spans="17:33">
      <c r="Q858"/>
      <c r="R858"/>
      <c r="S858"/>
      <c r="T858"/>
      <c r="U858"/>
      <c r="V858"/>
      <c r="W858"/>
      <c r="X858"/>
      <c r="Y858"/>
      <c r="Z858"/>
      <c r="AA858"/>
      <c r="AB858"/>
      <c r="AC858"/>
      <c r="AD858"/>
      <c r="AE858"/>
      <c r="AF858"/>
      <c r="AG858"/>
    </row>
    <row r="859" spans="17:33">
      <c r="Q859"/>
      <c r="R859"/>
      <c r="S859"/>
      <c r="T859"/>
      <c r="U859"/>
      <c r="V859"/>
      <c r="W859"/>
      <c r="X859"/>
      <c r="Y859"/>
      <c r="Z859"/>
      <c r="AA859"/>
      <c r="AB859"/>
      <c r="AC859"/>
      <c r="AD859"/>
      <c r="AE859"/>
      <c r="AF859"/>
      <c r="AG859"/>
    </row>
    <row r="860" spans="17:33">
      <c r="Q860"/>
      <c r="R860"/>
      <c r="S860"/>
      <c r="T860"/>
      <c r="U860"/>
      <c r="V860"/>
      <c r="W860"/>
      <c r="X860"/>
      <c r="Y860"/>
      <c r="Z860"/>
      <c r="AA860"/>
      <c r="AB860"/>
      <c r="AC860"/>
      <c r="AD860"/>
      <c r="AE860"/>
      <c r="AF860"/>
      <c r="AG860"/>
    </row>
    <row r="861" spans="17:33">
      <c r="Q861"/>
      <c r="R861"/>
      <c r="S861"/>
      <c r="T861"/>
      <c r="U861"/>
      <c r="V861"/>
      <c r="W861"/>
      <c r="X861"/>
      <c r="Y861"/>
      <c r="Z861"/>
      <c r="AA861"/>
      <c r="AB861"/>
      <c r="AC861"/>
      <c r="AD861"/>
      <c r="AE861"/>
      <c r="AF861"/>
      <c r="AG861"/>
    </row>
    <row r="862" spans="17:33">
      <c r="Q862"/>
      <c r="R862"/>
      <c r="S862"/>
      <c r="T862"/>
      <c r="U862"/>
      <c r="V862"/>
      <c r="W862"/>
      <c r="X862"/>
      <c r="Y862"/>
      <c r="Z862"/>
      <c r="AA862"/>
      <c r="AB862"/>
      <c r="AC862"/>
      <c r="AD862"/>
      <c r="AE862"/>
      <c r="AF862"/>
      <c r="AG862"/>
    </row>
    <row r="863" spans="17:33">
      <c r="Q863"/>
      <c r="R863"/>
      <c r="S863"/>
      <c r="T863"/>
      <c r="U863"/>
      <c r="V863"/>
      <c r="W863"/>
      <c r="X863"/>
      <c r="Y863"/>
      <c r="Z863"/>
      <c r="AA863"/>
      <c r="AB863"/>
      <c r="AC863"/>
      <c r="AD863"/>
      <c r="AE863"/>
      <c r="AF863"/>
      <c r="AG863"/>
    </row>
    <row r="864" spans="17:33">
      <c r="Q864"/>
      <c r="R864"/>
      <c r="S864"/>
      <c r="T864"/>
      <c r="U864"/>
      <c r="V864"/>
      <c r="W864"/>
      <c r="X864"/>
      <c r="Y864"/>
      <c r="Z864"/>
      <c r="AA864"/>
      <c r="AB864"/>
      <c r="AC864"/>
      <c r="AD864"/>
      <c r="AE864"/>
      <c r="AF864"/>
      <c r="AG864"/>
    </row>
    <row r="865" spans="17:33">
      <c r="Q865"/>
      <c r="R865"/>
      <c r="S865"/>
      <c r="T865"/>
      <c r="U865"/>
      <c r="V865"/>
      <c r="W865"/>
      <c r="X865"/>
      <c r="Y865"/>
      <c r="Z865"/>
      <c r="AA865"/>
      <c r="AB865"/>
      <c r="AC865"/>
      <c r="AD865"/>
      <c r="AE865"/>
      <c r="AF865"/>
      <c r="AG865"/>
    </row>
    <row r="866" spans="17:33">
      <c r="Q866"/>
      <c r="R866"/>
      <c r="S866"/>
      <c r="T866"/>
      <c r="U866"/>
      <c r="V866"/>
      <c r="W866"/>
      <c r="X866"/>
      <c r="Y866"/>
      <c r="Z866"/>
      <c r="AA866"/>
      <c r="AB866"/>
      <c r="AC866"/>
      <c r="AD866"/>
      <c r="AE866"/>
      <c r="AF866"/>
      <c r="AG866"/>
    </row>
    <row r="867" spans="17:33">
      <c r="Q867"/>
      <c r="R867"/>
      <c r="S867"/>
      <c r="T867"/>
      <c r="U867"/>
      <c r="V867"/>
      <c r="W867"/>
      <c r="X867"/>
      <c r="Y867"/>
      <c r="Z867"/>
      <c r="AA867"/>
      <c r="AB867"/>
      <c r="AC867"/>
      <c r="AD867"/>
      <c r="AE867"/>
      <c r="AF867"/>
      <c r="AG867"/>
    </row>
    <row r="868" spans="17:33">
      <c r="Q868"/>
      <c r="R868"/>
      <c r="S868"/>
      <c r="T868"/>
      <c r="U868"/>
      <c r="V868"/>
      <c r="W868"/>
      <c r="X868"/>
      <c r="Y868"/>
      <c r="Z868"/>
      <c r="AA868"/>
      <c r="AB868"/>
      <c r="AC868"/>
      <c r="AD868"/>
      <c r="AE868"/>
      <c r="AF868"/>
      <c r="AG868"/>
    </row>
    <row r="869" spans="17:33">
      <c r="Q869"/>
      <c r="R869"/>
      <c r="S869"/>
      <c r="T869"/>
      <c r="U869"/>
      <c r="V869"/>
      <c r="W869"/>
      <c r="X869"/>
      <c r="Y869"/>
      <c r="Z869"/>
      <c r="AA869"/>
      <c r="AB869"/>
      <c r="AC869"/>
      <c r="AD869"/>
      <c r="AE869"/>
      <c r="AF869"/>
      <c r="AG869"/>
    </row>
    <row r="870" spans="17:33">
      <c r="Q870"/>
      <c r="R870"/>
      <c r="S870"/>
      <c r="T870"/>
      <c r="U870"/>
      <c r="V870"/>
      <c r="W870"/>
      <c r="X870"/>
      <c r="Y870"/>
      <c r="Z870"/>
      <c r="AA870"/>
      <c r="AB870"/>
      <c r="AC870"/>
      <c r="AD870"/>
      <c r="AE870"/>
      <c r="AF870"/>
      <c r="AG870"/>
    </row>
    <row r="871" spans="17:33">
      <c r="Q871"/>
      <c r="R871"/>
      <c r="S871"/>
      <c r="T871"/>
      <c r="U871"/>
      <c r="V871"/>
      <c r="W871"/>
      <c r="X871"/>
      <c r="Y871"/>
      <c r="Z871"/>
      <c r="AA871"/>
      <c r="AB871"/>
      <c r="AC871"/>
      <c r="AD871"/>
      <c r="AE871"/>
      <c r="AF871"/>
      <c r="AG871"/>
    </row>
    <row r="872" spans="17:33">
      <c r="Q872"/>
      <c r="R872"/>
      <c r="S872"/>
      <c r="T872"/>
      <c r="U872"/>
      <c r="V872"/>
      <c r="W872"/>
      <c r="X872"/>
      <c r="Y872"/>
      <c r="Z872"/>
      <c r="AA872"/>
      <c r="AB872"/>
      <c r="AC872"/>
      <c r="AD872"/>
      <c r="AE872"/>
      <c r="AF872"/>
      <c r="AG872"/>
    </row>
    <row r="873" spans="17:33">
      <c r="Q873"/>
      <c r="R873"/>
      <c r="S873"/>
      <c r="T873"/>
      <c r="U873"/>
      <c r="V873"/>
      <c r="W873"/>
      <c r="X873"/>
      <c r="Y873"/>
      <c r="Z873"/>
      <c r="AA873"/>
      <c r="AB873"/>
      <c r="AC873"/>
      <c r="AD873"/>
      <c r="AE873"/>
      <c r="AF873"/>
      <c r="AG873"/>
    </row>
    <row r="874" spans="17:33">
      <c r="Q874"/>
      <c r="R874"/>
      <c r="S874"/>
      <c r="T874"/>
      <c r="U874"/>
      <c r="V874"/>
      <c r="W874"/>
      <c r="X874"/>
      <c r="Y874"/>
      <c r="Z874"/>
      <c r="AA874"/>
      <c r="AB874"/>
      <c r="AC874"/>
      <c r="AD874"/>
      <c r="AE874"/>
      <c r="AF874"/>
      <c r="AG874"/>
    </row>
    <row r="875" spans="17:33">
      <c r="Q875"/>
      <c r="R875"/>
      <c r="S875"/>
      <c r="T875"/>
      <c r="U875"/>
      <c r="V875"/>
      <c r="W875"/>
      <c r="X875"/>
      <c r="Y875"/>
      <c r="Z875"/>
      <c r="AA875"/>
      <c r="AB875"/>
      <c r="AC875"/>
      <c r="AD875"/>
      <c r="AE875"/>
      <c r="AF875"/>
      <c r="AG875"/>
    </row>
    <row r="876" spans="17:33">
      <c r="Q876"/>
      <c r="R876"/>
      <c r="S876"/>
      <c r="T876"/>
      <c r="U876"/>
      <c r="V876"/>
      <c r="W876"/>
      <c r="X876"/>
      <c r="Y876"/>
      <c r="Z876"/>
      <c r="AA876"/>
      <c r="AB876"/>
      <c r="AC876"/>
      <c r="AD876"/>
      <c r="AE876"/>
      <c r="AF876"/>
      <c r="AG876"/>
    </row>
    <row r="877" spans="17:33">
      <c r="Q877"/>
      <c r="R877"/>
      <c r="S877"/>
      <c r="T877"/>
      <c r="U877"/>
      <c r="V877"/>
      <c r="W877"/>
      <c r="X877"/>
      <c r="Y877"/>
      <c r="Z877"/>
      <c r="AA877"/>
      <c r="AB877"/>
      <c r="AC877"/>
      <c r="AD877"/>
      <c r="AE877"/>
      <c r="AF877"/>
      <c r="AG877"/>
    </row>
    <row r="878" spans="17:33">
      <c r="Q878"/>
      <c r="R878"/>
      <c r="S878"/>
      <c r="T878"/>
      <c r="U878"/>
      <c r="V878"/>
      <c r="W878"/>
      <c r="X878"/>
      <c r="Y878"/>
      <c r="Z878"/>
      <c r="AA878"/>
      <c r="AB878"/>
      <c r="AC878"/>
      <c r="AD878"/>
      <c r="AE878"/>
      <c r="AF878"/>
      <c r="AG878"/>
    </row>
    <row r="879" spans="17:33">
      <c r="Q879"/>
      <c r="R879"/>
      <c r="S879"/>
      <c r="T879"/>
      <c r="U879"/>
      <c r="V879"/>
      <c r="W879"/>
      <c r="X879"/>
      <c r="Y879"/>
      <c r="Z879"/>
      <c r="AA879"/>
      <c r="AB879"/>
      <c r="AC879"/>
      <c r="AD879"/>
      <c r="AE879"/>
      <c r="AF879"/>
      <c r="AG879"/>
    </row>
    <row r="880" spans="17:33">
      <c r="Q880"/>
      <c r="R880"/>
      <c r="S880"/>
      <c r="T880"/>
      <c r="U880"/>
      <c r="V880"/>
      <c r="W880"/>
      <c r="X880"/>
      <c r="Y880"/>
      <c r="Z880"/>
      <c r="AA880"/>
      <c r="AB880"/>
      <c r="AC880"/>
      <c r="AD880"/>
      <c r="AE880"/>
      <c r="AF880"/>
      <c r="AG880"/>
    </row>
    <row r="881" spans="17:33">
      <c r="Q881"/>
      <c r="R881"/>
      <c r="S881"/>
      <c r="T881"/>
      <c r="U881"/>
      <c r="V881"/>
      <c r="W881"/>
      <c r="X881"/>
      <c r="Y881"/>
      <c r="Z881"/>
      <c r="AA881"/>
      <c r="AB881"/>
      <c r="AC881"/>
      <c r="AD881"/>
      <c r="AE881"/>
      <c r="AF881"/>
      <c r="AG881"/>
    </row>
    <row r="882" spans="17:33">
      <c r="Q882"/>
      <c r="R882"/>
      <c r="S882"/>
      <c r="T882"/>
      <c r="U882"/>
      <c r="V882"/>
      <c r="W882"/>
      <c r="X882"/>
      <c r="Y882"/>
      <c r="Z882"/>
      <c r="AA882"/>
      <c r="AB882"/>
      <c r="AC882"/>
      <c r="AD882"/>
      <c r="AE882"/>
      <c r="AF882"/>
      <c r="AG882"/>
    </row>
    <row r="883" spans="17:33">
      <c r="Q883"/>
      <c r="R883"/>
      <c r="S883"/>
      <c r="T883"/>
      <c r="U883"/>
      <c r="V883"/>
      <c r="W883"/>
      <c r="X883"/>
      <c r="Y883"/>
      <c r="Z883"/>
      <c r="AA883"/>
      <c r="AB883"/>
      <c r="AC883"/>
      <c r="AD883"/>
      <c r="AE883"/>
      <c r="AF883"/>
      <c r="AG883"/>
    </row>
    <row r="884" spans="17:33">
      <c r="Q884"/>
      <c r="R884"/>
      <c r="S884"/>
      <c r="T884"/>
      <c r="U884"/>
      <c r="V884"/>
      <c r="W884"/>
      <c r="X884"/>
      <c r="Y884"/>
      <c r="Z884"/>
      <c r="AA884"/>
      <c r="AB884"/>
      <c r="AC884"/>
      <c r="AD884"/>
      <c r="AE884"/>
      <c r="AF884"/>
      <c r="AG884"/>
    </row>
    <row r="885" spans="17:33">
      <c r="Q885"/>
      <c r="R885"/>
      <c r="S885"/>
      <c r="T885"/>
      <c r="U885"/>
      <c r="V885"/>
      <c r="W885"/>
      <c r="X885"/>
      <c r="Y885"/>
      <c r="Z885"/>
      <c r="AA885"/>
      <c r="AB885"/>
      <c r="AC885"/>
      <c r="AD885"/>
      <c r="AE885"/>
      <c r="AF885"/>
      <c r="AG885"/>
    </row>
    <row r="886" spans="17:33">
      <c r="Q886"/>
      <c r="R886"/>
      <c r="S886"/>
      <c r="T886"/>
      <c r="U886"/>
      <c r="V886"/>
      <c r="W886"/>
      <c r="X886"/>
      <c r="Y886"/>
      <c r="Z886"/>
      <c r="AA886"/>
      <c r="AB886"/>
      <c r="AC886"/>
      <c r="AD886"/>
      <c r="AE886"/>
      <c r="AF886"/>
      <c r="AG886"/>
    </row>
    <row r="887" spans="17:33">
      <c r="Q887"/>
      <c r="R887"/>
      <c r="S887"/>
      <c r="T887"/>
      <c r="U887"/>
      <c r="V887"/>
      <c r="W887"/>
      <c r="X887"/>
      <c r="Y887"/>
      <c r="Z887"/>
      <c r="AA887"/>
      <c r="AB887"/>
      <c r="AC887"/>
      <c r="AD887"/>
      <c r="AE887"/>
      <c r="AF887"/>
      <c r="AG887"/>
    </row>
    <row r="888" spans="17:33">
      <c r="Q888"/>
      <c r="R888"/>
      <c r="S888"/>
      <c r="T888"/>
      <c r="U888"/>
      <c r="V888"/>
      <c r="W888"/>
      <c r="X888"/>
      <c r="Y888"/>
      <c r="Z888"/>
      <c r="AA888"/>
      <c r="AB888"/>
      <c r="AC888"/>
      <c r="AD888"/>
      <c r="AE888"/>
      <c r="AF888"/>
      <c r="AG888"/>
    </row>
    <row r="889" spans="17:33">
      <c r="Q889"/>
      <c r="R889"/>
      <c r="S889"/>
      <c r="T889"/>
      <c r="U889"/>
      <c r="V889"/>
      <c r="W889"/>
      <c r="X889"/>
      <c r="Y889"/>
      <c r="Z889"/>
      <c r="AA889"/>
      <c r="AB889"/>
      <c r="AC889"/>
      <c r="AD889"/>
      <c r="AE889"/>
      <c r="AF889"/>
      <c r="AG889"/>
    </row>
    <row r="890" spans="17:33">
      <c r="Q890"/>
      <c r="R890"/>
      <c r="S890"/>
      <c r="T890"/>
      <c r="U890"/>
      <c r="V890"/>
      <c r="W890"/>
      <c r="X890"/>
      <c r="Y890"/>
      <c r="Z890"/>
      <c r="AA890"/>
      <c r="AB890"/>
      <c r="AC890"/>
      <c r="AD890"/>
      <c r="AE890"/>
      <c r="AF890"/>
      <c r="AG890"/>
    </row>
    <row r="891" spans="17:33">
      <c r="Q891"/>
      <c r="R891"/>
      <c r="S891"/>
      <c r="T891"/>
      <c r="U891"/>
      <c r="V891"/>
      <c r="W891"/>
      <c r="X891"/>
      <c r="Y891"/>
      <c r="Z891"/>
      <c r="AA891"/>
      <c r="AB891"/>
      <c r="AC891"/>
      <c r="AD891"/>
      <c r="AE891"/>
      <c r="AF891"/>
      <c r="AG891"/>
    </row>
    <row r="892" spans="17:33">
      <c r="Q892"/>
      <c r="R892"/>
      <c r="S892"/>
      <c r="T892"/>
      <c r="U892"/>
      <c r="V892"/>
      <c r="W892"/>
      <c r="X892"/>
      <c r="Y892"/>
      <c r="Z892"/>
      <c r="AA892"/>
      <c r="AB892"/>
      <c r="AC892"/>
      <c r="AD892"/>
      <c r="AE892"/>
      <c r="AF892"/>
      <c r="AG892"/>
    </row>
    <row r="893" spans="17:33">
      <c r="Q893"/>
      <c r="R893"/>
      <c r="S893"/>
      <c r="T893"/>
      <c r="U893"/>
      <c r="V893"/>
      <c r="W893"/>
      <c r="X893"/>
      <c r="Y893"/>
      <c r="Z893"/>
      <c r="AA893"/>
      <c r="AB893"/>
      <c r="AC893"/>
      <c r="AD893"/>
      <c r="AE893"/>
      <c r="AF893"/>
      <c r="AG893"/>
    </row>
    <row r="894" spans="17:33">
      <c r="Q894"/>
      <c r="R894"/>
      <c r="S894"/>
      <c r="T894"/>
      <c r="U894"/>
      <c r="V894"/>
      <c r="W894"/>
      <c r="X894"/>
      <c r="Y894"/>
      <c r="Z894"/>
      <c r="AA894"/>
      <c r="AB894"/>
      <c r="AC894"/>
      <c r="AD894"/>
      <c r="AE894"/>
      <c r="AF894"/>
      <c r="AG894"/>
    </row>
    <row r="895" spans="17:33">
      <c r="Q895"/>
      <c r="R895"/>
      <c r="S895"/>
      <c r="T895"/>
      <c r="U895"/>
      <c r="V895"/>
      <c r="W895"/>
      <c r="X895"/>
      <c r="Y895"/>
      <c r="Z895"/>
      <c r="AA895"/>
      <c r="AB895"/>
      <c r="AC895"/>
      <c r="AD895"/>
      <c r="AE895"/>
      <c r="AF895"/>
      <c r="AG895"/>
    </row>
    <row r="896" spans="17:33">
      <c r="Q896"/>
      <c r="R896"/>
      <c r="S896"/>
      <c r="T896"/>
      <c r="U896"/>
      <c r="V896"/>
      <c r="W896"/>
      <c r="X896"/>
      <c r="Y896"/>
      <c r="Z896"/>
      <c r="AA896"/>
      <c r="AB896"/>
      <c r="AC896"/>
      <c r="AD896"/>
      <c r="AE896"/>
      <c r="AF896"/>
      <c r="AG896"/>
    </row>
    <row r="897" spans="17:33">
      <c r="Q897"/>
      <c r="R897"/>
      <c r="S897"/>
      <c r="T897"/>
      <c r="U897"/>
      <c r="V897"/>
      <c r="W897"/>
      <c r="X897"/>
      <c r="Y897"/>
      <c r="Z897"/>
      <c r="AA897"/>
      <c r="AB897"/>
      <c r="AC897"/>
      <c r="AD897"/>
      <c r="AE897"/>
      <c r="AF897"/>
      <c r="AG897"/>
    </row>
    <row r="898" spans="17:33">
      <c r="Q898"/>
      <c r="R898"/>
      <c r="S898"/>
      <c r="T898"/>
      <c r="U898"/>
      <c r="V898"/>
      <c r="W898"/>
      <c r="X898"/>
      <c r="Y898"/>
      <c r="Z898"/>
      <c r="AA898"/>
      <c r="AB898"/>
      <c r="AC898"/>
      <c r="AD898"/>
      <c r="AE898"/>
      <c r="AF898"/>
      <c r="AG898"/>
    </row>
    <row r="899" spans="17:33">
      <c r="Q899"/>
      <c r="R899"/>
      <c r="S899"/>
      <c r="T899"/>
      <c r="U899"/>
      <c r="V899"/>
      <c r="W899"/>
      <c r="X899"/>
      <c r="Y899"/>
      <c r="Z899"/>
      <c r="AA899"/>
      <c r="AB899"/>
      <c r="AC899"/>
      <c r="AD899"/>
      <c r="AE899"/>
      <c r="AF899"/>
      <c r="AG899"/>
    </row>
    <row r="900" spans="17:33">
      <c r="Q900"/>
      <c r="R900"/>
      <c r="S900"/>
      <c r="T900"/>
      <c r="U900"/>
      <c r="V900"/>
      <c r="W900"/>
      <c r="X900"/>
      <c r="Y900"/>
      <c r="Z900"/>
      <c r="AA900"/>
      <c r="AB900"/>
      <c r="AC900"/>
      <c r="AD900"/>
      <c r="AE900"/>
      <c r="AF900"/>
      <c r="AG900"/>
    </row>
    <row r="901" spans="17:33">
      <c r="Q901"/>
      <c r="R901"/>
      <c r="S901"/>
      <c r="T901"/>
      <c r="U901"/>
      <c r="V901"/>
      <c r="W901"/>
      <c r="X901"/>
      <c r="Y901"/>
      <c r="Z901"/>
      <c r="AA901"/>
      <c r="AB901"/>
      <c r="AC901"/>
      <c r="AD901"/>
      <c r="AE901"/>
      <c r="AF901"/>
      <c r="AG901"/>
    </row>
    <row r="902" spans="17:33">
      <c r="Q902"/>
      <c r="R902"/>
      <c r="S902"/>
      <c r="T902"/>
      <c r="U902"/>
      <c r="V902"/>
      <c r="W902"/>
      <c r="X902"/>
      <c r="Y902"/>
      <c r="Z902"/>
      <c r="AA902"/>
      <c r="AB902"/>
      <c r="AC902"/>
      <c r="AD902"/>
      <c r="AE902"/>
      <c r="AF902"/>
      <c r="AG902"/>
    </row>
    <row r="903" spans="17:33">
      <c r="Q903"/>
      <c r="R903"/>
      <c r="S903"/>
      <c r="T903"/>
      <c r="U903"/>
      <c r="V903"/>
      <c r="W903"/>
      <c r="X903"/>
      <c r="Y903"/>
      <c r="Z903"/>
      <c r="AA903"/>
      <c r="AB903"/>
      <c r="AC903"/>
      <c r="AD903"/>
      <c r="AE903"/>
      <c r="AF903"/>
      <c r="AG903"/>
    </row>
    <row r="904" spans="17:33">
      <c r="Q904"/>
      <c r="R904"/>
      <c r="S904"/>
      <c r="T904"/>
      <c r="U904"/>
      <c r="V904"/>
      <c r="W904"/>
      <c r="X904"/>
      <c r="Y904"/>
      <c r="Z904"/>
      <c r="AA904"/>
      <c r="AB904"/>
      <c r="AC904"/>
      <c r="AD904"/>
      <c r="AE904"/>
      <c r="AF904"/>
      <c r="AG904"/>
    </row>
    <row r="905" spans="17:33">
      <c r="Q905"/>
      <c r="R905"/>
      <c r="S905"/>
      <c r="T905"/>
      <c r="U905"/>
      <c r="V905"/>
      <c r="W905"/>
      <c r="X905"/>
      <c r="Y905"/>
      <c r="Z905"/>
      <c r="AA905"/>
      <c r="AB905"/>
      <c r="AC905"/>
      <c r="AD905"/>
      <c r="AE905"/>
      <c r="AF905"/>
      <c r="AG905"/>
    </row>
    <row r="906" spans="17:33">
      <c r="Q906"/>
      <c r="R906"/>
      <c r="S906"/>
      <c r="T906"/>
      <c r="U906"/>
      <c r="V906"/>
      <c r="W906"/>
      <c r="X906"/>
      <c r="Y906"/>
      <c r="Z906"/>
      <c r="AA906"/>
      <c r="AB906"/>
      <c r="AC906"/>
      <c r="AD906"/>
      <c r="AE906"/>
      <c r="AF906"/>
      <c r="AG906"/>
    </row>
    <row r="907" spans="17:33">
      <c r="Q907"/>
      <c r="R907"/>
      <c r="S907"/>
      <c r="T907"/>
      <c r="U907"/>
      <c r="V907"/>
      <c r="W907"/>
      <c r="X907"/>
      <c r="Y907"/>
      <c r="Z907"/>
      <c r="AA907"/>
      <c r="AB907"/>
      <c r="AC907"/>
      <c r="AD907"/>
      <c r="AE907"/>
      <c r="AF907"/>
      <c r="AG907"/>
    </row>
    <row r="908" spans="17:33">
      <c r="Q908"/>
      <c r="R908"/>
      <c r="S908"/>
      <c r="T908"/>
      <c r="U908"/>
      <c r="V908"/>
      <c r="W908"/>
      <c r="X908"/>
      <c r="Y908"/>
      <c r="Z908"/>
      <c r="AA908"/>
      <c r="AB908"/>
      <c r="AC908"/>
      <c r="AD908"/>
      <c r="AE908"/>
      <c r="AF908"/>
      <c r="AG908"/>
    </row>
    <row r="909" spans="17:33">
      <c r="Q909"/>
      <c r="R909"/>
      <c r="S909"/>
      <c r="T909"/>
      <c r="U909"/>
      <c r="V909"/>
      <c r="W909"/>
      <c r="X909"/>
      <c r="Y909"/>
      <c r="Z909"/>
      <c r="AA909"/>
      <c r="AB909"/>
      <c r="AC909"/>
      <c r="AD909"/>
      <c r="AE909"/>
      <c r="AF909"/>
      <c r="AG909"/>
    </row>
    <row r="910" spans="17:33">
      <c r="Q910"/>
      <c r="R910"/>
      <c r="S910"/>
      <c r="T910"/>
      <c r="U910"/>
      <c r="V910"/>
      <c r="W910"/>
      <c r="X910"/>
      <c r="Y910"/>
      <c r="Z910"/>
      <c r="AA910"/>
      <c r="AB910"/>
      <c r="AC910"/>
      <c r="AD910"/>
      <c r="AE910"/>
      <c r="AF910"/>
      <c r="AG910"/>
    </row>
    <row r="911" spans="17:33">
      <c r="Q911"/>
      <c r="R911"/>
      <c r="S911"/>
      <c r="T911"/>
      <c r="U911"/>
      <c r="V911"/>
      <c r="W911"/>
      <c r="X911"/>
      <c r="Y911"/>
      <c r="Z911"/>
      <c r="AA911"/>
      <c r="AB911"/>
      <c r="AC911"/>
      <c r="AD911"/>
      <c r="AE911"/>
      <c r="AF911"/>
      <c r="AG911"/>
    </row>
    <row r="912" spans="17:33">
      <c r="Q912"/>
      <c r="R912"/>
      <c r="S912"/>
      <c r="T912"/>
      <c r="U912"/>
      <c r="V912"/>
      <c r="W912"/>
      <c r="X912"/>
      <c r="Y912"/>
      <c r="Z912"/>
      <c r="AA912"/>
      <c r="AB912"/>
      <c r="AC912"/>
      <c r="AD912"/>
      <c r="AE912"/>
      <c r="AF912"/>
      <c r="AG912"/>
    </row>
    <row r="913" spans="17:33">
      <c r="Q913"/>
      <c r="R913"/>
      <c r="S913"/>
      <c r="T913"/>
      <c r="U913"/>
      <c r="V913"/>
      <c r="W913"/>
      <c r="X913"/>
      <c r="Y913"/>
      <c r="Z913"/>
      <c r="AA913"/>
      <c r="AB913"/>
      <c r="AC913"/>
      <c r="AD913"/>
      <c r="AE913"/>
      <c r="AF913"/>
      <c r="AG913"/>
    </row>
    <row r="914" spans="17:33">
      <c r="Q914"/>
      <c r="R914"/>
      <c r="S914"/>
      <c r="T914"/>
      <c r="U914"/>
      <c r="V914"/>
      <c r="W914"/>
      <c r="X914"/>
      <c r="Y914"/>
      <c r="Z914"/>
      <c r="AA914"/>
      <c r="AB914"/>
      <c r="AC914"/>
      <c r="AD914"/>
      <c r="AE914"/>
      <c r="AF914"/>
      <c r="AG914"/>
    </row>
    <row r="915" spans="17:33">
      <c r="Q915"/>
      <c r="R915"/>
      <c r="S915"/>
      <c r="T915"/>
      <c r="U915"/>
      <c r="V915"/>
      <c r="W915"/>
      <c r="X915"/>
      <c r="Y915"/>
      <c r="Z915"/>
      <c r="AA915"/>
      <c r="AB915"/>
      <c r="AC915"/>
      <c r="AD915"/>
      <c r="AE915"/>
      <c r="AF915"/>
      <c r="AG915"/>
    </row>
    <row r="916" spans="17:33">
      <c r="Q916"/>
      <c r="R916"/>
      <c r="S916"/>
      <c r="T916"/>
      <c r="U916"/>
      <c r="V916"/>
      <c r="W916"/>
      <c r="X916"/>
      <c r="Y916"/>
      <c r="Z916"/>
      <c r="AA916"/>
      <c r="AB916"/>
      <c r="AC916"/>
      <c r="AD916"/>
      <c r="AE916"/>
      <c r="AF916"/>
      <c r="AG916"/>
    </row>
    <row r="917" spans="17:33">
      <c r="Q917"/>
      <c r="R917"/>
      <c r="S917"/>
      <c r="T917"/>
      <c r="U917"/>
      <c r="V917"/>
      <c r="W917"/>
      <c r="X917"/>
      <c r="Y917"/>
      <c r="Z917"/>
      <c r="AA917"/>
      <c r="AB917"/>
      <c r="AC917"/>
      <c r="AD917"/>
      <c r="AE917"/>
      <c r="AF917"/>
      <c r="AG917"/>
    </row>
    <row r="918" spans="17:33">
      <c r="Q918"/>
      <c r="R918"/>
      <c r="S918"/>
      <c r="T918"/>
      <c r="U918"/>
      <c r="V918"/>
      <c r="W918"/>
      <c r="X918"/>
      <c r="Y918"/>
      <c r="Z918"/>
      <c r="AA918"/>
      <c r="AB918"/>
      <c r="AC918"/>
      <c r="AD918"/>
      <c r="AE918"/>
      <c r="AF918"/>
      <c r="AG918"/>
    </row>
    <row r="919" spans="17:33">
      <c r="Q919"/>
      <c r="R919"/>
      <c r="S919"/>
      <c r="T919"/>
      <c r="U919"/>
      <c r="V919"/>
      <c r="W919"/>
      <c r="X919"/>
      <c r="Y919"/>
      <c r="Z919"/>
      <c r="AA919"/>
      <c r="AB919"/>
      <c r="AC919"/>
      <c r="AD919"/>
      <c r="AE919"/>
      <c r="AF919"/>
      <c r="AG919"/>
    </row>
    <row r="920" spans="17:33">
      <c r="Q920"/>
      <c r="R920"/>
      <c r="S920"/>
      <c r="T920"/>
      <c r="U920"/>
      <c r="V920"/>
      <c r="W920"/>
      <c r="X920"/>
      <c r="Y920"/>
      <c r="Z920"/>
      <c r="AA920"/>
      <c r="AB920"/>
      <c r="AC920"/>
      <c r="AD920"/>
      <c r="AE920"/>
      <c r="AF920"/>
      <c r="AG920"/>
    </row>
    <row r="921" spans="17:33">
      <c r="Q921"/>
      <c r="R921"/>
      <c r="S921"/>
      <c r="T921"/>
      <c r="U921"/>
      <c r="V921"/>
      <c r="W921"/>
      <c r="X921"/>
      <c r="Y921"/>
      <c r="Z921"/>
      <c r="AA921"/>
      <c r="AB921"/>
      <c r="AC921"/>
      <c r="AD921"/>
      <c r="AE921"/>
      <c r="AF921"/>
      <c r="AG921"/>
    </row>
    <row r="922" spans="17:33">
      <c r="Q922"/>
      <c r="R922"/>
      <c r="S922"/>
      <c r="T922"/>
      <c r="U922"/>
      <c r="V922"/>
      <c r="W922"/>
      <c r="X922"/>
      <c r="Y922"/>
      <c r="Z922"/>
      <c r="AA922"/>
      <c r="AB922"/>
      <c r="AC922"/>
      <c r="AD922"/>
      <c r="AE922"/>
      <c r="AF922"/>
      <c r="AG922"/>
    </row>
    <row r="923" spans="17:33">
      <c r="Q923"/>
      <c r="R923"/>
      <c r="S923"/>
      <c r="T923"/>
      <c r="U923"/>
      <c r="V923"/>
      <c r="W923"/>
      <c r="X923"/>
      <c r="Y923"/>
      <c r="Z923"/>
      <c r="AA923"/>
      <c r="AB923"/>
      <c r="AC923"/>
      <c r="AD923"/>
      <c r="AE923"/>
      <c r="AF923"/>
      <c r="AG923"/>
    </row>
    <row r="924" spans="17:33">
      <c r="Q924"/>
      <c r="R924"/>
      <c r="S924"/>
      <c r="T924"/>
      <c r="U924"/>
      <c r="V924"/>
      <c r="W924"/>
      <c r="X924"/>
      <c r="Y924"/>
      <c r="Z924"/>
      <c r="AA924"/>
      <c r="AB924"/>
      <c r="AC924"/>
      <c r="AD924"/>
      <c r="AE924"/>
      <c r="AF924"/>
      <c r="AG924"/>
    </row>
    <row r="925" spans="17:33">
      <c r="Q925"/>
      <c r="R925"/>
      <c r="S925"/>
      <c r="T925"/>
      <c r="U925"/>
      <c r="V925"/>
      <c r="W925"/>
      <c r="X925"/>
      <c r="Y925"/>
      <c r="Z925"/>
      <c r="AA925"/>
      <c r="AB925"/>
      <c r="AC925"/>
      <c r="AD925"/>
      <c r="AE925"/>
      <c r="AF925"/>
      <c r="AG925"/>
    </row>
    <row r="926" spans="17:33">
      <c r="Q926"/>
      <c r="R926"/>
      <c r="S926"/>
      <c r="T926"/>
      <c r="U926"/>
      <c r="V926"/>
      <c r="W926"/>
      <c r="X926"/>
      <c r="Y926"/>
      <c r="Z926"/>
      <c r="AA926"/>
      <c r="AB926"/>
      <c r="AC926"/>
      <c r="AD926"/>
      <c r="AE926"/>
      <c r="AF926"/>
      <c r="AG926"/>
    </row>
    <row r="927" spans="17:33">
      <c r="Q927"/>
      <c r="R927"/>
      <c r="S927"/>
      <c r="T927"/>
      <c r="U927"/>
      <c r="V927"/>
      <c r="W927"/>
      <c r="X927"/>
      <c r="Y927"/>
      <c r="Z927"/>
      <c r="AA927"/>
      <c r="AB927"/>
      <c r="AC927"/>
      <c r="AD927"/>
      <c r="AE927"/>
      <c r="AF927"/>
      <c r="AG927"/>
    </row>
    <row r="928" spans="17:33">
      <c r="Q928"/>
      <c r="R928"/>
      <c r="S928"/>
      <c r="T928"/>
      <c r="U928"/>
      <c r="V928"/>
      <c r="W928"/>
      <c r="X928"/>
      <c r="Y928"/>
      <c r="Z928"/>
      <c r="AA928"/>
      <c r="AB928"/>
      <c r="AC928"/>
      <c r="AD928"/>
      <c r="AE928"/>
      <c r="AF928"/>
      <c r="AG928"/>
    </row>
    <row r="929" spans="17:33">
      <c r="Q929"/>
      <c r="R929"/>
      <c r="S929"/>
      <c r="T929"/>
      <c r="U929"/>
      <c r="V929"/>
      <c r="W929"/>
      <c r="X929"/>
      <c r="Y929"/>
      <c r="Z929"/>
      <c r="AA929"/>
      <c r="AB929"/>
      <c r="AC929"/>
      <c r="AD929"/>
      <c r="AE929"/>
      <c r="AF929"/>
      <c r="AG929"/>
    </row>
    <row r="930" spans="17:33">
      <c r="Q930"/>
      <c r="R930"/>
      <c r="S930"/>
      <c r="T930"/>
      <c r="U930"/>
      <c r="V930"/>
      <c r="W930"/>
      <c r="X930"/>
      <c r="Y930"/>
      <c r="Z930"/>
      <c r="AA930"/>
      <c r="AB930"/>
      <c r="AC930"/>
      <c r="AD930"/>
      <c r="AE930"/>
      <c r="AF930"/>
      <c r="AG930"/>
    </row>
    <row r="931" spans="17:33">
      <c r="Q931"/>
      <c r="R931"/>
      <c r="S931"/>
      <c r="T931"/>
      <c r="U931"/>
      <c r="V931"/>
      <c r="W931"/>
      <c r="X931"/>
      <c r="Y931"/>
      <c r="Z931"/>
      <c r="AA931"/>
      <c r="AB931"/>
      <c r="AC931"/>
      <c r="AD931"/>
      <c r="AE931"/>
      <c r="AF931"/>
      <c r="AG931"/>
    </row>
    <row r="932" spans="17:33">
      <c r="Q932"/>
      <c r="R932"/>
      <c r="S932"/>
      <c r="T932"/>
      <c r="U932"/>
      <c r="V932"/>
      <c r="W932"/>
      <c r="X932"/>
      <c r="Y932"/>
      <c r="Z932"/>
      <c r="AA932"/>
      <c r="AB932"/>
      <c r="AC932"/>
      <c r="AD932"/>
      <c r="AE932"/>
      <c r="AF932"/>
      <c r="AG932"/>
    </row>
    <row r="933" spans="17:33">
      <c r="Q933"/>
      <c r="R933"/>
      <c r="S933"/>
      <c r="T933"/>
      <c r="U933"/>
      <c r="V933"/>
      <c r="W933"/>
      <c r="X933"/>
      <c r="Y933"/>
      <c r="Z933"/>
      <c r="AA933"/>
      <c r="AB933"/>
      <c r="AC933"/>
      <c r="AD933"/>
      <c r="AE933"/>
      <c r="AF933"/>
      <c r="AG933"/>
    </row>
    <row r="934" spans="17:33">
      <c r="Q934"/>
      <c r="R934"/>
      <c r="S934"/>
      <c r="T934"/>
      <c r="U934"/>
      <c r="V934"/>
      <c r="W934"/>
      <c r="X934"/>
      <c r="Y934"/>
      <c r="Z934"/>
      <c r="AA934"/>
      <c r="AB934"/>
      <c r="AC934"/>
      <c r="AD934"/>
      <c r="AE934"/>
      <c r="AF934"/>
      <c r="AG934"/>
    </row>
    <row r="935" spans="17:33">
      <c r="Q935"/>
      <c r="R935"/>
      <c r="S935"/>
      <c r="T935"/>
      <c r="U935"/>
      <c r="V935"/>
      <c r="W935"/>
      <c r="X935"/>
      <c r="Y935"/>
      <c r="Z935"/>
      <c r="AA935"/>
      <c r="AB935"/>
      <c r="AC935"/>
      <c r="AD935"/>
      <c r="AE935"/>
      <c r="AF935"/>
      <c r="AG935"/>
    </row>
    <row r="936" spans="17:33">
      <c r="Q936"/>
      <c r="R936"/>
      <c r="S936"/>
      <c r="T936"/>
      <c r="U936"/>
      <c r="V936"/>
      <c r="W936"/>
      <c r="X936"/>
      <c r="Y936"/>
      <c r="Z936"/>
      <c r="AA936"/>
      <c r="AB936"/>
      <c r="AC936"/>
      <c r="AD936"/>
      <c r="AE936"/>
      <c r="AF936"/>
      <c r="AG936"/>
    </row>
    <row r="937" spans="17:33">
      <c r="Q937"/>
      <c r="R937"/>
      <c r="S937"/>
      <c r="T937"/>
      <c r="U937"/>
      <c r="V937"/>
      <c r="W937"/>
      <c r="X937"/>
      <c r="Y937"/>
      <c r="Z937"/>
      <c r="AA937"/>
      <c r="AB937"/>
      <c r="AC937"/>
      <c r="AD937"/>
      <c r="AE937"/>
      <c r="AF937"/>
      <c r="AG937"/>
    </row>
    <row r="938" spans="17:33">
      <c r="Q938"/>
      <c r="R938"/>
      <c r="S938"/>
      <c r="T938"/>
      <c r="U938"/>
      <c r="V938"/>
      <c r="W938"/>
      <c r="X938"/>
      <c r="Y938"/>
      <c r="Z938"/>
      <c r="AA938"/>
      <c r="AB938"/>
      <c r="AC938"/>
      <c r="AD938"/>
      <c r="AE938"/>
      <c r="AF938"/>
      <c r="AG938"/>
    </row>
    <row r="939" spans="17:33">
      <c r="Q939"/>
      <c r="R939"/>
      <c r="S939"/>
      <c r="T939"/>
      <c r="U939"/>
      <c r="V939"/>
      <c r="W939"/>
      <c r="X939"/>
      <c r="Y939"/>
      <c r="Z939"/>
      <c r="AA939"/>
      <c r="AB939"/>
      <c r="AC939"/>
      <c r="AD939"/>
      <c r="AE939"/>
      <c r="AF939"/>
      <c r="AG939"/>
    </row>
    <row r="940" spans="17:33">
      <c r="Q940"/>
      <c r="R940"/>
      <c r="S940"/>
      <c r="T940"/>
      <c r="U940"/>
      <c r="V940"/>
      <c r="W940"/>
      <c r="X940"/>
      <c r="Y940"/>
      <c r="Z940"/>
      <c r="AA940"/>
      <c r="AB940"/>
      <c r="AC940"/>
      <c r="AD940"/>
      <c r="AE940"/>
      <c r="AF940"/>
      <c r="AG940"/>
    </row>
    <row r="941" spans="17:33">
      <c r="Q941"/>
      <c r="R941"/>
      <c r="S941"/>
      <c r="T941"/>
      <c r="U941"/>
      <c r="V941"/>
      <c r="W941"/>
      <c r="X941"/>
      <c r="Y941"/>
      <c r="Z941"/>
      <c r="AA941"/>
      <c r="AB941"/>
      <c r="AC941"/>
      <c r="AD941"/>
      <c r="AE941"/>
      <c r="AF941"/>
      <c r="AG941"/>
    </row>
    <row r="942" spans="17:33">
      <c r="Q942"/>
      <c r="R942"/>
      <c r="S942"/>
      <c r="T942"/>
      <c r="U942"/>
      <c r="V942"/>
      <c r="W942"/>
      <c r="X942"/>
      <c r="Y942"/>
      <c r="Z942"/>
      <c r="AA942"/>
      <c r="AB942"/>
      <c r="AC942"/>
      <c r="AD942"/>
      <c r="AE942"/>
      <c r="AF942"/>
      <c r="AG942"/>
    </row>
    <row r="943" spans="17:33">
      <c r="Q943"/>
      <c r="R943"/>
      <c r="S943"/>
      <c r="T943"/>
      <c r="U943"/>
      <c r="V943"/>
      <c r="W943"/>
      <c r="X943"/>
      <c r="Y943"/>
      <c r="Z943"/>
      <c r="AA943"/>
      <c r="AB943"/>
      <c r="AC943"/>
      <c r="AD943"/>
      <c r="AE943"/>
      <c r="AF943"/>
      <c r="AG943"/>
    </row>
    <row r="944" spans="17:33">
      <c r="Q944"/>
      <c r="R944"/>
      <c r="S944"/>
      <c r="T944"/>
      <c r="U944"/>
      <c r="V944"/>
      <c r="W944"/>
      <c r="X944"/>
      <c r="Y944"/>
      <c r="Z944"/>
      <c r="AA944"/>
      <c r="AB944"/>
      <c r="AC944"/>
      <c r="AD944"/>
      <c r="AE944"/>
      <c r="AF944"/>
      <c r="AG944"/>
    </row>
    <row r="945" spans="17:33">
      <c r="Q945"/>
      <c r="R945"/>
      <c r="S945"/>
      <c r="T945"/>
      <c r="U945"/>
      <c r="V945"/>
      <c r="W945"/>
      <c r="X945"/>
      <c r="Y945"/>
      <c r="Z945"/>
      <c r="AA945"/>
      <c r="AB945"/>
      <c r="AC945"/>
      <c r="AD945"/>
      <c r="AE945"/>
      <c r="AF945"/>
      <c r="AG945"/>
    </row>
    <row r="946" spans="17:33">
      <c r="Q946"/>
      <c r="R946"/>
      <c r="S946"/>
      <c r="T946"/>
      <c r="U946"/>
      <c r="V946"/>
      <c r="W946"/>
      <c r="X946"/>
      <c r="Y946"/>
      <c r="Z946"/>
      <c r="AA946"/>
      <c r="AB946"/>
      <c r="AC946"/>
      <c r="AD946"/>
      <c r="AE946"/>
      <c r="AF946"/>
      <c r="AG946"/>
    </row>
    <row r="947" spans="17:33">
      <c r="Q947"/>
      <c r="R947"/>
      <c r="S947"/>
      <c r="T947"/>
      <c r="U947"/>
      <c r="V947"/>
      <c r="W947"/>
      <c r="X947"/>
      <c r="Y947"/>
      <c r="Z947"/>
      <c r="AA947"/>
      <c r="AB947"/>
      <c r="AC947"/>
      <c r="AD947"/>
      <c r="AE947"/>
      <c r="AF947"/>
      <c r="AG947"/>
    </row>
    <row r="948" spans="17:33">
      <c r="Q948"/>
      <c r="R948"/>
      <c r="S948"/>
      <c r="T948"/>
      <c r="U948"/>
      <c r="V948"/>
      <c r="W948"/>
      <c r="X948"/>
      <c r="Y948"/>
      <c r="Z948"/>
      <c r="AA948"/>
      <c r="AB948"/>
      <c r="AC948"/>
      <c r="AD948"/>
      <c r="AE948"/>
      <c r="AF948"/>
      <c r="AG948"/>
    </row>
    <row r="949" spans="17:33">
      <c r="Q949"/>
      <c r="R949"/>
      <c r="S949"/>
      <c r="T949"/>
      <c r="U949"/>
      <c r="V949"/>
      <c r="W949"/>
      <c r="X949"/>
      <c r="Y949"/>
      <c r="Z949"/>
      <c r="AA949"/>
      <c r="AB949"/>
      <c r="AC949"/>
      <c r="AD949"/>
      <c r="AE949"/>
      <c r="AF949"/>
      <c r="AG949"/>
    </row>
    <row r="950" spans="17:33">
      <c r="Q950"/>
      <c r="R950"/>
      <c r="S950"/>
      <c r="T950"/>
      <c r="U950"/>
      <c r="V950"/>
      <c r="W950"/>
      <c r="X950"/>
      <c r="Y950"/>
      <c r="Z950"/>
      <c r="AA950"/>
      <c r="AB950"/>
      <c r="AC950"/>
      <c r="AD950"/>
      <c r="AE950"/>
      <c r="AF950"/>
      <c r="AG950"/>
    </row>
    <row r="951" spans="17:33">
      <c r="Q951"/>
      <c r="R951"/>
      <c r="S951"/>
      <c r="T951"/>
      <c r="U951"/>
      <c r="V951"/>
      <c r="W951"/>
      <c r="X951"/>
      <c r="Y951"/>
      <c r="Z951"/>
      <c r="AA951"/>
      <c r="AB951"/>
      <c r="AC951"/>
      <c r="AD951"/>
      <c r="AE951"/>
      <c r="AF951"/>
      <c r="AG951"/>
    </row>
    <row r="952" spans="17:33">
      <c r="Q952"/>
      <c r="R952"/>
      <c r="S952"/>
      <c r="T952"/>
      <c r="U952"/>
      <c r="V952"/>
      <c r="W952"/>
      <c r="X952"/>
      <c r="Y952"/>
      <c r="Z952"/>
      <c r="AA952"/>
      <c r="AB952"/>
      <c r="AC952"/>
      <c r="AD952"/>
      <c r="AE952"/>
      <c r="AF952"/>
      <c r="AG952"/>
    </row>
    <row r="953" spans="17:33">
      <c r="Q953"/>
      <c r="R953"/>
      <c r="S953"/>
      <c r="T953"/>
      <c r="U953"/>
      <c r="V953"/>
      <c r="W953"/>
      <c r="X953"/>
      <c r="Y953"/>
      <c r="Z953"/>
      <c r="AA953"/>
      <c r="AB953"/>
      <c r="AC953"/>
      <c r="AD953"/>
      <c r="AE953"/>
      <c r="AF953"/>
      <c r="AG953"/>
    </row>
    <row r="954" spans="17:33">
      <c r="Q954"/>
      <c r="R954"/>
      <c r="S954"/>
      <c r="T954"/>
      <c r="U954"/>
      <c r="V954"/>
      <c r="W954"/>
      <c r="X954"/>
      <c r="Y954"/>
      <c r="Z954"/>
      <c r="AA954"/>
      <c r="AB954"/>
      <c r="AC954"/>
      <c r="AD954"/>
      <c r="AE954"/>
      <c r="AF954"/>
      <c r="AG954"/>
    </row>
    <row r="955" spans="17:33">
      <c r="Q955"/>
      <c r="R955"/>
      <c r="S955"/>
      <c r="T955"/>
      <c r="U955"/>
      <c r="V955"/>
      <c r="W955"/>
      <c r="X955"/>
      <c r="Y955"/>
      <c r="Z955"/>
      <c r="AA955"/>
      <c r="AB955"/>
      <c r="AC955"/>
      <c r="AD955"/>
      <c r="AE955"/>
      <c r="AF955"/>
      <c r="AG955"/>
    </row>
    <row r="956" spans="17:33">
      <c r="Q956"/>
      <c r="R956"/>
      <c r="S956"/>
      <c r="T956"/>
      <c r="U956"/>
      <c r="V956"/>
      <c r="W956"/>
      <c r="X956"/>
      <c r="Y956"/>
      <c r="Z956"/>
      <c r="AA956"/>
      <c r="AB956"/>
      <c r="AC956"/>
      <c r="AD956"/>
      <c r="AE956"/>
      <c r="AF956"/>
      <c r="AG956"/>
    </row>
    <row r="957" spans="17:33">
      <c r="Q957"/>
      <c r="R957"/>
      <c r="S957"/>
      <c r="T957"/>
      <c r="U957"/>
      <c r="V957"/>
      <c r="W957"/>
      <c r="X957"/>
      <c r="Y957"/>
      <c r="Z957"/>
      <c r="AA957"/>
      <c r="AB957"/>
      <c r="AC957"/>
      <c r="AD957"/>
      <c r="AE957"/>
      <c r="AF957"/>
      <c r="AG957"/>
    </row>
    <row r="958" spans="17:33">
      <c r="Q958"/>
      <c r="R958"/>
      <c r="S958"/>
      <c r="T958"/>
      <c r="U958"/>
      <c r="V958"/>
      <c r="W958"/>
      <c r="X958"/>
      <c r="Y958"/>
      <c r="Z958"/>
      <c r="AA958"/>
      <c r="AB958"/>
      <c r="AC958"/>
      <c r="AD958"/>
      <c r="AE958"/>
      <c r="AF958"/>
      <c r="AG958"/>
    </row>
    <row r="959" spans="17:33">
      <c r="Q959"/>
      <c r="R959"/>
      <c r="S959"/>
      <c r="T959"/>
      <c r="U959"/>
      <c r="V959"/>
      <c r="W959"/>
      <c r="X959"/>
      <c r="Y959"/>
      <c r="Z959"/>
      <c r="AA959"/>
      <c r="AB959"/>
      <c r="AC959"/>
      <c r="AD959"/>
      <c r="AE959"/>
      <c r="AF959"/>
      <c r="AG959"/>
    </row>
    <row r="960" spans="17:33">
      <c r="Q960"/>
      <c r="R960"/>
      <c r="S960"/>
      <c r="T960"/>
      <c r="U960"/>
      <c r="V960"/>
      <c r="W960"/>
      <c r="X960"/>
      <c r="Y960"/>
      <c r="Z960"/>
      <c r="AA960"/>
      <c r="AB960"/>
      <c r="AC960"/>
      <c r="AD960"/>
      <c r="AE960"/>
      <c r="AF960"/>
      <c r="AG960"/>
    </row>
    <row r="961" spans="17:33">
      <c r="Q961"/>
      <c r="R961"/>
      <c r="S961"/>
      <c r="T961"/>
      <c r="U961"/>
      <c r="V961"/>
      <c r="W961"/>
      <c r="X961"/>
      <c r="Y961"/>
      <c r="Z961"/>
      <c r="AA961"/>
      <c r="AB961"/>
      <c r="AC961"/>
      <c r="AD961"/>
      <c r="AE961"/>
      <c r="AF961"/>
      <c r="AG961"/>
    </row>
    <row r="962" spans="17:33">
      <c r="Q962"/>
      <c r="R962"/>
      <c r="S962"/>
      <c r="T962"/>
      <c r="U962"/>
      <c r="V962"/>
      <c r="W962"/>
      <c r="X962"/>
      <c r="Y962"/>
      <c r="Z962"/>
      <c r="AA962"/>
      <c r="AB962"/>
      <c r="AC962"/>
      <c r="AD962"/>
      <c r="AE962"/>
      <c r="AF962"/>
      <c r="AG962"/>
    </row>
    <row r="963" spans="17:33">
      <c r="Q963"/>
      <c r="R963"/>
      <c r="S963"/>
      <c r="T963"/>
      <c r="U963"/>
      <c r="V963"/>
      <c r="W963"/>
      <c r="X963"/>
      <c r="Y963"/>
      <c r="Z963"/>
      <c r="AA963"/>
      <c r="AB963"/>
      <c r="AC963"/>
      <c r="AD963"/>
      <c r="AE963"/>
      <c r="AF963"/>
      <c r="AG963"/>
    </row>
    <row r="964" spans="17:33">
      <c r="Q964"/>
      <c r="R964"/>
      <c r="S964"/>
      <c r="T964"/>
      <c r="U964"/>
      <c r="V964"/>
      <c r="W964"/>
      <c r="X964"/>
      <c r="Y964"/>
      <c r="Z964"/>
      <c r="AA964"/>
      <c r="AB964"/>
      <c r="AC964"/>
      <c r="AD964"/>
      <c r="AE964"/>
      <c r="AF964"/>
      <c r="AG964"/>
    </row>
  </sheetData>
  <mergeCells count="540">
    <mergeCell ref="B2:K3"/>
    <mergeCell ref="B5:D5"/>
    <mergeCell ref="R2:Y3"/>
    <mergeCell ref="R5:U5"/>
    <mergeCell ref="R7:Y7"/>
    <mergeCell ref="R10:U10"/>
    <mergeCell ref="R11:U11"/>
    <mergeCell ref="R12:U12"/>
    <mergeCell ref="R13:U13"/>
    <mergeCell ref="R14:U14"/>
    <mergeCell ref="R15:U15"/>
    <mergeCell ref="R16:U16"/>
    <mergeCell ref="R19:U19"/>
    <mergeCell ref="R20:U20"/>
    <mergeCell ref="R21:U21"/>
    <mergeCell ref="R22:U22"/>
    <mergeCell ref="R23:U23"/>
    <mergeCell ref="R24:U24"/>
    <mergeCell ref="R25:U25"/>
    <mergeCell ref="R26:U26"/>
    <mergeCell ref="R28:Y28"/>
    <mergeCell ref="R31:T32"/>
    <mergeCell ref="U31:U32"/>
    <mergeCell ref="V31:V32"/>
    <mergeCell ref="W31:W32"/>
    <mergeCell ref="X31:X32"/>
    <mergeCell ref="R33:T33"/>
    <mergeCell ref="R34:T34"/>
    <mergeCell ref="R35:T35"/>
    <mergeCell ref="R36:T36"/>
    <mergeCell ref="X39:X40"/>
    <mergeCell ref="R41:T41"/>
    <mergeCell ref="R42:T42"/>
    <mergeCell ref="R43:T43"/>
    <mergeCell ref="R39:T40"/>
    <mergeCell ref="U39:U40"/>
    <mergeCell ref="V39:V40"/>
    <mergeCell ref="W39:W40"/>
    <mergeCell ref="R44:T44"/>
    <mergeCell ref="R46:Y46"/>
    <mergeCell ref="R49:T50"/>
    <mergeCell ref="U49:U50"/>
    <mergeCell ref="V49:V50"/>
    <mergeCell ref="W49:W50"/>
    <mergeCell ref="X49:X50"/>
    <mergeCell ref="R51:T51"/>
    <mergeCell ref="R54:T55"/>
    <mergeCell ref="U54:U55"/>
    <mergeCell ref="V54:V55"/>
    <mergeCell ref="W54:W55"/>
    <mergeCell ref="X54:X55"/>
    <mergeCell ref="R56:T56"/>
    <mergeCell ref="R59:T60"/>
    <mergeCell ref="U59:U60"/>
    <mergeCell ref="V59:V60"/>
    <mergeCell ref="W59:W60"/>
    <mergeCell ref="X59:X60"/>
    <mergeCell ref="R61:T61"/>
    <mergeCell ref="R62:T62"/>
    <mergeCell ref="R64:Y64"/>
    <mergeCell ref="R67:T68"/>
    <mergeCell ref="U67:U68"/>
    <mergeCell ref="V67:V68"/>
    <mergeCell ref="W67:W68"/>
    <mergeCell ref="X67:X68"/>
    <mergeCell ref="R69:T69"/>
    <mergeCell ref="R70:T70"/>
    <mergeCell ref="R71:T71"/>
    <mergeCell ref="R74:T75"/>
    <mergeCell ref="U74:U75"/>
    <mergeCell ref="V74:V75"/>
    <mergeCell ref="W74:W75"/>
    <mergeCell ref="X74:X75"/>
    <mergeCell ref="R76:T76"/>
    <mergeCell ref="R77:T77"/>
    <mergeCell ref="R78:T78"/>
    <mergeCell ref="R80:Y80"/>
    <mergeCell ref="X83:X84"/>
    <mergeCell ref="R85:T85"/>
    <mergeCell ref="R86:T86"/>
    <mergeCell ref="R87:T87"/>
    <mergeCell ref="R83:T84"/>
    <mergeCell ref="U83:U84"/>
    <mergeCell ref="V83:V84"/>
    <mergeCell ref="W83:W84"/>
    <mergeCell ref="X90:X91"/>
    <mergeCell ref="R92:T92"/>
    <mergeCell ref="R93:T93"/>
    <mergeCell ref="R94:T94"/>
    <mergeCell ref="R90:T91"/>
    <mergeCell ref="U90:U91"/>
    <mergeCell ref="V90:V91"/>
    <mergeCell ref="W90:W91"/>
    <mergeCell ref="R96:Y96"/>
    <mergeCell ref="R100:T101"/>
    <mergeCell ref="U100:U101"/>
    <mergeCell ref="V100:V101"/>
    <mergeCell ref="W100:W101"/>
    <mergeCell ref="X100:X101"/>
    <mergeCell ref="R102:T102"/>
    <mergeCell ref="R103:T103"/>
    <mergeCell ref="R106:T107"/>
    <mergeCell ref="U106:U107"/>
    <mergeCell ref="V106:V107"/>
    <mergeCell ref="W106:W107"/>
    <mergeCell ref="X106:X107"/>
    <mergeCell ref="R108:T108"/>
    <mergeCell ref="R109:T109"/>
    <mergeCell ref="R112:T113"/>
    <mergeCell ref="U112:U113"/>
    <mergeCell ref="V112:V113"/>
    <mergeCell ref="W112:W113"/>
    <mergeCell ref="X112:X113"/>
    <mergeCell ref="R114:T114"/>
    <mergeCell ref="R115:T115"/>
    <mergeCell ref="V126:V127"/>
    <mergeCell ref="W126:W127"/>
    <mergeCell ref="X118:X119"/>
    <mergeCell ref="R120:T120"/>
    <mergeCell ref="R121:T121"/>
    <mergeCell ref="R123:Y123"/>
    <mergeCell ref="R118:T119"/>
    <mergeCell ref="U118:U119"/>
    <mergeCell ref="V118:V119"/>
    <mergeCell ref="W118:W119"/>
    <mergeCell ref="X126:X127"/>
    <mergeCell ref="R128:T128"/>
    <mergeCell ref="R130:Y130"/>
    <mergeCell ref="R132:T133"/>
    <mergeCell ref="U132:U133"/>
    <mergeCell ref="V132:V133"/>
    <mergeCell ref="W132:W133"/>
    <mergeCell ref="X132:X133"/>
    <mergeCell ref="R126:T127"/>
    <mergeCell ref="U126:U127"/>
    <mergeCell ref="R134:T134"/>
    <mergeCell ref="R135:T135"/>
    <mergeCell ref="R137:Y137"/>
    <mergeCell ref="R142:W142"/>
    <mergeCell ref="X143:X144"/>
    <mergeCell ref="R145:T145"/>
    <mergeCell ref="U145:U146"/>
    <mergeCell ref="R146:T146"/>
    <mergeCell ref="R143:T144"/>
    <mergeCell ref="U143:U144"/>
    <mergeCell ref="V143:V144"/>
    <mergeCell ref="W143:W144"/>
    <mergeCell ref="R147:T147"/>
    <mergeCell ref="R148:T148"/>
    <mergeCell ref="R149:X149"/>
    <mergeCell ref="R150:T151"/>
    <mergeCell ref="U150:U151"/>
    <mergeCell ref="V150:V151"/>
    <mergeCell ref="W150:W151"/>
    <mergeCell ref="X150:X151"/>
    <mergeCell ref="R152:T152"/>
    <mergeCell ref="U152:U154"/>
    <mergeCell ref="R153:T153"/>
    <mergeCell ref="R154:T154"/>
    <mergeCell ref="R155:X155"/>
    <mergeCell ref="R156:T157"/>
    <mergeCell ref="U156:U157"/>
    <mergeCell ref="V156:V157"/>
    <mergeCell ref="W156:W157"/>
    <mergeCell ref="X156:X157"/>
    <mergeCell ref="V162:V163"/>
    <mergeCell ref="W162:W163"/>
    <mergeCell ref="R158:T158"/>
    <mergeCell ref="U158:U160"/>
    <mergeCell ref="R159:T159"/>
    <mergeCell ref="R160:T160"/>
    <mergeCell ref="X162:X163"/>
    <mergeCell ref="R164:T164"/>
    <mergeCell ref="R165:T165"/>
    <mergeCell ref="R167:T168"/>
    <mergeCell ref="U167:U168"/>
    <mergeCell ref="V167:V168"/>
    <mergeCell ref="W167:W168"/>
    <mergeCell ref="X167:X168"/>
    <mergeCell ref="R162:T163"/>
    <mergeCell ref="U162:U163"/>
    <mergeCell ref="R174:T174"/>
    <mergeCell ref="R179:T179"/>
    <mergeCell ref="R180:T180"/>
    <mergeCell ref="R175:T175"/>
    <mergeCell ref="R177:T178"/>
    <mergeCell ref="R169:T169"/>
    <mergeCell ref="R170:T170"/>
    <mergeCell ref="R172:T173"/>
    <mergeCell ref="W177:W178"/>
    <mergeCell ref="X177:X178"/>
    <mergeCell ref="U177:U178"/>
    <mergeCell ref="V177:V178"/>
    <mergeCell ref="X183:X184"/>
    <mergeCell ref="X172:X173"/>
    <mergeCell ref="U172:U173"/>
    <mergeCell ref="V172:V173"/>
    <mergeCell ref="W172:W173"/>
    <mergeCell ref="R185:T185"/>
    <mergeCell ref="R186:T186"/>
    <mergeCell ref="R181:T181"/>
    <mergeCell ref="R183:T184"/>
    <mergeCell ref="W188:W189"/>
    <mergeCell ref="W183:W184"/>
    <mergeCell ref="V188:V189"/>
    <mergeCell ref="U183:U184"/>
    <mergeCell ref="V183:V184"/>
    <mergeCell ref="X188:X189"/>
    <mergeCell ref="V193:V194"/>
    <mergeCell ref="W193:W194"/>
    <mergeCell ref="X193:X194"/>
    <mergeCell ref="R188:T189"/>
    <mergeCell ref="U188:U189"/>
    <mergeCell ref="R190:T190"/>
    <mergeCell ref="R191:T191"/>
    <mergeCell ref="R193:T194"/>
    <mergeCell ref="U193:U194"/>
    <mergeCell ref="R195:T195"/>
    <mergeCell ref="R196:T196"/>
    <mergeCell ref="R198:T199"/>
    <mergeCell ref="U198:U199"/>
    <mergeCell ref="V198:V199"/>
    <mergeCell ref="W198:W199"/>
    <mergeCell ref="X198:X199"/>
    <mergeCell ref="R200:T200"/>
    <mergeCell ref="R201:T201"/>
    <mergeCell ref="R202:T202"/>
    <mergeCell ref="R204:Y208"/>
    <mergeCell ref="R210:W211"/>
    <mergeCell ref="X210:X211"/>
    <mergeCell ref="Y210:Y211"/>
    <mergeCell ref="Y213:Y214"/>
    <mergeCell ref="R215:U215"/>
    <mergeCell ref="R216:U216"/>
    <mergeCell ref="R217:U217"/>
    <mergeCell ref="R213:U214"/>
    <mergeCell ref="V213:V214"/>
    <mergeCell ref="W213:W214"/>
    <mergeCell ref="X213:X214"/>
    <mergeCell ref="R218:U218"/>
    <mergeCell ref="R219:U219"/>
    <mergeCell ref="R220:U220"/>
    <mergeCell ref="R221:U221"/>
    <mergeCell ref="R222:U222"/>
    <mergeCell ref="R223:U223"/>
    <mergeCell ref="R224:U224"/>
    <mergeCell ref="R225:U225"/>
    <mergeCell ref="R226:U226"/>
    <mergeCell ref="R227:U227"/>
    <mergeCell ref="R228:U228"/>
    <mergeCell ref="R229:U229"/>
    <mergeCell ref="R231:U231"/>
    <mergeCell ref="R235:T236"/>
    <mergeCell ref="U235:U236"/>
    <mergeCell ref="V235:V236"/>
    <mergeCell ref="W235:W236"/>
    <mergeCell ref="X235:X236"/>
    <mergeCell ref="R237:T237"/>
    <mergeCell ref="U237:U239"/>
    <mergeCell ref="R238:T238"/>
    <mergeCell ref="R239:T239"/>
    <mergeCell ref="X241:X242"/>
    <mergeCell ref="R243:T243"/>
    <mergeCell ref="U243:U245"/>
    <mergeCell ref="R244:T244"/>
    <mergeCell ref="R245:T245"/>
    <mergeCell ref="R241:T242"/>
    <mergeCell ref="U241:U242"/>
    <mergeCell ref="V241:V242"/>
    <mergeCell ref="W241:W242"/>
    <mergeCell ref="X247:X248"/>
    <mergeCell ref="R249:T249"/>
    <mergeCell ref="U249:U251"/>
    <mergeCell ref="R250:T250"/>
    <mergeCell ref="R251:T251"/>
    <mergeCell ref="R247:T248"/>
    <mergeCell ref="U247:U248"/>
    <mergeCell ref="V247:V248"/>
    <mergeCell ref="W247:W248"/>
    <mergeCell ref="X254:X255"/>
    <mergeCell ref="R257:T257"/>
    <mergeCell ref="R260:Y260"/>
    <mergeCell ref="R264:S265"/>
    <mergeCell ref="U264:V264"/>
    <mergeCell ref="U265:V265"/>
    <mergeCell ref="R254:T255"/>
    <mergeCell ref="U254:U255"/>
    <mergeCell ref="V254:V255"/>
    <mergeCell ref="W254:W255"/>
    <mergeCell ref="X267:X268"/>
    <mergeCell ref="R268:R271"/>
    <mergeCell ref="S268:T268"/>
    <mergeCell ref="S269:T269"/>
    <mergeCell ref="S270:T270"/>
    <mergeCell ref="S271:T271"/>
    <mergeCell ref="R267:T267"/>
    <mergeCell ref="U267:U268"/>
    <mergeCell ref="V267:V268"/>
    <mergeCell ref="W267:W268"/>
    <mergeCell ref="R272:X272"/>
    <mergeCell ref="R273:T273"/>
    <mergeCell ref="U273:U274"/>
    <mergeCell ref="V273:V274"/>
    <mergeCell ref="W273:W274"/>
    <mergeCell ref="X273:X274"/>
    <mergeCell ref="R274:R277"/>
    <mergeCell ref="S274:T274"/>
    <mergeCell ref="S275:T275"/>
    <mergeCell ref="S276:T276"/>
    <mergeCell ref="S277:T277"/>
    <mergeCell ref="R278:X278"/>
    <mergeCell ref="R279:T279"/>
    <mergeCell ref="U279:U280"/>
    <mergeCell ref="V279:V280"/>
    <mergeCell ref="W279:W280"/>
    <mergeCell ref="X279:X280"/>
    <mergeCell ref="R280:R283"/>
    <mergeCell ref="S280:T280"/>
    <mergeCell ref="S281:T281"/>
    <mergeCell ref="S282:T282"/>
    <mergeCell ref="S283:T283"/>
    <mergeCell ref="R286:U287"/>
    <mergeCell ref="V286:V287"/>
    <mergeCell ref="W286:W287"/>
    <mergeCell ref="X286:X287"/>
    <mergeCell ref="Y286:Y287"/>
    <mergeCell ref="R288:U288"/>
    <mergeCell ref="R289:U289"/>
    <mergeCell ref="R290:U290"/>
    <mergeCell ref="R291:U291"/>
    <mergeCell ref="R292:U292"/>
    <mergeCell ref="R293:U293"/>
    <mergeCell ref="R294:U294"/>
    <mergeCell ref="R295:U295"/>
    <mergeCell ref="R296:U296"/>
    <mergeCell ref="R297:U297"/>
    <mergeCell ref="R298:U298"/>
    <mergeCell ref="R299:U299"/>
    <mergeCell ref="T301:U301"/>
    <mergeCell ref="T302:U302"/>
    <mergeCell ref="R305:V305"/>
    <mergeCell ref="R306:R307"/>
    <mergeCell ref="S306:S307"/>
    <mergeCell ref="T306:T307"/>
    <mergeCell ref="U306:U307"/>
    <mergeCell ref="V306:V307"/>
    <mergeCell ref="R316:W318"/>
    <mergeCell ref="R336:S339"/>
    <mergeCell ref="T336:T337"/>
    <mergeCell ref="R319:W319"/>
    <mergeCell ref="R320:W320"/>
    <mergeCell ref="R322:S326"/>
    <mergeCell ref="T322:T324"/>
    <mergeCell ref="U322:U324"/>
    <mergeCell ref="V322:V324"/>
    <mergeCell ref="W322:W324"/>
    <mergeCell ref="R328:W328"/>
    <mergeCell ref="R329:S332"/>
    <mergeCell ref="T329:T330"/>
    <mergeCell ref="U329:U330"/>
    <mergeCell ref="V329:V330"/>
    <mergeCell ref="W329:W330"/>
    <mergeCell ref="T342:T343"/>
    <mergeCell ref="U342:U343"/>
    <mergeCell ref="V342:V343"/>
    <mergeCell ref="W342:W343"/>
    <mergeCell ref="U336:U337"/>
    <mergeCell ref="R348:W348"/>
    <mergeCell ref="R341:W341"/>
    <mergeCell ref="R342:S345"/>
    <mergeCell ref="V336:V337"/>
    <mergeCell ref="W336:W337"/>
    <mergeCell ref="R365:S368"/>
    <mergeCell ref="T365:T366"/>
    <mergeCell ref="R349:W349"/>
    <mergeCell ref="R351:S355"/>
    <mergeCell ref="T351:T353"/>
    <mergeCell ref="U351:U353"/>
    <mergeCell ref="V351:V353"/>
    <mergeCell ref="W351:W353"/>
    <mergeCell ref="R357:W357"/>
    <mergeCell ref="R358:S361"/>
    <mergeCell ref="T358:T359"/>
    <mergeCell ref="U358:U359"/>
    <mergeCell ref="V358:V359"/>
    <mergeCell ref="W358:W359"/>
    <mergeCell ref="T371:T372"/>
    <mergeCell ref="U371:U372"/>
    <mergeCell ref="V371:V372"/>
    <mergeCell ref="W371:W372"/>
    <mergeCell ref="U365:U366"/>
    <mergeCell ref="R377:W377"/>
    <mergeCell ref="R370:W370"/>
    <mergeCell ref="R371:S374"/>
    <mergeCell ref="V365:V366"/>
    <mergeCell ref="W365:W366"/>
    <mergeCell ref="R394:S397"/>
    <mergeCell ref="T394:T395"/>
    <mergeCell ref="R378:W378"/>
    <mergeCell ref="R380:S384"/>
    <mergeCell ref="T380:T382"/>
    <mergeCell ref="U380:U382"/>
    <mergeCell ref="V380:V382"/>
    <mergeCell ref="W380:W382"/>
    <mergeCell ref="R386:W386"/>
    <mergeCell ref="R387:S390"/>
    <mergeCell ref="T387:T388"/>
    <mergeCell ref="U387:U388"/>
    <mergeCell ref="V387:V388"/>
    <mergeCell ref="W387:W388"/>
    <mergeCell ref="T400:T401"/>
    <mergeCell ref="U400:U401"/>
    <mergeCell ref="V400:V401"/>
    <mergeCell ref="W400:W401"/>
    <mergeCell ref="U394:U395"/>
    <mergeCell ref="R406:W406"/>
    <mergeCell ref="R399:W399"/>
    <mergeCell ref="R400:S403"/>
    <mergeCell ref="V394:V395"/>
    <mergeCell ref="W394:W395"/>
    <mergeCell ref="R407:W407"/>
    <mergeCell ref="R409:S413"/>
    <mergeCell ref="T409:T411"/>
    <mergeCell ref="U409:U411"/>
    <mergeCell ref="V409:V411"/>
    <mergeCell ref="W409:W411"/>
    <mergeCell ref="V423:V424"/>
    <mergeCell ref="R415:W415"/>
    <mergeCell ref="R416:S419"/>
    <mergeCell ref="T416:T417"/>
    <mergeCell ref="U416:U417"/>
    <mergeCell ref="V416:V417"/>
    <mergeCell ref="W416:W417"/>
    <mergeCell ref="W423:W424"/>
    <mergeCell ref="R423:S426"/>
    <mergeCell ref="T423:T424"/>
    <mergeCell ref="U423:U424"/>
    <mergeCell ref="R435:W437"/>
    <mergeCell ref="R438:W438"/>
    <mergeCell ref="R439:W439"/>
    <mergeCell ref="R428:W428"/>
    <mergeCell ref="R429:S432"/>
    <mergeCell ref="T429:T430"/>
    <mergeCell ref="U429:U430"/>
    <mergeCell ref="V429:V430"/>
    <mergeCell ref="W429:W430"/>
    <mergeCell ref="R441:S445"/>
    <mergeCell ref="T441:T443"/>
    <mergeCell ref="U441:U443"/>
    <mergeCell ref="V441:V443"/>
    <mergeCell ref="W441:W443"/>
    <mergeCell ref="V455:V456"/>
    <mergeCell ref="R447:W447"/>
    <mergeCell ref="R448:S451"/>
    <mergeCell ref="T448:T449"/>
    <mergeCell ref="U448:U449"/>
    <mergeCell ref="V448:V449"/>
    <mergeCell ref="W448:W449"/>
    <mergeCell ref="W455:W456"/>
    <mergeCell ref="R455:S458"/>
    <mergeCell ref="T455:T456"/>
    <mergeCell ref="U455:U456"/>
    <mergeCell ref="R467:W467"/>
    <mergeCell ref="R468:W468"/>
    <mergeCell ref="R460:W460"/>
    <mergeCell ref="R461:S464"/>
    <mergeCell ref="T461:T462"/>
    <mergeCell ref="U461:U462"/>
    <mergeCell ref="V461:V462"/>
    <mergeCell ref="W461:W462"/>
    <mergeCell ref="R470:S474"/>
    <mergeCell ref="T470:T472"/>
    <mergeCell ref="U470:U472"/>
    <mergeCell ref="V470:V472"/>
    <mergeCell ref="W470:W472"/>
    <mergeCell ref="V484:V485"/>
    <mergeCell ref="R476:W476"/>
    <mergeCell ref="R477:S480"/>
    <mergeCell ref="T477:T478"/>
    <mergeCell ref="U477:U478"/>
    <mergeCell ref="V477:V478"/>
    <mergeCell ref="W477:W478"/>
    <mergeCell ref="W484:W485"/>
    <mergeCell ref="R484:S487"/>
    <mergeCell ref="T484:T485"/>
    <mergeCell ref="U484:U485"/>
    <mergeCell ref="R496:W496"/>
    <mergeCell ref="R497:W497"/>
    <mergeCell ref="R489:W489"/>
    <mergeCell ref="R490:S493"/>
    <mergeCell ref="T490:T491"/>
    <mergeCell ref="U490:U491"/>
    <mergeCell ref="V490:V491"/>
    <mergeCell ref="W490:W491"/>
    <mergeCell ref="R499:S503"/>
    <mergeCell ref="T499:T501"/>
    <mergeCell ref="U499:U501"/>
    <mergeCell ref="V499:V501"/>
    <mergeCell ref="W499:W501"/>
    <mergeCell ref="V513:V514"/>
    <mergeCell ref="R505:W505"/>
    <mergeCell ref="R506:S509"/>
    <mergeCell ref="T506:T507"/>
    <mergeCell ref="U506:U507"/>
    <mergeCell ref="V506:V507"/>
    <mergeCell ref="W506:W507"/>
    <mergeCell ref="W513:W514"/>
    <mergeCell ref="R513:S516"/>
    <mergeCell ref="T513:T514"/>
    <mergeCell ref="U513:U514"/>
    <mergeCell ref="R525:W525"/>
    <mergeCell ref="R526:W526"/>
    <mergeCell ref="R518:W518"/>
    <mergeCell ref="R519:S522"/>
    <mergeCell ref="T519:T520"/>
    <mergeCell ref="U519:U520"/>
    <mergeCell ref="V519:V520"/>
    <mergeCell ref="W519:W520"/>
    <mergeCell ref="R528:S532"/>
    <mergeCell ref="T528:T530"/>
    <mergeCell ref="U528:U530"/>
    <mergeCell ref="V528:V530"/>
    <mergeCell ref="W528:W530"/>
    <mergeCell ref="V542:V543"/>
    <mergeCell ref="R534:W534"/>
    <mergeCell ref="R535:S538"/>
    <mergeCell ref="T535:T536"/>
    <mergeCell ref="U535:U536"/>
    <mergeCell ref="V535:V536"/>
    <mergeCell ref="W535:W536"/>
    <mergeCell ref="W542:W543"/>
    <mergeCell ref="R542:S545"/>
    <mergeCell ref="T542:T543"/>
    <mergeCell ref="U542:U543"/>
    <mergeCell ref="R547:W547"/>
    <mergeCell ref="R548:S551"/>
    <mergeCell ref="T548:T549"/>
    <mergeCell ref="U548:U549"/>
    <mergeCell ref="V548:V549"/>
    <mergeCell ref="W548:W549"/>
  </mergeCells>
  <phoneticPr fontId="0" type="noConversion"/>
  <conditionalFormatting sqref="U108:X109">
    <cfRule type="cellIs" dxfId="271" priority="1" stopIfTrue="1" operator="equal">
      <formula>"yes"</formula>
    </cfRule>
    <cfRule type="cellIs" dxfId="270" priority="2" stopIfTrue="1" operator="equal">
      <formula>"no"</formula>
    </cfRule>
  </conditionalFormatting>
  <conditionalFormatting sqref="X254:X255 X106:X107 X247:X248 X49:X50 X235:X236 X54:X55 X67:X68 X74:X75 X100:X101 X112:X113 X118:X119 X132:X133 X279:X280 X126:X127 X241:X242 X59:X60 Y286:Y287 S306:S307 X143:X144 X183:X184 X177:X178 X267:X268 X273:X274 Y213:Y214 X83 X90 X156:X157 X150:X151 X198:X199 X162:X163 X167:X168 X172:X173 X188:X189 X193:X194">
    <cfRule type="cellIs" dxfId="269" priority="3" stopIfTrue="1" operator="equal">
      <formula>$U$31</formula>
    </cfRule>
    <cfRule type="cellIs" dxfId="268" priority="4" stopIfTrue="1" operator="equal">
      <formula>$W$31</formula>
    </cfRule>
    <cfRule type="cellIs" dxfId="267" priority="5" stopIfTrue="1" operator="equal">
      <formula>$Y$31</formula>
    </cfRule>
  </conditionalFormatting>
  <conditionalFormatting sqref="R36 R44">
    <cfRule type="cellIs" dxfId="266" priority="6" stopIfTrue="1" operator="equal">
      <formula>$AI$31</formula>
    </cfRule>
    <cfRule type="cellIs" dxfId="265" priority="7" stopIfTrue="1" operator="equal">
      <formula>$AK$31</formula>
    </cfRule>
    <cfRule type="cellIs" dxfId="264" priority="8" stopIfTrue="1" operator="equal">
      <formula>$AM$31</formula>
    </cfRule>
  </conditionalFormatting>
  <conditionalFormatting sqref="V106:V107 V247:V248 V49:V50 V241:V242 V54:V55 V59:V60 V67:V68 V74:V75 W286:W287 V100:V101 V112:V113 V118:V119 V126:V127 V132:V133 V279:V280 V235:V236 V254:V255 T306:T307 V143:V144 V183:V184 V177:V178 V267:V268 V273:V274 W213:W214 V83 V90 V156:V157 V150:V151 V198:V199 V162:V163 V167:V168 V172:V173 V188:V189 V193:V194">
    <cfRule type="cellIs" dxfId="263" priority="9" stopIfTrue="1" operator="equal">
      <formula>$R$6</formula>
    </cfRule>
    <cfRule type="cellIs" dxfId="262" priority="10" stopIfTrue="1" operator="equal">
      <formula>$V$33</formula>
    </cfRule>
    <cfRule type="cellIs" dxfId="261" priority="11" stopIfTrue="1" operator="equal">
      <formula>$R$8</formula>
    </cfRule>
  </conditionalFormatting>
  <conditionalFormatting sqref="W106:W107 W126:W127 W247:W248 W49:W50 W241:W242 W54:W55 W59:W60 W67:W68 W74:W75 X286:X287 W100:W101 W112:W113 W118:W119 W132:W133 W279:W280 W235:W236 W254:W255 U306:U307 W143:W144 W183:W184 W177:W178 W267:W268 W273:W274 X213:X214 W83 W90 W156:W157 W150:W151 W198:W199 W162:W163 W167:W168 W172:W173 W188:W189 W193:W194">
    <cfRule type="cellIs" dxfId="260" priority="12" stopIfTrue="1" operator="equal">
      <formula>$R$6</formula>
    </cfRule>
    <cfRule type="cellIs" dxfId="259" priority="13" stopIfTrue="1" operator="equal">
      <formula>$R$7</formula>
    </cfRule>
    <cfRule type="cellIs" dxfId="258" priority="14" stopIfTrue="1" operator="equal">
      <formula>$W$33</formula>
    </cfRule>
  </conditionalFormatting>
  <conditionalFormatting sqref="R34 R42">
    <cfRule type="cellIs" dxfId="257" priority="15" stopIfTrue="1" operator="equal">
      <formula>$AF$6</formula>
    </cfRule>
    <cfRule type="cellIs" dxfId="256" priority="16" stopIfTrue="1" operator="equal">
      <formula>$AJ$33</formula>
    </cfRule>
    <cfRule type="cellIs" dxfId="255" priority="17" stopIfTrue="1" operator="equal">
      <formula>$AF$8</formula>
    </cfRule>
  </conditionalFormatting>
  <conditionalFormatting sqref="R35 R43">
    <cfRule type="cellIs" dxfId="254" priority="18" stopIfTrue="1" operator="equal">
      <formula>$AF$6</formula>
    </cfRule>
    <cfRule type="cellIs" dxfId="253" priority="19" stopIfTrue="1" operator="equal">
      <formula>$AF$7</formula>
    </cfRule>
    <cfRule type="cellIs" dxfId="252" priority="20" stopIfTrue="1" operator="equal">
      <formula>$AK$33</formula>
    </cfRule>
  </conditionalFormatting>
  <pageMargins left="0" right="0" top="0.59055118110236227" bottom="0.39370078740157483" header="0.51181102362204722" footer="0.51181102362204722"/>
  <pageSetup paperSize="9" scale="96" fitToHeight="6"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sheetPr>
    <pageSetUpPr autoPageBreaks="0"/>
  </sheetPr>
  <dimension ref="A1:P590"/>
  <sheetViews>
    <sheetView showRowColHeaders="0" topLeftCell="A281" workbookViewId="0">
      <selection activeCell="B121" sqref="B121"/>
    </sheetView>
  </sheetViews>
  <sheetFormatPr defaultRowHeight="12.75"/>
  <cols>
    <col min="1" max="1" width="10.7109375" customWidth="1"/>
    <col min="2" max="10" width="11.7109375" customWidth="1"/>
    <col min="11" max="12" width="10.7109375" customWidth="1"/>
    <col min="15" max="15" width="2.7109375" customWidth="1"/>
  </cols>
  <sheetData>
    <row r="1" spans="1:16" ht="6" customHeight="1" thickBot="1">
      <c r="A1" s="114"/>
      <c r="B1" s="114"/>
      <c r="C1" s="114"/>
      <c r="D1" s="114"/>
      <c r="E1" s="114"/>
      <c r="F1" s="114"/>
      <c r="G1" s="114"/>
      <c r="H1" s="114"/>
      <c r="I1" s="114"/>
      <c r="J1" s="114"/>
      <c r="K1" s="114"/>
      <c r="L1" s="114"/>
      <c r="M1" s="114"/>
      <c r="N1" s="114"/>
    </row>
    <row r="2" spans="1:16" ht="18.75" thickTop="1">
      <c r="A2" s="114"/>
      <c r="B2" s="753" t="s">
        <v>272</v>
      </c>
      <c r="C2" s="754"/>
      <c r="D2" s="754"/>
      <c r="E2" s="754"/>
      <c r="F2" s="754"/>
      <c r="G2" s="754"/>
      <c r="H2" s="754"/>
      <c r="I2" s="754"/>
      <c r="J2" s="755"/>
      <c r="K2" s="304"/>
      <c r="L2" s="114"/>
      <c r="M2" s="114"/>
      <c r="N2" s="114"/>
      <c r="O2" s="10"/>
      <c r="P2" s="10"/>
    </row>
    <row r="3" spans="1:16" ht="18.75" thickBot="1">
      <c r="A3" s="114"/>
      <c r="B3" s="756"/>
      <c r="C3" s="757"/>
      <c r="D3" s="757"/>
      <c r="E3" s="757"/>
      <c r="F3" s="757"/>
      <c r="G3" s="757"/>
      <c r="H3" s="757"/>
      <c r="I3" s="757"/>
      <c r="J3" s="758"/>
      <c r="K3" s="304"/>
      <c r="L3" s="114"/>
      <c r="M3" s="114"/>
      <c r="N3" s="114"/>
      <c r="O3" s="10"/>
      <c r="P3" s="10"/>
    </row>
    <row r="4" spans="1:16" ht="13.5" thickTop="1">
      <c r="A4" s="114"/>
      <c r="B4" s="316"/>
      <c r="C4" s="316"/>
      <c r="D4" s="316"/>
      <c r="E4" s="316"/>
      <c r="F4" s="316"/>
      <c r="G4" s="316"/>
      <c r="H4" s="316"/>
      <c r="I4" s="316"/>
      <c r="J4" s="316"/>
      <c r="K4" s="316"/>
      <c r="L4" s="114"/>
      <c r="M4" s="114"/>
      <c r="N4" s="114"/>
    </row>
    <row r="5" spans="1:16" ht="14.25" customHeight="1">
      <c r="A5" s="114"/>
      <c r="B5" s="764" t="s">
        <v>877</v>
      </c>
      <c r="C5" s="764"/>
      <c r="D5" s="764"/>
      <c r="E5" s="764"/>
      <c r="F5" s="764"/>
      <c r="G5" s="764"/>
      <c r="H5" s="764"/>
      <c r="I5" s="764"/>
      <c r="J5" s="764"/>
      <c r="K5" s="506"/>
      <c r="L5" s="114"/>
      <c r="M5" s="114"/>
      <c r="N5" s="114"/>
    </row>
    <row r="6" spans="1:16" ht="14.25" customHeight="1">
      <c r="A6" s="114"/>
      <c r="B6" s="764"/>
      <c r="C6" s="764"/>
      <c r="D6" s="764"/>
      <c r="E6" s="764"/>
      <c r="F6" s="764"/>
      <c r="G6" s="764"/>
      <c r="H6" s="764"/>
      <c r="I6" s="764"/>
      <c r="J6" s="764"/>
      <c r="K6" s="506"/>
      <c r="L6" s="114"/>
      <c r="M6" s="114"/>
      <c r="N6" s="114"/>
    </row>
    <row r="7" spans="1:16" ht="14.25" customHeight="1">
      <c r="A7" s="114"/>
      <c r="B7" s="764"/>
      <c r="C7" s="764"/>
      <c r="D7" s="764"/>
      <c r="E7" s="764"/>
      <c r="F7" s="764"/>
      <c r="G7" s="764"/>
      <c r="H7" s="764"/>
      <c r="I7" s="764"/>
      <c r="J7" s="764"/>
      <c r="K7" s="506"/>
      <c r="L7" s="114"/>
      <c r="M7" s="114"/>
      <c r="N7" s="114"/>
    </row>
    <row r="8" spans="1:16">
      <c r="A8" s="114"/>
      <c r="B8" s="506"/>
      <c r="C8" s="506"/>
      <c r="D8" s="506"/>
      <c r="E8" s="506"/>
      <c r="F8" s="506"/>
      <c r="G8" s="506"/>
      <c r="H8" s="506"/>
      <c r="I8" s="506"/>
      <c r="J8" s="506"/>
      <c r="K8" s="506"/>
      <c r="L8" s="114"/>
      <c r="M8" s="114"/>
      <c r="N8" s="114"/>
    </row>
    <row r="9" spans="1:16" ht="12.75" customHeight="1">
      <c r="A9" s="114"/>
      <c r="B9" s="764" t="s">
        <v>872</v>
      </c>
      <c r="C9" s="764"/>
      <c r="D9" s="764"/>
      <c r="E9" s="764"/>
      <c r="F9" s="764"/>
      <c r="G9" s="764"/>
      <c r="H9" s="764"/>
      <c r="I9" s="764"/>
      <c r="J9" s="764"/>
      <c r="K9" s="316"/>
      <c r="L9" s="114"/>
      <c r="M9" s="114"/>
      <c r="N9" s="114"/>
    </row>
    <row r="10" spans="1:16">
      <c r="A10" s="114"/>
      <c r="B10" s="764"/>
      <c r="C10" s="764"/>
      <c r="D10" s="764"/>
      <c r="E10" s="764"/>
      <c r="F10" s="764"/>
      <c r="G10" s="764"/>
      <c r="H10" s="764"/>
      <c r="I10" s="764"/>
      <c r="J10" s="764"/>
      <c r="K10" s="316"/>
      <c r="L10" s="114"/>
      <c r="M10" s="114"/>
      <c r="N10" s="114"/>
    </row>
    <row r="11" spans="1:16">
      <c r="A11" s="114"/>
      <c r="B11" s="764"/>
      <c r="C11" s="764"/>
      <c r="D11" s="764"/>
      <c r="E11" s="764"/>
      <c r="F11" s="764"/>
      <c r="G11" s="764"/>
      <c r="H11" s="764"/>
      <c r="I11" s="764"/>
      <c r="J11" s="764"/>
      <c r="K11" s="316"/>
      <c r="L11" s="114"/>
      <c r="M11" s="114"/>
      <c r="N11" s="114"/>
    </row>
    <row r="12" spans="1:16">
      <c r="A12" s="114"/>
      <c r="B12" s="764"/>
      <c r="C12" s="764"/>
      <c r="D12" s="764"/>
      <c r="E12" s="764"/>
      <c r="F12" s="764"/>
      <c r="G12" s="764"/>
      <c r="H12" s="764"/>
      <c r="I12" s="764"/>
      <c r="J12" s="764"/>
      <c r="K12" s="506"/>
      <c r="L12" s="114"/>
      <c r="M12" s="114"/>
      <c r="N12" s="114"/>
    </row>
    <row r="13" spans="1:16">
      <c r="A13" s="114"/>
      <c r="B13" s="764"/>
      <c r="C13" s="764"/>
      <c r="D13" s="764"/>
      <c r="E13" s="764"/>
      <c r="F13" s="764"/>
      <c r="G13" s="764"/>
      <c r="H13" s="764"/>
      <c r="I13" s="764"/>
      <c r="J13" s="764"/>
      <c r="K13" s="506"/>
      <c r="L13" s="114"/>
      <c r="M13" s="114"/>
      <c r="N13" s="114"/>
    </row>
    <row r="14" spans="1:16">
      <c r="A14" s="114"/>
      <c r="B14" s="506"/>
      <c r="C14" s="506"/>
      <c r="D14" s="506"/>
      <c r="E14" s="506"/>
      <c r="F14" s="506"/>
      <c r="G14" s="506"/>
      <c r="H14" s="506"/>
      <c r="I14" s="506"/>
      <c r="J14" s="506"/>
      <c r="K14" s="506"/>
      <c r="L14" s="114"/>
      <c r="M14" s="114"/>
      <c r="N14" s="114"/>
    </row>
    <row r="15" spans="1:16">
      <c r="A15" s="114"/>
      <c r="B15" s="114"/>
      <c r="C15" s="114"/>
      <c r="D15" s="114"/>
      <c r="E15" s="114"/>
      <c r="F15" s="114"/>
      <c r="G15" s="114"/>
      <c r="H15" s="114"/>
      <c r="I15" s="114"/>
      <c r="J15" s="114"/>
      <c r="K15" s="114"/>
      <c r="L15" s="114"/>
      <c r="M15" s="114"/>
      <c r="N15" s="114"/>
    </row>
    <row r="16" spans="1:16">
      <c r="A16" s="114"/>
      <c r="B16" s="114"/>
      <c r="C16" s="114"/>
      <c r="D16" s="114"/>
      <c r="E16" s="114"/>
      <c r="F16" s="114"/>
      <c r="G16" s="114"/>
      <c r="H16" s="114"/>
      <c r="I16" s="114"/>
      <c r="J16" s="114"/>
      <c r="K16" s="114"/>
      <c r="L16" s="114"/>
      <c r="M16" s="114"/>
      <c r="N16" s="114"/>
    </row>
    <row r="17" spans="1:14">
      <c r="A17" s="114"/>
      <c r="B17" s="114"/>
      <c r="C17" s="114"/>
      <c r="D17" s="114"/>
      <c r="E17" s="114"/>
      <c r="F17" s="114"/>
      <c r="G17" s="114"/>
      <c r="H17" s="114"/>
      <c r="I17" s="114"/>
      <c r="J17" s="114"/>
      <c r="K17" s="114"/>
      <c r="L17" s="114"/>
      <c r="M17" s="114"/>
      <c r="N17" s="114"/>
    </row>
    <row r="18" spans="1:14">
      <c r="A18" s="114"/>
      <c r="B18" s="114"/>
      <c r="C18" s="114"/>
      <c r="D18" s="114"/>
      <c r="E18" s="114"/>
      <c r="F18" s="114"/>
      <c r="G18" s="114"/>
      <c r="H18" s="114"/>
      <c r="I18" s="114"/>
      <c r="J18" s="114"/>
      <c r="K18" s="114"/>
      <c r="L18" s="114"/>
      <c r="M18" s="114"/>
      <c r="N18" s="114"/>
    </row>
    <row r="19" spans="1:14">
      <c r="A19" s="114"/>
      <c r="B19" s="114"/>
      <c r="C19" s="114"/>
      <c r="D19" s="114"/>
      <c r="E19" s="114"/>
      <c r="F19" s="114"/>
      <c r="G19" s="114"/>
      <c r="H19" s="114"/>
      <c r="I19" s="114"/>
      <c r="J19" s="114"/>
      <c r="K19" s="114"/>
      <c r="L19" s="114"/>
      <c r="M19" s="114"/>
      <c r="N19" s="114"/>
    </row>
    <row r="20" spans="1:14">
      <c r="A20" s="114"/>
      <c r="B20" s="114"/>
      <c r="C20" s="114"/>
      <c r="D20" s="114"/>
      <c r="E20" s="114"/>
      <c r="F20" s="114"/>
      <c r="G20" s="114"/>
      <c r="H20" s="114"/>
      <c r="I20" s="114"/>
      <c r="J20" s="114"/>
      <c r="K20" s="114"/>
      <c r="L20" s="114"/>
      <c r="M20" s="114"/>
      <c r="N20" s="114"/>
    </row>
    <row r="21" spans="1:14">
      <c r="A21" s="114"/>
      <c r="B21" s="114"/>
      <c r="C21" s="114"/>
      <c r="D21" s="114"/>
      <c r="E21" s="114"/>
      <c r="F21" s="114"/>
      <c r="G21" s="114"/>
      <c r="H21" s="114"/>
      <c r="I21" s="114"/>
      <c r="J21" s="114"/>
      <c r="K21" s="114"/>
      <c r="L21" s="114"/>
      <c r="M21" s="114"/>
      <c r="N21" s="114"/>
    </row>
    <row r="22" spans="1:14">
      <c r="A22" s="114"/>
      <c r="B22" s="114"/>
      <c r="C22" s="114"/>
      <c r="D22" s="114"/>
      <c r="E22" s="114"/>
      <c r="F22" s="114"/>
      <c r="G22" s="114"/>
      <c r="H22" s="114"/>
      <c r="I22" s="114"/>
      <c r="J22" s="114"/>
      <c r="K22" s="114"/>
      <c r="L22" s="114"/>
      <c r="M22" s="114"/>
      <c r="N22" s="114"/>
    </row>
    <row r="23" spans="1:14">
      <c r="A23" s="114"/>
      <c r="B23" s="114"/>
      <c r="C23" s="114"/>
      <c r="D23" s="114"/>
      <c r="E23" s="114"/>
      <c r="F23" s="114"/>
      <c r="G23" s="114"/>
      <c r="H23" s="114"/>
      <c r="I23" s="114"/>
      <c r="J23" s="114"/>
      <c r="K23" s="114"/>
      <c r="L23" s="114"/>
      <c r="M23" s="114"/>
      <c r="N23" s="114"/>
    </row>
    <row r="24" spans="1:14">
      <c r="A24" s="114"/>
      <c r="B24" s="114"/>
      <c r="C24" s="114"/>
      <c r="D24" s="114"/>
      <c r="E24" s="114"/>
      <c r="F24" s="114"/>
      <c r="G24" s="114"/>
      <c r="H24" s="114"/>
      <c r="I24" s="114"/>
      <c r="J24" s="114"/>
      <c r="K24" s="114"/>
      <c r="L24" s="114"/>
      <c r="M24" s="114"/>
      <c r="N24" s="114"/>
    </row>
    <row r="25" spans="1:14">
      <c r="A25" s="114"/>
      <c r="B25" s="114"/>
      <c r="C25" s="114"/>
      <c r="D25" s="114"/>
      <c r="E25" s="114"/>
      <c r="F25" s="114"/>
      <c r="G25" s="114"/>
      <c r="H25" s="114"/>
      <c r="I25" s="114"/>
      <c r="J25" s="114"/>
      <c r="K25" s="114"/>
      <c r="L25" s="114"/>
      <c r="M25" s="114"/>
      <c r="N25" s="114"/>
    </row>
    <row r="26" spans="1:14">
      <c r="A26" s="114"/>
      <c r="B26" s="114"/>
      <c r="C26" s="114"/>
      <c r="D26" s="114"/>
      <c r="E26" s="114"/>
      <c r="F26" s="114"/>
      <c r="G26" s="114"/>
      <c r="H26" s="114"/>
      <c r="I26" s="114"/>
      <c r="J26" s="114"/>
      <c r="K26" s="114"/>
      <c r="L26" s="462"/>
      <c r="M26" s="114"/>
      <c r="N26" s="114"/>
    </row>
    <row r="27" spans="1:14">
      <c r="A27" s="114"/>
      <c r="B27" s="114"/>
      <c r="C27" s="114"/>
      <c r="D27" s="114"/>
      <c r="E27" s="114"/>
      <c r="F27" s="114"/>
      <c r="G27" s="114"/>
      <c r="H27" s="114"/>
      <c r="I27" s="114"/>
      <c r="J27" s="114"/>
      <c r="K27" s="114"/>
      <c r="L27" s="114"/>
      <c r="M27" s="114"/>
      <c r="N27" s="114"/>
    </row>
    <row r="28" spans="1:14">
      <c r="A28" s="114"/>
      <c r="B28" s="114"/>
      <c r="C28" s="114"/>
      <c r="D28" s="114"/>
      <c r="E28" s="114"/>
      <c r="F28" s="114"/>
      <c r="G28" s="114"/>
      <c r="H28" s="114"/>
      <c r="I28" s="114"/>
      <c r="J28" s="114"/>
      <c r="K28" s="114"/>
      <c r="L28" s="114"/>
      <c r="M28" s="114"/>
      <c r="N28" s="114"/>
    </row>
    <row r="29" spans="1:14">
      <c r="A29" s="114"/>
      <c r="B29" s="114"/>
      <c r="C29" s="114"/>
      <c r="D29" s="114"/>
      <c r="E29" s="114"/>
      <c r="F29" s="114"/>
      <c r="G29" s="114"/>
      <c r="H29" s="114"/>
      <c r="I29" s="114"/>
      <c r="J29" s="114"/>
      <c r="K29" s="114"/>
      <c r="L29" s="114"/>
      <c r="M29" s="114"/>
      <c r="N29" s="114"/>
    </row>
    <row r="30" spans="1:14">
      <c r="A30" s="114"/>
      <c r="B30" s="114"/>
      <c r="C30" s="114"/>
      <c r="D30" s="114"/>
      <c r="E30" s="114"/>
      <c r="F30" s="114"/>
      <c r="G30" s="114"/>
      <c r="H30" s="114"/>
      <c r="I30" s="114"/>
      <c r="J30" s="114"/>
      <c r="K30" s="114"/>
      <c r="L30" s="114"/>
      <c r="M30" s="114"/>
      <c r="N30" s="114"/>
    </row>
    <row r="31" spans="1:14">
      <c r="A31" s="114"/>
      <c r="B31" s="114"/>
      <c r="C31" s="114"/>
      <c r="D31" s="114"/>
      <c r="E31" s="114"/>
      <c r="F31" s="114"/>
      <c r="G31" s="114"/>
      <c r="H31" s="114"/>
      <c r="I31" s="114"/>
      <c r="J31" s="114"/>
      <c r="K31" s="114"/>
      <c r="L31" s="114"/>
      <c r="M31" s="114"/>
      <c r="N31" s="114"/>
    </row>
    <row r="32" spans="1:14">
      <c r="A32" s="114"/>
      <c r="B32" s="114"/>
      <c r="C32" s="114"/>
      <c r="D32" s="114"/>
      <c r="E32" s="114"/>
      <c r="F32" s="114"/>
      <c r="G32" s="114"/>
      <c r="H32" s="114"/>
      <c r="I32" s="114"/>
      <c r="J32" s="114"/>
      <c r="K32" s="114"/>
      <c r="L32" s="114"/>
      <c r="M32" s="114"/>
      <c r="N32" s="114"/>
    </row>
    <row r="33" spans="1:14">
      <c r="A33" s="114"/>
      <c r="B33" s="114"/>
      <c r="C33" s="114"/>
      <c r="D33" s="114"/>
      <c r="E33" s="114"/>
      <c r="F33" s="114"/>
      <c r="G33" s="114"/>
      <c r="H33" s="114"/>
      <c r="I33" s="114"/>
      <c r="J33" s="114"/>
      <c r="K33" s="114"/>
      <c r="L33" s="114"/>
      <c r="M33" s="114"/>
      <c r="N33" s="114"/>
    </row>
    <row r="34" spans="1:14">
      <c r="A34" s="114"/>
      <c r="B34" s="114"/>
      <c r="C34" s="114"/>
      <c r="D34" s="114"/>
      <c r="E34" s="114"/>
      <c r="F34" s="114"/>
      <c r="G34" s="114"/>
      <c r="H34" s="114"/>
      <c r="I34" s="114"/>
      <c r="J34" s="114"/>
      <c r="K34" s="114"/>
      <c r="L34" s="114"/>
      <c r="M34" s="114"/>
      <c r="N34" s="114"/>
    </row>
    <row r="35" spans="1:14">
      <c r="A35" s="114"/>
      <c r="B35" s="114"/>
      <c r="C35" s="114"/>
      <c r="D35" s="114"/>
      <c r="E35" s="114"/>
      <c r="F35" s="114"/>
      <c r="G35" s="114"/>
      <c r="H35" s="114"/>
      <c r="I35" s="114"/>
      <c r="J35" s="114"/>
      <c r="K35" s="114"/>
      <c r="L35" s="114"/>
      <c r="M35" s="114"/>
      <c r="N35" s="114"/>
    </row>
    <row r="36" spans="1:14">
      <c r="A36" s="114"/>
      <c r="B36" s="114"/>
      <c r="C36" s="114"/>
      <c r="D36" s="114"/>
      <c r="E36" s="114"/>
      <c r="F36" s="114"/>
      <c r="G36" s="114"/>
      <c r="H36" s="114"/>
      <c r="I36" s="114"/>
      <c r="J36" s="114"/>
      <c r="K36" s="114"/>
      <c r="L36" s="114"/>
      <c r="M36" s="114"/>
      <c r="N36" s="114"/>
    </row>
    <row r="37" spans="1:14">
      <c r="A37" s="114"/>
      <c r="B37" s="114"/>
      <c r="C37" s="114"/>
      <c r="D37" s="114"/>
      <c r="E37" s="114"/>
      <c r="F37" s="114"/>
      <c r="G37" s="114"/>
      <c r="H37" s="114"/>
      <c r="I37" s="462"/>
      <c r="J37" s="114"/>
      <c r="K37" s="114"/>
      <c r="L37" s="114"/>
      <c r="M37" s="114"/>
      <c r="N37" s="114"/>
    </row>
    <row r="38" spans="1:14">
      <c r="A38" s="114"/>
      <c r="B38" s="114"/>
      <c r="C38" s="114"/>
      <c r="D38" s="114"/>
      <c r="E38" s="114"/>
      <c r="F38" s="114"/>
      <c r="G38" s="114"/>
      <c r="H38" s="114"/>
      <c r="I38" s="114"/>
      <c r="J38" s="114"/>
      <c r="K38" s="114"/>
      <c r="L38" s="114"/>
      <c r="M38" s="114"/>
      <c r="N38" s="114"/>
    </row>
    <row r="39" spans="1:14">
      <c r="A39" s="114"/>
      <c r="B39" s="114"/>
      <c r="C39" s="114"/>
      <c r="D39" s="114"/>
      <c r="E39" s="114"/>
      <c r="F39" s="114"/>
      <c r="G39" s="114"/>
      <c r="H39" s="114"/>
      <c r="I39" s="114"/>
      <c r="J39" s="114"/>
      <c r="K39" s="114"/>
      <c r="L39" s="114"/>
      <c r="M39" s="114"/>
      <c r="N39" s="114"/>
    </row>
    <row r="40" spans="1:14">
      <c r="A40" s="114"/>
      <c r="B40" s="114"/>
      <c r="C40" s="114"/>
      <c r="D40" s="114"/>
      <c r="E40" s="114"/>
      <c r="F40" s="114"/>
      <c r="G40" s="114"/>
      <c r="H40" s="114"/>
      <c r="I40" s="114"/>
      <c r="J40" s="114"/>
      <c r="K40" s="114"/>
      <c r="L40" s="114"/>
      <c r="M40" s="114"/>
      <c r="N40" s="114"/>
    </row>
    <row r="41" spans="1:14">
      <c r="A41" s="114"/>
      <c r="B41" s="114"/>
      <c r="C41" s="114"/>
      <c r="D41" s="114"/>
      <c r="E41" s="114"/>
      <c r="F41" s="114"/>
      <c r="G41" s="114"/>
      <c r="H41" s="114"/>
      <c r="I41" s="114"/>
      <c r="J41" s="114"/>
      <c r="K41" s="114"/>
      <c r="L41" s="114"/>
      <c r="M41" s="114"/>
      <c r="N41" s="114"/>
    </row>
    <row r="42" spans="1:14">
      <c r="A42" s="114"/>
      <c r="B42" s="114"/>
      <c r="C42" s="114"/>
      <c r="D42" s="114"/>
      <c r="E42" s="114"/>
      <c r="F42" s="114"/>
      <c r="G42" s="114"/>
      <c r="H42" s="114"/>
      <c r="I42" s="114"/>
      <c r="J42" s="114"/>
      <c r="K42" s="114"/>
      <c r="L42" s="114"/>
      <c r="M42" s="114"/>
      <c r="N42" s="114"/>
    </row>
    <row r="43" spans="1:14">
      <c r="A43" s="114"/>
      <c r="B43" s="114"/>
      <c r="C43" s="114"/>
      <c r="D43" s="114"/>
      <c r="E43" s="114"/>
      <c r="F43" s="114"/>
      <c r="G43" s="114"/>
      <c r="H43" s="114"/>
      <c r="I43" s="114"/>
      <c r="J43" s="114"/>
      <c r="K43" s="114"/>
      <c r="L43" s="114"/>
      <c r="M43" s="114"/>
      <c r="N43" s="114"/>
    </row>
    <row r="44" spans="1:14">
      <c r="A44" s="114"/>
      <c r="B44" s="114"/>
      <c r="C44" s="114"/>
      <c r="D44" s="114"/>
      <c r="E44" s="114"/>
      <c r="F44" s="114"/>
      <c r="G44" s="114"/>
      <c r="H44" s="114"/>
      <c r="I44" s="114"/>
      <c r="J44" s="114"/>
      <c r="K44" s="114"/>
      <c r="L44" s="114"/>
      <c r="M44" s="114"/>
      <c r="N44" s="114"/>
    </row>
    <row r="45" spans="1:14">
      <c r="A45" s="114"/>
      <c r="B45" s="114"/>
      <c r="C45" s="114"/>
      <c r="D45" s="114"/>
      <c r="E45" s="114"/>
      <c r="F45" s="114"/>
      <c r="G45" s="114"/>
      <c r="H45" s="114"/>
      <c r="I45" s="114"/>
      <c r="J45" s="114"/>
      <c r="K45" s="114"/>
      <c r="L45" s="114"/>
      <c r="M45" s="114"/>
      <c r="N45" s="114"/>
    </row>
    <row r="46" spans="1:14">
      <c r="A46" s="114"/>
      <c r="B46" s="114"/>
      <c r="C46" s="114"/>
      <c r="D46" s="114"/>
      <c r="E46" s="114"/>
      <c r="F46" s="114"/>
      <c r="G46" s="114"/>
      <c r="H46" s="114"/>
      <c r="I46" s="114"/>
      <c r="J46" s="114"/>
      <c r="K46" s="114"/>
      <c r="L46" s="114"/>
      <c r="M46" s="114"/>
      <c r="N46" s="114"/>
    </row>
    <row r="47" spans="1:14">
      <c r="A47" s="114"/>
      <c r="B47" s="114"/>
      <c r="C47" s="114"/>
      <c r="D47" s="114"/>
      <c r="E47" s="114"/>
      <c r="F47" s="114"/>
      <c r="G47" s="114"/>
      <c r="H47" s="114"/>
      <c r="I47" s="114"/>
      <c r="J47" s="114"/>
      <c r="K47" s="114"/>
      <c r="L47" s="114"/>
      <c r="M47" s="114"/>
      <c r="N47" s="114"/>
    </row>
    <row r="48" spans="1:14">
      <c r="A48" s="114"/>
      <c r="B48" s="114"/>
      <c r="C48" s="114"/>
      <c r="D48" s="114"/>
      <c r="E48" s="114"/>
      <c r="F48" s="114"/>
      <c r="G48" s="114"/>
      <c r="H48" s="114"/>
      <c r="I48" s="114"/>
      <c r="J48" s="114"/>
      <c r="K48" s="114"/>
      <c r="L48" s="114"/>
      <c r="M48" s="114"/>
      <c r="N48" s="114"/>
    </row>
    <row r="49" spans="1:14">
      <c r="A49" s="114"/>
      <c r="B49" s="114"/>
      <c r="C49" s="114"/>
      <c r="D49" s="114"/>
      <c r="E49" s="114"/>
      <c r="F49" s="114"/>
      <c r="G49" s="114"/>
      <c r="H49" s="114"/>
      <c r="I49" s="114"/>
      <c r="J49" s="114"/>
      <c r="K49" s="114"/>
      <c r="L49" s="114"/>
      <c r="M49" s="114"/>
      <c r="N49" s="114"/>
    </row>
    <row r="50" spans="1:14">
      <c r="A50" s="114"/>
      <c r="B50" s="114"/>
      <c r="C50" s="114"/>
      <c r="D50" s="114"/>
      <c r="E50" s="114"/>
      <c r="F50" s="114"/>
      <c r="G50" s="114"/>
      <c r="H50" s="114"/>
      <c r="I50" s="114"/>
      <c r="J50" s="114"/>
      <c r="K50" s="114"/>
      <c r="L50" s="114"/>
      <c r="M50" s="114"/>
      <c r="N50" s="114"/>
    </row>
    <row r="51" spans="1:14">
      <c r="A51" s="114"/>
      <c r="B51" s="114"/>
      <c r="C51" s="114"/>
      <c r="D51" s="114"/>
      <c r="E51" s="114"/>
      <c r="F51" s="114"/>
      <c r="G51" s="114"/>
      <c r="H51" s="114"/>
      <c r="I51" s="114"/>
      <c r="J51" s="114"/>
      <c r="K51" s="114"/>
      <c r="L51" s="114"/>
      <c r="M51" s="114"/>
      <c r="N51" s="114"/>
    </row>
    <row r="52" spans="1:14">
      <c r="A52" s="114"/>
      <c r="B52" s="114"/>
      <c r="C52" s="114"/>
      <c r="D52" s="114"/>
      <c r="E52" s="114"/>
      <c r="F52" s="114"/>
      <c r="G52" s="114"/>
      <c r="H52" s="114"/>
      <c r="I52" s="114"/>
      <c r="J52" s="114"/>
      <c r="K52" s="114"/>
      <c r="L52" s="114"/>
      <c r="M52" s="114"/>
      <c r="N52" s="114"/>
    </row>
    <row r="53" spans="1:14">
      <c r="A53" s="114"/>
      <c r="B53" s="114"/>
      <c r="C53" s="114"/>
      <c r="D53" s="114"/>
      <c r="E53" s="114"/>
      <c r="F53" s="114"/>
      <c r="G53" s="114"/>
      <c r="H53" s="114"/>
      <c r="I53" s="114"/>
      <c r="J53" s="114"/>
      <c r="K53" s="114"/>
      <c r="L53" s="114"/>
      <c r="M53" s="114"/>
      <c r="N53" s="114"/>
    </row>
    <row r="54" spans="1:14">
      <c r="A54" s="114"/>
      <c r="B54" s="114"/>
      <c r="C54" s="114"/>
      <c r="D54" s="114"/>
      <c r="E54" s="114"/>
      <c r="F54" s="114"/>
      <c r="G54" s="114"/>
      <c r="H54" s="114"/>
      <c r="I54" s="114"/>
      <c r="J54" s="114"/>
      <c r="K54" s="114"/>
      <c r="L54" s="114"/>
      <c r="M54" s="114"/>
      <c r="N54" s="114"/>
    </row>
    <row r="55" spans="1:14">
      <c r="A55" s="114"/>
      <c r="B55" s="114"/>
      <c r="C55" s="114"/>
      <c r="D55" s="114"/>
      <c r="E55" s="114"/>
      <c r="F55" s="114"/>
      <c r="G55" s="114"/>
      <c r="H55" s="114"/>
      <c r="I55" s="114"/>
      <c r="J55" s="114"/>
      <c r="K55" s="114"/>
      <c r="L55" s="114"/>
      <c r="M55" s="114"/>
      <c r="N55" s="114"/>
    </row>
    <row r="56" spans="1:14">
      <c r="A56" s="114"/>
      <c r="B56" s="114"/>
      <c r="C56" s="114"/>
      <c r="D56" s="114"/>
      <c r="E56" s="114"/>
      <c r="F56" s="114"/>
      <c r="G56" s="114"/>
      <c r="H56" s="114"/>
      <c r="I56" s="114"/>
      <c r="J56" s="114"/>
      <c r="K56" s="114"/>
      <c r="L56" s="114"/>
      <c r="M56" s="114"/>
      <c r="N56" s="114"/>
    </row>
    <row r="57" spans="1:14">
      <c r="A57" s="114"/>
      <c r="B57" s="114"/>
      <c r="C57" s="114"/>
      <c r="D57" s="114"/>
      <c r="E57" s="114"/>
      <c r="F57" s="114"/>
      <c r="G57" s="114"/>
      <c r="H57" s="114"/>
      <c r="I57" s="114"/>
      <c r="J57" s="114"/>
      <c r="K57" s="114"/>
      <c r="L57" s="114"/>
      <c r="M57" s="114"/>
      <c r="N57" s="114"/>
    </row>
    <row r="58" spans="1:14">
      <c r="A58" s="114"/>
      <c r="B58" s="114"/>
      <c r="C58" s="114"/>
      <c r="D58" s="114"/>
      <c r="E58" s="114"/>
      <c r="F58" s="114"/>
      <c r="G58" s="114"/>
      <c r="H58" s="114"/>
      <c r="I58" s="114"/>
      <c r="J58" s="114"/>
      <c r="K58" s="114"/>
      <c r="L58" s="114"/>
      <c r="M58" s="114"/>
      <c r="N58" s="114"/>
    </row>
    <row r="59" spans="1:14">
      <c r="A59" s="114"/>
      <c r="B59" s="114"/>
      <c r="C59" s="114"/>
      <c r="D59" s="114"/>
      <c r="E59" s="114"/>
      <c r="F59" s="114"/>
      <c r="G59" s="114"/>
      <c r="H59" s="114"/>
      <c r="I59" s="114"/>
      <c r="J59" s="114"/>
      <c r="K59" s="114"/>
      <c r="L59" s="114"/>
      <c r="M59" s="114"/>
      <c r="N59" s="114"/>
    </row>
    <row r="60" spans="1:14">
      <c r="A60" s="114"/>
      <c r="B60" s="114"/>
      <c r="C60" s="114"/>
      <c r="D60" s="114"/>
      <c r="E60" s="114"/>
      <c r="F60" s="114"/>
      <c r="G60" s="114"/>
      <c r="H60" s="114"/>
      <c r="I60" s="114"/>
      <c r="J60" s="114"/>
      <c r="K60" s="114"/>
      <c r="L60" s="114"/>
      <c r="M60" s="114"/>
      <c r="N60" s="114"/>
    </row>
    <row r="61" spans="1:14">
      <c r="A61" s="114"/>
      <c r="B61" s="114"/>
      <c r="C61" s="114"/>
      <c r="D61" s="114"/>
      <c r="E61" s="114"/>
      <c r="F61" s="114"/>
      <c r="G61" s="114"/>
      <c r="H61" s="114"/>
      <c r="I61" s="114"/>
      <c r="J61" s="114"/>
      <c r="K61" s="114"/>
      <c r="L61" s="114"/>
      <c r="M61" s="114"/>
      <c r="N61" s="114"/>
    </row>
    <row r="62" spans="1:14">
      <c r="A62" s="114"/>
      <c r="B62" s="114"/>
      <c r="C62" s="114"/>
      <c r="D62" s="114"/>
      <c r="E62" s="114"/>
      <c r="F62" s="114"/>
      <c r="G62" s="114"/>
      <c r="H62" s="114"/>
      <c r="I62" s="114"/>
      <c r="J62" s="114"/>
      <c r="K62" s="114"/>
      <c r="L62" s="114"/>
      <c r="M62" s="114"/>
      <c r="N62" s="114"/>
    </row>
    <row r="63" spans="1:14">
      <c r="A63" s="114"/>
      <c r="B63" s="114"/>
      <c r="C63" s="114"/>
      <c r="D63" s="114"/>
      <c r="E63" s="114"/>
      <c r="F63" s="114"/>
      <c r="G63" s="114"/>
      <c r="H63" s="114"/>
      <c r="I63" s="114"/>
      <c r="J63" s="114"/>
      <c r="K63" s="114"/>
      <c r="L63" s="114"/>
      <c r="M63" s="114"/>
      <c r="N63" s="114"/>
    </row>
    <row r="64" spans="1:14">
      <c r="A64" s="114"/>
      <c r="B64" s="509" t="s">
        <v>661</v>
      </c>
      <c r="C64" s="114"/>
      <c r="D64" s="114"/>
      <c r="E64" s="114"/>
      <c r="F64" s="114"/>
      <c r="G64" s="114"/>
      <c r="H64" s="114"/>
      <c r="I64" s="114"/>
      <c r="J64" s="114"/>
      <c r="K64" s="114"/>
      <c r="L64" s="114"/>
      <c r="M64" s="114"/>
      <c r="N64" s="114"/>
    </row>
    <row r="65" spans="1:14">
      <c r="A65" s="114"/>
      <c r="B65" s="308"/>
      <c r="C65" s="114"/>
      <c r="D65" s="114"/>
      <c r="E65" s="114"/>
      <c r="F65" s="114"/>
      <c r="G65" s="114"/>
      <c r="H65" s="114"/>
      <c r="I65" s="114"/>
      <c r="J65" s="114"/>
      <c r="K65" s="114"/>
      <c r="L65" s="114"/>
      <c r="M65" s="114"/>
      <c r="N65" s="114"/>
    </row>
    <row r="66" spans="1:14" ht="12.75" customHeight="1">
      <c r="A66" s="114"/>
      <c r="B66" s="764" t="s">
        <v>878</v>
      </c>
      <c r="C66" s="764"/>
      <c r="D66" s="764"/>
      <c r="E66" s="764"/>
      <c r="F66" s="764"/>
      <c r="G66" s="764"/>
      <c r="H66" s="764"/>
      <c r="I66" s="764"/>
      <c r="J66" s="764"/>
      <c r="K66" s="507"/>
      <c r="L66" s="114"/>
      <c r="M66" s="114"/>
      <c r="N66" s="114"/>
    </row>
    <row r="67" spans="1:14">
      <c r="A67" s="114"/>
      <c r="B67" s="764"/>
      <c r="C67" s="764"/>
      <c r="D67" s="764"/>
      <c r="E67" s="764"/>
      <c r="F67" s="764"/>
      <c r="G67" s="764"/>
      <c r="H67" s="764"/>
      <c r="I67" s="764"/>
      <c r="J67" s="764"/>
      <c r="K67" s="507"/>
      <c r="L67" s="114"/>
      <c r="M67" s="114"/>
      <c r="N67" s="114"/>
    </row>
    <row r="68" spans="1:14">
      <c r="A68" s="114"/>
      <c r="B68" s="764"/>
      <c r="C68" s="764"/>
      <c r="D68" s="764"/>
      <c r="E68" s="764"/>
      <c r="F68" s="764"/>
      <c r="G68" s="764"/>
      <c r="H68" s="764"/>
      <c r="I68" s="764"/>
      <c r="J68" s="764"/>
      <c r="K68" s="507"/>
      <c r="L68" s="114"/>
      <c r="M68" s="114"/>
      <c r="N68" s="114"/>
    </row>
    <row r="69" spans="1:14">
      <c r="A69" s="114"/>
      <c r="B69" s="764"/>
      <c r="C69" s="764"/>
      <c r="D69" s="764"/>
      <c r="E69" s="764"/>
      <c r="F69" s="764"/>
      <c r="G69" s="764"/>
      <c r="H69" s="764"/>
      <c r="I69" s="764"/>
      <c r="J69" s="764"/>
      <c r="K69" s="507"/>
      <c r="L69" s="114"/>
      <c r="M69" s="114"/>
      <c r="N69" s="114"/>
    </row>
    <row r="70" spans="1:14">
      <c r="A70" s="114"/>
      <c r="B70" s="114"/>
      <c r="C70" s="114"/>
      <c r="D70" s="114"/>
      <c r="E70" s="114"/>
      <c r="F70" s="114"/>
      <c r="G70" s="114"/>
      <c r="H70" s="114"/>
      <c r="I70" s="114"/>
      <c r="J70" s="114"/>
      <c r="K70" s="114"/>
      <c r="L70" s="114"/>
      <c r="M70" s="114"/>
      <c r="N70" s="114"/>
    </row>
    <row r="71" spans="1:14">
      <c r="A71" s="114"/>
      <c r="B71" s="114"/>
      <c r="C71" s="114"/>
      <c r="D71" s="114"/>
      <c r="E71" s="114"/>
      <c r="F71" s="114"/>
      <c r="G71" s="114"/>
      <c r="H71" s="114"/>
      <c r="I71" s="114"/>
      <c r="J71" s="114"/>
      <c r="K71" s="114"/>
      <c r="L71" s="114"/>
      <c r="M71" s="114"/>
      <c r="N71" s="114"/>
    </row>
    <row r="72" spans="1:14">
      <c r="A72" s="114"/>
      <c r="B72" s="114"/>
      <c r="C72" s="114"/>
      <c r="D72" s="114"/>
      <c r="E72" s="114"/>
      <c r="F72" s="114"/>
      <c r="G72" s="114"/>
      <c r="H72" s="114"/>
      <c r="I72" s="114"/>
      <c r="J72" s="114"/>
      <c r="K72" s="114"/>
      <c r="L72" s="114"/>
      <c r="M72" s="114"/>
      <c r="N72" s="114"/>
    </row>
    <row r="73" spans="1:14">
      <c r="A73" s="114"/>
      <c r="B73" s="114"/>
      <c r="C73" s="114"/>
      <c r="D73" s="114"/>
      <c r="E73" s="114"/>
      <c r="F73" s="114"/>
      <c r="G73" s="114"/>
      <c r="H73" s="114"/>
      <c r="I73" s="114"/>
      <c r="J73" s="114"/>
      <c r="K73" s="114"/>
      <c r="L73" s="114"/>
      <c r="M73" s="114"/>
      <c r="N73" s="114"/>
    </row>
    <row r="74" spans="1:14">
      <c r="A74" s="114"/>
      <c r="B74" s="114"/>
      <c r="C74" s="114"/>
      <c r="D74" s="114"/>
      <c r="E74" s="114"/>
      <c r="F74" s="114"/>
      <c r="G74" s="114"/>
      <c r="H74" s="114"/>
      <c r="I74" s="114"/>
      <c r="J74" s="114"/>
      <c r="K74" s="114"/>
      <c r="L74" s="114"/>
      <c r="M74" s="114"/>
      <c r="N74" s="114"/>
    </row>
    <row r="75" spans="1:14">
      <c r="A75" s="114"/>
      <c r="B75" s="114"/>
      <c r="C75" s="114"/>
      <c r="D75" s="114"/>
      <c r="E75" s="114"/>
      <c r="F75" s="114"/>
      <c r="G75" s="114"/>
      <c r="H75" s="114"/>
      <c r="I75" s="114"/>
      <c r="J75" s="114"/>
      <c r="K75" s="114"/>
      <c r="L75" s="462"/>
      <c r="M75" s="114"/>
      <c r="N75" s="114"/>
    </row>
    <row r="76" spans="1:14">
      <c r="A76" s="114"/>
      <c r="B76" s="114"/>
      <c r="C76" s="114"/>
      <c r="D76" s="114"/>
      <c r="E76" s="114"/>
      <c r="F76" s="114"/>
      <c r="G76" s="114"/>
      <c r="H76" s="114"/>
      <c r="I76" s="114"/>
      <c r="J76" s="114"/>
      <c r="K76" s="114"/>
      <c r="L76" s="462"/>
      <c r="M76" s="114"/>
      <c r="N76" s="114"/>
    </row>
    <row r="77" spans="1:14">
      <c r="A77" s="114"/>
      <c r="B77" s="114"/>
      <c r="C77" s="114"/>
      <c r="D77" s="114"/>
      <c r="E77" s="114"/>
      <c r="F77" s="114"/>
      <c r="G77" s="114"/>
      <c r="H77" s="114"/>
      <c r="I77" s="114"/>
      <c r="J77" s="114"/>
      <c r="K77" s="114"/>
      <c r="L77" s="114"/>
      <c r="M77" s="114"/>
      <c r="N77" s="114"/>
    </row>
    <row r="78" spans="1:14">
      <c r="A78" s="114"/>
      <c r="B78" s="114"/>
      <c r="C78" s="114"/>
      <c r="D78" s="114"/>
      <c r="E78" s="114"/>
      <c r="F78" s="114"/>
      <c r="G78" s="114"/>
      <c r="H78" s="114"/>
      <c r="I78" s="114"/>
      <c r="J78" s="114"/>
      <c r="K78" s="114"/>
      <c r="L78" s="114"/>
      <c r="M78" s="114"/>
      <c r="N78" s="114"/>
    </row>
    <row r="79" spans="1:14">
      <c r="A79" s="114"/>
      <c r="B79" s="114"/>
      <c r="C79" s="114"/>
      <c r="D79" s="114"/>
      <c r="E79" s="114"/>
      <c r="F79" s="114"/>
      <c r="G79" s="114"/>
      <c r="H79" s="114"/>
      <c r="I79" s="114"/>
      <c r="J79" s="114"/>
      <c r="K79" s="114"/>
      <c r="L79" s="114"/>
      <c r="M79" s="114"/>
      <c r="N79" s="114"/>
    </row>
    <row r="80" spans="1:14">
      <c r="A80" s="114"/>
      <c r="B80" s="114"/>
      <c r="C80" s="114"/>
      <c r="D80" s="114"/>
      <c r="E80" s="114"/>
      <c r="F80" s="114"/>
      <c r="G80" s="114"/>
      <c r="H80" s="114"/>
      <c r="I80" s="114"/>
      <c r="J80" s="114"/>
      <c r="K80" s="114"/>
      <c r="L80" s="114"/>
      <c r="M80" s="114"/>
      <c r="N80" s="114"/>
    </row>
    <row r="81" spans="1:14">
      <c r="A81" s="114"/>
      <c r="B81" s="114"/>
      <c r="C81" s="114"/>
      <c r="D81" s="114"/>
      <c r="E81" s="114"/>
      <c r="F81" s="114"/>
      <c r="G81" s="114"/>
      <c r="H81" s="114"/>
      <c r="I81" s="114"/>
      <c r="J81" s="114"/>
      <c r="K81" s="114"/>
      <c r="L81" s="114"/>
      <c r="M81" s="114"/>
      <c r="N81" s="114"/>
    </row>
    <row r="82" spans="1:14">
      <c r="A82" s="114"/>
      <c r="B82" s="114"/>
      <c r="C82" s="114"/>
      <c r="D82" s="114"/>
      <c r="E82" s="114"/>
      <c r="F82" s="114"/>
      <c r="G82" s="114"/>
      <c r="H82" s="114"/>
      <c r="I82" s="114"/>
      <c r="J82" s="114"/>
      <c r="K82" s="114"/>
      <c r="L82" s="114"/>
      <c r="M82" s="114"/>
      <c r="N82" s="114"/>
    </row>
    <row r="83" spans="1:14">
      <c r="A83" s="114"/>
      <c r="B83" s="114"/>
      <c r="C83" s="114"/>
      <c r="D83" s="114"/>
      <c r="E83" s="114"/>
      <c r="F83" s="114"/>
      <c r="G83" s="114"/>
      <c r="H83" s="114"/>
      <c r="I83" s="114"/>
      <c r="J83" s="114"/>
      <c r="K83" s="114"/>
      <c r="L83" s="114"/>
      <c r="M83" s="114"/>
      <c r="N83" s="114"/>
    </row>
    <row r="84" spans="1:14">
      <c r="A84" s="114"/>
      <c r="B84" s="114"/>
      <c r="C84" s="114"/>
      <c r="D84" s="114"/>
      <c r="E84" s="114"/>
      <c r="F84" s="114"/>
      <c r="G84" s="114"/>
      <c r="H84" s="114"/>
      <c r="I84" s="114"/>
      <c r="J84" s="114"/>
      <c r="K84" s="114"/>
      <c r="L84" s="114"/>
      <c r="M84" s="114"/>
      <c r="N84" s="114"/>
    </row>
    <row r="85" spans="1:14">
      <c r="A85" s="114"/>
      <c r="B85" s="114"/>
      <c r="C85" s="114"/>
      <c r="D85" s="114"/>
      <c r="E85" s="114"/>
      <c r="F85" s="114"/>
      <c r="G85" s="114"/>
      <c r="H85" s="114"/>
      <c r="I85" s="114"/>
      <c r="J85" s="114"/>
      <c r="K85" s="114"/>
      <c r="L85" s="114"/>
      <c r="M85" s="114"/>
      <c r="N85" s="114"/>
    </row>
    <row r="86" spans="1:14">
      <c r="A86" s="114"/>
      <c r="B86" s="114"/>
      <c r="C86" s="114"/>
      <c r="D86" s="114"/>
      <c r="E86" s="114"/>
      <c r="F86" s="114"/>
      <c r="G86" s="114"/>
      <c r="H86" s="114"/>
      <c r="I86" s="114"/>
      <c r="J86" s="114"/>
      <c r="K86" s="114"/>
      <c r="L86" s="114"/>
      <c r="M86" s="114"/>
      <c r="N86" s="114"/>
    </row>
    <row r="87" spans="1:14">
      <c r="A87" s="114"/>
      <c r="B87" s="114"/>
      <c r="C87" s="114"/>
      <c r="D87" s="114"/>
      <c r="E87" s="114"/>
      <c r="F87" s="114"/>
      <c r="G87" s="114"/>
      <c r="H87" s="114"/>
      <c r="I87" s="114"/>
      <c r="J87" s="114"/>
      <c r="K87" s="114"/>
      <c r="L87" s="114"/>
      <c r="M87" s="114"/>
      <c r="N87" s="114"/>
    </row>
    <row r="88" spans="1:14">
      <c r="A88" s="114"/>
      <c r="B88" s="114"/>
      <c r="C88" s="114"/>
      <c r="D88" s="114"/>
      <c r="E88" s="114"/>
      <c r="F88" s="114"/>
      <c r="G88" s="114"/>
      <c r="H88" s="114"/>
      <c r="I88" s="114"/>
      <c r="J88" s="114"/>
      <c r="K88" s="114"/>
      <c r="L88" s="114"/>
      <c r="M88" s="114"/>
      <c r="N88" s="114"/>
    </row>
    <row r="89" spans="1:14">
      <c r="A89" s="114"/>
      <c r="B89" s="114"/>
      <c r="C89" s="114"/>
      <c r="D89" s="114"/>
      <c r="E89" s="114"/>
      <c r="F89" s="114"/>
      <c r="G89" s="114"/>
      <c r="H89" s="114"/>
      <c r="I89" s="114"/>
      <c r="J89" s="114"/>
      <c r="K89" s="114"/>
      <c r="L89" s="114"/>
      <c r="M89" s="114"/>
      <c r="N89" s="114"/>
    </row>
    <row r="90" spans="1:14">
      <c r="A90" s="114"/>
      <c r="B90" s="114"/>
      <c r="C90" s="114"/>
      <c r="D90" s="114"/>
      <c r="E90" s="114"/>
      <c r="F90" s="114"/>
      <c r="G90" s="114"/>
      <c r="H90" s="114"/>
      <c r="I90" s="114"/>
      <c r="J90" s="114"/>
      <c r="K90" s="114"/>
      <c r="L90" s="114"/>
      <c r="M90" s="114"/>
      <c r="N90" s="114"/>
    </row>
    <row r="91" spans="1:14">
      <c r="A91" s="114"/>
      <c r="B91" s="114"/>
      <c r="C91" s="114"/>
      <c r="D91" s="114"/>
      <c r="E91" s="114"/>
      <c r="F91" s="114"/>
      <c r="G91" s="114"/>
      <c r="H91" s="114"/>
      <c r="I91" s="114"/>
      <c r="J91" s="114"/>
      <c r="K91" s="114"/>
      <c r="L91" s="114"/>
      <c r="M91" s="114"/>
      <c r="N91" s="114"/>
    </row>
    <row r="92" spans="1:14">
      <c r="A92" s="114"/>
      <c r="B92" s="114"/>
      <c r="C92" s="114"/>
      <c r="D92" s="114"/>
      <c r="E92" s="114"/>
      <c r="F92" s="114"/>
      <c r="G92" s="114"/>
      <c r="H92" s="114"/>
      <c r="I92" s="114"/>
      <c r="J92" s="114"/>
      <c r="K92" s="114"/>
      <c r="L92" s="114"/>
      <c r="M92" s="114"/>
      <c r="N92" s="114"/>
    </row>
    <row r="93" spans="1:14">
      <c r="A93" s="114"/>
      <c r="B93" s="114"/>
      <c r="C93" s="114"/>
      <c r="D93" s="114"/>
      <c r="E93" s="114"/>
      <c r="F93" s="114"/>
      <c r="G93" s="114"/>
      <c r="H93" s="114"/>
      <c r="I93" s="114"/>
      <c r="J93" s="114"/>
      <c r="K93" s="114"/>
      <c r="L93" s="114"/>
      <c r="M93" s="114"/>
      <c r="N93" s="114"/>
    </row>
    <row r="94" spans="1:14">
      <c r="A94" s="114"/>
      <c r="B94" s="766" t="s">
        <v>788</v>
      </c>
      <c r="C94" s="766"/>
      <c r="D94" s="766"/>
      <c r="E94" s="766"/>
      <c r="F94" s="766"/>
      <c r="G94" s="766"/>
      <c r="H94" s="766"/>
      <c r="I94" s="766"/>
      <c r="J94" s="766"/>
      <c r="K94" s="114"/>
      <c r="L94" s="114"/>
      <c r="M94" s="114"/>
      <c r="N94" s="114"/>
    </row>
    <row r="95" spans="1:14">
      <c r="A95" s="114"/>
      <c r="B95" s="508"/>
      <c r="C95" s="508"/>
      <c r="D95" s="508"/>
      <c r="E95" s="508"/>
      <c r="F95" s="508"/>
      <c r="G95" s="508"/>
      <c r="H95" s="508"/>
      <c r="I95" s="508"/>
      <c r="J95" s="508"/>
      <c r="K95" s="114"/>
      <c r="L95" s="114"/>
      <c r="M95" s="114"/>
      <c r="N95" s="114"/>
    </row>
    <row r="96" spans="1:14" ht="12.75" customHeight="1">
      <c r="A96" s="114"/>
      <c r="B96" s="765" t="s">
        <v>162</v>
      </c>
      <c r="C96" s="765"/>
      <c r="D96" s="765"/>
      <c r="E96" s="765"/>
      <c r="F96" s="765"/>
      <c r="G96" s="765"/>
      <c r="H96" s="765"/>
      <c r="I96" s="765"/>
      <c r="J96" s="765"/>
      <c r="K96" s="114"/>
      <c r="L96" s="114"/>
      <c r="M96" s="114"/>
      <c r="N96" s="114"/>
    </row>
    <row r="97" spans="1:14">
      <c r="A97" s="114"/>
      <c r="B97" s="765"/>
      <c r="C97" s="765"/>
      <c r="D97" s="765"/>
      <c r="E97" s="765"/>
      <c r="F97" s="765"/>
      <c r="G97" s="765"/>
      <c r="H97" s="765"/>
      <c r="I97" s="765"/>
      <c r="J97" s="765"/>
      <c r="K97" s="114"/>
      <c r="L97" s="114"/>
      <c r="M97" s="114"/>
      <c r="N97" s="114"/>
    </row>
    <row r="98" spans="1:14">
      <c r="A98" s="114"/>
      <c r="B98" s="765"/>
      <c r="C98" s="765"/>
      <c r="D98" s="765"/>
      <c r="E98" s="765"/>
      <c r="F98" s="765"/>
      <c r="G98" s="765"/>
      <c r="H98" s="765"/>
      <c r="I98" s="765"/>
      <c r="J98" s="765"/>
      <c r="K98" s="462"/>
      <c r="L98" s="114"/>
      <c r="M98" s="114"/>
      <c r="N98" s="114"/>
    </row>
    <row r="99" spans="1:14" ht="28.5" customHeight="1">
      <c r="A99" s="114"/>
      <c r="B99" s="765"/>
      <c r="C99" s="765"/>
      <c r="D99" s="765"/>
      <c r="E99" s="765"/>
      <c r="F99" s="765"/>
      <c r="G99" s="765"/>
      <c r="H99" s="765"/>
      <c r="I99" s="765"/>
      <c r="J99" s="765"/>
      <c r="K99" s="114"/>
      <c r="L99" s="114"/>
      <c r="M99" s="114"/>
      <c r="N99" s="114"/>
    </row>
    <row r="100" spans="1:14">
      <c r="A100" s="114"/>
      <c r="B100" s="114"/>
      <c r="C100" s="114"/>
      <c r="D100" s="114"/>
      <c r="E100" s="114"/>
      <c r="F100" s="114"/>
      <c r="G100" s="114"/>
      <c r="H100" s="114"/>
      <c r="I100" s="114"/>
      <c r="J100" s="114"/>
      <c r="K100" s="114"/>
      <c r="L100" s="114"/>
      <c r="M100" s="114"/>
      <c r="N100" s="114"/>
    </row>
    <row r="101" spans="1:14">
      <c r="A101" s="114"/>
      <c r="B101" s="114"/>
      <c r="C101" s="114"/>
      <c r="D101" s="114"/>
      <c r="E101" s="114"/>
      <c r="F101" s="114"/>
      <c r="G101" s="114"/>
      <c r="H101" s="114"/>
      <c r="I101" s="114"/>
      <c r="J101" s="114"/>
      <c r="K101" s="114"/>
      <c r="L101" s="114"/>
      <c r="M101" s="114"/>
      <c r="N101" s="114"/>
    </row>
    <row r="102" spans="1:14">
      <c r="A102" s="114"/>
      <c r="B102" s="114"/>
      <c r="C102" s="114"/>
      <c r="D102" s="114"/>
      <c r="E102" s="114"/>
      <c r="F102" s="114"/>
      <c r="G102" s="114"/>
      <c r="H102" s="114"/>
      <c r="I102" s="114"/>
      <c r="J102" s="114"/>
      <c r="K102" s="114"/>
      <c r="L102" s="114"/>
      <c r="M102" s="114"/>
      <c r="N102" s="114"/>
    </row>
    <row r="103" spans="1:14">
      <c r="A103" s="114"/>
      <c r="B103" s="114"/>
      <c r="C103" s="114"/>
      <c r="D103" s="114"/>
      <c r="E103" s="114"/>
      <c r="F103" s="114"/>
      <c r="G103" s="114"/>
      <c r="H103" s="114"/>
      <c r="I103" s="114"/>
      <c r="J103" s="114"/>
      <c r="K103" s="114"/>
      <c r="L103" s="114"/>
      <c r="M103" s="114"/>
      <c r="N103" s="114"/>
    </row>
    <row r="104" spans="1:14">
      <c r="A104" s="114"/>
      <c r="B104" s="114"/>
      <c r="C104" s="114"/>
      <c r="D104" s="114"/>
      <c r="E104" s="114"/>
      <c r="F104" s="114"/>
      <c r="G104" s="114"/>
      <c r="H104" s="114"/>
      <c r="I104" s="114"/>
      <c r="J104" s="114"/>
      <c r="K104" s="114"/>
      <c r="L104" s="114"/>
      <c r="M104" s="114"/>
      <c r="N104" s="114"/>
    </row>
    <row r="105" spans="1:14">
      <c r="A105" s="114"/>
      <c r="B105" s="114"/>
      <c r="C105" s="114"/>
      <c r="D105" s="114"/>
      <c r="E105" s="114"/>
      <c r="F105" s="114"/>
      <c r="G105" s="114"/>
      <c r="H105" s="114"/>
      <c r="I105" s="114"/>
      <c r="J105" s="114"/>
      <c r="K105" s="114"/>
      <c r="L105" s="114"/>
      <c r="M105" s="114"/>
      <c r="N105" s="114"/>
    </row>
    <row r="106" spans="1:14">
      <c r="A106" s="114"/>
      <c r="B106" s="114"/>
      <c r="C106" s="114"/>
      <c r="D106" s="114"/>
      <c r="E106" s="114"/>
      <c r="F106" s="114"/>
      <c r="G106" s="114"/>
      <c r="H106" s="114"/>
      <c r="I106" s="114"/>
      <c r="J106" s="114"/>
      <c r="K106" s="114"/>
      <c r="L106" s="114"/>
      <c r="M106" s="114"/>
      <c r="N106" s="114"/>
    </row>
    <row r="107" spans="1:14">
      <c r="A107" s="114"/>
      <c r="B107" s="114"/>
      <c r="C107" s="114"/>
      <c r="D107" s="114"/>
      <c r="E107" s="114"/>
      <c r="F107" s="114"/>
      <c r="G107" s="114"/>
      <c r="H107" s="114"/>
      <c r="I107" s="114"/>
      <c r="J107" s="114"/>
      <c r="K107" s="114"/>
      <c r="L107" s="114"/>
      <c r="M107" s="114"/>
      <c r="N107" s="114"/>
    </row>
    <row r="108" spans="1:14">
      <c r="A108" s="114"/>
      <c r="B108" s="114"/>
      <c r="C108" s="114"/>
      <c r="D108" s="114"/>
      <c r="E108" s="114"/>
      <c r="F108" s="114"/>
      <c r="G108" s="114"/>
      <c r="H108" s="114"/>
      <c r="I108" s="114"/>
      <c r="J108" s="114"/>
      <c r="K108" s="114"/>
      <c r="L108" s="114"/>
      <c r="M108" s="114"/>
      <c r="N108" s="114"/>
    </row>
    <row r="109" spans="1:14">
      <c r="A109" s="114"/>
      <c r="B109" s="114"/>
      <c r="C109" s="114"/>
      <c r="D109" s="114"/>
      <c r="E109" s="114"/>
      <c r="F109" s="114"/>
      <c r="G109" s="114"/>
      <c r="H109" s="114"/>
      <c r="I109" s="114"/>
      <c r="J109" s="114"/>
      <c r="K109" s="114"/>
      <c r="L109" s="114"/>
      <c r="M109" s="114"/>
      <c r="N109" s="114"/>
    </row>
    <row r="110" spans="1:14">
      <c r="A110" s="114"/>
      <c r="B110" s="114"/>
      <c r="C110" s="114"/>
      <c r="D110" s="114"/>
      <c r="E110" s="114"/>
      <c r="F110" s="114"/>
      <c r="G110" s="114"/>
      <c r="H110" s="114"/>
      <c r="I110" s="114"/>
      <c r="J110" s="114"/>
      <c r="K110" s="114"/>
      <c r="L110" s="114"/>
      <c r="M110" s="114"/>
      <c r="N110" s="114"/>
    </row>
    <row r="111" spans="1:14">
      <c r="A111" s="114"/>
      <c r="B111" s="114"/>
      <c r="C111" s="114"/>
      <c r="D111" s="114"/>
      <c r="E111" s="114"/>
      <c r="F111" s="114"/>
      <c r="G111" s="114"/>
      <c r="H111" s="114"/>
      <c r="I111" s="114"/>
      <c r="J111" s="114"/>
      <c r="K111" s="114"/>
      <c r="L111" s="114"/>
      <c r="M111" s="114"/>
      <c r="N111" s="114"/>
    </row>
    <row r="112" spans="1:14">
      <c r="A112" s="114"/>
      <c r="B112" s="114"/>
      <c r="C112" s="114"/>
      <c r="D112" s="114"/>
      <c r="E112" s="114"/>
      <c r="F112" s="114"/>
      <c r="G112" s="114"/>
      <c r="H112" s="114"/>
      <c r="I112" s="114"/>
      <c r="J112" s="114"/>
      <c r="K112" s="114"/>
      <c r="L112" s="114"/>
      <c r="M112" s="114"/>
      <c r="N112" s="114"/>
    </row>
    <row r="113" spans="1:14">
      <c r="A113" s="114"/>
      <c r="B113" s="114"/>
      <c r="C113" s="114"/>
      <c r="D113" s="114"/>
      <c r="E113" s="114"/>
      <c r="F113" s="114"/>
      <c r="G113" s="114"/>
      <c r="H113" s="114"/>
      <c r="I113" s="114"/>
      <c r="J113" s="114"/>
      <c r="K113" s="114"/>
      <c r="L113" s="114"/>
      <c r="M113" s="114"/>
      <c r="N113" s="114"/>
    </row>
    <row r="114" spans="1:14">
      <c r="A114" s="114"/>
      <c r="B114" s="114"/>
      <c r="C114" s="114"/>
      <c r="D114" s="114"/>
      <c r="E114" s="114"/>
      <c r="F114" s="114"/>
      <c r="G114" s="114"/>
      <c r="H114" s="114"/>
      <c r="I114" s="114"/>
      <c r="J114" s="114"/>
      <c r="K114" s="114"/>
      <c r="L114" s="114"/>
      <c r="M114" s="114"/>
      <c r="N114" s="114"/>
    </row>
    <row r="115" spans="1:14">
      <c r="A115" s="114"/>
      <c r="B115" s="114"/>
      <c r="C115" s="114"/>
      <c r="D115" s="114"/>
      <c r="E115" s="114"/>
      <c r="F115" s="114"/>
      <c r="G115" s="114"/>
      <c r="H115" s="114"/>
      <c r="I115" s="114"/>
      <c r="J115" s="114"/>
      <c r="K115" s="114"/>
      <c r="L115" s="114"/>
      <c r="M115" s="114"/>
      <c r="N115" s="114"/>
    </row>
    <row r="116" spans="1:14">
      <c r="A116" s="114"/>
      <c r="B116" s="114"/>
      <c r="C116" s="114"/>
      <c r="D116" s="114"/>
      <c r="E116" s="114"/>
      <c r="F116" s="114"/>
      <c r="G116" s="114"/>
      <c r="H116" s="114"/>
      <c r="I116" s="114"/>
      <c r="J116" s="114"/>
      <c r="K116" s="114"/>
      <c r="L116" s="114"/>
      <c r="M116" s="114"/>
      <c r="N116" s="114"/>
    </row>
    <row r="117" spans="1:14">
      <c r="A117" s="114"/>
      <c r="B117" s="114"/>
      <c r="C117" s="114"/>
      <c r="D117" s="114"/>
      <c r="E117" s="114"/>
      <c r="F117" s="114"/>
      <c r="G117" s="114"/>
      <c r="H117" s="114"/>
      <c r="I117" s="114"/>
      <c r="J117" s="114"/>
      <c r="K117" s="114"/>
      <c r="L117" s="114"/>
      <c r="M117" s="114"/>
      <c r="N117" s="114"/>
    </row>
    <row r="118" spans="1:14">
      <c r="A118" s="114"/>
      <c r="B118" s="114"/>
      <c r="C118" s="114"/>
      <c r="D118" s="114"/>
      <c r="E118" s="114"/>
      <c r="F118" s="114"/>
      <c r="G118" s="114"/>
      <c r="H118" s="114"/>
      <c r="I118" s="114"/>
      <c r="J118" s="114"/>
      <c r="K118" s="114"/>
      <c r="L118" s="114"/>
      <c r="M118" s="114"/>
      <c r="N118" s="114"/>
    </row>
    <row r="119" spans="1:14">
      <c r="A119" s="114"/>
      <c r="B119" s="114"/>
      <c r="C119" s="114"/>
      <c r="D119" s="114"/>
      <c r="E119" s="114"/>
      <c r="F119" s="114"/>
      <c r="G119" s="114"/>
      <c r="H119" s="114"/>
      <c r="I119" s="114"/>
      <c r="J119" s="114"/>
      <c r="K119" s="114"/>
      <c r="L119" s="114"/>
      <c r="M119" s="114"/>
      <c r="N119" s="114"/>
    </row>
    <row r="120" spans="1:14">
      <c r="A120" s="114"/>
      <c r="B120" s="114"/>
      <c r="C120" s="114"/>
      <c r="D120" s="114"/>
      <c r="E120" s="114"/>
      <c r="F120" s="114"/>
      <c r="G120" s="114"/>
      <c r="H120" s="114"/>
      <c r="I120" s="114"/>
      <c r="J120" s="114"/>
      <c r="K120" s="114"/>
      <c r="L120" s="114"/>
      <c r="M120" s="114"/>
      <c r="N120" s="114"/>
    </row>
    <row r="121" spans="1:14">
      <c r="A121" s="114"/>
      <c r="B121" s="114"/>
      <c r="C121" s="114"/>
      <c r="D121" s="114"/>
      <c r="E121" s="114"/>
      <c r="F121" s="114"/>
      <c r="G121" s="114"/>
      <c r="H121" s="114"/>
      <c r="I121" s="114"/>
      <c r="J121" s="114"/>
      <c r="K121" s="114"/>
      <c r="L121" s="114"/>
      <c r="M121" s="114"/>
      <c r="N121" s="114"/>
    </row>
    <row r="122" spans="1:14">
      <c r="A122" s="114"/>
      <c r="B122" s="462"/>
      <c r="C122" s="114"/>
      <c r="D122" s="114"/>
      <c r="E122" s="114"/>
      <c r="F122" s="114"/>
      <c r="G122" s="114"/>
      <c r="H122" s="114"/>
      <c r="I122" s="114"/>
      <c r="J122" s="114"/>
      <c r="K122" s="114"/>
      <c r="L122" s="114"/>
      <c r="M122" s="114"/>
      <c r="N122" s="114"/>
    </row>
    <row r="123" spans="1:14">
      <c r="A123" s="114"/>
      <c r="B123" s="114"/>
      <c r="C123" s="114"/>
      <c r="D123" s="114"/>
      <c r="E123" s="114"/>
      <c r="F123" s="114"/>
      <c r="G123" s="114"/>
      <c r="H123" s="114"/>
      <c r="I123" s="114"/>
      <c r="J123" s="114"/>
      <c r="K123" s="114"/>
      <c r="L123" s="114"/>
      <c r="M123" s="114"/>
      <c r="N123" s="114"/>
    </row>
    <row r="124" spans="1:14">
      <c r="A124" s="114"/>
      <c r="B124" s="114"/>
      <c r="C124" s="114"/>
      <c r="D124" s="114"/>
      <c r="E124" s="114"/>
      <c r="F124" s="114"/>
      <c r="G124" s="114"/>
      <c r="H124" s="114"/>
      <c r="I124" s="114"/>
      <c r="J124" s="114"/>
      <c r="K124" s="114"/>
      <c r="L124" s="114"/>
      <c r="M124" s="114"/>
      <c r="N124" s="114"/>
    </row>
    <row r="125" spans="1:14">
      <c r="A125" s="114"/>
      <c r="B125" s="114"/>
      <c r="C125" s="114"/>
      <c r="D125" s="114"/>
      <c r="E125" s="114"/>
      <c r="F125" s="114"/>
      <c r="G125" s="114"/>
      <c r="H125" s="114"/>
      <c r="I125" s="114"/>
      <c r="J125" s="114"/>
      <c r="K125" s="114"/>
      <c r="L125" s="114"/>
      <c r="M125" s="114"/>
      <c r="N125" s="114"/>
    </row>
    <row r="126" spans="1:14">
      <c r="A126" s="114"/>
      <c r="B126" s="114"/>
      <c r="C126" s="114"/>
      <c r="D126" s="114"/>
      <c r="E126" s="114"/>
      <c r="F126" s="114"/>
      <c r="G126" s="114"/>
      <c r="H126" s="114"/>
      <c r="I126" s="114"/>
      <c r="J126" s="114"/>
      <c r="K126" s="114"/>
      <c r="L126" s="114"/>
      <c r="M126" s="114"/>
      <c r="N126" s="114"/>
    </row>
    <row r="127" spans="1:14">
      <c r="A127" s="114"/>
      <c r="B127" s="509" t="s">
        <v>861</v>
      </c>
      <c r="C127" s="114"/>
      <c r="D127" s="114"/>
      <c r="E127" s="114"/>
      <c r="F127" s="114"/>
      <c r="G127" s="114"/>
      <c r="H127" s="114"/>
      <c r="I127" s="114"/>
      <c r="J127" s="114"/>
      <c r="K127" s="114"/>
      <c r="L127" s="114"/>
      <c r="M127" s="114"/>
      <c r="N127" s="114"/>
    </row>
    <row r="128" spans="1:14">
      <c r="A128" s="114"/>
      <c r="B128" s="114"/>
      <c r="C128" s="114"/>
      <c r="D128" s="114"/>
      <c r="E128" s="114"/>
      <c r="F128" s="114"/>
      <c r="G128" s="114"/>
      <c r="H128" s="114"/>
      <c r="I128" s="114"/>
      <c r="J128" s="114"/>
      <c r="K128" s="114"/>
      <c r="L128" s="114"/>
      <c r="M128" s="114"/>
      <c r="N128" s="114"/>
    </row>
    <row r="129" spans="1:14" ht="12.75" customHeight="1">
      <c r="A129" s="114"/>
      <c r="B129" s="764" t="s">
        <v>862</v>
      </c>
      <c r="C129" s="764"/>
      <c r="D129" s="764"/>
      <c r="E129" s="764"/>
      <c r="F129" s="764"/>
      <c r="G129" s="764"/>
      <c r="H129" s="764"/>
      <c r="I129" s="764"/>
      <c r="J129" s="764"/>
      <c r="K129" s="114"/>
      <c r="L129" s="114"/>
      <c r="M129" s="114"/>
      <c r="N129" s="114"/>
    </row>
    <row r="130" spans="1:14">
      <c r="A130" s="114"/>
      <c r="B130" s="764"/>
      <c r="C130" s="764"/>
      <c r="D130" s="764"/>
      <c r="E130" s="764"/>
      <c r="F130" s="764"/>
      <c r="G130" s="764"/>
      <c r="H130" s="764"/>
      <c r="I130" s="764"/>
      <c r="J130" s="764"/>
      <c r="K130" s="114"/>
      <c r="L130" s="114"/>
      <c r="M130" s="114"/>
      <c r="N130" s="114"/>
    </row>
    <row r="131" spans="1:14">
      <c r="A131" s="114"/>
      <c r="B131" s="114"/>
      <c r="C131" s="114"/>
      <c r="D131" s="114"/>
      <c r="E131" s="114"/>
      <c r="F131" s="114"/>
      <c r="G131" s="114"/>
      <c r="H131" s="114"/>
      <c r="I131" s="114"/>
      <c r="J131" s="114"/>
      <c r="K131" s="114"/>
      <c r="L131" s="114"/>
      <c r="M131" s="114"/>
      <c r="N131" s="114"/>
    </row>
    <row r="132" spans="1:14" ht="12.75" customHeight="1">
      <c r="A132" s="114"/>
      <c r="B132" s="764" t="s">
        <v>331</v>
      </c>
      <c r="C132" s="764"/>
      <c r="D132" s="764"/>
      <c r="E132" s="764"/>
      <c r="F132" s="764"/>
      <c r="G132" s="764"/>
      <c r="H132" s="764"/>
      <c r="I132" s="764"/>
      <c r="J132" s="764"/>
      <c r="K132" s="114"/>
      <c r="L132" s="114"/>
      <c r="M132" s="114"/>
      <c r="N132" s="114"/>
    </row>
    <row r="133" spans="1:14">
      <c r="A133" s="114"/>
      <c r="B133" s="764"/>
      <c r="C133" s="764"/>
      <c r="D133" s="764"/>
      <c r="E133" s="764"/>
      <c r="F133" s="764"/>
      <c r="G133" s="764"/>
      <c r="H133" s="764"/>
      <c r="I133" s="764"/>
      <c r="J133" s="764"/>
      <c r="K133" s="114"/>
      <c r="L133" s="114"/>
      <c r="M133" s="114"/>
      <c r="N133" s="114"/>
    </row>
    <row r="134" spans="1:14">
      <c r="A134" s="114"/>
      <c r="B134" s="308" t="s">
        <v>863</v>
      </c>
      <c r="C134" s="114"/>
      <c r="D134" s="114"/>
      <c r="E134" s="114"/>
      <c r="F134" s="114"/>
      <c r="G134" s="114"/>
      <c r="H134" s="114"/>
      <c r="I134" s="114"/>
      <c r="J134" s="114"/>
      <c r="K134" s="114"/>
      <c r="L134" s="114"/>
      <c r="M134" s="114"/>
      <c r="N134" s="114"/>
    </row>
    <row r="135" spans="1:14">
      <c r="A135" s="114"/>
      <c r="B135" s="308" t="s">
        <v>864</v>
      </c>
      <c r="C135" s="114"/>
      <c r="D135" s="114"/>
      <c r="E135" s="114"/>
      <c r="F135" s="114"/>
      <c r="G135" s="114"/>
      <c r="H135" s="114"/>
      <c r="I135" s="114"/>
      <c r="J135" s="114"/>
      <c r="K135" s="114"/>
      <c r="L135" s="114"/>
      <c r="M135" s="114"/>
      <c r="N135" s="114"/>
    </row>
    <row r="136" spans="1:14">
      <c r="A136" s="114"/>
      <c r="B136" s="308" t="s">
        <v>873</v>
      </c>
      <c r="C136" s="114"/>
      <c r="D136" s="114"/>
      <c r="E136" s="114"/>
      <c r="F136" s="114"/>
      <c r="G136" s="114"/>
      <c r="H136" s="114"/>
      <c r="I136" s="114"/>
      <c r="J136" s="114"/>
      <c r="K136" s="114"/>
      <c r="L136" s="114"/>
      <c r="M136" s="114"/>
      <c r="N136" s="114"/>
    </row>
    <row r="137" spans="1:14">
      <c r="A137" s="114"/>
      <c r="B137" s="308" t="s">
        <v>865</v>
      </c>
      <c r="C137" s="114"/>
      <c r="D137" s="114"/>
      <c r="E137" s="114"/>
      <c r="F137" s="114"/>
      <c r="G137" s="114"/>
      <c r="H137" s="114"/>
      <c r="I137" s="114"/>
      <c r="J137" s="114"/>
      <c r="K137" s="114"/>
      <c r="L137" s="114"/>
      <c r="M137" s="114"/>
      <c r="N137" s="114"/>
    </row>
    <row r="138" spans="1:14">
      <c r="A138" s="114"/>
      <c r="B138" s="308" t="s">
        <v>866</v>
      </c>
      <c r="C138" s="114"/>
      <c r="D138" s="114"/>
      <c r="E138" s="114"/>
      <c r="F138" s="114"/>
      <c r="G138" s="114"/>
      <c r="H138" s="114"/>
      <c r="I138" s="114"/>
      <c r="J138" s="114"/>
      <c r="K138" s="114"/>
      <c r="L138" s="114"/>
      <c r="M138" s="114"/>
      <c r="N138" s="114"/>
    </row>
    <row r="139" spans="1:14">
      <c r="A139" s="114"/>
      <c r="B139" s="308" t="s">
        <v>876</v>
      </c>
      <c r="C139" s="114"/>
      <c r="D139" s="114"/>
      <c r="E139" s="114"/>
      <c r="F139" s="114"/>
      <c r="G139" s="114"/>
      <c r="H139" s="114"/>
      <c r="I139" s="114"/>
      <c r="J139" s="114"/>
      <c r="K139" s="114"/>
      <c r="L139" s="114"/>
      <c r="M139" s="114"/>
      <c r="N139" s="114"/>
    </row>
    <row r="140" spans="1:14">
      <c r="A140" s="114"/>
      <c r="B140" s="308" t="s">
        <v>874</v>
      </c>
      <c r="C140" s="114"/>
      <c r="D140" s="114"/>
      <c r="E140" s="114"/>
      <c r="F140" s="114"/>
      <c r="G140" s="114"/>
      <c r="H140" s="114"/>
      <c r="I140" s="114"/>
      <c r="J140" s="114"/>
      <c r="K140" s="114"/>
      <c r="L140" s="114"/>
      <c r="M140" s="114"/>
      <c r="N140" s="114"/>
    </row>
    <row r="141" spans="1:14">
      <c r="A141" s="114"/>
      <c r="B141" s="308" t="s">
        <v>875</v>
      </c>
      <c r="C141" s="114"/>
      <c r="D141" s="114"/>
      <c r="E141" s="114"/>
      <c r="F141" s="114"/>
      <c r="G141" s="114"/>
      <c r="H141" s="114"/>
      <c r="I141" s="114"/>
      <c r="J141" s="114"/>
      <c r="K141" s="114"/>
      <c r="L141" s="114"/>
      <c r="M141" s="114"/>
      <c r="N141" s="114"/>
    </row>
    <row r="142" spans="1:14">
      <c r="A142" s="114"/>
      <c r="B142" s="114"/>
      <c r="C142" s="114"/>
      <c r="D142" s="114"/>
      <c r="E142" s="114"/>
      <c r="F142" s="114"/>
      <c r="G142" s="114"/>
      <c r="H142" s="114"/>
      <c r="I142" s="114"/>
      <c r="J142" s="114"/>
      <c r="K142" s="114"/>
      <c r="L142" s="114"/>
      <c r="M142" s="114"/>
      <c r="N142" s="114"/>
    </row>
    <row r="143" spans="1:14">
      <c r="A143" s="114"/>
      <c r="B143" s="114"/>
      <c r="C143" s="114"/>
      <c r="D143" s="114"/>
      <c r="E143" s="114"/>
      <c r="F143" s="114"/>
      <c r="G143" s="114"/>
      <c r="H143" s="114"/>
      <c r="I143" s="114"/>
      <c r="J143" s="114"/>
      <c r="K143" s="114"/>
      <c r="L143" s="114"/>
      <c r="M143" s="114"/>
      <c r="N143" s="114"/>
    </row>
    <row r="144" spans="1:14">
      <c r="A144" s="114"/>
      <c r="B144" s="114"/>
      <c r="C144" s="114"/>
      <c r="D144" s="114"/>
      <c r="E144" s="114"/>
      <c r="F144" s="114"/>
      <c r="G144" s="114"/>
      <c r="H144" s="114"/>
      <c r="I144" s="114"/>
      <c r="J144" s="114"/>
      <c r="K144" s="114"/>
      <c r="L144" s="114"/>
      <c r="M144" s="114"/>
      <c r="N144" s="114"/>
    </row>
    <row r="145" spans="1:14">
      <c r="A145" s="114"/>
      <c r="B145" s="114"/>
      <c r="C145" s="114"/>
      <c r="D145" s="114"/>
      <c r="E145" s="114"/>
      <c r="F145" s="114"/>
      <c r="G145" s="114"/>
      <c r="H145" s="114"/>
      <c r="I145" s="114"/>
      <c r="J145" s="114"/>
      <c r="K145" s="114"/>
      <c r="L145" s="114"/>
      <c r="M145" s="114"/>
      <c r="N145" s="114"/>
    </row>
    <row r="146" spans="1:14">
      <c r="A146" s="114"/>
      <c r="B146" s="114"/>
      <c r="C146" s="114"/>
      <c r="D146" s="114"/>
      <c r="E146" s="114"/>
      <c r="F146" s="114"/>
      <c r="G146" s="114"/>
      <c r="H146" s="114"/>
      <c r="I146" s="114"/>
      <c r="J146" s="114"/>
      <c r="K146" s="114"/>
      <c r="L146" s="114"/>
      <c r="M146" s="114"/>
      <c r="N146" s="114"/>
    </row>
    <row r="147" spans="1:14">
      <c r="A147" s="114"/>
      <c r="B147" s="114"/>
      <c r="C147" s="114"/>
      <c r="D147" s="114"/>
      <c r="E147" s="114"/>
      <c r="F147" s="114"/>
      <c r="G147" s="114"/>
      <c r="H147" s="114"/>
      <c r="I147" s="114"/>
      <c r="J147" s="114"/>
      <c r="K147" s="114"/>
      <c r="L147" s="114"/>
      <c r="M147" s="114"/>
      <c r="N147" s="114"/>
    </row>
    <row r="148" spans="1:14">
      <c r="A148" s="114"/>
      <c r="B148" s="114"/>
      <c r="C148" s="114"/>
      <c r="D148" s="114"/>
      <c r="E148" s="114"/>
      <c r="F148" s="114"/>
      <c r="G148" s="114"/>
      <c r="H148" s="114"/>
      <c r="I148" s="114"/>
      <c r="J148" s="114"/>
      <c r="K148" s="114"/>
      <c r="L148" s="114"/>
      <c r="M148" s="114"/>
      <c r="N148" s="114"/>
    </row>
    <row r="149" spans="1:14">
      <c r="A149" s="114"/>
      <c r="B149" s="114"/>
      <c r="C149" s="114"/>
      <c r="D149" s="114"/>
      <c r="E149" s="114"/>
      <c r="F149" s="114"/>
      <c r="G149" s="114"/>
      <c r="H149" s="114"/>
      <c r="I149" s="114"/>
      <c r="J149" s="114"/>
      <c r="K149" s="114"/>
      <c r="L149" s="114"/>
      <c r="M149" s="114"/>
      <c r="N149" s="114"/>
    </row>
    <row r="150" spans="1:14">
      <c r="A150" s="114"/>
      <c r="B150" s="114"/>
      <c r="C150" s="114"/>
      <c r="D150" s="114"/>
      <c r="E150" s="114"/>
      <c r="F150" s="114"/>
      <c r="G150" s="114"/>
      <c r="H150" s="114"/>
      <c r="I150" s="114"/>
      <c r="J150" s="114"/>
      <c r="K150" s="114"/>
      <c r="L150" s="114"/>
      <c r="M150" s="114"/>
      <c r="N150" s="114"/>
    </row>
    <row r="151" spans="1:14">
      <c r="A151" s="114"/>
      <c r="B151" s="114"/>
      <c r="C151" s="114"/>
      <c r="D151" s="114"/>
      <c r="E151" s="114"/>
      <c r="F151" s="114"/>
      <c r="G151" s="114"/>
      <c r="H151" s="114"/>
      <c r="I151" s="114"/>
      <c r="J151" s="114"/>
      <c r="K151" s="114"/>
      <c r="L151" s="114"/>
      <c r="M151" s="114"/>
      <c r="N151" s="114"/>
    </row>
    <row r="152" spans="1:14">
      <c r="A152" s="114"/>
      <c r="B152" s="114"/>
      <c r="C152" s="114"/>
      <c r="D152" s="114"/>
      <c r="E152" s="114"/>
      <c r="F152" s="114"/>
      <c r="G152" s="114"/>
      <c r="H152" s="114"/>
      <c r="I152" s="114"/>
      <c r="J152" s="114"/>
      <c r="K152" s="114"/>
      <c r="L152" s="114"/>
      <c r="M152" s="114"/>
      <c r="N152" s="114"/>
    </row>
    <row r="153" spans="1:14">
      <c r="A153" s="114"/>
      <c r="B153" s="114"/>
      <c r="C153" s="114"/>
      <c r="D153" s="114"/>
      <c r="E153" s="114"/>
      <c r="F153" s="114"/>
      <c r="G153" s="114"/>
      <c r="H153" s="114"/>
      <c r="I153" s="114"/>
      <c r="J153" s="114"/>
      <c r="K153" s="114"/>
      <c r="L153" s="114"/>
      <c r="M153" s="114"/>
      <c r="N153" s="114"/>
    </row>
    <row r="154" spans="1:14">
      <c r="A154" s="114"/>
      <c r="B154" s="114"/>
      <c r="C154" s="114"/>
      <c r="D154" s="114"/>
      <c r="E154" s="114"/>
      <c r="F154" s="114"/>
      <c r="G154" s="114"/>
      <c r="H154" s="114"/>
      <c r="I154" s="114"/>
      <c r="J154" s="114"/>
      <c r="K154" s="114"/>
      <c r="L154" s="114"/>
      <c r="M154" s="114"/>
      <c r="N154" s="114"/>
    </row>
    <row r="155" spans="1:14">
      <c r="A155" s="114"/>
      <c r="B155" s="114"/>
      <c r="C155" s="114"/>
      <c r="D155" s="114"/>
      <c r="E155" s="114"/>
      <c r="F155" s="114"/>
      <c r="G155" s="114"/>
      <c r="H155" s="114"/>
      <c r="I155" s="114"/>
      <c r="J155" s="114"/>
      <c r="K155" s="114"/>
      <c r="L155" s="114"/>
      <c r="M155" s="114"/>
      <c r="N155" s="114"/>
    </row>
    <row r="156" spans="1:14">
      <c r="A156" s="114"/>
      <c r="B156" s="114"/>
      <c r="C156" s="114"/>
      <c r="D156" s="114"/>
      <c r="E156" s="114"/>
      <c r="F156" s="114"/>
      <c r="G156" s="114"/>
      <c r="H156" s="114"/>
      <c r="I156" s="114"/>
      <c r="J156" s="114"/>
      <c r="K156" s="114"/>
      <c r="L156" s="114"/>
      <c r="M156" s="114"/>
      <c r="N156" s="114"/>
    </row>
    <row r="157" spans="1:14">
      <c r="A157" s="114"/>
      <c r="B157" s="114"/>
      <c r="C157" s="114"/>
      <c r="D157" s="114"/>
      <c r="E157" s="114"/>
      <c r="F157" s="114"/>
      <c r="G157" s="114"/>
      <c r="H157" s="114"/>
      <c r="I157" s="114"/>
      <c r="J157" s="114"/>
      <c r="K157" s="114"/>
      <c r="L157" s="114"/>
      <c r="M157" s="114"/>
      <c r="N157" s="114"/>
    </row>
    <row r="158" spans="1:14">
      <c r="A158" s="114"/>
      <c r="B158" s="114"/>
      <c r="C158" s="114"/>
      <c r="D158" s="114"/>
      <c r="E158" s="114"/>
      <c r="F158" s="114"/>
      <c r="G158" s="114"/>
      <c r="H158" s="114"/>
      <c r="I158" s="114"/>
      <c r="J158" s="114"/>
      <c r="K158" s="114"/>
      <c r="L158" s="114"/>
      <c r="M158" s="114"/>
      <c r="N158" s="114"/>
    </row>
    <row r="159" spans="1:14">
      <c r="A159" s="114"/>
      <c r="B159" s="114"/>
      <c r="C159" s="114"/>
      <c r="D159" s="114"/>
      <c r="E159" s="114"/>
      <c r="F159" s="114"/>
      <c r="G159" s="114"/>
      <c r="H159" s="114"/>
      <c r="I159" s="114"/>
      <c r="J159" s="114"/>
      <c r="K159" s="114"/>
      <c r="L159" s="114"/>
      <c r="M159" s="114"/>
      <c r="N159" s="114"/>
    </row>
    <row r="160" spans="1:14">
      <c r="A160" s="114"/>
      <c r="B160" s="114"/>
      <c r="C160" s="114"/>
      <c r="D160" s="114"/>
      <c r="E160" s="114"/>
      <c r="F160" s="114"/>
      <c r="G160" s="114"/>
      <c r="H160" s="114"/>
      <c r="I160" s="114"/>
      <c r="J160" s="114"/>
      <c r="K160" s="114"/>
      <c r="L160" s="114"/>
      <c r="M160" s="114"/>
      <c r="N160" s="114"/>
    </row>
    <row r="161" spans="1:14">
      <c r="A161" s="114"/>
      <c r="B161" s="114"/>
      <c r="C161" s="114"/>
      <c r="D161" s="114"/>
      <c r="E161" s="114"/>
      <c r="F161" s="114"/>
      <c r="G161" s="114"/>
      <c r="H161" s="114"/>
      <c r="I161" s="114"/>
      <c r="J161" s="114"/>
      <c r="K161" s="114"/>
      <c r="L161" s="114"/>
      <c r="M161" s="114"/>
      <c r="N161" s="114"/>
    </row>
    <row r="162" spans="1:14">
      <c r="A162" s="114"/>
      <c r="B162" s="114"/>
      <c r="C162" s="114"/>
      <c r="D162" s="114"/>
      <c r="E162" s="114"/>
      <c r="F162" s="114"/>
      <c r="G162" s="114"/>
      <c r="H162" s="114"/>
      <c r="I162" s="114"/>
      <c r="J162" s="114"/>
      <c r="K162" s="114"/>
      <c r="L162" s="114"/>
      <c r="M162" s="114"/>
      <c r="N162" s="114"/>
    </row>
    <row r="163" spans="1:14">
      <c r="A163" s="114"/>
      <c r="B163" s="509" t="s">
        <v>309</v>
      </c>
      <c r="C163" s="114"/>
      <c r="D163" s="114"/>
      <c r="E163" s="114"/>
      <c r="F163" s="114"/>
      <c r="G163" s="114"/>
      <c r="H163" s="114"/>
      <c r="I163" s="114"/>
      <c r="J163" s="114"/>
      <c r="K163" s="114"/>
      <c r="L163" s="114"/>
      <c r="M163" s="114"/>
      <c r="N163" s="114"/>
    </row>
    <row r="164" spans="1:14">
      <c r="A164" s="114"/>
      <c r="B164" s="114"/>
      <c r="C164" s="114"/>
      <c r="D164" s="114"/>
      <c r="E164" s="114"/>
      <c r="F164" s="114"/>
      <c r="G164" s="114"/>
      <c r="H164" s="114"/>
      <c r="I164" s="114"/>
      <c r="J164" s="114"/>
      <c r="K164" s="114"/>
      <c r="L164" s="114"/>
      <c r="M164" s="114"/>
      <c r="N164" s="114"/>
    </row>
    <row r="165" spans="1:14" ht="12.75" customHeight="1">
      <c r="A165" s="114"/>
      <c r="B165" s="765" t="s">
        <v>779</v>
      </c>
      <c r="C165" s="765"/>
      <c r="D165" s="765"/>
      <c r="E165" s="765"/>
      <c r="F165" s="765"/>
      <c r="G165" s="765"/>
      <c r="H165" s="765"/>
      <c r="I165" s="765"/>
      <c r="J165" s="765"/>
      <c r="K165" s="114"/>
      <c r="L165" s="114"/>
      <c r="M165" s="114"/>
      <c r="N165" s="114"/>
    </row>
    <row r="166" spans="1:14">
      <c r="A166" s="114"/>
      <c r="B166" s="765"/>
      <c r="C166" s="765"/>
      <c r="D166" s="765"/>
      <c r="E166" s="765"/>
      <c r="F166" s="765"/>
      <c r="G166" s="765"/>
      <c r="H166" s="765"/>
      <c r="I166" s="765"/>
      <c r="J166" s="765"/>
      <c r="K166" s="114"/>
      <c r="L166" s="114"/>
      <c r="M166" s="114"/>
      <c r="N166" s="114"/>
    </row>
    <row r="167" spans="1:14">
      <c r="A167" s="114"/>
      <c r="B167" s="765"/>
      <c r="C167" s="765"/>
      <c r="D167" s="765"/>
      <c r="E167" s="765"/>
      <c r="F167" s="765"/>
      <c r="G167" s="765"/>
      <c r="H167" s="765"/>
      <c r="I167" s="765"/>
      <c r="J167" s="765"/>
      <c r="K167" s="114"/>
      <c r="L167" s="114"/>
      <c r="M167" s="114"/>
      <c r="N167" s="114"/>
    </row>
    <row r="168" spans="1:14">
      <c r="A168" s="114"/>
      <c r="B168" s="114"/>
      <c r="C168" s="114"/>
      <c r="D168" s="114"/>
      <c r="E168" s="114"/>
      <c r="F168" s="114"/>
      <c r="G168" s="114"/>
      <c r="H168" s="114"/>
      <c r="I168" s="114"/>
      <c r="J168" s="114"/>
      <c r="K168" s="114"/>
      <c r="L168" s="114"/>
      <c r="M168" s="114"/>
      <c r="N168" s="114"/>
    </row>
    <row r="169" spans="1:14" ht="12.75" customHeight="1">
      <c r="A169" s="114"/>
      <c r="B169" s="765" t="s">
        <v>728</v>
      </c>
      <c r="C169" s="765"/>
      <c r="D169" s="765"/>
      <c r="E169" s="765"/>
      <c r="F169" s="765"/>
      <c r="G169" s="765"/>
      <c r="H169" s="765"/>
      <c r="I169" s="765"/>
      <c r="J169" s="765"/>
      <c r="K169" s="114"/>
      <c r="L169" s="114"/>
      <c r="M169" s="114"/>
      <c r="N169" s="114"/>
    </row>
    <row r="170" spans="1:14">
      <c r="A170" s="114"/>
      <c r="B170" s="765"/>
      <c r="C170" s="765"/>
      <c r="D170" s="765"/>
      <c r="E170" s="765"/>
      <c r="F170" s="765"/>
      <c r="G170" s="765"/>
      <c r="H170" s="765"/>
      <c r="I170" s="765"/>
      <c r="J170" s="765"/>
      <c r="K170" s="114"/>
      <c r="L170" s="114"/>
      <c r="M170" s="114"/>
      <c r="N170" s="114"/>
    </row>
    <row r="171" spans="1:14">
      <c r="A171" s="114"/>
      <c r="B171" s="765"/>
      <c r="C171" s="765"/>
      <c r="D171" s="765"/>
      <c r="E171" s="765"/>
      <c r="F171" s="765"/>
      <c r="G171" s="765"/>
      <c r="H171" s="765"/>
      <c r="I171" s="765"/>
      <c r="J171" s="765"/>
      <c r="K171" s="114"/>
      <c r="L171" s="114"/>
      <c r="M171" s="114"/>
      <c r="N171" s="114"/>
    </row>
    <row r="172" spans="1:14">
      <c r="A172" s="114"/>
      <c r="B172" s="765"/>
      <c r="C172" s="765"/>
      <c r="D172" s="765"/>
      <c r="E172" s="765"/>
      <c r="F172" s="765"/>
      <c r="G172" s="765"/>
      <c r="H172" s="765"/>
      <c r="I172" s="765"/>
      <c r="J172" s="765"/>
      <c r="K172" s="114"/>
      <c r="L172" s="114"/>
      <c r="M172" s="114"/>
      <c r="N172" s="114"/>
    </row>
    <row r="173" spans="1:14">
      <c r="A173" s="114"/>
      <c r="B173" s="114"/>
      <c r="C173" s="114"/>
      <c r="D173" s="114"/>
      <c r="E173" s="114"/>
      <c r="F173" s="114"/>
      <c r="G173" s="114"/>
      <c r="H173" s="114"/>
      <c r="I173" s="114"/>
      <c r="J173" s="114"/>
      <c r="K173" s="114"/>
      <c r="L173" s="114"/>
      <c r="M173" s="114"/>
      <c r="N173" s="114"/>
    </row>
    <row r="174" spans="1:14" ht="12.75" customHeight="1">
      <c r="A174" s="114"/>
      <c r="B174" s="765" t="s">
        <v>12</v>
      </c>
      <c r="C174" s="765"/>
      <c r="D174" s="765"/>
      <c r="E174" s="765"/>
      <c r="F174" s="765"/>
      <c r="G174" s="765"/>
      <c r="H174" s="765"/>
      <c r="I174" s="765"/>
      <c r="J174" s="765"/>
      <c r="K174" s="114"/>
      <c r="L174" s="114"/>
      <c r="M174" s="114"/>
      <c r="N174" s="114"/>
    </row>
    <row r="175" spans="1:14">
      <c r="A175" s="114"/>
      <c r="B175" s="765"/>
      <c r="C175" s="765"/>
      <c r="D175" s="765"/>
      <c r="E175" s="765"/>
      <c r="F175" s="765"/>
      <c r="G175" s="765"/>
      <c r="H175" s="765"/>
      <c r="I175" s="765"/>
      <c r="J175" s="765"/>
      <c r="K175" s="114"/>
      <c r="L175" s="114"/>
      <c r="M175" s="114"/>
      <c r="N175" s="114"/>
    </row>
    <row r="176" spans="1:14">
      <c r="A176" s="114"/>
      <c r="B176" s="765"/>
      <c r="C176" s="765"/>
      <c r="D176" s="765"/>
      <c r="E176" s="765"/>
      <c r="F176" s="765"/>
      <c r="G176" s="765"/>
      <c r="H176" s="765"/>
      <c r="I176" s="765"/>
      <c r="J176" s="765"/>
      <c r="K176" s="114"/>
      <c r="L176" s="114"/>
      <c r="M176" s="114"/>
      <c r="N176" s="114"/>
    </row>
    <row r="177" spans="1:14">
      <c r="A177" s="114"/>
      <c r="B177" s="765"/>
      <c r="C177" s="765"/>
      <c r="D177" s="765"/>
      <c r="E177" s="765"/>
      <c r="F177" s="765"/>
      <c r="G177" s="765"/>
      <c r="H177" s="765"/>
      <c r="I177" s="765"/>
      <c r="J177" s="765"/>
      <c r="K177" s="114"/>
      <c r="L177" s="114"/>
      <c r="M177" s="114"/>
      <c r="N177" s="114"/>
    </row>
    <row r="178" spans="1:14">
      <c r="A178" s="114"/>
      <c r="B178" s="114"/>
      <c r="C178" s="114"/>
      <c r="D178" s="114"/>
      <c r="E178" s="114"/>
      <c r="F178" s="114"/>
      <c r="G178" s="114"/>
      <c r="H178" s="114"/>
      <c r="I178" s="114"/>
      <c r="J178" s="114"/>
      <c r="K178" s="114"/>
      <c r="L178" s="114"/>
      <c r="M178" s="114"/>
      <c r="N178" s="114"/>
    </row>
    <row r="179" spans="1:14">
      <c r="A179" s="114"/>
      <c r="B179" s="765" t="s">
        <v>767</v>
      </c>
      <c r="C179" s="765"/>
      <c r="D179" s="765"/>
      <c r="E179" s="765"/>
      <c r="F179" s="765"/>
      <c r="G179" s="765"/>
      <c r="H179" s="765"/>
      <c r="I179" s="765"/>
      <c r="J179" s="765"/>
      <c r="K179" s="114"/>
      <c r="L179" s="114"/>
      <c r="M179" s="114"/>
      <c r="N179" s="114"/>
    </row>
    <row r="180" spans="1:14">
      <c r="A180" s="114"/>
      <c r="B180" s="765" t="s">
        <v>769</v>
      </c>
      <c r="C180" s="765"/>
      <c r="D180" s="765"/>
      <c r="E180" s="765"/>
      <c r="F180" s="765"/>
      <c r="G180" s="765"/>
      <c r="H180" s="765"/>
      <c r="I180" s="765"/>
      <c r="J180" s="765"/>
      <c r="K180" s="114"/>
      <c r="L180" s="114"/>
      <c r="M180" s="114"/>
      <c r="N180" s="114"/>
    </row>
    <row r="181" spans="1:14">
      <c r="A181" s="114"/>
      <c r="B181" s="765" t="s">
        <v>770</v>
      </c>
      <c r="C181" s="765"/>
      <c r="D181" s="765"/>
      <c r="E181" s="765"/>
      <c r="F181" s="765"/>
      <c r="G181" s="765"/>
      <c r="H181" s="765"/>
      <c r="I181" s="765"/>
      <c r="J181" s="765"/>
      <c r="K181" s="114"/>
      <c r="L181" s="114"/>
      <c r="M181" s="114"/>
      <c r="N181" s="114"/>
    </row>
    <row r="182" spans="1:14">
      <c r="A182" s="114"/>
      <c r="B182" s="765" t="s">
        <v>771</v>
      </c>
      <c r="C182" s="765"/>
      <c r="D182" s="765"/>
      <c r="E182" s="765"/>
      <c r="F182" s="765"/>
      <c r="G182" s="765"/>
      <c r="H182" s="765"/>
      <c r="I182" s="765"/>
      <c r="J182" s="765"/>
      <c r="K182" s="114"/>
      <c r="L182" s="114"/>
      <c r="M182" s="114"/>
      <c r="N182" s="114"/>
    </row>
    <row r="183" spans="1:14">
      <c r="A183" s="114"/>
      <c r="B183" s="765"/>
      <c r="C183" s="765"/>
      <c r="D183" s="765"/>
      <c r="E183" s="765"/>
      <c r="F183" s="765"/>
      <c r="G183" s="765"/>
      <c r="H183" s="765"/>
      <c r="I183" s="765"/>
      <c r="J183" s="765"/>
      <c r="K183" s="114"/>
      <c r="L183" s="114"/>
      <c r="M183" s="114"/>
      <c r="N183" s="114"/>
    </row>
    <row r="184" spans="1:14">
      <c r="A184" s="114"/>
      <c r="B184" s="765" t="s">
        <v>772</v>
      </c>
      <c r="C184" s="765"/>
      <c r="D184" s="765"/>
      <c r="E184" s="765"/>
      <c r="F184" s="765"/>
      <c r="G184" s="765"/>
      <c r="H184" s="765"/>
      <c r="I184" s="765"/>
      <c r="J184" s="765"/>
      <c r="K184" s="114"/>
      <c r="L184" s="114"/>
      <c r="M184" s="114"/>
      <c r="N184" s="114"/>
    </row>
    <row r="185" spans="1:14">
      <c r="A185" s="114"/>
      <c r="B185" s="765" t="s">
        <v>773</v>
      </c>
      <c r="C185" s="765"/>
      <c r="D185" s="765"/>
      <c r="E185" s="765"/>
      <c r="F185" s="765"/>
      <c r="G185" s="765"/>
      <c r="H185" s="765"/>
      <c r="I185" s="765"/>
      <c r="J185" s="765"/>
      <c r="K185" s="114"/>
      <c r="L185" s="114"/>
      <c r="M185" s="114"/>
      <c r="N185" s="114"/>
    </row>
    <row r="186" spans="1:14">
      <c r="A186" s="114"/>
      <c r="B186" s="765"/>
      <c r="C186" s="765"/>
      <c r="D186" s="765"/>
      <c r="E186" s="765"/>
      <c r="F186" s="765"/>
      <c r="G186" s="765"/>
      <c r="H186" s="765"/>
      <c r="I186" s="765"/>
      <c r="J186" s="765"/>
      <c r="K186" s="114"/>
      <c r="L186" s="114"/>
      <c r="M186" s="114"/>
      <c r="N186" s="114"/>
    </row>
    <row r="187" spans="1:14">
      <c r="A187" s="114"/>
      <c r="B187" s="114"/>
      <c r="C187" s="114"/>
      <c r="D187" s="114"/>
      <c r="E187" s="114"/>
      <c r="F187" s="114"/>
      <c r="G187" s="114"/>
      <c r="H187" s="114"/>
      <c r="I187" s="114"/>
      <c r="J187" s="114"/>
      <c r="K187" s="114"/>
      <c r="L187" s="114"/>
      <c r="M187" s="114"/>
      <c r="N187" s="114"/>
    </row>
    <row r="188" spans="1:14">
      <c r="A188" s="114"/>
      <c r="B188" s="114"/>
      <c r="C188" s="114"/>
      <c r="D188" s="114"/>
      <c r="E188" s="114"/>
      <c r="F188" s="114"/>
      <c r="G188" s="114"/>
      <c r="H188" s="114"/>
      <c r="I188" s="114"/>
      <c r="J188" s="114"/>
      <c r="K188" s="114"/>
      <c r="L188" s="114"/>
      <c r="M188" s="114"/>
      <c r="N188" s="114"/>
    </row>
    <row r="189" spans="1:14">
      <c r="A189" s="114"/>
      <c r="B189" s="114"/>
      <c r="C189" s="114"/>
      <c r="D189" s="114"/>
      <c r="E189" s="114"/>
      <c r="F189" s="114"/>
      <c r="G189" s="114"/>
      <c r="H189" s="114"/>
      <c r="I189" s="114"/>
      <c r="J189" s="114"/>
      <c r="K189" s="114"/>
      <c r="L189" s="114"/>
      <c r="M189" s="114"/>
      <c r="N189" s="114"/>
    </row>
    <row r="190" spans="1:14">
      <c r="A190" s="114"/>
      <c r="B190" s="509" t="s">
        <v>573</v>
      </c>
      <c r="C190" s="114"/>
      <c r="D190" s="114"/>
      <c r="E190" s="114"/>
      <c r="F190" s="114"/>
      <c r="G190" s="114"/>
      <c r="H190" s="114"/>
      <c r="I190" s="114"/>
      <c r="J190" s="114"/>
      <c r="K190" s="114"/>
      <c r="L190" s="114"/>
      <c r="M190" s="114"/>
      <c r="N190" s="114"/>
    </row>
    <row r="191" spans="1:14">
      <c r="A191" s="114"/>
      <c r="B191" s="114"/>
      <c r="C191" s="114"/>
      <c r="D191" s="114"/>
      <c r="E191" s="114"/>
      <c r="F191" s="114"/>
      <c r="G191" s="114"/>
      <c r="H191" s="114"/>
      <c r="I191" s="114"/>
      <c r="J191" s="114"/>
      <c r="K191" s="114"/>
      <c r="L191" s="114"/>
      <c r="M191" s="114"/>
      <c r="N191" s="114"/>
    </row>
    <row r="192" spans="1:14">
      <c r="A192" s="114"/>
      <c r="B192" s="114"/>
      <c r="C192" s="114"/>
      <c r="D192" s="114"/>
      <c r="E192" s="114"/>
      <c r="F192" s="114"/>
      <c r="G192" s="114"/>
      <c r="H192" s="114"/>
      <c r="I192" s="114"/>
      <c r="J192" s="114"/>
      <c r="K192" s="114"/>
      <c r="L192" s="114"/>
      <c r="M192" s="114"/>
      <c r="N192" s="114"/>
    </row>
    <row r="193" spans="1:14">
      <c r="A193" s="114"/>
      <c r="B193" s="114"/>
      <c r="C193" s="114"/>
      <c r="D193" s="114"/>
      <c r="E193" s="114"/>
      <c r="F193" s="114"/>
      <c r="G193" s="114"/>
      <c r="H193" s="114"/>
      <c r="I193" s="114"/>
      <c r="J193" s="114"/>
      <c r="K193" s="114"/>
      <c r="L193" s="114"/>
      <c r="M193" s="114"/>
      <c r="N193" s="114"/>
    </row>
    <row r="194" spans="1:14">
      <c r="A194" s="114"/>
      <c r="B194" s="114"/>
      <c r="C194" s="114"/>
      <c r="D194" s="114"/>
      <c r="E194" s="114"/>
      <c r="F194" s="114"/>
      <c r="G194" s="114"/>
      <c r="H194" s="114"/>
      <c r="I194" s="114"/>
      <c r="J194" s="114"/>
      <c r="K194" s="114"/>
      <c r="L194" s="114"/>
      <c r="M194" s="114"/>
      <c r="N194" s="114"/>
    </row>
    <row r="195" spans="1:14">
      <c r="A195" s="114"/>
      <c r="B195" s="114"/>
      <c r="C195" s="114"/>
      <c r="D195" s="114"/>
      <c r="E195" s="114"/>
      <c r="F195" s="114"/>
      <c r="G195" s="114"/>
      <c r="H195" s="114"/>
      <c r="I195" s="114"/>
      <c r="J195" s="114"/>
      <c r="K195" s="114"/>
      <c r="L195" s="114"/>
      <c r="M195" s="114"/>
      <c r="N195" s="114"/>
    </row>
    <row r="196" spans="1:14">
      <c r="A196" s="114"/>
      <c r="B196" s="114"/>
      <c r="C196" s="114"/>
      <c r="D196" s="114"/>
      <c r="E196" s="114"/>
      <c r="F196" s="114"/>
      <c r="G196" s="114"/>
      <c r="H196" s="114"/>
      <c r="I196" s="114"/>
      <c r="J196" s="114"/>
      <c r="K196" s="114"/>
      <c r="L196" s="114"/>
      <c r="M196" s="114"/>
      <c r="N196" s="114"/>
    </row>
    <row r="197" spans="1:14">
      <c r="A197" s="114"/>
      <c r="B197" s="114"/>
      <c r="C197" s="114"/>
      <c r="D197" s="114"/>
      <c r="E197" s="114"/>
      <c r="F197" s="114"/>
      <c r="G197" s="114"/>
      <c r="H197" s="114"/>
      <c r="I197" s="114"/>
      <c r="J197" s="114"/>
      <c r="K197" s="114"/>
      <c r="L197" s="114"/>
      <c r="M197" s="114"/>
      <c r="N197" s="114"/>
    </row>
    <row r="198" spans="1:14">
      <c r="A198" s="114"/>
      <c r="B198" s="114"/>
      <c r="C198" s="114"/>
      <c r="D198" s="114"/>
      <c r="E198" s="114"/>
      <c r="F198" s="114"/>
      <c r="G198" s="114"/>
      <c r="H198" s="114"/>
      <c r="I198" s="114"/>
      <c r="J198" s="114"/>
      <c r="K198" s="114"/>
      <c r="L198" s="114"/>
      <c r="M198" s="114"/>
      <c r="N198" s="114"/>
    </row>
    <row r="199" spans="1:14">
      <c r="A199" s="114"/>
      <c r="B199" s="114"/>
      <c r="C199" s="114"/>
      <c r="D199" s="114"/>
      <c r="E199" s="114"/>
      <c r="F199" s="114"/>
      <c r="G199" s="114"/>
      <c r="H199" s="114"/>
      <c r="I199" s="114"/>
      <c r="J199" s="114"/>
      <c r="K199" s="114"/>
      <c r="L199" s="114"/>
      <c r="M199" s="114"/>
      <c r="N199" s="114"/>
    </row>
    <row r="200" spans="1:14">
      <c r="A200" s="114"/>
      <c r="B200" s="114"/>
      <c r="C200" s="114"/>
      <c r="D200" s="114"/>
      <c r="E200" s="114"/>
      <c r="F200" s="114"/>
      <c r="G200" s="114"/>
      <c r="H200" s="114"/>
      <c r="I200" s="114"/>
      <c r="J200" s="114"/>
      <c r="K200" s="114"/>
      <c r="L200" s="114"/>
      <c r="M200" s="114"/>
      <c r="N200" s="114"/>
    </row>
    <row r="201" spans="1:14">
      <c r="A201" s="114"/>
      <c r="B201" s="114"/>
      <c r="C201" s="114"/>
      <c r="D201" s="114"/>
      <c r="E201" s="114"/>
      <c r="F201" s="114"/>
      <c r="G201" s="114"/>
      <c r="H201" s="114"/>
      <c r="I201" s="114"/>
      <c r="J201" s="114"/>
      <c r="K201" s="114"/>
      <c r="L201" s="114"/>
      <c r="M201" s="114"/>
      <c r="N201" s="114"/>
    </row>
    <row r="202" spans="1:14">
      <c r="A202" s="114"/>
      <c r="B202" s="114"/>
      <c r="C202" s="114"/>
      <c r="D202" s="114"/>
      <c r="E202" s="114"/>
      <c r="F202" s="114"/>
      <c r="G202" s="114"/>
      <c r="H202" s="114"/>
      <c r="I202" s="114"/>
      <c r="J202" s="114"/>
      <c r="K202" s="114"/>
      <c r="L202" s="114"/>
      <c r="M202" s="114"/>
      <c r="N202" s="114"/>
    </row>
    <row r="203" spans="1:14">
      <c r="A203" s="114"/>
      <c r="B203" s="114"/>
      <c r="C203" s="114"/>
      <c r="D203" s="114"/>
      <c r="E203" s="114"/>
      <c r="F203" s="114"/>
      <c r="G203" s="114"/>
      <c r="H203" s="114"/>
      <c r="I203" s="114"/>
      <c r="J203" s="114"/>
      <c r="K203" s="114"/>
      <c r="L203" s="114"/>
      <c r="M203" s="114"/>
      <c r="N203" s="114"/>
    </row>
    <row r="204" spans="1:14">
      <c r="A204" s="114"/>
      <c r="B204" s="114"/>
      <c r="C204" s="114"/>
      <c r="D204" s="114"/>
      <c r="E204" s="114"/>
      <c r="F204" s="114"/>
      <c r="G204" s="114"/>
      <c r="H204" s="114"/>
      <c r="I204" s="114"/>
      <c r="J204" s="114"/>
      <c r="K204" s="114"/>
      <c r="L204" s="114"/>
      <c r="M204" s="114"/>
      <c r="N204" s="114"/>
    </row>
    <row r="205" spans="1:14">
      <c r="A205" s="114"/>
      <c r="B205" s="114"/>
      <c r="C205" s="114"/>
      <c r="D205" s="114"/>
      <c r="E205" s="114"/>
      <c r="F205" s="114"/>
      <c r="G205" s="114"/>
      <c r="H205" s="114"/>
      <c r="I205" s="114"/>
      <c r="J205" s="114"/>
      <c r="K205" s="114"/>
      <c r="L205" s="114"/>
      <c r="M205" s="114"/>
      <c r="N205" s="114"/>
    </row>
    <row r="206" spans="1:14">
      <c r="A206" s="114"/>
      <c r="B206" s="462"/>
      <c r="C206" s="114"/>
      <c r="D206" s="114"/>
      <c r="E206" s="114"/>
      <c r="F206" s="114"/>
      <c r="G206" s="114"/>
      <c r="H206" s="114"/>
      <c r="I206" s="114"/>
      <c r="J206" s="114"/>
      <c r="K206" s="114"/>
      <c r="L206" s="114"/>
      <c r="M206" s="114"/>
      <c r="N206" s="114"/>
    </row>
    <row r="207" spans="1:14">
      <c r="A207" s="114"/>
      <c r="B207" s="114"/>
      <c r="C207" s="114"/>
      <c r="D207" s="114"/>
      <c r="E207" s="114"/>
      <c r="F207" s="114"/>
      <c r="G207" s="114"/>
      <c r="H207" s="114"/>
      <c r="I207" s="114"/>
      <c r="J207" s="114"/>
      <c r="K207" s="114"/>
      <c r="L207" s="114"/>
      <c r="M207" s="114"/>
      <c r="N207" s="114"/>
    </row>
    <row r="208" spans="1:14">
      <c r="A208" s="114"/>
      <c r="B208" s="114"/>
      <c r="C208" s="114"/>
      <c r="D208" s="114"/>
      <c r="E208" s="114"/>
      <c r="F208" s="114"/>
      <c r="G208" s="114"/>
      <c r="H208" s="114"/>
      <c r="I208" s="114"/>
      <c r="J208" s="114"/>
      <c r="K208" s="114"/>
      <c r="L208" s="114"/>
      <c r="M208" s="114"/>
      <c r="N208" s="114"/>
    </row>
    <row r="209" spans="1:14">
      <c r="A209" s="114"/>
      <c r="B209" s="114"/>
      <c r="C209" s="114"/>
      <c r="D209" s="114"/>
      <c r="E209" s="114"/>
      <c r="F209" s="114"/>
      <c r="G209" s="114"/>
      <c r="H209" s="114"/>
      <c r="I209" s="114"/>
      <c r="J209" s="114"/>
      <c r="K209" s="114"/>
      <c r="L209" s="114"/>
      <c r="M209" s="114"/>
      <c r="N209" s="114"/>
    </row>
    <row r="210" spans="1:14">
      <c r="A210" s="114"/>
      <c r="B210" s="114"/>
      <c r="C210" s="114"/>
      <c r="D210" s="114"/>
      <c r="E210" s="114"/>
      <c r="F210" s="114"/>
      <c r="G210" s="114"/>
      <c r="H210" s="114"/>
      <c r="I210" s="114"/>
      <c r="J210" s="114"/>
      <c r="K210" s="114"/>
      <c r="L210" s="114"/>
      <c r="M210" s="114"/>
      <c r="N210" s="114"/>
    </row>
    <row r="211" spans="1:14">
      <c r="A211" s="114"/>
      <c r="B211" s="114"/>
      <c r="C211" s="114"/>
      <c r="D211" s="114"/>
      <c r="E211" s="114"/>
      <c r="F211" s="114"/>
      <c r="G211" s="114"/>
      <c r="H211" s="114"/>
      <c r="I211" s="114"/>
      <c r="J211" s="114"/>
      <c r="K211" s="114"/>
      <c r="L211" s="114"/>
      <c r="M211" s="114"/>
      <c r="N211" s="114"/>
    </row>
    <row r="212" spans="1:14">
      <c r="A212" s="114"/>
      <c r="B212" s="114"/>
      <c r="C212" s="114"/>
      <c r="D212" s="114"/>
      <c r="E212" s="114"/>
      <c r="F212" s="114"/>
      <c r="G212" s="114"/>
      <c r="H212" s="114"/>
      <c r="I212" s="114"/>
      <c r="J212" s="114"/>
      <c r="K212" s="114"/>
      <c r="L212" s="114"/>
      <c r="M212" s="114"/>
      <c r="N212" s="114"/>
    </row>
    <row r="213" spans="1:14">
      <c r="A213" s="114"/>
      <c r="B213" s="114"/>
      <c r="C213" s="114"/>
      <c r="D213" s="114"/>
      <c r="E213" s="114"/>
      <c r="F213" s="114"/>
      <c r="G213" s="114"/>
      <c r="H213" s="114"/>
      <c r="I213" s="114"/>
      <c r="J213" s="114"/>
      <c r="K213" s="114"/>
      <c r="L213" s="114"/>
      <c r="M213" s="114"/>
      <c r="N213" s="114"/>
    </row>
    <row r="214" spans="1:14">
      <c r="A214" s="114"/>
      <c r="B214" s="114"/>
      <c r="C214" s="114"/>
      <c r="D214" s="114"/>
      <c r="E214" s="114"/>
      <c r="F214" s="114"/>
      <c r="G214" s="114"/>
      <c r="H214" s="114"/>
      <c r="I214" s="114"/>
      <c r="J214" s="114"/>
      <c r="K214" s="114"/>
      <c r="L214" s="114"/>
      <c r="M214" s="114"/>
      <c r="N214" s="114"/>
    </row>
    <row r="215" spans="1:14">
      <c r="A215" s="114"/>
      <c r="B215" s="114"/>
      <c r="C215" s="114"/>
      <c r="D215" s="114"/>
      <c r="E215" s="114"/>
      <c r="F215" s="114"/>
      <c r="G215" s="114"/>
      <c r="H215" s="114"/>
      <c r="I215" s="114"/>
      <c r="J215" s="114"/>
      <c r="K215" s="114"/>
      <c r="L215" s="114"/>
      <c r="M215" s="114"/>
      <c r="N215" s="114"/>
    </row>
    <row r="216" spans="1:14">
      <c r="A216" s="114"/>
      <c r="B216" s="114"/>
      <c r="C216" s="114"/>
      <c r="D216" s="114"/>
      <c r="E216" s="114"/>
      <c r="F216" s="114"/>
      <c r="G216" s="114"/>
      <c r="H216" s="114"/>
      <c r="I216" s="114"/>
      <c r="J216" s="114"/>
      <c r="K216" s="114"/>
      <c r="L216" s="114"/>
      <c r="M216" s="114"/>
      <c r="N216" s="114"/>
    </row>
    <row r="217" spans="1:14">
      <c r="A217" s="114"/>
      <c r="B217" s="114"/>
      <c r="C217" s="114"/>
      <c r="D217" s="114"/>
      <c r="E217" s="114"/>
      <c r="F217" s="114"/>
      <c r="G217" s="114"/>
      <c r="H217" s="114"/>
      <c r="I217" s="114"/>
      <c r="J217" s="114"/>
      <c r="K217" s="114"/>
      <c r="L217" s="114"/>
      <c r="M217" s="114"/>
      <c r="N217" s="114"/>
    </row>
    <row r="218" spans="1:14">
      <c r="A218" s="114"/>
      <c r="B218" s="114"/>
      <c r="C218" s="114"/>
      <c r="D218" s="114"/>
      <c r="E218" s="114"/>
      <c r="F218" s="114"/>
      <c r="G218" s="114"/>
      <c r="H218" s="114"/>
      <c r="I218" s="114"/>
      <c r="J218" s="114"/>
      <c r="K218" s="114"/>
      <c r="L218" s="114"/>
      <c r="M218" s="114"/>
      <c r="N218" s="114"/>
    </row>
    <row r="219" spans="1:14">
      <c r="A219" s="114"/>
      <c r="B219" s="114"/>
      <c r="C219" s="114"/>
      <c r="D219" s="114"/>
      <c r="E219" s="114"/>
      <c r="F219" s="114"/>
      <c r="G219" s="114"/>
      <c r="H219" s="114"/>
      <c r="I219" s="114"/>
      <c r="J219" s="114"/>
      <c r="K219" s="114"/>
      <c r="L219" s="114"/>
      <c r="M219" s="114"/>
      <c r="N219" s="114"/>
    </row>
    <row r="220" spans="1:14">
      <c r="A220" s="114"/>
      <c r="B220" s="509" t="s">
        <v>332</v>
      </c>
      <c r="C220" s="114"/>
      <c r="D220" s="114"/>
      <c r="E220" s="114"/>
      <c r="F220" s="114"/>
      <c r="G220" s="114"/>
      <c r="H220" s="114"/>
      <c r="I220" s="114"/>
      <c r="J220" s="114"/>
      <c r="K220" s="114"/>
      <c r="L220" s="114"/>
      <c r="M220" s="114"/>
      <c r="N220" s="114"/>
    </row>
    <row r="221" spans="1:14">
      <c r="A221" s="114"/>
      <c r="B221" s="114"/>
      <c r="C221" s="114"/>
      <c r="D221" s="114"/>
      <c r="E221" s="114"/>
      <c r="F221" s="114"/>
      <c r="G221" s="114"/>
      <c r="H221" s="114"/>
      <c r="I221" s="114"/>
      <c r="J221" s="114"/>
      <c r="K221" s="114"/>
      <c r="L221" s="114"/>
      <c r="M221" s="114"/>
      <c r="N221" s="114"/>
    </row>
    <row r="222" spans="1:14">
      <c r="A222" s="114"/>
      <c r="B222" s="308" t="s">
        <v>333</v>
      </c>
      <c r="C222" s="114"/>
      <c r="D222" s="114"/>
      <c r="E222" s="114"/>
      <c r="F222" s="114"/>
      <c r="G222" s="114"/>
      <c r="H222" s="114"/>
      <c r="I222" s="114"/>
      <c r="J222" s="114"/>
      <c r="K222" s="114"/>
      <c r="L222" s="114"/>
      <c r="M222" s="114"/>
      <c r="N222" s="114"/>
    </row>
    <row r="223" spans="1:14">
      <c r="A223" s="114"/>
      <c r="B223" s="114"/>
      <c r="C223" s="114"/>
      <c r="D223" s="114"/>
      <c r="E223" s="114"/>
      <c r="F223" s="114"/>
      <c r="G223" s="114"/>
      <c r="H223" s="114"/>
      <c r="I223" s="114"/>
      <c r="J223" s="114"/>
      <c r="K223" s="114"/>
      <c r="L223" s="114"/>
      <c r="M223" s="114"/>
      <c r="N223" s="114"/>
    </row>
    <row r="224" spans="1:14">
      <c r="A224" s="114"/>
      <c r="B224" s="114"/>
      <c r="C224" s="114"/>
      <c r="D224" s="114"/>
      <c r="E224" s="114"/>
      <c r="F224" s="114"/>
      <c r="G224" s="114"/>
      <c r="H224" s="114"/>
      <c r="I224" s="114"/>
      <c r="J224" s="114"/>
      <c r="K224" s="114"/>
      <c r="L224" s="114"/>
      <c r="M224" s="114"/>
      <c r="N224" s="114"/>
    </row>
    <row r="225" spans="1:14">
      <c r="A225" s="114"/>
      <c r="B225" s="114"/>
      <c r="C225" s="114"/>
      <c r="D225" s="114"/>
      <c r="E225" s="114"/>
      <c r="F225" s="114"/>
      <c r="G225" s="114"/>
      <c r="H225" s="114"/>
      <c r="I225" s="114"/>
      <c r="J225" s="114"/>
      <c r="K225" s="114"/>
      <c r="L225" s="114"/>
      <c r="M225" s="114"/>
      <c r="N225" s="114"/>
    </row>
    <row r="226" spans="1:14">
      <c r="A226" s="114"/>
      <c r="B226" s="114"/>
      <c r="C226" s="114"/>
      <c r="D226" s="114"/>
      <c r="E226" s="114"/>
      <c r="F226" s="114"/>
      <c r="G226" s="114"/>
      <c r="H226" s="114"/>
      <c r="I226" s="114"/>
      <c r="J226" s="114"/>
      <c r="K226" s="114"/>
      <c r="L226" s="114"/>
      <c r="M226" s="114"/>
      <c r="N226" s="114"/>
    </row>
    <row r="227" spans="1:14">
      <c r="A227" s="114"/>
      <c r="B227" s="114"/>
      <c r="C227" s="114"/>
      <c r="D227" s="114"/>
      <c r="E227" s="114"/>
      <c r="F227" s="114"/>
      <c r="G227" s="114"/>
      <c r="H227" s="114"/>
      <c r="I227" s="114"/>
      <c r="J227" s="114"/>
      <c r="K227" s="114"/>
      <c r="L227" s="114"/>
      <c r="M227" s="114"/>
      <c r="N227" s="114"/>
    </row>
    <row r="228" spans="1:14">
      <c r="A228" s="114"/>
      <c r="B228" s="114"/>
      <c r="C228" s="114"/>
      <c r="D228" s="114"/>
      <c r="E228" s="114"/>
      <c r="F228" s="114"/>
      <c r="G228" s="114"/>
      <c r="H228" s="114"/>
      <c r="I228" s="114"/>
      <c r="J228" s="114"/>
      <c r="K228" s="114"/>
      <c r="L228" s="114"/>
      <c r="M228" s="114"/>
      <c r="N228" s="114"/>
    </row>
    <row r="229" spans="1:14">
      <c r="A229" s="114"/>
      <c r="B229" s="114"/>
      <c r="C229" s="114"/>
      <c r="D229" s="114"/>
      <c r="E229" s="114"/>
      <c r="F229" s="114"/>
      <c r="G229" s="114"/>
      <c r="H229" s="114"/>
      <c r="I229" s="114"/>
      <c r="J229" s="114"/>
      <c r="K229" s="114"/>
      <c r="L229" s="114"/>
      <c r="M229" s="114"/>
      <c r="N229" s="114"/>
    </row>
    <row r="230" spans="1:14">
      <c r="A230" s="114"/>
      <c r="B230" s="114"/>
      <c r="C230" s="114"/>
      <c r="D230" s="114"/>
      <c r="E230" s="114"/>
      <c r="F230" s="114"/>
      <c r="G230" s="114"/>
      <c r="H230" s="114"/>
      <c r="I230" s="114"/>
      <c r="J230" s="114"/>
      <c r="K230" s="114"/>
      <c r="L230" s="114"/>
      <c r="M230" s="114"/>
      <c r="N230" s="114"/>
    </row>
    <row r="231" spans="1:14">
      <c r="A231" s="114"/>
      <c r="B231" s="114"/>
      <c r="C231" s="114"/>
      <c r="D231" s="114"/>
      <c r="E231" s="114"/>
      <c r="F231" s="114"/>
      <c r="G231" s="114"/>
      <c r="H231" s="114"/>
      <c r="I231" s="114"/>
      <c r="J231" s="114"/>
      <c r="K231" s="114"/>
      <c r="L231" s="114"/>
      <c r="M231" s="114"/>
      <c r="N231" s="114"/>
    </row>
    <row r="232" spans="1:14">
      <c r="A232" s="114"/>
      <c r="B232" s="114"/>
      <c r="C232" s="114"/>
      <c r="D232" s="114"/>
      <c r="E232" s="114"/>
      <c r="F232" s="114"/>
      <c r="G232" s="114"/>
      <c r="H232" s="114"/>
      <c r="I232" s="114"/>
      <c r="J232" s="114"/>
      <c r="K232" s="114"/>
      <c r="L232" s="114"/>
      <c r="M232" s="114"/>
      <c r="N232" s="114"/>
    </row>
    <row r="233" spans="1:14">
      <c r="A233" s="114"/>
      <c r="B233" s="114"/>
      <c r="C233" s="114"/>
      <c r="D233" s="114"/>
      <c r="E233" s="114"/>
      <c r="F233" s="114"/>
      <c r="G233" s="114"/>
      <c r="H233" s="114"/>
      <c r="I233" s="114"/>
      <c r="J233" s="114"/>
      <c r="K233" s="114"/>
      <c r="L233" s="114"/>
      <c r="M233" s="114"/>
      <c r="N233" s="114"/>
    </row>
    <row r="234" spans="1:14">
      <c r="A234" s="114"/>
      <c r="B234" s="114"/>
      <c r="C234" s="114"/>
      <c r="D234" s="114"/>
      <c r="E234" s="114"/>
      <c r="F234" s="114"/>
      <c r="G234" s="114"/>
      <c r="H234" s="114"/>
      <c r="I234" s="114"/>
      <c r="J234" s="114"/>
      <c r="K234" s="114"/>
      <c r="L234" s="114"/>
      <c r="M234" s="114"/>
      <c r="N234" s="114"/>
    </row>
    <row r="235" spans="1:14">
      <c r="A235" s="114"/>
      <c r="B235" s="114"/>
      <c r="C235" s="114"/>
      <c r="D235" s="114"/>
      <c r="E235" s="114"/>
      <c r="F235" s="114"/>
      <c r="G235" s="114"/>
      <c r="H235" s="114"/>
      <c r="I235" s="114"/>
      <c r="J235" s="114"/>
      <c r="K235" s="114"/>
      <c r="L235" s="114"/>
      <c r="M235" s="114"/>
      <c r="N235" s="114"/>
    </row>
    <row r="236" spans="1:14">
      <c r="A236" s="114"/>
      <c r="B236" s="114"/>
      <c r="C236" s="114"/>
      <c r="D236" s="114"/>
      <c r="E236" s="114"/>
      <c r="F236" s="114"/>
      <c r="G236" s="114"/>
      <c r="H236" s="114"/>
      <c r="I236" s="114"/>
      <c r="J236" s="114"/>
      <c r="K236" s="114"/>
      <c r="L236" s="114"/>
      <c r="M236" s="114"/>
      <c r="N236" s="114"/>
    </row>
    <row r="237" spans="1:14">
      <c r="A237" s="114"/>
      <c r="B237" s="114"/>
      <c r="C237" s="114"/>
      <c r="D237" s="114"/>
      <c r="E237" s="114"/>
      <c r="F237" s="114"/>
      <c r="G237" s="114"/>
      <c r="H237" s="114"/>
      <c r="I237" s="114"/>
      <c r="J237" s="114"/>
      <c r="K237" s="114"/>
      <c r="L237" s="114"/>
      <c r="M237" s="114"/>
      <c r="N237" s="114"/>
    </row>
    <row r="238" spans="1:14">
      <c r="A238" s="114"/>
      <c r="B238" s="114"/>
      <c r="C238" s="114"/>
      <c r="D238" s="114"/>
      <c r="E238" s="114"/>
      <c r="F238" s="114"/>
      <c r="G238" s="114"/>
      <c r="H238" s="114"/>
      <c r="I238" s="114"/>
      <c r="J238" s="114"/>
      <c r="K238" s="114"/>
      <c r="L238" s="114"/>
      <c r="M238" s="114"/>
      <c r="N238" s="114"/>
    </row>
    <row r="239" spans="1:14">
      <c r="A239" s="114"/>
      <c r="B239" s="114"/>
      <c r="C239" s="114"/>
      <c r="D239" s="114"/>
      <c r="E239" s="114"/>
      <c r="F239" s="114"/>
      <c r="G239" s="114"/>
      <c r="H239" s="114"/>
      <c r="I239" s="114"/>
      <c r="J239" s="114"/>
      <c r="K239" s="114"/>
      <c r="L239" s="114"/>
      <c r="M239" s="114"/>
      <c r="N239" s="114"/>
    </row>
    <row r="240" spans="1:14">
      <c r="A240" s="114"/>
      <c r="B240" s="114"/>
      <c r="C240" s="114"/>
      <c r="D240" s="114"/>
      <c r="E240" s="114"/>
      <c r="F240" s="114"/>
      <c r="G240" s="114"/>
      <c r="H240" s="114"/>
      <c r="I240" s="114"/>
      <c r="J240" s="114"/>
      <c r="K240" s="114"/>
      <c r="L240" s="114"/>
      <c r="M240" s="114"/>
      <c r="N240" s="114"/>
    </row>
    <row r="241" spans="1:14">
      <c r="A241" s="114"/>
      <c r="B241" s="114"/>
      <c r="C241" s="114"/>
      <c r="D241" s="114"/>
      <c r="E241" s="114"/>
      <c r="F241" s="114"/>
      <c r="G241" s="114"/>
      <c r="H241" s="114"/>
      <c r="I241" s="114"/>
      <c r="J241" s="114"/>
      <c r="K241" s="114"/>
      <c r="L241" s="114"/>
      <c r="M241" s="114"/>
      <c r="N241" s="114"/>
    </row>
    <row r="242" spans="1:14">
      <c r="A242" s="114"/>
      <c r="B242" s="114"/>
      <c r="C242" s="114"/>
      <c r="D242" s="114"/>
      <c r="E242" s="114"/>
      <c r="F242" s="114"/>
      <c r="G242" s="114"/>
      <c r="H242" s="114"/>
      <c r="I242" s="114"/>
      <c r="J242" s="114"/>
      <c r="K242" s="114"/>
      <c r="L242" s="114"/>
      <c r="M242" s="114"/>
      <c r="N242" s="114"/>
    </row>
    <row r="243" spans="1:14">
      <c r="A243" s="114"/>
      <c r="B243" s="114"/>
      <c r="C243" s="114"/>
      <c r="D243" s="114"/>
      <c r="E243" s="114"/>
      <c r="F243" s="114"/>
      <c r="G243" s="114"/>
      <c r="H243" s="114"/>
      <c r="I243" s="114"/>
      <c r="J243" s="114"/>
      <c r="K243" s="114"/>
      <c r="L243" s="114"/>
      <c r="M243" s="114"/>
      <c r="N243" s="114"/>
    </row>
    <row r="244" spans="1:14">
      <c r="A244" s="114"/>
      <c r="B244" s="114"/>
      <c r="C244" s="114"/>
      <c r="D244" s="114"/>
      <c r="E244" s="114"/>
      <c r="F244" s="114"/>
      <c r="G244" s="114"/>
      <c r="H244" s="114"/>
      <c r="I244" s="114"/>
      <c r="J244" s="114"/>
      <c r="K244" s="114"/>
      <c r="L244" s="114"/>
      <c r="M244" s="114"/>
      <c r="N244" s="114"/>
    </row>
    <row r="245" spans="1:14">
      <c r="A245" s="114"/>
      <c r="B245" s="114"/>
      <c r="C245" s="114"/>
      <c r="D245" s="114"/>
      <c r="E245" s="114"/>
      <c r="F245" s="114"/>
      <c r="G245" s="114"/>
      <c r="H245" s="114"/>
      <c r="I245" s="114"/>
      <c r="J245" s="114"/>
      <c r="K245" s="114"/>
      <c r="L245" s="114"/>
      <c r="M245" s="114"/>
      <c r="N245" s="114"/>
    </row>
    <row r="246" spans="1:14">
      <c r="A246" s="114"/>
      <c r="B246" s="114"/>
      <c r="C246" s="114"/>
      <c r="D246" s="114"/>
      <c r="E246" s="114"/>
      <c r="F246" s="114"/>
      <c r="G246" s="114"/>
      <c r="H246" s="114"/>
      <c r="I246" s="114"/>
      <c r="J246" s="114"/>
      <c r="K246" s="114"/>
      <c r="L246" s="114"/>
      <c r="M246" s="114"/>
      <c r="N246" s="114"/>
    </row>
    <row r="247" spans="1:14">
      <c r="A247" s="114"/>
      <c r="B247" s="114"/>
      <c r="C247" s="114"/>
      <c r="D247" s="114"/>
      <c r="E247" s="114"/>
      <c r="F247" s="114"/>
      <c r="G247" s="114"/>
      <c r="H247" s="114"/>
      <c r="I247" s="114"/>
      <c r="J247" s="114"/>
      <c r="K247" s="114"/>
      <c r="L247" s="114"/>
      <c r="M247" s="114"/>
      <c r="N247" s="114"/>
    </row>
    <row r="248" spans="1:14">
      <c r="A248" s="114"/>
      <c r="B248" s="114"/>
      <c r="C248" s="114"/>
      <c r="D248" s="114"/>
      <c r="E248" s="114"/>
      <c r="F248" s="114"/>
      <c r="G248" s="114"/>
      <c r="H248" s="114"/>
      <c r="I248" s="114"/>
      <c r="J248" s="114"/>
      <c r="K248" s="114"/>
      <c r="L248" s="114"/>
      <c r="M248" s="114"/>
      <c r="N248" s="114"/>
    </row>
    <row r="249" spans="1:14">
      <c r="A249" s="114"/>
      <c r="B249" s="114"/>
      <c r="C249" s="114"/>
      <c r="D249" s="114"/>
      <c r="E249" s="114"/>
      <c r="F249" s="114"/>
      <c r="G249" s="114"/>
      <c r="H249" s="114"/>
      <c r="I249" s="114"/>
      <c r="J249" s="114"/>
      <c r="K249" s="114"/>
      <c r="L249" s="114"/>
      <c r="M249" s="114"/>
      <c r="N249" s="114"/>
    </row>
    <row r="250" spans="1:14">
      <c r="A250" s="114"/>
      <c r="B250" s="114"/>
      <c r="C250" s="114"/>
      <c r="D250" s="114"/>
      <c r="E250" s="114"/>
      <c r="F250" s="114"/>
      <c r="G250" s="114"/>
      <c r="H250" s="114"/>
      <c r="I250" s="114"/>
      <c r="J250" s="114"/>
      <c r="K250" s="114"/>
      <c r="L250" s="114"/>
      <c r="M250" s="114"/>
      <c r="N250" s="114"/>
    </row>
    <row r="251" spans="1:14">
      <c r="A251" s="114"/>
      <c r="B251" s="114"/>
      <c r="C251" s="114"/>
      <c r="D251" s="114"/>
      <c r="E251" s="114"/>
      <c r="F251" s="114"/>
      <c r="G251" s="114"/>
      <c r="H251" s="114"/>
      <c r="I251" s="114"/>
      <c r="J251" s="114"/>
      <c r="K251" s="114"/>
      <c r="L251" s="114"/>
      <c r="M251" s="114"/>
      <c r="N251" s="114"/>
    </row>
    <row r="252" spans="1:14">
      <c r="A252" s="114"/>
      <c r="B252" s="114"/>
      <c r="C252" s="114"/>
      <c r="D252" s="114"/>
      <c r="E252" s="114"/>
      <c r="F252" s="114"/>
      <c r="G252" s="114"/>
      <c r="H252" s="114"/>
      <c r="I252" s="114"/>
      <c r="J252" s="114"/>
      <c r="K252" s="114"/>
      <c r="L252" s="114"/>
      <c r="M252" s="114"/>
      <c r="N252" s="114"/>
    </row>
    <row r="253" spans="1:14">
      <c r="A253" s="114"/>
      <c r="B253" s="509" t="s">
        <v>334</v>
      </c>
      <c r="C253" s="114"/>
      <c r="D253" s="114"/>
      <c r="E253" s="114"/>
      <c r="F253" s="114"/>
      <c r="G253" s="114"/>
      <c r="H253" s="114"/>
      <c r="I253" s="114"/>
      <c r="J253" s="114"/>
      <c r="K253" s="114"/>
      <c r="L253" s="114"/>
      <c r="M253" s="114"/>
      <c r="N253" s="114"/>
    </row>
    <row r="254" spans="1:14">
      <c r="A254" s="114"/>
      <c r="B254" s="114"/>
      <c r="C254" s="114"/>
      <c r="D254" s="114"/>
      <c r="E254" s="114"/>
      <c r="F254" s="114"/>
      <c r="G254" s="114"/>
      <c r="H254" s="114"/>
      <c r="I254" s="114"/>
      <c r="J254" s="114"/>
      <c r="K254" s="114"/>
      <c r="L254" s="114"/>
      <c r="M254" s="114"/>
      <c r="N254" s="114"/>
    </row>
    <row r="255" spans="1:14" ht="12.75" customHeight="1">
      <c r="A255" s="114"/>
      <c r="B255" s="765" t="s">
        <v>335</v>
      </c>
      <c r="C255" s="765"/>
      <c r="D255" s="765"/>
      <c r="E255" s="765"/>
      <c r="F255" s="765"/>
      <c r="G255" s="765"/>
      <c r="H255" s="765"/>
      <c r="I255" s="765"/>
      <c r="J255" s="765"/>
      <c r="K255" s="114"/>
      <c r="L255" s="114"/>
      <c r="M255" s="114"/>
      <c r="N255" s="114"/>
    </row>
    <row r="256" spans="1:14">
      <c r="A256" s="114"/>
      <c r="B256" s="765"/>
      <c r="C256" s="765"/>
      <c r="D256" s="765"/>
      <c r="E256" s="765"/>
      <c r="F256" s="765"/>
      <c r="G256" s="765"/>
      <c r="H256" s="765"/>
      <c r="I256" s="765"/>
      <c r="J256" s="765"/>
      <c r="K256" s="114"/>
      <c r="L256" s="114"/>
      <c r="M256" s="114"/>
      <c r="N256" s="114"/>
    </row>
    <row r="257" spans="1:14">
      <c r="A257" s="114"/>
      <c r="B257" s="765"/>
      <c r="C257" s="765"/>
      <c r="D257" s="765"/>
      <c r="E257" s="765"/>
      <c r="F257" s="765"/>
      <c r="G257" s="765"/>
      <c r="H257" s="765"/>
      <c r="I257" s="765"/>
      <c r="J257" s="765"/>
      <c r="K257" s="114"/>
      <c r="L257" s="114"/>
      <c r="M257" s="114"/>
      <c r="N257" s="114"/>
    </row>
    <row r="258" spans="1:14">
      <c r="A258" s="114"/>
      <c r="B258" s="114"/>
      <c r="C258" s="114"/>
      <c r="D258" s="114"/>
      <c r="E258" s="114"/>
      <c r="F258" s="114"/>
      <c r="G258" s="114"/>
      <c r="H258" s="114"/>
      <c r="I258" s="114"/>
      <c r="J258" s="114"/>
      <c r="K258" s="114"/>
      <c r="L258" s="114"/>
      <c r="M258" s="114"/>
      <c r="N258" s="114"/>
    </row>
    <row r="259" spans="1:14">
      <c r="A259" s="114"/>
      <c r="B259" s="114"/>
      <c r="C259" s="114"/>
      <c r="D259" s="114"/>
      <c r="E259" s="114"/>
      <c r="F259" s="114"/>
      <c r="G259" s="114"/>
      <c r="H259" s="114"/>
      <c r="I259" s="114"/>
      <c r="J259" s="114"/>
      <c r="K259" s="114"/>
      <c r="L259" s="114"/>
      <c r="M259" s="114"/>
      <c r="N259" s="114"/>
    </row>
    <row r="260" spans="1:14">
      <c r="A260" s="114"/>
      <c r="B260" s="114"/>
      <c r="C260" s="114"/>
      <c r="D260" s="114"/>
      <c r="E260" s="114"/>
      <c r="F260" s="114"/>
      <c r="G260" s="114"/>
      <c r="H260" s="114"/>
      <c r="I260" s="114"/>
      <c r="J260" s="114"/>
      <c r="K260" s="114"/>
      <c r="L260" s="114"/>
      <c r="M260" s="114"/>
      <c r="N260" s="114"/>
    </row>
    <row r="261" spans="1:14">
      <c r="A261" s="114"/>
      <c r="B261" s="114"/>
      <c r="C261" s="114"/>
      <c r="D261" s="114"/>
      <c r="E261" s="114"/>
      <c r="F261" s="114"/>
      <c r="G261" s="114"/>
      <c r="H261" s="114"/>
      <c r="I261" s="114"/>
      <c r="J261" s="114"/>
      <c r="K261" s="114"/>
      <c r="L261" s="114"/>
      <c r="M261" s="114"/>
      <c r="N261" s="114"/>
    </row>
    <row r="262" spans="1:14">
      <c r="A262" s="114"/>
      <c r="B262" s="114"/>
      <c r="C262" s="114"/>
      <c r="D262" s="114"/>
      <c r="E262" s="114"/>
      <c r="F262" s="114"/>
      <c r="G262" s="114"/>
      <c r="H262" s="114"/>
      <c r="I262" s="114"/>
      <c r="J262" s="114"/>
      <c r="K262" s="114"/>
      <c r="L262" s="114"/>
      <c r="M262" s="114"/>
      <c r="N262" s="114"/>
    </row>
    <row r="263" spans="1:14">
      <c r="A263" s="114"/>
      <c r="B263" s="114"/>
      <c r="C263" s="114"/>
      <c r="D263" s="114"/>
      <c r="E263" s="114"/>
      <c r="F263" s="114"/>
      <c r="G263" s="114"/>
      <c r="H263" s="114"/>
      <c r="I263" s="114"/>
      <c r="J263" s="114"/>
      <c r="K263" s="114"/>
      <c r="L263" s="114"/>
      <c r="M263" s="114"/>
      <c r="N263" s="114"/>
    </row>
    <row r="264" spans="1:14">
      <c r="A264" s="114"/>
      <c r="B264" s="114"/>
      <c r="C264" s="114"/>
      <c r="D264" s="114"/>
      <c r="E264" s="114"/>
      <c r="F264" s="114"/>
      <c r="G264" s="114"/>
      <c r="H264" s="114"/>
      <c r="I264" s="114"/>
      <c r="J264" s="114"/>
      <c r="K264" s="114"/>
      <c r="L264" s="114"/>
      <c r="M264" s="114"/>
      <c r="N264" s="114"/>
    </row>
    <row r="265" spans="1:14">
      <c r="A265" s="114"/>
      <c r="B265" s="114"/>
      <c r="C265" s="114"/>
      <c r="D265" s="114"/>
      <c r="E265" s="114"/>
      <c r="F265" s="114"/>
      <c r="G265" s="114"/>
      <c r="H265" s="114"/>
      <c r="I265" s="114"/>
      <c r="J265" s="114"/>
      <c r="K265" s="114"/>
      <c r="L265" s="114"/>
      <c r="M265" s="114"/>
      <c r="N265" s="114"/>
    </row>
    <row r="266" spans="1:14">
      <c r="A266" s="114"/>
      <c r="B266" s="114"/>
      <c r="C266" s="114"/>
      <c r="D266" s="114"/>
      <c r="E266" s="114"/>
      <c r="F266" s="114"/>
      <c r="G266" s="114"/>
      <c r="H266" s="114"/>
      <c r="I266" s="114"/>
      <c r="J266" s="114"/>
      <c r="K266" s="114"/>
      <c r="L266" s="114"/>
      <c r="M266" s="114"/>
      <c r="N266" s="114"/>
    </row>
    <row r="267" spans="1:14">
      <c r="A267" s="114"/>
      <c r="B267" s="114"/>
      <c r="C267" s="114"/>
      <c r="D267" s="114"/>
      <c r="E267" s="114"/>
      <c r="F267" s="114"/>
      <c r="G267" s="114"/>
      <c r="H267" s="114"/>
      <c r="I267" s="114"/>
      <c r="J267" s="114"/>
      <c r="K267" s="114"/>
      <c r="L267" s="114"/>
      <c r="M267" s="114"/>
      <c r="N267" s="114"/>
    </row>
    <row r="268" spans="1:14">
      <c r="A268" s="114"/>
      <c r="B268" s="114"/>
      <c r="C268" s="114"/>
      <c r="D268" s="114"/>
      <c r="E268" s="114"/>
      <c r="F268" s="114"/>
      <c r="G268" s="114"/>
      <c r="H268" s="114"/>
      <c r="I268" s="462"/>
      <c r="J268" s="114"/>
      <c r="K268" s="114"/>
      <c r="L268" s="114"/>
      <c r="M268" s="114"/>
      <c r="N268" s="114"/>
    </row>
    <row r="269" spans="1:14">
      <c r="A269" s="114"/>
      <c r="B269" s="114"/>
      <c r="C269" s="114"/>
      <c r="D269" s="114"/>
      <c r="E269" s="114"/>
      <c r="F269" s="114"/>
      <c r="G269" s="114"/>
      <c r="H269" s="114"/>
      <c r="I269" s="114"/>
      <c r="J269" s="114"/>
      <c r="K269" s="114"/>
      <c r="L269" s="114"/>
      <c r="M269" s="114"/>
      <c r="N269" s="114"/>
    </row>
    <row r="270" spans="1:14">
      <c r="A270" s="114"/>
      <c r="B270" s="114"/>
      <c r="C270" s="114"/>
      <c r="D270" s="114"/>
      <c r="E270" s="114"/>
      <c r="F270" s="114"/>
      <c r="G270" s="114"/>
      <c r="H270" s="114"/>
      <c r="I270" s="114"/>
      <c r="J270" s="114"/>
      <c r="K270" s="114"/>
      <c r="L270" s="114"/>
      <c r="M270" s="114"/>
      <c r="N270" s="114"/>
    </row>
    <row r="271" spans="1:14">
      <c r="A271" s="114"/>
      <c r="B271" s="114"/>
      <c r="C271" s="114"/>
      <c r="D271" s="114"/>
      <c r="E271" s="114"/>
      <c r="F271" s="114"/>
      <c r="G271" s="114"/>
      <c r="H271" s="114"/>
      <c r="I271" s="114"/>
      <c r="J271" s="114"/>
      <c r="K271" s="114"/>
      <c r="L271" s="114"/>
      <c r="M271" s="114"/>
      <c r="N271" s="114"/>
    </row>
    <row r="272" spans="1:14">
      <c r="A272" s="114"/>
      <c r="B272" s="114"/>
      <c r="C272" s="114"/>
      <c r="D272" s="114"/>
      <c r="E272" s="114"/>
      <c r="F272" s="114"/>
      <c r="G272" s="114"/>
      <c r="H272" s="114"/>
      <c r="I272" s="114"/>
      <c r="J272" s="114"/>
      <c r="K272" s="114"/>
      <c r="L272" s="114"/>
      <c r="M272" s="114"/>
      <c r="N272" s="114"/>
    </row>
    <row r="273" spans="1:14">
      <c r="A273" s="114"/>
      <c r="B273" s="114"/>
      <c r="C273" s="114"/>
      <c r="D273" s="114"/>
      <c r="E273" s="114"/>
      <c r="F273" s="114"/>
      <c r="G273" s="114"/>
      <c r="H273" s="114"/>
      <c r="I273" s="114"/>
      <c r="J273" s="114"/>
      <c r="K273" s="114"/>
      <c r="L273" s="114"/>
      <c r="M273" s="114"/>
      <c r="N273" s="114"/>
    </row>
    <row r="274" spans="1:14">
      <c r="A274" s="114"/>
      <c r="B274" s="114"/>
      <c r="C274" s="114"/>
      <c r="D274" s="114"/>
      <c r="E274" s="114"/>
      <c r="F274" s="114"/>
      <c r="G274" s="114"/>
      <c r="H274" s="114"/>
      <c r="I274" s="114"/>
      <c r="J274" s="114"/>
      <c r="K274" s="114"/>
      <c r="L274" s="114"/>
      <c r="M274" s="114"/>
      <c r="N274" s="114"/>
    </row>
    <row r="275" spans="1:14">
      <c r="A275" s="114"/>
      <c r="B275" s="114"/>
      <c r="C275" s="114"/>
      <c r="D275" s="114"/>
      <c r="E275" s="114"/>
      <c r="F275" s="114"/>
      <c r="G275" s="114"/>
      <c r="H275" s="114"/>
      <c r="I275" s="114"/>
      <c r="J275" s="114"/>
      <c r="K275" s="114"/>
      <c r="L275" s="114"/>
      <c r="M275" s="114"/>
      <c r="N275" s="114"/>
    </row>
    <row r="276" spans="1:14">
      <c r="A276" s="114"/>
      <c r="B276" s="114"/>
      <c r="C276" s="114"/>
      <c r="D276" s="114"/>
      <c r="E276" s="114"/>
      <c r="F276" s="114"/>
      <c r="G276" s="114"/>
      <c r="H276" s="114"/>
      <c r="I276" s="114"/>
      <c r="J276" s="114"/>
      <c r="K276" s="114"/>
      <c r="L276" s="114"/>
      <c r="M276" s="114"/>
      <c r="N276" s="114"/>
    </row>
    <row r="277" spans="1:14">
      <c r="A277" s="114"/>
      <c r="B277" s="114"/>
      <c r="C277" s="114"/>
      <c r="D277" s="114"/>
      <c r="E277" s="114"/>
      <c r="F277" s="114"/>
      <c r="G277" s="114"/>
      <c r="H277" s="114"/>
      <c r="I277" s="114"/>
      <c r="J277" s="114"/>
      <c r="K277" s="114"/>
      <c r="L277" s="114"/>
      <c r="M277" s="114"/>
      <c r="N277" s="114"/>
    </row>
    <row r="278" spans="1:14">
      <c r="A278" s="114"/>
      <c r="B278" s="114"/>
      <c r="C278" s="114"/>
      <c r="D278" s="114"/>
      <c r="E278" s="114"/>
      <c r="F278" s="114"/>
      <c r="G278" s="114"/>
      <c r="H278" s="114"/>
      <c r="I278" s="114"/>
      <c r="J278" s="114"/>
      <c r="K278" s="114"/>
      <c r="L278" s="114"/>
      <c r="M278" s="114"/>
      <c r="N278" s="114"/>
    </row>
    <row r="279" spans="1:14">
      <c r="A279" s="114"/>
      <c r="B279" s="114"/>
      <c r="C279" s="114"/>
      <c r="D279" s="114"/>
      <c r="E279" s="114"/>
      <c r="F279" s="114"/>
      <c r="G279" s="114"/>
      <c r="H279" s="114"/>
      <c r="I279" s="114"/>
      <c r="J279" s="114"/>
      <c r="K279" s="114"/>
      <c r="L279" s="114"/>
      <c r="M279" s="114"/>
      <c r="N279" s="114"/>
    </row>
    <row r="280" spans="1:14">
      <c r="A280" s="114"/>
      <c r="B280" s="114"/>
      <c r="C280" s="114"/>
      <c r="D280" s="114"/>
      <c r="E280" s="114"/>
      <c r="F280" s="114"/>
      <c r="G280" s="114"/>
      <c r="H280" s="114"/>
      <c r="I280" s="114"/>
      <c r="J280" s="114"/>
      <c r="K280" s="114"/>
      <c r="L280" s="114"/>
      <c r="M280" s="114"/>
      <c r="N280" s="114"/>
    </row>
    <row r="281" spans="1:14">
      <c r="A281" s="114"/>
      <c r="B281" s="114"/>
      <c r="C281" s="114"/>
      <c r="D281" s="114"/>
      <c r="E281" s="114"/>
      <c r="F281" s="114"/>
      <c r="G281" s="114"/>
      <c r="H281" s="114"/>
      <c r="I281" s="114"/>
      <c r="J281" s="114"/>
      <c r="K281" s="114"/>
      <c r="L281" s="114"/>
      <c r="M281" s="114"/>
      <c r="N281" s="114"/>
    </row>
    <row r="282" spans="1:14">
      <c r="A282" s="114"/>
      <c r="B282" s="114"/>
      <c r="C282" s="114"/>
      <c r="D282" s="114"/>
      <c r="E282" s="114"/>
      <c r="F282" s="114"/>
      <c r="G282" s="114"/>
      <c r="H282" s="114"/>
      <c r="I282" s="114"/>
      <c r="J282" s="114"/>
      <c r="K282" s="114"/>
      <c r="L282" s="114"/>
      <c r="M282" s="114"/>
      <c r="N282" s="114"/>
    </row>
    <row r="283" spans="1:14">
      <c r="A283" s="114"/>
      <c r="B283" s="114"/>
      <c r="C283" s="114"/>
      <c r="D283" s="114"/>
      <c r="E283" s="114"/>
      <c r="F283" s="114"/>
      <c r="G283" s="114"/>
      <c r="H283" s="114"/>
      <c r="I283" s="114"/>
      <c r="J283" s="114"/>
      <c r="K283" s="114"/>
      <c r="L283" s="114"/>
      <c r="M283" s="114"/>
      <c r="N283" s="114"/>
    </row>
    <row r="284" spans="1:14">
      <c r="A284" s="114"/>
      <c r="B284" s="114"/>
      <c r="C284" s="114"/>
      <c r="D284" s="114"/>
      <c r="E284" s="114"/>
      <c r="F284" s="114"/>
      <c r="G284" s="114"/>
      <c r="H284" s="114"/>
      <c r="I284" s="114"/>
      <c r="J284" s="114"/>
      <c r="K284" s="114"/>
      <c r="L284" s="114"/>
      <c r="M284" s="114"/>
      <c r="N284" s="114"/>
    </row>
    <row r="285" spans="1:14">
      <c r="A285" s="114"/>
      <c r="B285" s="114"/>
      <c r="C285" s="114"/>
      <c r="D285" s="114"/>
      <c r="E285" s="114"/>
      <c r="F285" s="114"/>
      <c r="G285" s="114"/>
      <c r="H285" s="114"/>
      <c r="I285" s="114"/>
      <c r="J285" s="114"/>
      <c r="K285" s="114"/>
      <c r="L285" s="114"/>
      <c r="M285" s="114"/>
      <c r="N285" s="114"/>
    </row>
    <row r="286" spans="1:14">
      <c r="A286" s="114"/>
      <c r="B286" s="114"/>
      <c r="C286" s="114"/>
      <c r="D286" s="114"/>
      <c r="E286" s="114"/>
      <c r="F286" s="114"/>
      <c r="G286" s="114"/>
      <c r="H286" s="114"/>
      <c r="I286" s="114"/>
      <c r="J286" s="114"/>
      <c r="K286" s="114"/>
      <c r="L286" s="114"/>
      <c r="M286" s="114"/>
      <c r="N286" s="114"/>
    </row>
    <row r="287" spans="1:14">
      <c r="A287" s="114"/>
      <c r="B287" s="114"/>
      <c r="C287" s="114"/>
      <c r="D287" s="114"/>
      <c r="E287" s="114"/>
      <c r="F287" s="114"/>
      <c r="G287" s="114"/>
      <c r="H287" s="114"/>
      <c r="I287" s="114"/>
      <c r="J287" s="114"/>
      <c r="K287" s="114"/>
      <c r="L287" s="114"/>
      <c r="M287" s="114"/>
      <c r="N287" s="114"/>
    </row>
    <row r="288" spans="1:14">
      <c r="A288" s="114"/>
      <c r="B288" s="509" t="s">
        <v>812</v>
      </c>
      <c r="C288" s="114"/>
      <c r="D288" s="114"/>
      <c r="E288" s="114"/>
      <c r="F288" s="114"/>
      <c r="G288" s="114"/>
      <c r="H288" s="114"/>
      <c r="I288" s="114"/>
      <c r="J288" s="114"/>
      <c r="K288" s="114"/>
      <c r="L288" s="114"/>
      <c r="M288" s="114"/>
      <c r="N288" s="114"/>
    </row>
    <row r="289" spans="1:14">
      <c r="A289" s="114"/>
      <c r="B289" s="308"/>
      <c r="C289" s="114"/>
      <c r="D289" s="114"/>
      <c r="E289" s="114"/>
      <c r="F289" s="114"/>
      <c r="G289" s="114"/>
      <c r="H289" s="114"/>
      <c r="I289" s="114"/>
      <c r="J289" s="114"/>
      <c r="K289" s="114"/>
      <c r="L289" s="114"/>
      <c r="M289" s="114"/>
      <c r="N289" s="114"/>
    </row>
    <row r="290" spans="1:14">
      <c r="A290" s="114"/>
      <c r="B290" s="308"/>
      <c r="C290" s="114"/>
      <c r="D290" s="114"/>
      <c r="E290" s="114"/>
      <c r="F290" s="114"/>
      <c r="G290" s="114"/>
      <c r="H290" s="114"/>
      <c r="I290" s="114"/>
      <c r="J290" s="114"/>
      <c r="K290" s="114"/>
      <c r="L290" s="114"/>
      <c r="M290" s="114"/>
      <c r="N290" s="114"/>
    </row>
    <row r="291" spans="1:14">
      <c r="A291" s="114"/>
      <c r="B291" s="308"/>
      <c r="C291" s="114"/>
      <c r="D291" s="114"/>
      <c r="E291" s="114"/>
      <c r="F291" s="114"/>
      <c r="G291" s="114"/>
      <c r="H291" s="114"/>
      <c r="I291" s="114"/>
      <c r="J291" s="114"/>
      <c r="K291" s="114"/>
      <c r="L291" s="114"/>
      <c r="M291" s="114"/>
      <c r="N291" s="114"/>
    </row>
    <row r="292" spans="1:14">
      <c r="A292" s="114"/>
      <c r="B292" s="308"/>
      <c r="C292" s="114"/>
      <c r="D292" s="114"/>
      <c r="E292" s="114"/>
      <c r="F292" s="114"/>
      <c r="G292" s="114"/>
      <c r="H292" s="114"/>
      <c r="I292" s="114"/>
      <c r="J292" s="114"/>
      <c r="K292" s="114"/>
      <c r="L292" s="114"/>
      <c r="M292" s="114"/>
      <c r="N292" s="114"/>
    </row>
    <row r="293" spans="1:14">
      <c r="A293" s="114"/>
      <c r="B293" s="308"/>
      <c r="C293" s="114"/>
      <c r="D293" s="114"/>
      <c r="E293" s="114"/>
      <c r="F293" s="114"/>
      <c r="G293" s="114"/>
      <c r="H293" s="114"/>
      <c r="I293" s="114"/>
      <c r="J293" s="114"/>
      <c r="K293" s="114"/>
      <c r="L293" s="114"/>
      <c r="M293" s="114"/>
      <c r="N293" s="114"/>
    </row>
    <row r="294" spans="1:14">
      <c r="A294" s="114"/>
      <c r="B294" s="308"/>
      <c r="C294" s="114"/>
      <c r="D294" s="114"/>
      <c r="E294" s="114"/>
      <c r="F294" s="114"/>
      <c r="G294" s="114"/>
      <c r="H294" s="114"/>
      <c r="I294" s="114"/>
      <c r="J294" s="114"/>
      <c r="K294" s="114"/>
      <c r="L294" s="114"/>
      <c r="M294" s="114"/>
      <c r="N294" s="114"/>
    </row>
    <row r="295" spans="1:14">
      <c r="A295" s="114"/>
      <c r="B295" s="114"/>
      <c r="C295" s="114"/>
      <c r="D295" s="114"/>
      <c r="E295" s="114"/>
      <c r="F295" s="114"/>
      <c r="G295" s="114"/>
      <c r="H295" s="114"/>
      <c r="I295" s="114"/>
      <c r="J295" s="114"/>
      <c r="K295" s="114"/>
      <c r="L295" s="114"/>
      <c r="M295" s="114"/>
      <c r="N295" s="114"/>
    </row>
    <row r="296" spans="1:14">
      <c r="A296" s="114"/>
      <c r="B296" s="762" t="s">
        <v>678</v>
      </c>
      <c r="C296" s="762"/>
      <c r="D296" s="762"/>
      <c r="E296" s="762"/>
      <c r="F296" s="763" t="s">
        <v>500</v>
      </c>
      <c r="G296" s="763" t="s">
        <v>22</v>
      </c>
      <c r="H296" s="763" t="s">
        <v>579</v>
      </c>
      <c r="I296" s="763" t="s">
        <v>21</v>
      </c>
      <c r="J296" s="114"/>
      <c r="K296" s="114"/>
      <c r="L296" s="114"/>
      <c r="M296" s="114"/>
      <c r="N296" s="114"/>
    </row>
    <row r="297" spans="1:14">
      <c r="A297" s="114"/>
      <c r="B297" s="762"/>
      <c r="C297" s="762"/>
      <c r="D297" s="762"/>
      <c r="E297" s="762"/>
      <c r="F297" s="763"/>
      <c r="G297" s="763"/>
      <c r="H297" s="763"/>
      <c r="I297" s="763"/>
      <c r="J297" s="114"/>
      <c r="K297" s="114"/>
      <c r="L297" s="114"/>
      <c r="M297" s="114"/>
      <c r="N297" s="114"/>
    </row>
    <row r="298" spans="1:14">
      <c r="A298" s="114"/>
      <c r="B298" s="760" t="s">
        <v>35</v>
      </c>
      <c r="C298" s="760"/>
      <c r="D298" s="760"/>
      <c r="E298" s="760"/>
      <c r="F298" s="662">
        <v>177039.47368421056</v>
      </c>
      <c r="G298" s="662">
        <v>217894.73684210528</v>
      </c>
      <c r="H298" s="662">
        <v>212447.36842105264</v>
      </c>
      <c r="I298" s="662">
        <v>210631.57894736846</v>
      </c>
      <c r="J298" s="114"/>
      <c r="K298" s="114"/>
      <c r="L298" s="114"/>
      <c r="M298" s="114"/>
      <c r="N298" s="114"/>
    </row>
    <row r="299" spans="1:14">
      <c r="A299" s="114"/>
      <c r="B299" s="760" t="s">
        <v>481</v>
      </c>
      <c r="C299" s="760"/>
      <c r="D299" s="760"/>
      <c r="E299" s="760"/>
      <c r="F299" s="662" t="s">
        <v>479</v>
      </c>
      <c r="G299" s="662">
        <v>397440</v>
      </c>
      <c r="H299" s="662" t="s">
        <v>479</v>
      </c>
      <c r="I299" s="662">
        <v>397440</v>
      </c>
      <c r="J299" s="114"/>
      <c r="K299" s="114"/>
      <c r="L299" s="114"/>
      <c r="M299" s="114"/>
      <c r="N299" s="114"/>
    </row>
    <row r="300" spans="1:14">
      <c r="A300" s="114"/>
      <c r="B300" s="760" t="s">
        <v>311</v>
      </c>
      <c r="C300" s="760"/>
      <c r="D300" s="760"/>
      <c r="E300" s="760"/>
      <c r="F300" s="662" t="s">
        <v>557</v>
      </c>
      <c r="G300" s="662">
        <v>156000</v>
      </c>
      <c r="H300" s="662">
        <v>156000</v>
      </c>
      <c r="I300" s="662">
        <v>156000</v>
      </c>
      <c r="J300" s="114"/>
      <c r="K300" s="114"/>
      <c r="L300" s="114"/>
      <c r="M300" s="114"/>
      <c r="N300" s="114"/>
    </row>
    <row r="301" spans="1:14">
      <c r="A301" s="114"/>
      <c r="B301" s="760" t="s">
        <v>480</v>
      </c>
      <c r="C301" s="760"/>
      <c r="D301" s="760"/>
      <c r="E301" s="760"/>
      <c r="F301" s="662">
        <v>1313632.8</v>
      </c>
      <c r="G301" s="662" t="s">
        <v>479</v>
      </c>
      <c r="H301" s="662" t="s">
        <v>479</v>
      </c>
      <c r="I301" s="662" t="s">
        <v>479</v>
      </c>
      <c r="J301" s="114"/>
      <c r="K301" s="114"/>
      <c r="L301" s="114"/>
      <c r="M301" s="114"/>
      <c r="N301" s="114"/>
    </row>
    <row r="302" spans="1:14">
      <c r="A302" s="114"/>
      <c r="B302" s="760" t="s">
        <v>312</v>
      </c>
      <c r="C302" s="760"/>
      <c r="D302" s="760"/>
      <c r="E302" s="760"/>
      <c r="F302" s="662">
        <v>1009497.6</v>
      </c>
      <c r="G302" s="662">
        <v>874368</v>
      </c>
      <c r="H302" s="662">
        <v>874368</v>
      </c>
      <c r="I302" s="662">
        <v>874368</v>
      </c>
      <c r="J302" s="114"/>
      <c r="K302" s="114"/>
      <c r="L302" s="114"/>
      <c r="M302" s="114"/>
      <c r="N302" s="114"/>
    </row>
    <row r="303" spans="1:14">
      <c r="A303" s="114"/>
      <c r="B303" s="760" t="s">
        <v>313</v>
      </c>
      <c r="C303" s="760"/>
      <c r="D303" s="760"/>
      <c r="E303" s="760"/>
      <c r="F303" s="662">
        <v>627955.19999999995</v>
      </c>
      <c r="G303" s="662">
        <v>524620.80000000005</v>
      </c>
      <c r="H303" s="662">
        <v>524620.80000000005</v>
      </c>
      <c r="I303" s="662">
        <v>524620.80000000005</v>
      </c>
      <c r="J303" s="114"/>
      <c r="K303" s="114"/>
      <c r="L303" s="114"/>
      <c r="M303" s="114"/>
      <c r="N303" s="114"/>
    </row>
    <row r="304" spans="1:14">
      <c r="A304" s="114"/>
      <c r="B304" s="760" t="s">
        <v>190</v>
      </c>
      <c r="C304" s="760"/>
      <c r="D304" s="760"/>
      <c r="E304" s="760"/>
      <c r="F304" s="662">
        <v>3110400</v>
      </c>
      <c r="G304" s="662" t="s">
        <v>479</v>
      </c>
      <c r="H304" s="662" t="s">
        <v>479</v>
      </c>
      <c r="I304" s="662" t="s">
        <v>479</v>
      </c>
      <c r="J304" s="114"/>
      <c r="K304" s="114"/>
      <c r="L304" s="114"/>
      <c r="M304" s="114"/>
      <c r="N304" s="114"/>
    </row>
    <row r="305" spans="1:14">
      <c r="A305" s="114"/>
      <c r="B305" s="760" t="s">
        <v>482</v>
      </c>
      <c r="C305" s="760"/>
      <c r="D305" s="760"/>
      <c r="E305" s="760"/>
      <c r="F305" s="662"/>
      <c r="G305" s="662">
        <v>74850</v>
      </c>
      <c r="H305" s="662">
        <v>74850</v>
      </c>
      <c r="I305" s="662">
        <v>74850</v>
      </c>
      <c r="J305" s="114"/>
      <c r="K305" s="114"/>
      <c r="L305" s="114"/>
      <c r="M305" s="114"/>
      <c r="N305" s="114"/>
    </row>
    <row r="306" spans="1:14">
      <c r="A306" s="114"/>
      <c r="B306" s="760" t="s">
        <v>483</v>
      </c>
      <c r="C306" s="760"/>
      <c r="D306" s="760"/>
      <c r="E306" s="760"/>
      <c r="F306" s="662"/>
      <c r="G306" s="662">
        <v>15225</v>
      </c>
      <c r="H306" s="662">
        <v>15225</v>
      </c>
      <c r="I306" s="662">
        <v>15225</v>
      </c>
      <c r="J306" s="114"/>
      <c r="K306" s="114"/>
      <c r="L306" s="114"/>
      <c r="M306" s="114"/>
      <c r="N306" s="114"/>
    </row>
    <row r="307" spans="1:14">
      <c r="A307" s="114"/>
      <c r="B307" s="760" t="s">
        <v>478</v>
      </c>
      <c r="C307" s="760"/>
      <c r="D307" s="760"/>
      <c r="E307" s="760"/>
      <c r="F307" s="662">
        <v>21859.200000000001</v>
      </c>
      <c r="G307" s="662">
        <v>871578.94736842101</v>
      </c>
      <c r="H307" s="662">
        <v>653684.21052631596</v>
      </c>
      <c r="I307" s="662">
        <v>581052.63157894742</v>
      </c>
      <c r="J307" s="114"/>
      <c r="K307" s="114"/>
      <c r="L307" s="114"/>
      <c r="M307" s="114"/>
      <c r="N307" s="114"/>
    </row>
    <row r="308" spans="1:14">
      <c r="A308" s="114"/>
      <c r="B308" s="760" t="s">
        <v>484</v>
      </c>
      <c r="C308" s="760"/>
      <c r="D308" s="760"/>
      <c r="E308" s="760"/>
      <c r="F308" s="662">
        <v>157837.5</v>
      </c>
      <c r="G308" s="662">
        <v>529632.5</v>
      </c>
      <c r="H308" s="662">
        <v>329705</v>
      </c>
      <c r="I308" s="662">
        <v>694485</v>
      </c>
      <c r="J308" s="114"/>
      <c r="K308" s="114"/>
      <c r="L308" s="114"/>
      <c r="M308" s="114"/>
      <c r="N308" s="114"/>
    </row>
    <row r="309" spans="1:14">
      <c r="A309" s="114"/>
      <c r="B309" s="761" t="s">
        <v>677</v>
      </c>
      <c r="C309" s="761"/>
      <c r="D309" s="761"/>
      <c r="E309" s="761"/>
      <c r="F309" s="662">
        <v>6418221.7736842111</v>
      </c>
      <c r="G309" s="662">
        <v>3661609.9842105261</v>
      </c>
      <c r="H309" s="662">
        <v>2840900.3789473688</v>
      </c>
      <c r="I309" s="662">
        <v>3528673.0105263162</v>
      </c>
      <c r="J309" s="114"/>
      <c r="K309" s="114"/>
      <c r="L309" s="114"/>
      <c r="M309" s="114"/>
      <c r="N309" s="114"/>
    </row>
    <row r="310" spans="1:14">
      <c r="A310" s="114"/>
      <c r="B310" s="114"/>
      <c r="C310" s="114"/>
      <c r="D310" s="114"/>
      <c r="E310" s="114"/>
      <c r="F310" s="114"/>
      <c r="G310" s="114"/>
      <c r="H310" s="114"/>
      <c r="I310" s="114"/>
      <c r="J310" s="114"/>
      <c r="K310" s="114"/>
      <c r="L310" s="114"/>
      <c r="M310" s="114"/>
      <c r="N310" s="114"/>
    </row>
    <row r="311" spans="1:14">
      <c r="A311" s="114"/>
      <c r="B311" s="114"/>
      <c r="C311" s="114"/>
      <c r="D311" s="114"/>
      <c r="E311" s="114"/>
      <c r="F311" s="114"/>
      <c r="G311" s="114"/>
      <c r="H311" s="114"/>
      <c r="I311" s="114"/>
      <c r="J311" s="114"/>
      <c r="K311" s="114"/>
      <c r="L311" s="114"/>
      <c r="M311" s="114"/>
      <c r="N311" s="114"/>
    </row>
    <row r="312" spans="1:14">
      <c r="A312" s="114"/>
      <c r="B312" s="114"/>
      <c r="C312" s="114"/>
      <c r="D312" s="114"/>
      <c r="E312" s="114"/>
      <c r="F312" s="114"/>
      <c r="G312" s="114"/>
      <c r="H312" s="114"/>
      <c r="I312" s="114"/>
      <c r="J312" s="114"/>
      <c r="K312" s="114"/>
      <c r="L312" s="114"/>
      <c r="M312" s="114"/>
      <c r="N312" s="114"/>
    </row>
    <row r="313" spans="1:14">
      <c r="A313" s="114"/>
      <c r="B313" s="114"/>
      <c r="C313" s="114"/>
      <c r="D313" s="114"/>
      <c r="E313" s="114"/>
      <c r="F313" s="114"/>
      <c r="G313" s="114"/>
      <c r="H313" s="114"/>
      <c r="I313" s="114"/>
      <c r="J313" s="114"/>
      <c r="K313" s="114"/>
      <c r="L313" s="114"/>
      <c r="M313" s="114"/>
      <c r="N313" s="114"/>
    </row>
    <row r="314" spans="1:14">
      <c r="A314" s="114"/>
      <c r="B314" s="114"/>
      <c r="C314" s="114"/>
      <c r="D314" s="114"/>
      <c r="E314" s="114"/>
      <c r="F314" s="114"/>
      <c r="G314" s="114"/>
      <c r="H314" s="114"/>
      <c r="I314" s="114"/>
      <c r="J314" s="114"/>
      <c r="K314" s="114"/>
      <c r="L314" s="114"/>
      <c r="M314" s="114"/>
      <c r="N314" s="114"/>
    </row>
    <row r="315" spans="1:14">
      <c r="A315" s="114"/>
      <c r="B315" s="114"/>
      <c r="C315" s="114"/>
      <c r="D315" s="114"/>
      <c r="E315" s="114"/>
      <c r="F315" s="114"/>
      <c r="G315" s="114"/>
      <c r="H315" s="114"/>
      <c r="I315" s="114"/>
      <c r="J315" s="114"/>
      <c r="K315" s="114"/>
      <c r="L315" s="114"/>
      <c r="M315" s="114"/>
      <c r="N315" s="114"/>
    </row>
    <row r="316" spans="1:14">
      <c r="A316" s="114"/>
      <c r="B316" s="114"/>
      <c r="C316" s="114"/>
      <c r="D316" s="114"/>
      <c r="E316" s="114"/>
      <c r="F316" s="114"/>
      <c r="G316" s="114"/>
      <c r="H316" s="114"/>
      <c r="I316" s="114"/>
      <c r="J316" s="114"/>
      <c r="K316" s="114"/>
      <c r="L316" s="114"/>
      <c r="M316" s="114"/>
      <c r="N316" s="114"/>
    </row>
    <row r="317" spans="1:14">
      <c r="A317" s="114"/>
      <c r="B317" s="114"/>
      <c r="C317" s="114"/>
      <c r="D317" s="114"/>
      <c r="E317" s="114"/>
      <c r="F317" s="114"/>
      <c r="G317" s="114"/>
      <c r="H317" s="114"/>
      <c r="I317" s="114"/>
      <c r="J317" s="114"/>
      <c r="K317" s="114"/>
      <c r="L317" s="114"/>
      <c r="M317" s="114"/>
      <c r="N317" s="114"/>
    </row>
    <row r="318" spans="1:14">
      <c r="A318" s="114"/>
      <c r="B318" s="114"/>
      <c r="C318" s="114"/>
      <c r="D318" s="114"/>
      <c r="E318" s="114"/>
      <c r="F318" s="114"/>
      <c r="G318" s="114"/>
      <c r="H318" s="114"/>
      <c r="I318" s="114"/>
      <c r="J318" s="114"/>
      <c r="K318" s="114"/>
      <c r="L318" s="114"/>
      <c r="M318" s="114"/>
      <c r="N318" s="114"/>
    </row>
    <row r="319" spans="1:14">
      <c r="A319" s="114"/>
      <c r="B319" s="114"/>
      <c r="C319" s="114"/>
      <c r="D319" s="114"/>
      <c r="E319" s="114"/>
      <c r="F319" s="114"/>
      <c r="G319" s="114"/>
      <c r="H319" s="114"/>
      <c r="I319" s="114"/>
      <c r="J319" s="114"/>
      <c r="K319" s="114"/>
      <c r="L319" s="114"/>
      <c r="M319" s="114"/>
      <c r="N319" s="114"/>
    </row>
    <row r="320" spans="1:14">
      <c r="A320" s="114"/>
      <c r="B320" s="114"/>
      <c r="C320" s="114"/>
      <c r="D320" s="114"/>
      <c r="E320" s="114"/>
      <c r="F320" s="114"/>
      <c r="G320" s="114"/>
      <c r="H320" s="114"/>
      <c r="I320" s="114"/>
      <c r="J320" s="114"/>
      <c r="K320" s="114"/>
      <c r="L320" s="114"/>
      <c r="M320" s="114"/>
      <c r="N320" s="114"/>
    </row>
    <row r="321" spans="1:14">
      <c r="A321" s="114"/>
      <c r="B321" s="114"/>
      <c r="C321" s="114"/>
      <c r="D321" s="114"/>
      <c r="E321" s="114"/>
      <c r="F321" s="114"/>
      <c r="G321" s="114"/>
      <c r="H321" s="114"/>
      <c r="I321" s="114"/>
      <c r="J321" s="114"/>
      <c r="K321" s="114"/>
      <c r="L321" s="114"/>
      <c r="M321" s="114"/>
      <c r="N321" s="114"/>
    </row>
    <row r="322" spans="1:14">
      <c r="A322" s="114"/>
      <c r="B322" s="114"/>
      <c r="C322" s="114"/>
      <c r="D322" s="114"/>
      <c r="E322" s="114"/>
      <c r="F322" s="114"/>
      <c r="G322" s="114"/>
      <c r="H322" s="114"/>
      <c r="I322" s="114"/>
      <c r="J322" s="114"/>
      <c r="K322" s="114"/>
      <c r="L322" s="114"/>
      <c r="M322" s="114"/>
      <c r="N322" s="114"/>
    </row>
    <row r="323" spans="1:14">
      <c r="A323" s="114"/>
      <c r="B323" s="114"/>
      <c r="C323" s="114"/>
      <c r="D323" s="114"/>
      <c r="E323" s="114"/>
      <c r="F323" s="114"/>
      <c r="G323" s="114"/>
      <c r="H323" s="114"/>
      <c r="I323" s="114"/>
      <c r="J323" s="114"/>
      <c r="K323" s="114"/>
      <c r="L323" s="114"/>
      <c r="M323" s="114"/>
      <c r="N323" s="114"/>
    </row>
    <row r="324" spans="1:14">
      <c r="A324" s="114"/>
      <c r="B324" s="114"/>
      <c r="C324" s="114"/>
      <c r="D324" s="114"/>
      <c r="E324" s="114"/>
      <c r="F324" s="114"/>
      <c r="G324" s="114"/>
      <c r="H324" s="114"/>
      <c r="I324" s="114"/>
      <c r="J324" s="114"/>
      <c r="K324" s="114"/>
      <c r="L324" s="114"/>
      <c r="M324" s="114"/>
      <c r="N324" s="114"/>
    </row>
    <row r="325" spans="1:14">
      <c r="A325" s="114"/>
      <c r="B325" s="114"/>
      <c r="C325" s="114"/>
      <c r="D325" s="114"/>
      <c r="E325" s="114"/>
      <c r="F325" s="114"/>
      <c r="G325" s="114"/>
      <c r="H325" s="114"/>
      <c r="I325" s="114"/>
      <c r="J325" s="114"/>
      <c r="K325" s="114"/>
      <c r="L325" s="114"/>
      <c r="M325" s="114"/>
      <c r="N325" s="114"/>
    </row>
    <row r="326" spans="1:14">
      <c r="A326" s="114"/>
      <c r="B326" s="114"/>
      <c r="C326" s="114"/>
      <c r="D326" s="114"/>
      <c r="E326" s="114"/>
      <c r="F326" s="114"/>
      <c r="G326" s="114"/>
      <c r="H326" s="114"/>
      <c r="I326" s="114"/>
      <c r="J326" s="114"/>
      <c r="K326" s="114"/>
      <c r="L326" s="114"/>
      <c r="M326" s="114"/>
      <c r="N326" s="114"/>
    </row>
    <row r="327" spans="1:14">
      <c r="A327" s="114"/>
      <c r="B327" s="114"/>
      <c r="C327" s="114"/>
      <c r="D327" s="114"/>
      <c r="E327" s="114"/>
      <c r="F327" s="114"/>
      <c r="G327" s="114"/>
      <c r="H327" s="114"/>
      <c r="I327" s="114"/>
      <c r="J327" s="114"/>
      <c r="K327" s="114"/>
      <c r="L327" s="114"/>
      <c r="M327" s="114"/>
      <c r="N327" s="114"/>
    </row>
    <row r="328" spans="1:14">
      <c r="A328" s="114"/>
      <c r="B328" s="114"/>
      <c r="C328" s="114"/>
      <c r="D328" s="114"/>
      <c r="E328" s="114"/>
      <c r="F328" s="114"/>
      <c r="G328" s="114"/>
      <c r="H328" s="114"/>
      <c r="I328" s="114"/>
      <c r="J328" s="114"/>
      <c r="K328" s="114"/>
      <c r="L328" s="114"/>
      <c r="M328" s="114"/>
      <c r="N328" s="114"/>
    </row>
    <row r="329" spans="1:14">
      <c r="A329" s="114"/>
      <c r="B329" s="114"/>
      <c r="C329" s="114"/>
      <c r="D329" s="114"/>
      <c r="E329" s="114"/>
      <c r="F329" s="114"/>
      <c r="G329" s="114"/>
      <c r="H329" s="114"/>
      <c r="I329" s="114"/>
      <c r="J329" s="114"/>
      <c r="K329" s="114"/>
      <c r="L329" s="114"/>
      <c r="M329" s="114"/>
      <c r="N329" s="114"/>
    </row>
    <row r="330" spans="1:14">
      <c r="A330" s="114"/>
      <c r="B330" s="114"/>
      <c r="C330" s="114"/>
      <c r="D330" s="114"/>
      <c r="E330" s="114"/>
      <c r="F330" s="114"/>
      <c r="G330" s="114"/>
      <c r="H330" s="114"/>
      <c r="I330" s="114"/>
      <c r="J330" s="114"/>
      <c r="K330" s="114"/>
      <c r="L330" s="114"/>
      <c r="M330" s="114"/>
      <c r="N330" s="114"/>
    </row>
    <row r="331" spans="1:14">
      <c r="A331" s="114"/>
      <c r="B331" s="114"/>
      <c r="C331" s="114"/>
      <c r="D331" s="114"/>
      <c r="E331" s="114"/>
      <c r="F331" s="114"/>
      <c r="G331" s="114"/>
      <c r="H331" s="114"/>
      <c r="I331" s="114"/>
      <c r="J331" s="114"/>
      <c r="K331" s="114"/>
      <c r="L331" s="114"/>
      <c r="M331" s="114"/>
      <c r="N331" s="114"/>
    </row>
    <row r="332" spans="1:14">
      <c r="A332" s="114"/>
      <c r="B332" s="114"/>
      <c r="C332" s="114"/>
      <c r="D332" s="114"/>
      <c r="E332" s="114"/>
      <c r="F332" s="114"/>
      <c r="G332" s="114"/>
      <c r="H332" s="114"/>
      <c r="I332" s="114"/>
      <c r="J332" s="114"/>
      <c r="K332" s="114"/>
      <c r="L332" s="114"/>
      <c r="M332" s="114"/>
      <c r="N332" s="114"/>
    </row>
    <row r="333" spans="1:14">
      <c r="A333" s="114"/>
      <c r="B333" s="114"/>
      <c r="C333" s="114"/>
      <c r="D333" s="114"/>
      <c r="E333" s="114"/>
      <c r="F333" s="114"/>
      <c r="G333" s="114"/>
      <c r="H333" s="114"/>
      <c r="I333" s="114"/>
      <c r="J333" s="114"/>
      <c r="K333" s="114"/>
      <c r="L333" s="114"/>
      <c r="M333" s="114"/>
      <c r="N333" s="114"/>
    </row>
    <row r="334" spans="1:14">
      <c r="A334" s="114"/>
      <c r="B334" s="114"/>
      <c r="C334" s="114"/>
      <c r="D334" s="114"/>
      <c r="E334" s="114"/>
      <c r="F334" s="114"/>
      <c r="G334" s="114"/>
      <c r="H334" s="114"/>
      <c r="I334" s="114"/>
      <c r="J334" s="114"/>
      <c r="K334" s="114"/>
      <c r="L334" s="114"/>
      <c r="M334" s="114"/>
      <c r="N334" s="114"/>
    </row>
    <row r="335" spans="1:14">
      <c r="A335" s="114"/>
      <c r="B335" s="114"/>
      <c r="C335" s="114"/>
      <c r="D335" s="114"/>
      <c r="E335" s="114"/>
      <c r="F335" s="114"/>
      <c r="G335" s="114"/>
      <c r="H335" s="114"/>
      <c r="I335" s="114"/>
      <c r="J335" s="114"/>
      <c r="K335" s="114"/>
      <c r="L335" s="114"/>
      <c r="M335" s="114"/>
      <c r="N335" s="114"/>
    </row>
    <row r="336" spans="1:14">
      <c r="A336" s="114"/>
      <c r="B336" s="114"/>
      <c r="C336" s="114"/>
      <c r="D336" s="114"/>
      <c r="E336" s="114"/>
      <c r="F336" s="114"/>
      <c r="G336" s="114"/>
      <c r="H336" s="114"/>
      <c r="I336" s="114"/>
      <c r="J336" s="114"/>
      <c r="K336" s="114"/>
      <c r="L336" s="114"/>
      <c r="M336" s="114"/>
      <c r="N336" s="114"/>
    </row>
    <row r="337" spans="1:14">
      <c r="A337" s="114"/>
      <c r="B337" s="114"/>
      <c r="C337" s="114"/>
      <c r="D337" s="114"/>
      <c r="E337" s="114"/>
      <c r="F337" s="114"/>
      <c r="G337" s="114"/>
      <c r="H337" s="114"/>
      <c r="I337" s="114"/>
      <c r="J337" s="114"/>
      <c r="K337" s="114"/>
      <c r="L337" s="114"/>
      <c r="M337" s="114"/>
      <c r="N337" s="114"/>
    </row>
    <row r="338" spans="1:14">
      <c r="A338" s="114"/>
      <c r="B338" s="114"/>
      <c r="C338" s="114"/>
      <c r="D338" s="114"/>
      <c r="E338" s="114"/>
      <c r="F338" s="114"/>
      <c r="G338" s="114"/>
      <c r="H338" s="114"/>
      <c r="I338" s="114"/>
      <c r="J338" s="114"/>
      <c r="K338" s="114"/>
      <c r="L338" s="114"/>
      <c r="M338" s="114"/>
      <c r="N338" s="114"/>
    </row>
    <row r="339" spans="1:14">
      <c r="A339" s="114"/>
      <c r="B339" s="114"/>
      <c r="C339" s="114"/>
      <c r="D339" s="114"/>
      <c r="E339" s="114"/>
      <c r="F339" s="114"/>
      <c r="G339" s="114"/>
      <c r="H339" s="114"/>
      <c r="I339" s="114"/>
      <c r="J339" s="114"/>
      <c r="K339" s="114"/>
      <c r="L339" s="114"/>
      <c r="M339" s="114"/>
      <c r="N339" s="114"/>
    </row>
    <row r="340" spans="1:14">
      <c r="A340" s="114"/>
      <c r="B340" s="114"/>
      <c r="C340" s="114"/>
      <c r="D340" s="114"/>
      <c r="E340" s="114"/>
      <c r="F340" s="114"/>
      <c r="G340" s="114"/>
      <c r="H340" s="114"/>
      <c r="I340" s="114"/>
      <c r="J340" s="114"/>
      <c r="K340" s="114"/>
      <c r="L340" s="114"/>
      <c r="M340" s="114"/>
      <c r="N340" s="114"/>
    </row>
    <row r="341" spans="1:14">
      <c r="A341" s="114"/>
      <c r="B341" s="114"/>
      <c r="C341" s="114"/>
      <c r="D341" s="114"/>
      <c r="E341" s="114"/>
      <c r="F341" s="114"/>
      <c r="G341" s="114"/>
      <c r="H341" s="114"/>
      <c r="I341" s="114"/>
      <c r="J341" s="114"/>
      <c r="K341" s="114"/>
      <c r="L341" s="114"/>
      <c r="M341" s="114"/>
      <c r="N341" s="114"/>
    </row>
    <row r="342" spans="1:14">
      <c r="A342" s="114"/>
      <c r="B342" s="114"/>
      <c r="C342" s="114"/>
      <c r="D342" s="114"/>
      <c r="E342" s="114"/>
      <c r="F342" s="114"/>
      <c r="G342" s="114"/>
      <c r="H342" s="114"/>
      <c r="I342" s="114"/>
      <c r="J342" s="114"/>
      <c r="K342" s="114"/>
      <c r="L342" s="114"/>
      <c r="M342" s="114"/>
      <c r="N342" s="114"/>
    </row>
    <row r="343" spans="1:14">
      <c r="A343" s="114"/>
      <c r="B343" s="114"/>
      <c r="C343" s="114"/>
      <c r="D343" s="114"/>
      <c r="E343" s="114"/>
      <c r="F343" s="114"/>
      <c r="G343" s="114"/>
      <c r="H343" s="114"/>
      <c r="I343" s="114"/>
      <c r="J343" s="114"/>
      <c r="K343" s="114"/>
      <c r="L343" s="114"/>
      <c r="M343" s="114"/>
      <c r="N343" s="114"/>
    </row>
    <row r="344" spans="1:14">
      <c r="A344" s="114"/>
      <c r="B344" s="114"/>
      <c r="C344" s="114"/>
      <c r="D344" s="114"/>
      <c r="E344" s="114"/>
      <c r="F344" s="114"/>
      <c r="G344" s="114"/>
      <c r="H344" s="114"/>
      <c r="I344" s="114"/>
      <c r="J344" s="114"/>
      <c r="K344" s="114"/>
      <c r="L344" s="114"/>
      <c r="M344" s="114"/>
      <c r="N344" s="114"/>
    </row>
    <row r="345" spans="1:14">
      <c r="A345" s="114"/>
      <c r="B345" s="114"/>
      <c r="C345" s="114"/>
      <c r="D345" s="114"/>
      <c r="E345" s="114"/>
      <c r="F345" s="114"/>
      <c r="G345" s="114"/>
      <c r="H345" s="114"/>
      <c r="I345" s="114"/>
      <c r="J345" s="114"/>
      <c r="K345" s="114"/>
      <c r="L345" s="114"/>
      <c r="M345" s="114"/>
      <c r="N345" s="114"/>
    </row>
    <row r="346" spans="1:14">
      <c r="A346" s="114"/>
      <c r="B346" s="114"/>
      <c r="C346" s="114"/>
      <c r="D346" s="114"/>
      <c r="E346" s="114"/>
      <c r="F346" s="114"/>
      <c r="G346" s="114"/>
      <c r="H346" s="114"/>
      <c r="I346" s="114"/>
      <c r="J346" s="114"/>
      <c r="K346" s="114"/>
      <c r="L346" s="114"/>
      <c r="M346" s="114"/>
      <c r="N346" s="114"/>
    </row>
    <row r="347" spans="1:14">
      <c r="A347" s="114"/>
      <c r="B347" s="114"/>
      <c r="C347" s="114"/>
      <c r="D347" s="114"/>
      <c r="E347" s="114"/>
      <c r="F347" s="114"/>
      <c r="G347" s="114"/>
      <c r="H347" s="114"/>
      <c r="I347" s="114"/>
      <c r="J347" s="114"/>
      <c r="K347" s="114"/>
      <c r="L347" s="114"/>
      <c r="M347" s="114"/>
      <c r="N347" s="114"/>
    </row>
    <row r="348" spans="1:14">
      <c r="A348" s="114"/>
      <c r="B348" s="114"/>
      <c r="C348" s="114"/>
      <c r="D348" s="114"/>
      <c r="E348" s="114"/>
      <c r="F348" s="114"/>
      <c r="G348" s="114"/>
      <c r="H348" s="114"/>
      <c r="I348" s="114"/>
      <c r="J348" s="114"/>
      <c r="K348" s="114"/>
      <c r="L348" s="114"/>
      <c r="M348" s="114"/>
      <c r="N348" s="114"/>
    </row>
    <row r="349" spans="1:14">
      <c r="A349" s="114"/>
      <c r="B349" s="114"/>
      <c r="C349" s="114"/>
      <c r="D349" s="114"/>
      <c r="E349" s="114"/>
      <c r="F349" s="114"/>
      <c r="G349" s="114"/>
      <c r="H349" s="114"/>
      <c r="I349" s="114"/>
      <c r="J349" s="114"/>
      <c r="K349" s="114"/>
      <c r="L349" s="114"/>
      <c r="M349" s="114"/>
      <c r="N349" s="114"/>
    </row>
    <row r="350" spans="1:14">
      <c r="A350" s="114"/>
      <c r="B350" s="114"/>
      <c r="C350" s="114"/>
      <c r="D350" s="114"/>
      <c r="E350" s="114"/>
      <c r="F350" s="114"/>
      <c r="G350" s="114"/>
      <c r="H350" s="114"/>
      <c r="I350" s="114"/>
      <c r="J350" s="114"/>
      <c r="K350" s="114"/>
      <c r="L350" s="114"/>
      <c r="M350" s="114"/>
      <c r="N350" s="114"/>
    </row>
    <row r="351" spans="1:14">
      <c r="A351" s="114"/>
      <c r="B351" s="114"/>
      <c r="C351" s="114"/>
      <c r="D351" s="114"/>
      <c r="E351" s="114"/>
      <c r="F351" s="114"/>
      <c r="G351" s="114"/>
      <c r="H351" s="114"/>
      <c r="I351" s="114"/>
      <c r="J351" s="114"/>
      <c r="K351" s="114"/>
      <c r="L351" s="114"/>
      <c r="M351" s="114"/>
      <c r="N351" s="114"/>
    </row>
    <row r="352" spans="1:14">
      <c r="A352" s="114"/>
      <c r="B352" s="114"/>
      <c r="C352" s="114"/>
      <c r="D352" s="114"/>
      <c r="E352" s="114"/>
      <c r="F352" s="114"/>
      <c r="G352" s="114"/>
      <c r="H352" s="114"/>
      <c r="I352" s="114"/>
      <c r="J352" s="114"/>
      <c r="K352" s="114"/>
      <c r="L352" s="114"/>
      <c r="M352" s="114"/>
      <c r="N352" s="114"/>
    </row>
    <row r="353" spans="1:14">
      <c r="A353" s="114"/>
      <c r="B353" s="114"/>
      <c r="C353" s="114"/>
      <c r="D353" s="114"/>
      <c r="E353" s="114"/>
      <c r="F353" s="114"/>
      <c r="G353" s="114"/>
      <c r="H353" s="114"/>
      <c r="I353" s="114"/>
      <c r="J353" s="114"/>
      <c r="K353" s="114"/>
      <c r="L353" s="114"/>
      <c r="M353" s="114"/>
      <c r="N353" s="114"/>
    </row>
    <row r="354" spans="1:14">
      <c r="A354" s="114"/>
      <c r="B354" s="114"/>
      <c r="C354" s="114"/>
      <c r="D354" s="114"/>
      <c r="E354" s="114"/>
      <c r="F354" s="114"/>
      <c r="G354" s="114"/>
      <c r="H354" s="114"/>
      <c r="I354" s="114"/>
      <c r="J354" s="114"/>
      <c r="K354" s="114"/>
      <c r="L354" s="114"/>
      <c r="M354" s="114"/>
      <c r="N354" s="114"/>
    </row>
    <row r="355" spans="1:14">
      <c r="A355" s="114"/>
      <c r="B355" s="114"/>
      <c r="C355" s="114"/>
      <c r="D355" s="114"/>
      <c r="E355" s="114"/>
      <c r="F355" s="114"/>
      <c r="G355" s="114"/>
      <c r="H355" s="114"/>
      <c r="I355" s="114"/>
      <c r="J355" s="114"/>
      <c r="K355" s="114"/>
      <c r="L355" s="114"/>
      <c r="M355" s="114"/>
      <c r="N355" s="114"/>
    </row>
    <row r="356" spans="1:14">
      <c r="A356" s="114"/>
      <c r="B356" s="114"/>
      <c r="C356" s="114"/>
      <c r="D356" s="114"/>
      <c r="E356" s="114"/>
      <c r="F356" s="114"/>
      <c r="G356" s="114"/>
      <c r="H356" s="114"/>
      <c r="I356" s="114"/>
      <c r="J356" s="114"/>
      <c r="K356" s="114"/>
      <c r="L356" s="114"/>
      <c r="M356" s="114"/>
      <c r="N356" s="114"/>
    </row>
    <row r="357" spans="1:14">
      <c r="A357" s="114"/>
      <c r="B357" s="114"/>
      <c r="C357" s="114"/>
      <c r="D357" s="114"/>
      <c r="E357" s="114"/>
      <c r="F357" s="114"/>
      <c r="G357" s="114"/>
      <c r="H357" s="114"/>
      <c r="I357" s="114"/>
      <c r="J357" s="114"/>
      <c r="K357" s="114"/>
      <c r="L357" s="114"/>
      <c r="M357" s="114"/>
      <c r="N357" s="114"/>
    </row>
    <row r="358" spans="1:14">
      <c r="A358" s="114"/>
      <c r="B358" s="114"/>
      <c r="C358" s="114"/>
      <c r="D358" s="114"/>
      <c r="E358" s="114"/>
      <c r="F358" s="114"/>
      <c r="G358" s="114"/>
      <c r="H358" s="114"/>
      <c r="I358" s="114"/>
      <c r="J358" s="114"/>
      <c r="K358" s="114"/>
      <c r="L358" s="114"/>
      <c r="M358" s="114"/>
      <c r="N358" s="114"/>
    </row>
    <row r="359" spans="1:14">
      <c r="A359" s="114"/>
      <c r="B359" s="114"/>
      <c r="C359" s="114"/>
      <c r="D359" s="114"/>
      <c r="E359" s="114"/>
      <c r="F359" s="114"/>
      <c r="G359" s="114"/>
      <c r="H359" s="114"/>
      <c r="I359" s="114"/>
      <c r="J359" s="114"/>
      <c r="K359" s="114"/>
      <c r="L359" s="114"/>
      <c r="M359" s="114"/>
      <c r="N359" s="114"/>
    </row>
    <row r="360" spans="1:14">
      <c r="A360" s="114"/>
      <c r="B360" s="114"/>
      <c r="C360" s="114"/>
      <c r="D360" s="114"/>
      <c r="E360" s="114"/>
      <c r="F360" s="114"/>
      <c r="G360" s="114"/>
      <c r="H360" s="114"/>
      <c r="I360" s="114"/>
      <c r="J360" s="114"/>
      <c r="K360" s="114"/>
      <c r="L360" s="114"/>
      <c r="M360" s="114"/>
      <c r="N360" s="114"/>
    </row>
    <row r="361" spans="1:14">
      <c r="A361" s="114"/>
      <c r="B361" s="114"/>
      <c r="C361" s="114"/>
      <c r="D361" s="114"/>
      <c r="E361" s="114"/>
      <c r="F361" s="114"/>
      <c r="G361" s="114"/>
      <c r="H361" s="114"/>
      <c r="I361" s="114"/>
      <c r="J361" s="114"/>
      <c r="K361" s="114"/>
      <c r="L361" s="114"/>
      <c r="M361" s="114"/>
      <c r="N361" s="114"/>
    </row>
    <row r="362" spans="1:14">
      <c r="A362" s="114"/>
      <c r="B362" s="114"/>
      <c r="C362" s="114"/>
      <c r="D362" s="114"/>
      <c r="E362" s="114"/>
      <c r="F362" s="114"/>
      <c r="G362" s="114"/>
      <c r="H362" s="114"/>
      <c r="I362" s="114"/>
      <c r="J362" s="114"/>
      <c r="K362" s="114"/>
      <c r="L362" s="114"/>
      <c r="M362" s="114"/>
      <c r="N362" s="114"/>
    </row>
    <row r="363" spans="1:14">
      <c r="A363" s="114"/>
      <c r="B363" s="114"/>
      <c r="C363" s="114"/>
      <c r="D363" s="114"/>
      <c r="E363" s="114"/>
      <c r="F363" s="114"/>
      <c r="G363" s="114"/>
      <c r="H363" s="114"/>
      <c r="I363" s="114"/>
      <c r="J363" s="114"/>
      <c r="K363" s="114"/>
      <c r="L363" s="114"/>
      <c r="M363" s="114"/>
      <c r="N363" s="114"/>
    </row>
    <row r="364" spans="1:14">
      <c r="A364" s="114"/>
      <c r="B364" s="114"/>
      <c r="C364" s="114"/>
      <c r="D364" s="114"/>
      <c r="E364" s="114"/>
      <c r="F364" s="114"/>
      <c r="G364" s="114"/>
      <c r="H364" s="114"/>
      <c r="I364" s="114"/>
      <c r="J364" s="114"/>
      <c r="K364" s="114"/>
      <c r="L364" s="114"/>
      <c r="M364" s="114"/>
      <c r="N364" s="114"/>
    </row>
    <row r="365" spans="1:14">
      <c r="A365" s="114"/>
      <c r="B365" s="114"/>
      <c r="C365" s="114"/>
      <c r="D365" s="114"/>
      <c r="E365" s="114"/>
      <c r="F365" s="114"/>
      <c r="G365" s="114"/>
      <c r="H365" s="114"/>
      <c r="I365" s="114"/>
      <c r="J365" s="114"/>
      <c r="K365" s="114"/>
      <c r="L365" s="114"/>
      <c r="M365" s="114"/>
      <c r="N365" s="114"/>
    </row>
    <row r="366" spans="1:14">
      <c r="A366" s="114"/>
      <c r="B366" s="114"/>
      <c r="C366" s="114"/>
      <c r="D366" s="114"/>
      <c r="E366" s="114"/>
      <c r="F366" s="114"/>
      <c r="G366" s="114"/>
      <c r="H366" s="114"/>
      <c r="I366" s="114"/>
      <c r="J366" s="114"/>
      <c r="K366" s="114"/>
      <c r="L366" s="114"/>
      <c r="M366" s="114"/>
      <c r="N366" s="114"/>
    </row>
    <row r="367" spans="1:14">
      <c r="A367" s="114"/>
      <c r="B367" s="114"/>
      <c r="C367" s="114"/>
      <c r="D367" s="114"/>
      <c r="E367" s="114"/>
      <c r="F367" s="114"/>
      <c r="G367" s="114"/>
      <c r="H367" s="114"/>
      <c r="I367" s="114"/>
      <c r="J367" s="114"/>
      <c r="K367" s="114"/>
      <c r="L367" s="114"/>
      <c r="M367" s="114"/>
      <c r="N367" s="114"/>
    </row>
    <row r="368" spans="1:14">
      <c r="A368" s="114"/>
      <c r="B368" s="114"/>
      <c r="C368" s="114"/>
      <c r="D368" s="114"/>
      <c r="E368" s="114"/>
      <c r="F368" s="114"/>
      <c r="G368" s="114"/>
      <c r="H368" s="114"/>
      <c r="I368" s="114"/>
      <c r="J368" s="114"/>
      <c r="K368" s="114"/>
      <c r="L368" s="114"/>
      <c r="M368" s="114"/>
      <c r="N368" s="114"/>
    </row>
    <row r="369" spans="1:14">
      <c r="A369" s="114"/>
      <c r="B369" s="114"/>
      <c r="C369" s="114"/>
      <c r="D369" s="114"/>
      <c r="E369" s="114"/>
      <c r="F369" s="114"/>
      <c r="G369" s="114"/>
      <c r="H369" s="114"/>
      <c r="I369" s="114"/>
      <c r="J369" s="114"/>
      <c r="K369" s="114"/>
      <c r="L369" s="114"/>
      <c r="M369" s="114"/>
      <c r="N369" s="114"/>
    </row>
    <row r="370" spans="1:14">
      <c r="A370" s="114"/>
      <c r="B370" s="114"/>
      <c r="C370" s="114"/>
      <c r="D370" s="114"/>
      <c r="E370" s="114"/>
      <c r="F370" s="114"/>
      <c r="G370" s="114"/>
      <c r="H370" s="114"/>
      <c r="I370" s="114"/>
      <c r="J370" s="114"/>
      <c r="K370" s="114"/>
      <c r="L370" s="114"/>
      <c r="M370" s="114"/>
      <c r="N370" s="114"/>
    </row>
    <row r="371" spans="1:14">
      <c r="A371" s="114"/>
      <c r="B371" s="114"/>
      <c r="C371" s="114"/>
      <c r="D371" s="114"/>
      <c r="E371" s="114"/>
      <c r="F371" s="114"/>
      <c r="G371" s="114"/>
      <c r="H371" s="114"/>
      <c r="I371" s="114"/>
      <c r="J371" s="114"/>
      <c r="K371" s="114"/>
      <c r="L371" s="114"/>
      <c r="M371" s="114"/>
      <c r="N371" s="114"/>
    </row>
    <row r="372" spans="1:14">
      <c r="A372" s="114"/>
      <c r="B372" s="114"/>
      <c r="C372" s="114"/>
      <c r="D372" s="114"/>
      <c r="E372" s="114"/>
      <c r="F372" s="114"/>
      <c r="G372" s="114"/>
      <c r="H372" s="114"/>
      <c r="I372" s="114"/>
      <c r="J372" s="114"/>
      <c r="K372" s="114"/>
      <c r="L372" s="114"/>
      <c r="M372" s="114"/>
      <c r="N372" s="114"/>
    </row>
    <row r="373" spans="1:14">
      <c r="A373" s="114"/>
      <c r="B373" s="114"/>
      <c r="C373" s="114"/>
      <c r="D373" s="114"/>
      <c r="E373" s="114"/>
      <c r="F373" s="114"/>
      <c r="G373" s="114"/>
      <c r="H373" s="114"/>
      <c r="I373" s="114"/>
      <c r="J373" s="114"/>
      <c r="K373" s="114"/>
      <c r="L373" s="114"/>
      <c r="M373" s="114"/>
      <c r="N373" s="114"/>
    </row>
    <row r="374" spans="1:14">
      <c r="A374" s="114"/>
      <c r="B374" s="114"/>
      <c r="C374" s="114"/>
      <c r="D374" s="114"/>
      <c r="E374" s="114"/>
      <c r="F374" s="114"/>
      <c r="G374" s="114"/>
      <c r="H374" s="114"/>
      <c r="I374" s="114"/>
      <c r="J374" s="114"/>
      <c r="K374" s="114"/>
      <c r="L374" s="114"/>
      <c r="M374" s="114"/>
      <c r="N374" s="114"/>
    </row>
    <row r="375" spans="1:14">
      <c r="A375" s="114"/>
      <c r="B375" s="114"/>
      <c r="C375" s="114"/>
      <c r="D375" s="114"/>
      <c r="E375" s="114"/>
      <c r="F375" s="114"/>
      <c r="G375" s="114"/>
      <c r="H375" s="114"/>
      <c r="I375" s="114"/>
      <c r="J375" s="114"/>
      <c r="K375" s="114"/>
      <c r="L375" s="114"/>
      <c r="M375" s="114"/>
      <c r="N375" s="114"/>
    </row>
    <row r="376" spans="1:14">
      <c r="A376" s="114"/>
      <c r="B376" s="114"/>
      <c r="C376" s="114"/>
      <c r="D376" s="114"/>
      <c r="E376" s="114"/>
      <c r="F376" s="114"/>
      <c r="G376" s="114"/>
      <c r="H376" s="114"/>
      <c r="I376" s="114"/>
      <c r="J376" s="114"/>
      <c r="K376" s="114"/>
      <c r="L376" s="114"/>
      <c r="M376" s="114"/>
      <c r="N376" s="114"/>
    </row>
    <row r="377" spans="1:14">
      <c r="A377" s="114"/>
      <c r="B377" s="114"/>
      <c r="C377" s="114"/>
      <c r="D377" s="114"/>
      <c r="E377" s="114"/>
      <c r="F377" s="114"/>
      <c r="G377" s="114"/>
      <c r="H377" s="114"/>
      <c r="I377" s="114"/>
      <c r="J377" s="114"/>
      <c r="K377" s="114"/>
      <c r="L377" s="114"/>
      <c r="M377" s="114"/>
      <c r="N377" s="114"/>
    </row>
    <row r="378" spans="1:14">
      <c r="A378" s="114"/>
      <c r="B378" s="114"/>
      <c r="C378" s="114"/>
      <c r="D378" s="114"/>
      <c r="E378" s="114"/>
      <c r="F378" s="114"/>
      <c r="G378" s="114"/>
      <c r="H378" s="114"/>
      <c r="I378" s="114"/>
      <c r="J378" s="114"/>
      <c r="K378" s="114"/>
      <c r="L378" s="114"/>
      <c r="M378" s="114"/>
      <c r="N378" s="114"/>
    </row>
    <row r="379" spans="1:14">
      <c r="A379" s="114"/>
      <c r="B379" s="114"/>
      <c r="C379" s="114"/>
      <c r="D379" s="114"/>
      <c r="E379" s="114"/>
      <c r="F379" s="114"/>
      <c r="G379" s="114"/>
      <c r="H379" s="114"/>
      <c r="I379" s="114"/>
      <c r="J379" s="114"/>
      <c r="K379" s="114"/>
      <c r="L379" s="114"/>
      <c r="M379" s="114"/>
      <c r="N379" s="114"/>
    </row>
    <row r="380" spans="1:14">
      <c r="A380" s="114"/>
      <c r="B380" s="114"/>
      <c r="C380" s="114"/>
      <c r="D380" s="114"/>
      <c r="E380" s="114"/>
      <c r="F380" s="114"/>
      <c r="G380" s="114"/>
      <c r="H380" s="114"/>
      <c r="I380" s="114"/>
      <c r="J380" s="114"/>
      <c r="K380" s="114"/>
      <c r="L380" s="114"/>
      <c r="M380" s="114"/>
      <c r="N380" s="114"/>
    </row>
    <row r="381" spans="1:14">
      <c r="A381" s="114"/>
      <c r="B381" s="114"/>
      <c r="C381" s="114"/>
      <c r="D381" s="114"/>
      <c r="E381" s="114"/>
      <c r="F381" s="114"/>
      <c r="G381" s="114"/>
      <c r="H381" s="114"/>
      <c r="I381" s="114"/>
      <c r="J381" s="114"/>
      <c r="K381" s="114"/>
      <c r="L381" s="114"/>
      <c r="M381" s="114"/>
      <c r="N381" s="114"/>
    </row>
    <row r="382" spans="1:14">
      <c r="A382" s="114"/>
      <c r="B382" s="114"/>
      <c r="C382" s="114"/>
      <c r="D382" s="114"/>
      <c r="E382" s="114"/>
      <c r="F382" s="114"/>
      <c r="G382" s="114"/>
      <c r="H382" s="114"/>
      <c r="I382" s="114"/>
      <c r="J382" s="114"/>
      <c r="K382" s="114"/>
      <c r="L382" s="114"/>
      <c r="M382" s="114"/>
      <c r="N382" s="114"/>
    </row>
    <row r="383" spans="1:14">
      <c r="A383" s="114"/>
      <c r="B383" s="114"/>
      <c r="C383" s="114"/>
      <c r="D383" s="114"/>
      <c r="E383" s="114"/>
      <c r="F383" s="114"/>
      <c r="G383" s="114"/>
      <c r="H383" s="114"/>
      <c r="I383" s="114"/>
      <c r="J383" s="114"/>
      <c r="K383" s="114"/>
      <c r="L383" s="114"/>
      <c r="M383" s="114"/>
      <c r="N383" s="114"/>
    </row>
    <row r="384" spans="1:14">
      <c r="A384" s="114"/>
      <c r="B384" s="114"/>
      <c r="C384" s="114"/>
      <c r="D384" s="114"/>
      <c r="E384" s="114"/>
      <c r="F384" s="114"/>
      <c r="G384" s="114"/>
      <c r="H384" s="114"/>
      <c r="I384" s="114"/>
      <c r="J384" s="114"/>
      <c r="K384" s="114"/>
      <c r="L384" s="114"/>
      <c r="M384" s="114"/>
      <c r="N384" s="114"/>
    </row>
    <row r="385" spans="1:14">
      <c r="A385" s="114"/>
      <c r="B385" s="114"/>
      <c r="C385" s="114"/>
      <c r="D385" s="114"/>
      <c r="E385" s="114"/>
      <c r="F385" s="114"/>
      <c r="G385" s="114"/>
      <c r="H385" s="114"/>
      <c r="I385" s="114"/>
      <c r="J385" s="114"/>
      <c r="K385" s="114"/>
      <c r="L385" s="114"/>
      <c r="M385" s="114"/>
      <c r="N385" s="114"/>
    </row>
    <row r="386" spans="1:14">
      <c r="A386" s="114"/>
      <c r="B386" s="114"/>
      <c r="C386" s="114"/>
      <c r="D386" s="114"/>
      <c r="E386" s="114"/>
      <c r="F386" s="114"/>
      <c r="G386" s="114"/>
      <c r="H386" s="114"/>
      <c r="I386" s="114"/>
      <c r="J386" s="114"/>
      <c r="K386" s="114"/>
      <c r="L386" s="114"/>
      <c r="M386" s="114"/>
      <c r="N386" s="114"/>
    </row>
    <row r="387" spans="1:14">
      <c r="A387" s="114"/>
      <c r="B387" s="114"/>
      <c r="C387" s="114"/>
      <c r="D387" s="114"/>
      <c r="E387" s="114"/>
      <c r="F387" s="114"/>
      <c r="G387" s="114"/>
      <c r="H387" s="114"/>
      <c r="I387" s="114"/>
      <c r="J387" s="114"/>
      <c r="K387" s="114"/>
      <c r="L387" s="114"/>
      <c r="M387" s="114"/>
      <c r="N387" s="114"/>
    </row>
    <row r="388" spans="1:14">
      <c r="A388" s="114"/>
      <c r="B388" s="114"/>
      <c r="C388" s="114"/>
      <c r="D388" s="114"/>
      <c r="E388" s="114"/>
      <c r="F388" s="114"/>
      <c r="G388" s="114"/>
      <c r="H388" s="114"/>
      <c r="I388" s="114"/>
      <c r="J388" s="114"/>
      <c r="K388" s="114"/>
      <c r="L388" s="114"/>
      <c r="M388" s="114"/>
      <c r="N388" s="114"/>
    </row>
    <row r="389" spans="1:14">
      <c r="A389" s="114"/>
      <c r="B389" s="114"/>
      <c r="C389" s="114"/>
      <c r="D389" s="114"/>
      <c r="E389" s="114"/>
      <c r="F389" s="114"/>
      <c r="G389" s="114"/>
      <c r="H389" s="114"/>
      <c r="I389" s="114"/>
      <c r="J389" s="114"/>
      <c r="K389" s="114"/>
      <c r="L389" s="114"/>
      <c r="M389" s="114"/>
      <c r="N389" s="114"/>
    </row>
    <row r="390" spans="1:14">
      <c r="A390" s="114"/>
      <c r="B390" s="114"/>
      <c r="C390" s="114"/>
      <c r="D390" s="114"/>
      <c r="E390" s="114"/>
      <c r="F390" s="114"/>
      <c r="G390" s="114"/>
      <c r="H390" s="114"/>
      <c r="I390" s="114"/>
      <c r="J390" s="114"/>
      <c r="K390" s="114"/>
      <c r="L390" s="114"/>
      <c r="M390" s="114"/>
      <c r="N390" s="114"/>
    </row>
    <row r="391" spans="1:14">
      <c r="A391" s="114"/>
      <c r="B391" s="114"/>
      <c r="C391" s="114"/>
      <c r="D391" s="114"/>
      <c r="E391" s="114"/>
      <c r="F391" s="114"/>
      <c r="G391" s="114"/>
      <c r="H391" s="114"/>
      <c r="I391" s="114"/>
      <c r="J391" s="114"/>
      <c r="K391" s="114"/>
      <c r="L391" s="114"/>
      <c r="M391" s="114"/>
      <c r="N391" s="114"/>
    </row>
    <row r="392" spans="1:14">
      <c r="A392" s="114"/>
      <c r="B392" s="114"/>
      <c r="C392" s="114"/>
      <c r="D392" s="114"/>
      <c r="E392" s="114"/>
      <c r="F392" s="114"/>
      <c r="G392" s="114"/>
      <c r="H392" s="114"/>
      <c r="I392" s="114"/>
      <c r="J392" s="114"/>
      <c r="K392" s="114"/>
      <c r="L392" s="114"/>
      <c r="M392" s="114"/>
      <c r="N392" s="114"/>
    </row>
    <row r="393" spans="1:14">
      <c r="A393" s="114"/>
      <c r="B393" s="114"/>
      <c r="C393" s="114"/>
      <c r="D393" s="114"/>
      <c r="E393" s="114"/>
      <c r="F393" s="114"/>
      <c r="G393" s="114"/>
      <c r="H393" s="114"/>
      <c r="I393" s="114"/>
      <c r="J393" s="114"/>
      <c r="K393" s="114"/>
      <c r="L393" s="114"/>
      <c r="M393" s="114"/>
      <c r="N393" s="114"/>
    </row>
    <row r="394" spans="1:14">
      <c r="A394" s="114"/>
      <c r="B394" s="114"/>
      <c r="C394" s="114"/>
      <c r="D394" s="114"/>
      <c r="E394" s="114"/>
      <c r="F394" s="114"/>
      <c r="G394" s="114"/>
      <c r="H394" s="114"/>
      <c r="I394" s="114"/>
      <c r="J394" s="114"/>
      <c r="K394" s="114"/>
      <c r="L394" s="114"/>
      <c r="M394" s="114"/>
      <c r="N394" s="114"/>
    </row>
    <row r="395" spans="1:14">
      <c r="A395" s="114"/>
      <c r="B395" s="114"/>
      <c r="C395" s="114"/>
      <c r="D395" s="114"/>
      <c r="E395" s="114"/>
      <c r="F395" s="114"/>
      <c r="G395" s="114"/>
      <c r="H395" s="114"/>
      <c r="I395" s="114"/>
      <c r="J395" s="114"/>
      <c r="K395" s="114"/>
      <c r="L395" s="114"/>
      <c r="M395" s="114"/>
      <c r="N395" s="114"/>
    </row>
    <row r="396" spans="1:14">
      <c r="A396" s="114"/>
      <c r="B396" s="114"/>
      <c r="C396" s="114"/>
      <c r="D396" s="114"/>
      <c r="E396" s="114"/>
      <c r="F396" s="114"/>
      <c r="G396" s="114"/>
      <c r="H396" s="114"/>
      <c r="I396" s="114"/>
      <c r="J396" s="114"/>
      <c r="K396" s="114"/>
      <c r="L396" s="114"/>
      <c r="M396" s="114"/>
      <c r="N396" s="114"/>
    </row>
    <row r="397" spans="1:14">
      <c r="A397" s="114"/>
      <c r="B397" s="114"/>
      <c r="C397" s="114"/>
      <c r="D397" s="114"/>
      <c r="E397" s="114"/>
      <c r="F397" s="114"/>
      <c r="G397" s="114"/>
      <c r="H397" s="114"/>
      <c r="I397" s="114"/>
      <c r="J397" s="114"/>
      <c r="K397" s="114"/>
      <c r="L397" s="114"/>
      <c r="M397" s="114"/>
      <c r="N397" s="114"/>
    </row>
    <row r="398" spans="1:14">
      <c r="A398" s="114"/>
      <c r="B398" s="114"/>
      <c r="C398" s="114"/>
      <c r="D398" s="114"/>
      <c r="E398" s="114"/>
      <c r="F398" s="114"/>
      <c r="G398" s="114"/>
      <c r="H398" s="114"/>
      <c r="I398" s="114"/>
      <c r="J398" s="114"/>
      <c r="K398" s="114"/>
      <c r="L398" s="114"/>
      <c r="M398" s="114"/>
      <c r="N398" s="114"/>
    </row>
    <row r="399" spans="1:14">
      <c r="A399" s="114"/>
      <c r="B399" s="114"/>
      <c r="C399" s="114"/>
      <c r="D399" s="114"/>
      <c r="E399" s="114"/>
      <c r="F399" s="114"/>
      <c r="G399" s="114"/>
      <c r="H399" s="114"/>
      <c r="I399" s="114"/>
      <c r="J399" s="114"/>
      <c r="K399" s="114"/>
      <c r="L399" s="114"/>
      <c r="M399" s="114"/>
      <c r="N399" s="114"/>
    </row>
    <row r="400" spans="1:14">
      <c r="A400" s="114"/>
      <c r="B400" s="114"/>
      <c r="C400" s="114"/>
      <c r="D400" s="114"/>
      <c r="E400" s="114"/>
      <c r="F400" s="114"/>
      <c r="G400" s="114"/>
      <c r="H400" s="114"/>
      <c r="I400" s="114"/>
      <c r="J400" s="114"/>
      <c r="K400" s="114"/>
      <c r="L400" s="114"/>
      <c r="M400" s="114"/>
      <c r="N400" s="114"/>
    </row>
    <row r="401" spans="1:14">
      <c r="A401" s="114"/>
      <c r="B401" s="114"/>
      <c r="C401" s="114"/>
      <c r="D401" s="114"/>
      <c r="E401" s="114"/>
      <c r="F401" s="114"/>
      <c r="G401" s="114"/>
      <c r="H401" s="114"/>
      <c r="I401" s="114"/>
      <c r="J401" s="114"/>
      <c r="K401" s="114"/>
      <c r="L401" s="114"/>
      <c r="M401" s="114"/>
      <c r="N401" s="114"/>
    </row>
    <row r="402" spans="1:14">
      <c r="A402" s="114"/>
      <c r="B402" s="114"/>
      <c r="C402" s="114"/>
      <c r="D402" s="114"/>
      <c r="E402" s="114"/>
      <c r="F402" s="114"/>
      <c r="G402" s="114"/>
      <c r="H402" s="114"/>
      <c r="I402" s="114"/>
      <c r="J402" s="114"/>
      <c r="K402" s="114"/>
      <c r="L402" s="114"/>
      <c r="M402" s="114"/>
      <c r="N402" s="114"/>
    </row>
    <row r="403" spans="1:14">
      <c r="A403" s="114"/>
      <c r="B403" s="114"/>
      <c r="C403" s="114"/>
      <c r="D403" s="114"/>
      <c r="E403" s="114"/>
      <c r="F403" s="114"/>
      <c r="G403" s="114"/>
      <c r="H403" s="114"/>
      <c r="I403" s="114"/>
      <c r="J403" s="114"/>
      <c r="K403" s="114"/>
      <c r="L403" s="114"/>
      <c r="M403" s="114"/>
      <c r="N403" s="114"/>
    </row>
    <row r="404" spans="1:14">
      <c r="A404" s="114"/>
      <c r="B404" s="114"/>
      <c r="C404" s="114"/>
      <c r="D404" s="114"/>
      <c r="E404" s="114"/>
      <c r="F404" s="114"/>
      <c r="G404" s="114"/>
      <c r="H404" s="114"/>
      <c r="I404" s="114"/>
      <c r="J404" s="114"/>
      <c r="K404" s="114"/>
      <c r="L404" s="114"/>
      <c r="M404" s="114"/>
      <c r="N404" s="114"/>
    </row>
    <row r="405" spans="1:14">
      <c r="A405" s="114"/>
      <c r="B405" s="114"/>
      <c r="C405" s="114"/>
      <c r="D405" s="114"/>
      <c r="E405" s="114"/>
      <c r="F405" s="114"/>
      <c r="G405" s="114"/>
      <c r="H405" s="114"/>
      <c r="I405" s="114"/>
      <c r="J405" s="114"/>
      <c r="K405" s="114"/>
      <c r="L405" s="114"/>
      <c r="M405" s="114"/>
      <c r="N405" s="114"/>
    </row>
    <row r="406" spans="1:14">
      <c r="A406" s="114"/>
      <c r="B406" s="114"/>
      <c r="C406" s="114"/>
      <c r="D406" s="114"/>
      <c r="E406" s="114"/>
      <c r="F406" s="114"/>
      <c r="G406" s="114"/>
      <c r="H406" s="114"/>
      <c r="I406" s="114"/>
      <c r="J406" s="114"/>
      <c r="K406" s="114"/>
      <c r="L406" s="114"/>
      <c r="M406" s="114"/>
      <c r="N406" s="114"/>
    </row>
    <row r="407" spans="1:14">
      <c r="A407" s="114"/>
      <c r="B407" s="114"/>
      <c r="C407" s="114"/>
      <c r="D407" s="114"/>
      <c r="E407" s="114"/>
      <c r="F407" s="114"/>
      <c r="G407" s="114"/>
      <c r="H407" s="114"/>
      <c r="I407" s="114"/>
      <c r="J407" s="114"/>
      <c r="K407" s="114"/>
      <c r="L407" s="114"/>
      <c r="M407" s="114"/>
      <c r="N407" s="114"/>
    </row>
    <row r="408" spans="1:14">
      <c r="A408" s="114"/>
      <c r="B408" s="114"/>
      <c r="C408" s="114"/>
      <c r="D408" s="114"/>
      <c r="E408" s="114"/>
      <c r="F408" s="114"/>
      <c r="G408" s="114"/>
      <c r="H408" s="114"/>
      <c r="I408" s="114"/>
      <c r="J408" s="114"/>
      <c r="K408" s="114"/>
      <c r="L408" s="114"/>
      <c r="M408" s="114"/>
      <c r="N408" s="114"/>
    </row>
    <row r="409" spans="1:14">
      <c r="A409" s="114"/>
      <c r="B409" s="114"/>
      <c r="C409" s="114"/>
      <c r="D409" s="114"/>
      <c r="E409" s="114"/>
      <c r="F409" s="114"/>
      <c r="G409" s="114"/>
      <c r="H409" s="114"/>
      <c r="I409" s="114"/>
      <c r="J409" s="114"/>
      <c r="K409" s="114"/>
      <c r="L409" s="114"/>
      <c r="M409" s="114"/>
      <c r="N409" s="114"/>
    </row>
    <row r="410" spans="1:14">
      <c r="A410" s="114"/>
      <c r="B410" s="114"/>
      <c r="C410" s="114"/>
      <c r="D410" s="114"/>
      <c r="E410" s="114"/>
      <c r="F410" s="114"/>
      <c r="G410" s="114"/>
      <c r="H410" s="114"/>
      <c r="I410" s="114"/>
      <c r="J410" s="114"/>
      <c r="K410" s="114"/>
      <c r="L410" s="114"/>
      <c r="M410" s="114"/>
      <c r="N410" s="114"/>
    </row>
    <row r="411" spans="1:14">
      <c r="A411" s="114"/>
      <c r="B411" s="114"/>
      <c r="C411" s="114"/>
      <c r="D411" s="114"/>
      <c r="E411" s="114"/>
      <c r="F411" s="114"/>
      <c r="G411" s="114"/>
      <c r="H411" s="114"/>
      <c r="I411" s="114"/>
      <c r="J411" s="114"/>
      <c r="K411" s="114"/>
      <c r="L411" s="114"/>
      <c r="M411" s="114"/>
      <c r="N411" s="114"/>
    </row>
    <row r="412" spans="1:14">
      <c r="A412" s="114"/>
      <c r="B412" s="114"/>
      <c r="C412" s="114"/>
      <c r="D412" s="114"/>
      <c r="E412" s="114"/>
      <c r="F412" s="114"/>
      <c r="G412" s="114"/>
      <c r="H412" s="114"/>
      <c r="I412" s="114"/>
      <c r="J412" s="114"/>
      <c r="K412" s="114"/>
      <c r="L412" s="114"/>
      <c r="M412" s="114"/>
      <c r="N412" s="114"/>
    </row>
    <row r="413" spans="1:14">
      <c r="A413" s="114"/>
      <c r="B413" s="114"/>
      <c r="C413" s="114"/>
      <c r="D413" s="114"/>
      <c r="E413" s="114"/>
      <c r="F413" s="114"/>
      <c r="G413" s="114"/>
      <c r="H413" s="114"/>
      <c r="I413" s="114"/>
      <c r="J413" s="114"/>
      <c r="K413" s="114"/>
      <c r="L413" s="114"/>
      <c r="M413" s="114"/>
      <c r="N413" s="114"/>
    </row>
    <row r="414" spans="1:14">
      <c r="A414" s="114"/>
      <c r="B414" s="114"/>
      <c r="C414" s="114"/>
      <c r="D414" s="114"/>
      <c r="E414" s="114"/>
      <c r="F414" s="114"/>
      <c r="G414" s="114"/>
      <c r="H414" s="114"/>
      <c r="I414" s="114"/>
      <c r="J414" s="114"/>
      <c r="K414" s="114"/>
      <c r="L414" s="114"/>
      <c r="M414" s="114"/>
      <c r="N414" s="114"/>
    </row>
    <row r="415" spans="1:14">
      <c r="A415" s="114"/>
      <c r="B415" s="114"/>
      <c r="C415" s="114"/>
      <c r="D415" s="114"/>
      <c r="E415" s="114"/>
      <c r="F415" s="114"/>
      <c r="G415" s="114"/>
      <c r="H415" s="114"/>
      <c r="I415" s="114"/>
      <c r="J415" s="114"/>
      <c r="K415" s="114"/>
      <c r="L415" s="114"/>
      <c r="M415" s="114"/>
      <c r="N415" s="114"/>
    </row>
    <row r="416" spans="1:14">
      <c r="A416" s="10"/>
      <c r="B416" s="10"/>
      <c r="C416" s="10"/>
      <c r="D416" s="10"/>
      <c r="E416" s="10"/>
      <c r="F416" s="10"/>
      <c r="G416" s="10"/>
      <c r="H416" s="10"/>
      <c r="I416" s="10"/>
      <c r="J416" s="10"/>
      <c r="K416" s="10"/>
      <c r="L416" s="10"/>
      <c r="M416" s="10"/>
    </row>
    <row r="417" spans="1:13">
      <c r="A417" s="10"/>
      <c r="B417" s="10"/>
      <c r="C417" s="10"/>
      <c r="D417" s="10"/>
      <c r="E417" s="10"/>
      <c r="F417" s="10"/>
      <c r="G417" s="10"/>
      <c r="H417" s="10"/>
      <c r="I417" s="10"/>
      <c r="J417" s="10"/>
      <c r="K417" s="10"/>
      <c r="L417" s="10"/>
      <c r="M417" s="10"/>
    </row>
    <row r="418" spans="1:13">
      <c r="A418" s="10"/>
      <c r="B418" s="10"/>
      <c r="C418" s="10"/>
      <c r="D418" s="10"/>
      <c r="E418" s="10"/>
      <c r="F418" s="10"/>
      <c r="G418" s="10"/>
      <c r="H418" s="10"/>
      <c r="I418" s="10"/>
      <c r="J418" s="10"/>
      <c r="K418" s="10"/>
      <c r="L418" s="10"/>
      <c r="M418" s="10"/>
    </row>
    <row r="419" spans="1:13">
      <c r="A419" s="10"/>
      <c r="B419" s="10"/>
      <c r="C419" s="10"/>
      <c r="D419" s="10"/>
      <c r="E419" s="10"/>
      <c r="F419" s="10"/>
      <c r="G419" s="10"/>
      <c r="H419" s="10"/>
      <c r="I419" s="10"/>
      <c r="J419" s="10"/>
      <c r="K419" s="10"/>
      <c r="L419" s="10"/>
      <c r="M419" s="10"/>
    </row>
    <row r="420" spans="1:13">
      <c r="A420" s="10"/>
      <c r="B420" s="10"/>
      <c r="C420" s="10"/>
      <c r="D420" s="10"/>
      <c r="E420" s="10"/>
      <c r="F420" s="10"/>
      <c r="G420" s="10"/>
      <c r="H420" s="10"/>
      <c r="I420" s="10"/>
      <c r="J420" s="10"/>
      <c r="K420" s="10"/>
      <c r="L420" s="10"/>
      <c r="M420" s="10"/>
    </row>
    <row r="421" spans="1:13">
      <c r="A421" s="10"/>
      <c r="B421" s="10"/>
      <c r="C421" s="10"/>
      <c r="D421" s="10"/>
      <c r="E421" s="10"/>
      <c r="F421" s="10"/>
      <c r="G421" s="10"/>
      <c r="H421" s="10"/>
      <c r="I421" s="10"/>
      <c r="J421" s="10"/>
      <c r="K421" s="10"/>
      <c r="L421" s="10"/>
      <c r="M421" s="10"/>
    </row>
    <row r="422" spans="1:13">
      <c r="A422" s="10"/>
      <c r="B422" s="10"/>
      <c r="C422" s="10"/>
      <c r="D422" s="10"/>
      <c r="E422" s="10"/>
      <c r="F422" s="10"/>
      <c r="G422" s="10"/>
      <c r="H422" s="10"/>
      <c r="I422" s="10"/>
      <c r="J422" s="10"/>
      <c r="K422" s="10"/>
      <c r="L422" s="10"/>
      <c r="M422" s="10"/>
    </row>
    <row r="423" spans="1:13">
      <c r="A423" s="10"/>
      <c r="B423" s="10"/>
      <c r="C423" s="10"/>
      <c r="D423" s="10"/>
      <c r="E423" s="10"/>
      <c r="F423" s="10"/>
      <c r="G423" s="10"/>
      <c r="H423" s="10"/>
      <c r="I423" s="10"/>
      <c r="J423" s="10"/>
      <c r="K423" s="10"/>
      <c r="L423" s="10"/>
      <c r="M423" s="10"/>
    </row>
    <row r="424" spans="1:13">
      <c r="A424" s="10"/>
      <c r="B424" s="10"/>
      <c r="C424" s="10"/>
      <c r="D424" s="10"/>
      <c r="E424" s="10"/>
      <c r="F424" s="10"/>
      <c r="G424" s="10"/>
      <c r="H424" s="10"/>
      <c r="I424" s="10"/>
      <c r="J424" s="10"/>
      <c r="K424" s="10"/>
      <c r="L424" s="10"/>
      <c r="M424" s="10"/>
    </row>
    <row r="425" spans="1:13">
      <c r="A425" s="10"/>
      <c r="B425" s="10"/>
      <c r="C425" s="10"/>
      <c r="D425" s="10"/>
      <c r="E425" s="10"/>
      <c r="F425" s="10"/>
      <c r="G425" s="10"/>
      <c r="H425" s="10"/>
      <c r="I425" s="10"/>
      <c r="J425" s="10"/>
      <c r="K425" s="10"/>
      <c r="L425" s="10"/>
      <c r="M425" s="10"/>
    </row>
    <row r="426" spans="1:13">
      <c r="A426" s="10"/>
      <c r="B426" s="10"/>
      <c r="C426" s="10"/>
      <c r="D426" s="10"/>
      <c r="E426" s="10"/>
      <c r="F426" s="10"/>
      <c r="G426" s="10"/>
      <c r="H426" s="10"/>
      <c r="I426" s="10"/>
      <c r="J426" s="10"/>
      <c r="K426" s="10"/>
      <c r="L426" s="10"/>
      <c r="M426" s="10"/>
    </row>
    <row r="427" spans="1:13">
      <c r="A427" s="10"/>
      <c r="B427" s="10"/>
      <c r="C427" s="10"/>
      <c r="D427" s="10"/>
      <c r="E427" s="10"/>
      <c r="F427" s="10"/>
      <c r="G427" s="10"/>
      <c r="H427" s="10"/>
      <c r="I427" s="10"/>
      <c r="J427" s="10"/>
      <c r="K427" s="10"/>
      <c r="L427" s="10"/>
      <c r="M427" s="10"/>
    </row>
    <row r="428" spans="1:13">
      <c r="A428" s="10"/>
      <c r="B428" s="10"/>
      <c r="C428" s="10"/>
      <c r="D428" s="10"/>
      <c r="E428" s="10"/>
      <c r="F428" s="10"/>
      <c r="G428" s="10"/>
      <c r="H428" s="10"/>
      <c r="I428" s="10"/>
      <c r="J428" s="10"/>
      <c r="K428" s="10"/>
      <c r="L428" s="10"/>
      <c r="M428" s="10"/>
    </row>
    <row r="429" spans="1:13">
      <c r="A429" s="10"/>
      <c r="B429" s="10"/>
      <c r="C429" s="10"/>
      <c r="D429" s="10"/>
      <c r="E429" s="10"/>
      <c r="F429" s="10"/>
      <c r="G429" s="10"/>
      <c r="H429" s="10"/>
      <c r="I429" s="10"/>
      <c r="J429" s="10"/>
      <c r="K429" s="10"/>
      <c r="L429" s="10"/>
      <c r="M429" s="10"/>
    </row>
    <row r="430" spans="1:13">
      <c r="A430" s="10"/>
      <c r="B430" s="10"/>
      <c r="C430" s="10"/>
      <c r="D430" s="10"/>
      <c r="E430" s="10"/>
      <c r="F430" s="10"/>
      <c r="G430" s="10"/>
      <c r="H430" s="10"/>
      <c r="I430" s="10"/>
      <c r="J430" s="10"/>
      <c r="K430" s="10"/>
      <c r="L430" s="10"/>
      <c r="M430" s="10"/>
    </row>
    <row r="431" spans="1:13">
      <c r="A431" s="10"/>
      <c r="B431" s="10"/>
      <c r="C431" s="10"/>
      <c r="D431" s="10"/>
      <c r="E431" s="10"/>
      <c r="F431" s="10"/>
      <c r="G431" s="10"/>
      <c r="H431" s="10"/>
      <c r="I431" s="10"/>
      <c r="J431" s="10"/>
      <c r="K431" s="10"/>
      <c r="L431" s="10"/>
      <c r="M431" s="10"/>
    </row>
    <row r="432" spans="1:13">
      <c r="A432" s="10"/>
      <c r="B432" s="10"/>
      <c r="C432" s="10"/>
      <c r="D432" s="10"/>
      <c r="E432" s="10"/>
      <c r="F432" s="10"/>
      <c r="G432" s="10"/>
      <c r="H432" s="10"/>
      <c r="I432" s="10"/>
      <c r="J432" s="10"/>
      <c r="K432" s="10"/>
      <c r="L432" s="10"/>
      <c r="M432" s="10"/>
    </row>
    <row r="433" spans="1:13">
      <c r="A433" s="10"/>
      <c r="B433" s="10"/>
      <c r="C433" s="10"/>
      <c r="D433" s="10"/>
      <c r="E433" s="10"/>
      <c r="F433" s="10"/>
      <c r="G433" s="10"/>
      <c r="H433" s="10"/>
      <c r="I433" s="10"/>
      <c r="J433" s="10"/>
      <c r="K433" s="10"/>
      <c r="L433" s="10"/>
      <c r="M433" s="10"/>
    </row>
    <row r="434" spans="1:13">
      <c r="A434" s="10"/>
      <c r="B434" s="10"/>
      <c r="C434" s="10"/>
      <c r="D434" s="10"/>
      <c r="E434" s="10"/>
      <c r="F434" s="10"/>
      <c r="G434" s="10"/>
      <c r="H434" s="10"/>
      <c r="I434" s="10"/>
      <c r="J434" s="10"/>
      <c r="K434" s="10"/>
      <c r="L434" s="10"/>
      <c r="M434" s="10"/>
    </row>
    <row r="435" spans="1:13">
      <c r="A435" s="10"/>
      <c r="B435" s="10"/>
      <c r="C435" s="10"/>
      <c r="D435" s="10"/>
      <c r="E435" s="10"/>
      <c r="F435" s="10"/>
      <c r="G435" s="10"/>
      <c r="H435" s="10"/>
      <c r="I435" s="10"/>
      <c r="J435" s="10"/>
      <c r="K435" s="10"/>
      <c r="L435" s="10"/>
      <c r="M435" s="10"/>
    </row>
    <row r="436" spans="1:13">
      <c r="A436" s="10"/>
      <c r="B436" s="10"/>
      <c r="C436" s="10"/>
      <c r="D436" s="10"/>
      <c r="E436" s="10"/>
      <c r="F436" s="10"/>
      <c r="G436" s="10"/>
      <c r="H436" s="10"/>
      <c r="I436" s="10"/>
      <c r="J436" s="10"/>
      <c r="K436" s="10"/>
      <c r="L436" s="10"/>
      <c r="M436" s="10"/>
    </row>
    <row r="437" spans="1:13">
      <c r="A437" s="10"/>
      <c r="B437" s="10"/>
      <c r="C437" s="10"/>
      <c r="D437" s="10"/>
      <c r="E437" s="10"/>
      <c r="F437" s="10"/>
      <c r="G437" s="10"/>
      <c r="H437" s="10"/>
      <c r="I437" s="10"/>
      <c r="J437" s="10"/>
      <c r="K437" s="10"/>
      <c r="L437" s="10"/>
      <c r="M437" s="10"/>
    </row>
    <row r="438" spans="1:13">
      <c r="A438" s="10"/>
      <c r="B438" s="10"/>
      <c r="C438" s="10"/>
      <c r="D438" s="10"/>
      <c r="E438" s="10"/>
      <c r="F438" s="10"/>
      <c r="G438" s="10"/>
      <c r="H438" s="10"/>
      <c r="I438" s="10"/>
      <c r="J438" s="10"/>
      <c r="K438" s="10"/>
      <c r="L438" s="10"/>
      <c r="M438" s="10"/>
    </row>
    <row r="439" spans="1:13">
      <c r="A439" s="10"/>
      <c r="B439" s="10"/>
      <c r="C439" s="10"/>
      <c r="D439" s="10"/>
      <c r="E439" s="10"/>
      <c r="F439" s="10"/>
      <c r="G439" s="10"/>
      <c r="H439" s="10"/>
      <c r="I439" s="10"/>
      <c r="J439" s="10"/>
      <c r="K439" s="10"/>
      <c r="L439" s="10"/>
      <c r="M439" s="10"/>
    </row>
    <row r="440" spans="1:13">
      <c r="A440" s="10"/>
      <c r="B440" s="10"/>
      <c r="C440" s="10"/>
      <c r="D440" s="10"/>
      <c r="E440" s="10"/>
      <c r="F440" s="10"/>
      <c r="G440" s="10"/>
      <c r="H440" s="10"/>
      <c r="I440" s="10"/>
      <c r="J440" s="10"/>
      <c r="K440" s="10"/>
      <c r="L440" s="10"/>
      <c r="M440" s="10"/>
    </row>
    <row r="441" spans="1:13">
      <c r="A441" s="10"/>
      <c r="B441" s="10"/>
      <c r="C441" s="10"/>
      <c r="D441" s="10"/>
      <c r="E441" s="10"/>
      <c r="F441" s="10"/>
      <c r="G441" s="10"/>
      <c r="H441" s="10"/>
      <c r="I441" s="10"/>
      <c r="J441" s="10"/>
      <c r="K441" s="10"/>
      <c r="L441" s="10"/>
      <c r="M441" s="10"/>
    </row>
    <row r="442" spans="1:13">
      <c r="A442" s="10"/>
      <c r="B442" s="10"/>
      <c r="C442" s="10"/>
      <c r="D442" s="10"/>
      <c r="E442" s="10"/>
      <c r="F442" s="10"/>
      <c r="G442" s="10"/>
      <c r="H442" s="10"/>
      <c r="I442" s="10"/>
      <c r="J442" s="10"/>
      <c r="K442" s="10"/>
      <c r="L442" s="10"/>
      <c r="M442" s="10"/>
    </row>
    <row r="443" spans="1:13">
      <c r="A443" s="10"/>
      <c r="B443" s="10"/>
      <c r="C443" s="10"/>
      <c r="D443" s="10"/>
      <c r="E443" s="10"/>
      <c r="F443" s="10"/>
      <c r="G443" s="10"/>
      <c r="H443" s="10"/>
      <c r="I443" s="10"/>
      <c r="J443" s="10"/>
      <c r="K443" s="10"/>
      <c r="L443" s="10"/>
      <c r="M443" s="10"/>
    </row>
    <row r="444" spans="1:13">
      <c r="A444" s="10"/>
      <c r="B444" s="10"/>
      <c r="C444" s="10"/>
      <c r="D444" s="10"/>
      <c r="E444" s="10"/>
      <c r="F444" s="10"/>
      <c r="G444" s="10"/>
      <c r="H444" s="10"/>
      <c r="I444" s="10"/>
      <c r="J444" s="10"/>
      <c r="K444" s="10"/>
      <c r="L444" s="10"/>
      <c r="M444" s="10"/>
    </row>
    <row r="445" spans="1:13">
      <c r="A445" s="10"/>
      <c r="B445" s="10"/>
      <c r="C445" s="10"/>
      <c r="D445" s="10"/>
      <c r="E445" s="10"/>
      <c r="F445" s="10"/>
      <c r="G445" s="10"/>
      <c r="H445" s="10"/>
      <c r="I445" s="10"/>
      <c r="J445" s="10"/>
      <c r="K445" s="10"/>
      <c r="L445" s="10"/>
      <c r="M445" s="10"/>
    </row>
    <row r="446" spans="1:13">
      <c r="A446" s="10"/>
      <c r="B446" s="10"/>
      <c r="C446" s="10"/>
      <c r="D446" s="10"/>
      <c r="E446" s="10"/>
      <c r="F446" s="10"/>
      <c r="G446" s="10"/>
      <c r="H446" s="10"/>
      <c r="I446" s="10"/>
      <c r="J446" s="10"/>
      <c r="K446" s="10"/>
      <c r="L446" s="10"/>
      <c r="M446" s="10"/>
    </row>
    <row r="447" spans="1:13">
      <c r="A447" s="10"/>
      <c r="B447" s="10"/>
      <c r="C447" s="10"/>
      <c r="D447" s="10"/>
      <c r="E447" s="10"/>
      <c r="F447" s="10"/>
      <c r="G447" s="10"/>
      <c r="H447" s="10"/>
      <c r="I447" s="10"/>
      <c r="J447" s="10"/>
      <c r="K447" s="10"/>
      <c r="L447" s="10"/>
      <c r="M447" s="10"/>
    </row>
    <row r="448" spans="1:13">
      <c r="A448" s="10"/>
      <c r="B448" s="10"/>
      <c r="C448" s="10"/>
      <c r="D448" s="10"/>
      <c r="E448" s="10"/>
      <c r="F448" s="10"/>
      <c r="G448" s="10"/>
      <c r="H448" s="10"/>
      <c r="I448" s="10"/>
      <c r="J448" s="10"/>
      <c r="K448" s="10"/>
      <c r="L448" s="10"/>
      <c r="M448" s="10"/>
    </row>
    <row r="449" spans="1:13">
      <c r="A449" s="10"/>
      <c r="B449" s="10"/>
      <c r="C449" s="10"/>
      <c r="D449" s="10"/>
      <c r="E449" s="10"/>
      <c r="F449" s="10"/>
      <c r="G449" s="10"/>
      <c r="H449" s="10"/>
      <c r="I449" s="10"/>
      <c r="J449" s="10"/>
      <c r="K449" s="10"/>
      <c r="L449" s="10"/>
      <c r="M449" s="10"/>
    </row>
    <row r="450" spans="1:13">
      <c r="A450" s="10"/>
      <c r="B450" s="10"/>
      <c r="C450" s="10"/>
      <c r="D450" s="10"/>
      <c r="E450" s="10"/>
      <c r="F450" s="10"/>
      <c r="G450" s="10"/>
      <c r="H450" s="10"/>
      <c r="I450" s="10"/>
      <c r="J450" s="10"/>
      <c r="K450" s="10"/>
      <c r="L450" s="10"/>
      <c r="M450" s="10"/>
    </row>
    <row r="451" spans="1:13">
      <c r="A451" s="10"/>
      <c r="B451" s="10"/>
      <c r="C451" s="10"/>
      <c r="D451" s="10"/>
      <c r="E451" s="10"/>
      <c r="F451" s="10"/>
      <c r="G451" s="10"/>
      <c r="H451" s="10"/>
      <c r="I451" s="10"/>
      <c r="J451" s="10"/>
      <c r="K451" s="10"/>
      <c r="L451" s="10"/>
      <c r="M451" s="10"/>
    </row>
    <row r="452" spans="1:13">
      <c r="A452" s="10"/>
      <c r="B452" s="10"/>
      <c r="C452" s="10"/>
      <c r="D452" s="10"/>
      <c r="E452" s="10"/>
      <c r="F452" s="10"/>
      <c r="G452" s="10"/>
      <c r="H452" s="10"/>
      <c r="I452" s="10"/>
      <c r="J452" s="10"/>
      <c r="K452" s="10"/>
      <c r="L452" s="10"/>
      <c r="M452" s="10"/>
    </row>
    <row r="453" spans="1:13">
      <c r="A453" s="10"/>
      <c r="B453" s="10"/>
      <c r="C453" s="10"/>
      <c r="D453" s="10"/>
      <c r="E453" s="10"/>
      <c r="F453" s="10"/>
      <c r="G453" s="10"/>
      <c r="H453" s="10"/>
      <c r="I453" s="10"/>
      <c r="J453" s="10"/>
      <c r="K453" s="10"/>
      <c r="L453" s="10"/>
      <c r="M453" s="10"/>
    </row>
    <row r="454" spans="1:13">
      <c r="A454" s="10"/>
      <c r="B454" s="10"/>
      <c r="C454" s="10"/>
      <c r="D454" s="10"/>
      <c r="E454" s="10"/>
      <c r="F454" s="10"/>
      <c r="G454" s="10"/>
      <c r="H454" s="10"/>
      <c r="I454" s="10"/>
      <c r="J454" s="10"/>
      <c r="K454" s="10"/>
      <c r="L454" s="10"/>
      <c r="M454" s="10"/>
    </row>
    <row r="455" spans="1:13">
      <c r="A455" s="10"/>
      <c r="B455" s="10"/>
      <c r="C455" s="10"/>
      <c r="D455" s="10"/>
      <c r="E455" s="10"/>
      <c r="F455" s="10"/>
      <c r="G455" s="10"/>
      <c r="H455" s="10"/>
      <c r="I455" s="10"/>
      <c r="J455" s="10"/>
      <c r="K455" s="10"/>
      <c r="L455" s="10"/>
      <c r="M455" s="10"/>
    </row>
    <row r="456" spans="1:13">
      <c r="A456" s="10"/>
      <c r="B456" s="10"/>
      <c r="C456" s="10"/>
      <c r="D456" s="10"/>
      <c r="E456" s="10"/>
      <c r="F456" s="10"/>
      <c r="G456" s="10"/>
      <c r="H456" s="10"/>
      <c r="I456" s="10"/>
      <c r="J456" s="10"/>
      <c r="K456" s="10"/>
      <c r="L456" s="10"/>
      <c r="M456" s="10"/>
    </row>
    <row r="457" spans="1:13">
      <c r="A457" s="10"/>
      <c r="B457" s="10"/>
      <c r="C457" s="10"/>
      <c r="D457" s="10"/>
      <c r="E457" s="10"/>
      <c r="F457" s="10"/>
      <c r="G457" s="10"/>
      <c r="H457" s="10"/>
      <c r="I457" s="10"/>
      <c r="J457" s="10"/>
      <c r="K457" s="10"/>
      <c r="L457" s="10"/>
      <c r="M457" s="10"/>
    </row>
    <row r="458" spans="1:13">
      <c r="A458" s="10"/>
      <c r="B458" s="10"/>
      <c r="C458" s="10"/>
      <c r="D458" s="10"/>
      <c r="E458" s="10"/>
      <c r="F458" s="10"/>
      <c r="G458" s="10"/>
      <c r="H458" s="10"/>
      <c r="I458" s="10"/>
      <c r="J458" s="10"/>
      <c r="K458" s="10"/>
      <c r="L458" s="10"/>
      <c r="M458" s="10"/>
    </row>
    <row r="459" spans="1:13">
      <c r="A459" s="10"/>
      <c r="B459" s="10"/>
      <c r="C459" s="10"/>
      <c r="D459" s="10"/>
      <c r="E459" s="10"/>
      <c r="F459" s="10"/>
      <c r="G459" s="10"/>
      <c r="H459" s="10"/>
      <c r="I459" s="10"/>
      <c r="J459" s="10"/>
      <c r="K459" s="10"/>
      <c r="L459" s="10"/>
      <c r="M459" s="10"/>
    </row>
    <row r="460" spans="1:13">
      <c r="A460" s="10"/>
      <c r="B460" s="10"/>
      <c r="C460" s="10"/>
      <c r="D460" s="10"/>
      <c r="E460" s="10"/>
      <c r="F460" s="10"/>
      <c r="G460" s="10"/>
      <c r="H460" s="10"/>
      <c r="I460" s="10"/>
      <c r="J460" s="10"/>
      <c r="K460" s="10"/>
      <c r="L460" s="10"/>
      <c r="M460" s="10"/>
    </row>
    <row r="461" spans="1:13">
      <c r="A461" s="10"/>
      <c r="B461" s="10"/>
      <c r="C461" s="10"/>
      <c r="D461" s="10"/>
      <c r="E461" s="10"/>
      <c r="F461" s="10"/>
      <c r="G461" s="10"/>
      <c r="H461" s="10"/>
      <c r="I461" s="10"/>
      <c r="J461" s="10"/>
      <c r="K461" s="10"/>
      <c r="L461" s="10"/>
      <c r="M461" s="10"/>
    </row>
    <row r="462" spans="1:13">
      <c r="A462" s="10"/>
      <c r="B462" s="10"/>
      <c r="C462" s="10"/>
      <c r="D462" s="10"/>
      <c r="E462" s="10"/>
      <c r="F462" s="10"/>
      <c r="G462" s="10"/>
      <c r="H462" s="10"/>
      <c r="I462" s="10"/>
      <c r="J462" s="10"/>
      <c r="K462" s="10"/>
      <c r="L462" s="10"/>
      <c r="M462" s="10"/>
    </row>
    <row r="463" spans="1:13">
      <c r="A463" s="10"/>
      <c r="B463" s="10"/>
      <c r="C463" s="10"/>
      <c r="D463" s="10"/>
      <c r="E463" s="10"/>
      <c r="F463" s="10"/>
      <c r="G463" s="10"/>
      <c r="H463" s="10"/>
      <c r="I463" s="10"/>
      <c r="J463" s="10"/>
      <c r="K463" s="10"/>
      <c r="L463" s="10"/>
      <c r="M463" s="10"/>
    </row>
    <row r="464" spans="1:13">
      <c r="A464" s="10"/>
      <c r="B464" s="10"/>
      <c r="C464" s="10"/>
      <c r="D464" s="10"/>
      <c r="E464" s="10"/>
      <c r="F464" s="10"/>
      <c r="G464" s="10"/>
      <c r="H464" s="10"/>
      <c r="I464" s="10"/>
      <c r="J464" s="10"/>
      <c r="K464" s="10"/>
      <c r="L464" s="10"/>
      <c r="M464" s="10"/>
    </row>
    <row r="465" spans="1:13">
      <c r="A465" s="10"/>
      <c r="B465" s="10"/>
      <c r="C465" s="10"/>
      <c r="D465" s="10"/>
      <c r="E465" s="10"/>
      <c r="F465" s="10"/>
      <c r="G465" s="10"/>
      <c r="H465" s="10"/>
      <c r="I465" s="10"/>
      <c r="J465" s="10"/>
      <c r="K465" s="10"/>
      <c r="L465" s="10"/>
      <c r="M465" s="10"/>
    </row>
    <row r="466" spans="1:13">
      <c r="A466" s="10"/>
      <c r="B466" s="10"/>
      <c r="C466" s="10"/>
      <c r="D466" s="10"/>
      <c r="E466" s="10"/>
      <c r="F466" s="10"/>
      <c r="G466" s="10"/>
      <c r="H466" s="10"/>
      <c r="I466" s="10"/>
      <c r="J466" s="10"/>
      <c r="K466" s="10"/>
      <c r="L466" s="10"/>
      <c r="M466" s="10"/>
    </row>
    <row r="467" spans="1:13">
      <c r="A467" s="10"/>
      <c r="B467" s="10"/>
      <c r="C467" s="10"/>
      <c r="D467" s="10"/>
      <c r="E467" s="10"/>
      <c r="F467" s="10"/>
      <c r="G467" s="10"/>
      <c r="H467" s="10"/>
      <c r="I467" s="10"/>
      <c r="J467" s="10"/>
      <c r="K467" s="10"/>
      <c r="L467" s="10"/>
      <c r="M467" s="10"/>
    </row>
    <row r="468" spans="1:13">
      <c r="A468" s="10"/>
      <c r="B468" s="10"/>
      <c r="C468" s="10"/>
      <c r="D468" s="10"/>
      <c r="E468" s="10"/>
      <c r="F468" s="10"/>
      <c r="G468" s="10"/>
      <c r="H468" s="10"/>
      <c r="I468" s="10"/>
      <c r="J468" s="10"/>
      <c r="K468" s="10"/>
      <c r="L468" s="10"/>
      <c r="M468" s="10"/>
    </row>
    <row r="469" spans="1:13">
      <c r="A469" s="10"/>
      <c r="B469" s="10"/>
      <c r="C469" s="10"/>
      <c r="D469" s="10"/>
      <c r="E469" s="10"/>
      <c r="F469" s="10"/>
      <c r="G469" s="10"/>
      <c r="H469" s="10"/>
      <c r="I469" s="10"/>
      <c r="J469" s="10"/>
      <c r="K469" s="10"/>
      <c r="L469" s="10"/>
      <c r="M469" s="10"/>
    </row>
    <row r="470" spans="1:13">
      <c r="A470" s="10"/>
      <c r="B470" s="10"/>
      <c r="C470" s="10"/>
      <c r="D470" s="10"/>
      <c r="E470" s="10"/>
      <c r="F470" s="10"/>
      <c r="G470" s="10"/>
      <c r="H470" s="10"/>
      <c r="I470" s="10"/>
      <c r="J470" s="10"/>
      <c r="K470" s="10"/>
      <c r="L470" s="10"/>
      <c r="M470" s="10"/>
    </row>
    <row r="471" spans="1:13">
      <c r="A471" s="10"/>
      <c r="B471" s="10"/>
      <c r="C471" s="10"/>
      <c r="D471" s="10"/>
      <c r="E471" s="10"/>
      <c r="F471" s="10"/>
      <c r="G471" s="10"/>
      <c r="H471" s="10"/>
      <c r="I471" s="10"/>
      <c r="J471" s="10"/>
      <c r="K471" s="10"/>
      <c r="L471" s="10"/>
      <c r="M471" s="10"/>
    </row>
    <row r="472" spans="1:13">
      <c r="A472" s="10"/>
      <c r="B472" s="10"/>
      <c r="C472" s="10"/>
      <c r="D472" s="10"/>
      <c r="E472" s="10"/>
      <c r="F472" s="10"/>
      <c r="G472" s="10"/>
      <c r="H472" s="10"/>
      <c r="I472" s="10"/>
      <c r="J472" s="10"/>
      <c r="K472" s="10"/>
      <c r="L472" s="10"/>
      <c r="M472" s="10"/>
    </row>
    <row r="473" spans="1:13">
      <c r="A473" s="10"/>
      <c r="B473" s="10"/>
      <c r="C473" s="10"/>
      <c r="D473" s="10"/>
      <c r="E473" s="10"/>
      <c r="F473" s="10"/>
      <c r="G473" s="10"/>
      <c r="H473" s="10"/>
      <c r="I473" s="10"/>
      <c r="J473" s="10"/>
      <c r="K473" s="10"/>
      <c r="L473" s="10"/>
      <c r="M473" s="10"/>
    </row>
    <row r="474" spans="1:13">
      <c r="A474" s="10"/>
      <c r="B474" s="10"/>
      <c r="C474" s="10"/>
      <c r="D474" s="10"/>
      <c r="E474" s="10"/>
      <c r="F474" s="10"/>
      <c r="G474" s="10"/>
      <c r="H474" s="10"/>
      <c r="I474" s="10"/>
      <c r="J474" s="10"/>
      <c r="K474" s="10"/>
      <c r="L474" s="10"/>
      <c r="M474" s="10"/>
    </row>
    <row r="475" spans="1:13">
      <c r="A475" s="10"/>
      <c r="B475" s="10"/>
      <c r="C475" s="10"/>
      <c r="D475" s="10"/>
      <c r="E475" s="10"/>
      <c r="F475" s="10"/>
      <c r="G475" s="10"/>
      <c r="H475" s="10"/>
      <c r="I475" s="10"/>
      <c r="J475" s="10"/>
      <c r="K475" s="10"/>
      <c r="L475" s="10"/>
      <c r="M475" s="10"/>
    </row>
    <row r="476" spans="1:13">
      <c r="A476" s="10"/>
      <c r="B476" s="10"/>
      <c r="C476" s="10"/>
      <c r="D476" s="10"/>
      <c r="E476" s="10"/>
      <c r="F476" s="10"/>
      <c r="G476" s="10"/>
      <c r="H476" s="10"/>
      <c r="I476" s="10"/>
      <c r="J476" s="10"/>
      <c r="K476" s="10"/>
      <c r="L476" s="10"/>
      <c r="M476" s="10"/>
    </row>
    <row r="477" spans="1:13">
      <c r="A477" s="10"/>
      <c r="B477" s="10"/>
      <c r="C477" s="10"/>
      <c r="D477" s="10"/>
      <c r="E477" s="10"/>
      <c r="F477" s="10"/>
      <c r="G477" s="10"/>
      <c r="H477" s="10"/>
      <c r="I477" s="10"/>
      <c r="J477" s="10"/>
      <c r="K477" s="10"/>
      <c r="L477" s="10"/>
      <c r="M477" s="10"/>
    </row>
    <row r="478" spans="1:13">
      <c r="A478" s="10"/>
      <c r="B478" s="10"/>
      <c r="C478" s="10"/>
      <c r="D478" s="10"/>
      <c r="E478" s="10"/>
      <c r="F478" s="10"/>
      <c r="G478" s="10"/>
      <c r="H478" s="10"/>
      <c r="I478" s="10"/>
      <c r="J478" s="10"/>
      <c r="K478" s="10"/>
      <c r="L478" s="10"/>
      <c r="M478" s="10"/>
    </row>
    <row r="479" spans="1:13">
      <c r="A479" s="10"/>
      <c r="B479" s="10"/>
      <c r="C479" s="10"/>
      <c r="D479" s="10"/>
      <c r="E479" s="10"/>
      <c r="F479" s="10"/>
      <c r="G479" s="10"/>
      <c r="H479" s="10"/>
      <c r="I479" s="10"/>
      <c r="J479" s="10"/>
      <c r="K479" s="10"/>
      <c r="L479" s="10"/>
      <c r="M479" s="10"/>
    </row>
    <row r="480" spans="1:13">
      <c r="A480" s="10"/>
      <c r="B480" s="10"/>
      <c r="C480" s="10"/>
      <c r="D480" s="10"/>
      <c r="E480" s="10"/>
      <c r="F480" s="10"/>
      <c r="G480" s="10"/>
      <c r="H480" s="10"/>
      <c r="I480" s="10"/>
      <c r="J480" s="10"/>
      <c r="K480" s="10"/>
      <c r="L480" s="10"/>
      <c r="M480" s="10"/>
    </row>
    <row r="481" spans="1:13">
      <c r="A481" s="10"/>
      <c r="B481" s="10"/>
      <c r="C481" s="10"/>
      <c r="D481" s="10"/>
      <c r="E481" s="10"/>
      <c r="F481" s="10"/>
      <c r="G481" s="10"/>
      <c r="H481" s="10"/>
      <c r="I481" s="10"/>
      <c r="J481" s="10"/>
      <c r="K481" s="10"/>
      <c r="L481" s="10"/>
      <c r="M481" s="10"/>
    </row>
    <row r="482" spans="1:13">
      <c r="A482" s="10"/>
      <c r="B482" s="10"/>
      <c r="C482" s="10"/>
      <c r="D482" s="10"/>
      <c r="E482" s="10"/>
      <c r="F482" s="10"/>
      <c r="G482" s="10"/>
      <c r="H482" s="10"/>
      <c r="I482" s="10"/>
      <c r="J482" s="10"/>
      <c r="K482" s="10"/>
      <c r="L482" s="10"/>
      <c r="M482" s="10"/>
    </row>
    <row r="483" spans="1:13">
      <c r="A483" s="10"/>
      <c r="B483" s="10"/>
      <c r="C483" s="10"/>
      <c r="D483" s="10"/>
      <c r="E483" s="10"/>
      <c r="F483" s="10"/>
      <c r="G483" s="10"/>
      <c r="H483" s="10"/>
      <c r="I483" s="10"/>
      <c r="J483" s="10"/>
      <c r="K483" s="10"/>
      <c r="L483" s="10"/>
      <c r="M483" s="10"/>
    </row>
    <row r="484" spans="1:13">
      <c r="A484" s="10"/>
      <c r="B484" s="10"/>
      <c r="C484" s="10"/>
      <c r="D484" s="10"/>
      <c r="E484" s="10"/>
      <c r="F484" s="10"/>
      <c r="G484" s="10"/>
      <c r="H484" s="10"/>
      <c r="I484" s="10"/>
      <c r="J484" s="10"/>
      <c r="K484" s="10"/>
      <c r="L484" s="10"/>
      <c r="M484" s="10"/>
    </row>
    <row r="485" spans="1:13">
      <c r="A485" s="10"/>
      <c r="B485" s="10"/>
      <c r="C485" s="10"/>
      <c r="D485" s="10"/>
      <c r="E485" s="10"/>
      <c r="F485" s="10"/>
      <c r="G485" s="10"/>
      <c r="H485" s="10"/>
      <c r="I485" s="10"/>
      <c r="J485" s="10"/>
      <c r="K485" s="10"/>
      <c r="L485" s="10"/>
      <c r="M485" s="10"/>
    </row>
    <row r="486" spans="1:13">
      <c r="A486" s="10"/>
      <c r="B486" s="10"/>
      <c r="C486" s="10"/>
      <c r="D486" s="10"/>
      <c r="E486" s="10"/>
      <c r="F486" s="10"/>
      <c r="G486" s="10"/>
      <c r="H486" s="10"/>
      <c r="I486" s="10"/>
      <c r="J486" s="10"/>
      <c r="K486" s="10"/>
      <c r="L486" s="10"/>
      <c r="M486" s="10"/>
    </row>
    <row r="487" spans="1:13">
      <c r="A487" s="10"/>
      <c r="B487" s="10"/>
      <c r="C487" s="10"/>
      <c r="D487" s="10"/>
      <c r="E487" s="10"/>
      <c r="F487" s="10"/>
      <c r="G487" s="10"/>
      <c r="H487" s="10"/>
      <c r="I487" s="10"/>
      <c r="J487" s="10"/>
      <c r="K487" s="10"/>
      <c r="L487" s="10"/>
      <c r="M487" s="10"/>
    </row>
    <row r="488" spans="1:13">
      <c r="A488" s="10"/>
      <c r="B488" s="10"/>
      <c r="C488" s="10"/>
      <c r="D488" s="10"/>
      <c r="E488" s="10"/>
      <c r="F488" s="10"/>
      <c r="G488" s="10"/>
      <c r="H488" s="10"/>
      <c r="I488" s="10"/>
      <c r="J488" s="10"/>
      <c r="K488" s="10"/>
      <c r="L488" s="10"/>
      <c r="M488" s="10"/>
    </row>
    <row r="489" spans="1:13">
      <c r="A489" s="10"/>
      <c r="B489" s="10"/>
      <c r="C489" s="10"/>
      <c r="D489" s="10"/>
      <c r="E489" s="10"/>
      <c r="F489" s="10"/>
      <c r="G489" s="10"/>
      <c r="H489" s="10"/>
      <c r="I489" s="10"/>
      <c r="J489" s="10"/>
      <c r="K489" s="10"/>
      <c r="L489" s="10"/>
      <c r="M489" s="10"/>
    </row>
    <row r="490" spans="1:13">
      <c r="A490" s="10"/>
      <c r="B490" s="10"/>
      <c r="C490" s="10"/>
      <c r="D490" s="10"/>
      <c r="E490" s="10"/>
      <c r="F490" s="10"/>
      <c r="G490" s="10"/>
      <c r="H490" s="10"/>
      <c r="I490" s="10"/>
      <c r="J490" s="10"/>
      <c r="K490" s="10"/>
      <c r="L490" s="10"/>
      <c r="M490" s="10"/>
    </row>
    <row r="491" spans="1:13">
      <c r="A491" s="10"/>
      <c r="B491" s="10"/>
      <c r="C491" s="10"/>
      <c r="D491" s="10"/>
      <c r="E491" s="10"/>
      <c r="F491" s="10"/>
      <c r="G491" s="10"/>
      <c r="H491" s="10"/>
      <c r="I491" s="10"/>
      <c r="J491" s="10"/>
      <c r="K491" s="10"/>
      <c r="L491" s="10"/>
      <c r="M491" s="10"/>
    </row>
    <row r="492" spans="1:13">
      <c r="A492" s="10"/>
      <c r="B492" s="10"/>
      <c r="C492" s="10"/>
      <c r="D492" s="10"/>
      <c r="E492" s="10"/>
      <c r="F492" s="10"/>
      <c r="G492" s="10"/>
      <c r="H492" s="10"/>
      <c r="I492" s="10"/>
      <c r="J492" s="10"/>
      <c r="K492" s="10"/>
      <c r="L492" s="10"/>
      <c r="M492" s="10"/>
    </row>
    <row r="493" spans="1:13">
      <c r="A493" s="10"/>
      <c r="B493" s="10"/>
      <c r="C493" s="10"/>
      <c r="D493" s="10"/>
      <c r="E493" s="10"/>
      <c r="F493" s="10"/>
      <c r="G493" s="10"/>
      <c r="H493" s="10"/>
      <c r="I493" s="10"/>
      <c r="J493" s="10"/>
      <c r="K493" s="10"/>
      <c r="L493" s="10"/>
      <c r="M493" s="10"/>
    </row>
    <row r="494" spans="1:13">
      <c r="A494" s="10"/>
      <c r="B494" s="10"/>
      <c r="C494" s="10"/>
      <c r="D494" s="10"/>
      <c r="E494" s="10"/>
      <c r="F494" s="10"/>
      <c r="G494" s="10"/>
      <c r="H494" s="10"/>
      <c r="I494" s="10"/>
      <c r="J494" s="10"/>
      <c r="K494" s="10"/>
      <c r="L494" s="10"/>
      <c r="M494" s="10"/>
    </row>
    <row r="495" spans="1:13">
      <c r="A495" s="10"/>
      <c r="B495" s="10"/>
      <c r="C495" s="10"/>
      <c r="D495" s="10"/>
      <c r="E495" s="10"/>
      <c r="F495" s="10"/>
      <c r="G495" s="10"/>
      <c r="H495" s="10"/>
      <c r="I495" s="10"/>
      <c r="J495" s="10"/>
      <c r="K495" s="10"/>
      <c r="L495" s="10"/>
      <c r="M495" s="10"/>
    </row>
    <row r="496" spans="1:13">
      <c r="A496" s="10"/>
      <c r="B496" s="10"/>
      <c r="C496" s="10"/>
      <c r="D496" s="10"/>
      <c r="E496" s="10"/>
      <c r="F496" s="10"/>
      <c r="G496" s="10"/>
      <c r="H496" s="10"/>
      <c r="I496" s="10"/>
      <c r="J496" s="10"/>
      <c r="K496" s="10"/>
      <c r="L496" s="10"/>
      <c r="M496" s="10"/>
    </row>
    <row r="497" spans="1:13">
      <c r="A497" s="10"/>
      <c r="B497" s="10"/>
      <c r="C497" s="10"/>
      <c r="D497" s="10"/>
      <c r="E497" s="10"/>
      <c r="F497" s="10"/>
      <c r="G497" s="10"/>
      <c r="H497" s="10"/>
      <c r="I497" s="10"/>
      <c r="J497" s="10"/>
      <c r="K497" s="10"/>
      <c r="L497" s="10"/>
      <c r="M497" s="10"/>
    </row>
    <row r="498" spans="1:13">
      <c r="A498" s="10"/>
      <c r="B498" s="10"/>
      <c r="C498" s="10"/>
      <c r="D498" s="10"/>
      <c r="E498" s="10"/>
      <c r="F498" s="10"/>
      <c r="G498" s="10"/>
      <c r="H498" s="10"/>
      <c r="I498" s="10"/>
      <c r="J498" s="10"/>
      <c r="K498" s="10"/>
      <c r="L498" s="10"/>
      <c r="M498" s="10"/>
    </row>
    <row r="499" spans="1:13">
      <c r="A499" s="10"/>
      <c r="B499" s="10"/>
      <c r="C499" s="10"/>
      <c r="D499" s="10"/>
      <c r="E499" s="10"/>
      <c r="F499" s="10"/>
      <c r="G499" s="10"/>
      <c r="H499" s="10"/>
      <c r="I499" s="10"/>
      <c r="J499" s="10"/>
      <c r="K499" s="10"/>
      <c r="L499" s="10"/>
      <c r="M499" s="10"/>
    </row>
    <row r="500" spans="1:13">
      <c r="A500" s="10"/>
      <c r="B500" s="10"/>
      <c r="C500" s="10"/>
      <c r="D500" s="10"/>
      <c r="E500" s="10"/>
      <c r="F500" s="10"/>
      <c r="G500" s="10"/>
      <c r="H500" s="10"/>
      <c r="I500" s="10"/>
      <c r="J500" s="10"/>
      <c r="K500" s="10"/>
      <c r="L500" s="10"/>
      <c r="M500" s="10"/>
    </row>
    <row r="501" spans="1:13">
      <c r="A501" s="10"/>
      <c r="B501" s="10"/>
      <c r="C501" s="10"/>
      <c r="D501" s="10"/>
      <c r="E501" s="10"/>
      <c r="F501" s="10"/>
      <c r="G501" s="10"/>
      <c r="H501" s="10"/>
      <c r="I501" s="10"/>
      <c r="J501" s="10"/>
      <c r="K501" s="10"/>
      <c r="L501" s="10"/>
      <c r="M501" s="10"/>
    </row>
    <row r="502" spans="1:13">
      <c r="A502" s="10"/>
      <c r="B502" s="10"/>
      <c r="C502" s="10"/>
      <c r="D502" s="10"/>
      <c r="E502" s="10"/>
      <c r="F502" s="10"/>
      <c r="G502" s="10"/>
      <c r="H502" s="10"/>
      <c r="I502" s="10"/>
      <c r="J502" s="10"/>
      <c r="K502" s="10"/>
      <c r="L502" s="10"/>
      <c r="M502" s="10"/>
    </row>
    <row r="503" spans="1:13">
      <c r="A503" s="10"/>
      <c r="B503" s="10"/>
      <c r="C503" s="10"/>
      <c r="D503" s="10"/>
      <c r="E503" s="10"/>
      <c r="F503" s="10"/>
      <c r="G503" s="10"/>
      <c r="H503" s="10"/>
      <c r="I503" s="10"/>
      <c r="J503" s="10"/>
      <c r="K503" s="10"/>
      <c r="L503" s="10"/>
      <c r="M503" s="10"/>
    </row>
    <row r="504" spans="1:13">
      <c r="A504" s="10"/>
      <c r="B504" s="10"/>
      <c r="C504" s="10"/>
      <c r="D504" s="10"/>
      <c r="E504" s="10"/>
      <c r="F504" s="10"/>
      <c r="G504" s="10"/>
      <c r="H504" s="10"/>
      <c r="I504" s="10"/>
      <c r="J504" s="10"/>
      <c r="K504" s="10"/>
      <c r="L504" s="10"/>
      <c r="M504" s="10"/>
    </row>
    <row r="505" spans="1:13">
      <c r="A505" s="10"/>
      <c r="B505" s="10"/>
      <c r="C505" s="10"/>
      <c r="D505" s="10"/>
      <c r="E505" s="10"/>
      <c r="F505" s="10"/>
      <c r="G505" s="10"/>
      <c r="H505" s="10"/>
      <c r="I505" s="10"/>
      <c r="J505" s="10"/>
      <c r="K505" s="10"/>
      <c r="L505" s="10"/>
      <c r="M505" s="10"/>
    </row>
    <row r="506" spans="1:13">
      <c r="A506" s="10"/>
      <c r="B506" s="10"/>
      <c r="C506" s="10"/>
      <c r="D506" s="10"/>
      <c r="E506" s="10"/>
      <c r="F506" s="10"/>
      <c r="G506" s="10"/>
      <c r="H506" s="10"/>
      <c r="I506" s="10"/>
      <c r="J506" s="10"/>
      <c r="K506" s="10"/>
      <c r="L506" s="10"/>
      <c r="M506" s="10"/>
    </row>
    <row r="507" spans="1:13">
      <c r="A507" s="10"/>
      <c r="B507" s="10"/>
      <c r="C507" s="10"/>
      <c r="D507" s="10"/>
      <c r="E507" s="10"/>
      <c r="F507" s="10"/>
      <c r="G507" s="10"/>
      <c r="H507" s="10"/>
      <c r="I507" s="10"/>
      <c r="J507" s="10"/>
      <c r="K507" s="10"/>
      <c r="L507" s="10"/>
      <c r="M507" s="10"/>
    </row>
    <row r="508" spans="1:13">
      <c r="A508" s="10"/>
      <c r="B508" s="10"/>
      <c r="C508" s="10"/>
      <c r="D508" s="10"/>
      <c r="E508" s="10"/>
      <c r="F508" s="10"/>
      <c r="G508" s="10"/>
      <c r="H508" s="10"/>
      <c r="I508" s="10"/>
      <c r="J508" s="10"/>
      <c r="K508" s="10"/>
      <c r="L508" s="10"/>
      <c r="M508" s="10"/>
    </row>
    <row r="509" spans="1:13">
      <c r="A509" s="10"/>
      <c r="B509" s="10"/>
      <c r="C509" s="10"/>
      <c r="D509" s="10"/>
      <c r="E509" s="10"/>
      <c r="F509" s="10"/>
      <c r="G509" s="10"/>
      <c r="H509" s="10"/>
      <c r="I509" s="10"/>
      <c r="J509" s="10"/>
      <c r="K509" s="10"/>
      <c r="L509" s="10"/>
      <c r="M509" s="10"/>
    </row>
    <row r="510" spans="1:13">
      <c r="A510" s="10"/>
      <c r="B510" s="10"/>
      <c r="C510" s="10"/>
      <c r="D510" s="10"/>
      <c r="E510" s="10"/>
      <c r="F510" s="10"/>
      <c r="G510" s="10"/>
      <c r="H510" s="10"/>
      <c r="I510" s="10"/>
      <c r="J510" s="10"/>
      <c r="K510" s="10"/>
      <c r="L510" s="10"/>
      <c r="M510" s="10"/>
    </row>
    <row r="511" spans="1:13">
      <c r="A511" s="10"/>
      <c r="B511" s="10"/>
      <c r="C511" s="10"/>
      <c r="D511" s="10"/>
      <c r="E511" s="10"/>
      <c r="F511" s="10"/>
      <c r="G511" s="10"/>
      <c r="H511" s="10"/>
      <c r="I511" s="10"/>
      <c r="J511" s="10"/>
      <c r="K511" s="10"/>
      <c r="L511" s="10"/>
      <c r="M511" s="10"/>
    </row>
    <row r="512" spans="1:13">
      <c r="A512" s="10"/>
      <c r="B512" s="10"/>
      <c r="C512" s="10"/>
      <c r="D512" s="10"/>
      <c r="E512" s="10"/>
      <c r="F512" s="10"/>
      <c r="G512" s="10"/>
      <c r="H512" s="10"/>
      <c r="I512" s="10"/>
      <c r="J512" s="10"/>
      <c r="K512" s="10"/>
      <c r="L512" s="10"/>
      <c r="M512" s="10"/>
    </row>
    <row r="513" spans="1:13">
      <c r="A513" s="10"/>
      <c r="B513" s="10"/>
      <c r="C513" s="10"/>
      <c r="D513" s="10"/>
      <c r="E513" s="10"/>
      <c r="F513" s="10"/>
      <c r="G513" s="10"/>
      <c r="H513" s="10"/>
      <c r="I513" s="10"/>
      <c r="J513" s="10"/>
      <c r="K513" s="10"/>
      <c r="L513" s="10"/>
      <c r="M513" s="10"/>
    </row>
    <row r="514" spans="1:13">
      <c r="A514" s="10"/>
      <c r="B514" s="10"/>
      <c r="C514" s="10"/>
      <c r="D514" s="10"/>
      <c r="E514" s="10"/>
      <c r="F514" s="10"/>
      <c r="G514" s="10"/>
      <c r="H514" s="10"/>
      <c r="I514" s="10"/>
      <c r="J514" s="10"/>
      <c r="K514" s="10"/>
      <c r="L514" s="10"/>
      <c r="M514" s="10"/>
    </row>
    <row r="515" spans="1:13">
      <c r="A515" s="10"/>
      <c r="B515" s="10"/>
      <c r="C515" s="10"/>
      <c r="D515" s="10"/>
      <c r="E515" s="10"/>
      <c r="F515" s="10"/>
      <c r="G515" s="10"/>
      <c r="H515" s="10"/>
      <c r="I515" s="10"/>
      <c r="J515" s="10"/>
      <c r="K515" s="10"/>
      <c r="L515" s="10"/>
      <c r="M515" s="10"/>
    </row>
    <row r="516" spans="1:13">
      <c r="A516" s="10"/>
      <c r="B516" s="10"/>
      <c r="C516" s="10"/>
      <c r="D516" s="10"/>
      <c r="E516" s="10"/>
      <c r="F516" s="10"/>
      <c r="G516" s="10"/>
      <c r="H516" s="10"/>
      <c r="I516" s="10"/>
      <c r="J516" s="10"/>
      <c r="K516" s="10"/>
      <c r="L516" s="10"/>
      <c r="M516" s="10"/>
    </row>
    <row r="517" spans="1:13">
      <c r="A517" s="10"/>
      <c r="B517" s="10"/>
      <c r="C517" s="10"/>
      <c r="D517" s="10"/>
      <c r="E517" s="10"/>
      <c r="F517" s="10"/>
      <c r="G517" s="10"/>
      <c r="H517" s="10"/>
      <c r="I517" s="10"/>
      <c r="J517" s="10"/>
      <c r="K517" s="10"/>
      <c r="L517" s="10"/>
      <c r="M517" s="10"/>
    </row>
    <row r="518" spans="1:13">
      <c r="A518" s="10"/>
      <c r="B518" s="10"/>
      <c r="C518" s="10"/>
      <c r="D518" s="10"/>
      <c r="E518" s="10"/>
      <c r="F518" s="10"/>
      <c r="G518" s="10"/>
      <c r="H518" s="10"/>
      <c r="I518" s="10"/>
      <c r="J518" s="10"/>
      <c r="K518" s="10"/>
      <c r="L518" s="10"/>
      <c r="M518" s="10"/>
    </row>
    <row r="519" spans="1:13">
      <c r="A519" s="10"/>
      <c r="B519" s="10"/>
      <c r="C519" s="10"/>
      <c r="D519" s="10"/>
      <c r="E519" s="10"/>
      <c r="F519" s="10"/>
      <c r="G519" s="10"/>
      <c r="H519" s="10"/>
      <c r="I519" s="10"/>
      <c r="J519" s="10"/>
      <c r="K519" s="10"/>
      <c r="L519" s="10"/>
      <c r="M519" s="10"/>
    </row>
    <row r="520" spans="1:13">
      <c r="A520" s="10"/>
      <c r="B520" s="10"/>
      <c r="C520" s="10"/>
      <c r="D520" s="10"/>
      <c r="E520" s="10"/>
      <c r="F520" s="10"/>
      <c r="G520" s="10"/>
      <c r="H520" s="10"/>
      <c r="I520" s="10"/>
      <c r="J520" s="10"/>
      <c r="K520" s="10"/>
      <c r="L520" s="10"/>
      <c r="M520" s="10"/>
    </row>
    <row r="521" spans="1:13">
      <c r="A521" s="10"/>
      <c r="B521" s="10"/>
      <c r="C521" s="10"/>
      <c r="D521" s="10"/>
      <c r="E521" s="10"/>
      <c r="F521" s="10"/>
      <c r="G521" s="10"/>
      <c r="H521" s="10"/>
      <c r="I521" s="10"/>
      <c r="J521" s="10"/>
      <c r="K521" s="10"/>
      <c r="L521" s="10"/>
      <c r="M521" s="10"/>
    </row>
    <row r="522" spans="1:13">
      <c r="A522" s="10"/>
      <c r="B522" s="10"/>
      <c r="C522" s="10"/>
      <c r="D522" s="10"/>
      <c r="E522" s="10"/>
      <c r="F522" s="10"/>
      <c r="G522" s="10"/>
      <c r="H522" s="10"/>
      <c r="I522" s="10"/>
      <c r="J522" s="10"/>
      <c r="K522" s="10"/>
      <c r="L522" s="10"/>
      <c r="M522" s="10"/>
    </row>
    <row r="523" spans="1:13">
      <c r="A523" s="10"/>
      <c r="B523" s="10"/>
      <c r="C523" s="10"/>
      <c r="D523" s="10"/>
      <c r="E523" s="10"/>
      <c r="F523" s="10"/>
      <c r="G523" s="10"/>
      <c r="H523" s="10"/>
      <c r="I523" s="10"/>
      <c r="J523" s="10"/>
      <c r="K523" s="10"/>
      <c r="L523" s="10"/>
      <c r="M523" s="10"/>
    </row>
    <row r="524" spans="1:13">
      <c r="A524" s="10"/>
      <c r="B524" s="10"/>
      <c r="C524" s="10"/>
      <c r="D524" s="10"/>
      <c r="E524" s="10"/>
      <c r="F524" s="10"/>
      <c r="G524" s="10"/>
      <c r="H524" s="10"/>
      <c r="I524" s="10"/>
      <c r="J524" s="10"/>
      <c r="K524" s="10"/>
      <c r="L524" s="10"/>
      <c r="M524" s="10"/>
    </row>
    <row r="525" spans="1:13">
      <c r="A525" s="10"/>
      <c r="B525" s="10"/>
      <c r="C525" s="10"/>
      <c r="D525" s="10"/>
      <c r="E525" s="10"/>
      <c r="F525" s="10"/>
      <c r="G525" s="10"/>
      <c r="H525" s="10"/>
      <c r="I525" s="10"/>
      <c r="J525" s="10"/>
      <c r="K525" s="10"/>
      <c r="L525" s="10"/>
      <c r="M525" s="10"/>
    </row>
    <row r="526" spans="1:13">
      <c r="A526" s="10"/>
      <c r="B526" s="10"/>
      <c r="C526" s="10"/>
      <c r="D526" s="10"/>
      <c r="E526" s="10"/>
      <c r="F526" s="10"/>
      <c r="G526" s="10"/>
      <c r="H526" s="10"/>
      <c r="I526" s="10"/>
      <c r="J526" s="10"/>
      <c r="K526" s="10"/>
      <c r="L526" s="10"/>
      <c r="M526" s="10"/>
    </row>
    <row r="527" spans="1:13">
      <c r="A527" s="10"/>
      <c r="B527" s="10"/>
      <c r="C527" s="10"/>
      <c r="D527" s="10"/>
      <c r="E527" s="10"/>
      <c r="F527" s="10"/>
      <c r="G527" s="10"/>
      <c r="H527" s="10"/>
      <c r="I527" s="10"/>
      <c r="J527" s="10"/>
      <c r="K527" s="10"/>
      <c r="L527" s="10"/>
      <c r="M527" s="10"/>
    </row>
    <row r="528" spans="1:13">
      <c r="A528" s="10"/>
      <c r="B528" s="10"/>
      <c r="C528" s="10"/>
      <c r="D528" s="10"/>
      <c r="E528" s="10"/>
      <c r="F528" s="10"/>
      <c r="G528" s="10"/>
      <c r="H528" s="10"/>
      <c r="I528" s="10"/>
      <c r="J528" s="10"/>
      <c r="K528" s="10"/>
      <c r="L528" s="10"/>
      <c r="M528" s="10"/>
    </row>
    <row r="529" spans="1:13">
      <c r="A529" s="10"/>
      <c r="B529" s="10"/>
      <c r="C529" s="10"/>
      <c r="D529" s="10"/>
      <c r="E529" s="10"/>
      <c r="F529" s="10"/>
      <c r="G529" s="10"/>
      <c r="H529" s="10"/>
      <c r="I529" s="10"/>
      <c r="J529" s="10"/>
      <c r="K529" s="10"/>
      <c r="L529" s="10"/>
      <c r="M529" s="10"/>
    </row>
    <row r="530" spans="1:13">
      <c r="A530" s="10"/>
      <c r="B530" s="10"/>
      <c r="C530" s="10"/>
      <c r="D530" s="10"/>
      <c r="E530" s="10"/>
      <c r="F530" s="10"/>
      <c r="G530" s="10"/>
      <c r="H530" s="10"/>
      <c r="I530" s="10"/>
      <c r="J530" s="10"/>
      <c r="K530" s="10"/>
      <c r="L530" s="10"/>
      <c r="M530" s="10"/>
    </row>
    <row r="531" spans="1:13">
      <c r="A531" s="10"/>
      <c r="B531" s="10"/>
      <c r="C531" s="10"/>
      <c r="D531" s="10"/>
      <c r="E531" s="10"/>
      <c r="F531" s="10"/>
      <c r="G531" s="10"/>
      <c r="H531" s="10"/>
      <c r="I531" s="10"/>
      <c r="J531" s="10"/>
      <c r="K531" s="10"/>
      <c r="L531" s="10"/>
      <c r="M531" s="10"/>
    </row>
    <row r="532" spans="1:13">
      <c r="A532" s="10"/>
      <c r="B532" s="10"/>
      <c r="C532" s="10"/>
      <c r="D532" s="10"/>
      <c r="E532" s="10"/>
      <c r="F532" s="10"/>
      <c r="G532" s="10"/>
      <c r="H532" s="10"/>
      <c r="I532" s="10"/>
      <c r="J532" s="10"/>
      <c r="K532" s="10"/>
      <c r="L532" s="10"/>
      <c r="M532" s="10"/>
    </row>
    <row r="533" spans="1:13">
      <c r="A533" s="10"/>
      <c r="B533" s="10"/>
      <c r="C533" s="10"/>
      <c r="D533" s="10"/>
      <c r="E533" s="10"/>
      <c r="F533" s="10"/>
      <c r="G533" s="10"/>
      <c r="H533" s="10"/>
      <c r="I533" s="10"/>
      <c r="J533" s="10"/>
      <c r="K533" s="10"/>
      <c r="L533" s="10"/>
      <c r="M533" s="10"/>
    </row>
    <row r="534" spans="1:13">
      <c r="A534" s="10"/>
      <c r="B534" s="10"/>
      <c r="C534" s="10"/>
      <c r="D534" s="10"/>
      <c r="E534" s="10"/>
      <c r="F534" s="10"/>
      <c r="G534" s="10"/>
      <c r="H534" s="10"/>
      <c r="I534" s="10"/>
      <c r="J534" s="10"/>
      <c r="K534" s="10"/>
      <c r="L534" s="10"/>
      <c r="M534" s="10"/>
    </row>
    <row r="535" spans="1:13">
      <c r="A535" s="10"/>
      <c r="B535" s="10"/>
      <c r="C535" s="10"/>
      <c r="D535" s="10"/>
      <c r="E535" s="10"/>
      <c r="F535" s="10"/>
      <c r="G535" s="10"/>
      <c r="H535" s="10"/>
      <c r="I535" s="10"/>
      <c r="J535" s="10"/>
      <c r="K535" s="10"/>
      <c r="L535" s="10"/>
      <c r="M535" s="10"/>
    </row>
    <row r="536" spans="1:13">
      <c r="A536" s="10"/>
      <c r="B536" s="10"/>
      <c r="C536" s="10"/>
      <c r="D536" s="10"/>
      <c r="E536" s="10"/>
      <c r="F536" s="10"/>
      <c r="G536" s="10"/>
      <c r="H536" s="10"/>
      <c r="I536" s="10"/>
      <c r="J536" s="10"/>
      <c r="K536" s="10"/>
      <c r="L536" s="10"/>
      <c r="M536" s="10"/>
    </row>
    <row r="537" spans="1:13">
      <c r="A537" s="10"/>
      <c r="B537" s="10"/>
      <c r="C537" s="10"/>
      <c r="D537" s="10"/>
      <c r="E537" s="10"/>
      <c r="F537" s="10"/>
      <c r="G537" s="10"/>
      <c r="H537" s="10"/>
      <c r="I537" s="10"/>
      <c r="J537" s="10"/>
      <c r="K537" s="10"/>
      <c r="L537" s="10"/>
      <c r="M537" s="10"/>
    </row>
    <row r="538" spans="1:13">
      <c r="A538" s="10"/>
      <c r="B538" s="10"/>
      <c r="C538" s="10"/>
      <c r="D538" s="10"/>
      <c r="E538" s="10"/>
      <c r="F538" s="10"/>
      <c r="G538" s="10"/>
      <c r="H538" s="10"/>
      <c r="I538" s="10"/>
      <c r="J538" s="10"/>
      <c r="K538" s="10"/>
      <c r="L538" s="10"/>
      <c r="M538" s="10"/>
    </row>
    <row r="539" spans="1:13">
      <c r="A539" s="10"/>
      <c r="B539" s="10"/>
      <c r="C539" s="10"/>
      <c r="D539" s="10"/>
      <c r="E539" s="10"/>
      <c r="F539" s="10"/>
      <c r="G539" s="10"/>
      <c r="H539" s="10"/>
      <c r="I539" s="10"/>
      <c r="J539" s="10"/>
      <c r="K539" s="10"/>
      <c r="L539" s="10"/>
      <c r="M539" s="10"/>
    </row>
    <row r="540" spans="1:13">
      <c r="A540" s="10"/>
      <c r="B540" s="10"/>
      <c r="C540" s="10"/>
      <c r="D540" s="10"/>
      <c r="E540" s="10"/>
      <c r="F540" s="10"/>
      <c r="G540" s="10"/>
      <c r="H540" s="10"/>
      <c r="I540" s="10"/>
      <c r="J540" s="10"/>
      <c r="K540" s="10"/>
      <c r="L540" s="10"/>
      <c r="M540" s="10"/>
    </row>
    <row r="541" spans="1:13">
      <c r="A541" s="10"/>
      <c r="B541" s="10"/>
      <c r="C541" s="10"/>
      <c r="D541" s="10"/>
      <c r="E541" s="10"/>
      <c r="F541" s="10"/>
      <c r="G541" s="10"/>
      <c r="H541" s="10"/>
      <c r="I541" s="10"/>
      <c r="J541" s="10"/>
      <c r="K541" s="10"/>
      <c r="L541" s="10"/>
      <c r="M541" s="10"/>
    </row>
    <row r="542" spans="1:13">
      <c r="A542" s="10"/>
      <c r="B542" s="10"/>
      <c r="C542" s="10"/>
      <c r="D542" s="10"/>
      <c r="E542" s="10"/>
      <c r="F542" s="10"/>
      <c r="G542" s="10"/>
      <c r="H542" s="10"/>
      <c r="I542" s="10"/>
      <c r="J542" s="10"/>
      <c r="K542" s="10"/>
      <c r="L542" s="10"/>
      <c r="M542" s="10"/>
    </row>
    <row r="543" spans="1:13">
      <c r="A543" s="10"/>
      <c r="B543" s="10"/>
      <c r="C543" s="10"/>
      <c r="D543" s="10"/>
      <c r="E543" s="10"/>
      <c r="F543" s="10"/>
      <c r="G543" s="10"/>
      <c r="H543" s="10"/>
      <c r="I543" s="10"/>
      <c r="J543" s="10"/>
      <c r="K543" s="10"/>
      <c r="L543" s="10"/>
      <c r="M543" s="10"/>
    </row>
    <row r="544" spans="1:13">
      <c r="A544" s="10"/>
      <c r="B544" s="10"/>
      <c r="C544" s="10"/>
      <c r="D544" s="10"/>
      <c r="E544" s="10"/>
      <c r="F544" s="10"/>
      <c r="G544" s="10"/>
      <c r="H544" s="10"/>
      <c r="I544" s="10"/>
      <c r="J544" s="10"/>
      <c r="K544" s="10"/>
      <c r="L544" s="10"/>
      <c r="M544" s="10"/>
    </row>
    <row r="545" spans="1:13">
      <c r="A545" s="10"/>
      <c r="B545" s="10"/>
      <c r="C545" s="10"/>
      <c r="D545" s="10"/>
      <c r="E545" s="10"/>
      <c r="F545" s="10"/>
      <c r="G545" s="10"/>
      <c r="H545" s="10"/>
      <c r="I545" s="10"/>
      <c r="J545" s="10"/>
      <c r="K545" s="10"/>
      <c r="L545" s="10"/>
      <c r="M545" s="10"/>
    </row>
    <row r="546" spans="1:13">
      <c r="A546" s="10"/>
      <c r="B546" s="10"/>
      <c r="C546" s="10"/>
      <c r="D546" s="10"/>
      <c r="E546" s="10"/>
      <c r="F546" s="10"/>
      <c r="G546" s="10"/>
      <c r="H546" s="10"/>
      <c r="I546" s="10"/>
      <c r="J546" s="10"/>
      <c r="K546" s="10"/>
      <c r="L546" s="10"/>
      <c r="M546" s="10"/>
    </row>
    <row r="547" spans="1:13">
      <c r="A547" s="10"/>
      <c r="B547" s="10"/>
      <c r="C547" s="10"/>
      <c r="D547" s="10"/>
      <c r="E547" s="10"/>
      <c r="F547" s="10"/>
      <c r="G547" s="10"/>
      <c r="H547" s="10"/>
      <c r="I547" s="10"/>
      <c r="J547" s="10"/>
      <c r="K547" s="10"/>
      <c r="L547" s="10"/>
      <c r="M547" s="10"/>
    </row>
    <row r="548" spans="1:13">
      <c r="A548" s="10"/>
      <c r="B548" s="10"/>
      <c r="C548" s="10"/>
      <c r="D548" s="10"/>
      <c r="E548" s="10"/>
      <c r="F548" s="10"/>
      <c r="G548" s="10"/>
      <c r="H548" s="10"/>
      <c r="I548" s="10"/>
      <c r="J548" s="10"/>
      <c r="K548" s="10"/>
      <c r="L548" s="10"/>
      <c r="M548" s="10"/>
    </row>
    <row r="549" spans="1:13">
      <c r="A549" s="10"/>
      <c r="B549" s="10"/>
      <c r="C549" s="10"/>
      <c r="D549" s="10"/>
      <c r="E549" s="10"/>
      <c r="F549" s="10"/>
      <c r="G549" s="10"/>
      <c r="H549" s="10"/>
      <c r="I549" s="10"/>
      <c r="J549" s="10"/>
      <c r="K549" s="10"/>
      <c r="L549" s="10"/>
      <c r="M549" s="10"/>
    </row>
    <row r="550" spans="1:13">
      <c r="A550" s="10"/>
      <c r="B550" s="10"/>
      <c r="C550" s="10"/>
      <c r="D550" s="10"/>
      <c r="E550" s="10"/>
      <c r="F550" s="10"/>
      <c r="G550" s="10"/>
      <c r="H550" s="10"/>
      <c r="I550" s="10"/>
      <c r="J550" s="10"/>
      <c r="K550" s="10"/>
      <c r="L550" s="10"/>
      <c r="M550" s="10"/>
    </row>
    <row r="551" spans="1:13">
      <c r="A551" s="10"/>
      <c r="B551" s="10"/>
      <c r="C551" s="10"/>
      <c r="D551" s="10"/>
      <c r="E551" s="10"/>
      <c r="F551" s="10"/>
      <c r="G551" s="10"/>
      <c r="H551" s="10"/>
      <c r="I551" s="10"/>
      <c r="J551" s="10"/>
      <c r="K551" s="10"/>
      <c r="L551" s="10"/>
      <c r="M551" s="10"/>
    </row>
    <row r="552" spans="1:13">
      <c r="A552" s="10"/>
      <c r="B552" s="10"/>
      <c r="C552" s="10"/>
      <c r="D552" s="10"/>
      <c r="E552" s="10"/>
      <c r="F552" s="10"/>
      <c r="G552" s="10"/>
      <c r="H552" s="10"/>
      <c r="I552" s="10"/>
      <c r="J552" s="10"/>
      <c r="K552" s="10"/>
      <c r="L552" s="10"/>
      <c r="M552" s="10"/>
    </row>
    <row r="553" spans="1:13">
      <c r="A553" s="10"/>
      <c r="B553" s="10"/>
      <c r="C553" s="10"/>
      <c r="D553" s="10"/>
      <c r="E553" s="10"/>
      <c r="F553" s="10"/>
      <c r="G553" s="10"/>
      <c r="H553" s="10"/>
      <c r="I553" s="10"/>
      <c r="J553" s="10"/>
      <c r="K553" s="10"/>
      <c r="L553" s="10"/>
      <c r="M553" s="10"/>
    </row>
    <row r="554" spans="1:13">
      <c r="A554" s="10"/>
      <c r="B554" s="10"/>
      <c r="C554" s="10"/>
      <c r="D554" s="10"/>
      <c r="E554" s="10"/>
      <c r="F554" s="10"/>
      <c r="G554" s="10"/>
      <c r="H554" s="10"/>
      <c r="I554" s="10"/>
      <c r="J554" s="10"/>
      <c r="K554" s="10"/>
      <c r="L554" s="10"/>
      <c r="M554" s="10"/>
    </row>
    <row r="555" spans="1:13">
      <c r="A555" s="10"/>
      <c r="B555" s="10"/>
      <c r="C555" s="10"/>
      <c r="D555" s="10"/>
      <c r="E555" s="10"/>
      <c r="F555" s="10"/>
      <c r="G555" s="10"/>
      <c r="H555" s="10"/>
      <c r="I555" s="10"/>
      <c r="J555" s="10"/>
      <c r="K555" s="10"/>
      <c r="L555" s="10"/>
      <c r="M555" s="10"/>
    </row>
    <row r="556" spans="1:13">
      <c r="A556" s="10"/>
      <c r="B556" s="10"/>
      <c r="C556" s="10"/>
      <c r="D556" s="10"/>
      <c r="E556" s="10"/>
      <c r="F556" s="10"/>
      <c r="G556" s="10"/>
      <c r="H556" s="10"/>
      <c r="I556" s="10"/>
      <c r="J556" s="10"/>
      <c r="K556" s="10"/>
      <c r="L556" s="10"/>
      <c r="M556" s="10"/>
    </row>
    <row r="557" spans="1:13">
      <c r="A557" s="10"/>
      <c r="B557" s="10"/>
      <c r="C557" s="10"/>
      <c r="D557" s="10"/>
      <c r="E557" s="10"/>
      <c r="F557" s="10"/>
      <c r="G557" s="10"/>
      <c r="H557" s="10"/>
      <c r="I557" s="10"/>
      <c r="J557" s="10"/>
      <c r="K557" s="10"/>
      <c r="L557" s="10"/>
      <c r="M557" s="10"/>
    </row>
    <row r="558" spans="1:13">
      <c r="A558" s="10"/>
      <c r="B558" s="10"/>
      <c r="C558" s="10"/>
      <c r="D558" s="10"/>
      <c r="E558" s="10"/>
      <c r="F558" s="10"/>
      <c r="G558" s="10"/>
      <c r="H558" s="10"/>
      <c r="I558" s="10"/>
      <c r="J558" s="10"/>
      <c r="K558" s="10"/>
      <c r="L558" s="10"/>
      <c r="M558" s="10"/>
    </row>
    <row r="559" spans="1:13">
      <c r="A559" s="10"/>
      <c r="B559" s="10"/>
      <c r="C559" s="10"/>
      <c r="D559" s="10"/>
      <c r="E559" s="10"/>
      <c r="F559" s="10"/>
      <c r="G559" s="10"/>
      <c r="H559" s="10"/>
      <c r="I559" s="10"/>
      <c r="J559" s="10"/>
      <c r="K559" s="10"/>
      <c r="L559" s="10"/>
      <c r="M559" s="10"/>
    </row>
    <row r="560" spans="1:13">
      <c r="A560" s="10"/>
      <c r="B560" s="10"/>
      <c r="C560" s="10"/>
      <c r="D560" s="10"/>
      <c r="E560" s="10"/>
      <c r="F560" s="10"/>
      <c r="G560" s="10"/>
      <c r="H560" s="10"/>
      <c r="I560" s="10"/>
      <c r="J560" s="10"/>
      <c r="K560" s="10"/>
      <c r="L560" s="10"/>
      <c r="M560" s="10"/>
    </row>
    <row r="561" spans="1:13">
      <c r="A561" s="10"/>
      <c r="B561" s="10"/>
      <c r="C561" s="10"/>
      <c r="D561" s="10"/>
      <c r="E561" s="10"/>
      <c r="F561" s="10"/>
      <c r="G561" s="10"/>
      <c r="H561" s="10"/>
      <c r="I561" s="10"/>
      <c r="J561" s="10"/>
      <c r="K561" s="10"/>
      <c r="L561" s="10"/>
      <c r="M561" s="10"/>
    </row>
    <row r="562" spans="1:13">
      <c r="A562" s="10"/>
      <c r="B562" s="10"/>
      <c r="C562" s="10"/>
      <c r="D562" s="10"/>
      <c r="E562" s="10"/>
      <c r="F562" s="10"/>
      <c r="G562" s="10"/>
      <c r="H562" s="10"/>
      <c r="I562" s="10"/>
      <c r="J562" s="10"/>
      <c r="K562" s="10"/>
      <c r="L562" s="10"/>
      <c r="M562" s="10"/>
    </row>
    <row r="563" spans="1:13">
      <c r="A563" s="10"/>
      <c r="B563" s="10"/>
      <c r="C563" s="10"/>
      <c r="D563" s="10"/>
      <c r="E563" s="10"/>
      <c r="F563" s="10"/>
      <c r="G563" s="10"/>
      <c r="H563" s="10"/>
      <c r="I563" s="10"/>
      <c r="J563" s="10"/>
      <c r="K563" s="10"/>
      <c r="L563" s="10"/>
      <c r="M563" s="10"/>
    </row>
    <row r="564" spans="1:13">
      <c r="A564" s="10"/>
      <c r="B564" s="10"/>
      <c r="C564" s="10"/>
      <c r="D564" s="10"/>
      <c r="E564" s="10"/>
      <c r="F564" s="10"/>
      <c r="G564" s="10"/>
      <c r="H564" s="10"/>
      <c r="I564" s="10"/>
      <c r="J564" s="10"/>
      <c r="K564" s="10"/>
      <c r="L564" s="10"/>
      <c r="M564" s="10"/>
    </row>
    <row r="565" spans="1:13">
      <c r="A565" s="10"/>
      <c r="B565" s="10"/>
      <c r="C565" s="10"/>
      <c r="D565" s="10"/>
      <c r="E565" s="10"/>
      <c r="F565" s="10"/>
      <c r="G565" s="10"/>
      <c r="H565" s="10"/>
      <c r="I565" s="10"/>
      <c r="J565" s="10"/>
      <c r="K565" s="10"/>
      <c r="L565" s="10"/>
      <c r="M565" s="10"/>
    </row>
    <row r="566" spans="1:13">
      <c r="A566" s="10"/>
      <c r="B566" s="10"/>
      <c r="C566" s="10"/>
      <c r="D566" s="10"/>
      <c r="E566" s="10"/>
      <c r="F566" s="10"/>
      <c r="G566" s="10"/>
      <c r="H566" s="10"/>
      <c r="I566" s="10"/>
      <c r="J566" s="10"/>
      <c r="K566" s="10"/>
      <c r="L566" s="10"/>
      <c r="M566" s="10"/>
    </row>
    <row r="567" spans="1:13">
      <c r="A567" s="10"/>
      <c r="B567" s="10"/>
      <c r="C567" s="10"/>
      <c r="D567" s="10"/>
      <c r="E567" s="10"/>
      <c r="F567" s="10"/>
      <c r="G567" s="10"/>
      <c r="H567" s="10"/>
      <c r="I567" s="10"/>
      <c r="J567" s="10"/>
      <c r="K567" s="10"/>
      <c r="L567" s="10"/>
      <c r="M567" s="10"/>
    </row>
    <row r="568" spans="1:13">
      <c r="A568" s="10"/>
      <c r="B568" s="10"/>
      <c r="C568" s="10"/>
      <c r="D568" s="10"/>
      <c r="E568" s="10"/>
      <c r="F568" s="10"/>
      <c r="G568" s="10"/>
      <c r="H568" s="10"/>
      <c r="I568" s="10"/>
      <c r="J568" s="10"/>
      <c r="K568" s="10"/>
      <c r="L568" s="10"/>
      <c r="M568" s="10"/>
    </row>
    <row r="569" spans="1:13">
      <c r="A569" s="10"/>
      <c r="B569" s="10"/>
      <c r="C569" s="10"/>
      <c r="D569" s="10"/>
      <c r="E569" s="10"/>
      <c r="F569" s="10"/>
      <c r="G569" s="10"/>
      <c r="H569" s="10"/>
      <c r="I569" s="10"/>
      <c r="J569" s="10"/>
      <c r="K569" s="10"/>
      <c r="L569" s="10"/>
      <c r="M569" s="10"/>
    </row>
    <row r="570" spans="1:13">
      <c r="A570" s="10"/>
      <c r="B570" s="10"/>
      <c r="C570" s="10"/>
      <c r="D570" s="10"/>
      <c r="E570" s="10"/>
      <c r="F570" s="10"/>
      <c r="G570" s="10"/>
      <c r="H570" s="10"/>
      <c r="I570" s="10"/>
      <c r="J570" s="10"/>
      <c r="K570" s="10"/>
      <c r="L570" s="10"/>
      <c r="M570" s="10"/>
    </row>
    <row r="571" spans="1:13">
      <c r="A571" s="10"/>
      <c r="B571" s="10"/>
      <c r="C571" s="10"/>
      <c r="D571" s="10"/>
      <c r="E571" s="10"/>
      <c r="F571" s="10"/>
      <c r="G571" s="10"/>
      <c r="H571" s="10"/>
      <c r="I571" s="10"/>
      <c r="J571" s="10"/>
      <c r="K571" s="10"/>
      <c r="L571" s="10"/>
      <c r="M571" s="10"/>
    </row>
    <row r="572" spans="1:13">
      <c r="A572" s="10"/>
      <c r="B572" s="10"/>
      <c r="C572" s="10"/>
      <c r="D572" s="10"/>
      <c r="E572" s="10"/>
      <c r="F572" s="10"/>
      <c r="G572" s="10"/>
      <c r="H572" s="10"/>
      <c r="I572" s="10"/>
      <c r="J572" s="10"/>
      <c r="K572" s="10"/>
      <c r="L572" s="10"/>
      <c r="M572" s="10"/>
    </row>
    <row r="573" spans="1:13">
      <c r="A573" s="10"/>
      <c r="B573" s="10"/>
      <c r="C573" s="10"/>
      <c r="D573" s="10"/>
      <c r="E573" s="10"/>
      <c r="F573" s="10"/>
      <c r="G573" s="10"/>
      <c r="H573" s="10"/>
      <c r="I573" s="10"/>
      <c r="J573" s="10"/>
      <c r="K573" s="10"/>
      <c r="L573" s="10"/>
      <c r="M573" s="10"/>
    </row>
    <row r="574" spans="1:13">
      <c r="A574" s="10"/>
      <c r="B574" s="10"/>
      <c r="C574" s="10"/>
      <c r="D574" s="10"/>
      <c r="E574" s="10"/>
      <c r="F574" s="10"/>
      <c r="G574" s="10"/>
      <c r="H574" s="10"/>
      <c r="I574" s="10"/>
      <c r="J574" s="10"/>
      <c r="K574" s="10"/>
      <c r="L574" s="10"/>
      <c r="M574" s="10"/>
    </row>
    <row r="575" spans="1:13">
      <c r="A575" s="10"/>
      <c r="B575" s="10"/>
      <c r="C575" s="10"/>
      <c r="D575" s="10"/>
      <c r="E575" s="10"/>
      <c r="F575" s="10"/>
      <c r="G575" s="10"/>
      <c r="H575" s="10"/>
      <c r="I575" s="10"/>
      <c r="J575" s="10"/>
      <c r="K575" s="10"/>
      <c r="L575" s="10"/>
      <c r="M575" s="10"/>
    </row>
    <row r="576" spans="1:13">
      <c r="A576" s="10"/>
      <c r="B576" s="10"/>
      <c r="C576" s="10"/>
      <c r="D576" s="10"/>
      <c r="E576" s="10"/>
      <c r="F576" s="10"/>
      <c r="G576" s="10"/>
      <c r="H576" s="10"/>
      <c r="I576" s="10"/>
      <c r="J576" s="10"/>
      <c r="K576" s="10"/>
      <c r="L576" s="10"/>
      <c r="M576" s="10"/>
    </row>
    <row r="577" spans="1:13">
      <c r="A577" s="10"/>
      <c r="B577" s="10"/>
      <c r="C577" s="10"/>
      <c r="D577" s="10"/>
      <c r="E577" s="10"/>
      <c r="F577" s="10"/>
      <c r="G577" s="10"/>
      <c r="H577" s="10"/>
      <c r="I577" s="10"/>
      <c r="J577" s="10"/>
      <c r="K577" s="10"/>
      <c r="L577" s="10"/>
      <c r="M577" s="10"/>
    </row>
    <row r="578" spans="1:13">
      <c r="A578" s="10"/>
      <c r="B578" s="10"/>
      <c r="C578" s="10"/>
      <c r="D578" s="10"/>
      <c r="E578" s="10"/>
      <c r="F578" s="10"/>
      <c r="G578" s="10"/>
      <c r="H578" s="10"/>
      <c r="I578" s="10"/>
      <c r="J578" s="10"/>
      <c r="K578" s="10"/>
      <c r="L578" s="10"/>
      <c r="M578" s="10"/>
    </row>
    <row r="579" spans="1:13">
      <c r="A579" s="10"/>
      <c r="B579" s="10"/>
      <c r="C579" s="10"/>
      <c r="D579" s="10"/>
      <c r="E579" s="10"/>
      <c r="F579" s="10"/>
      <c r="G579" s="10"/>
      <c r="H579" s="10"/>
      <c r="I579" s="10"/>
      <c r="J579" s="10"/>
      <c r="K579" s="10"/>
      <c r="L579" s="10"/>
      <c r="M579" s="10"/>
    </row>
    <row r="580" spans="1:13">
      <c r="A580" s="10"/>
      <c r="B580" s="10"/>
      <c r="C580" s="10"/>
      <c r="D580" s="10"/>
      <c r="E580" s="10"/>
      <c r="F580" s="10"/>
      <c r="G580" s="10"/>
      <c r="H580" s="10"/>
      <c r="I580" s="10"/>
      <c r="J580" s="10"/>
      <c r="K580" s="10"/>
      <c r="L580" s="10"/>
      <c r="M580" s="10"/>
    </row>
    <row r="581" spans="1:13">
      <c r="A581" s="10"/>
      <c r="B581" s="10"/>
      <c r="C581" s="10"/>
      <c r="D581" s="10"/>
      <c r="E581" s="10"/>
      <c r="F581" s="10"/>
      <c r="G581" s="10"/>
      <c r="H581" s="10"/>
      <c r="I581" s="10"/>
      <c r="J581" s="10"/>
      <c r="K581" s="10"/>
      <c r="L581" s="10"/>
      <c r="M581" s="10"/>
    </row>
    <row r="582" spans="1:13">
      <c r="A582" s="10"/>
      <c r="B582" s="10"/>
      <c r="C582" s="10"/>
      <c r="D582" s="10"/>
      <c r="E582" s="10"/>
      <c r="F582" s="10"/>
      <c r="G582" s="10"/>
      <c r="H582" s="10"/>
      <c r="I582" s="10"/>
      <c r="J582" s="10"/>
      <c r="K582" s="10"/>
      <c r="L582" s="10"/>
      <c r="M582" s="10"/>
    </row>
    <row r="583" spans="1:13">
      <c r="A583" s="10"/>
      <c r="B583" s="10"/>
      <c r="C583" s="10"/>
      <c r="D583" s="10"/>
      <c r="E583" s="10"/>
      <c r="F583" s="10"/>
      <c r="G583" s="10"/>
      <c r="H583" s="10"/>
      <c r="I583" s="10"/>
      <c r="J583" s="10"/>
      <c r="K583" s="10"/>
      <c r="L583" s="10"/>
      <c r="M583" s="10"/>
    </row>
    <row r="584" spans="1:13">
      <c r="A584" s="10"/>
      <c r="B584" s="10"/>
      <c r="C584" s="10"/>
      <c r="D584" s="10"/>
      <c r="E584" s="10"/>
      <c r="F584" s="10"/>
      <c r="G584" s="10"/>
      <c r="H584" s="10"/>
      <c r="I584" s="10"/>
      <c r="J584" s="10"/>
      <c r="K584" s="10"/>
      <c r="L584" s="10"/>
      <c r="M584" s="10"/>
    </row>
    <row r="585" spans="1:13">
      <c r="A585" s="10"/>
      <c r="B585" s="10"/>
      <c r="C585" s="10"/>
      <c r="D585" s="10"/>
      <c r="E585" s="10"/>
      <c r="F585" s="10"/>
      <c r="G585" s="10"/>
      <c r="H585" s="10"/>
      <c r="I585" s="10"/>
      <c r="J585" s="10"/>
      <c r="K585" s="10"/>
      <c r="L585" s="10"/>
      <c r="M585" s="10"/>
    </row>
    <row r="586" spans="1:13">
      <c r="A586" s="10"/>
      <c r="B586" s="10"/>
      <c r="C586" s="10"/>
      <c r="D586" s="10"/>
      <c r="E586" s="10"/>
      <c r="F586" s="10"/>
      <c r="G586" s="10"/>
      <c r="H586" s="10"/>
      <c r="I586" s="10"/>
      <c r="J586" s="10"/>
      <c r="K586" s="10"/>
      <c r="L586" s="10"/>
      <c r="M586" s="10"/>
    </row>
    <row r="587" spans="1:13">
      <c r="A587" s="10"/>
      <c r="B587" s="10"/>
      <c r="C587" s="10"/>
      <c r="D587" s="10"/>
      <c r="E587" s="10"/>
      <c r="F587" s="10"/>
      <c r="G587" s="10"/>
      <c r="H587" s="10"/>
      <c r="I587" s="10"/>
      <c r="J587" s="10"/>
      <c r="K587" s="10"/>
      <c r="L587" s="10"/>
      <c r="M587" s="10"/>
    </row>
    <row r="588" spans="1:13">
      <c r="A588" s="10"/>
      <c r="B588" s="10"/>
      <c r="C588" s="10"/>
      <c r="D588" s="10"/>
      <c r="E588" s="10"/>
      <c r="F588" s="10"/>
      <c r="G588" s="10"/>
      <c r="H588" s="10"/>
      <c r="I588" s="10"/>
      <c r="J588" s="10"/>
      <c r="K588" s="10"/>
      <c r="L588" s="10"/>
      <c r="M588" s="10"/>
    </row>
    <row r="589" spans="1:13">
      <c r="A589" s="10"/>
      <c r="B589" s="10"/>
      <c r="C589" s="10"/>
      <c r="D589" s="10"/>
      <c r="E589" s="10"/>
      <c r="F589" s="10"/>
      <c r="G589" s="10"/>
      <c r="H589" s="10"/>
      <c r="I589" s="10"/>
      <c r="J589" s="10"/>
      <c r="K589" s="10"/>
      <c r="L589" s="10"/>
      <c r="M589" s="10"/>
    </row>
    <row r="590" spans="1:13">
      <c r="A590" s="10"/>
      <c r="B590" s="10"/>
      <c r="C590" s="10"/>
      <c r="D590" s="10"/>
      <c r="E590" s="10"/>
      <c r="F590" s="10"/>
      <c r="G590" s="10"/>
      <c r="H590" s="10"/>
      <c r="I590" s="10"/>
      <c r="J590" s="10"/>
      <c r="K590" s="10"/>
      <c r="L590" s="10"/>
      <c r="M590" s="10"/>
    </row>
  </sheetData>
  <mergeCells count="35">
    <mergeCell ref="B181:J181"/>
    <mergeCell ref="B182:J183"/>
    <mergeCell ref="B184:J184"/>
    <mergeCell ref="B185:J186"/>
    <mergeCell ref="B94:J94"/>
    <mergeCell ref="B96:J99"/>
    <mergeCell ref="B2:J3"/>
    <mergeCell ref="B5:J7"/>
    <mergeCell ref="B9:J13"/>
    <mergeCell ref="B66:J69"/>
    <mergeCell ref="B129:J130"/>
    <mergeCell ref="B132:J133"/>
    <mergeCell ref="B165:J167"/>
    <mergeCell ref="B169:J172"/>
    <mergeCell ref="I296:I297"/>
    <mergeCell ref="B298:E298"/>
    <mergeCell ref="B174:J177"/>
    <mergeCell ref="B179:J179"/>
    <mergeCell ref="B180:J180"/>
    <mergeCell ref="B255:J257"/>
    <mergeCell ref="B299:E299"/>
    <mergeCell ref="B300:E300"/>
    <mergeCell ref="B296:E297"/>
    <mergeCell ref="F296:F297"/>
    <mergeCell ref="G296:G297"/>
    <mergeCell ref="H296:H297"/>
    <mergeCell ref="B301:E301"/>
    <mergeCell ref="B302:E302"/>
    <mergeCell ref="B303:E303"/>
    <mergeCell ref="B304:E304"/>
    <mergeCell ref="B309:E309"/>
    <mergeCell ref="B305:E305"/>
    <mergeCell ref="B306:E306"/>
    <mergeCell ref="B307:E307"/>
    <mergeCell ref="B308:E308"/>
  </mergeCells>
  <phoneticPr fontId="0" type="noConversion"/>
  <conditionalFormatting sqref="I296:I297">
    <cfRule type="cellIs" dxfId="638" priority="1" stopIfTrue="1" operator="equal">
      <formula>$E$31</formula>
    </cfRule>
    <cfRule type="cellIs" dxfId="637" priority="2" stopIfTrue="1" operator="equal">
      <formula>$G$31</formula>
    </cfRule>
    <cfRule type="cellIs" dxfId="636" priority="3" stopIfTrue="1" operator="equal">
      <formula>$I$31</formula>
    </cfRule>
  </conditionalFormatting>
  <conditionalFormatting sqref="G296:G297">
    <cfRule type="cellIs" dxfId="635" priority="4" stopIfTrue="1" operator="equal">
      <formula>$B$6</formula>
    </cfRule>
    <cfRule type="cellIs" dxfId="634" priority="5" stopIfTrue="1" operator="equal">
      <formula>$F$33</formula>
    </cfRule>
    <cfRule type="cellIs" dxfId="633" priority="6" stopIfTrue="1" operator="equal">
      <formula>$B$8</formula>
    </cfRule>
  </conditionalFormatting>
  <conditionalFormatting sqref="H296:H297">
    <cfRule type="cellIs" dxfId="632" priority="7" stopIfTrue="1" operator="equal">
      <formula>$B$6</formula>
    </cfRule>
    <cfRule type="cellIs" dxfId="631" priority="8" stopIfTrue="1" operator="equal">
      <formula>$B$7</formula>
    </cfRule>
    <cfRule type="cellIs" dxfId="630" priority="9" stopIfTrue="1" operator="equal">
      <formula>$G$33</formula>
    </cfRule>
  </conditionalFormatting>
  <pageMargins left="0.19685039370078741" right="0.19685039370078741" top="0.59055118110236227" bottom="0.19685039370078741" header="0.51181102362204722" footer="0.51181102362204722"/>
  <pageSetup paperSize="9"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sheetPr codeName="Sheet74">
    <pageSetUpPr fitToPage="1"/>
  </sheetPr>
  <dimension ref="A1:AJ906"/>
  <sheetViews>
    <sheetView showRowColHeaders="0" workbookViewId="0">
      <selection activeCell="B2" sqref="B2:K3"/>
    </sheetView>
  </sheetViews>
  <sheetFormatPr defaultRowHeight="12.75"/>
  <cols>
    <col min="1" max="11" width="11.7109375" style="1" customWidth="1"/>
    <col min="12" max="16" width="10.7109375" style="1" customWidth="1"/>
    <col min="17" max="17" width="4.7109375" style="20" customWidth="1"/>
    <col min="18" max="20" width="10.7109375" style="18" customWidth="1"/>
    <col min="21" max="23" width="11.7109375" style="18" customWidth="1"/>
    <col min="24" max="26" width="10.7109375" style="18" customWidth="1"/>
    <col min="27" max="27" width="10.7109375" style="1" customWidth="1"/>
    <col min="28" max="30" width="8.7109375" style="1" customWidth="1"/>
    <col min="31" max="35" width="13.7109375" style="1" customWidth="1"/>
    <col min="36" max="37" width="10.7109375" style="1" customWidth="1"/>
    <col min="38" max="54" width="10.28515625" style="1" customWidth="1"/>
    <col min="55" max="110" width="10.7109375" style="1" customWidth="1"/>
    <col min="111" max="16384" width="9.140625" style="1"/>
  </cols>
  <sheetData>
    <row r="1" spans="1:31" ht="6" customHeight="1" thickBot="1">
      <c r="A1" s="121"/>
      <c r="B1" s="121"/>
      <c r="C1" s="121"/>
      <c r="D1" s="121"/>
      <c r="E1" s="121"/>
      <c r="F1" s="121"/>
      <c r="G1" s="121"/>
      <c r="H1" s="121"/>
      <c r="I1" s="121"/>
      <c r="J1" s="121"/>
      <c r="K1" s="121"/>
      <c r="L1" s="121"/>
      <c r="M1" s="121"/>
      <c r="N1" s="121"/>
      <c r="O1" s="121"/>
      <c r="P1" s="121"/>
      <c r="Q1" s="360"/>
      <c r="R1" s="361"/>
      <c r="S1" s="361"/>
      <c r="T1" s="361"/>
      <c r="U1" s="361"/>
      <c r="V1" s="361"/>
      <c r="W1" s="361"/>
      <c r="X1" s="361"/>
      <c r="Y1" s="361"/>
      <c r="Z1" s="361"/>
      <c r="AA1"/>
      <c r="AB1"/>
      <c r="AC1"/>
      <c r="AD1"/>
      <c r="AE1"/>
    </row>
    <row r="2" spans="1:31" ht="12.75" customHeight="1" thickTop="1">
      <c r="A2" s="121"/>
      <c r="B2" s="753" t="s">
        <v>454</v>
      </c>
      <c r="C2" s="754"/>
      <c r="D2" s="754"/>
      <c r="E2" s="754"/>
      <c r="F2" s="754"/>
      <c r="G2" s="754"/>
      <c r="H2" s="754"/>
      <c r="I2" s="754"/>
      <c r="J2" s="754"/>
      <c r="K2" s="755"/>
      <c r="L2" s="121"/>
      <c r="M2" s="121"/>
      <c r="N2" s="121"/>
      <c r="O2" s="121"/>
      <c r="P2" s="121"/>
      <c r="Q2" s="363"/>
      <c r="R2" s="1024" t="s">
        <v>396</v>
      </c>
      <c r="S2" s="1025"/>
      <c r="T2" s="1025"/>
      <c r="U2" s="1025"/>
      <c r="V2" s="1025"/>
      <c r="W2" s="1025"/>
      <c r="X2" s="1025"/>
      <c r="Y2" s="1026"/>
      <c r="Z2" s="362"/>
      <c r="AA2"/>
      <c r="AB2"/>
      <c r="AC2"/>
      <c r="AD2"/>
      <c r="AE2"/>
    </row>
    <row r="3" spans="1:31" ht="12.75" customHeight="1" thickBot="1">
      <c r="A3" s="121"/>
      <c r="B3" s="756"/>
      <c r="C3" s="757"/>
      <c r="D3" s="757"/>
      <c r="E3" s="757"/>
      <c r="F3" s="757"/>
      <c r="G3" s="757"/>
      <c r="H3" s="757"/>
      <c r="I3" s="757"/>
      <c r="J3" s="757"/>
      <c r="K3" s="758"/>
      <c r="L3" s="121"/>
      <c r="M3" s="121"/>
      <c r="N3" s="121"/>
      <c r="O3" s="121"/>
      <c r="P3" s="121"/>
      <c r="Q3" s="363"/>
      <c r="R3" s="1027"/>
      <c r="S3" s="1028"/>
      <c r="T3" s="1028"/>
      <c r="U3" s="1028"/>
      <c r="V3" s="1028"/>
      <c r="W3" s="1028"/>
      <c r="X3" s="1028"/>
      <c r="Y3" s="1029"/>
      <c r="Z3" s="362"/>
      <c r="AA3"/>
      <c r="AB3"/>
      <c r="AC3"/>
      <c r="AD3"/>
      <c r="AE3"/>
    </row>
    <row r="4" spans="1:31" ht="12.75" customHeight="1" thickTop="1">
      <c r="A4" s="121"/>
      <c r="B4" s="121"/>
      <c r="C4" s="121"/>
      <c r="D4" s="121"/>
      <c r="E4" s="121"/>
      <c r="F4" s="121"/>
      <c r="G4" s="121"/>
      <c r="H4" s="121"/>
      <c r="I4" s="121"/>
      <c r="J4" s="121"/>
      <c r="K4" s="121"/>
      <c r="L4" s="121"/>
      <c r="M4" s="121"/>
      <c r="N4" s="121"/>
      <c r="O4" s="121"/>
      <c r="P4" s="121"/>
      <c r="Q4" s="363"/>
      <c r="R4" s="361"/>
      <c r="S4" s="361"/>
      <c r="T4" s="361"/>
      <c r="U4" s="361"/>
      <c r="V4" s="361"/>
      <c r="W4" s="361"/>
      <c r="X4" s="361"/>
      <c r="Y4" s="361"/>
      <c r="Z4" s="361"/>
      <c r="AA4"/>
      <c r="AB4"/>
      <c r="AC4"/>
      <c r="AD4"/>
      <c r="AE4"/>
    </row>
    <row r="5" spans="1:31" ht="12.75" customHeight="1">
      <c r="A5" s="121"/>
      <c r="B5" s="828" t="s">
        <v>581</v>
      </c>
      <c r="C5" s="829"/>
      <c r="D5" s="830"/>
      <c r="E5" s="460">
        <v>450</v>
      </c>
      <c r="F5" s="461">
        <f>+E5</f>
        <v>450</v>
      </c>
      <c r="G5" s="121"/>
      <c r="H5" s="121"/>
      <c r="I5" s="121"/>
      <c r="J5" s="121"/>
      <c r="K5" s="121"/>
      <c r="L5" s="121"/>
      <c r="M5" s="121"/>
      <c r="N5" s="121"/>
      <c r="O5" s="121"/>
      <c r="P5" s="121"/>
      <c r="Q5" s="360"/>
      <c r="R5" s="951" t="s">
        <v>868</v>
      </c>
      <c r="S5" s="951"/>
      <c r="T5" s="951"/>
      <c r="U5" s="951"/>
      <c r="V5" s="447">
        <f>F5</f>
        <v>450</v>
      </c>
      <c r="W5" s="362"/>
      <c r="X5" s="362"/>
      <c r="Y5" s="362"/>
      <c r="Z5" s="362"/>
      <c r="AA5"/>
      <c r="AB5"/>
      <c r="AC5"/>
      <c r="AD5"/>
      <c r="AE5"/>
    </row>
    <row r="6" spans="1:31" ht="12.75" customHeight="1">
      <c r="A6" s="121"/>
      <c r="B6" s="121"/>
      <c r="C6" s="121"/>
      <c r="D6" s="121"/>
      <c r="E6" s="121"/>
      <c r="F6" s="121"/>
      <c r="G6" s="121"/>
      <c r="H6" s="121"/>
      <c r="I6" s="121"/>
      <c r="J6" s="121"/>
      <c r="K6" s="121"/>
      <c r="L6" s="121"/>
      <c r="M6" s="121"/>
      <c r="N6" s="121"/>
      <c r="O6" s="121"/>
      <c r="P6" s="121"/>
      <c r="Q6" s="360"/>
      <c r="R6" s="362"/>
      <c r="S6" s="362"/>
      <c r="T6" s="362"/>
      <c r="U6" s="362"/>
      <c r="V6" s="361"/>
      <c r="W6" s="361"/>
      <c r="X6" s="361"/>
      <c r="Y6" s="361"/>
      <c r="Z6" s="361"/>
      <c r="AA6"/>
      <c r="AB6"/>
      <c r="AC6"/>
      <c r="AD6"/>
      <c r="AE6"/>
    </row>
    <row r="7" spans="1:31" ht="12.75" customHeight="1">
      <c r="A7" s="121"/>
      <c r="B7" s="121"/>
      <c r="C7" s="121"/>
      <c r="D7" s="121"/>
      <c r="E7" s="121"/>
      <c r="F7" s="121"/>
      <c r="G7" s="121"/>
      <c r="H7" s="121"/>
      <c r="I7" s="121"/>
      <c r="J7" s="121"/>
      <c r="K7" s="121"/>
      <c r="L7" s="121"/>
      <c r="M7" s="121"/>
      <c r="N7" s="121"/>
      <c r="O7" s="121"/>
      <c r="P7" s="121"/>
      <c r="Q7" s="385">
        <v>1</v>
      </c>
      <c r="R7" s="1008" t="s">
        <v>24</v>
      </c>
      <c r="S7" s="1008"/>
      <c r="T7" s="1008"/>
      <c r="U7" s="1008"/>
      <c r="V7" s="1008"/>
      <c r="W7" s="1008"/>
      <c r="X7" s="1008"/>
      <c r="Y7" s="1008"/>
      <c r="Z7" s="536"/>
      <c r="AA7"/>
      <c r="AB7"/>
      <c r="AC7"/>
      <c r="AD7"/>
      <c r="AE7"/>
    </row>
    <row r="8" spans="1:31" ht="12.75" customHeight="1">
      <c r="A8" s="121"/>
      <c r="B8" s="121"/>
      <c r="C8" s="121"/>
      <c r="D8" s="121"/>
      <c r="E8" s="121"/>
      <c r="F8" s="121"/>
      <c r="G8" s="121"/>
      <c r="H8" s="121"/>
      <c r="I8" s="121"/>
      <c r="J8" s="121"/>
      <c r="K8" s="121"/>
      <c r="L8" s="121"/>
      <c r="M8" s="121"/>
      <c r="N8" s="121"/>
      <c r="O8" s="121"/>
      <c r="P8" s="121"/>
      <c r="Q8" s="386"/>
      <c r="R8" s="361"/>
      <c r="S8" s="361"/>
      <c r="T8" s="361"/>
      <c r="U8" s="361"/>
      <c r="V8" s="361"/>
      <c r="W8" s="361"/>
      <c r="X8" s="361"/>
      <c r="Y8" s="361"/>
      <c r="Z8" s="361"/>
      <c r="AA8"/>
      <c r="AB8"/>
      <c r="AC8"/>
      <c r="AD8"/>
      <c r="AE8"/>
    </row>
    <row r="9" spans="1:31" ht="12.75" customHeight="1">
      <c r="A9" s="121"/>
      <c r="B9" s="121"/>
      <c r="C9" s="121"/>
      <c r="D9" s="121"/>
      <c r="E9" s="121"/>
      <c r="F9" s="121"/>
      <c r="G9" s="121"/>
      <c r="H9" s="121"/>
      <c r="I9" s="121"/>
      <c r="J9" s="121"/>
      <c r="K9" s="121"/>
      <c r="L9" s="121"/>
      <c r="M9" s="121"/>
      <c r="N9" s="121"/>
      <c r="O9" s="121"/>
      <c r="P9" s="121"/>
      <c r="Q9" s="360">
        <v>1.1000000000000001</v>
      </c>
      <c r="R9" s="364" t="s">
        <v>586</v>
      </c>
      <c r="S9" s="363"/>
      <c r="T9" s="363"/>
      <c r="U9" s="363"/>
      <c r="V9" s="363"/>
      <c r="W9" s="363"/>
      <c r="X9" s="363"/>
      <c r="Y9" s="363"/>
      <c r="Z9" s="363"/>
      <c r="AA9"/>
      <c r="AB9"/>
      <c r="AC9"/>
      <c r="AD9"/>
      <c r="AE9"/>
    </row>
    <row r="10" spans="1:31" ht="12.75" customHeight="1">
      <c r="A10" s="121"/>
      <c r="B10" s="121"/>
      <c r="C10" s="121"/>
      <c r="D10" s="121"/>
      <c r="E10" s="121"/>
      <c r="F10" s="121"/>
      <c r="G10" s="121"/>
      <c r="H10" s="121"/>
      <c r="I10" s="121"/>
      <c r="J10" s="121"/>
      <c r="K10" s="121"/>
      <c r="L10" s="121"/>
      <c r="M10" s="121"/>
      <c r="N10" s="121"/>
      <c r="O10" s="121"/>
      <c r="P10" s="121"/>
      <c r="Q10" s="360"/>
      <c r="R10" s="969" t="s">
        <v>25</v>
      </c>
      <c r="S10" s="969"/>
      <c r="T10" s="969"/>
      <c r="U10" s="969"/>
      <c r="V10" s="447">
        <f>'Prod Parameters'!$F$8</f>
        <v>23</v>
      </c>
      <c r="W10" s="363"/>
      <c r="X10" s="363"/>
      <c r="Y10" s="363"/>
      <c r="Z10" s="363"/>
      <c r="AA10"/>
      <c r="AB10"/>
      <c r="AC10"/>
      <c r="AD10"/>
      <c r="AE10"/>
    </row>
    <row r="11" spans="1:31" ht="12.75" customHeight="1">
      <c r="A11" s="121"/>
      <c r="B11" s="121"/>
      <c r="C11" s="121"/>
      <c r="D11" s="121"/>
      <c r="E11" s="121"/>
      <c r="F11" s="121"/>
      <c r="G11" s="121"/>
      <c r="H11" s="121"/>
      <c r="I11" s="121"/>
      <c r="J11" s="121"/>
      <c r="K11" s="121"/>
      <c r="L11" s="121"/>
      <c r="M11" s="121"/>
      <c r="N11" s="121"/>
      <c r="O11" s="121"/>
      <c r="P11" s="121"/>
      <c r="Q11" s="360"/>
      <c r="R11" s="969" t="s">
        <v>325</v>
      </c>
      <c r="S11" s="969"/>
      <c r="T11" s="969"/>
      <c r="U11" s="969"/>
      <c r="V11" s="447">
        <f>'Prod Parameters'!$F$9</f>
        <v>23</v>
      </c>
      <c r="W11" s="363"/>
      <c r="X11" s="363"/>
      <c r="Y11" s="363"/>
      <c r="Z11" s="363"/>
      <c r="AA11"/>
      <c r="AB11"/>
      <c r="AC11"/>
      <c r="AD11"/>
      <c r="AE11"/>
    </row>
    <row r="12" spans="1:31" ht="12.75" customHeight="1">
      <c r="A12" s="121"/>
      <c r="B12" s="121"/>
      <c r="C12" s="121"/>
      <c r="D12" s="121"/>
      <c r="E12" s="121"/>
      <c r="F12" s="121"/>
      <c r="G12" s="121"/>
      <c r="H12" s="121"/>
      <c r="I12" s="121"/>
      <c r="J12" s="121"/>
      <c r="K12" s="121"/>
      <c r="L12" s="121"/>
      <c r="M12" s="121"/>
      <c r="N12" s="121"/>
      <c r="O12" s="121"/>
      <c r="P12" s="121"/>
      <c r="Q12" s="360"/>
      <c r="R12" s="1021" t="s">
        <v>26</v>
      </c>
      <c r="S12" s="1022"/>
      <c r="T12" s="1022"/>
      <c r="U12" s="1023"/>
      <c r="V12" s="447">
        <f>'Prod Parameters'!$F$10</f>
        <v>6</v>
      </c>
      <c r="W12" s="363"/>
      <c r="X12" s="363"/>
      <c r="Y12" s="363"/>
      <c r="Z12" s="363"/>
      <c r="AA12"/>
      <c r="AB12"/>
      <c r="AC12"/>
      <c r="AD12"/>
      <c r="AE12"/>
    </row>
    <row r="13" spans="1:31" ht="12.75" customHeight="1">
      <c r="A13" s="121"/>
      <c r="B13" s="121"/>
      <c r="C13" s="121"/>
      <c r="D13" s="121"/>
      <c r="E13" s="121"/>
      <c r="F13" s="121"/>
      <c r="G13" s="121"/>
      <c r="H13" s="121"/>
      <c r="I13" s="121"/>
      <c r="J13" s="121"/>
      <c r="K13" s="121"/>
      <c r="L13" s="121"/>
      <c r="M13" s="121"/>
      <c r="N13" s="121"/>
      <c r="O13" s="121"/>
      <c r="P13" s="121"/>
      <c r="Q13" s="360"/>
      <c r="R13" s="969" t="s">
        <v>27</v>
      </c>
      <c r="S13" s="969"/>
      <c r="T13" s="969"/>
      <c r="U13" s="969"/>
      <c r="V13" s="447">
        <f>'Prod Parameters'!$F$11</f>
        <v>52</v>
      </c>
      <c r="W13" s="363"/>
      <c r="X13" s="363"/>
      <c r="Y13" s="363"/>
      <c r="Z13" s="363"/>
      <c r="AA13"/>
      <c r="AB13"/>
      <c r="AC13"/>
      <c r="AD13"/>
      <c r="AE13"/>
    </row>
    <row r="14" spans="1:31" ht="12.75" customHeight="1">
      <c r="A14" s="121"/>
      <c r="B14" s="121"/>
      <c r="C14" s="121"/>
      <c r="D14" s="121"/>
      <c r="E14" s="121"/>
      <c r="F14" s="121"/>
      <c r="G14" s="121"/>
      <c r="H14" s="121"/>
      <c r="I14" s="121"/>
      <c r="J14" s="121"/>
      <c r="K14" s="121"/>
      <c r="L14" s="121"/>
      <c r="M14" s="121"/>
      <c r="N14" s="121"/>
      <c r="O14" s="121"/>
      <c r="P14" s="121"/>
      <c r="Q14" s="360"/>
      <c r="R14" s="969" t="s">
        <v>28</v>
      </c>
      <c r="S14" s="969"/>
      <c r="T14" s="969"/>
      <c r="U14" s="969"/>
      <c r="V14" s="447">
        <f>'Prod Parameters'!$F$12</f>
        <v>260</v>
      </c>
      <c r="W14" s="363"/>
      <c r="X14" s="363"/>
      <c r="Y14" s="363"/>
      <c r="Z14" s="363"/>
      <c r="AA14"/>
      <c r="AB14"/>
      <c r="AC14"/>
      <c r="AD14"/>
      <c r="AE14"/>
    </row>
    <row r="15" spans="1:31" ht="12.75" customHeight="1">
      <c r="A15" s="121"/>
      <c r="B15" s="121"/>
      <c r="C15" s="121"/>
      <c r="D15" s="121"/>
      <c r="E15" s="121"/>
      <c r="F15" s="121"/>
      <c r="G15" s="121"/>
      <c r="H15" s="121"/>
      <c r="I15" s="121"/>
      <c r="J15" s="121"/>
      <c r="K15" s="121"/>
      <c r="L15" s="121"/>
      <c r="M15" s="121"/>
      <c r="N15" s="121"/>
      <c r="O15" s="121"/>
      <c r="P15" s="121"/>
      <c r="Q15" s="360"/>
      <c r="R15" s="969" t="s">
        <v>29</v>
      </c>
      <c r="S15" s="969"/>
      <c r="T15" s="969"/>
      <c r="U15" s="969"/>
      <c r="V15" s="447">
        <f>'Prod Parameters'!$F$13</f>
        <v>30</v>
      </c>
      <c r="W15" s="363"/>
      <c r="X15" s="363"/>
      <c r="Y15" s="363"/>
      <c r="Z15" s="363"/>
      <c r="AA15"/>
      <c r="AB15"/>
      <c r="AC15"/>
      <c r="AD15"/>
      <c r="AE15"/>
    </row>
    <row r="16" spans="1:31" ht="12.75" customHeight="1">
      <c r="A16" s="121"/>
      <c r="B16" s="121"/>
      <c r="C16" s="121"/>
      <c r="D16" s="121"/>
      <c r="E16" s="121"/>
      <c r="F16" s="121"/>
      <c r="G16" s="121"/>
      <c r="H16" s="121"/>
      <c r="I16" s="121"/>
      <c r="J16" s="121"/>
      <c r="K16" s="121"/>
      <c r="L16" s="121"/>
      <c r="M16" s="121"/>
      <c r="N16" s="121"/>
      <c r="O16" s="121"/>
      <c r="P16" s="121"/>
      <c r="Q16" s="360"/>
      <c r="R16" s="968" t="s">
        <v>30</v>
      </c>
      <c r="S16" s="968"/>
      <c r="T16" s="968"/>
      <c r="U16" s="968"/>
      <c r="V16" s="447">
        <f>'Prod Parameters'!$F$14</f>
        <v>230</v>
      </c>
      <c r="W16" s="363"/>
      <c r="X16" s="363"/>
      <c r="Y16" s="363"/>
      <c r="Z16" s="363"/>
      <c r="AA16"/>
      <c r="AB16"/>
      <c r="AC16"/>
      <c r="AD16"/>
      <c r="AE16"/>
    </row>
    <row r="17" spans="1:31" ht="12.75" customHeight="1">
      <c r="A17" s="121"/>
      <c r="B17" s="121"/>
      <c r="C17" s="121"/>
      <c r="D17" s="121"/>
      <c r="E17" s="121"/>
      <c r="F17" s="121"/>
      <c r="G17" s="121"/>
      <c r="H17" s="121"/>
      <c r="I17" s="121"/>
      <c r="J17" s="121"/>
      <c r="K17" s="121"/>
      <c r="L17" s="121"/>
      <c r="M17" s="121"/>
      <c r="N17" s="121"/>
      <c r="O17" s="121"/>
      <c r="P17" s="121"/>
      <c r="Q17" s="360"/>
      <c r="R17" s="363"/>
      <c r="S17" s="363"/>
      <c r="T17" s="363"/>
      <c r="U17" s="363"/>
      <c r="V17" s="363"/>
      <c r="W17" s="363"/>
      <c r="X17" s="363"/>
      <c r="Y17" s="363"/>
      <c r="Z17" s="363"/>
      <c r="AA17"/>
      <c r="AB17"/>
      <c r="AC17"/>
      <c r="AD17"/>
      <c r="AE17"/>
    </row>
    <row r="18" spans="1:31" ht="12.75" customHeight="1">
      <c r="A18" s="121"/>
      <c r="B18" s="121"/>
      <c r="C18" s="121"/>
      <c r="D18" s="121"/>
      <c r="E18" s="121"/>
      <c r="F18" s="121"/>
      <c r="G18" s="121"/>
      <c r="H18" s="121"/>
      <c r="I18" s="121"/>
      <c r="J18" s="121"/>
      <c r="K18" s="121"/>
      <c r="L18" s="121"/>
      <c r="M18" s="121"/>
      <c r="N18" s="121"/>
      <c r="O18" s="121"/>
      <c r="P18" s="121"/>
      <c r="Q18" s="360">
        <v>1.2</v>
      </c>
      <c r="R18" s="364" t="s">
        <v>19</v>
      </c>
      <c r="S18" s="363"/>
      <c r="T18" s="363"/>
      <c r="U18" s="363"/>
      <c r="V18" s="363"/>
      <c r="W18" s="363"/>
      <c r="X18" s="363"/>
      <c r="Y18" s="363"/>
      <c r="Z18" s="363"/>
      <c r="AA18"/>
      <c r="AB18"/>
      <c r="AC18"/>
      <c r="AD18"/>
      <c r="AE18"/>
    </row>
    <row r="19" spans="1:31" ht="12.75" customHeight="1">
      <c r="A19" s="121"/>
      <c r="B19" s="121"/>
      <c r="C19" s="121"/>
      <c r="D19" s="121"/>
      <c r="E19" s="121"/>
      <c r="F19" s="121"/>
      <c r="G19" s="121"/>
      <c r="H19" s="121"/>
      <c r="I19" s="121"/>
      <c r="J19" s="121"/>
      <c r="K19" s="121"/>
      <c r="L19" s="121"/>
      <c r="M19" s="121"/>
      <c r="N19" s="121"/>
      <c r="O19" s="121"/>
      <c r="P19" s="121"/>
      <c r="Q19" s="360"/>
      <c r="R19" s="969" t="s">
        <v>314</v>
      </c>
      <c r="S19" s="969"/>
      <c r="T19" s="969"/>
      <c r="U19" s="969"/>
      <c r="V19" s="447">
        <f>'Prod Parameters'!$F$17</f>
        <v>160</v>
      </c>
      <c r="W19" s="363"/>
      <c r="X19" s="363"/>
      <c r="Y19" s="363"/>
      <c r="Z19" s="363"/>
      <c r="AA19"/>
      <c r="AB19"/>
      <c r="AC19"/>
      <c r="AD19"/>
      <c r="AE19"/>
    </row>
    <row r="20" spans="1:31" ht="12.75" customHeight="1">
      <c r="A20" s="121"/>
      <c r="B20" s="121"/>
      <c r="C20" s="121"/>
      <c r="D20" s="121"/>
      <c r="E20" s="121"/>
      <c r="F20" s="121"/>
      <c r="G20" s="121"/>
      <c r="H20" s="121"/>
      <c r="I20" s="121"/>
      <c r="J20" s="121"/>
      <c r="K20" s="121"/>
      <c r="L20" s="121"/>
      <c r="M20" s="121"/>
      <c r="N20" s="121"/>
      <c r="O20" s="121"/>
      <c r="P20" s="121"/>
      <c r="Q20" s="360"/>
      <c r="R20" s="969" t="s">
        <v>31</v>
      </c>
      <c r="S20" s="969"/>
      <c r="T20" s="969"/>
      <c r="U20" s="969"/>
      <c r="V20" s="447">
        <f>'Prod Parameters'!$F$18</f>
        <v>1.2</v>
      </c>
      <c r="W20" s="363"/>
      <c r="X20" s="363"/>
      <c r="Y20" s="363"/>
      <c r="Z20" s="363"/>
      <c r="AA20"/>
      <c r="AB20"/>
      <c r="AC20"/>
      <c r="AD20"/>
      <c r="AE20"/>
    </row>
    <row r="21" spans="1:31" ht="12.75" customHeight="1">
      <c r="A21" s="121"/>
      <c r="B21" s="121"/>
      <c r="C21" s="121"/>
      <c r="D21" s="121"/>
      <c r="E21" s="121"/>
      <c r="F21" s="121"/>
      <c r="G21" s="121"/>
      <c r="H21" s="121"/>
      <c r="I21" s="121"/>
      <c r="J21" s="121"/>
      <c r="K21" s="121"/>
      <c r="L21" s="121"/>
      <c r="M21" s="121"/>
      <c r="N21" s="121"/>
      <c r="O21" s="121"/>
      <c r="P21" s="121"/>
      <c r="Q21" s="360"/>
      <c r="R21" s="969" t="s">
        <v>199</v>
      </c>
      <c r="S21" s="969"/>
      <c r="T21" s="969"/>
      <c r="U21" s="969"/>
      <c r="V21" s="447">
        <f>'Prod Parameters'!$F$19</f>
        <v>4</v>
      </c>
      <c r="W21" s="363"/>
      <c r="X21" s="363"/>
      <c r="Y21" s="363"/>
      <c r="Z21" s="363"/>
      <c r="AA21"/>
      <c r="AB21"/>
      <c r="AC21"/>
      <c r="AD21"/>
      <c r="AE21"/>
    </row>
    <row r="22" spans="1:31" ht="12.75" customHeight="1">
      <c r="A22" s="121"/>
      <c r="B22" s="121"/>
      <c r="C22" s="121"/>
      <c r="D22" s="121"/>
      <c r="E22" s="121"/>
      <c r="F22" s="121"/>
      <c r="G22" s="121"/>
      <c r="H22" s="121"/>
      <c r="I22" s="121"/>
      <c r="J22" s="121"/>
      <c r="K22" s="121"/>
      <c r="L22" s="121"/>
      <c r="M22" s="121"/>
      <c r="N22" s="121"/>
      <c r="O22" s="121"/>
      <c r="P22" s="121"/>
      <c r="Q22" s="360"/>
      <c r="R22" s="969" t="s">
        <v>20</v>
      </c>
      <c r="S22" s="969"/>
      <c r="T22" s="969"/>
      <c r="U22" s="969"/>
      <c r="V22" s="447">
        <f>'Prod Parameters'!$F$20</f>
        <v>40</v>
      </c>
      <c r="W22" s="363"/>
      <c r="X22" s="363"/>
      <c r="Y22" s="363"/>
      <c r="Z22" s="363"/>
      <c r="AA22"/>
      <c r="AB22"/>
      <c r="AC22"/>
      <c r="AD22"/>
      <c r="AE22"/>
    </row>
    <row r="23" spans="1:31" ht="12.75" customHeight="1">
      <c r="A23" s="121"/>
      <c r="B23" s="121"/>
      <c r="C23" s="121"/>
      <c r="D23" s="121"/>
      <c r="E23" s="121"/>
      <c r="F23" s="121"/>
      <c r="G23" s="121"/>
      <c r="H23" s="121"/>
      <c r="I23" s="121"/>
      <c r="J23" s="121"/>
      <c r="K23" s="121"/>
      <c r="L23" s="121"/>
      <c r="M23" s="121"/>
      <c r="N23" s="121"/>
      <c r="O23" s="121"/>
      <c r="P23" s="121"/>
      <c r="Q23" s="360"/>
      <c r="R23" s="969" t="s">
        <v>310</v>
      </c>
      <c r="S23" s="969"/>
      <c r="T23" s="969"/>
      <c r="U23" s="969"/>
      <c r="V23" s="447">
        <f>'Prod Parameters'!$F$21</f>
        <v>160</v>
      </c>
      <c r="W23" s="363"/>
      <c r="X23" s="363"/>
      <c r="Y23" s="363"/>
      <c r="Z23" s="363"/>
      <c r="AA23"/>
      <c r="AB23"/>
      <c r="AC23"/>
      <c r="AD23"/>
      <c r="AE23"/>
    </row>
    <row r="24" spans="1:31" ht="12.75" customHeight="1">
      <c r="A24" s="121"/>
      <c r="B24" s="121"/>
      <c r="C24" s="121"/>
      <c r="D24" s="121"/>
      <c r="E24" s="121"/>
      <c r="F24" s="121"/>
      <c r="G24" s="121"/>
      <c r="H24" s="121"/>
      <c r="I24" s="121"/>
      <c r="J24" s="121"/>
      <c r="K24" s="121"/>
      <c r="L24" s="121"/>
      <c r="M24" s="121"/>
      <c r="N24" s="121"/>
      <c r="O24" s="121"/>
      <c r="P24" s="121"/>
      <c r="Q24" s="360"/>
      <c r="R24" s="969" t="s">
        <v>315</v>
      </c>
      <c r="S24" s="969"/>
      <c r="T24" s="969"/>
      <c r="U24" s="969"/>
      <c r="V24" s="549">
        <f>'Prod Parameters'!$F$22</f>
        <v>6400</v>
      </c>
      <c r="W24" s="363"/>
      <c r="X24" s="363"/>
      <c r="Y24" s="363"/>
      <c r="Z24" s="363"/>
      <c r="AA24"/>
      <c r="AB24"/>
      <c r="AC24"/>
      <c r="AD24"/>
      <c r="AE24"/>
    </row>
    <row r="25" spans="1:31" ht="12.75" customHeight="1">
      <c r="A25" s="121"/>
      <c r="B25" s="121"/>
      <c r="C25" s="121"/>
      <c r="D25" s="121"/>
      <c r="E25" s="121"/>
      <c r="F25" s="121"/>
      <c r="G25" s="121"/>
      <c r="H25" s="121"/>
      <c r="I25" s="121"/>
      <c r="J25" s="121"/>
      <c r="K25" s="121"/>
      <c r="L25" s="121"/>
      <c r="M25" s="121"/>
      <c r="N25" s="121"/>
      <c r="O25" s="121"/>
      <c r="P25" s="121"/>
      <c r="Q25" s="360"/>
      <c r="R25" s="969" t="s">
        <v>187</v>
      </c>
      <c r="S25" s="969"/>
      <c r="T25" s="969"/>
      <c r="U25" s="969"/>
      <c r="V25" s="549">
        <f>'Prod Parameters'!$F$23</f>
        <v>7680</v>
      </c>
      <c r="W25" s="363"/>
      <c r="X25" s="363"/>
      <c r="Y25" s="363"/>
      <c r="Z25" s="363"/>
      <c r="AA25"/>
      <c r="AB25"/>
      <c r="AC25"/>
      <c r="AD25"/>
      <c r="AE25"/>
    </row>
    <row r="26" spans="1:31" ht="12.75" customHeight="1">
      <c r="A26" s="121"/>
      <c r="B26" s="121"/>
      <c r="C26" s="121"/>
      <c r="D26" s="121"/>
      <c r="E26" s="121"/>
      <c r="F26" s="121"/>
      <c r="G26" s="121"/>
      <c r="H26" s="121"/>
      <c r="I26" s="121"/>
      <c r="J26" s="121"/>
      <c r="K26" s="121"/>
      <c r="L26" s="121"/>
      <c r="M26" s="121"/>
      <c r="N26" s="121"/>
      <c r="O26" s="121"/>
      <c r="P26" s="121"/>
      <c r="Q26" s="360"/>
      <c r="R26" s="969" t="s">
        <v>200</v>
      </c>
      <c r="S26" s="969"/>
      <c r="T26" s="969"/>
      <c r="U26" s="969"/>
      <c r="V26" s="549">
        <f>'Prod Parameters'!$F$24</f>
        <v>176640</v>
      </c>
      <c r="W26" s="363"/>
      <c r="X26" s="363"/>
      <c r="Y26" s="363"/>
      <c r="Z26" s="363"/>
      <c r="AA26"/>
      <c r="AB26"/>
      <c r="AC26"/>
      <c r="AD26"/>
      <c r="AE26"/>
    </row>
    <row r="27" spans="1:31" ht="12.75" customHeight="1">
      <c r="A27" s="121"/>
      <c r="B27" s="121"/>
      <c r="C27" s="121"/>
      <c r="D27" s="121"/>
      <c r="E27" s="121"/>
      <c r="F27" s="121"/>
      <c r="G27" s="121"/>
      <c r="H27" s="121"/>
      <c r="I27" s="121"/>
      <c r="J27" s="121"/>
      <c r="K27" s="121"/>
      <c r="L27" s="121"/>
      <c r="M27" s="121"/>
      <c r="N27" s="121"/>
      <c r="O27" s="121"/>
      <c r="P27" s="121"/>
      <c r="Q27" s="360"/>
      <c r="R27" s="363"/>
      <c r="S27" s="363"/>
      <c r="T27" s="363"/>
      <c r="U27" s="363"/>
      <c r="V27" s="363"/>
      <c r="W27" s="363"/>
      <c r="X27" s="363"/>
      <c r="Y27" s="363"/>
      <c r="Z27" s="363"/>
      <c r="AA27"/>
      <c r="AB27"/>
      <c r="AC27"/>
      <c r="AD27"/>
      <c r="AE27"/>
    </row>
    <row r="28" spans="1:31" ht="12.75" customHeight="1">
      <c r="A28" s="121"/>
      <c r="B28" s="121"/>
      <c r="C28" s="121"/>
      <c r="D28" s="121"/>
      <c r="E28" s="121"/>
      <c r="F28" s="121"/>
      <c r="G28" s="121"/>
      <c r="H28" s="121"/>
      <c r="I28" s="121"/>
      <c r="J28" s="121"/>
      <c r="K28" s="121"/>
      <c r="L28" s="121"/>
      <c r="M28" s="121"/>
      <c r="N28" s="121"/>
      <c r="O28" s="121"/>
      <c r="P28" s="121"/>
      <c r="Q28" s="385" t="s">
        <v>33</v>
      </c>
      <c r="R28" s="1008" t="s">
        <v>821</v>
      </c>
      <c r="S28" s="1008"/>
      <c r="T28" s="1008"/>
      <c r="U28" s="1008"/>
      <c r="V28" s="1008"/>
      <c r="W28" s="1008"/>
      <c r="X28" s="1008"/>
      <c r="Y28" s="1008"/>
      <c r="Z28" s="536"/>
      <c r="AA28"/>
      <c r="AB28"/>
      <c r="AC28"/>
      <c r="AD28"/>
      <c r="AE28"/>
    </row>
    <row r="29" spans="1:31" ht="12.75" customHeight="1">
      <c r="A29" s="121"/>
      <c r="B29" s="121"/>
      <c r="C29" s="121"/>
      <c r="D29" s="121"/>
      <c r="E29" s="121"/>
      <c r="F29" s="121"/>
      <c r="G29" s="121"/>
      <c r="H29" s="121"/>
      <c r="I29" s="121"/>
      <c r="J29" s="121"/>
      <c r="K29" s="121"/>
      <c r="L29" s="121"/>
      <c r="M29" s="121"/>
      <c r="N29" s="121"/>
      <c r="O29" s="121"/>
      <c r="P29" s="121"/>
      <c r="Q29" s="546"/>
      <c r="R29" s="363"/>
      <c r="S29" s="363"/>
      <c r="T29" s="363"/>
      <c r="U29" s="363"/>
      <c r="V29" s="363"/>
      <c r="W29" s="363"/>
      <c r="X29" s="363"/>
      <c r="Y29" s="363"/>
      <c r="Z29" s="363"/>
      <c r="AA29"/>
      <c r="AB29"/>
      <c r="AC29"/>
      <c r="AD29"/>
      <c r="AE29"/>
    </row>
    <row r="30" spans="1:31" ht="12.75" customHeight="1">
      <c r="A30" s="121"/>
      <c r="B30" s="121"/>
      <c r="C30" s="121"/>
      <c r="D30" s="121"/>
      <c r="E30" s="121"/>
      <c r="F30" s="121"/>
      <c r="G30" s="121"/>
      <c r="H30" s="121"/>
      <c r="I30" s="121"/>
      <c r="J30" s="121"/>
      <c r="K30" s="121"/>
      <c r="L30" s="121"/>
      <c r="M30" s="121"/>
      <c r="N30" s="121"/>
      <c r="O30" s="121"/>
      <c r="P30" s="121"/>
      <c r="Q30" s="546">
        <v>2.1</v>
      </c>
      <c r="R30" s="363" t="s">
        <v>831</v>
      </c>
      <c r="S30" s="363"/>
      <c r="T30" s="363"/>
      <c r="U30" s="550"/>
      <c r="V30" s="550"/>
      <c r="W30" s="550"/>
      <c r="X30" s="550"/>
      <c r="Y30" s="551"/>
      <c r="Z30" s="551"/>
      <c r="AA30"/>
      <c r="AB30"/>
      <c r="AC30"/>
      <c r="AD30"/>
      <c r="AE30"/>
    </row>
    <row r="31" spans="1:31" ht="12.75" customHeight="1">
      <c r="A31" s="121"/>
      <c r="B31" s="121"/>
      <c r="C31" s="121"/>
      <c r="D31" s="121"/>
      <c r="E31" s="121"/>
      <c r="F31" s="121"/>
      <c r="G31" s="121"/>
      <c r="H31" s="121"/>
      <c r="I31" s="121"/>
      <c r="J31" s="121"/>
      <c r="K31" s="121"/>
      <c r="L31" s="121"/>
      <c r="M31" s="121"/>
      <c r="N31" s="121"/>
      <c r="O31" s="121"/>
      <c r="P31" s="121"/>
      <c r="Q31" s="546"/>
      <c r="R31" s="998" t="s">
        <v>77</v>
      </c>
      <c r="S31" s="999"/>
      <c r="T31" s="1000"/>
      <c r="U31" s="1019" t="s">
        <v>824</v>
      </c>
      <c r="V31" s="1019" t="s">
        <v>828</v>
      </c>
      <c r="W31" s="1019" t="s">
        <v>826</v>
      </c>
      <c r="X31" s="1019" t="s">
        <v>23</v>
      </c>
      <c r="Y31" s="552"/>
      <c r="Z31" s="552"/>
      <c r="AA31"/>
      <c r="AB31"/>
      <c r="AC31"/>
      <c r="AD31"/>
      <c r="AE31"/>
    </row>
    <row r="32" spans="1:31" ht="12.75" customHeight="1">
      <c r="A32" s="121"/>
      <c r="B32" s="121"/>
      <c r="C32" s="121"/>
      <c r="D32" s="121"/>
      <c r="E32" s="121"/>
      <c r="F32" s="121"/>
      <c r="G32" s="121"/>
      <c r="H32" s="121"/>
      <c r="I32" s="121"/>
      <c r="J32" s="121"/>
      <c r="K32" s="121"/>
      <c r="L32" s="121"/>
      <c r="M32" s="121"/>
      <c r="N32" s="121"/>
      <c r="O32" s="121"/>
      <c r="P32" s="121"/>
      <c r="Q32" s="546"/>
      <c r="R32" s="1001"/>
      <c r="S32" s="1002"/>
      <c r="T32" s="1003"/>
      <c r="U32" s="1019"/>
      <c r="V32" s="1019"/>
      <c r="W32" s="1019"/>
      <c r="X32" s="1019"/>
      <c r="Y32" s="364"/>
      <c r="Z32" s="364"/>
      <c r="AA32"/>
      <c r="AB32"/>
      <c r="AC32"/>
      <c r="AD32"/>
      <c r="AE32"/>
    </row>
    <row r="33" spans="1:31" ht="12.75" customHeight="1">
      <c r="A33" s="121"/>
      <c r="B33" s="121"/>
      <c r="C33" s="121"/>
      <c r="D33" s="121"/>
      <c r="E33" s="121"/>
      <c r="F33" s="121"/>
      <c r="G33" s="121"/>
      <c r="H33" s="121"/>
      <c r="I33" s="121"/>
      <c r="J33" s="121"/>
      <c r="K33" s="121"/>
      <c r="L33" s="121"/>
      <c r="M33" s="121"/>
      <c r="N33" s="121"/>
      <c r="O33" s="121"/>
      <c r="P33" s="121"/>
      <c r="Q33" s="546"/>
      <c r="R33" s="1020" t="s">
        <v>500</v>
      </c>
      <c r="S33" s="1020"/>
      <c r="T33" s="1020"/>
      <c r="U33" s="369">
        <v>23.9</v>
      </c>
      <c r="V33" s="369">
        <f>'Lookup Properties'!$C$7</f>
        <v>15.4</v>
      </c>
      <c r="W33" s="369">
        <f>'Lookup Properties'!$D$7</f>
        <v>4.8</v>
      </c>
      <c r="X33" s="553">
        <f>SUM(U33:W33)</f>
        <v>44.099999999999994</v>
      </c>
      <c r="Y33" s="364"/>
      <c r="Z33" s="364"/>
      <c r="AA33"/>
      <c r="AB33"/>
      <c r="AC33"/>
      <c r="AD33"/>
      <c r="AE33"/>
    </row>
    <row r="34" spans="1:31" ht="12.75" customHeight="1">
      <c r="A34" s="121"/>
      <c r="B34" s="121"/>
      <c r="C34" s="121"/>
      <c r="D34" s="121"/>
      <c r="E34" s="121"/>
      <c r="F34" s="121"/>
      <c r="G34" s="121"/>
      <c r="H34" s="121"/>
      <c r="I34" s="121"/>
      <c r="J34" s="121"/>
      <c r="K34" s="121"/>
      <c r="L34" s="121"/>
      <c r="M34" s="121"/>
      <c r="N34" s="121"/>
      <c r="O34" s="121"/>
      <c r="P34" s="121"/>
      <c r="Q34" s="546"/>
      <c r="R34" s="1017" t="s">
        <v>22</v>
      </c>
      <c r="S34" s="1017"/>
      <c r="T34" s="1017"/>
      <c r="U34" s="369">
        <f>'Lookup Properties'!$B$5</f>
        <v>22.35</v>
      </c>
      <c r="V34" s="369">
        <f>'Lookup Properties'!$C$5</f>
        <v>17.399999999999999</v>
      </c>
      <c r="W34" s="369">
        <f>'Lookup Properties'!$D$5</f>
        <v>5</v>
      </c>
      <c r="X34" s="553">
        <f>SUM(U34:W34)</f>
        <v>44.75</v>
      </c>
      <c r="Y34" s="364"/>
      <c r="Z34" s="364"/>
      <c r="AA34"/>
      <c r="AB34"/>
      <c r="AC34"/>
      <c r="AD34"/>
      <c r="AE34"/>
    </row>
    <row r="35" spans="1:31" ht="12.75" customHeight="1">
      <c r="A35" s="121"/>
      <c r="B35" s="121"/>
      <c r="C35" s="121"/>
      <c r="D35" s="121"/>
      <c r="E35" s="121"/>
      <c r="F35" s="121"/>
      <c r="G35" s="121"/>
      <c r="H35" s="121"/>
      <c r="I35" s="121"/>
      <c r="J35" s="121"/>
      <c r="K35" s="121"/>
      <c r="L35" s="121"/>
      <c r="M35" s="121"/>
      <c r="N35" s="121"/>
      <c r="O35" s="121"/>
      <c r="P35" s="121"/>
      <c r="Q35" s="546"/>
      <c r="R35" s="1018" t="s">
        <v>579</v>
      </c>
      <c r="S35" s="1018"/>
      <c r="T35" s="1018"/>
      <c r="U35" s="369">
        <f>'Lookup Properties'!$B$6</f>
        <v>22.15</v>
      </c>
      <c r="V35" s="369">
        <f>'Lookup Properties'!$C$6</f>
        <v>18.149999999999999</v>
      </c>
      <c r="W35" s="369">
        <f>'Lookup Properties'!$D$6</f>
        <v>5</v>
      </c>
      <c r="X35" s="553">
        <f>SUM(U35:W35)</f>
        <v>45.3</v>
      </c>
      <c r="Y35" s="364"/>
      <c r="Z35" s="364"/>
      <c r="AA35"/>
      <c r="AB35"/>
      <c r="AC35"/>
      <c r="AD35"/>
      <c r="AE35"/>
    </row>
    <row r="36" spans="1:31" ht="12.75" customHeight="1">
      <c r="A36" s="121"/>
      <c r="B36" s="121"/>
      <c r="C36" s="121"/>
      <c r="D36" s="121"/>
      <c r="E36" s="121"/>
      <c r="F36" s="121"/>
      <c r="G36" s="121"/>
      <c r="H36" s="121"/>
      <c r="I36" s="121"/>
      <c r="J36" s="121"/>
      <c r="K36" s="121"/>
      <c r="L36" s="121"/>
      <c r="M36" s="121"/>
      <c r="N36" s="121"/>
      <c r="O36" s="121"/>
      <c r="P36" s="121"/>
      <c r="Q36" s="546"/>
      <c r="R36" s="1016" t="s">
        <v>21</v>
      </c>
      <c r="S36" s="1016"/>
      <c r="T36" s="1016"/>
      <c r="U36" s="369">
        <f>'Lookup Properties'!$B$4</f>
        <v>21.25</v>
      </c>
      <c r="V36" s="369">
        <f>'Lookup Properties'!$C$4</f>
        <v>17.399999999999999</v>
      </c>
      <c r="W36" s="369">
        <f>'Lookup Properties'!$D$4</f>
        <v>5</v>
      </c>
      <c r="X36" s="553">
        <f>SUM(U36:W36)</f>
        <v>43.65</v>
      </c>
      <c r="Y36" s="364"/>
      <c r="Z36" s="364"/>
      <c r="AA36"/>
      <c r="AB36"/>
      <c r="AC36"/>
      <c r="AD36"/>
      <c r="AE36"/>
    </row>
    <row r="37" spans="1:31" ht="12.75" customHeight="1">
      <c r="A37" s="121"/>
      <c r="B37" s="121"/>
      <c r="C37" s="121"/>
      <c r="D37" s="121"/>
      <c r="E37" s="121"/>
      <c r="F37" s="121"/>
      <c r="G37" s="121"/>
      <c r="H37" s="121"/>
      <c r="I37" s="121"/>
      <c r="J37" s="121"/>
      <c r="K37" s="121"/>
      <c r="L37" s="121"/>
      <c r="M37" s="121"/>
      <c r="N37" s="121"/>
      <c r="O37" s="121"/>
      <c r="P37" s="121"/>
      <c r="Q37" s="364"/>
      <c r="R37" s="364"/>
      <c r="S37" s="364"/>
      <c r="T37" s="364"/>
      <c r="U37" s="555"/>
      <c r="V37" s="555"/>
      <c r="W37" s="555"/>
      <c r="X37" s="555"/>
      <c r="Y37" s="555"/>
      <c r="Z37" s="364"/>
      <c r="AA37"/>
      <c r="AB37"/>
      <c r="AC37"/>
      <c r="AD37"/>
      <c r="AE37"/>
    </row>
    <row r="38" spans="1:31" ht="12.75" customHeight="1">
      <c r="A38" s="121"/>
      <c r="B38" s="121"/>
      <c r="C38" s="121"/>
      <c r="D38" s="121"/>
      <c r="E38" s="121"/>
      <c r="F38" s="121"/>
      <c r="G38" s="121"/>
      <c r="H38" s="121"/>
      <c r="I38" s="121"/>
      <c r="J38" s="121"/>
      <c r="K38" s="121"/>
      <c r="L38" s="121"/>
      <c r="M38" s="121"/>
      <c r="N38" s="121"/>
      <c r="O38" s="121"/>
      <c r="P38" s="121"/>
      <c r="Q38" s="360">
        <v>2.2000000000000002</v>
      </c>
      <c r="R38" s="363" t="s">
        <v>832</v>
      </c>
      <c r="S38" s="363"/>
      <c r="T38" s="363"/>
      <c r="U38" s="363"/>
      <c r="V38" s="363"/>
      <c r="W38" s="363"/>
      <c r="X38" s="363"/>
      <c r="Y38" s="363"/>
      <c r="Z38" s="364"/>
      <c r="AA38"/>
      <c r="AB38"/>
      <c r="AC38"/>
      <c r="AD38"/>
      <c r="AE38"/>
    </row>
    <row r="39" spans="1:31" ht="12.75" customHeight="1">
      <c r="A39" s="121"/>
      <c r="B39" s="121"/>
      <c r="C39" s="121"/>
      <c r="D39" s="121"/>
      <c r="E39" s="121"/>
      <c r="F39" s="121"/>
      <c r="G39" s="121"/>
      <c r="H39" s="121"/>
      <c r="I39" s="121"/>
      <c r="J39" s="121"/>
      <c r="K39" s="121"/>
      <c r="L39" s="121"/>
      <c r="M39" s="121"/>
      <c r="N39" s="121"/>
      <c r="O39" s="121"/>
      <c r="P39" s="121"/>
      <c r="Q39" s="360"/>
      <c r="R39" s="998" t="s">
        <v>77</v>
      </c>
      <c r="S39" s="999"/>
      <c r="T39" s="1000"/>
      <c r="U39" s="1019" t="s">
        <v>824</v>
      </c>
      <c r="V39" s="1019" t="s">
        <v>828</v>
      </c>
      <c r="W39" s="1019" t="s">
        <v>826</v>
      </c>
      <c r="X39" s="1019" t="s">
        <v>23</v>
      </c>
      <c r="Y39" s="364"/>
      <c r="Z39" s="364"/>
      <c r="AA39"/>
      <c r="AB39"/>
      <c r="AC39"/>
      <c r="AD39"/>
      <c r="AE39"/>
    </row>
    <row r="40" spans="1:31" ht="12.75" customHeight="1">
      <c r="A40" s="121"/>
      <c r="B40" s="121"/>
      <c r="C40" s="121"/>
      <c r="D40" s="121"/>
      <c r="E40" s="121"/>
      <c r="F40" s="121"/>
      <c r="G40" s="121"/>
      <c r="H40" s="121"/>
      <c r="I40" s="121"/>
      <c r="J40" s="121"/>
      <c r="K40" s="121"/>
      <c r="L40" s="121"/>
      <c r="M40" s="121"/>
      <c r="N40" s="121"/>
      <c r="O40" s="121"/>
      <c r="P40" s="121"/>
      <c r="Q40" s="360"/>
      <c r="R40" s="1001"/>
      <c r="S40" s="1002"/>
      <c r="T40" s="1003"/>
      <c r="U40" s="1019"/>
      <c r="V40" s="1019"/>
      <c r="W40" s="1019"/>
      <c r="X40" s="1019"/>
      <c r="Y40" s="364"/>
      <c r="Z40" s="364"/>
      <c r="AA40"/>
      <c r="AB40"/>
      <c r="AC40"/>
      <c r="AD40"/>
      <c r="AE40"/>
    </row>
    <row r="41" spans="1:31" ht="12.75" customHeight="1">
      <c r="A41" s="121"/>
      <c r="B41" s="121"/>
      <c r="C41" s="121"/>
      <c r="D41" s="121"/>
      <c r="E41" s="121"/>
      <c r="F41" s="121"/>
      <c r="G41" s="121"/>
      <c r="H41" s="121"/>
      <c r="I41" s="121"/>
      <c r="J41" s="121"/>
      <c r="K41" s="121"/>
      <c r="L41" s="121"/>
      <c r="M41" s="121"/>
      <c r="N41" s="121"/>
      <c r="O41" s="121"/>
      <c r="P41" s="121"/>
      <c r="Q41" s="360"/>
      <c r="R41" s="1020" t="s">
        <v>500</v>
      </c>
      <c r="S41" s="1020"/>
      <c r="T41" s="1020"/>
      <c r="U41" s="556">
        <f>'Lookup Properties'!$B$13</f>
        <v>0.74</v>
      </c>
      <c r="V41" s="556">
        <f>'Lookup Properties'!$C$13</f>
        <v>0.78</v>
      </c>
      <c r="W41" s="556">
        <f>'Lookup Properties'!$D$13</f>
        <v>1.26</v>
      </c>
      <c r="X41" s="553">
        <f>SUM(U41:W41)</f>
        <v>2.7800000000000002</v>
      </c>
      <c r="Y41" s="364"/>
      <c r="Z41" s="364"/>
      <c r="AA41"/>
      <c r="AB41"/>
      <c r="AC41"/>
      <c r="AD41"/>
      <c r="AE41"/>
    </row>
    <row r="42" spans="1:31" ht="12.75" customHeight="1">
      <c r="A42" s="121"/>
      <c r="B42" s="121"/>
      <c r="C42" s="121"/>
      <c r="D42" s="121"/>
      <c r="E42" s="121"/>
      <c r="F42" s="121"/>
      <c r="G42" s="121"/>
      <c r="H42" s="121"/>
      <c r="I42" s="121"/>
      <c r="J42" s="121"/>
      <c r="K42" s="121"/>
      <c r="L42" s="121"/>
      <c r="M42" s="121"/>
      <c r="N42" s="121"/>
      <c r="O42" s="121"/>
      <c r="P42" s="121"/>
      <c r="Q42" s="360"/>
      <c r="R42" s="1017" t="s">
        <v>22</v>
      </c>
      <c r="S42" s="1017"/>
      <c r="T42" s="1017"/>
      <c r="U42" s="557">
        <f>'Lookup Properties'!$B$11</f>
        <v>0.71499999999999997</v>
      </c>
      <c r="V42" s="557">
        <f>'Lookup Properties'!$C$11</f>
        <v>1.03</v>
      </c>
      <c r="W42" s="557">
        <f>'Lookup Properties'!$D$11</f>
        <v>1.29</v>
      </c>
      <c r="X42" s="553">
        <f>SUM(U42:W42)</f>
        <v>3.0350000000000001</v>
      </c>
      <c r="Y42" s="364"/>
      <c r="Z42" s="364"/>
      <c r="AA42"/>
      <c r="AB42"/>
      <c r="AC42"/>
      <c r="AD42"/>
      <c r="AE42"/>
    </row>
    <row r="43" spans="1:31" ht="12.75" customHeight="1">
      <c r="A43" s="121"/>
      <c r="B43" s="121"/>
      <c r="C43" s="121"/>
      <c r="D43" s="121"/>
      <c r="E43" s="121"/>
      <c r="F43" s="121"/>
      <c r="G43" s="121"/>
      <c r="H43" s="121"/>
      <c r="I43" s="121"/>
      <c r="J43" s="121"/>
      <c r="K43" s="121"/>
      <c r="L43" s="121"/>
      <c r="M43" s="121"/>
      <c r="N43" s="121"/>
      <c r="O43" s="121"/>
      <c r="P43" s="121"/>
      <c r="Q43" s="360"/>
      <c r="R43" s="1018" t="s">
        <v>579</v>
      </c>
      <c r="S43" s="1018"/>
      <c r="T43" s="1018"/>
      <c r="U43" s="557">
        <f>'Lookup Properties'!$B$12</f>
        <v>0.755</v>
      </c>
      <c r="V43" s="557">
        <f>'Lookup Properties'!$C$12</f>
        <v>1.07</v>
      </c>
      <c r="W43" s="557">
        <f>'Lookup Properties'!$D$12</f>
        <v>1.2949999999999999</v>
      </c>
      <c r="X43" s="553">
        <f>SUM(U43:W43)</f>
        <v>3.12</v>
      </c>
      <c r="Y43" s="364"/>
      <c r="Z43" s="364"/>
      <c r="AA43"/>
      <c r="AB43"/>
      <c r="AC43"/>
      <c r="AD43"/>
      <c r="AE43"/>
    </row>
    <row r="44" spans="1:31" ht="12.75" customHeight="1">
      <c r="A44" s="121"/>
      <c r="B44" s="121"/>
      <c r="C44" s="121"/>
      <c r="D44" s="121"/>
      <c r="E44" s="121"/>
      <c r="F44" s="121"/>
      <c r="G44" s="121"/>
      <c r="H44" s="121"/>
      <c r="I44" s="121"/>
      <c r="J44" s="121"/>
      <c r="K44" s="121"/>
      <c r="L44" s="121"/>
      <c r="M44" s="121"/>
      <c r="N44" s="121"/>
      <c r="O44" s="121"/>
      <c r="P44" s="121"/>
      <c r="Q44" s="360"/>
      <c r="R44" s="1016" t="s">
        <v>21</v>
      </c>
      <c r="S44" s="1016"/>
      <c r="T44" s="1016"/>
      <c r="U44" s="557">
        <f>'Lookup Properties'!$B$10</f>
        <v>0.71</v>
      </c>
      <c r="V44" s="557">
        <f>'Lookup Properties'!$C$10</f>
        <v>1.03</v>
      </c>
      <c r="W44" s="557">
        <f>'Lookup Properties'!$D$10</f>
        <v>1.29</v>
      </c>
      <c r="X44" s="553">
        <f>SUM(U44:W44)</f>
        <v>3.0300000000000002</v>
      </c>
      <c r="Y44" s="364"/>
      <c r="Z44" s="364"/>
      <c r="AA44"/>
      <c r="AB44"/>
      <c r="AC44"/>
      <c r="AD44"/>
      <c r="AE44"/>
    </row>
    <row r="45" spans="1:31" ht="12.75" customHeight="1">
      <c r="A45" s="121"/>
      <c r="B45" s="121"/>
      <c r="C45" s="121"/>
      <c r="D45" s="121"/>
      <c r="E45" s="121"/>
      <c r="F45" s="121"/>
      <c r="G45" s="121"/>
      <c r="H45" s="121"/>
      <c r="I45" s="121"/>
      <c r="J45" s="121"/>
      <c r="K45" s="121"/>
      <c r="L45" s="121"/>
      <c r="M45" s="121"/>
      <c r="N45" s="121"/>
      <c r="O45" s="121"/>
      <c r="P45" s="121"/>
      <c r="Q45" s="364"/>
      <c r="R45" s="364"/>
      <c r="S45" s="364"/>
      <c r="T45" s="364"/>
      <c r="U45" s="555"/>
      <c r="V45" s="555"/>
      <c r="W45" s="555"/>
      <c r="X45" s="555"/>
      <c r="Y45" s="555"/>
      <c r="Z45" s="364"/>
      <c r="AA45"/>
      <c r="AB45"/>
      <c r="AC45"/>
      <c r="AD45"/>
      <c r="AE45"/>
    </row>
    <row r="46" spans="1:31" ht="12.75" customHeight="1">
      <c r="A46" s="121"/>
      <c r="B46" s="121"/>
      <c r="C46" s="121"/>
      <c r="D46" s="121"/>
      <c r="E46" s="121"/>
      <c r="F46" s="121"/>
      <c r="G46" s="121"/>
      <c r="H46" s="121"/>
      <c r="I46" s="121"/>
      <c r="J46" s="121"/>
      <c r="K46" s="121"/>
      <c r="L46" s="121"/>
      <c r="M46" s="121"/>
      <c r="N46" s="121"/>
      <c r="O46" s="121"/>
      <c r="P46" s="121"/>
      <c r="Q46" s="387" t="s">
        <v>817</v>
      </c>
      <c r="R46" s="1015" t="s">
        <v>206</v>
      </c>
      <c r="S46" s="1015"/>
      <c r="T46" s="1015"/>
      <c r="U46" s="1015"/>
      <c r="V46" s="1015"/>
      <c r="W46" s="1015"/>
      <c r="X46" s="1015"/>
      <c r="Y46" s="1015"/>
      <c r="Z46" s="536"/>
      <c r="AA46"/>
      <c r="AB46"/>
      <c r="AC46"/>
      <c r="AD46"/>
      <c r="AE46"/>
    </row>
    <row r="47" spans="1:31" ht="12.75" customHeight="1">
      <c r="A47" s="121"/>
      <c r="B47" s="121"/>
      <c r="C47" s="121"/>
      <c r="D47" s="121"/>
      <c r="E47" s="121"/>
      <c r="F47" s="121"/>
      <c r="G47" s="121"/>
      <c r="H47" s="121"/>
      <c r="I47" s="121"/>
      <c r="J47" s="121"/>
      <c r="K47" s="121"/>
      <c r="L47" s="121"/>
      <c r="M47" s="121"/>
      <c r="N47" s="121"/>
      <c r="O47" s="121"/>
      <c r="P47" s="121"/>
      <c r="Q47" s="668"/>
      <c r="R47" s="364"/>
      <c r="S47" s="364"/>
      <c r="T47" s="364"/>
      <c r="U47" s="555"/>
      <c r="V47" s="555"/>
      <c r="W47" s="555"/>
      <c r="X47" s="555"/>
      <c r="Y47" s="555"/>
      <c r="Z47" s="364"/>
      <c r="AA47"/>
      <c r="AB47"/>
      <c r="AC47"/>
      <c r="AD47"/>
      <c r="AE47"/>
    </row>
    <row r="48" spans="1:31" ht="12.75" customHeight="1">
      <c r="A48" s="121"/>
      <c r="B48" s="121"/>
      <c r="C48" s="121"/>
      <c r="D48" s="121"/>
      <c r="E48" s="121"/>
      <c r="F48" s="121"/>
      <c r="G48" s="121"/>
      <c r="H48" s="121"/>
      <c r="I48" s="121"/>
      <c r="J48" s="121"/>
      <c r="K48" s="121"/>
      <c r="L48" s="121"/>
      <c r="M48" s="121"/>
      <c r="N48" s="121"/>
      <c r="O48" s="121"/>
      <c r="P48" s="121"/>
      <c r="Q48" s="668" t="s">
        <v>196</v>
      </c>
      <c r="R48" s="364" t="s">
        <v>207</v>
      </c>
      <c r="S48" s="364"/>
      <c r="T48" s="364"/>
      <c r="U48" s="555"/>
      <c r="V48" s="555"/>
      <c r="W48" s="555"/>
      <c r="X48" s="555"/>
      <c r="Y48" s="555"/>
      <c r="Z48" s="364"/>
      <c r="AA48"/>
      <c r="AB48"/>
      <c r="AC48"/>
      <c r="AD48"/>
      <c r="AE48"/>
    </row>
    <row r="49" spans="1:31" ht="12.75" customHeight="1">
      <c r="A49" s="121"/>
      <c r="B49" s="121"/>
      <c r="C49" s="121"/>
      <c r="D49" s="121"/>
      <c r="E49" s="121"/>
      <c r="F49" s="121"/>
      <c r="G49" s="121"/>
      <c r="H49" s="121"/>
      <c r="I49" s="121"/>
      <c r="J49" s="121"/>
      <c r="K49" s="121"/>
      <c r="L49" s="121"/>
      <c r="M49" s="121"/>
      <c r="N49" s="121"/>
      <c r="O49" s="121"/>
      <c r="P49" s="121"/>
      <c r="Q49" s="364"/>
      <c r="R49" s="962" t="s">
        <v>678</v>
      </c>
      <c r="S49" s="963"/>
      <c r="T49" s="964"/>
      <c r="U49" s="949" t="s">
        <v>500</v>
      </c>
      <c r="V49" s="938" t="s">
        <v>22</v>
      </c>
      <c r="W49" s="940" t="s">
        <v>579</v>
      </c>
      <c r="X49" s="942" t="s">
        <v>21</v>
      </c>
      <c r="Y49" s="361"/>
      <c r="Z49" s="364"/>
      <c r="AA49"/>
      <c r="AB49"/>
      <c r="AC49"/>
      <c r="AD49"/>
      <c r="AE49"/>
    </row>
    <row r="50" spans="1:31" ht="12.75" customHeight="1">
      <c r="A50" s="121"/>
      <c r="B50" s="121"/>
      <c r="C50" s="121"/>
      <c r="D50" s="121"/>
      <c r="E50" s="121"/>
      <c r="F50" s="121"/>
      <c r="G50" s="121"/>
      <c r="H50" s="121"/>
      <c r="I50" s="121"/>
      <c r="J50" s="121"/>
      <c r="K50" s="121"/>
      <c r="L50" s="121"/>
      <c r="M50" s="121"/>
      <c r="N50" s="121"/>
      <c r="O50" s="121"/>
      <c r="P50" s="121"/>
      <c r="Q50" s="364"/>
      <c r="R50" s="965"/>
      <c r="S50" s="966"/>
      <c r="T50" s="967"/>
      <c r="U50" s="950"/>
      <c r="V50" s="939"/>
      <c r="W50" s="941"/>
      <c r="X50" s="943"/>
      <c r="Y50" s="361"/>
      <c r="Z50" s="364"/>
      <c r="AA50"/>
      <c r="AB50"/>
      <c r="AC50"/>
      <c r="AD50"/>
      <c r="AE50"/>
    </row>
    <row r="51" spans="1:31" ht="12.75" customHeight="1">
      <c r="A51" s="121"/>
      <c r="B51" s="121"/>
      <c r="C51" s="121"/>
      <c r="D51" s="121"/>
      <c r="E51" s="121"/>
      <c r="F51" s="121"/>
      <c r="G51" s="121"/>
      <c r="H51" s="121"/>
      <c r="I51" s="121"/>
      <c r="J51" s="121"/>
      <c r="K51" s="121"/>
      <c r="L51" s="121"/>
      <c r="M51" s="121"/>
      <c r="N51" s="121"/>
      <c r="O51" s="121"/>
      <c r="P51" s="121"/>
      <c r="Q51" s="364"/>
      <c r="R51" s="969" t="s">
        <v>210</v>
      </c>
      <c r="S51" s="969"/>
      <c r="T51" s="969"/>
      <c r="U51" s="560">
        <v>0.3</v>
      </c>
      <c r="V51" s="537">
        <f>VLOOKUP($V$5,'Lookup Penetration Rate'!$B$8:$E$208,3)</f>
        <v>0.4</v>
      </c>
      <c r="W51" s="537">
        <f>VLOOKUP($V$5,'Lookup Penetration Rate'!$B$8:$E$208,4)</f>
        <v>0.46</v>
      </c>
      <c r="X51" s="537">
        <f>VLOOKUP($V$5,'Lookup Penetration Rate'!$B$8:$E$208,2)</f>
        <v>0.56000000000000005</v>
      </c>
      <c r="Y51" s="361"/>
      <c r="Z51" s="364"/>
      <c r="AA51"/>
      <c r="AB51"/>
      <c r="AC51"/>
      <c r="AD51"/>
      <c r="AE51"/>
    </row>
    <row r="52" spans="1:31" ht="12.75" customHeight="1">
      <c r="A52" s="121"/>
      <c r="B52" s="121"/>
      <c r="C52" s="121"/>
      <c r="D52" s="121"/>
      <c r="E52" s="121"/>
      <c r="F52" s="121"/>
      <c r="G52" s="121"/>
      <c r="H52" s="121"/>
      <c r="I52" s="121"/>
      <c r="J52" s="121"/>
      <c r="K52" s="121"/>
      <c r="L52" s="121"/>
      <c r="M52" s="121"/>
      <c r="N52" s="121"/>
      <c r="O52" s="121"/>
      <c r="P52" s="121"/>
      <c r="Q52" s="364"/>
      <c r="R52" s="364"/>
      <c r="S52" s="364"/>
      <c r="T52" s="364"/>
      <c r="U52" s="555"/>
      <c r="V52" s="555"/>
      <c r="W52" s="555"/>
      <c r="X52" s="555"/>
      <c r="Y52" s="555"/>
      <c r="Z52" s="364"/>
      <c r="AA52"/>
      <c r="AB52"/>
      <c r="AC52"/>
      <c r="AD52"/>
      <c r="AE52"/>
    </row>
    <row r="53" spans="1:31" ht="12.75" customHeight="1">
      <c r="A53" s="121"/>
      <c r="B53" s="121"/>
      <c r="C53" s="121"/>
      <c r="D53" s="121"/>
      <c r="E53" s="121"/>
      <c r="F53" s="121"/>
      <c r="G53" s="121"/>
      <c r="H53" s="121"/>
      <c r="I53" s="121"/>
      <c r="J53" s="121"/>
      <c r="K53" s="121"/>
      <c r="L53" s="121"/>
      <c r="M53" s="121"/>
      <c r="N53" s="121"/>
      <c r="O53" s="121"/>
      <c r="P53" s="121"/>
      <c r="Q53" s="668" t="s">
        <v>197</v>
      </c>
      <c r="R53" s="364" t="s">
        <v>208</v>
      </c>
      <c r="S53" s="364"/>
      <c r="T53" s="364"/>
      <c r="U53" s="555"/>
      <c r="V53" s="555"/>
      <c r="W53" s="555"/>
      <c r="X53" s="555"/>
      <c r="Y53" s="555"/>
      <c r="Z53" s="364"/>
      <c r="AA53"/>
      <c r="AB53"/>
      <c r="AC53"/>
      <c r="AD53"/>
      <c r="AE53"/>
    </row>
    <row r="54" spans="1:31" ht="12.75" customHeight="1">
      <c r="A54" s="121"/>
      <c r="B54" s="121"/>
      <c r="C54" s="121"/>
      <c r="D54" s="121"/>
      <c r="E54" s="121"/>
      <c r="F54" s="121"/>
      <c r="G54" s="121"/>
      <c r="H54" s="121"/>
      <c r="I54" s="121"/>
      <c r="J54" s="121"/>
      <c r="K54" s="121"/>
      <c r="L54" s="121"/>
      <c r="M54" s="121"/>
      <c r="N54" s="121"/>
      <c r="O54" s="121"/>
      <c r="P54" s="121"/>
      <c r="Q54" s="668"/>
      <c r="R54" s="962" t="s">
        <v>678</v>
      </c>
      <c r="S54" s="963"/>
      <c r="T54" s="964"/>
      <c r="U54" s="949" t="s">
        <v>500</v>
      </c>
      <c r="V54" s="938" t="s">
        <v>22</v>
      </c>
      <c r="W54" s="940" t="s">
        <v>579</v>
      </c>
      <c r="X54" s="942" t="s">
        <v>21</v>
      </c>
      <c r="Y54" s="361"/>
      <c r="Z54" s="364"/>
      <c r="AA54"/>
      <c r="AB54"/>
      <c r="AC54"/>
      <c r="AD54"/>
      <c r="AE54"/>
    </row>
    <row r="55" spans="1:31" ht="12.75" customHeight="1">
      <c r="A55" s="121"/>
      <c r="B55" s="121"/>
      <c r="C55" s="121"/>
      <c r="D55" s="121"/>
      <c r="E55" s="121"/>
      <c r="F55" s="121"/>
      <c r="G55" s="121"/>
      <c r="H55" s="121"/>
      <c r="I55" s="121"/>
      <c r="J55" s="121"/>
      <c r="K55" s="121"/>
      <c r="L55" s="121"/>
      <c r="M55" s="121"/>
      <c r="N55" s="121"/>
      <c r="O55" s="121"/>
      <c r="P55" s="121"/>
      <c r="Q55" s="668"/>
      <c r="R55" s="965"/>
      <c r="S55" s="966"/>
      <c r="T55" s="967"/>
      <c r="U55" s="950"/>
      <c r="V55" s="939"/>
      <c r="W55" s="941"/>
      <c r="X55" s="943"/>
      <c r="Y55" s="361"/>
      <c r="Z55" s="364"/>
      <c r="AA55"/>
      <c r="AB55"/>
      <c r="AC55"/>
      <c r="AD55"/>
      <c r="AE55"/>
    </row>
    <row r="56" spans="1:31" ht="12.75" customHeight="1">
      <c r="A56" s="121"/>
      <c r="B56" s="121"/>
      <c r="C56" s="121"/>
      <c r="D56" s="121"/>
      <c r="E56" s="121"/>
      <c r="F56" s="121"/>
      <c r="G56" s="121"/>
      <c r="H56" s="121"/>
      <c r="I56" s="121"/>
      <c r="J56" s="121"/>
      <c r="K56" s="121"/>
      <c r="L56" s="121"/>
      <c r="M56" s="121"/>
      <c r="N56" s="121"/>
      <c r="O56" s="121"/>
      <c r="P56" s="121"/>
      <c r="Q56" s="668"/>
      <c r="R56" s="969" t="s">
        <v>209</v>
      </c>
      <c r="S56" s="969"/>
      <c r="T56" s="969"/>
      <c r="U56" s="560">
        <f>$V$20/U51</f>
        <v>4</v>
      </c>
      <c r="V56" s="669">
        <f>$V$20/V51</f>
        <v>2.9999999999999996</v>
      </c>
      <c r="W56" s="669">
        <f>$V$20/W51</f>
        <v>2.6086956521739126</v>
      </c>
      <c r="X56" s="669">
        <f>$V$20/X51</f>
        <v>2.1428571428571428</v>
      </c>
      <c r="Y56" s="361"/>
      <c r="Z56" s="364"/>
      <c r="AA56"/>
      <c r="AB56"/>
      <c r="AC56"/>
      <c r="AD56"/>
      <c r="AE56"/>
    </row>
    <row r="57" spans="1:31" ht="12.75" customHeight="1">
      <c r="A57" s="121"/>
      <c r="B57" s="121"/>
      <c r="C57" s="121"/>
      <c r="D57" s="121"/>
      <c r="E57" s="121"/>
      <c r="F57" s="121"/>
      <c r="G57" s="121"/>
      <c r="H57" s="121"/>
      <c r="I57" s="121"/>
      <c r="J57" s="121"/>
      <c r="K57" s="121"/>
      <c r="L57" s="121"/>
      <c r="M57" s="121"/>
      <c r="N57" s="121"/>
      <c r="O57" s="121"/>
      <c r="P57" s="121"/>
      <c r="Q57" s="364"/>
      <c r="R57" s="364"/>
      <c r="S57" s="364"/>
      <c r="T57" s="364"/>
      <c r="U57" s="555"/>
      <c r="V57" s="555"/>
      <c r="W57" s="555"/>
      <c r="X57" s="555"/>
      <c r="Y57" s="555"/>
      <c r="Z57" s="364"/>
      <c r="AA57"/>
      <c r="AB57"/>
      <c r="AC57"/>
      <c r="AD57"/>
      <c r="AE57"/>
    </row>
    <row r="58" spans="1:31" ht="12.75" customHeight="1">
      <c r="A58" s="121"/>
      <c r="B58" s="121"/>
      <c r="C58" s="121"/>
      <c r="D58" s="121"/>
      <c r="E58" s="121"/>
      <c r="F58" s="121"/>
      <c r="G58" s="121"/>
      <c r="H58" s="121"/>
      <c r="I58" s="121"/>
      <c r="J58" s="121"/>
      <c r="K58" s="121"/>
      <c r="L58" s="121"/>
      <c r="M58" s="121"/>
      <c r="N58" s="121"/>
      <c r="O58" s="121"/>
      <c r="P58" s="121"/>
      <c r="Q58" s="563">
        <v>3.3</v>
      </c>
      <c r="R58" s="363" t="s">
        <v>211</v>
      </c>
      <c r="S58" s="363"/>
      <c r="T58" s="363"/>
      <c r="U58" s="363"/>
      <c r="V58" s="363"/>
      <c r="W58" s="363"/>
      <c r="X58" s="363"/>
      <c r="Y58" s="363"/>
      <c r="Z58" s="364"/>
      <c r="AA58"/>
      <c r="AB58"/>
      <c r="AC58"/>
      <c r="AD58"/>
      <c r="AE58"/>
    </row>
    <row r="59" spans="1:31" ht="12.75" customHeight="1">
      <c r="A59" s="121"/>
      <c r="B59" s="121"/>
      <c r="C59" s="121"/>
      <c r="D59" s="121"/>
      <c r="E59" s="121"/>
      <c r="F59" s="121"/>
      <c r="G59" s="121"/>
      <c r="H59" s="121"/>
      <c r="I59" s="121"/>
      <c r="J59" s="121"/>
      <c r="K59" s="121"/>
      <c r="L59" s="121"/>
      <c r="M59" s="121"/>
      <c r="N59" s="121"/>
      <c r="O59" s="121"/>
      <c r="P59" s="121"/>
      <c r="Q59" s="563"/>
      <c r="R59" s="962" t="s">
        <v>678</v>
      </c>
      <c r="S59" s="963"/>
      <c r="T59" s="964"/>
      <c r="U59" s="949" t="s">
        <v>500</v>
      </c>
      <c r="V59" s="938" t="s">
        <v>22</v>
      </c>
      <c r="W59" s="940" t="s">
        <v>579</v>
      </c>
      <c r="X59" s="942" t="s">
        <v>21</v>
      </c>
      <c r="Y59" s="361"/>
      <c r="Z59" s="364"/>
      <c r="AA59"/>
      <c r="AB59"/>
      <c r="AC59"/>
      <c r="AD59"/>
      <c r="AE59"/>
    </row>
    <row r="60" spans="1:31" ht="12.75" customHeight="1">
      <c r="A60" s="121"/>
      <c r="B60" s="121"/>
      <c r="C60" s="121"/>
      <c r="D60" s="121"/>
      <c r="E60" s="121"/>
      <c r="F60" s="121"/>
      <c r="G60" s="121"/>
      <c r="H60" s="121"/>
      <c r="I60" s="121"/>
      <c r="J60" s="121"/>
      <c r="K60" s="121"/>
      <c r="L60" s="121"/>
      <c r="M60" s="121"/>
      <c r="N60" s="121"/>
      <c r="O60" s="121"/>
      <c r="P60" s="121"/>
      <c r="Q60" s="563"/>
      <c r="R60" s="965"/>
      <c r="S60" s="966"/>
      <c r="T60" s="967"/>
      <c r="U60" s="950"/>
      <c r="V60" s="939"/>
      <c r="W60" s="941"/>
      <c r="X60" s="943"/>
      <c r="Y60" s="361"/>
      <c r="Z60" s="364"/>
      <c r="AA60"/>
      <c r="AB60"/>
      <c r="AC60"/>
      <c r="AD60"/>
      <c r="AE60"/>
    </row>
    <row r="61" spans="1:31" ht="12.75" customHeight="1">
      <c r="A61" s="121"/>
      <c r="B61" s="121"/>
      <c r="C61" s="121"/>
      <c r="D61" s="121"/>
      <c r="E61" s="121"/>
      <c r="F61" s="121"/>
      <c r="G61" s="121"/>
      <c r="H61" s="121"/>
      <c r="I61" s="121"/>
      <c r="J61" s="121"/>
      <c r="K61" s="121"/>
      <c r="L61" s="121"/>
      <c r="M61" s="121"/>
      <c r="N61" s="121"/>
      <c r="O61" s="121"/>
      <c r="P61" s="121"/>
      <c r="Q61" s="563"/>
      <c r="R61" s="969" t="s">
        <v>209</v>
      </c>
      <c r="S61" s="969"/>
      <c r="T61" s="969"/>
      <c r="U61" s="562">
        <f>(U56*$V$24)/$V$23</f>
        <v>160</v>
      </c>
      <c r="V61" s="670">
        <f>(V56*$V$24)/$V$23</f>
        <v>119.99999999999997</v>
      </c>
      <c r="W61" s="670">
        <f>(W56*$V$24)/$V$23</f>
        <v>104.3478260869565</v>
      </c>
      <c r="X61" s="670">
        <f>(X56*$V$24)/$V$23</f>
        <v>85.714285714285708</v>
      </c>
      <c r="Y61" s="361"/>
      <c r="Z61" s="364"/>
      <c r="AA61"/>
      <c r="AB61"/>
      <c r="AC61"/>
      <c r="AD61"/>
      <c r="AE61"/>
    </row>
    <row r="62" spans="1:31" ht="12.75" customHeight="1">
      <c r="A62" s="121"/>
      <c r="B62" s="121"/>
      <c r="C62" s="121"/>
      <c r="D62" s="121"/>
      <c r="E62" s="121"/>
      <c r="F62" s="121"/>
      <c r="G62" s="121"/>
      <c r="H62" s="121"/>
      <c r="I62" s="121"/>
      <c r="J62" s="121"/>
      <c r="K62" s="121"/>
      <c r="L62" s="121"/>
      <c r="M62" s="121"/>
      <c r="N62" s="121"/>
      <c r="O62" s="121"/>
      <c r="P62" s="121"/>
      <c r="Q62" s="563"/>
      <c r="R62" s="931" t="s">
        <v>212</v>
      </c>
      <c r="S62" s="931"/>
      <c r="T62" s="931"/>
      <c r="U62" s="537">
        <f>U61/60</f>
        <v>2.6666666666666665</v>
      </c>
      <c r="V62" s="557">
        <f>V61/60</f>
        <v>1.9999999999999996</v>
      </c>
      <c r="W62" s="557">
        <f>W61/60</f>
        <v>1.7391304347826084</v>
      </c>
      <c r="X62" s="557">
        <f>X61/60</f>
        <v>1.4285714285714284</v>
      </c>
      <c r="Y62" s="361"/>
      <c r="Z62" s="364"/>
      <c r="AA62"/>
      <c r="AB62"/>
      <c r="AC62"/>
      <c r="AD62"/>
      <c r="AE62"/>
    </row>
    <row r="63" spans="1:31" ht="12.75" customHeight="1">
      <c r="A63" s="121"/>
      <c r="B63" s="121"/>
      <c r="C63" s="121"/>
      <c r="D63" s="121"/>
      <c r="E63" s="121"/>
      <c r="F63" s="121"/>
      <c r="G63" s="121"/>
      <c r="H63" s="121"/>
      <c r="I63" s="121"/>
      <c r="J63" s="121"/>
      <c r="K63" s="121"/>
      <c r="L63" s="121"/>
      <c r="M63" s="121"/>
      <c r="N63" s="121"/>
      <c r="O63" s="121"/>
      <c r="P63" s="121"/>
      <c r="Q63" s="563"/>
      <c r="R63" s="363"/>
      <c r="S63" s="363"/>
      <c r="T63" s="363"/>
      <c r="U63" s="363"/>
      <c r="V63" s="363"/>
      <c r="W63" s="363"/>
      <c r="X63" s="363"/>
      <c r="Y63" s="363"/>
      <c r="Z63" s="364"/>
      <c r="AA63"/>
      <c r="AB63"/>
      <c r="AC63"/>
      <c r="AD63"/>
      <c r="AE63"/>
    </row>
    <row r="64" spans="1:31" ht="12.75" customHeight="1">
      <c r="A64" s="121"/>
      <c r="B64" s="121"/>
      <c r="C64" s="121"/>
      <c r="D64" s="121"/>
      <c r="E64" s="121"/>
      <c r="F64" s="121"/>
      <c r="G64" s="121"/>
      <c r="H64" s="121"/>
      <c r="I64" s="121"/>
      <c r="J64" s="121"/>
      <c r="K64" s="121"/>
      <c r="L64" s="121"/>
      <c r="M64" s="121"/>
      <c r="N64" s="121"/>
      <c r="O64" s="121"/>
      <c r="P64" s="121"/>
      <c r="Q64" s="388" t="s">
        <v>295</v>
      </c>
      <c r="R64" s="1015" t="s">
        <v>216</v>
      </c>
      <c r="S64" s="1015"/>
      <c r="T64" s="1015"/>
      <c r="U64" s="1015"/>
      <c r="V64" s="1015"/>
      <c r="W64" s="1015"/>
      <c r="X64" s="1015"/>
      <c r="Y64" s="1015"/>
      <c r="Z64" s="536"/>
      <c r="AA64"/>
      <c r="AB64"/>
      <c r="AC64"/>
      <c r="AD64"/>
      <c r="AE64"/>
    </row>
    <row r="65" spans="1:36" ht="12.75" customHeight="1">
      <c r="A65" s="121"/>
      <c r="B65" s="121"/>
      <c r="C65" s="121"/>
      <c r="D65" s="121"/>
      <c r="E65" s="121"/>
      <c r="F65" s="121"/>
      <c r="G65" s="121"/>
      <c r="H65" s="121"/>
      <c r="I65" s="121"/>
      <c r="J65" s="121"/>
      <c r="K65" s="121"/>
      <c r="L65" s="121"/>
      <c r="M65" s="121"/>
      <c r="N65" s="121"/>
      <c r="O65" s="121"/>
      <c r="P65" s="121"/>
      <c r="Q65" s="563"/>
      <c r="R65" s="363"/>
      <c r="S65" s="363"/>
      <c r="T65" s="363"/>
      <c r="U65" s="363"/>
      <c r="V65" s="363"/>
      <c r="W65" s="363"/>
      <c r="X65" s="363"/>
      <c r="Y65" s="363"/>
      <c r="Z65" s="364"/>
      <c r="AA65"/>
      <c r="AB65"/>
      <c r="AC65"/>
      <c r="AD65"/>
      <c r="AE65"/>
      <c r="AF65" s="23"/>
      <c r="AG65" s="23"/>
      <c r="AH65" s="23"/>
      <c r="AI65" s="23"/>
    </row>
    <row r="66" spans="1:36" ht="12.75" customHeight="1">
      <c r="A66" s="121"/>
      <c r="B66" s="121"/>
      <c r="C66" s="121"/>
      <c r="D66" s="121"/>
      <c r="E66" s="121"/>
      <c r="F66" s="121"/>
      <c r="G66" s="121"/>
      <c r="H66" s="121"/>
      <c r="I66" s="121"/>
      <c r="J66" s="121"/>
      <c r="K66" s="121"/>
      <c r="L66" s="121"/>
      <c r="M66" s="121"/>
      <c r="N66" s="121"/>
      <c r="O66" s="121"/>
      <c r="P66" s="121"/>
      <c r="Q66" s="360" t="s">
        <v>502</v>
      </c>
      <c r="R66" s="364" t="s">
        <v>527</v>
      </c>
      <c r="S66" s="364"/>
      <c r="T66" s="364"/>
      <c r="U66" s="555"/>
      <c r="V66" s="555"/>
      <c r="W66" s="555"/>
      <c r="X66" s="555"/>
      <c r="Y66" s="555"/>
      <c r="Z66" s="364"/>
      <c r="AA66"/>
      <c r="AB66"/>
      <c r="AC66"/>
      <c r="AD66"/>
      <c r="AE66"/>
      <c r="AJ66" s="17"/>
    </row>
    <row r="67" spans="1:36" ht="12.75" customHeight="1">
      <c r="A67" s="121"/>
      <c r="B67" s="121"/>
      <c r="C67" s="121"/>
      <c r="D67" s="121"/>
      <c r="E67" s="121"/>
      <c r="F67" s="121"/>
      <c r="G67" s="121"/>
      <c r="H67" s="121"/>
      <c r="I67" s="121"/>
      <c r="J67" s="121"/>
      <c r="K67" s="121"/>
      <c r="L67" s="121"/>
      <c r="M67" s="121"/>
      <c r="N67" s="121"/>
      <c r="O67" s="121"/>
      <c r="P67" s="121"/>
      <c r="Q67" s="360"/>
      <c r="R67" s="962" t="s">
        <v>678</v>
      </c>
      <c r="S67" s="963"/>
      <c r="T67" s="964"/>
      <c r="U67" s="949" t="s">
        <v>500</v>
      </c>
      <c r="V67" s="938" t="s">
        <v>22</v>
      </c>
      <c r="W67" s="940" t="s">
        <v>579</v>
      </c>
      <c r="X67" s="942" t="s">
        <v>21</v>
      </c>
      <c r="Y67" s="361"/>
      <c r="Z67" s="364"/>
      <c r="AA67"/>
      <c r="AB67"/>
      <c r="AC67"/>
      <c r="AD67"/>
      <c r="AE67"/>
      <c r="AJ67" s="17"/>
    </row>
    <row r="68" spans="1:36" ht="12.75" customHeight="1">
      <c r="A68" s="121"/>
      <c r="B68" s="121"/>
      <c r="C68" s="121"/>
      <c r="D68" s="121"/>
      <c r="E68" s="121"/>
      <c r="F68" s="121"/>
      <c r="G68" s="121"/>
      <c r="H68" s="121"/>
      <c r="I68" s="121"/>
      <c r="J68" s="121"/>
      <c r="K68" s="121"/>
      <c r="L68" s="121"/>
      <c r="M68" s="121"/>
      <c r="N68" s="121"/>
      <c r="O68" s="121"/>
      <c r="P68" s="121"/>
      <c r="Q68" s="360"/>
      <c r="R68" s="965"/>
      <c r="S68" s="966"/>
      <c r="T68" s="967"/>
      <c r="U68" s="950"/>
      <c r="V68" s="939"/>
      <c r="W68" s="941"/>
      <c r="X68" s="943"/>
      <c r="Y68" s="361"/>
      <c r="Z68" s="364"/>
      <c r="AA68"/>
      <c r="AB68"/>
      <c r="AC68"/>
      <c r="AD68"/>
      <c r="AE68"/>
      <c r="AJ68" s="17"/>
    </row>
    <row r="69" spans="1:36" ht="12.75" customHeight="1">
      <c r="A69" s="121"/>
      <c r="B69" s="121"/>
      <c r="C69" s="121"/>
      <c r="D69" s="121"/>
      <c r="E69" s="121"/>
      <c r="F69" s="121"/>
      <c r="G69" s="121"/>
      <c r="H69" s="121"/>
      <c r="I69" s="121"/>
      <c r="J69" s="121"/>
      <c r="K69" s="121"/>
      <c r="L69" s="121"/>
      <c r="M69" s="121"/>
      <c r="N69" s="121"/>
      <c r="O69" s="121"/>
      <c r="P69" s="121"/>
      <c r="Q69" s="360"/>
      <c r="R69" s="969" t="s">
        <v>63</v>
      </c>
      <c r="S69" s="969"/>
      <c r="T69" s="969"/>
      <c r="U69" s="369">
        <v>102</v>
      </c>
      <c r="V69" s="369">
        <f>VLOOKUP($V$5,'Lookup dBA'!$B$8:$E$208,3)</f>
        <v>108</v>
      </c>
      <c r="W69" s="369">
        <f>VLOOKUP($V$5,'Lookup dBA'!$B$8:$E$208,4)</f>
        <v>109</v>
      </c>
      <c r="X69" s="369">
        <f>VLOOKUP($V$5,'Lookup dBA'!$B$8:$E$208,2)</f>
        <v>116</v>
      </c>
      <c r="Y69" s="361"/>
      <c r="Z69" s="364"/>
      <c r="AA69"/>
      <c r="AB69"/>
      <c r="AC69"/>
      <c r="AD69"/>
      <c r="AE69"/>
      <c r="AJ69" s="32"/>
    </row>
    <row r="70" spans="1:36" ht="12.75" customHeight="1">
      <c r="A70" s="121"/>
      <c r="B70" s="121"/>
      <c r="C70" s="121"/>
      <c r="D70" s="121"/>
      <c r="E70" s="121"/>
      <c r="F70" s="121"/>
      <c r="G70" s="121"/>
      <c r="H70" s="121"/>
      <c r="I70" s="121"/>
      <c r="J70" s="121"/>
      <c r="K70" s="121"/>
      <c r="L70" s="121"/>
      <c r="M70" s="121"/>
      <c r="N70" s="121"/>
      <c r="O70" s="121"/>
      <c r="P70" s="121"/>
      <c r="Q70" s="360"/>
      <c r="R70" s="969" t="s">
        <v>64</v>
      </c>
      <c r="S70" s="969"/>
      <c r="T70" s="969"/>
      <c r="U70" s="369">
        <f>U69-PPE!$I$15</f>
        <v>89</v>
      </c>
      <c r="V70" s="369">
        <f>V69-PPE!$I$15</f>
        <v>95</v>
      </c>
      <c r="W70" s="369">
        <f>W69-PPE!$I$15</f>
        <v>96</v>
      </c>
      <c r="X70" s="369">
        <f>X69-PPE!$I$15</f>
        <v>103</v>
      </c>
      <c r="Y70" s="361"/>
      <c r="Z70" s="364"/>
      <c r="AA70"/>
      <c r="AB70"/>
      <c r="AC70"/>
      <c r="AD70"/>
      <c r="AE70"/>
      <c r="AJ70" s="32"/>
    </row>
    <row r="71" spans="1:36" ht="12.75" customHeight="1">
      <c r="A71" s="121"/>
      <c r="B71" s="121"/>
      <c r="C71" s="121"/>
      <c r="D71" s="121"/>
      <c r="E71" s="121"/>
      <c r="F71" s="121"/>
      <c r="G71" s="121"/>
      <c r="H71" s="121"/>
      <c r="I71" s="121"/>
      <c r="J71" s="121"/>
      <c r="K71" s="121"/>
      <c r="L71" s="121"/>
      <c r="M71" s="121"/>
      <c r="N71" s="121"/>
      <c r="O71" s="121"/>
      <c r="P71" s="121"/>
      <c r="Q71" s="360"/>
      <c r="R71" s="969" t="s">
        <v>529</v>
      </c>
      <c r="S71" s="969"/>
      <c r="T71" s="969"/>
      <c r="U71" s="369">
        <v>110</v>
      </c>
      <c r="V71" s="369">
        <v>110</v>
      </c>
      <c r="W71" s="369">
        <v>110</v>
      </c>
      <c r="X71" s="369">
        <v>110</v>
      </c>
      <c r="Y71" s="361"/>
      <c r="Z71" s="364"/>
      <c r="AA71"/>
      <c r="AB71"/>
      <c r="AC71"/>
      <c r="AD71"/>
      <c r="AE71"/>
      <c r="AJ71" s="32"/>
    </row>
    <row r="72" spans="1:36" ht="12.75" customHeight="1">
      <c r="A72" s="121"/>
      <c r="B72" s="121"/>
      <c r="C72" s="121"/>
      <c r="D72" s="121"/>
      <c r="E72" s="121"/>
      <c r="F72" s="121"/>
      <c r="G72" s="121"/>
      <c r="H72" s="121"/>
      <c r="I72" s="121"/>
      <c r="J72" s="121"/>
      <c r="K72" s="121"/>
      <c r="L72" s="121"/>
      <c r="M72" s="121"/>
      <c r="N72" s="121"/>
      <c r="O72" s="121"/>
      <c r="P72" s="121"/>
      <c r="Q72" s="360"/>
      <c r="R72" s="363"/>
      <c r="S72" s="363"/>
      <c r="T72" s="363"/>
      <c r="U72" s="363"/>
      <c r="V72" s="363"/>
      <c r="W72" s="363"/>
      <c r="X72" s="363"/>
      <c r="Y72" s="555"/>
      <c r="Z72" s="364"/>
      <c r="AA72"/>
      <c r="AB72"/>
      <c r="AC72"/>
      <c r="AD72"/>
      <c r="AE72"/>
      <c r="AJ72" s="17"/>
    </row>
    <row r="73" spans="1:36" ht="12.75" customHeight="1">
      <c r="A73" s="121"/>
      <c r="B73" s="121"/>
      <c r="C73" s="121"/>
      <c r="D73" s="121"/>
      <c r="E73" s="121"/>
      <c r="F73" s="121"/>
      <c r="G73" s="121"/>
      <c r="H73" s="121"/>
      <c r="I73" s="121"/>
      <c r="J73" s="121"/>
      <c r="K73" s="121"/>
      <c r="L73" s="121"/>
      <c r="M73" s="121"/>
      <c r="N73" s="121"/>
      <c r="O73" s="121"/>
      <c r="P73" s="121"/>
      <c r="Q73" s="360" t="s">
        <v>503</v>
      </c>
      <c r="R73" s="364" t="s">
        <v>528</v>
      </c>
      <c r="S73" s="364"/>
      <c r="T73" s="364"/>
      <c r="U73" s="555"/>
      <c r="V73" s="555"/>
      <c r="W73" s="555"/>
      <c r="X73" s="555"/>
      <c r="Y73" s="555"/>
      <c r="Z73" s="364"/>
      <c r="AA73"/>
      <c r="AB73"/>
      <c r="AC73"/>
      <c r="AD73"/>
      <c r="AE73"/>
      <c r="AJ73" s="17"/>
    </row>
    <row r="74" spans="1:36" ht="12.75" customHeight="1">
      <c r="A74" s="121"/>
      <c r="B74" s="121"/>
      <c r="C74" s="121"/>
      <c r="D74" s="121"/>
      <c r="E74" s="121"/>
      <c r="F74" s="121"/>
      <c r="G74" s="121"/>
      <c r="H74" s="121"/>
      <c r="I74" s="121"/>
      <c r="J74" s="121"/>
      <c r="K74" s="121"/>
      <c r="L74" s="121"/>
      <c r="M74" s="121"/>
      <c r="N74" s="121"/>
      <c r="O74" s="121"/>
      <c r="P74" s="121"/>
      <c r="Q74" s="360"/>
      <c r="R74" s="935" t="s">
        <v>678</v>
      </c>
      <c r="S74" s="935"/>
      <c r="T74" s="935"/>
      <c r="U74" s="930" t="s">
        <v>500</v>
      </c>
      <c r="V74" s="928" t="s">
        <v>22</v>
      </c>
      <c r="W74" s="929" t="s">
        <v>579</v>
      </c>
      <c r="X74" s="927" t="s">
        <v>21</v>
      </c>
      <c r="Y74" s="361"/>
      <c r="Z74" s="364"/>
      <c r="AA74"/>
      <c r="AB74"/>
      <c r="AC74"/>
      <c r="AD74"/>
      <c r="AE74"/>
      <c r="AJ74" s="17"/>
    </row>
    <row r="75" spans="1:36" ht="12.75" customHeight="1">
      <c r="A75" s="121"/>
      <c r="B75" s="121"/>
      <c r="C75" s="121"/>
      <c r="D75" s="121"/>
      <c r="E75" s="121"/>
      <c r="F75" s="121"/>
      <c r="G75" s="121"/>
      <c r="H75" s="121"/>
      <c r="I75" s="121"/>
      <c r="J75" s="121"/>
      <c r="K75" s="121"/>
      <c r="L75" s="121"/>
      <c r="M75" s="121"/>
      <c r="N75" s="121"/>
      <c r="O75" s="121"/>
      <c r="P75" s="121"/>
      <c r="Q75" s="360"/>
      <c r="R75" s="935"/>
      <c r="S75" s="935"/>
      <c r="T75" s="935"/>
      <c r="U75" s="930"/>
      <c r="V75" s="928"/>
      <c r="W75" s="929"/>
      <c r="X75" s="927"/>
      <c r="Y75" s="361"/>
      <c r="Z75" s="364"/>
      <c r="AA75"/>
      <c r="AB75"/>
      <c r="AC75"/>
      <c r="AD75"/>
      <c r="AE75"/>
      <c r="AJ75" s="17"/>
    </row>
    <row r="76" spans="1:36" ht="12.75" customHeight="1">
      <c r="A76" s="121"/>
      <c r="B76" s="121"/>
      <c r="C76" s="121"/>
      <c r="D76" s="121"/>
      <c r="E76" s="121"/>
      <c r="F76" s="121"/>
      <c r="G76" s="121"/>
      <c r="H76" s="121"/>
      <c r="I76" s="121"/>
      <c r="J76" s="121"/>
      <c r="K76" s="121"/>
      <c r="L76" s="121"/>
      <c r="M76" s="121"/>
      <c r="N76" s="121"/>
      <c r="O76" s="121"/>
      <c r="P76" s="121"/>
      <c r="Q76" s="360"/>
      <c r="R76" s="969" t="s">
        <v>63</v>
      </c>
      <c r="S76" s="969"/>
      <c r="T76" s="969"/>
      <c r="U76" s="369">
        <f>VLOOKUP($V$21,$R$309:$Z$314,5)</f>
        <v>108.02059991327964</v>
      </c>
      <c r="V76" s="369">
        <f>VLOOKUP($V$21,$R$309:$Z$314,3)</f>
        <v>114.02059991327963</v>
      </c>
      <c r="W76" s="369">
        <f>VLOOKUP($V$21,$R$309:$Z$314,4)</f>
        <v>115.02059991327963</v>
      </c>
      <c r="X76" s="369">
        <f>VLOOKUP($V$21,$R$309:$Z$314,2)</f>
        <v>122.02059991327964</v>
      </c>
      <c r="Y76" s="361"/>
      <c r="Z76" s="364"/>
      <c r="AA76"/>
      <c r="AB76"/>
      <c r="AC76"/>
      <c r="AD76"/>
      <c r="AE76"/>
      <c r="AJ76" s="17"/>
    </row>
    <row r="77" spans="1:36" ht="12.75" customHeight="1">
      <c r="Q77" s="360"/>
      <c r="R77" s="969" t="s">
        <v>64</v>
      </c>
      <c r="S77" s="969"/>
      <c r="T77" s="969"/>
      <c r="U77" s="369">
        <f>U76-PPE!$I$15</f>
        <v>95.020599913279639</v>
      </c>
      <c r="V77" s="369">
        <f>V76-PPE!$I$15</f>
        <v>101.02059991327963</v>
      </c>
      <c r="W77" s="369">
        <f>W76-PPE!$I$15</f>
        <v>102.02059991327963</v>
      </c>
      <c r="X77" s="369">
        <f>X76-PPE!$I$15</f>
        <v>109.02059991327964</v>
      </c>
      <c r="Y77" s="361"/>
      <c r="Z77" s="364"/>
      <c r="AA77"/>
      <c r="AB77"/>
      <c r="AC77"/>
      <c r="AD77"/>
      <c r="AE77"/>
      <c r="AJ77" s="17"/>
    </row>
    <row r="78" spans="1:36" ht="12.75" customHeight="1">
      <c r="Q78" s="360"/>
      <c r="R78" s="969" t="s">
        <v>529</v>
      </c>
      <c r="S78" s="969"/>
      <c r="T78" s="969"/>
      <c r="U78" s="369">
        <v>110</v>
      </c>
      <c r="V78" s="369">
        <v>110</v>
      </c>
      <c r="W78" s="369">
        <v>110</v>
      </c>
      <c r="X78" s="369">
        <v>110</v>
      </c>
      <c r="Y78" s="361"/>
      <c r="Z78" s="364"/>
      <c r="AA78"/>
      <c r="AB78"/>
      <c r="AC78"/>
      <c r="AD78"/>
      <c r="AE78"/>
      <c r="AJ78" s="17"/>
    </row>
    <row r="79" spans="1:36" ht="12.75" customHeight="1">
      <c r="Q79" s="360"/>
      <c r="R79" s="364"/>
      <c r="S79" s="364"/>
      <c r="T79" s="364"/>
      <c r="U79" s="555"/>
      <c r="V79" s="555"/>
      <c r="W79" s="555"/>
      <c r="X79" s="555"/>
      <c r="Y79" s="555"/>
      <c r="Z79" s="364"/>
      <c r="AA79"/>
      <c r="AB79"/>
      <c r="AC79"/>
      <c r="AD79"/>
      <c r="AE79"/>
      <c r="AJ79" s="17"/>
    </row>
    <row r="80" spans="1:36" ht="12.75" customHeight="1">
      <c r="Q80" s="385" t="s">
        <v>305</v>
      </c>
      <c r="R80" s="1008" t="s">
        <v>218</v>
      </c>
      <c r="S80" s="1008"/>
      <c r="T80" s="1008"/>
      <c r="U80" s="1008"/>
      <c r="V80" s="1008"/>
      <c r="W80" s="1008"/>
      <c r="X80" s="1008"/>
      <c r="Y80" s="1008"/>
      <c r="Z80" s="536"/>
      <c r="AA80"/>
      <c r="AB80"/>
      <c r="AC80"/>
      <c r="AD80"/>
      <c r="AE80"/>
      <c r="AJ80" s="43"/>
    </row>
    <row r="81" spans="17:36" ht="12.75" customHeight="1">
      <c r="Q81" s="546"/>
      <c r="R81" s="363"/>
      <c r="S81" s="363"/>
      <c r="T81" s="363"/>
      <c r="U81" s="363"/>
      <c r="V81" s="363"/>
      <c r="W81" s="363"/>
      <c r="X81" s="363"/>
      <c r="Y81" s="363"/>
      <c r="Z81" s="364"/>
      <c r="AA81"/>
      <c r="AB81"/>
      <c r="AC81"/>
      <c r="AD81"/>
      <c r="AE81"/>
      <c r="AJ81" s="43"/>
    </row>
    <row r="82" spans="17:36" ht="12.75" customHeight="1">
      <c r="Q82" s="546"/>
      <c r="R82" s="363" t="s">
        <v>436</v>
      </c>
      <c r="S82" s="363"/>
      <c r="T82" s="363"/>
      <c r="U82" s="363"/>
      <c r="V82" s="363"/>
      <c r="W82" s="363"/>
      <c r="X82" s="363"/>
      <c r="Y82" s="363"/>
      <c r="Z82" s="364"/>
      <c r="AA82"/>
      <c r="AB82"/>
      <c r="AC82"/>
      <c r="AD82"/>
      <c r="AE82"/>
      <c r="AJ82" s="43"/>
    </row>
    <row r="83" spans="17:36" ht="12.75" customHeight="1">
      <c r="Q83" s="360"/>
      <c r="R83" s="935" t="s">
        <v>678</v>
      </c>
      <c r="S83" s="935"/>
      <c r="T83" s="935"/>
      <c r="U83" s="949" t="s">
        <v>500</v>
      </c>
      <c r="V83" s="1011" t="s">
        <v>22</v>
      </c>
      <c r="W83" s="1013" t="s">
        <v>579</v>
      </c>
      <c r="X83" s="1009" t="s">
        <v>21</v>
      </c>
      <c r="Y83" s="361"/>
      <c r="Z83" s="364"/>
      <c r="AA83"/>
      <c r="AB83"/>
      <c r="AC83"/>
      <c r="AD83"/>
      <c r="AE83"/>
    </row>
    <row r="84" spans="17:36" ht="12.75" customHeight="1">
      <c r="Q84" s="360"/>
      <c r="R84" s="935"/>
      <c r="S84" s="935"/>
      <c r="T84" s="935"/>
      <c r="U84" s="950"/>
      <c r="V84" s="1012"/>
      <c r="W84" s="1014"/>
      <c r="X84" s="1010"/>
      <c r="Y84" s="361"/>
      <c r="Z84" s="364"/>
      <c r="AA84"/>
      <c r="AB84"/>
      <c r="AC84"/>
      <c r="AD84"/>
      <c r="AE84"/>
    </row>
    <row r="85" spans="17:36" ht="12.75" customHeight="1">
      <c r="Q85" s="360"/>
      <c r="R85" s="969" t="s">
        <v>63</v>
      </c>
      <c r="S85" s="969"/>
      <c r="T85" s="969"/>
      <c r="U85" s="369">
        <f>U414</f>
        <v>97.15</v>
      </c>
      <c r="V85" s="369">
        <f>U356</f>
        <v>101.95</v>
      </c>
      <c r="W85" s="369">
        <f>U385</f>
        <v>102.4</v>
      </c>
      <c r="X85" s="369">
        <f>U327</f>
        <v>108.5</v>
      </c>
      <c r="Y85" s="361"/>
      <c r="Z85" s="364"/>
      <c r="AA85"/>
      <c r="AB85"/>
      <c r="AC85"/>
      <c r="AD85"/>
      <c r="AE85"/>
    </row>
    <row r="86" spans="17:36" ht="12.75" customHeight="1">
      <c r="Q86" s="360"/>
      <c r="R86" s="969" t="s">
        <v>64</v>
      </c>
      <c r="S86" s="969"/>
      <c r="T86" s="969"/>
      <c r="U86" s="369">
        <f>U427</f>
        <v>84.15</v>
      </c>
      <c r="V86" s="369">
        <f>U369</f>
        <v>88.95</v>
      </c>
      <c r="W86" s="369">
        <f>U398</f>
        <v>89.3</v>
      </c>
      <c r="X86" s="369">
        <f>U340</f>
        <v>95.55</v>
      </c>
      <c r="Y86" s="361"/>
      <c r="Z86" s="364"/>
      <c r="AA86"/>
      <c r="AB86"/>
      <c r="AC86"/>
      <c r="AD86"/>
      <c r="AE86"/>
    </row>
    <row r="87" spans="17:36" ht="12.75" customHeight="1">
      <c r="Q87" s="360"/>
      <c r="R87" s="969" t="s">
        <v>530</v>
      </c>
      <c r="S87" s="969"/>
      <c r="T87" s="969"/>
      <c r="U87" s="369">
        <v>85</v>
      </c>
      <c r="V87" s="369">
        <v>85</v>
      </c>
      <c r="W87" s="369">
        <v>85</v>
      </c>
      <c r="X87" s="369">
        <v>85</v>
      </c>
      <c r="Y87" s="361"/>
      <c r="Z87" s="364"/>
      <c r="AA87"/>
      <c r="AB87"/>
      <c r="AC87"/>
      <c r="AD87"/>
      <c r="AE87"/>
    </row>
    <row r="88" spans="17:36" ht="12.75" customHeight="1">
      <c r="Q88" s="360"/>
      <c r="R88" s="363"/>
      <c r="S88" s="363"/>
      <c r="T88" s="363"/>
      <c r="U88" s="363"/>
      <c r="V88" s="363"/>
      <c r="W88" s="363"/>
      <c r="X88" s="363"/>
      <c r="Y88" s="363"/>
      <c r="Z88" s="364"/>
      <c r="AA88"/>
      <c r="AB88"/>
      <c r="AC88"/>
      <c r="AD88"/>
      <c r="AE88"/>
    </row>
    <row r="89" spans="17:36" ht="12.75" customHeight="1">
      <c r="Q89" s="360"/>
      <c r="R89" s="363" t="s">
        <v>437</v>
      </c>
      <c r="S89" s="363"/>
      <c r="T89" s="363"/>
      <c r="U89" s="363"/>
      <c r="V89" s="363"/>
      <c r="W89" s="363"/>
      <c r="X89" s="363"/>
      <c r="Y89" s="363"/>
      <c r="Z89" s="364"/>
      <c r="AA89"/>
      <c r="AB89"/>
      <c r="AC89"/>
      <c r="AD89"/>
      <c r="AE89"/>
    </row>
    <row r="90" spans="17:36" ht="12.75" customHeight="1">
      <c r="Q90" s="360"/>
      <c r="R90" s="935" t="s">
        <v>678</v>
      </c>
      <c r="S90" s="935"/>
      <c r="T90" s="935"/>
      <c r="U90" s="949" t="s">
        <v>500</v>
      </c>
      <c r="V90" s="1011" t="s">
        <v>22</v>
      </c>
      <c r="W90" s="1013" t="s">
        <v>579</v>
      </c>
      <c r="X90" s="1009" t="s">
        <v>21</v>
      </c>
      <c r="Y90" s="361"/>
      <c r="Z90" s="364"/>
      <c r="AA90"/>
      <c r="AB90"/>
      <c r="AC90"/>
      <c r="AD90"/>
      <c r="AE90"/>
    </row>
    <row r="91" spans="17:36" ht="12.75" customHeight="1">
      <c r="Q91" s="360"/>
      <c r="R91" s="935"/>
      <c r="S91" s="935"/>
      <c r="T91" s="935"/>
      <c r="U91" s="950"/>
      <c r="V91" s="1012"/>
      <c r="W91" s="1014"/>
      <c r="X91" s="1010"/>
      <c r="Y91" s="361"/>
      <c r="Z91" s="364"/>
      <c r="AA91"/>
      <c r="AB91"/>
      <c r="AC91"/>
      <c r="AD91"/>
      <c r="AE91"/>
    </row>
    <row r="92" spans="17:36" ht="12.75" customHeight="1">
      <c r="Q92" s="360"/>
      <c r="R92" s="969" t="s">
        <v>63</v>
      </c>
      <c r="S92" s="969"/>
      <c r="T92" s="969"/>
      <c r="U92" s="369">
        <f>U533</f>
        <v>103.15</v>
      </c>
      <c r="V92" s="369">
        <f>U475</f>
        <v>107.95</v>
      </c>
      <c r="W92" s="369">
        <f>U504</f>
        <v>108.4</v>
      </c>
      <c r="X92" s="369">
        <f>U446</f>
        <v>113.95</v>
      </c>
      <c r="Y92" s="361"/>
      <c r="Z92" s="364"/>
      <c r="AA92"/>
      <c r="AB92"/>
      <c r="AC92"/>
      <c r="AD92"/>
      <c r="AE92"/>
    </row>
    <row r="93" spans="17:36" ht="12.75" customHeight="1">
      <c r="Q93" s="360"/>
      <c r="R93" s="969" t="s">
        <v>64</v>
      </c>
      <c r="S93" s="969"/>
      <c r="T93" s="969"/>
      <c r="U93" s="369">
        <f>U546</f>
        <v>90.15</v>
      </c>
      <c r="V93" s="369">
        <f>U488</f>
        <v>94.95</v>
      </c>
      <c r="W93" s="369">
        <f>U517</f>
        <v>95.3</v>
      </c>
      <c r="X93" s="369">
        <f>U459</f>
        <v>101.55</v>
      </c>
      <c r="Y93" s="361"/>
      <c r="Z93" s="364"/>
      <c r="AA93"/>
      <c r="AB93"/>
      <c r="AC93"/>
      <c r="AD93"/>
      <c r="AE93"/>
    </row>
    <row r="94" spans="17:36" ht="12.75" customHeight="1">
      <c r="Q94" s="360"/>
      <c r="R94" s="969" t="s">
        <v>530</v>
      </c>
      <c r="S94" s="969"/>
      <c r="T94" s="969"/>
      <c r="U94" s="369">
        <v>85</v>
      </c>
      <c r="V94" s="369">
        <v>85</v>
      </c>
      <c r="W94" s="369">
        <v>85</v>
      </c>
      <c r="X94" s="369">
        <v>85</v>
      </c>
      <c r="Y94" s="361"/>
      <c r="Z94" s="364"/>
      <c r="AA94"/>
      <c r="AB94"/>
      <c r="AC94"/>
      <c r="AD94"/>
      <c r="AE94"/>
    </row>
    <row r="95" spans="17:36" ht="12.75" customHeight="1">
      <c r="Q95" s="360"/>
      <c r="R95" s="363"/>
      <c r="S95" s="363"/>
      <c r="T95" s="363"/>
      <c r="U95" s="363"/>
      <c r="V95" s="363"/>
      <c r="W95" s="363"/>
      <c r="X95" s="363"/>
      <c r="Y95" s="363"/>
      <c r="Z95" s="364"/>
      <c r="AA95"/>
      <c r="AB95"/>
      <c r="AC95"/>
      <c r="AD95"/>
      <c r="AE95"/>
    </row>
    <row r="96" spans="17:36" s="133" customFormat="1" ht="12.75" customHeight="1">
      <c r="Q96" s="385" t="s">
        <v>222</v>
      </c>
      <c r="R96" s="1008" t="s">
        <v>504</v>
      </c>
      <c r="S96" s="1008"/>
      <c r="T96" s="1008"/>
      <c r="U96" s="1008"/>
      <c r="V96" s="1008"/>
      <c r="W96" s="1008"/>
      <c r="X96" s="1008"/>
      <c r="Y96" s="1008"/>
      <c r="Z96" s="547"/>
      <c r="AA96"/>
      <c r="AB96"/>
      <c r="AC96"/>
      <c r="AD96"/>
      <c r="AE96"/>
    </row>
    <row r="97" spans="17:31" ht="12.75" customHeight="1">
      <c r="Q97" s="360"/>
      <c r="R97" s="363"/>
      <c r="S97" s="363"/>
      <c r="T97" s="363"/>
      <c r="U97" s="363"/>
      <c r="V97" s="363"/>
      <c r="W97" s="363"/>
      <c r="X97" s="363"/>
      <c r="Y97" s="363"/>
      <c r="Z97" s="364"/>
      <c r="AA97"/>
      <c r="AB97"/>
      <c r="AC97"/>
      <c r="AD97"/>
      <c r="AE97"/>
    </row>
    <row r="98" spans="17:31" ht="12.75" customHeight="1">
      <c r="Q98" s="360" t="s">
        <v>505</v>
      </c>
      <c r="R98" s="363" t="s">
        <v>514</v>
      </c>
      <c r="S98" s="363"/>
      <c r="T98" s="363"/>
      <c r="U98" s="363"/>
      <c r="V98" s="363"/>
      <c r="W98" s="363"/>
      <c r="X98" s="363"/>
      <c r="Y98" s="363"/>
      <c r="Z98" s="364"/>
      <c r="AA98"/>
      <c r="AB98"/>
      <c r="AC98"/>
      <c r="AD98"/>
      <c r="AE98"/>
    </row>
    <row r="99" spans="17:31" ht="12.75" customHeight="1">
      <c r="Q99" s="360"/>
      <c r="R99" s="363" t="s">
        <v>512</v>
      </c>
      <c r="S99" s="363"/>
      <c r="T99" s="363"/>
      <c r="U99" s="363"/>
      <c r="V99" s="363"/>
      <c r="W99" s="363"/>
      <c r="X99" s="363"/>
      <c r="Y99" s="363"/>
      <c r="Z99" s="364"/>
      <c r="AA99"/>
      <c r="AB99"/>
      <c r="AC99"/>
      <c r="AD99"/>
      <c r="AE99"/>
    </row>
    <row r="100" spans="17:31" ht="12.75" customHeight="1">
      <c r="Q100" s="360"/>
      <c r="R100" s="998" t="s">
        <v>191</v>
      </c>
      <c r="S100" s="999"/>
      <c r="T100" s="1000"/>
      <c r="U100" s="949" t="s">
        <v>500</v>
      </c>
      <c r="V100" s="938" t="s">
        <v>22</v>
      </c>
      <c r="W100" s="940" t="s">
        <v>579</v>
      </c>
      <c r="X100" s="942" t="s">
        <v>21</v>
      </c>
      <c r="Y100" s="361"/>
      <c r="Z100" s="364"/>
      <c r="AA100"/>
      <c r="AB100"/>
      <c r="AC100"/>
      <c r="AD100"/>
      <c r="AE100"/>
    </row>
    <row r="101" spans="17:31" ht="12.75" customHeight="1">
      <c r="Q101" s="360"/>
      <c r="R101" s="1001"/>
      <c r="S101" s="1002"/>
      <c r="T101" s="1003"/>
      <c r="U101" s="950"/>
      <c r="V101" s="939"/>
      <c r="W101" s="941"/>
      <c r="X101" s="943"/>
      <c r="Y101" s="361"/>
      <c r="Z101" s="364"/>
      <c r="AA101"/>
      <c r="AB101"/>
      <c r="AC101"/>
      <c r="AD101"/>
      <c r="AE101"/>
    </row>
    <row r="102" spans="17:31" ht="12.75" customHeight="1">
      <c r="Q102" s="360"/>
      <c r="R102" s="969" t="s">
        <v>63</v>
      </c>
      <c r="S102" s="969"/>
      <c r="T102" s="969"/>
      <c r="U102" s="537">
        <f>VLOOKUP(U69,'Lookup Exposure Time'!$B$12:$C$732,2)</f>
        <v>10</v>
      </c>
      <c r="V102" s="537">
        <f>VLOOKUP(V69,'Lookup Exposure Time'!$B$12:$C$732,2)</f>
        <v>2.5</v>
      </c>
      <c r="W102" s="537">
        <f>VLOOKUP(W69,'Lookup Exposure Time'!$B$12:$C$732,2)</f>
        <v>1.875</v>
      </c>
      <c r="X102" s="537">
        <f>VLOOKUP(X69,'Lookup Exposure Time'!$B$12:$C$732,2)</f>
        <v>0.39061999999999986</v>
      </c>
      <c r="Y102" s="361"/>
      <c r="Z102" s="364"/>
      <c r="AA102"/>
      <c r="AB102"/>
      <c r="AC102"/>
      <c r="AD102"/>
      <c r="AE102"/>
    </row>
    <row r="103" spans="17:31" ht="12.75" customHeight="1">
      <c r="Q103" s="360"/>
      <c r="R103" s="969" t="s">
        <v>64</v>
      </c>
      <c r="S103" s="969"/>
      <c r="T103" s="969"/>
      <c r="U103" s="537">
        <f>VLOOKUP(U70,'Lookup Exposure Time'!$B$12:$C$732,2)</f>
        <v>200</v>
      </c>
      <c r="V103" s="537">
        <f>VLOOKUP(V70,'Lookup Exposure Time'!$B$12:$C$732,2)</f>
        <v>50</v>
      </c>
      <c r="W103" s="537">
        <f>VLOOKUP(W70,'Lookup Exposure Time'!$B$12:$C$732,2)</f>
        <v>40</v>
      </c>
      <c r="X103" s="537">
        <f>VLOOKUP(X70,'Lookup Exposure Time'!$B$12:$C$732,2)</f>
        <v>7.5</v>
      </c>
      <c r="Y103" s="361"/>
      <c r="Z103" s="364"/>
      <c r="AA103"/>
      <c r="AB103"/>
      <c r="AC103"/>
      <c r="AD103"/>
      <c r="AE103"/>
    </row>
    <row r="104" spans="17:31" ht="12.75" customHeight="1">
      <c r="Q104" s="360"/>
      <c r="R104" s="364"/>
      <c r="S104" s="364"/>
      <c r="T104" s="364"/>
      <c r="U104" s="364"/>
      <c r="V104" s="364"/>
      <c r="W104" s="364"/>
      <c r="X104" s="364"/>
      <c r="Y104" s="363"/>
      <c r="Z104" s="364"/>
      <c r="AA104"/>
      <c r="AB104"/>
      <c r="AC104"/>
      <c r="AD104"/>
      <c r="AE104"/>
    </row>
    <row r="105" spans="17:31" ht="12.75" customHeight="1">
      <c r="Q105" s="360" t="s">
        <v>507</v>
      </c>
      <c r="R105" s="363" t="s">
        <v>513</v>
      </c>
      <c r="S105" s="363"/>
      <c r="T105" s="363"/>
      <c r="U105" s="363"/>
      <c r="V105" s="363"/>
      <c r="W105" s="363"/>
      <c r="X105" s="363"/>
      <c r="Y105" s="363"/>
      <c r="Z105" s="364"/>
      <c r="AA105"/>
      <c r="AB105"/>
      <c r="AC105"/>
      <c r="AD105"/>
      <c r="AE105"/>
    </row>
    <row r="106" spans="17:31" ht="12.75" customHeight="1">
      <c r="Q106" s="360"/>
      <c r="R106" s="998" t="s">
        <v>191</v>
      </c>
      <c r="S106" s="999"/>
      <c r="T106" s="1000"/>
      <c r="U106" s="949" t="s">
        <v>500</v>
      </c>
      <c r="V106" s="938" t="s">
        <v>22</v>
      </c>
      <c r="W106" s="940" t="s">
        <v>579</v>
      </c>
      <c r="X106" s="942" t="s">
        <v>21</v>
      </c>
      <c r="Y106" s="361"/>
      <c r="Z106" s="364"/>
      <c r="AA106"/>
      <c r="AB106"/>
      <c r="AC106"/>
      <c r="AD106"/>
      <c r="AE106"/>
    </row>
    <row r="107" spans="17:31" ht="12.75" customHeight="1">
      <c r="Q107" s="360"/>
      <c r="R107" s="1001"/>
      <c r="S107" s="1002"/>
      <c r="T107" s="1003"/>
      <c r="U107" s="950"/>
      <c r="V107" s="939"/>
      <c r="W107" s="941"/>
      <c r="X107" s="943"/>
      <c r="Y107" s="361"/>
      <c r="Z107" s="364"/>
      <c r="AA107"/>
      <c r="AB107"/>
      <c r="AC107"/>
      <c r="AD107"/>
      <c r="AE107"/>
    </row>
    <row r="108" spans="17:31" ht="12.75" customHeight="1">
      <c r="Q108" s="360"/>
      <c r="R108" s="969" t="s">
        <v>63</v>
      </c>
      <c r="S108" s="969"/>
      <c r="T108" s="969"/>
      <c r="U108" s="671">
        <f>VLOOKUP(U76,'Lookup Exposure Time'!$B$12:$C$732,2)</f>
        <v>2.5</v>
      </c>
      <c r="V108" s="671">
        <f>VLOOKUP(V76,'Lookup Exposure Time'!$B$12:$C$732,2)</f>
        <v>0.625</v>
      </c>
      <c r="W108" s="671">
        <f>VLOOKUP(W76,'Lookup Exposure Time'!$B$12:$C$732,2)</f>
        <v>0.46875</v>
      </c>
      <c r="X108" s="671">
        <f>VLOOKUP(X76,'Lookup Exposure Time'!$B$12:$C$732,2)</f>
        <v>9.765625E-2</v>
      </c>
      <c r="Y108" s="361"/>
      <c r="Z108" s="364"/>
      <c r="AA108"/>
      <c r="AB108"/>
      <c r="AC108"/>
      <c r="AD108"/>
      <c r="AE108"/>
    </row>
    <row r="109" spans="17:31" ht="12.75" customHeight="1">
      <c r="Q109" s="360"/>
      <c r="R109" s="969" t="s">
        <v>64</v>
      </c>
      <c r="S109" s="969"/>
      <c r="T109" s="969"/>
      <c r="U109" s="557">
        <f>VLOOKUP(U77,'Lookup Exposure Time'!$B$12:$C$732,2)</f>
        <v>50</v>
      </c>
      <c r="V109" s="557">
        <f>VLOOKUP(V77,'Lookup Exposure Time'!$B$12:$C$732,2)</f>
        <v>12.5</v>
      </c>
      <c r="W109" s="557">
        <f>VLOOKUP(W77,'Lookup Exposure Time'!$B$12:$C$732,2)</f>
        <v>10</v>
      </c>
      <c r="X109" s="557">
        <f>VLOOKUP(X77,'Lookup Exposure Time'!$B$12:$C$732,2)</f>
        <v>1.875</v>
      </c>
      <c r="Y109" s="361"/>
      <c r="Z109" s="364"/>
      <c r="AA109"/>
      <c r="AB109"/>
      <c r="AC109"/>
      <c r="AD109"/>
      <c r="AE109"/>
    </row>
    <row r="110" spans="17:31" ht="12.75" customHeight="1">
      <c r="Q110" s="360"/>
      <c r="R110" s="363"/>
      <c r="S110" s="363"/>
      <c r="T110" s="363"/>
      <c r="U110" s="363"/>
      <c r="V110" s="363"/>
      <c r="W110" s="363"/>
      <c r="X110" s="363"/>
      <c r="Y110" s="363"/>
      <c r="Z110" s="364"/>
      <c r="AA110"/>
      <c r="AB110"/>
      <c r="AC110"/>
      <c r="AD110"/>
      <c r="AE110"/>
    </row>
    <row r="111" spans="17:31" ht="12.75" customHeight="1">
      <c r="Q111" s="360" t="s">
        <v>508</v>
      </c>
      <c r="R111" s="363" t="s">
        <v>531</v>
      </c>
      <c r="S111" s="363"/>
      <c r="T111" s="363"/>
      <c r="U111" s="363"/>
      <c r="V111" s="363"/>
      <c r="W111" s="363"/>
      <c r="X111" s="363"/>
      <c r="Y111" s="363"/>
      <c r="Z111" s="364"/>
      <c r="AA111"/>
      <c r="AB111"/>
      <c r="AC111"/>
      <c r="AD111"/>
      <c r="AE111"/>
    </row>
    <row r="112" spans="17:31" ht="12.75" customHeight="1">
      <c r="Q112" s="360"/>
      <c r="R112" s="998" t="s">
        <v>191</v>
      </c>
      <c r="S112" s="999"/>
      <c r="T112" s="1000"/>
      <c r="U112" s="949" t="s">
        <v>500</v>
      </c>
      <c r="V112" s="938" t="s">
        <v>22</v>
      </c>
      <c r="W112" s="940" t="s">
        <v>579</v>
      </c>
      <c r="X112" s="942" t="s">
        <v>21</v>
      </c>
      <c r="Y112" s="361"/>
      <c r="Z112" s="364"/>
      <c r="AA112"/>
      <c r="AB112"/>
      <c r="AC112"/>
      <c r="AD112"/>
      <c r="AE112"/>
    </row>
    <row r="113" spans="17:31" ht="12.75" customHeight="1">
      <c r="Q113" s="360"/>
      <c r="R113" s="1001"/>
      <c r="S113" s="1002"/>
      <c r="T113" s="1003"/>
      <c r="U113" s="950"/>
      <c r="V113" s="939"/>
      <c r="W113" s="941"/>
      <c r="X113" s="943"/>
      <c r="Y113" s="361"/>
      <c r="Z113" s="364"/>
      <c r="AA113"/>
      <c r="AB113"/>
      <c r="AC113"/>
      <c r="AD113"/>
      <c r="AE113"/>
    </row>
    <row r="114" spans="17:31" ht="12.75" customHeight="1">
      <c r="Q114" s="360"/>
      <c r="R114" s="969" t="s">
        <v>63</v>
      </c>
      <c r="S114" s="969"/>
      <c r="T114" s="969"/>
      <c r="U114" s="537">
        <f t="shared" ref="U114:X115" si="0">U102/60</f>
        <v>0.16666666666666666</v>
      </c>
      <c r="V114" s="537">
        <f t="shared" si="0"/>
        <v>4.1666666666666664E-2</v>
      </c>
      <c r="W114" s="537">
        <f t="shared" si="0"/>
        <v>3.125E-2</v>
      </c>
      <c r="X114" s="537">
        <f t="shared" si="0"/>
        <v>6.5103333333333306E-3</v>
      </c>
      <c r="Y114" s="361"/>
      <c r="Z114" s="364"/>
      <c r="AA114"/>
      <c r="AB114"/>
      <c r="AC114"/>
      <c r="AD114"/>
      <c r="AE114"/>
    </row>
    <row r="115" spans="17:31" ht="12.75" customHeight="1">
      <c r="Q115" s="360"/>
      <c r="R115" s="969" t="s">
        <v>64</v>
      </c>
      <c r="S115" s="969"/>
      <c r="T115" s="969"/>
      <c r="U115" s="537">
        <f t="shared" si="0"/>
        <v>3.3333333333333335</v>
      </c>
      <c r="V115" s="537">
        <f t="shared" si="0"/>
        <v>0.83333333333333337</v>
      </c>
      <c r="W115" s="537">
        <f t="shared" si="0"/>
        <v>0.66666666666666663</v>
      </c>
      <c r="X115" s="537">
        <f t="shared" si="0"/>
        <v>0.125</v>
      </c>
      <c r="Y115" s="361"/>
      <c r="Z115" s="364"/>
      <c r="AA115"/>
      <c r="AB115"/>
      <c r="AC115"/>
      <c r="AD115"/>
      <c r="AE115"/>
    </row>
    <row r="116" spans="17:31" ht="12.75" customHeight="1">
      <c r="Q116" s="360"/>
      <c r="R116" s="364"/>
      <c r="S116" s="364"/>
      <c r="T116" s="364"/>
      <c r="U116" s="364"/>
      <c r="V116" s="364"/>
      <c r="W116" s="364"/>
      <c r="X116" s="364"/>
      <c r="Y116" s="363"/>
      <c r="Z116" s="364"/>
      <c r="AA116"/>
      <c r="AB116"/>
      <c r="AC116"/>
      <c r="AD116"/>
      <c r="AE116"/>
    </row>
    <row r="117" spans="17:31" ht="12.75" customHeight="1">
      <c r="Q117" s="360" t="s">
        <v>506</v>
      </c>
      <c r="R117" s="363" t="s">
        <v>532</v>
      </c>
      <c r="S117" s="363"/>
      <c r="T117" s="363"/>
      <c r="U117" s="363"/>
      <c r="V117" s="363"/>
      <c r="W117" s="363"/>
      <c r="X117" s="363"/>
      <c r="Y117" s="363"/>
      <c r="Z117" s="364"/>
      <c r="AA117"/>
      <c r="AB117"/>
      <c r="AC117"/>
      <c r="AD117"/>
      <c r="AE117"/>
    </row>
    <row r="118" spans="17:31" ht="12.75" customHeight="1">
      <c r="Q118" s="360"/>
      <c r="R118" s="998" t="s">
        <v>191</v>
      </c>
      <c r="S118" s="999"/>
      <c r="T118" s="1000"/>
      <c r="U118" s="949" t="s">
        <v>500</v>
      </c>
      <c r="V118" s="938" t="s">
        <v>22</v>
      </c>
      <c r="W118" s="940" t="s">
        <v>579</v>
      </c>
      <c r="X118" s="942" t="s">
        <v>21</v>
      </c>
      <c r="Y118" s="361"/>
      <c r="Z118" s="364"/>
      <c r="AA118"/>
      <c r="AB118"/>
      <c r="AC118"/>
      <c r="AD118"/>
      <c r="AE118"/>
    </row>
    <row r="119" spans="17:31" ht="12.75" customHeight="1">
      <c r="Q119" s="360"/>
      <c r="R119" s="1001"/>
      <c r="S119" s="1002"/>
      <c r="T119" s="1003"/>
      <c r="U119" s="950"/>
      <c r="V119" s="939"/>
      <c r="W119" s="941"/>
      <c r="X119" s="943"/>
      <c r="Y119" s="361"/>
      <c r="Z119" s="364"/>
      <c r="AA119"/>
      <c r="AB119"/>
      <c r="AC119"/>
      <c r="AD119"/>
      <c r="AE119"/>
    </row>
    <row r="120" spans="17:31" ht="12.75" customHeight="1">
      <c r="Q120" s="360"/>
      <c r="R120" s="969" t="s">
        <v>63</v>
      </c>
      <c r="S120" s="969"/>
      <c r="T120" s="969"/>
      <c r="U120" s="537">
        <f t="shared" ref="U120:X121" si="1">U108/60</f>
        <v>4.1666666666666664E-2</v>
      </c>
      <c r="V120" s="537">
        <f t="shared" si="1"/>
        <v>1.0416666666666666E-2</v>
      </c>
      <c r="W120" s="537">
        <f t="shared" si="1"/>
        <v>7.8125E-3</v>
      </c>
      <c r="X120" s="537">
        <f t="shared" si="1"/>
        <v>1.6276041666666667E-3</v>
      </c>
      <c r="Y120" s="361"/>
      <c r="Z120" s="364"/>
      <c r="AA120"/>
      <c r="AB120"/>
      <c r="AC120"/>
      <c r="AD120"/>
      <c r="AE120"/>
    </row>
    <row r="121" spans="17:31" ht="12.75" customHeight="1">
      <c r="Q121" s="360"/>
      <c r="R121" s="969" t="s">
        <v>64</v>
      </c>
      <c r="S121" s="969"/>
      <c r="T121" s="969"/>
      <c r="U121" s="537">
        <f t="shared" si="1"/>
        <v>0.83333333333333337</v>
      </c>
      <c r="V121" s="537">
        <f t="shared" si="1"/>
        <v>0.20833333333333334</v>
      </c>
      <c r="W121" s="537">
        <f t="shared" si="1"/>
        <v>0.16666666666666666</v>
      </c>
      <c r="X121" s="537">
        <f t="shared" si="1"/>
        <v>3.125E-2</v>
      </c>
      <c r="Y121" s="361"/>
      <c r="Z121" s="364"/>
      <c r="AA121"/>
      <c r="AB121"/>
      <c r="AC121"/>
      <c r="AD121"/>
      <c r="AE121"/>
    </row>
    <row r="122" spans="17:31" ht="12.75" customHeight="1">
      <c r="Q122" s="360"/>
      <c r="R122" s="363"/>
      <c r="S122" s="363"/>
      <c r="T122" s="363"/>
      <c r="U122" s="363"/>
      <c r="V122" s="363"/>
      <c r="W122" s="363"/>
      <c r="X122" s="363"/>
      <c r="Y122" s="363"/>
      <c r="Z122" s="364"/>
      <c r="AA122"/>
      <c r="AB122"/>
      <c r="AC122"/>
      <c r="AD122"/>
      <c r="AE122"/>
    </row>
    <row r="123" spans="17:31" ht="12.75" customHeight="1">
      <c r="Q123" s="546" t="s">
        <v>231</v>
      </c>
      <c r="R123" s="952" t="s">
        <v>232</v>
      </c>
      <c r="S123" s="952"/>
      <c r="T123" s="952"/>
      <c r="U123" s="952"/>
      <c r="V123" s="952"/>
      <c r="W123" s="952"/>
      <c r="X123" s="952"/>
      <c r="Y123" s="952"/>
      <c r="Z123" s="360"/>
      <c r="AA123"/>
      <c r="AB123"/>
      <c r="AC123"/>
      <c r="AD123"/>
      <c r="AE123"/>
    </row>
    <row r="124" spans="17:31" ht="12.75" customHeight="1">
      <c r="Q124" s="546"/>
      <c r="R124" s="360"/>
      <c r="S124" s="360"/>
      <c r="T124" s="360"/>
      <c r="U124" s="360"/>
      <c r="V124" s="360"/>
      <c r="W124" s="360"/>
      <c r="X124" s="360"/>
      <c r="Y124" s="360"/>
      <c r="Z124" s="360"/>
      <c r="AA124"/>
      <c r="AB124"/>
      <c r="AC124"/>
      <c r="AD124"/>
      <c r="AE124"/>
    </row>
    <row r="125" spans="17:31" ht="12.75" customHeight="1">
      <c r="Q125" s="546"/>
      <c r="R125" s="363" t="s">
        <v>233</v>
      </c>
      <c r="S125" s="363"/>
      <c r="T125" s="363"/>
      <c r="U125" s="363"/>
      <c r="V125" s="363"/>
      <c r="W125" s="363"/>
      <c r="X125" s="363"/>
      <c r="Y125" s="363"/>
      <c r="Z125" s="364"/>
      <c r="AA125"/>
      <c r="AB125"/>
      <c r="AC125"/>
      <c r="AD125"/>
      <c r="AE125"/>
    </row>
    <row r="126" spans="17:31" ht="12.75" customHeight="1">
      <c r="Q126" s="360"/>
      <c r="R126" s="998" t="s">
        <v>678</v>
      </c>
      <c r="S126" s="999"/>
      <c r="T126" s="1000"/>
      <c r="U126" s="949" t="s">
        <v>470</v>
      </c>
      <c r="V126" s="938" t="s">
        <v>22</v>
      </c>
      <c r="W126" s="940" t="s">
        <v>579</v>
      </c>
      <c r="X126" s="942" t="s">
        <v>21</v>
      </c>
      <c r="Y126" s="361"/>
      <c r="Z126" s="364"/>
      <c r="AA126"/>
      <c r="AB126"/>
      <c r="AC126"/>
      <c r="AD126"/>
      <c r="AE126"/>
    </row>
    <row r="127" spans="17:31" ht="12.75" customHeight="1">
      <c r="Q127" s="360"/>
      <c r="R127" s="1001"/>
      <c r="S127" s="1002"/>
      <c r="T127" s="1003"/>
      <c r="U127" s="950"/>
      <c r="V127" s="939"/>
      <c r="W127" s="941"/>
      <c r="X127" s="943"/>
      <c r="Y127" s="361"/>
      <c r="Z127" s="364"/>
      <c r="AA127"/>
      <c r="AB127"/>
      <c r="AC127"/>
      <c r="AD127"/>
      <c r="AE127"/>
    </row>
    <row r="128" spans="17:31" ht="12.75" customHeight="1">
      <c r="Q128" s="360"/>
      <c r="R128" s="969" t="s">
        <v>234</v>
      </c>
      <c r="S128" s="969"/>
      <c r="T128" s="969"/>
      <c r="U128" s="672">
        <v>8.3000000000000007</v>
      </c>
      <c r="V128" s="672">
        <f>VLOOKUP($V$5,'Lookup Vibration'!$B$8:$F$208,3)</f>
        <v>18.049999999999951</v>
      </c>
      <c r="W128" s="672">
        <f>VLOOKUP($V$5,'Lookup Vibration'!$B$8:$F$208,4)</f>
        <v>19.950000000000074</v>
      </c>
      <c r="X128" s="672">
        <f>VLOOKUP($V$5,'Lookup Vibration'!$B$8:$F$208,2)</f>
        <v>18.049999999999951</v>
      </c>
      <c r="Y128" s="361"/>
      <c r="Z128" s="364"/>
      <c r="AA128"/>
      <c r="AB128"/>
      <c r="AC128"/>
      <c r="AD128"/>
      <c r="AE128"/>
    </row>
    <row r="129" spans="17:31" ht="12.75" customHeight="1">
      <c r="Q129" s="360"/>
      <c r="R129" s="363"/>
      <c r="S129" s="363"/>
      <c r="T129" s="363"/>
      <c r="U129" s="363"/>
      <c r="V129" s="363"/>
      <c r="W129" s="363"/>
      <c r="X129" s="363"/>
      <c r="Y129" s="363"/>
      <c r="Z129" s="364"/>
      <c r="AA129"/>
      <c r="AB129"/>
      <c r="AC129"/>
      <c r="AD129"/>
      <c r="AE129"/>
    </row>
    <row r="130" spans="17:31" ht="12.75" customHeight="1">
      <c r="Q130" s="546" t="s">
        <v>235</v>
      </c>
      <c r="R130" s="952" t="s">
        <v>34</v>
      </c>
      <c r="S130" s="952"/>
      <c r="T130" s="952"/>
      <c r="U130" s="952"/>
      <c r="V130" s="952"/>
      <c r="W130" s="952"/>
      <c r="X130" s="952"/>
      <c r="Y130" s="952"/>
      <c r="Z130" s="360"/>
      <c r="AA130"/>
      <c r="AB130"/>
      <c r="AC130"/>
      <c r="AD130"/>
      <c r="AE130"/>
    </row>
    <row r="131" spans="17:31" ht="12.75" customHeight="1">
      <c r="Q131" s="546"/>
      <c r="R131" s="363"/>
      <c r="S131" s="363"/>
      <c r="T131" s="363"/>
      <c r="U131" s="363"/>
      <c r="V131" s="363"/>
      <c r="W131" s="363"/>
      <c r="X131" s="363"/>
      <c r="Y131" s="363"/>
      <c r="Z131" s="364"/>
      <c r="AA131"/>
      <c r="AB131"/>
      <c r="AC131"/>
      <c r="AD131"/>
      <c r="AE131"/>
    </row>
    <row r="132" spans="17:31" ht="12.75" customHeight="1">
      <c r="Q132" s="360"/>
      <c r="R132" s="998" t="s">
        <v>678</v>
      </c>
      <c r="S132" s="999"/>
      <c r="T132" s="1000"/>
      <c r="U132" s="949" t="s">
        <v>500</v>
      </c>
      <c r="V132" s="938" t="s">
        <v>22</v>
      </c>
      <c r="W132" s="940" t="s">
        <v>579</v>
      </c>
      <c r="X132" s="942" t="s">
        <v>21</v>
      </c>
      <c r="Y132" s="361"/>
      <c r="Z132" s="364"/>
      <c r="AA132"/>
      <c r="AB132"/>
      <c r="AC132"/>
      <c r="AD132"/>
      <c r="AE132"/>
    </row>
    <row r="133" spans="17:31" ht="12.75" customHeight="1">
      <c r="Q133" s="360"/>
      <c r="R133" s="1001"/>
      <c r="S133" s="1002"/>
      <c r="T133" s="1003"/>
      <c r="U133" s="950"/>
      <c r="V133" s="939"/>
      <c r="W133" s="941"/>
      <c r="X133" s="943"/>
      <c r="Y133" s="361"/>
      <c r="Z133" s="364"/>
      <c r="AA133"/>
      <c r="AB133"/>
      <c r="AC133"/>
      <c r="AD133"/>
      <c r="AE133"/>
    </row>
    <row r="134" spans="17:31" ht="12.75" customHeight="1">
      <c r="Q134" s="360"/>
      <c r="R134" s="1004" t="s">
        <v>298</v>
      </c>
      <c r="S134" s="1004"/>
      <c r="T134" s="1004"/>
      <c r="U134" s="673" t="s">
        <v>819</v>
      </c>
      <c r="V134" s="673" t="s">
        <v>818</v>
      </c>
      <c r="W134" s="673" t="s">
        <v>819</v>
      </c>
      <c r="X134" s="673" t="s">
        <v>818</v>
      </c>
      <c r="Y134" s="361"/>
      <c r="Z134" s="364"/>
      <c r="AA134"/>
      <c r="AB134"/>
      <c r="AC134"/>
      <c r="AD134"/>
      <c r="AE134"/>
    </row>
    <row r="135" spans="17:31" ht="12.75" customHeight="1">
      <c r="Q135" s="360"/>
      <c r="R135" s="931" t="s">
        <v>299</v>
      </c>
      <c r="S135" s="931"/>
      <c r="T135" s="931"/>
      <c r="U135" s="673" t="s">
        <v>297</v>
      </c>
      <c r="V135" s="673" t="s">
        <v>296</v>
      </c>
      <c r="W135" s="673" t="s">
        <v>296</v>
      </c>
      <c r="X135" s="673" t="s">
        <v>296</v>
      </c>
      <c r="Y135" s="361"/>
      <c r="Z135" s="364"/>
      <c r="AA135"/>
      <c r="AB135"/>
      <c r="AC135"/>
      <c r="AD135"/>
      <c r="AE135"/>
    </row>
    <row r="136" spans="17:31" ht="12.75" customHeight="1">
      <c r="Q136" s="360"/>
      <c r="R136" s="363"/>
      <c r="S136" s="363"/>
      <c r="T136" s="363"/>
      <c r="U136" s="363"/>
      <c r="V136" s="363"/>
      <c r="W136" s="363"/>
      <c r="X136" s="363"/>
      <c r="Y136" s="363"/>
      <c r="Z136" s="363"/>
      <c r="AA136"/>
      <c r="AB136"/>
      <c r="AC136"/>
      <c r="AD136"/>
      <c r="AE136"/>
    </row>
    <row r="137" spans="17:31" ht="12.75" customHeight="1">
      <c r="Q137" s="546" t="s">
        <v>236</v>
      </c>
      <c r="R137" s="952" t="s">
        <v>237</v>
      </c>
      <c r="S137" s="952"/>
      <c r="T137" s="952"/>
      <c r="U137" s="952"/>
      <c r="V137" s="952"/>
      <c r="W137" s="952"/>
      <c r="X137" s="952"/>
      <c r="Y137" s="952"/>
      <c r="Z137" s="360"/>
      <c r="AA137"/>
      <c r="AB137"/>
      <c r="AC137"/>
      <c r="AD137"/>
      <c r="AE137"/>
    </row>
    <row r="138" spans="17:31" ht="12.75" customHeight="1">
      <c r="Q138" s="360"/>
      <c r="R138" s="363"/>
      <c r="S138" s="363"/>
      <c r="T138" s="363"/>
      <c r="U138" s="363"/>
      <c r="V138" s="363"/>
      <c r="W138" s="363"/>
      <c r="X138" s="363"/>
      <c r="Y138" s="363"/>
      <c r="Z138" s="363"/>
      <c r="AA138"/>
      <c r="AB138"/>
      <c r="AC138"/>
      <c r="AD138"/>
      <c r="AE138"/>
    </row>
    <row r="139" spans="17:31" ht="12.75" customHeight="1">
      <c r="Q139" s="668" t="s">
        <v>238</v>
      </c>
      <c r="R139" s="364" t="s">
        <v>239</v>
      </c>
      <c r="S139" s="364"/>
      <c r="T139" s="364"/>
      <c r="U139" s="364"/>
      <c r="V139" s="364"/>
      <c r="W139" s="364"/>
      <c r="X139" s="364"/>
      <c r="Y139" s="364"/>
      <c r="Z139" s="364"/>
      <c r="AA139"/>
      <c r="AB139"/>
      <c r="AC139"/>
      <c r="AD139"/>
      <c r="AE139"/>
    </row>
    <row r="140" spans="17:31" ht="12.75" customHeight="1">
      <c r="Q140" s="668"/>
      <c r="R140" s="364" t="s">
        <v>469</v>
      </c>
      <c r="S140" s="364"/>
      <c r="T140" s="364"/>
      <c r="U140" s="364"/>
      <c r="V140" s="364"/>
      <c r="W140" s="364"/>
      <c r="X140" s="364"/>
      <c r="Y140" s="364"/>
      <c r="Z140" s="364"/>
      <c r="AA140"/>
      <c r="AB140"/>
      <c r="AC140"/>
      <c r="AD140"/>
      <c r="AE140"/>
    </row>
    <row r="141" spans="17:31" ht="12.75" customHeight="1">
      <c r="Q141" s="668"/>
      <c r="R141" s="364"/>
      <c r="S141" s="364"/>
      <c r="T141" s="364"/>
      <c r="U141" s="364"/>
      <c r="V141" s="364"/>
      <c r="W141" s="364"/>
      <c r="X141" s="364"/>
      <c r="Y141" s="364"/>
      <c r="Z141" s="364"/>
      <c r="AA141"/>
      <c r="AB141"/>
      <c r="AC141"/>
      <c r="AD141"/>
      <c r="AE141"/>
    </row>
    <row r="142" spans="17:31" ht="12.75" customHeight="1">
      <c r="Q142" s="668"/>
      <c r="R142" s="1005" t="s">
        <v>734</v>
      </c>
      <c r="S142" s="1006"/>
      <c r="T142" s="1006"/>
      <c r="U142" s="1006"/>
      <c r="V142" s="1006"/>
      <c r="W142" s="1007"/>
      <c r="X142" s="351">
        <f>'Compressor Input Data'!G5</f>
        <v>22800</v>
      </c>
      <c r="Y142" s="364"/>
      <c r="Z142" s="364"/>
      <c r="AA142"/>
      <c r="AB142"/>
      <c r="AC142"/>
      <c r="AD142"/>
      <c r="AE142"/>
    </row>
    <row r="143" spans="17:31" ht="12.75" customHeight="1">
      <c r="Q143" s="668"/>
      <c r="R143" s="990" t="s">
        <v>430</v>
      </c>
      <c r="S143" s="991"/>
      <c r="T143" s="992"/>
      <c r="U143" s="949" t="s">
        <v>500</v>
      </c>
      <c r="V143" s="938" t="s">
        <v>22</v>
      </c>
      <c r="W143" s="940" t="s">
        <v>579</v>
      </c>
      <c r="X143" s="942" t="s">
        <v>21</v>
      </c>
      <c r="Y143" s="361"/>
      <c r="Z143" s="364"/>
      <c r="AA143"/>
      <c r="AB143"/>
      <c r="AC143"/>
      <c r="AD143"/>
      <c r="AE143"/>
    </row>
    <row r="144" spans="17:31" ht="12.75" customHeight="1">
      <c r="Q144" s="668"/>
      <c r="R144" s="993"/>
      <c r="S144" s="994"/>
      <c r="T144" s="995"/>
      <c r="U144" s="950"/>
      <c r="V144" s="939"/>
      <c r="W144" s="941"/>
      <c r="X144" s="943"/>
      <c r="Y144" s="361"/>
      <c r="Z144" s="364"/>
      <c r="AA144"/>
      <c r="AB144"/>
      <c r="AC144"/>
      <c r="AD144"/>
      <c r="AE144"/>
    </row>
    <row r="145" spans="17:31" ht="12.75" customHeight="1">
      <c r="Q145" s="668"/>
      <c r="R145" s="973" t="s">
        <v>555</v>
      </c>
      <c r="S145" s="973"/>
      <c r="T145" s="973"/>
      <c r="U145" s="996"/>
      <c r="V145" s="544">
        <f>X145</f>
        <v>22800</v>
      </c>
      <c r="W145" s="544">
        <f>X145</f>
        <v>22800</v>
      </c>
      <c r="X145" s="544">
        <f>X142</f>
        <v>22800</v>
      </c>
      <c r="Y145" s="361"/>
      <c r="Z145" s="364"/>
      <c r="AA145"/>
      <c r="AB145"/>
      <c r="AC145"/>
      <c r="AD145"/>
      <c r="AE145"/>
    </row>
    <row r="146" spans="17:31" ht="12.75" customHeight="1">
      <c r="Q146" s="668"/>
      <c r="R146" s="973" t="s">
        <v>549</v>
      </c>
      <c r="S146" s="973"/>
      <c r="T146" s="973"/>
      <c r="U146" s="997"/>
      <c r="V146" s="544">
        <f>X146</f>
        <v>24</v>
      </c>
      <c r="W146" s="544">
        <f>V146</f>
        <v>24</v>
      </c>
      <c r="X146" s="544">
        <f>'Compressor Input Data'!J15</f>
        <v>24</v>
      </c>
      <c r="Y146" s="361"/>
      <c r="Z146" s="364"/>
      <c r="AA146"/>
      <c r="AB146"/>
      <c r="AC146"/>
      <c r="AD146"/>
      <c r="AE146"/>
    </row>
    <row r="147" spans="17:31" ht="12.75" customHeight="1">
      <c r="Q147" s="668"/>
      <c r="R147" s="970" t="s">
        <v>556</v>
      </c>
      <c r="S147" s="971"/>
      <c r="T147" s="972"/>
      <c r="U147" s="566">
        <f>U62</f>
        <v>2.6666666666666665</v>
      </c>
      <c r="V147" s="566">
        <f>V62</f>
        <v>1.9999999999999996</v>
      </c>
      <c r="W147" s="566">
        <f>W62</f>
        <v>1.7391304347826084</v>
      </c>
      <c r="X147" s="566">
        <f>X62</f>
        <v>1.4285714285714284</v>
      </c>
      <c r="Y147" s="361"/>
      <c r="Z147" s="364"/>
      <c r="AA147"/>
      <c r="AB147"/>
      <c r="AC147"/>
      <c r="AD147"/>
      <c r="AE147"/>
    </row>
    <row r="148" spans="17:31" ht="12.75" customHeight="1">
      <c r="Q148" s="668"/>
      <c r="R148" s="973" t="s">
        <v>575</v>
      </c>
      <c r="S148" s="973"/>
      <c r="T148" s="973"/>
      <c r="U148" s="531">
        <f>W148</f>
        <v>0.22500000000000001</v>
      </c>
      <c r="V148" s="531">
        <f>X148</f>
        <v>0.22500000000000001</v>
      </c>
      <c r="W148" s="531">
        <f>V148</f>
        <v>0.22500000000000001</v>
      </c>
      <c r="X148" s="531">
        <f>'Compressor Input Data'!J17</f>
        <v>0.22500000000000001</v>
      </c>
      <c r="Y148" s="361"/>
      <c r="Z148" s="364"/>
      <c r="AA148"/>
      <c r="AB148"/>
      <c r="AC148"/>
      <c r="AD148"/>
      <c r="AE148"/>
    </row>
    <row r="149" spans="17:31" ht="12.75" customHeight="1">
      <c r="Q149" s="668"/>
      <c r="R149" s="987"/>
      <c r="S149" s="988"/>
      <c r="T149" s="988"/>
      <c r="U149" s="988"/>
      <c r="V149" s="988"/>
      <c r="W149" s="988"/>
      <c r="X149" s="989"/>
      <c r="Y149" s="364"/>
      <c r="Z149" s="364"/>
      <c r="AA149"/>
      <c r="AB149"/>
      <c r="AC149"/>
      <c r="AD149"/>
      <c r="AE149"/>
    </row>
    <row r="150" spans="17:31" ht="12.75" customHeight="1">
      <c r="Q150" s="668"/>
      <c r="R150" s="990" t="s">
        <v>467</v>
      </c>
      <c r="S150" s="991"/>
      <c r="T150" s="992"/>
      <c r="U150" s="949" t="s">
        <v>500</v>
      </c>
      <c r="V150" s="938" t="s">
        <v>22</v>
      </c>
      <c r="W150" s="940" t="s">
        <v>579</v>
      </c>
      <c r="X150" s="942" t="s">
        <v>21</v>
      </c>
      <c r="Y150" s="361"/>
      <c r="Z150" s="364"/>
      <c r="AA150"/>
      <c r="AB150"/>
      <c r="AC150"/>
      <c r="AD150"/>
      <c r="AE150"/>
    </row>
    <row r="151" spans="17:31" ht="12.75" customHeight="1">
      <c r="Q151" s="668"/>
      <c r="R151" s="993"/>
      <c r="S151" s="994"/>
      <c r="T151" s="995"/>
      <c r="U151" s="950"/>
      <c r="V151" s="939"/>
      <c r="W151" s="941"/>
      <c r="X151" s="943"/>
      <c r="Y151" s="361"/>
      <c r="Z151" s="364"/>
      <c r="AA151"/>
      <c r="AB151"/>
      <c r="AC151"/>
      <c r="AD151"/>
      <c r="AE151"/>
    </row>
    <row r="152" spans="17:31" ht="12.75" customHeight="1">
      <c r="Q152" s="668"/>
      <c r="R152" s="973" t="s">
        <v>554</v>
      </c>
      <c r="S152" s="973"/>
      <c r="T152" s="973"/>
      <c r="U152" s="986"/>
      <c r="V152" s="569">
        <f>X152</f>
        <v>1</v>
      </c>
      <c r="W152" s="570">
        <f>V152</f>
        <v>1</v>
      </c>
      <c r="X152" s="570">
        <f>'Compressor Input Data'!J20</f>
        <v>1</v>
      </c>
      <c r="Y152" s="361"/>
      <c r="Z152" s="364"/>
      <c r="AA152"/>
      <c r="AB152"/>
      <c r="AC152"/>
      <c r="AD152"/>
      <c r="AE152"/>
    </row>
    <row r="153" spans="17:31" ht="12.75" customHeight="1">
      <c r="Q153" s="668"/>
      <c r="R153" s="983" t="s">
        <v>551</v>
      </c>
      <c r="S153" s="984"/>
      <c r="T153" s="985"/>
      <c r="U153" s="986"/>
      <c r="V153" s="571">
        <f>V147/V146</f>
        <v>8.3333333333333315E-2</v>
      </c>
      <c r="W153" s="571">
        <f>W147/W146</f>
        <v>7.2463768115942018E-2</v>
      </c>
      <c r="X153" s="571">
        <f>X147/X146</f>
        <v>5.9523809523809514E-2</v>
      </c>
      <c r="Y153" s="361"/>
      <c r="Z153" s="364"/>
      <c r="AA153"/>
      <c r="AB153"/>
      <c r="AC153"/>
      <c r="AD153"/>
      <c r="AE153"/>
    </row>
    <row r="154" spans="17:31" ht="12.75" customHeight="1">
      <c r="Q154" s="668"/>
      <c r="R154" s="973" t="s">
        <v>552</v>
      </c>
      <c r="S154" s="973"/>
      <c r="T154" s="973"/>
      <c r="U154" s="986"/>
      <c r="V154" s="572">
        <f>X154</f>
        <v>0.6</v>
      </c>
      <c r="W154" s="572">
        <f>V154</f>
        <v>0.6</v>
      </c>
      <c r="X154" s="572">
        <f>'Compressor Input Data'!J22</f>
        <v>0.6</v>
      </c>
      <c r="Y154" s="361"/>
      <c r="Z154" s="364"/>
      <c r="AA154"/>
      <c r="AB154"/>
      <c r="AC154"/>
      <c r="AD154"/>
      <c r="AE154"/>
    </row>
    <row r="155" spans="17:31" ht="12.75" customHeight="1">
      <c r="Q155" s="668"/>
      <c r="R155" s="987"/>
      <c r="S155" s="988"/>
      <c r="T155" s="988"/>
      <c r="U155" s="988"/>
      <c r="V155" s="988"/>
      <c r="W155" s="988"/>
      <c r="X155" s="989"/>
      <c r="Y155" s="364"/>
      <c r="Z155" s="364"/>
      <c r="AA155"/>
      <c r="AB155"/>
      <c r="AC155"/>
      <c r="AD155"/>
      <c r="AE155"/>
    </row>
    <row r="156" spans="17:31" ht="12.75" customHeight="1">
      <c r="Q156" s="668"/>
      <c r="R156" s="990" t="s">
        <v>468</v>
      </c>
      <c r="S156" s="991"/>
      <c r="T156" s="992"/>
      <c r="U156" s="949" t="s">
        <v>500</v>
      </c>
      <c r="V156" s="938" t="s">
        <v>22</v>
      </c>
      <c r="W156" s="940" t="s">
        <v>579</v>
      </c>
      <c r="X156" s="942" t="s">
        <v>21</v>
      </c>
      <c r="Y156" s="361"/>
      <c r="Z156" s="364"/>
      <c r="AA156"/>
      <c r="AB156"/>
      <c r="AC156"/>
      <c r="AD156"/>
      <c r="AE156"/>
    </row>
    <row r="157" spans="17:31" ht="12.75" customHeight="1">
      <c r="Q157" s="668"/>
      <c r="R157" s="993"/>
      <c r="S157" s="994"/>
      <c r="T157" s="995"/>
      <c r="U157" s="950"/>
      <c r="V157" s="939"/>
      <c r="W157" s="941"/>
      <c r="X157" s="943"/>
      <c r="Y157" s="361"/>
      <c r="Z157" s="364"/>
      <c r="AA157"/>
      <c r="AB157"/>
      <c r="AC157"/>
      <c r="AD157"/>
      <c r="AE157"/>
    </row>
    <row r="158" spans="17:31" ht="12.75" customHeight="1">
      <c r="Q158" s="668"/>
      <c r="R158" s="973" t="s">
        <v>554</v>
      </c>
      <c r="S158" s="973"/>
      <c r="T158" s="973"/>
      <c r="U158" s="980"/>
      <c r="V158" s="572">
        <f>X158</f>
        <v>0.5</v>
      </c>
      <c r="W158" s="572">
        <f>V158</f>
        <v>0.5</v>
      </c>
      <c r="X158" s="572">
        <f>'Compressor Input Data'!J25</f>
        <v>0.5</v>
      </c>
      <c r="Y158" s="361"/>
      <c r="Z158" s="364"/>
      <c r="AA158"/>
      <c r="AB158"/>
      <c r="AC158"/>
      <c r="AD158"/>
      <c r="AE158"/>
    </row>
    <row r="159" spans="17:31" ht="12.75" customHeight="1">
      <c r="Q159" s="668"/>
      <c r="R159" s="983" t="s">
        <v>551</v>
      </c>
      <c r="S159" s="984"/>
      <c r="T159" s="985"/>
      <c r="U159" s="981"/>
      <c r="V159" s="572">
        <f>V152-V153</f>
        <v>0.91666666666666674</v>
      </c>
      <c r="W159" s="572">
        <f>W152-W153</f>
        <v>0.92753623188405798</v>
      </c>
      <c r="X159" s="572">
        <f>X152-X153</f>
        <v>0.94047619047619047</v>
      </c>
      <c r="Y159" s="361"/>
      <c r="Z159" s="364"/>
      <c r="AA159"/>
      <c r="AB159"/>
      <c r="AC159"/>
      <c r="AD159"/>
      <c r="AE159"/>
    </row>
    <row r="160" spans="17:31" ht="12.75" customHeight="1">
      <c r="Q160" s="668"/>
      <c r="R160" s="973" t="s">
        <v>552</v>
      </c>
      <c r="S160" s="973"/>
      <c r="T160" s="973"/>
      <c r="U160" s="982"/>
      <c r="V160" s="572">
        <f>X160</f>
        <v>0.6</v>
      </c>
      <c r="W160" s="572">
        <f>V160</f>
        <v>0.6</v>
      </c>
      <c r="X160" s="572">
        <f>'Compressor Input Data'!J27</f>
        <v>0.6</v>
      </c>
      <c r="Y160" s="361"/>
      <c r="Z160" s="364"/>
      <c r="AA160"/>
      <c r="AB160"/>
      <c r="AC160"/>
      <c r="AD160"/>
      <c r="AE160"/>
    </row>
    <row r="161" spans="17:31" ht="12.75" customHeight="1">
      <c r="Q161" s="668"/>
      <c r="R161" s="567"/>
      <c r="S161" s="568"/>
      <c r="T161" s="568"/>
      <c r="U161" s="573"/>
      <c r="V161" s="573"/>
      <c r="W161" s="573"/>
      <c r="X161" s="574"/>
      <c r="Y161" s="364"/>
      <c r="Z161" s="364"/>
      <c r="AA161"/>
      <c r="AB161"/>
      <c r="AC161"/>
      <c r="AD161"/>
      <c r="AE161"/>
    </row>
    <row r="162" spans="17:31" ht="12.75" customHeight="1">
      <c r="Q162" s="668"/>
      <c r="R162" s="901" t="s">
        <v>471</v>
      </c>
      <c r="S162" s="901"/>
      <c r="T162" s="901"/>
      <c r="U162" s="930" t="s">
        <v>500</v>
      </c>
      <c r="V162" s="928" t="s">
        <v>22</v>
      </c>
      <c r="W162" s="929" t="s">
        <v>579</v>
      </c>
      <c r="X162" s="927" t="s">
        <v>21</v>
      </c>
      <c r="Y162" s="361"/>
      <c r="Z162" s="364"/>
      <c r="AA162"/>
      <c r="AB162"/>
      <c r="AC162"/>
      <c r="AD162"/>
      <c r="AE162"/>
    </row>
    <row r="163" spans="17:31" ht="12.75" customHeight="1">
      <c r="Q163" s="668"/>
      <c r="R163" s="901"/>
      <c r="S163" s="901"/>
      <c r="T163" s="901"/>
      <c r="U163" s="930"/>
      <c r="V163" s="928"/>
      <c r="W163" s="929"/>
      <c r="X163" s="927"/>
      <c r="Y163" s="361"/>
      <c r="Z163" s="364"/>
      <c r="AA163"/>
      <c r="AB163"/>
      <c r="AC163"/>
      <c r="AD163"/>
      <c r="AE163"/>
    </row>
    <row r="164" spans="17:31" ht="12.75" customHeight="1">
      <c r="Q164" s="668"/>
      <c r="R164" s="973" t="s">
        <v>472</v>
      </c>
      <c r="S164" s="973"/>
      <c r="T164" s="973"/>
      <c r="U164" s="544">
        <f>$V$224</f>
        <v>938.66666666666674</v>
      </c>
      <c r="V164" s="544">
        <f>($V$145*$V$146*$V$153*$V$152)/$V$154</f>
        <v>75999.999999999985</v>
      </c>
      <c r="W164" s="544">
        <f>($W$145*$W$146*$W$153*$W$152)/$W$154</f>
        <v>66086.956521739121</v>
      </c>
      <c r="X164" s="544">
        <f>($X$145*$X$146*$X$153*$X$152)/$X$154</f>
        <v>54285.714285714275</v>
      </c>
      <c r="Y164" s="361"/>
      <c r="Z164" s="364"/>
      <c r="AA164"/>
      <c r="AB164"/>
      <c r="AC164"/>
      <c r="AD164"/>
      <c r="AE164"/>
    </row>
    <row r="165" spans="17:31" ht="12.75" customHeight="1">
      <c r="Q165" s="668"/>
      <c r="R165" s="973" t="s">
        <v>473</v>
      </c>
      <c r="S165" s="973"/>
      <c r="T165" s="973"/>
      <c r="U165" s="543"/>
      <c r="V165" s="544">
        <f>($V$145*$V$146*$V$159*$V$158)/$V$160</f>
        <v>418000.00000000006</v>
      </c>
      <c r="W165" s="544">
        <f>($W$145*$W$146*$W$159*$W$158)/$W$160</f>
        <v>422956.52173913049</v>
      </c>
      <c r="X165" s="544">
        <f>($X$145*$X$146*$X$159*$X$158)/$X$160</f>
        <v>428857.14285714284</v>
      </c>
      <c r="Y165" s="361"/>
      <c r="Z165" s="364"/>
      <c r="AA165"/>
      <c r="AB165"/>
      <c r="AC165"/>
      <c r="AD165"/>
      <c r="AE165"/>
    </row>
    <row r="166" spans="17:31" ht="12.75" customHeight="1">
      <c r="Q166" s="668"/>
      <c r="R166" s="567"/>
      <c r="S166" s="568"/>
      <c r="T166" s="568"/>
      <c r="U166" s="573"/>
      <c r="V166" s="573"/>
      <c r="W166" s="573"/>
      <c r="X166" s="574"/>
      <c r="Y166" s="364"/>
      <c r="Z166" s="364"/>
      <c r="AA166"/>
      <c r="AB166"/>
      <c r="AC166"/>
      <c r="AD166"/>
      <c r="AE166"/>
    </row>
    <row r="167" spans="17:31" ht="12.75" customHeight="1">
      <c r="Q167" s="668"/>
      <c r="R167" s="901" t="s">
        <v>474</v>
      </c>
      <c r="S167" s="901"/>
      <c r="T167" s="901"/>
      <c r="U167" s="930" t="s">
        <v>500</v>
      </c>
      <c r="V167" s="928" t="s">
        <v>22</v>
      </c>
      <c r="W167" s="929" t="s">
        <v>579</v>
      </c>
      <c r="X167" s="927" t="s">
        <v>21</v>
      </c>
      <c r="Y167" s="361"/>
      <c r="Z167" s="364"/>
      <c r="AA167"/>
      <c r="AB167"/>
      <c r="AC167"/>
      <c r="AD167"/>
      <c r="AE167"/>
    </row>
    <row r="168" spans="17:31" ht="12.75" customHeight="1">
      <c r="Q168" s="668"/>
      <c r="R168" s="901"/>
      <c r="S168" s="901"/>
      <c r="T168" s="901"/>
      <c r="U168" s="930"/>
      <c r="V168" s="928"/>
      <c r="W168" s="929"/>
      <c r="X168" s="927"/>
      <c r="Y168" s="361"/>
      <c r="Z168" s="364"/>
      <c r="AA168"/>
      <c r="AB168"/>
      <c r="AC168"/>
      <c r="AD168"/>
      <c r="AE168"/>
    </row>
    <row r="169" spans="17:31" ht="12.75" customHeight="1">
      <c r="Q169" s="668"/>
      <c r="R169" s="973" t="s">
        <v>472</v>
      </c>
      <c r="S169" s="973"/>
      <c r="T169" s="973"/>
      <c r="U169" s="544">
        <f>U164*$V$11</f>
        <v>21589.333333333336</v>
      </c>
      <c r="V169" s="544">
        <f>V164*$V$11</f>
        <v>1747999.9999999998</v>
      </c>
      <c r="W169" s="544">
        <f>W164*$V$11</f>
        <v>1519999.9999999998</v>
      </c>
      <c r="X169" s="544">
        <f>X164*$V$11</f>
        <v>1248571.4285714284</v>
      </c>
      <c r="Y169" s="361"/>
      <c r="Z169" s="364"/>
      <c r="AA169"/>
      <c r="AB169"/>
      <c r="AC169"/>
      <c r="AD169"/>
      <c r="AE169"/>
    </row>
    <row r="170" spans="17:31" ht="12.75" customHeight="1">
      <c r="Q170" s="668"/>
      <c r="R170" s="973" t="s">
        <v>473</v>
      </c>
      <c r="S170" s="973"/>
      <c r="T170" s="973"/>
      <c r="U170" s="543"/>
      <c r="V170" s="544">
        <f>V165*$V$11</f>
        <v>9614000.0000000019</v>
      </c>
      <c r="W170" s="544">
        <f>W165*$V$11</f>
        <v>9728000.0000000019</v>
      </c>
      <c r="X170" s="544">
        <f>X165*$V$11</f>
        <v>9863714.2857142854</v>
      </c>
      <c r="Y170" s="361"/>
      <c r="Z170" s="364"/>
      <c r="AA170"/>
      <c r="AB170"/>
      <c r="AC170"/>
      <c r="AD170"/>
      <c r="AE170"/>
    </row>
    <row r="171" spans="17:31" ht="12.75" customHeight="1">
      <c r="Q171" s="668"/>
      <c r="R171" s="567"/>
      <c r="S171" s="568"/>
      <c r="T171" s="568"/>
      <c r="U171" s="573"/>
      <c r="V171" s="573"/>
      <c r="W171" s="573"/>
      <c r="X171" s="574"/>
      <c r="Y171" s="364"/>
      <c r="Z171" s="364"/>
      <c r="AA171"/>
      <c r="AB171"/>
      <c r="AC171"/>
      <c r="AD171"/>
      <c r="AE171"/>
    </row>
    <row r="172" spans="17:31" ht="12.75" customHeight="1">
      <c r="Q172" s="668"/>
      <c r="R172" s="901" t="s">
        <v>474</v>
      </c>
      <c r="S172" s="901"/>
      <c r="T172" s="901"/>
      <c r="U172" s="930" t="s">
        <v>500</v>
      </c>
      <c r="V172" s="928" t="s">
        <v>22</v>
      </c>
      <c r="W172" s="929" t="s">
        <v>579</v>
      </c>
      <c r="X172" s="927" t="s">
        <v>21</v>
      </c>
      <c r="Y172" s="361"/>
      <c r="Z172" s="364"/>
      <c r="AA172"/>
      <c r="AB172"/>
      <c r="AC172"/>
      <c r="AD172"/>
      <c r="AE172"/>
    </row>
    <row r="173" spans="17:31" ht="12.75" customHeight="1">
      <c r="Q173" s="668"/>
      <c r="R173" s="901"/>
      <c r="S173" s="901"/>
      <c r="T173" s="901"/>
      <c r="U173" s="930"/>
      <c r="V173" s="928"/>
      <c r="W173" s="929"/>
      <c r="X173" s="927"/>
      <c r="Y173" s="361"/>
      <c r="Z173" s="364"/>
      <c r="AA173"/>
      <c r="AB173"/>
      <c r="AC173"/>
      <c r="AD173"/>
      <c r="AE173"/>
    </row>
    <row r="174" spans="17:31" ht="12.75" customHeight="1">
      <c r="Q174" s="668"/>
      <c r="R174" s="973" t="s">
        <v>472</v>
      </c>
      <c r="S174" s="973"/>
      <c r="T174" s="973"/>
      <c r="U174" s="544">
        <f>U169*12</f>
        <v>259072.00000000003</v>
      </c>
      <c r="V174" s="544">
        <f>V169*12</f>
        <v>20975999.999999996</v>
      </c>
      <c r="W174" s="544">
        <f>W169*12</f>
        <v>18239999.999999996</v>
      </c>
      <c r="X174" s="544">
        <f>X169*12</f>
        <v>14982857.142857142</v>
      </c>
      <c r="Y174" s="361"/>
      <c r="Z174" s="364"/>
      <c r="AA174"/>
      <c r="AB174"/>
      <c r="AC174"/>
      <c r="AD174"/>
      <c r="AE174"/>
    </row>
    <row r="175" spans="17:31" ht="12.75" customHeight="1">
      <c r="Q175" s="668"/>
      <c r="R175" s="973" t="s">
        <v>473</v>
      </c>
      <c r="S175" s="973"/>
      <c r="T175" s="973"/>
      <c r="U175" s="543"/>
      <c r="V175" s="544">
        <f>V170*12</f>
        <v>115368000.00000003</v>
      </c>
      <c r="W175" s="544">
        <f>W170*12</f>
        <v>116736000.00000003</v>
      </c>
      <c r="X175" s="544">
        <f>X170*12</f>
        <v>118364571.42857143</v>
      </c>
      <c r="Y175" s="361"/>
      <c r="Z175" s="364"/>
      <c r="AA175"/>
      <c r="AB175"/>
      <c r="AC175"/>
      <c r="AD175"/>
      <c r="AE175"/>
    </row>
    <row r="176" spans="17:31" ht="12.75" customHeight="1">
      <c r="Q176" s="668"/>
      <c r="R176" s="381"/>
      <c r="S176" s="381"/>
      <c r="T176" s="381"/>
      <c r="U176" s="381"/>
      <c r="V176" s="381"/>
      <c r="W176" s="381"/>
      <c r="X176" s="381"/>
      <c r="Y176" s="364"/>
      <c r="Z176" s="364"/>
      <c r="AA176"/>
      <c r="AB176"/>
      <c r="AC176"/>
      <c r="AD176"/>
      <c r="AE176"/>
    </row>
    <row r="177" spans="17:31" ht="12.75" customHeight="1">
      <c r="Q177" s="668"/>
      <c r="R177" s="901" t="s">
        <v>433</v>
      </c>
      <c r="S177" s="901"/>
      <c r="T177" s="901"/>
      <c r="U177" s="949" t="s">
        <v>500</v>
      </c>
      <c r="V177" s="938" t="s">
        <v>22</v>
      </c>
      <c r="W177" s="940" t="s">
        <v>579</v>
      </c>
      <c r="X177" s="942" t="s">
        <v>21</v>
      </c>
      <c r="Y177" s="361"/>
      <c r="Z177" s="364"/>
      <c r="AA177"/>
      <c r="AB177"/>
      <c r="AC177"/>
      <c r="AD177"/>
      <c r="AE177"/>
    </row>
    <row r="178" spans="17:31" ht="12.75" customHeight="1">
      <c r="Q178" s="668"/>
      <c r="R178" s="901"/>
      <c r="S178" s="901"/>
      <c r="T178" s="901"/>
      <c r="U178" s="950"/>
      <c r="V178" s="939"/>
      <c r="W178" s="941"/>
      <c r="X178" s="943"/>
      <c r="Y178" s="361"/>
      <c r="Z178" s="364"/>
      <c r="AA178"/>
      <c r="AB178"/>
      <c r="AC178"/>
      <c r="AD178"/>
      <c r="AE178"/>
    </row>
    <row r="179" spans="17:31" ht="12.75" customHeight="1">
      <c r="Q179" s="668"/>
      <c r="R179" s="970" t="s">
        <v>459</v>
      </c>
      <c r="S179" s="971"/>
      <c r="T179" s="972"/>
      <c r="U179" s="544">
        <f>U164</f>
        <v>938.66666666666674</v>
      </c>
      <c r="V179" s="544">
        <f>V164+V165</f>
        <v>494000.00000000006</v>
      </c>
      <c r="W179" s="544">
        <f>W164+W165</f>
        <v>489043.47826086963</v>
      </c>
      <c r="X179" s="544">
        <f>X164+X165</f>
        <v>483142.8571428571</v>
      </c>
      <c r="Y179" s="361"/>
      <c r="Z179" s="364"/>
      <c r="AA179"/>
      <c r="AB179"/>
      <c r="AC179"/>
      <c r="AD179"/>
      <c r="AE179"/>
    </row>
    <row r="180" spans="17:31" ht="12.75" customHeight="1">
      <c r="Q180" s="668"/>
      <c r="R180" s="973" t="s">
        <v>307</v>
      </c>
      <c r="S180" s="973"/>
      <c r="T180" s="973"/>
      <c r="U180" s="544">
        <f>U169</f>
        <v>21589.333333333336</v>
      </c>
      <c r="V180" s="544">
        <f>V169+V170</f>
        <v>11362000.000000002</v>
      </c>
      <c r="W180" s="544">
        <f>W169+W170</f>
        <v>11248000.000000002</v>
      </c>
      <c r="X180" s="544">
        <f>X169+X170</f>
        <v>11112285.714285715</v>
      </c>
      <c r="Y180" s="361"/>
      <c r="Z180" s="364"/>
      <c r="AA180"/>
      <c r="AB180"/>
      <c r="AC180"/>
      <c r="AD180"/>
      <c r="AE180"/>
    </row>
    <row r="181" spans="17:31" ht="12.75" customHeight="1">
      <c r="Q181" s="668"/>
      <c r="R181" s="973" t="s">
        <v>308</v>
      </c>
      <c r="S181" s="973"/>
      <c r="T181" s="973"/>
      <c r="U181" s="544">
        <f>U174</f>
        <v>259072.00000000003</v>
      </c>
      <c r="V181" s="544">
        <f>V174+V175</f>
        <v>136344000.00000003</v>
      </c>
      <c r="W181" s="544">
        <f>W174+W175</f>
        <v>134976000.00000003</v>
      </c>
      <c r="X181" s="544">
        <f>X174+X175</f>
        <v>133347428.57142857</v>
      </c>
      <c r="Y181" s="361"/>
      <c r="Z181" s="364"/>
      <c r="AA181"/>
      <c r="AB181"/>
      <c r="AC181"/>
      <c r="AD181"/>
      <c r="AE181"/>
    </row>
    <row r="182" spans="17:31" ht="12.75" customHeight="1">
      <c r="Q182" s="668"/>
      <c r="R182" s="381"/>
      <c r="S182" s="381"/>
      <c r="T182" s="381"/>
      <c r="U182" s="381"/>
      <c r="V182" s="381"/>
      <c r="W182" s="381"/>
      <c r="X182" s="381"/>
      <c r="Y182" s="364"/>
      <c r="Z182" s="364"/>
      <c r="AA182"/>
      <c r="AB182"/>
      <c r="AC182"/>
      <c r="AD182"/>
      <c r="AE182"/>
    </row>
    <row r="183" spans="17:31" ht="12.75" customHeight="1">
      <c r="Q183" s="668"/>
      <c r="R183" s="901" t="s">
        <v>475</v>
      </c>
      <c r="S183" s="901"/>
      <c r="T183" s="901"/>
      <c r="U183" s="930" t="s">
        <v>500</v>
      </c>
      <c r="V183" s="928" t="s">
        <v>22</v>
      </c>
      <c r="W183" s="929" t="s">
        <v>579</v>
      </c>
      <c r="X183" s="927" t="s">
        <v>21</v>
      </c>
      <c r="Y183" s="361"/>
      <c r="Z183" s="364"/>
      <c r="AA183"/>
      <c r="AB183"/>
      <c r="AC183"/>
      <c r="AD183"/>
      <c r="AE183"/>
    </row>
    <row r="184" spans="17:31" ht="12.75" customHeight="1">
      <c r="Q184" s="668"/>
      <c r="R184" s="901"/>
      <c r="S184" s="901"/>
      <c r="T184" s="901"/>
      <c r="U184" s="930"/>
      <c r="V184" s="928"/>
      <c r="W184" s="929"/>
      <c r="X184" s="927"/>
      <c r="Y184" s="361"/>
      <c r="Z184" s="364"/>
      <c r="AA184"/>
      <c r="AB184"/>
      <c r="AC184"/>
      <c r="AD184"/>
      <c r="AE184"/>
    </row>
    <row r="185" spans="17:31" ht="12.75" customHeight="1">
      <c r="Q185" s="668"/>
      <c r="R185" s="973" t="s">
        <v>472</v>
      </c>
      <c r="S185" s="973"/>
      <c r="T185" s="973"/>
      <c r="U185" s="593">
        <f>$V$224*$U$148</f>
        <v>211.20000000000002</v>
      </c>
      <c r="V185" s="593">
        <f>($V$145*$V$146*$V$153*$V$152*$V$148)/$V$154</f>
        <v>17099.999999999996</v>
      </c>
      <c r="W185" s="593">
        <f>($W$145*$W$146*$W$153*$W$152*$W$148)/$W$154</f>
        <v>14869.565217391304</v>
      </c>
      <c r="X185" s="593">
        <f>($X$145*$X$146*$X$153*$X$152*$X$148)/$X$154</f>
        <v>12214.285714285714</v>
      </c>
      <c r="Y185" s="361"/>
      <c r="Z185" s="364"/>
      <c r="AA185"/>
      <c r="AB185"/>
      <c r="AC185"/>
      <c r="AD185"/>
      <c r="AE185"/>
    </row>
    <row r="186" spans="17:31" ht="12.75" customHeight="1">
      <c r="Q186" s="668"/>
      <c r="R186" s="973" t="s">
        <v>473</v>
      </c>
      <c r="S186" s="973"/>
      <c r="T186" s="973"/>
      <c r="U186" s="543"/>
      <c r="V186" s="593">
        <f>($V$145*$V$146*$V$159*$V$158*$V$148)/$V$160</f>
        <v>94050.000000000015</v>
      </c>
      <c r="W186" s="593">
        <f>($W$145*$W$146*$W$159*$W$158*$W$148)/$W$160</f>
        <v>95165.217391304366</v>
      </c>
      <c r="X186" s="593">
        <f>($X$145*$X$146*$X$159*$X$158*$X$148)/$X$160</f>
        <v>96492.857142857145</v>
      </c>
      <c r="Y186" s="361"/>
      <c r="Z186" s="364"/>
      <c r="AA186"/>
      <c r="AB186"/>
      <c r="AC186"/>
      <c r="AD186"/>
      <c r="AE186"/>
    </row>
    <row r="187" spans="17:31" ht="12.75" customHeight="1">
      <c r="Q187" s="668"/>
      <c r="R187" s="381"/>
      <c r="S187" s="381"/>
      <c r="T187" s="381"/>
      <c r="U187" s="381"/>
      <c r="V187" s="381"/>
      <c r="W187" s="381"/>
      <c r="X187" s="381"/>
      <c r="Y187" s="552"/>
      <c r="Z187" s="364"/>
      <c r="AA187"/>
      <c r="AB187"/>
      <c r="AC187"/>
      <c r="AD187"/>
      <c r="AE187"/>
    </row>
    <row r="188" spans="17:31" ht="12.75" customHeight="1">
      <c r="Q188" s="668"/>
      <c r="R188" s="901" t="s">
        <v>476</v>
      </c>
      <c r="S188" s="901"/>
      <c r="T188" s="901"/>
      <c r="U188" s="930" t="s">
        <v>500</v>
      </c>
      <c r="V188" s="928" t="s">
        <v>22</v>
      </c>
      <c r="W188" s="929" t="s">
        <v>579</v>
      </c>
      <c r="X188" s="927" t="s">
        <v>21</v>
      </c>
      <c r="Y188" s="361"/>
      <c r="Z188" s="364"/>
      <c r="AA188"/>
      <c r="AB188"/>
      <c r="AC188"/>
      <c r="AD188"/>
      <c r="AE188"/>
    </row>
    <row r="189" spans="17:31" ht="12.75" customHeight="1">
      <c r="Q189" s="668"/>
      <c r="R189" s="901"/>
      <c r="S189" s="901"/>
      <c r="T189" s="901"/>
      <c r="U189" s="930"/>
      <c r="V189" s="928"/>
      <c r="W189" s="929"/>
      <c r="X189" s="927"/>
      <c r="Y189" s="361"/>
      <c r="Z189" s="364"/>
      <c r="AA189"/>
      <c r="AB189"/>
      <c r="AC189"/>
      <c r="AD189"/>
      <c r="AE189"/>
    </row>
    <row r="190" spans="17:31" ht="12.75" customHeight="1">
      <c r="Q190" s="668"/>
      <c r="R190" s="973" t="s">
        <v>472</v>
      </c>
      <c r="S190" s="973"/>
      <c r="T190" s="973"/>
      <c r="U190" s="593">
        <f>U185*$V$11</f>
        <v>4857.6000000000004</v>
      </c>
      <c r="V190" s="593">
        <f>V185*$V$11</f>
        <v>393299.99999999994</v>
      </c>
      <c r="W190" s="593">
        <f>W185*$V$11</f>
        <v>342000</v>
      </c>
      <c r="X190" s="593">
        <f>X185*$V$11</f>
        <v>280928.57142857142</v>
      </c>
      <c r="Y190" s="361"/>
      <c r="Z190" s="364"/>
      <c r="AA190"/>
      <c r="AB190"/>
      <c r="AC190"/>
      <c r="AD190"/>
      <c r="AE190"/>
    </row>
    <row r="191" spans="17:31" ht="12.75" customHeight="1">
      <c r="Q191" s="668"/>
      <c r="R191" s="973" t="s">
        <v>473</v>
      </c>
      <c r="S191" s="973"/>
      <c r="T191" s="973"/>
      <c r="U191" s="543"/>
      <c r="V191" s="593">
        <f>V186*$V$11</f>
        <v>2163150.0000000005</v>
      </c>
      <c r="W191" s="593">
        <f>W186*$V$11</f>
        <v>2188800.0000000005</v>
      </c>
      <c r="X191" s="593">
        <f>X186*$V$11</f>
        <v>2219335.7142857146</v>
      </c>
      <c r="Y191" s="361"/>
      <c r="Z191" s="364"/>
      <c r="AA191"/>
      <c r="AB191"/>
      <c r="AC191"/>
      <c r="AD191"/>
      <c r="AE191"/>
    </row>
    <row r="192" spans="17:31" ht="12.75" customHeight="1">
      <c r="Q192" s="668"/>
      <c r="R192" s="367"/>
      <c r="S192" s="367"/>
      <c r="T192" s="367"/>
      <c r="U192" s="367"/>
      <c r="V192" s="367"/>
      <c r="W192" s="367"/>
      <c r="X192" s="367"/>
      <c r="Y192" s="364"/>
      <c r="Z192" s="364"/>
      <c r="AA192"/>
      <c r="AB192"/>
      <c r="AC192"/>
      <c r="AD192"/>
      <c r="AE192"/>
    </row>
    <row r="193" spans="17:31" ht="12.75" customHeight="1">
      <c r="Q193" s="668"/>
      <c r="R193" s="901" t="s">
        <v>477</v>
      </c>
      <c r="S193" s="901"/>
      <c r="T193" s="901"/>
      <c r="U193" s="930" t="s">
        <v>500</v>
      </c>
      <c r="V193" s="928" t="s">
        <v>22</v>
      </c>
      <c r="W193" s="929" t="s">
        <v>579</v>
      </c>
      <c r="X193" s="927" t="s">
        <v>21</v>
      </c>
      <c r="Y193" s="361"/>
      <c r="Z193" s="364"/>
      <c r="AA193"/>
      <c r="AB193"/>
      <c r="AC193"/>
      <c r="AD193"/>
      <c r="AE193"/>
    </row>
    <row r="194" spans="17:31" ht="12.75" customHeight="1">
      <c r="Q194" s="668"/>
      <c r="R194" s="901"/>
      <c r="S194" s="901"/>
      <c r="T194" s="901"/>
      <c r="U194" s="930"/>
      <c r="V194" s="928"/>
      <c r="W194" s="929"/>
      <c r="X194" s="927"/>
      <c r="Y194" s="361"/>
      <c r="Z194" s="364"/>
      <c r="AA194"/>
      <c r="AB194"/>
      <c r="AC194"/>
      <c r="AD194"/>
      <c r="AE194"/>
    </row>
    <row r="195" spans="17:31" ht="12.75" customHeight="1">
      <c r="Q195" s="668"/>
      <c r="R195" s="973" t="s">
        <v>472</v>
      </c>
      <c r="S195" s="973"/>
      <c r="T195" s="973"/>
      <c r="U195" s="593">
        <f>U190*12</f>
        <v>58291.200000000004</v>
      </c>
      <c r="V195" s="593">
        <f>V190*12</f>
        <v>4719599.9999999991</v>
      </c>
      <c r="W195" s="593">
        <f>W190*12</f>
        <v>4104000</v>
      </c>
      <c r="X195" s="593">
        <f>X190*12</f>
        <v>3371142.8571428573</v>
      </c>
      <c r="Y195" s="361"/>
      <c r="Z195" s="364"/>
      <c r="AA195"/>
      <c r="AB195"/>
      <c r="AC195"/>
      <c r="AD195"/>
      <c r="AE195"/>
    </row>
    <row r="196" spans="17:31" ht="12.75" customHeight="1">
      <c r="Q196" s="668"/>
      <c r="R196" s="973" t="s">
        <v>473</v>
      </c>
      <c r="S196" s="973"/>
      <c r="T196" s="973"/>
      <c r="U196" s="543"/>
      <c r="V196" s="593">
        <f>V191*12</f>
        <v>25957800.000000007</v>
      </c>
      <c r="W196" s="593">
        <f>W191*12</f>
        <v>26265600.000000007</v>
      </c>
      <c r="X196" s="593">
        <f>X191*12</f>
        <v>26632028.571428575</v>
      </c>
      <c r="Y196" s="361"/>
      <c r="Z196" s="364"/>
      <c r="AA196"/>
      <c r="AB196"/>
      <c r="AC196"/>
      <c r="AD196"/>
      <c r="AE196"/>
    </row>
    <row r="197" spans="17:31" ht="12.75" customHeight="1">
      <c r="Q197" s="668"/>
      <c r="R197" s="367"/>
      <c r="S197" s="367"/>
      <c r="T197" s="367"/>
      <c r="U197" s="367"/>
      <c r="V197" s="367"/>
      <c r="W197" s="367"/>
      <c r="X197" s="367"/>
      <c r="Y197" s="364"/>
      <c r="Z197" s="364"/>
      <c r="AA197"/>
      <c r="AB197"/>
      <c r="AC197"/>
      <c r="AD197"/>
      <c r="AE197"/>
    </row>
    <row r="198" spans="17:31" ht="12.75" customHeight="1">
      <c r="Q198" s="668"/>
      <c r="R198" s="901" t="s">
        <v>116</v>
      </c>
      <c r="S198" s="901"/>
      <c r="T198" s="901"/>
      <c r="U198" s="949" t="s">
        <v>500</v>
      </c>
      <c r="V198" s="938" t="s">
        <v>22</v>
      </c>
      <c r="W198" s="940" t="s">
        <v>579</v>
      </c>
      <c r="X198" s="942" t="s">
        <v>21</v>
      </c>
      <c r="Y198" s="361"/>
      <c r="Z198" s="364"/>
      <c r="AA198"/>
      <c r="AB198"/>
      <c r="AC198"/>
      <c r="AD198"/>
      <c r="AE198"/>
    </row>
    <row r="199" spans="17:31" ht="12.75" customHeight="1">
      <c r="Q199" s="668"/>
      <c r="R199" s="901"/>
      <c r="S199" s="901"/>
      <c r="T199" s="901"/>
      <c r="U199" s="950"/>
      <c r="V199" s="939"/>
      <c r="W199" s="941"/>
      <c r="X199" s="943"/>
      <c r="Y199" s="361"/>
      <c r="Z199" s="364"/>
      <c r="AA199"/>
      <c r="AB199"/>
      <c r="AC199"/>
      <c r="AD199"/>
      <c r="AE199"/>
    </row>
    <row r="200" spans="17:31" ht="12.75" customHeight="1">
      <c r="Q200" s="668"/>
      <c r="R200" s="970" t="s">
        <v>459</v>
      </c>
      <c r="S200" s="971"/>
      <c r="T200" s="972"/>
      <c r="U200" s="593">
        <f>U185</f>
        <v>211.20000000000002</v>
      </c>
      <c r="V200" s="593">
        <f>V185+V186</f>
        <v>111150.00000000001</v>
      </c>
      <c r="W200" s="593">
        <f>W185+W186</f>
        <v>110034.78260869568</v>
      </c>
      <c r="X200" s="593">
        <f>X185+X186</f>
        <v>108707.14285714286</v>
      </c>
      <c r="Y200" s="361"/>
      <c r="Z200" s="364"/>
      <c r="AA200"/>
      <c r="AB200"/>
      <c r="AC200"/>
      <c r="AD200"/>
      <c r="AE200"/>
    </row>
    <row r="201" spans="17:31" ht="12.75" customHeight="1">
      <c r="Q201" s="668"/>
      <c r="R201" s="973" t="s">
        <v>307</v>
      </c>
      <c r="S201" s="973"/>
      <c r="T201" s="973"/>
      <c r="U201" s="593">
        <f>U190</f>
        <v>4857.6000000000004</v>
      </c>
      <c r="V201" s="593">
        <f>V190+V191</f>
        <v>2556450.0000000005</v>
      </c>
      <c r="W201" s="593">
        <f>W190+W191</f>
        <v>2530800.0000000005</v>
      </c>
      <c r="X201" s="593">
        <f>X190+X191</f>
        <v>2500264.2857142859</v>
      </c>
      <c r="Y201" s="361"/>
      <c r="Z201" s="364"/>
      <c r="AA201"/>
      <c r="AB201"/>
      <c r="AC201"/>
      <c r="AD201"/>
      <c r="AE201"/>
    </row>
    <row r="202" spans="17:31" ht="12.75" customHeight="1">
      <c r="Q202" s="668"/>
      <c r="R202" s="973" t="s">
        <v>308</v>
      </c>
      <c r="S202" s="973"/>
      <c r="T202" s="973"/>
      <c r="U202" s="593">
        <f>U195</f>
        <v>58291.200000000004</v>
      </c>
      <c r="V202" s="593">
        <f>V195+V196</f>
        <v>30677400.000000007</v>
      </c>
      <c r="W202" s="593">
        <f>W195+W196</f>
        <v>30369600.000000007</v>
      </c>
      <c r="X202" s="593">
        <f>X195+X196</f>
        <v>30003171.428571433</v>
      </c>
      <c r="Y202" s="361"/>
      <c r="Z202" s="364"/>
      <c r="AA202"/>
      <c r="AB202"/>
      <c r="AC202"/>
      <c r="AD202"/>
      <c r="AE202"/>
    </row>
    <row r="203" spans="17:31" ht="12.75" customHeight="1">
      <c r="Q203" s="668"/>
      <c r="R203" s="575"/>
      <c r="S203" s="575"/>
      <c r="T203" s="575"/>
      <c r="U203" s="382"/>
      <c r="V203" s="382"/>
      <c r="W203" s="382"/>
      <c r="X203" s="382"/>
      <c r="Y203" s="364"/>
      <c r="Z203" s="364"/>
      <c r="AA203"/>
      <c r="AB203"/>
      <c r="AC203"/>
      <c r="AD203"/>
      <c r="AE203"/>
    </row>
    <row r="204" spans="17:31" ht="12.75" customHeight="1">
      <c r="Q204" s="668"/>
      <c r="R204" s="974" t="s">
        <v>775</v>
      </c>
      <c r="S204" s="974"/>
      <c r="T204" s="974"/>
      <c r="U204" s="974"/>
      <c r="V204" s="974"/>
      <c r="W204" s="974"/>
      <c r="X204" s="974"/>
      <c r="Y204" s="974"/>
      <c r="Z204" s="364"/>
      <c r="AA204"/>
      <c r="AB204"/>
      <c r="AC204"/>
      <c r="AD204"/>
      <c r="AE204"/>
    </row>
    <row r="205" spans="17:31" ht="12.75" customHeight="1">
      <c r="Q205" s="668"/>
      <c r="R205" s="974"/>
      <c r="S205" s="974"/>
      <c r="T205" s="974"/>
      <c r="U205" s="974"/>
      <c r="V205" s="974"/>
      <c r="W205" s="974"/>
      <c r="X205" s="974"/>
      <c r="Y205" s="974"/>
      <c r="Z205" s="576"/>
      <c r="AA205"/>
      <c r="AB205"/>
      <c r="AC205"/>
      <c r="AD205"/>
      <c r="AE205"/>
    </row>
    <row r="206" spans="17:31" ht="12.75" customHeight="1">
      <c r="Q206" s="668"/>
      <c r="R206" s="974"/>
      <c r="S206" s="974"/>
      <c r="T206" s="974"/>
      <c r="U206" s="974"/>
      <c r="V206" s="974"/>
      <c r="W206" s="974"/>
      <c r="X206" s="974"/>
      <c r="Y206" s="974"/>
      <c r="Z206" s="576"/>
      <c r="AA206"/>
      <c r="AB206"/>
      <c r="AC206"/>
      <c r="AD206"/>
      <c r="AE206"/>
    </row>
    <row r="207" spans="17:31" ht="12.75" customHeight="1">
      <c r="Q207" s="668"/>
      <c r="R207" s="974"/>
      <c r="S207" s="974"/>
      <c r="T207" s="974"/>
      <c r="U207" s="974"/>
      <c r="V207" s="974"/>
      <c r="W207" s="974"/>
      <c r="X207" s="974"/>
      <c r="Y207" s="974"/>
      <c r="Z207" s="576"/>
      <c r="AA207"/>
      <c r="AB207"/>
      <c r="AC207"/>
      <c r="AD207"/>
      <c r="AE207"/>
    </row>
    <row r="208" spans="17:31" ht="12.75" customHeight="1">
      <c r="Q208" s="668"/>
      <c r="R208" s="974"/>
      <c r="S208" s="974"/>
      <c r="T208" s="974"/>
      <c r="U208" s="974"/>
      <c r="V208" s="974"/>
      <c r="W208" s="974"/>
      <c r="X208" s="974"/>
      <c r="Y208" s="974"/>
      <c r="Z208" s="576"/>
      <c r="AA208"/>
      <c r="AB208"/>
      <c r="AC208"/>
      <c r="AD208"/>
      <c r="AE208"/>
    </row>
    <row r="209" spans="17:31" ht="12.75" customHeight="1">
      <c r="Q209" s="668"/>
      <c r="R209" s="364"/>
      <c r="S209" s="375"/>
      <c r="T209" s="375"/>
      <c r="U209" s="577"/>
      <c r="V209" s="577"/>
      <c r="W209" s="577"/>
      <c r="X209" s="577"/>
      <c r="Y209" s="551"/>
      <c r="Z209" s="363"/>
      <c r="AA209"/>
      <c r="AB209"/>
      <c r="AC209"/>
      <c r="AD209"/>
      <c r="AE209"/>
    </row>
    <row r="210" spans="17:31" ht="12.75" customHeight="1">
      <c r="Q210" s="668"/>
      <c r="R210" s="975" t="s">
        <v>667</v>
      </c>
      <c r="S210" s="976"/>
      <c r="T210" s="976"/>
      <c r="U210" s="976"/>
      <c r="V210" s="976"/>
      <c r="W210" s="976"/>
      <c r="X210" s="979">
        <f>10*V25</f>
        <v>76800</v>
      </c>
      <c r="Y210" s="935" t="s">
        <v>668</v>
      </c>
      <c r="Z210" s="364"/>
      <c r="AA210"/>
      <c r="AB210"/>
      <c r="AC210"/>
      <c r="AD210"/>
      <c r="AE210"/>
    </row>
    <row r="211" spans="17:31" ht="12.75" customHeight="1">
      <c r="Q211" s="668"/>
      <c r="R211" s="977"/>
      <c r="S211" s="978"/>
      <c r="T211" s="978"/>
      <c r="U211" s="978"/>
      <c r="V211" s="978"/>
      <c r="W211" s="978"/>
      <c r="X211" s="979"/>
      <c r="Y211" s="935"/>
      <c r="Z211" s="364"/>
      <c r="AA211"/>
      <c r="AB211"/>
      <c r="AC211"/>
      <c r="AD211"/>
      <c r="AE211"/>
    </row>
    <row r="212" spans="17:31" ht="12.75" customHeight="1">
      <c r="Q212" s="668"/>
      <c r="R212" s="578"/>
      <c r="S212" s="578"/>
      <c r="T212" s="578"/>
      <c r="U212" s="578"/>
      <c r="V212" s="578"/>
      <c r="W212" s="578"/>
      <c r="X212" s="578"/>
      <c r="Y212" s="579"/>
      <c r="Z212" s="551"/>
      <c r="AA212"/>
      <c r="AB212"/>
      <c r="AC212"/>
      <c r="AD212"/>
      <c r="AE212"/>
    </row>
    <row r="213" spans="17:31" ht="12.75" customHeight="1">
      <c r="Q213" s="668"/>
      <c r="R213" s="937" t="s">
        <v>678</v>
      </c>
      <c r="S213" s="937"/>
      <c r="T213" s="937"/>
      <c r="U213" s="937"/>
      <c r="V213" s="949" t="s">
        <v>500</v>
      </c>
      <c r="W213" s="938" t="s">
        <v>22</v>
      </c>
      <c r="X213" s="940" t="s">
        <v>579</v>
      </c>
      <c r="Y213" s="942" t="s">
        <v>21</v>
      </c>
      <c r="Z213" s="361"/>
      <c r="AA213"/>
      <c r="AB213"/>
      <c r="AC213"/>
      <c r="AD213"/>
      <c r="AE213"/>
    </row>
    <row r="214" spans="17:31" ht="12.75" customHeight="1">
      <c r="Q214" s="668"/>
      <c r="R214" s="937"/>
      <c r="S214" s="937"/>
      <c r="T214" s="937"/>
      <c r="U214" s="937"/>
      <c r="V214" s="950"/>
      <c r="W214" s="939"/>
      <c r="X214" s="941"/>
      <c r="Y214" s="943"/>
      <c r="Z214" s="361"/>
      <c r="AA214"/>
      <c r="AB214"/>
      <c r="AC214"/>
      <c r="AD214"/>
      <c r="AE214"/>
    </row>
    <row r="215" spans="17:31" ht="12.75" customHeight="1">
      <c r="Q215" s="668"/>
      <c r="R215" s="968" t="s">
        <v>533</v>
      </c>
      <c r="S215" s="968"/>
      <c r="T215" s="968"/>
      <c r="U215" s="968"/>
      <c r="V215" s="580">
        <v>0.107</v>
      </c>
      <c r="W215" s="581">
        <f>VLOOKUP($V$5,'Lookup Energy kWhm'!$B$8:$E$208,3)</f>
        <v>0.13</v>
      </c>
      <c r="X215" s="581">
        <f>VLOOKUP($V$5,'Lookup Energy kWhm'!$B$8:$E$208,4)</f>
        <v>0.14799999999999999</v>
      </c>
      <c r="Y215" s="581">
        <f>VLOOKUP($V$5,'Lookup Energy kWhm'!$B$8:$E$208,2)</f>
        <v>0.1</v>
      </c>
      <c r="Z215" s="361"/>
      <c r="AA215"/>
      <c r="AB215"/>
      <c r="AC215"/>
      <c r="AD215"/>
      <c r="AE215"/>
    </row>
    <row r="216" spans="17:31" ht="12.75" customHeight="1">
      <c r="Q216" s="668"/>
      <c r="R216" s="969" t="s">
        <v>31</v>
      </c>
      <c r="S216" s="969"/>
      <c r="T216" s="969"/>
      <c r="U216" s="969"/>
      <c r="V216" s="556">
        <f t="shared" ref="V216:W219" si="2">X216</f>
        <v>1.2</v>
      </c>
      <c r="W216" s="556">
        <f t="shared" si="2"/>
        <v>1.2</v>
      </c>
      <c r="X216" s="556">
        <f>W216</f>
        <v>1.2</v>
      </c>
      <c r="Y216" s="556">
        <f>V20</f>
        <v>1.2</v>
      </c>
      <c r="Z216" s="361"/>
      <c r="AA216"/>
      <c r="AB216"/>
      <c r="AC216"/>
      <c r="AD216"/>
      <c r="AE216"/>
    </row>
    <row r="217" spans="17:31" ht="12.75" customHeight="1">
      <c r="Q217" s="668"/>
      <c r="R217" s="969" t="s">
        <v>314</v>
      </c>
      <c r="S217" s="969"/>
      <c r="T217" s="969"/>
      <c r="U217" s="969"/>
      <c r="V217" s="556">
        <f t="shared" si="2"/>
        <v>160</v>
      </c>
      <c r="W217" s="556">
        <f t="shared" si="2"/>
        <v>160</v>
      </c>
      <c r="X217" s="556">
        <f>W217</f>
        <v>160</v>
      </c>
      <c r="Y217" s="556">
        <f>V19</f>
        <v>160</v>
      </c>
      <c r="Z217" s="361"/>
      <c r="AA217"/>
      <c r="AB217"/>
      <c r="AC217"/>
      <c r="AD217"/>
      <c r="AE217"/>
    </row>
    <row r="218" spans="17:31" ht="12.75" customHeight="1">
      <c r="Q218" s="668"/>
      <c r="R218" s="969" t="s">
        <v>20</v>
      </c>
      <c r="S218" s="969"/>
      <c r="T218" s="969"/>
      <c r="U218" s="969"/>
      <c r="V218" s="556">
        <f t="shared" si="2"/>
        <v>40</v>
      </c>
      <c r="W218" s="556">
        <f t="shared" si="2"/>
        <v>40</v>
      </c>
      <c r="X218" s="556">
        <f>W218</f>
        <v>40</v>
      </c>
      <c r="Y218" s="556">
        <f>V22</f>
        <v>40</v>
      </c>
      <c r="Z218" s="361"/>
      <c r="AA218"/>
      <c r="AB218"/>
      <c r="AC218"/>
      <c r="AD218"/>
      <c r="AE218"/>
    </row>
    <row r="219" spans="17:31" ht="12.75" customHeight="1">
      <c r="Q219" s="668"/>
      <c r="R219" s="969" t="s">
        <v>310</v>
      </c>
      <c r="S219" s="969"/>
      <c r="T219" s="969"/>
      <c r="U219" s="969"/>
      <c r="V219" s="556">
        <f t="shared" si="2"/>
        <v>160</v>
      </c>
      <c r="W219" s="556">
        <f t="shared" si="2"/>
        <v>160</v>
      </c>
      <c r="X219" s="556">
        <f>W219</f>
        <v>160</v>
      </c>
      <c r="Y219" s="556">
        <f>V23</f>
        <v>160</v>
      </c>
      <c r="Z219" s="361"/>
      <c r="AA219"/>
      <c r="AB219"/>
      <c r="AC219"/>
      <c r="AD219"/>
      <c r="AE219"/>
    </row>
    <row r="220" spans="17:31" ht="12.75" customHeight="1">
      <c r="Q220" s="668"/>
      <c r="R220" s="968" t="s">
        <v>543</v>
      </c>
      <c r="S220" s="968"/>
      <c r="T220" s="968"/>
      <c r="U220" s="968"/>
      <c r="V220" s="582">
        <f>V215*V216*V217*V218</f>
        <v>821.75999999999988</v>
      </c>
      <c r="W220" s="582">
        <f>W215*W216*W217*W218</f>
        <v>998.40000000000009</v>
      </c>
      <c r="X220" s="582">
        <f>X215*X216*X217*X218</f>
        <v>1136.6399999999999</v>
      </c>
      <c r="Y220" s="582">
        <f>Y215*Y216*Y217*Y218</f>
        <v>768</v>
      </c>
      <c r="Z220" s="361"/>
      <c r="AA220"/>
      <c r="AB220"/>
      <c r="AC220"/>
      <c r="AD220"/>
      <c r="AE220"/>
    </row>
    <row r="221" spans="17:31" ht="12.75" customHeight="1">
      <c r="Q221" s="668"/>
      <c r="R221" s="968" t="s">
        <v>542</v>
      </c>
      <c r="S221" s="968"/>
      <c r="T221" s="968"/>
      <c r="U221" s="968"/>
      <c r="V221" s="583">
        <f>V220/V219</f>
        <v>5.1359999999999992</v>
      </c>
      <c r="W221" s="583">
        <f>W220/W219</f>
        <v>6.24</v>
      </c>
      <c r="X221" s="583">
        <f>X220/X219</f>
        <v>7.1039999999999992</v>
      </c>
      <c r="Y221" s="583">
        <f>Y220/Y219</f>
        <v>4.8</v>
      </c>
      <c r="Z221" s="361"/>
      <c r="AA221"/>
      <c r="AB221"/>
      <c r="AC221"/>
      <c r="AD221"/>
      <c r="AE221"/>
    </row>
    <row r="222" spans="17:31" ht="12.75" customHeight="1">
      <c r="Q222" s="668"/>
      <c r="R222" s="968" t="s">
        <v>538</v>
      </c>
      <c r="S222" s="968"/>
      <c r="T222" s="968"/>
      <c r="U222" s="968"/>
      <c r="V222" s="537">
        <f>U62</f>
        <v>2.6666666666666665</v>
      </c>
      <c r="W222" s="537">
        <f>V62</f>
        <v>1.9999999999999996</v>
      </c>
      <c r="X222" s="537">
        <f>W62</f>
        <v>1.7391304347826084</v>
      </c>
      <c r="Y222" s="537">
        <f>X62</f>
        <v>1.4285714285714284</v>
      </c>
      <c r="Z222" s="361"/>
      <c r="AA222"/>
      <c r="AB222"/>
      <c r="AC222"/>
      <c r="AD222"/>
      <c r="AE222"/>
    </row>
    <row r="223" spans="17:31" ht="12.75" customHeight="1">
      <c r="Q223" s="668"/>
      <c r="R223" s="968" t="s">
        <v>546</v>
      </c>
      <c r="S223" s="968"/>
      <c r="T223" s="968"/>
      <c r="U223" s="968"/>
      <c r="V223" s="584">
        <f>2.2*V222</f>
        <v>5.8666666666666671</v>
      </c>
      <c r="W223" s="584">
        <f>W222/W215</f>
        <v>15.384615384615381</v>
      </c>
      <c r="X223" s="584">
        <f>X222/X215</f>
        <v>11.750881316098706</v>
      </c>
      <c r="Y223" s="584">
        <f>Y222/Y215</f>
        <v>14.285714285714283</v>
      </c>
      <c r="Z223" s="361"/>
      <c r="AA223"/>
      <c r="AB223"/>
      <c r="AC223"/>
      <c r="AD223"/>
      <c r="AE223"/>
    </row>
    <row r="224" spans="17:31" ht="12.75" customHeight="1">
      <c r="Q224" s="668"/>
      <c r="R224" s="968" t="s">
        <v>544</v>
      </c>
      <c r="S224" s="968"/>
      <c r="T224" s="968"/>
      <c r="U224" s="968"/>
      <c r="V224" s="582">
        <f>V219*V223</f>
        <v>938.66666666666674</v>
      </c>
      <c r="W224" s="582">
        <f>W219*W223</f>
        <v>2461.538461538461</v>
      </c>
      <c r="X224" s="582">
        <f>X219*X223</f>
        <v>1880.141010575793</v>
      </c>
      <c r="Y224" s="674">
        <f>Y219*Y223</f>
        <v>2285.7142857142853</v>
      </c>
      <c r="Z224" s="361"/>
      <c r="AA224"/>
      <c r="AB224"/>
      <c r="AC224"/>
      <c r="AD224"/>
      <c r="AE224"/>
    </row>
    <row r="225" spans="17:31" ht="12.75" customHeight="1">
      <c r="Q225" s="668"/>
      <c r="R225" s="969" t="s">
        <v>535</v>
      </c>
      <c r="S225" s="969"/>
      <c r="T225" s="969"/>
      <c r="U225" s="969"/>
      <c r="V225" s="556">
        <f>V217/V222</f>
        <v>60</v>
      </c>
      <c r="W225" s="556">
        <f>W217/W222</f>
        <v>80.000000000000014</v>
      </c>
      <c r="X225" s="556">
        <f>X217/X222</f>
        <v>92.000000000000014</v>
      </c>
      <c r="Y225" s="556">
        <f>Y217/Y222</f>
        <v>112.00000000000001</v>
      </c>
      <c r="Z225" s="361"/>
      <c r="AA225"/>
      <c r="AB225"/>
      <c r="AC225"/>
      <c r="AD225"/>
      <c r="AE225"/>
    </row>
    <row r="226" spans="17:31" ht="12.75" customHeight="1">
      <c r="Q226" s="668"/>
      <c r="R226" s="969" t="s">
        <v>536</v>
      </c>
      <c r="S226" s="969"/>
      <c r="T226" s="969"/>
      <c r="U226" s="969"/>
      <c r="V226" s="675">
        <f>V216*V225</f>
        <v>72</v>
      </c>
      <c r="W226" s="675">
        <f>W216*W225</f>
        <v>96.000000000000014</v>
      </c>
      <c r="X226" s="675">
        <f>X216*X225</f>
        <v>110.40000000000002</v>
      </c>
      <c r="Y226" s="675">
        <f>Y216*Y225</f>
        <v>134.4</v>
      </c>
      <c r="Z226" s="361"/>
      <c r="AA226"/>
      <c r="AB226"/>
      <c r="AC226"/>
      <c r="AD226"/>
      <c r="AE226"/>
    </row>
    <row r="227" spans="17:31" ht="12.75" customHeight="1">
      <c r="Q227" s="668"/>
      <c r="R227" s="968" t="s">
        <v>534</v>
      </c>
      <c r="S227" s="968"/>
      <c r="T227" s="968"/>
      <c r="U227" s="968"/>
      <c r="V227" s="583">
        <f>U56</f>
        <v>4</v>
      </c>
      <c r="W227" s="583">
        <f>V56</f>
        <v>2.9999999999999996</v>
      </c>
      <c r="X227" s="583">
        <f>W56</f>
        <v>2.6086956521739126</v>
      </c>
      <c r="Y227" s="583">
        <f>X56</f>
        <v>2.1428571428571428</v>
      </c>
      <c r="Z227" s="361"/>
      <c r="AA227"/>
      <c r="AB227"/>
      <c r="AC227"/>
      <c r="AD227"/>
      <c r="AE227"/>
    </row>
    <row r="228" spans="17:31" ht="12.75" customHeight="1">
      <c r="Q228" s="668"/>
      <c r="R228" s="968" t="s">
        <v>537</v>
      </c>
      <c r="S228" s="968"/>
      <c r="T228" s="968"/>
      <c r="U228" s="968"/>
      <c r="V228" s="584">
        <f>V225*V227</f>
        <v>240</v>
      </c>
      <c r="W228" s="584">
        <f>W225*W227</f>
        <v>240</v>
      </c>
      <c r="X228" s="584">
        <f>X225*X227</f>
        <v>240</v>
      </c>
      <c r="Y228" s="584">
        <f>Y225*Y227</f>
        <v>240.00000000000003</v>
      </c>
      <c r="Z228" s="361"/>
      <c r="AA228"/>
      <c r="AB228"/>
      <c r="AC228"/>
      <c r="AD228"/>
      <c r="AE228"/>
    </row>
    <row r="229" spans="17:31" ht="12.75" customHeight="1">
      <c r="Q229" s="668"/>
      <c r="R229" s="968" t="s">
        <v>545</v>
      </c>
      <c r="S229" s="968"/>
      <c r="T229" s="968"/>
      <c r="U229" s="968"/>
      <c r="V229" s="585">
        <f>V221/V223</f>
        <v>0.87545454545454526</v>
      </c>
      <c r="W229" s="585">
        <f>W221/W223</f>
        <v>0.40560000000000007</v>
      </c>
      <c r="X229" s="585">
        <f>X221/X223</f>
        <v>0.60455040000000004</v>
      </c>
      <c r="Y229" s="585">
        <f>Y221/Y223</f>
        <v>0.33600000000000008</v>
      </c>
      <c r="Z229" s="361"/>
      <c r="AA229"/>
      <c r="AB229"/>
      <c r="AC229"/>
      <c r="AD229"/>
      <c r="AE229"/>
    </row>
    <row r="230" spans="17:31" ht="12.75" customHeight="1">
      <c r="Q230" s="668"/>
      <c r="R230" s="540" t="s">
        <v>547</v>
      </c>
      <c r="S230" s="540"/>
      <c r="T230" s="540"/>
      <c r="U230" s="540"/>
      <c r="V230" s="585"/>
      <c r="W230" s="586">
        <f>10*W217*W216*W218</f>
        <v>76800</v>
      </c>
      <c r="X230" s="586">
        <f>10*X217*X216*X218</f>
        <v>76800</v>
      </c>
      <c r="Y230" s="586">
        <f>10*Y217*Y216*Y218</f>
        <v>76800</v>
      </c>
      <c r="Z230" s="361"/>
      <c r="AA230"/>
      <c r="AB230"/>
      <c r="AC230"/>
      <c r="AD230"/>
      <c r="AE230"/>
    </row>
    <row r="231" spans="17:31" ht="12.75" customHeight="1">
      <c r="Q231" s="668"/>
      <c r="R231" s="968" t="s">
        <v>548</v>
      </c>
      <c r="S231" s="968"/>
      <c r="T231" s="968"/>
      <c r="U231" s="968"/>
      <c r="V231" s="585">
        <f>V229</f>
        <v>0.87545454545454526</v>
      </c>
      <c r="W231" s="585">
        <f>W220/W230</f>
        <v>1.3000000000000001E-2</v>
      </c>
      <c r="X231" s="585">
        <f>X220/X230</f>
        <v>1.4799999999999999E-2</v>
      </c>
      <c r="Y231" s="585">
        <f>Y220/Y230</f>
        <v>0.01</v>
      </c>
      <c r="Z231" s="361"/>
      <c r="AA231"/>
      <c r="AB231"/>
      <c r="AC231"/>
      <c r="AD231"/>
      <c r="AE231"/>
    </row>
    <row r="232" spans="17:31" ht="12.75" customHeight="1">
      <c r="Q232" s="668"/>
      <c r="R232" s="587"/>
      <c r="S232" s="587"/>
      <c r="T232" s="587"/>
      <c r="U232" s="587"/>
      <c r="V232" s="588"/>
      <c r="W232" s="588"/>
      <c r="X232" s="588"/>
      <c r="Y232" s="588"/>
      <c r="Z232" s="589"/>
      <c r="AA232"/>
      <c r="AB232"/>
      <c r="AC232"/>
      <c r="AD232"/>
      <c r="AE232"/>
    </row>
    <row r="233" spans="17:31" ht="12.75" customHeight="1">
      <c r="Q233" s="668"/>
      <c r="R233" s="587"/>
      <c r="S233" s="587"/>
      <c r="T233" s="587"/>
      <c r="U233" s="587"/>
      <c r="V233" s="676"/>
      <c r="W233" s="676"/>
      <c r="X233" s="676"/>
      <c r="Y233" s="588"/>
      <c r="Z233" s="364"/>
      <c r="AA233"/>
      <c r="AB233"/>
      <c r="AC233"/>
      <c r="AD233"/>
      <c r="AE233"/>
    </row>
    <row r="234" spans="17:31" ht="12.75" customHeight="1">
      <c r="Q234" s="668" t="s">
        <v>240</v>
      </c>
      <c r="R234" s="364" t="s">
        <v>241</v>
      </c>
      <c r="S234" s="364"/>
      <c r="T234" s="364"/>
      <c r="U234" s="364"/>
      <c r="V234" s="364"/>
      <c r="W234" s="364"/>
      <c r="X234" s="364"/>
      <c r="Y234" s="364"/>
      <c r="Z234" s="364"/>
      <c r="AA234"/>
      <c r="AB234"/>
      <c r="AC234"/>
      <c r="AD234"/>
      <c r="AE234"/>
    </row>
    <row r="235" spans="17:31" ht="12.75" customHeight="1">
      <c r="Q235" s="364"/>
      <c r="R235" s="962" t="s">
        <v>301</v>
      </c>
      <c r="S235" s="963"/>
      <c r="T235" s="964"/>
      <c r="U235" s="949" t="s">
        <v>500</v>
      </c>
      <c r="V235" s="938" t="s">
        <v>22</v>
      </c>
      <c r="W235" s="940" t="s">
        <v>579</v>
      </c>
      <c r="X235" s="942" t="s">
        <v>21</v>
      </c>
      <c r="Y235" s="361"/>
      <c r="Z235" s="364"/>
      <c r="AA235"/>
      <c r="AB235"/>
      <c r="AC235"/>
      <c r="AD235"/>
      <c r="AE235"/>
    </row>
    <row r="236" spans="17:31" ht="12.75" customHeight="1">
      <c r="Q236" s="364"/>
      <c r="R236" s="965"/>
      <c r="S236" s="966"/>
      <c r="T236" s="967"/>
      <c r="U236" s="950"/>
      <c r="V236" s="939"/>
      <c r="W236" s="941"/>
      <c r="X236" s="943"/>
      <c r="Y236" s="361"/>
      <c r="Z236" s="364"/>
      <c r="AA236"/>
      <c r="AB236"/>
      <c r="AC236"/>
      <c r="AD236"/>
      <c r="AE236"/>
    </row>
    <row r="237" spans="17:31" ht="12.75" customHeight="1">
      <c r="Q237" s="364"/>
      <c r="R237" s="931" t="s">
        <v>662</v>
      </c>
      <c r="S237" s="931"/>
      <c r="T237" s="931"/>
      <c r="U237" s="901" t="s">
        <v>427</v>
      </c>
      <c r="V237" s="562">
        <f>VLOOKUP($V$5,'Lookup Air Consumption'!$B$8:$E$208,3)</f>
        <v>38</v>
      </c>
      <c r="W237" s="562">
        <f>VLOOKUP($V$5,'Lookup Air Consumption'!$B$8:$E$208,4)</f>
        <v>50</v>
      </c>
      <c r="X237" s="562">
        <f>VLOOKUP($V$5,'Lookup Air Consumption'!$B$8:$E$208,2)</f>
        <v>41</v>
      </c>
      <c r="Y237" s="361"/>
      <c r="Z237" s="364"/>
      <c r="AA237"/>
      <c r="AB237"/>
      <c r="AC237"/>
      <c r="AD237"/>
      <c r="AE237"/>
    </row>
    <row r="238" spans="17:31" ht="12.75" customHeight="1">
      <c r="Q238" s="364"/>
      <c r="R238" s="931" t="s">
        <v>663</v>
      </c>
      <c r="S238" s="931"/>
      <c r="T238" s="931"/>
      <c r="U238" s="901"/>
      <c r="V238" s="590">
        <f>V237/1000</f>
        <v>3.7999999999999999E-2</v>
      </c>
      <c r="W238" s="590">
        <f>W237/1000</f>
        <v>0.05</v>
      </c>
      <c r="X238" s="590">
        <f>X237/1000</f>
        <v>4.1000000000000002E-2</v>
      </c>
      <c r="Y238" s="361"/>
      <c r="Z238" s="364"/>
      <c r="AA238"/>
      <c r="AB238"/>
      <c r="AC238"/>
      <c r="AD238"/>
      <c r="AE238"/>
    </row>
    <row r="239" spans="17:31" ht="12.75" customHeight="1">
      <c r="Q239" s="364"/>
      <c r="R239" s="931" t="s">
        <v>664</v>
      </c>
      <c r="S239" s="931"/>
      <c r="T239" s="931"/>
      <c r="U239" s="901"/>
      <c r="V239" s="560">
        <f>V238*35.31467</f>
        <v>1.3419574599999999</v>
      </c>
      <c r="W239" s="560">
        <f>W238*35.31467</f>
        <v>1.7657335000000001</v>
      </c>
      <c r="X239" s="560">
        <f>X238*35.31467</f>
        <v>1.4479014700000001</v>
      </c>
      <c r="Y239" s="361"/>
      <c r="Z239" s="364"/>
      <c r="AA239"/>
      <c r="AB239"/>
      <c r="AC239"/>
      <c r="AD239"/>
      <c r="AE239"/>
    </row>
    <row r="240" spans="17:31" ht="12.75" customHeight="1">
      <c r="Q240" s="360"/>
      <c r="R240" s="551"/>
      <c r="S240" s="551"/>
      <c r="T240" s="551"/>
      <c r="U240" s="591"/>
      <c r="V240" s="551"/>
      <c r="W240" s="551"/>
      <c r="X240" s="551"/>
      <c r="Y240" s="361"/>
      <c r="Z240" s="364"/>
      <c r="AA240"/>
      <c r="AB240"/>
      <c r="AC240"/>
      <c r="AD240"/>
      <c r="AE240"/>
    </row>
    <row r="241" spans="17:31" ht="12.75" customHeight="1">
      <c r="Q241" s="360"/>
      <c r="R241" s="962" t="s">
        <v>302</v>
      </c>
      <c r="S241" s="963"/>
      <c r="T241" s="964"/>
      <c r="U241" s="949" t="s">
        <v>500</v>
      </c>
      <c r="V241" s="938" t="s">
        <v>22</v>
      </c>
      <c r="W241" s="940" t="s">
        <v>579</v>
      </c>
      <c r="X241" s="942" t="s">
        <v>21</v>
      </c>
      <c r="Y241" s="361"/>
      <c r="Z241" s="364"/>
      <c r="AA241"/>
      <c r="AB241"/>
      <c r="AC241"/>
      <c r="AD241"/>
      <c r="AE241"/>
    </row>
    <row r="242" spans="17:31" ht="12.75" customHeight="1">
      <c r="Q242" s="360"/>
      <c r="R242" s="965"/>
      <c r="S242" s="966"/>
      <c r="T242" s="967"/>
      <c r="U242" s="950"/>
      <c r="V242" s="939"/>
      <c r="W242" s="941"/>
      <c r="X242" s="943"/>
      <c r="Y242" s="361"/>
      <c r="Z242" s="364"/>
      <c r="AA242"/>
      <c r="AB242"/>
      <c r="AC242"/>
      <c r="AD242"/>
      <c r="AE242"/>
    </row>
    <row r="243" spans="17:31" ht="12.75" customHeight="1">
      <c r="Q243" s="360"/>
      <c r="R243" s="931" t="s">
        <v>662</v>
      </c>
      <c r="S243" s="931"/>
      <c r="T243" s="931"/>
      <c r="U243" s="901" t="s">
        <v>427</v>
      </c>
      <c r="V243" s="549">
        <f t="shared" ref="V243:W245" si="3">V237*$V$23</f>
        <v>6080</v>
      </c>
      <c r="W243" s="549">
        <f t="shared" si="3"/>
        <v>8000</v>
      </c>
      <c r="X243" s="549">
        <f>X237*$V$23</f>
        <v>6560</v>
      </c>
      <c r="Y243" s="361"/>
      <c r="Z243" s="364"/>
      <c r="AA243"/>
      <c r="AB243"/>
      <c r="AC243"/>
      <c r="AD243"/>
      <c r="AE243"/>
    </row>
    <row r="244" spans="17:31" ht="12.75" customHeight="1">
      <c r="Q244" s="360"/>
      <c r="R244" s="931" t="s">
        <v>663</v>
      </c>
      <c r="S244" s="931"/>
      <c r="T244" s="931"/>
      <c r="U244" s="901"/>
      <c r="V244" s="560">
        <f t="shared" si="3"/>
        <v>6.08</v>
      </c>
      <c r="W244" s="560">
        <f t="shared" si="3"/>
        <v>8</v>
      </c>
      <c r="X244" s="560">
        <f>X238*$V$23</f>
        <v>6.5600000000000005</v>
      </c>
      <c r="Y244" s="361"/>
      <c r="Z244" s="364"/>
      <c r="AA244"/>
      <c r="AB244"/>
      <c r="AC244"/>
      <c r="AD244"/>
      <c r="AE244"/>
    </row>
    <row r="245" spans="17:31" ht="12.75" customHeight="1">
      <c r="Q245" s="360"/>
      <c r="R245" s="931" t="s">
        <v>664</v>
      </c>
      <c r="S245" s="931"/>
      <c r="T245" s="931"/>
      <c r="U245" s="901"/>
      <c r="V245" s="560">
        <f t="shared" si="3"/>
        <v>214.71319359999998</v>
      </c>
      <c r="W245" s="560">
        <f t="shared" si="3"/>
        <v>282.51736</v>
      </c>
      <c r="X245" s="560">
        <f>X239*$V$23</f>
        <v>231.66423520000001</v>
      </c>
      <c r="Y245" s="361"/>
      <c r="Z245" s="364"/>
      <c r="AA245"/>
      <c r="AB245"/>
      <c r="AC245"/>
      <c r="AD245"/>
      <c r="AE245"/>
    </row>
    <row r="246" spans="17:31" ht="12.75" customHeight="1">
      <c r="Q246" s="360"/>
      <c r="R246" s="364"/>
      <c r="S246" s="364"/>
      <c r="T246" s="364"/>
      <c r="U246" s="364"/>
      <c r="V246" s="555"/>
      <c r="W246" s="555"/>
      <c r="X246" s="555"/>
      <c r="Y246" s="361"/>
      <c r="Z246" s="364"/>
      <c r="AA246"/>
      <c r="AB246"/>
      <c r="AC246"/>
      <c r="AD246"/>
      <c r="AE246"/>
    </row>
    <row r="247" spans="17:31" ht="12.75" customHeight="1">
      <c r="Q247" s="360"/>
      <c r="R247" s="962" t="s">
        <v>303</v>
      </c>
      <c r="S247" s="963"/>
      <c r="T247" s="964"/>
      <c r="U247" s="949" t="s">
        <v>500</v>
      </c>
      <c r="V247" s="938" t="s">
        <v>22</v>
      </c>
      <c r="W247" s="940" t="s">
        <v>579</v>
      </c>
      <c r="X247" s="942" t="s">
        <v>21</v>
      </c>
      <c r="Y247" s="361"/>
      <c r="Z247" s="364"/>
      <c r="AA247"/>
      <c r="AB247"/>
      <c r="AC247"/>
      <c r="AD247"/>
      <c r="AE247"/>
    </row>
    <row r="248" spans="17:31" ht="12.75" customHeight="1">
      <c r="Q248" s="360"/>
      <c r="R248" s="965"/>
      <c r="S248" s="966"/>
      <c r="T248" s="967"/>
      <c r="U248" s="950"/>
      <c r="V248" s="939"/>
      <c r="W248" s="941"/>
      <c r="X248" s="943"/>
      <c r="Y248" s="361"/>
      <c r="Z248" s="364"/>
      <c r="AA248"/>
      <c r="AB248"/>
      <c r="AC248"/>
      <c r="AD248"/>
      <c r="AE248"/>
    </row>
    <row r="249" spans="17:31" ht="12.75" customHeight="1">
      <c r="Q249" s="563"/>
      <c r="R249" s="951" t="s">
        <v>517</v>
      </c>
      <c r="S249" s="951"/>
      <c r="T249" s="951"/>
      <c r="U249" s="901" t="s">
        <v>427</v>
      </c>
      <c r="V249" s="549">
        <f t="shared" ref="V249:X251" si="4">($V$25/$X$51)*60*V237</f>
        <v>31268571.428571429</v>
      </c>
      <c r="W249" s="549">
        <f t="shared" si="4"/>
        <v>41142857.142857142</v>
      </c>
      <c r="X249" s="549">
        <f t="shared" si="4"/>
        <v>33737142.857142858</v>
      </c>
      <c r="Y249" s="361"/>
      <c r="Z249" s="364"/>
      <c r="AA249"/>
      <c r="AB249"/>
      <c r="AC249"/>
      <c r="AD249"/>
      <c r="AE249"/>
    </row>
    <row r="250" spans="17:31" ht="12.75" customHeight="1">
      <c r="Q250" s="364"/>
      <c r="R250" s="951" t="s">
        <v>666</v>
      </c>
      <c r="S250" s="951"/>
      <c r="T250" s="951"/>
      <c r="U250" s="901"/>
      <c r="V250" s="549">
        <f t="shared" si="4"/>
        <v>31268.571428571428</v>
      </c>
      <c r="W250" s="549">
        <f t="shared" si="4"/>
        <v>41142.857142857145</v>
      </c>
      <c r="X250" s="549">
        <f t="shared" si="4"/>
        <v>33737.142857142855</v>
      </c>
      <c r="Y250" s="361"/>
      <c r="Z250" s="364"/>
      <c r="AA250"/>
      <c r="AB250"/>
      <c r="AC250"/>
      <c r="AD250"/>
      <c r="AE250"/>
    </row>
    <row r="251" spans="17:31" ht="12.75" customHeight="1">
      <c r="Q251" s="364"/>
      <c r="R251" s="951" t="s">
        <v>583</v>
      </c>
      <c r="S251" s="951"/>
      <c r="T251" s="951"/>
      <c r="U251" s="901"/>
      <c r="V251" s="549">
        <f t="shared" si="4"/>
        <v>1104239.2813714284</v>
      </c>
      <c r="W251" s="549">
        <f t="shared" si="4"/>
        <v>1452946.422857143</v>
      </c>
      <c r="X251" s="549">
        <f t="shared" si="4"/>
        <v>1191416.0667428572</v>
      </c>
      <c r="Y251" s="361"/>
      <c r="Z251" s="364"/>
      <c r="AA251"/>
      <c r="AB251"/>
      <c r="AC251"/>
      <c r="AD251"/>
      <c r="AE251"/>
    </row>
    <row r="252" spans="17:31" ht="12.75" customHeight="1">
      <c r="Q252" s="364"/>
      <c r="R252" s="364"/>
      <c r="S252" s="364"/>
      <c r="T252" s="364"/>
      <c r="U252" s="364"/>
      <c r="V252" s="364"/>
      <c r="W252" s="364"/>
      <c r="X252" s="364"/>
      <c r="Y252" s="361"/>
      <c r="Z252" s="364"/>
      <c r="AA252"/>
      <c r="AB252"/>
      <c r="AC252"/>
      <c r="AD252"/>
      <c r="AE252"/>
    </row>
    <row r="253" spans="17:31" ht="12.75" customHeight="1">
      <c r="Q253" s="668" t="s">
        <v>753</v>
      </c>
      <c r="R253" s="364" t="s">
        <v>300</v>
      </c>
      <c r="S253" s="364"/>
      <c r="T253" s="364"/>
      <c r="U253" s="364"/>
      <c r="V253" s="364"/>
      <c r="W253" s="364"/>
      <c r="X253" s="364"/>
      <c r="Y253" s="361"/>
      <c r="Z253" s="364"/>
      <c r="AA253"/>
      <c r="AB253"/>
      <c r="AC253"/>
      <c r="AD253"/>
      <c r="AE253"/>
    </row>
    <row r="254" spans="17:31" ht="12.75" customHeight="1">
      <c r="Q254" s="364"/>
      <c r="R254" s="957" t="s">
        <v>669</v>
      </c>
      <c r="S254" s="958"/>
      <c r="T254" s="959"/>
      <c r="U254" s="949" t="s">
        <v>500</v>
      </c>
      <c r="V254" s="938" t="s">
        <v>22</v>
      </c>
      <c r="W254" s="940" t="s">
        <v>579</v>
      </c>
      <c r="X254" s="942" t="s">
        <v>21</v>
      </c>
      <c r="Y254" s="361"/>
      <c r="Z254" s="364"/>
      <c r="AA254"/>
      <c r="AB254"/>
      <c r="AC254"/>
      <c r="AD254"/>
      <c r="AE254"/>
    </row>
    <row r="255" spans="17:31" ht="12.75" customHeight="1">
      <c r="Q255" s="364"/>
      <c r="R255" s="960"/>
      <c r="S255" s="961"/>
      <c r="T255" s="899"/>
      <c r="U255" s="950"/>
      <c r="V255" s="939"/>
      <c r="W255" s="941"/>
      <c r="X255" s="943"/>
      <c r="Y255" s="361"/>
      <c r="Z255" s="364"/>
      <c r="AA255"/>
      <c r="AB255"/>
      <c r="AC255"/>
      <c r="AD255"/>
      <c r="AE255"/>
    </row>
    <row r="256" spans="17:31" ht="12.75" customHeight="1">
      <c r="Q256" s="364"/>
      <c r="R256" s="541" t="s">
        <v>80</v>
      </c>
      <c r="S256" s="559"/>
      <c r="T256" s="559"/>
      <c r="U256" s="543">
        <v>6.5</v>
      </c>
      <c r="V256" s="669">
        <f>VLOOKUP($V$5,'Lookup Water Flow'!$B$8:$E$208,3)</f>
        <v>6.9</v>
      </c>
      <c r="W256" s="669">
        <f>VLOOKUP($V$5,'Lookup Water Flow'!$B$8:$E$208,4)</f>
        <v>12.1</v>
      </c>
      <c r="X256" s="669">
        <f>VLOOKUP($V$5,'Lookup Water Flow'!$B$8:$E$208,2)</f>
        <v>12.6</v>
      </c>
      <c r="Y256" s="361"/>
      <c r="Z256" s="364"/>
      <c r="AA256"/>
      <c r="AB256"/>
      <c r="AC256"/>
      <c r="AD256"/>
      <c r="AE256"/>
    </row>
    <row r="257" spans="17:31" ht="12.75" customHeight="1">
      <c r="Q257" s="364"/>
      <c r="R257" s="951" t="s">
        <v>81</v>
      </c>
      <c r="S257" s="951"/>
      <c r="T257" s="951"/>
      <c r="U257" s="677">
        <f>U256*V23</f>
        <v>1040</v>
      </c>
      <c r="V257" s="678">
        <f>V256*$V$23</f>
        <v>1104</v>
      </c>
      <c r="W257" s="678">
        <f>W256*$V$23</f>
        <v>1936</v>
      </c>
      <c r="X257" s="678">
        <f>X256*$V$23</f>
        <v>2016</v>
      </c>
      <c r="Y257" s="361"/>
      <c r="Z257" s="364"/>
      <c r="AA257"/>
      <c r="AB257"/>
      <c r="AC257"/>
      <c r="AD257"/>
      <c r="AE257"/>
    </row>
    <row r="258" spans="17:31" ht="12.75" customHeight="1">
      <c r="Q258" s="364"/>
      <c r="R258" s="592" t="s">
        <v>670</v>
      </c>
      <c r="S258" s="559"/>
      <c r="T258" s="559"/>
      <c r="U258" s="549">
        <f>(U256*U56*V24)+(24*0.25*V24)</f>
        <v>204800</v>
      </c>
      <c r="V258" s="679">
        <f>V256*$X$56*$V$24</f>
        <v>94628.571428571435</v>
      </c>
      <c r="W258" s="679">
        <f>W256*$X$56*$V$24</f>
        <v>165942.85714285713</v>
      </c>
      <c r="X258" s="679">
        <f>X256*$X$56*$V$24</f>
        <v>172800</v>
      </c>
      <c r="Y258" s="361"/>
      <c r="Z258" s="364"/>
      <c r="AA258"/>
      <c r="AB258"/>
      <c r="AC258"/>
      <c r="AD258"/>
      <c r="AE258"/>
    </row>
    <row r="259" spans="17:31" ht="12.75" customHeight="1">
      <c r="Q259" s="364"/>
      <c r="R259" s="364"/>
      <c r="S259" s="364"/>
      <c r="T259" s="364"/>
      <c r="U259" s="364"/>
      <c r="V259" s="364"/>
      <c r="W259" s="364"/>
      <c r="X259" s="364"/>
      <c r="Y259" s="364"/>
      <c r="Z259" s="364"/>
      <c r="AA259"/>
      <c r="AB259"/>
      <c r="AC259"/>
      <c r="AD259"/>
      <c r="AE259"/>
    </row>
    <row r="260" spans="17:31" ht="12.75" customHeight="1">
      <c r="Q260" s="680" t="s">
        <v>754</v>
      </c>
      <c r="R260" s="952" t="s">
        <v>309</v>
      </c>
      <c r="S260" s="952"/>
      <c r="T260" s="952"/>
      <c r="U260" s="952"/>
      <c r="V260" s="952"/>
      <c r="W260" s="952"/>
      <c r="X260" s="952"/>
      <c r="Y260" s="952"/>
      <c r="Z260" s="360"/>
      <c r="AA260"/>
      <c r="AB260"/>
      <c r="AC260"/>
      <c r="AD260"/>
      <c r="AE260"/>
    </row>
    <row r="261" spans="17:31" ht="12.75" customHeight="1">
      <c r="Q261" s="364"/>
      <c r="R261" s="364"/>
      <c r="S261" s="364"/>
      <c r="T261" s="364"/>
      <c r="U261" s="364"/>
      <c r="V261" s="364"/>
      <c r="W261" s="364"/>
      <c r="X261" s="364"/>
      <c r="Y261" s="364"/>
      <c r="Z261" s="364"/>
      <c r="AA261"/>
      <c r="AB261"/>
      <c r="AC261"/>
      <c r="AD261"/>
      <c r="AE261"/>
    </row>
    <row r="262" spans="17:31" ht="12.75" customHeight="1">
      <c r="Q262" s="668" t="s">
        <v>755</v>
      </c>
      <c r="R262" s="364" t="s">
        <v>239</v>
      </c>
      <c r="S262" s="364"/>
      <c r="T262" s="364"/>
      <c r="U262" s="364"/>
      <c r="V262" s="364"/>
      <c r="W262" s="364"/>
      <c r="X262" s="364"/>
      <c r="Y262" s="364"/>
      <c r="Z262" s="364"/>
      <c r="AA262"/>
      <c r="AB262"/>
      <c r="AC262"/>
      <c r="AD262"/>
      <c r="AE262"/>
    </row>
    <row r="263" spans="17:31" ht="12.75" customHeight="1">
      <c r="Q263" s="364"/>
      <c r="R263" s="364"/>
      <c r="S263" s="364"/>
      <c r="T263" s="364"/>
      <c r="U263" s="364"/>
      <c r="V263" s="364"/>
      <c r="W263" s="364"/>
      <c r="X263" s="364"/>
      <c r="Y263" s="364"/>
      <c r="Z263" s="364"/>
      <c r="AA263"/>
      <c r="AB263"/>
      <c r="AC263"/>
      <c r="AD263"/>
      <c r="AE263"/>
    </row>
    <row r="264" spans="17:31" ht="12.75" customHeight="1">
      <c r="Q264" s="364"/>
      <c r="R264" s="953" t="s">
        <v>676</v>
      </c>
      <c r="S264" s="954"/>
      <c r="T264" s="561" t="s">
        <v>320</v>
      </c>
      <c r="U264" s="935" t="s">
        <v>318</v>
      </c>
      <c r="V264" s="935"/>
      <c r="W264" s="681">
        <f>'Compressor Input Data'!G7</f>
        <v>0.19</v>
      </c>
      <c r="X264" s="594"/>
      <c r="Y264" s="595"/>
      <c r="Z264" s="363"/>
      <c r="AA264"/>
      <c r="AB264"/>
      <c r="AC264"/>
      <c r="AD264"/>
      <c r="AE264"/>
    </row>
    <row r="265" spans="17:31" ht="12.75" customHeight="1">
      <c r="Q265" s="364"/>
      <c r="R265" s="955"/>
      <c r="S265" s="956"/>
      <c r="T265" s="561" t="s">
        <v>321</v>
      </c>
      <c r="U265" s="935" t="s">
        <v>319</v>
      </c>
      <c r="V265" s="935"/>
      <c r="W265" s="681">
        <f>'Compressor Input Data'!G8</f>
        <v>0.33</v>
      </c>
      <c r="X265" s="594"/>
      <c r="Y265" s="595"/>
      <c r="Z265" s="595"/>
      <c r="AA265"/>
      <c r="AB265"/>
      <c r="AC265"/>
      <c r="AD265"/>
      <c r="AE265"/>
    </row>
    <row r="266" spans="17:31" ht="12.75" customHeight="1">
      <c r="Q266" s="364"/>
      <c r="R266" s="363"/>
      <c r="S266" s="363"/>
      <c r="T266" s="577"/>
      <c r="U266" s="577"/>
      <c r="V266" s="596"/>
      <c r="W266" s="363"/>
      <c r="X266" s="363"/>
      <c r="Y266" s="363"/>
      <c r="Z266" s="363"/>
      <c r="AA266"/>
      <c r="AB266"/>
      <c r="AC266"/>
      <c r="AD266"/>
      <c r="AE266"/>
    </row>
    <row r="267" spans="17:31" ht="12.75" customHeight="1">
      <c r="Q267" s="364"/>
      <c r="R267" s="935" t="s">
        <v>675</v>
      </c>
      <c r="S267" s="935"/>
      <c r="T267" s="935"/>
      <c r="U267" s="949" t="s">
        <v>500</v>
      </c>
      <c r="V267" s="938" t="s">
        <v>22</v>
      </c>
      <c r="W267" s="940" t="s">
        <v>579</v>
      </c>
      <c r="X267" s="942" t="s">
        <v>21</v>
      </c>
      <c r="Y267" s="361"/>
      <c r="Z267" s="364"/>
      <c r="AA267"/>
      <c r="AB267"/>
      <c r="AC267"/>
      <c r="AD267"/>
      <c r="AE267"/>
    </row>
    <row r="268" spans="17:31" ht="12.75" customHeight="1">
      <c r="Q268" s="364"/>
      <c r="R268" s="944" t="s">
        <v>320</v>
      </c>
      <c r="S268" s="947"/>
      <c r="T268" s="948"/>
      <c r="U268" s="950"/>
      <c r="V268" s="939"/>
      <c r="W268" s="941"/>
      <c r="X268" s="943"/>
      <c r="Y268" s="361"/>
      <c r="Z268" s="364"/>
      <c r="AA268"/>
      <c r="AB268"/>
      <c r="AC268"/>
      <c r="AD268"/>
      <c r="AE268"/>
    </row>
    <row r="269" spans="17:31" ht="12.75" customHeight="1">
      <c r="Q269" s="364"/>
      <c r="R269" s="945"/>
      <c r="S269" s="935" t="s">
        <v>306</v>
      </c>
      <c r="T269" s="935"/>
      <c r="U269" s="599">
        <f>U164*$W$264</f>
        <v>178.34666666666669</v>
      </c>
      <c r="V269" s="599">
        <f>V164*$W$264</f>
        <v>14439.999999999998</v>
      </c>
      <c r="W269" s="599">
        <f>W164*$W$264</f>
        <v>12556.521739130432</v>
      </c>
      <c r="X269" s="599">
        <f>X164*$W$264</f>
        <v>10314.285714285712</v>
      </c>
      <c r="Y269" s="361"/>
      <c r="Z269" s="364"/>
      <c r="AA269"/>
      <c r="AB269"/>
      <c r="AC269"/>
      <c r="AD269"/>
      <c r="AE269"/>
    </row>
    <row r="270" spans="17:31" ht="12.75" customHeight="1">
      <c r="Q270" s="364"/>
      <c r="R270" s="945"/>
      <c r="S270" s="935" t="s">
        <v>307</v>
      </c>
      <c r="T270" s="935"/>
      <c r="U270" s="599">
        <f>U269*$V$11</f>
        <v>4101.9733333333343</v>
      </c>
      <c r="V270" s="599">
        <f>V269*$V$11</f>
        <v>332119.99999999994</v>
      </c>
      <c r="W270" s="599">
        <f>W269*$V$11</f>
        <v>288799.99999999994</v>
      </c>
      <c r="X270" s="599">
        <f>X269*$V$11</f>
        <v>237228.57142857136</v>
      </c>
      <c r="Y270" s="361"/>
      <c r="Z270" s="364"/>
      <c r="AA270"/>
      <c r="AB270"/>
      <c r="AC270"/>
      <c r="AD270"/>
      <c r="AE270"/>
    </row>
    <row r="271" spans="17:31" ht="12.75" customHeight="1">
      <c r="Q271" s="364"/>
      <c r="R271" s="946"/>
      <c r="S271" s="935" t="s">
        <v>308</v>
      </c>
      <c r="T271" s="935"/>
      <c r="U271" s="599">
        <f>U270*9</f>
        <v>36917.760000000009</v>
      </c>
      <c r="V271" s="599">
        <f>V270*9</f>
        <v>2989079.9999999995</v>
      </c>
      <c r="W271" s="599">
        <f>W270*9</f>
        <v>2599199.9999999995</v>
      </c>
      <c r="X271" s="599">
        <f>X270*9</f>
        <v>2135057.1428571423</v>
      </c>
      <c r="Y271" s="361"/>
      <c r="Z271" s="364"/>
      <c r="AA271"/>
      <c r="AB271"/>
      <c r="AC271"/>
      <c r="AD271"/>
      <c r="AE271"/>
    </row>
    <row r="272" spans="17:31" ht="12.75" customHeight="1">
      <c r="Q272" s="597"/>
      <c r="R272" s="937"/>
      <c r="S272" s="937"/>
      <c r="T272" s="937"/>
      <c r="U272" s="937"/>
      <c r="V272" s="937"/>
      <c r="W272" s="937"/>
      <c r="X272" s="937"/>
      <c r="Y272" s="364"/>
      <c r="Z272" s="364"/>
      <c r="AA272"/>
      <c r="AB272"/>
      <c r="AC272"/>
      <c r="AD272"/>
      <c r="AE272"/>
    </row>
    <row r="273" spans="17:31" ht="12.75" customHeight="1">
      <c r="Q273" s="597"/>
      <c r="R273" s="935" t="s">
        <v>675</v>
      </c>
      <c r="S273" s="935"/>
      <c r="T273" s="935"/>
      <c r="U273" s="930" t="s">
        <v>500</v>
      </c>
      <c r="V273" s="928" t="s">
        <v>22</v>
      </c>
      <c r="W273" s="929" t="s">
        <v>579</v>
      </c>
      <c r="X273" s="927" t="s">
        <v>21</v>
      </c>
      <c r="Y273" s="361"/>
      <c r="Z273" s="364"/>
      <c r="AA273"/>
      <c r="AB273"/>
      <c r="AC273"/>
      <c r="AD273"/>
      <c r="AE273"/>
    </row>
    <row r="274" spans="17:31" ht="12.75" customHeight="1">
      <c r="Q274" s="597"/>
      <c r="R274" s="937" t="s">
        <v>321</v>
      </c>
      <c r="S274" s="937"/>
      <c r="T274" s="937"/>
      <c r="U274" s="930"/>
      <c r="V274" s="928"/>
      <c r="W274" s="929"/>
      <c r="X274" s="927"/>
      <c r="Y274" s="361"/>
      <c r="Z274" s="364"/>
      <c r="AA274"/>
      <c r="AB274"/>
      <c r="AC274"/>
      <c r="AD274"/>
      <c r="AE274"/>
    </row>
    <row r="275" spans="17:31" ht="12.75" customHeight="1">
      <c r="Q275" s="364"/>
      <c r="R275" s="937"/>
      <c r="S275" s="935" t="s">
        <v>306</v>
      </c>
      <c r="T275" s="935"/>
      <c r="U275" s="599">
        <f>U164*$W$265</f>
        <v>309.76000000000005</v>
      </c>
      <c r="V275" s="599">
        <f>V164*$W$265</f>
        <v>25079.999999999996</v>
      </c>
      <c r="W275" s="599">
        <f>W164*$W$265</f>
        <v>21808.695652173912</v>
      </c>
      <c r="X275" s="599">
        <f>X164*$W$265</f>
        <v>17914.28571428571</v>
      </c>
      <c r="Y275" s="361"/>
      <c r="Z275" s="364"/>
      <c r="AA275"/>
      <c r="AB275"/>
      <c r="AC275"/>
      <c r="AD275"/>
      <c r="AE275"/>
    </row>
    <row r="276" spans="17:31" ht="12.75" customHeight="1">
      <c r="Q276" s="597"/>
      <c r="R276" s="937"/>
      <c r="S276" s="935" t="s">
        <v>307</v>
      </c>
      <c r="T276" s="935"/>
      <c r="U276" s="599">
        <f>U275*$V$11</f>
        <v>7124.4800000000014</v>
      </c>
      <c r="V276" s="599">
        <f>V275*$V$11</f>
        <v>576839.99999999988</v>
      </c>
      <c r="W276" s="599">
        <f>W275*$V$11</f>
        <v>501600</v>
      </c>
      <c r="X276" s="599">
        <f>X275*$V$11</f>
        <v>412028.57142857136</v>
      </c>
      <c r="Y276" s="361"/>
      <c r="Z276" s="364"/>
      <c r="AA276"/>
      <c r="AB276"/>
      <c r="AC276"/>
      <c r="AD276"/>
      <c r="AE276"/>
    </row>
    <row r="277" spans="17:31" ht="12.75" customHeight="1">
      <c r="Q277" s="364"/>
      <c r="R277" s="937"/>
      <c r="S277" s="935" t="s">
        <v>308</v>
      </c>
      <c r="T277" s="935"/>
      <c r="U277" s="599">
        <f>U276*3</f>
        <v>21373.440000000002</v>
      </c>
      <c r="V277" s="599">
        <f>V276*3</f>
        <v>1730519.9999999995</v>
      </c>
      <c r="W277" s="599">
        <f>W276*3</f>
        <v>1504800</v>
      </c>
      <c r="X277" s="599">
        <f>X276*3</f>
        <v>1236085.7142857141</v>
      </c>
      <c r="Y277" s="361"/>
      <c r="Z277" s="364"/>
      <c r="AA277"/>
      <c r="AB277"/>
      <c r="AC277"/>
      <c r="AD277"/>
      <c r="AE277"/>
    </row>
    <row r="278" spans="17:31" ht="12.75" customHeight="1">
      <c r="Q278" s="364"/>
      <c r="R278" s="937"/>
      <c r="S278" s="937"/>
      <c r="T278" s="937"/>
      <c r="U278" s="937"/>
      <c r="V278" s="937"/>
      <c r="W278" s="937"/>
      <c r="X278" s="937"/>
      <c r="Y278" s="364"/>
      <c r="Z278" s="364"/>
      <c r="AA278"/>
      <c r="AB278"/>
      <c r="AC278"/>
      <c r="AD278"/>
      <c r="AE278"/>
    </row>
    <row r="279" spans="17:31" ht="12.75" customHeight="1">
      <c r="Q279" s="364"/>
      <c r="R279" s="935" t="s">
        <v>675</v>
      </c>
      <c r="S279" s="935"/>
      <c r="T279" s="935"/>
      <c r="U279" s="930" t="s">
        <v>500</v>
      </c>
      <c r="V279" s="928" t="s">
        <v>22</v>
      </c>
      <c r="W279" s="929" t="s">
        <v>579</v>
      </c>
      <c r="X279" s="927" t="s">
        <v>21</v>
      </c>
      <c r="Y279" s="361"/>
      <c r="Z279" s="364"/>
      <c r="AA279"/>
      <c r="AB279"/>
      <c r="AC279"/>
      <c r="AD279"/>
      <c r="AE279"/>
    </row>
    <row r="280" spans="17:31" ht="12.75" customHeight="1">
      <c r="Q280" s="364"/>
      <c r="R280" s="937" t="s">
        <v>322</v>
      </c>
      <c r="S280" s="937"/>
      <c r="T280" s="937"/>
      <c r="U280" s="930"/>
      <c r="V280" s="928"/>
      <c r="W280" s="929"/>
      <c r="X280" s="927"/>
      <c r="Y280" s="361"/>
      <c r="Z280" s="364"/>
      <c r="AA280"/>
      <c r="AB280"/>
      <c r="AC280"/>
      <c r="AD280"/>
      <c r="AE280"/>
    </row>
    <row r="281" spans="17:31" ht="12.75" customHeight="1">
      <c r="Q281" s="364"/>
      <c r="R281" s="937"/>
      <c r="S281" s="935" t="s">
        <v>306</v>
      </c>
      <c r="T281" s="935"/>
      <c r="U281" s="599">
        <f>U282/$V$11</f>
        <v>211.20000000000005</v>
      </c>
      <c r="V281" s="599">
        <f>V282/$V$11</f>
        <v>17099.999999999996</v>
      </c>
      <c r="W281" s="599">
        <f>W282/$V$11</f>
        <v>14869.565217391302</v>
      </c>
      <c r="X281" s="599">
        <f>X282/$V$11</f>
        <v>12214.285714285712</v>
      </c>
      <c r="Y281" s="361"/>
      <c r="Z281" s="364"/>
      <c r="AA281"/>
      <c r="AB281"/>
      <c r="AC281"/>
      <c r="AD281"/>
      <c r="AE281"/>
    </row>
    <row r="282" spans="17:31" ht="12.75" customHeight="1">
      <c r="Q282" s="364"/>
      <c r="R282" s="937"/>
      <c r="S282" s="935" t="s">
        <v>307</v>
      </c>
      <c r="T282" s="935"/>
      <c r="U282" s="599">
        <f>U283/12</f>
        <v>4857.6000000000013</v>
      </c>
      <c r="V282" s="599">
        <f>V283/12</f>
        <v>393299.99999999994</v>
      </c>
      <c r="W282" s="599">
        <f>W283/12</f>
        <v>341999.99999999994</v>
      </c>
      <c r="X282" s="599">
        <f>X283/12</f>
        <v>280928.57142857136</v>
      </c>
      <c r="Y282" s="361"/>
      <c r="Z282" s="364"/>
      <c r="AA282"/>
      <c r="AB282"/>
      <c r="AC282"/>
      <c r="AD282"/>
      <c r="AE282"/>
    </row>
    <row r="283" spans="17:31" ht="12.75" customHeight="1">
      <c r="Q283" s="364"/>
      <c r="R283" s="937"/>
      <c r="S283" s="935" t="s">
        <v>308</v>
      </c>
      <c r="T283" s="935"/>
      <c r="U283" s="599">
        <f>U271+U277</f>
        <v>58291.200000000012</v>
      </c>
      <c r="V283" s="599">
        <f>V271+V277</f>
        <v>4719599.9999999991</v>
      </c>
      <c r="W283" s="599">
        <f>W271+W277</f>
        <v>4103999.9999999995</v>
      </c>
      <c r="X283" s="599">
        <f>X271+X277</f>
        <v>3371142.8571428563</v>
      </c>
      <c r="Y283" s="361"/>
      <c r="Z283" s="364"/>
      <c r="AA283"/>
      <c r="AB283"/>
      <c r="AC283"/>
      <c r="AD283"/>
      <c r="AE283"/>
    </row>
    <row r="284" spans="17:31" ht="12.75" customHeight="1">
      <c r="Q284" s="364"/>
      <c r="R284" s="363"/>
      <c r="S284" s="363"/>
      <c r="T284" s="577"/>
      <c r="U284" s="577"/>
      <c r="V284" s="596"/>
      <c r="W284" s="363"/>
      <c r="X284" s="363"/>
      <c r="Y284" s="363"/>
      <c r="Z284" s="363"/>
      <c r="AA284"/>
      <c r="AB284"/>
      <c r="AC284"/>
      <c r="AD284"/>
      <c r="AE284"/>
    </row>
    <row r="285" spans="17:31" ht="12.75" customHeight="1">
      <c r="Q285" s="668" t="s">
        <v>756</v>
      </c>
      <c r="R285" s="363" t="s">
        <v>758</v>
      </c>
      <c r="S285" s="363"/>
      <c r="T285" s="577"/>
      <c r="U285" s="577"/>
      <c r="V285" s="596"/>
      <c r="W285" s="363"/>
      <c r="X285" s="363"/>
      <c r="Y285" s="363"/>
      <c r="Z285" s="363"/>
      <c r="AA285"/>
      <c r="AB285"/>
      <c r="AC285"/>
      <c r="AD285"/>
      <c r="AE285"/>
    </row>
    <row r="286" spans="17:31" ht="12.75" customHeight="1">
      <c r="Q286" s="364"/>
      <c r="R286" s="935" t="s">
        <v>678</v>
      </c>
      <c r="S286" s="935"/>
      <c r="T286" s="935"/>
      <c r="U286" s="935"/>
      <c r="V286" s="936" t="s">
        <v>500</v>
      </c>
      <c r="W286" s="936" t="s">
        <v>22</v>
      </c>
      <c r="X286" s="936" t="s">
        <v>579</v>
      </c>
      <c r="Y286" s="936" t="s">
        <v>21</v>
      </c>
      <c r="Z286" s="361"/>
      <c r="AA286"/>
      <c r="AB286"/>
      <c r="AC286"/>
      <c r="AD286"/>
      <c r="AE286"/>
    </row>
    <row r="287" spans="17:31" ht="12.75" customHeight="1">
      <c r="Q287" s="364"/>
      <c r="R287" s="935"/>
      <c r="S287" s="935"/>
      <c r="T287" s="935"/>
      <c r="U287" s="935"/>
      <c r="V287" s="936"/>
      <c r="W287" s="936"/>
      <c r="X287" s="936"/>
      <c r="Y287" s="936"/>
      <c r="Z287" s="361"/>
      <c r="AA287"/>
      <c r="AB287"/>
      <c r="AC287"/>
      <c r="AD287"/>
      <c r="AE287"/>
    </row>
    <row r="288" spans="17:31" ht="12.75" customHeight="1">
      <c r="Q288" s="364"/>
      <c r="R288" s="931" t="s">
        <v>35</v>
      </c>
      <c r="S288" s="931"/>
      <c r="T288" s="931"/>
      <c r="U288" s="931"/>
      <c r="V288" s="599">
        <f>AVERAGE(U196:W196)*5%</f>
        <v>1305585.0000000005</v>
      </c>
      <c r="W288" s="599">
        <f>V202*5%</f>
        <v>1533870.0000000005</v>
      </c>
      <c r="X288" s="599">
        <f>W202*5%</f>
        <v>1518480.0000000005</v>
      </c>
      <c r="Y288" s="599">
        <f>X202*5%</f>
        <v>1500158.5714285718</v>
      </c>
      <c r="Z288" s="361"/>
      <c r="AA288"/>
      <c r="AB288"/>
      <c r="AC288"/>
      <c r="AD288"/>
      <c r="AE288"/>
    </row>
    <row r="289" spans="17:31" ht="12.75" customHeight="1">
      <c r="Q289" s="364"/>
      <c r="R289" s="931" t="s">
        <v>481</v>
      </c>
      <c r="S289" s="931"/>
      <c r="T289" s="931"/>
      <c r="U289" s="931"/>
      <c r="V289" s="600" t="s">
        <v>479</v>
      </c>
      <c r="W289" s="599">
        <f>Y289</f>
        <v>1059840</v>
      </c>
      <c r="X289" s="600" t="s">
        <v>479</v>
      </c>
      <c r="Y289" s="599">
        <f>Consumables!E23*12</f>
        <v>1059840</v>
      </c>
      <c r="Z289" s="361"/>
      <c r="AA289"/>
      <c r="AB289"/>
      <c r="AC289"/>
      <c r="AD289"/>
      <c r="AE289"/>
    </row>
    <row r="290" spans="17:31" ht="12.75" customHeight="1">
      <c r="Q290" s="364"/>
      <c r="R290" s="931" t="s">
        <v>311</v>
      </c>
      <c r="S290" s="931"/>
      <c r="T290" s="931"/>
      <c r="U290" s="931"/>
      <c r="V290" s="600" t="s">
        <v>557</v>
      </c>
      <c r="W290" s="599">
        <f>Y290</f>
        <v>416000</v>
      </c>
      <c r="X290" s="599">
        <f>W290</f>
        <v>416000</v>
      </c>
      <c r="Y290" s="599">
        <f>Consumables!E21*12</f>
        <v>416000</v>
      </c>
      <c r="Z290" s="361"/>
      <c r="AA290"/>
      <c r="AB290"/>
      <c r="AC290"/>
      <c r="AD290"/>
      <c r="AE290"/>
    </row>
    <row r="291" spans="17:31" ht="12.75" customHeight="1">
      <c r="Q291" s="364"/>
      <c r="R291" s="931" t="s">
        <v>480</v>
      </c>
      <c r="S291" s="931"/>
      <c r="T291" s="931"/>
      <c r="U291" s="931"/>
      <c r="V291" s="599">
        <f>Consumables!H21*12</f>
        <v>3865001.2800000003</v>
      </c>
      <c r="W291" s="599">
        <v>0</v>
      </c>
      <c r="X291" s="599">
        <v>0</v>
      </c>
      <c r="Y291" s="599">
        <v>0</v>
      </c>
      <c r="Z291" s="361"/>
      <c r="AA291"/>
      <c r="AB291"/>
      <c r="AC291"/>
      <c r="AD291"/>
      <c r="AE291"/>
    </row>
    <row r="292" spans="17:31" ht="12.75" customHeight="1">
      <c r="Q292" s="364"/>
      <c r="R292" s="931" t="s">
        <v>312</v>
      </c>
      <c r="S292" s="931"/>
      <c r="T292" s="931"/>
      <c r="U292" s="931"/>
      <c r="V292" s="599">
        <f>Consumables!H20*12</f>
        <v>2691993.6000000001</v>
      </c>
      <c r="W292" s="599">
        <f>Y292</f>
        <v>2331648.0000000005</v>
      </c>
      <c r="X292" s="599">
        <f>W292</f>
        <v>2331648.0000000005</v>
      </c>
      <c r="Y292" s="599">
        <f>Consumables!E20*12</f>
        <v>2331648.0000000005</v>
      </c>
      <c r="Z292" s="361"/>
      <c r="AA292"/>
      <c r="AB292"/>
      <c r="AC292"/>
      <c r="AD292"/>
      <c r="AE292"/>
    </row>
    <row r="293" spans="17:31" ht="12.75" customHeight="1">
      <c r="Q293" s="364"/>
      <c r="R293" s="931" t="s">
        <v>313</v>
      </c>
      <c r="S293" s="931"/>
      <c r="T293" s="931"/>
      <c r="U293" s="931"/>
      <c r="V293" s="599">
        <f>Consumables!H19*12</f>
        <v>1674547.2000000002</v>
      </c>
      <c r="W293" s="599">
        <f>Y293</f>
        <v>1398988.8</v>
      </c>
      <c r="X293" s="599">
        <f>W293</f>
        <v>1398988.8</v>
      </c>
      <c r="Y293" s="599">
        <f>Consumables!E19*12</f>
        <v>1398988.8</v>
      </c>
      <c r="Z293" s="361"/>
      <c r="AA293"/>
      <c r="AB293"/>
      <c r="AC293"/>
      <c r="AD293"/>
      <c r="AE293"/>
    </row>
    <row r="294" spans="17:31" ht="12.75" customHeight="1">
      <c r="Q294" s="364"/>
      <c r="R294" s="931" t="s">
        <v>190</v>
      </c>
      <c r="S294" s="931"/>
      <c r="T294" s="931"/>
      <c r="U294" s="931"/>
      <c r="V294" s="599">
        <f>Consumables!H22*12</f>
        <v>8294400</v>
      </c>
      <c r="W294" s="599">
        <v>0</v>
      </c>
      <c r="X294" s="599">
        <v>0</v>
      </c>
      <c r="Y294" s="599">
        <v>0</v>
      </c>
      <c r="Z294" s="361"/>
      <c r="AA294"/>
      <c r="AB294"/>
      <c r="AC294"/>
      <c r="AD294"/>
      <c r="AE294"/>
    </row>
    <row r="295" spans="17:31" ht="12.75" customHeight="1">
      <c r="Q295" s="364"/>
      <c r="R295" s="931" t="s">
        <v>482</v>
      </c>
      <c r="S295" s="931"/>
      <c r="T295" s="931"/>
      <c r="U295" s="931"/>
      <c r="V295" s="599">
        <v>0</v>
      </c>
      <c r="W295" s="599">
        <f>Y295</f>
        <v>199600.00000000003</v>
      </c>
      <c r="X295" s="599">
        <f>W295</f>
        <v>199600.00000000003</v>
      </c>
      <c r="Y295" s="599">
        <f>Consumables!E25*12</f>
        <v>199600.00000000003</v>
      </c>
      <c r="Z295" s="361"/>
      <c r="AA295"/>
      <c r="AB295"/>
      <c r="AC295"/>
      <c r="AD295"/>
      <c r="AE295"/>
    </row>
    <row r="296" spans="17:31" ht="12.75" customHeight="1">
      <c r="Q296" s="364"/>
      <c r="R296" s="931" t="s">
        <v>483</v>
      </c>
      <c r="S296" s="931"/>
      <c r="T296" s="931"/>
      <c r="U296" s="931"/>
      <c r="V296" s="599">
        <v>0</v>
      </c>
      <c r="W296" s="599">
        <f>Y296</f>
        <v>40600</v>
      </c>
      <c r="X296" s="599">
        <f>W296</f>
        <v>40600</v>
      </c>
      <c r="Y296" s="599">
        <f>Consumables!E24*12</f>
        <v>40600</v>
      </c>
      <c r="Z296" s="361"/>
      <c r="AA296"/>
      <c r="AB296"/>
      <c r="AC296"/>
      <c r="AD296"/>
      <c r="AE296"/>
    </row>
    <row r="297" spans="17:31" ht="12.75" customHeight="1">
      <c r="Q297" s="364"/>
      <c r="R297" s="931" t="s">
        <v>478</v>
      </c>
      <c r="S297" s="931"/>
      <c r="T297" s="931"/>
      <c r="U297" s="931"/>
      <c r="V297" s="599">
        <f>U283</f>
        <v>58291.200000000012</v>
      </c>
      <c r="W297" s="599">
        <f>V283</f>
        <v>4719599.9999999991</v>
      </c>
      <c r="X297" s="599">
        <f>W283</f>
        <v>4103999.9999999995</v>
      </c>
      <c r="Y297" s="599">
        <f>X283</f>
        <v>3371142.8571428563</v>
      </c>
      <c r="Z297" s="361"/>
      <c r="AA297"/>
      <c r="AB297"/>
      <c r="AC297"/>
      <c r="AD297"/>
      <c r="AE297"/>
    </row>
    <row r="298" spans="17:31" ht="12.75" customHeight="1">
      <c r="Q298" s="364"/>
      <c r="R298" s="931" t="s">
        <v>484</v>
      </c>
      <c r="S298" s="931"/>
      <c r="T298" s="931"/>
      <c r="U298" s="931"/>
      <c r="V298" s="599">
        <f>'NIHL Compenation Cost'!AD21</f>
        <v>1715167.5</v>
      </c>
      <c r="W298" s="599">
        <f>'NIHL Compenation Cost'!Z21</f>
        <v>989115.00000000012</v>
      </c>
      <c r="X298" s="599">
        <f>'NIHL Compenation Cost'!AB21</f>
        <v>1087325</v>
      </c>
      <c r="Y298" s="599">
        <f>'NIHL Compenation Cost'!X21</f>
        <v>596275</v>
      </c>
      <c r="Z298" s="361"/>
      <c r="AA298"/>
      <c r="AB298"/>
      <c r="AC298"/>
      <c r="AD298"/>
      <c r="AE298"/>
    </row>
    <row r="299" spans="17:31" ht="12.75" customHeight="1">
      <c r="Q299" s="364"/>
      <c r="R299" s="932" t="s">
        <v>677</v>
      </c>
      <c r="S299" s="932"/>
      <c r="T299" s="932"/>
      <c r="U299" s="932"/>
      <c r="V299" s="599">
        <f>SUM(V288:V298)</f>
        <v>19604985.780000001</v>
      </c>
      <c r="W299" s="599">
        <f>SUM(W288:W298)</f>
        <v>12689261.800000001</v>
      </c>
      <c r="X299" s="599">
        <f>SUM(X288:X298)</f>
        <v>11096641.800000001</v>
      </c>
      <c r="Y299" s="599">
        <f>SUM(Y288:Y298)</f>
        <v>10914253.22857143</v>
      </c>
      <c r="Z299" s="361"/>
      <c r="AA299"/>
      <c r="AB299"/>
      <c r="AC299"/>
      <c r="AD299"/>
      <c r="AE299"/>
    </row>
    <row r="300" spans="17:31" ht="12.75" customHeight="1">
      <c r="Q300" s="364"/>
      <c r="R300" s="591"/>
      <c r="S300" s="591"/>
      <c r="T300" s="591"/>
      <c r="U300" s="591"/>
      <c r="V300" s="718"/>
      <c r="W300" s="718"/>
      <c r="X300" s="718"/>
      <c r="Y300" s="718"/>
      <c r="Z300" s="361"/>
      <c r="AA300"/>
      <c r="AB300"/>
      <c r="AC300"/>
      <c r="AD300"/>
      <c r="AE300"/>
    </row>
    <row r="301" spans="17:31" ht="12.75" customHeight="1">
      <c r="Q301" s="364"/>
      <c r="R301" s="591"/>
      <c r="S301" s="591"/>
      <c r="T301" s="933" t="s">
        <v>812</v>
      </c>
      <c r="U301" s="933"/>
      <c r="V301" s="718">
        <f>V299-V294</f>
        <v>11310585.780000001</v>
      </c>
      <c r="W301" s="718">
        <f>W299-W294</f>
        <v>12689261.800000001</v>
      </c>
      <c r="X301" s="718">
        <f>X299-X294</f>
        <v>11096641.800000001</v>
      </c>
      <c r="Y301" s="718">
        <f>Y299-Y294</f>
        <v>10914253.22857143</v>
      </c>
      <c r="Z301" s="361"/>
      <c r="AA301"/>
      <c r="AB301"/>
      <c r="AC301"/>
      <c r="AD301"/>
      <c r="AE301"/>
    </row>
    <row r="302" spans="17:31" ht="12.75" customHeight="1">
      <c r="Q302" s="364"/>
      <c r="R302" s="364"/>
      <c r="S302" s="364"/>
      <c r="T302" s="934" t="s">
        <v>350</v>
      </c>
      <c r="U302" s="934"/>
      <c r="V302" s="682">
        <f>V294</f>
        <v>8294400</v>
      </c>
      <c r="W302" s="682"/>
      <c r="X302" s="682"/>
      <c r="Y302" s="682"/>
      <c r="Z302" s="364"/>
      <c r="AA302"/>
      <c r="AB302"/>
      <c r="AC302"/>
      <c r="AD302"/>
      <c r="AE302"/>
    </row>
    <row r="303" spans="17:31" ht="12.75" customHeight="1">
      <c r="Q303" s="364">
        <v>10.3</v>
      </c>
      <c r="R303" s="363"/>
      <c r="S303" s="364"/>
      <c r="T303" s="364"/>
      <c r="U303" s="364"/>
      <c r="V303" s="682"/>
      <c r="W303" s="364"/>
      <c r="X303" s="362"/>
      <c r="Y303" s="682"/>
      <c r="Z303" s="364"/>
      <c r="AA303"/>
      <c r="AB303"/>
      <c r="AC303"/>
      <c r="AD303"/>
      <c r="AE303"/>
    </row>
    <row r="304" spans="17:31" ht="12.75" customHeight="1">
      <c r="Q304" s="364"/>
      <c r="R304" s="364"/>
      <c r="S304" s="364"/>
      <c r="T304" s="364"/>
      <c r="U304" s="364"/>
      <c r="V304" s="364"/>
      <c r="W304" s="364"/>
      <c r="X304" s="364"/>
      <c r="Y304" s="364"/>
      <c r="Z304" s="364"/>
      <c r="AA304"/>
      <c r="AB304"/>
      <c r="AC304"/>
      <c r="AD304"/>
      <c r="AE304"/>
    </row>
    <row r="305" spans="17:31" ht="12.75" customHeight="1">
      <c r="Q305" s="364"/>
      <c r="R305" s="935" t="s">
        <v>195</v>
      </c>
      <c r="S305" s="935"/>
      <c r="T305" s="935"/>
      <c r="U305" s="935"/>
      <c r="V305" s="935"/>
      <c r="W305" s="375"/>
      <c r="X305" s="683"/>
      <c r="Y305" s="375"/>
      <c r="Z305" s="375"/>
      <c r="AA305"/>
      <c r="AB305"/>
      <c r="AC305"/>
      <c r="AD305"/>
      <c r="AE305"/>
    </row>
    <row r="306" spans="17:31" ht="12.75" customHeight="1">
      <c r="Q306" s="364"/>
      <c r="R306" s="926" t="s">
        <v>509</v>
      </c>
      <c r="S306" s="927" t="s">
        <v>21</v>
      </c>
      <c r="T306" s="928" t="s">
        <v>22</v>
      </c>
      <c r="U306" s="929" t="s">
        <v>579</v>
      </c>
      <c r="V306" s="930" t="s">
        <v>500</v>
      </c>
      <c r="W306" s="363"/>
      <c r="X306" s="684"/>
      <c r="Y306" s="363"/>
      <c r="Z306" s="364"/>
      <c r="AA306"/>
      <c r="AB306"/>
      <c r="AC306"/>
      <c r="AD306"/>
      <c r="AE306"/>
    </row>
    <row r="307" spans="17:31" ht="12.75" customHeight="1">
      <c r="Q307" s="364"/>
      <c r="R307" s="926"/>
      <c r="S307" s="927"/>
      <c r="T307" s="928"/>
      <c r="U307" s="929"/>
      <c r="V307" s="930"/>
      <c r="W307" s="363"/>
      <c r="X307" s="684"/>
      <c r="Y307" s="363"/>
      <c r="Z307" s="364"/>
      <c r="AA307"/>
      <c r="AB307"/>
      <c r="AC307"/>
      <c r="AD307"/>
      <c r="AE307"/>
    </row>
    <row r="308" spans="17:31" ht="12.75" customHeight="1">
      <c r="Q308" s="364"/>
      <c r="R308" s="667" t="s">
        <v>204</v>
      </c>
      <c r="S308" s="667" t="s">
        <v>846</v>
      </c>
      <c r="T308" s="667" t="s">
        <v>846</v>
      </c>
      <c r="U308" s="667" t="s">
        <v>846</v>
      </c>
      <c r="V308" s="667" t="s">
        <v>846</v>
      </c>
      <c r="W308" s="363"/>
      <c r="X308" s="363"/>
      <c r="Y308" s="363"/>
      <c r="Z308" s="364"/>
      <c r="AA308"/>
      <c r="AB308"/>
      <c r="AC308"/>
      <c r="AD308"/>
      <c r="AE308"/>
    </row>
    <row r="309" spans="17:31" ht="12.75" customHeight="1">
      <c r="Q309" s="364"/>
      <c r="R309" s="600">
        <v>1</v>
      </c>
      <c r="S309" s="369">
        <f>$X$69</f>
        <v>116</v>
      </c>
      <c r="T309" s="584">
        <f>$V$69</f>
        <v>108</v>
      </c>
      <c r="U309" s="685">
        <f>$W$69</f>
        <v>109</v>
      </c>
      <c r="V309" s="369">
        <f>$U$69</f>
        <v>102</v>
      </c>
      <c r="W309" s="363"/>
      <c r="X309" s="363"/>
      <c r="Y309" s="363"/>
      <c r="Z309" s="364"/>
      <c r="AA309"/>
      <c r="AB309"/>
      <c r="AC309"/>
      <c r="AD309"/>
      <c r="AE309"/>
    </row>
    <row r="310" spans="17:31" ht="12.75" customHeight="1">
      <c r="Q310" s="364"/>
      <c r="R310" s="600">
        <v>2</v>
      </c>
      <c r="S310" s="584">
        <f>(LOG((10^(S309/10))+(10^(S309/10))))*10</f>
        <v>119.01029995663983</v>
      </c>
      <c r="T310" s="584">
        <f>(LOG((10^(T309/10))+(10^(T309/10))))*10</f>
        <v>111.01029995663981</v>
      </c>
      <c r="U310" s="584">
        <f>(LOG((10^(U309/10))+(10^(U309/10))))*10</f>
        <v>112.01029995663981</v>
      </c>
      <c r="V310" s="584">
        <f>(LOG((10^(V309/10))+(10^(V309/10))))*10</f>
        <v>105.01029995663983</v>
      </c>
      <c r="W310" s="363"/>
      <c r="X310" s="363"/>
      <c r="Y310" s="363"/>
      <c r="Z310" s="364"/>
      <c r="AA310"/>
      <c r="AB310"/>
      <c r="AC310"/>
      <c r="AD310"/>
      <c r="AE310"/>
    </row>
    <row r="311" spans="17:31" ht="12.75" customHeight="1">
      <c r="Q311" s="597"/>
      <c r="R311" s="600">
        <v>3</v>
      </c>
      <c r="S311" s="584">
        <f>(LOG((10^(S309/10))+(10^(S309/10))+(10^(S309/10)))*10)</f>
        <v>120.77121254719664</v>
      </c>
      <c r="T311" s="584">
        <f>(LOG((10^(T309/10))+(10^(T309/10))+(10^(T309/10)))*10)</f>
        <v>112.77121254719663</v>
      </c>
      <c r="U311" s="584">
        <f>(LOG((10^(U309/10))+(10^(U309/10))+(10^(U309/10)))*10)</f>
        <v>113.77121254719663</v>
      </c>
      <c r="V311" s="584">
        <f>(LOG((10^(V309/10))+(10^(V309/10))+(10^(V309/10)))*10)</f>
        <v>106.77121254719664</v>
      </c>
      <c r="W311" s="363"/>
      <c r="X311" s="363"/>
      <c r="Y311" s="363"/>
      <c r="Z311" s="364"/>
      <c r="AA311"/>
      <c r="AB311"/>
      <c r="AC311"/>
      <c r="AD311"/>
      <c r="AE311"/>
    </row>
    <row r="312" spans="17:31" ht="12.75" customHeight="1">
      <c r="Q312" s="364"/>
      <c r="R312" s="600">
        <v>4</v>
      </c>
      <c r="S312" s="584">
        <f>(LOG((10^(S309/10))+(10^(S309/10))+(10^(S309/10))+(10^(S309/10))))*10</f>
        <v>122.02059991327964</v>
      </c>
      <c r="T312" s="584">
        <f>(LOG((10^(T309/10))+(10^(T309/10))+(10^(T309/10))+(10^(T309/10))))*10</f>
        <v>114.02059991327963</v>
      </c>
      <c r="U312" s="584">
        <f>(LOG((10^(U309/10))+(10^(U309/10))+(10^(U309/10))+(10^(U309/10))))*10</f>
        <v>115.02059991327963</v>
      </c>
      <c r="V312" s="584">
        <f>(LOG((10^(V309/10))+(10^(V309/10))+(10^(V309/10))+(10^(V309/10))))*10</f>
        <v>108.02059991327964</v>
      </c>
      <c r="W312" s="363"/>
      <c r="X312" s="363"/>
      <c r="Y312" s="363"/>
      <c r="Z312" s="364"/>
      <c r="AA312"/>
      <c r="AB312"/>
      <c r="AC312"/>
      <c r="AD312"/>
      <c r="AE312"/>
    </row>
    <row r="313" spans="17:31" ht="12.75" customHeight="1">
      <c r="Q313" s="364"/>
      <c r="R313" s="600">
        <v>5</v>
      </c>
      <c r="S313" s="584">
        <f>(LOG((10^(S309/10))+(10^(S309/10))+(10^(S309/10))+(10^(S309/10))+(10^(S309/10))))*10</f>
        <v>122.9897000433602</v>
      </c>
      <c r="T313" s="584">
        <f>(LOG((10^(T309/10))+(10^(T309/10))+(10^(T309/10))+(10^(T309/10))+(10^(T309/10))))*10</f>
        <v>114.98970004336019</v>
      </c>
      <c r="U313" s="584">
        <f>(LOG((10^(U309/10))+(10^(U309/10))+(10^(U309/10))+(10^(U309/10))+(10^(U309/10))))*10</f>
        <v>115.98970004336019</v>
      </c>
      <c r="V313" s="584">
        <f>(LOG((10^(V309/10))+(10^(V309/10))+(10^(V309/10))+(10^(V309/10))+(10^(V309/10))))*10</f>
        <v>108.9897000433602</v>
      </c>
      <c r="W313" s="363"/>
      <c r="X313" s="363"/>
      <c r="Y313" s="363"/>
      <c r="Z313" s="364"/>
      <c r="AA313"/>
      <c r="AB313"/>
      <c r="AC313"/>
      <c r="AD313"/>
      <c r="AE313"/>
    </row>
    <row r="314" spans="17:31" ht="12.75" customHeight="1">
      <c r="Q314" s="364"/>
      <c r="R314" s="600">
        <v>6</v>
      </c>
      <c r="S314" s="584">
        <f>(LOG((10^(S309/10))+(10^(S309/10))+(10^(S309/10))+(10^(S309/10))+(10^(S309/10))+(10^(S309/10)))*10)</f>
        <v>123.78151250383645</v>
      </c>
      <c r="T314" s="584">
        <f>(LOG((10^(T309/10))+(10^(T309/10))+(10^(T309/10))+(10^(T309/10))+(10^(T309/10))+(10^(T309/10)))*10)</f>
        <v>115.78151250383644</v>
      </c>
      <c r="U314" s="584">
        <f>(LOG((10^(U309/10))+(10^(U309/10))+(10^(U309/10))+(10^(U309/10))+(10^(U309/10))+(10^(U309/10)))*10)</f>
        <v>116.78151250383644</v>
      </c>
      <c r="V314" s="584">
        <f>(LOG((10^(V309/10))+(10^(V309/10))+(10^(V309/10))+(10^(V309/10))+(10^(V309/10))+(10^(V309/10)))*10)</f>
        <v>109.78151250383645</v>
      </c>
      <c r="W314" s="363"/>
      <c r="X314" s="363"/>
      <c r="Y314" s="363"/>
      <c r="Z314" s="364"/>
      <c r="AA314"/>
      <c r="AB314"/>
      <c r="AC314"/>
      <c r="AD314"/>
      <c r="AE314"/>
    </row>
    <row r="315" spans="17:31" ht="12.75" customHeight="1" thickBot="1">
      <c r="Q315" s="364"/>
      <c r="R315" s="364"/>
      <c r="S315" s="364"/>
      <c r="T315" s="364"/>
      <c r="U315" s="364"/>
      <c r="V315" s="364"/>
      <c r="W315" s="364"/>
      <c r="X315" s="364"/>
      <c r="Y315" s="364"/>
      <c r="Z315" s="364"/>
      <c r="AA315"/>
      <c r="AB315"/>
      <c r="AC315"/>
      <c r="AD315"/>
      <c r="AE315"/>
    </row>
    <row r="316" spans="17:31" ht="12.75" customHeight="1" thickTop="1">
      <c r="Q316" s="364"/>
      <c r="R316" s="916" t="s">
        <v>428</v>
      </c>
      <c r="S316" s="917"/>
      <c r="T316" s="917"/>
      <c r="U316" s="917"/>
      <c r="V316" s="917"/>
      <c r="W316" s="918"/>
      <c r="X316" s="364"/>
      <c r="Y316" s="364"/>
      <c r="Z316" s="364"/>
      <c r="AA316"/>
      <c r="AB316"/>
      <c r="AC316"/>
      <c r="AD316"/>
      <c r="AE316"/>
    </row>
    <row r="317" spans="17:31" ht="12.75" customHeight="1">
      <c r="Q317" s="364"/>
      <c r="R317" s="919"/>
      <c r="S317" s="920"/>
      <c r="T317" s="920"/>
      <c r="U317" s="920"/>
      <c r="V317" s="920"/>
      <c r="W317" s="921"/>
      <c r="X317" s="364"/>
      <c r="Y317" s="364"/>
      <c r="Z317" s="364"/>
      <c r="AA317"/>
      <c r="AB317"/>
      <c r="AC317"/>
      <c r="AD317"/>
      <c r="AE317"/>
    </row>
    <row r="318" spans="17:31" ht="12.75" customHeight="1" thickBot="1">
      <c r="Q318" s="364"/>
      <c r="R318" s="922"/>
      <c r="S318" s="923"/>
      <c r="T318" s="923"/>
      <c r="U318" s="923"/>
      <c r="V318" s="923"/>
      <c r="W318" s="924"/>
      <c r="X318" s="364"/>
      <c r="Y318" s="364"/>
      <c r="Z318" s="364"/>
      <c r="AA318"/>
      <c r="AB318"/>
      <c r="AC318"/>
      <c r="AD318"/>
      <c r="AE318"/>
    </row>
    <row r="319" spans="17:31" ht="12.75" customHeight="1" thickTop="1">
      <c r="Q319" s="364"/>
      <c r="R319" s="925" t="str">
        <f>S306</f>
        <v>Seco S215</v>
      </c>
      <c r="S319" s="925"/>
      <c r="T319" s="925"/>
      <c r="U319" s="925"/>
      <c r="V319" s="925"/>
      <c r="W319" s="925"/>
      <c r="X319" s="364"/>
      <c r="Y319" s="364"/>
      <c r="Z319" s="364"/>
      <c r="AA319"/>
      <c r="AB319"/>
      <c r="AC319"/>
      <c r="AD319"/>
      <c r="AE319"/>
    </row>
    <row r="320" spans="17:31" ht="12.75" customHeight="1" thickBot="1">
      <c r="Q320" s="364"/>
      <c r="R320" s="910" t="s">
        <v>205</v>
      </c>
      <c r="S320" s="911"/>
      <c r="T320" s="911"/>
      <c r="U320" s="911"/>
      <c r="V320" s="911"/>
      <c r="W320" s="912"/>
      <c r="X320" s="364"/>
      <c r="Y320" s="364"/>
      <c r="Z320" s="364"/>
      <c r="AA320"/>
      <c r="AB320"/>
      <c r="AC320"/>
      <c r="AD320"/>
      <c r="AE320"/>
    </row>
    <row r="321" spans="17:31" ht="12.75" customHeight="1" thickBot="1">
      <c r="Q321" s="364"/>
      <c r="R321" s="686" t="s">
        <v>59</v>
      </c>
      <c r="S321" s="577"/>
      <c r="T321" s="687"/>
      <c r="U321" s="687"/>
      <c r="V321" s="687"/>
      <c r="W321" s="688"/>
      <c r="X321" s="364"/>
      <c r="Y321" s="364"/>
      <c r="Z321" s="364"/>
      <c r="AA321"/>
      <c r="AB321"/>
      <c r="AC321"/>
      <c r="AD321"/>
      <c r="AE321"/>
    </row>
    <row r="322" spans="17:31" ht="12.75" customHeight="1">
      <c r="Q322" s="364"/>
      <c r="R322" s="895" t="s">
        <v>845</v>
      </c>
      <c r="S322" s="896"/>
      <c r="T322" s="900" t="s">
        <v>835</v>
      </c>
      <c r="U322" s="900" t="s">
        <v>836</v>
      </c>
      <c r="V322" s="900" t="s">
        <v>837</v>
      </c>
      <c r="W322" s="902" t="s">
        <v>838</v>
      </c>
      <c r="X322" s="364"/>
      <c r="Y322" s="364"/>
      <c r="Z322" s="364"/>
      <c r="AA322"/>
      <c r="AB322"/>
      <c r="AC322"/>
      <c r="AD322"/>
      <c r="AE322"/>
    </row>
    <row r="323" spans="17:31" ht="12.75" customHeight="1">
      <c r="Q323" s="364"/>
      <c r="R323" s="892"/>
      <c r="S323" s="897"/>
      <c r="T323" s="904"/>
      <c r="U323" s="904"/>
      <c r="V323" s="904"/>
      <c r="W323" s="905"/>
      <c r="X323" s="364"/>
      <c r="Y323" s="364"/>
      <c r="Z323" s="364"/>
      <c r="AA323"/>
      <c r="AB323"/>
      <c r="AC323"/>
      <c r="AD323"/>
      <c r="AE323"/>
    </row>
    <row r="324" spans="17:31" ht="12.75" customHeight="1">
      <c r="Q324" s="364"/>
      <c r="R324" s="892"/>
      <c r="S324" s="897"/>
      <c r="T324" s="901"/>
      <c r="U324" s="901"/>
      <c r="V324" s="901"/>
      <c r="W324" s="903"/>
      <c r="X324" s="364"/>
      <c r="Y324" s="364"/>
      <c r="Z324" s="364"/>
      <c r="AA324"/>
      <c r="AB324"/>
      <c r="AC324"/>
      <c r="AD324"/>
      <c r="AE324"/>
    </row>
    <row r="325" spans="17:31" ht="12.75" customHeight="1">
      <c r="Q325" s="364"/>
      <c r="R325" s="892"/>
      <c r="S325" s="897"/>
      <c r="T325" s="689">
        <f>X69</f>
        <v>116</v>
      </c>
      <c r="U325" s="560">
        <f>X62</f>
        <v>1.4285714285714284</v>
      </c>
      <c r="V325" s="690">
        <f>IF(T325&gt;0,W325*U325," ")</f>
        <v>22857.142857142855</v>
      </c>
      <c r="W325" s="691">
        <f>IF(T325&gt;0,(VLOOKUP(T325,'Lookup Ready-reckoner'!$B$5:$E$1207,4))," ")</f>
        <v>16000</v>
      </c>
      <c r="X325" s="364"/>
      <c r="Y325" s="364"/>
      <c r="Z325" s="364"/>
      <c r="AA325"/>
      <c r="AB325"/>
      <c r="AC325"/>
      <c r="AD325"/>
      <c r="AE325"/>
    </row>
    <row r="326" spans="17:31" ht="12.75" customHeight="1">
      <c r="Q326" s="364"/>
      <c r="R326" s="898"/>
      <c r="S326" s="899"/>
      <c r="T326" s="447"/>
      <c r="U326" s="560"/>
      <c r="V326" s="690" t="str">
        <f>IF(T326&gt;0,W326*U326," ")</f>
        <v xml:space="preserve"> </v>
      </c>
      <c r="W326" s="691" t="str">
        <f>IF(T326&gt;0,(VLOOKUP(T326,'Lookup Ready-reckoner'!$B$5:$E$1007,4))," ")</f>
        <v xml:space="preserve"> </v>
      </c>
      <c r="X326" s="364"/>
      <c r="Y326" s="364"/>
      <c r="Z326" s="364"/>
      <c r="AA326"/>
      <c r="AB326"/>
      <c r="AC326"/>
      <c r="AD326"/>
      <c r="AE326"/>
    </row>
    <row r="327" spans="17:31" ht="12.75" customHeight="1" thickBot="1">
      <c r="Q327" s="364"/>
      <c r="R327" s="692" t="s">
        <v>839</v>
      </c>
      <c r="S327" s="693"/>
      <c r="T327" s="693"/>
      <c r="U327" s="694">
        <f>IF(T325&gt;0,(VLOOKUP(V327,'Lookup Ready-reckoner'!$L$5:$M$1207,2))," ")</f>
        <v>108.5</v>
      </c>
      <c r="V327" s="695">
        <f>IF(U325&gt;0,(SUM(V325:V326))," ")</f>
        <v>22857.142857142855</v>
      </c>
      <c r="W327" s="696"/>
      <c r="X327" s="364"/>
      <c r="Y327" s="364"/>
      <c r="Z327" s="364"/>
      <c r="AA327"/>
      <c r="AB327"/>
      <c r="AC327"/>
      <c r="AD327"/>
      <c r="AE327"/>
    </row>
    <row r="328" spans="17:31" ht="12.75" customHeight="1" thickBot="1">
      <c r="Q328" s="364"/>
      <c r="R328" s="892"/>
      <c r="S328" s="893"/>
      <c r="T328" s="893"/>
      <c r="U328" s="893"/>
      <c r="V328" s="893"/>
      <c r="W328" s="894"/>
      <c r="X328" s="364"/>
      <c r="Y328" s="364"/>
      <c r="Z328" s="364"/>
      <c r="AA328"/>
      <c r="AB328"/>
      <c r="AC328"/>
      <c r="AD328"/>
      <c r="AE328"/>
    </row>
    <row r="329" spans="17:31" ht="12.75" customHeight="1">
      <c r="Q329" s="364"/>
      <c r="R329" s="895" t="s">
        <v>886</v>
      </c>
      <c r="S329" s="896"/>
      <c r="T329" s="900" t="s">
        <v>835</v>
      </c>
      <c r="U329" s="900" t="s">
        <v>836</v>
      </c>
      <c r="V329" s="900" t="s">
        <v>837</v>
      </c>
      <c r="W329" s="902" t="s">
        <v>838</v>
      </c>
      <c r="X329" s="364"/>
      <c r="Y329" s="364"/>
      <c r="Z329" s="364"/>
      <c r="AA329"/>
      <c r="AB329"/>
      <c r="AC329"/>
      <c r="AD329"/>
      <c r="AE329"/>
    </row>
    <row r="330" spans="17:31" ht="12.75" customHeight="1">
      <c r="Q330" s="364"/>
      <c r="R330" s="892"/>
      <c r="S330" s="897"/>
      <c r="T330" s="901"/>
      <c r="U330" s="901"/>
      <c r="V330" s="901"/>
      <c r="W330" s="903"/>
      <c r="X330" s="364"/>
      <c r="Y330" s="364"/>
      <c r="Z330" s="364"/>
      <c r="AA330"/>
      <c r="AB330"/>
      <c r="AC330"/>
      <c r="AD330"/>
      <c r="AE330"/>
    </row>
    <row r="331" spans="17:31" ht="12.75" customHeight="1">
      <c r="Q331" s="364"/>
      <c r="R331" s="892"/>
      <c r="S331" s="897"/>
      <c r="T331" s="689">
        <f>T325*(1-0.0178*2)</f>
        <v>111.8704</v>
      </c>
      <c r="U331" s="560">
        <f>U325</f>
        <v>1.4285714285714284</v>
      </c>
      <c r="V331" s="690">
        <f>IF(T331&gt;0,W331*U331," ")</f>
        <v>8842.8571428571413</v>
      </c>
      <c r="W331" s="691">
        <f>IF(T331&gt;0,(VLOOKUP(T331,'Lookup Ready-reckoner'!$B$5:$E$1207,4))," ")</f>
        <v>6190</v>
      </c>
      <c r="X331" s="364"/>
      <c r="Y331" s="364"/>
      <c r="Z331" s="364"/>
      <c r="AA331"/>
      <c r="AB331"/>
      <c r="AC331"/>
      <c r="AD331"/>
      <c r="AE331"/>
    </row>
    <row r="332" spans="17:31" ht="12.75" customHeight="1">
      <c r="Q332" s="364"/>
      <c r="R332" s="898"/>
      <c r="S332" s="899"/>
      <c r="T332" s="447"/>
      <c r="U332" s="560"/>
      <c r="V332" s="690" t="str">
        <f>IF(T332&gt;0,W332*U332," ")</f>
        <v xml:space="preserve"> </v>
      </c>
      <c r="W332" s="691" t="str">
        <f>IF(T332&gt;0,(VLOOKUP(T332,'Lookup Ready-reckoner'!$B$5:$E$1007,4))," ")</f>
        <v xml:space="preserve"> </v>
      </c>
      <c r="X332" s="364"/>
      <c r="Y332" s="364"/>
      <c r="Z332" s="364"/>
      <c r="AA332"/>
      <c r="AB332"/>
      <c r="AC332"/>
      <c r="AD332"/>
      <c r="AE332"/>
    </row>
    <row r="333" spans="17:31" ht="12.75" customHeight="1" thickBot="1">
      <c r="Q333" s="364"/>
      <c r="R333" s="692" t="s">
        <v>839</v>
      </c>
      <c r="S333" s="693"/>
      <c r="T333" s="693"/>
      <c r="U333" s="694">
        <f>IF(T331&gt;0,(VLOOKUP(V333,'Lookup Ready-reckoner'!$L$5:$M$1207,2))," ")</f>
        <v>104.4</v>
      </c>
      <c r="V333" s="695">
        <f>IF(U331&gt;0,(SUM(V331:V332))," ")</f>
        <v>8842.8571428571413</v>
      </c>
      <c r="W333" s="696"/>
      <c r="X333" s="364"/>
      <c r="Y333" s="364"/>
      <c r="Z333" s="364"/>
      <c r="AA333"/>
      <c r="AB333"/>
      <c r="AC333"/>
      <c r="AD333"/>
      <c r="AE333"/>
    </row>
    <row r="334" spans="17:31" ht="12.75" customHeight="1">
      <c r="Q334" s="364"/>
      <c r="R334" s="697"/>
      <c r="S334" s="687"/>
      <c r="T334" s="687"/>
      <c r="U334" s="372"/>
      <c r="V334" s="374"/>
      <c r="W334" s="688"/>
      <c r="X334" s="364"/>
      <c r="Y334" s="364"/>
      <c r="Z334" s="364"/>
      <c r="AA334"/>
      <c r="AB334"/>
      <c r="AC334"/>
      <c r="AD334"/>
      <c r="AE334"/>
    </row>
    <row r="335" spans="17:31" ht="12.75" customHeight="1" thickBot="1">
      <c r="Q335" s="364"/>
      <c r="R335" s="686" t="s">
        <v>60</v>
      </c>
      <c r="S335" s="577"/>
      <c r="T335" s="577"/>
      <c r="U335" s="577"/>
      <c r="V335" s="577"/>
      <c r="W335" s="698"/>
      <c r="X335" s="364"/>
      <c r="Y335" s="364"/>
      <c r="Z335" s="364"/>
      <c r="AA335"/>
      <c r="AB335"/>
      <c r="AC335"/>
      <c r="AD335"/>
      <c r="AE335"/>
    </row>
    <row r="336" spans="17:31" ht="12.75" customHeight="1">
      <c r="Q336" s="364"/>
      <c r="R336" s="895" t="s">
        <v>845</v>
      </c>
      <c r="S336" s="896"/>
      <c r="T336" s="900" t="s">
        <v>835</v>
      </c>
      <c r="U336" s="900" t="s">
        <v>836</v>
      </c>
      <c r="V336" s="900" t="s">
        <v>837</v>
      </c>
      <c r="W336" s="902" t="s">
        <v>838</v>
      </c>
      <c r="X336" s="364"/>
      <c r="Y336" s="364"/>
      <c r="Z336" s="364"/>
      <c r="AA336"/>
      <c r="AB336"/>
      <c r="AC336"/>
      <c r="AD336"/>
      <c r="AE336"/>
    </row>
    <row r="337" spans="17:31" ht="12.75" customHeight="1">
      <c r="Q337" s="364"/>
      <c r="R337" s="892"/>
      <c r="S337" s="897"/>
      <c r="T337" s="901"/>
      <c r="U337" s="901"/>
      <c r="V337" s="901"/>
      <c r="W337" s="903"/>
      <c r="X337" s="364"/>
      <c r="Y337" s="364"/>
      <c r="Z337" s="364"/>
      <c r="AA337"/>
      <c r="AB337"/>
      <c r="AC337"/>
      <c r="AD337"/>
      <c r="AE337"/>
    </row>
    <row r="338" spans="17:31" ht="12.75" customHeight="1">
      <c r="Q338" s="364"/>
      <c r="R338" s="892"/>
      <c r="S338" s="897"/>
      <c r="T338" s="689">
        <f>T325-PPE!$I$15</f>
        <v>103</v>
      </c>
      <c r="U338" s="560">
        <f>U331</f>
        <v>1.4285714285714284</v>
      </c>
      <c r="V338" s="690">
        <f>IF(T338&gt;0,W338*U338," ")</f>
        <v>1142.8571428571427</v>
      </c>
      <c r="W338" s="691">
        <f>IF(T338&gt;0,(VLOOKUP(T338,'Lookup Ready-reckoner'!$B$5:$E$1207,4))," ")</f>
        <v>800</v>
      </c>
      <c r="X338" s="364"/>
      <c r="Y338" s="364"/>
      <c r="Z338" s="364"/>
      <c r="AA338"/>
      <c r="AB338"/>
      <c r="AC338"/>
      <c r="AD338"/>
      <c r="AE338"/>
    </row>
    <row r="339" spans="17:31" ht="12.75" customHeight="1">
      <c r="Q339" s="364"/>
      <c r="R339" s="898"/>
      <c r="S339" s="899"/>
      <c r="T339" s="447"/>
      <c r="U339" s="560"/>
      <c r="V339" s="690" t="str">
        <f>IF(T339&gt;0,W339*U339," ")</f>
        <v xml:space="preserve"> </v>
      </c>
      <c r="W339" s="691" t="str">
        <f>IF(T339&gt;0,(VLOOKUP(T339,'Lookup Ready-reckoner'!$B$5:$E$1007,4))," ")</f>
        <v xml:space="preserve"> </v>
      </c>
      <c r="X339" s="364"/>
      <c r="Y339" s="364"/>
      <c r="Z339" s="364"/>
      <c r="AA339"/>
      <c r="AB339"/>
      <c r="AC339"/>
      <c r="AD339"/>
      <c r="AE339"/>
    </row>
    <row r="340" spans="17:31" ht="12.75" customHeight="1" thickBot="1">
      <c r="Q340" s="364"/>
      <c r="R340" s="699" t="s">
        <v>839</v>
      </c>
      <c r="S340" s="693"/>
      <c r="T340" s="693"/>
      <c r="U340" s="694">
        <f>IF(T338&gt;0,(VLOOKUP(V340,'Lookup Ready-reckoner'!$L$5:$M$1207,2))," ")</f>
        <v>95.55</v>
      </c>
      <c r="V340" s="695">
        <f>IF(U338&gt;0,(SUM(V338:V339))," ")</f>
        <v>1142.8571428571427</v>
      </c>
      <c r="W340" s="696"/>
      <c r="X340" s="364"/>
      <c r="Y340" s="364"/>
      <c r="Z340" s="364"/>
      <c r="AA340"/>
      <c r="AB340"/>
      <c r="AC340"/>
      <c r="AD340"/>
      <c r="AE340"/>
    </row>
    <row r="341" spans="17:31" ht="12.75" customHeight="1" thickBot="1">
      <c r="Q341" s="364"/>
      <c r="R341" s="892"/>
      <c r="S341" s="893"/>
      <c r="T341" s="893"/>
      <c r="U341" s="893"/>
      <c r="V341" s="893"/>
      <c r="W341" s="894"/>
      <c r="X341" s="364"/>
      <c r="Y341" s="364"/>
      <c r="Z341" s="364"/>
      <c r="AA341"/>
      <c r="AB341"/>
      <c r="AC341"/>
      <c r="AD341"/>
      <c r="AE341"/>
    </row>
    <row r="342" spans="17:31" ht="12.75" customHeight="1">
      <c r="Q342" s="364"/>
      <c r="R342" s="895" t="s">
        <v>886</v>
      </c>
      <c r="S342" s="896"/>
      <c r="T342" s="900" t="s">
        <v>835</v>
      </c>
      <c r="U342" s="900" t="s">
        <v>836</v>
      </c>
      <c r="V342" s="900" t="s">
        <v>837</v>
      </c>
      <c r="W342" s="902" t="s">
        <v>838</v>
      </c>
      <c r="X342" s="364"/>
      <c r="Y342" s="364"/>
      <c r="Z342" s="364"/>
      <c r="AA342"/>
      <c r="AB342"/>
      <c r="AC342"/>
      <c r="AD342"/>
      <c r="AE342"/>
    </row>
    <row r="343" spans="17:31" ht="12.75" customHeight="1">
      <c r="Q343" s="364"/>
      <c r="R343" s="892"/>
      <c r="S343" s="897"/>
      <c r="T343" s="901"/>
      <c r="U343" s="901"/>
      <c r="V343" s="901"/>
      <c r="W343" s="903"/>
      <c r="X343" s="364"/>
      <c r="Y343" s="364"/>
      <c r="Z343" s="364"/>
      <c r="AA343"/>
      <c r="AB343"/>
      <c r="AC343"/>
      <c r="AD343"/>
      <c r="AE343"/>
    </row>
    <row r="344" spans="17:31" ht="12.75" customHeight="1">
      <c r="Q344" s="364"/>
      <c r="R344" s="892"/>
      <c r="S344" s="897"/>
      <c r="T344" s="689">
        <f>T331-PPE!$I$15</f>
        <v>98.870400000000004</v>
      </c>
      <c r="U344" s="560">
        <f>U338</f>
        <v>1.4285714285714284</v>
      </c>
      <c r="V344" s="690">
        <f>IF(T344&gt;0,W344*U344," ")</f>
        <v>433.03571428571422</v>
      </c>
      <c r="W344" s="691">
        <f>IF(T344&gt;0,(VLOOKUP(T344,'Lookup Ready-reckoner'!$B$5:$E$1207,4))," ")</f>
        <v>303.125</v>
      </c>
      <c r="X344" s="364"/>
      <c r="Y344" s="364"/>
      <c r="Z344" s="364"/>
      <c r="AA344"/>
      <c r="AB344"/>
      <c r="AC344"/>
      <c r="AD344"/>
      <c r="AE344"/>
    </row>
    <row r="345" spans="17:31" ht="12.75" customHeight="1">
      <c r="Q345" s="364"/>
      <c r="R345" s="898"/>
      <c r="S345" s="899"/>
      <c r="T345" s="447"/>
      <c r="U345" s="560"/>
      <c r="V345" s="690" t="str">
        <f>IF(T345&gt;0,W345*U345," ")</f>
        <v xml:space="preserve"> </v>
      </c>
      <c r="W345" s="691" t="str">
        <f>IF(T345&gt;0,(VLOOKUP(T345,'Lookup Ready-reckoner'!$B$5:$E$1007,4))," ")</f>
        <v xml:space="preserve"> </v>
      </c>
      <c r="X345" s="364"/>
      <c r="Y345" s="364"/>
      <c r="Z345" s="364"/>
      <c r="AA345"/>
      <c r="AB345"/>
      <c r="AC345"/>
      <c r="AD345"/>
      <c r="AE345"/>
    </row>
    <row r="346" spans="17:31" ht="12.75" customHeight="1" thickBot="1">
      <c r="Q346" s="364"/>
      <c r="R346" s="692" t="s">
        <v>839</v>
      </c>
      <c r="S346" s="693"/>
      <c r="T346" s="693"/>
      <c r="U346" s="694">
        <f>IF(T344&gt;0,(VLOOKUP(V346,'Lookup Ready-reckoner'!$L$5:$M$1207,2))," ")</f>
        <v>91.3</v>
      </c>
      <c r="V346" s="695">
        <f>IF(U344&gt;0,(SUM(V344:V345))," ")</f>
        <v>433.03571428571422</v>
      </c>
      <c r="W346" s="696"/>
      <c r="X346" s="364"/>
      <c r="Y346" s="364"/>
      <c r="Z346" s="364"/>
      <c r="AA346"/>
      <c r="AB346"/>
      <c r="AC346"/>
      <c r="AD346"/>
      <c r="AE346"/>
    </row>
    <row r="347" spans="17:31" ht="12.75" customHeight="1">
      <c r="Q347" s="364"/>
      <c r="R347" s="363"/>
      <c r="S347" s="363"/>
      <c r="T347" s="363"/>
      <c r="U347" s="363"/>
      <c r="V347" s="363"/>
      <c r="W347" s="363"/>
      <c r="X347" s="364"/>
      <c r="Y347" s="364"/>
      <c r="Z347" s="364"/>
      <c r="AA347"/>
      <c r="AB347"/>
      <c r="AC347"/>
      <c r="AD347"/>
      <c r="AE347"/>
    </row>
    <row r="348" spans="17:31" ht="12.75" customHeight="1" thickBot="1">
      <c r="Q348" s="364"/>
      <c r="R348" s="915" t="str">
        <f>T306</f>
        <v>Seco S215 Muffled</v>
      </c>
      <c r="S348" s="915"/>
      <c r="T348" s="915"/>
      <c r="U348" s="915"/>
      <c r="V348" s="915"/>
      <c r="W348" s="915"/>
      <c r="X348" s="364"/>
      <c r="Y348" s="363"/>
      <c r="Z348" s="363"/>
      <c r="AA348"/>
      <c r="AB348"/>
      <c r="AC348"/>
      <c r="AD348"/>
      <c r="AE348"/>
    </row>
    <row r="349" spans="17:31" ht="12.75" customHeight="1" thickBot="1">
      <c r="Q349" s="364"/>
      <c r="R349" s="906" t="s">
        <v>205</v>
      </c>
      <c r="S349" s="907"/>
      <c r="T349" s="907"/>
      <c r="U349" s="907"/>
      <c r="V349" s="907"/>
      <c r="W349" s="908"/>
      <c r="X349" s="364"/>
      <c r="Y349" s="363"/>
      <c r="Z349" s="363"/>
      <c r="AA349"/>
      <c r="AB349"/>
      <c r="AC349"/>
      <c r="AD349"/>
      <c r="AE349"/>
    </row>
    <row r="350" spans="17:31" ht="12.75" customHeight="1" thickBot="1">
      <c r="Q350" s="364"/>
      <c r="R350" s="686" t="s">
        <v>59</v>
      </c>
      <c r="S350" s="577"/>
      <c r="T350" s="687"/>
      <c r="U350" s="687"/>
      <c r="V350" s="687"/>
      <c r="W350" s="688"/>
      <c r="X350" s="364"/>
      <c r="Y350" s="363"/>
      <c r="Z350" s="363"/>
      <c r="AA350"/>
      <c r="AB350"/>
      <c r="AC350"/>
      <c r="AD350"/>
      <c r="AE350"/>
    </row>
    <row r="351" spans="17:31" ht="12.75" customHeight="1">
      <c r="Q351" s="364"/>
      <c r="R351" s="895" t="s">
        <v>845</v>
      </c>
      <c r="S351" s="896"/>
      <c r="T351" s="900" t="s">
        <v>835</v>
      </c>
      <c r="U351" s="900" t="s">
        <v>836</v>
      </c>
      <c r="V351" s="900" t="s">
        <v>837</v>
      </c>
      <c r="W351" s="902" t="s">
        <v>838</v>
      </c>
      <c r="X351" s="364"/>
      <c r="Y351" s="363"/>
      <c r="Z351" s="363"/>
      <c r="AA351"/>
      <c r="AB351"/>
      <c r="AC351"/>
      <c r="AD351"/>
      <c r="AE351"/>
    </row>
    <row r="352" spans="17:31" ht="12.75" customHeight="1">
      <c r="Q352" s="364"/>
      <c r="R352" s="892"/>
      <c r="S352" s="897"/>
      <c r="T352" s="904"/>
      <c r="U352" s="904"/>
      <c r="V352" s="904"/>
      <c r="W352" s="905"/>
      <c r="X352" s="364"/>
      <c r="Y352" s="363"/>
      <c r="Z352" s="363"/>
      <c r="AA352"/>
      <c r="AB352"/>
      <c r="AC352"/>
      <c r="AD352"/>
      <c r="AE352"/>
    </row>
    <row r="353" spans="17:31" ht="12.75" customHeight="1">
      <c r="Q353" s="364"/>
      <c r="R353" s="892"/>
      <c r="S353" s="897"/>
      <c r="T353" s="901"/>
      <c r="U353" s="901"/>
      <c r="V353" s="901"/>
      <c r="W353" s="903"/>
      <c r="X353" s="364"/>
      <c r="Y353" s="363"/>
      <c r="Z353" s="363"/>
      <c r="AA353"/>
      <c r="AB353"/>
      <c r="AC353"/>
      <c r="AD353"/>
      <c r="AE353"/>
    </row>
    <row r="354" spans="17:31" ht="12.75" customHeight="1">
      <c r="Q354" s="364"/>
      <c r="R354" s="892"/>
      <c r="S354" s="897"/>
      <c r="T354" s="700">
        <f>V69</f>
        <v>108</v>
      </c>
      <c r="U354" s="560">
        <f>V62</f>
        <v>1.9999999999999996</v>
      </c>
      <c r="V354" s="690">
        <f>IF(T354&gt;0,W354*U354," ")</f>
        <v>4999.9999999999991</v>
      </c>
      <c r="W354" s="691">
        <f>IF(T354&gt;0,(VLOOKUP(T354,'Lookup Ready-reckoner'!$B$5:$E$1207,4))," ")</f>
        <v>2500</v>
      </c>
      <c r="X354" s="364"/>
      <c r="Y354" s="363"/>
      <c r="Z354" s="363"/>
      <c r="AA354"/>
      <c r="AB354"/>
      <c r="AC354"/>
      <c r="AD354"/>
      <c r="AE354"/>
    </row>
    <row r="355" spans="17:31" ht="12.75" customHeight="1">
      <c r="Q355" s="364"/>
      <c r="R355" s="898"/>
      <c r="S355" s="899"/>
      <c r="T355" s="447"/>
      <c r="U355" s="560"/>
      <c r="V355" s="690" t="str">
        <f>IF(T355&gt;0,W355*U355," ")</f>
        <v xml:space="preserve"> </v>
      </c>
      <c r="W355" s="691" t="str">
        <f>IF(T355&gt;0,(VLOOKUP(T355,'Lookup Ready-reckoner'!$B$5:$E$1007,4))," ")</f>
        <v xml:space="preserve"> </v>
      </c>
      <c r="X355" s="364"/>
      <c r="Y355" s="363"/>
      <c r="Z355" s="363"/>
      <c r="AA355"/>
      <c r="AB355"/>
      <c r="AC355"/>
      <c r="AD355"/>
      <c r="AE355"/>
    </row>
    <row r="356" spans="17:31" ht="12.75" customHeight="1" thickBot="1">
      <c r="Q356" s="364"/>
      <c r="R356" s="699" t="s">
        <v>839</v>
      </c>
      <c r="S356" s="693"/>
      <c r="T356" s="693"/>
      <c r="U356" s="701">
        <f>IF(T354&gt;0,(VLOOKUP(V356,'Lookup Ready-reckoner'!$L$5:$M$1207,2))," ")</f>
        <v>101.95</v>
      </c>
      <c r="V356" s="695">
        <f>IF(U354&gt;0,(SUM(V354:V355))," ")</f>
        <v>4999.9999999999991</v>
      </c>
      <c r="W356" s="696"/>
      <c r="X356" s="364"/>
      <c r="Y356" s="363"/>
      <c r="Z356" s="363"/>
      <c r="AA356"/>
      <c r="AB356"/>
      <c r="AC356"/>
      <c r="AD356"/>
      <c r="AE356"/>
    </row>
    <row r="357" spans="17:31" ht="12.75" customHeight="1" thickBot="1">
      <c r="Q357" s="364"/>
      <c r="R357" s="892"/>
      <c r="S357" s="893"/>
      <c r="T357" s="893"/>
      <c r="U357" s="893"/>
      <c r="V357" s="893"/>
      <c r="W357" s="894"/>
      <c r="X357" s="364"/>
      <c r="Y357" s="363"/>
      <c r="Z357" s="363"/>
      <c r="AA357"/>
      <c r="AB357"/>
      <c r="AC357"/>
      <c r="AD357"/>
      <c r="AE357"/>
    </row>
    <row r="358" spans="17:31" ht="12.75" customHeight="1">
      <c r="Q358" s="364"/>
      <c r="R358" s="895" t="s">
        <v>886</v>
      </c>
      <c r="S358" s="896"/>
      <c r="T358" s="900" t="s">
        <v>835</v>
      </c>
      <c r="U358" s="900" t="s">
        <v>836</v>
      </c>
      <c r="V358" s="900" t="s">
        <v>837</v>
      </c>
      <c r="W358" s="902" t="s">
        <v>838</v>
      </c>
      <c r="X358" s="364"/>
      <c r="Y358" s="363"/>
      <c r="Z358" s="363"/>
      <c r="AA358"/>
      <c r="AB358"/>
      <c r="AC358"/>
      <c r="AD358"/>
      <c r="AE358"/>
    </row>
    <row r="359" spans="17:31" ht="12.75" customHeight="1">
      <c r="Q359" s="364"/>
      <c r="R359" s="892"/>
      <c r="S359" s="897"/>
      <c r="T359" s="901"/>
      <c r="U359" s="901"/>
      <c r="V359" s="901"/>
      <c r="W359" s="903"/>
      <c r="X359" s="364"/>
      <c r="Y359" s="363"/>
      <c r="Z359" s="363"/>
      <c r="AA359"/>
      <c r="AB359"/>
      <c r="AC359"/>
      <c r="AD359"/>
      <c r="AE359"/>
    </row>
    <row r="360" spans="17:31" ht="12.75" customHeight="1">
      <c r="Q360" s="364"/>
      <c r="R360" s="892"/>
      <c r="S360" s="897"/>
      <c r="T360" s="700">
        <f>T354*(1-0.0178*2)</f>
        <v>104.15520000000001</v>
      </c>
      <c r="U360" s="560">
        <f>U354</f>
        <v>1.9999999999999996</v>
      </c>
      <c r="V360" s="690">
        <f>IF(T360&gt;0,W360*U360," ")</f>
        <v>2074.9999999999995</v>
      </c>
      <c r="W360" s="691">
        <f>IF(T360&gt;0,(VLOOKUP(T360,'Lookup Ready-reckoner'!$B$5:$E$1207,4))," ")</f>
        <v>1037.5</v>
      </c>
      <c r="X360" s="364"/>
      <c r="Y360" s="363"/>
      <c r="Z360" s="363"/>
      <c r="AA360"/>
      <c r="AB360"/>
      <c r="AC360"/>
      <c r="AD360"/>
      <c r="AE360"/>
    </row>
    <row r="361" spans="17:31" ht="12.75" customHeight="1">
      <c r="Q361" s="364"/>
      <c r="R361" s="898"/>
      <c r="S361" s="899"/>
      <c r="T361" s="447"/>
      <c r="U361" s="560"/>
      <c r="V361" s="690" t="str">
        <f>IF(T361&gt;0,W361*U361," ")</f>
        <v xml:space="preserve"> </v>
      </c>
      <c r="W361" s="691" t="str">
        <f>IF(T361&gt;0,(VLOOKUP(T361,'Lookup Ready-reckoner'!$B$5:$E$1007,4))," ")</f>
        <v xml:space="preserve"> </v>
      </c>
      <c r="X361" s="364"/>
      <c r="Y361" s="363"/>
      <c r="Z361" s="363"/>
      <c r="AA361"/>
      <c r="AB361"/>
      <c r="AC361"/>
      <c r="AD361"/>
      <c r="AE361"/>
    </row>
    <row r="362" spans="17:31" ht="12.75" customHeight="1" thickBot="1">
      <c r="Q362" s="364"/>
      <c r="R362" s="692" t="s">
        <v>839</v>
      </c>
      <c r="S362" s="693"/>
      <c r="T362" s="693"/>
      <c r="U362" s="701">
        <f>IF(T360&gt;0,(VLOOKUP(V362,'Lookup Ready-reckoner'!$L$5:$M$1207,2))," ")</f>
        <v>98.1</v>
      </c>
      <c r="V362" s="695">
        <f>IF(U360&gt;0,(SUM(V360:V361))," ")</f>
        <v>2074.9999999999995</v>
      </c>
      <c r="W362" s="696"/>
      <c r="X362" s="364"/>
      <c r="Y362" s="363"/>
      <c r="Z362" s="363"/>
      <c r="AA362"/>
      <c r="AB362"/>
      <c r="AC362"/>
      <c r="AD362"/>
      <c r="AE362"/>
    </row>
    <row r="363" spans="17:31" ht="12.75" customHeight="1">
      <c r="Q363" s="364"/>
      <c r="R363" s="697"/>
      <c r="S363" s="687"/>
      <c r="T363" s="687"/>
      <c r="U363" s="372"/>
      <c r="V363" s="374"/>
      <c r="W363" s="688"/>
      <c r="X363" s="364"/>
      <c r="Y363" s="363"/>
      <c r="Z363" s="363"/>
      <c r="AA363"/>
      <c r="AB363"/>
      <c r="AC363"/>
      <c r="AD363"/>
      <c r="AE363"/>
    </row>
    <row r="364" spans="17:31" ht="12.75" customHeight="1" thickBot="1">
      <c r="Q364" s="364"/>
      <c r="R364" s="686" t="s">
        <v>60</v>
      </c>
      <c r="S364" s="577"/>
      <c r="T364" s="577"/>
      <c r="U364" s="577"/>
      <c r="V364" s="577"/>
      <c r="W364" s="698"/>
      <c r="X364" s="364"/>
      <c r="Y364" s="363"/>
      <c r="Z364" s="363"/>
      <c r="AA364"/>
      <c r="AB364"/>
      <c r="AC364"/>
      <c r="AD364"/>
      <c r="AE364"/>
    </row>
    <row r="365" spans="17:31" ht="12.75" customHeight="1">
      <c r="Q365" s="364"/>
      <c r="R365" s="895" t="s">
        <v>845</v>
      </c>
      <c r="S365" s="896"/>
      <c r="T365" s="900" t="s">
        <v>835</v>
      </c>
      <c r="U365" s="900" t="s">
        <v>836</v>
      </c>
      <c r="V365" s="900" t="s">
        <v>837</v>
      </c>
      <c r="W365" s="902" t="s">
        <v>838</v>
      </c>
      <c r="X365" s="364"/>
      <c r="Y365" s="363"/>
      <c r="Z365" s="363"/>
      <c r="AA365"/>
      <c r="AB365"/>
      <c r="AC365"/>
      <c r="AD365"/>
      <c r="AE365"/>
    </row>
    <row r="366" spans="17:31" ht="12.75" customHeight="1">
      <c r="Q366" s="364"/>
      <c r="R366" s="892"/>
      <c r="S366" s="897"/>
      <c r="T366" s="901"/>
      <c r="U366" s="901"/>
      <c r="V366" s="901"/>
      <c r="W366" s="903"/>
      <c r="X366" s="364"/>
      <c r="Y366" s="363"/>
      <c r="Z366" s="363"/>
      <c r="AA366"/>
      <c r="AB366"/>
      <c r="AC366"/>
      <c r="AD366"/>
      <c r="AE366"/>
    </row>
    <row r="367" spans="17:31" ht="12.75" customHeight="1">
      <c r="Q367" s="364"/>
      <c r="R367" s="892"/>
      <c r="S367" s="897"/>
      <c r="T367" s="700">
        <f>T354-PPE!$I$15</f>
        <v>95</v>
      </c>
      <c r="U367" s="560">
        <f>U360</f>
        <v>1.9999999999999996</v>
      </c>
      <c r="V367" s="690">
        <f>IF(T367&gt;0,W367*U367," ")</f>
        <v>249.99999999999994</v>
      </c>
      <c r="W367" s="691">
        <f>IF(T367&gt;0,(VLOOKUP(T367,'Lookup Ready-reckoner'!$B$5:$E$1207,4))," ")</f>
        <v>125</v>
      </c>
      <c r="X367" s="364"/>
      <c r="Y367" s="363"/>
      <c r="Z367" s="363"/>
      <c r="AA367"/>
      <c r="AB367"/>
      <c r="AC367"/>
      <c r="AD367"/>
      <c r="AE367"/>
    </row>
    <row r="368" spans="17:31" ht="12.75" customHeight="1">
      <c r="Q368" s="364"/>
      <c r="R368" s="898"/>
      <c r="S368" s="899"/>
      <c r="T368" s="447"/>
      <c r="U368" s="560"/>
      <c r="V368" s="690" t="str">
        <f>IF(T368&gt;0,W368*U368," ")</f>
        <v xml:space="preserve"> </v>
      </c>
      <c r="W368" s="691" t="str">
        <f>IF(T368&gt;0,(VLOOKUP(T368,'Lookup Ready-reckoner'!$B$5:$E$1007,4))," ")</f>
        <v xml:space="preserve"> </v>
      </c>
      <c r="X368" s="364"/>
      <c r="Y368" s="363"/>
      <c r="Z368" s="363"/>
      <c r="AA368"/>
      <c r="AB368"/>
      <c r="AC368"/>
      <c r="AD368"/>
      <c r="AE368"/>
    </row>
    <row r="369" spans="17:31" ht="12.75" customHeight="1" thickBot="1">
      <c r="Q369" s="364"/>
      <c r="R369" s="692" t="s">
        <v>839</v>
      </c>
      <c r="S369" s="693"/>
      <c r="T369" s="693"/>
      <c r="U369" s="701">
        <f>IF(T367&gt;0,(VLOOKUP(V369,'Lookup Ready-reckoner'!$L$5:$M$1207,2))," ")</f>
        <v>88.95</v>
      </c>
      <c r="V369" s="695">
        <f>IF(U367&gt;0,(SUM(V367:V368))," ")</f>
        <v>249.99999999999994</v>
      </c>
      <c r="W369" s="696"/>
      <c r="X369" s="364"/>
      <c r="Y369" s="363"/>
      <c r="Z369" s="363"/>
      <c r="AA369"/>
      <c r="AB369"/>
      <c r="AC369"/>
      <c r="AD369"/>
      <c r="AE369"/>
    </row>
    <row r="370" spans="17:31" ht="12.75" customHeight="1" thickBot="1">
      <c r="Q370" s="364"/>
      <c r="R370" s="892"/>
      <c r="S370" s="893"/>
      <c r="T370" s="893"/>
      <c r="U370" s="893"/>
      <c r="V370" s="893"/>
      <c r="W370" s="894"/>
      <c r="X370" s="364"/>
      <c r="Y370" s="363"/>
      <c r="Z370" s="363"/>
      <c r="AA370"/>
      <c r="AB370"/>
      <c r="AC370"/>
      <c r="AD370"/>
      <c r="AE370"/>
    </row>
    <row r="371" spans="17:31" ht="12.75" customHeight="1">
      <c r="Q371" s="364"/>
      <c r="R371" s="895" t="s">
        <v>886</v>
      </c>
      <c r="S371" s="896"/>
      <c r="T371" s="900" t="s">
        <v>835</v>
      </c>
      <c r="U371" s="900" t="s">
        <v>836</v>
      </c>
      <c r="V371" s="900" t="s">
        <v>837</v>
      </c>
      <c r="W371" s="902" t="s">
        <v>838</v>
      </c>
      <c r="X371" s="364"/>
      <c r="Y371" s="363"/>
      <c r="Z371" s="363"/>
      <c r="AA371"/>
      <c r="AB371"/>
      <c r="AC371"/>
      <c r="AD371"/>
      <c r="AE371"/>
    </row>
    <row r="372" spans="17:31" ht="12.75" customHeight="1">
      <c r="Q372" s="364"/>
      <c r="R372" s="892"/>
      <c r="S372" s="897"/>
      <c r="T372" s="901"/>
      <c r="U372" s="901"/>
      <c r="V372" s="901"/>
      <c r="W372" s="903"/>
      <c r="X372" s="364"/>
      <c r="Y372" s="363"/>
      <c r="Z372" s="363"/>
      <c r="AA372"/>
      <c r="AB372"/>
      <c r="AC372"/>
      <c r="AD372"/>
      <c r="AE372"/>
    </row>
    <row r="373" spans="17:31" ht="12.75" customHeight="1">
      <c r="Q373" s="364"/>
      <c r="R373" s="892"/>
      <c r="S373" s="897"/>
      <c r="T373" s="700">
        <f>T360-PPE!$I$15</f>
        <v>91.155200000000008</v>
      </c>
      <c r="U373" s="560">
        <f>U367</f>
        <v>1.9999999999999996</v>
      </c>
      <c r="V373" s="690">
        <f>IF(T373&gt;0,W373*U373," ")</f>
        <v>103.74999999999997</v>
      </c>
      <c r="W373" s="691">
        <f>IF(T373&gt;0,(VLOOKUP(T373,'Lookup Ready-reckoner'!$B$5:$E$1207,4))," ")</f>
        <v>51.875</v>
      </c>
      <c r="X373" s="364"/>
      <c r="Y373" s="363"/>
      <c r="Z373" s="363"/>
      <c r="AA373"/>
      <c r="AB373"/>
      <c r="AC373"/>
      <c r="AD373"/>
      <c r="AE373"/>
    </row>
    <row r="374" spans="17:31" ht="12.75" customHeight="1">
      <c r="Q374" s="364"/>
      <c r="R374" s="898"/>
      <c r="S374" s="899"/>
      <c r="T374" s="447"/>
      <c r="U374" s="560"/>
      <c r="V374" s="690" t="str">
        <f>IF(T374&gt;0,W374*U374," ")</f>
        <v xml:space="preserve"> </v>
      </c>
      <c r="W374" s="691" t="str">
        <f>IF(T374&gt;0,(VLOOKUP(T374,'Lookup Ready-reckoner'!$B$5:$E$1007,4))," ")</f>
        <v xml:space="preserve"> </v>
      </c>
      <c r="X374" s="364"/>
      <c r="Y374" s="363"/>
      <c r="Z374" s="363"/>
      <c r="AA374"/>
      <c r="AB374"/>
      <c r="AC374"/>
      <c r="AD374"/>
      <c r="AE374"/>
    </row>
    <row r="375" spans="17:31" ht="12.75" customHeight="1" thickBot="1">
      <c r="Q375" s="364"/>
      <c r="R375" s="692" t="s">
        <v>839</v>
      </c>
      <c r="S375" s="693"/>
      <c r="T375" s="693"/>
      <c r="U375" s="701">
        <f>IF(T373&gt;0,(VLOOKUP(V375,'Lookup Ready-reckoner'!$L$5:$M$1207,2))," ")</f>
        <v>85.1</v>
      </c>
      <c r="V375" s="695">
        <f>IF(U373&gt;0,(SUM(V373:V374))," ")</f>
        <v>103.74999999999997</v>
      </c>
      <c r="W375" s="696"/>
      <c r="X375" s="364"/>
      <c r="Y375" s="363"/>
      <c r="Z375" s="363"/>
      <c r="AA375"/>
      <c r="AB375"/>
      <c r="AC375"/>
      <c r="AD375"/>
      <c r="AE375"/>
    </row>
    <row r="376" spans="17:31" ht="12.75" customHeight="1">
      <c r="Q376" s="364"/>
      <c r="R376" s="363"/>
      <c r="S376" s="363"/>
      <c r="T376" s="363"/>
      <c r="U376" s="363"/>
      <c r="V376" s="363"/>
      <c r="W376" s="363"/>
      <c r="X376" s="364"/>
      <c r="Y376" s="364"/>
      <c r="Z376" s="364"/>
      <c r="AA376"/>
      <c r="AB376"/>
      <c r="AC376"/>
      <c r="AD376"/>
      <c r="AE376"/>
    </row>
    <row r="377" spans="17:31" ht="12.75" customHeight="1">
      <c r="Q377" s="364"/>
      <c r="R377" s="913" t="str">
        <f>U306</f>
        <v>Sulzer ADDS</v>
      </c>
      <c r="S377" s="914"/>
      <c r="T377" s="914"/>
      <c r="U377" s="914"/>
      <c r="V377" s="914"/>
      <c r="W377" s="914"/>
      <c r="X377" s="364"/>
      <c r="Y377" s="363"/>
      <c r="Z377" s="363"/>
      <c r="AA377"/>
      <c r="AB377"/>
      <c r="AC377"/>
      <c r="AD377"/>
      <c r="AE377"/>
    </row>
    <row r="378" spans="17:31" ht="12.75" customHeight="1" thickBot="1">
      <c r="Q378" s="364"/>
      <c r="R378" s="910" t="s">
        <v>205</v>
      </c>
      <c r="S378" s="911"/>
      <c r="T378" s="911"/>
      <c r="U378" s="911"/>
      <c r="V378" s="911"/>
      <c r="W378" s="912"/>
      <c r="X378" s="364"/>
      <c r="Y378" s="363"/>
      <c r="Z378" s="363"/>
      <c r="AA378"/>
      <c r="AB378"/>
      <c r="AC378"/>
      <c r="AD378"/>
      <c r="AE378"/>
    </row>
    <row r="379" spans="17:31" ht="12.75" customHeight="1" thickBot="1">
      <c r="Q379" s="364"/>
      <c r="R379" s="686" t="s">
        <v>59</v>
      </c>
      <c r="S379" s="577"/>
      <c r="T379" s="687"/>
      <c r="U379" s="687"/>
      <c r="V379" s="687"/>
      <c r="W379" s="688"/>
      <c r="X379" s="364"/>
      <c r="Y379" s="363"/>
      <c r="Z379" s="363"/>
      <c r="AA379"/>
      <c r="AB379"/>
      <c r="AC379"/>
      <c r="AD379"/>
      <c r="AE379"/>
    </row>
    <row r="380" spans="17:31" ht="12.75" customHeight="1">
      <c r="Q380" s="364"/>
      <c r="R380" s="895" t="s">
        <v>845</v>
      </c>
      <c r="S380" s="896"/>
      <c r="T380" s="900" t="s">
        <v>835</v>
      </c>
      <c r="U380" s="900" t="s">
        <v>836</v>
      </c>
      <c r="V380" s="900" t="s">
        <v>837</v>
      </c>
      <c r="W380" s="902" t="s">
        <v>838</v>
      </c>
      <c r="X380" s="364"/>
      <c r="Y380" s="363"/>
      <c r="Z380" s="363"/>
      <c r="AA380"/>
      <c r="AB380"/>
      <c r="AC380"/>
      <c r="AD380"/>
      <c r="AE380"/>
    </row>
    <row r="381" spans="17:31" ht="12.75" customHeight="1">
      <c r="Q381" s="364"/>
      <c r="R381" s="892"/>
      <c r="S381" s="897"/>
      <c r="T381" s="904"/>
      <c r="U381" s="904"/>
      <c r="V381" s="904"/>
      <c r="W381" s="905"/>
      <c r="X381" s="364"/>
      <c r="Y381" s="363"/>
      <c r="Z381" s="363"/>
      <c r="AA381"/>
      <c r="AB381"/>
      <c r="AC381"/>
      <c r="AD381"/>
      <c r="AE381"/>
    </row>
    <row r="382" spans="17:31" ht="12.75" customHeight="1">
      <c r="Q382" s="364"/>
      <c r="R382" s="892"/>
      <c r="S382" s="897"/>
      <c r="T382" s="901"/>
      <c r="U382" s="901"/>
      <c r="V382" s="901"/>
      <c r="W382" s="903"/>
      <c r="X382" s="364"/>
      <c r="Y382" s="363"/>
      <c r="Z382" s="363"/>
      <c r="AA382"/>
      <c r="AB382"/>
      <c r="AC382"/>
      <c r="AD382"/>
      <c r="AE382"/>
    </row>
    <row r="383" spans="17:31" ht="12.75" customHeight="1">
      <c r="Q383" s="364"/>
      <c r="R383" s="892"/>
      <c r="S383" s="897"/>
      <c r="T383" s="702">
        <f>W69</f>
        <v>109</v>
      </c>
      <c r="U383" s="560">
        <f>W62</f>
        <v>1.7391304347826084</v>
      </c>
      <c r="V383" s="690">
        <f>IF(T383&gt;0,W383*U383," ")</f>
        <v>5565.2173913043471</v>
      </c>
      <c r="W383" s="691">
        <f>IF(T383&gt;0,(VLOOKUP(T383,'Lookup Ready-reckoner'!$B$5:$E$1207,4))," ")</f>
        <v>3200</v>
      </c>
      <c r="X383" s="364"/>
      <c r="Y383" s="363"/>
      <c r="Z383" s="363"/>
      <c r="AA383"/>
      <c r="AB383"/>
      <c r="AC383"/>
      <c r="AD383"/>
      <c r="AE383"/>
    </row>
    <row r="384" spans="17:31" ht="12.75" customHeight="1">
      <c r="Q384" s="364"/>
      <c r="R384" s="898"/>
      <c r="S384" s="899"/>
      <c r="T384" s="447"/>
      <c r="U384" s="560"/>
      <c r="V384" s="690" t="str">
        <f>IF(T384&gt;0,W384*U384," ")</f>
        <v xml:space="preserve"> </v>
      </c>
      <c r="W384" s="691" t="str">
        <f>IF(T384&gt;0,(VLOOKUP(T384,'Lookup Ready-reckoner'!$B$5:$E$1007,4))," ")</f>
        <v xml:space="preserve"> </v>
      </c>
      <c r="X384" s="364"/>
      <c r="Y384" s="363"/>
      <c r="Z384" s="363"/>
      <c r="AA384"/>
      <c r="AB384"/>
      <c r="AC384"/>
      <c r="AD384"/>
      <c r="AE384"/>
    </row>
    <row r="385" spans="17:31" ht="12.75" customHeight="1" thickBot="1">
      <c r="Q385" s="364"/>
      <c r="R385" s="692" t="s">
        <v>839</v>
      </c>
      <c r="S385" s="693"/>
      <c r="T385" s="693"/>
      <c r="U385" s="703">
        <f>IF(T383&gt;0,(VLOOKUP(V385,'Lookup Ready-reckoner'!$L$5:$M$1207,2))," ")</f>
        <v>102.4</v>
      </c>
      <c r="V385" s="695">
        <f>IF(U383&gt;0,(SUM(V383:V384))," ")</f>
        <v>5565.2173913043471</v>
      </c>
      <c r="W385" s="696"/>
      <c r="X385" s="364"/>
      <c r="Y385" s="363"/>
      <c r="Z385" s="363"/>
      <c r="AA385"/>
      <c r="AB385"/>
      <c r="AC385"/>
      <c r="AD385"/>
      <c r="AE385"/>
    </row>
    <row r="386" spans="17:31" ht="12.75" customHeight="1" thickBot="1">
      <c r="Q386" s="364"/>
      <c r="R386" s="892"/>
      <c r="S386" s="893"/>
      <c r="T386" s="893"/>
      <c r="U386" s="893"/>
      <c r="V386" s="893"/>
      <c r="W386" s="894"/>
      <c r="X386" s="364"/>
      <c r="Y386" s="363"/>
      <c r="Z386" s="363"/>
      <c r="AA386"/>
      <c r="AB386"/>
      <c r="AC386"/>
      <c r="AD386"/>
      <c r="AE386"/>
    </row>
    <row r="387" spans="17:31" ht="12.75" customHeight="1">
      <c r="Q387" s="364"/>
      <c r="R387" s="895" t="s">
        <v>886</v>
      </c>
      <c r="S387" s="896"/>
      <c r="T387" s="900" t="s">
        <v>835</v>
      </c>
      <c r="U387" s="900" t="s">
        <v>836</v>
      </c>
      <c r="V387" s="900" t="s">
        <v>837</v>
      </c>
      <c r="W387" s="902" t="s">
        <v>838</v>
      </c>
      <c r="X387" s="364"/>
      <c r="Y387" s="363"/>
      <c r="Z387" s="363"/>
      <c r="AA387"/>
      <c r="AB387"/>
      <c r="AC387"/>
      <c r="AD387"/>
      <c r="AE387"/>
    </row>
    <row r="388" spans="17:31" ht="12.75" customHeight="1">
      <c r="Q388" s="364"/>
      <c r="R388" s="892"/>
      <c r="S388" s="897"/>
      <c r="T388" s="901"/>
      <c r="U388" s="901"/>
      <c r="V388" s="901"/>
      <c r="W388" s="903"/>
      <c r="X388" s="364"/>
      <c r="Y388" s="363"/>
      <c r="Z388" s="363"/>
      <c r="AA388"/>
      <c r="AB388"/>
      <c r="AC388"/>
      <c r="AD388"/>
      <c r="AE388"/>
    </row>
    <row r="389" spans="17:31" ht="12.75" customHeight="1">
      <c r="Q389" s="364"/>
      <c r="R389" s="892"/>
      <c r="S389" s="897"/>
      <c r="T389" s="702">
        <f>T383*(1-0.0178*2)</f>
        <v>105.11960000000001</v>
      </c>
      <c r="U389" s="560">
        <f>U383</f>
        <v>1.7391304347826084</v>
      </c>
      <c r="V389" s="690">
        <f>IF(T389&gt;0,W389*U389," ")</f>
        <v>2234.782608695652</v>
      </c>
      <c r="W389" s="691">
        <f>IF(T389&gt;0,(VLOOKUP(T389,'Lookup Ready-reckoner'!$B$5:$E$1207,4))," ")</f>
        <v>1285</v>
      </c>
      <c r="X389" s="364"/>
      <c r="Y389" s="363"/>
      <c r="Z389" s="363"/>
      <c r="AA389"/>
      <c r="AB389"/>
      <c r="AC389"/>
      <c r="AD389"/>
      <c r="AE389"/>
    </row>
    <row r="390" spans="17:31" ht="12.75" customHeight="1">
      <c r="Q390" s="364"/>
      <c r="R390" s="898"/>
      <c r="S390" s="899"/>
      <c r="T390" s="447"/>
      <c r="U390" s="560"/>
      <c r="V390" s="690" t="str">
        <f>IF(T390&gt;0,W390*U390," ")</f>
        <v xml:space="preserve"> </v>
      </c>
      <c r="W390" s="691" t="str">
        <f>IF(T390&gt;0,(VLOOKUP(T390,'Lookup Ready-reckoner'!$B$5:$E$1007,4))," ")</f>
        <v xml:space="preserve"> </v>
      </c>
      <c r="X390" s="364"/>
      <c r="Y390" s="363"/>
      <c r="Z390" s="363"/>
      <c r="AA390"/>
      <c r="AB390"/>
      <c r="AC390"/>
      <c r="AD390"/>
      <c r="AE390"/>
    </row>
    <row r="391" spans="17:31" ht="12.75" customHeight="1" thickBot="1">
      <c r="Q391" s="364"/>
      <c r="R391" s="692" t="s">
        <v>839</v>
      </c>
      <c r="S391" s="693"/>
      <c r="T391" s="693"/>
      <c r="U391" s="703">
        <f>IF(T389&gt;0,(VLOOKUP(V391,'Lookup Ready-reckoner'!$L$5:$M$1207,2))," ")</f>
        <v>98.45</v>
      </c>
      <c r="V391" s="695">
        <f>IF(U389&gt;0,(SUM(V389:V390))," ")</f>
        <v>2234.782608695652</v>
      </c>
      <c r="W391" s="696"/>
      <c r="X391" s="364"/>
      <c r="Y391" s="363"/>
      <c r="Z391" s="363"/>
      <c r="AA391"/>
      <c r="AB391"/>
      <c r="AC391"/>
      <c r="AD391"/>
      <c r="AE391"/>
    </row>
    <row r="392" spans="17:31" ht="12.75" customHeight="1">
      <c r="Q392" s="364"/>
      <c r="R392" s="697"/>
      <c r="S392" s="687"/>
      <c r="T392" s="687"/>
      <c r="U392" s="372"/>
      <c r="V392" s="374"/>
      <c r="W392" s="688"/>
      <c r="X392" s="364"/>
      <c r="Y392" s="363"/>
      <c r="Z392" s="363"/>
      <c r="AA392"/>
      <c r="AB392"/>
      <c r="AC392"/>
      <c r="AD392"/>
      <c r="AE392"/>
    </row>
    <row r="393" spans="17:31" ht="12.75" customHeight="1" thickBot="1">
      <c r="Q393" s="364"/>
      <c r="R393" s="686" t="s">
        <v>60</v>
      </c>
      <c r="S393" s="577"/>
      <c r="T393" s="577"/>
      <c r="U393" s="577"/>
      <c r="V393" s="577"/>
      <c r="W393" s="698"/>
      <c r="X393" s="364"/>
      <c r="Y393" s="363"/>
      <c r="Z393" s="363"/>
      <c r="AA393"/>
      <c r="AB393"/>
      <c r="AC393"/>
      <c r="AD393"/>
      <c r="AE393"/>
    </row>
    <row r="394" spans="17:31" ht="12.75" customHeight="1">
      <c r="Q394" s="364"/>
      <c r="R394" s="895" t="s">
        <v>845</v>
      </c>
      <c r="S394" s="896"/>
      <c r="T394" s="900" t="s">
        <v>835</v>
      </c>
      <c r="U394" s="900" t="s">
        <v>836</v>
      </c>
      <c r="V394" s="900" t="s">
        <v>837</v>
      </c>
      <c r="W394" s="902" t="s">
        <v>838</v>
      </c>
      <c r="X394" s="364"/>
      <c r="Y394" s="363"/>
      <c r="Z394" s="363"/>
      <c r="AA394"/>
      <c r="AB394"/>
      <c r="AC394"/>
      <c r="AD394"/>
      <c r="AE394"/>
    </row>
    <row r="395" spans="17:31" ht="12.75" customHeight="1">
      <c r="Q395" s="364"/>
      <c r="R395" s="892"/>
      <c r="S395" s="897"/>
      <c r="T395" s="901"/>
      <c r="U395" s="901"/>
      <c r="V395" s="901"/>
      <c r="W395" s="903"/>
      <c r="X395" s="364"/>
      <c r="Y395" s="363"/>
      <c r="Z395" s="363"/>
      <c r="AA395"/>
      <c r="AB395"/>
      <c r="AC395"/>
      <c r="AD395"/>
      <c r="AE395"/>
    </row>
    <row r="396" spans="17:31" ht="12.75" customHeight="1">
      <c r="Q396" s="364"/>
      <c r="R396" s="892"/>
      <c r="S396" s="897"/>
      <c r="T396" s="702">
        <f>T383-PPE!$I$15</f>
        <v>96</v>
      </c>
      <c r="U396" s="560">
        <f>U389</f>
        <v>1.7391304347826084</v>
      </c>
      <c r="V396" s="690">
        <f>IF(T396&gt;0,W396*U396," ")</f>
        <v>271.73913043478257</v>
      </c>
      <c r="W396" s="691">
        <f>IF(T396&gt;0,(VLOOKUP(T396,'Lookup Ready-reckoner'!$B$5:$E$1207,4))," ")</f>
        <v>156.25</v>
      </c>
      <c r="X396" s="364"/>
      <c r="Y396" s="363"/>
      <c r="Z396" s="363"/>
      <c r="AA396"/>
      <c r="AB396"/>
      <c r="AC396"/>
      <c r="AD396"/>
      <c r="AE396"/>
    </row>
    <row r="397" spans="17:31" ht="12.75" customHeight="1">
      <c r="Q397" s="364"/>
      <c r="R397" s="898"/>
      <c r="S397" s="899"/>
      <c r="T397" s="447"/>
      <c r="U397" s="560"/>
      <c r="V397" s="690" t="str">
        <f>IF(T397&gt;0,W397*U397," ")</f>
        <v xml:space="preserve"> </v>
      </c>
      <c r="W397" s="691" t="str">
        <f>IF(T397&gt;0,(VLOOKUP(T397,'Lookup Ready-reckoner'!$B$5:$E$1007,4))," ")</f>
        <v xml:space="preserve"> </v>
      </c>
      <c r="X397" s="364"/>
      <c r="Y397" s="363"/>
      <c r="Z397" s="363"/>
      <c r="AA397"/>
      <c r="AB397"/>
      <c r="AC397"/>
      <c r="AD397"/>
      <c r="AE397"/>
    </row>
    <row r="398" spans="17:31" ht="12.75" customHeight="1" thickBot="1">
      <c r="Q398" s="364"/>
      <c r="R398" s="692" t="s">
        <v>839</v>
      </c>
      <c r="S398" s="693"/>
      <c r="T398" s="693"/>
      <c r="U398" s="703">
        <f>IF(T396&gt;0,(VLOOKUP(V398,'Lookup Ready-reckoner'!$L$5:$M$1207,2))," ")</f>
        <v>89.3</v>
      </c>
      <c r="V398" s="695">
        <f>IF(U396&gt;0,(SUM(V396:V397))," ")</f>
        <v>271.73913043478257</v>
      </c>
      <c r="W398" s="696"/>
      <c r="X398" s="364"/>
      <c r="Y398" s="363"/>
      <c r="Z398" s="363"/>
      <c r="AA398"/>
      <c r="AB398"/>
      <c r="AC398"/>
      <c r="AD398"/>
      <c r="AE398"/>
    </row>
    <row r="399" spans="17:31" ht="12.75" customHeight="1" thickBot="1">
      <c r="Q399" s="364"/>
      <c r="R399" s="892"/>
      <c r="S399" s="893"/>
      <c r="T399" s="893"/>
      <c r="U399" s="893"/>
      <c r="V399" s="893"/>
      <c r="W399" s="894"/>
      <c r="X399" s="364"/>
      <c r="Y399" s="363"/>
      <c r="Z399" s="363"/>
      <c r="AA399"/>
      <c r="AB399"/>
      <c r="AC399"/>
      <c r="AD399"/>
      <c r="AE399"/>
    </row>
    <row r="400" spans="17:31" ht="12.75" customHeight="1">
      <c r="Q400" s="364"/>
      <c r="R400" s="895" t="s">
        <v>886</v>
      </c>
      <c r="S400" s="896"/>
      <c r="T400" s="900" t="s">
        <v>835</v>
      </c>
      <c r="U400" s="900" t="s">
        <v>836</v>
      </c>
      <c r="V400" s="900" t="s">
        <v>837</v>
      </c>
      <c r="W400" s="902" t="s">
        <v>838</v>
      </c>
      <c r="X400" s="364"/>
      <c r="Y400" s="363"/>
      <c r="Z400" s="363"/>
      <c r="AA400"/>
      <c r="AB400"/>
      <c r="AC400"/>
      <c r="AD400"/>
      <c r="AE400"/>
    </row>
    <row r="401" spans="17:31" ht="12.75" customHeight="1">
      <c r="Q401" s="364"/>
      <c r="R401" s="892"/>
      <c r="S401" s="897"/>
      <c r="T401" s="901"/>
      <c r="U401" s="901"/>
      <c r="V401" s="901"/>
      <c r="W401" s="903"/>
      <c r="X401" s="364"/>
      <c r="Y401" s="363"/>
      <c r="Z401" s="363"/>
      <c r="AA401"/>
      <c r="AB401"/>
      <c r="AC401"/>
      <c r="AD401"/>
      <c r="AE401"/>
    </row>
    <row r="402" spans="17:31" ht="12.75" customHeight="1">
      <c r="Q402" s="364"/>
      <c r="R402" s="892"/>
      <c r="S402" s="897"/>
      <c r="T402" s="702">
        <f>T389-PPE!$I$15</f>
        <v>92.119600000000005</v>
      </c>
      <c r="U402" s="560">
        <f>U396</f>
        <v>1.7391304347826084</v>
      </c>
      <c r="V402" s="690">
        <f>IF(T402&gt;0,W402*U402," ")</f>
        <v>111.52173913043477</v>
      </c>
      <c r="W402" s="691">
        <f>IF(T402&gt;0,(VLOOKUP(T402,'Lookup Ready-reckoner'!$B$5:$E$1207,4))," ")</f>
        <v>64.125</v>
      </c>
      <c r="X402" s="364"/>
      <c r="Y402" s="363"/>
      <c r="Z402" s="363"/>
      <c r="AA402"/>
      <c r="AB402"/>
      <c r="AC402"/>
      <c r="AD402"/>
      <c r="AE402"/>
    </row>
    <row r="403" spans="17:31" ht="12.75" customHeight="1">
      <c r="Q403" s="364"/>
      <c r="R403" s="898"/>
      <c r="S403" s="899"/>
      <c r="T403" s="447"/>
      <c r="U403" s="560"/>
      <c r="V403" s="690" t="str">
        <f>IF(T403&gt;0,W403*U403," ")</f>
        <v xml:space="preserve"> </v>
      </c>
      <c r="W403" s="691" t="str">
        <f>IF(T403&gt;0,(VLOOKUP(T403,'Lookup Ready-reckoner'!$B$5:$E$1007,4))," ")</f>
        <v xml:space="preserve"> </v>
      </c>
      <c r="X403" s="364"/>
      <c r="Y403" s="363"/>
      <c r="Z403" s="363"/>
      <c r="AA403"/>
      <c r="AB403"/>
      <c r="AC403"/>
      <c r="AD403"/>
      <c r="AE403"/>
    </row>
    <row r="404" spans="17:31" ht="12.75" customHeight="1" thickBot="1">
      <c r="Q404" s="364"/>
      <c r="R404" s="692" t="s">
        <v>839</v>
      </c>
      <c r="S404" s="693"/>
      <c r="T404" s="693"/>
      <c r="U404" s="703">
        <f>IF(T402&gt;0,(VLOOKUP(V404,'Lookup Ready-reckoner'!$L$5:$M$1207,2))," ")</f>
        <v>85.45</v>
      </c>
      <c r="V404" s="695">
        <f>IF(U402&gt;0,(SUM(V402:V403))," ")</f>
        <v>111.52173913043477</v>
      </c>
      <c r="W404" s="696"/>
      <c r="X404" s="364"/>
      <c r="Y404" s="363"/>
      <c r="Z404" s="363"/>
      <c r="AA404"/>
      <c r="AB404"/>
      <c r="AC404"/>
      <c r="AD404"/>
      <c r="AE404"/>
    </row>
    <row r="405" spans="17:31" ht="12.75" customHeight="1">
      <c r="Q405" s="364"/>
      <c r="R405" s="363"/>
      <c r="S405" s="363"/>
      <c r="T405" s="363"/>
      <c r="U405" s="363"/>
      <c r="V405" s="363"/>
      <c r="W405" s="363"/>
      <c r="X405" s="364"/>
      <c r="Y405" s="364"/>
      <c r="Z405" s="364"/>
      <c r="AA405"/>
      <c r="AB405"/>
      <c r="AC405"/>
      <c r="AD405"/>
      <c r="AE405"/>
    </row>
    <row r="406" spans="17:31" ht="12.75" customHeight="1">
      <c r="Q406" s="364"/>
      <c r="R406" s="909" t="str">
        <f>V306</f>
        <v xml:space="preserve">Hilti TE MD20 </v>
      </c>
      <c r="S406" s="909"/>
      <c r="T406" s="909"/>
      <c r="U406" s="909"/>
      <c r="V406" s="909"/>
      <c r="W406" s="909"/>
      <c r="X406" s="364"/>
      <c r="Y406" s="364"/>
      <c r="Z406" s="364"/>
      <c r="AA406"/>
      <c r="AB406"/>
      <c r="AC406"/>
      <c r="AD406"/>
      <c r="AE406"/>
    </row>
    <row r="407" spans="17:31" ht="12.75" customHeight="1" thickBot="1">
      <c r="Q407" s="364"/>
      <c r="R407" s="910" t="s">
        <v>205</v>
      </c>
      <c r="S407" s="911"/>
      <c r="T407" s="911"/>
      <c r="U407" s="911"/>
      <c r="V407" s="911"/>
      <c r="W407" s="912"/>
      <c r="X407" s="364"/>
      <c r="Y407" s="364"/>
      <c r="Z407" s="364"/>
      <c r="AA407"/>
      <c r="AB407"/>
      <c r="AC407"/>
      <c r="AD407"/>
      <c r="AE407"/>
    </row>
    <row r="408" spans="17:31" ht="12.75" customHeight="1" thickBot="1">
      <c r="Q408" s="364"/>
      <c r="R408" s="686" t="s">
        <v>59</v>
      </c>
      <c r="S408" s="577"/>
      <c r="T408" s="687"/>
      <c r="U408" s="687"/>
      <c r="V408" s="687"/>
      <c r="W408" s="688"/>
      <c r="X408" s="364"/>
      <c r="Y408" s="364"/>
      <c r="Z408" s="364"/>
      <c r="AA408"/>
      <c r="AB408"/>
      <c r="AC408"/>
      <c r="AD408"/>
      <c r="AE408"/>
    </row>
    <row r="409" spans="17:31" ht="12.75" customHeight="1">
      <c r="Q409" s="364"/>
      <c r="R409" s="895" t="s">
        <v>845</v>
      </c>
      <c r="S409" s="896"/>
      <c r="T409" s="900" t="s">
        <v>835</v>
      </c>
      <c r="U409" s="900" t="s">
        <v>836</v>
      </c>
      <c r="V409" s="900" t="s">
        <v>837</v>
      </c>
      <c r="W409" s="902" t="s">
        <v>838</v>
      </c>
      <c r="X409" s="364"/>
      <c r="Y409" s="364"/>
      <c r="Z409" s="364"/>
      <c r="AA409"/>
      <c r="AB409"/>
      <c r="AC409"/>
      <c r="AD409"/>
      <c r="AE409"/>
    </row>
    <row r="410" spans="17:31" ht="12.75" customHeight="1">
      <c r="Q410" s="364"/>
      <c r="R410" s="892"/>
      <c r="S410" s="897"/>
      <c r="T410" s="904"/>
      <c r="U410" s="904"/>
      <c r="V410" s="904"/>
      <c r="W410" s="905"/>
      <c r="X410" s="364"/>
      <c r="Y410" s="364"/>
      <c r="Z410" s="364"/>
      <c r="AA410"/>
      <c r="AB410"/>
      <c r="AC410"/>
      <c r="AD410"/>
      <c r="AE410"/>
    </row>
    <row r="411" spans="17:31" ht="12.75" customHeight="1">
      <c r="Q411" s="364"/>
      <c r="R411" s="892"/>
      <c r="S411" s="897"/>
      <c r="T411" s="901"/>
      <c r="U411" s="901"/>
      <c r="V411" s="901"/>
      <c r="W411" s="903"/>
      <c r="X411" s="364"/>
      <c r="Y411" s="364"/>
      <c r="Z411" s="364"/>
      <c r="AA411"/>
      <c r="AB411"/>
      <c r="AC411"/>
      <c r="AD411"/>
      <c r="AE411"/>
    </row>
    <row r="412" spans="17:31" ht="12.75" customHeight="1">
      <c r="Q412" s="364"/>
      <c r="R412" s="892"/>
      <c r="S412" s="897"/>
      <c r="T412" s="704">
        <f>U69</f>
        <v>102</v>
      </c>
      <c r="U412" s="560">
        <f>U62</f>
        <v>2.6666666666666665</v>
      </c>
      <c r="V412" s="690">
        <f>IF(T412&gt;0,W412*U412," ")</f>
        <v>1666.6666666666665</v>
      </c>
      <c r="W412" s="691">
        <f>IF(T412&gt;0,(VLOOKUP(T412,'Lookup Ready-reckoner'!$B$5:$E$1207,4))," ")</f>
        <v>625</v>
      </c>
      <c r="X412" s="364"/>
      <c r="Y412" s="364"/>
      <c r="Z412" s="364"/>
      <c r="AA412"/>
      <c r="AB412"/>
      <c r="AC412"/>
      <c r="AD412"/>
      <c r="AE412"/>
    </row>
    <row r="413" spans="17:31" ht="12.75" customHeight="1">
      <c r="Q413" s="364"/>
      <c r="R413" s="898"/>
      <c r="S413" s="899"/>
      <c r="T413" s="447"/>
      <c r="U413" s="560"/>
      <c r="V413" s="690" t="str">
        <f>IF(T413&gt;0,W413*U413," ")</f>
        <v xml:space="preserve"> </v>
      </c>
      <c r="W413" s="691" t="str">
        <f>IF(T413&gt;0,(VLOOKUP(T413,'Lookup Ready-reckoner'!$B$5:$E$1007,4))," ")</f>
        <v xml:space="preserve"> </v>
      </c>
      <c r="X413" s="364"/>
      <c r="Y413" s="364"/>
      <c r="Z413" s="364"/>
      <c r="AA413"/>
      <c r="AB413"/>
      <c r="AC413"/>
      <c r="AD413"/>
      <c r="AE413"/>
    </row>
    <row r="414" spans="17:31" ht="12.75" customHeight="1" thickBot="1">
      <c r="Q414" s="364"/>
      <c r="R414" s="692" t="s">
        <v>839</v>
      </c>
      <c r="S414" s="693"/>
      <c r="T414" s="693"/>
      <c r="U414" s="705">
        <f>IF(T412&gt;0,(VLOOKUP(V414,'Lookup Ready-reckoner'!$L$5:$M$1207,2))," ")</f>
        <v>97.15</v>
      </c>
      <c r="V414" s="695">
        <f>IF(U412&gt;0,(SUM(V412:V413))," ")</f>
        <v>1666.6666666666665</v>
      </c>
      <c r="W414" s="696"/>
      <c r="X414" s="364"/>
      <c r="Y414" s="364"/>
      <c r="Z414" s="364"/>
      <c r="AA414"/>
      <c r="AB414"/>
      <c r="AC414"/>
      <c r="AD414"/>
      <c r="AE414"/>
    </row>
    <row r="415" spans="17:31" ht="12.75" customHeight="1" thickBot="1">
      <c r="Q415" s="364"/>
      <c r="R415" s="906"/>
      <c r="S415" s="907"/>
      <c r="T415" s="907"/>
      <c r="U415" s="907"/>
      <c r="V415" s="907"/>
      <c r="W415" s="908"/>
      <c r="X415" s="364"/>
      <c r="Y415" s="364"/>
      <c r="Z415" s="364"/>
      <c r="AA415"/>
      <c r="AB415"/>
      <c r="AC415"/>
      <c r="AD415"/>
      <c r="AE415"/>
    </row>
    <row r="416" spans="17:31" ht="12.75" customHeight="1">
      <c r="Q416" s="364"/>
      <c r="R416" s="895" t="s">
        <v>886</v>
      </c>
      <c r="S416" s="896"/>
      <c r="T416" s="900" t="s">
        <v>835</v>
      </c>
      <c r="U416" s="900" t="s">
        <v>836</v>
      </c>
      <c r="V416" s="900" t="s">
        <v>837</v>
      </c>
      <c r="W416" s="902" t="s">
        <v>838</v>
      </c>
      <c r="X416" s="364"/>
      <c r="Y416" s="364"/>
      <c r="Z416" s="364"/>
      <c r="AA416"/>
      <c r="AB416"/>
      <c r="AC416"/>
      <c r="AD416"/>
      <c r="AE416"/>
    </row>
    <row r="417" spans="17:31" ht="12.75" customHeight="1">
      <c r="Q417" s="364"/>
      <c r="R417" s="892"/>
      <c r="S417" s="897"/>
      <c r="T417" s="901"/>
      <c r="U417" s="901"/>
      <c r="V417" s="901"/>
      <c r="W417" s="903"/>
      <c r="X417" s="364"/>
      <c r="Y417" s="364"/>
      <c r="Z417" s="364"/>
      <c r="AA417"/>
      <c r="AB417"/>
      <c r="AC417"/>
      <c r="AD417"/>
      <c r="AE417"/>
    </row>
    <row r="418" spans="17:31" ht="12.75" customHeight="1">
      <c r="Q418" s="364"/>
      <c r="R418" s="892"/>
      <c r="S418" s="897"/>
      <c r="T418" s="704">
        <f>T412*(1-0.0178*2)</f>
        <v>98.368800000000007</v>
      </c>
      <c r="U418" s="560">
        <f>U412</f>
        <v>2.6666666666666665</v>
      </c>
      <c r="V418" s="690">
        <f>IF(T418&gt;0,W418*U418," ")</f>
        <v>725</v>
      </c>
      <c r="W418" s="691">
        <f>IF(T418&gt;0,(VLOOKUP(T418,'Lookup Ready-reckoner'!$B$5:$E$1207,4))," ")</f>
        <v>271.875</v>
      </c>
      <c r="X418" s="364"/>
      <c r="Y418" s="364"/>
      <c r="Z418" s="364"/>
      <c r="AA418"/>
      <c r="AB418"/>
      <c r="AC418"/>
      <c r="AD418"/>
      <c r="AE418"/>
    </row>
    <row r="419" spans="17:31" ht="12.75" customHeight="1">
      <c r="Q419" s="364"/>
      <c r="R419" s="898"/>
      <c r="S419" s="899"/>
      <c r="T419" s="447"/>
      <c r="U419" s="560"/>
      <c r="V419" s="690" t="str">
        <f>IF(T419&gt;0,W419*U419," ")</f>
        <v xml:space="preserve"> </v>
      </c>
      <c r="W419" s="691" t="str">
        <f>IF(T419&gt;0,(VLOOKUP(T419,'Lookup Ready-reckoner'!$B$5:$E$1007,4))," ")</f>
        <v xml:space="preserve"> </v>
      </c>
      <c r="X419" s="364"/>
      <c r="Y419" s="364"/>
      <c r="Z419" s="364"/>
      <c r="AA419"/>
      <c r="AB419"/>
      <c r="AC419"/>
      <c r="AD419"/>
      <c r="AE419"/>
    </row>
    <row r="420" spans="17:31" ht="12.75" customHeight="1" thickBot="1">
      <c r="Q420" s="364"/>
      <c r="R420" s="692" t="s">
        <v>839</v>
      </c>
      <c r="S420" s="693"/>
      <c r="T420" s="693"/>
      <c r="U420" s="705">
        <f>IF(T418&gt;0,(VLOOKUP(V420,'Lookup Ready-reckoner'!$L$5:$M$1207,2))," ")</f>
        <v>93.55</v>
      </c>
      <c r="V420" s="695">
        <f>IF(U418&gt;0,(SUM(V418:V419))," ")</f>
        <v>725</v>
      </c>
      <c r="W420" s="696"/>
      <c r="X420" s="364"/>
      <c r="Y420" s="364"/>
      <c r="Z420" s="364"/>
      <c r="AA420"/>
      <c r="AB420"/>
      <c r="AC420"/>
      <c r="AD420"/>
      <c r="AE420"/>
    </row>
    <row r="421" spans="17:31" ht="12.75" customHeight="1">
      <c r="Q421" s="364"/>
      <c r="R421" s="697"/>
      <c r="S421" s="687"/>
      <c r="T421" s="687"/>
      <c r="U421" s="372"/>
      <c r="V421" s="374"/>
      <c r="W421" s="688"/>
      <c r="X421" s="364"/>
      <c r="Y421" s="364"/>
      <c r="Z421" s="364"/>
      <c r="AA421"/>
      <c r="AB421"/>
      <c r="AC421"/>
      <c r="AD421"/>
      <c r="AE421"/>
    </row>
    <row r="422" spans="17:31" ht="12.75" customHeight="1" thickBot="1">
      <c r="Q422" s="364"/>
      <c r="R422" s="686" t="s">
        <v>60</v>
      </c>
      <c r="S422" s="577"/>
      <c r="T422" s="577"/>
      <c r="U422" s="577"/>
      <c r="V422" s="577"/>
      <c r="W422" s="698"/>
      <c r="X422" s="364"/>
      <c r="Y422" s="364"/>
      <c r="Z422" s="364"/>
      <c r="AA422"/>
      <c r="AB422"/>
      <c r="AC422"/>
      <c r="AD422"/>
      <c r="AE422"/>
    </row>
    <row r="423" spans="17:31" ht="12.75" customHeight="1">
      <c r="Q423" s="364"/>
      <c r="R423" s="895" t="s">
        <v>845</v>
      </c>
      <c r="S423" s="896"/>
      <c r="T423" s="900" t="s">
        <v>835</v>
      </c>
      <c r="U423" s="900" t="s">
        <v>836</v>
      </c>
      <c r="V423" s="900" t="s">
        <v>837</v>
      </c>
      <c r="W423" s="902" t="s">
        <v>838</v>
      </c>
      <c r="X423" s="364"/>
      <c r="Y423" s="364"/>
      <c r="Z423" s="364"/>
      <c r="AA423"/>
      <c r="AB423"/>
      <c r="AC423"/>
      <c r="AD423"/>
      <c r="AE423"/>
    </row>
    <row r="424" spans="17:31" ht="12.75" customHeight="1">
      <c r="Q424" s="364"/>
      <c r="R424" s="892"/>
      <c r="S424" s="897"/>
      <c r="T424" s="901"/>
      <c r="U424" s="901"/>
      <c r="V424" s="901"/>
      <c r="W424" s="903"/>
      <c r="X424" s="364"/>
      <c r="Y424" s="364"/>
      <c r="Z424" s="364"/>
      <c r="AA424"/>
      <c r="AB424"/>
      <c r="AC424"/>
      <c r="AD424"/>
      <c r="AE424"/>
    </row>
    <row r="425" spans="17:31" ht="12.75" customHeight="1">
      <c r="Q425" s="364"/>
      <c r="R425" s="892"/>
      <c r="S425" s="897"/>
      <c r="T425" s="704">
        <f>T412-PPE!$I$15</f>
        <v>89</v>
      </c>
      <c r="U425" s="560">
        <f>U418</f>
        <v>2.6666666666666665</v>
      </c>
      <c r="V425" s="690">
        <f>IF(T425&gt;0,W425*U425," ")</f>
        <v>83.333333333333329</v>
      </c>
      <c r="W425" s="691">
        <f>IF(T425&gt;0,(VLOOKUP(T425,'Lookup Ready-reckoner'!$B$5:$E$1207,4))," ")</f>
        <v>31.25</v>
      </c>
      <c r="X425" s="364"/>
      <c r="Y425" s="364"/>
      <c r="Z425" s="364"/>
      <c r="AA425"/>
      <c r="AB425"/>
      <c r="AC425"/>
      <c r="AD425"/>
      <c r="AE425"/>
    </row>
    <row r="426" spans="17:31" ht="12.75" customHeight="1">
      <c r="Q426" s="364"/>
      <c r="R426" s="898"/>
      <c r="S426" s="899"/>
      <c r="T426" s="447"/>
      <c r="U426" s="560"/>
      <c r="V426" s="690" t="str">
        <f>IF(T426&gt;0,W426*U426," ")</f>
        <v xml:space="preserve"> </v>
      </c>
      <c r="W426" s="691" t="str">
        <f>IF(T426&gt;0,(VLOOKUP(T426,'Lookup Ready-reckoner'!$B$5:$E$1007,4))," ")</f>
        <v xml:space="preserve"> </v>
      </c>
      <c r="X426" s="364"/>
      <c r="Y426" s="364"/>
      <c r="Z426" s="364"/>
      <c r="AA426"/>
      <c r="AB426"/>
      <c r="AC426"/>
      <c r="AD426"/>
      <c r="AE426"/>
    </row>
    <row r="427" spans="17:31" ht="12.75" customHeight="1" thickBot="1">
      <c r="Q427" s="364"/>
      <c r="R427" s="692" t="s">
        <v>839</v>
      </c>
      <c r="S427" s="693"/>
      <c r="T427" s="693"/>
      <c r="U427" s="705">
        <f>IF(T425&gt;0,(VLOOKUP(V427,'Lookup Ready-reckoner'!$L$5:$M$1207,2))," ")</f>
        <v>84.15</v>
      </c>
      <c r="V427" s="695">
        <f>IF(U425&gt;0,(SUM(V425:V426))," ")</f>
        <v>83.333333333333329</v>
      </c>
      <c r="W427" s="696"/>
      <c r="X427" s="364"/>
      <c r="Y427" s="364"/>
      <c r="Z427" s="364"/>
      <c r="AA427"/>
      <c r="AB427"/>
      <c r="AC427"/>
      <c r="AD427"/>
      <c r="AE427"/>
    </row>
    <row r="428" spans="17:31" ht="12.75" customHeight="1" thickBot="1">
      <c r="Q428" s="364"/>
      <c r="R428" s="892"/>
      <c r="S428" s="893"/>
      <c r="T428" s="893"/>
      <c r="U428" s="893"/>
      <c r="V428" s="893"/>
      <c r="W428" s="894"/>
      <c r="X428" s="364"/>
      <c r="Y428" s="364"/>
      <c r="Z428" s="364"/>
      <c r="AA428"/>
      <c r="AB428"/>
      <c r="AC428"/>
      <c r="AD428"/>
      <c r="AE428"/>
    </row>
    <row r="429" spans="17:31" ht="12.75" customHeight="1">
      <c r="Q429" s="364"/>
      <c r="R429" s="895" t="s">
        <v>886</v>
      </c>
      <c r="S429" s="896"/>
      <c r="T429" s="900" t="s">
        <v>835</v>
      </c>
      <c r="U429" s="900" t="s">
        <v>836</v>
      </c>
      <c r="V429" s="900" t="s">
        <v>837</v>
      </c>
      <c r="W429" s="902" t="s">
        <v>838</v>
      </c>
      <c r="X429" s="364"/>
      <c r="Y429" s="364"/>
      <c r="Z429" s="364"/>
      <c r="AA429"/>
      <c r="AB429"/>
      <c r="AC429"/>
      <c r="AD429"/>
      <c r="AE429"/>
    </row>
    <row r="430" spans="17:31" ht="12.75" customHeight="1">
      <c r="Q430" s="364"/>
      <c r="R430" s="892"/>
      <c r="S430" s="897"/>
      <c r="T430" s="901"/>
      <c r="U430" s="901"/>
      <c r="V430" s="901"/>
      <c r="W430" s="903"/>
      <c r="X430" s="364"/>
      <c r="Y430" s="364"/>
      <c r="Z430" s="364"/>
      <c r="AA430"/>
      <c r="AB430"/>
      <c r="AC430"/>
      <c r="AD430"/>
      <c r="AE430"/>
    </row>
    <row r="431" spans="17:31" ht="12.75" customHeight="1">
      <c r="Q431" s="364"/>
      <c r="R431" s="892"/>
      <c r="S431" s="897"/>
      <c r="T431" s="704">
        <f>T418-PPE!$I$15</f>
        <v>85.368800000000007</v>
      </c>
      <c r="U431" s="560">
        <f>U425</f>
        <v>2.6666666666666665</v>
      </c>
      <c r="V431" s="690">
        <f>IF(T431&gt;0,W431*U431," ")</f>
        <v>36.25</v>
      </c>
      <c r="W431" s="691">
        <f>IF(T431&gt;0,(VLOOKUP(T431,'Lookup Ready-reckoner'!$B$5:$E$1207,4))," ")</f>
        <v>13.59375</v>
      </c>
      <c r="X431" s="364"/>
      <c r="Y431" s="364"/>
      <c r="Z431" s="364"/>
      <c r="AA431"/>
      <c r="AB431"/>
      <c r="AC431"/>
      <c r="AD431"/>
      <c r="AE431"/>
    </row>
    <row r="432" spans="17:31" ht="12.75" customHeight="1">
      <c r="Q432" s="364"/>
      <c r="R432" s="898"/>
      <c r="S432" s="899"/>
      <c r="T432" s="447"/>
      <c r="U432" s="560"/>
      <c r="V432" s="690" t="str">
        <f>IF(T432&gt;0,W432*U432," ")</f>
        <v xml:space="preserve"> </v>
      </c>
      <c r="W432" s="691" t="str">
        <f>IF(T432&gt;0,(VLOOKUP(T432,'Lookup Ready-reckoner'!$B$5:$E$1007,4))," ")</f>
        <v xml:space="preserve"> </v>
      </c>
      <c r="X432" s="364"/>
      <c r="Y432" s="364"/>
      <c r="Z432" s="364"/>
      <c r="AA432"/>
      <c r="AB432"/>
      <c r="AC432"/>
      <c r="AD432"/>
      <c r="AE432"/>
    </row>
    <row r="433" spans="17:31" ht="12.75" customHeight="1" thickBot="1">
      <c r="Q433" s="364"/>
      <c r="R433" s="692" t="s">
        <v>839</v>
      </c>
      <c r="S433" s="693"/>
      <c r="T433" s="693"/>
      <c r="U433" s="705">
        <f>IF(T431&gt;0,(VLOOKUP(V433,'Lookup Ready-reckoner'!$L$5:$M$1207,2))," ")</f>
        <v>80.5</v>
      </c>
      <c r="V433" s="695">
        <f>IF(U431&gt;0,(SUM(V431:V432))," ")</f>
        <v>36.25</v>
      </c>
      <c r="W433" s="696"/>
      <c r="X433" s="364"/>
      <c r="Y433" s="364"/>
      <c r="Z433" s="364"/>
      <c r="AA433"/>
      <c r="AB433"/>
      <c r="AC433"/>
      <c r="AD433"/>
      <c r="AE433"/>
    </row>
    <row r="434" spans="17:31" ht="12.75" customHeight="1" thickBot="1">
      <c r="Q434" s="364"/>
      <c r="R434" s="364"/>
      <c r="S434" s="364"/>
      <c r="T434" s="364"/>
      <c r="U434" s="364"/>
      <c r="V434" s="364"/>
      <c r="W434" s="364"/>
      <c r="X434" s="364"/>
      <c r="Y434" s="364"/>
      <c r="Z434" s="364"/>
      <c r="AA434"/>
      <c r="AB434"/>
      <c r="AC434"/>
      <c r="AD434"/>
      <c r="AE434"/>
    </row>
    <row r="435" spans="17:31" ht="12.75" customHeight="1" thickTop="1">
      <c r="Q435" s="364"/>
      <c r="R435" s="916" t="s">
        <v>429</v>
      </c>
      <c r="S435" s="917"/>
      <c r="T435" s="917"/>
      <c r="U435" s="917"/>
      <c r="V435" s="917"/>
      <c r="W435" s="918"/>
      <c r="X435" s="364"/>
      <c r="Y435" s="364"/>
      <c r="Z435" s="364"/>
      <c r="AA435"/>
      <c r="AB435"/>
      <c r="AC435"/>
      <c r="AD435"/>
      <c r="AE435"/>
    </row>
    <row r="436" spans="17:31" ht="12.75" customHeight="1">
      <c r="Q436" s="364"/>
      <c r="R436" s="919"/>
      <c r="S436" s="920"/>
      <c r="T436" s="920"/>
      <c r="U436" s="920"/>
      <c r="V436" s="920"/>
      <c r="W436" s="921"/>
      <c r="X436" s="364"/>
      <c r="Y436" s="364"/>
      <c r="Z436" s="364"/>
      <c r="AA436"/>
      <c r="AB436"/>
      <c r="AC436"/>
      <c r="AD436"/>
      <c r="AE436"/>
    </row>
    <row r="437" spans="17:31" ht="12.75" customHeight="1" thickBot="1">
      <c r="Q437" s="364"/>
      <c r="R437" s="922"/>
      <c r="S437" s="923"/>
      <c r="T437" s="923"/>
      <c r="U437" s="923"/>
      <c r="V437" s="923"/>
      <c r="W437" s="924"/>
      <c r="X437" s="364"/>
      <c r="Y437" s="364"/>
      <c r="Z437" s="364"/>
      <c r="AA437"/>
      <c r="AB437"/>
      <c r="AC437"/>
      <c r="AD437"/>
      <c r="AE437"/>
    </row>
    <row r="438" spans="17:31" ht="12.75" customHeight="1" thickTop="1">
      <c r="Q438" s="364"/>
      <c r="R438" s="925" t="str">
        <f>R319</f>
        <v>Seco S215</v>
      </c>
      <c r="S438" s="925"/>
      <c r="T438" s="925"/>
      <c r="U438" s="925"/>
      <c r="V438" s="925"/>
      <c r="W438" s="925"/>
      <c r="X438" s="364"/>
      <c r="Y438" s="364"/>
      <c r="Z438" s="364"/>
      <c r="AA438"/>
      <c r="AB438"/>
      <c r="AC438"/>
      <c r="AD438"/>
      <c r="AE438"/>
    </row>
    <row r="439" spans="17:31" ht="12.75" customHeight="1" thickBot="1">
      <c r="Q439" s="364"/>
      <c r="R439" s="910" t="s">
        <v>205</v>
      </c>
      <c r="S439" s="911"/>
      <c r="T439" s="911"/>
      <c r="U439" s="911"/>
      <c r="V439" s="911"/>
      <c r="W439" s="912"/>
      <c r="X439" s="364"/>
      <c r="Y439" s="364"/>
      <c r="Z439" s="364"/>
      <c r="AA439"/>
      <c r="AB439"/>
      <c r="AC439"/>
      <c r="AD439"/>
      <c r="AE439"/>
    </row>
    <row r="440" spans="17:31" ht="12.75" customHeight="1" thickBot="1">
      <c r="Q440" s="364"/>
      <c r="R440" s="686" t="s">
        <v>59</v>
      </c>
      <c r="S440" s="577"/>
      <c r="T440" s="687"/>
      <c r="U440" s="687"/>
      <c r="V440" s="687"/>
      <c r="W440" s="688"/>
      <c r="X440" s="364"/>
      <c r="Y440" s="364"/>
      <c r="Z440" s="364"/>
      <c r="AA440"/>
      <c r="AB440"/>
      <c r="AC440"/>
      <c r="AD440"/>
      <c r="AE440"/>
    </row>
    <row r="441" spans="17:31" ht="12.75" customHeight="1">
      <c r="Q441" s="364"/>
      <c r="R441" s="895" t="s">
        <v>845</v>
      </c>
      <c r="S441" s="896"/>
      <c r="T441" s="900" t="s">
        <v>835</v>
      </c>
      <c r="U441" s="900" t="s">
        <v>836</v>
      </c>
      <c r="V441" s="900" t="s">
        <v>837</v>
      </c>
      <c r="W441" s="902" t="s">
        <v>838</v>
      </c>
      <c r="X441" s="364"/>
      <c r="Y441" s="364"/>
      <c r="Z441" s="364"/>
      <c r="AA441"/>
      <c r="AB441"/>
      <c r="AC441"/>
      <c r="AD441"/>
      <c r="AE441"/>
    </row>
    <row r="442" spans="17:31" ht="12.75" customHeight="1">
      <c r="Q442" s="364"/>
      <c r="R442" s="892"/>
      <c r="S442" s="897"/>
      <c r="T442" s="904"/>
      <c r="U442" s="904"/>
      <c r="V442" s="904"/>
      <c r="W442" s="905"/>
      <c r="X442" s="364"/>
      <c r="Y442" s="364"/>
      <c r="Z442" s="364"/>
      <c r="AA442"/>
      <c r="AB442"/>
      <c r="AC442"/>
      <c r="AD442"/>
      <c r="AE442"/>
    </row>
    <row r="443" spans="17:31" ht="12.75" customHeight="1">
      <c r="Q443" s="364"/>
      <c r="R443" s="892"/>
      <c r="S443" s="897"/>
      <c r="T443" s="901"/>
      <c r="U443" s="901"/>
      <c r="V443" s="901"/>
      <c r="W443" s="903"/>
      <c r="X443" s="364"/>
      <c r="Y443" s="364"/>
      <c r="Z443" s="364"/>
      <c r="AA443"/>
      <c r="AB443"/>
      <c r="AC443"/>
      <c r="AD443"/>
      <c r="AE443"/>
    </row>
    <row r="444" spans="17:31" ht="12.75" customHeight="1">
      <c r="Q444" s="364"/>
      <c r="R444" s="892"/>
      <c r="S444" s="897"/>
      <c r="T444" s="689">
        <f>X76</f>
        <v>122.02059991327964</v>
      </c>
      <c r="U444" s="560">
        <f>X62</f>
        <v>1.4285714285714284</v>
      </c>
      <c r="V444" s="690">
        <f>IF(T444&gt;0,W444*U444," ")</f>
        <v>79999.999999999985</v>
      </c>
      <c r="W444" s="691">
        <f>IF(T444&gt;0,(VLOOKUP(T444,'Lookup Ready-reckoner'!$B$5:$E$1207,4))," ")</f>
        <v>56000</v>
      </c>
      <c r="X444" s="364"/>
      <c r="Y444" s="364"/>
      <c r="Z444" s="364"/>
      <c r="AA444"/>
      <c r="AB444"/>
      <c r="AC444"/>
      <c r="AD444"/>
      <c r="AE444"/>
    </row>
    <row r="445" spans="17:31" ht="12.75" customHeight="1">
      <c r="Q445" s="364"/>
      <c r="R445" s="898"/>
      <c r="S445" s="899"/>
      <c r="T445" s="447"/>
      <c r="U445" s="560"/>
      <c r="V445" s="690" t="str">
        <f>IF(T445&gt;0,W445*U445," ")</f>
        <v xml:space="preserve"> </v>
      </c>
      <c r="W445" s="691" t="str">
        <f>IF(T445&gt;0,(VLOOKUP(T445,'Lookup Ready-reckoner'!$B$5:$E$1007,4))," ")</f>
        <v xml:space="preserve"> </v>
      </c>
      <c r="X445" s="364"/>
      <c r="Y445" s="364"/>
      <c r="Z445" s="364"/>
      <c r="AA445"/>
      <c r="AB445"/>
      <c r="AC445"/>
      <c r="AD445"/>
      <c r="AE445"/>
    </row>
    <row r="446" spans="17:31" ht="12.75" customHeight="1" thickBot="1">
      <c r="Q446" s="364"/>
      <c r="R446" s="692" t="s">
        <v>839</v>
      </c>
      <c r="S446" s="693"/>
      <c r="T446" s="693"/>
      <c r="U446" s="694">
        <f>IF(T444&gt;0,(VLOOKUP(V446,'Lookup Ready-reckoner'!$L$5:$M$1207,2))," ")</f>
        <v>113.95</v>
      </c>
      <c r="V446" s="695">
        <f>IF(U444&gt;0,(SUM(V444:V445))," ")</f>
        <v>79999.999999999985</v>
      </c>
      <c r="W446" s="696"/>
      <c r="X446" s="364"/>
      <c r="Y446" s="364"/>
      <c r="Z446" s="364"/>
      <c r="AA446"/>
      <c r="AB446"/>
      <c r="AC446"/>
      <c r="AD446"/>
      <c r="AE446"/>
    </row>
    <row r="447" spans="17:31" ht="12.75" customHeight="1" thickBot="1">
      <c r="Q447" s="364"/>
      <c r="R447" s="892"/>
      <c r="S447" s="893"/>
      <c r="T447" s="893"/>
      <c r="U447" s="893"/>
      <c r="V447" s="893"/>
      <c r="W447" s="894"/>
      <c r="X447" s="364"/>
      <c r="Y447" s="364"/>
      <c r="Z447" s="364"/>
      <c r="AA447"/>
      <c r="AB447"/>
      <c r="AC447"/>
      <c r="AD447"/>
      <c r="AE447"/>
    </row>
    <row r="448" spans="17:31" ht="12.75" customHeight="1">
      <c r="Q448" s="364"/>
      <c r="R448" s="895" t="s">
        <v>886</v>
      </c>
      <c r="S448" s="896"/>
      <c r="T448" s="900" t="s">
        <v>835</v>
      </c>
      <c r="U448" s="900" t="s">
        <v>836</v>
      </c>
      <c r="V448" s="900" t="s">
        <v>837</v>
      </c>
      <c r="W448" s="902" t="s">
        <v>838</v>
      </c>
      <c r="X448" s="364"/>
      <c r="Y448" s="364"/>
      <c r="Z448" s="364"/>
      <c r="AA448"/>
      <c r="AB448"/>
      <c r="AC448"/>
      <c r="AD448"/>
      <c r="AE448"/>
    </row>
    <row r="449" spans="17:31" ht="12.75" customHeight="1">
      <c r="Q449" s="364"/>
      <c r="R449" s="892"/>
      <c r="S449" s="897"/>
      <c r="T449" s="901"/>
      <c r="U449" s="901"/>
      <c r="V449" s="901"/>
      <c r="W449" s="903"/>
      <c r="X449" s="364"/>
      <c r="Y449" s="364"/>
      <c r="Z449" s="364"/>
      <c r="AA449"/>
      <c r="AB449"/>
      <c r="AC449"/>
      <c r="AD449"/>
      <c r="AE449"/>
    </row>
    <row r="450" spans="17:31" ht="12.75" customHeight="1">
      <c r="Q450" s="364"/>
      <c r="R450" s="892"/>
      <c r="S450" s="897"/>
      <c r="T450" s="689">
        <f>T444*(1-0.0178*2)</f>
        <v>117.67666655636688</v>
      </c>
      <c r="U450" s="560">
        <f>U444</f>
        <v>1.4285714285714284</v>
      </c>
      <c r="V450" s="690">
        <f>IF(T450&gt;0,W450*U450," ")</f>
        <v>33771.428571428565</v>
      </c>
      <c r="W450" s="691">
        <f>IF(T450&gt;0,(VLOOKUP(T450,'Lookup Ready-reckoner'!$B$5:$E$1207,4))," ")</f>
        <v>23640</v>
      </c>
      <c r="X450" s="364"/>
      <c r="Y450" s="364"/>
      <c r="Z450" s="364"/>
      <c r="AA450"/>
      <c r="AB450"/>
      <c r="AC450"/>
      <c r="AD450"/>
      <c r="AE450"/>
    </row>
    <row r="451" spans="17:31" ht="12.75" customHeight="1">
      <c r="Q451" s="364"/>
      <c r="R451" s="898"/>
      <c r="S451" s="899"/>
      <c r="T451" s="447"/>
      <c r="U451" s="560"/>
      <c r="V451" s="690" t="str">
        <f>IF(T451&gt;0,W451*U451," ")</f>
        <v xml:space="preserve"> </v>
      </c>
      <c r="W451" s="691" t="str">
        <f>IF(T451&gt;0,(VLOOKUP(T451,'Lookup Ready-reckoner'!$B$5:$E$1007,4))," ")</f>
        <v xml:space="preserve"> </v>
      </c>
      <c r="X451" s="364"/>
      <c r="Y451" s="364"/>
      <c r="Z451" s="364"/>
      <c r="AA451"/>
      <c r="AB451"/>
      <c r="AC451"/>
      <c r="AD451"/>
      <c r="AE451"/>
    </row>
    <row r="452" spans="17:31" ht="12.75" customHeight="1" thickBot="1">
      <c r="Q452" s="364"/>
      <c r="R452" s="692" t="s">
        <v>839</v>
      </c>
      <c r="S452" s="693"/>
      <c r="T452" s="693"/>
      <c r="U452" s="694">
        <f>IF(T450&gt;0,(VLOOKUP(V452,'Lookup Ready-reckoner'!$L$5:$M$1207,2))," ")</f>
        <v>110.2</v>
      </c>
      <c r="V452" s="695">
        <f>IF(U450&gt;0,(SUM(V450:V451))," ")</f>
        <v>33771.428571428565</v>
      </c>
      <c r="W452" s="696"/>
      <c r="X452" s="364"/>
      <c r="Y452" s="364"/>
      <c r="Z452" s="364"/>
      <c r="AA452"/>
      <c r="AB452"/>
      <c r="AC452"/>
      <c r="AD452"/>
      <c r="AE452"/>
    </row>
    <row r="453" spans="17:31" ht="12.75" customHeight="1">
      <c r="Q453" s="364"/>
      <c r="R453" s="697"/>
      <c r="S453" s="687"/>
      <c r="T453" s="687"/>
      <c r="U453" s="372"/>
      <c r="V453" s="374"/>
      <c r="W453" s="688"/>
      <c r="X453" s="364"/>
      <c r="Y453" s="364"/>
      <c r="Z453" s="364"/>
      <c r="AA453"/>
      <c r="AB453"/>
      <c r="AC453"/>
      <c r="AD453"/>
      <c r="AE453"/>
    </row>
    <row r="454" spans="17:31" ht="12.75" customHeight="1" thickBot="1">
      <c r="Q454" s="364"/>
      <c r="R454" s="686" t="s">
        <v>60</v>
      </c>
      <c r="S454" s="577"/>
      <c r="T454" s="577"/>
      <c r="U454" s="577"/>
      <c r="V454" s="577"/>
      <c r="W454" s="698"/>
      <c r="X454" s="364"/>
      <c r="Y454" s="364"/>
      <c r="Z454" s="364"/>
      <c r="AA454"/>
      <c r="AB454"/>
      <c r="AC454"/>
      <c r="AD454"/>
      <c r="AE454"/>
    </row>
    <row r="455" spans="17:31" ht="12.75" customHeight="1">
      <c r="Q455" s="364"/>
      <c r="R455" s="895" t="s">
        <v>845</v>
      </c>
      <c r="S455" s="896"/>
      <c r="T455" s="900" t="s">
        <v>835</v>
      </c>
      <c r="U455" s="900" t="s">
        <v>836</v>
      </c>
      <c r="V455" s="900" t="s">
        <v>837</v>
      </c>
      <c r="W455" s="902" t="s">
        <v>838</v>
      </c>
      <c r="X455" s="364"/>
      <c r="Y455" s="364"/>
      <c r="Z455" s="364"/>
      <c r="AA455"/>
      <c r="AB455"/>
      <c r="AC455"/>
      <c r="AD455"/>
      <c r="AE455"/>
    </row>
    <row r="456" spans="17:31" ht="12.75" customHeight="1">
      <c r="Q456" s="364"/>
      <c r="R456" s="892"/>
      <c r="S456" s="897"/>
      <c r="T456" s="901"/>
      <c r="U456" s="901"/>
      <c r="V456" s="901"/>
      <c r="W456" s="903"/>
      <c r="X456" s="364"/>
      <c r="Y456" s="364"/>
      <c r="Z456" s="364"/>
      <c r="AA456"/>
      <c r="AB456"/>
      <c r="AC456"/>
      <c r="AD456"/>
      <c r="AE456"/>
    </row>
    <row r="457" spans="17:31" ht="12.75" customHeight="1">
      <c r="Q457" s="364"/>
      <c r="R457" s="892"/>
      <c r="S457" s="897"/>
      <c r="T457" s="689">
        <f>T444-PPE!$I$15</f>
        <v>109.02059991327964</v>
      </c>
      <c r="U457" s="560">
        <f>U450</f>
        <v>1.4285714285714284</v>
      </c>
      <c r="V457" s="690">
        <f>IF(T457&gt;0,W457*U457," ")</f>
        <v>4571.4285714285706</v>
      </c>
      <c r="W457" s="691">
        <f>IF(T457&gt;0,(VLOOKUP(T457,'Lookup Ready-reckoner'!$B$5:$E$1207,4))," ")</f>
        <v>3200</v>
      </c>
      <c r="X457" s="364"/>
      <c r="Y457" s="364"/>
      <c r="Z457" s="364"/>
      <c r="AA457"/>
      <c r="AB457"/>
      <c r="AC457"/>
      <c r="AD457"/>
      <c r="AE457"/>
    </row>
    <row r="458" spans="17:31" ht="12.75" customHeight="1">
      <c r="Q458" s="364"/>
      <c r="R458" s="898"/>
      <c r="S458" s="899"/>
      <c r="T458" s="447"/>
      <c r="U458" s="560"/>
      <c r="V458" s="690" t="str">
        <f>IF(T458&gt;0,W458*U458," ")</f>
        <v xml:space="preserve"> </v>
      </c>
      <c r="W458" s="691" t="str">
        <f>IF(T458&gt;0,(VLOOKUP(T458,'Lookup Ready-reckoner'!$B$5:$E$1007,4))," ")</f>
        <v xml:space="preserve"> </v>
      </c>
      <c r="X458" s="364"/>
      <c r="Y458" s="364"/>
      <c r="Z458" s="364"/>
      <c r="AA458"/>
      <c r="AB458"/>
      <c r="AC458"/>
      <c r="AD458"/>
      <c r="AE458"/>
    </row>
    <row r="459" spans="17:31" ht="12.75" customHeight="1" thickBot="1">
      <c r="Q459" s="364"/>
      <c r="R459" s="699" t="s">
        <v>839</v>
      </c>
      <c r="S459" s="693"/>
      <c r="T459" s="693"/>
      <c r="U459" s="694">
        <f>IF(T457&gt;0,(VLOOKUP(V459,'Lookup Ready-reckoner'!$L$5:$M$1207,2))," ")</f>
        <v>101.55</v>
      </c>
      <c r="V459" s="695">
        <f>IF(U457&gt;0,(SUM(V457:V458))," ")</f>
        <v>4571.4285714285706</v>
      </c>
      <c r="W459" s="696"/>
      <c r="X459" s="364"/>
      <c r="Y459" s="364"/>
      <c r="Z459" s="364"/>
      <c r="AA459"/>
      <c r="AB459"/>
      <c r="AC459"/>
      <c r="AD459"/>
      <c r="AE459"/>
    </row>
    <row r="460" spans="17:31" ht="12.75" customHeight="1" thickBot="1">
      <c r="Q460" s="364"/>
      <c r="R460" s="892"/>
      <c r="S460" s="893"/>
      <c r="T460" s="893"/>
      <c r="U460" s="893"/>
      <c r="V460" s="893"/>
      <c r="W460" s="894"/>
      <c r="X460" s="364"/>
      <c r="Y460" s="364"/>
      <c r="Z460" s="364"/>
      <c r="AA460"/>
      <c r="AB460"/>
      <c r="AC460"/>
      <c r="AD460"/>
      <c r="AE460"/>
    </row>
    <row r="461" spans="17:31" ht="12.75" customHeight="1">
      <c r="Q461" s="364"/>
      <c r="R461" s="895" t="s">
        <v>886</v>
      </c>
      <c r="S461" s="896"/>
      <c r="T461" s="900" t="s">
        <v>835</v>
      </c>
      <c r="U461" s="900" t="s">
        <v>836</v>
      </c>
      <c r="V461" s="900" t="s">
        <v>837</v>
      </c>
      <c r="W461" s="902" t="s">
        <v>838</v>
      </c>
      <c r="X461" s="364"/>
      <c r="Y461" s="364"/>
      <c r="Z461" s="364"/>
      <c r="AA461"/>
      <c r="AB461"/>
      <c r="AC461"/>
      <c r="AD461"/>
      <c r="AE461"/>
    </row>
    <row r="462" spans="17:31" ht="12.75" customHeight="1">
      <c r="Q462" s="364"/>
      <c r="R462" s="892"/>
      <c r="S462" s="897"/>
      <c r="T462" s="901"/>
      <c r="U462" s="901"/>
      <c r="V462" s="901"/>
      <c r="W462" s="903"/>
      <c r="X462" s="364"/>
      <c r="Y462" s="364"/>
      <c r="Z462" s="364"/>
      <c r="AA462"/>
      <c r="AB462"/>
      <c r="AC462"/>
      <c r="AD462"/>
      <c r="AE462"/>
    </row>
    <row r="463" spans="17:31" ht="12.75" customHeight="1">
      <c r="Q463" s="364"/>
      <c r="R463" s="892"/>
      <c r="S463" s="897"/>
      <c r="T463" s="689">
        <f>T450-PPE!$I$15</f>
        <v>104.67666655636688</v>
      </c>
      <c r="U463" s="560">
        <f>U457</f>
        <v>1.4285714285714284</v>
      </c>
      <c r="V463" s="690">
        <f>IF(T463&gt;0,W463*U463," ")</f>
        <v>1660.7142857142856</v>
      </c>
      <c r="W463" s="691">
        <f>IF(T463&gt;0,(VLOOKUP(T463,'Lookup Ready-reckoner'!$B$5:$E$1207,4))," ")</f>
        <v>1162.5</v>
      </c>
      <c r="X463" s="364"/>
      <c r="Y463" s="364"/>
      <c r="Z463" s="364"/>
      <c r="AA463"/>
      <c r="AB463"/>
      <c r="AC463"/>
      <c r="AD463"/>
      <c r="AE463"/>
    </row>
    <row r="464" spans="17:31" ht="12.75" customHeight="1">
      <c r="Q464" s="364"/>
      <c r="R464" s="898"/>
      <c r="S464" s="899"/>
      <c r="T464" s="447"/>
      <c r="U464" s="560"/>
      <c r="V464" s="690" t="str">
        <f>IF(T464&gt;0,W464*U464," ")</f>
        <v xml:space="preserve"> </v>
      </c>
      <c r="W464" s="691" t="str">
        <f>IF(T464&gt;0,(VLOOKUP(T464,'Lookup Ready-reckoner'!$B$5:$E$1007,4))," ")</f>
        <v xml:space="preserve"> </v>
      </c>
      <c r="X464" s="364"/>
      <c r="Y464" s="364"/>
      <c r="Z464" s="364"/>
      <c r="AA464"/>
      <c r="AB464"/>
      <c r="AC464"/>
      <c r="AD464"/>
      <c r="AE464"/>
    </row>
    <row r="465" spans="17:31" ht="12.75" customHeight="1" thickBot="1">
      <c r="Q465" s="364"/>
      <c r="R465" s="692" t="s">
        <v>839</v>
      </c>
      <c r="S465" s="693"/>
      <c r="T465" s="693"/>
      <c r="U465" s="694">
        <f>IF(T463&gt;0,(VLOOKUP(V465,'Lookup Ready-reckoner'!$L$5:$M$1207,2))," ")</f>
        <v>97.15</v>
      </c>
      <c r="V465" s="695">
        <f>IF(U463&gt;0,(SUM(V463:V464))," ")</f>
        <v>1660.7142857142856</v>
      </c>
      <c r="W465" s="696"/>
      <c r="X465" s="364"/>
      <c r="Y465" s="364"/>
      <c r="Z465" s="364"/>
      <c r="AA465"/>
      <c r="AB465"/>
      <c r="AC465"/>
      <c r="AD465"/>
      <c r="AE465"/>
    </row>
    <row r="466" spans="17:31" ht="12.75" customHeight="1">
      <c r="Q466" s="364"/>
      <c r="R466" s="363"/>
      <c r="S466" s="363"/>
      <c r="T466" s="363"/>
      <c r="U466" s="363"/>
      <c r="V466" s="363"/>
      <c r="W466" s="363"/>
      <c r="X466" s="364"/>
      <c r="Y466" s="364"/>
      <c r="Z466" s="364"/>
      <c r="AA466"/>
      <c r="AB466"/>
      <c r="AC466"/>
      <c r="AD466"/>
      <c r="AE466"/>
    </row>
    <row r="467" spans="17:31" ht="12.75" customHeight="1" thickBot="1">
      <c r="Q467" s="364"/>
      <c r="R467" s="915" t="str">
        <f>R348</f>
        <v>Seco S215 Muffled</v>
      </c>
      <c r="S467" s="915"/>
      <c r="T467" s="915"/>
      <c r="U467" s="915"/>
      <c r="V467" s="915"/>
      <c r="W467" s="915"/>
      <c r="X467" s="364"/>
      <c r="Y467" s="364"/>
      <c r="Z467" s="364"/>
      <c r="AA467"/>
      <c r="AB467"/>
      <c r="AC467"/>
      <c r="AD467"/>
      <c r="AE467"/>
    </row>
    <row r="468" spans="17:31" ht="12.75" customHeight="1" thickBot="1">
      <c r="Q468" s="364"/>
      <c r="R468" s="906" t="s">
        <v>205</v>
      </c>
      <c r="S468" s="907"/>
      <c r="T468" s="907"/>
      <c r="U468" s="907"/>
      <c r="V468" s="907"/>
      <c r="W468" s="908"/>
      <c r="X468" s="364"/>
      <c r="Y468" s="364"/>
      <c r="Z468" s="364"/>
      <c r="AA468"/>
      <c r="AB468"/>
      <c r="AC468"/>
      <c r="AD468"/>
      <c r="AE468"/>
    </row>
    <row r="469" spans="17:31" ht="12.75" customHeight="1" thickBot="1">
      <c r="Q469" s="364"/>
      <c r="R469" s="686" t="s">
        <v>59</v>
      </c>
      <c r="S469" s="577"/>
      <c r="T469" s="687"/>
      <c r="U469" s="687"/>
      <c r="V469" s="687"/>
      <c r="W469" s="688"/>
      <c r="X469" s="364"/>
      <c r="Y469" s="364"/>
      <c r="Z469" s="364"/>
      <c r="AA469"/>
      <c r="AB469"/>
      <c r="AC469"/>
      <c r="AD469"/>
      <c r="AE469"/>
    </row>
    <row r="470" spans="17:31" ht="12.75" customHeight="1">
      <c r="Q470" s="364"/>
      <c r="R470" s="895" t="s">
        <v>845</v>
      </c>
      <c r="S470" s="896"/>
      <c r="T470" s="900" t="s">
        <v>835</v>
      </c>
      <c r="U470" s="900" t="s">
        <v>836</v>
      </c>
      <c r="V470" s="900" t="s">
        <v>837</v>
      </c>
      <c r="W470" s="902" t="s">
        <v>838</v>
      </c>
      <c r="X470" s="364"/>
      <c r="Y470" s="364"/>
      <c r="Z470" s="364"/>
      <c r="AA470"/>
      <c r="AB470"/>
      <c r="AC470"/>
      <c r="AD470"/>
      <c r="AE470"/>
    </row>
    <row r="471" spans="17:31" ht="12.75" customHeight="1">
      <c r="Q471" s="364"/>
      <c r="R471" s="892"/>
      <c r="S471" s="897"/>
      <c r="T471" s="904"/>
      <c r="U471" s="904"/>
      <c r="V471" s="904"/>
      <c r="W471" s="905"/>
      <c r="X471" s="364"/>
      <c r="Y471" s="364"/>
      <c r="Z471" s="364"/>
      <c r="AA471"/>
      <c r="AB471"/>
      <c r="AC471"/>
      <c r="AD471"/>
      <c r="AE471"/>
    </row>
    <row r="472" spans="17:31" ht="12.75" customHeight="1">
      <c r="Q472" s="364"/>
      <c r="R472" s="892"/>
      <c r="S472" s="897"/>
      <c r="T472" s="901"/>
      <c r="U472" s="901"/>
      <c r="V472" s="901"/>
      <c r="W472" s="903"/>
      <c r="X472" s="364"/>
      <c r="Y472" s="364"/>
      <c r="Z472" s="364"/>
      <c r="AA472"/>
      <c r="AB472"/>
      <c r="AC472"/>
      <c r="AD472"/>
      <c r="AE472"/>
    </row>
    <row r="473" spans="17:31" ht="12.75" customHeight="1">
      <c r="Q473" s="364"/>
      <c r="R473" s="892"/>
      <c r="S473" s="897"/>
      <c r="T473" s="700">
        <f>V76</f>
        <v>114.02059991327963</v>
      </c>
      <c r="U473" s="560">
        <f>V62</f>
        <v>1.9999999999999996</v>
      </c>
      <c r="V473" s="690">
        <f>IF(T473&gt;0,W473*U473," ")</f>
        <v>19999.999999999996</v>
      </c>
      <c r="W473" s="691">
        <f>IF(T473&gt;0,(VLOOKUP(T473,'Lookup Ready-reckoner'!$B$5:$E$1207,4))," ")</f>
        <v>10000</v>
      </c>
      <c r="X473" s="364"/>
      <c r="Y473" s="364"/>
      <c r="Z473" s="364"/>
      <c r="AA473"/>
      <c r="AB473"/>
      <c r="AC473"/>
      <c r="AD473"/>
      <c r="AE473"/>
    </row>
    <row r="474" spans="17:31" ht="12.75" customHeight="1">
      <c r="Q474" s="364"/>
      <c r="R474" s="898"/>
      <c r="S474" s="899"/>
      <c r="T474" s="447"/>
      <c r="U474" s="560"/>
      <c r="V474" s="690" t="str">
        <f>IF(T474&gt;0,W474*U474," ")</f>
        <v xml:space="preserve"> </v>
      </c>
      <c r="W474" s="691" t="str">
        <f>IF(T474&gt;0,(VLOOKUP(T474,'Lookup Ready-reckoner'!$B$5:$E$1007,4))," ")</f>
        <v xml:space="preserve"> </v>
      </c>
      <c r="X474" s="364"/>
      <c r="Y474" s="364"/>
      <c r="Z474" s="364"/>
      <c r="AA474"/>
      <c r="AB474"/>
      <c r="AC474"/>
      <c r="AD474"/>
      <c r="AE474"/>
    </row>
    <row r="475" spans="17:31" ht="12.75" customHeight="1" thickBot="1">
      <c r="Q475" s="364"/>
      <c r="R475" s="699" t="s">
        <v>839</v>
      </c>
      <c r="S475" s="693"/>
      <c r="T475" s="693"/>
      <c r="U475" s="701">
        <f>IF(T473&gt;0,(VLOOKUP(V475,'Lookup Ready-reckoner'!$L$5:$M$1207,2))," ")</f>
        <v>107.95</v>
      </c>
      <c r="V475" s="695">
        <f>IF(U473&gt;0,(SUM(V473:V474))," ")</f>
        <v>19999.999999999996</v>
      </c>
      <c r="W475" s="696"/>
      <c r="X475" s="364"/>
      <c r="Y475" s="364"/>
      <c r="Z475" s="364"/>
      <c r="AA475"/>
      <c r="AB475"/>
      <c r="AC475"/>
      <c r="AD475"/>
      <c r="AE475"/>
    </row>
    <row r="476" spans="17:31" ht="12.75" customHeight="1" thickBot="1">
      <c r="Q476" s="364"/>
      <c r="R476" s="892"/>
      <c r="S476" s="893"/>
      <c r="T476" s="893"/>
      <c r="U476" s="893"/>
      <c r="V476" s="893"/>
      <c r="W476" s="894"/>
      <c r="X476" s="364"/>
      <c r="Y476" s="364"/>
      <c r="Z476" s="364"/>
      <c r="AA476"/>
      <c r="AB476"/>
      <c r="AC476"/>
      <c r="AD476"/>
      <c r="AE476"/>
    </row>
    <row r="477" spans="17:31" ht="12.75" customHeight="1">
      <c r="Q477" s="364"/>
      <c r="R477" s="895" t="s">
        <v>886</v>
      </c>
      <c r="S477" s="896"/>
      <c r="T477" s="900" t="s">
        <v>835</v>
      </c>
      <c r="U477" s="900" t="s">
        <v>836</v>
      </c>
      <c r="V477" s="900" t="s">
        <v>837</v>
      </c>
      <c r="W477" s="902" t="s">
        <v>838</v>
      </c>
      <c r="X477" s="364"/>
      <c r="Y477" s="364"/>
      <c r="Z477" s="364"/>
      <c r="AA477"/>
      <c r="AB477"/>
      <c r="AC477"/>
      <c r="AD477"/>
      <c r="AE477"/>
    </row>
    <row r="478" spans="17:31" ht="12.75" customHeight="1">
      <c r="Q478" s="364"/>
      <c r="R478" s="892"/>
      <c r="S478" s="897"/>
      <c r="T478" s="901"/>
      <c r="U478" s="901"/>
      <c r="V478" s="901"/>
      <c r="W478" s="903"/>
      <c r="X478" s="364"/>
      <c r="Y478" s="364"/>
      <c r="Z478" s="364"/>
      <c r="AA478"/>
      <c r="AB478"/>
      <c r="AC478"/>
      <c r="AD478"/>
      <c r="AE478"/>
    </row>
    <row r="479" spans="17:31" ht="12.75" customHeight="1">
      <c r="Q479" s="364"/>
      <c r="R479" s="892"/>
      <c r="S479" s="897"/>
      <c r="T479" s="700">
        <f>T473*(1-0.0178*2)</f>
        <v>109.96146655636687</v>
      </c>
      <c r="U479" s="560">
        <f>U473</f>
        <v>1.9999999999999996</v>
      </c>
      <c r="V479" s="690">
        <f>IF(T479&gt;0,W479*U479," ")</f>
        <v>7919.9999999999982</v>
      </c>
      <c r="W479" s="691">
        <f>IF(T479&gt;0,(VLOOKUP(T479,'Lookup Ready-reckoner'!$B$5:$E$1207,4))," ")</f>
        <v>3960</v>
      </c>
      <c r="X479" s="364"/>
      <c r="Y479" s="364"/>
      <c r="Z479" s="364"/>
      <c r="AA479"/>
      <c r="AB479"/>
      <c r="AC479"/>
      <c r="AD479"/>
      <c r="AE479"/>
    </row>
    <row r="480" spans="17:31" ht="12.75" customHeight="1">
      <c r="Q480" s="364"/>
      <c r="R480" s="898"/>
      <c r="S480" s="899"/>
      <c r="T480" s="447"/>
      <c r="U480" s="560"/>
      <c r="V480" s="690" t="str">
        <f>IF(T480&gt;0,W480*U480," ")</f>
        <v xml:space="preserve"> </v>
      </c>
      <c r="W480" s="691" t="str">
        <f>IF(T480&gt;0,(VLOOKUP(T480,'Lookup Ready-reckoner'!$B$5:$E$1007,4))," ")</f>
        <v xml:space="preserve"> </v>
      </c>
      <c r="X480" s="364"/>
      <c r="Y480" s="364"/>
      <c r="Z480" s="364"/>
      <c r="AA480"/>
      <c r="AB480"/>
      <c r="AC480"/>
      <c r="AD480"/>
      <c r="AE480"/>
    </row>
    <row r="481" spans="17:31" ht="12.75" customHeight="1" thickBot="1">
      <c r="Q481" s="364"/>
      <c r="R481" s="692" t="s">
        <v>839</v>
      </c>
      <c r="S481" s="693"/>
      <c r="T481" s="693"/>
      <c r="U481" s="701">
        <f>IF(T479&gt;0,(VLOOKUP(V481,'Lookup Ready-reckoner'!$L$5:$M$1207,2))," ")</f>
        <v>103.9</v>
      </c>
      <c r="V481" s="695">
        <f>IF(U479&gt;0,(SUM(V479:V480))," ")</f>
        <v>7919.9999999999982</v>
      </c>
      <c r="W481" s="696"/>
      <c r="X481" s="364"/>
      <c r="Y481" s="364"/>
      <c r="Z481" s="364"/>
      <c r="AA481"/>
      <c r="AB481"/>
      <c r="AC481"/>
      <c r="AD481"/>
      <c r="AE481"/>
    </row>
    <row r="482" spans="17:31" ht="12.75" customHeight="1">
      <c r="Q482" s="364"/>
      <c r="R482" s="697"/>
      <c r="S482" s="687"/>
      <c r="T482" s="687"/>
      <c r="U482" s="372"/>
      <c r="V482" s="374"/>
      <c r="W482" s="688"/>
      <c r="X482" s="364"/>
      <c r="Y482" s="364"/>
      <c r="Z482" s="364"/>
      <c r="AA482"/>
      <c r="AB482"/>
      <c r="AC482"/>
      <c r="AD482"/>
      <c r="AE482"/>
    </row>
    <row r="483" spans="17:31" ht="12.75" customHeight="1" thickBot="1">
      <c r="Q483" s="364"/>
      <c r="R483" s="686" t="s">
        <v>60</v>
      </c>
      <c r="S483" s="577"/>
      <c r="T483" s="577"/>
      <c r="U483" s="577"/>
      <c r="V483" s="577"/>
      <c r="W483" s="698"/>
      <c r="X483" s="364"/>
      <c r="Y483" s="364"/>
      <c r="Z483" s="364"/>
      <c r="AA483"/>
      <c r="AB483"/>
      <c r="AC483"/>
      <c r="AD483"/>
      <c r="AE483"/>
    </row>
    <row r="484" spans="17:31" ht="12.75" customHeight="1">
      <c r="Q484" s="364"/>
      <c r="R484" s="895" t="s">
        <v>845</v>
      </c>
      <c r="S484" s="896"/>
      <c r="T484" s="900" t="s">
        <v>835</v>
      </c>
      <c r="U484" s="900" t="s">
        <v>836</v>
      </c>
      <c r="V484" s="900" t="s">
        <v>837</v>
      </c>
      <c r="W484" s="902" t="s">
        <v>838</v>
      </c>
      <c r="X484" s="364"/>
      <c r="Y484" s="364"/>
      <c r="Z484" s="364"/>
      <c r="AA484"/>
      <c r="AB484"/>
      <c r="AC484"/>
      <c r="AD484"/>
      <c r="AE484"/>
    </row>
    <row r="485" spans="17:31" ht="12.75" customHeight="1">
      <c r="Q485" s="364"/>
      <c r="R485" s="892"/>
      <c r="S485" s="897"/>
      <c r="T485" s="901"/>
      <c r="U485" s="901"/>
      <c r="V485" s="901"/>
      <c r="W485" s="903"/>
      <c r="X485" s="364"/>
      <c r="Y485" s="364"/>
      <c r="Z485" s="364"/>
      <c r="AA485"/>
      <c r="AB485"/>
      <c r="AC485"/>
      <c r="AD485"/>
      <c r="AE485"/>
    </row>
    <row r="486" spans="17:31" ht="12.75" customHeight="1">
      <c r="Q486" s="364"/>
      <c r="R486" s="892"/>
      <c r="S486" s="897"/>
      <c r="T486" s="700">
        <f>T473-PPE!$I$15</f>
        <v>101.02059991327963</v>
      </c>
      <c r="U486" s="560">
        <f>U479</f>
        <v>1.9999999999999996</v>
      </c>
      <c r="V486" s="690">
        <f>IF(T486&gt;0,W486*U486," ")</f>
        <v>999.99999999999977</v>
      </c>
      <c r="W486" s="691">
        <f>IF(T486&gt;0,(VLOOKUP(T486,'Lookup Ready-reckoner'!$B$5:$E$1207,4))," ")</f>
        <v>500</v>
      </c>
      <c r="X486" s="364"/>
      <c r="Y486" s="364"/>
      <c r="Z486" s="364"/>
      <c r="AA486"/>
      <c r="AB486"/>
      <c r="AC486"/>
      <c r="AD486"/>
      <c r="AE486"/>
    </row>
    <row r="487" spans="17:31" ht="12.75" customHeight="1">
      <c r="Q487" s="364"/>
      <c r="R487" s="898"/>
      <c r="S487" s="899"/>
      <c r="T487" s="447"/>
      <c r="U487" s="560"/>
      <c r="V487" s="690" t="str">
        <f>IF(T487&gt;0,W487*U487," ")</f>
        <v xml:space="preserve"> </v>
      </c>
      <c r="W487" s="691" t="str">
        <f>IF(T487&gt;0,(VLOOKUP(T487,'Lookup Ready-reckoner'!$B$5:$E$1007,4))," ")</f>
        <v xml:space="preserve"> </v>
      </c>
      <c r="X487" s="364"/>
      <c r="Y487" s="364"/>
      <c r="Z487" s="364"/>
      <c r="AA487"/>
      <c r="AB487"/>
      <c r="AC487"/>
      <c r="AD487"/>
      <c r="AE487"/>
    </row>
    <row r="488" spans="17:31" ht="12.75" customHeight="1" thickBot="1">
      <c r="Q488" s="364"/>
      <c r="R488" s="692" t="s">
        <v>839</v>
      </c>
      <c r="S488" s="693"/>
      <c r="T488" s="693"/>
      <c r="U488" s="701">
        <f>IF(T486&gt;0,(VLOOKUP(V488,'Lookup Ready-reckoner'!$L$5:$M$1207,2))," ")</f>
        <v>94.95</v>
      </c>
      <c r="V488" s="695">
        <f>IF(U486&gt;0,(SUM(V486:V487))," ")</f>
        <v>999.99999999999977</v>
      </c>
      <c r="W488" s="696"/>
      <c r="X488" s="364"/>
      <c r="Y488" s="364"/>
      <c r="Z488" s="364"/>
      <c r="AA488"/>
      <c r="AB488"/>
      <c r="AC488"/>
      <c r="AD488"/>
      <c r="AE488"/>
    </row>
    <row r="489" spans="17:31" ht="12.75" customHeight="1" thickBot="1">
      <c r="Q489" s="364"/>
      <c r="R489" s="892"/>
      <c r="S489" s="893"/>
      <c r="T489" s="893"/>
      <c r="U489" s="893"/>
      <c r="V489" s="893"/>
      <c r="W489" s="894"/>
      <c r="X489" s="364"/>
      <c r="Y489" s="364"/>
      <c r="Z489" s="364"/>
      <c r="AA489"/>
      <c r="AB489"/>
      <c r="AC489"/>
      <c r="AD489"/>
      <c r="AE489"/>
    </row>
    <row r="490" spans="17:31" ht="12.75" customHeight="1">
      <c r="Q490" s="364"/>
      <c r="R490" s="895" t="s">
        <v>886</v>
      </c>
      <c r="S490" s="896"/>
      <c r="T490" s="900" t="s">
        <v>835</v>
      </c>
      <c r="U490" s="900" t="s">
        <v>836</v>
      </c>
      <c r="V490" s="900" t="s">
        <v>837</v>
      </c>
      <c r="W490" s="902" t="s">
        <v>838</v>
      </c>
      <c r="X490" s="364"/>
      <c r="Y490" s="364"/>
      <c r="Z490" s="364"/>
      <c r="AA490"/>
      <c r="AB490"/>
      <c r="AC490"/>
      <c r="AD490"/>
      <c r="AE490"/>
    </row>
    <row r="491" spans="17:31" ht="12.75" customHeight="1">
      <c r="Q491" s="364"/>
      <c r="R491" s="892"/>
      <c r="S491" s="897"/>
      <c r="T491" s="901"/>
      <c r="U491" s="901"/>
      <c r="V491" s="901"/>
      <c r="W491" s="903"/>
      <c r="X491" s="364"/>
      <c r="Y491" s="364"/>
      <c r="Z491" s="364"/>
      <c r="AA491"/>
      <c r="AB491"/>
      <c r="AC491"/>
      <c r="AD491"/>
      <c r="AE491"/>
    </row>
    <row r="492" spans="17:31" ht="12.75" customHeight="1">
      <c r="Q492" s="364"/>
      <c r="R492" s="892"/>
      <c r="S492" s="897"/>
      <c r="T492" s="700">
        <f>T479-PPE!$I$15</f>
        <v>96.961466556366872</v>
      </c>
      <c r="U492" s="560">
        <f>U486</f>
        <v>1.9999999999999996</v>
      </c>
      <c r="V492" s="690">
        <f>IF(T492&gt;0,W492*U492," ")</f>
        <v>395.62499999999989</v>
      </c>
      <c r="W492" s="691">
        <f>IF(T492&gt;0,(VLOOKUP(T492,'Lookup Ready-reckoner'!$B$5:$E$1207,4))," ")</f>
        <v>197.8125</v>
      </c>
      <c r="X492" s="364"/>
      <c r="Y492" s="364"/>
      <c r="Z492" s="364"/>
      <c r="AA492"/>
      <c r="AB492"/>
      <c r="AC492"/>
      <c r="AD492"/>
      <c r="AE492"/>
    </row>
    <row r="493" spans="17:31" ht="12.75" customHeight="1">
      <c r="Q493" s="364"/>
      <c r="R493" s="898"/>
      <c r="S493" s="899"/>
      <c r="T493" s="447"/>
      <c r="U493" s="560"/>
      <c r="V493" s="690" t="str">
        <f>IF(T493&gt;0,W493*U493," ")</f>
        <v xml:space="preserve"> </v>
      </c>
      <c r="W493" s="691" t="str">
        <f>IF(T493&gt;0,(VLOOKUP(T493,'Lookup Ready-reckoner'!$B$5:$E$1007,4))," ")</f>
        <v xml:space="preserve"> </v>
      </c>
      <c r="X493" s="364"/>
      <c r="Y493" s="364"/>
      <c r="Z493" s="364"/>
      <c r="AA493"/>
      <c r="AB493"/>
      <c r="AC493"/>
      <c r="AD493"/>
      <c r="AE493"/>
    </row>
    <row r="494" spans="17:31" ht="12.75" customHeight="1" thickBot="1">
      <c r="Q494" s="364"/>
      <c r="R494" s="692" t="s">
        <v>839</v>
      </c>
      <c r="S494" s="693"/>
      <c r="T494" s="693"/>
      <c r="U494" s="701">
        <f>IF(T492&gt;0,(VLOOKUP(V494,'Lookup Ready-reckoner'!$L$5:$M$1207,2))," ")</f>
        <v>90.9</v>
      </c>
      <c r="V494" s="695">
        <f>IF(U492&gt;0,(SUM(V492:V493))," ")</f>
        <v>395.62499999999989</v>
      </c>
      <c r="W494" s="696"/>
      <c r="X494" s="364"/>
      <c r="Y494" s="364"/>
      <c r="Z494" s="364"/>
      <c r="AA494"/>
      <c r="AB494"/>
      <c r="AC494"/>
      <c r="AD494"/>
      <c r="AE494"/>
    </row>
    <row r="495" spans="17:31" ht="12.75" customHeight="1">
      <c r="Q495" s="364"/>
      <c r="R495" s="363"/>
      <c r="S495" s="363"/>
      <c r="T495" s="363"/>
      <c r="U495" s="363"/>
      <c r="V495" s="363"/>
      <c r="W495" s="363"/>
      <c r="X495" s="364"/>
      <c r="Y495" s="364"/>
      <c r="Z495" s="364"/>
      <c r="AA495"/>
      <c r="AB495"/>
      <c r="AC495"/>
      <c r="AD495"/>
      <c r="AE495"/>
    </row>
    <row r="496" spans="17:31" ht="12.75" customHeight="1">
      <c r="Q496" s="364"/>
      <c r="R496" s="913" t="str">
        <f>R377</f>
        <v>Sulzer ADDS</v>
      </c>
      <c r="S496" s="914"/>
      <c r="T496" s="914"/>
      <c r="U496" s="914"/>
      <c r="V496" s="914"/>
      <c r="W496" s="914"/>
      <c r="X496" s="364"/>
      <c r="Y496" s="364"/>
      <c r="Z496" s="364"/>
      <c r="AA496"/>
      <c r="AB496"/>
      <c r="AC496"/>
      <c r="AD496"/>
      <c r="AE496"/>
    </row>
    <row r="497" spans="17:31" ht="12.75" customHeight="1" thickBot="1">
      <c r="Q497" s="364"/>
      <c r="R497" s="910" t="s">
        <v>205</v>
      </c>
      <c r="S497" s="911"/>
      <c r="T497" s="911"/>
      <c r="U497" s="911"/>
      <c r="V497" s="911"/>
      <c r="W497" s="912"/>
      <c r="X497" s="364"/>
      <c r="Y497" s="364"/>
      <c r="Z497" s="364"/>
      <c r="AA497"/>
      <c r="AB497"/>
      <c r="AC497"/>
      <c r="AD497"/>
      <c r="AE497"/>
    </row>
    <row r="498" spans="17:31" ht="12.75" customHeight="1" thickBot="1">
      <c r="Q498" s="364"/>
      <c r="R498" s="686" t="s">
        <v>59</v>
      </c>
      <c r="S498" s="577"/>
      <c r="T498" s="687"/>
      <c r="U498" s="687"/>
      <c r="V498" s="687"/>
      <c r="W498" s="688"/>
      <c r="X498" s="364"/>
      <c r="Y498" s="364"/>
      <c r="Z498" s="364"/>
      <c r="AA498"/>
      <c r="AB498"/>
      <c r="AC498"/>
      <c r="AD498"/>
      <c r="AE498"/>
    </row>
    <row r="499" spans="17:31" ht="12.75" customHeight="1">
      <c r="Q499" s="364"/>
      <c r="R499" s="895" t="s">
        <v>845</v>
      </c>
      <c r="S499" s="896"/>
      <c r="T499" s="900" t="s">
        <v>835</v>
      </c>
      <c r="U499" s="900" t="s">
        <v>836</v>
      </c>
      <c r="V499" s="900" t="s">
        <v>837</v>
      </c>
      <c r="W499" s="902" t="s">
        <v>838</v>
      </c>
      <c r="X499" s="364"/>
      <c r="Y499" s="364"/>
      <c r="Z499" s="364"/>
      <c r="AA499"/>
      <c r="AB499"/>
      <c r="AC499"/>
      <c r="AD499"/>
      <c r="AE499"/>
    </row>
    <row r="500" spans="17:31" ht="12.75" customHeight="1">
      <c r="Q500" s="364"/>
      <c r="R500" s="892"/>
      <c r="S500" s="897"/>
      <c r="T500" s="904"/>
      <c r="U500" s="904"/>
      <c r="V500" s="904"/>
      <c r="W500" s="905"/>
      <c r="X500" s="364"/>
      <c r="Y500" s="364"/>
      <c r="Z500" s="364"/>
      <c r="AA500"/>
      <c r="AB500"/>
      <c r="AC500"/>
      <c r="AD500"/>
      <c r="AE500"/>
    </row>
    <row r="501" spans="17:31" ht="12.75" customHeight="1">
      <c r="Q501" s="364"/>
      <c r="R501" s="892"/>
      <c r="S501" s="897"/>
      <c r="T501" s="901"/>
      <c r="U501" s="901"/>
      <c r="V501" s="901"/>
      <c r="W501" s="903"/>
      <c r="X501" s="364"/>
      <c r="Y501" s="364"/>
      <c r="Z501" s="364"/>
      <c r="AA501"/>
      <c r="AB501"/>
      <c r="AC501"/>
      <c r="AD501"/>
      <c r="AE501"/>
    </row>
    <row r="502" spans="17:31" ht="12.75" customHeight="1">
      <c r="Q502" s="364"/>
      <c r="R502" s="892"/>
      <c r="S502" s="897"/>
      <c r="T502" s="702">
        <f>W76</f>
        <v>115.02059991327963</v>
      </c>
      <c r="U502" s="560">
        <f>W62</f>
        <v>1.7391304347826084</v>
      </c>
      <c r="V502" s="690">
        <f>IF(T502&gt;0,W502*U502," ")</f>
        <v>22260.869565217388</v>
      </c>
      <c r="W502" s="691">
        <f>IF(T502&gt;0,(VLOOKUP(T502,'Lookup Ready-reckoner'!$B$5:$E$1207,4))," ")</f>
        <v>12800</v>
      </c>
      <c r="X502" s="364"/>
      <c r="Y502" s="364"/>
      <c r="Z502" s="364"/>
      <c r="AA502"/>
      <c r="AB502"/>
      <c r="AC502"/>
      <c r="AD502"/>
      <c r="AE502"/>
    </row>
    <row r="503" spans="17:31" ht="12.75" customHeight="1">
      <c r="Q503" s="364"/>
      <c r="R503" s="898"/>
      <c r="S503" s="899"/>
      <c r="T503" s="447"/>
      <c r="U503" s="560"/>
      <c r="V503" s="690" t="str">
        <f>IF(T503&gt;0,W503*U503," ")</f>
        <v xml:space="preserve"> </v>
      </c>
      <c r="W503" s="691" t="str">
        <f>IF(T503&gt;0,(VLOOKUP(T503,'Lookup Ready-reckoner'!$B$5:$E$1007,4))," ")</f>
        <v xml:space="preserve"> </v>
      </c>
      <c r="X503" s="364"/>
      <c r="Y503" s="364"/>
      <c r="Z503" s="364"/>
      <c r="AA503"/>
      <c r="AB503"/>
      <c r="AC503"/>
      <c r="AD503"/>
      <c r="AE503"/>
    </row>
    <row r="504" spans="17:31" ht="12.75" customHeight="1" thickBot="1">
      <c r="Q504" s="364"/>
      <c r="R504" s="692" t="s">
        <v>839</v>
      </c>
      <c r="S504" s="693"/>
      <c r="T504" s="693"/>
      <c r="U504" s="703">
        <f>IF(T502&gt;0,(VLOOKUP(V504,'Lookup Ready-reckoner'!$L$5:$M$1207,2))," ")</f>
        <v>108.4</v>
      </c>
      <c r="V504" s="695">
        <f>IF(U502&gt;0,(SUM(V502:V503))," ")</f>
        <v>22260.869565217388</v>
      </c>
      <c r="W504" s="696"/>
      <c r="X504" s="364"/>
      <c r="Y504" s="364"/>
      <c r="Z504" s="364"/>
      <c r="AA504"/>
      <c r="AB504"/>
      <c r="AC504"/>
      <c r="AD504"/>
      <c r="AE504"/>
    </row>
    <row r="505" spans="17:31" ht="12.75" customHeight="1" thickBot="1">
      <c r="Q505" s="364"/>
      <c r="R505" s="892"/>
      <c r="S505" s="893"/>
      <c r="T505" s="893"/>
      <c r="U505" s="893"/>
      <c r="V505" s="893"/>
      <c r="W505" s="894"/>
      <c r="X505" s="364"/>
      <c r="Y505" s="364"/>
      <c r="Z505" s="364"/>
      <c r="AA505"/>
      <c r="AB505"/>
      <c r="AC505"/>
      <c r="AD505"/>
      <c r="AE505"/>
    </row>
    <row r="506" spans="17:31" ht="12.75" customHeight="1">
      <c r="Q506" s="364"/>
      <c r="R506" s="895" t="s">
        <v>886</v>
      </c>
      <c r="S506" s="896"/>
      <c r="T506" s="900" t="s">
        <v>835</v>
      </c>
      <c r="U506" s="900" t="s">
        <v>836</v>
      </c>
      <c r="V506" s="900" t="s">
        <v>837</v>
      </c>
      <c r="W506" s="902" t="s">
        <v>838</v>
      </c>
      <c r="X506" s="364"/>
      <c r="Y506" s="364"/>
      <c r="Z506" s="364"/>
      <c r="AA506"/>
      <c r="AB506"/>
      <c r="AC506"/>
      <c r="AD506"/>
      <c r="AE506"/>
    </row>
    <row r="507" spans="17:31" ht="12.75" customHeight="1">
      <c r="Q507" s="364"/>
      <c r="R507" s="892"/>
      <c r="S507" s="897"/>
      <c r="T507" s="901"/>
      <c r="U507" s="901"/>
      <c r="V507" s="901"/>
      <c r="W507" s="903"/>
      <c r="X507" s="364"/>
      <c r="Y507" s="364"/>
      <c r="Z507" s="364"/>
      <c r="AA507"/>
      <c r="AB507"/>
      <c r="AC507"/>
      <c r="AD507"/>
      <c r="AE507"/>
    </row>
    <row r="508" spans="17:31" ht="12.75" customHeight="1">
      <c r="Q508" s="364"/>
      <c r="R508" s="892"/>
      <c r="S508" s="897"/>
      <c r="T508" s="702">
        <f>T502*(1-0.0178*2)</f>
        <v>110.92586655636687</v>
      </c>
      <c r="U508" s="560">
        <f>U502</f>
        <v>1.7391304347826084</v>
      </c>
      <c r="V508" s="690">
        <f>IF(T508&gt;0,W508*U508," ")</f>
        <v>8521.7391304347821</v>
      </c>
      <c r="W508" s="691">
        <f>IF(T508&gt;0,(VLOOKUP(T508,'Lookup Ready-reckoner'!$B$5:$E$1207,4))," ")</f>
        <v>4900</v>
      </c>
      <c r="X508" s="364"/>
      <c r="Y508" s="364"/>
      <c r="Z508" s="364"/>
      <c r="AA508"/>
      <c r="AB508"/>
      <c r="AC508"/>
      <c r="AD508"/>
      <c r="AE508"/>
    </row>
    <row r="509" spans="17:31" ht="12.75" customHeight="1">
      <c r="Q509" s="364"/>
      <c r="R509" s="898"/>
      <c r="S509" s="899"/>
      <c r="T509" s="447"/>
      <c r="U509" s="560"/>
      <c r="V509" s="690" t="str">
        <f>IF(T509&gt;0,W509*U509," ")</f>
        <v xml:space="preserve"> </v>
      </c>
      <c r="W509" s="691" t="str">
        <f>IF(T509&gt;0,(VLOOKUP(T509,'Lookup Ready-reckoner'!$B$5:$E$1007,4))," ")</f>
        <v xml:space="preserve"> </v>
      </c>
      <c r="X509" s="364"/>
      <c r="Y509" s="364"/>
      <c r="Z509" s="364"/>
      <c r="AA509"/>
      <c r="AB509"/>
      <c r="AC509"/>
      <c r="AD509"/>
      <c r="AE509"/>
    </row>
    <row r="510" spans="17:31" ht="12.75" customHeight="1" thickBot="1">
      <c r="Q510" s="364"/>
      <c r="R510" s="692" t="s">
        <v>839</v>
      </c>
      <c r="S510" s="693"/>
      <c r="T510" s="693"/>
      <c r="U510" s="703">
        <f>IF(T508&gt;0,(VLOOKUP(V510,'Lookup Ready-reckoner'!$L$5:$M$1207,2))," ")</f>
        <v>104.25</v>
      </c>
      <c r="V510" s="695">
        <f>IF(U508&gt;0,(SUM(V508:V509))," ")</f>
        <v>8521.7391304347821</v>
      </c>
      <c r="W510" s="696"/>
      <c r="X510" s="364"/>
      <c r="Y510" s="364"/>
      <c r="Z510" s="364"/>
      <c r="AA510"/>
      <c r="AB510"/>
      <c r="AC510"/>
      <c r="AD510"/>
      <c r="AE510"/>
    </row>
    <row r="511" spans="17:31" ht="12.75" customHeight="1">
      <c r="Q511" s="364"/>
      <c r="R511" s="697"/>
      <c r="S511" s="687"/>
      <c r="T511" s="687"/>
      <c r="U511" s="372"/>
      <c r="V511" s="374"/>
      <c r="W511" s="688"/>
      <c r="X511" s="364"/>
      <c r="Y511" s="364"/>
      <c r="Z511" s="364"/>
      <c r="AA511"/>
      <c r="AB511"/>
      <c r="AC511"/>
      <c r="AD511"/>
      <c r="AE511"/>
    </row>
    <row r="512" spans="17:31" ht="12.75" customHeight="1" thickBot="1">
      <c r="Q512" s="364"/>
      <c r="R512" s="686" t="s">
        <v>60</v>
      </c>
      <c r="S512" s="577"/>
      <c r="T512" s="577"/>
      <c r="U512" s="577"/>
      <c r="V512" s="577"/>
      <c r="W512" s="698"/>
      <c r="X512" s="364"/>
      <c r="Y512" s="364"/>
      <c r="Z512" s="364"/>
      <c r="AA512"/>
      <c r="AB512"/>
      <c r="AC512"/>
      <c r="AD512"/>
      <c r="AE512"/>
    </row>
    <row r="513" spans="17:31" ht="12.75" customHeight="1">
      <c r="Q513" s="364"/>
      <c r="R513" s="895" t="s">
        <v>845</v>
      </c>
      <c r="S513" s="896"/>
      <c r="T513" s="900" t="s">
        <v>835</v>
      </c>
      <c r="U513" s="900" t="s">
        <v>836</v>
      </c>
      <c r="V513" s="900" t="s">
        <v>837</v>
      </c>
      <c r="W513" s="902" t="s">
        <v>838</v>
      </c>
      <c r="X513" s="364"/>
      <c r="Y513" s="364"/>
      <c r="Z513" s="364"/>
      <c r="AA513"/>
      <c r="AB513"/>
      <c r="AC513"/>
      <c r="AD513"/>
      <c r="AE513"/>
    </row>
    <row r="514" spans="17:31" ht="12.75" customHeight="1">
      <c r="Q514" s="364"/>
      <c r="R514" s="892"/>
      <c r="S514" s="897"/>
      <c r="T514" s="901"/>
      <c r="U514" s="901"/>
      <c r="V514" s="901"/>
      <c r="W514" s="903"/>
      <c r="X514" s="364"/>
      <c r="Y514" s="364"/>
      <c r="Z514" s="364"/>
      <c r="AA514"/>
      <c r="AB514"/>
      <c r="AC514"/>
      <c r="AD514"/>
      <c r="AE514"/>
    </row>
    <row r="515" spans="17:31" ht="12.75" customHeight="1">
      <c r="Q515" s="364"/>
      <c r="R515" s="892"/>
      <c r="S515" s="897"/>
      <c r="T515" s="702">
        <f>T502-PPE!$I$15</f>
        <v>102.02059991327963</v>
      </c>
      <c r="U515" s="560">
        <f>U508</f>
        <v>1.7391304347826084</v>
      </c>
      <c r="V515" s="690">
        <f>IF(T515&gt;0,W515*U515," ")</f>
        <v>1086.9565217391303</v>
      </c>
      <c r="W515" s="691">
        <f>IF(T515&gt;0,(VLOOKUP(T515,'Lookup Ready-reckoner'!$B$5:$E$1207,4))," ")</f>
        <v>625</v>
      </c>
      <c r="X515" s="364"/>
      <c r="Y515" s="364"/>
      <c r="Z515" s="364"/>
      <c r="AA515"/>
      <c r="AB515"/>
      <c r="AC515"/>
      <c r="AD515"/>
      <c r="AE515"/>
    </row>
    <row r="516" spans="17:31" ht="12.75" customHeight="1">
      <c r="Q516" s="364"/>
      <c r="R516" s="898"/>
      <c r="S516" s="899"/>
      <c r="T516" s="447"/>
      <c r="U516" s="560"/>
      <c r="V516" s="690" t="str">
        <f>IF(T516&gt;0,W516*U516," ")</f>
        <v xml:space="preserve"> </v>
      </c>
      <c r="W516" s="691" t="str">
        <f>IF(T516&gt;0,(VLOOKUP(T516,'Lookup Ready-reckoner'!$B$5:$E$1007,4))," ")</f>
        <v xml:space="preserve"> </v>
      </c>
      <c r="X516" s="364"/>
      <c r="Y516" s="364"/>
      <c r="Z516" s="364"/>
      <c r="AA516"/>
      <c r="AB516"/>
      <c r="AC516"/>
      <c r="AD516"/>
      <c r="AE516"/>
    </row>
    <row r="517" spans="17:31" ht="12.75" customHeight="1" thickBot="1">
      <c r="Q517" s="364"/>
      <c r="R517" s="692" t="s">
        <v>839</v>
      </c>
      <c r="S517" s="693"/>
      <c r="T517" s="693"/>
      <c r="U517" s="703">
        <f>IF(T515&gt;0,(VLOOKUP(V517,'Lookup Ready-reckoner'!$L$5:$M$1207,2))," ")</f>
        <v>95.3</v>
      </c>
      <c r="V517" s="695">
        <f>IF(U515&gt;0,(SUM(V515:V516))," ")</f>
        <v>1086.9565217391303</v>
      </c>
      <c r="W517" s="696"/>
      <c r="X517" s="364"/>
      <c r="Y517" s="364"/>
      <c r="Z517" s="364"/>
      <c r="AA517"/>
      <c r="AB517"/>
      <c r="AC517"/>
      <c r="AD517"/>
      <c r="AE517"/>
    </row>
    <row r="518" spans="17:31" ht="12.75" customHeight="1" thickBot="1">
      <c r="Q518" s="364"/>
      <c r="R518" s="892"/>
      <c r="S518" s="893"/>
      <c r="T518" s="893"/>
      <c r="U518" s="893"/>
      <c r="V518" s="893"/>
      <c r="W518" s="894"/>
      <c r="X518" s="364"/>
      <c r="Y518" s="364"/>
      <c r="Z518" s="364"/>
      <c r="AA518"/>
      <c r="AB518"/>
      <c r="AC518"/>
      <c r="AD518"/>
      <c r="AE518"/>
    </row>
    <row r="519" spans="17:31" ht="12.75" customHeight="1">
      <c r="Q519" s="364"/>
      <c r="R519" s="895" t="s">
        <v>886</v>
      </c>
      <c r="S519" s="896"/>
      <c r="T519" s="900" t="s">
        <v>835</v>
      </c>
      <c r="U519" s="900" t="s">
        <v>836</v>
      </c>
      <c r="V519" s="900" t="s">
        <v>837</v>
      </c>
      <c r="W519" s="902" t="s">
        <v>838</v>
      </c>
      <c r="X519" s="364"/>
      <c r="Y519" s="364"/>
      <c r="Z519" s="364"/>
      <c r="AA519"/>
      <c r="AB519"/>
      <c r="AC519"/>
      <c r="AD519"/>
      <c r="AE519"/>
    </row>
    <row r="520" spans="17:31" ht="12.75" customHeight="1">
      <c r="Q520" s="364"/>
      <c r="R520" s="892"/>
      <c r="S520" s="897"/>
      <c r="T520" s="901"/>
      <c r="U520" s="901"/>
      <c r="V520" s="901"/>
      <c r="W520" s="903"/>
      <c r="X520" s="364"/>
      <c r="Y520" s="364"/>
      <c r="Z520" s="364"/>
      <c r="AA520"/>
      <c r="AB520"/>
      <c r="AC520"/>
      <c r="AD520"/>
      <c r="AE520"/>
    </row>
    <row r="521" spans="17:31" ht="12.75" customHeight="1">
      <c r="Q521" s="364"/>
      <c r="R521" s="892"/>
      <c r="S521" s="897"/>
      <c r="T521" s="702">
        <f>T508-PPE!$I$15</f>
        <v>97.92586655636687</v>
      </c>
      <c r="U521" s="560">
        <f>U515</f>
        <v>1.7391304347826084</v>
      </c>
      <c r="V521" s="690">
        <f>IF(T521&gt;0,W521*U521," ")</f>
        <v>426.08695652173907</v>
      </c>
      <c r="W521" s="691">
        <f>IF(T521&gt;0,(VLOOKUP(T521,'Lookup Ready-reckoner'!$B$5:$E$1207,4))," ")</f>
        <v>245</v>
      </c>
      <c r="X521" s="364"/>
      <c r="Y521" s="364"/>
      <c r="Z521" s="364"/>
      <c r="AA521"/>
      <c r="AB521"/>
      <c r="AC521"/>
      <c r="AD521"/>
      <c r="AE521"/>
    </row>
    <row r="522" spans="17:31" ht="12.75" customHeight="1">
      <c r="Q522" s="364"/>
      <c r="R522" s="898"/>
      <c r="S522" s="899"/>
      <c r="T522" s="447"/>
      <c r="U522" s="560"/>
      <c r="V522" s="690" t="str">
        <f>IF(T522&gt;0,W522*U522," ")</f>
        <v xml:space="preserve"> </v>
      </c>
      <c r="W522" s="691" t="str">
        <f>IF(T522&gt;0,(VLOOKUP(T522,'Lookup Ready-reckoner'!$B$5:$E$1007,4))," ")</f>
        <v xml:space="preserve"> </v>
      </c>
      <c r="X522" s="364"/>
      <c r="Y522" s="364"/>
      <c r="Z522" s="364"/>
      <c r="AA522"/>
      <c r="AB522"/>
      <c r="AC522"/>
      <c r="AD522"/>
      <c r="AE522"/>
    </row>
    <row r="523" spans="17:31" ht="12.75" customHeight="1" thickBot="1">
      <c r="Q523" s="364"/>
      <c r="R523" s="692" t="s">
        <v>839</v>
      </c>
      <c r="S523" s="693"/>
      <c r="T523" s="693"/>
      <c r="U523" s="703">
        <f>IF(T521&gt;0,(VLOOKUP(V523,'Lookup Ready-reckoner'!$L$5:$M$1207,2))," ")</f>
        <v>91.25</v>
      </c>
      <c r="V523" s="695">
        <f>IF(U521&gt;0,(SUM(V521:V522))," ")</f>
        <v>426.08695652173907</v>
      </c>
      <c r="W523" s="696"/>
      <c r="X523" s="364"/>
      <c r="Y523" s="364"/>
      <c r="Z523" s="364"/>
      <c r="AA523"/>
      <c r="AB523"/>
      <c r="AC523"/>
      <c r="AD523"/>
      <c r="AE523"/>
    </row>
    <row r="524" spans="17:31" ht="12.75" customHeight="1">
      <c r="Q524" s="364"/>
      <c r="R524" s="363"/>
      <c r="S524" s="363"/>
      <c r="T524" s="363"/>
      <c r="U524" s="363"/>
      <c r="V524" s="363"/>
      <c r="W524" s="363"/>
      <c r="X524" s="364"/>
      <c r="Y524" s="364"/>
      <c r="Z524" s="364"/>
      <c r="AA524"/>
      <c r="AB524"/>
      <c r="AC524"/>
      <c r="AD524"/>
      <c r="AE524"/>
    </row>
    <row r="525" spans="17:31" ht="12.75" customHeight="1">
      <c r="Q525" s="364"/>
      <c r="R525" s="909" t="str">
        <f>R406</f>
        <v xml:space="preserve">Hilti TE MD20 </v>
      </c>
      <c r="S525" s="909"/>
      <c r="T525" s="909"/>
      <c r="U525" s="909"/>
      <c r="V525" s="909"/>
      <c r="W525" s="909"/>
      <c r="X525" s="364"/>
      <c r="Y525" s="364"/>
      <c r="Z525" s="364"/>
      <c r="AA525"/>
      <c r="AB525"/>
      <c r="AC525"/>
      <c r="AD525"/>
      <c r="AE525"/>
    </row>
    <row r="526" spans="17:31" ht="12.75" customHeight="1" thickBot="1">
      <c r="Q526" s="364"/>
      <c r="R526" s="910" t="s">
        <v>205</v>
      </c>
      <c r="S526" s="911"/>
      <c r="T526" s="911"/>
      <c r="U526" s="911"/>
      <c r="V526" s="911"/>
      <c r="W526" s="912"/>
      <c r="X526" s="364"/>
      <c r="Y526" s="364"/>
      <c r="Z526" s="364"/>
      <c r="AA526"/>
      <c r="AB526"/>
      <c r="AC526"/>
      <c r="AD526"/>
      <c r="AE526"/>
    </row>
    <row r="527" spans="17:31" ht="12.75" customHeight="1" thickBot="1">
      <c r="Q527" s="364"/>
      <c r="R527" s="686" t="s">
        <v>59</v>
      </c>
      <c r="S527" s="577"/>
      <c r="T527" s="687"/>
      <c r="U527" s="687"/>
      <c r="V527" s="687"/>
      <c r="W527" s="688"/>
      <c r="X527" s="364"/>
      <c r="Y527" s="364"/>
      <c r="Z527" s="364"/>
      <c r="AA527"/>
      <c r="AB527"/>
      <c r="AC527"/>
      <c r="AD527"/>
      <c r="AE527"/>
    </row>
    <row r="528" spans="17:31" ht="12.75" customHeight="1">
      <c r="Q528" s="364"/>
      <c r="R528" s="895" t="s">
        <v>845</v>
      </c>
      <c r="S528" s="896"/>
      <c r="T528" s="900" t="s">
        <v>835</v>
      </c>
      <c r="U528" s="900" t="s">
        <v>836</v>
      </c>
      <c r="V528" s="900" t="s">
        <v>837</v>
      </c>
      <c r="W528" s="902" t="s">
        <v>838</v>
      </c>
      <c r="X528" s="364"/>
      <c r="Y528" s="364"/>
      <c r="Z528" s="364"/>
      <c r="AA528"/>
      <c r="AB528"/>
      <c r="AC528"/>
      <c r="AD528"/>
      <c r="AE528"/>
    </row>
    <row r="529" spans="17:31" ht="12.75" customHeight="1">
      <c r="Q529" s="364"/>
      <c r="R529" s="892"/>
      <c r="S529" s="897"/>
      <c r="T529" s="904"/>
      <c r="U529" s="904"/>
      <c r="V529" s="904"/>
      <c r="W529" s="905"/>
      <c r="X529" s="364"/>
      <c r="Y529" s="364"/>
      <c r="Z529" s="364"/>
      <c r="AA529"/>
      <c r="AB529"/>
      <c r="AC529"/>
      <c r="AD529"/>
      <c r="AE529"/>
    </row>
    <row r="530" spans="17:31" ht="12.75" customHeight="1">
      <c r="Q530" s="364"/>
      <c r="R530" s="892"/>
      <c r="S530" s="897"/>
      <c r="T530" s="901"/>
      <c r="U530" s="901"/>
      <c r="V530" s="901"/>
      <c r="W530" s="903"/>
      <c r="X530" s="364"/>
      <c r="Y530" s="364"/>
      <c r="Z530" s="364"/>
      <c r="AA530"/>
      <c r="AB530"/>
      <c r="AC530"/>
      <c r="AD530"/>
      <c r="AE530"/>
    </row>
    <row r="531" spans="17:31" ht="12.75" customHeight="1">
      <c r="Q531" s="364"/>
      <c r="R531" s="892"/>
      <c r="S531" s="897"/>
      <c r="T531" s="704">
        <f>U76</f>
        <v>108.02059991327964</v>
      </c>
      <c r="U531" s="560">
        <f>U62</f>
        <v>2.6666666666666665</v>
      </c>
      <c r="V531" s="690">
        <f>IF(T531&gt;0,W531*U531," ")</f>
        <v>6666.6666666666661</v>
      </c>
      <c r="W531" s="691">
        <f>IF(T531&gt;0,(VLOOKUP(T531,'Lookup Ready-reckoner'!$B$5:$E$1207,4))," ")</f>
        <v>2500</v>
      </c>
      <c r="X531" s="364"/>
      <c r="Y531" s="364"/>
      <c r="Z531" s="364"/>
      <c r="AA531"/>
      <c r="AB531"/>
      <c r="AC531"/>
      <c r="AD531"/>
      <c r="AE531"/>
    </row>
    <row r="532" spans="17:31" ht="12.75" customHeight="1">
      <c r="Q532" s="364"/>
      <c r="R532" s="898"/>
      <c r="S532" s="899"/>
      <c r="T532" s="447"/>
      <c r="U532" s="560"/>
      <c r="V532" s="690" t="str">
        <f>IF(T532&gt;0,W532*U532," ")</f>
        <v xml:space="preserve"> </v>
      </c>
      <c r="W532" s="691" t="str">
        <f>IF(T532&gt;0,(VLOOKUP(T532,'Lookup Ready-reckoner'!$B$5:$E$1007,4))," ")</f>
        <v xml:space="preserve"> </v>
      </c>
      <c r="X532" s="364"/>
      <c r="Y532" s="364"/>
      <c r="Z532" s="364"/>
      <c r="AA532"/>
      <c r="AB532"/>
      <c r="AC532"/>
      <c r="AD532"/>
      <c r="AE532"/>
    </row>
    <row r="533" spans="17:31" ht="12.75" customHeight="1" thickBot="1">
      <c r="Q533" s="364"/>
      <c r="R533" s="692" t="s">
        <v>839</v>
      </c>
      <c r="S533" s="693"/>
      <c r="T533" s="693"/>
      <c r="U533" s="705">
        <f>IF(T531&gt;0,(VLOOKUP(V533,'Lookup Ready-reckoner'!$L$5:$M$1207,2))," ")</f>
        <v>103.15</v>
      </c>
      <c r="V533" s="695">
        <f>IF(U531&gt;0,(SUM(V531:V532))," ")</f>
        <v>6666.6666666666661</v>
      </c>
      <c r="W533" s="696"/>
      <c r="X533" s="364"/>
      <c r="Y533" s="364"/>
      <c r="Z533" s="364"/>
      <c r="AA533"/>
      <c r="AB533"/>
      <c r="AC533"/>
      <c r="AD533"/>
      <c r="AE533"/>
    </row>
    <row r="534" spans="17:31" ht="12.75" customHeight="1" thickBot="1">
      <c r="Q534" s="364"/>
      <c r="R534" s="906"/>
      <c r="S534" s="907"/>
      <c r="T534" s="907"/>
      <c r="U534" s="907"/>
      <c r="V534" s="907"/>
      <c r="W534" s="908"/>
      <c r="X534" s="364"/>
      <c r="Y534" s="364"/>
      <c r="Z534" s="364"/>
      <c r="AA534"/>
      <c r="AB534"/>
      <c r="AC534"/>
      <c r="AD534"/>
      <c r="AE534"/>
    </row>
    <row r="535" spans="17:31" ht="12.75" customHeight="1">
      <c r="Q535" s="364"/>
      <c r="R535" s="895" t="s">
        <v>886</v>
      </c>
      <c r="S535" s="896"/>
      <c r="T535" s="900" t="s">
        <v>835</v>
      </c>
      <c r="U535" s="900" t="s">
        <v>836</v>
      </c>
      <c r="V535" s="900" t="s">
        <v>837</v>
      </c>
      <c r="W535" s="902" t="s">
        <v>838</v>
      </c>
      <c r="X535" s="364"/>
      <c r="Y535" s="364"/>
      <c r="Z535" s="364"/>
      <c r="AA535"/>
      <c r="AB535"/>
      <c r="AC535"/>
      <c r="AD535"/>
      <c r="AE535"/>
    </row>
    <row r="536" spans="17:31" ht="12.75" customHeight="1">
      <c r="Q536" s="364"/>
      <c r="R536" s="892"/>
      <c r="S536" s="897"/>
      <c r="T536" s="901"/>
      <c r="U536" s="901"/>
      <c r="V536" s="901"/>
      <c r="W536" s="903"/>
      <c r="X536" s="364"/>
      <c r="Y536" s="364"/>
      <c r="Z536" s="364"/>
      <c r="AA536"/>
      <c r="AB536"/>
      <c r="AC536"/>
      <c r="AD536"/>
      <c r="AE536"/>
    </row>
    <row r="537" spans="17:31" ht="12.75" customHeight="1">
      <c r="Q537" s="364"/>
      <c r="R537" s="892"/>
      <c r="S537" s="897"/>
      <c r="T537" s="704">
        <f>T531*(1-0.0178*2)</f>
        <v>104.17506655636689</v>
      </c>
      <c r="U537" s="560">
        <f>U531</f>
        <v>2.6666666666666665</v>
      </c>
      <c r="V537" s="690">
        <f>IF(T537&gt;0,W537*U537," ")</f>
        <v>2766.6666666666665</v>
      </c>
      <c r="W537" s="691">
        <f>IF(T537&gt;0,(VLOOKUP(T537,'Lookup Ready-reckoner'!$B$5:$E$1207,4))," ")</f>
        <v>1037.5</v>
      </c>
      <c r="X537" s="364"/>
      <c r="Y537" s="364"/>
      <c r="Z537" s="364"/>
      <c r="AA537"/>
      <c r="AB537"/>
      <c r="AC537"/>
      <c r="AD537"/>
      <c r="AE537"/>
    </row>
    <row r="538" spans="17:31" ht="12.75" customHeight="1">
      <c r="Q538" s="364"/>
      <c r="R538" s="898"/>
      <c r="S538" s="899"/>
      <c r="T538" s="447"/>
      <c r="U538" s="560"/>
      <c r="V538" s="690" t="str">
        <f>IF(T538&gt;0,W538*U538," ")</f>
        <v xml:space="preserve"> </v>
      </c>
      <c r="W538" s="691" t="str">
        <f>IF(T538&gt;0,(VLOOKUP(T538,'Lookup Ready-reckoner'!$B$5:$E$1007,4))," ")</f>
        <v xml:space="preserve"> </v>
      </c>
      <c r="X538" s="364"/>
      <c r="Y538" s="364"/>
      <c r="Z538" s="364"/>
      <c r="AA538"/>
      <c r="AB538"/>
      <c r="AC538"/>
      <c r="AD538"/>
      <c r="AE538"/>
    </row>
    <row r="539" spans="17:31" ht="12.75" customHeight="1" thickBot="1">
      <c r="Q539" s="364"/>
      <c r="R539" s="692" t="s">
        <v>839</v>
      </c>
      <c r="S539" s="693"/>
      <c r="T539" s="693"/>
      <c r="U539" s="705">
        <f>IF(T537&gt;0,(VLOOKUP(V539,'Lookup Ready-reckoner'!$L$5:$M$1207,2))," ")</f>
        <v>99.35</v>
      </c>
      <c r="V539" s="695">
        <f>IF(U537&gt;0,(SUM(V537:V538))," ")</f>
        <v>2766.6666666666665</v>
      </c>
      <c r="W539" s="696"/>
      <c r="X539" s="364"/>
      <c r="Y539" s="364"/>
      <c r="Z539" s="364"/>
      <c r="AA539"/>
      <c r="AB539"/>
      <c r="AC539"/>
      <c r="AD539"/>
      <c r="AE539"/>
    </row>
    <row r="540" spans="17:31" ht="12.75" customHeight="1">
      <c r="Q540" s="364"/>
      <c r="R540" s="697"/>
      <c r="S540" s="687"/>
      <c r="T540" s="687"/>
      <c r="U540" s="372"/>
      <c r="V540" s="374"/>
      <c r="W540" s="688"/>
      <c r="X540" s="364"/>
      <c r="Y540" s="364"/>
      <c r="Z540" s="364"/>
      <c r="AA540"/>
      <c r="AB540"/>
      <c r="AC540"/>
      <c r="AD540"/>
      <c r="AE540"/>
    </row>
    <row r="541" spans="17:31" ht="12.75" customHeight="1" thickBot="1">
      <c r="Q541" s="364"/>
      <c r="R541" s="686" t="s">
        <v>60</v>
      </c>
      <c r="S541" s="577"/>
      <c r="T541" s="577"/>
      <c r="U541" s="577"/>
      <c r="V541" s="577"/>
      <c r="W541" s="698"/>
      <c r="X541" s="364"/>
      <c r="Y541" s="364"/>
      <c r="Z541" s="364"/>
      <c r="AA541"/>
      <c r="AB541"/>
      <c r="AC541"/>
      <c r="AD541"/>
      <c r="AE541"/>
    </row>
    <row r="542" spans="17:31" ht="12.75" customHeight="1">
      <c r="Q542" s="364"/>
      <c r="R542" s="895" t="s">
        <v>845</v>
      </c>
      <c r="S542" s="896"/>
      <c r="T542" s="900" t="s">
        <v>835</v>
      </c>
      <c r="U542" s="900" t="s">
        <v>836</v>
      </c>
      <c r="V542" s="900" t="s">
        <v>837</v>
      </c>
      <c r="W542" s="902" t="s">
        <v>838</v>
      </c>
      <c r="X542" s="364"/>
      <c r="Y542" s="364"/>
      <c r="Z542" s="364"/>
      <c r="AA542"/>
      <c r="AB542"/>
      <c r="AC542"/>
      <c r="AD542"/>
      <c r="AE542"/>
    </row>
    <row r="543" spans="17:31" ht="12.75" customHeight="1">
      <c r="Q543" s="364"/>
      <c r="R543" s="892"/>
      <c r="S543" s="897"/>
      <c r="T543" s="901"/>
      <c r="U543" s="901"/>
      <c r="V543" s="901"/>
      <c r="W543" s="903"/>
      <c r="X543" s="364"/>
      <c r="Y543" s="364"/>
      <c r="Z543" s="364"/>
      <c r="AA543"/>
      <c r="AB543"/>
      <c r="AC543"/>
      <c r="AD543"/>
      <c r="AE543"/>
    </row>
    <row r="544" spans="17:31" ht="12.75" customHeight="1">
      <c r="Q544" s="364"/>
      <c r="R544" s="892"/>
      <c r="S544" s="897"/>
      <c r="T544" s="704">
        <f>T531-PPE!$I$15</f>
        <v>95.020599913279639</v>
      </c>
      <c r="U544" s="560">
        <f>U537</f>
        <v>2.6666666666666665</v>
      </c>
      <c r="V544" s="690">
        <f>IF(T544&gt;0,W544*U544," ")</f>
        <v>333.33333333333331</v>
      </c>
      <c r="W544" s="691">
        <f>IF(T544&gt;0,(VLOOKUP(T544,'Lookup Ready-reckoner'!$B$5:$E$1207,4))," ")</f>
        <v>125</v>
      </c>
      <c r="X544" s="364"/>
      <c r="Y544" s="364"/>
      <c r="Z544" s="364"/>
      <c r="AA544"/>
      <c r="AB544"/>
      <c r="AC544"/>
      <c r="AD544"/>
      <c r="AE544"/>
    </row>
    <row r="545" spans="17:31" ht="12.75" customHeight="1">
      <c r="Q545" s="364"/>
      <c r="R545" s="898"/>
      <c r="S545" s="899"/>
      <c r="T545" s="447"/>
      <c r="U545" s="560"/>
      <c r="V545" s="690" t="str">
        <f>IF(T545&gt;0,W545*U545," ")</f>
        <v xml:space="preserve"> </v>
      </c>
      <c r="W545" s="691" t="str">
        <f>IF(T545&gt;0,(VLOOKUP(T545,'Lookup Ready-reckoner'!$B$5:$E$1007,4))," ")</f>
        <v xml:space="preserve"> </v>
      </c>
      <c r="X545" s="364"/>
      <c r="Y545" s="364"/>
      <c r="Z545" s="364"/>
      <c r="AA545"/>
      <c r="AB545"/>
      <c r="AC545"/>
      <c r="AD545"/>
      <c r="AE545"/>
    </row>
    <row r="546" spans="17:31" ht="12.75" customHeight="1" thickBot="1">
      <c r="Q546" s="364"/>
      <c r="R546" s="692" t="s">
        <v>839</v>
      </c>
      <c r="S546" s="693"/>
      <c r="T546" s="693"/>
      <c r="U546" s="705">
        <f>IF(T544&gt;0,(VLOOKUP(V546,'Lookup Ready-reckoner'!$L$5:$M$1207,2))," ")</f>
        <v>90.15</v>
      </c>
      <c r="V546" s="695">
        <f>IF(U544&gt;0,(SUM(V544:V545))," ")</f>
        <v>333.33333333333331</v>
      </c>
      <c r="W546" s="696"/>
      <c r="X546" s="364"/>
      <c r="Y546" s="364"/>
      <c r="Z546" s="364"/>
      <c r="AA546"/>
      <c r="AB546"/>
      <c r="AC546"/>
      <c r="AD546"/>
      <c r="AE546"/>
    </row>
    <row r="547" spans="17:31" ht="12.75" customHeight="1" thickBot="1">
      <c r="Q547" s="364"/>
      <c r="R547" s="892"/>
      <c r="S547" s="893"/>
      <c r="T547" s="893"/>
      <c r="U547" s="893"/>
      <c r="V547" s="893"/>
      <c r="W547" s="894"/>
      <c r="X547" s="364"/>
      <c r="Y547" s="364"/>
      <c r="Z547" s="364"/>
      <c r="AA547"/>
      <c r="AB547"/>
      <c r="AC547"/>
      <c r="AD547"/>
      <c r="AE547"/>
    </row>
    <row r="548" spans="17:31" ht="12.75" customHeight="1">
      <c r="Q548" s="364"/>
      <c r="R548" s="895" t="s">
        <v>886</v>
      </c>
      <c r="S548" s="896"/>
      <c r="T548" s="900" t="s">
        <v>835</v>
      </c>
      <c r="U548" s="900" t="s">
        <v>836</v>
      </c>
      <c r="V548" s="900" t="s">
        <v>837</v>
      </c>
      <c r="W548" s="902" t="s">
        <v>838</v>
      </c>
      <c r="X548" s="364"/>
      <c r="Y548" s="364"/>
      <c r="Z548" s="364"/>
      <c r="AA548"/>
      <c r="AB548"/>
      <c r="AC548"/>
      <c r="AD548"/>
      <c r="AE548"/>
    </row>
    <row r="549" spans="17:31" ht="12.75" customHeight="1">
      <c r="Q549" s="364"/>
      <c r="R549" s="892"/>
      <c r="S549" s="897"/>
      <c r="T549" s="901"/>
      <c r="U549" s="901"/>
      <c r="V549" s="901"/>
      <c r="W549" s="903"/>
      <c r="X549" s="364"/>
      <c r="Y549" s="364"/>
      <c r="Z549" s="364"/>
      <c r="AA549"/>
      <c r="AB549"/>
      <c r="AC549"/>
      <c r="AD549"/>
      <c r="AE549"/>
    </row>
    <row r="550" spans="17:31" ht="12.75" customHeight="1">
      <c r="Q550" s="364"/>
      <c r="R550" s="892"/>
      <c r="S550" s="897"/>
      <c r="T550" s="704">
        <f>T537-PPE!$I$15</f>
        <v>91.175066556366886</v>
      </c>
      <c r="U550" s="560">
        <f>U544</f>
        <v>2.6666666666666665</v>
      </c>
      <c r="V550" s="690">
        <f>IF(T550&gt;0,W550*U550," ")</f>
        <v>138.33333333333331</v>
      </c>
      <c r="W550" s="691">
        <f>IF(T550&gt;0,(VLOOKUP(T550,'Lookup Ready-reckoner'!$B$5:$E$1207,4))," ")</f>
        <v>51.875</v>
      </c>
      <c r="X550" s="364"/>
      <c r="Y550" s="364"/>
      <c r="Z550" s="364"/>
      <c r="AA550"/>
      <c r="AB550"/>
      <c r="AC550"/>
      <c r="AD550"/>
      <c r="AE550"/>
    </row>
    <row r="551" spans="17:31" ht="12.75" customHeight="1">
      <c r="Q551" s="364"/>
      <c r="R551" s="898"/>
      <c r="S551" s="899"/>
      <c r="T551" s="447"/>
      <c r="U551" s="560"/>
      <c r="V551" s="690" t="str">
        <f>IF(T551&gt;0,W551*U551," ")</f>
        <v xml:space="preserve"> </v>
      </c>
      <c r="W551" s="691" t="str">
        <f>IF(T551&gt;0,(VLOOKUP(T551,'Lookup Ready-reckoner'!$B$5:$E$1007,4))," ")</f>
        <v xml:space="preserve"> </v>
      </c>
      <c r="X551" s="364"/>
      <c r="Y551" s="364"/>
      <c r="Z551" s="364"/>
      <c r="AA551"/>
      <c r="AB551"/>
      <c r="AC551"/>
      <c r="AD551"/>
      <c r="AE551"/>
    </row>
    <row r="552" spans="17:31" ht="12.75" customHeight="1" thickBot="1">
      <c r="Q552" s="364"/>
      <c r="R552" s="692" t="s">
        <v>839</v>
      </c>
      <c r="S552" s="693"/>
      <c r="T552" s="693"/>
      <c r="U552" s="705">
        <f>IF(T550&gt;0,(VLOOKUP(V552,'Lookup Ready-reckoner'!$L$5:$M$1207,2))," ")</f>
        <v>86.35</v>
      </c>
      <c r="V552" s="695">
        <f>IF(U550&gt;0,(SUM(V550:V551))," ")</f>
        <v>138.33333333333331</v>
      </c>
      <c r="W552" s="696"/>
      <c r="X552" s="364"/>
      <c r="Y552" s="364"/>
      <c r="Z552" s="364"/>
      <c r="AA552"/>
      <c r="AB552"/>
      <c r="AC552"/>
      <c r="AD552"/>
      <c r="AE552"/>
    </row>
    <row r="553" spans="17:31" ht="12.75" customHeight="1">
      <c r="Q553" s="364"/>
      <c r="R553" s="364"/>
      <c r="S553" s="364"/>
      <c r="T553" s="364"/>
      <c r="U553" s="364"/>
      <c r="V553" s="364"/>
      <c r="W553" s="364"/>
      <c r="X553" s="364"/>
      <c r="Y553" s="364"/>
      <c r="Z553" s="364"/>
      <c r="AA553"/>
      <c r="AB553"/>
      <c r="AC553"/>
      <c r="AD553"/>
      <c r="AE553"/>
    </row>
    <row r="554" spans="17:31" ht="12.75" customHeight="1">
      <c r="Q554"/>
      <c r="R554"/>
      <c r="S554"/>
      <c r="T554"/>
      <c r="U554"/>
      <c r="V554"/>
      <c r="W554"/>
      <c r="X554"/>
      <c r="Y554"/>
      <c r="Z554"/>
      <c r="AA554"/>
      <c r="AB554"/>
      <c r="AC554"/>
      <c r="AD554"/>
      <c r="AE554"/>
    </row>
    <row r="555" spans="17:31" ht="12.75" customHeight="1">
      <c r="Q555"/>
      <c r="R555"/>
      <c r="S555"/>
      <c r="T555"/>
      <c r="U555"/>
      <c r="V555"/>
      <c r="W555"/>
      <c r="X555"/>
      <c r="Y555"/>
      <c r="Z555"/>
      <c r="AA555"/>
      <c r="AB555"/>
      <c r="AC555"/>
      <c r="AD555"/>
      <c r="AE555"/>
    </row>
    <row r="556" spans="17:31" ht="12.75" customHeight="1">
      <c r="Q556"/>
      <c r="R556"/>
      <c r="S556"/>
      <c r="T556"/>
      <c r="U556"/>
      <c r="V556"/>
      <c r="W556"/>
      <c r="X556"/>
      <c r="Y556"/>
      <c r="Z556"/>
      <c r="AA556"/>
      <c r="AB556"/>
      <c r="AC556"/>
      <c r="AD556"/>
      <c r="AE556"/>
    </row>
    <row r="557" spans="17:31" ht="12.75" customHeight="1">
      <c r="Q557"/>
      <c r="R557"/>
      <c r="S557"/>
      <c r="T557"/>
      <c r="U557"/>
      <c r="V557"/>
      <c r="W557"/>
      <c r="X557"/>
      <c r="Y557"/>
      <c r="Z557"/>
      <c r="AA557"/>
      <c r="AB557"/>
      <c r="AC557"/>
      <c r="AD557"/>
      <c r="AE557"/>
    </row>
    <row r="558" spans="17:31" ht="12.75" customHeight="1">
      <c r="Q558"/>
      <c r="R558"/>
      <c r="S558"/>
      <c r="T558"/>
      <c r="U558"/>
      <c r="V558"/>
      <c r="W558"/>
      <c r="X558"/>
      <c r="Y558"/>
      <c r="Z558"/>
      <c r="AA558"/>
      <c r="AB558"/>
      <c r="AC558"/>
      <c r="AD558"/>
      <c r="AE558"/>
    </row>
    <row r="559" spans="17:31" ht="12.75" customHeight="1">
      <c r="Q559"/>
      <c r="R559"/>
      <c r="S559"/>
      <c r="T559"/>
      <c r="U559"/>
      <c r="V559"/>
      <c r="W559"/>
      <c r="X559"/>
      <c r="Y559"/>
      <c r="Z559"/>
      <c r="AA559"/>
      <c r="AB559"/>
      <c r="AC559"/>
      <c r="AD559"/>
      <c r="AE559"/>
    </row>
    <row r="560" spans="17:31" ht="12.75" customHeight="1">
      <c r="Q560"/>
      <c r="R560"/>
      <c r="S560"/>
      <c r="T560"/>
      <c r="U560"/>
      <c r="V560"/>
      <c r="W560"/>
      <c r="X560"/>
      <c r="Y560"/>
      <c r="Z560"/>
      <c r="AA560"/>
      <c r="AB560"/>
      <c r="AC560"/>
      <c r="AD560"/>
      <c r="AE560"/>
    </row>
    <row r="561" spans="17:31" ht="12.75" customHeight="1">
      <c r="Q561"/>
      <c r="R561"/>
      <c r="S561"/>
      <c r="T561"/>
      <c r="U561"/>
      <c r="V561"/>
      <c r="W561"/>
      <c r="X561"/>
      <c r="Y561"/>
      <c r="Z561"/>
      <c r="AA561"/>
      <c r="AB561"/>
      <c r="AC561"/>
      <c r="AD561"/>
      <c r="AE561"/>
    </row>
    <row r="562" spans="17:31" ht="12.75" customHeight="1">
      <c r="Q562"/>
      <c r="R562"/>
      <c r="S562"/>
      <c r="T562"/>
      <c r="U562"/>
      <c r="V562"/>
      <c r="W562"/>
      <c r="X562"/>
      <c r="Y562"/>
      <c r="Z562"/>
      <c r="AA562"/>
      <c r="AB562"/>
      <c r="AC562"/>
      <c r="AD562"/>
      <c r="AE562"/>
    </row>
    <row r="563" spans="17:31" ht="12.75" customHeight="1">
      <c r="Q563"/>
      <c r="R563"/>
      <c r="S563"/>
      <c r="T563"/>
      <c r="U563"/>
      <c r="V563"/>
      <c r="W563"/>
      <c r="X563"/>
      <c r="Y563"/>
      <c r="Z563"/>
      <c r="AA563"/>
      <c r="AB563"/>
      <c r="AC563"/>
      <c r="AD563"/>
      <c r="AE563"/>
    </row>
    <row r="564" spans="17:31" ht="12.75" customHeight="1">
      <c r="Q564"/>
      <c r="R564"/>
      <c r="S564"/>
      <c r="T564"/>
      <c r="U564"/>
      <c r="V564"/>
      <c r="W564"/>
      <c r="X564"/>
      <c r="Y564"/>
      <c r="Z564"/>
      <c r="AA564"/>
      <c r="AB564"/>
      <c r="AC564"/>
      <c r="AD564"/>
      <c r="AE564"/>
    </row>
    <row r="565" spans="17:31" ht="12.75" customHeight="1">
      <c r="Q565"/>
      <c r="R565"/>
      <c r="S565"/>
      <c r="T565"/>
      <c r="U565"/>
      <c r="V565"/>
      <c r="W565"/>
      <c r="X565"/>
      <c r="Y565"/>
      <c r="Z565"/>
      <c r="AA565"/>
      <c r="AB565"/>
      <c r="AC565"/>
      <c r="AD565"/>
      <c r="AE565"/>
    </row>
    <row r="566" spans="17:31" ht="12.75" customHeight="1">
      <c r="Q566"/>
      <c r="R566"/>
      <c r="S566"/>
      <c r="T566"/>
      <c r="U566"/>
      <c r="V566"/>
      <c r="W566"/>
      <c r="X566"/>
      <c r="Y566"/>
      <c r="Z566"/>
      <c r="AA566"/>
      <c r="AB566"/>
      <c r="AC566"/>
      <c r="AD566"/>
      <c r="AE566"/>
    </row>
    <row r="567" spans="17:31" ht="12.75" customHeight="1">
      <c r="Q567"/>
      <c r="R567"/>
      <c r="S567"/>
      <c r="T567"/>
      <c r="U567"/>
      <c r="V567"/>
      <c r="W567"/>
      <c r="X567"/>
      <c r="Y567"/>
      <c r="Z567"/>
      <c r="AA567"/>
      <c r="AB567"/>
      <c r="AC567"/>
      <c r="AD567"/>
      <c r="AE567"/>
    </row>
    <row r="568" spans="17:31" ht="12.75" customHeight="1">
      <c r="Q568"/>
      <c r="R568"/>
      <c r="S568"/>
      <c r="T568"/>
      <c r="U568"/>
      <c r="V568"/>
      <c r="W568"/>
      <c r="X568"/>
      <c r="Y568"/>
      <c r="Z568"/>
      <c r="AA568"/>
      <c r="AB568"/>
      <c r="AC568"/>
      <c r="AD568"/>
      <c r="AE568"/>
    </row>
    <row r="569" spans="17:31" ht="12.75" customHeight="1">
      <c r="Q569"/>
      <c r="R569"/>
      <c r="S569"/>
      <c r="T569"/>
      <c r="U569"/>
      <c r="V569"/>
      <c r="W569"/>
      <c r="X569"/>
      <c r="Y569"/>
      <c r="Z569"/>
      <c r="AA569"/>
      <c r="AB569"/>
      <c r="AC569"/>
      <c r="AD569"/>
      <c r="AE569"/>
    </row>
    <row r="570" spans="17:31" ht="12.75" customHeight="1">
      <c r="Q570"/>
      <c r="R570"/>
      <c r="S570"/>
      <c r="T570"/>
      <c r="U570"/>
      <c r="V570"/>
      <c r="W570"/>
      <c r="X570"/>
      <c r="Y570"/>
      <c r="Z570"/>
      <c r="AA570"/>
      <c r="AB570"/>
      <c r="AC570"/>
      <c r="AD570"/>
      <c r="AE570"/>
    </row>
    <row r="571" spans="17:31" ht="12.75" customHeight="1">
      <c r="Q571"/>
      <c r="R571"/>
      <c r="S571"/>
      <c r="T571"/>
      <c r="U571"/>
      <c r="V571"/>
      <c r="W571"/>
      <c r="X571"/>
      <c r="Y571"/>
      <c r="Z571"/>
      <c r="AA571"/>
      <c r="AB571"/>
      <c r="AC571"/>
      <c r="AD571"/>
      <c r="AE571"/>
    </row>
    <row r="572" spans="17:31" ht="12.75" customHeight="1">
      <c r="Q572"/>
      <c r="R572"/>
      <c r="S572"/>
      <c r="T572"/>
      <c r="U572"/>
      <c r="V572"/>
      <c r="W572"/>
      <c r="X572"/>
      <c r="Y572"/>
      <c r="Z572"/>
      <c r="AA572"/>
      <c r="AB572"/>
      <c r="AC572"/>
      <c r="AD572"/>
      <c r="AE572"/>
    </row>
    <row r="573" spans="17:31" ht="12.75" customHeight="1">
      <c r="Q573"/>
      <c r="R573"/>
      <c r="S573"/>
      <c r="T573"/>
      <c r="U573"/>
      <c r="V573"/>
      <c r="W573"/>
      <c r="X573"/>
      <c r="Y573"/>
      <c r="Z573"/>
      <c r="AA573"/>
      <c r="AB573"/>
      <c r="AC573"/>
      <c r="AD573"/>
      <c r="AE573"/>
    </row>
    <row r="574" spans="17:31" ht="12.75" customHeight="1">
      <c r="Q574"/>
      <c r="R574"/>
      <c r="S574"/>
      <c r="T574"/>
      <c r="U574"/>
      <c r="V574"/>
      <c r="W574"/>
      <c r="X574"/>
      <c r="Y574"/>
      <c r="Z574"/>
      <c r="AA574"/>
      <c r="AB574"/>
      <c r="AC574"/>
      <c r="AD574"/>
      <c r="AE574"/>
    </row>
    <row r="575" spans="17:31" ht="12.75" customHeight="1">
      <c r="Q575"/>
      <c r="R575"/>
      <c r="S575"/>
      <c r="T575"/>
      <c r="U575"/>
      <c r="V575"/>
      <c r="W575"/>
      <c r="X575"/>
      <c r="Y575"/>
      <c r="Z575"/>
      <c r="AA575"/>
      <c r="AB575"/>
      <c r="AC575"/>
      <c r="AD575"/>
      <c r="AE575"/>
    </row>
    <row r="576" spans="17:31" ht="12.75" customHeight="1">
      <c r="Q576"/>
      <c r="R576"/>
      <c r="S576"/>
      <c r="T576"/>
      <c r="U576"/>
      <c r="V576"/>
      <c r="W576"/>
      <c r="X576"/>
      <c r="Y576"/>
      <c r="Z576"/>
      <c r="AA576"/>
      <c r="AB576"/>
      <c r="AC576"/>
      <c r="AD576"/>
      <c r="AE576"/>
    </row>
    <row r="577" spans="17:31" ht="12.75" customHeight="1">
      <c r="Q577"/>
      <c r="R577"/>
      <c r="S577"/>
      <c r="T577"/>
      <c r="U577"/>
      <c r="V577"/>
      <c r="W577"/>
      <c r="X577"/>
      <c r="Y577"/>
      <c r="Z577"/>
      <c r="AA577"/>
      <c r="AB577"/>
      <c r="AC577"/>
      <c r="AD577"/>
      <c r="AE577"/>
    </row>
    <row r="578" spans="17:31" ht="12.75" customHeight="1">
      <c r="Q578"/>
      <c r="R578"/>
      <c r="S578"/>
      <c r="T578"/>
      <c r="U578"/>
      <c r="V578"/>
      <c r="W578"/>
      <c r="X578"/>
      <c r="Y578"/>
      <c r="Z578"/>
      <c r="AA578"/>
      <c r="AB578"/>
      <c r="AC578"/>
      <c r="AD578"/>
      <c r="AE578"/>
    </row>
    <row r="579" spans="17:31" ht="12.75" customHeight="1">
      <c r="Q579"/>
      <c r="R579"/>
      <c r="S579"/>
      <c r="T579"/>
      <c r="U579"/>
      <c r="V579"/>
      <c r="W579"/>
      <c r="X579"/>
      <c r="Y579"/>
      <c r="Z579"/>
      <c r="AA579"/>
      <c r="AB579"/>
      <c r="AC579"/>
      <c r="AD579"/>
      <c r="AE579"/>
    </row>
    <row r="580" spans="17:31" ht="12.75" customHeight="1">
      <c r="Q580"/>
      <c r="R580"/>
      <c r="S580"/>
      <c r="T580"/>
      <c r="U580"/>
      <c r="V580"/>
      <c r="W580"/>
      <c r="X580"/>
      <c r="Y580"/>
      <c r="Z580"/>
      <c r="AA580"/>
      <c r="AB580"/>
      <c r="AC580"/>
      <c r="AD580"/>
      <c r="AE580"/>
    </row>
    <row r="581" spans="17:31" ht="12.75" customHeight="1">
      <c r="Q581"/>
      <c r="R581"/>
      <c r="S581"/>
      <c r="T581"/>
      <c r="U581"/>
      <c r="V581"/>
      <c r="W581"/>
      <c r="X581"/>
      <c r="Y581"/>
      <c r="Z581"/>
      <c r="AA581"/>
      <c r="AB581"/>
      <c r="AC581"/>
      <c r="AD581"/>
      <c r="AE581"/>
    </row>
    <row r="582" spans="17:31" ht="12.75" customHeight="1">
      <c r="Q582"/>
      <c r="R582"/>
      <c r="S582"/>
      <c r="T582"/>
      <c r="U582"/>
      <c r="V582"/>
      <c r="W582"/>
      <c r="X582"/>
      <c r="Y582"/>
      <c r="Z582"/>
      <c r="AA582"/>
      <c r="AB582"/>
      <c r="AC582"/>
      <c r="AD582"/>
      <c r="AE582"/>
    </row>
    <row r="583" spans="17:31" ht="12.75" customHeight="1">
      <c r="Q583"/>
      <c r="R583"/>
      <c r="S583"/>
      <c r="T583"/>
      <c r="U583"/>
      <c r="V583"/>
      <c r="W583"/>
      <c r="X583"/>
      <c r="Y583"/>
      <c r="Z583"/>
      <c r="AA583"/>
      <c r="AB583"/>
      <c r="AC583"/>
      <c r="AD583"/>
      <c r="AE583"/>
    </row>
    <row r="584" spans="17:31" ht="12.75" customHeight="1">
      <c r="Q584"/>
      <c r="R584"/>
      <c r="S584"/>
      <c r="T584"/>
      <c r="U584"/>
      <c r="V584"/>
      <c r="W584"/>
      <c r="X584"/>
      <c r="Y584"/>
      <c r="Z584"/>
      <c r="AA584"/>
      <c r="AB584"/>
      <c r="AC584"/>
      <c r="AD584"/>
      <c r="AE584"/>
    </row>
    <row r="585" spans="17:31" ht="12.75" customHeight="1">
      <c r="Q585"/>
      <c r="R585"/>
      <c r="S585"/>
      <c r="T585"/>
      <c r="U585"/>
      <c r="V585"/>
      <c r="W585"/>
      <c r="X585"/>
      <c r="Y585"/>
      <c r="Z585"/>
      <c r="AA585"/>
      <c r="AB585"/>
      <c r="AC585"/>
      <c r="AD585"/>
      <c r="AE585"/>
    </row>
    <row r="586" spans="17:31" ht="12.75" customHeight="1">
      <c r="Q586"/>
      <c r="R586"/>
      <c r="S586"/>
      <c r="T586"/>
      <c r="U586"/>
      <c r="V586"/>
      <c r="W586"/>
      <c r="X586"/>
      <c r="Y586"/>
      <c r="Z586"/>
      <c r="AA586"/>
      <c r="AB586"/>
      <c r="AC586"/>
      <c r="AD586"/>
      <c r="AE586"/>
    </row>
    <row r="587" spans="17:31" ht="12.75" customHeight="1">
      <c r="Q587"/>
      <c r="R587"/>
      <c r="S587"/>
      <c r="T587"/>
      <c r="U587"/>
      <c r="V587"/>
      <c r="W587"/>
      <c r="X587"/>
      <c r="Y587"/>
      <c r="Z587"/>
      <c r="AA587"/>
      <c r="AB587"/>
      <c r="AC587"/>
      <c r="AD587"/>
      <c r="AE587"/>
    </row>
    <row r="588" spans="17:31" ht="12.75" customHeight="1">
      <c r="Q588"/>
      <c r="R588"/>
      <c r="S588"/>
      <c r="T588"/>
      <c r="U588"/>
      <c r="V588"/>
      <c r="W588"/>
      <c r="X588"/>
      <c r="Y588"/>
      <c r="Z588"/>
      <c r="AA588"/>
      <c r="AB588"/>
      <c r="AC588"/>
      <c r="AD588"/>
      <c r="AE588"/>
    </row>
    <row r="589" spans="17:31" ht="12.75" customHeight="1">
      <c r="Q589"/>
      <c r="R589"/>
      <c r="S589"/>
      <c r="T589"/>
      <c r="U589"/>
      <c r="V589"/>
      <c r="W589"/>
      <c r="X589"/>
      <c r="Y589"/>
      <c r="Z589"/>
      <c r="AA589"/>
      <c r="AB589"/>
      <c r="AC589"/>
      <c r="AD589"/>
      <c r="AE589"/>
    </row>
    <row r="590" spans="17:31" ht="12.75" customHeight="1">
      <c r="Q590"/>
      <c r="R590"/>
      <c r="S590"/>
      <c r="T590"/>
      <c r="U590"/>
      <c r="V590"/>
      <c r="W590"/>
      <c r="X590"/>
      <c r="Y590"/>
      <c r="Z590"/>
      <c r="AA590"/>
      <c r="AB590"/>
      <c r="AC590"/>
      <c r="AD590"/>
      <c r="AE590"/>
    </row>
    <row r="591" spans="17:31" ht="12.75" customHeight="1">
      <c r="Q591"/>
      <c r="R591"/>
      <c r="S591"/>
      <c r="T591"/>
      <c r="U591"/>
      <c r="V591"/>
      <c r="W591"/>
      <c r="X591"/>
      <c r="Y591"/>
      <c r="Z591"/>
      <c r="AA591"/>
      <c r="AB591"/>
      <c r="AC591"/>
      <c r="AD591"/>
      <c r="AE591"/>
    </row>
    <row r="592" spans="17:31" ht="12.75" customHeight="1">
      <c r="Q592"/>
      <c r="R592"/>
      <c r="S592"/>
      <c r="T592"/>
      <c r="U592"/>
      <c r="V592"/>
      <c r="W592"/>
      <c r="X592"/>
      <c r="Y592"/>
      <c r="Z592"/>
      <c r="AA592"/>
      <c r="AB592"/>
      <c r="AC592"/>
      <c r="AD592"/>
      <c r="AE592"/>
    </row>
    <row r="593" spans="17:31" ht="12.75" customHeight="1">
      <c r="Q593"/>
      <c r="R593"/>
      <c r="S593"/>
      <c r="T593"/>
      <c r="U593"/>
      <c r="V593"/>
      <c r="W593"/>
      <c r="X593"/>
      <c r="Y593"/>
      <c r="Z593"/>
      <c r="AA593"/>
      <c r="AB593"/>
      <c r="AC593"/>
      <c r="AD593"/>
      <c r="AE593"/>
    </row>
    <row r="594" spans="17:31" ht="12.75" customHeight="1">
      <c r="Q594"/>
      <c r="R594"/>
      <c r="S594"/>
      <c r="T594"/>
      <c r="U594"/>
      <c r="V594"/>
      <c r="W594"/>
      <c r="X594"/>
      <c r="Y594"/>
      <c r="Z594"/>
      <c r="AA594"/>
      <c r="AB594"/>
      <c r="AC594"/>
      <c r="AD594"/>
      <c r="AE594"/>
    </row>
    <row r="595" spans="17:31" ht="12.75" customHeight="1">
      <c r="Q595"/>
      <c r="R595"/>
      <c r="S595"/>
      <c r="T595"/>
      <c r="U595"/>
      <c r="V595"/>
      <c r="W595"/>
      <c r="X595"/>
      <c r="Y595"/>
      <c r="Z595"/>
      <c r="AA595"/>
      <c r="AB595"/>
      <c r="AC595"/>
      <c r="AD595"/>
      <c r="AE595"/>
    </row>
    <row r="596" spans="17:31" ht="12.75" customHeight="1">
      <c r="Q596"/>
      <c r="R596"/>
      <c r="S596"/>
      <c r="T596"/>
      <c r="U596"/>
      <c r="V596"/>
      <c r="W596"/>
      <c r="X596"/>
      <c r="Y596"/>
      <c r="Z596"/>
      <c r="AA596"/>
      <c r="AB596"/>
      <c r="AC596"/>
      <c r="AD596"/>
      <c r="AE596"/>
    </row>
    <row r="597" spans="17:31" ht="12.75" customHeight="1">
      <c r="Q597"/>
      <c r="R597"/>
      <c r="S597"/>
      <c r="T597"/>
      <c r="U597"/>
      <c r="V597"/>
      <c r="W597"/>
      <c r="X597"/>
      <c r="Y597"/>
      <c r="Z597"/>
      <c r="AA597"/>
      <c r="AB597"/>
      <c r="AC597"/>
      <c r="AD597"/>
      <c r="AE597"/>
    </row>
    <row r="598" spans="17:31" ht="12.75" customHeight="1">
      <c r="Q598"/>
      <c r="R598"/>
      <c r="S598"/>
      <c r="T598"/>
      <c r="U598"/>
      <c r="V598"/>
      <c r="W598"/>
      <c r="X598"/>
      <c r="Y598"/>
      <c r="Z598"/>
      <c r="AA598"/>
      <c r="AB598"/>
      <c r="AC598"/>
      <c r="AD598"/>
      <c r="AE598"/>
    </row>
    <row r="599" spans="17:31" ht="12.75" customHeight="1">
      <c r="Q599"/>
      <c r="R599"/>
      <c r="S599"/>
      <c r="T599"/>
      <c r="U599"/>
      <c r="V599"/>
      <c r="W599"/>
      <c r="X599"/>
      <c r="Y599"/>
      <c r="Z599"/>
      <c r="AA599"/>
      <c r="AB599"/>
      <c r="AC599"/>
      <c r="AD599"/>
      <c r="AE599"/>
    </row>
    <row r="600" spans="17:31" ht="12.75" customHeight="1">
      <c r="Q600"/>
      <c r="R600"/>
      <c r="S600"/>
      <c r="T600"/>
      <c r="U600"/>
      <c r="V600"/>
      <c r="W600"/>
      <c r="X600"/>
      <c r="Y600"/>
      <c r="Z600"/>
      <c r="AA600"/>
      <c r="AB600"/>
      <c r="AC600"/>
      <c r="AD600"/>
      <c r="AE600"/>
    </row>
    <row r="601" spans="17:31" ht="12.75" customHeight="1">
      <c r="Q601"/>
      <c r="R601"/>
      <c r="S601"/>
      <c r="T601"/>
      <c r="U601"/>
      <c r="V601"/>
      <c r="W601"/>
      <c r="X601"/>
      <c r="Y601"/>
      <c r="Z601"/>
      <c r="AA601"/>
      <c r="AB601"/>
      <c r="AC601"/>
      <c r="AD601"/>
      <c r="AE601"/>
    </row>
    <row r="602" spans="17:31" ht="12.75" customHeight="1">
      <c r="Q602"/>
      <c r="R602"/>
      <c r="S602"/>
      <c r="T602"/>
      <c r="U602"/>
      <c r="V602"/>
      <c r="W602"/>
      <c r="X602"/>
      <c r="Y602"/>
      <c r="Z602"/>
      <c r="AA602"/>
      <c r="AB602"/>
      <c r="AC602"/>
      <c r="AD602"/>
      <c r="AE602"/>
    </row>
    <row r="603" spans="17:31" ht="12.75" customHeight="1">
      <c r="Q603"/>
      <c r="R603"/>
      <c r="S603"/>
      <c r="T603"/>
      <c r="U603"/>
      <c r="V603"/>
      <c r="W603"/>
      <c r="X603"/>
      <c r="Y603"/>
      <c r="Z603"/>
      <c r="AA603"/>
      <c r="AB603"/>
      <c r="AC603"/>
      <c r="AD603"/>
      <c r="AE603"/>
    </row>
    <row r="604" spans="17:31" ht="12.75" customHeight="1">
      <c r="Q604"/>
      <c r="R604"/>
      <c r="S604"/>
      <c r="T604"/>
      <c r="U604"/>
      <c r="V604"/>
      <c r="W604"/>
      <c r="X604"/>
      <c r="Y604"/>
      <c r="Z604"/>
      <c r="AA604"/>
      <c r="AB604"/>
      <c r="AC604"/>
      <c r="AD604"/>
      <c r="AE604"/>
    </row>
    <row r="605" spans="17:31" ht="12.75" customHeight="1">
      <c r="Q605"/>
      <c r="R605"/>
      <c r="S605"/>
      <c r="T605"/>
      <c r="U605"/>
      <c r="V605"/>
      <c r="W605"/>
      <c r="X605"/>
      <c r="Y605"/>
      <c r="Z605"/>
      <c r="AA605"/>
      <c r="AB605"/>
      <c r="AC605"/>
      <c r="AD605"/>
      <c r="AE605"/>
    </row>
    <row r="606" spans="17:31" ht="12.75" customHeight="1">
      <c r="Q606"/>
      <c r="R606"/>
      <c r="S606"/>
      <c r="T606"/>
      <c r="U606"/>
      <c r="V606"/>
      <c r="W606"/>
      <c r="X606"/>
      <c r="Y606"/>
      <c r="Z606"/>
      <c r="AA606"/>
      <c r="AB606"/>
      <c r="AC606"/>
      <c r="AD606"/>
      <c r="AE606"/>
    </row>
    <row r="607" spans="17:31" ht="12.75" customHeight="1">
      <c r="Q607"/>
      <c r="R607"/>
      <c r="S607"/>
      <c r="T607"/>
      <c r="U607"/>
      <c r="V607"/>
      <c r="W607"/>
      <c r="X607"/>
      <c r="Y607"/>
      <c r="Z607"/>
      <c r="AA607"/>
      <c r="AB607"/>
      <c r="AC607"/>
      <c r="AD607"/>
      <c r="AE607"/>
    </row>
    <row r="608" spans="17:31" ht="12.75" customHeight="1">
      <c r="Q608"/>
      <c r="R608"/>
      <c r="S608"/>
      <c r="T608"/>
      <c r="U608"/>
      <c r="V608"/>
      <c r="W608"/>
      <c r="X608"/>
      <c r="Y608"/>
      <c r="Z608"/>
      <c r="AA608"/>
      <c r="AB608"/>
      <c r="AC608"/>
      <c r="AD608"/>
      <c r="AE608"/>
    </row>
    <row r="609" spans="17:31" ht="12.75" customHeight="1">
      <c r="Q609"/>
      <c r="R609"/>
      <c r="S609"/>
      <c r="T609"/>
      <c r="U609"/>
      <c r="V609"/>
      <c r="W609"/>
      <c r="X609"/>
      <c r="Y609"/>
      <c r="Z609"/>
      <c r="AA609"/>
      <c r="AB609"/>
      <c r="AC609"/>
      <c r="AD609"/>
      <c r="AE609"/>
    </row>
    <row r="610" spans="17:31" ht="12.75" customHeight="1">
      <c r="Q610"/>
      <c r="R610"/>
      <c r="S610"/>
      <c r="T610"/>
      <c r="U610"/>
      <c r="V610"/>
      <c r="W610"/>
      <c r="X610"/>
      <c r="Y610"/>
      <c r="Z610"/>
      <c r="AA610"/>
      <c r="AB610"/>
      <c r="AC610"/>
      <c r="AD610"/>
      <c r="AE610"/>
    </row>
    <row r="611" spans="17:31" ht="12.75" customHeight="1">
      <c r="Q611"/>
      <c r="R611"/>
      <c r="S611"/>
      <c r="T611"/>
      <c r="U611"/>
      <c r="V611"/>
      <c r="W611"/>
      <c r="X611"/>
      <c r="Y611"/>
      <c r="Z611"/>
      <c r="AA611"/>
      <c r="AB611"/>
      <c r="AC611"/>
      <c r="AD611"/>
      <c r="AE611"/>
    </row>
    <row r="612" spans="17:31" ht="12.75" customHeight="1">
      <c r="Q612"/>
      <c r="R612"/>
      <c r="S612"/>
      <c r="T612"/>
      <c r="U612"/>
      <c r="V612"/>
      <c r="W612"/>
      <c r="X612"/>
      <c r="Y612"/>
      <c r="Z612"/>
      <c r="AA612"/>
      <c r="AB612"/>
      <c r="AC612"/>
      <c r="AD612"/>
      <c r="AE612"/>
    </row>
    <row r="613" spans="17:31" ht="12.75" customHeight="1">
      <c r="Q613"/>
      <c r="R613"/>
      <c r="S613"/>
      <c r="T613"/>
      <c r="U613"/>
      <c r="V613"/>
      <c r="W613"/>
      <c r="X613"/>
      <c r="Y613"/>
      <c r="Z613"/>
      <c r="AA613"/>
      <c r="AB613"/>
      <c r="AC613"/>
      <c r="AD613"/>
      <c r="AE613"/>
    </row>
    <row r="614" spans="17:31" ht="12.75" customHeight="1">
      <c r="Q614"/>
      <c r="R614"/>
      <c r="S614"/>
      <c r="T614"/>
      <c r="U614"/>
      <c r="V614"/>
      <c r="W614"/>
      <c r="X614"/>
      <c r="Y614"/>
      <c r="Z614"/>
      <c r="AA614"/>
      <c r="AB614"/>
      <c r="AC614"/>
      <c r="AD614"/>
      <c r="AE614"/>
    </row>
    <row r="615" spans="17:31" ht="12.75" customHeight="1">
      <c r="Q615"/>
      <c r="R615"/>
      <c r="S615"/>
      <c r="T615"/>
      <c r="U615"/>
      <c r="V615"/>
      <c r="W615"/>
      <c r="X615"/>
      <c r="Y615"/>
      <c r="Z615"/>
      <c r="AA615"/>
      <c r="AB615"/>
      <c r="AC615"/>
      <c r="AD615"/>
      <c r="AE615"/>
    </row>
    <row r="616" spans="17:31" ht="12.75" customHeight="1">
      <c r="Q616"/>
      <c r="R616"/>
      <c r="S616"/>
      <c r="T616"/>
      <c r="U616"/>
      <c r="V616"/>
      <c r="W616"/>
      <c r="X616"/>
      <c r="Y616"/>
      <c r="Z616"/>
      <c r="AA616"/>
      <c r="AB616"/>
      <c r="AC616"/>
      <c r="AD616"/>
      <c r="AE616"/>
    </row>
    <row r="617" spans="17:31" ht="12.75" customHeight="1">
      <c r="Q617"/>
      <c r="R617"/>
      <c r="S617"/>
      <c r="T617"/>
      <c r="U617"/>
      <c r="V617"/>
      <c r="W617"/>
      <c r="X617"/>
      <c r="Y617"/>
      <c r="Z617"/>
      <c r="AA617"/>
      <c r="AB617"/>
      <c r="AC617"/>
      <c r="AD617"/>
      <c r="AE617"/>
    </row>
    <row r="618" spans="17:31" ht="12.75" customHeight="1">
      <c r="Q618"/>
      <c r="R618"/>
      <c r="S618"/>
      <c r="T618"/>
      <c r="U618"/>
      <c r="V618"/>
      <c r="W618"/>
      <c r="X618"/>
      <c r="Y618"/>
      <c r="Z618"/>
      <c r="AA618"/>
      <c r="AB618"/>
      <c r="AC618"/>
      <c r="AD618"/>
      <c r="AE618"/>
    </row>
    <row r="619" spans="17:31" ht="12.75" customHeight="1">
      <c r="Q619"/>
      <c r="R619"/>
      <c r="S619"/>
      <c r="T619"/>
      <c r="U619"/>
      <c r="V619"/>
      <c r="W619"/>
      <c r="X619"/>
      <c r="Y619"/>
      <c r="Z619"/>
      <c r="AA619"/>
      <c r="AB619"/>
      <c r="AC619"/>
      <c r="AD619"/>
      <c r="AE619"/>
    </row>
    <row r="620" spans="17:31" ht="12.75" customHeight="1">
      <c r="Q620"/>
      <c r="R620"/>
      <c r="S620"/>
      <c r="T620"/>
      <c r="U620"/>
      <c r="V620"/>
      <c r="W620"/>
      <c r="X620"/>
      <c r="Y620"/>
      <c r="Z620"/>
      <c r="AA620"/>
      <c r="AB620"/>
      <c r="AC620"/>
      <c r="AD620"/>
      <c r="AE620"/>
    </row>
    <row r="621" spans="17:31" ht="12.75" customHeight="1">
      <c r="Q621"/>
      <c r="R621"/>
      <c r="S621"/>
      <c r="T621"/>
      <c r="U621"/>
      <c r="V621"/>
      <c r="W621"/>
      <c r="X621"/>
      <c r="Y621"/>
      <c r="Z621"/>
      <c r="AA621"/>
      <c r="AB621"/>
      <c r="AC621"/>
      <c r="AD621"/>
      <c r="AE621"/>
    </row>
    <row r="622" spans="17:31" ht="12.75" customHeight="1">
      <c r="Q622"/>
      <c r="R622"/>
      <c r="S622"/>
      <c r="T622"/>
      <c r="U622"/>
      <c r="V622"/>
      <c r="W622"/>
      <c r="X622"/>
      <c r="Y622"/>
      <c r="Z622"/>
      <c r="AA622"/>
      <c r="AB622"/>
      <c r="AC622"/>
      <c r="AD622"/>
      <c r="AE622"/>
    </row>
    <row r="623" spans="17:31" ht="12.75" customHeight="1">
      <c r="Q623"/>
      <c r="R623"/>
      <c r="S623"/>
      <c r="T623"/>
      <c r="U623"/>
      <c r="V623"/>
      <c r="W623"/>
      <c r="X623"/>
      <c r="Y623"/>
      <c r="Z623"/>
      <c r="AA623"/>
      <c r="AB623"/>
      <c r="AC623"/>
      <c r="AD623"/>
      <c r="AE623"/>
    </row>
    <row r="624" spans="17:31" ht="12.75" customHeight="1">
      <c r="Q624"/>
      <c r="R624"/>
      <c r="S624"/>
      <c r="T624"/>
      <c r="U624"/>
      <c r="V624"/>
      <c r="W624"/>
      <c r="X624"/>
      <c r="Y624"/>
      <c r="Z624"/>
      <c r="AA624"/>
      <c r="AB624"/>
      <c r="AC624"/>
      <c r="AD624"/>
      <c r="AE624"/>
    </row>
    <row r="625" spans="17:31" ht="12.75" customHeight="1">
      <c r="Q625"/>
      <c r="R625"/>
      <c r="S625"/>
      <c r="T625"/>
      <c r="U625"/>
      <c r="V625"/>
      <c r="W625"/>
      <c r="X625"/>
      <c r="Y625"/>
      <c r="Z625"/>
      <c r="AA625"/>
      <c r="AB625"/>
      <c r="AC625"/>
      <c r="AD625"/>
      <c r="AE625"/>
    </row>
    <row r="626" spans="17:31" ht="12.75" customHeight="1">
      <c r="Q626"/>
      <c r="R626"/>
      <c r="S626"/>
      <c r="T626"/>
      <c r="U626"/>
      <c r="V626"/>
      <c r="W626"/>
      <c r="X626"/>
      <c r="Y626"/>
      <c r="Z626"/>
      <c r="AA626"/>
      <c r="AB626"/>
      <c r="AC626"/>
      <c r="AD626"/>
      <c r="AE626"/>
    </row>
    <row r="627" spans="17:31" ht="12.75" customHeight="1">
      <c r="Q627"/>
      <c r="R627"/>
      <c r="S627"/>
      <c r="T627"/>
      <c r="U627"/>
      <c r="V627"/>
      <c r="W627"/>
      <c r="X627"/>
      <c r="Y627"/>
      <c r="Z627"/>
      <c r="AA627"/>
      <c r="AB627"/>
      <c r="AC627"/>
      <c r="AD627"/>
      <c r="AE627"/>
    </row>
    <row r="628" spans="17:31" ht="12.75" customHeight="1">
      <c r="Q628"/>
      <c r="R628"/>
      <c r="S628"/>
      <c r="T628"/>
      <c r="U628"/>
      <c r="V628"/>
      <c r="W628"/>
      <c r="X628"/>
      <c r="Y628"/>
      <c r="Z628"/>
      <c r="AA628"/>
      <c r="AB628"/>
      <c r="AC628"/>
      <c r="AD628"/>
      <c r="AE628"/>
    </row>
    <row r="629" spans="17:31" ht="12.75" customHeight="1">
      <c r="Q629"/>
      <c r="R629"/>
      <c r="S629"/>
      <c r="T629"/>
      <c r="U629"/>
      <c r="V629"/>
      <c r="W629"/>
      <c r="X629"/>
      <c r="Y629"/>
      <c r="Z629"/>
      <c r="AA629"/>
      <c r="AB629"/>
      <c r="AC629"/>
      <c r="AD629"/>
      <c r="AE629"/>
    </row>
    <row r="630" spans="17:31" ht="12.75" customHeight="1">
      <c r="Q630"/>
      <c r="R630"/>
      <c r="S630"/>
      <c r="T630"/>
      <c r="U630"/>
      <c r="V630"/>
      <c r="W630"/>
      <c r="X630"/>
      <c r="Y630"/>
      <c r="Z630"/>
      <c r="AA630"/>
      <c r="AB630"/>
      <c r="AC630"/>
      <c r="AD630"/>
      <c r="AE630"/>
    </row>
    <row r="631" spans="17:31" ht="12.75" customHeight="1">
      <c r="Q631"/>
      <c r="R631"/>
      <c r="S631"/>
      <c r="T631"/>
      <c r="U631"/>
      <c r="V631"/>
      <c r="W631"/>
      <c r="X631"/>
      <c r="Y631"/>
      <c r="Z631"/>
      <c r="AA631"/>
      <c r="AB631"/>
      <c r="AC631"/>
      <c r="AD631"/>
      <c r="AE631"/>
    </row>
    <row r="632" spans="17:31" ht="12.75" customHeight="1">
      <c r="Q632"/>
      <c r="R632"/>
      <c r="S632"/>
      <c r="T632"/>
      <c r="U632"/>
      <c r="V632"/>
      <c r="W632"/>
      <c r="X632"/>
      <c r="Y632"/>
      <c r="Z632"/>
      <c r="AA632"/>
      <c r="AB632"/>
      <c r="AC632"/>
      <c r="AD632"/>
      <c r="AE632"/>
    </row>
    <row r="633" spans="17:31" ht="12.75" customHeight="1">
      <c r="Q633"/>
      <c r="R633"/>
      <c r="S633"/>
      <c r="T633"/>
      <c r="U633"/>
      <c r="V633"/>
      <c r="W633"/>
      <c r="X633"/>
      <c r="Y633"/>
      <c r="Z633"/>
      <c r="AA633"/>
      <c r="AB633"/>
      <c r="AC633"/>
      <c r="AD633"/>
      <c r="AE633"/>
    </row>
    <row r="634" spans="17:31" ht="12.75" customHeight="1">
      <c r="Q634"/>
      <c r="R634"/>
      <c r="S634"/>
      <c r="T634"/>
      <c r="U634"/>
      <c r="V634"/>
      <c r="W634"/>
      <c r="X634"/>
      <c r="Y634"/>
      <c r="Z634"/>
      <c r="AA634"/>
      <c r="AB634"/>
      <c r="AC634"/>
      <c r="AD634"/>
      <c r="AE634"/>
    </row>
    <row r="635" spans="17:31" ht="12.75" customHeight="1">
      <c r="Q635"/>
      <c r="R635"/>
      <c r="S635"/>
      <c r="T635"/>
      <c r="U635"/>
      <c r="V635"/>
      <c r="W635"/>
      <c r="X635"/>
      <c r="Y635"/>
      <c r="Z635"/>
      <c r="AA635"/>
      <c r="AB635"/>
      <c r="AC635"/>
      <c r="AD635"/>
      <c r="AE635"/>
    </row>
    <row r="636" spans="17:31" ht="12.75" customHeight="1">
      <c r="Q636"/>
      <c r="R636"/>
      <c r="S636"/>
      <c r="T636"/>
      <c r="U636"/>
      <c r="V636"/>
      <c r="W636"/>
      <c r="X636"/>
      <c r="Y636"/>
      <c r="Z636"/>
      <c r="AA636"/>
      <c r="AB636"/>
      <c r="AC636"/>
      <c r="AD636"/>
      <c r="AE636"/>
    </row>
    <row r="637" spans="17:31" ht="12.75" customHeight="1">
      <c r="Q637"/>
      <c r="R637"/>
      <c r="S637"/>
      <c r="T637"/>
      <c r="U637"/>
      <c r="V637"/>
      <c r="W637"/>
      <c r="X637"/>
      <c r="Y637"/>
      <c r="Z637"/>
      <c r="AA637"/>
      <c r="AB637"/>
      <c r="AC637"/>
      <c r="AD637"/>
      <c r="AE637"/>
    </row>
    <row r="638" spans="17:31" ht="12.75" customHeight="1">
      <c r="Q638"/>
      <c r="R638"/>
      <c r="S638"/>
      <c r="T638"/>
      <c r="U638"/>
      <c r="V638"/>
      <c r="W638"/>
      <c r="X638"/>
      <c r="Y638"/>
      <c r="Z638"/>
      <c r="AA638"/>
      <c r="AB638"/>
      <c r="AC638"/>
      <c r="AD638"/>
      <c r="AE638"/>
    </row>
    <row r="639" spans="17:31" ht="12.75" customHeight="1">
      <c r="Q639"/>
      <c r="R639"/>
      <c r="S639"/>
      <c r="T639"/>
      <c r="U639"/>
      <c r="V639"/>
      <c r="W639"/>
      <c r="X639"/>
      <c r="Y639"/>
      <c r="Z639"/>
      <c r="AA639"/>
      <c r="AB639"/>
      <c r="AC639"/>
      <c r="AD639"/>
      <c r="AE639"/>
    </row>
    <row r="640" spans="17:31" ht="12.75" customHeight="1">
      <c r="Q640"/>
      <c r="R640"/>
      <c r="S640"/>
      <c r="T640"/>
      <c r="U640"/>
      <c r="V640"/>
      <c r="W640"/>
      <c r="X640"/>
      <c r="Y640"/>
      <c r="Z640"/>
      <c r="AA640"/>
      <c r="AB640"/>
      <c r="AC640"/>
      <c r="AD640"/>
      <c r="AE640"/>
    </row>
    <row r="641" spans="17:31" ht="12.75" customHeight="1">
      <c r="Q641"/>
      <c r="R641"/>
      <c r="S641"/>
      <c r="T641"/>
      <c r="U641"/>
      <c r="V641"/>
      <c r="W641"/>
      <c r="X641"/>
      <c r="Y641"/>
      <c r="Z641"/>
      <c r="AA641"/>
      <c r="AB641"/>
      <c r="AC641"/>
      <c r="AD641"/>
      <c r="AE641"/>
    </row>
    <row r="642" spans="17:31" ht="12.75" customHeight="1">
      <c r="Q642"/>
      <c r="R642"/>
      <c r="S642"/>
      <c r="T642"/>
      <c r="U642"/>
      <c r="V642"/>
      <c r="W642"/>
      <c r="X642"/>
      <c r="Y642"/>
      <c r="Z642"/>
      <c r="AA642"/>
      <c r="AB642"/>
      <c r="AC642"/>
      <c r="AD642"/>
      <c r="AE642"/>
    </row>
    <row r="643" spans="17:31" ht="12.75" customHeight="1">
      <c r="Q643"/>
      <c r="R643"/>
      <c r="S643"/>
      <c r="T643"/>
      <c r="U643"/>
      <c r="V643"/>
      <c r="W643"/>
      <c r="X643"/>
      <c r="Y643"/>
      <c r="Z643"/>
      <c r="AA643"/>
      <c r="AB643"/>
      <c r="AC643"/>
      <c r="AD643"/>
      <c r="AE643"/>
    </row>
    <row r="644" spans="17:31" ht="12.75" customHeight="1">
      <c r="Q644"/>
      <c r="R644"/>
      <c r="S644"/>
      <c r="T644"/>
      <c r="U644"/>
      <c r="V644"/>
      <c r="W644"/>
      <c r="X644"/>
      <c r="Y644"/>
      <c r="Z644"/>
      <c r="AA644"/>
      <c r="AB644"/>
      <c r="AC644"/>
      <c r="AD644"/>
      <c r="AE644"/>
    </row>
    <row r="645" spans="17:31" ht="12.75" customHeight="1">
      <c r="Q645"/>
      <c r="R645"/>
      <c r="S645"/>
      <c r="T645"/>
      <c r="U645"/>
      <c r="V645"/>
      <c r="W645"/>
      <c r="X645"/>
      <c r="Y645"/>
      <c r="Z645"/>
      <c r="AA645"/>
      <c r="AB645"/>
      <c r="AC645"/>
      <c r="AD645"/>
      <c r="AE645"/>
    </row>
    <row r="646" spans="17:31" ht="12.75" customHeight="1">
      <c r="Q646"/>
      <c r="R646"/>
      <c r="S646"/>
      <c r="T646"/>
      <c r="U646"/>
      <c r="V646"/>
      <c r="W646"/>
      <c r="X646"/>
      <c r="Y646"/>
      <c r="Z646"/>
      <c r="AA646"/>
      <c r="AB646"/>
      <c r="AC646"/>
      <c r="AD646"/>
      <c r="AE646"/>
    </row>
    <row r="647" spans="17:31" ht="12.75" customHeight="1">
      <c r="Q647"/>
      <c r="R647"/>
      <c r="S647"/>
      <c r="T647"/>
      <c r="U647"/>
      <c r="V647"/>
      <c r="W647"/>
      <c r="X647"/>
      <c r="Y647"/>
      <c r="Z647"/>
      <c r="AA647"/>
      <c r="AB647"/>
      <c r="AC647"/>
      <c r="AD647"/>
      <c r="AE647"/>
    </row>
    <row r="648" spans="17:31" ht="12.75" customHeight="1">
      <c r="Q648"/>
      <c r="R648"/>
      <c r="S648"/>
      <c r="T648"/>
      <c r="U648"/>
      <c r="V648"/>
      <c r="W648"/>
      <c r="X648"/>
      <c r="Y648"/>
      <c r="Z648"/>
      <c r="AA648"/>
      <c r="AB648"/>
      <c r="AC648"/>
      <c r="AD648"/>
      <c r="AE648"/>
    </row>
    <row r="649" spans="17:31" ht="12.75" customHeight="1">
      <c r="Q649"/>
      <c r="R649"/>
      <c r="S649"/>
      <c r="T649"/>
      <c r="U649"/>
      <c r="V649"/>
      <c r="W649"/>
      <c r="X649"/>
      <c r="Y649"/>
      <c r="Z649"/>
      <c r="AA649"/>
      <c r="AB649"/>
      <c r="AC649"/>
      <c r="AD649"/>
      <c r="AE649"/>
    </row>
    <row r="650" spans="17:31" ht="12.75" customHeight="1">
      <c r="Q650"/>
      <c r="R650"/>
      <c r="S650"/>
      <c r="T650"/>
      <c r="U650"/>
      <c r="V650"/>
      <c r="W650"/>
      <c r="X650"/>
      <c r="Y650"/>
      <c r="Z650"/>
      <c r="AA650"/>
      <c r="AB650"/>
      <c r="AC650"/>
      <c r="AD650"/>
      <c r="AE650"/>
    </row>
    <row r="651" spans="17:31" ht="12.75" customHeight="1">
      <c r="Q651"/>
      <c r="R651"/>
      <c r="S651"/>
      <c r="T651"/>
      <c r="U651"/>
      <c r="V651"/>
      <c r="W651"/>
      <c r="X651"/>
      <c r="Y651"/>
      <c r="Z651"/>
      <c r="AA651"/>
      <c r="AB651"/>
      <c r="AC651"/>
      <c r="AD651"/>
      <c r="AE651"/>
    </row>
    <row r="652" spans="17:31" ht="12.75" customHeight="1">
      <c r="Q652"/>
      <c r="R652"/>
      <c r="S652"/>
      <c r="T652"/>
      <c r="U652"/>
      <c r="V652"/>
      <c r="W652"/>
      <c r="X652"/>
      <c r="Y652"/>
      <c r="Z652"/>
      <c r="AA652"/>
      <c r="AB652"/>
      <c r="AC652"/>
      <c r="AD652"/>
      <c r="AE652"/>
    </row>
    <row r="653" spans="17:31" ht="12.75" customHeight="1">
      <c r="Q653"/>
      <c r="R653"/>
      <c r="S653"/>
      <c r="T653"/>
      <c r="U653"/>
      <c r="V653"/>
      <c r="W653"/>
      <c r="X653"/>
      <c r="Y653"/>
      <c r="Z653"/>
      <c r="AA653"/>
      <c r="AB653"/>
      <c r="AC653"/>
      <c r="AD653"/>
      <c r="AE653"/>
    </row>
    <row r="654" spans="17:31" ht="12.75" customHeight="1">
      <c r="Q654"/>
      <c r="R654"/>
      <c r="S654"/>
      <c r="T654"/>
      <c r="U654"/>
      <c r="V654"/>
      <c r="W654"/>
      <c r="X654"/>
      <c r="Y654"/>
      <c r="Z654"/>
      <c r="AA654"/>
      <c r="AB654"/>
      <c r="AC654"/>
      <c r="AD654"/>
      <c r="AE654"/>
    </row>
    <row r="655" spans="17:31" ht="12.75" customHeight="1">
      <c r="Q655"/>
      <c r="R655"/>
      <c r="S655"/>
      <c r="T655"/>
      <c r="U655"/>
      <c r="V655"/>
      <c r="W655"/>
      <c r="X655"/>
      <c r="Y655"/>
      <c r="Z655"/>
      <c r="AA655"/>
      <c r="AB655"/>
      <c r="AC655"/>
      <c r="AD655"/>
      <c r="AE655"/>
    </row>
    <row r="656" spans="17:31" ht="12.75" customHeight="1">
      <c r="Q656"/>
      <c r="R656"/>
      <c r="S656"/>
      <c r="T656"/>
      <c r="U656"/>
      <c r="V656"/>
      <c r="W656"/>
      <c r="X656"/>
      <c r="Y656"/>
      <c r="Z656"/>
      <c r="AA656"/>
      <c r="AB656"/>
      <c r="AC656"/>
      <c r="AD656"/>
      <c r="AE656"/>
    </row>
    <row r="657" spans="17:31" ht="12.75" customHeight="1">
      <c r="Q657"/>
      <c r="R657"/>
      <c r="S657"/>
      <c r="T657"/>
      <c r="U657"/>
      <c r="V657"/>
      <c r="W657"/>
      <c r="X657"/>
      <c r="Y657"/>
      <c r="Z657"/>
      <c r="AA657"/>
      <c r="AB657"/>
      <c r="AC657"/>
      <c r="AD657"/>
      <c r="AE657"/>
    </row>
    <row r="658" spans="17:31" ht="12.75" customHeight="1">
      <c r="Q658"/>
      <c r="R658"/>
      <c r="S658"/>
      <c r="T658"/>
      <c r="U658"/>
      <c r="V658"/>
      <c r="W658"/>
      <c r="X658"/>
      <c r="Y658"/>
      <c r="Z658"/>
      <c r="AA658"/>
      <c r="AB658"/>
      <c r="AC658"/>
      <c r="AD658"/>
      <c r="AE658"/>
    </row>
    <row r="659" spans="17:31" ht="12.75" customHeight="1">
      <c r="Q659"/>
      <c r="R659"/>
      <c r="S659"/>
      <c r="T659"/>
      <c r="U659"/>
      <c r="V659"/>
      <c r="W659"/>
      <c r="X659"/>
      <c r="Y659"/>
      <c r="Z659"/>
      <c r="AA659"/>
      <c r="AB659"/>
      <c r="AC659"/>
      <c r="AD659"/>
      <c r="AE659"/>
    </row>
    <row r="660" spans="17:31" ht="12.75" customHeight="1">
      <c r="Q660"/>
      <c r="R660"/>
      <c r="S660"/>
      <c r="T660"/>
      <c r="U660"/>
      <c r="V660"/>
      <c r="W660"/>
      <c r="X660"/>
      <c r="Y660"/>
      <c r="Z660"/>
      <c r="AA660"/>
      <c r="AB660"/>
      <c r="AC660"/>
      <c r="AD660"/>
      <c r="AE660"/>
    </row>
    <row r="661" spans="17:31" ht="12.75" customHeight="1">
      <c r="Q661"/>
      <c r="R661"/>
      <c r="S661"/>
      <c r="T661"/>
      <c r="U661"/>
      <c r="V661"/>
      <c r="W661"/>
      <c r="X661"/>
      <c r="Y661"/>
      <c r="Z661"/>
      <c r="AA661"/>
      <c r="AB661"/>
      <c r="AC661"/>
      <c r="AD661"/>
      <c r="AE661"/>
    </row>
    <row r="662" spans="17:31" ht="12.75" customHeight="1">
      <c r="Q662"/>
      <c r="R662"/>
      <c r="S662"/>
      <c r="T662"/>
      <c r="U662"/>
      <c r="V662"/>
      <c r="W662"/>
      <c r="X662"/>
      <c r="Y662"/>
      <c r="Z662"/>
      <c r="AA662"/>
      <c r="AB662"/>
      <c r="AC662"/>
      <c r="AD662"/>
      <c r="AE662"/>
    </row>
    <row r="663" spans="17:31" ht="12.75" customHeight="1">
      <c r="Q663"/>
      <c r="R663"/>
      <c r="S663"/>
      <c r="T663"/>
      <c r="U663"/>
      <c r="V663"/>
      <c r="W663"/>
      <c r="X663"/>
      <c r="Y663"/>
      <c r="Z663"/>
      <c r="AA663"/>
      <c r="AB663"/>
      <c r="AC663"/>
      <c r="AD663"/>
      <c r="AE663"/>
    </row>
    <row r="664" spans="17:31" ht="12.75" customHeight="1">
      <c r="Q664"/>
      <c r="R664"/>
      <c r="S664"/>
      <c r="T664"/>
      <c r="U664"/>
      <c r="V664"/>
      <c r="W664"/>
      <c r="X664"/>
      <c r="Y664"/>
      <c r="Z664"/>
      <c r="AA664"/>
      <c r="AB664"/>
      <c r="AC664"/>
      <c r="AD664"/>
      <c r="AE664"/>
    </row>
    <row r="665" spans="17:31" ht="12.75" customHeight="1">
      <c r="Q665"/>
      <c r="R665"/>
      <c r="S665"/>
      <c r="T665"/>
      <c r="U665"/>
      <c r="V665"/>
      <c r="W665"/>
      <c r="X665"/>
      <c r="Y665"/>
      <c r="Z665"/>
      <c r="AA665"/>
      <c r="AB665"/>
      <c r="AC665"/>
      <c r="AD665"/>
      <c r="AE665"/>
    </row>
    <row r="666" spans="17:31" ht="12.75" customHeight="1">
      <c r="Q666"/>
      <c r="R666"/>
      <c r="S666"/>
      <c r="T666"/>
      <c r="U666"/>
      <c r="V666"/>
      <c r="W666"/>
      <c r="X666"/>
      <c r="Y666"/>
      <c r="Z666"/>
      <c r="AA666"/>
      <c r="AB666"/>
      <c r="AC666"/>
      <c r="AD666"/>
      <c r="AE666"/>
    </row>
    <row r="667" spans="17:31" ht="12.75" customHeight="1">
      <c r="Q667"/>
      <c r="R667"/>
      <c r="S667"/>
      <c r="T667"/>
      <c r="U667"/>
      <c r="V667"/>
      <c r="W667"/>
      <c r="X667"/>
      <c r="Y667"/>
      <c r="Z667"/>
      <c r="AA667"/>
      <c r="AB667"/>
      <c r="AC667"/>
      <c r="AD667"/>
      <c r="AE667"/>
    </row>
    <row r="668" spans="17:31" ht="12.75" customHeight="1">
      <c r="Q668"/>
      <c r="R668"/>
      <c r="S668"/>
      <c r="T668"/>
      <c r="U668"/>
      <c r="V668"/>
      <c r="W668"/>
      <c r="X668"/>
      <c r="Y668"/>
      <c r="Z668"/>
      <c r="AA668"/>
      <c r="AB668"/>
      <c r="AC668"/>
      <c r="AD668"/>
      <c r="AE668"/>
    </row>
    <row r="669" spans="17:31" ht="12.75" customHeight="1">
      <c r="Q669"/>
      <c r="R669"/>
      <c r="S669"/>
      <c r="T669"/>
      <c r="U669"/>
      <c r="V669"/>
      <c r="W669"/>
      <c r="X669"/>
      <c r="Y669"/>
      <c r="Z669"/>
      <c r="AA669"/>
      <c r="AB669"/>
      <c r="AC669"/>
      <c r="AD669"/>
      <c r="AE669"/>
    </row>
    <row r="670" spans="17:31" ht="12.75" customHeight="1">
      <c r="Q670"/>
      <c r="R670"/>
      <c r="S670"/>
      <c r="T670"/>
      <c r="U670"/>
      <c r="V670"/>
      <c r="W670"/>
      <c r="X670"/>
      <c r="Y670"/>
      <c r="Z670"/>
      <c r="AA670"/>
      <c r="AB670"/>
      <c r="AC670"/>
      <c r="AD670"/>
      <c r="AE670"/>
    </row>
    <row r="671" spans="17:31" ht="12.75" customHeight="1">
      <c r="Q671"/>
      <c r="R671"/>
      <c r="S671"/>
      <c r="T671"/>
      <c r="U671"/>
      <c r="V671"/>
      <c r="W671"/>
      <c r="X671"/>
      <c r="Y671"/>
      <c r="Z671"/>
      <c r="AA671"/>
      <c r="AB671"/>
      <c r="AC671"/>
      <c r="AD671"/>
      <c r="AE671"/>
    </row>
    <row r="672" spans="17:31" ht="12.75" customHeight="1">
      <c r="Q672"/>
      <c r="R672"/>
      <c r="S672"/>
      <c r="T672"/>
      <c r="U672"/>
      <c r="V672"/>
      <c r="W672"/>
      <c r="X672"/>
      <c r="Y672"/>
      <c r="Z672"/>
      <c r="AA672"/>
      <c r="AB672"/>
      <c r="AC672"/>
      <c r="AD672"/>
      <c r="AE672"/>
    </row>
    <row r="673" spans="17:31" ht="12.75" customHeight="1">
      <c r="Q673"/>
      <c r="R673"/>
      <c r="S673"/>
      <c r="T673"/>
      <c r="U673"/>
      <c r="V673"/>
      <c r="W673"/>
      <c r="X673"/>
      <c r="Y673"/>
      <c r="Z673"/>
      <c r="AA673"/>
      <c r="AB673"/>
      <c r="AC673"/>
      <c r="AD673"/>
      <c r="AE673"/>
    </row>
    <row r="674" spans="17:31" ht="12.75" customHeight="1">
      <c r="Q674"/>
      <c r="R674"/>
      <c r="S674"/>
      <c r="T674"/>
      <c r="U674"/>
      <c r="V674"/>
      <c r="W674"/>
      <c r="X674"/>
      <c r="Y674"/>
      <c r="Z674"/>
      <c r="AA674"/>
      <c r="AB674"/>
      <c r="AC674"/>
      <c r="AD674"/>
      <c r="AE674"/>
    </row>
    <row r="675" spans="17:31" ht="12.75" customHeight="1">
      <c r="Q675"/>
      <c r="R675"/>
      <c r="S675"/>
      <c r="T675"/>
      <c r="U675"/>
      <c r="V675"/>
      <c r="W675"/>
      <c r="X675"/>
      <c r="Y675"/>
      <c r="Z675"/>
      <c r="AA675"/>
      <c r="AB675"/>
      <c r="AC675"/>
      <c r="AD675"/>
      <c r="AE675"/>
    </row>
    <row r="676" spans="17:31" ht="12.75" customHeight="1">
      <c r="Q676"/>
      <c r="R676"/>
      <c r="S676"/>
      <c r="T676"/>
      <c r="U676"/>
      <c r="V676"/>
      <c r="W676"/>
      <c r="X676"/>
      <c r="Y676"/>
      <c r="Z676"/>
      <c r="AA676"/>
      <c r="AB676"/>
      <c r="AC676"/>
      <c r="AD676"/>
      <c r="AE676"/>
    </row>
    <row r="677" spans="17:31" ht="12.75" customHeight="1">
      <c r="Q677"/>
      <c r="R677"/>
      <c r="S677"/>
      <c r="T677"/>
      <c r="U677"/>
      <c r="V677"/>
      <c r="W677"/>
      <c r="X677"/>
      <c r="Y677"/>
      <c r="Z677"/>
      <c r="AA677"/>
      <c r="AB677"/>
      <c r="AC677"/>
      <c r="AD677"/>
      <c r="AE677"/>
    </row>
    <row r="678" spans="17:31" ht="12.75" customHeight="1">
      <c r="Q678"/>
      <c r="R678"/>
      <c r="S678"/>
      <c r="T678"/>
      <c r="U678"/>
      <c r="V678"/>
      <c r="W678"/>
      <c r="X678"/>
      <c r="Y678"/>
      <c r="Z678"/>
      <c r="AA678"/>
      <c r="AB678"/>
      <c r="AC678"/>
      <c r="AD678"/>
      <c r="AE678"/>
    </row>
    <row r="679" spans="17:31" ht="12.75" customHeight="1">
      <c r="Q679"/>
      <c r="R679"/>
      <c r="S679"/>
      <c r="T679"/>
      <c r="U679"/>
      <c r="V679"/>
      <c r="W679"/>
      <c r="X679"/>
      <c r="Y679"/>
      <c r="Z679"/>
      <c r="AA679"/>
      <c r="AB679"/>
      <c r="AC679"/>
      <c r="AD679"/>
      <c r="AE679"/>
    </row>
    <row r="680" spans="17:31" ht="12.75" customHeight="1">
      <c r="Q680"/>
      <c r="R680"/>
      <c r="S680"/>
      <c r="T680"/>
      <c r="U680"/>
      <c r="V680"/>
      <c r="W680"/>
      <c r="X680"/>
      <c r="Y680"/>
      <c r="Z680"/>
      <c r="AA680"/>
      <c r="AB680"/>
      <c r="AC680"/>
      <c r="AD680"/>
      <c r="AE680"/>
    </row>
    <row r="681" spans="17:31" ht="12.75" customHeight="1">
      <c r="Q681"/>
      <c r="R681"/>
      <c r="S681"/>
      <c r="T681"/>
      <c r="U681"/>
      <c r="V681"/>
      <c r="W681"/>
      <c r="X681"/>
      <c r="Y681"/>
      <c r="Z681"/>
      <c r="AA681"/>
      <c r="AB681"/>
      <c r="AC681"/>
      <c r="AD681"/>
      <c r="AE681"/>
    </row>
    <row r="682" spans="17:31" ht="12.75" customHeight="1">
      <c r="Q682"/>
      <c r="R682"/>
      <c r="S682"/>
      <c r="T682"/>
      <c r="U682"/>
      <c r="V682"/>
      <c r="W682"/>
      <c r="X682"/>
      <c r="Y682"/>
      <c r="Z682"/>
      <c r="AA682"/>
      <c r="AB682"/>
      <c r="AC682"/>
      <c r="AD682"/>
      <c r="AE682"/>
    </row>
    <row r="683" spans="17:31" ht="12.75" customHeight="1">
      <c r="Q683"/>
      <c r="R683"/>
      <c r="S683"/>
      <c r="T683"/>
      <c r="U683"/>
      <c r="V683"/>
      <c r="W683"/>
      <c r="X683"/>
      <c r="Y683"/>
      <c r="Z683"/>
      <c r="AA683"/>
      <c r="AB683"/>
      <c r="AC683"/>
      <c r="AD683"/>
      <c r="AE683"/>
    </row>
    <row r="684" spans="17:31" ht="12.75" customHeight="1">
      <c r="Q684"/>
      <c r="R684"/>
      <c r="S684"/>
      <c r="T684"/>
      <c r="U684"/>
      <c r="V684"/>
      <c r="W684"/>
      <c r="X684"/>
      <c r="Y684"/>
      <c r="Z684"/>
      <c r="AA684"/>
      <c r="AB684"/>
      <c r="AC684"/>
      <c r="AD684"/>
      <c r="AE684"/>
    </row>
    <row r="685" spans="17:31" ht="12.75" customHeight="1">
      <c r="Q685"/>
      <c r="R685"/>
      <c r="S685"/>
      <c r="T685"/>
      <c r="U685"/>
      <c r="V685"/>
      <c r="W685"/>
      <c r="X685"/>
      <c r="Y685"/>
      <c r="Z685"/>
      <c r="AA685"/>
      <c r="AB685"/>
      <c r="AC685"/>
      <c r="AD685"/>
      <c r="AE685"/>
    </row>
    <row r="686" spans="17:31" ht="12.75" customHeight="1">
      <c r="Q686"/>
      <c r="R686"/>
      <c r="S686"/>
      <c r="T686"/>
      <c r="U686"/>
      <c r="V686"/>
      <c r="W686"/>
      <c r="X686"/>
      <c r="Y686"/>
      <c r="Z686"/>
      <c r="AA686"/>
      <c r="AB686"/>
      <c r="AC686"/>
      <c r="AD686"/>
      <c r="AE686"/>
    </row>
    <row r="687" spans="17:31" ht="12.75" customHeight="1">
      <c r="Q687"/>
      <c r="R687"/>
      <c r="S687"/>
      <c r="T687"/>
      <c r="U687"/>
      <c r="V687"/>
      <c r="W687"/>
      <c r="X687"/>
      <c r="Y687"/>
      <c r="Z687"/>
      <c r="AA687"/>
      <c r="AB687"/>
      <c r="AC687"/>
      <c r="AD687"/>
      <c r="AE687"/>
    </row>
    <row r="688" spans="17:31" ht="12.75" customHeight="1">
      <c r="Q688"/>
      <c r="R688"/>
      <c r="S688"/>
      <c r="T688"/>
      <c r="U688"/>
      <c r="V688"/>
      <c r="W688"/>
      <c r="X688"/>
      <c r="Y688"/>
      <c r="Z688"/>
      <c r="AA688"/>
      <c r="AB688"/>
      <c r="AC688"/>
      <c r="AD688"/>
      <c r="AE688"/>
    </row>
    <row r="689" spans="17:31">
      <c r="Q689"/>
      <c r="R689"/>
      <c r="S689"/>
      <c r="T689"/>
      <c r="U689"/>
      <c r="V689"/>
      <c r="W689"/>
      <c r="X689"/>
      <c r="Y689"/>
      <c r="Z689"/>
      <c r="AA689"/>
      <c r="AB689"/>
      <c r="AC689"/>
      <c r="AD689"/>
      <c r="AE689"/>
    </row>
    <row r="690" spans="17:31">
      <c r="Q690"/>
      <c r="R690"/>
      <c r="S690"/>
      <c r="T690"/>
      <c r="U690"/>
      <c r="V690"/>
      <c r="W690"/>
      <c r="X690"/>
      <c r="Y690"/>
      <c r="Z690"/>
      <c r="AA690"/>
      <c r="AB690"/>
      <c r="AC690"/>
      <c r="AD690"/>
      <c r="AE690"/>
    </row>
    <row r="691" spans="17:31">
      <c r="Q691"/>
      <c r="R691"/>
      <c r="S691"/>
      <c r="T691"/>
      <c r="U691"/>
      <c r="V691"/>
      <c r="W691"/>
      <c r="X691"/>
      <c r="Y691"/>
      <c r="Z691"/>
      <c r="AA691"/>
      <c r="AB691"/>
      <c r="AC691"/>
      <c r="AD691"/>
      <c r="AE691"/>
    </row>
    <row r="692" spans="17:31">
      <c r="Q692"/>
      <c r="R692"/>
      <c r="S692"/>
      <c r="T692"/>
      <c r="U692"/>
      <c r="V692"/>
      <c r="W692"/>
      <c r="X692"/>
      <c r="Y692"/>
      <c r="Z692"/>
      <c r="AA692"/>
      <c r="AB692"/>
      <c r="AC692"/>
      <c r="AD692"/>
      <c r="AE692"/>
    </row>
    <row r="693" spans="17:31">
      <c r="Q693"/>
      <c r="R693"/>
      <c r="S693"/>
      <c r="T693"/>
      <c r="U693"/>
      <c r="V693"/>
      <c r="W693"/>
      <c r="X693"/>
      <c r="Y693"/>
      <c r="Z693"/>
      <c r="AA693"/>
      <c r="AB693"/>
      <c r="AC693"/>
      <c r="AD693"/>
      <c r="AE693"/>
    </row>
    <row r="694" spans="17:31">
      <c r="Q694"/>
      <c r="R694"/>
      <c r="S694"/>
      <c r="T694"/>
      <c r="U694"/>
      <c r="V694"/>
      <c r="W694"/>
      <c r="X694"/>
      <c r="Y694"/>
      <c r="Z694"/>
      <c r="AA694"/>
      <c r="AB694"/>
      <c r="AC694"/>
      <c r="AD694"/>
      <c r="AE694"/>
    </row>
    <row r="695" spans="17:31">
      <c r="Q695"/>
      <c r="R695"/>
      <c r="S695"/>
      <c r="T695"/>
      <c r="U695"/>
      <c r="V695"/>
      <c r="W695"/>
      <c r="X695"/>
      <c r="Y695"/>
      <c r="Z695"/>
      <c r="AA695"/>
      <c r="AB695"/>
      <c r="AC695"/>
      <c r="AD695"/>
      <c r="AE695"/>
    </row>
    <row r="696" spans="17:31">
      <c r="Q696"/>
      <c r="R696"/>
      <c r="S696"/>
      <c r="T696"/>
      <c r="U696"/>
      <c r="V696"/>
      <c r="W696"/>
      <c r="X696"/>
      <c r="Y696"/>
      <c r="Z696"/>
      <c r="AA696"/>
      <c r="AB696"/>
      <c r="AC696"/>
      <c r="AD696"/>
      <c r="AE696"/>
    </row>
    <row r="697" spans="17:31">
      <c r="Q697"/>
      <c r="R697"/>
      <c r="S697"/>
      <c r="T697"/>
      <c r="U697"/>
      <c r="V697"/>
      <c r="W697"/>
      <c r="X697"/>
      <c r="Y697"/>
      <c r="Z697"/>
      <c r="AA697"/>
      <c r="AB697"/>
      <c r="AC697"/>
      <c r="AD697"/>
      <c r="AE697"/>
    </row>
    <row r="698" spans="17:31">
      <c r="Q698"/>
      <c r="R698"/>
      <c r="S698"/>
      <c r="T698"/>
      <c r="U698"/>
      <c r="V698"/>
      <c r="W698"/>
      <c r="X698"/>
      <c r="Y698"/>
      <c r="Z698"/>
      <c r="AA698"/>
      <c r="AB698"/>
      <c r="AC698"/>
      <c r="AD698"/>
      <c r="AE698"/>
    </row>
    <row r="699" spans="17:31">
      <c r="Q699"/>
      <c r="R699"/>
      <c r="S699"/>
      <c r="T699"/>
      <c r="U699"/>
      <c r="V699"/>
      <c r="W699"/>
      <c r="X699"/>
      <c r="Y699"/>
      <c r="Z699"/>
      <c r="AA699"/>
      <c r="AB699"/>
      <c r="AC699"/>
      <c r="AD699"/>
      <c r="AE699"/>
    </row>
    <row r="700" spans="17:31">
      <c r="Q700"/>
      <c r="R700"/>
      <c r="S700"/>
      <c r="T700"/>
      <c r="U700"/>
      <c r="V700"/>
      <c r="W700"/>
      <c r="X700"/>
      <c r="Y700"/>
      <c r="Z700"/>
      <c r="AA700"/>
      <c r="AB700"/>
      <c r="AC700"/>
      <c r="AD700"/>
      <c r="AE700"/>
    </row>
    <row r="701" spans="17:31">
      <c r="Q701"/>
      <c r="R701"/>
      <c r="S701"/>
      <c r="T701"/>
      <c r="U701"/>
      <c r="V701"/>
      <c r="W701"/>
      <c r="X701"/>
      <c r="Y701"/>
      <c r="Z701"/>
      <c r="AA701"/>
      <c r="AB701"/>
      <c r="AC701"/>
      <c r="AD701"/>
      <c r="AE701"/>
    </row>
    <row r="702" spans="17:31">
      <c r="Q702"/>
      <c r="R702"/>
      <c r="S702"/>
      <c r="T702"/>
      <c r="U702"/>
      <c r="V702"/>
      <c r="W702"/>
      <c r="X702"/>
      <c r="Y702"/>
      <c r="Z702"/>
      <c r="AA702"/>
      <c r="AB702"/>
      <c r="AC702"/>
      <c r="AD702"/>
      <c r="AE702"/>
    </row>
    <row r="703" spans="17:31">
      <c r="Q703"/>
      <c r="R703"/>
      <c r="S703"/>
      <c r="T703"/>
      <c r="U703"/>
      <c r="V703"/>
      <c r="W703"/>
      <c r="X703"/>
      <c r="Y703"/>
      <c r="Z703"/>
      <c r="AA703"/>
      <c r="AB703"/>
      <c r="AC703"/>
      <c r="AD703"/>
      <c r="AE703"/>
    </row>
    <row r="704" spans="17:31">
      <c r="Q704"/>
      <c r="R704"/>
      <c r="S704"/>
      <c r="T704"/>
      <c r="U704"/>
      <c r="V704"/>
      <c r="W704"/>
      <c r="X704"/>
      <c r="Y704"/>
      <c r="Z704"/>
      <c r="AA704"/>
      <c r="AB704"/>
      <c r="AC704"/>
      <c r="AD704"/>
      <c r="AE704"/>
    </row>
    <row r="705" spans="17:31">
      <c r="Q705"/>
      <c r="R705"/>
      <c r="S705"/>
      <c r="T705"/>
      <c r="U705"/>
      <c r="V705"/>
      <c r="W705"/>
      <c r="X705"/>
      <c r="Y705"/>
      <c r="Z705"/>
      <c r="AA705"/>
      <c r="AB705"/>
      <c r="AC705"/>
      <c r="AD705"/>
      <c r="AE705"/>
    </row>
    <row r="706" spans="17:31">
      <c r="Q706"/>
      <c r="R706"/>
      <c r="S706"/>
      <c r="T706"/>
      <c r="U706"/>
      <c r="V706"/>
      <c r="W706"/>
      <c r="X706"/>
      <c r="Y706"/>
      <c r="Z706"/>
      <c r="AA706"/>
      <c r="AB706"/>
      <c r="AC706"/>
      <c r="AD706"/>
      <c r="AE706"/>
    </row>
    <row r="707" spans="17:31">
      <c r="Q707"/>
      <c r="R707"/>
      <c r="S707"/>
      <c r="T707"/>
      <c r="U707"/>
      <c r="V707"/>
      <c r="W707"/>
      <c r="X707"/>
      <c r="Y707"/>
      <c r="Z707"/>
      <c r="AA707"/>
      <c r="AB707"/>
      <c r="AC707"/>
      <c r="AD707"/>
      <c r="AE707"/>
    </row>
    <row r="708" spans="17:31">
      <c r="Q708"/>
      <c r="R708"/>
      <c r="S708"/>
      <c r="T708"/>
      <c r="U708"/>
      <c r="V708"/>
      <c r="W708"/>
      <c r="X708"/>
      <c r="Y708"/>
      <c r="Z708"/>
      <c r="AA708"/>
      <c r="AB708"/>
      <c r="AC708"/>
      <c r="AD708"/>
      <c r="AE708"/>
    </row>
    <row r="709" spans="17:31">
      <c r="Q709"/>
      <c r="R709"/>
      <c r="S709"/>
      <c r="T709"/>
      <c r="U709"/>
      <c r="V709"/>
      <c r="W709"/>
      <c r="X709"/>
      <c r="Y709"/>
      <c r="Z709"/>
      <c r="AA709"/>
      <c r="AB709"/>
      <c r="AC709"/>
      <c r="AD709"/>
      <c r="AE709"/>
    </row>
    <row r="710" spans="17:31">
      <c r="Q710"/>
      <c r="R710"/>
      <c r="S710"/>
      <c r="T710"/>
      <c r="U710"/>
      <c r="V710"/>
      <c r="W710"/>
      <c r="X710"/>
      <c r="Y710"/>
      <c r="Z710"/>
      <c r="AA710"/>
      <c r="AB710"/>
      <c r="AC710"/>
      <c r="AD710"/>
      <c r="AE710"/>
    </row>
    <row r="711" spans="17:31">
      <c r="Q711"/>
      <c r="R711"/>
      <c r="S711"/>
      <c r="T711"/>
      <c r="U711"/>
      <c r="V711"/>
      <c r="W711"/>
      <c r="X711"/>
      <c r="Y711"/>
      <c r="Z711"/>
      <c r="AA711"/>
      <c r="AB711"/>
      <c r="AC711"/>
      <c r="AD711"/>
      <c r="AE711"/>
    </row>
    <row r="712" spans="17:31">
      <c r="Q712"/>
      <c r="R712"/>
      <c r="S712"/>
      <c r="T712"/>
      <c r="U712"/>
      <c r="V712"/>
      <c r="W712"/>
      <c r="X712"/>
      <c r="Y712"/>
      <c r="Z712"/>
      <c r="AA712"/>
      <c r="AB712"/>
      <c r="AC712"/>
      <c r="AD712"/>
      <c r="AE712"/>
    </row>
    <row r="713" spans="17:31">
      <c r="Q713"/>
      <c r="R713"/>
      <c r="S713"/>
      <c r="T713"/>
      <c r="U713"/>
      <c r="V713"/>
      <c r="W713"/>
      <c r="X713"/>
      <c r="Y713"/>
      <c r="Z713"/>
      <c r="AA713"/>
      <c r="AB713"/>
      <c r="AC713"/>
      <c r="AD713"/>
      <c r="AE713"/>
    </row>
    <row r="714" spans="17:31">
      <c r="Q714"/>
      <c r="R714"/>
      <c r="S714"/>
      <c r="T714"/>
      <c r="U714"/>
      <c r="V714"/>
      <c r="W714"/>
      <c r="X714"/>
      <c r="Y714"/>
      <c r="Z714"/>
      <c r="AA714"/>
      <c r="AB714"/>
      <c r="AC714"/>
      <c r="AD714"/>
      <c r="AE714"/>
    </row>
    <row r="715" spans="17:31">
      <c r="Q715"/>
      <c r="R715"/>
      <c r="S715"/>
      <c r="T715"/>
      <c r="U715"/>
      <c r="V715"/>
      <c r="W715"/>
      <c r="X715"/>
      <c r="Y715"/>
      <c r="Z715"/>
      <c r="AA715"/>
      <c r="AB715"/>
      <c r="AC715"/>
      <c r="AD715"/>
      <c r="AE715"/>
    </row>
    <row r="716" spans="17:31">
      <c r="Q716"/>
      <c r="R716"/>
      <c r="S716"/>
      <c r="T716"/>
      <c r="U716"/>
      <c r="V716"/>
      <c r="W716"/>
      <c r="X716"/>
      <c r="Y716"/>
      <c r="Z716"/>
      <c r="AA716"/>
      <c r="AB716"/>
      <c r="AC716"/>
      <c r="AD716"/>
      <c r="AE716"/>
    </row>
    <row r="717" spans="17:31">
      <c r="Q717"/>
      <c r="R717"/>
      <c r="S717"/>
      <c r="T717"/>
      <c r="U717"/>
      <c r="V717"/>
      <c r="W717"/>
      <c r="X717"/>
      <c r="Y717"/>
      <c r="Z717"/>
      <c r="AA717"/>
      <c r="AB717"/>
      <c r="AC717"/>
      <c r="AD717"/>
      <c r="AE717"/>
    </row>
    <row r="718" spans="17:31">
      <c r="Q718"/>
      <c r="R718"/>
      <c r="S718"/>
      <c r="T718"/>
      <c r="U718"/>
      <c r="V718"/>
      <c r="W718"/>
      <c r="X718"/>
      <c r="Y718"/>
      <c r="Z718"/>
      <c r="AA718"/>
      <c r="AB718"/>
      <c r="AC718"/>
      <c r="AD718"/>
      <c r="AE718"/>
    </row>
    <row r="719" spans="17:31">
      <c r="Q719"/>
      <c r="R719"/>
      <c r="S719"/>
      <c r="T719"/>
      <c r="U719"/>
      <c r="V719"/>
      <c r="W719"/>
      <c r="X719"/>
      <c r="Y719"/>
      <c r="Z719"/>
      <c r="AA719"/>
      <c r="AB719"/>
      <c r="AC719"/>
      <c r="AD719"/>
      <c r="AE719"/>
    </row>
    <row r="720" spans="17:31">
      <c r="Q720"/>
      <c r="R720"/>
      <c r="S720"/>
      <c r="T720"/>
      <c r="U720"/>
      <c r="V720"/>
      <c r="W720"/>
      <c r="X720"/>
      <c r="Y720"/>
      <c r="Z720"/>
      <c r="AA720"/>
      <c r="AB720"/>
      <c r="AC720"/>
      <c r="AD720"/>
      <c r="AE720"/>
    </row>
    <row r="721" spans="17:31">
      <c r="Q721"/>
      <c r="R721"/>
      <c r="S721"/>
      <c r="T721"/>
      <c r="U721"/>
      <c r="V721"/>
      <c r="W721"/>
      <c r="X721"/>
      <c r="Y721"/>
      <c r="Z721"/>
      <c r="AA721"/>
      <c r="AB721"/>
      <c r="AC721"/>
      <c r="AD721"/>
      <c r="AE721"/>
    </row>
    <row r="722" spans="17:31">
      <c r="Q722"/>
      <c r="R722"/>
      <c r="S722"/>
      <c r="T722"/>
      <c r="U722"/>
      <c r="V722"/>
      <c r="W722"/>
      <c r="X722"/>
      <c r="Y722"/>
      <c r="Z722"/>
      <c r="AA722"/>
      <c r="AB722"/>
      <c r="AC722"/>
      <c r="AD722"/>
      <c r="AE722"/>
    </row>
    <row r="723" spans="17:31">
      <c r="Q723"/>
      <c r="R723"/>
      <c r="S723"/>
      <c r="T723"/>
      <c r="U723"/>
      <c r="V723"/>
      <c r="W723"/>
      <c r="X723"/>
      <c r="Y723"/>
      <c r="Z723"/>
      <c r="AA723"/>
      <c r="AB723"/>
      <c r="AC723"/>
      <c r="AD723"/>
      <c r="AE723"/>
    </row>
    <row r="724" spans="17:31">
      <c r="Q724"/>
      <c r="R724"/>
      <c r="S724"/>
      <c r="T724"/>
      <c r="U724"/>
      <c r="V724"/>
      <c r="W724"/>
      <c r="X724"/>
      <c r="Y724"/>
      <c r="Z724"/>
      <c r="AA724"/>
      <c r="AB724"/>
      <c r="AC724"/>
      <c r="AD724"/>
      <c r="AE724"/>
    </row>
    <row r="725" spans="17:31">
      <c r="Q725"/>
      <c r="R725"/>
      <c r="S725"/>
      <c r="T725"/>
      <c r="U725"/>
      <c r="V725"/>
      <c r="W725"/>
      <c r="X725"/>
      <c r="Y725"/>
      <c r="Z725"/>
      <c r="AA725"/>
      <c r="AB725"/>
      <c r="AC725"/>
      <c r="AD725"/>
      <c r="AE725"/>
    </row>
    <row r="726" spans="17:31">
      <c r="Q726"/>
      <c r="R726"/>
      <c r="S726"/>
      <c r="T726"/>
      <c r="U726"/>
      <c r="V726"/>
      <c r="W726"/>
      <c r="X726"/>
      <c r="Y726"/>
      <c r="Z726"/>
      <c r="AA726"/>
      <c r="AB726"/>
      <c r="AC726"/>
      <c r="AD726"/>
      <c r="AE726"/>
    </row>
    <row r="727" spans="17:31">
      <c r="Q727"/>
      <c r="R727"/>
      <c r="S727"/>
      <c r="T727"/>
      <c r="U727"/>
      <c r="V727"/>
      <c r="W727"/>
      <c r="X727"/>
      <c r="Y727"/>
      <c r="Z727"/>
      <c r="AA727"/>
      <c r="AB727"/>
      <c r="AC727"/>
      <c r="AD727"/>
      <c r="AE727"/>
    </row>
    <row r="728" spans="17:31">
      <c r="Q728"/>
      <c r="R728"/>
      <c r="S728"/>
      <c r="T728"/>
      <c r="U728"/>
      <c r="V728"/>
      <c r="W728"/>
      <c r="X728"/>
      <c r="Y728"/>
      <c r="Z728"/>
      <c r="AA728"/>
      <c r="AB728"/>
      <c r="AC728"/>
      <c r="AD728"/>
      <c r="AE728"/>
    </row>
    <row r="729" spans="17:31">
      <c r="Q729"/>
      <c r="R729"/>
      <c r="S729"/>
      <c r="T729"/>
      <c r="U729"/>
      <c r="V729"/>
      <c r="W729"/>
      <c r="X729"/>
      <c r="Y729"/>
      <c r="Z729"/>
      <c r="AA729"/>
      <c r="AB729"/>
      <c r="AC729"/>
      <c r="AD729"/>
      <c r="AE729"/>
    </row>
    <row r="730" spans="17:31">
      <c r="Q730"/>
      <c r="R730"/>
      <c r="S730"/>
      <c r="T730"/>
      <c r="U730"/>
      <c r="V730"/>
      <c r="W730"/>
      <c r="X730"/>
      <c r="Y730"/>
      <c r="Z730"/>
      <c r="AA730"/>
      <c r="AB730"/>
      <c r="AC730"/>
      <c r="AD730"/>
      <c r="AE730"/>
    </row>
    <row r="731" spans="17:31">
      <c r="Q731"/>
      <c r="R731"/>
      <c r="S731"/>
      <c r="T731"/>
      <c r="U731"/>
      <c r="V731"/>
      <c r="W731"/>
      <c r="X731"/>
      <c r="Y731"/>
      <c r="Z731"/>
      <c r="AA731"/>
      <c r="AB731"/>
      <c r="AC731"/>
      <c r="AD731"/>
      <c r="AE731"/>
    </row>
    <row r="732" spans="17:31">
      <c r="Q732"/>
      <c r="R732"/>
      <c r="S732"/>
      <c r="T732"/>
      <c r="U732"/>
      <c r="V732"/>
      <c r="W732"/>
      <c r="X732"/>
      <c r="Y732"/>
      <c r="Z732"/>
      <c r="AA732"/>
      <c r="AB732"/>
      <c r="AC732"/>
      <c r="AD732"/>
      <c r="AE732"/>
    </row>
    <row r="733" spans="17:31">
      <c r="Q733"/>
      <c r="R733"/>
      <c r="S733"/>
      <c r="T733"/>
      <c r="U733"/>
      <c r="V733"/>
      <c r="W733"/>
      <c r="X733"/>
      <c r="Y733"/>
      <c r="Z733"/>
      <c r="AA733"/>
      <c r="AB733"/>
      <c r="AC733"/>
      <c r="AD733"/>
      <c r="AE733"/>
    </row>
    <row r="734" spans="17:31">
      <c r="Q734"/>
      <c r="R734"/>
      <c r="S734"/>
      <c r="T734"/>
      <c r="U734"/>
      <c r="V734"/>
      <c r="W734"/>
      <c r="X734"/>
      <c r="Y734"/>
      <c r="Z734"/>
      <c r="AA734"/>
      <c r="AB734"/>
      <c r="AC734"/>
      <c r="AD734"/>
      <c r="AE734"/>
    </row>
    <row r="735" spans="17:31">
      <c r="Q735"/>
      <c r="R735"/>
      <c r="S735"/>
      <c r="T735"/>
      <c r="U735"/>
      <c r="V735"/>
      <c r="W735"/>
      <c r="X735"/>
      <c r="Y735"/>
      <c r="Z735"/>
      <c r="AA735"/>
      <c r="AB735"/>
      <c r="AC735"/>
      <c r="AD735"/>
      <c r="AE735"/>
    </row>
    <row r="736" spans="17:31">
      <c r="Q736"/>
      <c r="R736"/>
      <c r="S736"/>
      <c r="T736"/>
      <c r="U736"/>
      <c r="V736"/>
      <c r="W736"/>
      <c r="X736"/>
      <c r="Y736"/>
      <c r="Z736"/>
      <c r="AA736"/>
      <c r="AB736"/>
      <c r="AC736"/>
      <c r="AD736"/>
      <c r="AE736"/>
    </row>
    <row r="737" spans="17:31">
      <c r="Q737"/>
      <c r="R737"/>
      <c r="S737"/>
      <c r="T737"/>
      <c r="U737"/>
      <c r="V737"/>
      <c r="W737"/>
      <c r="X737"/>
      <c r="Y737"/>
      <c r="Z737"/>
      <c r="AA737"/>
      <c r="AB737"/>
      <c r="AC737"/>
      <c r="AD737"/>
      <c r="AE737"/>
    </row>
    <row r="738" spans="17:31">
      <c r="Q738"/>
      <c r="R738"/>
      <c r="S738"/>
      <c r="T738"/>
      <c r="U738"/>
      <c r="V738"/>
      <c r="W738"/>
      <c r="X738"/>
      <c r="Y738"/>
      <c r="Z738"/>
      <c r="AA738"/>
      <c r="AB738"/>
      <c r="AC738"/>
      <c r="AD738"/>
      <c r="AE738"/>
    </row>
    <row r="739" spans="17:31">
      <c r="Q739"/>
      <c r="R739"/>
      <c r="S739"/>
      <c r="T739"/>
      <c r="U739"/>
      <c r="V739"/>
      <c r="W739"/>
      <c r="X739"/>
      <c r="Y739"/>
      <c r="Z739"/>
      <c r="AA739"/>
      <c r="AB739"/>
      <c r="AC739"/>
      <c r="AD739"/>
      <c r="AE739"/>
    </row>
    <row r="740" spans="17:31">
      <c r="Q740"/>
      <c r="R740"/>
      <c r="S740"/>
      <c r="T740"/>
      <c r="U740"/>
      <c r="V740"/>
      <c r="W740"/>
      <c r="X740"/>
      <c r="Y740"/>
      <c r="Z740"/>
      <c r="AA740"/>
      <c r="AB740"/>
      <c r="AC740"/>
      <c r="AD740"/>
      <c r="AE740"/>
    </row>
    <row r="741" spans="17:31">
      <c r="Q741"/>
      <c r="R741"/>
      <c r="S741"/>
      <c r="T741"/>
      <c r="U741"/>
      <c r="V741"/>
      <c r="W741"/>
      <c r="X741"/>
      <c r="Y741"/>
      <c r="Z741"/>
      <c r="AA741"/>
      <c r="AB741"/>
      <c r="AC741"/>
      <c r="AD741"/>
      <c r="AE741"/>
    </row>
    <row r="742" spans="17:31">
      <c r="Q742"/>
      <c r="R742"/>
      <c r="S742"/>
      <c r="T742"/>
      <c r="U742"/>
      <c r="V742"/>
      <c r="W742"/>
      <c r="X742"/>
      <c r="Y742"/>
      <c r="Z742"/>
      <c r="AA742"/>
      <c r="AB742"/>
      <c r="AC742"/>
      <c r="AD742"/>
      <c r="AE742"/>
    </row>
    <row r="743" spans="17:31">
      <c r="Q743"/>
      <c r="R743"/>
      <c r="S743"/>
      <c r="T743"/>
      <c r="U743"/>
      <c r="V743"/>
      <c r="W743"/>
      <c r="X743"/>
      <c r="Y743"/>
      <c r="Z743"/>
      <c r="AA743"/>
      <c r="AB743"/>
      <c r="AC743"/>
      <c r="AD743"/>
      <c r="AE743"/>
    </row>
    <row r="744" spans="17:31">
      <c r="Q744"/>
      <c r="R744"/>
      <c r="S744"/>
      <c r="T744"/>
      <c r="U744"/>
      <c r="V744"/>
      <c r="W744"/>
      <c r="X744"/>
      <c r="Y744"/>
      <c r="Z744"/>
      <c r="AA744"/>
      <c r="AB744"/>
      <c r="AC744"/>
      <c r="AD744"/>
      <c r="AE744"/>
    </row>
    <row r="745" spans="17:31">
      <c r="Q745"/>
      <c r="R745"/>
      <c r="S745"/>
      <c r="T745"/>
      <c r="U745"/>
      <c r="V745"/>
      <c r="W745"/>
      <c r="X745"/>
      <c r="Y745"/>
      <c r="Z745"/>
      <c r="AA745"/>
      <c r="AB745"/>
      <c r="AC745"/>
      <c r="AD745"/>
      <c r="AE745"/>
    </row>
    <row r="746" spans="17:31">
      <c r="Q746"/>
      <c r="R746"/>
      <c r="S746"/>
      <c r="T746"/>
      <c r="U746"/>
      <c r="V746"/>
      <c r="W746"/>
      <c r="X746"/>
      <c r="Y746"/>
      <c r="Z746"/>
      <c r="AA746"/>
      <c r="AB746"/>
      <c r="AC746"/>
      <c r="AD746"/>
      <c r="AE746"/>
    </row>
    <row r="747" spans="17:31">
      <c r="Q747"/>
      <c r="R747"/>
      <c r="S747"/>
      <c r="T747"/>
      <c r="U747"/>
      <c r="V747"/>
      <c r="W747"/>
      <c r="X747"/>
      <c r="Y747"/>
      <c r="Z747"/>
      <c r="AA747"/>
      <c r="AB747"/>
      <c r="AC747"/>
      <c r="AD747"/>
      <c r="AE747"/>
    </row>
    <row r="748" spans="17:31">
      <c r="Q748"/>
      <c r="R748"/>
      <c r="S748"/>
      <c r="T748"/>
      <c r="U748"/>
      <c r="V748"/>
      <c r="W748"/>
      <c r="X748"/>
      <c r="Y748"/>
      <c r="Z748"/>
      <c r="AA748"/>
      <c r="AB748"/>
      <c r="AC748"/>
      <c r="AD748"/>
      <c r="AE748"/>
    </row>
    <row r="749" spans="17:31">
      <c r="Q749"/>
      <c r="R749"/>
      <c r="S749"/>
      <c r="T749"/>
      <c r="U749"/>
      <c r="V749"/>
      <c r="W749"/>
      <c r="X749"/>
      <c r="Y749"/>
      <c r="Z749"/>
      <c r="AA749"/>
      <c r="AB749"/>
      <c r="AC749"/>
      <c r="AD749"/>
      <c r="AE749"/>
    </row>
    <row r="750" spans="17:31">
      <c r="Q750"/>
      <c r="R750"/>
      <c r="S750"/>
      <c r="T750"/>
      <c r="U750"/>
      <c r="V750"/>
      <c r="W750"/>
      <c r="X750"/>
      <c r="Y750"/>
      <c r="Z750"/>
      <c r="AA750"/>
      <c r="AB750"/>
      <c r="AC750"/>
      <c r="AD750"/>
      <c r="AE750"/>
    </row>
    <row r="751" spans="17:31">
      <c r="Q751"/>
      <c r="R751"/>
      <c r="S751"/>
      <c r="T751"/>
      <c r="U751"/>
      <c r="V751"/>
      <c r="W751"/>
      <c r="X751"/>
      <c r="Y751"/>
      <c r="Z751"/>
      <c r="AA751"/>
      <c r="AB751"/>
      <c r="AC751"/>
      <c r="AD751"/>
      <c r="AE751"/>
    </row>
    <row r="752" spans="17:31">
      <c r="Q752"/>
      <c r="R752"/>
      <c r="S752"/>
      <c r="T752"/>
      <c r="U752"/>
      <c r="V752"/>
      <c r="W752"/>
      <c r="X752"/>
      <c r="Y752"/>
      <c r="Z752"/>
      <c r="AA752"/>
      <c r="AB752"/>
      <c r="AC752"/>
      <c r="AD752"/>
      <c r="AE752"/>
    </row>
    <row r="753" spans="17:31">
      <c r="Q753"/>
      <c r="R753"/>
      <c r="S753"/>
      <c r="T753"/>
      <c r="U753"/>
      <c r="V753"/>
      <c r="W753"/>
      <c r="X753"/>
      <c r="Y753"/>
      <c r="Z753"/>
      <c r="AA753"/>
      <c r="AB753"/>
      <c r="AC753"/>
      <c r="AD753"/>
      <c r="AE753"/>
    </row>
    <row r="754" spans="17:31">
      <c r="Q754"/>
      <c r="R754"/>
      <c r="S754"/>
      <c r="T754"/>
      <c r="U754"/>
      <c r="V754"/>
      <c r="W754"/>
      <c r="X754"/>
      <c r="Y754"/>
      <c r="Z754"/>
      <c r="AA754"/>
      <c r="AB754"/>
      <c r="AC754"/>
      <c r="AD754"/>
      <c r="AE754"/>
    </row>
    <row r="755" spans="17:31">
      <c r="Q755"/>
      <c r="R755"/>
      <c r="S755"/>
      <c r="T755"/>
      <c r="U755"/>
      <c r="V755"/>
      <c r="W755"/>
      <c r="X755"/>
      <c r="Y755"/>
      <c r="Z755"/>
      <c r="AA755"/>
      <c r="AB755"/>
      <c r="AC755"/>
      <c r="AD755"/>
      <c r="AE755"/>
    </row>
    <row r="756" spans="17:31">
      <c r="Q756"/>
      <c r="R756"/>
      <c r="S756"/>
      <c r="T756"/>
      <c r="U756"/>
      <c r="V756"/>
      <c r="W756"/>
      <c r="X756"/>
      <c r="Y756"/>
      <c r="Z756"/>
      <c r="AA756"/>
      <c r="AB756"/>
      <c r="AC756"/>
      <c r="AD756"/>
      <c r="AE756"/>
    </row>
    <row r="757" spans="17:31">
      <c r="Q757"/>
      <c r="R757"/>
      <c r="S757"/>
      <c r="T757"/>
      <c r="U757"/>
      <c r="V757"/>
      <c r="W757"/>
      <c r="X757"/>
      <c r="Y757"/>
      <c r="Z757"/>
      <c r="AA757"/>
      <c r="AB757"/>
      <c r="AC757"/>
      <c r="AD757"/>
      <c r="AE757"/>
    </row>
    <row r="758" spans="17:31">
      <c r="Q758"/>
      <c r="R758"/>
      <c r="S758"/>
      <c r="T758"/>
      <c r="U758"/>
      <c r="V758"/>
      <c r="W758"/>
      <c r="X758"/>
      <c r="Y758"/>
      <c r="Z758"/>
      <c r="AA758"/>
      <c r="AB758"/>
      <c r="AC758"/>
      <c r="AD758"/>
      <c r="AE758"/>
    </row>
    <row r="759" spans="17:31">
      <c r="Q759"/>
      <c r="R759"/>
      <c r="S759"/>
      <c r="T759"/>
      <c r="U759"/>
      <c r="V759"/>
      <c r="W759"/>
      <c r="X759"/>
      <c r="Y759"/>
      <c r="Z759"/>
      <c r="AA759"/>
      <c r="AB759"/>
      <c r="AC759"/>
      <c r="AD759"/>
      <c r="AE759"/>
    </row>
    <row r="760" spans="17:31">
      <c r="Q760"/>
      <c r="R760"/>
      <c r="S760"/>
      <c r="T760"/>
      <c r="U760"/>
      <c r="V760"/>
      <c r="W760"/>
      <c r="X760"/>
      <c r="Y760"/>
      <c r="Z760"/>
      <c r="AA760"/>
      <c r="AB760"/>
      <c r="AC760"/>
      <c r="AD760"/>
      <c r="AE760"/>
    </row>
    <row r="761" spans="17:31">
      <c r="Q761"/>
      <c r="R761"/>
      <c r="S761"/>
      <c r="T761"/>
      <c r="U761"/>
      <c r="V761"/>
      <c r="W761"/>
      <c r="X761"/>
      <c r="Y761"/>
      <c r="Z761"/>
      <c r="AA761"/>
      <c r="AB761"/>
      <c r="AC761"/>
      <c r="AD761"/>
      <c r="AE761"/>
    </row>
    <row r="762" spans="17:31">
      <c r="Q762"/>
      <c r="R762"/>
      <c r="S762"/>
      <c r="T762"/>
      <c r="U762"/>
      <c r="V762"/>
      <c r="W762"/>
      <c r="X762"/>
      <c r="Y762"/>
      <c r="Z762"/>
      <c r="AA762"/>
      <c r="AB762"/>
      <c r="AC762"/>
      <c r="AD762"/>
      <c r="AE762"/>
    </row>
    <row r="763" spans="17:31">
      <c r="Q763"/>
      <c r="R763"/>
      <c r="S763"/>
      <c r="T763"/>
      <c r="U763"/>
      <c r="V763"/>
      <c r="W763"/>
      <c r="X763"/>
      <c r="Y763"/>
      <c r="Z763"/>
      <c r="AA763"/>
      <c r="AB763"/>
      <c r="AC763"/>
      <c r="AD763"/>
      <c r="AE763"/>
    </row>
    <row r="764" spans="17:31">
      <c r="Q764"/>
      <c r="R764"/>
      <c r="S764"/>
      <c r="T764"/>
      <c r="U764"/>
      <c r="V764"/>
      <c r="W764"/>
      <c r="X764"/>
      <c r="Y764"/>
      <c r="Z764"/>
      <c r="AA764"/>
      <c r="AB764"/>
      <c r="AC764"/>
      <c r="AD764"/>
      <c r="AE764"/>
    </row>
    <row r="765" spans="17:31">
      <c r="Q765"/>
      <c r="R765"/>
      <c r="S765"/>
      <c r="T765"/>
      <c r="U765"/>
      <c r="V765"/>
      <c r="W765"/>
      <c r="X765"/>
      <c r="Y765"/>
      <c r="Z765"/>
      <c r="AA765"/>
      <c r="AB765"/>
      <c r="AC765"/>
      <c r="AD765"/>
      <c r="AE765"/>
    </row>
    <row r="766" spans="17:31">
      <c r="Q766"/>
      <c r="R766"/>
      <c r="S766"/>
      <c r="T766"/>
      <c r="U766"/>
      <c r="V766"/>
      <c r="W766"/>
      <c r="X766"/>
      <c r="Y766"/>
      <c r="Z766"/>
      <c r="AA766"/>
      <c r="AB766"/>
      <c r="AC766"/>
      <c r="AD766"/>
      <c r="AE766"/>
    </row>
    <row r="767" spans="17:31">
      <c r="Q767"/>
      <c r="R767"/>
      <c r="S767"/>
      <c r="T767"/>
      <c r="U767"/>
      <c r="V767"/>
      <c r="W767"/>
      <c r="X767"/>
      <c r="Y767"/>
      <c r="Z767"/>
      <c r="AA767"/>
      <c r="AB767"/>
      <c r="AC767"/>
      <c r="AD767"/>
      <c r="AE767"/>
    </row>
    <row r="768" spans="17:31">
      <c r="Q768"/>
      <c r="R768"/>
      <c r="S768"/>
      <c r="T768"/>
      <c r="U768"/>
      <c r="V768"/>
      <c r="W768"/>
      <c r="X768"/>
      <c r="Y768"/>
      <c r="Z768"/>
      <c r="AA768"/>
      <c r="AB768"/>
      <c r="AC768"/>
      <c r="AD768"/>
      <c r="AE768"/>
    </row>
    <row r="769" spans="17:31">
      <c r="Q769"/>
      <c r="R769"/>
      <c r="S769"/>
      <c r="T769"/>
      <c r="U769"/>
      <c r="V769"/>
      <c r="W769"/>
      <c r="X769"/>
      <c r="Y769"/>
      <c r="Z769"/>
      <c r="AA769"/>
      <c r="AB769"/>
      <c r="AC769"/>
      <c r="AD769"/>
      <c r="AE769"/>
    </row>
    <row r="770" spans="17:31">
      <c r="Q770"/>
      <c r="R770"/>
      <c r="S770"/>
      <c r="T770"/>
      <c r="U770"/>
      <c r="V770"/>
      <c r="W770"/>
      <c r="X770"/>
      <c r="Y770"/>
      <c r="Z770"/>
      <c r="AA770"/>
      <c r="AB770"/>
      <c r="AC770"/>
      <c r="AD770"/>
      <c r="AE770"/>
    </row>
    <row r="771" spans="17:31">
      <c r="Q771"/>
      <c r="R771"/>
      <c r="S771"/>
      <c r="T771"/>
      <c r="U771"/>
      <c r="V771"/>
      <c r="W771"/>
      <c r="X771"/>
      <c r="Y771"/>
      <c r="Z771"/>
      <c r="AA771"/>
      <c r="AB771"/>
      <c r="AC771"/>
      <c r="AD771"/>
      <c r="AE771"/>
    </row>
    <row r="772" spans="17:31">
      <c r="Q772"/>
      <c r="R772"/>
      <c r="S772"/>
      <c r="T772"/>
      <c r="U772"/>
      <c r="V772"/>
      <c r="W772"/>
      <c r="X772"/>
      <c r="Y772"/>
      <c r="Z772"/>
      <c r="AA772"/>
      <c r="AB772"/>
      <c r="AC772"/>
      <c r="AD772"/>
      <c r="AE772"/>
    </row>
    <row r="773" spans="17:31">
      <c r="Q773"/>
      <c r="R773"/>
      <c r="S773"/>
      <c r="T773"/>
      <c r="U773"/>
      <c r="V773"/>
      <c r="W773"/>
      <c r="X773"/>
      <c r="Y773"/>
      <c r="Z773"/>
      <c r="AA773"/>
      <c r="AB773"/>
      <c r="AC773"/>
      <c r="AD773"/>
      <c r="AE773"/>
    </row>
    <row r="774" spans="17:31">
      <c r="Q774"/>
      <c r="R774"/>
      <c r="S774"/>
      <c r="T774"/>
      <c r="U774"/>
      <c r="V774"/>
      <c r="W774"/>
      <c r="X774"/>
      <c r="Y774"/>
      <c r="Z774"/>
      <c r="AA774"/>
      <c r="AB774"/>
      <c r="AC774"/>
      <c r="AD774"/>
      <c r="AE774"/>
    </row>
    <row r="775" spans="17:31">
      <c r="Q775"/>
      <c r="R775"/>
      <c r="S775"/>
      <c r="T775"/>
      <c r="U775"/>
      <c r="V775"/>
      <c r="W775"/>
      <c r="X775"/>
      <c r="Y775"/>
      <c r="Z775"/>
      <c r="AA775"/>
      <c r="AB775"/>
      <c r="AC775"/>
      <c r="AD775"/>
      <c r="AE775"/>
    </row>
    <row r="776" spans="17:31">
      <c r="Q776" s="23"/>
      <c r="R776" s="1"/>
      <c r="S776" s="1"/>
      <c r="T776" s="1"/>
      <c r="U776" s="1"/>
      <c r="V776" s="1"/>
      <c r="W776" s="1"/>
      <c r="X776" s="1"/>
      <c r="Y776" s="1"/>
      <c r="Z776" s="1"/>
    </row>
    <row r="777" spans="17:31">
      <c r="Q777" s="23"/>
      <c r="R777" s="1"/>
      <c r="S777" s="1"/>
      <c r="T777" s="1"/>
      <c r="U777" s="1"/>
      <c r="V777" s="1"/>
      <c r="W777" s="1"/>
      <c r="X777" s="1"/>
      <c r="Y777" s="1"/>
      <c r="Z777" s="1"/>
    </row>
    <row r="778" spans="17:31">
      <c r="Q778" s="23"/>
      <c r="R778" s="1"/>
      <c r="S778" s="1"/>
      <c r="T778" s="1"/>
      <c r="U778" s="1"/>
      <c r="V778" s="1"/>
      <c r="W778" s="1"/>
      <c r="X778" s="1"/>
      <c r="Y778" s="1"/>
      <c r="Z778" s="1"/>
    </row>
    <row r="779" spans="17:31">
      <c r="Q779" s="23"/>
      <c r="R779" s="1"/>
      <c r="S779" s="1"/>
      <c r="T779" s="1"/>
      <c r="U779" s="1"/>
      <c r="V779" s="1"/>
      <c r="W779" s="1"/>
      <c r="X779" s="1"/>
      <c r="Y779" s="1"/>
      <c r="Z779" s="1"/>
    </row>
    <row r="780" spans="17:31">
      <c r="Q780" s="23"/>
      <c r="R780" s="1"/>
      <c r="S780" s="1"/>
      <c r="T780" s="1"/>
      <c r="U780" s="1"/>
      <c r="V780" s="1"/>
      <c r="W780" s="1"/>
      <c r="X780" s="1"/>
      <c r="Y780" s="1"/>
      <c r="Z780" s="1"/>
    </row>
    <row r="781" spans="17:31">
      <c r="Q781" s="23"/>
      <c r="R781" s="1"/>
      <c r="S781" s="1"/>
      <c r="T781" s="1"/>
      <c r="U781" s="1"/>
      <c r="V781" s="1"/>
      <c r="W781" s="1"/>
      <c r="X781" s="1"/>
      <c r="Y781" s="1"/>
      <c r="Z781" s="1"/>
    </row>
    <row r="782" spans="17:31">
      <c r="Q782" s="23"/>
      <c r="R782" s="1"/>
      <c r="S782" s="1"/>
      <c r="T782" s="1"/>
      <c r="U782" s="1"/>
      <c r="V782" s="1"/>
      <c r="W782" s="1"/>
      <c r="X782" s="1"/>
      <c r="Y782" s="1"/>
      <c r="Z782" s="1"/>
    </row>
    <row r="783" spans="17:31">
      <c r="Q783" s="23"/>
      <c r="R783" s="1"/>
      <c r="S783" s="1"/>
      <c r="T783" s="1"/>
      <c r="U783" s="1"/>
      <c r="V783" s="1"/>
      <c r="W783" s="1"/>
      <c r="X783" s="1"/>
      <c r="Y783" s="1"/>
      <c r="Z783" s="1"/>
    </row>
    <row r="784" spans="17:31">
      <c r="Q784" s="23"/>
      <c r="R784" s="1"/>
      <c r="S784" s="1"/>
      <c r="T784" s="1"/>
      <c r="U784" s="1"/>
      <c r="V784" s="1"/>
      <c r="W784" s="1"/>
      <c r="X784" s="1"/>
      <c r="Y784" s="1"/>
      <c r="Z784" s="1"/>
    </row>
    <row r="785" spans="17:26">
      <c r="Q785" s="23"/>
      <c r="R785" s="1"/>
      <c r="S785" s="1"/>
      <c r="T785" s="1"/>
      <c r="U785" s="1"/>
      <c r="V785" s="1"/>
      <c r="W785" s="1"/>
      <c r="X785" s="1"/>
      <c r="Y785" s="1"/>
      <c r="Z785" s="1"/>
    </row>
    <row r="786" spans="17:26">
      <c r="Q786" s="23"/>
      <c r="R786" s="1"/>
      <c r="S786" s="1"/>
      <c r="T786" s="1"/>
      <c r="U786" s="1"/>
      <c r="V786" s="1"/>
      <c r="W786" s="1"/>
      <c r="X786" s="1"/>
      <c r="Y786" s="1"/>
      <c r="Z786" s="1"/>
    </row>
    <row r="787" spans="17:26">
      <c r="Q787" s="23"/>
      <c r="R787" s="1"/>
      <c r="S787" s="1"/>
      <c r="T787" s="1"/>
      <c r="U787" s="1"/>
      <c r="V787" s="1"/>
      <c r="W787" s="1"/>
      <c r="X787" s="1"/>
      <c r="Y787" s="1"/>
      <c r="Z787" s="1"/>
    </row>
    <row r="788" spans="17:26">
      <c r="Q788" s="23"/>
      <c r="R788" s="1"/>
      <c r="S788" s="1"/>
      <c r="T788" s="1"/>
      <c r="U788" s="1"/>
      <c r="V788" s="1"/>
      <c r="W788" s="1"/>
      <c r="X788" s="1"/>
      <c r="Y788" s="1"/>
      <c r="Z788" s="1"/>
    </row>
    <row r="789" spans="17:26">
      <c r="Q789" s="23"/>
      <c r="R789" s="1"/>
      <c r="S789" s="1"/>
      <c r="T789" s="1"/>
      <c r="U789" s="1"/>
      <c r="V789" s="1"/>
      <c r="W789" s="1"/>
      <c r="X789" s="1"/>
      <c r="Y789" s="1"/>
      <c r="Z789" s="1"/>
    </row>
    <row r="790" spans="17:26">
      <c r="Q790" s="23"/>
      <c r="R790" s="1"/>
      <c r="S790" s="1"/>
      <c r="T790" s="1"/>
      <c r="U790" s="1"/>
      <c r="V790" s="1"/>
      <c r="W790" s="1"/>
      <c r="X790" s="1"/>
      <c r="Y790" s="1"/>
      <c r="Z790" s="1"/>
    </row>
    <row r="791" spans="17:26">
      <c r="Q791" s="23"/>
      <c r="R791" s="1"/>
      <c r="S791" s="1"/>
      <c r="T791" s="1"/>
      <c r="U791" s="1"/>
      <c r="V791" s="1"/>
      <c r="W791" s="1"/>
      <c r="X791" s="1"/>
      <c r="Y791" s="1"/>
      <c r="Z791" s="1"/>
    </row>
    <row r="792" spans="17:26">
      <c r="Q792" s="23"/>
      <c r="R792" s="1"/>
      <c r="S792" s="1"/>
      <c r="T792" s="1"/>
      <c r="U792" s="1"/>
      <c r="V792" s="1"/>
      <c r="W792" s="1"/>
      <c r="X792" s="1"/>
      <c r="Y792" s="1"/>
      <c r="Z792" s="1"/>
    </row>
    <row r="793" spans="17:26">
      <c r="Q793" s="23"/>
      <c r="R793" s="1"/>
      <c r="S793" s="1"/>
      <c r="T793" s="1"/>
      <c r="U793" s="1"/>
      <c r="V793" s="1"/>
      <c r="W793" s="1"/>
      <c r="X793" s="1"/>
      <c r="Y793" s="1"/>
      <c r="Z793" s="1"/>
    </row>
    <row r="794" spans="17:26">
      <c r="Q794" s="23"/>
      <c r="R794" s="1"/>
      <c r="S794" s="1"/>
      <c r="T794" s="1"/>
      <c r="U794" s="1"/>
      <c r="V794" s="1"/>
      <c r="W794" s="1"/>
      <c r="X794" s="1"/>
      <c r="Y794" s="1"/>
      <c r="Z794" s="1"/>
    </row>
    <row r="795" spans="17:26">
      <c r="Q795" s="23"/>
      <c r="R795" s="1"/>
      <c r="S795" s="1"/>
      <c r="T795" s="1"/>
      <c r="U795" s="1"/>
      <c r="V795" s="1"/>
      <c r="W795" s="1"/>
      <c r="X795" s="1"/>
      <c r="Y795" s="1"/>
      <c r="Z795" s="1"/>
    </row>
    <row r="796" spans="17:26">
      <c r="Q796" s="23"/>
      <c r="R796" s="1"/>
      <c r="S796" s="1"/>
      <c r="T796" s="1"/>
      <c r="U796" s="1"/>
      <c r="V796" s="1"/>
      <c r="W796" s="1"/>
      <c r="X796" s="1"/>
      <c r="Y796" s="1"/>
      <c r="Z796" s="1"/>
    </row>
    <row r="797" spans="17:26">
      <c r="Q797" s="23"/>
      <c r="R797" s="1"/>
      <c r="S797" s="1"/>
      <c r="T797" s="1"/>
      <c r="U797" s="1"/>
      <c r="V797" s="1"/>
      <c r="W797" s="1"/>
      <c r="X797" s="1"/>
      <c r="Y797" s="1"/>
      <c r="Z797" s="1"/>
    </row>
    <row r="798" spans="17:26">
      <c r="Q798" s="23"/>
      <c r="R798" s="1"/>
      <c r="S798" s="1"/>
      <c r="T798" s="1"/>
      <c r="U798" s="1"/>
      <c r="V798" s="1"/>
      <c r="W798" s="1"/>
      <c r="X798" s="1"/>
      <c r="Y798" s="1"/>
      <c r="Z798" s="1"/>
    </row>
    <row r="799" spans="17:26">
      <c r="Q799" s="23"/>
      <c r="R799" s="1"/>
      <c r="S799" s="1"/>
      <c r="T799" s="1"/>
      <c r="U799" s="1"/>
      <c r="V799" s="1"/>
      <c r="W799" s="1"/>
      <c r="X799" s="1"/>
      <c r="Y799" s="1"/>
      <c r="Z799" s="1"/>
    </row>
    <row r="800" spans="17:26">
      <c r="Q800" s="23"/>
      <c r="R800" s="1"/>
      <c r="S800" s="1"/>
      <c r="T800" s="1"/>
      <c r="U800" s="1"/>
      <c r="V800" s="1"/>
      <c r="W800" s="1"/>
      <c r="X800" s="1"/>
      <c r="Y800" s="1"/>
      <c r="Z800" s="1"/>
    </row>
    <row r="801" spans="17:26">
      <c r="Q801" s="23"/>
      <c r="R801" s="1"/>
      <c r="S801" s="1"/>
      <c r="T801" s="1"/>
      <c r="U801" s="1"/>
      <c r="V801" s="1"/>
      <c r="W801" s="1"/>
      <c r="X801" s="1"/>
      <c r="Y801" s="1"/>
      <c r="Z801" s="1"/>
    </row>
    <row r="802" spans="17:26">
      <c r="Q802" s="23"/>
      <c r="R802" s="1"/>
      <c r="S802" s="1"/>
      <c r="T802" s="1"/>
      <c r="U802" s="1"/>
      <c r="V802" s="1"/>
      <c r="W802" s="1"/>
      <c r="X802" s="1"/>
      <c r="Y802" s="1"/>
      <c r="Z802" s="1"/>
    </row>
    <row r="803" spans="17:26">
      <c r="Q803" s="23"/>
      <c r="R803" s="1"/>
      <c r="S803" s="1"/>
      <c r="T803" s="1"/>
      <c r="U803" s="1"/>
      <c r="V803" s="1"/>
      <c r="W803" s="1"/>
      <c r="X803" s="1"/>
      <c r="Y803" s="1"/>
      <c r="Z803" s="1"/>
    </row>
    <row r="804" spans="17:26">
      <c r="Q804" s="23"/>
      <c r="R804" s="1"/>
      <c r="S804" s="1"/>
      <c r="T804" s="1"/>
      <c r="U804" s="1"/>
      <c r="V804" s="1"/>
      <c r="W804" s="1"/>
      <c r="X804" s="1"/>
      <c r="Y804" s="1"/>
      <c r="Z804" s="1"/>
    </row>
    <row r="805" spans="17:26">
      <c r="Q805" s="23"/>
      <c r="R805" s="1"/>
      <c r="S805" s="1"/>
      <c r="T805" s="1"/>
      <c r="U805" s="1"/>
      <c r="V805" s="1"/>
      <c r="W805" s="1"/>
      <c r="X805" s="1"/>
      <c r="Y805" s="1"/>
      <c r="Z805" s="1"/>
    </row>
    <row r="806" spans="17:26">
      <c r="Q806" s="23"/>
      <c r="R806" s="1"/>
      <c r="S806" s="1"/>
      <c r="T806" s="1"/>
      <c r="U806" s="1"/>
      <c r="V806" s="1"/>
      <c r="W806" s="1"/>
      <c r="X806" s="1"/>
      <c r="Y806" s="1"/>
      <c r="Z806" s="1"/>
    </row>
    <row r="807" spans="17:26">
      <c r="Q807" s="23"/>
      <c r="R807" s="1"/>
      <c r="S807" s="1"/>
      <c r="T807" s="1"/>
      <c r="U807" s="1"/>
      <c r="V807" s="1"/>
      <c r="W807" s="1"/>
      <c r="X807" s="1"/>
      <c r="Y807" s="1"/>
      <c r="Z807" s="1"/>
    </row>
    <row r="808" spans="17:26">
      <c r="Q808" s="23"/>
      <c r="R808" s="1"/>
      <c r="S808" s="1"/>
      <c r="T808" s="1"/>
      <c r="U808" s="1"/>
      <c r="V808" s="1"/>
      <c r="W808" s="1"/>
      <c r="X808" s="1"/>
      <c r="Y808" s="1"/>
      <c r="Z808" s="1"/>
    </row>
    <row r="809" spans="17:26">
      <c r="Q809" s="23"/>
      <c r="R809" s="1"/>
      <c r="S809" s="1"/>
      <c r="T809" s="1"/>
      <c r="U809" s="1"/>
      <c r="V809" s="1"/>
      <c r="W809" s="1"/>
      <c r="X809" s="1"/>
      <c r="Y809" s="1"/>
      <c r="Z809" s="1"/>
    </row>
    <row r="810" spans="17:26">
      <c r="Q810" s="23"/>
      <c r="R810" s="1"/>
      <c r="S810" s="1"/>
      <c r="T810" s="1"/>
      <c r="U810" s="1"/>
      <c r="V810" s="1"/>
      <c r="W810" s="1"/>
      <c r="X810" s="1"/>
      <c r="Y810" s="1"/>
      <c r="Z810" s="1"/>
    </row>
    <row r="811" spans="17:26">
      <c r="Q811" s="23"/>
      <c r="R811" s="1"/>
      <c r="S811" s="1"/>
      <c r="T811" s="1"/>
      <c r="U811" s="1"/>
      <c r="V811" s="1"/>
      <c r="W811" s="1"/>
      <c r="X811" s="1"/>
      <c r="Y811" s="1"/>
      <c r="Z811" s="1"/>
    </row>
    <row r="812" spans="17:26">
      <c r="Q812" s="23"/>
      <c r="R812" s="1"/>
      <c r="S812" s="1"/>
      <c r="T812" s="1"/>
      <c r="U812" s="1"/>
      <c r="V812" s="1"/>
      <c r="W812" s="1"/>
      <c r="X812" s="1"/>
      <c r="Y812" s="1"/>
      <c r="Z812" s="1"/>
    </row>
    <row r="813" spans="17:26">
      <c r="Q813" s="23"/>
      <c r="R813" s="1"/>
      <c r="S813" s="1"/>
      <c r="T813" s="1"/>
      <c r="U813" s="1"/>
      <c r="V813" s="1"/>
      <c r="W813" s="1"/>
      <c r="X813" s="1"/>
      <c r="Y813" s="1"/>
      <c r="Z813" s="1"/>
    </row>
    <row r="814" spans="17:26">
      <c r="Q814" s="23"/>
      <c r="R814" s="1"/>
      <c r="S814" s="1"/>
      <c r="T814" s="1"/>
      <c r="U814" s="1"/>
      <c r="V814" s="1"/>
      <c r="W814" s="1"/>
      <c r="X814" s="1"/>
      <c r="Y814" s="1"/>
      <c r="Z814" s="1"/>
    </row>
    <row r="815" spans="17:26">
      <c r="Q815" s="23"/>
      <c r="R815" s="1"/>
      <c r="S815" s="1"/>
      <c r="T815" s="1"/>
      <c r="U815" s="1"/>
      <c r="V815" s="1"/>
      <c r="W815" s="1"/>
      <c r="X815" s="1"/>
      <c r="Y815" s="1"/>
      <c r="Z815" s="1"/>
    </row>
    <row r="816" spans="17:26">
      <c r="Q816" s="23"/>
      <c r="R816" s="1"/>
      <c r="S816" s="1"/>
      <c r="T816" s="1"/>
      <c r="U816" s="1"/>
      <c r="V816" s="1"/>
      <c r="W816" s="1"/>
      <c r="X816" s="1"/>
      <c r="Y816" s="1"/>
      <c r="Z816" s="1"/>
    </row>
    <row r="817" spans="17:26">
      <c r="Q817" s="23"/>
      <c r="R817" s="1"/>
      <c r="S817" s="1"/>
      <c r="T817" s="1"/>
      <c r="U817" s="1"/>
      <c r="V817" s="1"/>
      <c r="W817" s="1"/>
      <c r="X817" s="1"/>
      <c r="Y817" s="1"/>
      <c r="Z817" s="1"/>
    </row>
    <row r="818" spans="17:26">
      <c r="Q818" s="23"/>
      <c r="R818" s="1"/>
      <c r="S818" s="1"/>
      <c r="T818" s="1"/>
      <c r="U818" s="1"/>
      <c r="V818" s="1"/>
      <c r="W818" s="1"/>
      <c r="X818" s="1"/>
      <c r="Y818" s="1"/>
      <c r="Z818" s="1"/>
    </row>
    <row r="819" spans="17:26">
      <c r="Q819" s="23"/>
      <c r="R819" s="1"/>
      <c r="S819" s="1"/>
      <c r="T819" s="1"/>
      <c r="U819" s="1"/>
      <c r="V819" s="1"/>
      <c r="W819" s="1"/>
      <c r="X819" s="1"/>
      <c r="Y819" s="1"/>
      <c r="Z819" s="1"/>
    </row>
    <row r="820" spans="17:26">
      <c r="Q820" s="23"/>
      <c r="R820" s="1"/>
      <c r="S820" s="1"/>
      <c r="T820" s="1"/>
      <c r="U820" s="1"/>
      <c r="V820" s="1"/>
      <c r="W820" s="1"/>
      <c r="X820" s="1"/>
      <c r="Y820" s="1"/>
      <c r="Z820" s="1"/>
    </row>
    <row r="821" spans="17:26">
      <c r="Q821" s="23"/>
      <c r="R821" s="1"/>
      <c r="S821" s="1"/>
      <c r="T821" s="1"/>
      <c r="U821" s="1"/>
      <c r="V821" s="1"/>
      <c r="W821" s="1"/>
      <c r="X821" s="1"/>
      <c r="Y821" s="1"/>
      <c r="Z821" s="1"/>
    </row>
    <row r="822" spans="17:26">
      <c r="Q822" s="23"/>
      <c r="R822" s="1"/>
      <c r="S822" s="1"/>
      <c r="T822" s="1"/>
      <c r="U822" s="1"/>
      <c r="V822" s="1"/>
      <c r="W822" s="1"/>
      <c r="X822" s="1"/>
      <c r="Y822" s="1"/>
      <c r="Z822" s="1"/>
    </row>
    <row r="823" spans="17:26">
      <c r="Q823" s="23"/>
      <c r="R823" s="1"/>
      <c r="S823" s="1"/>
      <c r="T823" s="1"/>
      <c r="U823" s="1"/>
      <c r="V823" s="1"/>
      <c r="W823" s="1"/>
      <c r="X823" s="1"/>
      <c r="Y823" s="1"/>
      <c r="Z823" s="1"/>
    </row>
    <row r="824" spans="17:26">
      <c r="Q824" s="23"/>
      <c r="R824" s="1"/>
      <c r="S824" s="1"/>
      <c r="T824" s="1"/>
      <c r="U824" s="1"/>
      <c r="V824" s="1"/>
      <c r="W824" s="1"/>
      <c r="X824" s="1"/>
      <c r="Y824" s="1"/>
      <c r="Z824" s="1"/>
    </row>
    <row r="825" spans="17:26">
      <c r="Q825" s="23"/>
      <c r="R825" s="1"/>
      <c r="S825" s="1"/>
      <c r="T825" s="1"/>
      <c r="U825" s="1"/>
      <c r="V825" s="1"/>
      <c r="W825" s="1"/>
      <c r="X825" s="1"/>
      <c r="Y825" s="1"/>
      <c r="Z825" s="1"/>
    </row>
    <row r="826" spans="17:26">
      <c r="Q826" s="23"/>
      <c r="R826" s="1"/>
      <c r="S826" s="1"/>
      <c r="T826" s="1"/>
      <c r="U826" s="1"/>
      <c r="V826" s="1"/>
      <c r="W826" s="1"/>
      <c r="X826" s="1"/>
      <c r="Y826" s="1"/>
      <c r="Z826" s="1"/>
    </row>
    <row r="827" spans="17:26">
      <c r="Q827" s="23"/>
      <c r="R827" s="1"/>
      <c r="S827" s="1"/>
      <c r="T827" s="1"/>
      <c r="U827" s="1"/>
      <c r="V827" s="1"/>
      <c r="W827" s="1"/>
      <c r="X827" s="1"/>
      <c r="Y827" s="1"/>
      <c r="Z827" s="1"/>
    </row>
    <row r="828" spans="17:26">
      <c r="Q828" s="23"/>
      <c r="R828" s="1"/>
      <c r="S828" s="1"/>
      <c r="T828" s="1"/>
      <c r="U828" s="1"/>
      <c r="V828" s="1"/>
      <c r="W828" s="1"/>
      <c r="X828" s="1"/>
      <c r="Y828" s="1"/>
      <c r="Z828" s="1"/>
    </row>
    <row r="829" spans="17:26">
      <c r="Q829" s="23"/>
      <c r="R829" s="1"/>
      <c r="S829" s="1"/>
      <c r="T829" s="1"/>
      <c r="U829" s="1"/>
      <c r="V829" s="1"/>
      <c r="W829" s="1"/>
      <c r="X829" s="1"/>
      <c r="Y829" s="1"/>
      <c r="Z829" s="1"/>
    </row>
    <row r="830" spans="17:26">
      <c r="Q830" s="23"/>
      <c r="R830" s="1"/>
      <c r="S830" s="1"/>
      <c r="T830" s="1"/>
      <c r="U830" s="1"/>
      <c r="V830" s="1"/>
      <c r="W830" s="1"/>
      <c r="X830" s="1"/>
      <c r="Y830" s="1"/>
      <c r="Z830" s="1"/>
    </row>
    <row r="831" spans="17:26">
      <c r="Q831" s="23"/>
      <c r="R831" s="1"/>
      <c r="S831" s="1"/>
      <c r="T831" s="1"/>
      <c r="U831" s="1"/>
      <c r="V831" s="1"/>
      <c r="W831" s="1"/>
      <c r="X831" s="1"/>
      <c r="Y831" s="1"/>
      <c r="Z831" s="1"/>
    </row>
    <row r="832" spans="17:26">
      <c r="Q832" s="23"/>
      <c r="R832" s="1"/>
      <c r="S832" s="1"/>
      <c r="T832" s="1"/>
      <c r="U832" s="1"/>
      <c r="V832" s="1"/>
      <c r="W832" s="1"/>
      <c r="X832" s="1"/>
      <c r="Y832" s="1"/>
      <c r="Z832" s="1"/>
    </row>
    <row r="833" spans="17:26">
      <c r="Q833" s="23"/>
      <c r="R833" s="1"/>
      <c r="S833" s="1"/>
      <c r="T833" s="1"/>
      <c r="U833" s="1"/>
      <c r="V833" s="1"/>
      <c r="W833" s="1"/>
      <c r="X833" s="1"/>
      <c r="Y833" s="1"/>
      <c r="Z833" s="1"/>
    </row>
    <row r="834" spans="17:26">
      <c r="Q834" s="23"/>
      <c r="R834" s="1"/>
      <c r="S834" s="1"/>
      <c r="T834" s="1"/>
      <c r="U834" s="1"/>
      <c r="V834" s="1"/>
      <c r="W834" s="1"/>
      <c r="X834" s="1"/>
      <c r="Y834" s="1"/>
      <c r="Z834" s="1"/>
    </row>
    <row r="835" spans="17:26">
      <c r="Q835" s="23"/>
      <c r="R835" s="1"/>
      <c r="S835" s="1"/>
      <c r="T835" s="1"/>
      <c r="U835" s="1"/>
      <c r="V835" s="1"/>
      <c r="W835" s="1"/>
      <c r="X835" s="1"/>
      <c r="Y835" s="1"/>
      <c r="Z835" s="1"/>
    </row>
    <row r="836" spans="17:26">
      <c r="Q836" s="23"/>
      <c r="R836" s="1"/>
      <c r="S836" s="1"/>
      <c r="T836" s="1"/>
      <c r="U836" s="1"/>
      <c r="V836" s="1"/>
      <c r="W836" s="1"/>
      <c r="X836" s="1"/>
      <c r="Y836" s="1"/>
      <c r="Z836" s="1"/>
    </row>
    <row r="837" spans="17:26">
      <c r="Q837" s="23"/>
      <c r="R837" s="1"/>
      <c r="S837" s="1"/>
      <c r="T837" s="1"/>
      <c r="U837" s="1"/>
      <c r="V837" s="1"/>
      <c r="W837" s="1"/>
      <c r="X837" s="1"/>
      <c r="Y837" s="1"/>
      <c r="Z837" s="1"/>
    </row>
    <row r="838" spans="17:26">
      <c r="Q838" s="23"/>
      <c r="R838" s="1"/>
      <c r="S838" s="1"/>
      <c r="T838" s="1"/>
      <c r="U838" s="1"/>
      <c r="V838" s="1"/>
      <c r="W838" s="1"/>
      <c r="X838" s="1"/>
      <c r="Y838" s="1"/>
      <c r="Z838" s="1"/>
    </row>
    <row r="839" spans="17:26">
      <c r="Q839" s="23"/>
      <c r="R839" s="1"/>
      <c r="S839" s="1"/>
      <c r="T839" s="1"/>
      <c r="U839" s="1"/>
      <c r="V839" s="1"/>
      <c r="W839" s="1"/>
      <c r="X839" s="1"/>
      <c r="Y839" s="1"/>
      <c r="Z839" s="1"/>
    </row>
    <row r="840" spans="17:26">
      <c r="Q840" s="23"/>
      <c r="R840" s="1"/>
      <c r="S840" s="1"/>
      <c r="T840" s="1"/>
      <c r="U840" s="1"/>
      <c r="V840" s="1"/>
      <c r="W840" s="1"/>
      <c r="X840" s="1"/>
      <c r="Y840" s="1"/>
      <c r="Z840" s="1"/>
    </row>
    <row r="841" spans="17:26">
      <c r="Q841" s="23"/>
      <c r="R841" s="1"/>
      <c r="S841" s="1"/>
      <c r="T841" s="1"/>
      <c r="U841" s="1"/>
      <c r="V841" s="1"/>
      <c r="W841" s="1"/>
      <c r="X841" s="1"/>
      <c r="Y841" s="1"/>
      <c r="Z841" s="1"/>
    </row>
    <row r="842" spans="17:26">
      <c r="Q842" s="23"/>
      <c r="R842" s="1"/>
      <c r="S842" s="1"/>
      <c r="T842" s="1"/>
      <c r="U842" s="1"/>
      <c r="V842" s="1"/>
      <c r="W842" s="1"/>
      <c r="X842" s="1"/>
      <c r="Y842" s="1"/>
      <c r="Z842" s="1"/>
    </row>
    <row r="843" spans="17:26">
      <c r="Q843" s="23"/>
      <c r="R843" s="1"/>
      <c r="S843" s="1"/>
      <c r="T843" s="1"/>
      <c r="U843" s="1"/>
      <c r="V843" s="1"/>
      <c r="W843" s="1"/>
      <c r="X843" s="1"/>
      <c r="Y843" s="1"/>
      <c r="Z843" s="1"/>
    </row>
    <row r="844" spans="17:26">
      <c r="Q844" s="23"/>
      <c r="R844" s="1"/>
      <c r="S844" s="1"/>
      <c r="T844" s="1"/>
      <c r="U844" s="1"/>
      <c r="V844" s="1"/>
      <c r="W844" s="1"/>
      <c r="X844" s="1"/>
      <c r="Y844" s="1"/>
      <c r="Z844" s="1"/>
    </row>
    <row r="845" spans="17:26">
      <c r="Q845" s="23"/>
      <c r="R845" s="1"/>
      <c r="S845" s="1"/>
      <c r="T845" s="1"/>
      <c r="U845" s="1"/>
      <c r="V845" s="1"/>
      <c r="W845" s="1"/>
      <c r="X845" s="1"/>
      <c r="Y845" s="1"/>
      <c r="Z845" s="1"/>
    </row>
    <row r="846" spans="17:26">
      <c r="Q846" s="23"/>
      <c r="R846" s="1"/>
      <c r="S846" s="1"/>
      <c r="T846" s="1"/>
      <c r="U846" s="1"/>
      <c r="V846" s="1"/>
      <c r="W846" s="1"/>
      <c r="X846" s="1"/>
      <c r="Y846" s="1"/>
      <c r="Z846" s="1"/>
    </row>
    <row r="847" spans="17:26">
      <c r="Q847" s="23"/>
      <c r="R847" s="1"/>
      <c r="S847" s="1"/>
      <c r="T847" s="1"/>
      <c r="U847" s="1"/>
      <c r="V847" s="1"/>
      <c r="W847" s="1"/>
      <c r="X847" s="1"/>
      <c r="Y847" s="1"/>
      <c r="Z847" s="1"/>
    </row>
    <row r="848" spans="17:26">
      <c r="Q848" s="23"/>
      <c r="R848" s="1"/>
      <c r="S848" s="1"/>
      <c r="T848" s="1"/>
      <c r="U848" s="1"/>
      <c r="V848" s="1"/>
      <c r="W848" s="1"/>
      <c r="X848" s="1"/>
      <c r="Y848" s="1"/>
      <c r="Z848" s="1"/>
    </row>
    <row r="849" spans="17:26">
      <c r="Q849" s="23"/>
      <c r="R849" s="1"/>
      <c r="S849" s="1"/>
      <c r="T849" s="1"/>
      <c r="U849" s="1"/>
      <c r="V849" s="1"/>
      <c r="W849" s="1"/>
      <c r="X849" s="1"/>
      <c r="Y849" s="1"/>
      <c r="Z849" s="1"/>
    </row>
    <row r="850" spans="17:26">
      <c r="Q850" s="23"/>
      <c r="R850" s="1"/>
      <c r="S850" s="1"/>
      <c r="T850" s="1"/>
      <c r="U850" s="1"/>
      <c r="V850" s="1"/>
      <c r="W850" s="1"/>
      <c r="X850" s="1"/>
      <c r="Y850" s="1"/>
      <c r="Z850" s="1"/>
    </row>
    <row r="851" spans="17:26">
      <c r="Q851" s="23"/>
      <c r="R851" s="1"/>
      <c r="S851" s="1"/>
      <c r="T851" s="1"/>
      <c r="U851" s="1"/>
      <c r="V851" s="1"/>
      <c r="W851" s="1"/>
      <c r="X851" s="1"/>
      <c r="Y851" s="1"/>
      <c r="Z851" s="1"/>
    </row>
    <row r="852" spans="17:26">
      <c r="Q852" s="23"/>
      <c r="R852" s="1"/>
      <c r="S852" s="1"/>
      <c r="T852" s="1"/>
      <c r="U852" s="1"/>
      <c r="V852" s="1"/>
      <c r="W852" s="1"/>
      <c r="X852" s="1"/>
      <c r="Y852" s="1"/>
      <c r="Z852" s="1"/>
    </row>
    <row r="853" spans="17:26">
      <c r="Q853" s="23"/>
      <c r="R853" s="1"/>
      <c r="S853" s="1"/>
      <c r="T853" s="1"/>
      <c r="U853" s="1"/>
      <c r="V853" s="1"/>
      <c r="W853" s="1"/>
      <c r="X853" s="1"/>
      <c r="Y853" s="1"/>
      <c r="Z853" s="1"/>
    </row>
    <row r="854" spans="17:26">
      <c r="Q854" s="23"/>
      <c r="R854" s="1"/>
      <c r="S854" s="1"/>
      <c r="T854" s="1"/>
      <c r="U854" s="1"/>
      <c r="V854" s="1"/>
      <c r="W854" s="1"/>
      <c r="X854" s="1"/>
      <c r="Y854" s="1"/>
      <c r="Z854" s="1"/>
    </row>
    <row r="855" spans="17:26">
      <c r="Q855" s="23"/>
      <c r="R855" s="1"/>
      <c r="S855" s="1"/>
      <c r="T855" s="1"/>
      <c r="U855" s="1"/>
      <c r="V855" s="1"/>
      <c r="W855" s="1"/>
      <c r="X855" s="1"/>
      <c r="Y855" s="1"/>
      <c r="Z855" s="1"/>
    </row>
    <row r="856" spans="17:26">
      <c r="Q856" s="23"/>
      <c r="R856" s="1"/>
      <c r="S856" s="1"/>
      <c r="T856" s="1"/>
      <c r="U856" s="1"/>
      <c r="V856" s="1"/>
      <c r="W856" s="1"/>
      <c r="X856" s="1"/>
      <c r="Y856" s="1"/>
      <c r="Z856" s="1"/>
    </row>
    <row r="857" spans="17:26">
      <c r="Q857" s="23"/>
      <c r="R857" s="1"/>
      <c r="S857" s="1"/>
      <c r="T857" s="1"/>
      <c r="U857" s="1"/>
      <c r="V857" s="1"/>
      <c r="W857" s="1"/>
      <c r="X857" s="1"/>
      <c r="Y857" s="1"/>
      <c r="Z857" s="1"/>
    </row>
    <row r="858" spans="17:26">
      <c r="Q858" s="23"/>
      <c r="R858" s="1"/>
      <c r="S858" s="1"/>
      <c r="T858" s="1"/>
      <c r="U858" s="1"/>
      <c r="V858" s="1"/>
      <c r="W858" s="1"/>
      <c r="X858" s="1"/>
      <c r="Y858" s="1"/>
      <c r="Z858" s="1"/>
    </row>
    <row r="859" spans="17:26">
      <c r="Q859" s="23"/>
      <c r="R859" s="1"/>
      <c r="S859" s="1"/>
      <c r="T859" s="1"/>
      <c r="U859" s="1"/>
      <c r="V859" s="1"/>
      <c r="W859" s="1"/>
      <c r="X859" s="1"/>
      <c r="Y859" s="1"/>
      <c r="Z859" s="1"/>
    </row>
    <row r="860" spans="17:26">
      <c r="Q860" s="23"/>
      <c r="R860" s="1"/>
      <c r="S860" s="1"/>
      <c r="T860" s="1"/>
      <c r="U860" s="1"/>
      <c r="V860" s="1"/>
      <c r="W860" s="1"/>
      <c r="X860" s="1"/>
      <c r="Y860" s="1"/>
      <c r="Z860" s="1"/>
    </row>
    <row r="861" spans="17:26">
      <c r="Q861" s="23"/>
      <c r="R861" s="1"/>
      <c r="S861" s="1"/>
      <c r="T861" s="1"/>
      <c r="U861" s="1"/>
      <c r="V861" s="1"/>
      <c r="W861" s="1"/>
      <c r="X861" s="1"/>
      <c r="Y861" s="1"/>
      <c r="Z861" s="1"/>
    </row>
    <row r="862" spans="17:26">
      <c r="Q862" s="23"/>
      <c r="R862" s="1"/>
      <c r="S862" s="1"/>
      <c r="T862" s="1"/>
      <c r="U862" s="1"/>
      <c r="V862" s="1"/>
      <c r="W862" s="1"/>
      <c r="X862" s="1"/>
      <c r="Y862" s="1"/>
      <c r="Z862" s="1"/>
    </row>
    <row r="863" spans="17:26">
      <c r="Q863" s="23"/>
      <c r="R863" s="1"/>
      <c r="S863" s="1"/>
      <c r="T863" s="1"/>
      <c r="U863" s="1"/>
      <c r="V863" s="1"/>
      <c r="W863" s="1"/>
      <c r="X863" s="1"/>
      <c r="Y863" s="1"/>
      <c r="Z863" s="1"/>
    </row>
    <row r="864" spans="17:26">
      <c r="Q864" s="23"/>
      <c r="R864" s="1"/>
      <c r="S864" s="1"/>
      <c r="T864" s="1"/>
      <c r="U864" s="1"/>
      <c r="V864" s="1"/>
      <c r="W864" s="1"/>
      <c r="X864" s="1"/>
      <c r="Y864" s="1"/>
      <c r="Z864" s="1"/>
    </row>
    <row r="865" spans="17:26">
      <c r="Q865" s="23"/>
      <c r="R865" s="1"/>
      <c r="S865" s="1"/>
      <c r="T865" s="1"/>
      <c r="U865" s="1"/>
      <c r="V865" s="1"/>
      <c r="W865" s="1"/>
      <c r="X865" s="1"/>
      <c r="Y865" s="1"/>
      <c r="Z865" s="1"/>
    </row>
    <row r="866" spans="17:26">
      <c r="Q866" s="23"/>
      <c r="R866" s="1"/>
      <c r="S866" s="1"/>
      <c r="T866" s="1"/>
      <c r="U866" s="1"/>
      <c r="V866" s="1"/>
      <c r="W866" s="1"/>
      <c r="X866" s="1"/>
      <c r="Y866" s="1"/>
      <c r="Z866" s="1"/>
    </row>
    <row r="867" spans="17:26">
      <c r="Q867" s="23"/>
      <c r="R867" s="1"/>
      <c r="S867" s="1"/>
      <c r="T867" s="1"/>
      <c r="U867" s="1"/>
      <c r="V867" s="1"/>
      <c r="W867" s="1"/>
      <c r="X867" s="1"/>
      <c r="Y867" s="1"/>
      <c r="Z867" s="1"/>
    </row>
    <row r="868" spans="17:26">
      <c r="Q868" s="23"/>
      <c r="R868" s="1"/>
      <c r="S868" s="1"/>
      <c r="T868" s="1"/>
      <c r="U868" s="1"/>
      <c r="V868" s="1"/>
      <c r="W868" s="1"/>
      <c r="X868" s="1"/>
      <c r="Y868" s="1"/>
      <c r="Z868" s="1"/>
    </row>
    <row r="869" spans="17:26">
      <c r="Q869" s="23"/>
      <c r="R869" s="1"/>
      <c r="S869" s="1"/>
      <c r="T869" s="1"/>
      <c r="U869" s="1"/>
      <c r="V869" s="1"/>
      <c r="W869" s="1"/>
      <c r="X869" s="1"/>
      <c r="Y869" s="1"/>
      <c r="Z869" s="1"/>
    </row>
    <row r="870" spans="17:26">
      <c r="Q870" s="23"/>
      <c r="R870" s="1"/>
      <c r="S870" s="1"/>
      <c r="T870" s="1"/>
      <c r="U870" s="1"/>
      <c r="V870" s="1"/>
      <c r="W870" s="1"/>
      <c r="X870" s="1"/>
      <c r="Y870" s="1"/>
      <c r="Z870" s="1"/>
    </row>
    <row r="871" spans="17:26">
      <c r="Q871" s="23"/>
      <c r="R871" s="1"/>
      <c r="S871" s="1"/>
      <c r="T871" s="1"/>
      <c r="U871" s="1"/>
      <c r="V871" s="1"/>
      <c r="W871" s="1"/>
      <c r="X871" s="1"/>
      <c r="Y871" s="1"/>
      <c r="Z871" s="1"/>
    </row>
    <row r="872" spans="17:26">
      <c r="Q872" s="23"/>
      <c r="R872" s="1"/>
      <c r="S872" s="1"/>
      <c r="T872" s="1"/>
      <c r="U872" s="1"/>
      <c r="V872" s="1"/>
      <c r="W872" s="1"/>
      <c r="X872" s="1"/>
      <c r="Y872" s="1"/>
      <c r="Z872" s="1"/>
    </row>
    <row r="873" spans="17:26">
      <c r="Q873" s="23"/>
      <c r="R873" s="1"/>
      <c r="S873" s="1"/>
      <c r="T873" s="1"/>
      <c r="U873" s="1"/>
      <c r="V873" s="1"/>
      <c r="W873" s="1"/>
      <c r="X873" s="1"/>
      <c r="Y873" s="1"/>
      <c r="Z873" s="1"/>
    </row>
    <row r="874" spans="17:26">
      <c r="Q874" s="23"/>
      <c r="R874" s="1"/>
      <c r="S874" s="1"/>
      <c r="T874" s="1"/>
      <c r="U874" s="1"/>
      <c r="V874" s="1"/>
      <c r="W874" s="1"/>
      <c r="X874" s="1"/>
      <c r="Y874" s="1"/>
      <c r="Z874" s="1"/>
    </row>
    <row r="875" spans="17:26">
      <c r="Q875" s="23"/>
      <c r="R875" s="1"/>
      <c r="S875" s="1"/>
      <c r="T875" s="1"/>
      <c r="U875" s="1"/>
      <c r="V875" s="1"/>
      <c r="W875" s="1"/>
      <c r="X875" s="1"/>
      <c r="Y875" s="1"/>
      <c r="Z875" s="1"/>
    </row>
    <row r="876" spans="17:26">
      <c r="Q876" s="23"/>
      <c r="R876" s="1"/>
      <c r="S876" s="1"/>
      <c r="T876" s="1"/>
      <c r="U876" s="1"/>
      <c r="V876" s="1"/>
      <c r="W876" s="1"/>
      <c r="X876" s="1"/>
      <c r="Y876" s="1"/>
      <c r="Z876" s="1"/>
    </row>
    <row r="877" spans="17:26">
      <c r="Q877" s="23"/>
      <c r="R877" s="1"/>
      <c r="S877" s="1"/>
      <c r="T877" s="1"/>
      <c r="U877" s="1"/>
      <c r="V877" s="1"/>
      <c r="W877" s="1"/>
      <c r="X877" s="1"/>
      <c r="Y877" s="1"/>
      <c r="Z877" s="1"/>
    </row>
    <row r="878" spans="17:26">
      <c r="Q878" s="23"/>
      <c r="R878" s="1"/>
      <c r="S878" s="1"/>
      <c r="T878" s="1"/>
      <c r="U878" s="1"/>
      <c r="V878" s="1"/>
      <c r="W878" s="1"/>
      <c r="X878" s="1"/>
      <c r="Y878" s="1"/>
      <c r="Z878" s="1"/>
    </row>
    <row r="879" spans="17:26">
      <c r="Q879" s="23"/>
      <c r="R879" s="1"/>
      <c r="S879" s="1"/>
      <c r="T879" s="1"/>
      <c r="U879" s="1"/>
      <c r="V879" s="1"/>
      <c r="W879" s="1"/>
      <c r="X879" s="1"/>
      <c r="Y879" s="1"/>
      <c r="Z879" s="1"/>
    </row>
    <row r="880" spans="17:26">
      <c r="Q880" s="23"/>
      <c r="R880" s="1"/>
      <c r="S880" s="1"/>
      <c r="T880" s="1"/>
      <c r="U880" s="1"/>
      <c r="V880" s="1"/>
      <c r="W880" s="1"/>
      <c r="X880" s="1"/>
      <c r="Y880" s="1"/>
      <c r="Z880" s="1"/>
    </row>
    <row r="881" spans="17:26">
      <c r="Q881" s="23"/>
      <c r="R881" s="1"/>
      <c r="S881" s="1"/>
      <c r="T881" s="1"/>
      <c r="U881" s="1"/>
      <c r="V881" s="1"/>
      <c r="W881" s="1"/>
      <c r="X881" s="1"/>
      <c r="Y881" s="1"/>
      <c r="Z881" s="1"/>
    </row>
    <row r="882" spans="17:26">
      <c r="Q882" s="23"/>
      <c r="R882" s="1"/>
      <c r="S882" s="1"/>
      <c r="T882" s="1"/>
      <c r="U882" s="1"/>
      <c r="V882" s="1"/>
      <c r="W882" s="1"/>
      <c r="X882" s="1"/>
      <c r="Y882" s="1"/>
      <c r="Z882" s="1"/>
    </row>
    <row r="883" spans="17:26">
      <c r="Q883" s="23"/>
      <c r="R883" s="1"/>
      <c r="S883" s="1"/>
      <c r="T883" s="1"/>
      <c r="U883" s="1"/>
      <c r="V883" s="1"/>
      <c r="W883" s="1"/>
      <c r="X883" s="1"/>
      <c r="Y883" s="1"/>
      <c r="Z883" s="1"/>
    </row>
    <row r="884" spans="17:26">
      <c r="Q884" s="23"/>
      <c r="R884" s="1"/>
      <c r="S884" s="1"/>
      <c r="T884" s="1"/>
      <c r="U884" s="1"/>
      <c r="V884" s="1"/>
      <c r="W884" s="1"/>
      <c r="X884" s="1"/>
      <c r="Y884" s="1"/>
      <c r="Z884" s="1"/>
    </row>
    <row r="885" spans="17:26">
      <c r="Q885" s="23"/>
      <c r="R885" s="1"/>
      <c r="S885" s="1"/>
      <c r="T885" s="1"/>
      <c r="U885" s="1"/>
      <c r="V885" s="1"/>
      <c r="W885" s="1"/>
      <c r="X885" s="1"/>
      <c r="Y885" s="1"/>
      <c r="Z885" s="1"/>
    </row>
    <row r="886" spans="17:26">
      <c r="Q886" s="23"/>
      <c r="R886" s="1"/>
      <c r="S886" s="1"/>
      <c r="T886" s="1"/>
      <c r="U886" s="1"/>
      <c r="V886" s="1"/>
      <c r="W886" s="1"/>
      <c r="X886" s="1"/>
      <c r="Y886" s="1"/>
      <c r="Z886" s="1"/>
    </row>
    <row r="887" spans="17:26">
      <c r="Q887" s="23"/>
      <c r="R887" s="1"/>
      <c r="S887" s="1"/>
      <c r="T887" s="1"/>
      <c r="U887" s="1"/>
      <c r="V887" s="1"/>
      <c r="W887" s="1"/>
      <c r="X887" s="1"/>
      <c r="Y887" s="1"/>
      <c r="Z887" s="1"/>
    </row>
    <row r="888" spans="17:26">
      <c r="Q888" s="23"/>
      <c r="R888" s="1"/>
      <c r="S888" s="1"/>
      <c r="T888" s="1"/>
      <c r="U888" s="1"/>
      <c r="V888" s="1"/>
      <c r="W888" s="1"/>
      <c r="X888" s="1"/>
      <c r="Y888" s="1"/>
      <c r="Z888" s="1"/>
    </row>
    <row r="889" spans="17:26">
      <c r="Q889" s="23"/>
      <c r="R889" s="1"/>
      <c r="S889" s="1"/>
      <c r="T889" s="1"/>
      <c r="U889" s="1"/>
      <c r="V889" s="1"/>
      <c r="W889" s="1"/>
      <c r="X889" s="1"/>
      <c r="Y889" s="1"/>
      <c r="Z889" s="1"/>
    </row>
    <row r="890" spans="17:26">
      <c r="Q890" s="23"/>
      <c r="R890" s="1"/>
      <c r="S890" s="1"/>
      <c r="T890" s="1"/>
      <c r="U890" s="1"/>
      <c r="V890" s="1"/>
      <c r="W890" s="1"/>
      <c r="X890" s="1"/>
      <c r="Y890" s="1"/>
      <c r="Z890" s="1"/>
    </row>
    <row r="891" spans="17:26">
      <c r="Q891" s="23"/>
      <c r="R891" s="1"/>
      <c r="S891" s="1"/>
      <c r="T891" s="1"/>
      <c r="U891" s="1"/>
      <c r="V891" s="1"/>
      <c r="W891" s="1"/>
      <c r="X891" s="1"/>
      <c r="Y891" s="1"/>
      <c r="Z891" s="1"/>
    </row>
    <row r="892" spans="17:26">
      <c r="Q892" s="23"/>
      <c r="R892" s="1"/>
      <c r="S892" s="1"/>
      <c r="T892" s="1"/>
      <c r="U892" s="1"/>
      <c r="V892" s="1"/>
      <c r="W892" s="1"/>
      <c r="X892" s="1"/>
      <c r="Y892" s="1"/>
      <c r="Z892" s="1"/>
    </row>
    <row r="893" spans="17:26">
      <c r="Q893" s="23"/>
      <c r="R893" s="1"/>
      <c r="S893" s="1"/>
      <c r="T893" s="1"/>
      <c r="U893" s="1"/>
      <c r="V893" s="1"/>
      <c r="W893" s="1"/>
      <c r="X893" s="1"/>
      <c r="Y893" s="1"/>
      <c r="Z893" s="1"/>
    </row>
    <row r="894" spans="17:26">
      <c r="Q894" s="23"/>
      <c r="R894" s="1"/>
      <c r="S894" s="1"/>
      <c r="T894" s="1"/>
      <c r="U894" s="1"/>
      <c r="V894" s="1"/>
      <c r="W894" s="1"/>
      <c r="X894" s="1"/>
      <c r="Y894" s="1"/>
      <c r="Z894" s="1"/>
    </row>
    <row r="895" spans="17:26">
      <c r="Q895" s="23"/>
      <c r="R895" s="1"/>
      <c r="S895" s="1"/>
      <c r="T895" s="1"/>
      <c r="U895" s="1"/>
      <c r="V895" s="1"/>
      <c r="W895" s="1"/>
      <c r="X895" s="1"/>
      <c r="Y895" s="1"/>
      <c r="Z895" s="1"/>
    </row>
    <row r="896" spans="17:26">
      <c r="Q896" s="23"/>
      <c r="R896" s="1"/>
      <c r="S896" s="1"/>
      <c r="T896" s="1"/>
      <c r="U896" s="1"/>
      <c r="V896" s="1"/>
      <c r="W896" s="1"/>
      <c r="X896" s="1"/>
      <c r="Y896" s="1"/>
      <c r="Z896" s="1"/>
    </row>
    <row r="897" spans="17:26">
      <c r="Q897" s="23"/>
      <c r="R897" s="1"/>
      <c r="S897" s="1"/>
      <c r="T897" s="1"/>
      <c r="U897" s="1"/>
      <c r="V897" s="1"/>
      <c r="W897" s="1"/>
      <c r="X897" s="1"/>
      <c r="Y897" s="1"/>
      <c r="Z897" s="1"/>
    </row>
    <row r="898" spans="17:26">
      <c r="Q898" s="1"/>
      <c r="R898" s="1"/>
      <c r="S898" s="1"/>
      <c r="T898" s="1"/>
      <c r="U898" s="1"/>
      <c r="V898" s="1"/>
      <c r="W898" s="1"/>
      <c r="X898" s="1"/>
      <c r="Y898" s="1"/>
      <c r="Z898" s="1"/>
    </row>
    <row r="899" spans="17:26">
      <c r="Q899" s="1"/>
      <c r="R899" s="1"/>
      <c r="S899" s="1"/>
      <c r="T899" s="1"/>
      <c r="U899" s="1"/>
      <c r="V899" s="1"/>
      <c r="W899" s="1"/>
      <c r="X899" s="1"/>
      <c r="Y899" s="1"/>
      <c r="Z899" s="1"/>
    </row>
    <row r="900" spans="17:26">
      <c r="Q900" s="1"/>
      <c r="R900" s="1"/>
      <c r="S900" s="1"/>
      <c r="T900" s="1"/>
      <c r="U900" s="1"/>
      <c r="V900" s="1"/>
      <c r="W900" s="1"/>
      <c r="X900" s="1"/>
      <c r="Y900" s="1"/>
      <c r="Z900" s="1"/>
    </row>
    <row r="901" spans="17:26">
      <c r="Q901" s="1"/>
      <c r="R901" s="1"/>
      <c r="S901" s="1"/>
      <c r="T901" s="1"/>
      <c r="U901" s="1"/>
      <c r="V901" s="1"/>
      <c r="W901" s="1"/>
      <c r="X901" s="1"/>
      <c r="Y901" s="1"/>
      <c r="Z901" s="1"/>
    </row>
    <row r="902" spans="17:26">
      <c r="Q902" s="1"/>
      <c r="R902" s="1"/>
      <c r="S902" s="1"/>
      <c r="T902" s="1"/>
      <c r="U902" s="1"/>
      <c r="V902" s="1"/>
      <c r="W902" s="1"/>
      <c r="X902" s="1"/>
      <c r="Y902" s="1"/>
      <c r="Z902" s="1"/>
    </row>
    <row r="903" spans="17:26">
      <c r="Q903" s="1"/>
      <c r="R903" s="1"/>
      <c r="S903" s="1"/>
      <c r="T903" s="1"/>
      <c r="U903" s="1"/>
      <c r="V903" s="1"/>
      <c r="W903" s="1"/>
      <c r="X903" s="1"/>
      <c r="Y903" s="1"/>
      <c r="Z903" s="1"/>
    </row>
    <row r="904" spans="17:26">
      <c r="Q904" s="1"/>
      <c r="R904" s="1"/>
      <c r="S904" s="1"/>
      <c r="T904" s="1"/>
      <c r="U904" s="1"/>
      <c r="V904" s="1"/>
      <c r="W904" s="1"/>
      <c r="X904" s="1"/>
      <c r="Y904" s="1"/>
      <c r="Z904" s="1"/>
    </row>
    <row r="905" spans="17:26">
      <c r="Q905" s="1"/>
      <c r="R905" s="1"/>
      <c r="S905" s="1"/>
      <c r="T905" s="1"/>
      <c r="U905" s="1"/>
      <c r="V905" s="1"/>
      <c r="W905" s="1"/>
      <c r="X905" s="1"/>
      <c r="Y905" s="1"/>
      <c r="Z905" s="1"/>
    </row>
    <row r="906" spans="17:26">
      <c r="Q906" s="1"/>
      <c r="R906" s="1"/>
      <c r="S906" s="1"/>
      <c r="T906" s="1"/>
      <c r="U906" s="1"/>
      <c r="V906" s="1"/>
      <c r="W906" s="1"/>
      <c r="X906" s="1"/>
      <c r="Y906" s="1"/>
      <c r="Z906" s="1"/>
    </row>
  </sheetData>
  <mergeCells count="540">
    <mergeCell ref="T542:T543"/>
    <mergeCell ref="U542:U543"/>
    <mergeCell ref="R547:W547"/>
    <mergeCell ref="R548:S551"/>
    <mergeCell ref="T548:T549"/>
    <mergeCell ref="U548:U549"/>
    <mergeCell ref="V548:V549"/>
    <mergeCell ref="W548:W549"/>
    <mergeCell ref="W528:W530"/>
    <mergeCell ref="V542:V543"/>
    <mergeCell ref="R534:W534"/>
    <mergeCell ref="R535:S538"/>
    <mergeCell ref="T535:T536"/>
    <mergeCell ref="U535:U536"/>
    <mergeCell ref="V535:V536"/>
    <mergeCell ref="W535:W536"/>
    <mergeCell ref="W542:W543"/>
    <mergeCell ref="R542:S545"/>
    <mergeCell ref="R528:S532"/>
    <mergeCell ref="T528:T530"/>
    <mergeCell ref="U528:U530"/>
    <mergeCell ref="V528:V530"/>
    <mergeCell ref="T513:T514"/>
    <mergeCell ref="U513:U514"/>
    <mergeCell ref="R525:W525"/>
    <mergeCell ref="R526:W526"/>
    <mergeCell ref="R518:W518"/>
    <mergeCell ref="R519:S522"/>
    <mergeCell ref="T519:T520"/>
    <mergeCell ref="U519:U520"/>
    <mergeCell ref="V519:V520"/>
    <mergeCell ref="W519:W520"/>
    <mergeCell ref="W499:W501"/>
    <mergeCell ref="V513:V514"/>
    <mergeCell ref="R505:W505"/>
    <mergeCell ref="R506:S509"/>
    <mergeCell ref="T506:T507"/>
    <mergeCell ref="U506:U507"/>
    <mergeCell ref="V506:V507"/>
    <mergeCell ref="W506:W507"/>
    <mergeCell ref="W513:W514"/>
    <mergeCell ref="R513:S516"/>
    <mergeCell ref="R499:S503"/>
    <mergeCell ref="T499:T501"/>
    <mergeCell ref="U499:U501"/>
    <mergeCell ref="V499:V501"/>
    <mergeCell ref="T484:T485"/>
    <mergeCell ref="U484:U485"/>
    <mergeCell ref="R496:W496"/>
    <mergeCell ref="R497:W497"/>
    <mergeCell ref="R489:W489"/>
    <mergeCell ref="R490:S493"/>
    <mergeCell ref="T490:T491"/>
    <mergeCell ref="U490:U491"/>
    <mergeCell ref="V490:V491"/>
    <mergeCell ref="W490:W491"/>
    <mergeCell ref="W470:W472"/>
    <mergeCell ref="V484:V485"/>
    <mergeCell ref="R476:W476"/>
    <mergeCell ref="R477:S480"/>
    <mergeCell ref="T477:T478"/>
    <mergeCell ref="U477:U478"/>
    <mergeCell ref="V477:V478"/>
    <mergeCell ref="W477:W478"/>
    <mergeCell ref="W484:W485"/>
    <mergeCell ref="R484:S487"/>
    <mergeCell ref="R470:S474"/>
    <mergeCell ref="T470:T472"/>
    <mergeCell ref="U470:U472"/>
    <mergeCell ref="V470:V472"/>
    <mergeCell ref="T455:T456"/>
    <mergeCell ref="U455:U456"/>
    <mergeCell ref="R467:W467"/>
    <mergeCell ref="R468:W468"/>
    <mergeCell ref="R460:W460"/>
    <mergeCell ref="R461:S464"/>
    <mergeCell ref="T461:T462"/>
    <mergeCell ref="U461:U462"/>
    <mergeCell ref="V461:V462"/>
    <mergeCell ref="W461:W462"/>
    <mergeCell ref="W441:W443"/>
    <mergeCell ref="V455:V456"/>
    <mergeCell ref="R447:W447"/>
    <mergeCell ref="R448:S451"/>
    <mergeCell ref="T448:T449"/>
    <mergeCell ref="U448:U449"/>
    <mergeCell ref="V448:V449"/>
    <mergeCell ref="W448:W449"/>
    <mergeCell ref="W455:W456"/>
    <mergeCell ref="R455:S458"/>
    <mergeCell ref="R441:S445"/>
    <mergeCell ref="T441:T443"/>
    <mergeCell ref="U441:U443"/>
    <mergeCell ref="V441:V443"/>
    <mergeCell ref="U423:U424"/>
    <mergeCell ref="R435:W437"/>
    <mergeCell ref="R438:W438"/>
    <mergeCell ref="R439:W439"/>
    <mergeCell ref="R428:W428"/>
    <mergeCell ref="R429:S432"/>
    <mergeCell ref="T429:T430"/>
    <mergeCell ref="U429:U430"/>
    <mergeCell ref="V429:V430"/>
    <mergeCell ref="W429:W430"/>
    <mergeCell ref="V423:V424"/>
    <mergeCell ref="R415:W415"/>
    <mergeCell ref="R416:S419"/>
    <mergeCell ref="T416:T417"/>
    <mergeCell ref="U416:U417"/>
    <mergeCell ref="V416:V417"/>
    <mergeCell ref="W416:W417"/>
    <mergeCell ref="W423:W424"/>
    <mergeCell ref="R423:S426"/>
    <mergeCell ref="T423:T424"/>
    <mergeCell ref="U394:U395"/>
    <mergeCell ref="R406:W406"/>
    <mergeCell ref="R407:W407"/>
    <mergeCell ref="R409:S413"/>
    <mergeCell ref="T409:T411"/>
    <mergeCell ref="U409:U411"/>
    <mergeCell ref="V409:V411"/>
    <mergeCell ref="W409:W411"/>
    <mergeCell ref="R399:W399"/>
    <mergeCell ref="R400:S403"/>
    <mergeCell ref="T400:T401"/>
    <mergeCell ref="U400:U401"/>
    <mergeCell ref="V400:V401"/>
    <mergeCell ref="W400:W401"/>
    <mergeCell ref="V394:V395"/>
    <mergeCell ref="R386:W386"/>
    <mergeCell ref="R387:S390"/>
    <mergeCell ref="T387:T388"/>
    <mergeCell ref="U387:U388"/>
    <mergeCell ref="V387:V388"/>
    <mergeCell ref="W387:W388"/>
    <mergeCell ref="W394:W395"/>
    <mergeCell ref="R394:S397"/>
    <mergeCell ref="T394:T395"/>
    <mergeCell ref="U365:U366"/>
    <mergeCell ref="R377:W377"/>
    <mergeCell ref="R378:W378"/>
    <mergeCell ref="R380:S384"/>
    <mergeCell ref="T380:T382"/>
    <mergeCell ref="U380:U382"/>
    <mergeCell ref="V380:V382"/>
    <mergeCell ref="W380:W382"/>
    <mergeCell ref="R370:W370"/>
    <mergeCell ref="R371:S374"/>
    <mergeCell ref="T371:T372"/>
    <mergeCell ref="U371:U372"/>
    <mergeCell ref="V371:V372"/>
    <mergeCell ref="W371:W372"/>
    <mergeCell ref="V365:V366"/>
    <mergeCell ref="R357:W357"/>
    <mergeCell ref="R358:S361"/>
    <mergeCell ref="T358:T359"/>
    <mergeCell ref="U358:U359"/>
    <mergeCell ref="V358:V359"/>
    <mergeCell ref="W358:W359"/>
    <mergeCell ref="W365:W366"/>
    <mergeCell ref="R365:S368"/>
    <mergeCell ref="T365:T366"/>
    <mergeCell ref="U336:U337"/>
    <mergeCell ref="R348:W348"/>
    <mergeCell ref="R349:W349"/>
    <mergeCell ref="R351:S355"/>
    <mergeCell ref="T351:T353"/>
    <mergeCell ref="U351:U353"/>
    <mergeCell ref="V351:V353"/>
    <mergeCell ref="W351:W353"/>
    <mergeCell ref="R341:W341"/>
    <mergeCell ref="R342:S345"/>
    <mergeCell ref="T342:T343"/>
    <mergeCell ref="U342:U343"/>
    <mergeCell ref="V342:V343"/>
    <mergeCell ref="W342:W343"/>
    <mergeCell ref="V336:V337"/>
    <mergeCell ref="R328:W328"/>
    <mergeCell ref="R329:S332"/>
    <mergeCell ref="T329:T330"/>
    <mergeCell ref="U329:U330"/>
    <mergeCell ref="V329:V330"/>
    <mergeCell ref="W329:W330"/>
    <mergeCell ref="W336:W337"/>
    <mergeCell ref="R336:S339"/>
    <mergeCell ref="T336:T337"/>
    <mergeCell ref="R316:W318"/>
    <mergeCell ref="R319:W319"/>
    <mergeCell ref="R320:W320"/>
    <mergeCell ref="R322:S326"/>
    <mergeCell ref="T322:T324"/>
    <mergeCell ref="U322:U324"/>
    <mergeCell ref="V322:V324"/>
    <mergeCell ref="W322:W324"/>
    <mergeCell ref="T302:U302"/>
    <mergeCell ref="R305:V305"/>
    <mergeCell ref="R306:R307"/>
    <mergeCell ref="S306:S307"/>
    <mergeCell ref="T306:T307"/>
    <mergeCell ref="U306:U307"/>
    <mergeCell ref="V306:V307"/>
    <mergeCell ref="R297:U297"/>
    <mergeCell ref="R298:U298"/>
    <mergeCell ref="R299:U299"/>
    <mergeCell ref="T301:U301"/>
    <mergeCell ref="R293:U293"/>
    <mergeCell ref="R294:U294"/>
    <mergeCell ref="R295:U295"/>
    <mergeCell ref="R296:U296"/>
    <mergeCell ref="R289:U289"/>
    <mergeCell ref="R290:U290"/>
    <mergeCell ref="R291:U291"/>
    <mergeCell ref="R292:U292"/>
    <mergeCell ref="W286:W287"/>
    <mergeCell ref="X286:X287"/>
    <mergeCell ref="Y286:Y287"/>
    <mergeCell ref="R288:U288"/>
    <mergeCell ref="S282:T282"/>
    <mergeCell ref="S283:T283"/>
    <mergeCell ref="R286:U287"/>
    <mergeCell ref="V286:V287"/>
    <mergeCell ref="S277:T277"/>
    <mergeCell ref="R278:X278"/>
    <mergeCell ref="R279:T279"/>
    <mergeCell ref="U279:U280"/>
    <mergeCell ref="V279:V280"/>
    <mergeCell ref="W279:W280"/>
    <mergeCell ref="X279:X280"/>
    <mergeCell ref="R280:R283"/>
    <mergeCell ref="S280:T280"/>
    <mergeCell ref="S281:T281"/>
    <mergeCell ref="R272:X272"/>
    <mergeCell ref="R273:T273"/>
    <mergeCell ref="U273:U274"/>
    <mergeCell ref="V273:V274"/>
    <mergeCell ref="W273:W274"/>
    <mergeCell ref="X273:X274"/>
    <mergeCell ref="R274:R277"/>
    <mergeCell ref="S274:T274"/>
    <mergeCell ref="S275:T275"/>
    <mergeCell ref="S276:T276"/>
    <mergeCell ref="X267:X268"/>
    <mergeCell ref="R268:R271"/>
    <mergeCell ref="S268:T268"/>
    <mergeCell ref="S269:T269"/>
    <mergeCell ref="S270:T270"/>
    <mergeCell ref="S271:T271"/>
    <mergeCell ref="R267:T267"/>
    <mergeCell ref="U267:U268"/>
    <mergeCell ref="V267:V268"/>
    <mergeCell ref="W267:W268"/>
    <mergeCell ref="X254:X255"/>
    <mergeCell ref="R257:T257"/>
    <mergeCell ref="R260:Y260"/>
    <mergeCell ref="R264:S265"/>
    <mergeCell ref="U264:V264"/>
    <mergeCell ref="U265:V265"/>
    <mergeCell ref="R254:T255"/>
    <mergeCell ref="U254:U255"/>
    <mergeCell ref="V254:V255"/>
    <mergeCell ref="W254:W255"/>
    <mergeCell ref="X247:X248"/>
    <mergeCell ref="R249:T249"/>
    <mergeCell ref="U249:U251"/>
    <mergeCell ref="R250:T250"/>
    <mergeCell ref="R251:T251"/>
    <mergeCell ref="R247:T248"/>
    <mergeCell ref="U247:U248"/>
    <mergeCell ref="V247:V248"/>
    <mergeCell ref="W247:W248"/>
    <mergeCell ref="X241:X242"/>
    <mergeCell ref="R243:T243"/>
    <mergeCell ref="U243:U245"/>
    <mergeCell ref="R244:T244"/>
    <mergeCell ref="R245:T245"/>
    <mergeCell ref="R241:T242"/>
    <mergeCell ref="U241:U242"/>
    <mergeCell ref="V241:V242"/>
    <mergeCell ref="W241:W242"/>
    <mergeCell ref="W235:W236"/>
    <mergeCell ref="X235:X236"/>
    <mergeCell ref="R237:T237"/>
    <mergeCell ref="U237:U239"/>
    <mergeCell ref="R238:T238"/>
    <mergeCell ref="R239:T239"/>
    <mergeCell ref="R231:U231"/>
    <mergeCell ref="R235:T236"/>
    <mergeCell ref="U235:U236"/>
    <mergeCell ref="V235:V236"/>
    <mergeCell ref="R226:U226"/>
    <mergeCell ref="R227:U227"/>
    <mergeCell ref="R228:U228"/>
    <mergeCell ref="R229:U229"/>
    <mergeCell ref="R222:U222"/>
    <mergeCell ref="R223:U223"/>
    <mergeCell ref="R224:U224"/>
    <mergeCell ref="R225:U225"/>
    <mergeCell ref="R218:U218"/>
    <mergeCell ref="R219:U219"/>
    <mergeCell ref="R220:U220"/>
    <mergeCell ref="R221:U221"/>
    <mergeCell ref="Y213:Y214"/>
    <mergeCell ref="R215:U215"/>
    <mergeCell ref="R216:U216"/>
    <mergeCell ref="R217:U217"/>
    <mergeCell ref="R213:U214"/>
    <mergeCell ref="V213:V214"/>
    <mergeCell ref="W213:W214"/>
    <mergeCell ref="X213:X214"/>
    <mergeCell ref="R201:T201"/>
    <mergeCell ref="R202:T202"/>
    <mergeCell ref="R204:Y208"/>
    <mergeCell ref="R210:W211"/>
    <mergeCell ref="X210:X211"/>
    <mergeCell ref="Y210:Y211"/>
    <mergeCell ref="V198:V199"/>
    <mergeCell ref="W198:W199"/>
    <mergeCell ref="X198:X199"/>
    <mergeCell ref="R200:T200"/>
    <mergeCell ref="R195:T195"/>
    <mergeCell ref="R196:T196"/>
    <mergeCell ref="R198:T199"/>
    <mergeCell ref="U198:U199"/>
    <mergeCell ref="V193:V194"/>
    <mergeCell ref="W193:W194"/>
    <mergeCell ref="X193:X194"/>
    <mergeCell ref="R188:T189"/>
    <mergeCell ref="U188:U189"/>
    <mergeCell ref="R190:T190"/>
    <mergeCell ref="R191:T191"/>
    <mergeCell ref="R193:T194"/>
    <mergeCell ref="U193:U194"/>
    <mergeCell ref="V188:V189"/>
    <mergeCell ref="W188:W189"/>
    <mergeCell ref="W183:W184"/>
    <mergeCell ref="X183:X184"/>
    <mergeCell ref="X188:X189"/>
    <mergeCell ref="R185:T185"/>
    <mergeCell ref="R186:T186"/>
    <mergeCell ref="R181:T181"/>
    <mergeCell ref="R183:T184"/>
    <mergeCell ref="U183:U184"/>
    <mergeCell ref="V183:V184"/>
    <mergeCell ref="W177:W178"/>
    <mergeCell ref="X177:X178"/>
    <mergeCell ref="U177:U178"/>
    <mergeCell ref="V177:V178"/>
    <mergeCell ref="R179:T179"/>
    <mergeCell ref="R180:T180"/>
    <mergeCell ref="R175:T175"/>
    <mergeCell ref="R177:T178"/>
    <mergeCell ref="V172:V173"/>
    <mergeCell ref="W172:W173"/>
    <mergeCell ref="X172:X173"/>
    <mergeCell ref="R174:T174"/>
    <mergeCell ref="R169:T169"/>
    <mergeCell ref="R170:T170"/>
    <mergeCell ref="R172:T173"/>
    <mergeCell ref="U172:U173"/>
    <mergeCell ref="X162:X163"/>
    <mergeCell ref="R164:T164"/>
    <mergeCell ref="R165:T165"/>
    <mergeCell ref="R167:T168"/>
    <mergeCell ref="U167:U168"/>
    <mergeCell ref="V167:V168"/>
    <mergeCell ref="W167:W168"/>
    <mergeCell ref="X167:X168"/>
    <mergeCell ref="R162:T163"/>
    <mergeCell ref="U162:U163"/>
    <mergeCell ref="V162:V163"/>
    <mergeCell ref="W162:W163"/>
    <mergeCell ref="R158:T158"/>
    <mergeCell ref="U158:U160"/>
    <mergeCell ref="R159:T159"/>
    <mergeCell ref="R160:T160"/>
    <mergeCell ref="R155:X155"/>
    <mergeCell ref="R156:T157"/>
    <mergeCell ref="U156:U157"/>
    <mergeCell ref="V156:V157"/>
    <mergeCell ref="W156:W157"/>
    <mergeCell ref="X156:X157"/>
    <mergeCell ref="R152:T152"/>
    <mergeCell ref="U152:U154"/>
    <mergeCell ref="R153:T153"/>
    <mergeCell ref="R154:T154"/>
    <mergeCell ref="R147:T147"/>
    <mergeCell ref="R148:T148"/>
    <mergeCell ref="R149:X149"/>
    <mergeCell ref="R150:T151"/>
    <mergeCell ref="U150:U151"/>
    <mergeCell ref="V150:V151"/>
    <mergeCell ref="W150:W151"/>
    <mergeCell ref="X150:X151"/>
    <mergeCell ref="X143:X144"/>
    <mergeCell ref="R145:T145"/>
    <mergeCell ref="U145:U146"/>
    <mergeCell ref="R146:T146"/>
    <mergeCell ref="R143:T144"/>
    <mergeCell ref="U143:U144"/>
    <mergeCell ref="V143:V144"/>
    <mergeCell ref="W143:W144"/>
    <mergeCell ref="R134:T134"/>
    <mergeCell ref="R135:T135"/>
    <mergeCell ref="R137:Y137"/>
    <mergeCell ref="R142:W142"/>
    <mergeCell ref="X126:X127"/>
    <mergeCell ref="R128:T128"/>
    <mergeCell ref="R130:Y130"/>
    <mergeCell ref="R132:T133"/>
    <mergeCell ref="U132:U133"/>
    <mergeCell ref="V132:V133"/>
    <mergeCell ref="W132:W133"/>
    <mergeCell ref="X132:X133"/>
    <mergeCell ref="R126:T127"/>
    <mergeCell ref="U126:U127"/>
    <mergeCell ref="V126:V127"/>
    <mergeCell ref="W126:W127"/>
    <mergeCell ref="X118:X119"/>
    <mergeCell ref="R120:T120"/>
    <mergeCell ref="R121:T121"/>
    <mergeCell ref="R123:Y123"/>
    <mergeCell ref="R118:T119"/>
    <mergeCell ref="U118:U119"/>
    <mergeCell ref="V118:V119"/>
    <mergeCell ref="W118:W119"/>
    <mergeCell ref="W112:W113"/>
    <mergeCell ref="X112:X113"/>
    <mergeCell ref="R114:T114"/>
    <mergeCell ref="R115:T115"/>
    <mergeCell ref="R109:T109"/>
    <mergeCell ref="R112:T113"/>
    <mergeCell ref="U112:U113"/>
    <mergeCell ref="V112:V113"/>
    <mergeCell ref="V106:V107"/>
    <mergeCell ref="W106:W107"/>
    <mergeCell ref="X106:X107"/>
    <mergeCell ref="R108:T108"/>
    <mergeCell ref="R102:T102"/>
    <mergeCell ref="R103:T103"/>
    <mergeCell ref="R106:T107"/>
    <mergeCell ref="U106:U107"/>
    <mergeCell ref="R96:Y96"/>
    <mergeCell ref="R100:T101"/>
    <mergeCell ref="U100:U101"/>
    <mergeCell ref="V100:V101"/>
    <mergeCell ref="W100:W101"/>
    <mergeCell ref="X100:X101"/>
    <mergeCell ref="X90:X91"/>
    <mergeCell ref="R92:T92"/>
    <mergeCell ref="R93:T93"/>
    <mergeCell ref="R94:T94"/>
    <mergeCell ref="R90:T91"/>
    <mergeCell ref="U90:U91"/>
    <mergeCell ref="V90:V91"/>
    <mergeCell ref="W90:W91"/>
    <mergeCell ref="X83:X84"/>
    <mergeCell ref="R85:T85"/>
    <mergeCell ref="R86:T86"/>
    <mergeCell ref="R87:T87"/>
    <mergeCell ref="R83:T84"/>
    <mergeCell ref="U83:U84"/>
    <mergeCell ref="V83:V84"/>
    <mergeCell ref="W83:W84"/>
    <mergeCell ref="R76:T76"/>
    <mergeCell ref="R77:T77"/>
    <mergeCell ref="R78:T78"/>
    <mergeCell ref="R80:Y80"/>
    <mergeCell ref="U74:U75"/>
    <mergeCell ref="V74:V75"/>
    <mergeCell ref="W74:W75"/>
    <mergeCell ref="X74:X75"/>
    <mergeCell ref="R69:T69"/>
    <mergeCell ref="R70:T70"/>
    <mergeCell ref="R71:T71"/>
    <mergeCell ref="R74:T75"/>
    <mergeCell ref="R61:T61"/>
    <mergeCell ref="R62:T62"/>
    <mergeCell ref="R64:Y64"/>
    <mergeCell ref="R67:T68"/>
    <mergeCell ref="U67:U68"/>
    <mergeCell ref="V67:V68"/>
    <mergeCell ref="W67:W68"/>
    <mergeCell ref="X67:X68"/>
    <mergeCell ref="W54:W55"/>
    <mergeCell ref="X54:X55"/>
    <mergeCell ref="R56:T56"/>
    <mergeCell ref="R59:T60"/>
    <mergeCell ref="U59:U60"/>
    <mergeCell ref="V59:V60"/>
    <mergeCell ref="W59:W60"/>
    <mergeCell ref="X59:X60"/>
    <mergeCell ref="R51:T51"/>
    <mergeCell ref="R54:T55"/>
    <mergeCell ref="U54:U55"/>
    <mergeCell ref="V54:V55"/>
    <mergeCell ref="R44:T44"/>
    <mergeCell ref="R46:Y46"/>
    <mergeCell ref="R49:T50"/>
    <mergeCell ref="U49:U50"/>
    <mergeCell ref="V49:V50"/>
    <mergeCell ref="W49:W50"/>
    <mergeCell ref="X49:X50"/>
    <mergeCell ref="X39:X40"/>
    <mergeCell ref="R41:T41"/>
    <mergeCell ref="R42:T42"/>
    <mergeCell ref="R43:T43"/>
    <mergeCell ref="R39:T40"/>
    <mergeCell ref="U39:U40"/>
    <mergeCell ref="V39:V40"/>
    <mergeCell ref="W39:W40"/>
    <mergeCell ref="R33:T33"/>
    <mergeCell ref="R34:T34"/>
    <mergeCell ref="R35:T35"/>
    <mergeCell ref="R36:T36"/>
    <mergeCell ref="R28:Y28"/>
    <mergeCell ref="R31:T32"/>
    <mergeCell ref="U31:U32"/>
    <mergeCell ref="V31:V32"/>
    <mergeCell ref="W31:W32"/>
    <mergeCell ref="X31:X32"/>
    <mergeCell ref="R23:U23"/>
    <mergeCell ref="R24:U24"/>
    <mergeCell ref="R25:U25"/>
    <mergeCell ref="R26:U26"/>
    <mergeCell ref="R19:U19"/>
    <mergeCell ref="R20:U20"/>
    <mergeCell ref="R21:U21"/>
    <mergeCell ref="R22:U22"/>
    <mergeCell ref="R15:U15"/>
    <mergeCell ref="R16:U16"/>
    <mergeCell ref="R7:Y7"/>
    <mergeCell ref="R10:U10"/>
    <mergeCell ref="R11:U11"/>
    <mergeCell ref="R12:U12"/>
    <mergeCell ref="B2:K3"/>
    <mergeCell ref="B5:D5"/>
    <mergeCell ref="R2:Y3"/>
    <mergeCell ref="R5:U5"/>
    <mergeCell ref="R13:U13"/>
    <mergeCell ref="R14:U14"/>
  </mergeCells>
  <phoneticPr fontId="0" type="noConversion"/>
  <conditionalFormatting sqref="U108:X109">
    <cfRule type="cellIs" dxfId="251" priority="1" stopIfTrue="1" operator="equal">
      <formula>"yes"</formula>
    </cfRule>
    <cfRule type="cellIs" dxfId="250" priority="2" stopIfTrue="1" operator="equal">
      <formula>"no"</formula>
    </cfRule>
  </conditionalFormatting>
  <conditionalFormatting sqref="X254:X255 X106:X107 X247:X248 X49:X50 X235:X236 X54:X55 X67:X68 X74:X75 X100:X101 X112:X113 X118:X119 X132:X133 X279:X280 X126:X127 X241:X242 X59:X60 Y286:Y287 S306:S307 X143:X144 X183:X184 X177:X178 X267:X268 X273:X274 Y213:Y214 X83 X90 X156:X157 X150:X151 X198:X199 X162:X163 X167:X168 X172:X173 X188:X189 X193:X194">
    <cfRule type="cellIs" dxfId="249" priority="3" stopIfTrue="1" operator="equal">
      <formula>$U$31</formula>
    </cfRule>
    <cfRule type="cellIs" dxfId="248" priority="4" stopIfTrue="1" operator="equal">
      <formula>$W$31</formula>
    </cfRule>
    <cfRule type="cellIs" dxfId="247" priority="5" stopIfTrue="1" operator="equal">
      <formula>$Y$31</formula>
    </cfRule>
  </conditionalFormatting>
  <conditionalFormatting sqref="R36 R44">
    <cfRule type="cellIs" dxfId="246" priority="6" stopIfTrue="1" operator="equal">
      <formula>$AI$31</formula>
    </cfRule>
    <cfRule type="cellIs" dxfId="245" priority="7" stopIfTrue="1" operator="equal">
      <formula>$AK$31</formula>
    </cfRule>
    <cfRule type="cellIs" dxfId="244" priority="8" stopIfTrue="1" operator="equal">
      <formula>$AM$31</formula>
    </cfRule>
  </conditionalFormatting>
  <conditionalFormatting sqref="V106:V107 V247:V248 V49:V50 V241:V242 V54:V55 V59:V60 V67:V68 V74:V75 W286:W287 V100:V101 V112:V113 V118:V119 V126:V127 V132:V133 V279:V280 V235:V236 V254:V255 T306:T307 V143:V144 V183:V184 V177:V178 V267:V268 V273:V274 W213:W214 V83 V90 V156:V157 V150:V151 V198:V199 V162:V163 V167:V168 V172:V173 V188:V189 V193:V194">
    <cfRule type="cellIs" dxfId="243" priority="9" stopIfTrue="1" operator="equal">
      <formula>$R$6</formula>
    </cfRule>
    <cfRule type="cellIs" dxfId="242" priority="10" stopIfTrue="1" operator="equal">
      <formula>$V$33</formula>
    </cfRule>
    <cfRule type="cellIs" dxfId="241" priority="11" stopIfTrue="1" operator="equal">
      <formula>$R$8</formula>
    </cfRule>
  </conditionalFormatting>
  <conditionalFormatting sqref="W106:W107 W126:W127 W247:W248 W49:W50 W241:W242 W54:W55 W59:W60 W67:W68 W74:W75 X286:X287 W100:W101 W112:W113 W118:W119 W132:W133 W279:W280 W235:W236 W254:W255 U306:U307 W143:W144 W183:W184 W177:W178 W267:W268 W273:W274 X213:X214 W83 W90 W156:W157 W150:W151 W198:W199 W162:W163 W167:W168 W172:W173 W188:W189 W193:W194">
    <cfRule type="cellIs" dxfId="240" priority="12" stopIfTrue="1" operator="equal">
      <formula>$R$6</formula>
    </cfRule>
    <cfRule type="cellIs" dxfId="239" priority="13" stopIfTrue="1" operator="equal">
      <formula>$R$7</formula>
    </cfRule>
    <cfRule type="cellIs" dxfId="238" priority="14" stopIfTrue="1" operator="equal">
      <formula>$W$33</formula>
    </cfRule>
  </conditionalFormatting>
  <conditionalFormatting sqref="R34 R42">
    <cfRule type="cellIs" dxfId="237" priority="15" stopIfTrue="1" operator="equal">
      <formula>$AF$6</formula>
    </cfRule>
    <cfRule type="cellIs" dxfId="236" priority="16" stopIfTrue="1" operator="equal">
      <formula>$AJ$33</formula>
    </cfRule>
    <cfRule type="cellIs" dxfId="235" priority="17" stopIfTrue="1" operator="equal">
      <formula>$AF$8</formula>
    </cfRule>
  </conditionalFormatting>
  <conditionalFormatting sqref="R35 R43">
    <cfRule type="cellIs" dxfId="234" priority="18" stopIfTrue="1" operator="equal">
      <formula>$AF$6</formula>
    </cfRule>
    <cfRule type="cellIs" dxfId="233" priority="19" stopIfTrue="1" operator="equal">
      <formula>$AF$7</formula>
    </cfRule>
    <cfRule type="cellIs" dxfId="232" priority="20" stopIfTrue="1" operator="equal">
      <formula>$AK$33</formula>
    </cfRule>
  </conditionalFormatting>
  <pageMargins left="0" right="0" top="0.59055118110236227" bottom="0.39370078740157483" header="0.51181102362204722" footer="0.51181102362204722"/>
  <pageSetup paperSize="9" scale="96" fitToHeight="6" orientation="portrait"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sheetPr codeName="Sheet69">
    <pageSetUpPr fitToPage="1"/>
  </sheetPr>
  <dimension ref="A1:AJ906"/>
  <sheetViews>
    <sheetView showRowColHeaders="0" workbookViewId="0">
      <selection activeCell="B2" sqref="B2:K3"/>
    </sheetView>
  </sheetViews>
  <sheetFormatPr defaultRowHeight="12.75"/>
  <cols>
    <col min="1" max="11" width="11.7109375" style="1" customWidth="1"/>
    <col min="12" max="16" width="10.7109375" style="1" customWidth="1"/>
    <col min="17" max="17" width="4.7109375" style="20" customWidth="1"/>
    <col min="18" max="20" width="10.7109375" style="18" customWidth="1"/>
    <col min="21" max="23" width="11.7109375" style="18" customWidth="1"/>
    <col min="24" max="26" width="10.7109375" style="18" customWidth="1"/>
    <col min="27" max="27" width="10.7109375" style="1" customWidth="1"/>
    <col min="28" max="30" width="8.7109375" style="1" customWidth="1"/>
    <col min="31" max="35" width="13.7109375" style="1" customWidth="1"/>
    <col min="36" max="37" width="10.7109375" style="1" customWidth="1"/>
    <col min="38" max="54" width="10.28515625" style="1" customWidth="1"/>
    <col min="55" max="110" width="10.7109375" style="1" customWidth="1"/>
    <col min="111" max="16384" width="9.140625" style="1"/>
  </cols>
  <sheetData>
    <row r="1" spans="1:29" ht="6" customHeight="1" thickBot="1">
      <c r="A1" s="121"/>
      <c r="B1" s="121"/>
      <c r="C1" s="121"/>
      <c r="D1" s="121"/>
      <c r="E1" s="121"/>
      <c r="F1" s="121"/>
      <c r="G1" s="121"/>
      <c r="H1" s="121"/>
      <c r="I1" s="121"/>
      <c r="J1" s="121"/>
      <c r="K1" s="121"/>
      <c r="L1" s="121"/>
      <c r="M1" s="121"/>
      <c r="N1" s="121"/>
      <c r="O1" s="121"/>
      <c r="P1" s="121"/>
      <c r="Q1" s="360"/>
      <c r="R1" s="361"/>
      <c r="S1" s="361"/>
      <c r="T1" s="361"/>
      <c r="U1" s="361"/>
      <c r="V1" s="361"/>
      <c r="W1" s="361"/>
      <c r="X1" s="361"/>
      <c r="Y1" s="361"/>
      <c r="Z1" s="361"/>
      <c r="AA1"/>
      <c r="AB1"/>
      <c r="AC1"/>
    </row>
    <row r="2" spans="1:29" ht="12.75" customHeight="1" thickTop="1">
      <c r="A2" s="121"/>
      <c r="B2" s="753" t="s">
        <v>455</v>
      </c>
      <c r="C2" s="754"/>
      <c r="D2" s="754"/>
      <c r="E2" s="754"/>
      <c r="F2" s="754"/>
      <c r="G2" s="754"/>
      <c r="H2" s="754"/>
      <c r="I2" s="754"/>
      <c r="J2" s="754"/>
      <c r="K2" s="755"/>
      <c r="L2" s="121"/>
      <c r="M2" s="121"/>
      <c r="N2" s="121"/>
      <c r="O2" s="121"/>
      <c r="P2" s="121"/>
      <c r="Q2" s="363"/>
      <c r="R2" s="1024" t="s">
        <v>396</v>
      </c>
      <c r="S2" s="1025"/>
      <c r="T2" s="1025"/>
      <c r="U2" s="1025"/>
      <c r="V2" s="1025"/>
      <c r="W2" s="1025"/>
      <c r="X2" s="1025"/>
      <c r="Y2" s="1026"/>
      <c r="Z2" s="362"/>
      <c r="AA2"/>
      <c r="AB2"/>
      <c r="AC2"/>
    </row>
    <row r="3" spans="1:29" ht="12.75" customHeight="1" thickBot="1">
      <c r="A3" s="121"/>
      <c r="B3" s="756"/>
      <c r="C3" s="757"/>
      <c r="D3" s="757"/>
      <c r="E3" s="757"/>
      <c r="F3" s="757"/>
      <c r="G3" s="757"/>
      <c r="H3" s="757"/>
      <c r="I3" s="757"/>
      <c r="J3" s="757"/>
      <c r="K3" s="758"/>
      <c r="L3" s="121"/>
      <c r="M3" s="121"/>
      <c r="N3" s="121"/>
      <c r="O3" s="121"/>
      <c r="P3" s="121"/>
      <c r="Q3" s="363"/>
      <c r="R3" s="1027"/>
      <c r="S3" s="1028"/>
      <c r="T3" s="1028"/>
      <c r="U3" s="1028"/>
      <c r="V3" s="1028"/>
      <c r="W3" s="1028"/>
      <c r="X3" s="1028"/>
      <c r="Y3" s="1029"/>
      <c r="Z3" s="362"/>
      <c r="AA3"/>
      <c r="AB3"/>
      <c r="AC3"/>
    </row>
    <row r="4" spans="1:29" ht="12.75" customHeight="1" thickTop="1">
      <c r="A4" s="121"/>
      <c r="B4" s="121"/>
      <c r="C4" s="121"/>
      <c r="D4" s="121"/>
      <c r="E4" s="121"/>
      <c r="F4" s="121"/>
      <c r="G4" s="121"/>
      <c r="H4" s="121"/>
      <c r="I4" s="121"/>
      <c r="J4" s="121"/>
      <c r="K4" s="121"/>
      <c r="L4" s="121"/>
      <c r="M4" s="121"/>
      <c r="N4" s="121"/>
      <c r="O4" s="121"/>
      <c r="P4" s="121"/>
      <c r="Q4" s="363"/>
      <c r="R4" s="361"/>
      <c r="S4" s="361"/>
      <c r="T4" s="361"/>
      <c r="U4" s="361"/>
      <c r="V4" s="361"/>
      <c r="W4" s="361"/>
      <c r="X4" s="361"/>
      <c r="Y4" s="361"/>
      <c r="Z4" s="361"/>
      <c r="AA4"/>
      <c r="AB4"/>
      <c r="AC4"/>
    </row>
    <row r="5" spans="1:29" ht="12.75" customHeight="1">
      <c r="A5" s="121"/>
      <c r="B5" s="828" t="s">
        <v>581</v>
      </c>
      <c r="C5" s="829"/>
      <c r="D5" s="830"/>
      <c r="E5" s="460">
        <v>450</v>
      </c>
      <c r="F5" s="461">
        <f>+E5</f>
        <v>450</v>
      </c>
      <c r="G5" s="121"/>
      <c r="H5" s="121"/>
      <c r="I5" s="121"/>
      <c r="J5" s="121"/>
      <c r="K5" s="121"/>
      <c r="L5" s="121"/>
      <c r="M5" s="121"/>
      <c r="N5" s="121"/>
      <c r="O5" s="121"/>
      <c r="P5" s="121"/>
      <c r="Q5" s="360"/>
      <c r="R5" s="951" t="s">
        <v>868</v>
      </c>
      <c r="S5" s="951"/>
      <c r="T5" s="951"/>
      <c r="U5" s="951"/>
      <c r="V5" s="447">
        <f>F5</f>
        <v>450</v>
      </c>
      <c r="W5" s="362"/>
      <c r="X5" s="362"/>
      <c r="Y5" s="362"/>
      <c r="Z5" s="362"/>
      <c r="AA5"/>
      <c r="AB5"/>
      <c r="AC5"/>
    </row>
    <row r="6" spans="1:29" ht="12.75" customHeight="1">
      <c r="A6" s="121"/>
      <c r="B6" s="121"/>
      <c r="C6" s="121"/>
      <c r="D6" s="121"/>
      <c r="E6" s="121"/>
      <c r="F6" s="121"/>
      <c r="G6" s="121"/>
      <c r="H6" s="121"/>
      <c r="I6" s="121"/>
      <c r="J6" s="121"/>
      <c r="K6" s="121"/>
      <c r="L6" s="121"/>
      <c r="M6" s="121"/>
      <c r="N6" s="121"/>
      <c r="O6" s="121"/>
      <c r="P6" s="121"/>
      <c r="Q6" s="360"/>
      <c r="R6" s="362"/>
      <c r="S6" s="362"/>
      <c r="T6" s="362"/>
      <c r="U6" s="362"/>
      <c r="V6" s="361"/>
      <c r="W6" s="361"/>
      <c r="X6" s="361"/>
      <c r="Y6" s="361"/>
      <c r="Z6" s="361"/>
      <c r="AA6"/>
      <c r="AB6"/>
      <c r="AC6"/>
    </row>
    <row r="7" spans="1:29" ht="12.75" customHeight="1">
      <c r="A7" s="121"/>
      <c r="B7" s="121"/>
      <c r="C7" s="121"/>
      <c r="D7" s="121"/>
      <c r="E7" s="121"/>
      <c r="F7" s="121"/>
      <c r="G7" s="121"/>
      <c r="H7" s="121"/>
      <c r="I7" s="121"/>
      <c r="J7" s="121"/>
      <c r="K7" s="121"/>
      <c r="L7" s="121"/>
      <c r="M7" s="121"/>
      <c r="N7" s="121"/>
      <c r="O7" s="121"/>
      <c r="P7" s="121"/>
      <c r="Q7" s="385">
        <v>1</v>
      </c>
      <c r="R7" s="1008" t="s">
        <v>24</v>
      </c>
      <c r="S7" s="1008"/>
      <c r="T7" s="1008"/>
      <c r="U7" s="1008"/>
      <c r="V7" s="1008"/>
      <c r="W7" s="1008"/>
      <c r="X7" s="1008"/>
      <c r="Y7" s="1008"/>
      <c r="Z7" s="536"/>
      <c r="AA7"/>
      <c r="AB7"/>
      <c r="AC7"/>
    </row>
    <row r="8" spans="1:29" ht="12.75" customHeight="1">
      <c r="A8" s="121"/>
      <c r="B8" s="121"/>
      <c r="C8" s="121"/>
      <c r="D8" s="121"/>
      <c r="E8" s="121"/>
      <c r="F8" s="121"/>
      <c r="G8" s="121"/>
      <c r="H8" s="121"/>
      <c r="I8" s="121"/>
      <c r="J8" s="121"/>
      <c r="K8" s="121"/>
      <c r="L8" s="121"/>
      <c r="M8" s="121"/>
      <c r="N8" s="121"/>
      <c r="O8" s="121"/>
      <c r="P8" s="121"/>
      <c r="Q8" s="386"/>
      <c r="R8" s="361"/>
      <c r="S8" s="361"/>
      <c r="T8" s="361"/>
      <c r="U8" s="361"/>
      <c r="V8" s="361"/>
      <c r="W8" s="361"/>
      <c r="X8" s="361"/>
      <c r="Y8" s="361"/>
      <c r="Z8" s="361"/>
      <c r="AA8"/>
      <c r="AB8"/>
      <c r="AC8"/>
    </row>
    <row r="9" spans="1:29" ht="12.75" customHeight="1">
      <c r="A9" s="121"/>
      <c r="B9" s="121"/>
      <c r="C9" s="121"/>
      <c r="D9" s="121"/>
      <c r="E9" s="121"/>
      <c r="F9" s="121"/>
      <c r="G9" s="121"/>
      <c r="H9" s="121"/>
      <c r="I9" s="121"/>
      <c r="J9" s="121"/>
      <c r="K9" s="121"/>
      <c r="L9" s="121"/>
      <c r="M9" s="121"/>
      <c r="N9" s="121"/>
      <c r="O9" s="121"/>
      <c r="P9" s="121"/>
      <c r="Q9" s="360">
        <v>1.1000000000000001</v>
      </c>
      <c r="R9" s="364" t="s">
        <v>586</v>
      </c>
      <c r="S9" s="363"/>
      <c r="T9" s="363"/>
      <c r="U9" s="363"/>
      <c r="V9" s="363"/>
      <c r="W9" s="363"/>
      <c r="X9" s="363"/>
      <c r="Y9" s="363"/>
      <c r="Z9" s="363"/>
      <c r="AA9"/>
      <c r="AB9"/>
      <c r="AC9"/>
    </row>
    <row r="10" spans="1:29" ht="12.75" customHeight="1">
      <c r="A10" s="121"/>
      <c r="B10" s="121"/>
      <c r="C10" s="121"/>
      <c r="D10" s="121"/>
      <c r="E10" s="121"/>
      <c r="F10" s="121"/>
      <c r="G10" s="121"/>
      <c r="H10" s="121"/>
      <c r="I10" s="121"/>
      <c r="J10" s="121"/>
      <c r="K10" s="121"/>
      <c r="L10" s="121"/>
      <c r="M10" s="121"/>
      <c r="N10" s="121"/>
      <c r="O10" s="121"/>
      <c r="P10" s="121"/>
      <c r="Q10" s="360"/>
      <c r="R10" s="969" t="s">
        <v>25</v>
      </c>
      <c r="S10" s="969"/>
      <c r="T10" s="969"/>
      <c r="U10" s="969"/>
      <c r="V10" s="447">
        <f>'Prod Parameters'!$F$8</f>
        <v>23</v>
      </c>
      <c r="W10" s="363"/>
      <c r="X10" s="363"/>
      <c r="Y10" s="363"/>
      <c r="Z10" s="363"/>
      <c r="AA10"/>
      <c r="AB10"/>
      <c r="AC10"/>
    </row>
    <row r="11" spans="1:29" ht="12.75" customHeight="1">
      <c r="A11" s="121"/>
      <c r="B11" s="121"/>
      <c r="C11" s="121"/>
      <c r="D11" s="121"/>
      <c r="E11" s="121"/>
      <c r="F11" s="121"/>
      <c r="G11" s="121"/>
      <c r="H11" s="121"/>
      <c r="I11" s="121"/>
      <c r="J11" s="121"/>
      <c r="K11" s="121"/>
      <c r="L11" s="121"/>
      <c r="M11" s="121"/>
      <c r="N11" s="121"/>
      <c r="O11" s="121"/>
      <c r="P11" s="121"/>
      <c r="Q11" s="360"/>
      <c r="R11" s="969" t="s">
        <v>325</v>
      </c>
      <c r="S11" s="969"/>
      <c r="T11" s="969"/>
      <c r="U11" s="969"/>
      <c r="V11" s="447">
        <f>'Prod Parameters'!$F$9</f>
        <v>23</v>
      </c>
      <c r="W11" s="363"/>
      <c r="X11" s="363"/>
      <c r="Y11" s="363"/>
      <c r="Z11" s="363"/>
      <c r="AA11"/>
      <c r="AB11"/>
      <c r="AC11"/>
    </row>
    <row r="12" spans="1:29" ht="12.75" customHeight="1">
      <c r="A12" s="121"/>
      <c r="B12" s="121"/>
      <c r="C12" s="121"/>
      <c r="D12" s="121"/>
      <c r="E12" s="121"/>
      <c r="F12" s="121"/>
      <c r="G12" s="121"/>
      <c r="H12" s="121"/>
      <c r="I12" s="121"/>
      <c r="J12" s="121"/>
      <c r="K12" s="121"/>
      <c r="L12" s="121"/>
      <c r="M12" s="121"/>
      <c r="N12" s="121"/>
      <c r="O12" s="121"/>
      <c r="P12" s="121"/>
      <c r="Q12" s="360"/>
      <c r="R12" s="1021" t="s">
        <v>26</v>
      </c>
      <c r="S12" s="1022"/>
      <c r="T12" s="1022"/>
      <c r="U12" s="1023"/>
      <c r="V12" s="447">
        <f>'Prod Parameters'!$F$10</f>
        <v>6</v>
      </c>
      <c r="W12" s="363"/>
      <c r="X12" s="363"/>
      <c r="Y12" s="363"/>
      <c r="Z12" s="363"/>
      <c r="AA12"/>
      <c r="AB12"/>
      <c r="AC12"/>
    </row>
    <row r="13" spans="1:29" ht="12.75" customHeight="1">
      <c r="A13" s="121"/>
      <c r="B13" s="121"/>
      <c r="C13" s="121"/>
      <c r="D13" s="121"/>
      <c r="E13" s="121"/>
      <c r="F13" s="121"/>
      <c r="G13" s="121"/>
      <c r="H13" s="121"/>
      <c r="I13" s="121"/>
      <c r="J13" s="121"/>
      <c r="K13" s="121"/>
      <c r="L13" s="121"/>
      <c r="M13" s="121"/>
      <c r="N13" s="121"/>
      <c r="O13" s="121"/>
      <c r="P13" s="121"/>
      <c r="Q13" s="360"/>
      <c r="R13" s="969" t="s">
        <v>27</v>
      </c>
      <c r="S13" s="969"/>
      <c r="T13" s="969"/>
      <c r="U13" s="969"/>
      <c r="V13" s="447">
        <f>'Prod Parameters'!$F$11</f>
        <v>52</v>
      </c>
      <c r="W13" s="363"/>
      <c r="X13" s="363"/>
      <c r="Y13" s="363"/>
      <c r="Z13" s="363"/>
      <c r="AA13"/>
      <c r="AB13"/>
      <c r="AC13"/>
    </row>
    <row r="14" spans="1:29" ht="12.75" customHeight="1">
      <c r="A14" s="121"/>
      <c r="B14" s="121"/>
      <c r="C14" s="121"/>
      <c r="D14" s="121"/>
      <c r="E14" s="121"/>
      <c r="F14" s="121"/>
      <c r="G14" s="121"/>
      <c r="H14" s="121"/>
      <c r="I14" s="121"/>
      <c r="J14" s="121"/>
      <c r="K14" s="121"/>
      <c r="L14" s="121"/>
      <c r="M14" s="121"/>
      <c r="N14" s="121"/>
      <c r="O14" s="121"/>
      <c r="P14" s="121"/>
      <c r="Q14" s="360"/>
      <c r="R14" s="969" t="s">
        <v>28</v>
      </c>
      <c r="S14" s="969"/>
      <c r="T14" s="969"/>
      <c r="U14" s="969"/>
      <c r="V14" s="447">
        <f>'Prod Parameters'!$F$12</f>
        <v>260</v>
      </c>
      <c r="W14" s="363"/>
      <c r="X14" s="363"/>
      <c r="Y14" s="363"/>
      <c r="Z14" s="363"/>
      <c r="AA14"/>
      <c r="AB14"/>
      <c r="AC14"/>
    </row>
    <row r="15" spans="1:29" ht="12.75" customHeight="1">
      <c r="A15" s="121"/>
      <c r="B15" s="121"/>
      <c r="C15" s="121"/>
      <c r="D15" s="121"/>
      <c r="E15" s="121"/>
      <c r="F15" s="121"/>
      <c r="G15" s="121"/>
      <c r="H15" s="121"/>
      <c r="I15" s="121"/>
      <c r="J15" s="121"/>
      <c r="K15" s="121"/>
      <c r="L15" s="121"/>
      <c r="M15" s="121"/>
      <c r="N15" s="121"/>
      <c r="O15" s="121"/>
      <c r="P15" s="121"/>
      <c r="Q15" s="360"/>
      <c r="R15" s="969" t="s">
        <v>29</v>
      </c>
      <c r="S15" s="969"/>
      <c r="T15" s="969"/>
      <c r="U15" s="969"/>
      <c r="V15" s="447">
        <f>'Prod Parameters'!$F$13</f>
        <v>30</v>
      </c>
      <c r="W15" s="363"/>
      <c r="X15" s="363"/>
      <c r="Y15" s="363"/>
      <c r="Z15" s="363"/>
      <c r="AA15"/>
      <c r="AB15"/>
      <c r="AC15"/>
    </row>
    <row r="16" spans="1:29" ht="12.75" customHeight="1">
      <c r="A16" s="121"/>
      <c r="B16" s="121"/>
      <c r="C16" s="121"/>
      <c r="D16" s="121"/>
      <c r="E16" s="121"/>
      <c r="F16" s="121"/>
      <c r="G16" s="121"/>
      <c r="H16" s="121"/>
      <c r="I16" s="121"/>
      <c r="J16" s="121"/>
      <c r="K16" s="121"/>
      <c r="L16" s="121"/>
      <c r="M16" s="121"/>
      <c r="N16" s="121"/>
      <c r="O16" s="121"/>
      <c r="P16" s="121"/>
      <c r="Q16" s="360"/>
      <c r="R16" s="968" t="s">
        <v>30</v>
      </c>
      <c r="S16" s="968"/>
      <c r="T16" s="968"/>
      <c r="U16" s="968"/>
      <c r="V16" s="447">
        <f>'Prod Parameters'!$F$14</f>
        <v>230</v>
      </c>
      <c r="W16" s="363"/>
      <c r="X16" s="363"/>
      <c r="Y16" s="363"/>
      <c r="Z16" s="363"/>
      <c r="AA16"/>
      <c r="AB16"/>
      <c r="AC16"/>
    </row>
    <row r="17" spans="1:30" ht="12.75" customHeight="1">
      <c r="A17" s="121"/>
      <c r="B17" s="121"/>
      <c r="C17" s="121"/>
      <c r="D17" s="121"/>
      <c r="E17" s="121"/>
      <c r="F17" s="121"/>
      <c r="G17" s="121"/>
      <c r="H17" s="121"/>
      <c r="I17" s="121"/>
      <c r="J17" s="121"/>
      <c r="K17" s="121"/>
      <c r="L17" s="121"/>
      <c r="M17" s="121"/>
      <c r="N17" s="121"/>
      <c r="O17" s="121"/>
      <c r="P17" s="121"/>
      <c r="Q17" s="360"/>
      <c r="R17" s="363"/>
      <c r="S17" s="363"/>
      <c r="T17" s="363"/>
      <c r="U17" s="363"/>
      <c r="V17" s="363"/>
      <c r="W17" s="363"/>
      <c r="X17" s="363"/>
      <c r="Y17" s="363"/>
      <c r="Z17" s="363"/>
      <c r="AA17"/>
      <c r="AB17"/>
      <c r="AC17"/>
    </row>
    <row r="18" spans="1:30" ht="12.75" customHeight="1">
      <c r="A18" s="121"/>
      <c r="B18" s="121"/>
      <c r="C18" s="121"/>
      <c r="D18" s="121"/>
      <c r="E18" s="121"/>
      <c r="F18" s="121"/>
      <c r="G18" s="121"/>
      <c r="H18" s="121"/>
      <c r="I18" s="121"/>
      <c r="J18" s="121"/>
      <c r="K18" s="121"/>
      <c r="L18" s="121"/>
      <c r="M18" s="121"/>
      <c r="N18" s="121"/>
      <c r="O18" s="121"/>
      <c r="P18" s="121"/>
      <c r="Q18" s="360">
        <v>1.2</v>
      </c>
      <c r="R18" s="364" t="s">
        <v>19</v>
      </c>
      <c r="S18" s="363"/>
      <c r="T18" s="363"/>
      <c r="U18" s="363"/>
      <c r="V18" s="363"/>
      <c r="W18" s="363"/>
      <c r="X18" s="363"/>
      <c r="Y18" s="363"/>
      <c r="Z18" s="363"/>
      <c r="AA18"/>
      <c r="AB18"/>
      <c r="AC18"/>
    </row>
    <row r="19" spans="1:30" ht="12.75" customHeight="1">
      <c r="A19" s="121"/>
      <c r="B19" s="121"/>
      <c r="C19" s="121"/>
      <c r="D19" s="121"/>
      <c r="E19" s="121"/>
      <c r="F19" s="121"/>
      <c r="G19" s="121"/>
      <c r="H19" s="121"/>
      <c r="I19" s="121"/>
      <c r="J19" s="121"/>
      <c r="K19" s="121"/>
      <c r="L19" s="121"/>
      <c r="M19" s="121"/>
      <c r="N19" s="121"/>
      <c r="O19" s="121"/>
      <c r="P19" s="121"/>
      <c r="Q19" s="360"/>
      <c r="R19" s="969" t="s">
        <v>314</v>
      </c>
      <c r="S19" s="969"/>
      <c r="T19" s="969"/>
      <c r="U19" s="969"/>
      <c r="V19" s="447">
        <f>'Prod Parameters'!$F$17</f>
        <v>160</v>
      </c>
      <c r="W19" s="363"/>
      <c r="X19" s="363"/>
      <c r="Y19" s="363"/>
      <c r="Z19" s="363"/>
      <c r="AA19"/>
      <c r="AB19"/>
      <c r="AC19"/>
    </row>
    <row r="20" spans="1:30" ht="12.75" customHeight="1">
      <c r="A20" s="121"/>
      <c r="B20" s="121"/>
      <c r="C20" s="121"/>
      <c r="D20" s="121"/>
      <c r="E20" s="121"/>
      <c r="F20" s="121"/>
      <c r="G20" s="121"/>
      <c r="H20" s="121"/>
      <c r="I20" s="121"/>
      <c r="J20" s="121"/>
      <c r="K20" s="121"/>
      <c r="L20" s="121"/>
      <c r="M20" s="121"/>
      <c r="N20" s="121"/>
      <c r="O20" s="121"/>
      <c r="P20" s="121"/>
      <c r="Q20" s="360"/>
      <c r="R20" s="969" t="s">
        <v>31</v>
      </c>
      <c r="S20" s="969"/>
      <c r="T20" s="969"/>
      <c r="U20" s="969"/>
      <c r="V20" s="447">
        <f>'Prod Parameters'!$F$18</f>
        <v>1.2</v>
      </c>
      <c r="W20" s="363"/>
      <c r="X20" s="363"/>
      <c r="Y20" s="363"/>
      <c r="Z20" s="363"/>
      <c r="AA20"/>
      <c r="AB20"/>
      <c r="AC20"/>
    </row>
    <row r="21" spans="1:30" ht="12.75" customHeight="1">
      <c r="A21" s="121"/>
      <c r="B21" s="121"/>
      <c r="C21" s="121"/>
      <c r="D21" s="121"/>
      <c r="E21" s="121"/>
      <c r="F21" s="121"/>
      <c r="G21" s="121"/>
      <c r="H21" s="121"/>
      <c r="I21" s="121"/>
      <c r="J21" s="121"/>
      <c r="K21" s="121"/>
      <c r="L21" s="121"/>
      <c r="M21" s="121"/>
      <c r="N21" s="121"/>
      <c r="O21" s="121"/>
      <c r="P21" s="121"/>
      <c r="Q21" s="360"/>
      <c r="R21" s="969" t="s">
        <v>199</v>
      </c>
      <c r="S21" s="969"/>
      <c r="T21" s="969"/>
      <c r="U21" s="969"/>
      <c r="V21" s="447">
        <f>'Prod Parameters'!$F$19</f>
        <v>4</v>
      </c>
      <c r="W21" s="363"/>
      <c r="X21" s="363"/>
      <c r="Y21" s="363"/>
      <c r="Z21" s="363"/>
      <c r="AA21"/>
      <c r="AB21"/>
      <c r="AC21"/>
    </row>
    <row r="22" spans="1:30" ht="12.75" customHeight="1">
      <c r="A22" s="121"/>
      <c r="B22" s="121"/>
      <c r="C22" s="121"/>
      <c r="D22" s="121"/>
      <c r="E22" s="121"/>
      <c r="F22" s="121"/>
      <c r="G22" s="121"/>
      <c r="H22" s="121"/>
      <c r="I22" s="121"/>
      <c r="J22" s="121"/>
      <c r="K22" s="121"/>
      <c r="L22" s="121"/>
      <c r="M22" s="121"/>
      <c r="N22" s="121"/>
      <c r="O22" s="121"/>
      <c r="P22" s="121"/>
      <c r="Q22" s="360"/>
      <c r="R22" s="969" t="s">
        <v>20</v>
      </c>
      <c r="S22" s="969"/>
      <c r="T22" s="969"/>
      <c r="U22" s="969"/>
      <c r="V22" s="447">
        <f>'Prod Parameters'!$F$20</f>
        <v>40</v>
      </c>
      <c r="W22" s="363"/>
      <c r="X22" s="363"/>
      <c r="Y22" s="363"/>
      <c r="Z22" s="363"/>
      <c r="AA22"/>
      <c r="AB22"/>
      <c r="AC22"/>
    </row>
    <row r="23" spans="1:30" ht="12.75" customHeight="1">
      <c r="A23" s="121"/>
      <c r="B23" s="121"/>
      <c r="C23" s="121"/>
      <c r="D23" s="121"/>
      <c r="E23" s="121"/>
      <c r="F23" s="121"/>
      <c r="G23" s="121"/>
      <c r="H23" s="121"/>
      <c r="I23" s="121"/>
      <c r="J23" s="121"/>
      <c r="K23" s="121"/>
      <c r="L23" s="121"/>
      <c r="M23" s="121"/>
      <c r="N23" s="121"/>
      <c r="O23" s="121"/>
      <c r="P23" s="121"/>
      <c r="Q23" s="360"/>
      <c r="R23" s="969" t="s">
        <v>310</v>
      </c>
      <c r="S23" s="969"/>
      <c r="T23" s="969"/>
      <c r="U23" s="969"/>
      <c r="V23" s="447">
        <f>'Prod Parameters'!$F$21</f>
        <v>160</v>
      </c>
      <c r="W23" s="363"/>
      <c r="X23" s="363"/>
      <c r="Y23" s="363"/>
      <c r="Z23" s="363"/>
      <c r="AA23"/>
      <c r="AB23"/>
      <c r="AC23"/>
    </row>
    <row r="24" spans="1:30" ht="12.75" customHeight="1">
      <c r="A24" s="121"/>
      <c r="B24" s="121"/>
      <c r="C24" s="121"/>
      <c r="D24" s="121"/>
      <c r="E24" s="121"/>
      <c r="F24" s="121"/>
      <c r="G24" s="121"/>
      <c r="H24" s="121"/>
      <c r="I24" s="121"/>
      <c r="J24" s="121"/>
      <c r="K24" s="121"/>
      <c r="L24" s="121"/>
      <c r="M24" s="121"/>
      <c r="N24" s="121"/>
      <c r="O24" s="121"/>
      <c r="P24" s="121"/>
      <c r="Q24" s="360"/>
      <c r="R24" s="969" t="s">
        <v>315</v>
      </c>
      <c r="S24" s="969"/>
      <c r="T24" s="969"/>
      <c r="U24" s="969"/>
      <c r="V24" s="549">
        <f>'Prod Parameters'!$F$22</f>
        <v>6400</v>
      </c>
      <c r="W24" s="363"/>
      <c r="X24" s="363"/>
      <c r="Y24" s="363"/>
      <c r="Z24" s="363"/>
      <c r="AA24"/>
      <c r="AB24"/>
      <c r="AC24"/>
    </row>
    <row r="25" spans="1:30" ht="12.75" customHeight="1">
      <c r="A25" s="121"/>
      <c r="B25" s="121"/>
      <c r="C25" s="121"/>
      <c r="D25" s="121"/>
      <c r="E25" s="121"/>
      <c r="F25" s="121"/>
      <c r="G25" s="121"/>
      <c r="H25" s="121"/>
      <c r="I25" s="121"/>
      <c r="J25" s="121"/>
      <c r="K25" s="121"/>
      <c r="L25" s="121"/>
      <c r="M25" s="121"/>
      <c r="N25" s="121"/>
      <c r="O25" s="121"/>
      <c r="P25" s="121"/>
      <c r="Q25" s="360"/>
      <c r="R25" s="969" t="s">
        <v>187</v>
      </c>
      <c r="S25" s="969"/>
      <c r="T25" s="969"/>
      <c r="U25" s="969"/>
      <c r="V25" s="549">
        <f>'Prod Parameters'!$F$23</f>
        <v>7680</v>
      </c>
      <c r="W25" s="363"/>
      <c r="X25" s="363"/>
      <c r="Y25" s="363"/>
      <c r="Z25" s="363"/>
      <c r="AA25"/>
      <c r="AB25"/>
      <c r="AC25"/>
    </row>
    <row r="26" spans="1:30" ht="12.75" customHeight="1">
      <c r="A26" s="121"/>
      <c r="B26" s="121"/>
      <c r="C26" s="121"/>
      <c r="D26" s="121"/>
      <c r="E26" s="121"/>
      <c r="F26" s="121"/>
      <c r="G26" s="121"/>
      <c r="H26" s="121"/>
      <c r="I26" s="121"/>
      <c r="J26" s="121"/>
      <c r="K26" s="121"/>
      <c r="L26" s="121"/>
      <c r="M26" s="121"/>
      <c r="N26" s="121"/>
      <c r="O26" s="121"/>
      <c r="P26" s="121"/>
      <c r="Q26" s="360"/>
      <c r="R26" s="969" t="s">
        <v>200</v>
      </c>
      <c r="S26" s="969"/>
      <c r="T26" s="969"/>
      <c r="U26" s="969"/>
      <c r="V26" s="549">
        <f>'Prod Parameters'!$F$24</f>
        <v>176640</v>
      </c>
      <c r="W26" s="363"/>
      <c r="X26" s="363"/>
      <c r="Y26" s="363"/>
      <c r="Z26" s="363"/>
      <c r="AA26"/>
      <c r="AB26"/>
      <c r="AC26"/>
    </row>
    <row r="27" spans="1:30" ht="12.75" customHeight="1">
      <c r="A27" s="121"/>
      <c r="B27" s="121"/>
      <c r="C27" s="121"/>
      <c r="D27" s="121"/>
      <c r="E27" s="121"/>
      <c r="F27" s="121"/>
      <c r="G27" s="121"/>
      <c r="H27" s="121"/>
      <c r="I27" s="121"/>
      <c r="J27" s="121"/>
      <c r="K27" s="121"/>
      <c r="L27" s="121"/>
      <c r="M27" s="121"/>
      <c r="N27" s="121"/>
      <c r="O27" s="121"/>
      <c r="P27" s="121"/>
      <c r="Q27" s="360"/>
      <c r="R27" s="363"/>
      <c r="S27" s="363"/>
      <c r="T27" s="363"/>
      <c r="U27" s="363"/>
      <c r="V27" s="363"/>
      <c r="W27" s="363"/>
      <c r="X27" s="363"/>
      <c r="Y27" s="363"/>
      <c r="Z27" s="363"/>
      <c r="AA27"/>
      <c r="AB27"/>
      <c r="AC27"/>
    </row>
    <row r="28" spans="1:30" ht="12.75" customHeight="1">
      <c r="A28" s="121"/>
      <c r="B28" s="121"/>
      <c r="C28" s="121"/>
      <c r="D28" s="121"/>
      <c r="E28" s="121"/>
      <c r="F28" s="121"/>
      <c r="G28" s="121"/>
      <c r="H28" s="121"/>
      <c r="I28" s="121"/>
      <c r="J28" s="121"/>
      <c r="K28" s="121"/>
      <c r="L28" s="121"/>
      <c r="M28" s="121"/>
      <c r="N28" s="121"/>
      <c r="O28" s="121"/>
      <c r="P28" s="121"/>
      <c r="Q28" s="385" t="s">
        <v>33</v>
      </c>
      <c r="R28" s="1008" t="s">
        <v>821</v>
      </c>
      <c r="S28" s="1008"/>
      <c r="T28" s="1008"/>
      <c r="U28" s="1008"/>
      <c r="V28" s="1008"/>
      <c r="W28" s="1008"/>
      <c r="X28" s="1008"/>
      <c r="Y28" s="1008"/>
      <c r="Z28" s="536"/>
      <c r="AA28"/>
      <c r="AB28"/>
      <c r="AC28"/>
    </row>
    <row r="29" spans="1:30" ht="12.75" customHeight="1">
      <c r="A29" s="121"/>
      <c r="B29" s="121"/>
      <c r="C29" s="121"/>
      <c r="D29" s="121"/>
      <c r="E29" s="121"/>
      <c r="F29" s="121"/>
      <c r="G29" s="121"/>
      <c r="H29" s="121"/>
      <c r="I29" s="121"/>
      <c r="J29" s="121"/>
      <c r="K29" s="121"/>
      <c r="L29" s="121"/>
      <c r="M29" s="121"/>
      <c r="N29" s="121"/>
      <c r="O29" s="121"/>
      <c r="P29" s="121"/>
      <c r="Q29" s="546"/>
      <c r="R29" s="363"/>
      <c r="S29" s="363"/>
      <c r="T29" s="363"/>
      <c r="U29" s="363"/>
      <c r="V29" s="363"/>
      <c r="W29" s="363"/>
      <c r="X29" s="363"/>
      <c r="Y29" s="363"/>
      <c r="Z29" s="363"/>
      <c r="AA29"/>
      <c r="AB29"/>
      <c r="AC29"/>
    </row>
    <row r="30" spans="1:30" ht="12.75" customHeight="1">
      <c r="A30" s="121"/>
      <c r="B30" s="121"/>
      <c r="C30" s="121"/>
      <c r="D30" s="121"/>
      <c r="E30" s="121"/>
      <c r="F30" s="121"/>
      <c r="G30" s="121"/>
      <c r="H30" s="121"/>
      <c r="I30" s="121"/>
      <c r="J30" s="121"/>
      <c r="K30" s="121"/>
      <c r="L30" s="121"/>
      <c r="M30" s="121"/>
      <c r="N30" s="121"/>
      <c r="O30" s="121"/>
      <c r="P30" s="121"/>
      <c r="Q30" s="546">
        <v>2.1</v>
      </c>
      <c r="R30" s="363" t="s">
        <v>831</v>
      </c>
      <c r="S30" s="363"/>
      <c r="T30" s="363"/>
      <c r="U30" s="550"/>
      <c r="V30" s="550"/>
      <c r="W30" s="550"/>
      <c r="X30" s="550"/>
      <c r="Y30" s="551"/>
      <c r="Z30" s="551"/>
      <c r="AA30"/>
      <c r="AB30"/>
      <c r="AC30"/>
      <c r="AD30" s="107"/>
    </row>
    <row r="31" spans="1:30" ht="12.75" customHeight="1">
      <c r="A31" s="121"/>
      <c r="B31" s="121"/>
      <c r="C31" s="121"/>
      <c r="D31" s="121"/>
      <c r="E31" s="121"/>
      <c r="F31" s="121"/>
      <c r="G31" s="121"/>
      <c r="H31" s="121"/>
      <c r="I31" s="121"/>
      <c r="J31" s="121"/>
      <c r="K31" s="121"/>
      <c r="L31" s="121"/>
      <c r="M31" s="121"/>
      <c r="N31" s="121"/>
      <c r="O31" s="121"/>
      <c r="P31" s="121"/>
      <c r="Q31" s="546"/>
      <c r="R31" s="998" t="s">
        <v>77</v>
      </c>
      <c r="S31" s="999"/>
      <c r="T31" s="1000"/>
      <c r="U31" s="1019" t="s">
        <v>824</v>
      </c>
      <c r="V31" s="1019" t="s">
        <v>828</v>
      </c>
      <c r="W31" s="1019" t="s">
        <v>826</v>
      </c>
      <c r="X31" s="1019" t="s">
        <v>23</v>
      </c>
      <c r="Y31" s="552"/>
      <c r="Z31" s="552"/>
      <c r="AA31"/>
      <c r="AB31"/>
      <c r="AC31"/>
      <c r="AD31" s="93"/>
    </row>
    <row r="32" spans="1:30" ht="12.75" customHeight="1">
      <c r="A32" s="121"/>
      <c r="B32" s="121"/>
      <c r="C32" s="121"/>
      <c r="D32" s="121"/>
      <c r="E32" s="121"/>
      <c r="F32" s="121"/>
      <c r="G32" s="121"/>
      <c r="H32" s="121"/>
      <c r="I32" s="121"/>
      <c r="J32" s="121"/>
      <c r="K32" s="121"/>
      <c r="L32" s="121"/>
      <c r="M32" s="121"/>
      <c r="N32" s="121"/>
      <c r="O32" s="121"/>
      <c r="P32" s="121"/>
      <c r="Q32" s="546"/>
      <c r="R32" s="1001"/>
      <c r="S32" s="1002"/>
      <c r="T32" s="1003"/>
      <c r="U32" s="1019"/>
      <c r="V32" s="1019"/>
      <c r="W32" s="1019"/>
      <c r="X32" s="1019"/>
      <c r="Y32" s="364"/>
      <c r="Z32" s="364"/>
      <c r="AA32"/>
      <c r="AB32"/>
      <c r="AC32"/>
      <c r="AD32" s="93"/>
    </row>
    <row r="33" spans="1:30" ht="12.75" customHeight="1">
      <c r="A33" s="121"/>
      <c r="B33" s="121"/>
      <c r="C33" s="121"/>
      <c r="D33" s="121"/>
      <c r="E33" s="121"/>
      <c r="F33" s="121"/>
      <c r="G33" s="121"/>
      <c r="H33" s="121"/>
      <c r="I33" s="121"/>
      <c r="J33" s="121"/>
      <c r="K33" s="121"/>
      <c r="L33" s="121"/>
      <c r="M33" s="121"/>
      <c r="N33" s="121"/>
      <c r="O33" s="121"/>
      <c r="P33" s="121"/>
      <c r="Q33" s="546"/>
      <c r="R33" s="1020" t="s">
        <v>500</v>
      </c>
      <c r="S33" s="1020"/>
      <c r="T33" s="1020"/>
      <c r="U33" s="369">
        <v>23.9</v>
      </c>
      <c r="V33" s="369">
        <f>'Lookup Properties'!$C$7</f>
        <v>15.4</v>
      </c>
      <c r="W33" s="369">
        <f>'Lookup Properties'!$D$7</f>
        <v>4.8</v>
      </c>
      <c r="X33" s="553">
        <f>SUM(U33:W33)</f>
        <v>44.099999999999994</v>
      </c>
      <c r="Y33" s="364"/>
      <c r="Z33" s="364"/>
      <c r="AA33"/>
      <c r="AB33"/>
      <c r="AC33"/>
      <c r="AD33" s="93"/>
    </row>
    <row r="34" spans="1:30" ht="12.75" customHeight="1">
      <c r="A34" s="121"/>
      <c r="B34" s="121"/>
      <c r="C34" s="121"/>
      <c r="D34" s="121"/>
      <c r="E34" s="121"/>
      <c r="F34" s="121"/>
      <c r="G34" s="121"/>
      <c r="H34" s="121"/>
      <c r="I34" s="121"/>
      <c r="J34" s="121"/>
      <c r="K34" s="121"/>
      <c r="L34" s="121"/>
      <c r="M34" s="121"/>
      <c r="N34" s="121"/>
      <c r="O34" s="121"/>
      <c r="P34" s="121"/>
      <c r="Q34" s="546"/>
      <c r="R34" s="1017" t="s">
        <v>22</v>
      </c>
      <c r="S34" s="1017"/>
      <c r="T34" s="1017"/>
      <c r="U34" s="369">
        <f>'Lookup Properties'!$B$5</f>
        <v>22.35</v>
      </c>
      <c r="V34" s="369">
        <f>'Lookup Properties'!$C$5</f>
        <v>17.399999999999999</v>
      </c>
      <c r="W34" s="369">
        <f>'Lookup Properties'!$D$5</f>
        <v>5</v>
      </c>
      <c r="X34" s="553">
        <f>SUM(U34:W34)</f>
        <v>44.75</v>
      </c>
      <c r="Y34" s="364"/>
      <c r="Z34" s="364"/>
      <c r="AA34"/>
      <c r="AB34"/>
      <c r="AC34"/>
      <c r="AD34" s="93"/>
    </row>
    <row r="35" spans="1:30" ht="12.75" customHeight="1">
      <c r="A35" s="121"/>
      <c r="B35" s="121"/>
      <c r="C35" s="121"/>
      <c r="D35" s="121"/>
      <c r="E35" s="121"/>
      <c r="F35" s="121"/>
      <c r="G35" s="121"/>
      <c r="H35" s="121"/>
      <c r="I35" s="121"/>
      <c r="J35" s="121"/>
      <c r="K35" s="121"/>
      <c r="L35" s="121"/>
      <c r="M35" s="121"/>
      <c r="N35" s="121"/>
      <c r="O35" s="121"/>
      <c r="P35" s="121"/>
      <c r="Q35" s="546"/>
      <c r="R35" s="1018" t="s">
        <v>579</v>
      </c>
      <c r="S35" s="1018"/>
      <c r="T35" s="1018"/>
      <c r="U35" s="369">
        <f>'Lookup Properties'!$B$6</f>
        <v>22.15</v>
      </c>
      <c r="V35" s="369">
        <f>'Lookup Properties'!$C$6</f>
        <v>18.149999999999999</v>
      </c>
      <c r="W35" s="369">
        <f>'Lookup Properties'!$D$6</f>
        <v>5</v>
      </c>
      <c r="X35" s="553">
        <f>SUM(U35:W35)</f>
        <v>45.3</v>
      </c>
      <c r="Y35" s="364"/>
      <c r="Z35" s="364"/>
      <c r="AA35"/>
      <c r="AB35"/>
      <c r="AC35"/>
      <c r="AD35" s="93"/>
    </row>
    <row r="36" spans="1:30" ht="12.75" customHeight="1">
      <c r="A36" s="121"/>
      <c r="B36" s="121"/>
      <c r="C36" s="121"/>
      <c r="D36" s="121"/>
      <c r="E36" s="121"/>
      <c r="F36" s="121"/>
      <c r="G36" s="121"/>
      <c r="H36" s="121"/>
      <c r="I36" s="121"/>
      <c r="J36" s="121"/>
      <c r="K36" s="121"/>
      <c r="L36" s="121"/>
      <c r="M36" s="121"/>
      <c r="N36" s="121"/>
      <c r="O36" s="121"/>
      <c r="P36" s="121"/>
      <c r="Q36" s="546"/>
      <c r="R36" s="1016" t="s">
        <v>21</v>
      </c>
      <c r="S36" s="1016"/>
      <c r="T36" s="1016"/>
      <c r="U36" s="369">
        <f>'Lookup Properties'!$B$4</f>
        <v>21.25</v>
      </c>
      <c r="V36" s="369">
        <f>'Lookup Properties'!$C$4</f>
        <v>17.399999999999999</v>
      </c>
      <c r="W36" s="369">
        <f>'Lookup Properties'!$D$4</f>
        <v>5</v>
      </c>
      <c r="X36" s="553">
        <f>SUM(U36:W36)</f>
        <v>43.65</v>
      </c>
      <c r="Y36" s="364"/>
      <c r="Z36" s="364"/>
      <c r="AA36"/>
      <c r="AB36"/>
      <c r="AC36"/>
      <c r="AD36" s="93"/>
    </row>
    <row r="37" spans="1:30" ht="12.75" customHeight="1">
      <c r="A37" s="121"/>
      <c r="B37" s="121"/>
      <c r="C37" s="121"/>
      <c r="D37" s="121"/>
      <c r="E37" s="121"/>
      <c r="F37" s="121"/>
      <c r="G37" s="121"/>
      <c r="H37" s="121"/>
      <c r="I37" s="121"/>
      <c r="J37" s="121"/>
      <c r="K37" s="121"/>
      <c r="L37" s="121"/>
      <c r="M37" s="121"/>
      <c r="N37" s="121"/>
      <c r="O37" s="121"/>
      <c r="P37" s="121"/>
      <c r="Q37" s="364"/>
      <c r="R37" s="364"/>
      <c r="S37" s="364"/>
      <c r="T37" s="364"/>
      <c r="U37" s="555"/>
      <c r="V37" s="555"/>
      <c r="W37" s="555"/>
      <c r="X37" s="555"/>
      <c r="Y37" s="555"/>
      <c r="Z37" s="364"/>
      <c r="AA37"/>
      <c r="AB37"/>
      <c r="AC37"/>
      <c r="AD37" s="108"/>
    </row>
    <row r="38" spans="1:30" ht="12.75" customHeight="1">
      <c r="A38" s="121"/>
      <c r="B38" s="121"/>
      <c r="C38" s="121"/>
      <c r="D38" s="121"/>
      <c r="E38" s="121"/>
      <c r="F38" s="121"/>
      <c r="G38" s="121"/>
      <c r="H38" s="121"/>
      <c r="I38" s="121"/>
      <c r="J38" s="121"/>
      <c r="K38" s="121"/>
      <c r="L38" s="121"/>
      <c r="M38" s="121"/>
      <c r="N38" s="121"/>
      <c r="O38" s="121"/>
      <c r="P38" s="121"/>
      <c r="Q38" s="360">
        <v>2.2000000000000002</v>
      </c>
      <c r="R38" s="363" t="s">
        <v>832</v>
      </c>
      <c r="S38" s="363"/>
      <c r="T38" s="363"/>
      <c r="U38" s="363"/>
      <c r="V38" s="363"/>
      <c r="W38" s="363"/>
      <c r="X38" s="363"/>
      <c r="Y38" s="363"/>
      <c r="Z38" s="364"/>
      <c r="AA38"/>
      <c r="AB38"/>
      <c r="AC38"/>
      <c r="AD38" s="108"/>
    </row>
    <row r="39" spans="1:30" ht="12.75" customHeight="1">
      <c r="A39" s="121"/>
      <c r="B39" s="121"/>
      <c r="C39" s="121"/>
      <c r="D39" s="121"/>
      <c r="E39" s="121"/>
      <c r="F39" s="121"/>
      <c r="G39" s="121"/>
      <c r="H39" s="121"/>
      <c r="I39" s="121"/>
      <c r="J39" s="121"/>
      <c r="K39" s="121"/>
      <c r="L39" s="121"/>
      <c r="M39" s="121"/>
      <c r="N39" s="121"/>
      <c r="O39" s="121"/>
      <c r="P39" s="121"/>
      <c r="Q39" s="360"/>
      <c r="R39" s="998" t="s">
        <v>77</v>
      </c>
      <c r="S39" s="999"/>
      <c r="T39" s="1000"/>
      <c r="U39" s="1019" t="s">
        <v>824</v>
      </c>
      <c r="V39" s="1019" t="s">
        <v>828</v>
      </c>
      <c r="W39" s="1019" t="s">
        <v>826</v>
      </c>
      <c r="X39" s="1019" t="s">
        <v>23</v>
      </c>
      <c r="Y39" s="364"/>
      <c r="Z39" s="364"/>
      <c r="AA39"/>
      <c r="AB39"/>
      <c r="AC39"/>
      <c r="AD39" s="93"/>
    </row>
    <row r="40" spans="1:30" ht="12.75" customHeight="1">
      <c r="A40" s="121"/>
      <c r="B40" s="121"/>
      <c r="C40" s="121"/>
      <c r="D40" s="121"/>
      <c r="E40" s="121"/>
      <c r="F40" s="121"/>
      <c r="G40" s="121"/>
      <c r="H40" s="121"/>
      <c r="I40" s="121"/>
      <c r="J40" s="121"/>
      <c r="K40" s="121"/>
      <c r="L40" s="121"/>
      <c r="M40" s="121"/>
      <c r="N40" s="121"/>
      <c r="O40" s="121"/>
      <c r="P40" s="121"/>
      <c r="Q40" s="360"/>
      <c r="R40" s="1001"/>
      <c r="S40" s="1002"/>
      <c r="T40" s="1003"/>
      <c r="U40" s="1019"/>
      <c r="V40" s="1019"/>
      <c r="W40" s="1019"/>
      <c r="X40" s="1019"/>
      <c r="Y40" s="364"/>
      <c r="Z40" s="364"/>
      <c r="AA40"/>
      <c r="AB40"/>
      <c r="AC40"/>
      <c r="AD40" s="93"/>
    </row>
    <row r="41" spans="1:30" ht="12.75" customHeight="1">
      <c r="A41" s="121"/>
      <c r="B41" s="121"/>
      <c r="C41" s="121"/>
      <c r="D41" s="121"/>
      <c r="E41" s="121"/>
      <c r="F41" s="121"/>
      <c r="G41" s="121"/>
      <c r="H41" s="121"/>
      <c r="I41" s="121"/>
      <c r="J41" s="121"/>
      <c r="K41" s="121"/>
      <c r="L41" s="121"/>
      <c r="M41" s="121"/>
      <c r="N41" s="121"/>
      <c r="O41" s="121"/>
      <c r="P41" s="121"/>
      <c r="Q41" s="360"/>
      <c r="R41" s="1020" t="s">
        <v>500</v>
      </c>
      <c r="S41" s="1020"/>
      <c r="T41" s="1020"/>
      <c r="U41" s="556">
        <f>'Lookup Properties'!$B$13</f>
        <v>0.74</v>
      </c>
      <c r="V41" s="556">
        <f>'Lookup Properties'!$C$13</f>
        <v>0.78</v>
      </c>
      <c r="W41" s="556">
        <f>'Lookup Properties'!$D$13</f>
        <v>1.26</v>
      </c>
      <c r="X41" s="553">
        <f>SUM(U41:W41)</f>
        <v>2.7800000000000002</v>
      </c>
      <c r="Y41" s="364"/>
      <c r="Z41" s="364"/>
      <c r="AA41"/>
      <c r="AB41"/>
      <c r="AC41"/>
      <c r="AD41" s="93"/>
    </row>
    <row r="42" spans="1:30" ht="12.75" customHeight="1">
      <c r="A42" s="121"/>
      <c r="B42" s="121"/>
      <c r="C42" s="121"/>
      <c r="D42" s="121"/>
      <c r="E42" s="121"/>
      <c r="F42" s="121"/>
      <c r="G42" s="121"/>
      <c r="H42" s="121"/>
      <c r="I42" s="121"/>
      <c r="J42" s="121"/>
      <c r="K42" s="121"/>
      <c r="L42" s="121"/>
      <c r="M42" s="121"/>
      <c r="N42" s="121"/>
      <c r="O42" s="121"/>
      <c r="P42" s="121"/>
      <c r="Q42" s="360"/>
      <c r="R42" s="1017" t="s">
        <v>22</v>
      </c>
      <c r="S42" s="1017"/>
      <c r="T42" s="1017"/>
      <c r="U42" s="557">
        <f>'Lookup Properties'!$B$11</f>
        <v>0.71499999999999997</v>
      </c>
      <c r="V42" s="557">
        <f>'Lookup Properties'!$C$11</f>
        <v>1.03</v>
      </c>
      <c r="W42" s="557">
        <f>'Lookup Properties'!$D$11</f>
        <v>1.29</v>
      </c>
      <c r="X42" s="553">
        <f>SUM(U42:W42)</f>
        <v>3.0350000000000001</v>
      </c>
      <c r="Y42" s="364"/>
      <c r="Z42" s="364"/>
      <c r="AA42"/>
      <c r="AB42"/>
      <c r="AC42"/>
      <c r="AD42" s="93"/>
    </row>
    <row r="43" spans="1:30" ht="12.75" customHeight="1">
      <c r="A43" s="121"/>
      <c r="B43" s="121"/>
      <c r="C43" s="121"/>
      <c r="D43" s="121"/>
      <c r="E43" s="121"/>
      <c r="F43" s="121"/>
      <c r="G43" s="121"/>
      <c r="H43" s="121"/>
      <c r="I43" s="121"/>
      <c r="J43" s="121"/>
      <c r="K43" s="121"/>
      <c r="L43" s="121"/>
      <c r="M43" s="121"/>
      <c r="N43" s="121"/>
      <c r="O43" s="121"/>
      <c r="P43" s="121"/>
      <c r="Q43" s="360"/>
      <c r="R43" s="1018" t="s">
        <v>579</v>
      </c>
      <c r="S43" s="1018"/>
      <c r="T43" s="1018"/>
      <c r="U43" s="557">
        <f>'Lookup Properties'!$B$12</f>
        <v>0.755</v>
      </c>
      <c r="V43" s="557">
        <f>'Lookup Properties'!$C$12</f>
        <v>1.07</v>
      </c>
      <c r="W43" s="557">
        <f>'Lookup Properties'!$D$12</f>
        <v>1.2949999999999999</v>
      </c>
      <c r="X43" s="553">
        <f>SUM(U43:W43)</f>
        <v>3.12</v>
      </c>
      <c r="Y43" s="364"/>
      <c r="Z43" s="364"/>
      <c r="AA43"/>
      <c r="AB43"/>
      <c r="AC43"/>
      <c r="AD43" s="93"/>
    </row>
    <row r="44" spans="1:30" ht="12.75" customHeight="1">
      <c r="A44" s="121"/>
      <c r="B44" s="121"/>
      <c r="C44" s="121"/>
      <c r="D44" s="121"/>
      <c r="E44" s="121"/>
      <c r="F44" s="121"/>
      <c r="G44" s="121"/>
      <c r="H44" s="121"/>
      <c r="I44" s="121"/>
      <c r="J44" s="121"/>
      <c r="K44" s="121"/>
      <c r="L44" s="121"/>
      <c r="M44" s="121"/>
      <c r="N44" s="121"/>
      <c r="O44" s="121"/>
      <c r="P44" s="121"/>
      <c r="Q44" s="360"/>
      <c r="R44" s="1016" t="s">
        <v>21</v>
      </c>
      <c r="S44" s="1016"/>
      <c r="T44" s="1016"/>
      <c r="U44" s="557">
        <f>'Lookup Properties'!$B$10</f>
        <v>0.71</v>
      </c>
      <c r="V44" s="557">
        <f>'Lookup Properties'!$C$10</f>
        <v>1.03</v>
      </c>
      <c r="W44" s="557">
        <f>'Lookup Properties'!$D$10</f>
        <v>1.29</v>
      </c>
      <c r="X44" s="553">
        <f>SUM(U44:W44)</f>
        <v>3.0300000000000002</v>
      </c>
      <c r="Y44" s="364"/>
      <c r="Z44" s="364"/>
      <c r="AA44"/>
      <c r="AB44"/>
      <c r="AC44"/>
      <c r="AD44" s="93"/>
    </row>
    <row r="45" spans="1:30" ht="12.75" customHeight="1">
      <c r="A45" s="121"/>
      <c r="B45" s="121"/>
      <c r="C45" s="121"/>
      <c r="D45" s="121"/>
      <c r="E45" s="121"/>
      <c r="F45" s="121"/>
      <c r="G45" s="121"/>
      <c r="H45" s="121"/>
      <c r="I45" s="121"/>
      <c r="J45" s="121"/>
      <c r="K45" s="121"/>
      <c r="L45" s="121"/>
      <c r="M45" s="121"/>
      <c r="N45" s="121"/>
      <c r="O45" s="121"/>
      <c r="P45" s="121"/>
      <c r="Q45" s="364"/>
      <c r="R45" s="364"/>
      <c r="S45" s="364"/>
      <c r="T45" s="364"/>
      <c r="U45" s="555"/>
      <c r="V45" s="555"/>
      <c r="W45" s="555"/>
      <c r="X45" s="555"/>
      <c r="Y45" s="555"/>
      <c r="Z45" s="364"/>
      <c r="AA45"/>
      <c r="AB45"/>
      <c r="AC45"/>
    </row>
    <row r="46" spans="1:30" ht="12.75" customHeight="1">
      <c r="A46" s="121"/>
      <c r="B46" s="121"/>
      <c r="C46" s="121"/>
      <c r="D46" s="121"/>
      <c r="E46" s="121"/>
      <c r="F46" s="121"/>
      <c r="G46" s="121"/>
      <c r="H46" s="121"/>
      <c r="I46" s="121"/>
      <c r="J46" s="121"/>
      <c r="K46" s="121"/>
      <c r="L46" s="121"/>
      <c r="M46" s="121"/>
      <c r="N46" s="121"/>
      <c r="O46" s="121"/>
      <c r="P46" s="121"/>
      <c r="Q46" s="387" t="s">
        <v>817</v>
      </c>
      <c r="R46" s="1015" t="s">
        <v>206</v>
      </c>
      <c r="S46" s="1015"/>
      <c r="T46" s="1015"/>
      <c r="U46" s="1015"/>
      <c r="V46" s="1015"/>
      <c r="W46" s="1015"/>
      <c r="X46" s="1015"/>
      <c r="Y46" s="1015"/>
      <c r="Z46" s="536"/>
      <c r="AA46"/>
      <c r="AB46"/>
      <c r="AC46"/>
    </row>
    <row r="47" spans="1:30" ht="12.75" customHeight="1">
      <c r="A47" s="121"/>
      <c r="B47" s="121"/>
      <c r="C47" s="121"/>
      <c r="D47" s="121"/>
      <c r="E47" s="121"/>
      <c r="F47" s="121"/>
      <c r="G47" s="121"/>
      <c r="H47" s="121"/>
      <c r="I47" s="121"/>
      <c r="J47" s="121"/>
      <c r="K47" s="121"/>
      <c r="L47" s="121"/>
      <c r="M47" s="121"/>
      <c r="N47" s="121"/>
      <c r="O47" s="121"/>
      <c r="P47" s="121"/>
      <c r="Q47" s="668"/>
      <c r="R47" s="364"/>
      <c r="S47" s="364"/>
      <c r="T47" s="364"/>
      <c r="U47" s="555"/>
      <c r="V47" s="555"/>
      <c r="W47" s="555"/>
      <c r="X47" s="555"/>
      <c r="Y47" s="555"/>
      <c r="Z47" s="364"/>
      <c r="AA47"/>
      <c r="AB47"/>
      <c r="AC47"/>
    </row>
    <row r="48" spans="1:30" ht="12.75" customHeight="1">
      <c r="A48" s="121"/>
      <c r="B48" s="121"/>
      <c r="C48" s="121"/>
      <c r="D48" s="121"/>
      <c r="E48" s="121"/>
      <c r="F48" s="121"/>
      <c r="G48" s="121"/>
      <c r="H48" s="121"/>
      <c r="I48" s="121"/>
      <c r="J48" s="121"/>
      <c r="K48" s="121"/>
      <c r="L48" s="121"/>
      <c r="M48" s="121"/>
      <c r="N48" s="121"/>
      <c r="O48" s="121"/>
      <c r="P48" s="121"/>
      <c r="Q48" s="668" t="s">
        <v>196</v>
      </c>
      <c r="R48" s="364" t="s">
        <v>207</v>
      </c>
      <c r="S48" s="364"/>
      <c r="T48" s="364"/>
      <c r="U48" s="555"/>
      <c r="V48" s="555"/>
      <c r="W48" s="555"/>
      <c r="X48" s="555"/>
      <c r="Y48" s="555"/>
      <c r="Z48" s="364"/>
      <c r="AA48"/>
      <c r="AB48"/>
      <c r="AC48"/>
    </row>
    <row r="49" spans="1:30" ht="12.75" customHeight="1">
      <c r="A49" s="121"/>
      <c r="B49" s="121"/>
      <c r="C49" s="121"/>
      <c r="D49" s="121"/>
      <c r="E49" s="121"/>
      <c r="F49" s="121"/>
      <c r="G49" s="121"/>
      <c r="H49" s="121"/>
      <c r="I49" s="121"/>
      <c r="J49" s="121"/>
      <c r="K49" s="121"/>
      <c r="L49" s="121"/>
      <c r="M49" s="121"/>
      <c r="N49" s="121"/>
      <c r="O49" s="121"/>
      <c r="P49" s="121"/>
      <c r="Q49" s="364"/>
      <c r="R49" s="962" t="s">
        <v>678</v>
      </c>
      <c r="S49" s="963"/>
      <c r="T49" s="964"/>
      <c r="U49" s="949" t="s">
        <v>500</v>
      </c>
      <c r="V49" s="938" t="s">
        <v>22</v>
      </c>
      <c r="W49" s="940" t="s">
        <v>579</v>
      </c>
      <c r="X49" s="942" t="s">
        <v>21</v>
      </c>
      <c r="Y49" s="361"/>
      <c r="Z49" s="364"/>
      <c r="AA49"/>
      <c r="AB49"/>
      <c r="AC49"/>
      <c r="AD49" s="93"/>
    </row>
    <row r="50" spans="1:30" ht="12.75" customHeight="1">
      <c r="A50" s="121"/>
      <c r="B50" s="121"/>
      <c r="C50" s="121"/>
      <c r="D50" s="121"/>
      <c r="E50" s="121"/>
      <c r="F50" s="121"/>
      <c r="G50" s="121"/>
      <c r="H50" s="121"/>
      <c r="I50" s="121"/>
      <c r="J50" s="121"/>
      <c r="K50" s="121"/>
      <c r="L50" s="121"/>
      <c r="M50" s="121"/>
      <c r="N50" s="121"/>
      <c r="O50" s="121"/>
      <c r="P50" s="121"/>
      <c r="Q50" s="364"/>
      <c r="R50" s="965"/>
      <c r="S50" s="966"/>
      <c r="T50" s="967"/>
      <c r="U50" s="950"/>
      <c r="V50" s="939"/>
      <c r="W50" s="941"/>
      <c r="X50" s="943"/>
      <c r="Y50" s="361"/>
      <c r="Z50" s="364"/>
      <c r="AA50"/>
      <c r="AB50"/>
      <c r="AC50"/>
      <c r="AD50" s="93"/>
    </row>
    <row r="51" spans="1:30" ht="12.75" customHeight="1">
      <c r="A51" s="121"/>
      <c r="B51" s="121"/>
      <c r="C51" s="121"/>
      <c r="D51" s="121"/>
      <c r="E51" s="121"/>
      <c r="F51" s="121"/>
      <c r="G51" s="121"/>
      <c r="H51" s="121"/>
      <c r="I51" s="121"/>
      <c r="J51" s="121"/>
      <c r="K51" s="121"/>
      <c r="L51" s="121"/>
      <c r="M51" s="121"/>
      <c r="N51" s="121"/>
      <c r="O51" s="121"/>
      <c r="P51" s="121"/>
      <c r="Q51" s="364"/>
      <c r="R51" s="969" t="s">
        <v>210</v>
      </c>
      <c r="S51" s="969"/>
      <c r="T51" s="969"/>
      <c r="U51" s="560">
        <v>0.3</v>
      </c>
      <c r="V51" s="537">
        <f>VLOOKUP($V$5,'Lookup Penetration Rate'!$B$8:$E$208,3)</f>
        <v>0.4</v>
      </c>
      <c r="W51" s="537">
        <f>VLOOKUP($V$5,'Lookup Penetration Rate'!$B$8:$E$208,4)</f>
        <v>0.46</v>
      </c>
      <c r="X51" s="537">
        <f>VLOOKUP($V$5,'Lookup Penetration Rate'!$B$8:$E$208,2)</f>
        <v>0.56000000000000005</v>
      </c>
      <c r="Y51" s="361"/>
      <c r="Z51" s="364"/>
      <c r="AA51"/>
      <c r="AB51"/>
      <c r="AC51"/>
      <c r="AD51" s="99"/>
    </row>
    <row r="52" spans="1:30" ht="12.75" customHeight="1">
      <c r="A52" s="121"/>
      <c r="B52" s="121"/>
      <c r="C52" s="121"/>
      <c r="D52" s="121"/>
      <c r="E52" s="121"/>
      <c r="F52" s="121"/>
      <c r="G52" s="121"/>
      <c r="H52" s="121"/>
      <c r="I52" s="121"/>
      <c r="J52" s="121"/>
      <c r="K52" s="121"/>
      <c r="L52" s="121"/>
      <c r="M52" s="121"/>
      <c r="N52" s="121"/>
      <c r="O52" s="121"/>
      <c r="P52" s="121"/>
      <c r="Q52" s="364"/>
      <c r="R52" s="364"/>
      <c r="S52" s="364"/>
      <c r="T52" s="364"/>
      <c r="U52" s="555"/>
      <c r="V52" s="555"/>
      <c r="W52" s="555"/>
      <c r="X52" s="555"/>
      <c r="Y52" s="555"/>
      <c r="Z52" s="364"/>
      <c r="AA52"/>
      <c r="AB52"/>
      <c r="AC52"/>
      <c r="AD52" s="108"/>
    </row>
    <row r="53" spans="1:30" ht="12.75" customHeight="1">
      <c r="A53" s="121"/>
      <c r="B53" s="121"/>
      <c r="C53" s="121"/>
      <c r="D53" s="121"/>
      <c r="E53" s="121"/>
      <c r="F53" s="121"/>
      <c r="G53" s="121"/>
      <c r="H53" s="121"/>
      <c r="I53" s="121"/>
      <c r="J53" s="121"/>
      <c r="K53" s="121"/>
      <c r="L53" s="121"/>
      <c r="M53" s="121"/>
      <c r="N53" s="121"/>
      <c r="O53" s="121"/>
      <c r="P53" s="121"/>
      <c r="Q53" s="668" t="s">
        <v>197</v>
      </c>
      <c r="R53" s="364" t="s">
        <v>208</v>
      </c>
      <c r="S53" s="364"/>
      <c r="T53" s="364"/>
      <c r="U53" s="555"/>
      <c r="V53" s="555"/>
      <c r="W53" s="555"/>
      <c r="X53" s="555"/>
      <c r="Y53" s="555"/>
      <c r="Z53" s="364"/>
      <c r="AA53"/>
      <c r="AB53"/>
      <c r="AC53"/>
      <c r="AD53" s="108"/>
    </row>
    <row r="54" spans="1:30" ht="12.75" customHeight="1">
      <c r="A54" s="121"/>
      <c r="B54" s="121"/>
      <c r="C54" s="121"/>
      <c r="D54" s="121"/>
      <c r="E54" s="121"/>
      <c r="F54" s="121"/>
      <c r="G54" s="121"/>
      <c r="H54" s="121"/>
      <c r="I54" s="121"/>
      <c r="J54" s="121"/>
      <c r="K54" s="121"/>
      <c r="L54" s="121"/>
      <c r="M54" s="121"/>
      <c r="N54" s="121"/>
      <c r="O54" s="121"/>
      <c r="P54" s="121"/>
      <c r="Q54" s="668"/>
      <c r="R54" s="962" t="s">
        <v>678</v>
      </c>
      <c r="S54" s="963"/>
      <c r="T54" s="964"/>
      <c r="U54" s="949" t="s">
        <v>500</v>
      </c>
      <c r="V54" s="938" t="s">
        <v>22</v>
      </c>
      <c r="W54" s="940" t="s">
        <v>579</v>
      </c>
      <c r="X54" s="942" t="s">
        <v>21</v>
      </c>
      <c r="Y54" s="361"/>
      <c r="Z54" s="364"/>
      <c r="AA54"/>
      <c r="AB54"/>
      <c r="AC54"/>
      <c r="AD54" s="93"/>
    </row>
    <row r="55" spans="1:30" ht="12.75" customHeight="1">
      <c r="A55" s="121"/>
      <c r="B55" s="121"/>
      <c r="C55" s="121"/>
      <c r="D55" s="121"/>
      <c r="E55" s="121"/>
      <c r="F55" s="121"/>
      <c r="G55" s="121"/>
      <c r="H55" s="121"/>
      <c r="I55" s="121"/>
      <c r="J55" s="121"/>
      <c r="K55" s="121"/>
      <c r="L55" s="121"/>
      <c r="M55" s="121"/>
      <c r="N55" s="121"/>
      <c r="O55" s="121"/>
      <c r="P55" s="121"/>
      <c r="Q55" s="668"/>
      <c r="R55" s="965"/>
      <c r="S55" s="966"/>
      <c r="T55" s="967"/>
      <c r="U55" s="950"/>
      <c r="V55" s="939"/>
      <c r="W55" s="941"/>
      <c r="X55" s="943"/>
      <c r="Y55" s="361"/>
      <c r="Z55" s="364"/>
      <c r="AA55"/>
      <c r="AB55"/>
      <c r="AC55"/>
      <c r="AD55" s="93"/>
    </row>
    <row r="56" spans="1:30" ht="12.75" customHeight="1">
      <c r="A56" s="121"/>
      <c r="B56" s="121"/>
      <c r="C56" s="121"/>
      <c r="D56" s="121"/>
      <c r="E56" s="121"/>
      <c r="F56" s="121"/>
      <c r="G56" s="121"/>
      <c r="H56" s="121"/>
      <c r="I56" s="121"/>
      <c r="J56" s="121"/>
      <c r="K56" s="121"/>
      <c r="L56" s="121"/>
      <c r="M56" s="121"/>
      <c r="N56" s="121"/>
      <c r="O56" s="121"/>
      <c r="P56" s="121"/>
      <c r="Q56" s="668"/>
      <c r="R56" s="969" t="s">
        <v>209</v>
      </c>
      <c r="S56" s="969"/>
      <c r="T56" s="969"/>
      <c r="U56" s="560">
        <f>$V$20/U51</f>
        <v>4</v>
      </c>
      <c r="V56" s="669">
        <f>$V$20/V51</f>
        <v>2.9999999999999996</v>
      </c>
      <c r="W56" s="669">
        <f>$V$20/W51</f>
        <v>2.6086956521739126</v>
      </c>
      <c r="X56" s="669">
        <f>$V$20/X51</f>
        <v>2.1428571428571428</v>
      </c>
      <c r="Y56" s="361"/>
      <c r="Z56" s="364"/>
      <c r="AA56"/>
      <c r="AB56"/>
      <c r="AC56"/>
      <c r="AD56" s="99"/>
    </row>
    <row r="57" spans="1:30" ht="12.75" customHeight="1">
      <c r="A57" s="121"/>
      <c r="B57" s="121"/>
      <c r="C57" s="121"/>
      <c r="D57" s="121"/>
      <c r="E57" s="121"/>
      <c r="F57" s="121"/>
      <c r="G57" s="121"/>
      <c r="H57" s="121"/>
      <c r="I57" s="121"/>
      <c r="J57" s="121"/>
      <c r="K57" s="121"/>
      <c r="L57" s="121"/>
      <c r="M57" s="121"/>
      <c r="N57" s="121"/>
      <c r="O57" s="121"/>
      <c r="P57" s="121"/>
      <c r="Q57" s="364"/>
      <c r="R57" s="364"/>
      <c r="S57" s="364"/>
      <c r="T57" s="364"/>
      <c r="U57" s="555"/>
      <c r="V57" s="555"/>
      <c r="W57" s="555"/>
      <c r="X57" s="555"/>
      <c r="Y57" s="555"/>
      <c r="Z57" s="364"/>
      <c r="AA57"/>
      <c r="AB57"/>
      <c r="AC57"/>
    </row>
    <row r="58" spans="1:30" ht="12.75" customHeight="1">
      <c r="A58" s="121"/>
      <c r="B58" s="121"/>
      <c r="C58" s="121"/>
      <c r="D58" s="121"/>
      <c r="E58" s="121"/>
      <c r="F58" s="121"/>
      <c r="G58" s="121"/>
      <c r="H58" s="121"/>
      <c r="I58" s="121"/>
      <c r="J58" s="121"/>
      <c r="K58" s="121"/>
      <c r="L58" s="121"/>
      <c r="M58" s="121"/>
      <c r="N58" s="121"/>
      <c r="O58" s="121"/>
      <c r="P58" s="121"/>
      <c r="Q58" s="563">
        <v>3.3</v>
      </c>
      <c r="R58" s="363" t="s">
        <v>211</v>
      </c>
      <c r="S58" s="363"/>
      <c r="T58" s="363"/>
      <c r="U58" s="363"/>
      <c r="V58" s="363"/>
      <c r="W58" s="363"/>
      <c r="X58" s="363"/>
      <c r="Y58" s="363"/>
      <c r="Z58" s="364"/>
      <c r="AA58"/>
      <c r="AB58"/>
      <c r="AC58"/>
    </row>
    <row r="59" spans="1:30" ht="12.75" customHeight="1">
      <c r="A59" s="121"/>
      <c r="B59" s="121"/>
      <c r="C59" s="121"/>
      <c r="D59" s="121"/>
      <c r="E59" s="121"/>
      <c r="F59" s="121"/>
      <c r="G59" s="121"/>
      <c r="H59" s="121"/>
      <c r="I59" s="121"/>
      <c r="J59" s="121"/>
      <c r="K59" s="121"/>
      <c r="L59" s="121"/>
      <c r="M59" s="121"/>
      <c r="N59" s="121"/>
      <c r="O59" s="121"/>
      <c r="P59" s="121"/>
      <c r="Q59" s="563"/>
      <c r="R59" s="962" t="s">
        <v>678</v>
      </c>
      <c r="S59" s="963"/>
      <c r="T59" s="964"/>
      <c r="U59" s="949" t="s">
        <v>500</v>
      </c>
      <c r="V59" s="938" t="s">
        <v>22</v>
      </c>
      <c r="W59" s="940" t="s">
        <v>579</v>
      </c>
      <c r="X59" s="942" t="s">
        <v>21</v>
      </c>
      <c r="Y59" s="361"/>
      <c r="Z59" s="364"/>
      <c r="AA59"/>
      <c r="AB59"/>
      <c r="AC59"/>
      <c r="AD59" s="93"/>
    </row>
    <row r="60" spans="1:30" ht="12.75" customHeight="1">
      <c r="A60" s="121"/>
      <c r="B60" s="121"/>
      <c r="C60" s="121"/>
      <c r="D60" s="121"/>
      <c r="E60" s="121"/>
      <c r="F60" s="121"/>
      <c r="G60" s="121"/>
      <c r="H60" s="121"/>
      <c r="I60" s="121"/>
      <c r="J60" s="121"/>
      <c r="K60" s="121"/>
      <c r="L60" s="121"/>
      <c r="M60" s="121"/>
      <c r="N60" s="121"/>
      <c r="O60" s="121"/>
      <c r="P60" s="121"/>
      <c r="Q60" s="563"/>
      <c r="R60" s="965"/>
      <c r="S60" s="966"/>
      <c r="T60" s="967"/>
      <c r="U60" s="950"/>
      <c r="V60" s="939"/>
      <c r="W60" s="941"/>
      <c r="X60" s="943"/>
      <c r="Y60" s="361"/>
      <c r="Z60" s="364"/>
      <c r="AA60"/>
      <c r="AB60"/>
      <c r="AC60"/>
      <c r="AD60" s="93"/>
    </row>
    <row r="61" spans="1:30" ht="12.75" customHeight="1">
      <c r="A61" s="121"/>
      <c r="B61" s="121"/>
      <c r="C61" s="121"/>
      <c r="D61" s="121"/>
      <c r="E61" s="121"/>
      <c r="F61" s="121"/>
      <c r="G61" s="121"/>
      <c r="H61" s="121"/>
      <c r="I61" s="121"/>
      <c r="J61" s="121"/>
      <c r="K61" s="121"/>
      <c r="L61" s="121"/>
      <c r="M61" s="121"/>
      <c r="N61" s="121"/>
      <c r="O61" s="121"/>
      <c r="P61" s="121"/>
      <c r="Q61" s="563"/>
      <c r="R61" s="969" t="s">
        <v>209</v>
      </c>
      <c r="S61" s="969"/>
      <c r="T61" s="969"/>
      <c r="U61" s="562">
        <f>(U56*$V$24)/$V$23</f>
        <v>160</v>
      </c>
      <c r="V61" s="670">
        <f>(V56*$V$24)/$V$23</f>
        <v>119.99999999999997</v>
      </c>
      <c r="W61" s="670">
        <f>(W56*$V$24)/$V$23</f>
        <v>104.3478260869565</v>
      </c>
      <c r="X61" s="670">
        <f>(X56*$V$24)/$V$23</f>
        <v>85.714285714285708</v>
      </c>
      <c r="Y61" s="361"/>
      <c r="Z61" s="364"/>
      <c r="AA61"/>
      <c r="AB61"/>
      <c r="AC61"/>
      <c r="AD61" s="66"/>
    </row>
    <row r="62" spans="1:30" ht="12.75" customHeight="1">
      <c r="A62" s="121"/>
      <c r="B62" s="121"/>
      <c r="C62" s="121"/>
      <c r="D62" s="121"/>
      <c r="E62" s="121"/>
      <c r="F62" s="121"/>
      <c r="G62" s="121"/>
      <c r="H62" s="121"/>
      <c r="I62" s="121"/>
      <c r="J62" s="121"/>
      <c r="K62" s="121"/>
      <c r="L62" s="121"/>
      <c r="M62" s="121"/>
      <c r="N62" s="121"/>
      <c r="O62" s="121"/>
      <c r="P62" s="121"/>
      <c r="Q62" s="563"/>
      <c r="R62" s="931" t="s">
        <v>212</v>
      </c>
      <c r="S62" s="931"/>
      <c r="T62" s="931"/>
      <c r="U62" s="537">
        <f>U61/60</f>
        <v>2.6666666666666665</v>
      </c>
      <c r="V62" s="557">
        <f>V61/60</f>
        <v>1.9999999999999996</v>
      </c>
      <c r="W62" s="557">
        <f>W61/60</f>
        <v>1.7391304347826084</v>
      </c>
      <c r="X62" s="557">
        <f>X61/60</f>
        <v>1.4285714285714284</v>
      </c>
      <c r="Y62" s="361"/>
      <c r="Z62" s="364"/>
      <c r="AA62"/>
      <c r="AB62"/>
      <c r="AC62"/>
      <c r="AD62" s="66"/>
    </row>
    <row r="63" spans="1:30" ht="12.75" customHeight="1">
      <c r="A63" s="121"/>
      <c r="B63" s="121"/>
      <c r="C63" s="121"/>
      <c r="D63" s="121"/>
      <c r="E63" s="121"/>
      <c r="F63" s="121"/>
      <c r="G63" s="121"/>
      <c r="H63" s="121"/>
      <c r="I63" s="121"/>
      <c r="J63" s="121"/>
      <c r="K63" s="121"/>
      <c r="L63" s="121"/>
      <c r="M63" s="121"/>
      <c r="N63" s="121"/>
      <c r="O63" s="121"/>
      <c r="P63" s="121"/>
      <c r="Q63" s="563"/>
      <c r="R63" s="363"/>
      <c r="S63" s="363"/>
      <c r="T63" s="363"/>
      <c r="U63" s="363"/>
      <c r="V63" s="363"/>
      <c r="W63" s="363"/>
      <c r="X63" s="363"/>
      <c r="Y63" s="363"/>
      <c r="Z63" s="364"/>
      <c r="AA63"/>
      <c r="AB63"/>
      <c r="AC63"/>
      <c r="AD63" s="109"/>
    </row>
    <row r="64" spans="1:30" ht="12.75" customHeight="1">
      <c r="A64" s="121"/>
      <c r="B64" s="121"/>
      <c r="C64" s="121"/>
      <c r="D64" s="121"/>
      <c r="E64" s="121"/>
      <c r="F64" s="121"/>
      <c r="G64" s="121"/>
      <c r="H64" s="121"/>
      <c r="I64" s="121"/>
      <c r="J64" s="121"/>
      <c r="K64" s="121"/>
      <c r="L64" s="121"/>
      <c r="M64" s="121"/>
      <c r="N64" s="121"/>
      <c r="O64" s="121"/>
      <c r="P64" s="121"/>
      <c r="Q64" s="388" t="s">
        <v>295</v>
      </c>
      <c r="R64" s="1015" t="s">
        <v>216</v>
      </c>
      <c r="S64" s="1015"/>
      <c r="T64" s="1015"/>
      <c r="U64" s="1015"/>
      <c r="V64" s="1015"/>
      <c r="W64" s="1015"/>
      <c r="X64" s="1015"/>
      <c r="Y64" s="1015"/>
      <c r="Z64" s="536"/>
      <c r="AA64"/>
      <c r="AB64"/>
      <c r="AC64"/>
      <c r="AD64" s="109"/>
    </row>
    <row r="65" spans="1:36" ht="12.75" customHeight="1">
      <c r="A65" s="121"/>
      <c r="B65" s="121"/>
      <c r="C65" s="121"/>
      <c r="D65" s="121"/>
      <c r="E65" s="121"/>
      <c r="F65" s="121"/>
      <c r="G65" s="121"/>
      <c r="H65" s="121"/>
      <c r="I65" s="121"/>
      <c r="J65" s="121"/>
      <c r="K65" s="121"/>
      <c r="L65" s="121"/>
      <c r="M65" s="121"/>
      <c r="N65" s="121"/>
      <c r="O65" s="121"/>
      <c r="P65" s="121"/>
      <c r="Q65" s="563"/>
      <c r="R65" s="363"/>
      <c r="S65" s="363"/>
      <c r="T65" s="363"/>
      <c r="U65" s="363"/>
      <c r="V65" s="363"/>
      <c r="W65" s="363"/>
      <c r="X65" s="363"/>
      <c r="Y65" s="363"/>
      <c r="Z65" s="364"/>
      <c r="AA65"/>
      <c r="AB65"/>
      <c r="AC65"/>
      <c r="AD65" s="109"/>
      <c r="AE65" s="23"/>
      <c r="AF65" s="23"/>
      <c r="AG65" s="23"/>
      <c r="AH65" s="23"/>
      <c r="AI65" s="23"/>
    </row>
    <row r="66" spans="1:36" ht="12.75" customHeight="1">
      <c r="A66" s="121"/>
      <c r="B66" s="121"/>
      <c r="C66" s="121"/>
      <c r="D66" s="121"/>
      <c r="E66" s="121"/>
      <c r="F66" s="121"/>
      <c r="G66" s="121"/>
      <c r="H66" s="121"/>
      <c r="I66" s="121"/>
      <c r="J66" s="121"/>
      <c r="K66" s="121"/>
      <c r="L66" s="121"/>
      <c r="M66" s="121"/>
      <c r="N66" s="121"/>
      <c r="O66" s="121"/>
      <c r="P66" s="121"/>
      <c r="Q66" s="360" t="s">
        <v>502</v>
      </c>
      <c r="R66" s="364" t="s">
        <v>527</v>
      </c>
      <c r="S66" s="364"/>
      <c r="T66" s="364"/>
      <c r="U66" s="555"/>
      <c r="V66" s="555"/>
      <c r="W66" s="555"/>
      <c r="X66" s="555"/>
      <c r="Y66" s="555"/>
      <c r="Z66" s="364"/>
      <c r="AA66"/>
      <c r="AB66"/>
      <c r="AC66"/>
      <c r="AD66" s="109"/>
      <c r="AJ66" s="17"/>
    </row>
    <row r="67" spans="1:36" ht="12.75" customHeight="1">
      <c r="A67" s="121"/>
      <c r="B67" s="121"/>
      <c r="C67" s="121"/>
      <c r="D67" s="121"/>
      <c r="E67" s="121"/>
      <c r="F67" s="121"/>
      <c r="G67" s="121"/>
      <c r="H67" s="121"/>
      <c r="I67" s="121"/>
      <c r="J67" s="121"/>
      <c r="K67" s="121"/>
      <c r="L67" s="121"/>
      <c r="M67" s="121"/>
      <c r="N67" s="121"/>
      <c r="O67" s="121"/>
      <c r="P67" s="121"/>
      <c r="Q67" s="360"/>
      <c r="R67" s="962" t="s">
        <v>678</v>
      </c>
      <c r="S67" s="963"/>
      <c r="T67" s="964"/>
      <c r="U67" s="949" t="s">
        <v>500</v>
      </c>
      <c r="V67" s="938" t="s">
        <v>22</v>
      </c>
      <c r="W67" s="940" t="s">
        <v>579</v>
      </c>
      <c r="X67" s="942" t="s">
        <v>21</v>
      </c>
      <c r="Y67" s="361"/>
      <c r="Z67" s="364"/>
      <c r="AA67"/>
      <c r="AB67"/>
      <c r="AC67"/>
      <c r="AD67" s="93"/>
      <c r="AJ67" s="17"/>
    </row>
    <row r="68" spans="1:36" ht="12.75" customHeight="1">
      <c r="A68" s="121"/>
      <c r="B68" s="121"/>
      <c r="C68" s="121"/>
      <c r="D68" s="121"/>
      <c r="E68" s="121"/>
      <c r="F68" s="121"/>
      <c r="G68" s="121"/>
      <c r="H68" s="121"/>
      <c r="I68" s="121"/>
      <c r="J68" s="121"/>
      <c r="K68" s="121"/>
      <c r="L68" s="121"/>
      <c r="M68" s="121"/>
      <c r="N68" s="121"/>
      <c r="O68" s="121"/>
      <c r="P68" s="121"/>
      <c r="Q68" s="360"/>
      <c r="R68" s="965"/>
      <c r="S68" s="966"/>
      <c r="T68" s="967"/>
      <c r="U68" s="950"/>
      <c r="V68" s="939"/>
      <c r="W68" s="941"/>
      <c r="X68" s="943"/>
      <c r="Y68" s="361"/>
      <c r="Z68" s="364"/>
      <c r="AA68"/>
      <c r="AB68"/>
      <c r="AC68"/>
      <c r="AD68" s="93"/>
      <c r="AJ68" s="17"/>
    </row>
    <row r="69" spans="1:36" ht="12.75" customHeight="1">
      <c r="A69" s="121"/>
      <c r="B69" s="121"/>
      <c r="C69" s="121"/>
      <c r="D69" s="121"/>
      <c r="E69" s="121"/>
      <c r="F69" s="121"/>
      <c r="G69" s="121"/>
      <c r="H69" s="121"/>
      <c r="I69" s="121"/>
      <c r="J69" s="121"/>
      <c r="K69" s="121"/>
      <c r="L69" s="121"/>
      <c r="M69" s="121"/>
      <c r="N69" s="121"/>
      <c r="O69" s="121"/>
      <c r="P69" s="121"/>
      <c r="Q69" s="360"/>
      <c r="R69" s="969" t="s">
        <v>63</v>
      </c>
      <c r="S69" s="969"/>
      <c r="T69" s="969"/>
      <c r="U69" s="369">
        <v>102</v>
      </c>
      <c r="V69" s="369">
        <f>VLOOKUP($V$5,'Lookup dBA'!$B$8:$E$208,3)</f>
        <v>108</v>
      </c>
      <c r="W69" s="369">
        <f>VLOOKUP($V$5,'Lookup dBA'!$B$8:$E$208,4)</f>
        <v>109</v>
      </c>
      <c r="X69" s="369">
        <f>VLOOKUP($V$5,'Lookup dBA'!$B$8:$E$208,2)</f>
        <v>116</v>
      </c>
      <c r="Y69" s="361"/>
      <c r="Z69" s="364"/>
      <c r="AA69"/>
      <c r="AB69"/>
      <c r="AC69"/>
      <c r="AD69" s="93"/>
      <c r="AJ69" s="32"/>
    </row>
    <row r="70" spans="1:36" ht="12.75" customHeight="1">
      <c r="A70" s="121"/>
      <c r="B70" s="121"/>
      <c r="C70" s="121"/>
      <c r="D70" s="121"/>
      <c r="E70" s="121"/>
      <c r="F70" s="121"/>
      <c r="G70" s="121"/>
      <c r="H70" s="121"/>
      <c r="I70" s="121"/>
      <c r="J70" s="121"/>
      <c r="K70" s="121"/>
      <c r="L70" s="121"/>
      <c r="M70" s="121"/>
      <c r="N70" s="121"/>
      <c r="O70" s="121"/>
      <c r="P70" s="121"/>
      <c r="Q70" s="360"/>
      <c r="R70" s="969" t="s">
        <v>64</v>
      </c>
      <c r="S70" s="969"/>
      <c r="T70" s="969"/>
      <c r="U70" s="369">
        <f>U69-PPE!$I$15</f>
        <v>89</v>
      </c>
      <c r="V70" s="369">
        <f>V69-PPE!$I$15</f>
        <v>95</v>
      </c>
      <c r="W70" s="369">
        <f>W69-PPE!$I$15</f>
        <v>96</v>
      </c>
      <c r="X70" s="369">
        <f>X69-PPE!$I$15</f>
        <v>103</v>
      </c>
      <c r="Y70" s="361"/>
      <c r="Z70" s="364"/>
      <c r="AA70"/>
      <c r="AB70"/>
      <c r="AC70"/>
      <c r="AD70" s="93"/>
      <c r="AJ70" s="32"/>
    </row>
    <row r="71" spans="1:36" ht="12.75" customHeight="1">
      <c r="A71" s="121"/>
      <c r="B71" s="121"/>
      <c r="C71" s="121"/>
      <c r="D71" s="121"/>
      <c r="E71" s="121"/>
      <c r="F71" s="121"/>
      <c r="G71" s="121"/>
      <c r="H71" s="121"/>
      <c r="I71" s="121"/>
      <c r="J71" s="121"/>
      <c r="K71" s="121"/>
      <c r="L71" s="121"/>
      <c r="M71" s="121"/>
      <c r="N71" s="121"/>
      <c r="O71" s="121"/>
      <c r="P71" s="121"/>
      <c r="Q71" s="360"/>
      <c r="R71" s="969" t="s">
        <v>529</v>
      </c>
      <c r="S71" s="969"/>
      <c r="T71" s="969"/>
      <c r="U71" s="369">
        <v>110</v>
      </c>
      <c r="V71" s="369">
        <v>110</v>
      </c>
      <c r="W71" s="369">
        <v>110</v>
      </c>
      <c r="X71" s="369">
        <v>110</v>
      </c>
      <c r="Y71" s="361"/>
      <c r="Z71" s="364"/>
      <c r="AA71"/>
      <c r="AB71"/>
      <c r="AC71"/>
      <c r="AD71" s="93"/>
      <c r="AJ71" s="32"/>
    </row>
    <row r="72" spans="1:36" ht="12.75" customHeight="1">
      <c r="A72" s="121"/>
      <c r="B72" s="121"/>
      <c r="C72" s="121"/>
      <c r="D72" s="121"/>
      <c r="E72" s="121"/>
      <c r="F72" s="121"/>
      <c r="G72" s="121"/>
      <c r="H72" s="121"/>
      <c r="I72" s="121"/>
      <c r="J72" s="121"/>
      <c r="K72" s="121"/>
      <c r="L72" s="121"/>
      <c r="M72" s="121"/>
      <c r="N72" s="121"/>
      <c r="O72" s="121"/>
      <c r="P72" s="121"/>
      <c r="Q72" s="360"/>
      <c r="R72" s="363"/>
      <c r="S72" s="363"/>
      <c r="T72" s="363"/>
      <c r="U72" s="363"/>
      <c r="V72" s="363"/>
      <c r="W72" s="363"/>
      <c r="X72" s="363"/>
      <c r="Y72" s="555"/>
      <c r="Z72" s="364"/>
      <c r="AA72"/>
      <c r="AB72"/>
      <c r="AC72"/>
      <c r="AD72" s="109"/>
      <c r="AJ72" s="17"/>
    </row>
    <row r="73" spans="1:36" ht="12.75" customHeight="1">
      <c r="A73" s="121"/>
      <c r="B73" s="121"/>
      <c r="C73" s="121"/>
      <c r="D73" s="121"/>
      <c r="E73" s="121"/>
      <c r="F73" s="121"/>
      <c r="G73" s="121"/>
      <c r="H73" s="121"/>
      <c r="I73" s="121"/>
      <c r="J73" s="121"/>
      <c r="K73" s="121"/>
      <c r="L73" s="121"/>
      <c r="M73" s="121"/>
      <c r="N73" s="121"/>
      <c r="O73" s="121"/>
      <c r="P73" s="121"/>
      <c r="Q73" s="360" t="s">
        <v>503</v>
      </c>
      <c r="R73" s="364" t="s">
        <v>528</v>
      </c>
      <c r="S73" s="364"/>
      <c r="T73" s="364"/>
      <c r="U73" s="555"/>
      <c r="V73" s="555"/>
      <c r="W73" s="555"/>
      <c r="X73" s="555"/>
      <c r="Y73" s="555"/>
      <c r="Z73" s="364"/>
      <c r="AA73"/>
      <c r="AB73"/>
      <c r="AC73"/>
      <c r="AD73" s="109"/>
      <c r="AJ73" s="17"/>
    </row>
    <row r="74" spans="1:36" ht="12.75" customHeight="1">
      <c r="A74" s="121"/>
      <c r="B74" s="121"/>
      <c r="C74" s="121"/>
      <c r="D74" s="121"/>
      <c r="E74" s="121"/>
      <c r="F74" s="121"/>
      <c r="G74" s="121"/>
      <c r="H74" s="121"/>
      <c r="I74" s="121"/>
      <c r="J74" s="121"/>
      <c r="K74" s="121"/>
      <c r="L74" s="121"/>
      <c r="M74" s="121"/>
      <c r="N74" s="121"/>
      <c r="O74" s="121"/>
      <c r="P74" s="121"/>
      <c r="Q74" s="360"/>
      <c r="R74" s="935" t="s">
        <v>678</v>
      </c>
      <c r="S74" s="935"/>
      <c r="T74" s="935"/>
      <c r="U74" s="930" t="s">
        <v>500</v>
      </c>
      <c r="V74" s="928" t="s">
        <v>22</v>
      </c>
      <c r="W74" s="929" t="s">
        <v>579</v>
      </c>
      <c r="X74" s="927" t="s">
        <v>21</v>
      </c>
      <c r="Y74" s="361"/>
      <c r="Z74" s="364"/>
      <c r="AA74"/>
      <c r="AB74"/>
      <c r="AC74"/>
      <c r="AD74" s="109"/>
      <c r="AJ74" s="17"/>
    </row>
    <row r="75" spans="1:36" ht="12.75" customHeight="1">
      <c r="A75" s="121"/>
      <c r="B75" s="121"/>
      <c r="C75" s="121"/>
      <c r="D75" s="121"/>
      <c r="E75" s="121"/>
      <c r="F75" s="121"/>
      <c r="G75" s="121"/>
      <c r="H75" s="121"/>
      <c r="I75" s="121"/>
      <c r="J75" s="121"/>
      <c r="K75" s="121"/>
      <c r="L75" s="121"/>
      <c r="M75" s="121"/>
      <c r="N75" s="121"/>
      <c r="O75" s="121"/>
      <c r="P75" s="121"/>
      <c r="Q75" s="360"/>
      <c r="R75" s="935"/>
      <c r="S75" s="935"/>
      <c r="T75" s="935"/>
      <c r="U75" s="930"/>
      <c r="V75" s="928"/>
      <c r="W75" s="929"/>
      <c r="X75" s="927"/>
      <c r="Y75" s="361"/>
      <c r="Z75" s="364"/>
      <c r="AA75"/>
      <c r="AB75"/>
      <c r="AC75"/>
      <c r="AD75" s="109"/>
      <c r="AJ75" s="17"/>
    </row>
    <row r="76" spans="1:36" ht="12.75" customHeight="1">
      <c r="A76" s="121"/>
      <c r="B76" s="121"/>
      <c r="C76" s="121"/>
      <c r="D76" s="121"/>
      <c r="E76" s="121"/>
      <c r="F76" s="121"/>
      <c r="G76" s="121"/>
      <c r="H76" s="121"/>
      <c r="I76" s="121"/>
      <c r="J76" s="121"/>
      <c r="K76" s="121"/>
      <c r="L76" s="121"/>
      <c r="M76" s="121"/>
      <c r="N76" s="121"/>
      <c r="O76" s="121"/>
      <c r="P76" s="121"/>
      <c r="Q76" s="360"/>
      <c r="R76" s="969" t="s">
        <v>63</v>
      </c>
      <c r="S76" s="969"/>
      <c r="T76" s="969"/>
      <c r="U76" s="369">
        <f>VLOOKUP($V$21,$R$309:$Z$314,5)</f>
        <v>108.02059991327964</v>
      </c>
      <c r="V76" s="369">
        <f>VLOOKUP($V$21,$R$309:$Z$314,3)</f>
        <v>114.02059991327963</v>
      </c>
      <c r="W76" s="369">
        <f>VLOOKUP($V$21,$R$309:$Z$314,4)</f>
        <v>115.02059991327963</v>
      </c>
      <c r="X76" s="369">
        <f>VLOOKUP($V$21,$R$309:$Z$314,2)</f>
        <v>122.02059991327964</v>
      </c>
      <c r="Y76" s="361"/>
      <c r="Z76" s="364"/>
      <c r="AA76"/>
      <c r="AB76"/>
      <c r="AC76"/>
      <c r="AD76" s="109"/>
      <c r="AJ76" s="17"/>
    </row>
    <row r="77" spans="1:36" ht="12.75" customHeight="1">
      <c r="Q77" s="360"/>
      <c r="R77" s="969" t="s">
        <v>64</v>
      </c>
      <c r="S77" s="969"/>
      <c r="T77" s="969"/>
      <c r="U77" s="369">
        <f>U76-PPE!$I$15</f>
        <v>95.020599913279639</v>
      </c>
      <c r="V77" s="369">
        <f>V76-PPE!$I$15</f>
        <v>101.02059991327963</v>
      </c>
      <c r="W77" s="369">
        <f>W76-PPE!$I$15</f>
        <v>102.02059991327963</v>
      </c>
      <c r="X77" s="369">
        <f>X76-PPE!$I$15</f>
        <v>109.02059991327964</v>
      </c>
      <c r="Y77" s="361"/>
      <c r="Z77" s="364"/>
      <c r="AA77"/>
      <c r="AB77"/>
      <c r="AC77"/>
      <c r="AD77" s="109"/>
      <c r="AJ77" s="17"/>
    </row>
    <row r="78" spans="1:36" ht="12.75" customHeight="1">
      <c r="Q78" s="360"/>
      <c r="R78" s="969" t="s">
        <v>529</v>
      </c>
      <c r="S78" s="969"/>
      <c r="T78" s="969"/>
      <c r="U78" s="369">
        <v>110</v>
      </c>
      <c r="V78" s="369">
        <v>110</v>
      </c>
      <c r="W78" s="369">
        <v>110</v>
      </c>
      <c r="X78" s="369">
        <v>110</v>
      </c>
      <c r="Y78" s="361"/>
      <c r="Z78" s="364"/>
      <c r="AA78"/>
      <c r="AB78"/>
      <c r="AC78"/>
      <c r="AD78" s="109"/>
      <c r="AJ78" s="17"/>
    </row>
    <row r="79" spans="1:36" ht="12.75" customHeight="1">
      <c r="Q79" s="360"/>
      <c r="R79" s="364"/>
      <c r="S79" s="364"/>
      <c r="T79" s="364"/>
      <c r="U79" s="555"/>
      <c r="V79" s="555"/>
      <c r="W79" s="555"/>
      <c r="X79" s="555"/>
      <c r="Y79" s="555"/>
      <c r="Z79" s="364"/>
      <c r="AA79"/>
      <c r="AB79"/>
      <c r="AC79"/>
      <c r="AD79" s="109"/>
      <c r="AJ79" s="17"/>
    </row>
    <row r="80" spans="1:36" ht="12.75" customHeight="1">
      <c r="Q80" s="385" t="s">
        <v>305</v>
      </c>
      <c r="R80" s="1008" t="s">
        <v>218</v>
      </c>
      <c r="S80" s="1008"/>
      <c r="T80" s="1008"/>
      <c r="U80" s="1008"/>
      <c r="V80" s="1008"/>
      <c r="W80" s="1008"/>
      <c r="X80" s="1008"/>
      <c r="Y80" s="1008"/>
      <c r="Z80" s="536"/>
      <c r="AA80"/>
      <c r="AB80"/>
      <c r="AC80"/>
      <c r="AD80" s="109"/>
      <c r="AJ80" s="43"/>
    </row>
    <row r="81" spans="17:36" ht="12.75" customHeight="1">
      <c r="Q81" s="546"/>
      <c r="R81" s="363"/>
      <c r="S81" s="363"/>
      <c r="T81" s="363"/>
      <c r="U81" s="363"/>
      <c r="V81" s="363"/>
      <c r="W81" s="363"/>
      <c r="X81" s="363"/>
      <c r="Y81" s="363"/>
      <c r="Z81" s="364"/>
      <c r="AA81"/>
      <c r="AB81"/>
      <c r="AC81"/>
      <c r="AD81" s="109"/>
      <c r="AJ81" s="43"/>
    </row>
    <row r="82" spans="17:36" ht="12.75" customHeight="1">
      <c r="Q82" s="546"/>
      <c r="R82" s="363" t="s">
        <v>436</v>
      </c>
      <c r="S82" s="363"/>
      <c r="T82" s="363"/>
      <c r="U82" s="363"/>
      <c r="V82" s="363"/>
      <c r="W82" s="363"/>
      <c r="X82" s="363"/>
      <c r="Y82" s="363"/>
      <c r="Z82" s="364"/>
      <c r="AA82"/>
      <c r="AB82"/>
      <c r="AC82"/>
      <c r="AD82" s="109"/>
      <c r="AJ82" s="43"/>
    </row>
    <row r="83" spans="17:36" ht="12.75" customHeight="1">
      <c r="Q83" s="360"/>
      <c r="R83" s="935" t="s">
        <v>678</v>
      </c>
      <c r="S83" s="935"/>
      <c r="T83" s="935"/>
      <c r="U83" s="949" t="s">
        <v>500</v>
      </c>
      <c r="V83" s="1011" t="s">
        <v>22</v>
      </c>
      <c r="W83" s="1013" t="s">
        <v>579</v>
      </c>
      <c r="X83" s="1009" t="s">
        <v>21</v>
      </c>
      <c r="Y83" s="361"/>
      <c r="Z83" s="364"/>
      <c r="AA83"/>
      <c r="AB83"/>
      <c r="AC83"/>
      <c r="AD83" s="93"/>
    </row>
    <row r="84" spans="17:36" ht="12.75" customHeight="1">
      <c r="Q84" s="360"/>
      <c r="R84" s="935"/>
      <c r="S84" s="935"/>
      <c r="T84" s="935"/>
      <c r="U84" s="950"/>
      <c r="V84" s="1012"/>
      <c r="W84" s="1014"/>
      <c r="X84" s="1010"/>
      <c r="Y84" s="361"/>
      <c r="Z84" s="364"/>
      <c r="AA84"/>
      <c r="AB84"/>
      <c r="AC84"/>
      <c r="AD84" s="93"/>
    </row>
    <row r="85" spans="17:36" ht="12.75" customHeight="1">
      <c r="Q85" s="360"/>
      <c r="R85" s="969" t="s">
        <v>63</v>
      </c>
      <c r="S85" s="969"/>
      <c r="T85" s="969"/>
      <c r="U85" s="369">
        <f>U414</f>
        <v>97.15</v>
      </c>
      <c r="V85" s="369">
        <f>U356</f>
        <v>101.95</v>
      </c>
      <c r="W85" s="369">
        <f>U385</f>
        <v>102.4</v>
      </c>
      <c r="X85" s="369">
        <f>U327</f>
        <v>108.5</v>
      </c>
      <c r="Y85" s="361"/>
      <c r="Z85" s="364"/>
      <c r="AA85"/>
      <c r="AB85"/>
      <c r="AC85"/>
      <c r="AD85" s="66"/>
    </row>
    <row r="86" spans="17:36" ht="12.75" customHeight="1">
      <c r="Q86" s="360"/>
      <c r="R86" s="969" t="s">
        <v>64</v>
      </c>
      <c r="S86" s="969"/>
      <c r="T86" s="969"/>
      <c r="U86" s="369">
        <f>U427</f>
        <v>84.15</v>
      </c>
      <c r="V86" s="369">
        <f>U369</f>
        <v>88.95</v>
      </c>
      <c r="W86" s="369">
        <f>U398</f>
        <v>89.3</v>
      </c>
      <c r="X86" s="369">
        <f>U340</f>
        <v>95.55</v>
      </c>
      <c r="Y86" s="361"/>
      <c r="Z86" s="364"/>
      <c r="AA86"/>
      <c r="AB86"/>
      <c r="AC86"/>
      <c r="AD86" s="66"/>
    </row>
    <row r="87" spans="17:36" ht="12.75" customHeight="1">
      <c r="Q87" s="360"/>
      <c r="R87" s="969" t="s">
        <v>530</v>
      </c>
      <c r="S87" s="969"/>
      <c r="T87" s="969"/>
      <c r="U87" s="369">
        <v>85</v>
      </c>
      <c r="V87" s="369">
        <v>85</v>
      </c>
      <c r="W87" s="369">
        <v>85</v>
      </c>
      <c r="X87" s="369">
        <v>85</v>
      </c>
      <c r="Y87" s="361"/>
      <c r="Z87" s="364"/>
      <c r="AA87"/>
      <c r="AB87"/>
      <c r="AC87"/>
      <c r="AD87" s="66"/>
    </row>
    <row r="88" spans="17:36" ht="12.75" customHeight="1">
      <c r="Q88" s="360"/>
      <c r="R88" s="363"/>
      <c r="S88" s="363"/>
      <c r="T88" s="363"/>
      <c r="U88" s="363"/>
      <c r="V88" s="363"/>
      <c r="W88" s="363"/>
      <c r="X88" s="363"/>
      <c r="Y88" s="363"/>
      <c r="Z88" s="364"/>
      <c r="AA88"/>
      <c r="AB88"/>
      <c r="AC88"/>
      <c r="AD88" s="109"/>
    </row>
    <row r="89" spans="17:36" ht="12.75" customHeight="1">
      <c r="Q89" s="360"/>
      <c r="R89" s="363" t="s">
        <v>437</v>
      </c>
      <c r="S89" s="363"/>
      <c r="T89" s="363"/>
      <c r="U89" s="363"/>
      <c r="V89" s="363"/>
      <c r="W89" s="363"/>
      <c r="X89" s="363"/>
      <c r="Y89" s="363"/>
      <c r="Z89" s="364"/>
      <c r="AA89"/>
      <c r="AB89"/>
      <c r="AC89"/>
      <c r="AD89" s="109"/>
    </row>
    <row r="90" spans="17:36" ht="12.75" customHeight="1">
      <c r="Q90" s="360"/>
      <c r="R90" s="935" t="s">
        <v>678</v>
      </c>
      <c r="S90" s="935"/>
      <c r="T90" s="935"/>
      <c r="U90" s="949" t="s">
        <v>500</v>
      </c>
      <c r="V90" s="1011" t="s">
        <v>22</v>
      </c>
      <c r="W90" s="1013" t="s">
        <v>579</v>
      </c>
      <c r="X90" s="1009" t="s">
        <v>21</v>
      </c>
      <c r="Y90" s="361"/>
      <c r="Z90" s="364"/>
      <c r="AA90"/>
      <c r="AB90"/>
      <c r="AC90"/>
      <c r="AD90" s="109"/>
    </row>
    <row r="91" spans="17:36" ht="12.75" customHeight="1">
      <c r="Q91" s="360"/>
      <c r="R91" s="935"/>
      <c r="S91" s="935"/>
      <c r="T91" s="935"/>
      <c r="U91" s="950"/>
      <c r="V91" s="1012"/>
      <c r="W91" s="1014"/>
      <c r="X91" s="1010"/>
      <c r="Y91" s="361"/>
      <c r="Z91" s="364"/>
      <c r="AA91"/>
      <c r="AB91"/>
      <c r="AC91"/>
      <c r="AD91" s="109"/>
    </row>
    <row r="92" spans="17:36" ht="12.75" customHeight="1">
      <c r="Q92" s="360"/>
      <c r="R92" s="969" t="s">
        <v>63</v>
      </c>
      <c r="S92" s="969"/>
      <c r="T92" s="969"/>
      <c r="U92" s="369">
        <f>U533</f>
        <v>103.15</v>
      </c>
      <c r="V92" s="369">
        <f>U475</f>
        <v>107.95</v>
      </c>
      <c r="W92" s="369">
        <f>U504</f>
        <v>108.4</v>
      </c>
      <c r="X92" s="369">
        <f>U446</f>
        <v>113.95</v>
      </c>
      <c r="Y92" s="361"/>
      <c r="Z92" s="364"/>
      <c r="AA92"/>
      <c r="AB92"/>
      <c r="AC92"/>
      <c r="AD92" s="109"/>
    </row>
    <row r="93" spans="17:36" ht="12.75" customHeight="1">
      <c r="Q93" s="360"/>
      <c r="R93" s="969" t="s">
        <v>64</v>
      </c>
      <c r="S93" s="969"/>
      <c r="T93" s="969"/>
      <c r="U93" s="369">
        <f>U546</f>
        <v>90.15</v>
      </c>
      <c r="V93" s="369">
        <f>U488</f>
        <v>94.95</v>
      </c>
      <c r="W93" s="369">
        <f>U517</f>
        <v>95.3</v>
      </c>
      <c r="X93" s="369">
        <f>U459</f>
        <v>101.55</v>
      </c>
      <c r="Y93" s="361"/>
      <c r="Z93" s="364"/>
      <c r="AA93"/>
      <c r="AB93"/>
      <c r="AC93"/>
      <c r="AD93" s="109"/>
    </row>
    <row r="94" spans="17:36" ht="12.75" customHeight="1">
      <c r="Q94" s="360"/>
      <c r="R94" s="969" t="s">
        <v>530</v>
      </c>
      <c r="S94" s="969"/>
      <c r="T94" s="969"/>
      <c r="U94" s="369">
        <v>85</v>
      </c>
      <c r="V94" s="369">
        <v>85</v>
      </c>
      <c r="W94" s="369">
        <v>85</v>
      </c>
      <c r="X94" s="369">
        <v>85</v>
      </c>
      <c r="Y94" s="361"/>
      <c r="Z94" s="364"/>
      <c r="AA94"/>
      <c r="AB94"/>
      <c r="AC94"/>
      <c r="AD94" s="109"/>
    </row>
    <row r="95" spans="17:36" ht="12.75" customHeight="1">
      <c r="Q95" s="360"/>
      <c r="R95" s="363"/>
      <c r="S95" s="363"/>
      <c r="T95" s="363"/>
      <c r="U95" s="363"/>
      <c r="V95" s="363"/>
      <c r="W95" s="363"/>
      <c r="X95" s="363"/>
      <c r="Y95" s="363"/>
      <c r="Z95" s="364"/>
      <c r="AA95"/>
      <c r="AB95"/>
      <c r="AC95"/>
      <c r="AD95" s="109"/>
    </row>
    <row r="96" spans="17:36" s="133" customFormat="1" ht="12.75" customHeight="1">
      <c r="Q96" s="385" t="s">
        <v>222</v>
      </c>
      <c r="R96" s="1008" t="s">
        <v>504</v>
      </c>
      <c r="S96" s="1008"/>
      <c r="T96" s="1008"/>
      <c r="U96" s="1008"/>
      <c r="V96" s="1008"/>
      <c r="W96" s="1008"/>
      <c r="X96" s="1008"/>
      <c r="Y96" s="1008"/>
      <c r="Z96" s="547"/>
      <c r="AA96"/>
      <c r="AB96"/>
      <c r="AC96"/>
      <c r="AD96" s="134"/>
    </row>
    <row r="97" spans="17:30" ht="12.75" customHeight="1">
      <c r="Q97" s="360"/>
      <c r="R97" s="363"/>
      <c r="S97" s="363"/>
      <c r="T97" s="363"/>
      <c r="U97" s="363"/>
      <c r="V97" s="363"/>
      <c r="W97" s="363"/>
      <c r="X97" s="363"/>
      <c r="Y97" s="363"/>
      <c r="Z97" s="364"/>
      <c r="AA97"/>
      <c r="AB97"/>
      <c r="AC97"/>
      <c r="AD97" s="109"/>
    </row>
    <row r="98" spans="17:30" ht="12.75" customHeight="1">
      <c r="Q98" s="360" t="s">
        <v>505</v>
      </c>
      <c r="R98" s="363" t="s">
        <v>514</v>
      </c>
      <c r="S98" s="363"/>
      <c r="T98" s="363"/>
      <c r="U98" s="363"/>
      <c r="V98" s="363"/>
      <c r="W98" s="363"/>
      <c r="X98" s="363"/>
      <c r="Y98" s="363"/>
      <c r="Z98" s="364"/>
      <c r="AA98"/>
      <c r="AB98"/>
      <c r="AC98"/>
      <c r="AD98" s="109"/>
    </row>
    <row r="99" spans="17:30" ht="12.75" customHeight="1">
      <c r="Q99" s="360"/>
      <c r="R99" s="363" t="s">
        <v>512</v>
      </c>
      <c r="S99" s="363"/>
      <c r="T99" s="363"/>
      <c r="U99" s="363"/>
      <c r="V99" s="363"/>
      <c r="W99" s="363"/>
      <c r="X99" s="363"/>
      <c r="Y99" s="363"/>
      <c r="Z99" s="364"/>
      <c r="AA99"/>
      <c r="AB99"/>
      <c r="AC99"/>
      <c r="AD99" s="109"/>
    </row>
    <row r="100" spans="17:30" ht="12.75" customHeight="1">
      <c r="Q100" s="360"/>
      <c r="R100" s="998" t="s">
        <v>191</v>
      </c>
      <c r="S100" s="999"/>
      <c r="T100" s="1000"/>
      <c r="U100" s="949" t="s">
        <v>500</v>
      </c>
      <c r="V100" s="938" t="s">
        <v>22</v>
      </c>
      <c r="W100" s="940" t="s">
        <v>579</v>
      </c>
      <c r="X100" s="942" t="s">
        <v>21</v>
      </c>
      <c r="Y100" s="361"/>
      <c r="Z100" s="364"/>
      <c r="AA100"/>
      <c r="AB100"/>
      <c r="AC100"/>
      <c r="AD100" s="93"/>
    </row>
    <row r="101" spans="17:30" ht="12.75" customHeight="1">
      <c r="Q101" s="360"/>
      <c r="R101" s="1001"/>
      <c r="S101" s="1002"/>
      <c r="T101" s="1003"/>
      <c r="U101" s="950"/>
      <c r="V101" s="939"/>
      <c r="W101" s="941"/>
      <c r="X101" s="943"/>
      <c r="Y101" s="361"/>
      <c r="Z101" s="364"/>
      <c r="AA101"/>
      <c r="AB101"/>
      <c r="AC101"/>
      <c r="AD101" s="93"/>
    </row>
    <row r="102" spans="17:30" ht="12.75" customHeight="1">
      <c r="Q102" s="360"/>
      <c r="R102" s="969" t="s">
        <v>63</v>
      </c>
      <c r="S102" s="969"/>
      <c r="T102" s="969"/>
      <c r="U102" s="537">
        <f>VLOOKUP(U69,'Lookup Exposure Time'!$B$12:$C$732,2)</f>
        <v>10</v>
      </c>
      <c r="V102" s="537">
        <f>VLOOKUP(V69,'Lookup Exposure Time'!$B$12:$C$732,2)</f>
        <v>2.5</v>
      </c>
      <c r="W102" s="537">
        <f>VLOOKUP(W69,'Lookup Exposure Time'!$B$12:$C$732,2)</f>
        <v>1.875</v>
      </c>
      <c r="X102" s="537">
        <f>VLOOKUP(X69,'Lookup Exposure Time'!$B$12:$C$732,2)</f>
        <v>0.39061999999999986</v>
      </c>
      <c r="Y102" s="361"/>
      <c r="Z102" s="364"/>
      <c r="AA102"/>
      <c r="AB102"/>
      <c r="AC102"/>
      <c r="AD102" s="67"/>
    </row>
    <row r="103" spans="17:30" ht="12.75" customHeight="1">
      <c r="Q103" s="360"/>
      <c r="R103" s="969" t="s">
        <v>64</v>
      </c>
      <c r="S103" s="969"/>
      <c r="T103" s="969"/>
      <c r="U103" s="537">
        <f>VLOOKUP(U70,'Lookup Exposure Time'!$B$12:$C$732,2)</f>
        <v>200</v>
      </c>
      <c r="V103" s="537">
        <f>VLOOKUP(V70,'Lookup Exposure Time'!$B$12:$C$732,2)</f>
        <v>50</v>
      </c>
      <c r="W103" s="537">
        <f>VLOOKUP(W70,'Lookup Exposure Time'!$B$12:$C$732,2)</f>
        <v>40</v>
      </c>
      <c r="X103" s="537">
        <f>VLOOKUP(X70,'Lookup Exposure Time'!$B$12:$C$732,2)</f>
        <v>7.5</v>
      </c>
      <c r="Y103" s="361"/>
      <c r="Z103" s="364"/>
      <c r="AA103"/>
      <c r="AB103"/>
      <c r="AC103"/>
      <c r="AD103" s="67"/>
    </row>
    <row r="104" spans="17:30" ht="12.75" customHeight="1">
      <c r="Q104" s="360"/>
      <c r="R104" s="364"/>
      <c r="S104" s="364"/>
      <c r="T104" s="364"/>
      <c r="U104" s="364"/>
      <c r="V104" s="364"/>
      <c r="W104" s="364"/>
      <c r="X104" s="364"/>
      <c r="Y104" s="363"/>
      <c r="Z104" s="364"/>
      <c r="AA104"/>
      <c r="AB104"/>
      <c r="AC104"/>
      <c r="AD104" s="109"/>
    </row>
    <row r="105" spans="17:30" ht="12.75" customHeight="1">
      <c r="Q105" s="360" t="s">
        <v>507</v>
      </c>
      <c r="R105" s="363" t="s">
        <v>513</v>
      </c>
      <c r="S105" s="363"/>
      <c r="T105" s="363"/>
      <c r="U105" s="363"/>
      <c r="V105" s="363"/>
      <c r="W105" s="363"/>
      <c r="X105" s="363"/>
      <c r="Y105" s="363"/>
      <c r="Z105" s="364"/>
      <c r="AA105"/>
      <c r="AB105"/>
      <c r="AC105"/>
      <c r="AD105" s="109"/>
    </row>
    <row r="106" spans="17:30" ht="12.75" customHeight="1">
      <c r="Q106" s="360"/>
      <c r="R106" s="998" t="s">
        <v>191</v>
      </c>
      <c r="S106" s="999"/>
      <c r="T106" s="1000"/>
      <c r="U106" s="949" t="s">
        <v>500</v>
      </c>
      <c r="V106" s="938" t="s">
        <v>22</v>
      </c>
      <c r="W106" s="940" t="s">
        <v>579</v>
      </c>
      <c r="X106" s="942" t="s">
        <v>21</v>
      </c>
      <c r="Y106" s="361"/>
      <c r="Z106" s="364"/>
      <c r="AA106"/>
      <c r="AB106"/>
      <c r="AC106"/>
      <c r="AD106" s="109"/>
    </row>
    <row r="107" spans="17:30" ht="12.75" customHeight="1">
      <c r="Q107" s="360"/>
      <c r="R107" s="1001"/>
      <c r="S107" s="1002"/>
      <c r="T107" s="1003"/>
      <c r="U107" s="950"/>
      <c r="V107" s="939"/>
      <c r="W107" s="941"/>
      <c r="X107" s="943"/>
      <c r="Y107" s="361"/>
      <c r="Z107" s="364"/>
      <c r="AA107"/>
      <c r="AB107"/>
      <c r="AC107"/>
      <c r="AD107" s="109"/>
    </row>
    <row r="108" spans="17:30" ht="12.75" customHeight="1">
      <c r="Q108" s="360"/>
      <c r="R108" s="969" t="s">
        <v>63</v>
      </c>
      <c r="S108" s="969"/>
      <c r="T108" s="969"/>
      <c r="U108" s="671">
        <f>VLOOKUP(U76,'Lookup Exposure Time'!$B$12:$C$732,2)</f>
        <v>2.5</v>
      </c>
      <c r="V108" s="671">
        <f>VLOOKUP(V76,'Lookup Exposure Time'!$B$12:$C$732,2)</f>
        <v>0.625</v>
      </c>
      <c r="W108" s="671">
        <f>VLOOKUP(W76,'Lookup Exposure Time'!$B$12:$C$732,2)</f>
        <v>0.46875</v>
      </c>
      <c r="X108" s="671">
        <f>VLOOKUP(X76,'Lookup Exposure Time'!$B$12:$C$732,2)</f>
        <v>9.765625E-2</v>
      </c>
      <c r="Y108" s="361"/>
      <c r="Z108" s="364"/>
      <c r="AA108"/>
      <c r="AB108"/>
      <c r="AC108"/>
      <c r="AD108" s="109"/>
    </row>
    <row r="109" spans="17:30" ht="12.75" customHeight="1">
      <c r="Q109" s="360"/>
      <c r="R109" s="969" t="s">
        <v>64</v>
      </c>
      <c r="S109" s="969"/>
      <c r="T109" s="969"/>
      <c r="U109" s="557">
        <f>VLOOKUP(U77,'Lookup Exposure Time'!$B$12:$C$732,2)</f>
        <v>50</v>
      </c>
      <c r="V109" s="557">
        <f>VLOOKUP(V77,'Lookup Exposure Time'!$B$12:$C$732,2)</f>
        <v>12.5</v>
      </c>
      <c r="W109" s="557">
        <f>VLOOKUP(W77,'Lookup Exposure Time'!$B$12:$C$732,2)</f>
        <v>10</v>
      </c>
      <c r="X109" s="557">
        <f>VLOOKUP(X77,'Lookup Exposure Time'!$B$12:$C$732,2)</f>
        <v>1.875</v>
      </c>
      <c r="Y109" s="361"/>
      <c r="Z109" s="364"/>
      <c r="AA109"/>
      <c r="AB109"/>
      <c r="AC109"/>
      <c r="AD109" s="109"/>
    </row>
    <row r="110" spans="17:30" ht="12.75" customHeight="1">
      <c r="Q110" s="360"/>
      <c r="R110" s="363"/>
      <c r="S110" s="363"/>
      <c r="T110" s="363"/>
      <c r="U110" s="363"/>
      <c r="V110" s="363"/>
      <c r="W110" s="363"/>
      <c r="X110" s="363"/>
      <c r="Y110" s="363"/>
      <c r="Z110" s="364"/>
      <c r="AA110"/>
      <c r="AB110"/>
      <c r="AC110"/>
      <c r="AD110" s="109"/>
    </row>
    <row r="111" spans="17:30" ht="12.75" customHeight="1">
      <c r="Q111" s="360" t="s">
        <v>508</v>
      </c>
      <c r="R111" s="363" t="s">
        <v>531</v>
      </c>
      <c r="S111" s="363"/>
      <c r="T111" s="363"/>
      <c r="U111" s="363"/>
      <c r="V111" s="363"/>
      <c r="W111" s="363"/>
      <c r="X111" s="363"/>
      <c r="Y111" s="363"/>
      <c r="Z111" s="364"/>
      <c r="AA111"/>
      <c r="AB111"/>
      <c r="AC111"/>
      <c r="AD111" s="109"/>
    </row>
    <row r="112" spans="17:30" ht="12.75" customHeight="1">
      <c r="Q112" s="360"/>
      <c r="R112" s="998" t="s">
        <v>191</v>
      </c>
      <c r="S112" s="999"/>
      <c r="T112" s="1000"/>
      <c r="U112" s="949" t="s">
        <v>500</v>
      </c>
      <c r="V112" s="938" t="s">
        <v>22</v>
      </c>
      <c r="W112" s="940" t="s">
        <v>579</v>
      </c>
      <c r="X112" s="942" t="s">
        <v>21</v>
      </c>
      <c r="Y112" s="361"/>
      <c r="Z112" s="364"/>
      <c r="AA112"/>
      <c r="AB112"/>
      <c r="AC112"/>
      <c r="AD112" s="109"/>
    </row>
    <row r="113" spans="17:30" ht="12.75" customHeight="1">
      <c r="Q113" s="360"/>
      <c r="R113" s="1001"/>
      <c r="S113" s="1002"/>
      <c r="T113" s="1003"/>
      <c r="U113" s="950"/>
      <c r="V113" s="939"/>
      <c r="W113" s="941"/>
      <c r="X113" s="943"/>
      <c r="Y113" s="361"/>
      <c r="Z113" s="364"/>
      <c r="AA113"/>
      <c r="AB113"/>
      <c r="AC113"/>
      <c r="AD113" s="109"/>
    </row>
    <row r="114" spans="17:30" ht="12.75" customHeight="1">
      <c r="Q114" s="360"/>
      <c r="R114" s="969" t="s">
        <v>63</v>
      </c>
      <c r="S114" s="969"/>
      <c r="T114" s="969"/>
      <c r="U114" s="537">
        <f t="shared" ref="U114:X115" si="0">U102/60</f>
        <v>0.16666666666666666</v>
      </c>
      <c r="V114" s="537">
        <f t="shared" si="0"/>
        <v>4.1666666666666664E-2</v>
      </c>
      <c r="W114" s="537">
        <f t="shared" si="0"/>
        <v>3.125E-2</v>
      </c>
      <c r="X114" s="537">
        <f t="shared" si="0"/>
        <v>6.5103333333333306E-3</v>
      </c>
      <c r="Y114" s="361"/>
      <c r="Z114" s="364"/>
      <c r="AA114"/>
      <c r="AB114"/>
      <c r="AC114"/>
      <c r="AD114" s="109"/>
    </row>
    <row r="115" spans="17:30" ht="12.75" customHeight="1">
      <c r="Q115" s="360"/>
      <c r="R115" s="969" t="s">
        <v>64</v>
      </c>
      <c r="S115" s="969"/>
      <c r="T115" s="969"/>
      <c r="U115" s="537">
        <f t="shared" si="0"/>
        <v>3.3333333333333335</v>
      </c>
      <c r="V115" s="537">
        <f t="shared" si="0"/>
        <v>0.83333333333333337</v>
      </c>
      <c r="W115" s="537">
        <f t="shared" si="0"/>
        <v>0.66666666666666663</v>
      </c>
      <c r="X115" s="537">
        <f t="shared" si="0"/>
        <v>0.125</v>
      </c>
      <c r="Y115" s="361"/>
      <c r="Z115" s="364"/>
      <c r="AA115"/>
      <c r="AB115"/>
      <c r="AC115"/>
      <c r="AD115" s="109"/>
    </row>
    <row r="116" spans="17:30" ht="12.75" customHeight="1">
      <c r="Q116" s="360"/>
      <c r="R116" s="364"/>
      <c r="S116" s="364"/>
      <c r="T116" s="364"/>
      <c r="U116" s="364"/>
      <c r="V116" s="364"/>
      <c r="W116" s="364"/>
      <c r="X116" s="364"/>
      <c r="Y116" s="363"/>
      <c r="Z116" s="364"/>
      <c r="AA116"/>
      <c r="AB116"/>
      <c r="AC116"/>
      <c r="AD116" s="109"/>
    </row>
    <row r="117" spans="17:30" ht="12.75" customHeight="1">
      <c r="Q117" s="360" t="s">
        <v>506</v>
      </c>
      <c r="R117" s="363" t="s">
        <v>532</v>
      </c>
      <c r="S117" s="363"/>
      <c r="T117" s="363"/>
      <c r="U117" s="363"/>
      <c r="V117" s="363"/>
      <c r="W117" s="363"/>
      <c r="X117" s="363"/>
      <c r="Y117" s="363"/>
      <c r="Z117" s="364"/>
      <c r="AA117"/>
      <c r="AB117"/>
      <c r="AC117"/>
      <c r="AD117" s="109"/>
    </row>
    <row r="118" spans="17:30" ht="12.75" customHeight="1">
      <c r="Q118" s="360"/>
      <c r="R118" s="998" t="s">
        <v>191</v>
      </c>
      <c r="S118" s="999"/>
      <c r="T118" s="1000"/>
      <c r="U118" s="949" t="s">
        <v>500</v>
      </c>
      <c r="V118" s="938" t="s">
        <v>22</v>
      </c>
      <c r="W118" s="940" t="s">
        <v>579</v>
      </c>
      <c r="X118" s="942" t="s">
        <v>21</v>
      </c>
      <c r="Y118" s="361"/>
      <c r="Z118" s="364"/>
      <c r="AA118"/>
      <c r="AB118"/>
      <c r="AC118"/>
      <c r="AD118" s="93"/>
    </row>
    <row r="119" spans="17:30" ht="12.75" customHeight="1">
      <c r="Q119" s="360"/>
      <c r="R119" s="1001"/>
      <c r="S119" s="1002"/>
      <c r="T119" s="1003"/>
      <c r="U119" s="950"/>
      <c r="V119" s="939"/>
      <c r="W119" s="941"/>
      <c r="X119" s="943"/>
      <c r="Y119" s="361"/>
      <c r="Z119" s="364"/>
      <c r="AA119"/>
      <c r="AB119"/>
      <c r="AC119"/>
      <c r="AD119" s="93"/>
    </row>
    <row r="120" spans="17:30" ht="12.75" customHeight="1">
      <c r="Q120" s="360"/>
      <c r="R120" s="969" t="s">
        <v>63</v>
      </c>
      <c r="S120" s="969"/>
      <c r="T120" s="969"/>
      <c r="U120" s="537">
        <f t="shared" ref="U120:X121" si="1">U108/60</f>
        <v>4.1666666666666664E-2</v>
      </c>
      <c r="V120" s="537">
        <f t="shared" si="1"/>
        <v>1.0416666666666666E-2</v>
      </c>
      <c r="W120" s="537">
        <f t="shared" si="1"/>
        <v>7.8125E-3</v>
      </c>
      <c r="X120" s="537">
        <f t="shared" si="1"/>
        <v>1.6276041666666667E-3</v>
      </c>
      <c r="Y120" s="361"/>
      <c r="Z120" s="364"/>
      <c r="AA120"/>
      <c r="AB120"/>
      <c r="AC120"/>
      <c r="AD120" s="66"/>
    </row>
    <row r="121" spans="17:30" ht="12.75" customHeight="1">
      <c r="Q121" s="360"/>
      <c r="R121" s="969" t="s">
        <v>64</v>
      </c>
      <c r="S121" s="969"/>
      <c r="T121" s="969"/>
      <c r="U121" s="537">
        <f t="shared" si="1"/>
        <v>0.83333333333333337</v>
      </c>
      <c r="V121" s="537">
        <f t="shared" si="1"/>
        <v>0.20833333333333334</v>
      </c>
      <c r="W121" s="537">
        <f t="shared" si="1"/>
        <v>0.16666666666666666</v>
      </c>
      <c r="X121" s="537">
        <f t="shared" si="1"/>
        <v>3.125E-2</v>
      </c>
      <c r="Y121" s="361"/>
      <c r="Z121" s="364"/>
      <c r="AA121"/>
      <c r="AB121"/>
      <c r="AC121"/>
      <c r="AD121" s="66"/>
    </row>
    <row r="122" spans="17:30" ht="12.75" customHeight="1">
      <c r="Q122" s="360"/>
      <c r="R122" s="363"/>
      <c r="S122" s="363"/>
      <c r="T122" s="363"/>
      <c r="U122" s="363"/>
      <c r="V122" s="363"/>
      <c r="W122" s="363"/>
      <c r="X122" s="363"/>
      <c r="Y122" s="363"/>
      <c r="Z122" s="364"/>
      <c r="AA122"/>
      <c r="AB122"/>
      <c r="AC122"/>
      <c r="AD122" s="109"/>
    </row>
    <row r="123" spans="17:30" ht="12.75" customHeight="1">
      <c r="Q123" s="546" t="s">
        <v>231</v>
      </c>
      <c r="R123" s="952" t="s">
        <v>232</v>
      </c>
      <c r="S123" s="952"/>
      <c r="T123" s="952"/>
      <c r="U123" s="952"/>
      <c r="V123" s="952"/>
      <c r="W123" s="952"/>
      <c r="X123" s="952"/>
      <c r="Y123" s="952"/>
      <c r="Z123" s="360"/>
      <c r="AA123"/>
      <c r="AB123"/>
      <c r="AC123"/>
      <c r="AD123" s="109"/>
    </row>
    <row r="124" spans="17:30" ht="12.75" customHeight="1">
      <c r="Q124" s="546"/>
      <c r="R124" s="360"/>
      <c r="S124" s="360"/>
      <c r="T124" s="360"/>
      <c r="U124" s="360"/>
      <c r="V124" s="360"/>
      <c r="W124" s="360"/>
      <c r="X124" s="360"/>
      <c r="Y124" s="360"/>
      <c r="Z124" s="360"/>
      <c r="AA124"/>
      <c r="AB124"/>
      <c r="AC124"/>
      <c r="AD124" s="109"/>
    </row>
    <row r="125" spans="17:30" ht="12.75" customHeight="1">
      <c r="Q125" s="546"/>
      <c r="R125" s="363" t="s">
        <v>233</v>
      </c>
      <c r="S125" s="363"/>
      <c r="T125" s="363"/>
      <c r="U125" s="363"/>
      <c r="V125" s="363"/>
      <c r="W125" s="363"/>
      <c r="X125" s="363"/>
      <c r="Y125" s="363"/>
      <c r="Z125" s="364"/>
      <c r="AA125"/>
      <c r="AB125"/>
      <c r="AC125"/>
      <c r="AD125" s="109"/>
    </row>
    <row r="126" spans="17:30" ht="12.75" customHeight="1">
      <c r="Q126" s="360"/>
      <c r="R126" s="998" t="s">
        <v>678</v>
      </c>
      <c r="S126" s="999"/>
      <c r="T126" s="1000"/>
      <c r="U126" s="949" t="s">
        <v>470</v>
      </c>
      <c r="V126" s="938" t="s">
        <v>22</v>
      </c>
      <c r="W126" s="940" t="s">
        <v>579</v>
      </c>
      <c r="X126" s="942" t="s">
        <v>21</v>
      </c>
      <c r="Y126" s="361"/>
      <c r="Z126" s="364"/>
      <c r="AA126"/>
      <c r="AB126"/>
      <c r="AC126"/>
      <c r="AD126" s="93"/>
    </row>
    <row r="127" spans="17:30" ht="12.75" customHeight="1">
      <c r="Q127" s="360"/>
      <c r="R127" s="1001"/>
      <c r="S127" s="1002"/>
      <c r="T127" s="1003"/>
      <c r="U127" s="950"/>
      <c r="V127" s="939"/>
      <c r="W127" s="941"/>
      <c r="X127" s="943"/>
      <c r="Y127" s="361"/>
      <c r="Z127" s="364"/>
      <c r="AA127"/>
      <c r="AB127"/>
      <c r="AC127"/>
      <c r="AD127" s="93"/>
    </row>
    <row r="128" spans="17:30" ht="12.75" customHeight="1">
      <c r="Q128" s="360"/>
      <c r="R128" s="969" t="s">
        <v>234</v>
      </c>
      <c r="S128" s="969"/>
      <c r="T128" s="969"/>
      <c r="U128" s="672">
        <v>8.3000000000000007</v>
      </c>
      <c r="V128" s="672">
        <f>VLOOKUP($V$5,'Lookup Vibration'!$B$8:$F$208,3)</f>
        <v>18.049999999999951</v>
      </c>
      <c r="W128" s="672">
        <f>VLOOKUP($V$5,'Lookup Vibration'!$B$8:$F$208,4)</f>
        <v>19.950000000000074</v>
      </c>
      <c r="X128" s="672">
        <f>VLOOKUP($V$5,'Lookup Vibration'!$B$8:$F$208,2)</f>
        <v>18.049999999999951</v>
      </c>
      <c r="Y128" s="361"/>
      <c r="Z128" s="364"/>
      <c r="AA128"/>
      <c r="AB128"/>
      <c r="AC128"/>
      <c r="AD128" s="66"/>
    </row>
    <row r="129" spans="17:30" ht="12.75" customHeight="1">
      <c r="Q129" s="360"/>
      <c r="R129" s="363"/>
      <c r="S129" s="363"/>
      <c r="T129" s="363"/>
      <c r="U129" s="363"/>
      <c r="V129" s="363"/>
      <c r="W129" s="363"/>
      <c r="X129" s="363"/>
      <c r="Y129" s="363"/>
      <c r="Z129" s="364"/>
      <c r="AA129"/>
      <c r="AB129"/>
      <c r="AC129"/>
      <c r="AD129" s="109"/>
    </row>
    <row r="130" spans="17:30" ht="12.75" customHeight="1">
      <c r="Q130" s="546" t="s">
        <v>235</v>
      </c>
      <c r="R130" s="952" t="s">
        <v>34</v>
      </c>
      <c r="S130" s="952"/>
      <c r="T130" s="952"/>
      <c r="U130" s="952"/>
      <c r="V130" s="952"/>
      <c r="W130" s="952"/>
      <c r="X130" s="952"/>
      <c r="Y130" s="952"/>
      <c r="Z130" s="360"/>
      <c r="AA130"/>
      <c r="AB130"/>
      <c r="AC130"/>
      <c r="AD130" s="109"/>
    </row>
    <row r="131" spans="17:30" ht="12.75" customHeight="1">
      <c r="Q131" s="546"/>
      <c r="R131" s="363"/>
      <c r="S131" s="363"/>
      <c r="T131" s="363"/>
      <c r="U131" s="363"/>
      <c r="V131" s="363"/>
      <c r="W131" s="363"/>
      <c r="X131" s="363"/>
      <c r="Y131" s="363"/>
      <c r="Z131" s="364"/>
      <c r="AA131"/>
      <c r="AB131"/>
      <c r="AC131"/>
      <c r="AD131" s="109"/>
    </row>
    <row r="132" spans="17:30" ht="12.75" customHeight="1">
      <c r="Q132" s="360"/>
      <c r="R132" s="998" t="s">
        <v>678</v>
      </c>
      <c r="S132" s="999"/>
      <c r="T132" s="1000"/>
      <c r="U132" s="949" t="s">
        <v>500</v>
      </c>
      <c r="V132" s="938" t="s">
        <v>22</v>
      </c>
      <c r="W132" s="940" t="s">
        <v>579</v>
      </c>
      <c r="X132" s="942" t="s">
        <v>21</v>
      </c>
      <c r="Y132" s="361"/>
      <c r="Z132" s="364"/>
      <c r="AA132"/>
      <c r="AB132"/>
      <c r="AC132"/>
      <c r="AD132" s="93"/>
    </row>
    <row r="133" spans="17:30" ht="12.75" customHeight="1">
      <c r="Q133" s="360"/>
      <c r="R133" s="1001"/>
      <c r="S133" s="1002"/>
      <c r="T133" s="1003"/>
      <c r="U133" s="950"/>
      <c r="V133" s="939"/>
      <c r="W133" s="941"/>
      <c r="X133" s="943"/>
      <c r="Y133" s="361"/>
      <c r="Z133" s="364"/>
      <c r="AA133"/>
      <c r="AB133"/>
      <c r="AC133"/>
      <c r="AD133" s="93"/>
    </row>
    <row r="134" spans="17:30" ht="12.75" customHeight="1">
      <c r="Q134" s="360"/>
      <c r="R134" s="1004" t="s">
        <v>298</v>
      </c>
      <c r="S134" s="1004"/>
      <c r="T134" s="1004"/>
      <c r="U134" s="673" t="s">
        <v>819</v>
      </c>
      <c r="V134" s="673" t="s">
        <v>818</v>
      </c>
      <c r="W134" s="673" t="s">
        <v>819</v>
      </c>
      <c r="X134" s="673" t="s">
        <v>818</v>
      </c>
      <c r="Y134" s="361"/>
      <c r="Z134" s="364"/>
      <c r="AA134"/>
      <c r="AB134"/>
      <c r="AC134"/>
      <c r="AD134" s="93"/>
    </row>
    <row r="135" spans="17:30" ht="12.75" customHeight="1">
      <c r="Q135" s="360"/>
      <c r="R135" s="931" t="s">
        <v>299</v>
      </c>
      <c r="S135" s="931"/>
      <c r="T135" s="931"/>
      <c r="U135" s="673" t="s">
        <v>297</v>
      </c>
      <c r="V135" s="673" t="s">
        <v>296</v>
      </c>
      <c r="W135" s="673" t="s">
        <v>296</v>
      </c>
      <c r="X135" s="673" t="s">
        <v>296</v>
      </c>
      <c r="Y135" s="361"/>
      <c r="Z135" s="364"/>
      <c r="AA135"/>
      <c r="AB135"/>
      <c r="AC135"/>
      <c r="AD135" s="93"/>
    </row>
    <row r="136" spans="17:30" ht="12.75" customHeight="1">
      <c r="Q136" s="360"/>
      <c r="R136" s="363"/>
      <c r="S136" s="363"/>
      <c r="T136" s="363"/>
      <c r="U136" s="363"/>
      <c r="V136" s="363"/>
      <c r="W136" s="363"/>
      <c r="X136" s="363"/>
      <c r="Y136" s="363"/>
      <c r="Z136" s="363"/>
      <c r="AA136"/>
      <c r="AB136"/>
      <c r="AC136"/>
      <c r="AD136" s="109"/>
    </row>
    <row r="137" spans="17:30" ht="12.75" customHeight="1">
      <c r="Q137" s="546" t="s">
        <v>236</v>
      </c>
      <c r="R137" s="952" t="s">
        <v>237</v>
      </c>
      <c r="S137" s="952"/>
      <c r="T137" s="952"/>
      <c r="U137" s="952"/>
      <c r="V137" s="952"/>
      <c r="W137" s="952"/>
      <c r="X137" s="952"/>
      <c r="Y137" s="952"/>
      <c r="Z137" s="360"/>
      <c r="AA137"/>
      <c r="AB137"/>
      <c r="AC137"/>
      <c r="AD137" s="109"/>
    </row>
    <row r="138" spans="17:30" ht="12.75" customHeight="1">
      <c r="Q138" s="360"/>
      <c r="R138" s="363"/>
      <c r="S138" s="363"/>
      <c r="T138" s="363"/>
      <c r="U138" s="363"/>
      <c r="V138" s="363"/>
      <c r="W138" s="363"/>
      <c r="X138" s="363"/>
      <c r="Y138" s="363"/>
      <c r="Z138" s="363"/>
      <c r="AA138"/>
      <c r="AB138"/>
      <c r="AC138"/>
      <c r="AD138" s="109"/>
    </row>
    <row r="139" spans="17:30" ht="12.75" customHeight="1">
      <c r="Q139" s="668" t="s">
        <v>238</v>
      </c>
      <c r="R139" s="364" t="s">
        <v>239</v>
      </c>
      <c r="S139" s="364"/>
      <c r="T139" s="364"/>
      <c r="U139" s="364"/>
      <c r="V139" s="364"/>
      <c r="W139" s="364"/>
      <c r="X139" s="364"/>
      <c r="Y139" s="364"/>
      <c r="Z139" s="364"/>
      <c r="AA139"/>
      <c r="AB139"/>
      <c r="AC139"/>
      <c r="AD139" s="109"/>
    </row>
    <row r="140" spans="17:30" ht="12.75" customHeight="1">
      <c r="Q140" s="668"/>
      <c r="R140" s="364" t="s">
        <v>469</v>
      </c>
      <c r="S140" s="364"/>
      <c r="T140" s="364"/>
      <c r="U140" s="364"/>
      <c r="V140" s="364"/>
      <c r="W140" s="364"/>
      <c r="X140" s="364"/>
      <c r="Y140" s="364"/>
      <c r="Z140" s="364"/>
      <c r="AA140"/>
      <c r="AB140"/>
      <c r="AC140"/>
      <c r="AD140" s="109"/>
    </row>
    <row r="141" spans="17:30" ht="12.75" customHeight="1">
      <c r="Q141" s="668"/>
      <c r="R141" s="364"/>
      <c r="S141" s="364"/>
      <c r="T141" s="364"/>
      <c r="U141" s="364"/>
      <c r="V141" s="364"/>
      <c r="W141" s="364"/>
      <c r="X141" s="364"/>
      <c r="Y141" s="364"/>
      <c r="Z141" s="364"/>
      <c r="AA141"/>
      <c r="AB141"/>
      <c r="AC141"/>
      <c r="AD141" s="109"/>
    </row>
    <row r="142" spans="17:30" ht="12.75" customHeight="1">
      <c r="Q142" s="668"/>
      <c r="R142" s="1005" t="s">
        <v>734</v>
      </c>
      <c r="S142" s="1006"/>
      <c r="T142" s="1006"/>
      <c r="U142" s="1006"/>
      <c r="V142" s="1006"/>
      <c r="W142" s="1007"/>
      <c r="X142" s="351">
        <f>'Compressor Input Data'!G5</f>
        <v>22800</v>
      </c>
      <c r="Y142" s="364"/>
      <c r="Z142" s="364"/>
      <c r="AA142"/>
      <c r="AB142"/>
      <c r="AC142"/>
      <c r="AD142" s="109"/>
    </row>
    <row r="143" spans="17:30" ht="12.75" customHeight="1">
      <c r="Q143" s="668"/>
      <c r="R143" s="990" t="s">
        <v>430</v>
      </c>
      <c r="S143" s="991"/>
      <c r="T143" s="992"/>
      <c r="U143" s="949" t="s">
        <v>500</v>
      </c>
      <c r="V143" s="938" t="s">
        <v>22</v>
      </c>
      <c r="W143" s="940" t="s">
        <v>579</v>
      </c>
      <c r="X143" s="942" t="s">
        <v>21</v>
      </c>
      <c r="Y143" s="361"/>
      <c r="Z143" s="364"/>
      <c r="AA143"/>
      <c r="AB143"/>
      <c r="AC143"/>
      <c r="AD143" s="109"/>
    </row>
    <row r="144" spans="17:30" ht="12.75" customHeight="1">
      <c r="Q144" s="668"/>
      <c r="R144" s="993"/>
      <c r="S144" s="994"/>
      <c r="T144" s="995"/>
      <c r="U144" s="950"/>
      <c r="V144" s="939"/>
      <c r="W144" s="941"/>
      <c r="X144" s="943"/>
      <c r="Y144" s="361"/>
      <c r="Z144" s="364"/>
      <c r="AA144"/>
      <c r="AB144"/>
      <c r="AC144"/>
      <c r="AD144" s="109"/>
    </row>
    <row r="145" spans="17:30" ht="12.75" customHeight="1">
      <c r="Q145" s="668"/>
      <c r="R145" s="973" t="s">
        <v>555</v>
      </c>
      <c r="S145" s="973"/>
      <c r="T145" s="973"/>
      <c r="U145" s="996"/>
      <c r="V145" s="544">
        <f>X145</f>
        <v>22800</v>
      </c>
      <c r="W145" s="544">
        <f>X145</f>
        <v>22800</v>
      </c>
      <c r="X145" s="544">
        <f>X142</f>
        <v>22800</v>
      </c>
      <c r="Y145" s="361"/>
      <c r="Z145" s="364"/>
      <c r="AA145"/>
      <c r="AB145"/>
      <c r="AC145"/>
      <c r="AD145" s="109"/>
    </row>
    <row r="146" spans="17:30" ht="12.75" customHeight="1">
      <c r="Q146" s="668"/>
      <c r="R146" s="973" t="s">
        <v>549</v>
      </c>
      <c r="S146" s="973"/>
      <c r="T146" s="973"/>
      <c r="U146" s="997"/>
      <c r="V146" s="544">
        <f>X146</f>
        <v>24</v>
      </c>
      <c r="W146" s="544">
        <f>V146</f>
        <v>24</v>
      </c>
      <c r="X146" s="544">
        <f>'Compressor Input Data'!J15</f>
        <v>24</v>
      </c>
      <c r="Y146" s="361"/>
      <c r="Z146" s="364"/>
      <c r="AA146"/>
      <c r="AB146"/>
      <c r="AC146"/>
      <c r="AD146" s="109"/>
    </row>
    <row r="147" spans="17:30" ht="12.75" customHeight="1">
      <c r="Q147" s="668"/>
      <c r="R147" s="970" t="s">
        <v>556</v>
      </c>
      <c r="S147" s="971"/>
      <c r="T147" s="972"/>
      <c r="U147" s="566">
        <f>U62</f>
        <v>2.6666666666666665</v>
      </c>
      <c r="V147" s="566">
        <f>V62</f>
        <v>1.9999999999999996</v>
      </c>
      <c r="W147" s="566">
        <f>W62</f>
        <v>1.7391304347826084</v>
      </c>
      <c r="X147" s="566">
        <f>X62</f>
        <v>1.4285714285714284</v>
      </c>
      <c r="Y147" s="361"/>
      <c r="Z147" s="364"/>
      <c r="AA147"/>
      <c r="AB147"/>
      <c r="AC147"/>
      <c r="AD147" s="109"/>
    </row>
    <row r="148" spans="17:30" ht="12.75" customHeight="1">
      <c r="Q148" s="668"/>
      <c r="R148" s="973" t="s">
        <v>575</v>
      </c>
      <c r="S148" s="973"/>
      <c r="T148" s="973"/>
      <c r="U148" s="531">
        <f>W148</f>
        <v>0.22500000000000001</v>
      </c>
      <c r="V148" s="531">
        <f>X148</f>
        <v>0.22500000000000001</v>
      </c>
      <c r="W148" s="531">
        <f>V148</f>
        <v>0.22500000000000001</v>
      </c>
      <c r="X148" s="531">
        <f>'Compressor Input Data'!J17</f>
        <v>0.22500000000000001</v>
      </c>
      <c r="Y148" s="361"/>
      <c r="Z148" s="364"/>
      <c r="AA148"/>
      <c r="AB148"/>
      <c r="AC148"/>
      <c r="AD148" s="109"/>
    </row>
    <row r="149" spans="17:30" ht="12.75" customHeight="1">
      <c r="Q149" s="668"/>
      <c r="R149" s="987"/>
      <c r="S149" s="988"/>
      <c r="T149" s="988"/>
      <c r="U149" s="988"/>
      <c r="V149" s="988"/>
      <c r="W149" s="988"/>
      <c r="X149" s="989"/>
      <c r="Y149" s="364"/>
      <c r="Z149" s="364"/>
      <c r="AA149"/>
      <c r="AB149"/>
      <c r="AC149"/>
      <c r="AD149" s="109"/>
    </row>
    <row r="150" spans="17:30" ht="12.75" customHeight="1">
      <c r="Q150" s="668"/>
      <c r="R150" s="990" t="s">
        <v>467</v>
      </c>
      <c r="S150" s="991"/>
      <c r="T150" s="992"/>
      <c r="U150" s="949" t="s">
        <v>500</v>
      </c>
      <c r="V150" s="938" t="s">
        <v>22</v>
      </c>
      <c r="W150" s="940" t="s">
        <v>579</v>
      </c>
      <c r="X150" s="942" t="s">
        <v>21</v>
      </c>
      <c r="Y150" s="361"/>
      <c r="Z150" s="364"/>
      <c r="AA150"/>
      <c r="AB150"/>
      <c r="AC150"/>
      <c r="AD150" s="109"/>
    </row>
    <row r="151" spans="17:30" ht="12.75" customHeight="1">
      <c r="Q151" s="668"/>
      <c r="R151" s="993"/>
      <c r="S151" s="994"/>
      <c r="T151" s="995"/>
      <c r="U151" s="950"/>
      <c r="V151" s="939"/>
      <c r="W151" s="941"/>
      <c r="X151" s="943"/>
      <c r="Y151" s="361"/>
      <c r="Z151" s="364"/>
      <c r="AA151"/>
      <c r="AB151"/>
      <c r="AC151"/>
      <c r="AD151" s="109"/>
    </row>
    <row r="152" spans="17:30" ht="12.75" customHeight="1">
      <c r="Q152" s="668"/>
      <c r="R152" s="973" t="s">
        <v>554</v>
      </c>
      <c r="S152" s="973"/>
      <c r="T152" s="973"/>
      <c r="U152" s="986"/>
      <c r="V152" s="569">
        <f>X152</f>
        <v>1</v>
      </c>
      <c r="W152" s="570">
        <f>V152</f>
        <v>1</v>
      </c>
      <c r="X152" s="570">
        <f>'Compressor Input Data'!J20</f>
        <v>1</v>
      </c>
      <c r="Y152" s="361"/>
      <c r="Z152" s="364"/>
      <c r="AA152"/>
      <c r="AB152"/>
      <c r="AC152"/>
      <c r="AD152" s="109"/>
    </row>
    <row r="153" spans="17:30" ht="12.75" customHeight="1">
      <c r="Q153" s="668"/>
      <c r="R153" s="983" t="s">
        <v>551</v>
      </c>
      <c r="S153" s="984"/>
      <c r="T153" s="985"/>
      <c r="U153" s="986"/>
      <c r="V153" s="571">
        <f>V147/V146</f>
        <v>8.3333333333333315E-2</v>
      </c>
      <c r="W153" s="571">
        <f>W147/W146</f>
        <v>7.2463768115942018E-2</v>
      </c>
      <c r="X153" s="571">
        <f>X147/X146</f>
        <v>5.9523809523809514E-2</v>
      </c>
      <c r="Y153" s="361"/>
      <c r="Z153" s="364"/>
      <c r="AA153"/>
      <c r="AB153"/>
      <c r="AC153"/>
      <c r="AD153" s="109"/>
    </row>
    <row r="154" spans="17:30" ht="12.75" customHeight="1">
      <c r="Q154" s="668"/>
      <c r="R154" s="973" t="s">
        <v>552</v>
      </c>
      <c r="S154" s="973"/>
      <c r="T154" s="973"/>
      <c r="U154" s="986"/>
      <c r="V154" s="572">
        <f>X154</f>
        <v>0.6</v>
      </c>
      <c r="W154" s="572">
        <f>V154</f>
        <v>0.6</v>
      </c>
      <c r="X154" s="572">
        <f>'Compressor Input Data'!J22</f>
        <v>0.6</v>
      </c>
      <c r="Y154" s="361"/>
      <c r="Z154" s="364"/>
      <c r="AA154"/>
      <c r="AB154"/>
      <c r="AC154"/>
      <c r="AD154" s="109"/>
    </row>
    <row r="155" spans="17:30" ht="12.75" customHeight="1">
      <c r="Q155" s="668"/>
      <c r="R155" s="987"/>
      <c r="S155" s="988"/>
      <c r="T155" s="988"/>
      <c r="U155" s="988"/>
      <c r="V155" s="988"/>
      <c r="W155" s="988"/>
      <c r="X155" s="989"/>
      <c r="Y155" s="364"/>
      <c r="Z155" s="364"/>
      <c r="AA155"/>
      <c r="AB155"/>
      <c r="AC155"/>
      <c r="AD155" s="109"/>
    </row>
    <row r="156" spans="17:30" ht="12.75" customHeight="1">
      <c r="Q156" s="668"/>
      <c r="R156" s="990" t="s">
        <v>468</v>
      </c>
      <c r="S156" s="991"/>
      <c r="T156" s="992"/>
      <c r="U156" s="949" t="s">
        <v>500</v>
      </c>
      <c r="V156" s="938" t="s">
        <v>22</v>
      </c>
      <c r="W156" s="940" t="s">
        <v>579</v>
      </c>
      <c r="X156" s="942" t="s">
        <v>21</v>
      </c>
      <c r="Y156" s="361"/>
      <c r="Z156" s="364"/>
      <c r="AA156"/>
      <c r="AB156"/>
      <c r="AC156"/>
      <c r="AD156" s="109"/>
    </row>
    <row r="157" spans="17:30" ht="12.75" customHeight="1">
      <c r="Q157" s="668"/>
      <c r="R157" s="993"/>
      <c r="S157" s="994"/>
      <c r="T157" s="995"/>
      <c r="U157" s="950"/>
      <c r="V157" s="939"/>
      <c r="W157" s="941"/>
      <c r="X157" s="943"/>
      <c r="Y157" s="361"/>
      <c r="Z157" s="364"/>
      <c r="AA157"/>
      <c r="AB157"/>
      <c r="AC157"/>
      <c r="AD157" s="109"/>
    </row>
    <row r="158" spans="17:30" ht="12.75" customHeight="1">
      <c r="Q158" s="668"/>
      <c r="R158" s="973" t="s">
        <v>554</v>
      </c>
      <c r="S158" s="973"/>
      <c r="T158" s="973"/>
      <c r="U158" s="980"/>
      <c r="V158" s="572">
        <f>X158</f>
        <v>0.5</v>
      </c>
      <c r="W158" s="572">
        <f>V158</f>
        <v>0.5</v>
      </c>
      <c r="X158" s="572">
        <f>'Compressor Input Data'!J25</f>
        <v>0.5</v>
      </c>
      <c r="Y158" s="361"/>
      <c r="Z158" s="364"/>
      <c r="AA158"/>
      <c r="AB158"/>
      <c r="AC158"/>
      <c r="AD158" s="109"/>
    </row>
    <row r="159" spans="17:30" ht="12.75" customHeight="1">
      <c r="Q159" s="668"/>
      <c r="R159" s="983" t="s">
        <v>551</v>
      </c>
      <c r="S159" s="984"/>
      <c r="T159" s="985"/>
      <c r="U159" s="981"/>
      <c r="V159" s="572">
        <f>V152-V153</f>
        <v>0.91666666666666674</v>
      </c>
      <c r="W159" s="572">
        <f>W152-W153</f>
        <v>0.92753623188405798</v>
      </c>
      <c r="X159" s="572">
        <f>X152-X153</f>
        <v>0.94047619047619047</v>
      </c>
      <c r="Y159" s="361"/>
      <c r="Z159" s="364"/>
      <c r="AA159"/>
      <c r="AB159"/>
      <c r="AC159"/>
      <c r="AD159" s="109"/>
    </row>
    <row r="160" spans="17:30" ht="12.75" customHeight="1">
      <c r="Q160" s="668"/>
      <c r="R160" s="973" t="s">
        <v>552</v>
      </c>
      <c r="S160" s="973"/>
      <c r="T160" s="973"/>
      <c r="U160" s="982"/>
      <c r="V160" s="572">
        <f>X160</f>
        <v>0.6</v>
      </c>
      <c r="W160" s="572">
        <f>V160</f>
        <v>0.6</v>
      </c>
      <c r="X160" s="572">
        <f>'Compressor Input Data'!J27</f>
        <v>0.6</v>
      </c>
      <c r="Y160" s="361"/>
      <c r="Z160" s="364"/>
      <c r="AA160"/>
      <c r="AB160"/>
      <c r="AC160"/>
      <c r="AD160" s="109"/>
    </row>
    <row r="161" spans="17:30" ht="12.75" customHeight="1">
      <c r="Q161" s="668"/>
      <c r="R161" s="567"/>
      <c r="S161" s="568"/>
      <c r="T161" s="568"/>
      <c r="U161" s="573"/>
      <c r="V161" s="573"/>
      <c r="W161" s="573"/>
      <c r="X161" s="574"/>
      <c r="Y161" s="364"/>
      <c r="Z161" s="364"/>
      <c r="AA161"/>
      <c r="AB161"/>
      <c r="AC161"/>
      <c r="AD161" s="109"/>
    </row>
    <row r="162" spans="17:30" ht="12.75" customHeight="1">
      <c r="Q162" s="668"/>
      <c r="R162" s="901" t="s">
        <v>471</v>
      </c>
      <c r="S162" s="901"/>
      <c r="T162" s="901"/>
      <c r="U162" s="930" t="s">
        <v>500</v>
      </c>
      <c r="V162" s="928" t="s">
        <v>22</v>
      </c>
      <c r="W162" s="929" t="s">
        <v>579</v>
      </c>
      <c r="X162" s="927" t="s">
        <v>21</v>
      </c>
      <c r="Y162" s="361"/>
      <c r="Z162" s="364"/>
      <c r="AA162"/>
      <c r="AB162"/>
      <c r="AC162"/>
      <c r="AD162" s="109"/>
    </row>
    <row r="163" spans="17:30" ht="12.75" customHeight="1">
      <c r="Q163" s="668"/>
      <c r="R163" s="901"/>
      <c r="S163" s="901"/>
      <c r="T163" s="901"/>
      <c r="U163" s="930"/>
      <c r="V163" s="928"/>
      <c r="W163" s="929"/>
      <c r="X163" s="927"/>
      <c r="Y163" s="361"/>
      <c r="Z163" s="364"/>
      <c r="AA163"/>
      <c r="AB163"/>
      <c r="AC163"/>
      <c r="AD163" s="109"/>
    </row>
    <row r="164" spans="17:30" ht="12.75" customHeight="1">
      <c r="Q164" s="668"/>
      <c r="R164" s="973" t="s">
        <v>472</v>
      </c>
      <c r="S164" s="973"/>
      <c r="T164" s="973"/>
      <c r="U164" s="544">
        <f>$V$224</f>
        <v>938.66666666666674</v>
      </c>
      <c r="V164" s="544">
        <f>($V$145*$V$146*$V$153*$V$152)/$V$154</f>
        <v>75999.999999999985</v>
      </c>
      <c r="W164" s="544">
        <f>($W$145*$W$146*$W$153*$W$152)/$W$154</f>
        <v>66086.956521739121</v>
      </c>
      <c r="X164" s="544">
        <f>($X$145*$X$146*$X$153*$X$152)/$X$154</f>
        <v>54285.714285714275</v>
      </c>
      <c r="Y164" s="361"/>
      <c r="Z164" s="364"/>
      <c r="AA164"/>
      <c r="AB164"/>
      <c r="AC164"/>
      <c r="AD164" s="109"/>
    </row>
    <row r="165" spans="17:30" ht="12.75" customHeight="1">
      <c r="Q165" s="668"/>
      <c r="R165" s="973" t="s">
        <v>473</v>
      </c>
      <c r="S165" s="973"/>
      <c r="T165" s="973"/>
      <c r="U165" s="543"/>
      <c r="V165" s="544">
        <f>($V$145*$V$146*$V$159*$V$158)/$V$160</f>
        <v>418000.00000000006</v>
      </c>
      <c r="W165" s="544">
        <f>($W$145*$W$146*$W$159*$W$158)/$W$160</f>
        <v>422956.52173913049</v>
      </c>
      <c r="X165" s="544">
        <f>($X$145*$X$146*$X$159*$X$158)/$X$160</f>
        <v>428857.14285714284</v>
      </c>
      <c r="Y165" s="361"/>
      <c r="Z165" s="364"/>
      <c r="AA165"/>
      <c r="AB165"/>
      <c r="AC165"/>
      <c r="AD165" s="109"/>
    </row>
    <row r="166" spans="17:30" ht="12.75" customHeight="1">
      <c r="Q166" s="668"/>
      <c r="R166" s="567"/>
      <c r="S166" s="568"/>
      <c r="T166" s="568"/>
      <c r="U166" s="573"/>
      <c r="V166" s="573"/>
      <c r="W166" s="573"/>
      <c r="X166" s="574"/>
      <c r="Y166" s="364"/>
      <c r="Z166" s="364"/>
      <c r="AA166"/>
      <c r="AB166"/>
      <c r="AC166"/>
      <c r="AD166" s="109"/>
    </row>
    <row r="167" spans="17:30" ht="12.75" customHeight="1">
      <c r="Q167" s="668"/>
      <c r="R167" s="901" t="s">
        <v>474</v>
      </c>
      <c r="S167" s="901"/>
      <c r="T167" s="901"/>
      <c r="U167" s="930" t="s">
        <v>500</v>
      </c>
      <c r="V167" s="928" t="s">
        <v>22</v>
      </c>
      <c r="W167" s="929" t="s">
        <v>579</v>
      </c>
      <c r="X167" s="927" t="s">
        <v>21</v>
      </c>
      <c r="Y167" s="361"/>
      <c r="Z167" s="364"/>
      <c r="AA167"/>
      <c r="AB167"/>
      <c r="AC167"/>
      <c r="AD167" s="109"/>
    </row>
    <row r="168" spans="17:30" ht="12.75" customHeight="1">
      <c r="Q168" s="668"/>
      <c r="R168" s="901"/>
      <c r="S168" s="901"/>
      <c r="T168" s="901"/>
      <c r="U168" s="930"/>
      <c r="V168" s="928"/>
      <c r="W168" s="929"/>
      <c r="X168" s="927"/>
      <c r="Y168" s="361"/>
      <c r="Z168" s="364"/>
      <c r="AA168"/>
      <c r="AB168"/>
      <c r="AC168"/>
      <c r="AD168" s="109"/>
    </row>
    <row r="169" spans="17:30" ht="12.75" customHeight="1">
      <c r="Q169" s="668"/>
      <c r="R169" s="973" t="s">
        <v>472</v>
      </c>
      <c r="S169" s="973"/>
      <c r="T169" s="973"/>
      <c r="U169" s="544">
        <f>U164*$V$11</f>
        <v>21589.333333333336</v>
      </c>
      <c r="V169" s="544">
        <f>V164*$V$11</f>
        <v>1747999.9999999998</v>
      </c>
      <c r="W169" s="544">
        <f>W164*$V$11</f>
        <v>1519999.9999999998</v>
      </c>
      <c r="X169" s="544">
        <f>X164*$V$11</f>
        <v>1248571.4285714284</v>
      </c>
      <c r="Y169" s="361"/>
      <c r="Z169" s="364"/>
      <c r="AA169"/>
      <c r="AB169"/>
      <c r="AC169"/>
      <c r="AD169" s="109"/>
    </row>
    <row r="170" spans="17:30" ht="12.75" customHeight="1">
      <c r="Q170" s="668"/>
      <c r="R170" s="973" t="s">
        <v>473</v>
      </c>
      <c r="S170" s="973"/>
      <c r="T170" s="973"/>
      <c r="U170" s="543"/>
      <c r="V170" s="544">
        <f>V165*$V$11</f>
        <v>9614000.0000000019</v>
      </c>
      <c r="W170" s="544">
        <f>W165*$V$11</f>
        <v>9728000.0000000019</v>
      </c>
      <c r="X170" s="544">
        <f>X165*$V$11</f>
        <v>9863714.2857142854</v>
      </c>
      <c r="Y170" s="361"/>
      <c r="Z170" s="364"/>
      <c r="AA170"/>
      <c r="AB170"/>
      <c r="AC170"/>
      <c r="AD170" s="109"/>
    </row>
    <row r="171" spans="17:30" ht="12.75" customHeight="1">
      <c r="Q171" s="668"/>
      <c r="R171" s="567"/>
      <c r="S171" s="568"/>
      <c r="T171" s="568"/>
      <c r="U171" s="573"/>
      <c r="V171" s="573"/>
      <c r="W171" s="573"/>
      <c r="X171" s="574"/>
      <c r="Y171" s="364"/>
      <c r="Z171" s="364"/>
      <c r="AA171"/>
      <c r="AB171"/>
      <c r="AC171"/>
      <c r="AD171" s="109"/>
    </row>
    <row r="172" spans="17:30" ht="12.75" customHeight="1">
      <c r="Q172" s="668"/>
      <c r="R172" s="901" t="s">
        <v>474</v>
      </c>
      <c r="S172" s="901"/>
      <c r="T172" s="901"/>
      <c r="U172" s="930" t="s">
        <v>500</v>
      </c>
      <c r="V172" s="928" t="s">
        <v>22</v>
      </c>
      <c r="W172" s="929" t="s">
        <v>579</v>
      </c>
      <c r="X172" s="927" t="s">
        <v>21</v>
      </c>
      <c r="Y172" s="361"/>
      <c r="Z172" s="364"/>
      <c r="AA172"/>
      <c r="AB172"/>
      <c r="AC172"/>
      <c r="AD172" s="109"/>
    </row>
    <row r="173" spans="17:30" ht="12.75" customHeight="1">
      <c r="Q173" s="668"/>
      <c r="R173" s="901"/>
      <c r="S173" s="901"/>
      <c r="T173" s="901"/>
      <c r="U173" s="930"/>
      <c r="V173" s="928"/>
      <c r="W173" s="929"/>
      <c r="X173" s="927"/>
      <c r="Y173" s="361"/>
      <c r="Z173" s="364"/>
      <c r="AA173"/>
      <c r="AB173"/>
      <c r="AC173"/>
      <c r="AD173" s="109"/>
    </row>
    <row r="174" spans="17:30" ht="12.75" customHeight="1">
      <c r="Q174" s="668"/>
      <c r="R174" s="973" t="s">
        <v>472</v>
      </c>
      <c r="S174" s="973"/>
      <c r="T174" s="973"/>
      <c r="U174" s="544">
        <f>U169*12</f>
        <v>259072.00000000003</v>
      </c>
      <c r="V174" s="544">
        <f>V169*12</f>
        <v>20975999.999999996</v>
      </c>
      <c r="W174" s="544">
        <f>W169*12</f>
        <v>18239999.999999996</v>
      </c>
      <c r="X174" s="544">
        <f>X169*12</f>
        <v>14982857.142857142</v>
      </c>
      <c r="Y174" s="361"/>
      <c r="Z174" s="364"/>
      <c r="AA174"/>
      <c r="AB174"/>
      <c r="AC174"/>
      <c r="AD174" s="109"/>
    </row>
    <row r="175" spans="17:30" ht="12.75" customHeight="1">
      <c r="Q175" s="668"/>
      <c r="R175" s="973" t="s">
        <v>473</v>
      </c>
      <c r="S175" s="973"/>
      <c r="T175" s="973"/>
      <c r="U175" s="543"/>
      <c r="V175" s="544">
        <f>V170*12</f>
        <v>115368000.00000003</v>
      </c>
      <c r="W175" s="544">
        <f>W170*12</f>
        <v>116736000.00000003</v>
      </c>
      <c r="X175" s="544">
        <f>X170*12</f>
        <v>118364571.42857143</v>
      </c>
      <c r="Y175" s="361"/>
      <c r="Z175" s="364"/>
      <c r="AA175"/>
      <c r="AB175"/>
      <c r="AC175"/>
      <c r="AD175" s="109"/>
    </row>
    <row r="176" spans="17:30" ht="12.75" customHeight="1">
      <c r="Q176" s="668"/>
      <c r="R176" s="381"/>
      <c r="S176" s="381"/>
      <c r="T176" s="381"/>
      <c r="U176" s="381"/>
      <c r="V176" s="381"/>
      <c r="W176" s="381"/>
      <c r="X176" s="381"/>
      <c r="Y176" s="364"/>
      <c r="Z176" s="364"/>
      <c r="AA176"/>
      <c r="AB176"/>
      <c r="AC176"/>
      <c r="AD176" s="109"/>
    </row>
    <row r="177" spans="17:30" ht="12.75" customHeight="1">
      <c r="Q177" s="668"/>
      <c r="R177" s="901" t="s">
        <v>433</v>
      </c>
      <c r="S177" s="901"/>
      <c r="T177" s="901"/>
      <c r="U177" s="949" t="s">
        <v>500</v>
      </c>
      <c r="V177" s="938" t="s">
        <v>22</v>
      </c>
      <c r="W177" s="940" t="s">
        <v>579</v>
      </c>
      <c r="X177" s="942" t="s">
        <v>21</v>
      </c>
      <c r="Y177" s="361"/>
      <c r="Z177" s="364"/>
      <c r="AA177"/>
      <c r="AB177"/>
      <c r="AC177"/>
      <c r="AD177" s="109"/>
    </row>
    <row r="178" spans="17:30" ht="12.75" customHeight="1">
      <c r="Q178" s="668"/>
      <c r="R178" s="901"/>
      <c r="S178" s="901"/>
      <c r="T178" s="901"/>
      <c r="U178" s="950"/>
      <c r="V178" s="939"/>
      <c r="W178" s="941"/>
      <c r="X178" s="943"/>
      <c r="Y178" s="361"/>
      <c r="Z178" s="364"/>
      <c r="AA178"/>
      <c r="AB178"/>
      <c r="AC178"/>
      <c r="AD178" s="109"/>
    </row>
    <row r="179" spans="17:30" ht="12.75" customHeight="1">
      <c r="Q179" s="668"/>
      <c r="R179" s="970" t="s">
        <v>459</v>
      </c>
      <c r="S179" s="971"/>
      <c r="T179" s="972"/>
      <c r="U179" s="544">
        <f>U164</f>
        <v>938.66666666666674</v>
      </c>
      <c r="V179" s="544">
        <f>V164+V165</f>
        <v>494000.00000000006</v>
      </c>
      <c r="W179" s="544">
        <f>W164+W165</f>
        <v>489043.47826086963</v>
      </c>
      <c r="X179" s="544">
        <f>X164+X165</f>
        <v>483142.8571428571</v>
      </c>
      <c r="Y179" s="361"/>
      <c r="Z179" s="364"/>
      <c r="AA179"/>
      <c r="AB179"/>
      <c r="AC179"/>
      <c r="AD179" s="109"/>
    </row>
    <row r="180" spans="17:30" ht="12.75" customHeight="1">
      <c r="Q180" s="668"/>
      <c r="R180" s="973" t="s">
        <v>307</v>
      </c>
      <c r="S180" s="973"/>
      <c r="T180" s="973"/>
      <c r="U180" s="544">
        <f>U169</f>
        <v>21589.333333333336</v>
      </c>
      <c r="V180" s="544">
        <f>V169+V170</f>
        <v>11362000.000000002</v>
      </c>
      <c r="W180" s="544">
        <f>W169+W170</f>
        <v>11248000.000000002</v>
      </c>
      <c r="X180" s="544">
        <f>X169+X170</f>
        <v>11112285.714285715</v>
      </c>
      <c r="Y180" s="361"/>
      <c r="Z180" s="364"/>
      <c r="AA180"/>
      <c r="AB180"/>
      <c r="AC180"/>
      <c r="AD180" s="109"/>
    </row>
    <row r="181" spans="17:30" ht="12.75" customHeight="1">
      <c r="Q181" s="668"/>
      <c r="R181" s="973" t="s">
        <v>308</v>
      </c>
      <c r="S181" s="973"/>
      <c r="T181" s="973"/>
      <c r="U181" s="544">
        <f>U174</f>
        <v>259072.00000000003</v>
      </c>
      <c r="V181" s="544">
        <f>V174+V175</f>
        <v>136344000.00000003</v>
      </c>
      <c r="W181" s="544">
        <f>W174+W175</f>
        <v>134976000.00000003</v>
      </c>
      <c r="X181" s="544">
        <f>X174+X175</f>
        <v>133347428.57142857</v>
      </c>
      <c r="Y181" s="361"/>
      <c r="Z181" s="364"/>
      <c r="AA181"/>
      <c r="AB181"/>
      <c r="AC181"/>
      <c r="AD181" s="109"/>
    </row>
    <row r="182" spans="17:30" ht="12.75" customHeight="1">
      <c r="Q182" s="668"/>
      <c r="R182" s="381"/>
      <c r="S182" s="381"/>
      <c r="T182" s="381"/>
      <c r="U182" s="381"/>
      <c r="V182" s="381"/>
      <c r="W182" s="381"/>
      <c r="X182" s="381"/>
      <c r="Y182" s="364"/>
      <c r="Z182" s="364"/>
      <c r="AA182"/>
      <c r="AB182"/>
      <c r="AC182"/>
      <c r="AD182" s="109"/>
    </row>
    <row r="183" spans="17:30" ht="12.75" customHeight="1">
      <c r="Q183" s="668"/>
      <c r="R183" s="901" t="s">
        <v>475</v>
      </c>
      <c r="S183" s="901"/>
      <c r="T183" s="901"/>
      <c r="U183" s="930" t="s">
        <v>500</v>
      </c>
      <c r="V183" s="928" t="s">
        <v>22</v>
      </c>
      <c r="W183" s="929" t="s">
        <v>579</v>
      </c>
      <c r="X183" s="927" t="s">
        <v>21</v>
      </c>
      <c r="Y183" s="361"/>
      <c r="Z183" s="364"/>
      <c r="AA183"/>
      <c r="AB183"/>
      <c r="AC183"/>
      <c r="AD183" s="109"/>
    </row>
    <row r="184" spans="17:30" ht="12.75" customHeight="1">
      <c r="Q184" s="668"/>
      <c r="R184" s="901"/>
      <c r="S184" s="901"/>
      <c r="T184" s="901"/>
      <c r="U184" s="930"/>
      <c r="V184" s="928"/>
      <c r="W184" s="929"/>
      <c r="X184" s="927"/>
      <c r="Y184" s="361"/>
      <c r="Z184" s="364"/>
      <c r="AA184"/>
      <c r="AB184"/>
      <c r="AC184"/>
      <c r="AD184" s="109"/>
    </row>
    <row r="185" spans="17:30" ht="12.75" customHeight="1">
      <c r="Q185" s="668"/>
      <c r="R185" s="973" t="s">
        <v>472</v>
      </c>
      <c r="S185" s="973"/>
      <c r="T185" s="973"/>
      <c r="U185" s="593">
        <f>$V$224*$U$148</f>
        <v>211.20000000000002</v>
      </c>
      <c r="V185" s="593">
        <f>($V$145*$V$146*$V$153*$V$152*$V$148)/$V$154</f>
        <v>17099.999999999996</v>
      </c>
      <c r="W185" s="593">
        <f>($W$145*$W$146*$W$153*$W$152*$W$148)/$W$154</f>
        <v>14869.565217391304</v>
      </c>
      <c r="X185" s="593">
        <f>($X$145*$X$146*$X$153*$X$152*$X$148)/$X$154</f>
        <v>12214.285714285714</v>
      </c>
      <c r="Y185" s="361"/>
      <c r="Z185" s="364"/>
      <c r="AA185"/>
      <c r="AB185"/>
      <c r="AC185"/>
      <c r="AD185" s="109"/>
    </row>
    <row r="186" spans="17:30" ht="12.75" customHeight="1">
      <c r="Q186" s="668"/>
      <c r="R186" s="973" t="s">
        <v>473</v>
      </c>
      <c r="S186" s="973"/>
      <c r="T186" s="973"/>
      <c r="U186" s="543"/>
      <c r="V186" s="593">
        <f>($V$145*$V$146*$V$159*$V$158*$V$148)/$V$160</f>
        <v>94050.000000000015</v>
      </c>
      <c r="W186" s="593">
        <f>($W$145*$W$146*$W$159*$W$158*$W$148)/$W$160</f>
        <v>95165.217391304366</v>
      </c>
      <c r="X186" s="593">
        <f>($X$145*$X$146*$X$159*$X$158*$X$148)/$X$160</f>
        <v>96492.857142857145</v>
      </c>
      <c r="Y186" s="361"/>
      <c r="Z186" s="364"/>
      <c r="AA186"/>
      <c r="AB186"/>
      <c r="AC186"/>
      <c r="AD186" s="109"/>
    </row>
    <row r="187" spans="17:30" ht="12.75" customHeight="1">
      <c r="Q187" s="668"/>
      <c r="R187" s="381"/>
      <c r="S187" s="381"/>
      <c r="T187" s="381"/>
      <c r="U187" s="381"/>
      <c r="V187" s="381"/>
      <c r="W187" s="381"/>
      <c r="X187" s="381"/>
      <c r="Y187" s="552"/>
      <c r="Z187" s="364"/>
      <c r="AA187"/>
      <c r="AB187"/>
      <c r="AC187"/>
      <c r="AD187" s="109"/>
    </row>
    <row r="188" spans="17:30" ht="12.75" customHeight="1">
      <c r="Q188" s="668"/>
      <c r="R188" s="901" t="s">
        <v>476</v>
      </c>
      <c r="S188" s="901"/>
      <c r="T188" s="901"/>
      <c r="U188" s="930" t="s">
        <v>500</v>
      </c>
      <c r="V188" s="928" t="s">
        <v>22</v>
      </c>
      <c r="W188" s="929" t="s">
        <v>579</v>
      </c>
      <c r="X188" s="927" t="s">
        <v>21</v>
      </c>
      <c r="Y188" s="361"/>
      <c r="Z188" s="364"/>
      <c r="AA188"/>
      <c r="AB188"/>
      <c r="AC188"/>
      <c r="AD188" s="109"/>
    </row>
    <row r="189" spans="17:30" ht="12.75" customHeight="1">
      <c r="Q189" s="668"/>
      <c r="R189" s="901"/>
      <c r="S189" s="901"/>
      <c r="T189" s="901"/>
      <c r="U189" s="930"/>
      <c r="V189" s="928"/>
      <c r="W189" s="929"/>
      <c r="X189" s="927"/>
      <c r="Y189" s="361"/>
      <c r="Z189" s="364"/>
      <c r="AA189"/>
      <c r="AB189"/>
      <c r="AC189"/>
      <c r="AD189" s="109"/>
    </row>
    <row r="190" spans="17:30" ht="12.75" customHeight="1">
      <c r="Q190" s="668"/>
      <c r="R190" s="973" t="s">
        <v>472</v>
      </c>
      <c r="S190" s="973"/>
      <c r="T190" s="973"/>
      <c r="U190" s="593">
        <f>U185*$V$11</f>
        <v>4857.6000000000004</v>
      </c>
      <c r="V190" s="593">
        <f>V185*$V$11</f>
        <v>393299.99999999994</v>
      </c>
      <c r="W190" s="593">
        <f>W185*$V$11</f>
        <v>342000</v>
      </c>
      <c r="X190" s="593">
        <f>X185*$V$11</f>
        <v>280928.57142857142</v>
      </c>
      <c r="Y190" s="361"/>
      <c r="Z190" s="364"/>
      <c r="AA190"/>
      <c r="AB190"/>
      <c r="AC190"/>
      <c r="AD190" s="109"/>
    </row>
    <row r="191" spans="17:30" ht="12.75" customHeight="1">
      <c r="Q191" s="668"/>
      <c r="R191" s="973" t="s">
        <v>473</v>
      </c>
      <c r="S191" s="973"/>
      <c r="T191" s="973"/>
      <c r="U191" s="543"/>
      <c r="V191" s="593">
        <f>V186*$V$11</f>
        <v>2163150.0000000005</v>
      </c>
      <c r="W191" s="593">
        <f>W186*$V$11</f>
        <v>2188800.0000000005</v>
      </c>
      <c r="X191" s="593">
        <f>X186*$V$11</f>
        <v>2219335.7142857146</v>
      </c>
      <c r="Y191" s="361"/>
      <c r="Z191" s="364"/>
      <c r="AA191"/>
      <c r="AB191"/>
      <c r="AC191"/>
      <c r="AD191" s="109"/>
    </row>
    <row r="192" spans="17:30" ht="12.75" customHeight="1">
      <c r="Q192" s="668"/>
      <c r="R192" s="367"/>
      <c r="S192" s="367"/>
      <c r="T192" s="367"/>
      <c r="U192" s="367"/>
      <c r="V192" s="367"/>
      <c r="W192" s="367"/>
      <c r="X192" s="367"/>
      <c r="Y192" s="364"/>
      <c r="Z192" s="364"/>
      <c r="AA192"/>
      <c r="AB192"/>
      <c r="AC192"/>
      <c r="AD192" s="109"/>
    </row>
    <row r="193" spans="17:30" ht="12.75" customHeight="1">
      <c r="Q193" s="668"/>
      <c r="R193" s="901" t="s">
        <v>477</v>
      </c>
      <c r="S193" s="901"/>
      <c r="T193" s="901"/>
      <c r="U193" s="930" t="s">
        <v>500</v>
      </c>
      <c r="V193" s="928" t="s">
        <v>22</v>
      </c>
      <c r="W193" s="929" t="s">
        <v>579</v>
      </c>
      <c r="X193" s="927" t="s">
        <v>21</v>
      </c>
      <c r="Y193" s="361"/>
      <c r="Z193" s="364"/>
      <c r="AA193"/>
      <c r="AB193"/>
      <c r="AC193"/>
      <c r="AD193" s="109"/>
    </row>
    <row r="194" spans="17:30" ht="12.75" customHeight="1">
      <c r="Q194" s="668"/>
      <c r="R194" s="901"/>
      <c r="S194" s="901"/>
      <c r="T194" s="901"/>
      <c r="U194" s="930"/>
      <c r="V194" s="928"/>
      <c r="W194" s="929"/>
      <c r="X194" s="927"/>
      <c r="Y194" s="361"/>
      <c r="Z194" s="364"/>
      <c r="AA194"/>
      <c r="AB194"/>
      <c r="AC194"/>
      <c r="AD194" s="100"/>
    </row>
    <row r="195" spans="17:30" ht="12.75" customHeight="1">
      <c r="Q195" s="668"/>
      <c r="R195" s="973" t="s">
        <v>472</v>
      </c>
      <c r="S195" s="973"/>
      <c r="T195" s="973"/>
      <c r="U195" s="593">
        <f>U190*12</f>
        <v>58291.200000000004</v>
      </c>
      <c r="V195" s="593">
        <f>V190*12</f>
        <v>4719599.9999999991</v>
      </c>
      <c r="W195" s="593">
        <f>W190*12</f>
        <v>4104000</v>
      </c>
      <c r="X195" s="593">
        <f>X190*12</f>
        <v>3371142.8571428573</v>
      </c>
      <c r="Y195" s="361"/>
      <c r="Z195" s="364"/>
      <c r="AA195"/>
      <c r="AB195"/>
      <c r="AC195"/>
      <c r="AD195" s="100"/>
    </row>
    <row r="196" spans="17:30" ht="12.75" customHeight="1">
      <c r="Q196" s="668"/>
      <c r="R196" s="973" t="s">
        <v>473</v>
      </c>
      <c r="S196" s="973"/>
      <c r="T196" s="973"/>
      <c r="U196" s="543"/>
      <c r="V196" s="593">
        <f>V191*12</f>
        <v>25957800.000000007</v>
      </c>
      <c r="W196" s="593">
        <f>W191*12</f>
        <v>26265600.000000007</v>
      </c>
      <c r="X196" s="593">
        <f>X191*12</f>
        <v>26632028.571428575</v>
      </c>
      <c r="Y196" s="361"/>
      <c r="Z196" s="364"/>
      <c r="AA196"/>
      <c r="AB196"/>
      <c r="AC196"/>
      <c r="AD196" s="100"/>
    </row>
    <row r="197" spans="17:30" ht="12.75" customHeight="1">
      <c r="Q197" s="668"/>
      <c r="R197" s="367"/>
      <c r="S197" s="367"/>
      <c r="T197" s="367"/>
      <c r="U197" s="367"/>
      <c r="V197" s="367"/>
      <c r="W197" s="367"/>
      <c r="X197" s="367"/>
      <c r="Y197" s="364"/>
      <c r="Z197" s="364"/>
      <c r="AA197"/>
      <c r="AB197"/>
      <c r="AC197"/>
      <c r="AD197" s="100"/>
    </row>
    <row r="198" spans="17:30" ht="12.75" customHeight="1">
      <c r="Q198" s="668"/>
      <c r="R198" s="901" t="s">
        <v>116</v>
      </c>
      <c r="S198" s="901"/>
      <c r="T198" s="901"/>
      <c r="U198" s="949" t="s">
        <v>500</v>
      </c>
      <c r="V198" s="938" t="s">
        <v>22</v>
      </c>
      <c r="W198" s="940" t="s">
        <v>579</v>
      </c>
      <c r="X198" s="942" t="s">
        <v>21</v>
      </c>
      <c r="Y198" s="361"/>
      <c r="Z198" s="364"/>
      <c r="AA198"/>
      <c r="AB198"/>
      <c r="AC198"/>
      <c r="AD198" s="100"/>
    </row>
    <row r="199" spans="17:30" ht="12.75" customHeight="1">
      <c r="Q199" s="668"/>
      <c r="R199" s="901"/>
      <c r="S199" s="901"/>
      <c r="T199" s="901"/>
      <c r="U199" s="950"/>
      <c r="V199" s="939"/>
      <c r="W199" s="941"/>
      <c r="X199" s="943"/>
      <c r="Y199" s="361"/>
      <c r="Z199" s="364"/>
      <c r="AA199"/>
      <c r="AB199"/>
      <c r="AC199"/>
      <c r="AD199" s="100"/>
    </row>
    <row r="200" spans="17:30" ht="12.75" customHeight="1">
      <c r="Q200" s="668"/>
      <c r="R200" s="970" t="s">
        <v>459</v>
      </c>
      <c r="S200" s="971"/>
      <c r="T200" s="972"/>
      <c r="U200" s="593">
        <f>U185</f>
        <v>211.20000000000002</v>
      </c>
      <c r="V200" s="593">
        <f>V185+V186</f>
        <v>111150.00000000001</v>
      </c>
      <c r="W200" s="593">
        <f>W185+W186</f>
        <v>110034.78260869568</v>
      </c>
      <c r="X200" s="593">
        <f>X185+X186</f>
        <v>108707.14285714286</v>
      </c>
      <c r="Y200" s="361"/>
      <c r="Z200" s="364"/>
      <c r="AA200"/>
      <c r="AB200"/>
      <c r="AC200"/>
      <c r="AD200" s="100"/>
    </row>
    <row r="201" spans="17:30" ht="12.75" customHeight="1">
      <c r="Q201" s="668"/>
      <c r="R201" s="973" t="s">
        <v>307</v>
      </c>
      <c r="S201" s="973"/>
      <c r="T201" s="973"/>
      <c r="U201" s="593">
        <f>U190</f>
        <v>4857.6000000000004</v>
      </c>
      <c r="V201" s="593">
        <f>V190+V191</f>
        <v>2556450.0000000005</v>
      </c>
      <c r="W201" s="593">
        <f>W190+W191</f>
        <v>2530800.0000000005</v>
      </c>
      <c r="X201" s="593">
        <f>X190+X191</f>
        <v>2500264.2857142859</v>
      </c>
      <c r="Y201" s="361"/>
      <c r="Z201" s="364"/>
      <c r="AA201"/>
      <c r="AB201"/>
      <c r="AC201"/>
      <c r="AD201" s="100"/>
    </row>
    <row r="202" spans="17:30" ht="12.75" customHeight="1">
      <c r="Q202" s="668"/>
      <c r="R202" s="973" t="s">
        <v>308</v>
      </c>
      <c r="S202" s="973"/>
      <c r="T202" s="973"/>
      <c r="U202" s="593">
        <f>U195</f>
        <v>58291.200000000004</v>
      </c>
      <c r="V202" s="593">
        <f>V195+V196</f>
        <v>30677400.000000007</v>
      </c>
      <c r="W202" s="593">
        <f>W195+W196</f>
        <v>30369600.000000007</v>
      </c>
      <c r="X202" s="593">
        <f>X195+X196</f>
        <v>30003171.428571433</v>
      </c>
      <c r="Y202" s="361"/>
      <c r="Z202" s="364"/>
      <c r="AA202"/>
      <c r="AB202"/>
      <c r="AC202"/>
      <c r="AD202" s="100"/>
    </row>
    <row r="203" spans="17:30" ht="12.75" customHeight="1">
      <c r="Q203" s="668"/>
      <c r="R203" s="575"/>
      <c r="S203" s="575"/>
      <c r="T203" s="575"/>
      <c r="U203" s="382"/>
      <c r="V203" s="382"/>
      <c r="W203" s="382"/>
      <c r="X203" s="382"/>
      <c r="Y203" s="364"/>
      <c r="Z203" s="364"/>
      <c r="AA203"/>
      <c r="AB203"/>
      <c r="AC203"/>
      <c r="AD203" s="100"/>
    </row>
    <row r="204" spans="17:30" ht="12.75" customHeight="1">
      <c r="Q204" s="668"/>
      <c r="R204" s="974" t="s">
        <v>775</v>
      </c>
      <c r="S204" s="974"/>
      <c r="T204" s="974"/>
      <c r="U204" s="974"/>
      <c r="V204" s="974"/>
      <c r="W204" s="974"/>
      <c r="X204" s="974"/>
      <c r="Y204" s="974"/>
      <c r="Z204" s="364"/>
      <c r="AA204"/>
      <c r="AB204"/>
      <c r="AC204"/>
      <c r="AD204" s="100"/>
    </row>
    <row r="205" spans="17:30" ht="12.75" customHeight="1">
      <c r="Q205" s="668"/>
      <c r="R205" s="974"/>
      <c r="S205" s="974"/>
      <c r="T205" s="974"/>
      <c r="U205" s="974"/>
      <c r="V205" s="974"/>
      <c r="W205" s="974"/>
      <c r="X205" s="974"/>
      <c r="Y205" s="974"/>
      <c r="Z205" s="576"/>
      <c r="AA205"/>
      <c r="AB205"/>
      <c r="AC205"/>
      <c r="AD205" s="100"/>
    </row>
    <row r="206" spans="17:30" ht="12.75" customHeight="1">
      <c r="Q206" s="668"/>
      <c r="R206" s="974"/>
      <c r="S206" s="974"/>
      <c r="T206" s="974"/>
      <c r="U206" s="974"/>
      <c r="V206" s="974"/>
      <c r="W206" s="974"/>
      <c r="X206" s="974"/>
      <c r="Y206" s="974"/>
      <c r="Z206" s="576"/>
      <c r="AA206"/>
      <c r="AB206"/>
      <c r="AC206"/>
      <c r="AD206" s="100"/>
    </row>
    <row r="207" spans="17:30" ht="12.75" customHeight="1">
      <c r="Q207" s="668"/>
      <c r="R207" s="974"/>
      <c r="S207" s="974"/>
      <c r="T207" s="974"/>
      <c r="U207" s="974"/>
      <c r="V207" s="974"/>
      <c r="W207" s="974"/>
      <c r="X207" s="974"/>
      <c r="Y207" s="974"/>
      <c r="Z207" s="576"/>
      <c r="AA207"/>
      <c r="AB207"/>
      <c r="AC207"/>
      <c r="AD207" s="100"/>
    </row>
    <row r="208" spans="17:30" ht="12.75" customHeight="1">
      <c r="Q208" s="668"/>
      <c r="R208" s="974"/>
      <c r="S208" s="974"/>
      <c r="T208" s="974"/>
      <c r="U208" s="974"/>
      <c r="V208" s="974"/>
      <c r="W208" s="974"/>
      <c r="X208" s="974"/>
      <c r="Y208" s="974"/>
      <c r="Z208" s="576"/>
      <c r="AA208"/>
      <c r="AB208"/>
      <c r="AC208"/>
      <c r="AD208" s="100"/>
    </row>
    <row r="209" spans="17:30" ht="12.75" customHeight="1">
      <c r="Q209" s="668"/>
      <c r="R209" s="364"/>
      <c r="S209" s="375"/>
      <c r="T209" s="375"/>
      <c r="U209" s="577"/>
      <c r="V209" s="577"/>
      <c r="W209" s="577"/>
      <c r="X209" s="577"/>
      <c r="Y209" s="551"/>
      <c r="Z209" s="363"/>
      <c r="AA209"/>
      <c r="AB209"/>
      <c r="AC209"/>
      <c r="AD209" s="100"/>
    </row>
    <row r="210" spans="17:30" ht="12.75" customHeight="1">
      <c r="Q210" s="668"/>
      <c r="R210" s="975" t="s">
        <v>667</v>
      </c>
      <c r="S210" s="976"/>
      <c r="T210" s="976"/>
      <c r="U210" s="976"/>
      <c r="V210" s="976"/>
      <c r="W210" s="976"/>
      <c r="X210" s="979">
        <f>10*V25</f>
        <v>76800</v>
      </c>
      <c r="Y210" s="935" t="s">
        <v>668</v>
      </c>
      <c r="Z210" s="364"/>
      <c r="AA210"/>
      <c r="AB210"/>
      <c r="AC210"/>
      <c r="AD210" s="100"/>
    </row>
    <row r="211" spans="17:30" ht="12.75" customHeight="1">
      <c r="Q211" s="668"/>
      <c r="R211" s="977"/>
      <c r="S211" s="978"/>
      <c r="T211" s="978"/>
      <c r="U211" s="978"/>
      <c r="V211" s="978"/>
      <c r="W211" s="978"/>
      <c r="X211" s="979"/>
      <c r="Y211" s="935"/>
      <c r="Z211" s="364"/>
      <c r="AA211"/>
      <c r="AB211"/>
      <c r="AC211"/>
      <c r="AD211" s="109"/>
    </row>
    <row r="212" spans="17:30" ht="12.75" customHeight="1">
      <c r="Q212" s="668"/>
      <c r="R212" s="578"/>
      <c r="S212" s="578"/>
      <c r="T212" s="578"/>
      <c r="U212" s="578"/>
      <c r="V212" s="578"/>
      <c r="W212" s="578"/>
      <c r="X212" s="578"/>
      <c r="Y212" s="579"/>
      <c r="Z212" s="551"/>
      <c r="AA212"/>
      <c r="AB212"/>
      <c r="AC212"/>
      <c r="AD212" s="93"/>
    </row>
    <row r="213" spans="17:30" ht="12.75" customHeight="1">
      <c r="Q213" s="668"/>
      <c r="R213" s="937" t="s">
        <v>678</v>
      </c>
      <c r="S213" s="937"/>
      <c r="T213" s="937"/>
      <c r="U213" s="937"/>
      <c r="V213" s="949" t="s">
        <v>500</v>
      </c>
      <c r="W213" s="938" t="s">
        <v>22</v>
      </c>
      <c r="X213" s="940" t="s">
        <v>579</v>
      </c>
      <c r="Y213" s="942" t="s">
        <v>21</v>
      </c>
      <c r="Z213" s="361"/>
      <c r="AA213"/>
      <c r="AB213"/>
      <c r="AC213"/>
      <c r="AD213" s="93"/>
    </row>
    <row r="214" spans="17:30" ht="12.75" customHeight="1">
      <c r="Q214" s="668"/>
      <c r="R214" s="937"/>
      <c r="S214" s="937"/>
      <c r="T214" s="937"/>
      <c r="U214" s="937"/>
      <c r="V214" s="950"/>
      <c r="W214" s="939"/>
      <c r="X214" s="941"/>
      <c r="Y214" s="943"/>
      <c r="Z214" s="361"/>
      <c r="AA214"/>
      <c r="AB214"/>
      <c r="AC214"/>
      <c r="AD214" s="70"/>
    </row>
    <row r="215" spans="17:30" ht="12.75" customHeight="1">
      <c r="Q215" s="668"/>
      <c r="R215" s="968" t="s">
        <v>533</v>
      </c>
      <c r="S215" s="968"/>
      <c r="T215" s="968"/>
      <c r="U215" s="968"/>
      <c r="V215" s="580">
        <v>0.107</v>
      </c>
      <c r="W215" s="581">
        <f>VLOOKUP($V$5,'Lookup Energy kWhm'!$B$8:$E$208,3)</f>
        <v>0.13</v>
      </c>
      <c r="X215" s="581">
        <f>VLOOKUP($V$5,'Lookup Energy kWhm'!$B$8:$E$208,4)</f>
        <v>0.14799999999999999</v>
      </c>
      <c r="Y215" s="581">
        <f>VLOOKUP($V$5,'Lookup Energy kWhm'!$B$8:$E$208,2)</f>
        <v>0.1</v>
      </c>
      <c r="Z215" s="361"/>
      <c r="AA215"/>
      <c r="AB215"/>
      <c r="AC215"/>
      <c r="AD215" s="70"/>
    </row>
    <row r="216" spans="17:30" ht="12.75" customHeight="1">
      <c r="Q216" s="668"/>
      <c r="R216" s="969" t="s">
        <v>31</v>
      </c>
      <c r="S216" s="969"/>
      <c r="T216" s="969"/>
      <c r="U216" s="969"/>
      <c r="V216" s="556">
        <f t="shared" ref="V216:W219" si="2">X216</f>
        <v>1.2</v>
      </c>
      <c r="W216" s="556">
        <f t="shared" si="2"/>
        <v>1.2</v>
      </c>
      <c r="X216" s="556">
        <f>W216</f>
        <v>1.2</v>
      </c>
      <c r="Y216" s="556">
        <f>V20</f>
        <v>1.2</v>
      </c>
      <c r="Z216" s="361"/>
      <c r="AA216"/>
      <c r="AB216"/>
      <c r="AC216"/>
      <c r="AD216" s="70"/>
    </row>
    <row r="217" spans="17:30" ht="12.75" customHeight="1">
      <c r="Q217" s="668"/>
      <c r="R217" s="969" t="s">
        <v>314</v>
      </c>
      <c r="S217" s="969"/>
      <c r="T217" s="969"/>
      <c r="U217" s="969"/>
      <c r="V217" s="556">
        <f t="shared" si="2"/>
        <v>160</v>
      </c>
      <c r="W217" s="556">
        <f t="shared" si="2"/>
        <v>160</v>
      </c>
      <c r="X217" s="556">
        <f>W217</f>
        <v>160</v>
      </c>
      <c r="Y217" s="556">
        <f>V19</f>
        <v>160</v>
      </c>
      <c r="Z217" s="361"/>
      <c r="AA217"/>
      <c r="AB217"/>
      <c r="AC217"/>
      <c r="AD217" s="109"/>
    </row>
    <row r="218" spans="17:30" ht="12.75" customHeight="1">
      <c r="Q218" s="668"/>
      <c r="R218" s="969" t="s">
        <v>20</v>
      </c>
      <c r="S218" s="969"/>
      <c r="T218" s="969"/>
      <c r="U218" s="969"/>
      <c r="V218" s="556">
        <f t="shared" si="2"/>
        <v>40</v>
      </c>
      <c r="W218" s="556">
        <f t="shared" si="2"/>
        <v>40</v>
      </c>
      <c r="X218" s="556">
        <f>W218</f>
        <v>40</v>
      </c>
      <c r="Y218" s="556">
        <f>V22</f>
        <v>40</v>
      </c>
      <c r="Z218" s="361"/>
      <c r="AA218"/>
      <c r="AB218"/>
      <c r="AC218"/>
      <c r="AD218" s="93"/>
    </row>
    <row r="219" spans="17:30" ht="12.75" customHeight="1">
      <c r="Q219" s="668"/>
      <c r="R219" s="969" t="s">
        <v>310</v>
      </c>
      <c r="S219" s="969"/>
      <c r="T219" s="969"/>
      <c r="U219" s="969"/>
      <c r="V219" s="556">
        <f t="shared" si="2"/>
        <v>160</v>
      </c>
      <c r="W219" s="556">
        <f t="shared" si="2"/>
        <v>160</v>
      </c>
      <c r="X219" s="556">
        <f>W219</f>
        <v>160</v>
      </c>
      <c r="Y219" s="556">
        <f>V23</f>
        <v>160</v>
      </c>
      <c r="Z219" s="361"/>
      <c r="AA219"/>
      <c r="AB219"/>
      <c r="AC219"/>
      <c r="AD219" s="93"/>
    </row>
    <row r="220" spans="17:30" ht="12.75" customHeight="1">
      <c r="Q220" s="668"/>
      <c r="R220" s="968" t="s">
        <v>543</v>
      </c>
      <c r="S220" s="968"/>
      <c r="T220" s="968"/>
      <c r="U220" s="968"/>
      <c r="V220" s="582">
        <f>V215*V216*V217*V218</f>
        <v>821.75999999999988</v>
      </c>
      <c r="W220" s="582">
        <f>W215*W216*W217*W218</f>
        <v>998.40000000000009</v>
      </c>
      <c r="X220" s="582">
        <f>X215*X216*X217*X218</f>
        <v>1136.6399999999999</v>
      </c>
      <c r="Y220" s="582">
        <f>Y215*Y216*Y217*Y218</f>
        <v>768</v>
      </c>
      <c r="Z220" s="361"/>
      <c r="AA220"/>
      <c r="AB220"/>
      <c r="AC220"/>
      <c r="AD220" s="70"/>
    </row>
    <row r="221" spans="17:30" ht="12.75" customHeight="1">
      <c r="Q221" s="668"/>
      <c r="R221" s="968" t="s">
        <v>542</v>
      </c>
      <c r="S221" s="968"/>
      <c r="T221" s="968"/>
      <c r="U221" s="968"/>
      <c r="V221" s="583">
        <f>V220/V219</f>
        <v>5.1359999999999992</v>
      </c>
      <c r="W221" s="583">
        <f>W220/W219</f>
        <v>6.24</v>
      </c>
      <c r="X221" s="583">
        <f>X220/X219</f>
        <v>7.1039999999999992</v>
      </c>
      <c r="Y221" s="583">
        <f>Y220/Y219</f>
        <v>4.8</v>
      </c>
      <c r="Z221" s="361"/>
      <c r="AA221"/>
      <c r="AB221"/>
      <c r="AC221"/>
      <c r="AD221" s="70"/>
    </row>
    <row r="222" spans="17:30" ht="12.75" customHeight="1">
      <c r="Q222" s="668"/>
      <c r="R222" s="968" t="s">
        <v>538</v>
      </c>
      <c r="S222" s="968"/>
      <c r="T222" s="968"/>
      <c r="U222" s="968"/>
      <c r="V222" s="537">
        <f>U62</f>
        <v>2.6666666666666665</v>
      </c>
      <c r="W222" s="537">
        <f>V62</f>
        <v>1.9999999999999996</v>
      </c>
      <c r="X222" s="537">
        <f>W62</f>
        <v>1.7391304347826084</v>
      </c>
      <c r="Y222" s="537">
        <f>X62</f>
        <v>1.4285714285714284</v>
      </c>
      <c r="Z222" s="361"/>
      <c r="AA222"/>
      <c r="AB222"/>
      <c r="AC222"/>
      <c r="AD222" s="70"/>
    </row>
    <row r="223" spans="17:30" ht="12.75" customHeight="1">
      <c r="Q223" s="668"/>
      <c r="R223" s="968" t="s">
        <v>546</v>
      </c>
      <c r="S223" s="968"/>
      <c r="T223" s="968"/>
      <c r="U223" s="968"/>
      <c r="V223" s="584">
        <f>2.2*V222</f>
        <v>5.8666666666666671</v>
      </c>
      <c r="W223" s="584">
        <f>W222/W215</f>
        <v>15.384615384615381</v>
      </c>
      <c r="X223" s="584">
        <f>X222/X215</f>
        <v>11.750881316098706</v>
      </c>
      <c r="Y223" s="584">
        <f>Y222/Y215</f>
        <v>14.285714285714283</v>
      </c>
      <c r="Z223" s="361"/>
      <c r="AA223"/>
      <c r="AB223"/>
      <c r="AC223"/>
      <c r="AD223" s="109"/>
    </row>
    <row r="224" spans="17:30" ht="12.75" customHeight="1">
      <c r="Q224" s="668"/>
      <c r="R224" s="968" t="s">
        <v>544</v>
      </c>
      <c r="S224" s="968"/>
      <c r="T224" s="968"/>
      <c r="U224" s="968"/>
      <c r="V224" s="582">
        <f>V219*V223</f>
        <v>938.66666666666674</v>
      </c>
      <c r="W224" s="582">
        <f>W219*W223</f>
        <v>2461.538461538461</v>
      </c>
      <c r="X224" s="582">
        <f>X219*X223</f>
        <v>1880.141010575793</v>
      </c>
      <c r="Y224" s="674">
        <f>Y219*Y223</f>
        <v>2285.7142857142853</v>
      </c>
      <c r="Z224" s="361"/>
      <c r="AA224"/>
      <c r="AB224"/>
      <c r="AC224"/>
      <c r="AD224" s="93"/>
    </row>
    <row r="225" spans="17:30" ht="12.75" customHeight="1">
      <c r="Q225" s="668"/>
      <c r="R225" s="969" t="s">
        <v>535</v>
      </c>
      <c r="S225" s="969"/>
      <c r="T225" s="969"/>
      <c r="U225" s="969"/>
      <c r="V225" s="556">
        <f>V217/V222</f>
        <v>60</v>
      </c>
      <c r="W225" s="556">
        <f>W217/W222</f>
        <v>80.000000000000014</v>
      </c>
      <c r="X225" s="556">
        <f>X217/X222</f>
        <v>92.000000000000014</v>
      </c>
      <c r="Y225" s="556">
        <f>Y217/Y222</f>
        <v>112.00000000000001</v>
      </c>
      <c r="Z225" s="361"/>
      <c r="AA225"/>
      <c r="AB225"/>
      <c r="AC225"/>
      <c r="AD225" s="93"/>
    </row>
    <row r="226" spans="17:30" ht="12.75" customHeight="1">
      <c r="Q226" s="668"/>
      <c r="R226" s="969" t="s">
        <v>536</v>
      </c>
      <c r="S226" s="969"/>
      <c r="T226" s="969"/>
      <c r="U226" s="969"/>
      <c r="V226" s="675">
        <f>V216*V225</f>
        <v>72</v>
      </c>
      <c r="W226" s="675">
        <f>W216*W225</f>
        <v>96.000000000000014</v>
      </c>
      <c r="X226" s="675">
        <f>X216*X225</f>
        <v>110.40000000000002</v>
      </c>
      <c r="Y226" s="675">
        <f>Y216*Y225</f>
        <v>134.4</v>
      </c>
      <c r="Z226" s="361"/>
      <c r="AA226"/>
      <c r="AB226"/>
      <c r="AC226"/>
      <c r="AD226" s="70"/>
    </row>
    <row r="227" spans="17:30" ht="12.75" customHeight="1">
      <c r="Q227" s="668"/>
      <c r="R227" s="968" t="s">
        <v>534</v>
      </c>
      <c r="S227" s="968"/>
      <c r="T227" s="968"/>
      <c r="U227" s="968"/>
      <c r="V227" s="583">
        <f>U56</f>
        <v>4</v>
      </c>
      <c r="W227" s="583">
        <f>V56</f>
        <v>2.9999999999999996</v>
      </c>
      <c r="X227" s="583">
        <f>W56</f>
        <v>2.6086956521739126</v>
      </c>
      <c r="Y227" s="583">
        <f>X56</f>
        <v>2.1428571428571428</v>
      </c>
      <c r="Z227" s="361"/>
      <c r="AA227"/>
      <c r="AB227"/>
      <c r="AC227"/>
      <c r="AD227" s="70"/>
    </row>
    <row r="228" spans="17:30" ht="12.75" customHeight="1">
      <c r="Q228" s="668"/>
      <c r="R228" s="968" t="s">
        <v>537</v>
      </c>
      <c r="S228" s="968"/>
      <c r="T228" s="968"/>
      <c r="U228" s="968"/>
      <c r="V228" s="584">
        <f>V225*V227</f>
        <v>240</v>
      </c>
      <c r="W228" s="584">
        <f>W225*W227</f>
        <v>240</v>
      </c>
      <c r="X228" s="584">
        <f>X225*X227</f>
        <v>240</v>
      </c>
      <c r="Y228" s="584">
        <f>Y225*Y227</f>
        <v>240.00000000000003</v>
      </c>
      <c r="Z228" s="361"/>
      <c r="AA228"/>
      <c r="AB228"/>
      <c r="AC228"/>
      <c r="AD228" s="70"/>
    </row>
    <row r="229" spans="17:30" ht="12.75" customHeight="1">
      <c r="Q229" s="668"/>
      <c r="R229" s="968" t="s">
        <v>545</v>
      </c>
      <c r="S229" s="968"/>
      <c r="T229" s="968"/>
      <c r="U229" s="968"/>
      <c r="V229" s="585">
        <f>V221/V223</f>
        <v>0.87545454545454526</v>
      </c>
      <c r="W229" s="585">
        <f>W221/W223</f>
        <v>0.40560000000000007</v>
      </c>
      <c r="X229" s="585">
        <f>X221/X223</f>
        <v>0.60455040000000004</v>
      </c>
      <c r="Y229" s="585">
        <f>Y221/Y223</f>
        <v>0.33600000000000008</v>
      </c>
      <c r="Z229" s="361"/>
      <c r="AA229"/>
      <c r="AB229"/>
      <c r="AC229"/>
      <c r="AD229" s="109"/>
    </row>
    <row r="230" spans="17:30" ht="12.75" customHeight="1">
      <c r="Q230" s="668"/>
      <c r="R230" s="540" t="s">
        <v>547</v>
      </c>
      <c r="S230" s="540"/>
      <c r="T230" s="540"/>
      <c r="U230" s="540"/>
      <c r="V230" s="585"/>
      <c r="W230" s="586">
        <f>10*W217*W216*W218</f>
        <v>76800</v>
      </c>
      <c r="X230" s="586">
        <f>10*X217*X216*X218</f>
        <v>76800</v>
      </c>
      <c r="Y230" s="586">
        <f>10*Y217*Y216*Y218</f>
        <v>76800</v>
      </c>
      <c r="Z230" s="361"/>
      <c r="AA230"/>
      <c r="AB230"/>
      <c r="AC230"/>
      <c r="AD230" s="109"/>
    </row>
    <row r="231" spans="17:30" ht="12.75" customHeight="1">
      <c r="Q231" s="668"/>
      <c r="R231" s="968" t="s">
        <v>548</v>
      </c>
      <c r="S231" s="968"/>
      <c r="T231" s="968"/>
      <c r="U231" s="968"/>
      <c r="V231" s="585">
        <f>V229</f>
        <v>0.87545454545454526</v>
      </c>
      <c r="W231" s="585">
        <f>W220/W230</f>
        <v>1.3000000000000001E-2</v>
      </c>
      <c r="X231" s="585">
        <f>X220/X230</f>
        <v>1.4799999999999999E-2</v>
      </c>
      <c r="Y231" s="585">
        <f>Y220/Y230</f>
        <v>0.01</v>
      </c>
      <c r="Z231" s="361"/>
      <c r="AA231"/>
      <c r="AB231"/>
      <c r="AC231"/>
      <c r="AD231" s="93"/>
    </row>
    <row r="232" spans="17:30" ht="12.75" customHeight="1">
      <c r="Q232" s="668"/>
      <c r="R232" s="587"/>
      <c r="S232" s="587"/>
      <c r="T232" s="587"/>
      <c r="U232" s="587"/>
      <c r="V232" s="588"/>
      <c r="W232" s="588"/>
      <c r="X232" s="588"/>
      <c r="Y232" s="588"/>
      <c r="Z232" s="589"/>
      <c r="AA232"/>
      <c r="AB232"/>
      <c r="AC232"/>
      <c r="AD232" s="93"/>
    </row>
    <row r="233" spans="17:30" ht="12.75" customHeight="1">
      <c r="Q233" s="668"/>
      <c r="R233" s="587"/>
      <c r="S233" s="587"/>
      <c r="T233" s="587"/>
      <c r="U233" s="587"/>
      <c r="V233" s="676"/>
      <c r="W233" s="676"/>
      <c r="X233" s="676"/>
      <c r="Y233" s="588"/>
      <c r="Z233" s="364"/>
      <c r="AA233"/>
      <c r="AB233"/>
      <c r="AC233"/>
      <c r="AD233" s="82"/>
    </row>
    <row r="234" spans="17:30" ht="12.75" customHeight="1">
      <c r="Q234" s="668" t="s">
        <v>240</v>
      </c>
      <c r="R234" s="364" t="s">
        <v>241</v>
      </c>
      <c r="S234" s="364"/>
      <c r="T234" s="364"/>
      <c r="U234" s="364"/>
      <c r="V234" s="364"/>
      <c r="W234" s="364"/>
      <c r="X234" s="364"/>
      <c r="Y234" s="364"/>
      <c r="Z234" s="364"/>
      <c r="AA234"/>
      <c r="AB234"/>
      <c r="AC234"/>
      <c r="AD234" s="102"/>
    </row>
    <row r="235" spans="17:30" ht="12.75" customHeight="1">
      <c r="Q235" s="364"/>
      <c r="R235" s="962" t="s">
        <v>301</v>
      </c>
      <c r="S235" s="963"/>
      <c r="T235" s="964"/>
      <c r="U235" s="949" t="s">
        <v>500</v>
      </c>
      <c r="V235" s="938" t="s">
        <v>22</v>
      </c>
      <c r="W235" s="940" t="s">
        <v>579</v>
      </c>
      <c r="X235" s="942" t="s">
        <v>21</v>
      </c>
      <c r="Y235" s="361"/>
      <c r="Z235" s="364"/>
      <c r="AA235"/>
      <c r="AB235"/>
      <c r="AC235"/>
      <c r="AD235" s="101"/>
    </row>
    <row r="236" spans="17:30" ht="12.75" customHeight="1">
      <c r="Q236" s="364"/>
      <c r="R236" s="965"/>
      <c r="S236" s="966"/>
      <c r="T236" s="967"/>
      <c r="U236" s="950"/>
      <c r="V236" s="939"/>
      <c r="W236" s="941"/>
      <c r="X236" s="943"/>
      <c r="Y236" s="361"/>
      <c r="Z236" s="364"/>
      <c r="AA236"/>
      <c r="AB236"/>
      <c r="AC236"/>
      <c r="AD236" s="109"/>
    </row>
    <row r="237" spans="17:30" ht="12.75" customHeight="1">
      <c r="Q237" s="364"/>
      <c r="R237" s="931" t="s">
        <v>662</v>
      </c>
      <c r="S237" s="931"/>
      <c r="T237" s="931"/>
      <c r="U237" s="901" t="s">
        <v>427</v>
      </c>
      <c r="V237" s="562">
        <f>VLOOKUP($V$5,'Lookup Air Consumption'!$B$8:$E$208,3)</f>
        <v>38</v>
      </c>
      <c r="W237" s="562">
        <f>VLOOKUP($V$5,'Lookup Air Consumption'!$B$8:$E$208,4)</f>
        <v>50</v>
      </c>
      <c r="X237" s="562">
        <f>VLOOKUP($V$5,'Lookup Air Consumption'!$B$8:$E$208,2)</f>
        <v>41</v>
      </c>
      <c r="Y237" s="361"/>
      <c r="Z237" s="364"/>
      <c r="AA237"/>
      <c r="AB237"/>
      <c r="AC237"/>
      <c r="AD237" s="109"/>
    </row>
    <row r="238" spans="17:30" ht="12.75" customHeight="1">
      <c r="Q238" s="364"/>
      <c r="R238" s="931" t="s">
        <v>663</v>
      </c>
      <c r="S238" s="931"/>
      <c r="T238" s="931"/>
      <c r="U238" s="901"/>
      <c r="V238" s="590">
        <f>V237/1000</f>
        <v>3.7999999999999999E-2</v>
      </c>
      <c r="W238" s="590">
        <f>W237/1000</f>
        <v>0.05</v>
      </c>
      <c r="X238" s="590">
        <f>X237/1000</f>
        <v>4.1000000000000002E-2</v>
      </c>
      <c r="Y238" s="361"/>
      <c r="Z238" s="364"/>
      <c r="AA238"/>
      <c r="AB238"/>
      <c r="AC238"/>
      <c r="AD238" s="109"/>
    </row>
    <row r="239" spans="17:30" ht="12.75" customHeight="1">
      <c r="Q239" s="364"/>
      <c r="R239" s="931" t="s">
        <v>664</v>
      </c>
      <c r="S239" s="931"/>
      <c r="T239" s="931"/>
      <c r="U239" s="901"/>
      <c r="V239" s="560">
        <f>V238*35.31467</f>
        <v>1.3419574599999999</v>
      </c>
      <c r="W239" s="560">
        <f>W238*35.31467</f>
        <v>1.7657335000000001</v>
      </c>
      <c r="X239" s="560">
        <f>X238*35.31467</f>
        <v>1.4479014700000001</v>
      </c>
      <c r="Y239" s="361"/>
      <c r="Z239" s="364"/>
      <c r="AA239"/>
      <c r="AB239"/>
      <c r="AC239"/>
      <c r="AD239" s="109"/>
    </row>
    <row r="240" spans="17:30" ht="12.75" customHeight="1">
      <c r="Q240" s="360"/>
      <c r="R240" s="551"/>
      <c r="S240" s="551"/>
      <c r="T240" s="551"/>
      <c r="U240" s="591"/>
      <c r="V240" s="551"/>
      <c r="W240" s="551"/>
      <c r="X240" s="551"/>
      <c r="Y240" s="361"/>
      <c r="Z240" s="364"/>
      <c r="AA240"/>
      <c r="AB240"/>
      <c r="AC240"/>
      <c r="AD240" s="109"/>
    </row>
    <row r="241" spans="17:30" ht="12.75" customHeight="1">
      <c r="Q241" s="360"/>
      <c r="R241" s="962" t="s">
        <v>302</v>
      </c>
      <c r="S241" s="963"/>
      <c r="T241" s="964"/>
      <c r="U241" s="949" t="s">
        <v>500</v>
      </c>
      <c r="V241" s="938" t="s">
        <v>22</v>
      </c>
      <c r="W241" s="940" t="s">
        <v>579</v>
      </c>
      <c r="X241" s="942" t="s">
        <v>21</v>
      </c>
      <c r="Y241" s="361"/>
      <c r="Z241" s="364"/>
      <c r="AA241"/>
      <c r="AB241"/>
      <c r="AC241"/>
      <c r="AD241" s="109"/>
    </row>
    <row r="242" spans="17:30" ht="12.75" customHeight="1">
      <c r="Q242" s="360"/>
      <c r="R242" s="965"/>
      <c r="S242" s="966"/>
      <c r="T242" s="967"/>
      <c r="U242" s="950"/>
      <c r="V242" s="939"/>
      <c r="W242" s="941"/>
      <c r="X242" s="943"/>
      <c r="Y242" s="361"/>
      <c r="Z242" s="364"/>
      <c r="AA242"/>
      <c r="AB242"/>
      <c r="AC242"/>
      <c r="AD242" s="109"/>
    </row>
    <row r="243" spans="17:30" ht="12.75" customHeight="1">
      <c r="Q243" s="360"/>
      <c r="R243" s="931" t="s">
        <v>662</v>
      </c>
      <c r="S243" s="931"/>
      <c r="T243" s="931"/>
      <c r="U243" s="901" t="s">
        <v>427</v>
      </c>
      <c r="V243" s="549">
        <f t="shared" ref="V243:W245" si="3">V237*$V$23</f>
        <v>6080</v>
      </c>
      <c r="W243" s="549">
        <f t="shared" si="3"/>
        <v>8000</v>
      </c>
      <c r="X243" s="549">
        <f>X237*$V$23</f>
        <v>6560</v>
      </c>
      <c r="Y243" s="361"/>
      <c r="Z243" s="364"/>
      <c r="AA243"/>
      <c r="AB243"/>
      <c r="AC243"/>
      <c r="AD243" s="109"/>
    </row>
    <row r="244" spans="17:30" ht="12.75" customHeight="1">
      <c r="Q244" s="360"/>
      <c r="R244" s="931" t="s">
        <v>663</v>
      </c>
      <c r="S244" s="931"/>
      <c r="T244" s="931"/>
      <c r="U244" s="901"/>
      <c r="V244" s="560">
        <f t="shared" si="3"/>
        <v>6.08</v>
      </c>
      <c r="W244" s="560">
        <f t="shared" si="3"/>
        <v>8</v>
      </c>
      <c r="X244" s="560">
        <f>X238*$V$23</f>
        <v>6.5600000000000005</v>
      </c>
      <c r="Y244" s="361"/>
      <c r="Z244" s="364"/>
      <c r="AA244"/>
      <c r="AB244"/>
      <c r="AC244"/>
      <c r="AD244" s="109"/>
    </row>
    <row r="245" spans="17:30" ht="12.75" customHeight="1">
      <c r="Q245" s="360"/>
      <c r="R245" s="931" t="s">
        <v>664</v>
      </c>
      <c r="S245" s="931"/>
      <c r="T245" s="931"/>
      <c r="U245" s="901"/>
      <c r="V245" s="560">
        <f t="shared" si="3"/>
        <v>214.71319359999998</v>
      </c>
      <c r="W245" s="560">
        <f t="shared" si="3"/>
        <v>282.51736</v>
      </c>
      <c r="X245" s="560">
        <f>X239*$V$23</f>
        <v>231.66423520000001</v>
      </c>
      <c r="Y245" s="361"/>
      <c r="Z245" s="364"/>
      <c r="AA245"/>
      <c r="AB245"/>
      <c r="AC245"/>
      <c r="AD245" s="109"/>
    </row>
    <row r="246" spans="17:30" ht="12.75" customHeight="1">
      <c r="Q246" s="360"/>
      <c r="R246" s="364"/>
      <c r="S246" s="364"/>
      <c r="T246" s="364"/>
      <c r="U246" s="364"/>
      <c r="V246" s="555"/>
      <c r="W246" s="555"/>
      <c r="X246" s="555"/>
      <c r="Y246" s="361"/>
      <c r="Z246" s="364"/>
      <c r="AA246"/>
      <c r="AB246"/>
      <c r="AC246"/>
      <c r="AD246" s="109"/>
    </row>
    <row r="247" spans="17:30" ht="12.75" customHeight="1">
      <c r="Q247" s="360"/>
      <c r="R247" s="962" t="s">
        <v>303</v>
      </c>
      <c r="S247" s="963"/>
      <c r="T247" s="964"/>
      <c r="U247" s="949" t="s">
        <v>500</v>
      </c>
      <c r="V247" s="938" t="s">
        <v>22</v>
      </c>
      <c r="W247" s="940" t="s">
        <v>579</v>
      </c>
      <c r="X247" s="942" t="s">
        <v>21</v>
      </c>
      <c r="Y247" s="361"/>
      <c r="Z247" s="364"/>
      <c r="AA247"/>
      <c r="AB247"/>
      <c r="AC247"/>
      <c r="AD247" s="109"/>
    </row>
    <row r="248" spans="17:30" ht="12.75" customHeight="1">
      <c r="Q248" s="360"/>
      <c r="R248" s="965"/>
      <c r="S248" s="966"/>
      <c r="T248" s="967"/>
      <c r="U248" s="950"/>
      <c r="V248" s="939"/>
      <c r="W248" s="941"/>
      <c r="X248" s="943"/>
      <c r="Y248" s="361"/>
      <c r="Z248" s="364"/>
      <c r="AA248"/>
      <c r="AB248"/>
      <c r="AC248"/>
    </row>
    <row r="249" spans="17:30" ht="12.75" customHeight="1">
      <c r="Q249" s="563"/>
      <c r="R249" s="951" t="s">
        <v>517</v>
      </c>
      <c r="S249" s="951"/>
      <c r="T249" s="951"/>
      <c r="U249" s="901" t="s">
        <v>427</v>
      </c>
      <c r="V249" s="549">
        <f t="shared" ref="V249:X251" si="4">($V$25/$X$51)*60*V237</f>
        <v>31268571.428571429</v>
      </c>
      <c r="W249" s="549">
        <f t="shared" si="4"/>
        <v>41142857.142857142</v>
      </c>
      <c r="X249" s="549">
        <f t="shared" si="4"/>
        <v>33737142.857142858</v>
      </c>
      <c r="Y249" s="361"/>
      <c r="Z249" s="364"/>
      <c r="AA249"/>
      <c r="AB249"/>
      <c r="AC249"/>
    </row>
    <row r="250" spans="17:30" ht="12.75" customHeight="1">
      <c r="Q250" s="364"/>
      <c r="R250" s="951" t="s">
        <v>666</v>
      </c>
      <c r="S250" s="951"/>
      <c r="T250" s="951"/>
      <c r="U250" s="901"/>
      <c r="V250" s="549">
        <f t="shared" si="4"/>
        <v>31268.571428571428</v>
      </c>
      <c r="W250" s="549">
        <f t="shared" si="4"/>
        <v>41142.857142857145</v>
      </c>
      <c r="X250" s="549">
        <f t="shared" si="4"/>
        <v>33737.142857142855</v>
      </c>
      <c r="Y250" s="361"/>
      <c r="Z250" s="364"/>
      <c r="AA250"/>
      <c r="AB250"/>
      <c r="AC250"/>
    </row>
    <row r="251" spans="17:30" ht="12.75" customHeight="1">
      <c r="Q251" s="364"/>
      <c r="R251" s="951" t="s">
        <v>583</v>
      </c>
      <c r="S251" s="951"/>
      <c r="T251" s="951"/>
      <c r="U251" s="901"/>
      <c r="V251" s="549">
        <f t="shared" si="4"/>
        <v>1104239.2813714284</v>
      </c>
      <c r="W251" s="549">
        <f t="shared" si="4"/>
        <v>1452946.422857143</v>
      </c>
      <c r="X251" s="549">
        <f t="shared" si="4"/>
        <v>1191416.0667428572</v>
      </c>
      <c r="Y251" s="361"/>
      <c r="Z251" s="364"/>
      <c r="AA251"/>
      <c r="AB251"/>
      <c r="AC251"/>
    </row>
    <row r="252" spans="17:30" ht="12.75" customHeight="1">
      <c r="Q252" s="364"/>
      <c r="R252" s="364"/>
      <c r="S252" s="364"/>
      <c r="T252" s="364"/>
      <c r="U252" s="364"/>
      <c r="V252" s="364"/>
      <c r="W252" s="364"/>
      <c r="X252" s="364"/>
      <c r="Y252" s="361"/>
      <c r="Z252" s="364"/>
      <c r="AA252"/>
      <c r="AB252"/>
      <c r="AC252"/>
    </row>
    <row r="253" spans="17:30" ht="12.75" customHeight="1">
      <c r="Q253" s="668" t="s">
        <v>753</v>
      </c>
      <c r="R253" s="364" t="s">
        <v>300</v>
      </c>
      <c r="S253" s="364"/>
      <c r="T253" s="364"/>
      <c r="U253" s="364"/>
      <c r="V253" s="364"/>
      <c r="W253" s="364"/>
      <c r="X253" s="364"/>
      <c r="Y253" s="361"/>
      <c r="Z253" s="364"/>
      <c r="AA253"/>
      <c r="AB253"/>
      <c r="AC253"/>
    </row>
    <row r="254" spans="17:30" ht="12.75" customHeight="1">
      <c r="Q254" s="364"/>
      <c r="R254" s="957" t="s">
        <v>669</v>
      </c>
      <c r="S254" s="958"/>
      <c r="T254" s="959"/>
      <c r="U254" s="949" t="s">
        <v>500</v>
      </c>
      <c r="V254" s="938" t="s">
        <v>22</v>
      </c>
      <c r="W254" s="940" t="s">
        <v>579</v>
      </c>
      <c r="X254" s="942" t="s">
        <v>21</v>
      </c>
      <c r="Y254" s="361"/>
      <c r="Z254" s="364"/>
      <c r="AA254"/>
      <c r="AB254"/>
      <c r="AC254"/>
    </row>
    <row r="255" spans="17:30" ht="12.75" customHeight="1">
      <c r="Q255" s="364"/>
      <c r="R255" s="960"/>
      <c r="S255" s="961"/>
      <c r="T255" s="899"/>
      <c r="U255" s="950"/>
      <c r="V255" s="939"/>
      <c r="W255" s="941"/>
      <c r="X255" s="943"/>
      <c r="Y255" s="361"/>
      <c r="Z255" s="364"/>
      <c r="AA255"/>
      <c r="AB255"/>
      <c r="AC255"/>
    </row>
    <row r="256" spans="17:30" ht="12.75" customHeight="1">
      <c r="Q256" s="364"/>
      <c r="R256" s="541" t="s">
        <v>80</v>
      </c>
      <c r="S256" s="559"/>
      <c r="T256" s="559"/>
      <c r="U256" s="543">
        <v>6.5</v>
      </c>
      <c r="V256" s="669">
        <f>VLOOKUP($V$5,'Lookup Water Flow'!$B$8:$E$208,3)</f>
        <v>6.9</v>
      </c>
      <c r="W256" s="669">
        <f>VLOOKUP($V$5,'Lookup Water Flow'!$B$8:$E$208,4)</f>
        <v>12.1</v>
      </c>
      <c r="X256" s="669">
        <f>VLOOKUP($V$5,'Lookup Water Flow'!$B$8:$E$208,2)</f>
        <v>12.6</v>
      </c>
      <c r="Y256" s="361"/>
      <c r="Z256" s="364"/>
      <c r="AA256"/>
      <c r="AB256"/>
      <c r="AC256"/>
    </row>
    <row r="257" spans="17:29" ht="12.75" customHeight="1">
      <c r="Q257" s="364"/>
      <c r="R257" s="951" t="s">
        <v>81</v>
      </c>
      <c r="S257" s="951"/>
      <c r="T257" s="951"/>
      <c r="U257" s="677">
        <f>U256*V23</f>
        <v>1040</v>
      </c>
      <c r="V257" s="678">
        <f>V256*$V$23</f>
        <v>1104</v>
      </c>
      <c r="W257" s="678">
        <f>W256*$V$23</f>
        <v>1936</v>
      </c>
      <c r="X257" s="678">
        <f>X256*$V$23</f>
        <v>2016</v>
      </c>
      <c r="Y257" s="361"/>
      <c r="Z257" s="364"/>
      <c r="AA257"/>
      <c r="AB257"/>
      <c r="AC257"/>
    </row>
    <row r="258" spans="17:29" ht="12.75" customHeight="1">
      <c r="Q258" s="364"/>
      <c r="R258" s="592" t="s">
        <v>670</v>
      </c>
      <c r="S258" s="559"/>
      <c r="T258" s="559"/>
      <c r="U258" s="549">
        <f>(U256*U56*V24)+(24*0.25*V24)</f>
        <v>204800</v>
      </c>
      <c r="V258" s="679">
        <f>V256*$X$56*$V$24</f>
        <v>94628.571428571435</v>
      </c>
      <c r="W258" s="679">
        <f>W256*$X$56*$V$24</f>
        <v>165942.85714285713</v>
      </c>
      <c r="X258" s="679">
        <f>X256*$X$56*$V$24</f>
        <v>172800</v>
      </c>
      <c r="Y258" s="361"/>
      <c r="Z258" s="364"/>
      <c r="AA258"/>
      <c r="AB258"/>
      <c r="AC258"/>
    </row>
    <row r="259" spans="17:29" ht="12.75" customHeight="1">
      <c r="Q259" s="364"/>
      <c r="R259" s="364"/>
      <c r="S259" s="364"/>
      <c r="T259" s="364"/>
      <c r="U259" s="364"/>
      <c r="V259" s="364"/>
      <c r="W259" s="364"/>
      <c r="X259" s="364"/>
      <c r="Y259" s="364"/>
      <c r="Z259" s="364"/>
      <c r="AA259"/>
      <c r="AB259"/>
      <c r="AC259"/>
    </row>
    <row r="260" spans="17:29" ht="12.75" customHeight="1">
      <c r="Q260" s="680" t="s">
        <v>754</v>
      </c>
      <c r="R260" s="952" t="s">
        <v>309</v>
      </c>
      <c r="S260" s="952"/>
      <c r="T260" s="952"/>
      <c r="U260" s="952"/>
      <c r="V260" s="952"/>
      <c r="W260" s="952"/>
      <c r="X260" s="952"/>
      <c r="Y260" s="952"/>
      <c r="Z260" s="360"/>
      <c r="AA260"/>
      <c r="AB260"/>
      <c r="AC260"/>
    </row>
    <row r="261" spans="17:29" ht="12.75" customHeight="1">
      <c r="Q261" s="364"/>
      <c r="R261" s="364"/>
      <c r="S261" s="364"/>
      <c r="T261" s="364"/>
      <c r="U261" s="364"/>
      <c r="V261" s="364"/>
      <c r="W261" s="364"/>
      <c r="X261" s="364"/>
      <c r="Y261" s="364"/>
      <c r="Z261" s="364"/>
      <c r="AA261"/>
      <c r="AB261"/>
      <c r="AC261"/>
    </row>
    <row r="262" spans="17:29" ht="12.75" customHeight="1">
      <c r="Q262" s="668" t="s">
        <v>755</v>
      </c>
      <c r="R262" s="364" t="s">
        <v>239</v>
      </c>
      <c r="S262" s="364"/>
      <c r="T262" s="364"/>
      <c r="U262" s="364"/>
      <c r="V262" s="364"/>
      <c r="W262" s="364"/>
      <c r="X262" s="364"/>
      <c r="Y262" s="364"/>
      <c r="Z262" s="364"/>
      <c r="AA262"/>
      <c r="AB262"/>
      <c r="AC262"/>
    </row>
    <row r="263" spans="17:29" ht="12.75" customHeight="1">
      <c r="Q263" s="364"/>
      <c r="R263" s="364"/>
      <c r="S263" s="364"/>
      <c r="T263" s="364"/>
      <c r="U263" s="364"/>
      <c r="V263" s="364"/>
      <c r="W263" s="364"/>
      <c r="X263" s="364"/>
      <c r="Y263" s="364"/>
      <c r="Z263" s="364"/>
      <c r="AA263"/>
      <c r="AB263"/>
      <c r="AC263"/>
    </row>
    <row r="264" spans="17:29" ht="12.75" customHeight="1">
      <c r="Q264" s="364"/>
      <c r="R264" s="953" t="s">
        <v>676</v>
      </c>
      <c r="S264" s="954"/>
      <c r="T264" s="561" t="s">
        <v>320</v>
      </c>
      <c r="U264" s="935" t="s">
        <v>318</v>
      </c>
      <c r="V264" s="935"/>
      <c r="W264" s="681">
        <f>'Compressor Input Data'!G7</f>
        <v>0.19</v>
      </c>
      <c r="X264" s="594"/>
      <c r="Y264" s="595"/>
      <c r="Z264" s="363"/>
      <c r="AA264"/>
      <c r="AB264"/>
      <c r="AC264"/>
    </row>
    <row r="265" spans="17:29" ht="12.75" customHeight="1">
      <c r="Q265" s="364"/>
      <c r="R265" s="955"/>
      <c r="S265" s="956"/>
      <c r="T265" s="561" t="s">
        <v>321</v>
      </c>
      <c r="U265" s="935" t="s">
        <v>319</v>
      </c>
      <c r="V265" s="935"/>
      <c r="W265" s="681">
        <f>'Compressor Input Data'!G8</f>
        <v>0.33</v>
      </c>
      <c r="X265" s="594"/>
      <c r="Y265" s="595"/>
      <c r="Z265" s="595"/>
      <c r="AA265"/>
      <c r="AB265"/>
      <c r="AC265"/>
    </row>
    <row r="266" spans="17:29" ht="12.75" customHeight="1">
      <c r="Q266" s="364"/>
      <c r="R266" s="363"/>
      <c r="S266" s="363"/>
      <c r="T266" s="577"/>
      <c r="U266" s="577"/>
      <c r="V266" s="596"/>
      <c r="W266" s="363"/>
      <c r="X266" s="363"/>
      <c r="Y266" s="363"/>
      <c r="Z266" s="363"/>
      <c r="AA266"/>
      <c r="AB266"/>
      <c r="AC266"/>
    </row>
    <row r="267" spans="17:29" ht="12.75" customHeight="1">
      <c r="Q267" s="364"/>
      <c r="R267" s="935" t="s">
        <v>675</v>
      </c>
      <c r="S267" s="935"/>
      <c r="T267" s="935"/>
      <c r="U267" s="949" t="s">
        <v>500</v>
      </c>
      <c r="V267" s="938" t="s">
        <v>22</v>
      </c>
      <c r="W267" s="940" t="s">
        <v>579</v>
      </c>
      <c r="X267" s="942" t="s">
        <v>21</v>
      </c>
      <c r="Y267" s="361"/>
      <c r="Z267" s="364"/>
      <c r="AA267"/>
      <c r="AB267"/>
      <c r="AC267"/>
    </row>
    <row r="268" spans="17:29" ht="12.75" customHeight="1">
      <c r="Q268" s="364"/>
      <c r="R268" s="944" t="s">
        <v>320</v>
      </c>
      <c r="S268" s="947"/>
      <c r="T268" s="948"/>
      <c r="U268" s="950"/>
      <c r="V268" s="939"/>
      <c r="W268" s="941"/>
      <c r="X268" s="943"/>
      <c r="Y268" s="361"/>
      <c r="Z268" s="364"/>
      <c r="AA268"/>
      <c r="AB268"/>
      <c r="AC268"/>
    </row>
    <row r="269" spans="17:29" ht="12.75" customHeight="1">
      <c r="Q269" s="364"/>
      <c r="R269" s="945"/>
      <c r="S269" s="935" t="s">
        <v>306</v>
      </c>
      <c r="T269" s="935"/>
      <c r="U269" s="599">
        <f>U164*$W$264</f>
        <v>178.34666666666669</v>
      </c>
      <c r="V269" s="599">
        <f>V164*$W$264</f>
        <v>14439.999999999998</v>
      </c>
      <c r="W269" s="599">
        <f>W164*$W$264</f>
        <v>12556.521739130432</v>
      </c>
      <c r="X269" s="599">
        <f>X164*$W$264</f>
        <v>10314.285714285712</v>
      </c>
      <c r="Y269" s="361"/>
      <c r="Z269" s="364"/>
      <c r="AA269"/>
      <c r="AB269"/>
      <c r="AC269"/>
    </row>
    <row r="270" spans="17:29" ht="12.75" customHeight="1">
      <c r="Q270" s="364"/>
      <c r="R270" s="945"/>
      <c r="S270" s="935" t="s">
        <v>307</v>
      </c>
      <c r="T270" s="935"/>
      <c r="U270" s="599">
        <f>U269*$V$11</f>
        <v>4101.9733333333343</v>
      </c>
      <c r="V270" s="599">
        <f>V269*$V$11</f>
        <v>332119.99999999994</v>
      </c>
      <c r="W270" s="599">
        <f>W269*$V$11</f>
        <v>288799.99999999994</v>
      </c>
      <c r="X270" s="599">
        <f>X269*$V$11</f>
        <v>237228.57142857136</v>
      </c>
      <c r="Y270" s="361"/>
      <c r="Z270" s="364"/>
      <c r="AA270"/>
      <c r="AB270"/>
      <c r="AC270"/>
    </row>
    <row r="271" spans="17:29" ht="12.75" customHeight="1">
      <c r="Q271" s="364"/>
      <c r="R271" s="946"/>
      <c r="S271" s="935" t="s">
        <v>308</v>
      </c>
      <c r="T271" s="935"/>
      <c r="U271" s="599">
        <f>U270*9</f>
        <v>36917.760000000009</v>
      </c>
      <c r="V271" s="599">
        <f>V270*9</f>
        <v>2989079.9999999995</v>
      </c>
      <c r="W271" s="599">
        <f>W270*9</f>
        <v>2599199.9999999995</v>
      </c>
      <c r="X271" s="599">
        <f>X270*9</f>
        <v>2135057.1428571423</v>
      </c>
      <c r="Y271" s="361"/>
      <c r="Z271" s="364"/>
      <c r="AA271"/>
      <c r="AB271"/>
      <c r="AC271"/>
    </row>
    <row r="272" spans="17:29" ht="12.75" customHeight="1">
      <c r="Q272" s="597"/>
      <c r="R272" s="937"/>
      <c r="S272" s="937"/>
      <c r="T272" s="937"/>
      <c r="U272" s="937"/>
      <c r="V272" s="937"/>
      <c r="W272" s="937"/>
      <c r="X272" s="937"/>
      <c r="Y272" s="364"/>
      <c r="Z272" s="364"/>
      <c r="AA272"/>
      <c r="AB272"/>
      <c r="AC272"/>
    </row>
    <row r="273" spans="17:29" ht="12.75" customHeight="1">
      <c r="Q273" s="597"/>
      <c r="R273" s="935" t="s">
        <v>675</v>
      </c>
      <c r="S273" s="935"/>
      <c r="T273" s="935"/>
      <c r="U273" s="930" t="s">
        <v>500</v>
      </c>
      <c r="V273" s="928" t="s">
        <v>22</v>
      </c>
      <c r="W273" s="929" t="s">
        <v>579</v>
      </c>
      <c r="X273" s="927" t="s">
        <v>21</v>
      </c>
      <c r="Y273" s="361"/>
      <c r="Z273" s="364"/>
      <c r="AA273"/>
      <c r="AB273"/>
      <c r="AC273"/>
    </row>
    <row r="274" spans="17:29" ht="12.75" customHeight="1">
      <c r="Q274" s="597"/>
      <c r="R274" s="937" t="s">
        <v>321</v>
      </c>
      <c r="S274" s="937"/>
      <c r="T274" s="937"/>
      <c r="U274" s="930"/>
      <c r="V274" s="928"/>
      <c r="W274" s="929"/>
      <c r="X274" s="927"/>
      <c r="Y274" s="361"/>
      <c r="Z274" s="364"/>
      <c r="AA274"/>
      <c r="AB274"/>
      <c r="AC274"/>
    </row>
    <row r="275" spans="17:29" ht="12.75" customHeight="1">
      <c r="Q275" s="364"/>
      <c r="R275" s="937"/>
      <c r="S275" s="935" t="s">
        <v>306</v>
      </c>
      <c r="T275" s="935"/>
      <c r="U275" s="599">
        <f>U164*$W$265</f>
        <v>309.76000000000005</v>
      </c>
      <c r="V275" s="599">
        <f>V164*$W$265</f>
        <v>25079.999999999996</v>
      </c>
      <c r="W275" s="599">
        <f>W164*$W$265</f>
        <v>21808.695652173912</v>
      </c>
      <c r="X275" s="599">
        <f>X164*$W$265</f>
        <v>17914.28571428571</v>
      </c>
      <c r="Y275" s="361"/>
      <c r="Z275" s="364"/>
      <c r="AA275"/>
      <c r="AB275"/>
      <c r="AC275"/>
    </row>
    <row r="276" spans="17:29" ht="12.75" customHeight="1">
      <c r="Q276" s="597"/>
      <c r="R276" s="937"/>
      <c r="S276" s="935" t="s">
        <v>307</v>
      </c>
      <c r="T276" s="935"/>
      <c r="U276" s="599">
        <f>U275*$V$11</f>
        <v>7124.4800000000014</v>
      </c>
      <c r="V276" s="599">
        <f>V275*$V$11</f>
        <v>576839.99999999988</v>
      </c>
      <c r="W276" s="599">
        <f>W275*$V$11</f>
        <v>501600</v>
      </c>
      <c r="X276" s="599">
        <f>X275*$V$11</f>
        <v>412028.57142857136</v>
      </c>
      <c r="Y276" s="361"/>
      <c r="Z276" s="364"/>
      <c r="AA276"/>
      <c r="AB276"/>
      <c r="AC276"/>
    </row>
    <row r="277" spans="17:29" ht="12.75" customHeight="1">
      <c r="Q277" s="364"/>
      <c r="R277" s="937"/>
      <c r="S277" s="935" t="s">
        <v>308</v>
      </c>
      <c r="T277" s="935"/>
      <c r="U277" s="599">
        <f>U276*3</f>
        <v>21373.440000000002</v>
      </c>
      <c r="V277" s="599">
        <f>V276*3</f>
        <v>1730519.9999999995</v>
      </c>
      <c r="W277" s="599">
        <f>W276*3</f>
        <v>1504800</v>
      </c>
      <c r="X277" s="599">
        <f>X276*3</f>
        <v>1236085.7142857141</v>
      </c>
      <c r="Y277" s="361"/>
      <c r="Z277" s="364"/>
      <c r="AA277"/>
      <c r="AB277"/>
      <c r="AC277"/>
    </row>
    <row r="278" spans="17:29" ht="12.75" customHeight="1">
      <c r="Q278" s="364"/>
      <c r="R278" s="937"/>
      <c r="S278" s="937"/>
      <c r="T278" s="937"/>
      <c r="U278" s="937"/>
      <c r="V278" s="937"/>
      <c r="W278" s="937"/>
      <c r="X278" s="937"/>
      <c r="Y278" s="364"/>
      <c r="Z278" s="364"/>
      <c r="AA278"/>
      <c r="AB278"/>
      <c r="AC278"/>
    </row>
    <row r="279" spans="17:29" ht="12.75" customHeight="1">
      <c r="Q279" s="364"/>
      <c r="R279" s="935" t="s">
        <v>675</v>
      </c>
      <c r="S279" s="935"/>
      <c r="T279" s="935"/>
      <c r="U279" s="930" t="s">
        <v>500</v>
      </c>
      <c r="V279" s="928" t="s">
        <v>22</v>
      </c>
      <c r="W279" s="929" t="s">
        <v>579</v>
      </c>
      <c r="X279" s="927" t="s">
        <v>21</v>
      </c>
      <c r="Y279" s="361"/>
      <c r="Z279" s="364"/>
      <c r="AA279"/>
      <c r="AB279"/>
      <c r="AC279"/>
    </row>
    <row r="280" spans="17:29" ht="12.75" customHeight="1">
      <c r="Q280" s="364"/>
      <c r="R280" s="937" t="s">
        <v>322</v>
      </c>
      <c r="S280" s="937"/>
      <c r="T280" s="937"/>
      <c r="U280" s="930"/>
      <c r="V280" s="928"/>
      <c r="W280" s="929"/>
      <c r="X280" s="927"/>
      <c r="Y280" s="361"/>
      <c r="Z280" s="364"/>
      <c r="AA280"/>
      <c r="AB280"/>
      <c r="AC280"/>
    </row>
    <row r="281" spans="17:29" ht="12.75" customHeight="1">
      <c r="Q281" s="364"/>
      <c r="R281" s="937"/>
      <c r="S281" s="935" t="s">
        <v>306</v>
      </c>
      <c r="T281" s="935"/>
      <c r="U281" s="599">
        <f>U282/$V$11</f>
        <v>211.20000000000005</v>
      </c>
      <c r="V281" s="599">
        <f>V282/$V$11</f>
        <v>17099.999999999996</v>
      </c>
      <c r="W281" s="599">
        <f>W282/$V$11</f>
        <v>14869.565217391302</v>
      </c>
      <c r="X281" s="599">
        <f>X282/$V$11</f>
        <v>12214.285714285712</v>
      </c>
      <c r="Y281" s="361"/>
      <c r="Z281" s="364"/>
      <c r="AA281"/>
      <c r="AB281"/>
      <c r="AC281"/>
    </row>
    <row r="282" spans="17:29" ht="12.75" customHeight="1">
      <c r="Q282" s="364"/>
      <c r="R282" s="937"/>
      <c r="S282" s="935" t="s">
        <v>307</v>
      </c>
      <c r="T282" s="935"/>
      <c r="U282" s="599">
        <f>U283/12</f>
        <v>4857.6000000000013</v>
      </c>
      <c r="V282" s="599">
        <f>V283/12</f>
        <v>393299.99999999994</v>
      </c>
      <c r="W282" s="599">
        <f>W283/12</f>
        <v>341999.99999999994</v>
      </c>
      <c r="X282" s="599">
        <f>X283/12</f>
        <v>280928.57142857136</v>
      </c>
      <c r="Y282" s="361"/>
      <c r="Z282" s="364"/>
      <c r="AA282"/>
      <c r="AB282"/>
      <c r="AC282"/>
    </row>
    <row r="283" spans="17:29" ht="12.75" customHeight="1">
      <c r="Q283" s="364"/>
      <c r="R283" s="937"/>
      <c r="S283" s="935" t="s">
        <v>308</v>
      </c>
      <c r="T283" s="935"/>
      <c r="U283" s="599">
        <f>U271+U277</f>
        <v>58291.200000000012</v>
      </c>
      <c r="V283" s="599">
        <f>V271+V277</f>
        <v>4719599.9999999991</v>
      </c>
      <c r="W283" s="599">
        <f>W271+W277</f>
        <v>4103999.9999999995</v>
      </c>
      <c r="X283" s="599">
        <f>X271+X277</f>
        <v>3371142.8571428563</v>
      </c>
      <c r="Y283" s="361"/>
      <c r="Z283" s="364"/>
      <c r="AA283"/>
      <c r="AB283"/>
      <c r="AC283"/>
    </row>
    <row r="284" spans="17:29" ht="12.75" customHeight="1">
      <c r="Q284" s="364"/>
      <c r="R284" s="363"/>
      <c r="S284" s="363"/>
      <c r="T284" s="577"/>
      <c r="U284" s="577"/>
      <c r="V284" s="596"/>
      <c r="W284" s="363"/>
      <c r="X284" s="363"/>
      <c r="Y284" s="363"/>
      <c r="Z284" s="363"/>
      <c r="AA284"/>
      <c r="AB284"/>
      <c r="AC284"/>
    </row>
    <row r="285" spans="17:29" ht="12.75" customHeight="1">
      <c r="Q285" s="668" t="s">
        <v>756</v>
      </c>
      <c r="R285" s="363" t="s">
        <v>758</v>
      </c>
      <c r="S285" s="363"/>
      <c r="T285" s="577"/>
      <c r="U285" s="577"/>
      <c r="V285" s="596"/>
      <c r="W285" s="363"/>
      <c r="X285" s="363"/>
      <c r="Y285" s="363"/>
      <c r="Z285" s="363"/>
      <c r="AA285"/>
      <c r="AB285"/>
      <c r="AC285"/>
    </row>
    <row r="286" spans="17:29" ht="12.75" customHeight="1">
      <c r="Q286" s="364"/>
      <c r="R286" s="935" t="s">
        <v>678</v>
      </c>
      <c r="S286" s="935"/>
      <c r="T286" s="935"/>
      <c r="U286" s="935"/>
      <c r="V286" s="936" t="s">
        <v>500</v>
      </c>
      <c r="W286" s="936" t="s">
        <v>22</v>
      </c>
      <c r="X286" s="936" t="s">
        <v>579</v>
      </c>
      <c r="Y286" s="936" t="s">
        <v>21</v>
      </c>
      <c r="Z286" s="361"/>
      <c r="AA286"/>
      <c r="AB286"/>
      <c r="AC286"/>
    </row>
    <row r="287" spans="17:29" ht="12.75" customHeight="1">
      <c r="Q287" s="364"/>
      <c r="R287" s="935"/>
      <c r="S287" s="935"/>
      <c r="T287" s="935"/>
      <c r="U287" s="935"/>
      <c r="V287" s="936"/>
      <c r="W287" s="936"/>
      <c r="X287" s="936"/>
      <c r="Y287" s="936"/>
      <c r="Z287" s="361"/>
      <c r="AA287"/>
      <c r="AB287"/>
      <c r="AC287"/>
    </row>
    <row r="288" spans="17:29" ht="12.75" customHeight="1">
      <c r="Q288" s="364"/>
      <c r="R288" s="931" t="s">
        <v>35</v>
      </c>
      <c r="S288" s="931"/>
      <c r="T288" s="931"/>
      <c r="U288" s="931"/>
      <c r="V288" s="599">
        <f>AVERAGE(U196:W196)*5%</f>
        <v>1305585.0000000005</v>
      </c>
      <c r="W288" s="599">
        <f>V202*5%</f>
        <v>1533870.0000000005</v>
      </c>
      <c r="X288" s="599">
        <f>W202*5%</f>
        <v>1518480.0000000005</v>
      </c>
      <c r="Y288" s="599">
        <f>X202*5%</f>
        <v>1500158.5714285718</v>
      </c>
      <c r="Z288" s="361"/>
      <c r="AA288"/>
      <c r="AB288"/>
      <c r="AC288"/>
    </row>
    <row r="289" spans="17:29" ht="12.75" customHeight="1">
      <c r="Q289" s="364"/>
      <c r="R289" s="931" t="s">
        <v>481</v>
      </c>
      <c r="S289" s="931"/>
      <c r="T289" s="931"/>
      <c r="U289" s="931"/>
      <c r="V289" s="600" t="s">
        <v>479</v>
      </c>
      <c r="W289" s="599">
        <f>Y289</f>
        <v>1059840</v>
      </c>
      <c r="X289" s="600" t="s">
        <v>479</v>
      </c>
      <c r="Y289" s="599">
        <f>Consumables!E23*12</f>
        <v>1059840</v>
      </c>
      <c r="Z289" s="361"/>
      <c r="AA289"/>
      <c r="AB289"/>
      <c r="AC289"/>
    </row>
    <row r="290" spans="17:29" ht="12.75" customHeight="1">
      <c r="Q290" s="364"/>
      <c r="R290" s="931" t="s">
        <v>311</v>
      </c>
      <c r="S290" s="931"/>
      <c r="T290" s="931"/>
      <c r="U290" s="931"/>
      <c r="V290" s="600" t="s">
        <v>557</v>
      </c>
      <c r="W290" s="599">
        <f>Y290</f>
        <v>416000</v>
      </c>
      <c r="X290" s="599">
        <f>W290</f>
        <v>416000</v>
      </c>
      <c r="Y290" s="599">
        <f>Consumables!E21*12</f>
        <v>416000</v>
      </c>
      <c r="Z290" s="361"/>
      <c r="AA290"/>
      <c r="AB290"/>
      <c r="AC290"/>
    </row>
    <row r="291" spans="17:29" ht="12.75" customHeight="1">
      <c r="Q291" s="364"/>
      <c r="R291" s="931" t="s">
        <v>480</v>
      </c>
      <c r="S291" s="931"/>
      <c r="T291" s="931"/>
      <c r="U291" s="931"/>
      <c r="V291" s="599">
        <f>Consumables!H21*12</f>
        <v>3865001.2800000003</v>
      </c>
      <c r="W291" s="599">
        <v>0</v>
      </c>
      <c r="X291" s="599">
        <v>0</v>
      </c>
      <c r="Y291" s="599">
        <v>0</v>
      </c>
      <c r="Z291" s="361"/>
      <c r="AA291"/>
      <c r="AB291"/>
      <c r="AC291"/>
    </row>
    <row r="292" spans="17:29" ht="12.75" customHeight="1">
      <c r="Q292" s="364"/>
      <c r="R292" s="931" t="s">
        <v>312</v>
      </c>
      <c r="S292" s="931"/>
      <c r="T292" s="931"/>
      <c r="U292" s="931"/>
      <c r="V292" s="599">
        <f>Consumables!H20*12</f>
        <v>2691993.6000000001</v>
      </c>
      <c r="W292" s="599">
        <f>Y292</f>
        <v>2331648.0000000005</v>
      </c>
      <c r="X292" s="599">
        <f>W292</f>
        <v>2331648.0000000005</v>
      </c>
      <c r="Y292" s="599">
        <f>Consumables!E20*12</f>
        <v>2331648.0000000005</v>
      </c>
      <c r="Z292" s="361"/>
      <c r="AA292"/>
      <c r="AB292"/>
      <c r="AC292"/>
    </row>
    <row r="293" spans="17:29" ht="12.75" customHeight="1">
      <c r="Q293" s="364"/>
      <c r="R293" s="931" t="s">
        <v>313</v>
      </c>
      <c r="S293" s="931"/>
      <c r="T293" s="931"/>
      <c r="U293" s="931"/>
      <c r="V293" s="599">
        <f>Consumables!H19*12</f>
        <v>1674547.2000000002</v>
      </c>
      <c r="W293" s="599">
        <f>Y293</f>
        <v>1398988.8</v>
      </c>
      <c r="X293" s="599">
        <f>W293</f>
        <v>1398988.8</v>
      </c>
      <c r="Y293" s="599">
        <f>Consumables!E19*12</f>
        <v>1398988.8</v>
      </c>
      <c r="Z293" s="361"/>
      <c r="AA293"/>
      <c r="AB293"/>
      <c r="AC293"/>
    </row>
    <row r="294" spans="17:29" ht="12.75" customHeight="1">
      <c r="Q294" s="364"/>
      <c r="R294" s="931" t="s">
        <v>190</v>
      </c>
      <c r="S294" s="931"/>
      <c r="T294" s="931"/>
      <c r="U294" s="931"/>
      <c r="V294" s="599">
        <f>Consumables!H22*12</f>
        <v>8294400</v>
      </c>
      <c r="W294" s="599">
        <v>0</v>
      </c>
      <c r="X294" s="599">
        <v>0</v>
      </c>
      <c r="Y294" s="599">
        <v>0</v>
      </c>
      <c r="Z294" s="361"/>
      <c r="AA294"/>
      <c r="AB294"/>
      <c r="AC294"/>
    </row>
    <row r="295" spans="17:29" ht="12.75" customHeight="1">
      <c r="Q295" s="364"/>
      <c r="R295" s="931" t="s">
        <v>482</v>
      </c>
      <c r="S295" s="931"/>
      <c r="T295" s="931"/>
      <c r="U295" s="931"/>
      <c r="V295" s="599">
        <v>0</v>
      </c>
      <c r="W295" s="599">
        <f>Y295</f>
        <v>199600.00000000003</v>
      </c>
      <c r="X295" s="599">
        <f>W295</f>
        <v>199600.00000000003</v>
      </c>
      <c r="Y295" s="599">
        <f>Consumables!E25*12</f>
        <v>199600.00000000003</v>
      </c>
      <c r="Z295" s="361"/>
      <c r="AA295"/>
      <c r="AB295"/>
      <c r="AC295"/>
    </row>
    <row r="296" spans="17:29" ht="12.75" customHeight="1">
      <c r="Q296" s="364"/>
      <c r="R296" s="931" t="s">
        <v>483</v>
      </c>
      <c r="S296" s="931"/>
      <c r="T296" s="931"/>
      <c r="U296" s="931"/>
      <c r="V296" s="599">
        <v>0</v>
      </c>
      <c r="W296" s="599">
        <f>Y296</f>
        <v>40600</v>
      </c>
      <c r="X296" s="599">
        <f>W296</f>
        <v>40600</v>
      </c>
      <c r="Y296" s="599">
        <f>Consumables!E24*12</f>
        <v>40600</v>
      </c>
      <c r="Z296" s="361"/>
      <c r="AA296"/>
      <c r="AB296"/>
      <c r="AC296"/>
    </row>
    <row r="297" spans="17:29" ht="12.75" customHeight="1">
      <c r="Q297" s="364"/>
      <c r="R297" s="931" t="s">
        <v>478</v>
      </c>
      <c r="S297" s="931"/>
      <c r="T297" s="931"/>
      <c r="U297" s="931"/>
      <c r="V297" s="599">
        <f>U283</f>
        <v>58291.200000000012</v>
      </c>
      <c r="W297" s="599">
        <f>V283</f>
        <v>4719599.9999999991</v>
      </c>
      <c r="X297" s="599">
        <f>W283</f>
        <v>4103999.9999999995</v>
      </c>
      <c r="Y297" s="599">
        <f>X283</f>
        <v>3371142.8571428563</v>
      </c>
      <c r="Z297" s="361"/>
      <c r="AA297"/>
      <c r="AB297"/>
      <c r="AC297"/>
    </row>
    <row r="298" spans="17:29" ht="12.75" customHeight="1">
      <c r="Q298" s="364"/>
      <c r="R298" s="931" t="s">
        <v>484</v>
      </c>
      <c r="S298" s="931"/>
      <c r="T298" s="931"/>
      <c r="U298" s="931"/>
      <c r="V298" s="599">
        <f>'NIHL Compenation Cost'!AD21</f>
        <v>1715167.5</v>
      </c>
      <c r="W298" s="599">
        <f>'NIHL Compenation Cost'!Z21</f>
        <v>989115.00000000012</v>
      </c>
      <c r="X298" s="599">
        <f>'NIHL Compenation Cost'!AB21</f>
        <v>1087325</v>
      </c>
      <c r="Y298" s="599">
        <f>'NIHL Compenation Cost'!X21</f>
        <v>596275</v>
      </c>
      <c r="Z298" s="361"/>
      <c r="AA298"/>
      <c r="AB298"/>
      <c r="AC298"/>
    </row>
    <row r="299" spans="17:29" ht="12.75" customHeight="1">
      <c r="Q299" s="364"/>
      <c r="R299" s="932" t="s">
        <v>677</v>
      </c>
      <c r="S299" s="932"/>
      <c r="T299" s="932"/>
      <c r="U299" s="932"/>
      <c r="V299" s="599">
        <f>SUM(V288:V298)</f>
        <v>19604985.780000001</v>
      </c>
      <c r="W299" s="599">
        <f>SUM(W288:W298)</f>
        <v>12689261.800000001</v>
      </c>
      <c r="X299" s="599">
        <f>SUM(X288:X298)</f>
        <v>11096641.800000001</v>
      </c>
      <c r="Y299" s="599">
        <f>SUM(Y288:Y298)</f>
        <v>10914253.22857143</v>
      </c>
      <c r="Z299" s="361"/>
      <c r="AA299"/>
      <c r="AB299"/>
      <c r="AC299"/>
    </row>
    <row r="300" spans="17:29" ht="12.75" customHeight="1">
      <c r="Q300" s="364"/>
      <c r="R300" s="591"/>
      <c r="S300" s="591"/>
      <c r="T300" s="591"/>
      <c r="U300" s="591"/>
      <c r="V300" s="718"/>
      <c r="W300" s="718"/>
      <c r="X300" s="718"/>
      <c r="Y300" s="718"/>
      <c r="Z300" s="361"/>
      <c r="AA300"/>
      <c r="AB300"/>
      <c r="AC300"/>
    </row>
    <row r="301" spans="17:29" ht="12.75" customHeight="1">
      <c r="Q301" s="364"/>
      <c r="R301" s="591"/>
      <c r="S301" s="591"/>
      <c r="T301" s="933" t="s">
        <v>812</v>
      </c>
      <c r="U301" s="933"/>
      <c r="V301" s="718">
        <f>V299-V294</f>
        <v>11310585.780000001</v>
      </c>
      <c r="W301" s="718">
        <f>W299-W294</f>
        <v>12689261.800000001</v>
      </c>
      <c r="X301" s="718">
        <f>X299-X294</f>
        <v>11096641.800000001</v>
      </c>
      <c r="Y301" s="718">
        <f>Y299-Y294</f>
        <v>10914253.22857143</v>
      </c>
      <c r="Z301" s="361"/>
      <c r="AA301"/>
      <c r="AB301"/>
      <c r="AC301"/>
    </row>
    <row r="302" spans="17:29" ht="12.75" customHeight="1">
      <c r="Q302" s="364"/>
      <c r="R302" s="364"/>
      <c r="S302" s="364"/>
      <c r="T302" s="934" t="s">
        <v>350</v>
      </c>
      <c r="U302" s="934"/>
      <c r="V302" s="682">
        <f>V294</f>
        <v>8294400</v>
      </c>
      <c r="W302" s="682"/>
      <c r="X302" s="682"/>
      <c r="Y302" s="682"/>
      <c r="Z302" s="364"/>
      <c r="AA302"/>
      <c r="AB302"/>
      <c r="AC302"/>
    </row>
    <row r="303" spans="17:29" ht="12.75" customHeight="1">
      <c r="Q303" s="364">
        <v>10.3</v>
      </c>
      <c r="R303" s="363"/>
      <c r="S303" s="364"/>
      <c r="T303" s="364"/>
      <c r="U303" s="364"/>
      <c r="V303" s="682"/>
      <c r="W303" s="364"/>
      <c r="X303" s="362"/>
      <c r="Y303" s="682"/>
      <c r="Z303" s="364"/>
      <c r="AA303"/>
      <c r="AB303"/>
      <c r="AC303"/>
    </row>
    <row r="304" spans="17:29" ht="12.75" customHeight="1">
      <c r="Q304" s="364"/>
      <c r="R304" s="364"/>
      <c r="S304" s="364"/>
      <c r="T304" s="364"/>
      <c r="U304" s="364"/>
      <c r="V304" s="364"/>
      <c r="W304" s="364"/>
      <c r="X304" s="364"/>
      <c r="Y304" s="364"/>
      <c r="Z304" s="364"/>
      <c r="AA304"/>
      <c r="AB304"/>
      <c r="AC304"/>
    </row>
    <row r="305" spans="17:29" ht="12.75" customHeight="1">
      <c r="Q305" s="364"/>
      <c r="R305" s="935" t="s">
        <v>195</v>
      </c>
      <c r="S305" s="935"/>
      <c r="T305" s="935"/>
      <c r="U305" s="935"/>
      <c r="V305" s="935"/>
      <c r="W305" s="375"/>
      <c r="X305" s="683"/>
      <c r="Y305" s="375"/>
      <c r="Z305" s="375"/>
      <c r="AA305"/>
      <c r="AB305"/>
      <c r="AC305"/>
    </row>
    <row r="306" spans="17:29" ht="12.75" customHeight="1">
      <c r="Q306" s="364"/>
      <c r="R306" s="926" t="s">
        <v>509</v>
      </c>
      <c r="S306" s="927" t="s">
        <v>21</v>
      </c>
      <c r="T306" s="928" t="s">
        <v>22</v>
      </c>
      <c r="U306" s="929" t="s">
        <v>579</v>
      </c>
      <c r="V306" s="930" t="s">
        <v>500</v>
      </c>
      <c r="W306" s="363"/>
      <c r="X306" s="684"/>
      <c r="Y306" s="363"/>
      <c r="Z306" s="364"/>
      <c r="AA306"/>
      <c r="AB306"/>
      <c r="AC306"/>
    </row>
    <row r="307" spans="17:29" ht="12.75" customHeight="1">
      <c r="Q307" s="364"/>
      <c r="R307" s="926"/>
      <c r="S307" s="927"/>
      <c r="T307" s="928"/>
      <c r="U307" s="929"/>
      <c r="V307" s="930"/>
      <c r="W307" s="363"/>
      <c r="X307" s="684"/>
      <c r="Y307" s="363"/>
      <c r="Z307" s="364"/>
      <c r="AA307"/>
      <c r="AB307"/>
      <c r="AC307"/>
    </row>
    <row r="308" spans="17:29" ht="12.75" customHeight="1">
      <c r="Q308" s="364"/>
      <c r="R308" s="667" t="s">
        <v>204</v>
      </c>
      <c r="S308" s="667" t="s">
        <v>846</v>
      </c>
      <c r="T308" s="667" t="s">
        <v>846</v>
      </c>
      <c r="U308" s="667" t="s">
        <v>846</v>
      </c>
      <c r="V308" s="667" t="s">
        <v>846</v>
      </c>
      <c r="W308" s="363"/>
      <c r="X308" s="363"/>
      <c r="Y308" s="363"/>
      <c r="Z308" s="364"/>
      <c r="AA308"/>
      <c r="AB308"/>
      <c r="AC308"/>
    </row>
    <row r="309" spans="17:29" ht="12.75" customHeight="1">
      <c r="Q309" s="364"/>
      <c r="R309" s="600">
        <v>1</v>
      </c>
      <c r="S309" s="369">
        <f>$X$69</f>
        <v>116</v>
      </c>
      <c r="T309" s="584">
        <f>$V$69</f>
        <v>108</v>
      </c>
      <c r="U309" s="685">
        <f>$W$69</f>
        <v>109</v>
      </c>
      <c r="V309" s="369">
        <f>$U$69</f>
        <v>102</v>
      </c>
      <c r="W309" s="363"/>
      <c r="X309" s="363"/>
      <c r="Y309" s="363"/>
      <c r="Z309" s="364"/>
      <c r="AA309"/>
      <c r="AB309"/>
      <c r="AC309"/>
    </row>
    <row r="310" spans="17:29" ht="12.75" customHeight="1">
      <c r="Q310" s="364"/>
      <c r="R310" s="600">
        <v>2</v>
      </c>
      <c r="S310" s="584">
        <f>(LOG((10^(S309/10))+(10^(S309/10))))*10</f>
        <v>119.01029995663983</v>
      </c>
      <c r="T310" s="584">
        <f>(LOG((10^(T309/10))+(10^(T309/10))))*10</f>
        <v>111.01029995663981</v>
      </c>
      <c r="U310" s="584">
        <f>(LOG((10^(U309/10))+(10^(U309/10))))*10</f>
        <v>112.01029995663981</v>
      </c>
      <c r="V310" s="584">
        <f>(LOG((10^(V309/10))+(10^(V309/10))))*10</f>
        <v>105.01029995663983</v>
      </c>
      <c r="W310" s="363"/>
      <c r="X310" s="363"/>
      <c r="Y310" s="363"/>
      <c r="Z310" s="364"/>
      <c r="AA310"/>
      <c r="AB310"/>
      <c r="AC310"/>
    </row>
    <row r="311" spans="17:29" ht="12.75" customHeight="1">
      <c r="Q311" s="597"/>
      <c r="R311" s="600">
        <v>3</v>
      </c>
      <c r="S311" s="584">
        <f>(LOG((10^(S309/10))+(10^(S309/10))+(10^(S309/10)))*10)</f>
        <v>120.77121254719664</v>
      </c>
      <c r="T311" s="584">
        <f>(LOG((10^(T309/10))+(10^(T309/10))+(10^(T309/10)))*10)</f>
        <v>112.77121254719663</v>
      </c>
      <c r="U311" s="584">
        <f>(LOG((10^(U309/10))+(10^(U309/10))+(10^(U309/10)))*10)</f>
        <v>113.77121254719663</v>
      </c>
      <c r="V311" s="584">
        <f>(LOG((10^(V309/10))+(10^(V309/10))+(10^(V309/10)))*10)</f>
        <v>106.77121254719664</v>
      </c>
      <c r="W311" s="363"/>
      <c r="X311" s="363"/>
      <c r="Y311" s="363"/>
      <c r="Z311" s="364"/>
      <c r="AA311"/>
      <c r="AB311"/>
      <c r="AC311"/>
    </row>
    <row r="312" spans="17:29" ht="12.75" customHeight="1">
      <c r="Q312" s="364"/>
      <c r="R312" s="600">
        <v>4</v>
      </c>
      <c r="S312" s="584">
        <f>(LOG((10^(S309/10))+(10^(S309/10))+(10^(S309/10))+(10^(S309/10))))*10</f>
        <v>122.02059991327964</v>
      </c>
      <c r="T312" s="584">
        <f>(LOG((10^(T309/10))+(10^(T309/10))+(10^(T309/10))+(10^(T309/10))))*10</f>
        <v>114.02059991327963</v>
      </c>
      <c r="U312" s="584">
        <f>(LOG((10^(U309/10))+(10^(U309/10))+(10^(U309/10))+(10^(U309/10))))*10</f>
        <v>115.02059991327963</v>
      </c>
      <c r="V312" s="584">
        <f>(LOG((10^(V309/10))+(10^(V309/10))+(10^(V309/10))+(10^(V309/10))))*10</f>
        <v>108.02059991327964</v>
      </c>
      <c r="W312" s="363"/>
      <c r="X312" s="363"/>
      <c r="Y312" s="363"/>
      <c r="Z312" s="364"/>
      <c r="AA312"/>
      <c r="AB312"/>
      <c r="AC312"/>
    </row>
    <row r="313" spans="17:29" ht="12.75" customHeight="1">
      <c r="Q313" s="364"/>
      <c r="R313" s="600">
        <v>5</v>
      </c>
      <c r="S313" s="584">
        <f>(LOG((10^(S309/10))+(10^(S309/10))+(10^(S309/10))+(10^(S309/10))+(10^(S309/10))))*10</f>
        <v>122.9897000433602</v>
      </c>
      <c r="T313" s="584">
        <f>(LOG((10^(T309/10))+(10^(T309/10))+(10^(T309/10))+(10^(T309/10))+(10^(T309/10))))*10</f>
        <v>114.98970004336019</v>
      </c>
      <c r="U313" s="584">
        <f>(LOG((10^(U309/10))+(10^(U309/10))+(10^(U309/10))+(10^(U309/10))+(10^(U309/10))))*10</f>
        <v>115.98970004336019</v>
      </c>
      <c r="V313" s="584">
        <f>(LOG((10^(V309/10))+(10^(V309/10))+(10^(V309/10))+(10^(V309/10))+(10^(V309/10))))*10</f>
        <v>108.9897000433602</v>
      </c>
      <c r="W313" s="363"/>
      <c r="X313" s="363"/>
      <c r="Y313" s="363"/>
      <c r="Z313" s="364"/>
      <c r="AA313"/>
      <c r="AB313"/>
      <c r="AC313"/>
    </row>
    <row r="314" spans="17:29" ht="12.75" customHeight="1">
      <c r="Q314" s="364"/>
      <c r="R314" s="600">
        <v>6</v>
      </c>
      <c r="S314" s="584">
        <f>(LOG((10^(S309/10))+(10^(S309/10))+(10^(S309/10))+(10^(S309/10))+(10^(S309/10))+(10^(S309/10)))*10)</f>
        <v>123.78151250383645</v>
      </c>
      <c r="T314" s="584">
        <f>(LOG((10^(T309/10))+(10^(T309/10))+(10^(T309/10))+(10^(T309/10))+(10^(T309/10))+(10^(T309/10)))*10)</f>
        <v>115.78151250383644</v>
      </c>
      <c r="U314" s="584">
        <f>(LOG((10^(U309/10))+(10^(U309/10))+(10^(U309/10))+(10^(U309/10))+(10^(U309/10))+(10^(U309/10)))*10)</f>
        <v>116.78151250383644</v>
      </c>
      <c r="V314" s="584">
        <f>(LOG((10^(V309/10))+(10^(V309/10))+(10^(V309/10))+(10^(V309/10))+(10^(V309/10))+(10^(V309/10)))*10)</f>
        <v>109.78151250383645</v>
      </c>
      <c r="W314" s="363"/>
      <c r="X314" s="363"/>
      <c r="Y314" s="363"/>
      <c r="Z314" s="364"/>
      <c r="AA314"/>
      <c r="AB314"/>
      <c r="AC314"/>
    </row>
    <row r="315" spans="17:29" ht="12.75" customHeight="1" thickBot="1">
      <c r="Q315" s="364"/>
      <c r="R315" s="364"/>
      <c r="S315" s="364"/>
      <c r="T315" s="364"/>
      <c r="U315" s="364"/>
      <c r="V315" s="364"/>
      <c r="W315" s="364"/>
      <c r="X315" s="364"/>
      <c r="Y315" s="364"/>
      <c r="Z315" s="364"/>
      <c r="AA315"/>
      <c r="AB315"/>
      <c r="AC315"/>
    </row>
    <row r="316" spans="17:29" ht="12.75" customHeight="1" thickTop="1">
      <c r="Q316" s="364"/>
      <c r="R316" s="916" t="s">
        <v>428</v>
      </c>
      <c r="S316" s="917"/>
      <c r="T316" s="917"/>
      <c r="U316" s="917"/>
      <c r="V316" s="917"/>
      <c r="W316" s="918"/>
      <c r="X316" s="364"/>
      <c r="Y316" s="364"/>
      <c r="Z316" s="364"/>
      <c r="AA316"/>
      <c r="AB316"/>
      <c r="AC316"/>
    </row>
    <row r="317" spans="17:29" ht="12.75" customHeight="1">
      <c r="Q317" s="364"/>
      <c r="R317" s="919"/>
      <c r="S317" s="920"/>
      <c r="T317" s="920"/>
      <c r="U317" s="920"/>
      <c r="V317" s="920"/>
      <c r="W317" s="921"/>
      <c r="X317" s="364"/>
      <c r="Y317" s="364"/>
      <c r="Z317" s="364"/>
      <c r="AA317"/>
      <c r="AB317"/>
      <c r="AC317"/>
    </row>
    <row r="318" spans="17:29" ht="12.75" customHeight="1" thickBot="1">
      <c r="Q318" s="364"/>
      <c r="R318" s="922"/>
      <c r="S318" s="923"/>
      <c r="T318" s="923"/>
      <c r="U318" s="923"/>
      <c r="V318" s="923"/>
      <c r="W318" s="924"/>
      <c r="X318" s="364"/>
      <c r="Y318" s="364"/>
      <c r="Z318" s="364"/>
      <c r="AA318"/>
      <c r="AB318"/>
      <c r="AC318"/>
    </row>
    <row r="319" spans="17:29" ht="12.75" customHeight="1" thickTop="1">
      <c r="Q319" s="364"/>
      <c r="R319" s="925" t="str">
        <f>S306</f>
        <v>Seco S215</v>
      </c>
      <c r="S319" s="925"/>
      <c r="T319" s="925"/>
      <c r="U319" s="925"/>
      <c r="V319" s="925"/>
      <c r="W319" s="925"/>
      <c r="X319" s="364"/>
      <c r="Y319" s="364"/>
      <c r="Z319" s="364"/>
      <c r="AA319"/>
      <c r="AB319"/>
      <c r="AC319"/>
    </row>
    <row r="320" spans="17:29" ht="12.75" customHeight="1" thickBot="1">
      <c r="Q320" s="364"/>
      <c r="R320" s="910" t="s">
        <v>205</v>
      </c>
      <c r="S320" s="911"/>
      <c r="T320" s="911"/>
      <c r="U320" s="911"/>
      <c r="V320" s="911"/>
      <c r="W320" s="912"/>
      <c r="X320" s="364"/>
      <c r="Y320" s="364"/>
      <c r="Z320" s="364"/>
      <c r="AA320"/>
      <c r="AB320"/>
      <c r="AC320"/>
    </row>
    <row r="321" spans="17:29" ht="12.75" customHeight="1" thickBot="1">
      <c r="Q321" s="364"/>
      <c r="R321" s="686" t="s">
        <v>59</v>
      </c>
      <c r="S321" s="577"/>
      <c r="T321" s="687"/>
      <c r="U321" s="687"/>
      <c r="V321" s="687"/>
      <c r="W321" s="688"/>
      <c r="X321" s="364"/>
      <c r="Y321" s="364"/>
      <c r="Z321" s="364"/>
      <c r="AA321"/>
      <c r="AB321"/>
      <c r="AC321"/>
    </row>
    <row r="322" spans="17:29" ht="12.75" customHeight="1">
      <c r="Q322" s="364"/>
      <c r="R322" s="895" t="s">
        <v>845</v>
      </c>
      <c r="S322" s="896"/>
      <c r="T322" s="900" t="s">
        <v>835</v>
      </c>
      <c r="U322" s="900" t="s">
        <v>836</v>
      </c>
      <c r="V322" s="900" t="s">
        <v>837</v>
      </c>
      <c r="W322" s="902" t="s">
        <v>838</v>
      </c>
      <c r="X322" s="364"/>
      <c r="Y322" s="364"/>
      <c r="Z322" s="364"/>
      <c r="AA322"/>
      <c r="AB322"/>
      <c r="AC322"/>
    </row>
    <row r="323" spans="17:29" ht="12.75" customHeight="1">
      <c r="Q323" s="364"/>
      <c r="R323" s="892"/>
      <c r="S323" s="897"/>
      <c r="T323" s="904"/>
      <c r="U323" s="904"/>
      <c r="V323" s="904"/>
      <c r="W323" s="905"/>
      <c r="X323" s="364"/>
      <c r="Y323" s="364"/>
      <c r="Z323" s="364"/>
      <c r="AA323"/>
      <c r="AB323"/>
      <c r="AC323"/>
    </row>
    <row r="324" spans="17:29" ht="12.75" customHeight="1">
      <c r="Q324" s="364"/>
      <c r="R324" s="892"/>
      <c r="S324" s="897"/>
      <c r="T324" s="901"/>
      <c r="U324" s="901"/>
      <c r="V324" s="901"/>
      <c r="W324" s="903"/>
      <c r="X324" s="364"/>
      <c r="Y324" s="364"/>
      <c r="Z324" s="364"/>
      <c r="AA324"/>
      <c r="AB324"/>
      <c r="AC324"/>
    </row>
    <row r="325" spans="17:29" ht="12.75" customHeight="1">
      <c r="Q325" s="364"/>
      <c r="R325" s="892"/>
      <c r="S325" s="897"/>
      <c r="T325" s="689">
        <f>X69</f>
        <v>116</v>
      </c>
      <c r="U325" s="560">
        <f>X62</f>
        <v>1.4285714285714284</v>
      </c>
      <c r="V325" s="690">
        <f>IF(T325&gt;0,W325*U325," ")</f>
        <v>22857.142857142855</v>
      </c>
      <c r="W325" s="691">
        <f>IF(T325&gt;0,(VLOOKUP(T325,'Lookup Ready-reckoner'!$B$5:$E$1207,4))," ")</f>
        <v>16000</v>
      </c>
      <c r="X325" s="364"/>
      <c r="Y325" s="364"/>
      <c r="Z325" s="364"/>
      <c r="AA325"/>
      <c r="AB325"/>
      <c r="AC325"/>
    </row>
    <row r="326" spans="17:29" ht="12.75" customHeight="1">
      <c r="Q326" s="364"/>
      <c r="R326" s="898"/>
      <c r="S326" s="899"/>
      <c r="T326" s="447"/>
      <c r="U326" s="560"/>
      <c r="V326" s="690" t="str">
        <f>IF(T326&gt;0,W326*U326," ")</f>
        <v xml:space="preserve"> </v>
      </c>
      <c r="W326" s="691" t="str">
        <f>IF(T326&gt;0,(VLOOKUP(T326,'Lookup Ready-reckoner'!$B$5:$E$1007,4))," ")</f>
        <v xml:space="preserve"> </v>
      </c>
      <c r="X326" s="364"/>
      <c r="Y326" s="364"/>
      <c r="Z326" s="364"/>
      <c r="AA326"/>
      <c r="AB326"/>
      <c r="AC326"/>
    </row>
    <row r="327" spans="17:29" ht="12.75" customHeight="1" thickBot="1">
      <c r="Q327" s="364"/>
      <c r="R327" s="692" t="s">
        <v>839</v>
      </c>
      <c r="S327" s="693"/>
      <c r="T327" s="693"/>
      <c r="U327" s="694">
        <f>IF(T325&gt;0,(VLOOKUP(V327,'Lookup Ready-reckoner'!$L$5:$M$1207,2))," ")</f>
        <v>108.5</v>
      </c>
      <c r="V327" s="695">
        <f>IF(U325&gt;0,(SUM(V325:V326))," ")</f>
        <v>22857.142857142855</v>
      </c>
      <c r="W327" s="696"/>
      <c r="X327" s="364"/>
      <c r="Y327" s="364"/>
      <c r="Z327" s="364"/>
      <c r="AA327"/>
      <c r="AB327"/>
      <c r="AC327"/>
    </row>
    <row r="328" spans="17:29" ht="12.75" customHeight="1" thickBot="1">
      <c r="Q328" s="364"/>
      <c r="R328" s="892"/>
      <c r="S328" s="893"/>
      <c r="T328" s="893"/>
      <c r="U328" s="893"/>
      <c r="V328" s="893"/>
      <c r="W328" s="894"/>
      <c r="X328" s="364"/>
      <c r="Y328" s="364"/>
      <c r="Z328" s="364"/>
      <c r="AA328"/>
      <c r="AB328"/>
      <c r="AC328"/>
    </row>
    <row r="329" spans="17:29" ht="12.75" customHeight="1">
      <c r="Q329" s="364"/>
      <c r="R329" s="895" t="s">
        <v>886</v>
      </c>
      <c r="S329" s="896"/>
      <c r="T329" s="900" t="s">
        <v>835</v>
      </c>
      <c r="U329" s="900" t="s">
        <v>836</v>
      </c>
      <c r="V329" s="900" t="s">
        <v>837</v>
      </c>
      <c r="W329" s="902" t="s">
        <v>838</v>
      </c>
      <c r="X329" s="364"/>
      <c r="Y329" s="364"/>
      <c r="Z329" s="364"/>
      <c r="AA329"/>
      <c r="AB329"/>
      <c r="AC329"/>
    </row>
    <row r="330" spans="17:29" ht="12.75" customHeight="1">
      <c r="Q330" s="364"/>
      <c r="R330" s="892"/>
      <c r="S330" s="897"/>
      <c r="T330" s="901"/>
      <c r="U330" s="901"/>
      <c r="V330" s="901"/>
      <c r="W330" s="903"/>
      <c r="X330" s="364"/>
      <c r="Y330" s="364"/>
      <c r="Z330" s="364"/>
      <c r="AA330"/>
      <c r="AB330"/>
      <c r="AC330"/>
    </row>
    <row r="331" spans="17:29" ht="12.75" customHeight="1">
      <c r="Q331" s="364"/>
      <c r="R331" s="892"/>
      <c r="S331" s="897"/>
      <c r="T331" s="689">
        <f>T325*(1-0.0178*2)</f>
        <v>111.8704</v>
      </c>
      <c r="U331" s="560">
        <f>U325</f>
        <v>1.4285714285714284</v>
      </c>
      <c r="V331" s="690">
        <f>IF(T331&gt;0,W331*U331," ")</f>
        <v>8842.8571428571413</v>
      </c>
      <c r="W331" s="691">
        <f>IF(T331&gt;0,(VLOOKUP(T331,'Lookup Ready-reckoner'!$B$5:$E$1207,4))," ")</f>
        <v>6190</v>
      </c>
      <c r="X331" s="364"/>
      <c r="Y331" s="364"/>
      <c r="Z331" s="364"/>
      <c r="AA331"/>
      <c r="AB331"/>
      <c r="AC331"/>
    </row>
    <row r="332" spans="17:29" ht="12.75" customHeight="1">
      <c r="Q332" s="364"/>
      <c r="R332" s="898"/>
      <c r="S332" s="899"/>
      <c r="T332" s="447"/>
      <c r="U332" s="560"/>
      <c r="V332" s="690" t="str">
        <f>IF(T332&gt;0,W332*U332," ")</f>
        <v xml:space="preserve"> </v>
      </c>
      <c r="W332" s="691" t="str">
        <f>IF(T332&gt;0,(VLOOKUP(T332,'Lookup Ready-reckoner'!$B$5:$E$1007,4))," ")</f>
        <v xml:space="preserve"> </v>
      </c>
      <c r="X332" s="364"/>
      <c r="Y332" s="364"/>
      <c r="Z332" s="364"/>
      <c r="AA332"/>
      <c r="AB332"/>
      <c r="AC332"/>
    </row>
    <row r="333" spans="17:29" ht="12.75" customHeight="1" thickBot="1">
      <c r="Q333" s="364"/>
      <c r="R333" s="692" t="s">
        <v>839</v>
      </c>
      <c r="S333" s="693"/>
      <c r="T333" s="693"/>
      <c r="U333" s="694">
        <f>IF(T331&gt;0,(VLOOKUP(V333,'Lookup Ready-reckoner'!$L$5:$M$1207,2))," ")</f>
        <v>104.4</v>
      </c>
      <c r="V333" s="695">
        <f>IF(U331&gt;0,(SUM(V331:V332))," ")</f>
        <v>8842.8571428571413</v>
      </c>
      <c r="W333" s="696"/>
      <c r="X333" s="364"/>
      <c r="Y333" s="364"/>
      <c r="Z333" s="364"/>
      <c r="AA333"/>
      <c r="AB333"/>
      <c r="AC333"/>
    </row>
    <row r="334" spans="17:29" ht="12.75" customHeight="1">
      <c r="Q334" s="364"/>
      <c r="R334" s="697"/>
      <c r="S334" s="687"/>
      <c r="T334" s="687"/>
      <c r="U334" s="372"/>
      <c r="V334" s="374"/>
      <c r="W334" s="688"/>
      <c r="X334" s="364"/>
      <c r="Y334" s="364"/>
      <c r="Z334" s="364"/>
      <c r="AA334"/>
      <c r="AB334"/>
      <c r="AC334"/>
    </row>
    <row r="335" spans="17:29" ht="12.75" customHeight="1" thickBot="1">
      <c r="Q335" s="364"/>
      <c r="R335" s="686" t="s">
        <v>60</v>
      </c>
      <c r="S335" s="577"/>
      <c r="T335" s="577"/>
      <c r="U335" s="577"/>
      <c r="V335" s="577"/>
      <c r="W335" s="698"/>
      <c r="X335" s="364"/>
      <c r="Y335" s="364"/>
      <c r="Z335" s="364"/>
      <c r="AA335"/>
      <c r="AB335"/>
      <c r="AC335"/>
    </row>
    <row r="336" spans="17:29" ht="12.75" customHeight="1">
      <c r="Q336" s="364"/>
      <c r="R336" s="895" t="s">
        <v>845</v>
      </c>
      <c r="S336" s="896"/>
      <c r="T336" s="900" t="s">
        <v>835</v>
      </c>
      <c r="U336" s="900" t="s">
        <v>836</v>
      </c>
      <c r="V336" s="900" t="s">
        <v>837</v>
      </c>
      <c r="W336" s="902" t="s">
        <v>838</v>
      </c>
      <c r="X336" s="364"/>
      <c r="Y336" s="364"/>
      <c r="Z336" s="364"/>
      <c r="AA336"/>
      <c r="AB336"/>
      <c r="AC336"/>
    </row>
    <row r="337" spans="17:29" ht="12.75" customHeight="1">
      <c r="Q337" s="364"/>
      <c r="R337" s="892"/>
      <c r="S337" s="897"/>
      <c r="T337" s="901"/>
      <c r="U337" s="901"/>
      <c r="V337" s="901"/>
      <c r="W337" s="903"/>
      <c r="X337" s="364"/>
      <c r="Y337" s="364"/>
      <c r="Z337" s="364"/>
      <c r="AA337"/>
      <c r="AB337"/>
      <c r="AC337"/>
    </row>
    <row r="338" spans="17:29" ht="12.75" customHeight="1">
      <c r="Q338" s="364"/>
      <c r="R338" s="892"/>
      <c r="S338" s="897"/>
      <c r="T338" s="689">
        <f>T325-PPE!$I$15</f>
        <v>103</v>
      </c>
      <c r="U338" s="560">
        <f>U331</f>
        <v>1.4285714285714284</v>
      </c>
      <c r="V338" s="690">
        <f>IF(T338&gt;0,W338*U338," ")</f>
        <v>1142.8571428571427</v>
      </c>
      <c r="W338" s="691">
        <f>IF(T338&gt;0,(VLOOKUP(T338,'Lookup Ready-reckoner'!$B$5:$E$1207,4))," ")</f>
        <v>800</v>
      </c>
      <c r="X338" s="364"/>
      <c r="Y338" s="364"/>
      <c r="Z338" s="364"/>
      <c r="AA338"/>
      <c r="AB338"/>
      <c r="AC338"/>
    </row>
    <row r="339" spans="17:29" ht="12.75" customHeight="1">
      <c r="Q339" s="364"/>
      <c r="R339" s="898"/>
      <c r="S339" s="899"/>
      <c r="T339" s="447"/>
      <c r="U339" s="560"/>
      <c r="V339" s="690" t="str">
        <f>IF(T339&gt;0,W339*U339," ")</f>
        <v xml:space="preserve"> </v>
      </c>
      <c r="W339" s="691" t="str">
        <f>IF(T339&gt;0,(VLOOKUP(T339,'Lookup Ready-reckoner'!$B$5:$E$1007,4))," ")</f>
        <v xml:space="preserve"> </v>
      </c>
      <c r="X339" s="364"/>
      <c r="Y339" s="364"/>
      <c r="Z339" s="364"/>
      <c r="AA339"/>
      <c r="AB339"/>
      <c r="AC339"/>
    </row>
    <row r="340" spans="17:29" ht="12.75" customHeight="1" thickBot="1">
      <c r="Q340" s="364"/>
      <c r="R340" s="699" t="s">
        <v>839</v>
      </c>
      <c r="S340" s="693"/>
      <c r="T340" s="693"/>
      <c r="U340" s="694">
        <f>IF(T338&gt;0,(VLOOKUP(V340,'Lookup Ready-reckoner'!$L$5:$M$1207,2))," ")</f>
        <v>95.55</v>
      </c>
      <c r="V340" s="695">
        <f>IF(U338&gt;0,(SUM(V338:V339))," ")</f>
        <v>1142.8571428571427</v>
      </c>
      <c r="W340" s="696"/>
      <c r="X340" s="364"/>
      <c r="Y340" s="364"/>
      <c r="Z340" s="364"/>
      <c r="AA340"/>
      <c r="AB340"/>
      <c r="AC340"/>
    </row>
    <row r="341" spans="17:29" ht="12.75" customHeight="1" thickBot="1">
      <c r="Q341" s="364"/>
      <c r="R341" s="892"/>
      <c r="S341" s="893"/>
      <c r="T341" s="893"/>
      <c r="U341" s="893"/>
      <c r="V341" s="893"/>
      <c r="W341" s="894"/>
      <c r="X341" s="364"/>
      <c r="Y341" s="364"/>
      <c r="Z341" s="364"/>
      <c r="AA341"/>
      <c r="AB341"/>
      <c r="AC341"/>
    </row>
    <row r="342" spans="17:29" ht="12.75" customHeight="1">
      <c r="Q342" s="364"/>
      <c r="R342" s="895" t="s">
        <v>886</v>
      </c>
      <c r="S342" s="896"/>
      <c r="T342" s="900" t="s">
        <v>835</v>
      </c>
      <c r="U342" s="900" t="s">
        <v>836</v>
      </c>
      <c r="V342" s="900" t="s">
        <v>837</v>
      </c>
      <c r="W342" s="902" t="s">
        <v>838</v>
      </c>
      <c r="X342" s="364"/>
      <c r="Y342" s="364"/>
      <c r="Z342" s="364"/>
      <c r="AA342"/>
      <c r="AB342"/>
      <c r="AC342"/>
    </row>
    <row r="343" spans="17:29" ht="12.75" customHeight="1">
      <c r="Q343" s="364"/>
      <c r="R343" s="892"/>
      <c r="S343" s="897"/>
      <c r="T343" s="901"/>
      <c r="U343" s="901"/>
      <c r="V343" s="901"/>
      <c r="W343" s="903"/>
      <c r="X343" s="364"/>
      <c r="Y343" s="364"/>
      <c r="Z343" s="364"/>
      <c r="AA343"/>
      <c r="AB343"/>
      <c r="AC343"/>
    </row>
    <row r="344" spans="17:29" ht="12.75" customHeight="1">
      <c r="Q344" s="364"/>
      <c r="R344" s="892"/>
      <c r="S344" s="897"/>
      <c r="T344" s="689">
        <f>T331-PPE!$I$15</f>
        <v>98.870400000000004</v>
      </c>
      <c r="U344" s="560">
        <f>U338</f>
        <v>1.4285714285714284</v>
      </c>
      <c r="V344" s="690">
        <f>IF(T344&gt;0,W344*U344," ")</f>
        <v>433.03571428571422</v>
      </c>
      <c r="W344" s="691">
        <f>IF(T344&gt;0,(VLOOKUP(T344,'Lookup Ready-reckoner'!$B$5:$E$1207,4))," ")</f>
        <v>303.125</v>
      </c>
      <c r="X344" s="364"/>
      <c r="Y344" s="364"/>
      <c r="Z344" s="364"/>
      <c r="AA344"/>
      <c r="AB344"/>
      <c r="AC344"/>
    </row>
    <row r="345" spans="17:29" ht="12.75" customHeight="1">
      <c r="Q345" s="364"/>
      <c r="R345" s="898"/>
      <c r="S345" s="899"/>
      <c r="T345" s="447"/>
      <c r="U345" s="560"/>
      <c r="V345" s="690" t="str">
        <f>IF(T345&gt;0,W345*U345," ")</f>
        <v xml:space="preserve"> </v>
      </c>
      <c r="W345" s="691" t="str">
        <f>IF(T345&gt;0,(VLOOKUP(T345,'Lookup Ready-reckoner'!$B$5:$E$1007,4))," ")</f>
        <v xml:space="preserve"> </v>
      </c>
      <c r="X345" s="364"/>
      <c r="Y345" s="364"/>
      <c r="Z345" s="364"/>
      <c r="AA345"/>
      <c r="AB345"/>
      <c r="AC345"/>
    </row>
    <row r="346" spans="17:29" ht="12.75" customHeight="1" thickBot="1">
      <c r="Q346" s="364"/>
      <c r="R346" s="692" t="s">
        <v>839</v>
      </c>
      <c r="S346" s="693"/>
      <c r="T346" s="693"/>
      <c r="U346" s="694">
        <f>IF(T344&gt;0,(VLOOKUP(V346,'Lookup Ready-reckoner'!$L$5:$M$1207,2))," ")</f>
        <v>91.3</v>
      </c>
      <c r="V346" s="695">
        <f>IF(U344&gt;0,(SUM(V344:V345))," ")</f>
        <v>433.03571428571422</v>
      </c>
      <c r="W346" s="696"/>
      <c r="X346" s="364"/>
      <c r="Y346" s="364"/>
      <c r="Z346" s="364"/>
      <c r="AA346"/>
      <c r="AB346"/>
      <c r="AC346"/>
    </row>
    <row r="347" spans="17:29" ht="12.75" customHeight="1">
      <c r="Q347" s="364"/>
      <c r="R347" s="363"/>
      <c r="S347" s="363"/>
      <c r="T347" s="363"/>
      <c r="U347" s="363"/>
      <c r="V347" s="363"/>
      <c r="W347" s="363"/>
      <c r="X347" s="364"/>
      <c r="Y347" s="364"/>
      <c r="Z347" s="364"/>
      <c r="AA347"/>
      <c r="AB347"/>
      <c r="AC347"/>
    </row>
    <row r="348" spans="17:29" ht="12.75" customHeight="1" thickBot="1">
      <c r="Q348" s="364"/>
      <c r="R348" s="915" t="str">
        <f>T306</f>
        <v>Seco S215 Muffled</v>
      </c>
      <c r="S348" s="915"/>
      <c r="T348" s="915"/>
      <c r="U348" s="915"/>
      <c r="V348" s="915"/>
      <c r="W348" s="915"/>
      <c r="X348" s="364"/>
      <c r="Y348" s="363"/>
      <c r="Z348" s="363"/>
      <c r="AA348"/>
      <c r="AB348"/>
      <c r="AC348"/>
    </row>
    <row r="349" spans="17:29" ht="12.75" customHeight="1" thickBot="1">
      <c r="Q349" s="364"/>
      <c r="R349" s="906" t="s">
        <v>205</v>
      </c>
      <c r="S349" s="907"/>
      <c r="T349" s="907"/>
      <c r="U349" s="907"/>
      <c r="V349" s="907"/>
      <c r="W349" s="908"/>
      <c r="X349" s="364"/>
      <c r="Y349" s="363"/>
      <c r="Z349" s="363"/>
      <c r="AA349"/>
      <c r="AB349"/>
      <c r="AC349"/>
    </row>
    <row r="350" spans="17:29" ht="12.75" customHeight="1" thickBot="1">
      <c r="Q350" s="364"/>
      <c r="R350" s="686" t="s">
        <v>59</v>
      </c>
      <c r="S350" s="577"/>
      <c r="T350" s="687"/>
      <c r="U350" s="687"/>
      <c r="V350" s="687"/>
      <c r="W350" s="688"/>
      <c r="X350" s="364"/>
      <c r="Y350" s="363"/>
      <c r="Z350" s="363"/>
      <c r="AA350"/>
      <c r="AB350"/>
      <c r="AC350"/>
    </row>
    <row r="351" spans="17:29" ht="12.75" customHeight="1">
      <c r="Q351" s="364"/>
      <c r="R351" s="895" t="s">
        <v>845</v>
      </c>
      <c r="S351" s="896"/>
      <c r="T351" s="900" t="s">
        <v>835</v>
      </c>
      <c r="U351" s="900" t="s">
        <v>836</v>
      </c>
      <c r="V351" s="900" t="s">
        <v>837</v>
      </c>
      <c r="W351" s="902" t="s">
        <v>838</v>
      </c>
      <c r="X351" s="364"/>
      <c r="Y351" s="363"/>
      <c r="Z351" s="363"/>
      <c r="AA351"/>
      <c r="AB351"/>
      <c r="AC351"/>
    </row>
    <row r="352" spans="17:29" ht="12.75" customHeight="1">
      <c r="Q352" s="364"/>
      <c r="R352" s="892"/>
      <c r="S352" s="897"/>
      <c r="T352" s="904"/>
      <c r="U352" s="904"/>
      <c r="V352" s="904"/>
      <c r="W352" s="905"/>
      <c r="X352" s="364"/>
      <c r="Y352" s="363"/>
      <c r="Z352" s="363"/>
      <c r="AA352"/>
      <c r="AB352"/>
      <c r="AC352"/>
    </row>
    <row r="353" spans="17:29" ht="12.75" customHeight="1">
      <c r="Q353" s="364"/>
      <c r="R353" s="892"/>
      <c r="S353" s="897"/>
      <c r="T353" s="901"/>
      <c r="U353" s="901"/>
      <c r="V353" s="901"/>
      <c r="W353" s="903"/>
      <c r="X353" s="364"/>
      <c r="Y353" s="363"/>
      <c r="Z353" s="363"/>
      <c r="AA353"/>
      <c r="AB353"/>
      <c r="AC353"/>
    </row>
    <row r="354" spans="17:29" ht="12.75" customHeight="1">
      <c r="Q354" s="364"/>
      <c r="R354" s="892"/>
      <c r="S354" s="897"/>
      <c r="T354" s="700">
        <f>V69</f>
        <v>108</v>
      </c>
      <c r="U354" s="560">
        <f>V62</f>
        <v>1.9999999999999996</v>
      </c>
      <c r="V354" s="690">
        <f>IF(T354&gt;0,W354*U354," ")</f>
        <v>4999.9999999999991</v>
      </c>
      <c r="W354" s="691">
        <f>IF(T354&gt;0,(VLOOKUP(T354,'Lookup Ready-reckoner'!$B$5:$E$1207,4))," ")</f>
        <v>2500</v>
      </c>
      <c r="X354" s="364"/>
      <c r="Y354" s="363"/>
      <c r="Z354" s="363"/>
      <c r="AA354"/>
      <c r="AB354"/>
      <c r="AC354"/>
    </row>
    <row r="355" spans="17:29" ht="12.75" customHeight="1">
      <c r="Q355" s="364"/>
      <c r="R355" s="898"/>
      <c r="S355" s="899"/>
      <c r="T355" s="447"/>
      <c r="U355" s="560"/>
      <c r="V355" s="690" t="str">
        <f>IF(T355&gt;0,W355*U355," ")</f>
        <v xml:space="preserve"> </v>
      </c>
      <c r="W355" s="691" t="str">
        <f>IF(T355&gt;0,(VLOOKUP(T355,'Lookup Ready-reckoner'!$B$5:$E$1007,4))," ")</f>
        <v xml:space="preserve"> </v>
      </c>
      <c r="X355" s="364"/>
      <c r="Y355" s="363"/>
      <c r="Z355" s="363"/>
      <c r="AA355"/>
      <c r="AB355"/>
      <c r="AC355"/>
    </row>
    <row r="356" spans="17:29" ht="12.75" customHeight="1" thickBot="1">
      <c r="Q356" s="364"/>
      <c r="R356" s="699" t="s">
        <v>839</v>
      </c>
      <c r="S356" s="693"/>
      <c r="T356" s="693"/>
      <c r="U356" s="701">
        <f>IF(T354&gt;0,(VLOOKUP(V356,'Lookup Ready-reckoner'!$L$5:$M$1207,2))," ")</f>
        <v>101.95</v>
      </c>
      <c r="V356" s="695">
        <f>IF(U354&gt;0,(SUM(V354:V355))," ")</f>
        <v>4999.9999999999991</v>
      </c>
      <c r="W356" s="696"/>
      <c r="X356" s="364"/>
      <c r="Y356" s="363"/>
      <c r="Z356" s="363"/>
      <c r="AA356"/>
      <c r="AB356"/>
      <c r="AC356"/>
    </row>
    <row r="357" spans="17:29" ht="12.75" customHeight="1" thickBot="1">
      <c r="Q357" s="364"/>
      <c r="R357" s="892"/>
      <c r="S357" s="893"/>
      <c r="T357" s="893"/>
      <c r="U357" s="893"/>
      <c r="V357" s="893"/>
      <c r="W357" s="894"/>
      <c r="X357" s="364"/>
      <c r="Y357" s="363"/>
      <c r="Z357" s="363"/>
      <c r="AA357"/>
      <c r="AB357"/>
      <c r="AC357"/>
    </row>
    <row r="358" spans="17:29" ht="12.75" customHeight="1">
      <c r="Q358" s="364"/>
      <c r="R358" s="895" t="s">
        <v>886</v>
      </c>
      <c r="S358" s="896"/>
      <c r="T358" s="900" t="s">
        <v>835</v>
      </c>
      <c r="U358" s="900" t="s">
        <v>836</v>
      </c>
      <c r="V358" s="900" t="s">
        <v>837</v>
      </c>
      <c r="W358" s="902" t="s">
        <v>838</v>
      </c>
      <c r="X358" s="364"/>
      <c r="Y358" s="363"/>
      <c r="Z358" s="363"/>
      <c r="AA358"/>
      <c r="AB358"/>
      <c r="AC358"/>
    </row>
    <row r="359" spans="17:29" ht="12.75" customHeight="1">
      <c r="Q359" s="364"/>
      <c r="R359" s="892"/>
      <c r="S359" s="897"/>
      <c r="T359" s="901"/>
      <c r="U359" s="901"/>
      <c r="V359" s="901"/>
      <c r="W359" s="903"/>
      <c r="X359" s="364"/>
      <c r="Y359" s="363"/>
      <c r="Z359" s="363"/>
      <c r="AA359"/>
      <c r="AB359"/>
      <c r="AC359"/>
    </row>
    <row r="360" spans="17:29" ht="12.75" customHeight="1">
      <c r="Q360" s="364"/>
      <c r="R360" s="892"/>
      <c r="S360" s="897"/>
      <c r="T360" s="700">
        <f>T354*(1-0.0178*2)</f>
        <v>104.15520000000001</v>
      </c>
      <c r="U360" s="560">
        <f>U354</f>
        <v>1.9999999999999996</v>
      </c>
      <c r="V360" s="690">
        <f>IF(T360&gt;0,W360*U360," ")</f>
        <v>2074.9999999999995</v>
      </c>
      <c r="W360" s="691">
        <f>IF(T360&gt;0,(VLOOKUP(T360,'Lookup Ready-reckoner'!$B$5:$E$1207,4))," ")</f>
        <v>1037.5</v>
      </c>
      <c r="X360" s="364"/>
      <c r="Y360" s="363"/>
      <c r="Z360" s="363"/>
      <c r="AA360"/>
      <c r="AB360"/>
      <c r="AC360"/>
    </row>
    <row r="361" spans="17:29" ht="12.75" customHeight="1">
      <c r="Q361" s="364"/>
      <c r="R361" s="898"/>
      <c r="S361" s="899"/>
      <c r="T361" s="447"/>
      <c r="U361" s="560"/>
      <c r="V361" s="690" t="str">
        <f>IF(T361&gt;0,W361*U361," ")</f>
        <v xml:space="preserve"> </v>
      </c>
      <c r="W361" s="691" t="str">
        <f>IF(T361&gt;0,(VLOOKUP(T361,'Lookup Ready-reckoner'!$B$5:$E$1007,4))," ")</f>
        <v xml:space="preserve"> </v>
      </c>
      <c r="X361" s="364"/>
      <c r="Y361" s="363"/>
      <c r="Z361" s="363"/>
      <c r="AA361"/>
      <c r="AB361"/>
      <c r="AC361"/>
    </row>
    <row r="362" spans="17:29" ht="12.75" customHeight="1" thickBot="1">
      <c r="Q362" s="364"/>
      <c r="R362" s="692" t="s">
        <v>839</v>
      </c>
      <c r="S362" s="693"/>
      <c r="T362" s="693"/>
      <c r="U362" s="701">
        <f>IF(T360&gt;0,(VLOOKUP(V362,'Lookup Ready-reckoner'!$L$5:$M$1207,2))," ")</f>
        <v>98.1</v>
      </c>
      <c r="V362" s="695">
        <f>IF(U360&gt;0,(SUM(V360:V361))," ")</f>
        <v>2074.9999999999995</v>
      </c>
      <c r="W362" s="696"/>
      <c r="X362" s="364"/>
      <c r="Y362" s="363"/>
      <c r="Z362" s="363"/>
      <c r="AA362"/>
      <c r="AB362"/>
      <c r="AC362"/>
    </row>
    <row r="363" spans="17:29" ht="12.75" customHeight="1">
      <c r="Q363" s="364"/>
      <c r="R363" s="697"/>
      <c r="S363" s="687"/>
      <c r="T363" s="687"/>
      <c r="U363" s="372"/>
      <c r="V363" s="374"/>
      <c r="W363" s="688"/>
      <c r="X363" s="364"/>
      <c r="Y363" s="363"/>
      <c r="Z363" s="363"/>
      <c r="AA363"/>
      <c r="AB363"/>
      <c r="AC363"/>
    </row>
    <row r="364" spans="17:29" ht="12.75" customHeight="1" thickBot="1">
      <c r="Q364" s="364"/>
      <c r="R364" s="686" t="s">
        <v>60</v>
      </c>
      <c r="S364" s="577"/>
      <c r="T364" s="577"/>
      <c r="U364" s="577"/>
      <c r="V364" s="577"/>
      <c r="W364" s="698"/>
      <c r="X364" s="364"/>
      <c r="Y364" s="363"/>
      <c r="Z364" s="363"/>
      <c r="AA364"/>
      <c r="AB364"/>
      <c r="AC364"/>
    </row>
    <row r="365" spans="17:29" ht="12.75" customHeight="1">
      <c r="Q365" s="364"/>
      <c r="R365" s="895" t="s">
        <v>845</v>
      </c>
      <c r="S365" s="896"/>
      <c r="T365" s="900" t="s">
        <v>835</v>
      </c>
      <c r="U365" s="900" t="s">
        <v>836</v>
      </c>
      <c r="V365" s="900" t="s">
        <v>837</v>
      </c>
      <c r="W365" s="902" t="s">
        <v>838</v>
      </c>
      <c r="X365" s="364"/>
      <c r="Y365" s="363"/>
      <c r="Z365" s="363"/>
      <c r="AA365"/>
      <c r="AB365"/>
      <c r="AC365"/>
    </row>
    <row r="366" spans="17:29" ht="12.75" customHeight="1">
      <c r="Q366" s="364"/>
      <c r="R366" s="892"/>
      <c r="S366" s="897"/>
      <c r="T366" s="901"/>
      <c r="U366" s="901"/>
      <c r="V366" s="901"/>
      <c r="W366" s="903"/>
      <c r="X366" s="364"/>
      <c r="Y366" s="363"/>
      <c r="Z366" s="363"/>
      <c r="AA366"/>
      <c r="AB366"/>
      <c r="AC366"/>
    </row>
    <row r="367" spans="17:29" ht="12.75" customHeight="1">
      <c r="Q367" s="364"/>
      <c r="R367" s="892"/>
      <c r="S367" s="897"/>
      <c r="T367" s="700">
        <f>T354-PPE!$I$15</f>
        <v>95</v>
      </c>
      <c r="U367" s="560">
        <f>U360</f>
        <v>1.9999999999999996</v>
      </c>
      <c r="V367" s="690">
        <f>IF(T367&gt;0,W367*U367," ")</f>
        <v>249.99999999999994</v>
      </c>
      <c r="W367" s="691">
        <f>IF(T367&gt;0,(VLOOKUP(T367,'Lookup Ready-reckoner'!$B$5:$E$1207,4))," ")</f>
        <v>125</v>
      </c>
      <c r="X367" s="364"/>
      <c r="Y367" s="363"/>
      <c r="Z367" s="363"/>
      <c r="AA367"/>
      <c r="AB367"/>
      <c r="AC367"/>
    </row>
    <row r="368" spans="17:29" ht="12.75" customHeight="1">
      <c r="Q368" s="364"/>
      <c r="R368" s="898"/>
      <c r="S368" s="899"/>
      <c r="T368" s="447"/>
      <c r="U368" s="560"/>
      <c r="V368" s="690" t="str">
        <f>IF(T368&gt;0,W368*U368," ")</f>
        <v xml:space="preserve"> </v>
      </c>
      <c r="W368" s="691" t="str">
        <f>IF(T368&gt;0,(VLOOKUP(T368,'Lookup Ready-reckoner'!$B$5:$E$1007,4))," ")</f>
        <v xml:space="preserve"> </v>
      </c>
      <c r="X368" s="364"/>
      <c r="Y368" s="363"/>
      <c r="Z368" s="363"/>
      <c r="AA368"/>
      <c r="AB368"/>
      <c r="AC368"/>
    </row>
    <row r="369" spans="17:29" ht="12.75" customHeight="1" thickBot="1">
      <c r="Q369" s="364"/>
      <c r="R369" s="692" t="s">
        <v>839</v>
      </c>
      <c r="S369" s="693"/>
      <c r="T369" s="693"/>
      <c r="U369" s="701">
        <f>IF(T367&gt;0,(VLOOKUP(V369,'Lookup Ready-reckoner'!$L$5:$M$1207,2))," ")</f>
        <v>88.95</v>
      </c>
      <c r="V369" s="695">
        <f>IF(U367&gt;0,(SUM(V367:V368))," ")</f>
        <v>249.99999999999994</v>
      </c>
      <c r="W369" s="696"/>
      <c r="X369" s="364"/>
      <c r="Y369" s="363"/>
      <c r="Z369" s="363"/>
      <c r="AA369"/>
      <c r="AB369"/>
      <c r="AC369"/>
    </row>
    <row r="370" spans="17:29" ht="12.75" customHeight="1" thickBot="1">
      <c r="Q370" s="364"/>
      <c r="R370" s="892"/>
      <c r="S370" s="893"/>
      <c r="T370" s="893"/>
      <c r="U370" s="893"/>
      <c r="V370" s="893"/>
      <c r="W370" s="894"/>
      <c r="X370" s="364"/>
      <c r="Y370" s="363"/>
      <c r="Z370" s="363"/>
      <c r="AA370"/>
      <c r="AB370"/>
      <c r="AC370"/>
    </row>
    <row r="371" spans="17:29" ht="12.75" customHeight="1">
      <c r="Q371" s="364"/>
      <c r="R371" s="895" t="s">
        <v>886</v>
      </c>
      <c r="S371" s="896"/>
      <c r="T371" s="900" t="s">
        <v>835</v>
      </c>
      <c r="U371" s="900" t="s">
        <v>836</v>
      </c>
      <c r="V371" s="900" t="s">
        <v>837</v>
      </c>
      <c r="W371" s="902" t="s">
        <v>838</v>
      </c>
      <c r="X371" s="364"/>
      <c r="Y371" s="363"/>
      <c r="Z371" s="363"/>
      <c r="AA371"/>
      <c r="AB371"/>
      <c r="AC371"/>
    </row>
    <row r="372" spans="17:29" ht="12.75" customHeight="1">
      <c r="Q372" s="364"/>
      <c r="R372" s="892"/>
      <c r="S372" s="897"/>
      <c r="T372" s="901"/>
      <c r="U372" s="901"/>
      <c r="V372" s="901"/>
      <c r="W372" s="903"/>
      <c r="X372" s="364"/>
      <c r="Y372" s="363"/>
      <c r="Z372" s="363"/>
      <c r="AA372"/>
      <c r="AB372"/>
      <c r="AC372"/>
    </row>
    <row r="373" spans="17:29" ht="12.75" customHeight="1">
      <c r="Q373" s="364"/>
      <c r="R373" s="892"/>
      <c r="S373" s="897"/>
      <c r="T373" s="700">
        <f>T360-PPE!$I$15</f>
        <v>91.155200000000008</v>
      </c>
      <c r="U373" s="560">
        <f>U367</f>
        <v>1.9999999999999996</v>
      </c>
      <c r="V373" s="690">
        <f>IF(T373&gt;0,W373*U373," ")</f>
        <v>103.74999999999997</v>
      </c>
      <c r="W373" s="691">
        <f>IF(T373&gt;0,(VLOOKUP(T373,'Lookup Ready-reckoner'!$B$5:$E$1207,4))," ")</f>
        <v>51.875</v>
      </c>
      <c r="X373" s="364"/>
      <c r="Y373" s="363"/>
      <c r="Z373" s="363"/>
      <c r="AA373"/>
      <c r="AB373"/>
      <c r="AC373"/>
    </row>
    <row r="374" spans="17:29" ht="12.75" customHeight="1">
      <c r="Q374" s="364"/>
      <c r="R374" s="898"/>
      <c r="S374" s="899"/>
      <c r="T374" s="447"/>
      <c r="U374" s="560"/>
      <c r="V374" s="690" t="str">
        <f>IF(T374&gt;0,W374*U374," ")</f>
        <v xml:space="preserve"> </v>
      </c>
      <c r="W374" s="691" t="str">
        <f>IF(T374&gt;0,(VLOOKUP(T374,'Lookup Ready-reckoner'!$B$5:$E$1007,4))," ")</f>
        <v xml:space="preserve"> </v>
      </c>
      <c r="X374" s="364"/>
      <c r="Y374" s="363"/>
      <c r="Z374" s="363"/>
      <c r="AA374"/>
      <c r="AB374"/>
      <c r="AC374"/>
    </row>
    <row r="375" spans="17:29" ht="12.75" customHeight="1" thickBot="1">
      <c r="Q375" s="364"/>
      <c r="R375" s="692" t="s">
        <v>839</v>
      </c>
      <c r="S375" s="693"/>
      <c r="T375" s="693"/>
      <c r="U375" s="701">
        <f>IF(T373&gt;0,(VLOOKUP(V375,'Lookup Ready-reckoner'!$L$5:$M$1207,2))," ")</f>
        <v>85.1</v>
      </c>
      <c r="V375" s="695">
        <f>IF(U373&gt;0,(SUM(V373:V374))," ")</f>
        <v>103.74999999999997</v>
      </c>
      <c r="W375" s="696"/>
      <c r="X375" s="364"/>
      <c r="Y375" s="363"/>
      <c r="Z375" s="363"/>
      <c r="AA375"/>
      <c r="AB375"/>
      <c r="AC375"/>
    </row>
    <row r="376" spans="17:29" ht="12.75" customHeight="1">
      <c r="Q376" s="364"/>
      <c r="R376" s="363"/>
      <c r="S376" s="363"/>
      <c r="T376" s="363"/>
      <c r="U376" s="363"/>
      <c r="V376" s="363"/>
      <c r="W376" s="363"/>
      <c r="X376" s="364"/>
      <c r="Y376" s="364"/>
      <c r="Z376" s="364"/>
      <c r="AA376"/>
      <c r="AB376"/>
      <c r="AC376"/>
    </row>
    <row r="377" spans="17:29" ht="12.75" customHeight="1">
      <c r="Q377" s="364"/>
      <c r="R377" s="913" t="str">
        <f>U306</f>
        <v>Sulzer ADDS</v>
      </c>
      <c r="S377" s="914"/>
      <c r="T377" s="914"/>
      <c r="U377" s="914"/>
      <c r="V377" s="914"/>
      <c r="W377" s="914"/>
      <c r="X377" s="364"/>
      <c r="Y377" s="363"/>
      <c r="Z377" s="363"/>
      <c r="AA377"/>
      <c r="AB377"/>
      <c r="AC377"/>
    </row>
    <row r="378" spans="17:29" ht="12.75" customHeight="1" thickBot="1">
      <c r="Q378" s="364"/>
      <c r="R378" s="910" t="s">
        <v>205</v>
      </c>
      <c r="S378" s="911"/>
      <c r="T378" s="911"/>
      <c r="U378" s="911"/>
      <c r="V378" s="911"/>
      <c r="W378" s="912"/>
      <c r="X378" s="364"/>
      <c r="Y378" s="363"/>
      <c r="Z378" s="363"/>
      <c r="AA378"/>
      <c r="AB378"/>
      <c r="AC378"/>
    </row>
    <row r="379" spans="17:29" ht="12.75" customHeight="1" thickBot="1">
      <c r="Q379" s="364"/>
      <c r="R379" s="686" t="s">
        <v>59</v>
      </c>
      <c r="S379" s="577"/>
      <c r="T379" s="687"/>
      <c r="U379" s="687"/>
      <c r="V379" s="687"/>
      <c r="W379" s="688"/>
      <c r="X379" s="364"/>
      <c r="Y379" s="363"/>
      <c r="Z379" s="363"/>
      <c r="AA379"/>
      <c r="AB379"/>
      <c r="AC379"/>
    </row>
    <row r="380" spans="17:29" ht="12.75" customHeight="1">
      <c r="Q380" s="364"/>
      <c r="R380" s="895" t="s">
        <v>845</v>
      </c>
      <c r="S380" s="896"/>
      <c r="T380" s="900" t="s">
        <v>835</v>
      </c>
      <c r="U380" s="900" t="s">
        <v>836</v>
      </c>
      <c r="V380" s="900" t="s">
        <v>837</v>
      </c>
      <c r="W380" s="902" t="s">
        <v>838</v>
      </c>
      <c r="X380" s="364"/>
      <c r="Y380" s="363"/>
      <c r="Z380" s="363"/>
      <c r="AA380"/>
      <c r="AB380"/>
      <c r="AC380"/>
    </row>
    <row r="381" spans="17:29" ht="12.75" customHeight="1">
      <c r="Q381" s="364"/>
      <c r="R381" s="892"/>
      <c r="S381" s="897"/>
      <c r="T381" s="904"/>
      <c r="U381" s="904"/>
      <c r="V381" s="904"/>
      <c r="W381" s="905"/>
      <c r="X381" s="364"/>
      <c r="Y381" s="363"/>
      <c r="Z381" s="363"/>
      <c r="AA381"/>
      <c r="AB381"/>
      <c r="AC381"/>
    </row>
    <row r="382" spans="17:29" ht="12.75" customHeight="1">
      <c r="Q382" s="364"/>
      <c r="R382" s="892"/>
      <c r="S382" s="897"/>
      <c r="T382" s="901"/>
      <c r="U382" s="901"/>
      <c r="V382" s="901"/>
      <c r="W382" s="903"/>
      <c r="X382" s="364"/>
      <c r="Y382" s="363"/>
      <c r="Z382" s="363"/>
      <c r="AA382"/>
      <c r="AB382"/>
      <c r="AC382"/>
    </row>
    <row r="383" spans="17:29" ht="12.75" customHeight="1">
      <c r="Q383" s="364"/>
      <c r="R383" s="892"/>
      <c r="S383" s="897"/>
      <c r="T383" s="702">
        <f>W69</f>
        <v>109</v>
      </c>
      <c r="U383" s="560">
        <f>W62</f>
        <v>1.7391304347826084</v>
      </c>
      <c r="V383" s="690">
        <f>IF(T383&gt;0,W383*U383," ")</f>
        <v>5565.2173913043471</v>
      </c>
      <c r="W383" s="691">
        <f>IF(T383&gt;0,(VLOOKUP(T383,'Lookup Ready-reckoner'!$B$5:$E$1207,4))," ")</f>
        <v>3200</v>
      </c>
      <c r="X383" s="364"/>
      <c r="Y383" s="363"/>
      <c r="Z383" s="363"/>
      <c r="AA383"/>
      <c r="AB383"/>
      <c r="AC383"/>
    </row>
    <row r="384" spans="17:29" ht="12.75" customHeight="1">
      <c r="Q384" s="364"/>
      <c r="R384" s="898"/>
      <c r="S384" s="899"/>
      <c r="T384" s="447"/>
      <c r="U384" s="560"/>
      <c r="V384" s="690" t="str">
        <f>IF(T384&gt;0,W384*U384," ")</f>
        <v xml:space="preserve"> </v>
      </c>
      <c r="W384" s="691" t="str">
        <f>IF(T384&gt;0,(VLOOKUP(T384,'Lookup Ready-reckoner'!$B$5:$E$1007,4))," ")</f>
        <v xml:space="preserve"> </v>
      </c>
      <c r="X384" s="364"/>
      <c r="Y384" s="363"/>
      <c r="Z384" s="363"/>
      <c r="AA384"/>
      <c r="AB384"/>
      <c r="AC384"/>
    </row>
    <row r="385" spans="17:29" ht="12.75" customHeight="1" thickBot="1">
      <c r="Q385" s="364"/>
      <c r="R385" s="692" t="s">
        <v>839</v>
      </c>
      <c r="S385" s="693"/>
      <c r="T385" s="693"/>
      <c r="U385" s="703">
        <f>IF(T383&gt;0,(VLOOKUP(V385,'Lookup Ready-reckoner'!$L$5:$M$1207,2))," ")</f>
        <v>102.4</v>
      </c>
      <c r="V385" s="695">
        <f>IF(U383&gt;0,(SUM(V383:V384))," ")</f>
        <v>5565.2173913043471</v>
      </c>
      <c r="W385" s="696"/>
      <c r="X385" s="364"/>
      <c r="Y385" s="363"/>
      <c r="Z385" s="363"/>
      <c r="AA385"/>
      <c r="AB385"/>
      <c r="AC385"/>
    </row>
    <row r="386" spans="17:29" ht="12.75" customHeight="1" thickBot="1">
      <c r="Q386" s="364"/>
      <c r="R386" s="892"/>
      <c r="S386" s="893"/>
      <c r="T386" s="893"/>
      <c r="U386" s="893"/>
      <c r="V386" s="893"/>
      <c r="W386" s="894"/>
      <c r="X386" s="364"/>
      <c r="Y386" s="363"/>
      <c r="Z386" s="363"/>
      <c r="AA386"/>
      <c r="AB386"/>
      <c r="AC386"/>
    </row>
    <row r="387" spans="17:29" ht="12.75" customHeight="1">
      <c r="Q387" s="364"/>
      <c r="R387" s="895" t="s">
        <v>886</v>
      </c>
      <c r="S387" s="896"/>
      <c r="T387" s="900" t="s">
        <v>835</v>
      </c>
      <c r="U387" s="900" t="s">
        <v>836</v>
      </c>
      <c r="V387" s="900" t="s">
        <v>837</v>
      </c>
      <c r="W387" s="902" t="s">
        <v>838</v>
      </c>
      <c r="X387" s="364"/>
      <c r="Y387" s="363"/>
      <c r="Z387" s="363"/>
      <c r="AA387"/>
      <c r="AB387"/>
      <c r="AC387"/>
    </row>
    <row r="388" spans="17:29" ht="12.75" customHeight="1">
      <c r="Q388" s="364"/>
      <c r="R388" s="892"/>
      <c r="S388" s="897"/>
      <c r="T388" s="901"/>
      <c r="U388" s="901"/>
      <c r="V388" s="901"/>
      <c r="W388" s="903"/>
      <c r="X388" s="364"/>
      <c r="Y388" s="363"/>
      <c r="Z388" s="363"/>
      <c r="AA388"/>
      <c r="AB388"/>
      <c r="AC388"/>
    </row>
    <row r="389" spans="17:29" ht="12.75" customHeight="1">
      <c r="Q389" s="364"/>
      <c r="R389" s="892"/>
      <c r="S389" s="897"/>
      <c r="T389" s="702">
        <f>T383*(1-0.0178*2)</f>
        <v>105.11960000000001</v>
      </c>
      <c r="U389" s="560">
        <f>U383</f>
        <v>1.7391304347826084</v>
      </c>
      <c r="V389" s="690">
        <f>IF(T389&gt;0,W389*U389," ")</f>
        <v>2234.782608695652</v>
      </c>
      <c r="W389" s="691">
        <f>IF(T389&gt;0,(VLOOKUP(T389,'Lookup Ready-reckoner'!$B$5:$E$1207,4))," ")</f>
        <v>1285</v>
      </c>
      <c r="X389" s="364"/>
      <c r="Y389" s="363"/>
      <c r="Z389" s="363"/>
      <c r="AA389"/>
      <c r="AB389"/>
      <c r="AC389"/>
    </row>
    <row r="390" spans="17:29" ht="12.75" customHeight="1">
      <c r="Q390" s="364"/>
      <c r="R390" s="898"/>
      <c r="S390" s="899"/>
      <c r="T390" s="447"/>
      <c r="U390" s="560"/>
      <c r="V390" s="690" t="str">
        <f>IF(T390&gt;0,W390*U390," ")</f>
        <v xml:space="preserve"> </v>
      </c>
      <c r="W390" s="691" t="str">
        <f>IF(T390&gt;0,(VLOOKUP(T390,'Lookup Ready-reckoner'!$B$5:$E$1007,4))," ")</f>
        <v xml:space="preserve"> </v>
      </c>
      <c r="X390" s="364"/>
      <c r="Y390" s="363"/>
      <c r="Z390" s="363"/>
      <c r="AA390"/>
      <c r="AB390"/>
      <c r="AC390"/>
    </row>
    <row r="391" spans="17:29" ht="12.75" customHeight="1" thickBot="1">
      <c r="Q391" s="364"/>
      <c r="R391" s="692" t="s">
        <v>839</v>
      </c>
      <c r="S391" s="693"/>
      <c r="T391" s="693"/>
      <c r="U391" s="703">
        <f>IF(T389&gt;0,(VLOOKUP(V391,'Lookup Ready-reckoner'!$L$5:$M$1207,2))," ")</f>
        <v>98.45</v>
      </c>
      <c r="V391" s="695">
        <f>IF(U389&gt;0,(SUM(V389:V390))," ")</f>
        <v>2234.782608695652</v>
      </c>
      <c r="W391" s="696"/>
      <c r="X391" s="364"/>
      <c r="Y391" s="363"/>
      <c r="Z391" s="363"/>
      <c r="AA391"/>
      <c r="AB391"/>
      <c r="AC391"/>
    </row>
    <row r="392" spans="17:29" ht="12.75" customHeight="1">
      <c r="Q392" s="364"/>
      <c r="R392" s="697"/>
      <c r="S392" s="687"/>
      <c r="T392" s="687"/>
      <c r="U392" s="372"/>
      <c r="V392" s="374"/>
      <c r="W392" s="688"/>
      <c r="X392" s="364"/>
      <c r="Y392" s="363"/>
      <c r="Z392" s="363"/>
      <c r="AA392"/>
      <c r="AB392"/>
      <c r="AC392"/>
    </row>
    <row r="393" spans="17:29" ht="12.75" customHeight="1" thickBot="1">
      <c r="Q393" s="364"/>
      <c r="R393" s="686" t="s">
        <v>60</v>
      </c>
      <c r="S393" s="577"/>
      <c r="T393" s="577"/>
      <c r="U393" s="577"/>
      <c r="V393" s="577"/>
      <c r="W393" s="698"/>
      <c r="X393" s="364"/>
      <c r="Y393" s="363"/>
      <c r="Z393" s="363"/>
      <c r="AA393"/>
      <c r="AB393"/>
      <c r="AC393"/>
    </row>
    <row r="394" spans="17:29" ht="12.75" customHeight="1">
      <c r="Q394" s="364"/>
      <c r="R394" s="895" t="s">
        <v>845</v>
      </c>
      <c r="S394" s="896"/>
      <c r="T394" s="900" t="s">
        <v>835</v>
      </c>
      <c r="U394" s="900" t="s">
        <v>836</v>
      </c>
      <c r="V394" s="900" t="s">
        <v>837</v>
      </c>
      <c r="W394" s="902" t="s">
        <v>838</v>
      </c>
      <c r="X394" s="364"/>
      <c r="Y394" s="363"/>
      <c r="Z394" s="363"/>
      <c r="AA394"/>
      <c r="AB394"/>
      <c r="AC394"/>
    </row>
    <row r="395" spans="17:29" ht="12.75" customHeight="1">
      <c r="Q395" s="364"/>
      <c r="R395" s="892"/>
      <c r="S395" s="897"/>
      <c r="T395" s="901"/>
      <c r="U395" s="901"/>
      <c r="V395" s="901"/>
      <c r="W395" s="903"/>
      <c r="X395" s="364"/>
      <c r="Y395" s="363"/>
      <c r="Z395" s="363"/>
      <c r="AA395"/>
      <c r="AB395"/>
      <c r="AC395"/>
    </row>
    <row r="396" spans="17:29" ht="12.75" customHeight="1">
      <c r="Q396" s="364"/>
      <c r="R396" s="892"/>
      <c r="S396" s="897"/>
      <c r="T396" s="702">
        <f>T383-PPE!$I$15</f>
        <v>96</v>
      </c>
      <c r="U396" s="560">
        <f>U389</f>
        <v>1.7391304347826084</v>
      </c>
      <c r="V396" s="690">
        <f>IF(T396&gt;0,W396*U396," ")</f>
        <v>271.73913043478257</v>
      </c>
      <c r="W396" s="691">
        <f>IF(T396&gt;0,(VLOOKUP(T396,'Lookup Ready-reckoner'!$B$5:$E$1207,4))," ")</f>
        <v>156.25</v>
      </c>
      <c r="X396" s="364"/>
      <c r="Y396" s="363"/>
      <c r="Z396" s="363"/>
      <c r="AA396"/>
      <c r="AB396"/>
      <c r="AC396"/>
    </row>
    <row r="397" spans="17:29" ht="12.75" customHeight="1">
      <c r="Q397" s="364"/>
      <c r="R397" s="898"/>
      <c r="S397" s="899"/>
      <c r="T397" s="447"/>
      <c r="U397" s="560"/>
      <c r="V397" s="690" t="str">
        <f>IF(T397&gt;0,W397*U397," ")</f>
        <v xml:space="preserve"> </v>
      </c>
      <c r="W397" s="691" t="str">
        <f>IF(T397&gt;0,(VLOOKUP(T397,'Lookup Ready-reckoner'!$B$5:$E$1007,4))," ")</f>
        <v xml:space="preserve"> </v>
      </c>
      <c r="X397" s="364"/>
      <c r="Y397" s="363"/>
      <c r="Z397" s="363"/>
      <c r="AA397"/>
      <c r="AB397"/>
      <c r="AC397"/>
    </row>
    <row r="398" spans="17:29" ht="12.75" customHeight="1" thickBot="1">
      <c r="Q398" s="364"/>
      <c r="R398" s="692" t="s">
        <v>839</v>
      </c>
      <c r="S398" s="693"/>
      <c r="T398" s="693"/>
      <c r="U398" s="703">
        <f>IF(T396&gt;0,(VLOOKUP(V398,'Lookup Ready-reckoner'!$L$5:$M$1207,2))," ")</f>
        <v>89.3</v>
      </c>
      <c r="V398" s="695">
        <f>IF(U396&gt;0,(SUM(V396:V397))," ")</f>
        <v>271.73913043478257</v>
      </c>
      <c r="W398" s="696"/>
      <c r="X398" s="364"/>
      <c r="Y398" s="363"/>
      <c r="Z398" s="363"/>
      <c r="AA398"/>
      <c r="AB398"/>
      <c r="AC398"/>
    </row>
    <row r="399" spans="17:29" ht="12.75" customHeight="1" thickBot="1">
      <c r="Q399" s="364"/>
      <c r="R399" s="892"/>
      <c r="S399" s="893"/>
      <c r="T399" s="893"/>
      <c r="U399" s="893"/>
      <c r="V399" s="893"/>
      <c r="W399" s="894"/>
      <c r="X399" s="364"/>
      <c r="Y399" s="363"/>
      <c r="Z399" s="363"/>
      <c r="AA399"/>
      <c r="AB399"/>
      <c r="AC399"/>
    </row>
    <row r="400" spans="17:29" ht="12.75" customHeight="1">
      <c r="Q400" s="364"/>
      <c r="R400" s="895" t="s">
        <v>886</v>
      </c>
      <c r="S400" s="896"/>
      <c r="T400" s="900" t="s">
        <v>835</v>
      </c>
      <c r="U400" s="900" t="s">
        <v>836</v>
      </c>
      <c r="V400" s="900" t="s">
        <v>837</v>
      </c>
      <c r="W400" s="902" t="s">
        <v>838</v>
      </c>
      <c r="X400" s="364"/>
      <c r="Y400" s="363"/>
      <c r="Z400" s="363"/>
      <c r="AA400"/>
      <c r="AB400"/>
      <c r="AC400"/>
    </row>
    <row r="401" spans="17:29" ht="12.75" customHeight="1">
      <c r="Q401" s="364"/>
      <c r="R401" s="892"/>
      <c r="S401" s="897"/>
      <c r="T401" s="901"/>
      <c r="U401" s="901"/>
      <c r="V401" s="901"/>
      <c r="W401" s="903"/>
      <c r="X401" s="364"/>
      <c r="Y401" s="363"/>
      <c r="Z401" s="363"/>
      <c r="AA401"/>
      <c r="AB401"/>
      <c r="AC401"/>
    </row>
    <row r="402" spans="17:29" ht="12.75" customHeight="1">
      <c r="Q402" s="364"/>
      <c r="R402" s="892"/>
      <c r="S402" s="897"/>
      <c r="T402" s="702">
        <f>T389-PPE!$I$15</f>
        <v>92.119600000000005</v>
      </c>
      <c r="U402" s="560">
        <f>U396</f>
        <v>1.7391304347826084</v>
      </c>
      <c r="V402" s="690">
        <f>IF(T402&gt;0,W402*U402," ")</f>
        <v>111.52173913043477</v>
      </c>
      <c r="W402" s="691">
        <f>IF(T402&gt;0,(VLOOKUP(T402,'Lookup Ready-reckoner'!$B$5:$E$1207,4))," ")</f>
        <v>64.125</v>
      </c>
      <c r="X402" s="364"/>
      <c r="Y402" s="363"/>
      <c r="Z402" s="363"/>
      <c r="AA402"/>
      <c r="AB402"/>
      <c r="AC402"/>
    </row>
    <row r="403" spans="17:29" ht="12.75" customHeight="1">
      <c r="Q403" s="364"/>
      <c r="R403" s="898"/>
      <c r="S403" s="899"/>
      <c r="T403" s="447"/>
      <c r="U403" s="560"/>
      <c r="V403" s="690" t="str">
        <f>IF(T403&gt;0,W403*U403," ")</f>
        <v xml:space="preserve"> </v>
      </c>
      <c r="W403" s="691" t="str">
        <f>IF(T403&gt;0,(VLOOKUP(T403,'Lookup Ready-reckoner'!$B$5:$E$1007,4))," ")</f>
        <v xml:space="preserve"> </v>
      </c>
      <c r="X403" s="364"/>
      <c r="Y403" s="363"/>
      <c r="Z403" s="363"/>
      <c r="AA403"/>
      <c r="AB403"/>
      <c r="AC403"/>
    </row>
    <row r="404" spans="17:29" ht="12.75" customHeight="1" thickBot="1">
      <c r="Q404" s="364"/>
      <c r="R404" s="692" t="s">
        <v>839</v>
      </c>
      <c r="S404" s="693"/>
      <c r="T404" s="693"/>
      <c r="U404" s="703">
        <f>IF(T402&gt;0,(VLOOKUP(V404,'Lookup Ready-reckoner'!$L$5:$M$1207,2))," ")</f>
        <v>85.45</v>
      </c>
      <c r="V404" s="695">
        <f>IF(U402&gt;0,(SUM(V402:V403))," ")</f>
        <v>111.52173913043477</v>
      </c>
      <c r="W404" s="696"/>
      <c r="X404" s="364"/>
      <c r="Y404" s="363"/>
      <c r="Z404" s="363"/>
      <c r="AA404"/>
      <c r="AB404"/>
      <c r="AC404"/>
    </row>
    <row r="405" spans="17:29" ht="12.75" customHeight="1">
      <c r="Q405" s="364"/>
      <c r="R405" s="363"/>
      <c r="S405" s="363"/>
      <c r="T405" s="363"/>
      <c r="U405" s="363"/>
      <c r="V405" s="363"/>
      <c r="W405" s="363"/>
      <c r="X405" s="364"/>
      <c r="Y405" s="364"/>
      <c r="Z405" s="364"/>
      <c r="AA405"/>
      <c r="AB405"/>
      <c r="AC405"/>
    </row>
    <row r="406" spans="17:29" ht="12.75" customHeight="1">
      <c r="Q406" s="364"/>
      <c r="R406" s="909" t="str">
        <f>V306</f>
        <v xml:space="preserve">Hilti TE MD20 </v>
      </c>
      <c r="S406" s="909"/>
      <c r="T406" s="909"/>
      <c r="U406" s="909"/>
      <c r="V406" s="909"/>
      <c r="W406" s="909"/>
      <c r="X406" s="364"/>
      <c r="Y406" s="364"/>
      <c r="Z406" s="364"/>
      <c r="AA406"/>
      <c r="AB406"/>
      <c r="AC406"/>
    </row>
    <row r="407" spans="17:29" ht="12.75" customHeight="1" thickBot="1">
      <c r="Q407" s="364"/>
      <c r="R407" s="910" t="s">
        <v>205</v>
      </c>
      <c r="S407" s="911"/>
      <c r="T407" s="911"/>
      <c r="U407" s="911"/>
      <c r="V407" s="911"/>
      <c r="W407" s="912"/>
      <c r="X407" s="364"/>
      <c r="Y407" s="364"/>
      <c r="Z407" s="364"/>
      <c r="AA407"/>
      <c r="AB407"/>
      <c r="AC407"/>
    </row>
    <row r="408" spans="17:29" ht="12.75" customHeight="1" thickBot="1">
      <c r="Q408" s="364"/>
      <c r="R408" s="686" t="s">
        <v>59</v>
      </c>
      <c r="S408" s="577"/>
      <c r="T408" s="687"/>
      <c r="U408" s="687"/>
      <c r="V408" s="687"/>
      <c r="W408" s="688"/>
      <c r="X408" s="364"/>
      <c r="Y408" s="364"/>
      <c r="Z408" s="364"/>
      <c r="AA408"/>
      <c r="AB408"/>
      <c r="AC408"/>
    </row>
    <row r="409" spans="17:29" ht="12.75" customHeight="1">
      <c r="Q409" s="364"/>
      <c r="R409" s="895" t="s">
        <v>845</v>
      </c>
      <c r="S409" s="896"/>
      <c r="T409" s="900" t="s">
        <v>835</v>
      </c>
      <c r="U409" s="900" t="s">
        <v>836</v>
      </c>
      <c r="V409" s="900" t="s">
        <v>837</v>
      </c>
      <c r="W409" s="902" t="s">
        <v>838</v>
      </c>
      <c r="X409" s="364"/>
      <c r="Y409" s="364"/>
      <c r="Z409" s="364"/>
      <c r="AA409"/>
      <c r="AB409"/>
      <c r="AC409"/>
    </row>
    <row r="410" spans="17:29" ht="12.75" customHeight="1">
      <c r="Q410" s="364"/>
      <c r="R410" s="892"/>
      <c r="S410" s="897"/>
      <c r="T410" s="904"/>
      <c r="U410" s="904"/>
      <c r="V410" s="904"/>
      <c r="W410" s="905"/>
      <c r="X410" s="364"/>
      <c r="Y410" s="364"/>
      <c r="Z410" s="364"/>
      <c r="AA410"/>
      <c r="AB410"/>
      <c r="AC410"/>
    </row>
    <row r="411" spans="17:29" ht="12.75" customHeight="1">
      <c r="Q411" s="364"/>
      <c r="R411" s="892"/>
      <c r="S411" s="897"/>
      <c r="T411" s="901"/>
      <c r="U411" s="901"/>
      <c r="V411" s="901"/>
      <c r="W411" s="903"/>
      <c r="X411" s="364"/>
      <c r="Y411" s="364"/>
      <c r="Z411" s="364"/>
      <c r="AA411"/>
      <c r="AB411"/>
      <c r="AC411"/>
    </row>
    <row r="412" spans="17:29" ht="12.75" customHeight="1">
      <c r="Q412" s="364"/>
      <c r="R412" s="892"/>
      <c r="S412" s="897"/>
      <c r="T412" s="704">
        <f>U69</f>
        <v>102</v>
      </c>
      <c r="U412" s="560">
        <f>U62</f>
        <v>2.6666666666666665</v>
      </c>
      <c r="V412" s="690">
        <f>IF(T412&gt;0,W412*U412," ")</f>
        <v>1666.6666666666665</v>
      </c>
      <c r="W412" s="691">
        <f>IF(T412&gt;0,(VLOOKUP(T412,'Lookup Ready-reckoner'!$B$5:$E$1207,4))," ")</f>
        <v>625</v>
      </c>
      <c r="X412" s="364"/>
      <c r="Y412" s="364"/>
      <c r="Z412" s="364"/>
      <c r="AA412"/>
      <c r="AB412"/>
      <c r="AC412"/>
    </row>
    <row r="413" spans="17:29" ht="12.75" customHeight="1">
      <c r="Q413" s="364"/>
      <c r="R413" s="898"/>
      <c r="S413" s="899"/>
      <c r="T413" s="447"/>
      <c r="U413" s="560"/>
      <c r="V413" s="690" t="str">
        <f>IF(T413&gt;0,W413*U413," ")</f>
        <v xml:space="preserve"> </v>
      </c>
      <c r="W413" s="691" t="str">
        <f>IF(T413&gt;0,(VLOOKUP(T413,'Lookup Ready-reckoner'!$B$5:$E$1007,4))," ")</f>
        <v xml:space="preserve"> </v>
      </c>
      <c r="X413" s="364"/>
      <c r="Y413" s="364"/>
      <c r="Z413" s="364"/>
      <c r="AA413"/>
      <c r="AB413"/>
      <c r="AC413"/>
    </row>
    <row r="414" spans="17:29" ht="12.75" customHeight="1" thickBot="1">
      <c r="Q414" s="364"/>
      <c r="R414" s="692" t="s">
        <v>839</v>
      </c>
      <c r="S414" s="693"/>
      <c r="T414" s="693"/>
      <c r="U414" s="705">
        <f>IF(T412&gt;0,(VLOOKUP(V414,'Lookup Ready-reckoner'!$L$5:$M$1207,2))," ")</f>
        <v>97.15</v>
      </c>
      <c r="V414" s="695">
        <f>IF(U412&gt;0,(SUM(V412:V413))," ")</f>
        <v>1666.6666666666665</v>
      </c>
      <c r="W414" s="696"/>
      <c r="X414" s="364"/>
      <c r="Y414" s="364"/>
      <c r="Z414" s="364"/>
      <c r="AA414"/>
      <c r="AB414"/>
      <c r="AC414"/>
    </row>
    <row r="415" spans="17:29" ht="12.75" customHeight="1" thickBot="1">
      <c r="Q415" s="364"/>
      <c r="R415" s="906"/>
      <c r="S415" s="907"/>
      <c r="T415" s="907"/>
      <c r="U415" s="907"/>
      <c r="V415" s="907"/>
      <c r="W415" s="908"/>
      <c r="X415" s="364"/>
      <c r="Y415" s="364"/>
      <c r="Z415" s="364"/>
      <c r="AA415"/>
      <c r="AB415"/>
      <c r="AC415"/>
    </row>
    <row r="416" spans="17:29" ht="12.75" customHeight="1">
      <c r="Q416" s="364"/>
      <c r="R416" s="895" t="s">
        <v>886</v>
      </c>
      <c r="S416" s="896"/>
      <c r="T416" s="900" t="s">
        <v>835</v>
      </c>
      <c r="U416" s="900" t="s">
        <v>836</v>
      </c>
      <c r="V416" s="900" t="s">
        <v>837</v>
      </c>
      <c r="W416" s="902" t="s">
        <v>838</v>
      </c>
      <c r="X416" s="364"/>
      <c r="Y416" s="364"/>
      <c r="Z416" s="364"/>
      <c r="AA416"/>
      <c r="AB416"/>
      <c r="AC416"/>
    </row>
    <row r="417" spans="17:29" ht="12.75" customHeight="1">
      <c r="Q417" s="364"/>
      <c r="R417" s="892"/>
      <c r="S417" s="897"/>
      <c r="T417" s="901"/>
      <c r="U417" s="901"/>
      <c r="V417" s="901"/>
      <c r="W417" s="903"/>
      <c r="X417" s="364"/>
      <c r="Y417" s="364"/>
      <c r="Z417" s="364"/>
      <c r="AA417"/>
      <c r="AB417"/>
      <c r="AC417"/>
    </row>
    <row r="418" spans="17:29" ht="12.75" customHeight="1">
      <c r="Q418" s="364"/>
      <c r="R418" s="892"/>
      <c r="S418" s="897"/>
      <c r="T418" s="704">
        <f>T412*(1-0.0178*2)</f>
        <v>98.368800000000007</v>
      </c>
      <c r="U418" s="560">
        <f>U412</f>
        <v>2.6666666666666665</v>
      </c>
      <c r="V418" s="690">
        <f>IF(T418&gt;0,W418*U418," ")</f>
        <v>725</v>
      </c>
      <c r="W418" s="691">
        <f>IF(T418&gt;0,(VLOOKUP(T418,'Lookup Ready-reckoner'!$B$5:$E$1207,4))," ")</f>
        <v>271.875</v>
      </c>
      <c r="X418" s="364"/>
      <c r="Y418" s="364"/>
      <c r="Z418" s="364"/>
      <c r="AA418"/>
      <c r="AB418"/>
      <c r="AC418"/>
    </row>
    <row r="419" spans="17:29" ht="12.75" customHeight="1">
      <c r="Q419" s="364"/>
      <c r="R419" s="898"/>
      <c r="S419" s="899"/>
      <c r="T419" s="447"/>
      <c r="U419" s="560"/>
      <c r="V419" s="690" t="str">
        <f>IF(T419&gt;0,W419*U419," ")</f>
        <v xml:space="preserve"> </v>
      </c>
      <c r="W419" s="691" t="str">
        <f>IF(T419&gt;0,(VLOOKUP(T419,'Lookup Ready-reckoner'!$B$5:$E$1007,4))," ")</f>
        <v xml:space="preserve"> </v>
      </c>
      <c r="X419" s="364"/>
      <c r="Y419" s="364"/>
      <c r="Z419" s="364"/>
      <c r="AA419"/>
      <c r="AB419"/>
      <c r="AC419"/>
    </row>
    <row r="420" spans="17:29" ht="12.75" customHeight="1" thickBot="1">
      <c r="Q420" s="364"/>
      <c r="R420" s="692" t="s">
        <v>839</v>
      </c>
      <c r="S420" s="693"/>
      <c r="T420" s="693"/>
      <c r="U420" s="705">
        <f>IF(T418&gt;0,(VLOOKUP(V420,'Lookup Ready-reckoner'!$L$5:$M$1207,2))," ")</f>
        <v>93.55</v>
      </c>
      <c r="V420" s="695">
        <f>IF(U418&gt;0,(SUM(V418:V419))," ")</f>
        <v>725</v>
      </c>
      <c r="W420" s="696"/>
      <c r="X420" s="364"/>
      <c r="Y420" s="364"/>
      <c r="Z420" s="364"/>
      <c r="AA420"/>
      <c r="AB420"/>
      <c r="AC420"/>
    </row>
    <row r="421" spans="17:29" ht="12.75" customHeight="1">
      <c r="Q421" s="364"/>
      <c r="R421" s="697"/>
      <c r="S421" s="687"/>
      <c r="T421" s="687"/>
      <c r="U421" s="372"/>
      <c r="V421" s="374"/>
      <c r="W421" s="688"/>
      <c r="X421" s="364"/>
      <c r="Y421" s="364"/>
      <c r="Z421" s="364"/>
      <c r="AA421"/>
      <c r="AB421"/>
      <c r="AC421"/>
    </row>
    <row r="422" spans="17:29" ht="12.75" customHeight="1" thickBot="1">
      <c r="Q422" s="364"/>
      <c r="R422" s="686" t="s">
        <v>60</v>
      </c>
      <c r="S422" s="577"/>
      <c r="T422" s="577"/>
      <c r="U422" s="577"/>
      <c r="V422" s="577"/>
      <c r="W422" s="698"/>
      <c r="X422" s="364"/>
      <c r="Y422" s="364"/>
      <c r="Z422" s="364"/>
      <c r="AA422"/>
      <c r="AB422"/>
      <c r="AC422"/>
    </row>
    <row r="423" spans="17:29" ht="12.75" customHeight="1">
      <c r="Q423" s="364"/>
      <c r="R423" s="895" t="s">
        <v>845</v>
      </c>
      <c r="S423" s="896"/>
      <c r="T423" s="900" t="s">
        <v>835</v>
      </c>
      <c r="U423" s="900" t="s">
        <v>836</v>
      </c>
      <c r="V423" s="900" t="s">
        <v>837</v>
      </c>
      <c r="W423" s="902" t="s">
        <v>838</v>
      </c>
      <c r="X423" s="364"/>
      <c r="Y423" s="364"/>
      <c r="Z423" s="364"/>
      <c r="AA423"/>
      <c r="AB423"/>
      <c r="AC423"/>
    </row>
    <row r="424" spans="17:29" ht="12.75" customHeight="1">
      <c r="Q424" s="364"/>
      <c r="R424" s="892"/>
      <c r="S424" s="897"/>
      <c r="T424" s="901"/>
      <c r="U424" s="901"/>
      <c r="V424" s="901"/>
      <c r="W424" s="903"/>
      <c r="X424" s="364"/>
      <c r="Y424" s="364"/>
      <c r="Z424" s="364"/>
      <c r="AA424"/>
      <c r="AB424"/>
      <c r="AC424"/>
    </row>
    <row r="425" spans="17:29" ht="12.75" customHeight="1">
      <c r="Q425" s="364"/>
      <c r="R425" s="892"/>
      <c r="S425" s="897"/>
      <c r="T425" s="704">
        <f>T412-PPE!$I$15</f>
        <v>89</v>
      </c>
      <c r="U425" s="560">
        <f>U418</f>
        <v>2.6666666666666665</v>
      </c>
      <c r="V425" s="690">
        <f>IF(T425&gt;0,W425*U425," ")</f>
        <v>83.333333333333329</v>
      </c>
      <c r="W425" s="691">
        <f>IF(T425&gt;0,(VLOOKUP(T425,'Lookup Ready-reckoner'!$B$5:$E$1207,4))," ")</f>
        <v>31.25</v>
      </c>
      <c r="X425" s="364"/>
      <c r="Y425" s="364"/>
      <c r="Z425" s="364"/>
      <c r="AA425"/>
      <c r="AB425"/>
      <c r="AC425"/>
    </row>
    <row r="426" spans="17:29" ht="12.75" customHeight="1">
      <c r="Q426" s="364"/>
      <c r="R426" s="898"/>
      <c r="S426" s="899"/>
      <c r="T426" s="447"/>
      <c r="U426" s="560"/>
      <c r="V426" s="690" t="str">
        <f>IF(T426&gt;0,W426*U426," ")</f>
        <v xml:space="preserve"> </v>
      </c>
      <c r="W426" s="691" t="str">
        <f>IF(T426&gt;0,(VLOOKUP(T426,'Lookup Ready-reckoner'!$B$5:$E$1007,4))," ")</f>
        <v xml:space="preserve"> </v>
      </c>
      <c r="X426" s="364"/>
      <c r="Y426" s="364"/>
      <c r="Z426" s="364"/>
      <c r="AA426"/>
      <c r="AB426"/>
      <c r="AC426"/>
    </row>
    <row r="427" spans="17:29" ht="12.75" customHeight="1" thickBot="1">
      <c r="Q427" s="364"/>
      <c r="R427" s="692" t="s">
        <v>839</v>
      </c>
      <c r="S427" s="693"/>
      <c r="T427" s="693"/>
      <c r="U427" s="705">
        <f>IF(T425&gt;0,(VLOOKUP(V427,'Lookup Ready-reckoner'!$L$5:$M$1207,2))," ")</f>
        <v>84.15</v>
      </c>
      <c r="V427" s="695">
        <f>IF(U425&gt;0,(SUM(V425:V426))," ")</f>
        <v>83.333333333333329</v>
      </c>
      <c r="W427" s="696"/>
      <c r="X427" s="364"/>
      <c r="Y427" s="364"/>
      <c r="Z427" s="364"/>
      <c r="AA427"/>
      <c r="AB427"/>
      <c r="AC427"/>
    </row>
    <row r="428" spans="17:29" ht="12.75" customHeight="1" thickBot="1">
      <c r="Q428" s="364"/>
      <c r="R428" s="892"/>
      <c r="S428" s="893"/>
      <c r="T428" s="893"/>
      <c r="U428" s="893"/>
      <c r="V428" s="893"/>
      <c r="W428" s="894"/>
      <c r="X428" s="364"/>
      <c r="Y428" s="364"/>
      <c r="Z428" s="364"/>
      <c r="AA428"/>
      <c r="AB428"/>
      <c r="AC428"/>
    </row>
    <row r="429" spans="17:29" ht="12.75" customHeight="1">
      <c r="Q429" s="364"/>
      <c r="R429" s="895" t="s">
        <v>886</v>
      </c>
      <c r="S429" s="896"/>
      <c r="T429" s="900" t="s">
        <v>835</v>
      </c>
      <c r="U429" s="900" t="s">
        <v>836</v>
      </c>
      <c r="V429" s="900" t="s">
        <v>837</v>
      </c>
      <c r="W429" s="902" t="s">
        <v>838</v>
      </c>
      <c r="X429" s="364"/>
      <c r="Y429" s="364"/>
      <c r="Z429" s="364"/>
      <c r="AA429"/>
      <c r="AB429"/>
      <c r="AC429"/>
    </row>
    <row r="430" spans="17:29" ht="12.75" customHeight="1">
      <c r="Q430" s="364"/>
      <c r="R430" s="892"/>
      <c r="S430" s="897"/>
      <c r="T430" s="901"/>
      <c r="U430" s="901"/>
      <c r="V430" s="901"/>
      <c r="W430" s="903"/>
      <c r="X430" s="364"/>
      <c r="Y430" s="364"/>
      <c r="Z430" s="364"/>
      <c r="AA430"/>
      <c r="AB430"/>
      <c r="AC430"/>
    </row>
    <row r="431" spans="17:29" ht="12.75" customHeight="1">
      <c r="Q431" s="364"/>
      <c r="R431" s="892"/>
      <c r="S431" s="897"/>
      <c r="T431" s="704">
        <f>T418-PPE!$I$15</f>
        <v>85.368800000000007</v>
      </c>
      <c r="U431" s="560">
        <f>U425</f>
        <v>2.6666666666666665</v>
      </c>
      <c r="V431" s="690">
        <f>IF(T431&gt;0,W431*U431," ")</f>
        <v>36.25</v>
      </c>
      <c r="W431" s="691">
        <f>IF(T431&gt;0,(VLOOKUP(T431,'Lookup Ready-reckoner'!$B$5:$E$1207,4))," ")</f>
        <v>13.59375</v>
      </c>
      <c r="X431" s="364"/>
      <c r="Y431" s="364"/>
      <c r="Z431" s="364"/>
      <c r="AA431"/>
      <c r="AB431"/>
      <c r="AC431"/>
    </row>
    <row r="432" spans="17:29" ht="12.75" customHeight="1">
      <c r="Q432" s="364"/>
      <c r="R432" s="898"/>
      <c r="S432" s="899"/>
      <c r="T432" s="447"/>
      <c r="U432" s="560"/>
      <c r="V432" s="690" t="str">
        <f>IF(T432&gt;0,W432*U432," ")</f>
        <v xml:space="preserve"> </v>
      </c>
      <c r="W432" s="691" t="str">
        <f>IF(T432&gt;0,(VLOOKUP(T432,'Lookup Ready-reckoner'!$B$5:$E$1007,4))," ")</f>
        <v xml:space="preserve"> </v>
      </c>
      <c r="X432" s="364"/>
      <c r="Y432" s="364"/>
      <c r="Z432" s="364"/>
      <c r="AA432"/>
      <c r="AB432"/>
      <c r="AC432"/>
    </row>
    <row r="433" spans="17:29" ht="12.75" customHeight="1" thickBot="1">
      <c r="Q433" s="364"/>
      <c r="R433" s="692" t="s">
        <v>839</v>
      </c>
      <c r="S433" s="693"/>
      <c r="T433" s="693"/>
      <c r="U433" s="705">
        <f>IF(T431&gt;0,(VLOOKUP(V433,'Lookup Ready-reckoner'!$L$5:$M$1207,2))," ")</f>
        <v>80.5</v>
      </c>
      <c r="V433" s="695">
        <f>IF(U431&gt;0,(SUM(V431:V432))," ")</f>
        <v>36.25</v>
      </c>
      <c r="W433" s="696"/>
      <c r="X433" s="364"/>
      <c r="Y433" s="364"/>
      <c r="Z433" s="364"/>
      <c r="AA433"/>
      <c r="AB433"/>
      <c r="AC433"/>
    </row>
    <row r="434" spans="17:29" ht="12.75" customHeight="1" thickBot="1">
      <c r="Q434" s="364"/>
      <c r="R434" s="364"/>
      <c r="S434" s="364"/>
      <c r="T434" s="364"/>
      <c r="U434" s="364"/>
      <c r="V434" s="364"/>
      <c r="W434" s="364"/>
      <c r="X434" s="364"/>
      <c r="Y434" s="364"/>
      <c r="Z434" s="364"/>
      <c r="AA434"/>
      <c r="AB434"/>
      <c r="AC434"/>
    </row>
    <row r="435" spans="17:29" ht="12.75" customHeight="1" thickTop="1">
      <c r="Q435" s="364"/>
      <c r="R435" s="916" t="s">
        <v>429</v>
      </c>
      <c r="S435" s="917"/>
      <c r="T435" s="917"/>
      <c r="U435" s="917"/>
      <c r="V435" s="917"/>
      <c r="W435" s="918"/>
      <c r="X435" s="364"/>
      <c r="Y435" s="364"/>
      <c r="Z435" s="364"/>
      <c r="AA435"/>
      <c r="AB435"/>
      <c r="AC435"/>
    </row>
    <row r="436" spans="17:29" ht="12.75" customHeight="1">
      <c r="Q436" s="364"/>
      <c r="R436" s="919"/>
      <c r="S436" s="920"/>
      <c r="T436" s="920"/>
      <c r="U436" s="920"/>
      <c r="V436" s="920"/>
      <c r="W436" s="921"/>
      <c r="X436" s="364"/>
      <c r="Y436" s="364"/>
      <c r="Z436" s="364"/>
      <c r="AA436"/>
      <c r="AB436"/>
      <c r="AC436"/>
    </row>
    <row r="437" spans="17:29" ht="12.75" customHeight="1" thickBot="1">
      <c r="Q437" s="364"/>
      <c r="R437" s="922"/>
      <c r="S437" s="923"/>
      <c r="T437" s="923"/>
      <c r="U437" s="923"/>
      <c r="V437" s="923"/>
      <c r="W437" s="924"/>
      <c r="X437" s="364"/>
      <c r="Y437" s="364"/>
      <c r="Z437" s="364"/>
      <c r="AA437"/>
      <c r="AB437"/>
      <c r="AC437"/>
    </row>
    <row r="438" spans="17:29" ht="12.75" customHeight="1" thickTop="1">
      <c r="Q438" s="364"/>
      <c r="R438" s="925" t="str">
        <f>R319</f>
        <v>Seco S215</v>
      </c>
      <c r="S438" s="925"/>
      <c r="T438" s="925"/>
      <c r="U438" s="925"/>
      <c r="V438" s="925"/>
      <c r="W438" s="925"/>
      <c r="X438" s="364"/>
      <c r="Y438" s="364"/>
      <c r="Z438" s="364"/>
      <c r="AA438"/>
      <c r="AB438"/>
      <c r="AC438"/>
    </row>
    <row r="439" spans="17:29" ht="12.75" customHeight="1" thickBot="1">
      <c r="Q439" s="364"/>
      <c r="R439" s="910" t="s">
        <v>205</v>
      </c>
      <c r="S439" s="911"/>
      <c r="T439" s="911"/>
      <c r="U439" s="911"/>
      <c r="V439" s="911"/>
      <c r="W439" s="912"/>
      <c r="X439" s="364"/>
      <c r="Y439" s="364"/>
      <c r="Z439" s="364"/>
      <c r="AA439"/>
      <c r="AB439"/>
      <c r="AC439"/>
    </row>
    <row r="440" spans="17:29" ht="12.75" customHeight="1" thickBot="1">
      <c r="Q440" s="364"/>
      <c r="R440" s="686" t="s">
        <v>59</v>
      </c>
      <c r="S440" s="577"/>
      <c r="T440" s="687"/>
      <c r="U440" s="687"/>
      <c r="V440" s="687"/>
      <c r="W440" s="688"/>
      <c r="X440" s="364"/>
      <c r="Y440" s="364"/>
      <c r="Z440" s="364"/>
      <c r="AA440"/>
      <c r="AB440"/>
      <c r="AC440"/>
    </row>
    <row r="441" spans="17:29" ht="12.75" customHeight="1">
      <c r="Q441" s="364"/>
      <c r="R441" s="895" t="s">
        <v>845</v>
      </c>
      <c r="S441" s="896"/>
      <c r="T441" s="900" t="s">
        <v>835</v>
      </c>
      <c r="U441" s="900" t="s">
        <v>836</v>
      </c>
      <c r="V441" s="900" t="s">
        <v>837</v>
      </c>
      <c r="W441" s="902" t="s">
        <v>838</v>
      </c>
      <c r="X441" s="364"/>
      <c r="Y441" s="364"/>
      <c r="Z441" s="364"/>
      <c r="AA441"/>
      <c r="AB441"/>
      <c r="AC441"/>
    </row>
    <row r="442" spans="17:29" ht="12.75" customHeight="1">
      <c r="Q442" s="364"/>
      <c r="R442" s="892"/>
      <c r="S442" s="897"/>
      <c r="T442" s="904"/>
      <c r="U442" s="904"/>
      <c r="V442" s="904"/>
      <c r="W442" s="905"/>
      <c r="X442" s="364"/>
      <c r="Y442" s="364"/>
      <c r="Z442" s="364"/>
      <c r="AA442"/>
      <c r="AB442"/>
      <c r="AC442"/>
    </row>
    <row r="443" spans="17:29" ht="12.75" customHeight="1">
      <c r="Q443" s="364"/>
      <c r="R443" s="892"/>
      <c r="S443" s="897"/>
      <c r="T443" s="901"/>
      <c r="U443" s="901"/>
      <c r="V443" s="901"/>
      <c r="W443" s="903"/>
      <c r="X443" s="364"/>
      <c r="Y443" s="364"/>
      <c r="Z443" s="364"/>
      <c r="AA443"/>
      <c r="AB443"/>
      <c r="AC443"/>
    </row>
    <row r="444" spans="17:29" ht="12.75" customHeight="1">
      <c r="Q444" s="364"/>
      <c r="R444" s="892"/>
      <c r="S444" s="897"/>
      <c r="T444" s="689">
        <f>X76</f>
        <v>122.02059991327964</v>
      </c>
      <c r="U444" s="560">
        <f>X62</f>
        <v>1.4285714285714284</v>
      </c>
      <c r="V444" s="690">
        <f>IF(T444&gt;0,W444*U444," ")</f>
        <v>79999.999999999985</v>
      </c>
      <c r="W444" s="691">
        <f>IF(T444&gt;0,(VLOOKUP(T444,'Lookup Ready-reckoner'!$B$5:$E$1207,4))," ")</f>
        <v>56000</v>
      </c>
      <c r="X444" s="364"/>
      <c r="Y444" s="364"/>
      <c r="Z444" s="364"/>
      <c r="AA444"/>
      <c r="AB444"/>
      <c r="AC444"/>
    </row>
    <row r="445" spans="17:29" ht="12.75" customHeight="1">
      <c r="Q445" s="364"/>
      <c r="R445" s="898"/>
      <c r="S445" s="899"/>
      <c r="T445" s="447"/>
      <c r="U445" s="560"/>
      <c r="V445" s="690" t="str">
        <f>IF(T445&gt;0,W445*U445," ")</f>
        <v xml:space="preserve"> </v>
      </c>
      <c r="W445" s="691" t="str">
        <f>IF(T445&gt;0,(VLOOKUP(T445,'Lookup Ready-reckoner'!$B$5:$E$1007,4))," ")</f>
        <v xml:space="preserve"> </v>
      </c>
      <c r="X445" s="364"/>
      <c r="Y445" s="364"/>
      <c r="Z445" s="364"/>
      <c r="AA445"/>
      <c r="AB445"/>
      <c r="AC445"/>
    </row>
    <row r="446" spans="17:29" ht="12.75" customHeight="1" thickBot="1">
      <c r="Q446" s="364"/>
      <c r="R446" s="692" t="s">
        <v>839</v>
      </c>
      <c r="S446" s="693"/>
      <c r="T446" s="693"/>
      <c r="U446" s="694">
        <f>IF(T444&gt;0,(VLOOKUP(V446,'Lookup Ready-reckoner'!$L$5:$M$1207,2))," ")</f>
        <v>113.95</v>
      </c>
      <c r="V446" s="695">
        <f>IF(U444&gt;0,(SUM(V444:V445))," ")</f>
        <v>79999.999999999985</v>
      </c>
      <c r="W446" s="696"/>
      <c r="X446" s="364"/>
      <c r="Y446" s="364"/>
      <c r="Z446" s="364"/>
      <c r="AA446"/>
      <c r="AB446"/>
      <c r="AC446"/>
    </row>
    <row r="447" spans="17:29" ht="12.75" customHeight="1" thickBot="1">
      <c r="Q447" s="364"/>
      <c r="R447" s="892"/>
      <c r="S447" s="893"/>
      <c r="T447" s="893"/>
      <c r="U447" s="893"/>
      <c r="V447" s="893"/>
      <c r="W447" s="894"/>
      <c r="X447" s="364"/>
      <c r="Y447" s="364"/>
      <c r="Z447" s="364"/>
      <c r="AA447"/>
      <c r="AB447"/>
      <c r="AC447"/>
    </row>
    <row r="448" spans="17:29" ht="12.75" customHeight="1">
      <c r="Q448" s="364"/>
      <c r="R448" s="895" t="s">
        <v>886</v>
      </c>
      <c r="S448" s="896"/>
      <c r="T448" s="900" t="s">
        <v>835</v>
      </c>
      <c r="U448" s="900" t="s">
        <v>836</v>
      </c>
      <c r="V448" s="900" t="s">
        <v>837</v>
      </c>
      <c r="W448" s="902" t="s">
        <v>838</v>
      </c>
      <c r="X448" s="364"/>
      <c r="Y448" s="364"/>
      <c r="Z448" s="364"/>
      <c r="AA448"/>
      <c r="AB448"/>
      <c r="AC448"/>
    </row>
    <row r="449" spans="17:29" ht="12.75" customHeight="1">
      <c r="Q449" s="364"/>
      <c r="R449" s="892"/>
      <c r="S449" s="897"/>
      <c r="T449" s="901"/>
      <c r="U449" s="901"/>
      <c r="V449" s="901"/>
      <c r="W449" s="903"/>
      <c r="X449" s="364"/>
      <c r="Y449" s="364"/>
      <c r="Z449" s="364"/>
      <c r="AA449"/>
      <c r="AB449"/>
      <c r="AC449"/>
    </row>
    <row r="450" spans="17:29" ht="12.75" customHeight="1">
      <c r="Q450" s="364"/>
      <c r="R450" s="892"/>
      <c r="S450" s="897"/>
      <c r="T450" s="689">
        <f>T444*(1-0.0178*2)</f>
        <v>117.67666655636688</v>
      </c>
      <c r="U450" s="560">
        <f>U444</f>
        <v>1.4285714285714284</v>
      </c>
      <c r="V450" s="690">
        <f>IF(T450&gt;0,W450*U450," ")</f>
        <v>33771.428571428565</v>
      </c>
      <c r="W450" s="691">
        <f>IF(T450&gt;0,(VLOOKUP(T450,'Lookup Ready-reckoner'!$B$5:$E$1207,4))," ")</f>
        <v>23640</v>
      </c>
      <c r="X450" s="364"/>
      <c r="Y450" s="364"/>
      <c r="Z450" s="364"/>
      <c r="AA450"/>
      <c r="AB450"/>
      <c r="AC450"/>
    </row>
    <row r="451" spans="17:29" ht="12.75" customHeight="1">
      <c r="Q451" s="364"/>
      <c r="R451" s="898"/>
      <c r="S451" s="899"/>
      <c r="T451" s="447"/>
      <c r="U451" s="560"/>
      <c r="V451" s="690" t="str">
        <f>IF(T451&gt;0,W451*U451," ")</f>
        <v xml:space="preserve"> </v>
      </c>
      <c r="W451" s="691" t="str">
        <f>IF(T451&gt;0,(VLOOKUP(T451,'Lookup Ready-reckoner'!$B$5:$E$1007,4))," ")</f>
        <v xml:space="preserve"> </v>
      </c>
      <c r="X451" s="364"/>
      <c r="Y451" s="364"/>
      <c r="Z451" s="364"/>
      <c r="AA451"/>
      <c r="AB451"/>
      <c r="AC451"/>
    </row>
    <row r="452" spans="17:29" ht="12.75" customHeight="1" thickBot="1">
      <c r="Q452" s="364"/>
      <c r="R452" s="692" t="s">
        <v>839</v>
      </c>
      <c r="S452" s="693"/>
      <c r="T452" s="693"/>
      <c r="U452" s="694">
        <f>IF(T450&gt;0,(VLOOKUP(V452,'Lookup Ready-reckoner'!$L$5:$M$1207,2))," ")</f>
        <v>110.2</v>
      </c>
      <c r="V452" s="695">
        <f>IF(U450&gt;0,(SUM(V450:V451))," ")</f>
        <v>33771.428571428565</v>
      </c>
      <c r="W452" s="696"/>
      <c r="X452" s="364"/>
      <c r="Y452" s="364"/>
      <c r="Z452" s="364"/>
      <c r="AA452"/>
      <c r="AB452"/>
      <c r="AC452"/>
    </row>
    <row r="453" spans="17:29" ht="12.75" customHeight="1">
      <c r="Q453" s="364"/>
      <c r="R453" s="697"/>
      <c r="S453" s="687"/>
      <c r="T453" s="687"/>
      <c r="U453" s="372"/>
      <c r="V453" s="374"/>
      <c r="W453" s="688"/>
      <c r="X453" s="364"/>
      <c r="Y453" s="364"/>
      <c r="Z453" s="364"/>
      <c r="AA453"/>
      <c r="AB453"/>
      <c r="AC453"/>
    </row>
    <row r="454" spans="17:29" ht="12.75" customHeight="1" thickBot="1">
      <c r="Q454" s="364"/>
      <c r="R454" s="686" t="s">
        <v>60</v>
      </c>
      <c r="S454" s="577"/>
      <c r="T454" s="577"/>
      <c r="U454" s="577"/>
      <c r="V454" s="577"/>
      <c r="W454" s="698"/>
      <c r="X454" s="364"/>
      <c r="Y454" s="364"/>
      <c r="Z454" s="364"/>
      <c r="AA454"/>
      <c r="AB454"/>
      <c r="AC454"/>
    </row>
    <row r="455" spans="17:29" ht="12.75" customHeight="1">
      <c r="Q455" s="364"/>
      <c r="R455" s="895" t="s">
        <v>845</v>
      </c>
      <c r="S455" s="896"/>
      <c r="T455" s="900" t="s">
        <v>835</v>
      </c>
      <c r="U455" s="900" t="s">
        <v>836</v>
      </c>
      <c r="V455" s="900" t="s">
        <v>837</v>
      </c>
      <c r="W455" s="902" t="s">
        <v>838</v>
      </c>
      <c r="X455" s="364"/>
      <c r="Y455" s="364"/>
      <c r="Z455" s="364"/>
      <c r="AA455"/>
      <c r="AB455"/>
      <c r="AC455"/>
    </row>
    <row r="456" spans="17:29" ht="12.75" customHeight="1">
      <c r="Q456" s="364"/>
      <c r="R456" s="892"/>
      <c r="S456" s="897"/>
      <c r="T456" s="901"/>
      <c r="U456" s="901"/>
      <c r="V456" s="901"/>
      <c r="W456" s="903"/>
      <c r="X456" s="364"/>
      <c r="Y456" s="364"/>
      <c r="Z456" s="364"/>
      <c r="AA456"/>
      <c r="AB456"/>
      <c r="AC456"/>
    </row>
    <row r="457" spans="17:29" ht="12.75" customHeight="1">
      <c r="Q457" s="364"/>
      <c r="R457" s="892"/>
      <c r="S457" s="897"/>
      <c r="T457" s="689">
        <f>T444-PPE!$I$15</f>
        <v>109.02059991327964</v>
      </c>
      <c r="U457" s="560">
        <f>U450</f>
        <v>1.4285714285714284</v>
      </c>
      <c r="V457" s="690">
        <f>IF(T457&gt;0,W457*U457," ")</f>
        <v>4571.4285714285706</v>
      </c>
      <c r="W457" s="691">
        <f>IF(T457&gt;0,(VLOOKUP(T457,'Lookup Ready-reckoner'!$B$5:$E$1207,4))," ")</f>
        <v>3200</v>
      </c>
      <c r="X457" s="364"/>
      <c r="Y457" s="364"/>
      <c r="Z457" s="364"/>
      <c r="AA457"/>
      <c r="AB457"/>
      <c r="AC457"/>
    </row>
    <row r="458" spans="17:29" ht="12.75" customHeight="1">
      <c r="Q458" s="364"/>
      <c r="R458" s="898"/>
      <c r="S458" s="899"/>
      <c r="T458" s="447"/>
      <c r="U458" s="560"/>
      <c r="V458" s="690" t="str">
        <f>IF(T458&gt;0,W458*U458," ")</f>
        <v xml:space="preserve"> </v>
      </c>
      <c r="W458" s="691" t="str">
        <f>IF(T458&gt;0,(VLOOKUP(T458,'Lookup Ready-reckoner'!$B$5:$E$1007,4))," ")</f>
        <v xml:space="preserve"> </v>
      </c>
      <c r="X458" s="364"/>
      <c r="Y458" s="364"/>
      <c r="Z458" s="364"/>
      <c r="AA458"/>
      <c r="AB458"/>
      <c r="AC458"/>
    </row>
    <row r="459" spans="17:29" ht="12.75" customHeight="1" thickBot="1">
      <c r="Q459" s="364"/>
      <c r="R459" s="699" t="s">
        <v>839</v>
      </c>
      <c r="S459" s="693"/>
      <c r="T459" s="693"/>
      <c r="U459" s="694">
        <f>IF(T457&gt;0,(VLOOKUP(V459,'Lookup Ready-reckoner'!$L$5:$M$1207,2))," ")</f>
        <v>101.55</v>
      </c>
      <c r="V459" s="695">
        <f>IF(U457&gt;0,(SUM(V457:V458))," ")</f>
        <v>4571.4285714285706</v>
      </c>
      <c r="W459" s="696"/>
      <c r="X459" s="364"/>
      <c r="Y459" s="364"/>
      <c r="Z459" s="364"/>
      <c r="AA459"/>
      <c r="AB459"/>
      <c r="AC459"/>
    </row>
    <row r="460" spans="17:29" ht="12.75" customHeight="1" thickBot="1">
      <c r="Q460" s="364"/>
      <c r="R460" s="892"/>
      <c r="S460" s="893"/>
      <c r="T460" s="893"/>
      <c r="U460" s="893"/>
      <c r="V460" s="893"/>
      <c r="W460" s="894"/>
      <c r="X460" s="364"/>
      <c r="Y460" s="364"/>
      <c r="Z460" s="364"/>
      <c r="AA460"/>
      <c r="AB460"/>
      <c r="AC460"/>
    </row>
    <row r="461" spans="17:29" ht="12.75" customHeight="1">
      <c r="Q461" s="364"/>
      <c r="R461" s="895" t="s">
        <v>886</v>
      </c>
      <c r="S461" s="896"/>
      <c r="T461" s="900" t="s">
        <v>835</v>
      </c>
      <c r="U461" s="900" t="s">
        <v>836</v>
      </c>
      <c r="V461" s="900" t="s">
        <v>837</v>
      </c>
      <c r="W461" s="902" t="s">
        <v>838</v>
      </c>
      <c r="X461" s="364"/>
      <c r="Y461" s="364"/>
      <c r="Z461" s="364"/>
      <c r="AA461"/>
      <c r="AB461"/>
      <c r="AC461"/>
    </row>
    <row r="462" spans="17:29" ht="12.75" customHeight="1">
      <c r="Q462" s="364"/>
      <c r="R462" s="892"/>
      <c r="S462" s="897"/>
      <c r="T462" s="901"/>
      <c r="U462" s="901"/>
      <c r="V462" s="901"/>
      <c r="W462" s="903"/>
      <c r="X462" s="364"/>
      <c r="Y462" s="364"/>
      <c r="Z462" s="364"/>
      <c r="AA462"/>
      <c r="AB462"/>
      <c r="AC462"/>
    </row>
    <row r="463" spans="17:29" ht="12.75" customHeight="1">
      <c r="Q463" s="364"/>
      <c r="R463" s="892"/>
      <c r="S463" s="897"/>
      <c r="T463" s="689">
        <f>T450-PPE!$I$15</f>
        <v>104.67666655636688</v>
      </c>
      <c r="U463" s="560">
        <f>U457</f>
        <v>1.4285714285714284</v>
      </c>
      <c r="V463" s="690">
        <f>IF(T463&gt;0,W463*U463," ")</f>
        <v>1660.7142857142856</v>
      </c>
      <c r="W463" s="691">
        <f>IF(T463&gt;0,(VLOOKUP(T463,'Lookup Ready-reckoner'!$B$5:$E$1207,4))," ")</f>
        <v>1162.5</v>
      </c>
      <c r="X463" s="364"/>
      <c r="Y463" s="364"/>
      <c r="Z463" s="364"/>
      <c r="AA463"/>
      <c r="AB463"/>
      <c r="AC463"/>
    </row>
    <row r="464" spans="17:29" ht="12.75" customHeight="1">
      <c r="Q464" s="364"/>
      <c r="R464" s="898"/>
      <c r="S464" s="899"/>
      <c r="T464" s="447"/>
      <c r="U464" s="560"/>
      <c r="V464" s="690" t="str">
        <f>IF(T464&gt;0,W464*U464," ")</f>
        <v xml:space="preserve"> </v>
      </c>
      <c r="W464" s="691" t="str">
        <f>IF(T464&gt;0,(VLOOKUP(T464,'Lookup Ready-reckoner'!$B$5:$E$1007,4))," ")</f>
        <v xml:space="preserve"> </v>
      </c>
      <c r="X464" s="364"/>
      <c r="Y464" s="364"/>
      <c r="Z464" s="364"/>
      <c r="AA464"/>
      <c r="AB464"/>
      <c r="AC464"/>
    </row>
    <row r="465" spans="17:29" ht="12.75" customHeight="1" thickBot="1">
      <c r="Q465" s="364"/>
      <c r="R465" s="692" t="s">
        <v>839</v>
      </c>
      <c r="S465" s="693"/>
      <c r="T465" s="693"/>
      <c r="U465" s="694">
        <f>IF(T463&gt;0,(VLOOKUP(V465,'Lookup Ready-reckoner'!$L$5:$M$1207,2))," ")</f>
        <v>97.15</v>
      </c>
      <c r="V465" s="695">
        <f>IF(U463&gt;0,(SUM(V463:V464))," ")</f>
        <v>1660.7142857142856</v>
      </c>
      <c r="W465" s="696"/>
      <c r="X465" s="364"/>
      <c r="Y465" s="364"/>
      <c r="Z465" s="364"/>
      <c r="AA465"/>
      <c r="AB465"/>
      <c r="AC465"/>
    </row>
    <row r="466" spans="17:29" ht="12.75" customHeight="1">
      <c r="Q466" s="364"/>
      <c r="R466" s="363"/>
      <c r="S466" s="363"/>
      <c r="T466" s="363"/>
      <c r="U466" s="363"/>
      <c r="V466" s="363"/>
      <c r="W466" s="363"/>
      <c r="X466" s="364"/>
      <c r="Y466" s="364"/>
      <c r="Z466" s="364"/>
      <c r="AA466"/>
      <c r="AB466"/>
      <c r="AC466"/>
    </row>
    <row r="467" spans="17:29" ht="12.75" customHeight="1" thickBot="1">
      <c r="Q467" s="364"/>
      <c r="R467" s="915" t="str">
        <f>R348</f>
        <v>Seco S215 Muffled</v>
      </c>
      <c r="S467" s="915"/>
      <c r="T467" s="915"/>
      <c r="U467" s="915"/>
      <c r="V467" s="915"/>
      <c r="W467" s="915"/>
      <c r="X467" s="364"/>
      <c r="Y467" s="364"/>
      <c r="Z467" s="364"/>
      <c r="AA467"/>
      <c r="AB467"/>
      <c r="AC467"/>
    </row>
    <row r="468" spans="17:29" ht="12.75" customHeight="1" thickBot="1">
      <c r="Q468" s="364"/>
      <c r="R468" s="906" t="s">
        <v>205</v>
      </c>
      <c r="S468" s="907"/>
      <c r="T468" s="907"/>
      <c r="U468" s="907"/>
      <c r="V468" s="907"/>
      <c r="W468" s="908"/>
      <c r="X468" s="364"/>
      <c r="Y468" s="364"/>
      <c r="Z468" s="364"/>
      <c r="AA468"/>
      <c r="AB468"/>
      <c r="AC468"/>
    </row>
    <row r="469" spans="17:29" ht="12.75" customHeight="1" thickBot="1">
      <c r="Q469" s="364"/>
      <c r="R469" s="686" t="s">
        <v>59</v>
      </c>
      <c r="S469" s="577"/>
      <c r="T469" s="687"/>
      <c r="U469" s="687"/>
      <c r="V469" s="687"/>
      <c r="W469" s="688"/>
      <c r="X469" s="364"/>
      <c r="Y469" s="364"/>
      <c r="Z469" s="364"/>
      <c r="AA469"/>
      <c r="AB469"/>
      <c r="AC469"/>
    </row>
    <row r="470" spans="17:29" ht="12.75" customHeight="1">
      <c r="Q470" s="364"/>
      <c r="R470" s="895" t="s">
        <v>845</v>
      </c>
      <c r="S470" s="896"/>
      <c r="T470" s="900" t="s">
        <v>835</v>
      </c>
      <c r="U470" s="900" t="s">
        <v>836</v>
      </c>
      <c r="V470" s="900" t="s">
        <v>837</v>
      </c>
      <c r="W470" s="902" t="s">
        <v>838</v>
      </c>
      <c r="X470" s="364"/>
      <c r="Y470" s="364"/>
      <c r="Z470" s="364"/>
      <c r="AA470"/>
      <c r="AB470"/>
      <c r="AC470"/>
    </row>
    <row r="471" spans="17:29" ht="12.75" customHeight="1">
      <c r="Q471" s="364"/>
      <c r="R471" s="892"/>
      <c r="S471" s="897"/>
      <c r="T471" s="904"/>
      <c r="U471" s="904"/>
      <c r="V471" s="904"/>
      <c r="W471" s="905"/>
      <c r="X471" s="364"/>
      <c r="Y471" s="364"/>
      <c r="Z471" s="364"/>
      <c r="AA471"/>
      <c r="AB471"/>
      <c r="AC471"/>
    </row>
    <row r="472" spans="17:29" ht="12.75" customHeight="1">
      <c r="Q472" s="364"/>
      <c r="R472" s="892"/>
      <c r="S472" s="897"/>
      <c r="T472" s="901"/>
      <c r="U472" s="901"/>
      <c r="V472" s="901"/>
      <c r="W472" s="903"/>
      <c r="X472" s="364"/>
      <c r="Y472" s="364"/>
      <c r="Z472" s="364"/>
      <c r="AA472"/>
      <c r="AB472"/>
      <c r="AC472"/>
    </row>
    <row r="473" spans="17:29" ht="12.75" customHeight="1">
      <c r="Q473" s="364"/>
      <c r="R473" s="892"/>
      <c r="S473" s="897"/>
      <c r="T473" s="700">
        <f>V76</f>
        <v>114.02059991327963</v>
      </c>
      <c r="U473" s="560">
        <f>V62</f>
        <v>1.9999999999999996</v>
      </c>
      <c r="V473" s="690">
        <f>IF(T473&gt;0,W473*U473," ")</f>
        <v>19999.999999999996</v>
      </c>
      <c r="W473" s="691">
        <f>IF(T473&gt;0,(VLOOKUP(T473,'Lookup Ready-reckoner'!$B$5:$E$1207,4))," ")</f>
        <v>10000</v>
      </c>
      <c r="X473" s="364"/>
      <c r="Y473" s="364"/>
      <c r="Z473" s="364"/>
      <c r="AA473"/>
      <c r="AB473"/>
      <c r="AC473"/>
    </row>
    <row r="474" spans="17:29" ht="12.75" customHeight="1">
      <c r="Q474" s="364"/>
      <c r="R474" s="898"/>
      <c r="S474" s="899"/>
      <c r="T474" s="447"/>
      <c r="U474" s="560"/>
      <c r="V474" s="690" t="str">
        <f>IF(T474&gt;0,W474*U474," ")</f>
        <v xml:space="preserve"> </v>
      </c>
      <c r="W474" s="691" t="str">
        <f>IF(T474&gt;0,(VLOOKUP(T474,'Lookup Ready-reckoner'!$B$5:$E$1007,4))," ")</f>
        <v xml:space="preserve"> </v>
      </c>
      <c r="X474" s="364"/>
      <c r="Y474" s="364"/>
      <c r="Z474" s="364"/>
      <c r="AA474"/>
      <c r="AB474"/>
      <c r="AC474"/>
    </row>
    <row r="475" spans="17:29" ht="12.75" customHeight="1" thickBot="1">
      <c r="Q475" s="364"/>
      <c r="R475" s="699" t="s">
        <v>839</v>
      </c>
      <c r="S475" s="693"/>
      <c r="T475" s="693"/>
      <c r="U475" s="701">
        <f>IF(T473&gt;0,(VLOOKUP(V475,'Lookup Ready-reckoner'!$L$5:$M$1207,2))," ")</f>
        <v>107.95</v>
      </c>
      <c r="V475" s="695">
        <f>IF(U473&gt;0,(SUM(V473:V474))," ")</f>
        <v>19999.999999999996</v>
      </c>
      <c r="W475" s="696"/>
      <c r="X475" s="364"/>
      <c r="Y475" s="364"/>
      <c r="Z475" s="364"/>
      <c r="AA475"/>
      <c r="AB475"/>
      <c r="AC475"/>
    </row>
    <row r="476" spans="17:29" ht="12.75" customHeight="1" thickBot="1">
      <c r="Q476" s="364"/>
      <c r="R476" s="892"/>
      <c r="S476" s="893"/>
      <c r="T476" s="893"/>
      <c r="U476" s="893"/>
      <c r="V476" s="893"/>
      <c r="W476" s="894"/>
      <c r="X476" s="364"/>
      <c r="Y476" s="364"/>
      <c r="Z476" s="364"/>
      <c r="AA476"/>
      <c r="AB476"/>
      <c r="AC476"/>
    </row>
    <row r="477" spans="17:29" ht="12.75" customHeight="1">
      <c r="Q477" s="364"/>
      <c r="R477" s="895" t="s">
        <v>886</v>
      </c>
      <c r="S477" s="896"/>
      <c r="T477" s="900" t="s">
        <v>835</v>
      </c>
      <c r="U477" s="900" t="s">
        <v>836</v>
      </c>
      <c r="V477" s="900" t="s">
        <v>837</v>
      </c>
      <c r="W477" s="902" t="s">
        <v>838</v>
      </c>
      <c r="X477" s="364"/>
      <c r="Y477" s="364"/>
      <c r="Z477" s="364"/>
      <c r="AA477"/>
      <c r="AB477"/>
      <c r="AC477"/>
    </row>
    <row r="478" spans="17:29" ht="12.75" customHeight="1">
      <c r="Q478" s="364"/>
      <c r="R478" s="892"/>
      <c r="S478" s="897"/>
      <c r="T478" s="901"/>
      <c r="U478" s="901"/>
      <c r="V478" s="901"/>
      <c r="W478" s="903"/>
      <c r="X478" s="364"/>
      <c r="Y478" s="364"/>
      <c r="Z478" s="364"/>
      <c r="AA478"/>
      <c r="AB478"/>
      <c r="AC478"/>
    </row>
    <row r="479" spans="17:29" ht="12.75" customHeight="1">
      <c r="Q479" s="364"/>
      <c r="R479" s="892"/>
      <c r="S479" s="897"/>
      <c r="T479" s="700">
        <f>T473*(1-0.0178*2)</f>
        <v>109.96146655636687</v>
      </c>
      <c r="U479" s="560">
        <f>U473</f>
        <v>1.9999999999999996</v>
      </c>
      <c r="V479" s="690">
        <f>IF(T479&gt;0,W479*U479," ")</f>
        <v>7919.9999999999982</v>
      </c>
      <c r="W479" s="691">
        <f>IF(T479&gt;0,(VLOOKUP(T479,'Lookup Ready-reckoner'!$B$5:$E$1207,4))," ")</f>
        <v>3960</v>
      </c>
      <c r="X479" s="364"/>
      <c r="Y479" s="364"/>
      <c r="Z479" s="364"/>
      <c r="AA479"/>
      <c r="AB479"/>
      <c r="AC479"/>
    </row>
    <row r="480" spans="17:29" ht="12.75" customHeight="1">
      <c r="Q480" s="364"/>
      <c r="R480" s="898"/>
      <c r="S480" s="899"/>
      <c r="T480" s="447"/>
      <c r="U480" s="560"/>
      <c r="V480" s="690" t="str">
        <f>IF(T480&gt;0,W480*U480," ")</f>
        <v xml:space="preserve"> </v>
      </c>
      <c r="W480" s="691" t="str">
        <f>IF(T480&gt;0,(VLOOKUP(T480,'Lookup Ready-reckoner'!$B$5:$E$1007,4))," ")</f>
        <v xml:space="preserve"> </v>
      </c>
      <c r="X480" s="364"/>
      <c r="Y480" s="364"/>
      <c r="Z480" s="364"/>
      <c r="AA480"/>
      <c r="AB480"/>
      <c r="AC480"/>
    </row>
    <row r="481" spans="17:29" ht="12.75" customHeight="1" thickBot="1">
      <c r="Q481" s="364"/>
      <c r="R481" s="692" t="s">
        <v>839</v>
      </c>
      <c r="S481" s="693"/>
      <c r="T481" s="693"/>
      <c r="U481" s="701">
        <f>IF(T479&gt;0,(VLOOKUP(V481,'Lookup Ready-reckoner'!$L$5:$M$1207,2))," ")</f>
        <v>103.9</v>
      </c>
      <c r="V481" s="695">
        <f>IF(U479&gt;0,(SUM(V479:V480))," ")</f>
        <v>7919.9999999999982</v>
      </c>
      <c r="W481" s="696"/>
      <c r="X481" s="364"/>
      <c r="Y481" s="364"/>
      <c r="Z481" s="364"/>
      <c r="AA481"/>
      <c r="AB481"/>
      <c r="AC481"/>
    </row>
    <row r="482" spans="17:29" ht="12.75" customHeight="1">
      <c r="Q482" s="364"/>
      <c r="R482" s="697"/>
      <c r="S482" s="687"/>
      <c r="T482" s="687"/>
      <c r="U482" s="372"/>
      <c r="V482" s="374"/>
      <c r="W482" s="688"/>
      <c r="X482" s="364"/>
      <c r="Y482" s="364"/>
      <c r="Z482" s="364"/>
      <c r="AA482"/>
      <c r="AB482"/>
      <c r="AC482"/>
    </row>
    <row r="483" spans="17:29" ht="12.75" customHeight="1" thickBot="1">
      <c r="Q483" s="364"/>
      <c r="R483" s="686" t="s">
        <v>60</v>
      </c>
      <c r="S483" s="577"/>
      <c r="T483" s="577"/>
      <c r="U483" s="577"/>
      <c r="V483" s="577"/>
      <c r="W483" s="698"/>
      <c r="X483" s="364"/>
      <c r="Y483" s="364"/>
      <c r="Z483" s="364"/>
      <c r="AA483"/>
      <c r="AB483"/>
      <c r="AC483"/>
    </row>
    <row r="484" spans="17:29" ht="12.75" customHeight="1">
      <c r="Q484" s="364"/>
      <c r="R484" s="895" t="s">
        <v>845</v>
      </c>
      <c r="S484" s="896"/>
      <c r="T484" s="900" t="s">
        <v>835</v>
      </c>
      <c r="U484" s="900" t="s">
        <v>836</v>
      </c>
      <c r="V484" s="900" t="s">
        <v>837</v>
      </c>
      <c r="W484" s="902" t="s">
        <v>838</v>
      </c>
      <c r="X484" s="364"/>
      <c r="Y484" s="364"/>
      <c r="Z484" s="364"/>
      <c r="AA484"/>
      <c r="AB484"/>
      <c r="AC484"/>
    </row>
    <row r="485" spans="17:29" ht="12.75" customHeight="1">
      <c r="Q485" s="364"/>
      <c r="R485" s="892"/>
      <c r="S485" s="897"/>
      <c r="T485" s="901"/>
      <c r="U485" s="901"/>
      <c r="V485" s="901"/>
      <c r="W485" s="903"/>
      <c r="X485" s="364"/>
      <c r="Y485" s="364"/>
      <c r="Z485" s="364"/>
      <c r="AA485"/>
      <c r="AB485"/>
      <c r="AC485"/>
    </row>
    <row r="486" spans="17:29" ht="12.75" customHeight="1">
      <c r="Q486" s="364"/>
      <c r="R486" s="892"/>
      <c r="S486" s="897"/>
      <c r="T486" s="700">
        <f>T473-PPE!$I$15</f>
        <v>101.02059991327963</v>
      </c>
      <c r="U486" s="560">
        <f>U479</f>
        <v>1.9999999999999996</v>
      </c>
      <c r="V486" s="690">
        <f>IF(T486&gt;0,W486*U486," ")</f>
        <v>999.99999999999977</v>
      </c>
      <c r="W486" s="691">
        <f>IF(T486&gt;0,(VLOOKUP(T486,'Lookup Ready-reckoner'!$B$5:$E$1207,4))," ")</f>
        <v>500</v>
      </c>
      <c r="X486" s="364"/>
      <c r="Y486" s="364"/>
      <c r="Z486" s="364"/>
      <c r="AA486"/>
      <c r="AB486"/>
      <c r="AC486"/>
    </row>
    <row r="487" spans="17:29" ht="12.75" customHeight="1">
      <c r="Q487" s="364"/>
      <c r="R487" s="898"/>
      <c r="S487" s="899"/>
      <c r="T487" s="447"/>
      <c r="U487" s="560"/>
      <c r="V487" s="690" t="str">
        <f>IF(T487&gt;0,W487*U487," ")</f>
        <v xml:space="preserve"> </v>
      </c>
      <c r="W487" s="691" t="str">
        <f>IF(T487&gt;0,(VLOOKUP(T487,'Lookup Ready-reckoner'!$B$5:$E$1007,4))," ")</f>
        <v xml:space="preserve"> </v>
      </c>
      <c r="X487" s="364"/>
      <c r="Y487" s="364"/>
      <c r="Z487" s="364"/>
      <c r="AA487"/>
      <c r="AB487"/>
      <c r="AC487"/>
    </row>
    <row r="488" spans="17:29" ht="12.75" customHeight="1" thickBot="1">
      <c r="Q488" s="364"/>
      <c r="R488" s="692" t="s">
        <v>839</v>
      </c>
      <c r="S488" s="693"/>
      <c r="T488" s="693"/>
      <c r="U488" s="701">
        <f>IF(T486&gt;0,(VLOOKUP(V488,'Lookup Ready-reckoner'!$L$5:$M$1207,2))," ")</f>
        <v>94.95</v>
      </c>
      <c r="V488" s="695">
        <f>IF(U486&gt;0,(SUM(V486:V487))," ")</f>
        <v>999.99999999999977</v>
      </c>
      <c r="W488" s="696"/>
      <c r="X488" s="364"/>
      <c r="Y488" s="364"/>
      <c r="Z488" s="364"/>
      <c r="AA488"/>
      <c r="AB488"/>
      <c r="AC488"/>
    </row>
    <row r="489" spans="17:29" ht="12.75" customHeight="1" thickBot="1">
      <c r="Q489" s="364"/>
      <c r="R489" s="892"/>
      <c r="S489" s="893"/>
      <c r="T489" s="893"/>
      <c r="U489" s="893"/>
      <c r="V489" s="893"/>
      <c r="W489" s="894"/>
      <c r="X489" s="364"/>
      <c r="Y489" s="364"/>
      <c r="Z489" s="364"/>
      <c r="AA489"/>
      <c r="AB489"/>
      <c r="AC489"/>
    </row>
    <row r="490" spans="17:29" ht="12.75" customHeight="1">
      <c r="Q490" s="364"/>
      <c r="R490" s="895" t="s">
        <v>886</v>
      </c>
      <c r="S490" s="896"/>
      <c r="T490" s="900" t="s">
        <v>835</v>
      </c>
      <c r="U490" s="900" t="s">
        <v>836</v>
      </c>
      <c r="V490" s="900" t="s">
        <v>837</v>
      </c>
      <c r="W490" s="902" t="s">
        <v>838</v>
      </c>
      <c r="X490" s="364"/>
      <c r="Y490" s="364"/>
      <c r="Z490" s="364"/>
      <c r="AA490"/>
      <c r="AB490"/>
      <c r="AC490"/>
    </row>
    <row r="491" spans="17:29" ht="12.75" customHeight="1">
      <c r="Q491" s="364"/>
      <c r="R491" s="892"/>
      <c r="S491" s="897"/>
      <c r="T491" s="901"/>
      <c r="U491" s="901"/>
      <c r="V491" s="901"/>
      <c r="W491" s="903"/>
      <c r="X491" s="364"/>
      <c r="Y491" s="364"/>
      <c r="Z491" s="364"/>
      <c r="AA491"/>
      <c r="AB491"/>
      <c r="AC491"/>
    </row>
    <row r="492" spans="17:29" ht="12.75" customHeight="1">
      <c r="Q492" s="364"/>
      <c r="R492" s="892"/>
      <c r="S492" s="897"/>
      <c r="T492" s="700">
        <f>T479-PPE!$I$15</f>
        <v>96.961466556366872</v>
      </c>
      <c r="U492" s="560">
        <f>U486</f>
        <v>1.9999999999999996</v>
      </c>
      <c r="V492" s="690">
        <f>IF(T492&gt;0,W492*U492," ")</f>
        <v>395.62499999999989</v>
      </c>
      <c r="W492" s="691">
        <f>IF(T492&gt;0,(VLOOKUP(T492,'Lookup Ready-reckoner'!$B$5:$E$1207,4))," ")</f>
        <v>197.8125</v>
      </c>
      <c r="X492" s="364"/>
      <c r="Y492" s="364"/>
      <c r="Z492" s="364"/>
      <c r="AA492"/>
      <c r="AB492"/>
      <c r="AC492"/>
    </row>
    <row r="493" spans="17:29" ht="12.75" customHeight="1">
      <c r="Q493" s="364"/>
      <c r="R493" s="898"/>
      <c r="S493" s="899"/>
      <c r="T493" s="447"/>
      <c r="U493" s="560"/>
      <c r="V493" s="690" t="str">
        <f>IF(T493&gt;0,W493*U493," ")</f>
        <v xml:space="preserve"> </v>
      </c>
      <c r="W493" s="691" t="str">
        <f>IF(T493&gt;0,(VLOOKUP(T493,'Lookup Ready-reckoner'!$B$5:$E$1007,4))," ")</f>
        <v xml:space="preserve"> </v>
      </c>
      <c r="X493" s="364"/>
      <c r="Y493" s="364"/>
      <c r="Z493" s="364"/>
      <c r="AA493"/>
      <c r="AB493"/>
      <c r="AC493"/>
    </row>
    <row r="494" spans="17:29" ht="12.75" customHeight="1" thickBot="1">
      <c r="Q494" s="364"/>
      <c r="R494" s="692" t="s">
        <v>839</v>
      </c>
      <c r="S494" s="693"/>
      <c r="T494" s="693"/>
      <c r="U494" s="701">
        <f>IF(T492&gt;0,(VLOOKUP(V494,'Lookup Ready-reckoner'!$L$5:$M$1207,2))," ")</f>
        <v>90.9</v>
      </c>
      <c r="V494" s="695">
        <f>IF(U492&gt;0,(SUM(V492:V493))," ")</f>
        <v>395.62499999999989</v>
      </c>
      <c r="W494" s="696"/>
      <c r="X494" s="364"/>
      <c r="Y494" s="364"/>
      <c r="Z494" s="364"/>
      <c r="AA494"/>
      <c r="AB494"/>
      <c r="AC494"/>
    </row>
    <row r="495" spans="17:29" ht="12.75" customHeight="1">
      <c r="Q495" s="364"/>
      <c r="R495" s="363"/>
      <c r="S495" s="363"/>
      <c r="T495" s="363"/>
      <c r="U495" s="363"/>
      <c r="V495" s="363"/>
      <c r="W495" s="363"/>
      <c r="X495" s="364"/>
      <c r="Y495" s="364"/>
      <c r="Z495" s="364"/>
      <c r="AA495"/>
      <c r="AB495"/>
      <c r="AC495"/>
    </row>
    <row r="496" spans="17:29" ht="12.75" customHeight="1">
      <c r="Q496" s="364"/>
      <c r="R496" s="913" t="str">
        <f>R377</f>
        <v>Sulzer ADDS</v>
      </c>
      <c r="S496" s="914"/>
      <c r="T496" s="914"/>
      <c r="U496" s="914"/>
      <c r="V496" s="914"/>
      <c r="W496" s="914"/>
      <c r="X496" s="364"/>
      <c r="Y496" s="364"/>
      <c r="Z496" s="364"/>
      <c r="AA496"/>
      <c r="AB496"/>
      <c r="AC496"/>
    </row>
    <row r="497" spans="17:29" ht="12.75" customHeight="1" thickBot="1">
      <c r="Q497" s="364"/>
      <c r="R497" s="910" t="s">
        <v>205</v>
      </c>
      <c r="S497" s="911"/>
      <c r="T497" s="911"/>
      <c r="U497" s="911"/>
      <c r="V497" s="911"/>
      <c r="W497" s="912"/>
      <c r="X497" s="364"/>
      <c r="Y497" s="364"/>
      <c r="Z497" s="364"/>
      <c r="AA497"/>
      <c r="AB497"/>
      <c r="AC497"/>
    </row>
    <row r="498" spans="17:29" ht="12.75" customHeight="1" thickBot="1">
      <c r="Q498" s="364"/>
      <c r="R498" s="686" t="s">
        <v>59</v>
      </c>
      <c r="S498" s="577"/>
      <c r="T498" s="687"/>
      <c r="U498" s="687"/>
      <c r="V498" s="687"/>
      <c r="W498" s="688"/>
      <c r="X498" s="364"/>
      <c r="Y498" s="364"/>
      <c r="Z498" s="364"/>
      <c r="AA498"/>
      <c r="AB498"/>
      <c r="AC498"/>
    </row>
    <row r="499" spans="17:29" ht="12.75" customHeight="1">
      <c r="Q499" s="364"/>
      <c r="R499" s="895" t="s">
        <v>845</v>
      </c>
      <c r="S499" s="896"/>
      <c r="T499" s="900" t="s">
        <v>835</v>
      </c>
      <c r="U499" s="900" t="s">
        <v>836</v>
      </c>
      <c r="V499" s="900" t="s">
        <v>837</v>
      </c>
      <c r="W499" s="902" t="s">
        <v>838</v>
      </c>
      <c r="X499" s="364"/>
      <c r="Y499" s="364"/>
      <c r="Z499" s="364"/>
      <c r="AA499"/>
      <c r="AB499"/>
      <c r="AC499"/>
    </row>
    <row r="500" spans="17:29" ht="12.75" customHeight="1">
      <c r="Q500" s="364"/>
      <c r="R500" s="892"/>
      <c r="S500" s="897"/>
      <c r="T500" s="904"/>
      <c r="U500" s="904"/>
      <c r="V500" s="904"/>
      <c r="W500" s="905"/>
      <c r="X500" s="364"/>
      <c r="Y500" s="364"/>
      <c r="Z500" s="364"/>
      <c r="AA500"/>
      <c r="AB500"/>
      <c r="AC500"/>
    </row>
    <row r="501" spans="17:29" ht="12.75" customHeight="1">
      <c r="Q501" s="364"/>
      <c r="R501" s="892"/>
      <c r="S501" s="897"/>
      <c r="T501" s="901"/>
      <c r="U501" s="901"/>
      <c r="V501" s="901"/>
      <c r="W501" s="903"/>
      <c r="X501" s="364"/>
      <c r="Y501" s="364"/>
      <c r="Z501" s="364"/>
      <c r="AA501"/>
      <c r="AB501"/>
      <c r="AC501"/>
    </row>
    <row r="502" spans="17:29" ht="12.75" customHeight="1">
      <c r="Q502" s="364"/>
      <c r="R502" s="892"/>
      <c r="S502" s="897"/>
      <c r="T502" s="702">
        <f>W76</f>
        <v>115.02059991327963</v>
      </c>
      <c r="U502" s="560">
        <f>W62</f>
        <v>1.7391304347826084</v>
      </c>
      <c r="V502" s="690">
        <f>IF(T502&gt;0,W502*U502," ")</f>
        <v>22260.869565217388</v>
      </c>
      <c r="W502" s="691">
        <f>IF(T502&gt;0,(VLOOKUP(T502,'Lookup Ready-reckoner'!$B$5:$E$1207,4))," ")</f>
        <v>12800</v>
      </c>
      <c r="X502" s="364"/>
      <c r="Y502" s="364"/>
      <c r="Z502" s="364"/>
      <c r="AA502"/>
      <c r="AB502"/>
      <c r="AC502"/>
    </row>
    <row r="503" spans="17:29" ht="12.75" customHeight="1">
      <c r="Q503" s="364"/>
      <c r="R503" s="898"/>
      <c r="S503" s="899"/>
      <c r="T503" s="447"/>
      <c r="U503" s="560"/>
      <c r="V503" s="690" t="str">
        <f>IF(T503&gt;0,W503*U503," ")</f>
        <v xml:space="preserve"> </v>
      </c>
      <c r="W503" s="691" t="str">
        <f>IF(T503&gt;0,(VLOOKUP(T503,'Lookup Ready-reckoner'!$B$5:$E$1007,4))," ")</f>
        <v xml:space="preserve"> </v>
      </c>
      <c r="X503" s="364"/>
      <c r="Y503" s="364"/>
      <c r="Z503" s="364"/>
      <c r="AA503"/>
      <c r="AB503"/>
      <c r="AC503"/>
    </row>
    <row r="504" spans="17:29" ht="12.75" customHeight="1" thickBot="1">
      <c r="Q504" s="364"/>
      <c r="R504" s="692" t="s">
        <v>839</v>
      </c>
      <c r="S504" s="693"/>
      <c r="T504" s="693"/>
      <c r="U504" s="703">
        <f>IF(T502&gt;0,(VLOOKUP(V504,'Lookup Ready-reckoner'!$L$5:$M$1207,2))," ")</f>
        <v>108.4</v>
      </c>
      <c r="V504" s="695">
        <f>IF(U502&gt;0,(SUM(V502:V503))," ")</f>
        <v>22260.869565217388</v>
      </c>
      <c r="W504" s="696"/>
      <c r="X504" s="364"/>
      <c r="Y504" s="364"/>
      <c r="Z504" s="364"/>
      <c r="AA504"/>
      <c r="AB504"/>
      <c r="AC504"/>
    </row>
    <row r="505" spans="17:29" ht="12.75" customHeight="1" thickBot="1">
      <c r="Q505" s="364"/>
      <c r="R505" s="892"/>
      <c r="S505" s="893"/>
      <c r="T505" s="893"/>
      <c r="U505" s="893"/>
      <c r="V505" s="893"/>
      <c r="W505" s="894"/>
      <c r="X505" s="364"/>
      <c r="Y505" s="364"/>
      <c r="Z505" s="364"/>
      <c r="AA505"/>
      <c r="AB505"/>
      <c r="AC505"/>
    </row>
    <row r="506" spans="17:29" ht="12.75" customHeight="1">
      <c r="Q506" s="364"/>
      <c r="R506" s="895" t="s">
        <v>886</v>
      </c>
      <c r="S506" s="896"/>
      <c r="T506" s="900" t="s">
        <v>835</v>
      </c>
      <c r="U506" s="900" t="s">
        <v>836</v>
      </c>
      <c r="V506" s="900" t="s">
        <v>837</v>
      </c>
      <c r="W506" s="902" t="s">
        <v>838</v>
      </c>
      <c r="X506" s="364"/>
      <c r="Y506" s="364"/>
      <c r="Z506" s="364"/>
      <c r="AA506"/>
      <c r="AB506"/>
      <c r="AC506"/>
    </row>
    <row r="507" spans="17:29" ht="12.75" customHeight="1">
      <c r="Q507" s="364"/>
      <c r="R507" s="892"/>
      <c r="S507" s="897"/>
      <c r="T507" s="901"/>
      <c r="U507" s="901"/>
      <c r="V507" s="901"/>
      <c r="W507" s="903"/>
      <c r="X507" s="364"/>
      <c r="Y507" s="364"/>
      <c r="Z507" s="364"/>
      <c r="AA507"/>
      <c r="AB507"/>
      <c r="AC507"/>
    </row>
    <row r="508" spans="17:29" ht="12.75" customHeight="1">
      <c r="Q508" s="364"/>
      <c r="R508" s="892"/>
      <c r="S508" s="897"/>
      <c r="T508" s="702">
        <f>T502*(1-0.0178*2)</f>
        <v>110.92586655636687</v>
      </c>
      <c r="U508" s="560">
        <f>U502</f>
        <v>1.7391304347826084</v>
      </c>
      <c r="V508" s="690">
        <f>IF(T508&gt;0,W508*U508," ")</f>
        <v>8521.7391304347821</v>
      </c>
      <c r="W508" s="691">
        <f>IF(T508&gt;0,(VLOOKUP(T508,'Lookup Ready-reckoner'!$B$5:$E$1207,4))," ")</f>
        <v>4900</v>
      </c>
      <c r="X508" s="364"/>
      <c r="Y508" s="364"/>
      <c r="Z508" s="364"/>
      <c r="AA508"/>
      <c r="AB508"/>
      <c r="AC508"/>
    </row>
    <row r="509" spans="17:29" ht="12.75" customHeight="1">
      <c r="Q509" s="364"/>
      <c r="R509" s="898"/>
      <c r="S509" s="899"/>
      <c r="T509" s="447"/>
      <c r="U509" s="560"/>
      <c r="V509" s="690" t="str">
        <f>IF(T509&gt;0,W509*U509," ")</f>
        <v xml:space="preserve"> </v>
      </c>
      <c r="W509" s="691" t="str">
        <f>IF(T509&gt;0,(VLOOKUP(T509,'Lookup Ready-reckoner'!$B$5:$E$1007,4))," ")</f>
        <v xml:space="preserve"> </v>
      </c>
      <c r="X509" s="364"/>
      <c r="Y509" s="364"/>
      <c r="Z509" s="364"/>
      <c r="AA509"/>
      <c r="AB509"/>
      <c r="AC509"/>
    </row>
    <row r="510" spans="17:29" ht="12.75" customHeight="1" thickBot="1">
      <c r="Q510" s="364"/>
      <c r="R510" s="692" t="s">
        <v>839</v>
      </c>
      <c r="S510" s="693"/>
      <c r="T510" s="693"/>
      <c r="U510" s="703">
        <f>IF(T508&gt;0,(VLOOKUP(V510,'Lookup Ready-reckoner'!$L$5:$M$1207,2))," ")</f>
        <v>104.25</v>
      </c>
      <c r="V510" s="695">
        <f>IF(U508&gt;0,(SUM(V508:V509))," ")</f>
        <v>8521.7391304347821</v>
      </c>
      <c r="W510" s="696"/>
      <c r="X510" s="364"/>
      <c r="Y510" s="364"/>
      <c r="Z510" s="364"/>
      <c r="AA510"/>
      <c r="AB510"/>
      <c r="AC510"/>
    </row>
    <row r="511" spans="17:29" ht="12.75" customHeight="1">
      <c r="Q511" s="364"/>
      <c r="R511" s="697"/>
      <c r="S511" s="687"/>
      <c r="T511" s="687"/>
      <c r="U511" s="372"/>
      <c r="V511" s="374"/>
      <c r="W511" s="688"/>
      <c r="X511" s="364"/>
      <c r="Y511" s="364"/>
      <c r="Z511" s="364"/>
      <c r="AA511"/>
      <c r="AB511"/>
      <c r="AC511"/>
    </row>
    <row r="512" spans="17:29" ht="12.75" customHeight="1" thickBot="1">
      <c r="Q512" s="364"/>
      <c r="R512" s="686" t="s">
        <v>60</v>
      </c>
      <c r="S512" s="577"/>
      <c r="T512" s="577"/>
      <c r="U512" s="577"/>
      <c r="V512" s="577"/>
      <c r="W512" s="698"/>
      <c r="X512" s="364"/>
      <c r="Y512" s="364"/>
      <c r="Z512" s="364"/>
      <c r="AA512"/>
      <c r="AB512"/>
      <c r="AC512"/>
    </row>
    <row r="513" spans="17:29" ht="12.75" customHeight="1">
      <c r="Q513" s="364"/>
      <c r="R513" s="895" t="s">
        <v>845</v>
      </c>
      <c r="S513" s="896"/>
      <c r="T513" s="900" t="s">
        <v>835</v>
      </c>
      <c r="U513" s="900" t="s">
        <v>836</v>
      </c>
      <c r="V513" s="900" t="s">
        <v>837</v>
      </c>
      <c r="W513" s="902" t="s">
        <v>838</v>
      </c>
      <c r="X513" s="364"/>
      <c r="Y513" s="364"/>
      <c r="Z513" s="364"/>
      <c r="AA513"/>
      <c r="AB513"/>
      <c r="AC513"/>
    </row>
    <row r="514" spans="17:29" ht="12.75" customHeight="1">
      <c r="Q514" s="364"/>
      <c r="R514" s="892"/>
      <c r="S514" s="897"/>
      <c r="T514" s="901"/>
      <c r="U514" s="901"/>
      <c r="V514" s="901"/>
      <c r="W514" s="903"/>
      <c r="X514" s="364"/>
      <c r="Y514" s="364"/>
      <c r="Z514" s="364"/>
      <c r="AA514"/>
      <c r="AB514"/>
      <c r="AC514"/>
    </row>
    <row r="515" spans="17:29" ht="12.75" customHeight="1">
      <c r="Q515" s="364"/>
      <c r="R515" s="892"/>
      <c r="S515" s="897"/>
      <c r="T515" s="702">
        <f>T502-PPE!$I$15</f>
        <v>102.02059991327963</v>
      </c>
      <c r="U515" s="560">
        <f>U508</f>
        <v>1.7391304347826084</v>
      </c>
      <c r="V515" s="690">
        <f>IF(T515&gt;0,W515*U515," ")</f>
        <v>1086.9565217391303</v>
      </c>
      <c r="W515" s="691">
        <f>IF(T515&gt;0,(VLOOKUP(T515,'Lookup Ready-reckoner'!$B$5:$E$1207,4))," ")</f>
        <v>625</v>
      </c>
      <c r="X515" s="364"/>
      <c r="Y515" s="364"/>
      <c r="Z515" s="364"/>
      <c r="AA515"/>
      <c r="AB515"/>
      <c r="AC515"/>
    </row>
    <row r="516" spans="17:29" ht="12.75" customHeight="1">
      <c r="Q516" s="364"/>
      <c r="R516" s="898"/>
      <c r="S516" s="899"/>
      <c r="T516" s="447"/>
      <c r="U516" s="560"/>
      <c r="V516" s="690" t="str">
        <f>IF(T516&gt;0,W516*U516," ")</f>
        <v xml:space="preserve"> </v>
      </c>
      <c r="W516" s="691" t="str">
        <f>IF(T516&gt;0,(VLOOKUP(T516,'Lookup Ready-reckoner'!$B$5:$E$1007,4))," ")</f>
        <v xml:space="preserve"> </v>
      </c>
      <c r="X516" s="364"/>
      <c r="Y516" s="364"/>
      <c r="Z516" s="364"/>
      <c r="AA516"/>
      <c r="AB516"/>
      <c r="AC516"/>
    </row>
    <row r="517" spans="17:29" ht="12.75" customHeight="1" thickBot="1">
      <c r="Q517" s="364"/>
      <c r="R517" s="692" t="s">
        <v>839</v>
      </c>
      <c r="S517" s="693"/>
      <c r="T517" s="693"/>
      <c r="U517" s="703">
        <f>IF(T515&gt;0,(VLOOKUP(V517,'Lookup Ready-reckoner'!$L$5:$M$1207,2))," ")</f>
        <v>95.3</v>
      </c>
      <c r="V517" s="695">
        <f>IF(U515&gt;0,(SUM(V515:V516))," ")</f>
        <v>1086.9565217391303</v>
      </c>
      <c r="W517" s="696"/>
      <c r="X517" s="364"/>
      <c r="Y517" s="364"/>
      <c r="Z517" s="364"/>
      <c r="AA517"/>
      <c r="AB517"/>
      <c r="AC517"/>
    </row>
    <row r="518" spans="17:29" ht="12.75" customHeight="1" thickBot="1">
      <c r="Q518" s="364"/>
      <c r="R518" s="892"/>
      <c r="S518" s="893"/>
      <c r="T518" s="893"/>
      <c r="U518" s="893"/>
      <c r="V518" s="893"/>
      <c r="W518" s="894"/>
      <c r="X518" s="364"/>
      <c r="Y518" s="364"/>
      <c r="Z518" s="364"/>
      <c r="AA518"/>
      <c r="AB518"/>
      <c r="AC518"/>
    </row>
    <row r="519" spans="17:29" ht="12.75" customHeight="1">
      <c r="Q519" s="364"/>
      <c r="R519" s="895" t="s">
        <v>886</v>
      </c>
      <c r="S519" s="896"/>
      <c r="T519" s="900" t="s">
        <v>835</v>
      </c>
      <c r="U519" s="900" t="s">
        <v>836</v>
      </c>
      <c r="V519" s="900" t="s">
        <v>837</v>
      </c>
      <c r="W519" s="902" t="s">
        <v>838</v>
      </c>
      <c r="X519" s="364"/>
      <c r="Y519" s="364"/>
      <c r="Z519" s="364"/>
      <c r="AA519"/>
      <c r="AB519"/>
      <c r="AC519"/>
    </row>
    <row r="520" spans="17:29" ht="12.75" customHeight="1">
      <c r="Q520" s="364"/>
      <c r="R520" s="892"/>
      <c r="S520" s="897"/>
      <c r="T520" s="901"/>
      <c r="U520" s="901"/>
      <c r="V520" s="901"/>
      <c r="W520" s="903"/>
      <c r="X520" s="364"/>
      <c r="Y520" s="364"/>
      <c r="Z520" s="364"/>
      <c r="AA520"/>
      <c r="AB520"/>
      <c r="AC520"/>
    </row>
    <row r="521" spans="17:29" ht="12.75" customHeight="1">
      <c r="Q521" s="364"/>
      <c r="R521" s="892"/>
      <c r="S521" s="897"/>
      <c r="T521" s="702">
        <f>T508-PPE!$I$15</f>
        <v>97.92586655636687</v>
      </c>
      <c r="U521" s="560">
        <f>U515</f>
        <v>1.7391304347826084</v>
      </c>
      <c r="V521" s="690">
        <f>IF(T521&gt;0,W521*U521," ")</f>
        <v>426.08695652173907</v>
      </c>
      <c r="W521" s="691">
        <f>IF(T521&gt;0,(VLOOKUP(T521,'Lookup Ready-reckoner'!$B$5:$E$1207,4))," ")</f>
        <v>245</v>
      </c>
      <c r="X521" s="364"/>
      <c r="Y521" s="364"/>
      <c r="Z521" s="364"/>
      <c r="AA521"/>
      <c r="AB521"/>
      <c r="AC521"/>
    </row>
    <row r="522" spans="17:29" ht="12.75" customHeight="1">
      <c r="Q522" s="364"/>
      <c r="R522" s="898"/>
      <c r="S522" s="899"/>
      <c r="T522" s="447"/>
      <c r="U522" s="560"/>
      <c r="V522" s="690" t="str">
        <f>IF(T522&gt;0,W522*U522," ")</f>
        <v xml:space="preserve"> </v>
      </c>
      <c r="W522" s="691" t="str">
        <f>IF(T522&gt;0,(VLOOKUP(T522,'Lookup Ready-reckoner'!$B$5:$E$1007,4))," ")</f>
        <v xml:space="preserve"> </v>
      </c>
      <c r="X522" s="364"/>
      <c r="Y522" s="364"/>
      <c r="Z522" s="364"/>
      <c r="AA522"/>
      <c r="AB522"/>
      <c r="AC522"/>
    </row>
    <row r="523" spans="17:29" ht="12.75" customHeight="1" thickBot="1">
      <c r="Q523" s="364"/>
      <c r="R523" s="692" t="s">
        <v>839</v>
      </c>
      <c r="S523" s="693"/>
      <c r="T523" s="693"/>
      <c r="U523" s="703">
        <f>IF(T521&gt;0,(VLOOKUP(V523,'Lookup Ready-reckoner'!$L$5:$M$1207,2))," ")</f>
        <v>91.25</v>
      </c>
      <c r="V523" s="695">
        <f>IF(U521&gt;0,(SUM(V521:V522))," ")</f>
        <v>426.08695652173907</v>
      </c>
      <c r="W523" s="696"/>
      <c r="X523" s="364"/>
      <c r="Y523" s="364"/>
      <c r="Z523" s="364"/>
      <c r="AA523"/>
      <c r="AB523"/>
      <c r="AC523"/>
    </row>
    <row r="524" spans="17:29" ht="12.75" customHeight="1">
      <c r="Q524" s="364"/>
      <c r="R524" s="363"/>
      <c r="S524" s="363"/>
      <c r="T524" s="363"/>
      <c r="U524" s="363"/>
      <c r="V524" s="363"/>
      <c r="W524" s="363"/>
      <c r="X524" s="364"/>
      <c r="Y524" s="364"/>
      <c r="Z524" s="364"/>
      <c r="AA524"/>
      <c r="AB524"/>
      <c r="AC524"/>
    </row>
    <row r="525" spans="17:29" ht="12.75" customHeight="1">
      <c r="Q525" s="364"/>
      <c r="R525" s="909" t="str">
        <f>R406</f>
        <v xml:space="preserve">Hilti TE MD20 </v>
      </c>
      <c r="S525" s="909"/>
      <c r="T525" s="909"/>
      <c r="U525" s="909"/>
      <c r="V525" s="909"/>
      <c r="W525" s="909"/>
      <c r="X525" s="364"/>
      <c r="Y525" s="364"/>
      <c r="Z525" s="364"/>
      <c r="AA525"/>
      <c r="AB525"/>
      <c r="AC525"/>
    </row>
    <row r="526" spans="17:29" ht="12.75" customHeight="1" thickBot="1">
      <c r="Q526" s="364"/>
      <c r="R526" s="910" t="s">
        <v>205</v>
      </c>
      <c r="S526" s="911"/>
      <c r="T526" s="911"/>
      <c r="U526" s="911"/>
      <c r="V526" s="911"/>
      <c r="W526" s="912"/>
      <c r="X526" s="364"/>
      <c r="Y526" s="364"/>
      <c r="Z526" s="364"/>
      <c r="AA526"/>
      <c r="AB526"/>
      <c r="AC526"/>
    </row>
    <row r="527" spans="17:29" ht="12.75" customHeight="1" thickBot="1">
      <c r="Q527" s="364"/>
      <c r="R527" s="686" t="s">
        <v>59</v>
      </c>
      <c r="S527" s="577"/>
      <c r="T527" s="687"/>
      <c r="U527" s="687"/>
      <c r="V527" s="687"/>
      <c r="W527" s="688"/>
      <c r="X527" s="364"/>
      <c r="Y527" s="364"/>
      <c r="Z527" s="364"/>
      <c r="AA527"/>
      <c r="AB527"/>
      <c r="AC527"/>
    </row>
    <row r="528" spans="17:29" ht="12.75" customHeight="1">
      <c r="Q528" s="364"/>
      <c r="R528" s="895" t="s">
        <v>845</v>
      </c>
      <c r="S528" s="896"/>
      <c r="T528" s="900" t="s">
        <v>835</v>
      </c>
      <c r="U528" s="900" t="s">
        <v>836</v>
      </c>
      <c r="V528" s="900" t="s">
        <v>837</v>
      </c>
      <c r="W528" s="902" t="s">
        <v>838</v>
      </c>
      <c r="X528" s="364"/>
      <c r="Y528" s="364"/>
      <c r="Z528" s="364"/>
      <c r="AA528"/>
      <c r="AB528"/>
      <c r="AC528"/>
    </row>
    <row r="529" spans="17:29" ht="12.75" customHeight="1">
      <c r="Q529" s="364"/>
      <c r="R529" s="892"/>
      <c r="S529" s="897"/>
      <c r="T529" s="904"/>
      <c r="U529" s="904"/>
      <c r="V529" s="904"/>
      <c r="W529" s="905"/>
      <c r="X529" s="364"/>
      <c r="Y529" s="364"/>
      <c r="Z529" s="364"/>
      <c r="AA529"/>
      <c r="AB529"/>
      <c r="AC529"/>
    </row>
    <row r="530" spans="17:29" ht="12.75" customHeight="1">
      <c r="Q530" s="364"/>
      <c r="R530" s="892"/>
      <c r="S530" s="897"/>
      <c r="T530" s="901"/>
      <c r="U530" s="901"/>
      <c r="V530" s="901"/>
      <c r="W530" s="903"/>
      <c r="X530" s="364"/>
      <c r="Y530" s="364"/>
      <c r="Z530" s="364"/>
      <c r="AA530"/>
      <c r="AB530"/>
      <c r="AC530"/>
    </row>
    <row r="531" spans="17:29" ht="12.75" customHeight="1">
      <c r="Q531" s="364"/>
      <c r="R531" s="892"/>
      <c r="S531" s="897"/>
      <c r="T531" s="704">
        <f>U76</f>
        <v>108.02059991327964</v>
      </c>
      <c r="U531" s="560">
        <f>U62</f>
        <v>2.6666666666666665</v>
      </c>
      <c r="V531" s="690">
        <f>IF(T531&gt;0,W531*U531," ")</f>
        <v>6666.6666666666661</v>
      </c>
      <c r="W531" s="691">
        <f>IF(T531&gt;0,(VLOOKUP(T531,'Lookup Ready-reckoner'!$B$5:$E$1207,4))," ")</f>
        <v>2500</v>
      </c>
      <c r="X531" s="364"/>
      <c r="Y531" s="364"/>
      <c r="Z531" s="364"/>
      <c r="AA531"/>
      <c r="AB531"/>
      <c r="AC531"/>
    </row>
    <row r="532" spans="17:29" ht="12.75" customHeight="1">
      <c r="Q532" s="364"/>
      <c r="R532" s="898"/>
      <c r="S532" s="899"/>
      <c r="T532" s="447"/>
      <c r="U532" s="560"/>
      <c r="V532" s="690" t="str">
        <f>IF(T532&gt;0,W532*U532," ")</f>
        <v xml:space="preserve"> </v>
      </c>
      <c r="W532" s="691" t="str">
        <f>IF(T532&gt;0,(VLOOKUP(T532,'Lookup Ready-reckoner'!$B$5:$E$1007,4))," ")</f>
        <v xml:space="preserve"> </v>
      </c>
      <c r="X532" s="364"/>
      <c r="Y532" s="364"/>
      <c r="Z532" s="364"/>
      <c r="AA532"/>
      <c r="AB532"/>
      <c r="AC532"/>
    </row>
    <row r="533" spans="17:29" ht="12.75" customHeight="1" thickBot="1">
      <c r="Q533" s="364"/>
      <c r="R533" s="692" t="s">
        <v>839</v>
      </c>
      <c r="S533" s="693"/>
      <c r="T533" s="693"/>
      <c r="U533" s="705">
        <f>IF(T531&gt;0,(VLOOKUP(V533,'Lookup Ready-reckoner'!$L$5:$M$1207,2))," ")</f>
        <v>103.15</v>
      </c>
      <c r="V533" s="695">
        <f>IF(U531&gt;0,(SUM(V531:V532))," ")</f>
        <v>6666.6666666666661</v>
      </c>
      <c r="W533" s="696"/>
      <c r="X533" s="364"/>
      <c r="Y533" s="364"/>
      <c r="Z533" s="364"/>
      <c r="AA533"/>
      <c r="AB533"/>
      <c r="AC533"/>
    </row>
    <row r="534" spans="17:29" ht="12.75" customHeight="1" thickBot="1">
      <c r="Q534" s="364"/>
      <c r="R534" s="906"/>
      <c r="S534" s="907"/>
      <c r="T534" s="907"/>
      <c r="U534" s="907"/>
      <c r="V534" s="907"/>
      <c r="W534" s="908"/>
      <c r="X534" s="364"/>
      <c r="Y534" s="364"/>
      <c r="Z534" s="364"/>
      <c r="AA534"/>
      <c r="AB534"/>
      <c r="AC534"/>
    </row>
    <row r="535" spans="17:29" ht="12.75" customHeight="1">
      <c r="Q535" s="364"/>
      <c r="R535" s="895" t="s">
        <v>886</v>
      </c>
      <c r="S535" s="896"/>
      <c r="T535" s="900" t="s">
        <v>835</v>
      </c>
      <c r="U535" s="900" t="s">
        <v>836</v>
      </c>
      <c r="V535" s="900" t="s">
        <v>837</v>
      </c>
      <c r="W535" s="902" t="s">
        <v>838</v>
      </c>
      <c r="X535" s="364"/>
      <c r="Y535" s="364"/>
      <c r="Z535" s="364"/>
      <c r="AA535"/>
      <c r="AB535"/>
      <c r="AC535"/>
    </row>
    <row r="536" spans="17:29" ht="12.75" customHeight="1">
      <c r="Q536" s="364"/>
      <c r="R536" s="892"/>
      <c r="S536" s="897"/>
      <c r="T536" s="901"/>
      <c r="U536" s="901"/>
      <c r="V536" s="901"/>
      <c r="W536" s="903"/>
      <c r="X536" s="364"/>
      <c r="Y536" s="364"/>
      <c r="Z536" s="364"/>
      <c r="AA536"/>
      <c r="AB536"/>
      <c r="AC536"/>
    </row>
    <row r="537" spans="17:29" ht="12.75" customHeight="1">
      <c r="Q537" s="364"/>
      <c r="R537" s="892"/>
      <c r="S537" s="897"/>
      <c r="T537" s="704">
        <f>T531*(1-0.0178*2)</f>
        <v>104.17506655636689</v>
      </c>
      <c r="U537" s="560">
        <f>U531</f>
        <v>2.6666666666666665</v>
      </c>
      <c r="V537" s="690">
        <f>IF(T537&gt;0,W537*U537," ")</f>
        <v>2766.6666666666665</v>
      </c>
      <c r="W537" s="691">
        <f>IF(T537&gt;0,(VLOOKUP(T537,'Lookup Ready-reckoner'!$B$5:$E$1207,4))," ")</f>
        <v>1037.5</v>
      </c>
      <c r="X537" s="364"/>
      <c r="Y537" s="364"/>
      <c r="Z537" s="364"/>
      <c r="AA537"/>
      <c r="AB537"/>
      <c r="AC537"/>
    </row>
    <row r="538" spans="17:29" ht="12.75" customHeight="1">
      <c r="Q538" s="364"/>
      <c r="R538" s="898"/>
      <c r="S538" s="899"/>
      <c r="T538" s="447"/>
      <c r="U538" s="560"/>
      <c r="V538" s="690" t="str">
        <f>IF(T538&gt;0,W538*U538," ")</f>
        <v xml:space="preserve"> </v>
      </c>
      <c r="W538" s="691" t="str">
        <f>IF(T538&gt;0,(VLOOKUP(T538,'Lookup Ready-reckoner'!$B$5:$E$1007,4))," ")</f>
        <v xml:space="preserve"> </v>
      </c>
      <c r="X538" s="364"/>
      <c r="Y538" s="364"/>
      <c r="Z538" s="364"/>
      <c r="AA538"/>
      <c r="AB538"/>
      <c r="AC538"/>
    </row>
    <row r="539" spans="17:29" ht="12.75" customHeight="1" thickBot="1">
      <c r="Q539" s="364"/>
      <c r="R539" s="692" t="s">
        <v>839</v>
      </c>
      <c r="S539" s="693"/>
      <c r="T539" s="693"/>
      <c r="U539" s="705">
        <f>IF(T537&gt;0,(VLOOKUP(V539,'Lookup Ready-reckoner'!$L$5:$M$1207,2))," ")</f>
        <v>99.35</v>
      </c>
      <c r="V539" s="695">
        <f>IF(U537&gt;0,(SUM(V537:V538))," ")</f>
        <v>2766.6666666666665</v>
      </c>
      <c r="W539" s="696"/>
      <c r="X539" s="364"/>
      <c r="Y539" s="364"/>
      <c r="Z539" s="364"/>
      <c r="AA539"/>
      <c r="AB539"/>
      <c r="AC539"/>
    </row>
    <row r="540" spans="17:29" ht="12.75" customHeight="1">
      <c r="Q540" s="364"/>
      <c r="R540" s="697"/>
      <c r="S540" s="687"/>
      <c r="T540" s="687"/>
      <c r="U540" s="372"/>
      <c r="V540" s="374"/>
      <c r="W540" s="688"/>
      <c r="X540" s="364"/>
      <c r="Y540" s="364"/>
      <c r="Z540" s="364"/>
      <c r="AA540"/>
      <c r="AB540"/>
      <c r="AC540"/>
    </row>
    <row r="541" spans="17:29" ht="12.75" customHeight="1" thickBot="1">
      <c r="Q541" s="364"/>
      <c r="R541" s="686" t="s">
        <v>60</v>
      </c>
      <c r="S541" s="577"/>
      <c r="T541" s="577"/>
      <c r="U541" s="577"/>
      <c r="V541" s="577"/>
      <c r="W541" s="698"/>
      <c r="X541" s="364"/>
      <c r="Y541" s="364"/>
      <c r="Z541" s="364"/>
      <c r="AA541"/>
      <c r="AB541"/>
      <c r="AC541"/>
    </row>
    <row r="542" spans="17:29" ht="12.75" customHeight="1">
      <c r="Q542" s="364"/>
      <c r="R542" s="895" t="s">
        <v>845</v>
      </c>
      <c r="S542" s="896"/>
      <c r="T542" s="900" t="s">
        <v>835</v>
      </c>
      <c r="U542" s="900" t="s">
        <v>836</v>
      </c>
      <c r="V542" s="900" t="s">
        <v>837</v>
      </c>
      <c r="W542" s="902" t="s">
        <v>838</v>
      </c>
      <c r="X542" s="364"/>
      <c r="Y542" s="364"/>
      <c r="Z542" s="364"/>
      <c r="AA542"/>
      <c r="AB542"/>
      <c r="AC542"/>
    </row>
    <row r="543" spans="17:29" ht="12.75" customHeight="1">
      <c r="Q543" s="364"/>
      <c r="R543" s="892"/>
      <c r="S543" s="897"/>
      <c r="T543" s="901"/>
      <c r="U543" s="901"/>
      <c r="V543" s="901"/>
      <c r="W543" s="903"/>
      <c r="X543" s="364"/>
      <c r="Y543" s="364"/>
      <c r="Z543" s="364"/>
      <c r="AA543"/>
      <c r="AB543"/>
      <c r="AC543"/>
    </row>
    <row r="544" spans="17:29" ht="12.75" customHeight="1">
      <c r="Q544" s="364"/>
      <c r="R544" s="892"/>
      <c r="S544" s="897"/>
      <c r="T544" s="704">
        <f>T531-PPE!$I$15</f>
        <v>95.020599913279639</v>
      </c>
      <c r="U544" s="560">
        <f>U537</f>
        <v>2.6666666666666665</v>
      </c>
      <c r="V544" s="690">
        <f>IF(T544&gt;0,W544*U544," ")</f>
        <v>333.33333333333331</v>
      </c>
      <c r="W544" s="691">
        <f>IF(T544&gt;0,(VLOOKUP(T544,'Lookup Ready-reckoner'!$B$5:$E$1207,4))," ")</f>
        <v>125</v>
      </c>
      <c r="X544" s="364"/>
      <c r="Y544" s="364"/>
      <c r="Z544" s="364"/>
      <c r="AA544"/>
      <c r="AB544"/>
      <c r="AC544"/>
    </row>
    <row r="545" spans="17:29" ht="12.75" customHeight="1">
      <c r="Q545" s="364"/>
      <c r="R545" s="898"/>
      <c r="S545" s="899"/>
      <c r="T545" s="447"/>
      <c r="U545" s="560"/>
      <c r="V545" s="690" t="str">
        <f>IF(T545&gt;0,W545*U545," ")</f>
        <v xml:space="preserve"> </v>
      </c>
      <c r="W545" s="691" t="str">
        <f>IF(T545&gt;0,(VLOOKUP(T545,'Lookup Ready-reckoner'!$B$5:$E$1007,4))," ")</f>
        <v xml:space="preserve"> </v>
      </c>
      <c r="X545" s="364"/>
      <c r="Y545" s="364"/>
      <c r="Z545" s="364"/>
      <c r="AA545"/>
      <c r="AB545"/>
      <c r="AC545"/>
    </row>
    <row r="546" spans="17:29" ht="12.75" customHeight="1" thickBot="1">
      <c r="Q546" s="364"/>
      <c r="R546" s="692" t="s">
        <v>839</v>
      </c>
      <c r="S546" s="693"/>
      <c r="T546" s="693"/>
      <c r="U546" s="705">
        <f>IF(T544&gt;0,(VLOOKUP(V546,'Lookup Ready-reckoner'!$L$5:$M$1207,2))," ")</f>
        <v>90.15</v>
      </c>
      <c r="V546" s="695">
        <f>IF(U544&gt;0,(SUM(V544:V545))," ")</f>
        <v>333.33333333333331</v>
      </c>
      <c r="W546" s="696"/>
      <c r="X546" s="364"/>
      <c r="Y546" s="364"/>
      <c r="Z546" s="364"/>
      <c r="AA546"/>
      <c r="AB546"/>
      <c r="AC546"/>
    </row>
    <row r="547" spans="17:29" ht="12.75" customHeight="1" thickBot="1">
      <c r="Q547" s="364"/>
      <c r="R547" s="892"/>
      <c r="S547" s="893"/>
      <c r="T547" s="893"/>
      <c r="U547" s="893"/>
      <c r="V547" s="893"/>
      <c r="W547" s="894"/>
      <c r="X547" s="364"/>
      <c r="Y547" s="364"/>
      <c r="Z547" s="364"/>
      <c r="AA547"/>
      <c r="AB547"/>
      <c r="AC547"/>
    </row>
    <row r="548" spans="17:29" ht="12.75" customHeight="1">
      <c r="Q548" s="364"/>
      <c r="R548" s="895" t="s">
        <v>886</v>
      </c>
      <c r="S548" s="896"/>
      <c r="T548" s="900" t="s">
        <v>835</v>
      </c>
      <c r="U548" s="900" t="s">
        <v>836</v>
      </c>
      <c r="V548" s="900" t="s">
        <v>837</v>
      </c>
      <c r="W548" s="902" t="s">
        <v>838</v>
      </c>
      <c r="X548" s="364"/>
      <c r="Y548" s="364"/>
      <c r="Z548" s="364"/>
      <c r="AA548"/>
      <c r="AB548"/>
      <c r="AC548"/>
    </row>
    <row r="549" spans="17:29" ht="12.75" customHeight="1">
      <c r="Q549" s="364"/>
      <c r="R549" s="892"/>
      <c r="S549" s="897"/>
      <c r="T549" s="901"/>
      <c r="U549" s="901"/>
      <c r="V549" s="901"/>
      <c r="W549" s="903"/>
      <c r="X549" s="364"/>
      <c r="Y549" s="364"/>
      <c r="Z549" s="364"/>
      <c r="AA549"/>
      <c r="AB549"/>
      <c r="AC549"/>
    </row>
    <row r="550" spans="17:29" ht="12.75" customHeight="1">
      <c r="Q550" s="364"/>
      <c r="R550" s="892"/>
      <c r="S550" s="897"/>
      <c r="T550" s="704">
        <f>T537-PPE!$I$15</f>
        <v>91.175066556366886</v>
      </c>
      <c r="U550" s="560">
        <f>U544</f>
        <v>2.6666666666666665</v>
      </c>
      <c r="V550" s="690">
        <f>IF(T550&gt;0,W550*U550," ")</f>
        <v>138.33333333333331</v>
      </c>
      <c r="W550" s="691">
        <f>IF(T550&gt;0,(VLOOKUP(T550,'Lookup Ready-reckoner'!$B$5:$E$1207,4))," ")</f>
        <v>51.875</v>
      </c>
      <c r="X550" s="364"/>
      <c r="Y550" s="364"/>
      <c r="Z550" s="364"/>
      <c r="AA550"/>
      <c r="AB550"/>
      <c r="AC550"/>
    </row>
    <row r="551" spans="17:29" ht="12.75" customHeight="1">
      <c r="Q551" s="364"/>
      <c r="R551" s="898"/>
      <c r="S551" s="899"/>
      <c r="T551" s="447"/>
      <c r="U551" s="560"/>
      <c r="V551" s="690" t="str">
        <f>IF(T551&gt;0,W551*U551," ")</f>
        <v xml:space="preserve"> </v>
      </c>
      <c r="W551" s="691" t="str">
        <f>IF(T551&gt;0,(VLOOKUP(T551,'Lookup Ready-reckoner'!$B$5:$E$1007,4))," ")</f>
        <v xml:space="preserve"> </v>
      </c>
      <c r="X551" s="364"/>
      <c r="Y551" s="364"/>
      <c r="Z551" s="364"/>
      <c r="AA551"/>
      <c r="AB551"/>
      <c r="AC551"/>
    </row>
    <row r="552" spans="17:29" ht="12.75" customHeight="1" thickBot="1">
      <c r="Q552" s="364"/>
      <c r="R552" s="692" t="s">
        <v>839</v>
      </c>
      <c r="S552" s="693"/>
      <c r="T552" s="693"/>
      <c r="U552" s="705">
        <f>IF(T550&gt;0,(VLOOKUP(V552,'Lookup Ready-reckoner'!$L$5:$M$1207,2))," ")</f>
        <v>86.35</v>
      </c>
      <c r="V552" s="695">
        <f>IF(U550&gt;0,(SUM(V550:V551))," ")</f>
        <v>138.33333333333331</v>
      </c>
      <c r="W552" s="696"/>
      <c r="X552" s="364"/>
      <c r="Y552" s="364"/>
      <c r="Z552" s="364"/>
      <c r="AA552"/>
      <c r="AB552"/>
      <c r="AC552"/>
    </row>
    <row r="553" spans="17:29" ht="12.75" customHeight="1">
      <c r="Q553" s="364"/>
      <c r="R553" s="364"/>
      <c r="S553" s="364"/>
      <c r="T553" s="364"/>
      <c r="U553" s="364"/>
      <c r="V553" s="364"/>
      <c r="W553" s="364"/>
      <c r="X553" s="364"/>
      <c r="Y553" s="364"/>
      <c r="Z553" s="364"/>
      <c r="AA553"/>
      <c r="AB553"/>
      <c r="AC553"/>
    </row>
    <row r="554" spans="17:29" ht="12.75" customHeight="1">
      <c r="Q554"/>
      <c r="R554"/>
      <c r="S554"/>
      <c r="T554"/>
      <c r="U554"/>
      <c r="V554"/>
      <c r="W554"/>
      <c r="X554"/>
      <c r="Y554"/>
      <c r="Z554"/>
      <c r="AA554"/>
      <c r="AB554"/>
      <c r="AC554"/>
    </row>
    <row r="555" spans="17:29" ht="12.75" customHeight="1">
      <c r="Q555"/>
      <c r="R555"/>
      <c r="S555"/>
      <c r="T555"/>
      <c r="U555"/>
      <c r="V555"/>
      <c r="W555"/>
      <c r="X555"/>
      <c r="Y555"/>
      <c r="Z555"/>
      <c r="AA555"/>
      <c r="AB555"/>
      <c r="AC555"/>
    </row>
    <row r="556" spans="17:29" ht="12.75" customHeight="1">
      <c r="Q556"/>
      <c r="R556"/>
      <c r="S556"/>
      <c r="T556"/>
      <c r="U556"/>
      <c r="V556"/>
      <c r="W556"/>
      <c r="X556"/>
      <c r="Y556"/>
      <c r="Z556"/>
      <c r="AA556"/>
      <c r="AB556"/>
      <c r="AC556"/>
    </row>
    <row r="557" spans="17:29" ht="12.75" customHeight="1">
      <c r="Q557"/>
      <c r="R557"/>
      <c r="S557"/>
      <c r="T557"/>
      <c r="U557"/>
      <c r="V557"/>
      <c r="W557"/>
      <c r="X557"/>
      <c r="Y557"/>
      <c r="Z557"/>
      <c r="AA557"/>
      <c r="AB557"/>
      <c r="AC557"/>
    </row>
    <row r="558" spans="17:29" ht="12.75" customHeight="1">
      <c r="Q558"/>
      <c r="R558"/>
      <c r="S558"/>
      <c r="T558"/>
      <c r="U558"/>
      <c r="V558"/>
      <c r="W558"/>
      <c r="X558"/>
      <c r="Y558"/>
      <c r="Z558"/>
      <c r="AA558"/>
      <c r="AB558"/>
      <c r="AC558"/>
    </row>
    <row r="559" spans="17:29" ht="12.75" customHeight="1">
      <c r="Q559"/>
      <c r="R559"/>
      <c r="S559"/>
      <c r="T559"/>
      <c r="U559"/>
      <c r="V559"/>
      <c r="W559"/>
      <c r="X559"/>
      <c r="Y559"/>
      <c r="Z559"/>
      <c r="AA559"/>
      <c r="AB559"/>
      <c r="AC559"/>
    </row>
    <row r="560" spans="17:29" ht="12.75" customHeight="1">
      <c r="Q560"/>
      <c r="R560"/>
      <c r="S560"/>
      <c r="T560"/>
      <c r="U560"/>
      <c r="V560"/>
      <c r="W560"/>
      <c r="X560"/>
      <c r="Y560"/>
      <c r="Z560"/>
      <c r="AA560"/>
      <c r="AB560"/>
      <c r="AC560"/>
    </row>
    <row r="561" spans="17:29" ht="12.75" customHeight="1">
      <c r="Q561"/>
      <c r="R561"/>
      <c r="S561"/>
      <c r="T561"/>
      <c r="U561"/>
      <c r="V561"/>
      <c r="W561"/>
      <c r="X561"/>
      <c r="Y561"/>
      <c r="Z561"/>
      <c r="AA561"/>
      <c r="AB561"/>
      <c r="AC561"/>
    </row>
    <row r="562" spans="17:29" ht="12.75" customHeight="1">
      <c r="Q562"/>
      <c r="R562"/>
      <c r="S562"/>
      <c r="T562"/>
      <c r="U562"/>
      <c r="V562"/>
      <c r="W562"/>
      <c r="X562"/>
      <c r="Y562"/>
      <c r="Z562"/>
      <c r="AA562"/>
      <c r="AB562"/>
      <c r="AC562"/>
    </row>
    <row r="563" spans="17:29" ht="12.75" customHeight="1">
      <c r="Q563"/>
      <c r="R563"/>
      <c r="S563"/>
      <c r="T563"/>
      <c r="U563"/>
      <c r="V563"/>
      <c r="W563"/>
      <c r="X563"/>
      <c r="Y563"/>
      <c r="Z563"/>
      <c r="AA563"/>
      <c r="AB563"/>
      <c r="AC563"/>
    </row>
    <row r="564" spans="17:29" ht="12.75" customHeight="1">
      <c r="Q564"/>
      <c r="R564"/>
      <c r="S564"/>
      <c r="T564"/>
      <c r="U564"/>
      <c r="V564"/>
      <c r="W564"/>
      <c r="X564"/>
      <c r="Y564"/>
      <c r="Z564"/>
      <c r="AA564"/>
      <c r="AB564"/>
      <c r="AC564"/>
    </row>
    <row r="565" spans="17:29" ht="12.75" customHeight="1">
      <c r="Q565"/>
      <c r="R565"/>
      <c r="S565"/>
      <c r="T565"/>
      <c r="U565"/>
      <c r="V565"/>
      <c r="W565"/>
      <c r="X565"/>
      <c r="Y565"/>
      <c r="Z565"/>
      <c r="AA565"/>
      <c r="AB565"/>
      <c r="AC565"/>
    </row>
    <row r="566" spans="17:29" ht="12.75" customHeight="1">
      <c r="Q566"/>
      <c r="R566"/>
      <c r="S566"/>
      <c r="T566"/>
      <c r="U566"/>
      <c r="V566"/>
      <c r="W566"/>
      <c r="X566"/>
      <c r="Y566"/>
      <c r="Z566"/>
      <c r="AA566"/>
      <c r="AB566"/>
      <c r="AC566"/>
    </row>
    <row r="567" spans="17:29" ht="12.75" customHeight="1">
      <c r="Q567"/>
      <c r="R567"/>
      <c r="S567"/>
      <c r="T567"/>
      <c r="U567"/>
      <c r="V567"/>
      <c r="W567"/>
      <c r="X567"/>
      <c r="Y567"/>
      <c r="Z567"/>
      <c r="AA567"/>
      <c r="AB567"/>
      <c r="AC567"/>
    </row>
    <row r="568" spans="17:29" ht="12.75" customHeight="1">
      <c r="Q568"/>
      <c r="R568"/>
      <c r="S568"/>
      <c r="T568"/>
      <c r="U568"/>
      <c r="V568"/>
      <c r="W568"/>
      <c r="X568"/>
      <c r="Y568"/>
      <c r="Z568"/>
      <c r="AA568"/>
      <c r="AB568"/>
      <c r="AC568"/>
    </row>
    <row r="569" spans="17:29" ht="12.75" customHeight="1">
      <c r="Q569"/>
      <c r="R569"/>
      <c r="S569"/>
      <c r="T569"/>
      <c r="U569"/>
      <c r="V569"/>
      <c r="W569"/>
      <c r="X569"/>
      <c r="Y569"/>
      <c r="Z569"/>
      <c r="AA569"/>
      <c r="AB569"/>
      <c r="AC569"/>
    </row>
    <row r="570" spans="17:29" ht="12.75" customHeight="1">
      <c r="Q570"/>
      <c r="R570"/>
      <c r="S570"/>
      <c r="T570"/>
      <c r="U570"/>
      <c r="V570"/>
      <c r="W570"/>
      <c r="X570"/>
      <c r="Y570"/>
      <c r="Z570"/>
      <c r="AA570"/>
      <c r="AB570"/>
      <c r="AC570"/>
    </row>
    <row r="571" spans="17:29" ht="12.75" customHeight="1">
      <c r="Q571"/>
      <c r="R571"/>
      <c r="S571"/>
      <c r="T571"/>
      <c r="U571"/>
      <c r="V571"/>
      <c r="W571"/>
      <c r="X571"/>
      <c r="Y571"/>
      <c r="Z571"/>
      <c r="AA571"/>
      <c r="AB571"/>
      <c r="AC571"/>
    </row>
    <row r="572" spans="17:29" ht="12.75" customHeight="1">
      <c r="Q572"/>
      <c r="R572"/>
      <c r="S572"/>
      <c r="T572"/>
      <c r="U572"/>
      <c r="V572"/>
      <c r="W572"/>
      <c r="X572"/>
      <c r="Y572"/>
      <c r="Z572"/>
      <c r="AA572"/>
      <c r="AB572"/>
      <c r="AC572"/>
    </row>
    <row r="573" spans="17:29" ht="12.75" customHeight="1">
      <c r="Q573"/>
      <c r="R573"/>
      <c r="S573"/>
      <c r="T573"/>
      <c r="U573"/>
      <c r="V573"/>
      <c r="W573"/>
      <c r="X573"/>
      <c r="Y573"/>
      <c r="Z573"/>
      <c r="AA573"/>
      <c r="AB573"/>
      <c r="AC573"/>
    </row>
    <row r="574" spans="17:29" ht="12.75" customHeight="1">
      <c r="Q574"/>
      <c r="R574"/>
      <c r="S574"/>
      <c r="T574"/>
      <c r="U574"/>
      <c r="V574"/>
      <c r="W574"/>
      <c r="X574"/>
      <c r="Y574"/>
      <c r="Z574"/>
      <c r="AA574"/>
      <c r="AB574"/>
      <c r="AC574"/>
    </row>
    <row r="575" spans="17:29" ht="12.75" customHeight="1">
      <c r="Q575"/>
      <c r="R575"/>
      <c r="S575"/>
      <c r="T575"/>
      <c r="U575"/>
      <c r="V575"/>
      <c r="W575"/>
      <c r="X575"/>
      <c r="Y575"/>
      <c r="Z575"/>
      <c r="AA575"/>
      <c r="AB575"/>
      <c r="AC575"/>
    </row>
    <row r="576" spans="17:29" ht="12.75" customHeight="1">
      <c r="Q576"/>
      <c r="R576"/>
      <c r="S576"/>
      <c r="T576"/>
      <c r="U576"/>
      <c r="V576"/>
      <c r="W576"/>
      <c r="X576"/>
      <c r="Y576"/>
      <c r="Z576"/>
      <c r="AA576"/>
      <c r="AB576"/>
      <c r="AC576"/>
    </row>
    <row r="577" spans="17:29" ht="12.75" customHeight="1">
      <c r="Q577"/>
      <c r="R577"/>
      <c r="S577"/>
      <c r="T577"/>
      <c r="U577"/>
      <c r="V577"/>
      <c r="W577"/>
      <c r="X577"/>
      <c r="Y577"/>
      <c r="Z577"/>
      <c r="AA577"/>
      <c r="AB577"/>
      <c r="AC577"/>
    </row>
    <row r="578" spans="17:29" ht="12.75" customHeight="1">
      <c r="Q578"/>
      <c r="R578"/>
      <c r="S578"/>
      <c r="T578"/>
      <c r="U578"/>
      <c r="V578"/>
      <c r="W578"/>
      <c r="X578"/>
      <c r="Y578"/>
      <c r="Z578"/>
      <c r="AA578"/>
      <c r="AB578"/>
      <c r="AC578"/>
    </row>
    <row r="579" spans="17:29" ht="12.75" customHeight="1">
      <c r="Q579"/>
      <c r="R579"/>
      <c r="S579"/>
      <c r="T579"/>
      <c r="U579"/>
      <c r="V579"/>
      <c r="W579"/>
      <c r="X579"/>
      <c r="Y579"/>
      <c r="Z579"/>
      <c r="AA579"/>
      <c r="AB579"/>
      <c r="AC579"/>
    </row>
    <row r="580" spans="17:29" ht="12.75" customHeight="1">
      <c r="Q580"/>
      <c r="R580"/>
      <c r="S580"/>
      <c r="T580"/>
      <c r="U580"/>
      <c r="V580"/>
      <c r="W580"/>
      <c r="X580"/>
      <c r="Y580"/>
      <c r="Z580"/>
      <c r="AA580"/>
      <c r="AB580"/>
      <c r="AC580"/>
    </row>
    <row r="581" spans="17:29" ht="12.75" customHeight="1">
      <c r="Q581"/>
      <c r="R581"/>
      <c r="S581"/>
      <c r="T581"/>
      <c r="U581"/>
      <c r="V581"/>
      <c r="W581"/>
      <c r="X581"/>
      <c r="Y581"/>
      <c r="Z581"/>
      <c r="AA581"/>
      <c r="AB581"/>
      <c r="AC581"/>
    </row>
    <row r="582" spans="17:29" ht="12.75" customHeight="1">
      <c r="Q582"/>
      <c r="R582"/>
      <c r="S582"/>
      <c r="T582"/>
      <c r="U582"/>
      <c r="V582"/>
      <c r="W582"/>
      <c r="X582"/>
      <c r="Y582"/>
      <c r="Z582"/>
      <c r="AA582"/>
      <c r="AB582"/>
      <c r="AC582"/>
    </row>
    <row r="583" spans="17:29" ht="12.75" customHeight="1">
      <c r="Q583"/>
      <c r="R583"/>
      <c r="S583"/>
      <c r="T583"/>
      <c r="U583"/>
      <c r="V583"/>
      <c r="W583"/>
      <c r="X583"/>
      <c r="Y583"/>
      <c r="Z583"/>
      <c r="AA583"/>
      <c r="AB583"/>
      <c r="AC583"/>
    </row>
    <row r="584" spans="17:29" ht="12.75" customHeight="1">
      <c r="Q584"/>
      <c r="R584"/>
      <c r="S584"/>
      <c r="T584"/>
      <c r="U584"/>
      <c r="V584"/>
      <c r="W584"/>
      <c r="X584"/>
      <c r="Y584"/>
      <c r="Z584"/>
      <c r="AA584"/>
      <c r="AB584"/>
      <c r="AC584"/>
    </row>
    <row r="585" spans="17:29" ht="12.75" customHeight="1">
      <c r="Q585"/>
      <c r="R585"/>
      <c r="S585"/>
      <c r="T585"/>
      <c r="U585"/>
      <c r="V585"/>
      <c r="W585"/>
      <c r="X585"/>
      <c r="Y585"/>
      <c r="Z585"/>
      <c r="AA585"/>
      <c r="AB585"/>
      <c r="AC585"/>
    </row>
    <row r="586" spans="17:29" ht="12.75" customHeight="1">
      <c r="Q586"/>
      <c r="R586"/>
      <c r="S586"/>
      <c r="T586"/>
      <c r="U586"/>
      <c r="V586"/>
      <c r="W586"/>
      <c r="X586"/>
      <c r="Y586"/>
      <c r="Z586"/>
      <c r="AA586"/>
      <c r="AB586"/>
      <c r="AC586"/>
    </row>
    <row r="587" spans="17:29" ht="12.75" customHeight="1">
      <c r="Q587"/>
      <c r="R587"/>
      <c r="S587"/>
      <c r="T587"/>
      <c r="U587"/>
      <c r="V587"/>
      <c r="W587"/>
      <c r="X587"/>
      <c r="Y587"/>
      <c r="Z587"/>
      <c r="AA587"/>
      <c r="AB587"/>
      <c r="AC587"/>
    </row>
    <row r="588" spans="17:29" ht="12.75" customHeight="1">
      <c r="Q588"/>
      <c r="R588"/>
      <c r="S588"/>
      <c r="T588"/>
      <c r="U588"/>
      <c r="V588"/>
      <c r="W588"/>
      <c r="X588"/>
      <c r="Y588"/>
      <c r="Z588"/>
      <c r="AA588"/>
      <c r="AB588"/>
      <c r="AC588"/>
    </row>
    <row r="589" spans="17:29" ht="12.75" customHeight="1">
      <c r="Q589"/>
      <c r="R589"/>
      <c r="S589"/>
      <c r="T589"/>
      <c r="U589"/>
      <c r="V589"/>
      <c r="W589"/>
      <c r="X589"/>
      <c r="Y589"/>
      <c r="Z589"/>
      <c r="AA589"/>
      <c r="AB589"/>
      <c r="AC589"/>
    </row>
    <row r="590" spans="17:29" ht="12.75" customHeight="1">
      <c r="Q590"/>
      <c r="R590"/>
      <c r="S590"/>
      <c r="T590"/>
      <c r="U590"/>
      <c r="V590"/>
      <c r="W590"/>
      <c r="X590"/>
      <c r="Y590"/>
      <c r="Z590"/>
      <c r="AA590"/>
      <c r="AB590"/>
      <c r="AC590"/>
    </row>
    <row r="591" spans="17:29" ht="12.75" customHeight="1">
      <c r="Q591"/>
      <c r="R591"/>
      <c r="S591"/>
      <c r="T591"/>
      <c r="U591"/>
      <c r="V591"/>
      <c r="W591"/>
      <c r="X591"/>
      <c r="Y591"/>
      <c r="Z591"/>
      <c r="AA591"/>
      <c r="AB591"/>
      <c r="AC591"/>
    </row>
    <row r="592" spans="17:29" ht="12.75" customHeight="1">
      <c r="Q592"/>
      <c r="R592"/>
      <c r="S592"/>
      <c r="T592"/>
      <c r="U592"/>
      <c r="V592"/>
      <c r="W592"/>
      <c r="X592"/>
      <c r="Y592"/>
      <c r="Z592"/>
      <c r="AA592"/>
      <c r="AB592"/>
      <c r="AC592"/>
    </row>
    <row r="593" spans="17:29" ht="12.75" customHeight="1">
      <c r="Q593"/>
      <c r="R593"/>
      <c r="S593"/>
      <c r="T593"/>
      <c r="U593"/>
      <c r="V593"/>
      <c r="W593"/>
      <c r="X593"/>
      <c r="Y593"/>
      <c r="Z593"/>
      <c r="AA593"/>
      <c r="AB593"/>
      <c r="AC593"/>
    </row>
    <row r="594" spans="17:29" ht="12.75" customHeight="1">
      <c r="Q594"/>
      <c r="R594"/>
      <c r="S594"/>
      <c r="T594"/>
      <c r="U594"/>
      <c r="V594"/>
      <c r="W594"/>
      <c r="X594"/>
      <c r="Y594"/>
      <c r="Z594"/>
      <c r="AA594"/>
      <c r="AB594"/>
      <c r="AC594"/>
    </row>
    <row r="595" spans="17:29" ht="12.75" customHeight="1">
      <c r="Q595"/>
      <c r="R595"/>
      <c r="S595"/>
      <c r="T595"/>
      <c r="U595"/>
      <c r="V595"/>
      <c r="W595"/>
      <c r="X595"/>
      <c r="Y595"/>
      <c r="Z595"/>
      <c r="AA595"/>
      <c r="AB595"/>
      <c r="AC595"/>
    </row>
    <row r="596" spans="17:29" ht="12.75" customHeight="1">
      <c r="Q596"/>
      <c r="R596"/>
      <c r="S596"/>
      <c r="T596"/>
      <c r="U596"/>
      <c r="V596"/>
      <c r="W596"/>
      <c r="X596"/>
      <c r="Y596"/>
      <c r="Z596"/>
      <c r="AA596"/>
      <c r="AB596"/>
      <c r="AC596"/>
    </row>
    <row r="597" spans="17:29" ht="12.75" customHeight="1">
      <c r="Q597"/>
      <c r="R597"/>
      <c r="S597"/>
      <c r="T597"/>
      <c r="U597"/>
      <c r="V597"/>
      <c r="W597"/>
      <c r="X597"/>
      <c r="Y597"/>
      <c r="Z597"/>
      <c r="AA597"/>
      <c r="AB597"/>
      <c r="AC597"/>
    </row>
    <row r="598" spans="17:29" ht="12.75" customHeight="1">
      <c r="Q598"/>
      <c r="R598"/>
      <c r="S598"/>
      <c r="T598"/>
      <c r="U598"/>
      <c r="V598"/>
      <c r="W598"/>
      <c r="X598"/>
      <c r="Y598"/>
      <c r="Z598"/>
      <c r="AA598"/>
      <c r="AB598"/>
      <c r="AC598"/>
    </row>
    <row r="599" spans="17:29" ht="12.75" customHeight="1">
      <c r="Q599"/>
      <c r="R599"/>
      <c r="S599"/>
      <c r="T599"/>
      <c r="U599"/>
      <c r="V599"/>
      <c r="W599"/>
      <c r="X599"/>
      <c r="Y599"/>
      <c r="Z599"/>
      <c r="AA599"/>
      <c r="AB599"/>
      <c r="AC599"/>
    </row>
    <row r="600" spans="17:29" ht="12.75" customHeight="1">
      <c r="Q600"/>
      <c r="R600"/>
      <c r="S600"/>
      <c r="T600"/>
      <c r="U600"/>
      <c r="V600"/>
      <c r="W600"/>
      <c r="X600"/>
      <c r="Y600"/>
      <c r="Z600"/>
      <c r="AA600"/>
      <c r="AB600"/>
      <c r="AC600"/>
    </row>
    <row r="601" spans="17:29" ht="12.75" customHeight="1">
      <c r="Q601"/>
      <c r="R601"/>
      <c r="S601"/>
      <c r="T601"/>
      <c r="U601"/>
      <c r="V601"/>
      <c r="W601"/>
      <c r="X601"/>
      <c r="Y601"/>
      <c r="Z601"/>
      <c r="AA601"/>
      <c r="AB601"/>
      <c r="AC601"/>
    </row>
    <row r="602" spans="17:29" ht="12.75" customHeight="1">
      <c r="Q602"/>
      <c r="R602"/>
      <c r="S602"/>
      <c r="T602"/>
      <c r="U602"/>
      <c r="V602"/>
      <c r="W602"/>
      <c r="X602"/>
      <c r="Y602"/>
      <c r="Z602"/>
      <c r="AA602"/>
      <c r="AB602"/>
      <c r="AC602"/>
    </row>
    <row r="603" spans="17:29" ht="12.75" customHeight="1">
      <c r="Q603"/>
      <c r="R603"/>
      <c r="S603"/>
      <c r="T603"/>
      <c r="U603"/>
      <c r="V603"/>
      <c r="W603"/>
      <c r="X603"/>
      <c r="Y603"/>
      <c r="Z603"/>
      <c r="AA603"/>
      <c r="AB603"/>
      <c r="AC603"/>
    </row>
    <row r="604" spans="17:29" ht="12.75" customHeight="1">
      <c r="Q604"/>
      <c r="R604"/>
      <c r="S604"/>
      <c r="T604"/>
      <c r="U604"/>
      <c r="V604"/>
      <c r="W604"/>
      <c r="X604"/>
      <c r="Y604"/>
      <c r="Z604"/>
      <c r="AA604"/>
      <c r="AB604"/>
      <c r="AC604"/>
    </row>
    <row r="605" spans="17:29" ht="12.75" customHeight="1">
      <c r="Q605"/>
      <c r="R605"/>
      <c r="S605"/>
      <c r="T605"/>
      <c r="U605"/>
      <c r="V605"/>
      <c r="W605"/>
      <c r="X605"/>
      <c r="Y605"/>
      <c r="Z605"/>
      <c r="AA605"/>
      <c r="AB605"/>
      <c r="AC605"/>
    </row>
    <row r="606" spans="17:29" ht="12.75" customHeight="1">
      <c r="Q606"/>
      <c r="R606"/>
      <c r="S606"/>
      <c r="T606"/>
      <c r="U606"/>
      <c r="V606"/>
      <c r="W606"/>
      <c r="X606"/>
      <c r="Y606"/>
      <c r="Z606"/>
      <c r="AA606"/>
      <c r="AB606"/>
      <c r="AC606"/>
    </row>
    <row r="607" spans="17:29" ht="12.75" customHeight="1">
      <c r="Q607"/>
      <c r="R607"/>
      <c r="S607"/>
      <c r="T607"/>
      <c r="U607"/>
      <c r="V607"/>
      <c r="W607"/>
      <c r="X607"/>
      <c r="Y607"/>
      <c r="Z607"/>
      <c r="AA607"/>
      <c r="AB607"/>
      <c r="AC607"/>
    </row>
    <row r="608" spans="17:29" ht="12.75" customHeight="1">
      <c r="Q608"/>
      <c r="R608"/>
      <c r="S608"/>
      <c r="T608"/>
      <c r="U608"/>
      <c r="V608"/>
      <c r="W608"/>
      <c r="X608"/>
      <c r="Y608"/>
      <c r="Z608"/>
      <c r="AA608"/>
      <c r="AB608"/>
      <c r="AC608"/>
    </row>
    <row r="609" spans="17:29" ht="12.75" customHeight="1">
      <c r="Q609"/>
      <c r="R609"/>
      <c r="S609"/>
      <c r="T609"/>
      <c r="U609"/>
      <c r="V609"/>
      <c r="W609"/>
      <c r="X609"/>
      <c r="Y609"/>
      <c r="Z609"/>
      <c r="AA609"/>
      <c r="AB609"/>
      <c r="AC609"/>
    </row>
    <row r="610" spans="17:29" ht="12.75" customHeight="1">
      <c r="Q610"/>
      <c r="R610"/>
      <c r="S610"/>
      <c r="T610"/>
      <c r="U610"/>
      <c r="V610"/>
      <c r="W610"/>
      <c r="X610"/>
      <c r="Y610"/>
      <c r="Z610"/>
      <c r="AA610"/>
      <c r="AB610"/>
      <c r="AC610"/>
    </row>
    <row r="611" spans="17:29" ht="12.75" customHeight="1">
      <c r="Q611"/>
      <c r="R611"/>
      <c r="S611"/>
      <c r="T611"/>
      <c r="U611"/>
      <c r="V611"/>
      <c r="W611"/>
      <c r="X611"/>
      <c r="Y611"/>
      <c r="Z611"/>
      <c r="AA611"/>
      <c r="AB611"/>
      <c r="AC611"/>
    </row>
    <row r="612" spans="17:29" ht="12.75" customHeight="1">
      <c r="Q612"/>
      <c r="R612"/>
      <c r="S612"/>
      <c r="T612"/>
      <c r="U612"/>
      <c r="V612"/>
      <c r="W612"/>
      <c r="X612"/>
      <c r="Y612"/>
      <c r="Z612"/>
      <c r="AA612"/>
      <c r="AB612"/>
      <c r="AC612"/>
    </row>
    <row r="613" spans="17:29" ht="12.75" customHeight="1">
      <c r="Q613"/>
      <c r="R613"/>
      <c r="S613"/>
      <c r="T613"/>
      <c r="U613"/>
      <c r="V613"/>
      <c r="W613"/>
      <c r="X613"/>
      <c r="Y613"/>
      <c r="Z613"/>
      <c r="AA613"/>
      <c r="AB613"/>
      <c r="AC613"/>
    </row>
    <row r="614" spans="17:29" ht="12.75" customHeight="1">
      <c r="Q614"/>
      <c r="R614"/>
      <c r="S614"/>
      <c r="T614"/>
      <c r="U614"/>
      <c r="V614"/>
      <c r="W614"/>
      <c r="X614"/>
      <c r="Y614"/>
      <c r="Z614"/>
      <c r="AA614"/>
      <c r="AB614"/>
      <c r="AC614"/>
    </row>
    <row r="615" spans="17:29" ht="12.75" customHeight="1">
      <c r="Q615"/>
      <c r="R615"/>
      <c r="S615"/>
      <c r="T615"/>
      <c r="U615"/>
      <c r="V615"/>
      <c r="W615"/>
      <c r="X615"/>
      <c r="Y615"/>
      <c r="Z615"/>
      <c r="AA615"/>
      <c r="AB615"/>
      <c r="AC615"/>
    </row>
    <row r="616" spans="17:29" ht="12.75" customHeight="1">
      <c r="Q616"/>
      <c r="R616"/>
      <c r="S616"/>
      <c r="T616"/>
      <c r="U616"/>
      <c r="V616"/>
      <c r="W616"/>
      <c r="X616"/>
      <c r="Y616"/>
      <c r="Z616"/>
      <c r="AA616"/>
      <c r="AB616"/>
      <c r="AC616"/>
    </row>
    <row r="617" spans="17:29" ht="12.75" customHeight="1">
      <c r="Q617"/>
      <c r="R617"/>
      <c r="S617"/>
      <c r="T617"/>
      <c r="U617"/>
      <c r="V617"/>
      <c r="W617"/>
      <c r="X617"/>
      <c r="Y617"/>
      <c r="Z617"/>
      <c r="AA617"/>
      <c r="AB617"/>
      <c r="AC617"/>
    </row>
    <row r="618" spans="17:29" ht="12.75" customHeight="1">
      <c r="Q618"/>
      <c r="R618"/>
      <c r="S618"/>
      <c r="T618"/>
      <c r="U618"/>
      <c r="V618"/>
      <c r="W618"/>
      <c r="X618"/>
      <c r="Y618"/>
      <c r="Z618"/>
      <c r="AA618"/>
      <c r="AB618"/>
      <c r="AC618"/>
    </row>
    <row r="619" spans="17:29" ht="12.75" customHeight="1">
      <c r="Q619"/>
      <c r="R619"/>
      <c r="S619"/>
      <c r="T619"/>
      <c r="U619"/>
      <c r="V619"/>
      <c r="W619"/>
      <c r="X619"/>
      <c r="Y619"/>
      <c r="Z619"/>
      <c r="AA619"/>
      <c r="AB619"/>
      <c r="AC619"/>
    </row>
    <row r="620" spans="17:29" ht="12.75" customHeight="1">
      <c r="Q620"/>
      <c r="R620"/>
      <c r="S620"/>
      <c r="T620"/>
      <c r="U620"/>
      <c r="V620"/>
      <c r="W620"/>
      <c r="X620"/>
      <c r="Y620"/>
      <c r="Z620"/>
      <c r="AA620"/>
      <c r="AB620"/>
      <c r="AC620"/>
    </row>
    <row r="621" spans="17:29" ht="12.75" customHeight="1">
      <c r="Q621"/>
      <c r="R621"/>
      <c r="S621"/>
      <c r="T621"/>
      <c r="U621"/>
      <c r="V621"/>
      <c r="W621"/>
      <c r="X621"/>
      <c r="Y621"/>
      <c r="Z621"/>
      <c r="AA621"/>
      <c r="AB621"/>
      <c r="AC621"/>
    </row>
    <row r="622" spans="17:29" ht="12.75" customHeight="1">
      <c r="Q622"/>
      <c r="R622"/>
      <c r="S622"/>
      <c r="T622"/>
      <c r="U622"/>
      <c r="V622"/>
      <c r="W622"/>
      <c r="X622"/>
      <c r="Y622"/>
      <c r="Z622"/>
      <c r="AA622"/>
      <c r="AB622"/>
      <c r="AC622"/>
    </row>
    <row r="623" spans="17:29" ht="12.75" customHeight="1">
      <c r="Q623"/>
      <c r="R623"/>
      <c r="S623"/>
      <c r="T623"/>
      <c r="U623"/>
      <c r="V623"/>
      <c r="W623"/>
      <c r="X623"/>
      <c r="Y623"/>
      <c r="Z623"/>
      <c r="AA623"/>
      <c r="AB623"/>
      <c r="AC623"/>
    </row>
    <row r="624" spans="17:29" ht="12.75" customHeight="1">
      <c r="Q624"/>
      <c r="R624"/>
      <c r="S624"/>
      <c r="T624"/>
      <c r="U624"/>
      <c r="V624"/>
      <c r="W624"/>
      <c r="X624"/>
      <c r="Y624"/>
      <c r="Z624"/>
      <c r="AA624"/>
      <c r="AB624"/>
      <c r="AC624"/>
    </row>
    <row r="625" spans="17:29" ht="12.75" customHeight="1">
      <c r="Q625"/>
      <c r="R625"/>
      <c r="S625"/>
      <c r="T625"/>
      <c r="U625"/>
      <c r="V625"/>
      <c r="W625"/>
      <c r="X625"/>
      <c r="Y625"/>
      <c r="Z625"/>
      <c r="AA625"/>
      <c r="AB625"/>
      <c r="AC625"/>
    </row>
    <row r="626" spans="17:29" ht="12.75" customHeight="1">
      <c r="Q626"/>
      <c r="R626"/>
      <c r="S626"/>
      <c r="T626"/>
      <c r="U626"/>
      <c r="V626"/>
      <c r="W626"/>
      <c r="X626"/>
      <c r="Y626"/>
      <c r="Z626"/>
      <c r="AA626"/>
      <c r="AB626"/>
      <c r="AC626"/>
    </row>
    <row r="627" spans="17:29" ht="12.75" customHeight="1">
      <c r="Q627"/>
      <c r="R627"/>
      <c r="S627"/>
      <c r="T627"/>
      <c r="U627"/>
      <c r="V627"/>
      <c r="W627"/>
      <c r="X627"/>
      <c r="Y627"/>
      <c r="Z627"/>
      <c r="AA627"/>
      <c r="AB627"/>
      <c r="AC627"/>
    </row>
    <row r="628" spans="17:29" ht="12.75" customHeight="1">
      <c r="Q628"/>
      <c r="R628"/>
      <c r="S628"/>
      <c r="T628"/>
      <c r="U628"/>
      <c r="V628"/>
      <c r="W628"/>
      <c r="X628"/>
      <c r="Y628"/>
      <c r="Z628"/>
      <c r="AA628"/>
      <c r="AB628"/>
      <c r="AC628"/>
    </row>
    <row r="629" spans="17:29" ht="12.75" customHeight="1">
      <c r="Q629"/>
      <c r="R629"/>
      <c r="S629"/>
      <c r="T629"/>
      <c r="U629"/>
      <c r="V629"/>
      <c r="W629"/>
      <c r="X629"/>
      <c r="Y629"/>
      <c r="Z629"/>
      <c r="AA629"/>
      <c r="AB629"/>
      <c r="AC629"/>
    </row>
    <row r="630" spans="17:29" ht="12.75" customHeight="1">
      <c r="Q630"/>
      <c r="R630"/>
      <c r="S630"/>
      <c r="T630"/>
      <c r="U630"/>
      <c r="V630"/>
      <c r="W630"/>
      <c r="X630"/>
      <c r="Y630"/>
      <c r="Z630"/>
      <c r="AA630"/>
      <c r="AB630"/>
      <c r="AC630"/>
    </row>
    <row r="631" spans="17:29" ht="12.75" customHeight="1">
      <c r="Q631"/>
      <c r="R631"/>
      <c r="S631"/>
      <c r="T631"/>
      <c r="U631"/>
      <c r="V631"/>
      <c r="W631"/>
      <c r="X631"/>
      <c r="Y631"/>
      <c r="Z631"/>
      <c r="AA631"/>
      <c r="AB631"/>
      <c r="AC631"/>
    </row>
    <row r="632" spans="17:29" ht="12.75" customHeight="1">
      <c r="Q632"/>
      <c r="R632"/>
      <c r="S632"/>
      <c r="T632"/>
      <c r="U632"/>
      <c r="V632"/>
      <c r="W632"/>
      <c r="X632"/>
      <c r="Y632"/>
      <c r="Z632"/>
      <c r="AA632"/>
      <c r="AB632"/>
      <c r="AC632"/>
    </row>
    <row r="633" spans="17:29" ht="12.75" customHeight="1">
      <c r="Q633"/>
      <c r="R633"/>
      <c r="S633"/>
      <c r="T633"/>
      <c r="U633"/>
      <c r="V633"/>
      <c r="W633"/>
      <c r="X633"/>
      <c r="Y633"/>
      <c r="Z633"/>
      <c r="AA633"/>
      <c r="AB633"/>
      <c r="AC633"/>
    </row>
    <row r="634" spans="17:29" ht="12.75" customHeight="1">
      <c r="Q634"/>
      <c r="R634"/>
      <c r="S634"/>
      <c r="T634"/>
      <c r="U634"/>
      <c r="V634"/>
      <c r="W634"/>
      <c r="X634"/>
      <c r="Y634"/>
      <c r="Z634"/>
      <c r="AA634"/>
      <c r="AB634"/>
      <c r="AC634"/>
    </row>
    <row r="635" spans="17:29" ht="12.75" customHeight="1">
      <c r="Q635"/>
      <c r="R635"/>
      <c r="S635"/>
      <c r="T635"/>
      <c r="U635"/>
      <c r="V635"/>
      <c r="W635"/>
      <c r="X635"/>
      <c r="Y635"/>
      <c r="Z635"/>
      <c r="AA635"/>
      <c r="AB635"/>
      <c r="AC635"/>
    </row>
    <row r="636" spans="17:29" ht="12.75" customHeight="1">
      <c r="Q636"/>
      <c r="R636"/>
      <c r="S636"/>
      <c r="T636"/>
      <c r="U636"/>
      <c r="V636"/>
      <c r="W636"/>
      <c r="X636"/>
      <c r="Y636"/>
      <c r="Z636"/>
      <c r="AA636"/>
      <c r="AB636"/>
      <c r="AC636"/>
    </row>
    <row r="637" spans="17:29" ht="12.75" customHeight="1">
      <c r="Q637"/>
      <c r="R637"/>
      <c r="S637"/>
      <c r="T637"/>
      <c r="U637"/>
      <c r="V637"/>
      <c r="W637"/>
      <c r="X637"/>
      <c r="Y637"/>
      <c r="Z637"/>
      <c r="AA637"/>
      <c r="AB637"/>
      <c r="AC637"/>
    </row>
    <row r="638" spans="17:29" ht="12.75" customHeight="1">
      <c r="Q638"/>
      <c r="R638"/>
      <c r="S638"/>
      <c r="T638"/>
      <c r="U638"/>
      <c r="V638"/>
      <c r="W638"/>
      <c r="X638"/>
      <c r="Y638"/>
      <c r="Z638"/>
      <c r="AA638"/>
      <c r="AB638"/>
      <c r="AC638"/>
    </row>
    <row r="639" spans="17:29" ht="12.75" customHeight="1">
      <c r="Q639"/>
      <c r="R639"/>
      <c r="S639"/>
      <c r="T639"/>
      <c r="U639"/>
      <c r="V639"/>
      <c r="W639"/>
      <c r="X639"/>
      <c r="Y639"/>
      <c r="Z639"/>
      <c r="AA639"/>
      <c r="AB639"/>
      <c r="AC639"/>
    </row>
    <row r="640" spans="17:29" ht="12.75" customHeight="1">
      <c r="Q640"/>
      <c r="R640"/>
      <c r="S640"/>
      <c r="T640"/>
      <c r="U640"/>
      <c r="V640"/>
      <c r="W640"/>
      <c r="X640"/>
      <c r="Y640"/>
      <c r="Z640"/>
      <c r="AA640"/>
      <c r="AB640"/>
      <c r="AC640"/>
    </row>
    <row r="641" spans="17:29" ht="12.75" customHeight="1">
      <c r="Q641"/>
      <c r="R641"/>
      <c r="S641"/>
      <c r="T641"/>
      <c r="U641"/>
      <c r="V641"/>
      <c r="W641"/>
      <c r="X641"/>
      <c r="Y641"/>
      <c r="Z641"/>
      <c r="AA641"/>
      <c r="AB641"/>
      <c r="AC641"/>
    </row>
    <row r="642" spans="17:29" ht="12.75" customHeight="1">
      <c r="Q642"/>
      <c r="R642"/>
      <c r="S642"/>
      <c r="T642"/>
      <c r="U642"/>
      <c r="V642"/>
      <c r="W642"/>
      <c r="X642"/>
      <c r="Y642"/>
      <c r="Z642"/>
      <c r="AA642"/>
      <c r="AB642"/>
      <c r="AC642"/>
    </row>
    <row r="643" spans="17:29" ht="12.75" customHeight="1">
      <c r="Q643"/>
      <c r="R643"/>
      <c r="S643"/>
      <c r="T643"/>
      <c r="U643"/>
      <c r="V643"/>
      <c r="W643"/>
      <c r="X643"/>
      <c r="Y643"/>
      <c r="Z643"/>
      <c r="AA643"/>
      <c r="AB643"/>
      <c r="AC643"/>
    </row>
    <row r="644" spans="17:29" ht="12.75" customHeight="1">
      <c r="Q644"/>
      <c r="R644"/>
      <c r="S644"/>
      <c r="T644"/>
      <c r="U644"/>
      <c r="V644"/>
      <c r="W644"/>
      <c r="X644"/>
      <c r="Y644"/>
      <c r="Z644"/>
      <c r="AA644"/>
      <c r="AB644"/>
      <c r="AC644"/>
    </row>
    <row r="645" spans="17:29" ht="12.75" customHeight="1">
      <c r="Q645"/>
      <c r="R645"/>
      <c r="S645"/>
      <c r="T645"/>
      <c r="U645"/>
      <c r="V645"/>
      <c r="W645"/>
      <c r="X645"/>
      <c r="Y645"/>
      <c r="Z645"/>
      <c r="AA645"/>
      <c r="AB645"/>
      <c r="AC645"/>
    </row>
    <row r="646" spans="17:29" ht="12.75" customHeight="1">
      <c r="Q646"/>
      <c r="R646"/>
      <c r="S646"/>
      <c r="T646"/>
      <c r="U646"/>
      <c r="V646"/>
      <c r="W646"/>
      <c r="X646"/>
      <c r="Y646"/>
      <c r="Z646"/>
      <c r="AA646"/>
      <c r="AB646"/>
      <c r="AC646"/>
    </row>
    <row r="647" spans="17:29" ht="12.75" customHeight="1">
      <c r="Q647"/>
      <c r="R647"/>
      <c r="S647"/>
      <c r="T647"/>
      <c r="U647"/>
      <c r="V647"/>
      <c r="W647"/>
      <c r="X647"/>
      <c r="Y647"/>
      <c r="Z647"/>
      <c r="AA647"/>
      <c r="AB647"/>
      <c r="AC647"/>
    </row>
    <row r="648" spans="17:29" ht="12.75" customHeight="1">
      <c r="Q648"/>
      <c r="R648"/>
      <c r="S648"/>
      <c r="T648"/>
      <c r="U648"/>
      <c r="V648"/>
      <c r="W648"/>
      <c r="X648"/>
      <c r="Y648"/>
      <c r="Z648"/>
      <c r="AA648"/>
      <c r="AB648"/>
      <c r="AC648"/>
    </row>
    <row r="649" spans="17:29" ht="12.75" customHeight="1">
      <c r="Q649"/>
      <c r="R649"/>
      <c r="S649"/>
      <c r="T649"/>
      <c r="U649"/>
      <c r="V649"/>
      <c r="W649"/>
      <c r="X649"/>
      <c r="Y649"/>
      <c r="Z649"/>
      <c r="AA649"/>
      <c r="AB649"/>
      <c r="AC649"/>
    </row>
    <row r="650" spans="17:29" ht="12.75" customHeight="1">
      <c r="Q650"/>
      <c r="R650"/>
      <c r="S650"/>
      <c r="T650"/>
      <c r="U650"/>
      <c r="V650"/>
      <c r="W650"/>
      <c r="X650"/>
      <c r="Y650"/>
      <c r="Z650"/>
      <c r="AA650"/>
      <c r="AB650"/>
      <c r="AC650"/>
    </row>
    <row r="651" spans="17:29" ht="12.75" customHeight="1">
      <c r="Q651"/>
      <c r="R651"/>
      <c r="S651"/>
      <c r="T651"/>
      <c r="U651"/>
      <c r="V651"/>
      <c r="W651"/>
      <c r="X651"/>
      <c r="Y651"/>
      <c r="Z651"/>
      <c r="AA651"/>
      <c r="AB651"/>
      <c r="AC651"/>
    </row>
    <row r="652" spans="17:29" ht="12.75" customHeight="1">
      <c r="Q652"/>
      <c r="R652"/>
      <c r="S652"/>
      <c r="T652"/>
      <c r="U652"/>
      <c r="V652"/>
      <c r="W652"/>
      <c r="X652"/>
      <c r="Y652"/>
      <c r="Z652"/>
      <c r="AA652"/>
      <c r="AB652"/>
      <c r="AC652"/>
    </row>
    <row r="653" spans="17:29" ht="12.75" customHeight="1">
      <c r="Q653"/>
      <c r="R653"/>
      <c r="S653"/>
      <c r="T653"/>
      <c r="U653"/>
      <c r="V653"/>
      <c r="W653"/>
      <c r="X653"/>
      <c r="Y653"/>
      <c r="Z653"/>
      <c r="AA653"/>
      <c r="AB653"/>
      <c r="AC653"/>
    </row>
    <row r="654" spans="17:29" ht="12.75" customHeight="1">
      <c r="Q654"/>
      <c r="R654"/>
      <c r="S654"/>
      <c r="T654"/>
      <c r="U654"/>
      <c r="V654"/>
      <c r="W654"/>
      <c r="X654"/>
      <c r="Y654"/>
      <c r="Z654"/>
      <c r="AA654"/>
      <c r="AB654"/>
      <c r="AC654"/>
    </row>
    <row r="655" spans="17:29" ht="12.75" customHeight="1">
      <c r="Q655"/>
      <c r="R655"/>
      <c r="S655"/>
      <c r="T655"/>
      <c r="U655"/>
      <c r="V655"/>
      <c r="W655"/>
      <c r="X655"/>
      <c r="Y655"/>
      <c r="Z655"/>
      <c r="AA655"/>
      <c r="AB655"/>
      <c r="AC655"/>
    </row>
    <row r="656" spans="17:29" ht="12.75" customHeight="1">
      <c r="Q656"/>
      <c r="R656"/>
      <c r="S656"/>
      <c r="T656"/>
      <c r="U656"/>
      <c r="V656"/>
      <c r="W656"/>
      <c r="X656"/>
      <c r="Y656"/>
      <c r="Z656"/>
      <c r="AA656"/>
      <c r="AB656"/>
      <c r="AC656"/>
    </row>
    <row r="657" spans="17:29" ht="12.75" customHeight="1">
      <c r="Q657"/>
      <c r="R657"/>
      <c r="S657"/>
      <c r="T657"/>
      <c r="U657"/>
      <c r="V657"/>
      <c r="W657"/>
      <c r="X657"/>
      <c r="Y657"/>
      <c r="Z657"/>
      <c r="AA657"/>
      <c r="AB657"/>
      <c r="AC657"/>
    </row>
    <row r="658" spans="17:29" ht="12.75" customHeight="1">
      <c r="Q658"/>
      <c r="R658"/>
      <c r="S658"/>
      <c r="T658"/>
      <c r="U658"/>
      <c r="V658"/>
      <c r="W658"/>
      <c r="X658"/>
      <c r="Y658"/>
      <c r="Z658"/>
      <c r="AA658"/>
      <c r="AB658"/>
      <c r="AC658"/>
    </row>
    <row r="659" spans="17:29" ht="12.75" customHeight="1">
      <c r="Q659"/>
      <c r="R659"/>
      <c r="S659"/>
      <c r="T659"/>
      <c r="U659"/>
      <c r="V659"/>
      <c r="W659"/>
      <c r="X659"/>
      <c r="Y659"/>
      <c r="Z659"/>
      <c r="AA659"/>
      <c r="AB659"/>
      <c r="AC659"/>
    </row>
    <row r="660" spans="17:29" ht="12.75" customHeight="1">
      <c r="Q660"/>
      <c r="R660"/>
      <c r="S660"/>
      <c r="T660"/>
      <c r="U660"/>
      <c r="V660"/>
      <c r="W660"/>
      <c r="X660"/>
      <c r="Y660"/>
      <c r="Z660"/>
      <c r="AA660"/>
      <c r="AB660"/>
      <c r="AC660"/>
    </row>
    <row r="661" spans="17:29" ht="12.75" customHeight="1">
      <c r="Q661"/>
      <c r="R661"/>
      <c r="S661"/>
      <c r="T661"/>
      <c r="U661"/>
      <c r="V661"/>
      <c r="W661"/>
      <c r="X661"/>
      <c r="Y661"/>
      <c r="Z661"/>
      <c r="AA661"/>
      <c r="AB661"/>
      <c r="AC661"/>
    </row>
    <row r="662" spans="17:29" ht="12.75" customHeight="1">
      <c r="Q662"/>
      <c r="R662"/>
      <c r="S662"/>
      <c r="T662"/>
      <c r="U662"/>
      <c r="V662"/>
      <c r="W662"/>
      <c r="X662"/>
      <c r="Y662"/>
      <c r="Z662"/>
      <c r="AA662"/>
      <c r="AB662"/>
      <c r="AC662"/>
    </row>
    <row r="663" spans="17:29" ht="12.75" customHeight="1">
      <c r="Q663"/>
      <c r="R663"/>
      <c r="S663"/>
      <c r="T663"/>
      <c r="U663"/>
      <c r="V663"/>
      <c r="W663"/>
      <c r="X663"/>
      <c r="Y663"/>
      <c r="Z663"/>
      <c r="AA663"/>
      <c r="AB663"/>
      <c r="AC663"/>
    </row>
    <row r="664" spans="17:29" ht="12.75" customHeight="1">
      <c r="Q664"/>
      <c r="R664"/>
      <c r="S664"/>
      <c r="T664"/>
      <c r="U664"/>
      <c r="V664"/>
      <c r="W664"/>
      <c r="X664"/>
      <c r="Y664"/>
      <c r="Z664"/>
      <c r="AA664"/>
      <c r="AB664"/>
      <c r="AC664"/>
    </row>
    <row r="665" spans="17:29" ht="12.75" customHeight="1">
      <c r="Q665"/>
      <c r="R665"/>
      <c r="S665"/>
      <c r="T665"/>
      <c r="U665"/>
      <c r="V665"/>
      <c r="W665"/>
      <c r="X665"/>
      <c r="Y665"/>
      <c r="Z665"/>
      <c r="AA665"/>
      <c r="AB665"/>
      <c r="AC665"/>
    </row>
    <row r="666" spans="17:29" ht="12.75" customHeight="1">
      <c r="Q666"/>
      <c r="R666"/>
      <c r="S666"/>
      <c r="T666"/>
      <c r="U666"/>
      <c r="V666"/>
      <c r="W666"/>
      <c r="X666"/>
      <c r="Y666"/>
      <c r="Z666"/>
      <c r="AA666"/>
      <c r="AB666"/>
      <c r="AC666"/>
    </row>
    <row r="667" spans="17:29" ht="12.75" customHeight="1">
      <c r="Q667"/>
      <c r="R667"/>
      <c r="S667"/>
      <c r="T667"/>
      <c r="U667"/>
      <c r="V667"/>
      <c r="W667"/>
      <c r="X667"/>
      <c r="Y667"/>
      <c r="Z667"/>
      <c r="AA667"/>
      <c r="AB667"/>
      <c r="AC667"/>
    </row>
    <row r="668" spans="17:29" ht="12.75" customHeight="1">
      <c r="Q668"/>
      <c r="R668"/>
      <c r="S668"/>
      <c r="T668"/>
      <c r="U668"/>
      <c r="V668"/>
      <c r="W668"/>
      <c r="X668"/>
      <c r="Y668"/>
      <c r="Z668"/>
      <c r="AA668"/>
      <c r="AB668"/>
      <c r="AC668"/>
    </row>
    <row r="669" spans="17:29" ht="12.75" customHeight="1">
      <c r="Q669"/>
      <c r="R669"/>
      <c r="S669"/>
      <c r="T669"/>
      <c r="U669"/>
      <c r="V669"/>
      <c r="W669"/>
      <c r="X669"/>
      <c r="Y669"/>
      <c r="Z669"/>
      <c r="AA669"/>
      <c r="AB669"/>
      <c r="AC669"/>
    </row>
    <row r="670" spans="17:29" ht="12.75" customHeight="1">
      <c r="Q670"/>
      <c r="R670"/>
      <c r="S670"/>
      <c r="T670"/>
      <c r="U670"/>
      <c r="V670"/>
      <c r="W670"/>
      <c r="X670"/>
      <c r="Y670"/>
      <c r="Z670"/>
      <c r="AA670"/>
      <c r="AB670"/>
      <c r="AC670"/>
    </row>
    <row r="671" spans="17:29" ht="12.75" customHeight="1">
      <c r="Q671"/>
      <c r="R671"/>
      <c r="S671"/>
      <c r="T671"/>
      <c r="U671"/>
      <c r="V671"/>
      <c r="W671"/>
      <c r="X671"/>
      <c r="Y671"/>
      <c r="Z671"/>
      <c r="AA671"/>
      <c r="AB671"/>
      <c r="AC671"/>
    </row>
    <row r="672" spans="17:29" ht="12.75" customHeight="1">
      <c r="Q672"/>
      <c r="R672"/>
      <c r="S672"/>
      <c r="T672"/>
      <c r="U672"/>
      <c r="V672"/>
      <c r="W672"/>
      <c r="X672"/>
      <c r="Y672"/>
      <c r="Z672"/>
      <c r="AA672"/>
      <c r="AB672"/>
      <c r="AC672"/>
    </row>
    <row r="673" spans="17:29" ht="12.75" customHeight="1">
      <c r="Q673"/>
      <c r="R673"/>
      <c r="S673"/>
      <c r="T673"/>
      <c r="U673"/>
      <c r="V673"/>
      <c r="W673"/>
      <c r="X673"/>
      <c r="Y673"/>
      <c r="Z673"/>
      <c r="AA673"/>
      <c r="AB673"/>
      <c r="AC673"/>
    </row>
    <row r="674" spans="17:29" ht="12.75" customHeight="1">
      <c r="Q674"/>
      <c r="R674"/>
      <c r="S674"/>
      <c r="T674"/>
      <c r="U674"/>
      <c r="V674"/>
      <c r="W674"/>
      <c r="X674"/>
      <c r="Y674"/>
      <c r="Z674"/>
      <c r="AA674"/>
      <c r="AB674"/>
      <c r="AC674"/>
    </row>
    <row r="675" spans="17:29" ht="12.75" customHeight="1">
      <c r="Q675"/>
      <c r="R675"/>
      <c r="S675"/>
      <c r="T675"/>
      <c r="U675"/>
      <c r="V675"/>
      <c r="W675"/>
      <c r="X675"/>
      <c r="Y675"/>
      <c r="Z675"/>
      <c r="AA675"/>
      <c r="AB675"/>
      <c r="AC675"/>
    </row>
    <row r="676" spans="17:29" ht="12.75" customHeight="1">
      <c r="Q676"/>
      <c r="R676"/>
      <c r="S676"/>
      <c r="T676"/>
      <c r="U676"/>
      <c r="V676"/>
      <c r="W676"/>
      <c r="X676"/>
      <c r="Y676"/>
      <c r="Z676"/>
      <c r="AA676"/>
      <c r="AB676"/>
      <c r="AC676"/>
    </row>
    <row r="677" spans="17:29" ht="12.75" customHeight="1">
      <c r="Q677"/>
      <c r="R677"/>
      <c r="S677"/>
      <c r="T677"/>
      <c r="U677"/>
      <c r="V677"/>
      <c r="W677"/>
      <c r="X677"/>
      <c r="Y677"/>
      <c r="Z677"/>
      <c r="AA677"/>
      <c r="AB677"/>
      <c r="AC677"/>
    </row>
    <row r="678" spans="17:29" ht="12.75" customHeight="1">
      <c r="Q678"/>
      <c r="R678"/>
      <c r="S678"/>
      <c r="T678"/>
      <c r="U678"/>
      <c r="V678"/>
      <c r="W678"/>
      <c r="X678"/>
      <c r="Y678"/>
      <c r="Z678"/>
      <c r="AA678"/>
      <c r="AB678"/>
      <c r="AC678"/>
    </row>
    <row r="679" spans="17:29" ht="12.75" customHeight="1">
      <c r="Q679"/>
      <c r="R679"/>
      <c r="S679"/>
      <c r="T679"/>
      <c r="U679"/>
      <c r="V679"/>
      <c r="W679"/>
      <c r="X679"/>
      <c r="Y679"/>
      <c r="Z679"/>
      <c r="AA679"/>
      <c r="AB679"/>
      <c r="AC679"/>
    </row>
    <row r="680" spans="17:29" ht="12.75" customHeight="1">
      <c r="Q680"/>
      <c r="R680"/>
      <c r="S680"/>
      <c r="T680"/>
      <c r="U680"/>
      <c r="V680"/>
      <c r="W680"/>
      <c r="X680"/>
      <c r="Y680"/>
      <c r="Z680"/>
      <c r="AA680"/>
      <c r="AB680"/>
      <c r="AC680"/>
    </row>
    <row r="681" spans="17:29" ht="12.75" customHeight="1">
      <c r="Q681"/>
      <c r="R681"/>
      <c r="S681"/>
      <c r="T681"/>
      <c r="U681"/>
      <c r="V681"/>
      <c r="W681"/>
      <c r="X681"/>
      <c r="Y681"/>
      <c r="Z681"/>
      <c r="AA681"/>
      <c r="AB681"/>
      <c r="AC681"/>
    </row>
    <row r="682" spans="17:29" ht="12.75" customHeight="1">
      <c r="Q682"/>
      <c r="R682"/>
      <c r="S682"/>
      <c r="T682"/>
      <c r="U682"/>
      <c r="V682"/>
      <c r="W682"/>
      <c r="X682"/>
      <c r="Y682"/>
      <c r="Z682"/>
      <c r="AA682"/>
      <c r="AB682"/>
      <c r="AC682"/>
    </row>
    <row r="683" spans="17:29" ht="12.75" customHeight="1">
      <c r="Q683"/>
      <c r="R683"/>
      <c r="S683"/>
      <c r="T683"/>
      <c r="U683"/>
      <c r="V683"/>
      <c r="W683"/>
      <c r="X683"/>
      <c r="Y683"/>
      <c r="Z683"/>
      <c r="AA683"/>
      <c r="AB683"/>
      <c r="AC683"/>
    </row>
    <row r="684" spans="17:29" ht="12.75" customHeight="1">
      <c r="Q684"/>
      <c r="R684"/>
      <c r="S684"/>
      <c r="T684"/>
      <c r="U684"/>
      <c r="V684"/>
      <c r="W684"/>
      <c r="X684"/>
      <c r="Y684"/>
      <c r="Z684"/>
      <c r="AA684"/>
      <c r="AB684"/>
      <c r="AC684"/>
    </row>
    <row r="685" spans="17:29" ht="12.75" customHeight="1">
      <c r="Q685"/>
      <c r="R685"/>
      <c r="S685"/>
      <c r="T685"/>
      <c r="U685"/>
      <c r="V685"/>
      <c r="W685"/>
      <c r="X685"/>
      <c r="Y685"/>
      <c r="Z685"/>
      <c r="AA685"/>
      <c r="AB685"/>
      <c r="AC685"/>
    </row>
    <row r="686" spans="17:29" ht="12.75" customHeight="1">
      <c r="Q686"/>
      <c r="R686"/>
      <c r="S686"/>
      <c r="T686"/>
      <c r="U686"/>
      <c r="V686"/>
      <c r="W686"/>
      <c r="X686"/>
      <c r="Y686"/>
      <c r="Z686"/>
      <c r="AA686"/>
      <c r="AB686"/>
      <c r="AC686"/>
    </row>
    <row r="687" spans="17:29" ht="12.75" customHeight="1">
      <c r="Q687"/>
      <c r="R687"/>
      <c r="S687"/>
      <c r="T687"/>
      <c r="U687"/>
      <c r="V687"/>
      <c r="W687"/>
      <c r="X687"/>
      <c r="Y687"/>
      <c r="Z687"/>
      <c r="AA687"/>
      <c r="AB687"/>
      <c r="AC687"/>
    </row>
    <row r="688" spans="17:29" ht="12.75" customHeight="1">
      <c r="Q688"/>
      <c r="R688"/>
      <c r="S688"/>
      <c r="T688"/>
      <c r="U688"/>
      <c r="V688"/>
      <c r="W688"/>
      <c r="X688"/>
      <c r="Y688"/>
      <c r="Z688"/>
      <c r="AA688"/>
      <c r="AB688"/>
      <c r="AC688"/>
    </row>
    <row r="689" spans="17:29">
      <c r="Q689"/>
      <c r="R689"/>
      <c r="S689"/>
      <c r="T689"/>
      <c r="U689"/>
      <c r="V689"/>
      <c r="W689"/>
      <c r="X689"/>
      <c r="Y689"/>
      <c r="Z689"/>
      <c r="AA689"/>
      <c r="AB689"/>
      <c r="AC689"/>
    </row>
    <row r="690" spans="17:29">
      <c r="Q690"/>
      <c r="R690"/>
      <c r="S690"/>
      <c r="T690"/>
      <c r="U690"/>
      <c r="V690"/>
      <c r="W690"/>
      <c r="X690"/>
      <c r="Y690"/>
      <c r="Z690"/>
      <c r="AA690"/>
      <c r="AB690"/>
      <c r="AC690"/>
    </row>
    <row r="691" spans="17:29">
      <c r="Q691"/>
      <c r="R691"/>
      <c r="S691"/>
      <c r="T691"/>
      <c r="U691"/>
      <c r="V691"/>
      <c r="W691"/>
      <c r="X691"/>
      <c r="Y691"/>
      <c r="Z691"/>
      <c r="AA691"/>
      <c r="AB691"/>
      <c r="AC691"/>
    </row>
    <row r="692" spans="17:29">
      <c r="Q692"/>
      <c r="R692"/>
      <c r="S692"/>
      <c r="T692"/>
      <c r="U692"/>
      <c r="V692"/>
      <c r="W692"/>
      <c r="X692"/>
      <c r="Y692"/>
      <c r="Z692"/>
      <c r="AA692"/>
      <c r="AB692"/>
      <c r="AC692"/>
    </row>
    <row r="693" spans="17:29">
      <c r="Q693"/>
      <c r="R693"/>
      <c r="S693"/>
      <c r="T693"/>
      <c r="U693"/>
      <c r="V693"/>
      <c r="W693"/>
      <c r="X693"/>
      <c r="Y693"/>
      <c r="Z693"/>
      <c r="AA693"/>
      <c r="AB693"/>
      <c r="AC693"/>
    </row>
    <row r="694" spans="17:29">
      <c r="Q694"/>
      <c r="R694"/>
      <c r="S694"/>
      <c r="T694"/>
      <c r="U694"/>
      <c r="V694"/>
      <c r="W694"/>
      <c r="X694"/>
      <c r="Y694"/>
      <c r="Z694"/>
      <c r="AA694"/>
      <c r="AB694"/>
      <c r="AC694"/>
    </row>
    <row r="695" spans="17:29">
      <c r="Q695"/>
      <c r="R695"/>
      <c r="S695"/>
      <c r="T695"/>
      <c r="U695"/>
      <c r="V695"/>
      <c r="W695"/>
      <c r="X695"/>
      <c r="Y695"/>
      <c r="Z695"/>
      <c r="AA695"/>
      <c r="AB695"/>
      <c r="AC695"/>
    </row>
    <row r="696" spans="17:29">
      <c r="Q696"/>
      <c r="R696"/>
      <c r="S696"/>
      <c r="T696"/>
      <c r="U696"/>
      <c r="V696"/>
      <c r="W696"/>
      <c r="X696"/>
      <c r="Y696"/>
      <c r="Z696"/>
      <c r="AA696"/>
      <c r="AB696"/>
      <c r="AC696"/>
    </row>
    <row r="697" spans="17:29">
      <c r="Q697"/>
      <c r="R697"/>
      <c r="S697"/>
      <c r="T697"/>
      <c r="U697"/>
      <c r="V697"/>
      <c r="W697"/>
      <c r="X697"/>
      <c r="Y697"/>
      <c r="Z697"/>
      <c r="AA697"/>
      <c r="AB697"/>
      <c r="AC697"/>
    </row>
    <row r="698" spans="17:29">
      <c r="Q698"/>
      <c r="R698"/>
      <c r="S698"/>
      <c r="T698"/>
      <c r="U698"/>
      <c r="V698"/>
      <c r="W698"/>
      <c r="X698"/>
      <c r="Y698"/>
      <c r="Z698"/>
      <c r="AA698"/>
      <c r="AB698"/>
      <c r="AC698"/>
    </row>
    <row r="699" spans="17:29">
      <c r="Q699"/>
      <c r="R699"/>
      <c r="S699"/>
      <c r="T699"/>
      <c r="U699"/>
      <c r="V699"/>
      <c r="W699"/>
      <c r="X699"/>
      <c r="Y699"/>
      <c r="Z699"/>
      <c r="AA699"/>
      <c r="AB699"/>
      <c r="AC699"/>
    </row>
    <row r="700" spans="17:29">
      <c r="Q700"/>
      <c r="R700"/>
      <c r="S700"/>
      <c r="T700"/>
      <c r="U700"/>
      <c r="V700"/>
      <c r="W700"/>
      <c r="X700"/>
      <c r="Y700"/>
      <c r="Z700"/>
      <c r="AA700"/>
      <c r="AB700"/>
      <c r="AC700"/>
    </row>
    <row r="701" spans="17:29">
      <c r="Q701"/>
      <c r="R701"/>
      <c r="S701"/>
      <c r="T701"/>
      <c r="U701"/>
      <c r="V701"/>
      <c r="W701"/>
      <c r="X701"/>
      <c r="Y701"/>
      <c r="Z701"/>
      <c r="AA701"/>
      <c r="AB701"/>
      <c r="AC701"/>
    </row>
    <row r="702" spans="17:29">
      <c r="Q702"/>
      <c r="R702"/>
      <c r="S702"/>
      <c r="T702"/>
      <c r="U702"/>
      <c r="V702"/>
      <c r="W702"/>
      <c r="X702"/>
      <c r="Y702"/>
      <c r="Z702"/>
      <c r="AA702"/>
      <c r="AB702"/>
      <c r="AC702"/>
    </row>
    <row r="703" spans="17:29">
      <c r="Q703"/>
      <c r="R703"/>
      <c r="S703"/>
      <c r="T703"/>
      <c r="U703"/>
      <c r="V703"/>
      <c r="W703"/>
      <c r="X703"/>
      <c r="Y703"/>
      <c r="Z703"/>
      <c r="AA703"/>
      <c r="AB703"/>
      <c r="AC703"/>
    </row>
    <row r="704" spans="17:29">
      <c r="Q704"/>
      <c r="R704"/>
      <c r="S704"/>
      <c r="T704"/>
      <c r="U704"/>
      <c r="V704"/>
      <c r="W704"/>
      <c r="X704"/>
      <c r="Y704"/>
      <c r="Z704"/>
      <c r="AA704"/>
      <c r="AB704"/>
      <c r="AC704"/>
    </row>
    <row r="705" spans="17:29">
      <c r="Q705"/>
      <c r="R705"/>
      <c r="S705"/>
      <c r="T705"/>
      <c r="U705"/>
      <c r="V705"/>
      <c r="W705"/>
      <c r="X705"/>
      <c r="Y705"/>
      <c r="Z705"/>
      <c r="AA705"/>
      <c r="AB705"/>
      <c r="AC705"/>
    </row>
    <row r="706" spans="17:29">
      <c r="Q706"/>
      <c r="R706"/>
      <c r="S706"/>
      <c r="T706"/>
      <c r="U706"/>
      <c r="V706"/>
      <c r="W706"/>
      <c r="X706"/>
      <c r="Y706"/>
      <c r="Z706"/>
      <c r="AA706"/>
      <c r="AB706"/>
      <c r="AC706"/>
    </row>
    <row r="707" spans="17:29">
      <c r="Q707"/>
      <c r="R707"/>
      <c r="S707"/>
      <c r="T707"/>
      <c r="U707"/>
      <c r="V707"/>
      <c r="W707"/>
      <c r="X707"/>
      <c r="Y707"/>
      <c r="Z707"/>
      <c r="AA707"/>
      <c r="AB707"/>
      <c r="AC707"/>
    </row>
    <row r="708" spans="17:29">
      <c r="Q708"/>
      <c r="R708"/>
      <c r="S708"/>
      <c r="T708"/>
      <c r="U708"/>
      <c r="V708"/>
      <c r="W708"/>
      <c r="X708"/>
      <c r="Y708"/>
      <c r="Z708"/>
      <c r="AA708"/>
      <c r="AB708"/>
      <c r="AC708"/>
    </row>
    <row r="709" spans="17:29">
      <c r="Q709"/>
      <c r="R709"/>
      <c r="S709"/>
      <c r="T709"/>
      <c r="U709"/>
      <c r="V709"/>
      <c r="W709"/>
      <c r="X709"/>
      <c r="Y709"/>
      <c r="Z709"/>
      <c r="AA709"/>
      <c r="AB709"/>
      <c r="AC709"/>
    </row>
    <row r="710" spans="17:29">
      <c r="Q710"/>
      <c r="R710"/>
      <c r="S710"/>
      <c r="T710"/>
      <c r="U710"/>
      <c r="V710"/>
      <c r="W710"/>
      <c r="X710"/>
      <c r="Y710"/>
      <c r="Z710"/>
      <c r="AA710"/>
      <c r="AB710"/>
      <c r="AC710"/>
    </row>
    <row r="711" spans="17:29">
      <c r="Q711"/>
      <c r="R711"/>
      <c r="S711"/>
      <c r="T711"/>
      <c r="U711"/>
      <c r="V711"/>
      <c r="W711"/>
      <c r="X711"/>
      <c r="Y711"/>
      <c r="Z711"/>
      <c r="AA711"/>
      <c r="AB711"/>
      <c r="AC711"/>
    </row>
    <row r="712" spans="17:29">
      <c r="Q712"/>
      <c r="R712"/>
      <c r="S712"/>
      <c r="T712"/>
      <c r="U712"/>
      <c r="V712"/>
      <c r="W712"/>
      <c r="X712"/>
      <c r="Y712"/>
      <c r="Z712"/>
      <c r="AA712"/>
      <c r="AB712"/>
      <c r="AC712"/>
    </row>
    <row r="713" spans="17:29">
      <c r="Q713"/>
      <c r="R713"/>
      <c r="S713"/>
      <c r="T713"/>
      <c r="U713"/>
      <c r="V713"/>
      <c r="W713"/>
      <c r="X713"/>
      <c r="Y713"/>
      <c r="Z713"/>
      <c r="AA713"/>
      <c r="AB713"/>
      <c r="AC713"/>
    </row>
    <row r="714" spans="17:29">
      <c r="Q714"/>
      <c r="R714"/>
      <c r="S714"/>
      <c r="T714"/>
      <c r="U714"/>
      <c r="V714"/>
      <c r="W714"/>
      <c r="X714"/>
      <c r="Y714"/>
      <c r="Z714"/>
      <c r="AA714"/>
      <c r="AB714"/>
      <c r="AC714"/>
    </row>
    <row r="715" spans="17:29">
      <c r="Q715"/>
      <c r="R715"/>
      <c r="S715"/>
      <c r="T715"/>
      <c r="U715"/>
      <c r="V715"/>
      <c r="W715"/>
      <c r="X715"/>
      <c r="Y715"/>
      <c r="Z715"/>
      <c r="AA715"/>
      <c r="AB715"/>
      <c r="AC715"/>
    </row>
    <row r="716" spans="17:29">
      <c r="Q716"/>
      <c r="R716"/>
      <c r="S716"/>
      <c r="T716"/>
      <c r="U716"/>
      <c r="V716"/>
      <c r="W716"/>
      <c r="X716"/>
      <c r="Y716"/>
      <c r="Z716"/>
      <c r="AA716"/>
      <c r="AB716"/>
      <c r="AC716"/>
    </row>
    <row r="717" spans="17:29">
      <c r="Q717"/>
      <c r="R717"/>
      <c r="S717"/>
      <c r="T717"/>
      <c r="U717"/>
      <c r="V717"/>
      <c r="W717"/>
      <c r="X717"/>
      <c r="Y717"/>
      <c r="Z717"/>
      <c r="AA717"/>
      <c r="AB717"/>
      <c r="AC717"/>
    </row>
    <row r="718" spans="17:29">
      <c r="Q718"/>
      <c r="R718"/>
      <c r="S718"/>
      <c r="T718"/>
      <c r="U718"/>
      <c r="V718"/>
      <c r="W718"/>
      <c r="X718"/>
      <c r="Y718"/>
      <c r="Z718"/>
      <c r="AA718"/>
      <c r="AB718"/>
      <c r="AC718"/>
    </row>
    <row r="719" spans="17:29">
      <c r="Q719"/>
      <c r="R719"/>
      <c r="S719"/>
      <c r="T719"/>
      <c r="U719"/>
      <c r="V719"/>
      <c r="W719"/>
      <c r="X719"/>
      <c r="Y719"/>
      <c r="Z719"/>
      <c r="AA719"/>
      <c r="AB719"/>
      <c r="AC719"/>
    </row>
    <row r="720" spans="17:29">
      <c r="Q720"/>
      <c r="R720"/>
      <c r="S720"/>
      <c r="T720"/>
      <c r="U720"/>
      <c r="V720"/>
      <c r="W720"/>
      <c r="X720"/>
      <c r="Y720"/>
      <c r="Z720"/>
      <c r="AA720"/>
      <c r="AB720"/>
      <c r="AC720"/>
    </row>
    <row r="721" spans="17:29">
      <c r="Q721"/>
      <c r="R721"/>
      <c r="S721"/>
      <c r="T721"/>
      <c r="U721"/>
      <c r="V721"/>
      <c r="W721"/>
      <c r="X721"/>
      <c r="Y721"/>
      <c r="Z721"/>
      <c r="AA721"/>
      <c r="AB721"/>
      <c r="AC721"/>
    </row>
    <row r="722" spans="17:29">
      <c r="Q722" s="23"/>
      <c r="R722" s="1"/>
      <c r="S722" s="1"/>
      <c r="T722" s="1"/>
      <c r="U722" s="1"/>
      <c r="V722" s="1"/>
      <c r="W722" s="1"/>
      <c r="X722" s="1"/>
      <c r="Y722" s="1"/>
      <c r="Z722" s="1"/>
    </row>
    <row r="723" spans="17:29">
      <c r="Q723" s="23"/>
      <c r="R723" s="1"/>
      <c r="S723" s="1"/>
      <c r="T723" s="1"/>
      <c r="U723" s="1"/>
      <c r="V723" s="1"/>
      <c r="W723" s="1"/>
      <c r="X723" s="1"/>
      <c r="Y723" s="1"/>
      <c r="Z723" s="1"/>
    </row>
    <row r="724" spans="17:29">
      <c r="Q724" s="23"/>
      <c r="R724" s="1"/>
      <c r="S724" s="1"/>
      <c r="T724" s="1"/>
      <c r="U724" s="1"/>
      <c r="V724" s="1"/>
      <c r="W724" s="1"/>
      <c r="X724" s="1"/>
      <c r="Y724" s="1"/>
      <c r="Z724" s="1"/>
    </row>
    <row r="725" spans="17:29">
      <c r="Q725" s="23"/>
      <c r="R725" s="1"/>
      <c r="S725" s="1"/>
      <c r="T725" s="1"/>
      <c r="U725" s="1"/>
      <c r="V725" s="1"/>
      <c r="W725" s="1"/>
      <c r="X725" s="1"/>
      <c r="Y725" s="1"/>
      <c r="Z725" s="1"/>
    </row>
    <row r="726" spans="17:29">
      <c r="Q726" s="23"/>
      <c r="R726" s="1"/>
      <c r="S726" s="1"/>
      <c r="T726" s="1"/>
      <c r="U726" s="1"/>
      <c r="V726" s="1"/>
      <c r="W726" s="1"/>
      <c r="X726" s="1"/>
      <c r="Y726" s="1"/>
      <c r="Z726" s="1"/>
    </row>
    <row r="727" spans="17:29">
      <c r="Q727" s="23"/>
      <c r="R727" s="1"/>
      <c r="S727" s="1"/>
      <c r="T727" s="1"/>
      <c r="U727" s="1"/>
      <c r="V727" s="1"/>
      <c r="W727" s="1"/>
      <c r="X727" s="1"/>
      <c r="Y727" s="1"/>
      <c r="Z727" s="1"/>
    </row>
    <row r="728" spans="17:29">
      <c r="Q728" s="23"/>
      <c r="R728" s="1"/>
      <c r="S728" s="1"/>
      <c r="T728" s="1"/>
      <c r="U728" s="1"/>
      <c r="V728" s="1"/>
      <c r="W728" s="1"/>
      <c r="X728" s="1"/>
      <c r="Y728" s="1"/>
      <c r="Z728" s="1"/>
    </row>
    <row r="729" spans="17:29">
      <c r="Q729" s="23"/>
      <c r="R729" s="1"/>
      <c r="S729" s="1"/>
      <c r="T729" s="1"/>
      <c r="U729" s="1"/>
      <c r="V729" s="1"/>
      <c r="W729" s="1"/>
      <c r="X729" s="1"/>
      <c r="Y729" s="1"/>
      <c r="Z729" s="1"/>
    </row>
    <row r="730" spans="17:29">
      <c r="Q730" s="23"/>
      <c r="R730" s="1"/>
      <c r="S730" s="1"/>
      <c r="T730" s="1"/>
      <c r="U730" s="1"/>
      <c r="V730" s="1"/>
      <c r="W730" s="1"/>
      <c r="X730" s="1"/>
      <c r="Y730" s="1"/>
      <c r="Z730" s="1"/>
    </row>
    <row r="731" spans="17:29">
      <c r="Q731" s="23"/>
      <c r="R731" s="1"/>
      <c r="S731" s="1"/>
      <c r="T731" s="1"/>
      <c r="U731" s="1"/>
      <c r="V731" s="1"/>
      <c r="W731" s="1"/>
      <c r="X731" s="1"/>
      <c r="Y731" s="1"/>
      <c r="Z731" s="1"/>
    </row>
    <row r="732" spans="17:29">
      <c r="Q732" s="23"/>
      <c r="R732" s="1"/>
      <c r="S732" s="1"/>
      <c r="T732" s="1"/>
      <c r="U732" s="1"/>
      <c r="V732" s="1"/>
      <c r="W732" s="1"/>
      <c r="X732" s="1"/>
      <c r="Y732" s="1"/>
      <c r="Z732" s="1"/>
    </row>
    <row r="733" spans="17:29">
      <c r="Q733" s="23"/>
      <c r="R733" s="1"/>
      <c r="S733" s="1"/>
      <c r="T733" s="1"/>
      <c r="U733" s="1"/>
      <c r="V733" s="1"/>
      <c r="W733" s="1"/>
      <c r="X733" s="1"/>
      <c r="Y733" s="1"/>
      <c r="Z733" s="1"/>
    </row>
    <row r="734" spans="17:29">
      <c r="Q734" s="23"/>
      <c r="R734" s="1"/>
      <c r="S734" s="1"/>
      <c r="T734" s="1"/>
      <c r="U734" s="1"/>
      <c r="V734" s="1"/>
      <c r="W734" s="1"/>
      <c r="X734" s="1"/>
      <c r="Y734" s="1"/>
      <c r="Z734" s="1"/>
    </row>
    <row r="735" spans="17:29">
      <c r="Q735" s="23"/>
      <c r="R735" s="1"/>
      <c r="S735" s="1"/>
      <c r="T735" s="1"/>
      <c r="U735" s="1"/>
      <c r="V735" s="1"/>
      <c r="W735" s="1"/>
      <c r="X735" s="1"/>
      <c r="Y735" s="1"/>
      <c r="Z735" s="1"/>
    </row>
    <row r="736" spans="17:29">
      <c r="Q736" s="23"/>
      <c r="R736" s="1"/>
      <c r="S736" s="1"/>
      <c r="T736" s="1"/>
      <c r="U736" s="1"/>
      <c r="V736" s="1"/>
      <c r="W736" s="1"/>
      <c r="X736" s="1"/>
      <c r="Y736" s="1"/>
      <c r="Z736" s="1"/>
    </row>
    <row r="737" spans="17:26">
      <c r="Q737" s="23"/>
      <c r="R737" s="1"/>
      <c r="S737" s="1"/>
      <c r="T737" s="1"/>
      <c r="U737" s="1"/>
      <c r="V737" s="1"/>
      <c r="W737" s="1"/>
      <c r="X737" s="1"/>
      <c r="Y737" s="1"/>
      <c r="Z737" s="1"/>
    </row>
    <row r="738" spans="17:26">
      <c r="Q738" s="23"/>
      <c r="R738" s="1"/>
      <c r="S738" s="1"/>
      <c r="T738" s="1"/>
      <c r="U738" s="1"/>
      <c r="V738" s="1"/>
      <c r="W738" s="1"/>
      <c r="X738" s="1"/>
      <c r="Y738" s="1"/>
      <c r="Z738" s="1"/>
    </row>
    <row r="739" spans="17:26">
      <c r="Q739" s="23"/>
      <c r="R739" s="1"/>
      <c r="S739" s="1"/>
      <c r="T739" s="1"/>
      <c r="U739" s="1"/>
      <c r="V739" s="1"/>
      <c r="W739" s="1"/>
      <c r="X739" s="1"/>
      <c r="Y739" s="1"/>
      <c r="Z739" s="1"/>
    </row>
    <row r="740" spans="17:26">
      <c r="Q740" s="23"/>
      <c r="R740" s="1"/>
      <c r="S740" s="1"/>
      <c r="T740" s="1"/>
      <c r="U740" s="1"/>
      <c r="V740" s="1"/>
      <c r="W740" s="1"/>
      <c r="X740" s="1"/>
      <c r="Y740" s="1"/>
      <c r="Z740" s="1"/>
    </row>
    <row r="741" spans="17:26">
      <c r="Q741" s="23"/>
      <c r="R741" s="1"/>
      <c r="S741" s="1"/>
      <c r="T741" s="1"/>
      <c r="U741" s="1"/>
      <c r="V741" s="1"/>
      <c r="W741" s="1"/>
      <c r="X741" s="1"/>
      <c r="Y741" s="1"/>
      <c r="Z741" s="1"/>
    </row>
    <row r="742" spans="17:26">
      <c r="Q742" s="23"/>
      <c r="R742" s="1"/>
      <c r="S742" s="1"/>
      <c r="T742" s="1"/>
      <c r="U742" s="1"/>
      <c r="V742" s="1"/>
      <c r="W742" s="1"/>
      <c r="X742" s="1"/>
      <c r="Y742" s="1"/>
      <c r="Z742" s="1"/>
    </row>
    <row r="743" spans="17:26">
      <c r="Q743" s="23"/>
      <c r="R743" s="1"/>
      <c r="S743" s="1"/>
      <c r="T743" s="1"/>
      <c r="U743" s="1"/>
      <c r="V743" s="1"/>
      <c r="W743" s="1"/>
      <c r="X743" s="1"/>
      <c r="Y743" s="1"/>
      <c r="Z743" s="1"/>
    </row>
    <row r="744" spans="17:26">
      <c r="Q744" s="23"/>
      <c r="R744" s="1"/>
      <c r="S744" s="1"/>
      <c r="T744" s="1"/>
      <c r="U744" s="1"/>
      <c r="V744" s="1"/>
      <c r="W744" s="1"/>
      <c r="X744" s="1"/>
      <c r="Y744" s="1"/>
      <c r="Z744" s="1"/>
    </row>
    <row r="745" spans="17:26">
      <c r="Q745" s="23"/>
      <c r="R745" s="1"/>
      <c r="S745" s="1"/>
      <c r="T745" s="1"/>
      <c r="U745" s="1"/>
      <c r="V745" s="1"/>
      <c r="W745" s="1"/>
      <c r="X745" s="1"/>
      <c r="Y745" s="1"/>
      <c r="Z745" s="1"/>
    </row>
    <row r="746" spans="17:26">
      <c r="Q746" s="23"/>
      <c r="R746" s="1"/>
      <c r="S746" s="1"/>
      <c r="T746" s="1"/>
      <c r="U746" s="1"/>
      <c r="V746" s="1"/>
      <c r="W746" s="1"/>
      <c r="X746" s="1"/>
      <c r="Y746" s="1"/>
      <c r="Z746" s="1"/>
    </row>
    <row r="747" spans="17:26">
      <c r="Q747" s="23"/>
      <c r="R747" s="1"/>
      <c r="S747" s="1"/>
      <c r="T747" s="1"/>
      <c r="U747" s="1"/>
      <c r="V747" s="1"/>
      <c r="W747" s="1"/>
      <c r="X747" s="1"/>
      <c r="Y747" s="1"/>
      <c r="Z747" s="1"/>
    </row>
    <row r="748" spans="17:26">
      <c r="Q748" s="23"/>
      <c r="R748" s="1"/>
      <c r="S748" s="1"/>
      <c r="T748" s="1"/>
      <c r="U748" s="1"/>
      <c r="V748" s="1"/>
      <c r="W748" s="1"/>
      <c r="X748" s="1"/>
      <c r="Y748" s="1"/>
      <c r="Z748" s="1"/>
    </row>
    <row r="749" spans="17:26">
      <c r="Q749" s="23"/>
      <c r="R749" s="1"/>
      <c r="S749" s="1"/>
      <c r="T749" s="1"/>
      <c r="U749" s="1"/>
      <c r="V749" s="1"/>
      <c r="W749" s="1"/>
      <c r="X749" s="1"/>
      <c r="Y749" s="1"/>
      <c r="Z749" s="1"/>
    </row>
    <row r="750" spans="17:26">
      <c r="Q750" s="23"/>
      <c r="R750" s="1"/>
      <c r="S750" s="1"/>
      <c r="T750" s="1"/>
      <c r="U750" s="1"/>
      <c r="V750" s="1"/>
      <c r="W750" s="1"/>
      <c r="X750" s="1"/>
      <c r="Y750" s="1"/>
      <c r="Z750" s="1"/>
    </row>
    <row r="751" spans="17:26">
      <c r="Q751" s="23"/>
      <c r="R751" s="1"/>
      <c r="S751" s="1"/>
      <c r="T751" s="1"/>
      <c r="U751" s="1"/>
      <c r="V751" s="1"/>
      <c r="W751" s="1"/>
      <c r="X751" s="1"/>
      <c r="Y751" s="1"/>
      <c r="Z751" s="1"/>
    </row>
    <row r="752" spans="17:26">
      <c r="Q752" s="23"/>
      <c r="R752" s="1"/>
      <c r="S752" s="1"/>
      <c r="T752" s="1"/>
      <c r="U752" s="1"/>
      <c r="V752" s="1"/>
      <c r="W752" s="1"/>
      <c r="X752" s="1"/>
      <c r="Y752" s="1"/>
      <c r="Z752" s="1"/>
    </row>
    <row r="753" spans="17:26">
      <c r="Q753" s="23"/>
      <c r="R753" s="1"/>
      <c r="S753" s="1"/>
      <c r="T753" s="1"/>
      <c r="U753" s="1"/>
      <c r="V753" s="1"/>
      <c r="W753" s="1"/>
      <c r="X753" s="1"/>
      <c r="Y753" s="1"/>
      <c r="Z753" s="1"/>
    </row>
    <row r="754" spans="17:26">
      <c r="Q754" s="23"/>
      <c r="R754" s="1"/>
      <c r="S754" s="1"/>
      <c r="T754" s="1"/>
      <c r="U754" s="1"/>
      <c r="V754" s="1"/>
      <c r="W754" s="1"/>
      <c r="X754" s="1"/>
      <c r="Y754" s="1"/>
      <c r="Z754" s="1"/>
    </row>
    <row r="755" spans="17:26">
      <c r="Q755" s="23"/>
      <c r="R755" s="1"/>
      <c r="S755" s="1"/>
      <c r="T755" s="1"/>
      <c r="U755" s="1"/>
      <c r="V755" s="1"/>
      <c r="W755" s="1"/>
      <c r="X755" s="1"/>
      <c r="Y755" s="1"/>
      <c r="Z755" s="1"/>
    </row>
    <row r="756" spans="17:26">
      <c r="Q756" s="23"/>
      <c r="R756" s="1"/>
      <c r="S756" s="1"/>
      <c r="T756" s="1"/>
      <c r="U756" s="1"/>
      <c r="V756" s="1"/>
      <c r="W756" s="1"/>
      <c r="X756" s="1"/>
      <c r="Y756" s="1"/>
      <c r="Z756" s="1"/>
    </row>
    <row r="757" spans="17:26">
      <c r="Q757" s="23"/>
      <c r="R757" s="1"/>
      <c r="S757" s="1"/>
      <c r="T757" s="1"/>
      <c r="U757" s="1"/>
      <c r="V757" s="1"/>
      <c r="W757" s="1"/>
      <c r="X757" s="1"/>
      <c r="Y757" s="1"/>
      <c r="Z757" s="1"/>
    </row>
    <row r="758" spans="17:26">
      <c r="Q758" s="23"/>
      <c r="R758" s="1"/>
      <c r="S758" s="1"/>
      <c r="T758" s="1"/>
      <c r="U758" s="1"/>
      <c r="V758" s="1"/>
      <c r="W758" s="1"/>
      <c r="X758" s="1"/>
      <c r="Y758" s="1"/>
      <c r="Z758" s="1"/>
    </row>
    <row r="759" spans="17:26">
      <c r="Q759" s="23"/>
      <c r="R759" s="1"/>
      <c r="S759" s="1"/>
      <c r="T759" s="1"/>
      <c r="U759" s="1"/>
      <c r="V759" s="1"/>
      <c r="W759" s="1"/>
      <c r="X759" s="1"/>
      <c r="Y759" s="1"/>
      <c r="Z759" s="1"/>
    </row>
    <row r="760" spans="17:26">
      <c r="Q760" s="23"/>
      <c r="R760" s="1"/>
      <c r="S760" s="1"/>
      <c r="T760" s="1"/>
      <c r="U760" s="1"/>
      <c r="V760" s="1"/>
      <c r="W760" s="1"/>
      <c r="X760" s="1"/>
      <c r="Y760" s="1"/>
      <c r="Z760" s="1"/>
    </row>
    <row r="761" spans="17:26">
      <c r="Q761" s="23"/>
      <c r="R761" s="1"/>
      <c r="S761" s="1"/>
      <c r="T761" s="1"/>
      <c r="U761" s="1"/>
      <c r="V761" s="1"/>
      <c r="W761" s="1"/>
      <c r="X761" s="1"/>
      <c r="Y761" s="1"/>
      <c r="Z761" s="1"/>
    </row>
    <row r="762" spans="17:26">
      <c r="Q762" s="23"/>
      <c r="R762" s="1"/>
      <c r="S762" s="1"/>
      <c r="T762" s="1"/>
      <c r="U762" s="1"/>
      <c r="V762" s="1"/>
      <c r="W762" s="1"/>
      <c r="X762" s="1"/>
      <c r="Y762" s="1"/>
      <c r="Z762" s="1"/>
    </row>
    <row r="763" spans="17:26">
      <c r="Q763" s="23"/>
      <c r="R763" s="1"/>
      <c r="S763" s="1"/>
      <c r="T763" s="1"/>
      <c r="U763" s="1"/>
      <c r="V763" s="1"/>
      <c r="W763" s="1"/>
      <c r="X763" s="1"/>
      <c r="Y763" s="1"/>
      <c r="Z763" s="1"/>
    </row>
    <row r="764" spans="17:26">
      <c r="Q764" s="23"/>
      <c r="R764" s="1"/>
      <c r="S764" s="1"/>
      <c r="T764" s="1"/>
      <c r="U764" s="1"/>
      <c r="V764" s="1"/>
      <c r="W764" s="1"/>
      <c r="X764" s="1"/>
      <c r="Y764" s="1"/>
      <c r="Z764" s="1"/>
    </row>
    <row r="765" spans="17:26">
      <c r="Q765" s="23"/>
      <c r="R765" s="1"/>
      <c r="S765" s="1"/>
      <c r="T765" s="1"/>
      <c r="U765" s="1"/>
      <c r="V765" s="1"/>
      <c r="W765" s="1"/>
      <c r="X765" s="1"/>
      <c r="Y765" s="1"/>
      <c r="Z765" s="1"/>
    </row>
    <row r="766" spans="17:26">
      <c r="Q766" s="23"/>
      <c r="R766" s="1"/>
      <c r="S766" s="1"/>
      <c r="T766" s="1"/>
      <c r="U766" s="1"/>
      <c r="V766" s="1"/>
      <c r="W766" s="1"/>
      <c r="X766" s="1"/>
      <c r="Y766" s="1"/>
      <c r="Z766" s="1"/>
    </row>
    <row r="767" spans="17:26">
      <c r="Q767" s="23"/>
      <c r="R767" s="1"/>
      <c r="S767" s="1"/>
      <c r="T767" s="1"/>
      <c r="U767" s="1"/>
      <c r="V767" s="1"/>
      <c r="W767" s="1"/>
      <c r="X767" s="1"/>
      <c r="Y767" s="1"/>
      <c r="Z767" s="1"/>
    </row>
    <row r="768" spans="17:26">
      <c r="Q768" s="23"/>
      <c r="R768" s="1"/>
      <c r="S768" s="1"/>
      <c r="T768" s="1"/>
      <c r="U768" s="1"/>
      <c r="V768" s="1"/>
      <c r="W768" s="1"/>
      <c r="X768" s="1"/>
      <c r="Y768" s="1"/>
      <c r="Z768" s="1"/>
    </row>
    <row r="769" spans="17:26">
      <c r="Q769" s="23"/>
      <c r="R769" s="1"/>
      <c r="S769" s="1"/>
      <c r="T769" s="1"/>
      <c r="U769" s="1"/>
      <c r="V769" s="1"/>
      <c r="W769" s="1"/>
      <c r="X769" s="1"/>
      <c r="Y769" s="1"/>
      <c r="Z769" s="1"/>
    </row>
    <row r="770" spans="17:26">
      <c r="Q770" s="23"/>
      <c r="R770" s="1"/>
      <c r="S770" s="1"/>
      <c r="T770" s="1"/>
      <c r="U770" s="1"/>
      <c r="V770" s="1"/>
      <c r="W770" s="1"/>
      <c r="X770" s="1"/>
      <c r="Y770" s="1"/>
      <c r="Z770" s="1"/>
    </row>
    <row r="771" spans="17:26">
      <c r="Q771" s="23"/>
      <c r="R771" s="1"/>
      <c r="S771" s="1"/>
      <c r="T771" s="1"/>
      <c r="U771" s="1"/>
      <c r="V771" s="1"/>
      <c r="W771" s="1"/>
      <c r="X771" s="1"/>
      <c r="Y771" s="1"/>
      <c r="Z771" s="1"/>
    </row>
    <row r="772" spans="17:26">
      <c r="Q772" s="23"/>
      <c r="R772" s="1"/>
      <c r="S772" s="1"/>
      <c r="T772" s="1"/>
      <c r="U772" s="1"/>
      <c r="V772" s="1"/>
      <c r="W772" s="1"/>
      <c r="X772" s="1"/>
      <c r="Y772" s="1"/>
      <c r="Z772" s="1"/>
    </row>
    <row r="773" spans="17:26">
      <c r="Q773" s="23"/>
      <c r="R773" s="1"/>
      <c r="S773" s="1"/>
      <c r="T773" s="1"/>
      <c r="U773" s="1"/>
      <c r="V773" s="1"/>
      <c r="W773" s="1"/>
      <c r="X773" s="1"/>
      <c r="Y773" s="1"/>
      <c r="Z773" s="1"/>
    </row>
    <row r="774" spans="17:26">
      <c r="Q774" s="23"/>
      <c r="R774" s="1"/>
      <c r="S774" s="1"/>
      <c r="T774" s="1"/>
      <c r="U774" s="1"/>
      <c r="V774" s="1"/>
      <c r="W774" s="1"/>
      <c r="X774" s="1"/>
      <c r="Y774" s="1"/>
      <c r="Z774" s="1"/>
    </row>
    <row r="775" spans="17:26">
      <c r="Q775" s="23"/>
      <c r="R775" s="1"/>
      <c r="S775" s="1"/>
      <c r="T775" s="1"/>
      <c r="U775" s="1"/>
      <c r="V775" s="1"/>
      <c r="W775" s="1"/>
      <c r="X775" s="1"/>
      <c r="Y775" s="1"/>
      <c r="Z775" s="1"/>
    </row>
    <row r="776" spans="17:26">
      <c r="Q776" s="23"/>
      <c r="R776" s="1"/>
      <c r="S776" s="1"/>
      <c r="T776" s="1"/>
      <c r="U776" s="1"/>
      <c r="V776" s="1"/>
      <c r="W776" s="1"/>
      <c r="X776" s="1"/>
      <c r="Y776" s="1"/>
      <c r="Z776" s="1"/>
    </row>
    <row r="777" spans="17:26">
      <c r="Q777" s="23"/>
      <c r="R777" s="1"/>
      <c r="S777" s="1"/>
      <c r="T777" s="1"/>
      <c r="U777" s="1"/>
      <c r="V777" s="1"/>
      <c r="W777" s="1"/>
      <c r="X777" s="1"/>
      <c r="Y777" s="1"/>
      <c r="Z777" s="1"/>
    </row>
    <row r="778" spans="17:26">
      <c r="Q778" s="23"/>
      <c r="R778" s="1"/>
      <c r="S778" s="1"/>
      <c r="T778" s="1"/>
      <c r="U778" s="1"/>
      <c r="V778" s="1"/>
      <c r="W778" s="1"/>
      <c r="X778" s="1"/>
      <c r="Y778" s="1"/>
      <c r="Z778" s="1"/>
    </row>
    <row r="779" spans="17:26">
      <c r="Q779" s="23"/>
      <c r="R779" s="1"/>
      <c r="S779" s="1"/>
      <c r="T779" s="1"/>
      <c r="U779" s="1"/>
      <c r="V779" s="1"/>
      <c r="W779" s="1"/>
      <c r="X779" s="1"/>
      <c r="Y779" s="1"/>
      <c r="Z779" s="1"/>
    </row>
    <row r="780" spans="17:26">
      <c r="Q780" s="23"/>
      <c r="R780" s="1"/>
      <c r="S780" s="1"/>
      <c r="T780" s="1"/>
      <c r="U780" s="1"/>
      <c r="V780" s="1"/>
      <c r="W780" s="1"/>
      <c r="X780" s="1"/>
      <c r="Y780" s="1"/>
      <c r="Z780" s="1"/>
    </row>
    <row r="781" spans="17:26">
      <c r="Q781" s="23"/>
      <c r="R781" s="1"/>
      <c r="S781" s="1"/>
      <c r="T781" s="1"/>
      <c r="U781" s="1"/>
      <c r="V781" s="1"/>
      <c r="W781" s="1"/>
      <c r="X781" s="1"/>
      <c r="Y781" s="1"/>
      <c r="Z781" s="1"/>
    </row>
    <row r="782" spans="17:26">
      <c r="Q782" s="23"/>
      <c r="R782" s="1"/>
      <c r="S782" s="1"/>
      <c r="T782" s="1"/>
      <c r="U782" s="1"/>
      <c r="V782" s="1"/>
      <c r="W782" s="1"/>
      <c r="X782" s="1"/>
      <c r="Y782" s="1"/>
      <c r="Z782" s="1"/>
    </row>
    <row r="783" spans="17:26">
      <c r="Q783" s="23"/>
      <c r="R783" s="1"/>
      <c r="S783" s="1"/>
      <c r="T783" s="1"/>
      <c r="U783" s="1"/>
      <c r="V783" s="1"/>
      <c r="W783" s="1"/>
      <c r="X783" s="1"/>
      <c r="Y783" s="1"/>
      <c r="Z783" s="1"/>
    </row>
    <row r="784" spans="17:26">
      <c r="Q784" s="23"/>
      <c r="R784" s="1"/>
      <c r="S784" s="1"/>
      <c r="T784" s="1"/>
      <c r="U784" s="1"/>
      <c r="V784" s="1"/>
      <c r="W784" s="1"/>
      <c r="X784" s="1"/>
      <c r="Y784" s="1"/>
      <c r="Z784" s="1"/>
    </row>
    <row r="785" spans="17:26">
      <c r="Q785" s="23"/>
      <c r="R785" s="1"/>
      <c r="S785" s="1"/>
      <c r="T785" s="1"/>
      <c r="U785" s="1"/>
      <c r="V785" s="1"/>
      <c r="W785" s="1"/>
      <c r="X785" s="1"/>
      <c r="Y785" s="1"/>
      <c r="Z785" s="1"/>
    </row>
    <row r="786" spans="17:26">
      <c r="Q786" s="23"/>
      <c r="R786" s="1"/>
      <c r="S786" s="1"/>
      <c r="T786" s="1"/>
      <c r="U786" s="1"/>
      <c r="V786" s="1"/>
      <c r="W786" s="1"/>
      <c r="X786" s="1"/>
      <c r="Y786" s="1"/>
      <c r="Z786" s="1"/>
    </row>
    <row r="787" spans="17:26">
      <c r="Q787" s="23"/>
      <c r="R787" s="1"/>
      <c r="S787" s="1"/>
      <c r="T787" s="1"/>
      <c r="U787" s="1"/>
      <c r="V787" s="1"/>
      <c r="W787" s="1"/>
      <c r="X787" s="1"/>
      <c r="Y787" s="1"/>
      <c r="Z787" s="1"/>
    </row>
    <row r="788" spans="17:26">
      <c r="Q788" s="23"/>
      <c r="R788" s="1"/>
      <c r="S788" s="1"/>
      <c r="T788" s="1"/>
      <c r="U788" s="1"/>
      <c r="V788" s="1"/>
      <c r="W788" s="1"/>
      <c r="X788" s="1"/>
      <c r="Y788" s="1"/>
      <c r="Z788" s="1"/>
    </row>
    <row r="789" spans="17:26">
      <c r="Q789" s="23"/>
      <c r="R789" s="1"/>
      <c r="S789" s="1"/>
      <c r="T789" s="1"/>
      <c r="U789" s="1"/>
      <c r="V789" s="1"/>
      <c r="W789" s="1"/>
      <c r="X789" s="1"/>
      <c r="Y789" s="1"/>
      <c r="Z789" s="1"/>
    </row>
    <row r="790" spans="17:26">
      <c r="Q790" s="23"/>
      <c r="R790" s="1"/>
      <c r="S790" s="1"/>
      <c r="T790" s="1"/>
      <c r="U790" s="1"/>
      <c r="V790" s="1"/>
      <c r="W790" s="1"/>
      <c r="X790" s="1"/>
      <c r="Y790" s="1"/>
      <c r="Z790" s="1"/>
    </row>
    <row r="791" spans="17:26">
      <c r="Q791" s="23"/>
      <c r="R791" s="1"/>
      <c r="S791" s="1"/>
      <c r="T791" s="1"/>
      <c r="U791" s="1"/>
      <c r="V791" s="1"/>
      <c r="W791" s="1"/>
      <c r="X791" s="1"/>
      <c r="Y791" s="1"/>
      <c r="Z791" s="1"/>
    </row>
    <row r="792" spans="17:26">
      <c r="Q792" s="23"/>
      <c r="R792" s="1"/>
      <c r="S792" s="1"/>
      <c r="T792" s="1"/>
      <c r="U792" s="1"/>
      <c r="V792" s="1"/>
      <c r="W792" s="1"/>
      <c r="X792" s="1"/>
      <c r="Y792" s="1"/>
      <c r="Z792" s="1"/>
    </row>
    <row r="793" spans="17:26">
      <c r="Q793" s="23"/>
      <c r="R793" s="1"/>
      <c r="S793" s="1"/>
      <c r="T793" s="1"/>
      <c r="U793" s="1"/>
      <c r="V793" s="1"/>
      <c r="W793" s="1"/>
      <c r="X793" s="1"/>
      <c r="Y793" s="1"/>
      <c r="Z793" s="1"/>
    </row>
    <row r="794" spans="17:26">
      <c r="Q794" s="23"/>
      <c r="R794" s="1"/>
      <c r="S794" s="1"/>
      <c r="T794" s="1"/>
      <c r="U794" s="1"/>
      <c r="V794" s="1"/>
      <c r="W794" s="1"/>
      <c r="X794" s="1"/>
      <c r="Y794" s="1"/>
      <c r="Z794" s="1"/>
    </row>
    <row r="795" spans="17:26">
      <c r="Q795" s="23"/>
      <c r="R795" s="1"/>
      <c r="S795" s="1"/>
      <c r="T795" s="1"/>
      <c r="U795" s="1"/>
      <c r="V795" s="1"/>
      <c r="W795" s="1"/>
      <c r="X795" s="1"/>
      <c r="Y795" s="1"/>
      <c r="Z795" s="1"/>
    </row>
    <row r="796" spans="17:26">
      <c r="Q796" s="23"/>
      <c r="R796" s="1"/>
      <c r="S796" s="1"/>
      <c r="T796" s="1"/>
      <c r="U796" s="1"/>
      <c r="V796" s="1"/>
      <c r="W796" s="1"/>
      <c r="X796" s="1"/>
      <c r="Y796" s="1"/>
      <c r="Z796" s="1"/>
    </row>
    <row r="797" spans="17:26">
      <c r="Q797" s="23"/>
      <c r="R797" s="1"/>
      <c r="S797" s="1"/>
      <c r="T797" s="1"/>
      <c r="U797" s="1"/>
      <c r="V797" s="1"/>
      <c r="W797" s="1"/>
      <c r="X797" s="1"/>
      <c r="Y797" s="1"/>
      <c r="Z797" s="1"/>
    </row>
    <row r="798" spans="17:26">
      <c r="Q798" s="23"/>
      <c r="R798" s="1"/>
      <c r="S798" s="1"/>
      <c r="T798" s="1"/>
      <c r="U798" s="1"/>
      <c r="V798" s="1"/>
      <c r="W798" s="1"/>
      <c r="X798" s="1"/>
      <c r="Y798" s="1"/>
      <c r="Z798" s="1"/>
    </row>
    <row r="799" spans="17:26">
      <c r="Q799" s="23"/>
      <c r="R799" s="1"/>
      <c r="S799" s="1"/>
      <c r="T799" s="1"/>
      <c r="U799" s="1"/>
      <c r="V799" s="1"/>
      <c r="W799" s="1"/>
      <c r="X799" s="1"/>
      <c r="Y799" s="1"/>
      <c r="Z799" s="1"/>
    </row>
    <row r="800" spans="17:26">
      <c r="Q800" s="23"/>
      <c r="R800" s="1"/>
      <c r="S800" s="1"/>
      <c r="T800" s="1"/>
      <c r="U800" s="1"/>
      <c r="V800" s="1"/>
      <c r="W800" s="1"/>
      <c r="X800" s="1"/>
      <c r="Y800" s="1"/>
      <c r="Z800" s="1"/>
    </row>
    <row r="801" spans="17:26">
      <c r="Q801" s="23"/>
      <c r="R801" s="1"/>
      <c r="S801" s="1"/>
      <c r="T801" s="1"/>
      <c r="U801" s="1"/>
      <c r="V801" s="1"/>
      <c r="W801" s="1"/>
      <c r="X801" s="1"/>
      <c r="Y801" s="1"/>
      <c r="Z801" s="1"/>
    </row>
    <row r="802" spans="17:26">
      <c r="Q802" s="23"/>
      <c r="R802" s="1"/>
      <c r="S802" s="1"/>
      <c r="T802" s="1"/>
      <c r="U802" s="1"/>
      <c r="V802" s="1"/>
      <c r="W802" s="1"/>
      <c r="X802" s="1"/>
      <c r="Y802" s="1"/>
      <c r="Z802" s="1"/>
    </row>
    <row r="803" spans="17:26">
      <c r="Q803" s="23"/>
      <c r="R803" s="1"/>
      <c r="S803" s="1"/>
      <c r="T803" s="1"/>
      <c r="U803" s="1"/>
      <c r="V803" s="1"/>
      <c r="W803" s="1"/>
      <c r="X803" s="1"/>
      <c r="Y803" s="1"/>
      <c r="Z803" s="1"/>
    </row>
    <row r="804" spans="17:26">
      <c r="Q804" s="23"/>
      <c r="R804" s="1"/>
      <c r="S804" s="1"/>
      <c r="T804" s="1"/>
      <c r="U804" s="1"/>
      <c r="V804" s="1"/>
      <c r="W804" s="1"/>
      <c r="X804" s="1"/>
      <c r="Y804" s="1"/>
      <c r="Z804" s="1"/>
    </row>
    <row r="805" spans="17:26">
      <c r="Q805" s="23"/>
      <c r="R805" s="1"/>
      <c r="S805" s="1"/>
      <c r="T805" s="1"/>
      <c r="U805" s="1"/>
      <c r="V805" s="1"/>
      <c r="W805" s="1"/>
      <c r="X805" s="1"/>
      <c r="Y805" s="1"/>
      <c r="Z805" s="1"/>
    </row>
    <row r="806" spans="17:26">
      <c r="Q806" s="23"/>
      <c r="R806" s="1"/>
      <c r="S806" s="1"/>
      <c r="T806" s="1"/>
      <c r="U806" s="1"/>
      <c r="V806" s="1"/>
      <c r="W806" s="1"/>
      <c r="X806" s="1"/>
      <c r="Y806" s="1"/>
      <c r="Z806" s="1"/>
    </row>
    <row r="807" spans="17:26">
      <c r="Q807" s="23"/>
      <c r="R807" s="1"/>
      <c r="S807" s="1"/>
      <c r="T807" s="1"/>
      <c r="U807" s="1"/>
      <c r="V807" s="1"/>
      <c r="W807" s="1"/>
      <c r="X807" s="1"/>
      <c r="Y807" s="1"/>
      <c r="Z807" s="1"/>
    </row>
    <row r="808" spans="17:26">
      <c r="Q808" s="23"/>
      <c r="R808" s="1"/>
      <c r="S808" s="1"/>
      <c r="T808" s="1"/>
      <c r="U808" s="1"/>
      <c r="V808" s="1"/>
      <c r="W808" s="1"/>
      <c r="X808" s="1"/>
      <c r="Y808" s="1"/>
      <c r="Z808" s="1"/>
    </row>
    <row r="809" spans="17:26">
      <c r="Q809" s="23"/>
      <c r="R809" s="1"/>
      <c r="S809" s="1"/>
      <c r="T809" s="1"/>
      <c r="U809" s="1"/>
      <c r="V809" s="1"/>
      <c r="W809" s="1"/>
      <c r="X809" s="1"/>
      <c r="Y809" s="1"/>
      <c r="Z809" s="1"/>
    </row>
    <row r="810" spans="17:26">
      <c r="Q810" s="23"/>
      <c r="R810" s="1"/>
      <c r="S810" s="1"/>
      <c r="T810" s="1"/>
      <c r="U810" s="1"/>
      <c r="V810" s="1"/>
      <c r="W810" s="1"/>
      <c r="X810" s="1"/>
      <c r="Y810" s="1"/>
      <c r="Z810" s="1"/>
    </row>
    <row r="811" spans="17:26">
      <c r="Q811" s="23"/>
      <c r="R811" s="1"/>
      <c r="S811" s="1"/>
      <c r="T811" s="1"/>
      <c r="U811" s="1"/>
      <c r="V811" s="1"/>
      <c r="W811" s="1"/>
      <c r="X811" s="1"/>
      <c r="Y811" s="1"/>
      <c r="Z811" s="1"/>
    </row>
    <row r="812" spans="17:26">
      <c r="Q812" s="23"/>
      <c r="R812" s="1"/>
      <c r="S812" s="1"/>
      <c r="T812" s="1"/>
      <c r="U812" s="1"/>
      <c r="V812" s="1"/>
      <c r="W812" s="1"/>
      <c r="X812" s="1"/>
      <c r="Y812" s="1"/>
      <c r="Z812" s="1"/>
    </row>
    <row r="813" spans="17:26">
      <c r="Q813" s="23"/>
      <c r="R813" s="1"/>
      <c r="S813" s="1"/>
      <c r="T813" s="1"/>
      <c r="U813" s="1"/>
      <c r="V813" s="1"/>
      <c r="W813" s="1"/>
      <c r="X813" s="1"/>
      <c r="Y813" s="1"/>
      <c r="Z813" s="1"/>
    </row>
    <row r="814" spans="17:26">
      <c r="Q814" s="23"/>
      <c r="R814" s="1"/>
      <c r="S814" s="1"/>
      <c r="T814" s="1"/>
      <c r="U814" s="1"/>
      <c r="V814" s="1"/>
      <c r="W814" s="1"/>
      <c r="X814" s="1"/>
      <c r="Y814" s="1"/>
      <c r="Z814" s="1"/>
    </row>
    <row r="815" spans="17:26">
      <c r="Q815" s="23"/>
      <c r="R815" s="1"/>
      <c r="S815" s="1"/>
      <c r="T815" s="1"/>
      <c r="U815" s="1"/>
      <c r="V815" s="1"/>
      <c r="W815" s="1"/>
      <c r="X815" s="1"/>
      <c r="Y815" s="1"/>
      <c r="Z815" s="1"/>
    </row>
    <row r="816" spans="17:26">
      <c r="Q816" s="23"/>
      <c r="R816" s="1"/>
      <c r="S816" s="1"/>
      <c r="T816" s="1"/>
      <c r="U816" s="1"/>
      <c r="V816" s="1"/>
      <c r="W816" s="1"/>
      <c r="X816" s="1"/>
      <c r="Y816" s="1"/>
      <c r="Z816" s="1"/>
    </row>
    <row r="817" spans="17:26">
      <c r="Q817" s="23"/>
      <c r="R817" s="1"/>
      <c r="S817" s="1"/>
      <c r="T817" s="1"/>
      <c r="U817" s="1"/>
      <c r="V817" s="1"/>
      <c r="W817" s="1"/>
      <c r="X817" s="1"/>
      <c r="Y817" s="1"/>
      <c r="Z817" s="1"/>
    </row>
    <row r="818" spans="17:26">
      <c r="Q818" s="23"/>
      <c r="R818" s="1"/>
      <c r="S818" s="1"/>
      <c r="T818" s="1"/>
      <c r="U818" s="1"/>
      <c r="V818" s="1"/>
      <c r="W818" s="1"/>
      <c r="X818" s="1"/>
      <c r="Y818" s="1"/>
      <c r="Z818" s="1"/>
    </row>
    <row r="819" spans="17:26">
      <c r="Q819" s="23"/>
      <c r="R819" s="1"/>
      <c r="S819" s="1"/>
      <c r="T819" s="1"/>
      <c r="U819" s="1"/>
      <c r="V819" s="1"/>
      <c r="W819" s="1"/>
      <c r="X819" s="1"/>
      <c r="Y819" s="1"/>
      <c r="Z819" s="1"/>
    </row>
    <row r="820" spans="17:26">
      <c r="Q820" s="23"/>
      <c r="R820" s="1"/>
      <c r="S820" s="1"/>
      <c r="T820" s="1"/>
      <c r="U820" s="1"/>
      <c r="V820" s="1"/>
      <c r="W820" s="1"/>
      <c r="X820" s="1"/>
      <c r="Y820" s="1"/>
      <c r="Z820" s="1"/>
    </row>
    <row r="821" spans="17:26">
      <c r="Q821" s="23"/>
      <c r="R821" s="1"/>
      <c r="S821" s="1"/>
      <c r="T821" s="1"/>
      <c r="U821" s="1"/>
      <c r="V821" s="1"/>
      <c r="W821" s="1"/>
      <c r="X821" s="1"/>
      <c r="Y821" s="1"/>
      <c r="Z821" s="1"/>
    </row>
    <row r="822" spans="17:26">
      <c r="Q822" s="23"/>
      <c r="R822" s="1"/>
      <c r="S822" s="1"/>
      <c r="T822" s="1"/>
      <c r="U822" s="1"/>
      <c r="V822" s="1"/>
      <c r="W822" s="1"/>
      <c r="X822" s="1"/>
      <c r="Y822" s="1"/>
      <c r="Z822" s="1"/>
    </row>
    <row r="823" spans="17:26">
      <c r="Q823" s="23"/>
      <c r="R823" s="1"/>
      <c r="S823" s="1"/>
      <c r="T823" s="1"/>
      <c r="U823" s="1"/>
      <c r="V823" s="1"/>
      <c r="W823" s="1"/>
      <c r="X823" s="1"/>
      <c r="Y823" s="1"/>
      <c r="Z823" s="1"/>
    </row>
    <row r="824" spans="17:26">
      <c r="Q824" s="23"/>
      <c r="R824" s="1"/>
      <c r="S824" s="1"/>
      <c r="T824" s="1"/>
      <c r="U824" s="1"/>
      <c r="V824" s="1"/>
      <c r="W824" s="1"/>
      <c r="X824" s="1"/>
      <c r="Y824" s="1"/>
      <c r="Z824" s="1"/>
    </row>
    <row r="825" spans="17:26">
      <c r="Q825" s="23"/>
      <c r="R825" s="1"/>
      <c r="S825" s="1"/>
      <c r="T825" s="1"/>
      <c r="U825" s="1"/>
      <c r="V825" s="1"/>
      <c r="W825" s="1"/>
      <c r="X825" s="1"/>
      <c r="Y825" s="1"/>
      <c r="Z825" s="1"/>
    </row>
    <row r="826" spans="17:26">
      <c r="Q826" s="23"/>
      <c r="R826" s="1"/>
      <c r="S826" s="1"/>
      <c r="T826" s="1"/>
      <c r="U826" s="1"/>
      <c r="V826" s="1"/>
      <c r="W826" s="1"/>
      <c r="X826" s="1"/>
      <c r="Y826" s="1"/>
      <c r="Z826" s="1"/>
    </row>
    <row r="827" spans="17:26">
      <c r="Q827" s="23"/>
      <c r="R827" s="1"/>
      <c r="S827" s="1"/>
      <c r="T827" s="1"/>
      <c r="U827" s="1"/>
      <c r="V827" s="1"/>
      <c r="W827" s="1"/>
      <c r="X827" s="1"/>
      <c r="Y827" s="1"/>
      <c r="Z827" s="1"/>
    </row>
    <row r="828" spans="17:26">
      <c r="Q828" s="23"/>
      <c r="R828" s="1"/>
      <c r="S828" s="1"/>
      <c r="T828" s="1"/>
      <c r="U828" s="1"/>
      <c r="V828" s="1"/>
      <c r="W828" s="1"/>
      <c r="X828" s="1"/>
      <c r="Y828" s="1"/>
      <c r="Z828" s="1"/>
    </row>
    <row r="829" spans="17:26">
      <c r="Q829" s="23"/>
      <c r="R829" s="1"/>
      <c r="S829" s="1"/>
      <c r="T829" s="1"/>
      <c r="U829" s="1"/>
      <c r="V829" s="1"/>
      <c r="W829" s="1"/>
      <c r="X829" s="1"/>
      <c r="Y829" s="1"/>
      <c r="Z829" s="1"/>
    </row>
    <row r="830" spans="17:26">
      <c r="Q830" s="23"/>
      <c r="R830" s="1"/>
      <c r="S830" s="1"/>
      <c r="T830" s="1"/>
      <c r="U830" s="1"/>
      <c r="V830" s="1"/>
      <c r="W830" s="1"/>
      <c r="X830" s="1"/>
      <c r="Y830" s="1"/>
      <c r="Z830" s="1"/>
    </row>
    <row r="831" spans="17:26">
      <c r="Q831" s="23"/>
      <c r="R831" s="1"/>
      <c r="S831" s="1"/>
      <c r="T831" s="1"/>
      <c r="U831" s="1"/>
      <c r="V831" s="1"/>
      <c r="W831" s="1"/>
      <c r="X831" s="1"/>
      <c r="Y831" s="1"/>
      <c r="Z831" s="1"/>
    </row>
    <row r="832" spans="17:26">
      <c r="Q832" s="23"/>
      <c r="R832" s="1"/>
      <c r="S832" s="1"/>
      <c r="T832" s="1"/>
      <c r="U832" s="1"/>
      <c r="V832" s="1"/>
      <c r="W832" s="1"/>
      <c r="X832" s="1"/>
      <c r="Y832" s="1"/>
      <c r="Z832" s="1"/>
    </row>
    <row r="833" spans="17:26">
      <c r="Q833" s="23"/>
      <c r="R833" s="1"/>
      <c r="S833" s="1"/>
      <c r="T833" s="1"/>
      <c r="U833" s="1"/>
      <c r="V833" s="1"/>
      <c r="W833" s="1"/>
      <c r="X833" s="1"/>
      <c r="Y833" s="1"/>
      <c r="Z833" s="1"/>
    </row>
    <row r="834" spans="17:26">
      <c r="Q834" s="23"/>
      <c r="R834" s="1"/>
      <c r="S834" s="1"/>
      <c r="T834" s="1"/>
      <c r="U834" s="1"/>
      <c r="V834" s="1"/>
      <c r="W834" s="1"/>
      <c r="X834" s="1"/>
      <c r="Y834" s="1"/>
      <c r="Z834" s="1"/>
    </row>
    <row r="835" spans="17:26">
      <c r="Q835" s="23"/>
      <c r="R835" s="1"/>
      <c r="S835" s="1"/>
      <c r="T835" s="1"/>
      <c r="U835" s="1"/>
      <c r="V835" s="1"/>
      <c r="W835" s="1"/>
      <c r="X835" s="1"/>
      <c r="Y835" s="1"/>
      <c r="Z835" s="1"/>
    </row>
    <row r="836" spans="17:26">
      <c r="Q836" s="23"/>
      <c r="R836" s="1"/>
      <c r="S836" s="1"/>
      <c r="T836" s="1"/>
      <c r="U836" s="1"/>
      <c r="V836" s="1"/>
      <c r="W836" s="1"/>
      <c r="X836" s="1"/>
      <c r="Y836" s="1"/>
      <c r="Z836" s="1"/>
    </row>
    <row r="837" spans="17:26">
      <c r="Q837" s="23"/>
      <c r="R837" s="1"/>
      <c r="S837" s="1"/>
      <c r="T837" s="1"/>
      <c r="U837" s="1"/>
      <c r="V837" s="1"/>
      <c r="W837" s="1"/>
      <c r="X837" s="1"/>
      <c r="Y837" s="1"/>
      <c r="Z837" s="1"/>
    </row>
    <row r="838" spans="17:26">
      <c r="Q838" s="23"/>
      <c r="R838" s="1"/>
      <c r="S838" s="1"/>
      <c r="T838" s="1"/>
      <c r="U838" s="1"/>
      <c r="V838" s="1"/>
      <c r="W838" s="1"/>
      <c r="X838" s="1"/>
      <c r="Y838" s="1"/>
      <c r="Z838" s="1"/>
    </row>
    <row r="839" spans="17:26">
      <c r="Q839" s="23"/>
      <c r="R839" s="1"/>
      <c r="S839" s="1"/>
      <c r="T839" s="1"/>
      <c r="U839" s="1"/>
      <c r="V839" s="1"/>
      <c r="W839" s="1"/>
      <c r="X839" s="1"/>
      <c r="Y839" s="1"/>
      <c r="Z839" s="1"/>
    </row>
    <row r="840" spans="17:26">
      <c r="Q840" s="23"/>
      <c r="R840" s="1"/>
      <c r="S840" s="1"/>
      <c r="T840" s="1"/>
      <c r="U840" s="1"/>
      <c r="V840" s="1"/>
      <c r="W840" s="1"/>
      <c r="X840" s="1"/>
      <c r="Y840" s="1"/>
      <c r="Z840" s="1"/>
    </row>
    <row r="841" spans="17:26">
      <c r="Q841" s="23"/>
      <c r="R841" s="1"/>
      <c r="S841" s="1"/>
      <c r="T841" s="1"/>
      <c r="U841" s="1"/>
      <c r="V841" s="1"/>
      <c r="W841" s="1"/>
      <c r="X841" s="1"/>
      <c r="Y841" s="1"/>
      <c r="Z841" s="1"/>
    </row>
    <row r="842" spans="17:26">
      <c r="Q842" s="23"/>
      <c r="R842" s="1"/>
      <c r="S842" s="1"/>
      <c r="T842" s="1"/>
      <c r="U842" s="1"/>
      <c r="V842" s="1"/>
      <c r="W842" s="1"/>
      <c r="X842" s="1"/>
      <c r="Y842" s="1"/>
      <c r="Z842" s="1"/>
    </row>
    <row r="843" spans="17:26">
      <c r="Q843" s="23"/>
      <c r="R843" s="1"/>
      <c r="S843" s="1"/>
      <c r="T843" s="1"/>
      <c r="U843" s="1"/>
      <c r="V843" s="1"/>
      <c r="W843" s="1"/>
      <c r="X843" s="1"/>
      <c r="Y843" s="1"/>
      <c r="Z843" s="1"/>
    </row>
    <row r="844" spans="17:26">
      <c r="Q844" s="23"/>
      <c r="R844" s="1"/>
      <c r="S844" s="1"/>
      <c r="T844" s="1"/>
      <c r="U844" s="1"/>
      <c r="V844" s="1"/>
      <c r="W844" s="1"/>
      <c r="X844" s="1"/>
      <c r="Y844" s="1"/>
      <c r="Z844" s="1"/>
    </row>
    <row r="845" spans="17:26">
      <c r="Q845" s="23"/>
      <c r="R845" s="1"/>
      <c r="S845" s="1"/>
      <c r="T845" s="1"/>
      <c r="U845" s="1"/>
      <c r="V845" s="1"/>
      <c r="W845" s="1"/>
      <c r="X845" s="1"/>
      <c r="Y845" s="1"/>
      <c r="Z845" s="1"/>
    </row>
    <row r="846" spans="17:26">
      <c r="Q846" s="23"/>
      <c r="R846" s="1"/>
      <c r="S846" s="1"/>
      <c r="T846" s="1"/>
      <c r="U846" s="1"/>
      <c r="V846" s="1"/>
      <c r="W846" s="1"/>
      <c r="X846" s="1"/>
      <c r="Y846" s="1"/>
      <c r="Z846" s="1"/>
    </row>
    <row r="847" spans="17:26">
      <c r="Q847" s="23"/>
      <c r="R847" s="1"/>
      <c r="S847" s="1"/>
      <c r="T847" s="1"/>
      <c r="U847" s="1"/>
      <c r="V847" s="1"/>
      <c r="W847" s="1"/>
      <c r="X847" s="1"/>
      <c r="Y847" s="1"/>
      <c r="Z847" s="1"/>
    </row>
    <row r="848" spans="17:26">
      <c r="Q848" s="23"/>
      <c r="R848" s="1"/>
      <c r="S848" s="1"/>
      <c r="T848" s="1"/>
      <c r="U848" s="1"/>
      <c r="V848" s="1"/>
      <c r="W848" s="1"/>
      <c r="X848" s="1"/>
      <c r="Y848" s="1"/>
      <c r="Z848" s="1"/>
    </row>
    <row r="849" spans="17:26">
      <c r="Q849" s="23"/>
      <c r="R849" s="1"/>
      <c r="S849" s="1"/>
      <c r="T849" s="1"/>
      <c r="U849" s="1"/>
      <c r="V849" s="1"/>
      <c r="W849" s="1"/>
      <c r="X849" s="1"/>
      <c r="Y849" s="1"/>
      <c r="Z849" s="1"/>
    </row>
    <row r="850" spans="17:26">
      <c r="Q850" s="23"/>
      <c r="R850" s="1"/>
      <c r="S850" s="1"/>
      <c r="T850" s="1"/>
      <c r="U850" s="1"/>
      <c r="V850" s="1"/>
      <c r="W850" s="1"/>
      <c r="X850" s="1"/>
      <c r="Y850" s="1"/>
      <c r="Z850" s="1"/>
    </row>
    <row r="851" spans="17:26">
      <c r="Q851" s="23"/>
      <c r="R851" s="1"/>
      <c r="S851" s="1"/>
      <c r="T851" s="1"/>
      <c r="U851" s="1"/>
      <c r="V851" s="1"/>
      <c r="W851" s="1"/>
      <c r="X851" s="1"/>
      <c r="Y851" s="1"/>
      <c r="Z851" s="1"/>
    </row>
    <row r="852" spans="17:26">
      <c r="Q852" s="23"/>
      <c r="R852" s="1"/>
      <c r="S852" s="1"/>
      <c r="T852" s="1"/>
      <c r="U852" s="1"/>
      <c r="V852" s="1"/>
      <c r="W852" s="1"/>
      <c r="X852" s="1"/>
      <c r="Y852" s="1"/>
      <c r="Z852" s="1"/>
    </row>
    <row r="853" spans="17:26">
      <c r="Q853" s="23"/>
      <c r="R853" s="1"/>
      <c r="S853" s="1"/>
      <c r="T853" s="1"/>
      <c r="U853" s="1"/>
      <c r="V853" s="1"/>
      <c r="W853" s="1"/>
      <c r="X853" s="1"/>
      <c r="Y853" s="1"/>
      <c r="Z853" s="1"/>
    </row>
    <row r="854" spans="17:26">
      <c r="Q854" s="23"/>
      <c r="R854" s="1"/>
      <c r="S854" s="1"/>
      <c r="T854" s="1"/>
      <c r="U854" s="1"/>
      <c r="V854" s="1"/>
      <c r="W854" s="1"/>
      <c r="X854" s="1"/>
      <c r="Y854" s="1"/>
      <c r="Z854" s="1"/>
    </row>
    <row r="855" spans="17:26">
      <c r="Q855" s="23"/>
      <c r="R855" s="1"/>
      <c r="S855" s="1"/>
      <c r="T855" s="1"/>
      <c r="U855" s="1"/>
      <c r="V855" s="1"/>
      <c r="W855" s="1"/>
      <c r="X855" s="1"/>
      <c r="Y855" s="1"/>
      <c r="Z855" s="1"/>
    </row>
    <row r="856" spans="17:26">
      <c r="Q856" s="23"/>
      <c r="R856" s="1"/>
      <c r="S856" s="1"/>
      <c r="T856" s="1"/>
      <c r="U856" s="1"/>
      <c r="V856" s="1"/>
      <c r="W856" s="1"/>
      <c r="X856" s="1"/>
      <c r="Y856" s="1"/>
      <c r="Z856" s="1"/>
    </row>
    <row r="857" spans="17:26">
      <c r="Q857" s="23"/>
      <c r="R857" s="1"/>
      <c r="S857" s="1"/>
      <c r="T857" s="1"/>
      <c r="U857" s="1"/>
      <c r="V857" s="1"/>
      <c r="W857" s="1"/>
      <c r="X857" s="1"/>
      <c r="Y857" s="1"/>
      <c r="Z857" s="1"/>
    </row>
    <row r="858" spans="17:26">
      <c r="Q858" s="23"/>
      <c r="R858" s="1"/>
      <c r="S858" s="1"/>
      <c r="T858" s="1"/>
      <c r="U858" s="1"/>
      <c r="V858" s="1"/>
      <c r="W858" s="1"/>
      <c r="X858" s="1"/>
      <c r="Y858" s="1"/>
      <c r="Z858" s="1"/>
    </row>
    <row r="859" spans="17:26">
      <c r="Q859" s="23"/>
      <c r="R859" s="1"/>
      <c r="S859" s="1"/>
      <c r="T859" s="1"/>
      <c r="U859" s="1"/>
      <c r="V859" s="1"/>
      <c r="W859" s="1"/>
      <c r="X859" s="1"/>
      <c r="Y859" s="1"/>
      <c r="Z859" s="1"/>
    </row>
    <row r="860" spans="17:26">
      <c r="Q860" s="23"/>
      <c r="R860" s="1"/>
      <c r="S860" s="1"/>
      <c r="T860" s="1"/>
      <c r="U860" s="1"/>
      <c r="V860" s="1"/>
      <c r="W860" s="1"/>
      <c r="X860" s="1"/>
      <c r="Y860" s="1"/>
      <c r="Z860" s="1"/>
    </row>
    <row r="861" spans="17:26">
      <c r="Q861" s="23"/>
      <c r="R861" s="1"/>
      <c r="S861" s="1"/>
      <c r="T861" s="1"/>
      <c r="U861" s="1"/>
      <c r="V861" s="1"/>
      <c r="W861" s="1"/>
      <c r="X861" s="1"/>
      <c r="Y861" s="1"/>
      <c r="Z861" s="1"/>
    </row>
    <row r="862" spans="17:26">
      <c r="Q862" s="23"/>
      <c r="R862" s="1"/>
      <c r="S862" s="1"/>
      <c r="T862" s="1"/>
      <c r="U862" s="1"/>
      <c r="V862" s="1"/>
      <c r="W862" s="1"/>
      <c r="X862" s="1"/>
      <c r="Y862" s="1"/>
      <c r="Z862" s="1"/>
    </row>
    <row r="863" spans="17:26">
      <c r="Q863" s="23"/>
      <c r="R863" s="1"/>
      <c r="S863" s="1"/>
      <c r="T863" s="1"/>
      <c r="U863" s="1"/>
      <c r="V863" s="1"/>
      <c r="W863" s="1"/>
      <c r="X863" s="1"/>
      <c r="Y863" s="1"/>
      <c r="Z863" s="1"/>
    </row>
    <row r="864" spans="17:26">
      <c r="Q864" s="23"/>
      <c r="R864" s="1"/>
      <c r="S864" s="1"/>
      <c r="T864" s="1"/>
      <c r="U864" s="1"/>
      <c r="V864" s="1"/>
      <c r="W864" s="1"/>
      <c r="X864" s="1"/>
      <c r="Y864" s="1"/>
      <c r="Z864" s="1"/>
    </row>
    <row r="865" spans="17:26">
      <c r="Q865" s="23"/>
      <c r="R865" s="1"/>
      <c r="S865" s="1"/>
      <c r="T865" s="1"/>
      <c r="U865" s="1"/>
      <c r="V865" s="1"/>
      <c r="W865" s="1"/>
      <c r="X865" s="1"/>
      <c r="Y865" s="1"/>
      <c r="Z865" s="1"/>
    </row>
    <row r="866" spans="17:26">
      <c r="Q866" s="23"/>
      <c r="R866" s="1"/>
      <c r="S866" s="1"/>
      <c r="T866" s="1"/>
      <c r="U866" s="1"/>
      <c r="V866" s="1"/>
      <c r="W866" s="1"/>
      <c r="X866" s="1"/>
      <c r="Y866" s="1"/>
      <c r="Z866" s="1"/>
    </row>
    <row r="867" spans="17:26">
      <c r="Q867" s="23"/>
      <c r="R867" s="1"/>
      <c r="S867" s="1"/>
      <c r="T867" s="1"/>
      <c r="U867" s="1"/>
      <c r="V867" s="1"/>
      <c r="W867" s="1"/>
      <c r="X867" s="1"/>
      <c r="Y867" s="1"/>
      <c r="Z867" s="1"/>
    </row>
    <row r="868" spans="17:26">
      <c r="Q868" s="23"/>
      <c r="R868" s="1"/>
      <c r="S868" s="1"/>
      <c r="T868" s="1"/>
      <c r="U868" s="1"/>
      <c r="V868" s="1"/>
      <c r="W868" s="1"/>
      <c r="X868" s="1"/>
      <c r="Y868" s="1"/>
      <c r="Z868" s="1"/>
    </row>
    <row r="869" spans="17:26">
      <c r="Q869" s="23"/>
      <c r="R869" s="1"/>
      <c r="S869" s="1"/>
      <c r="T869" s="1"/>
      <c r="U869" s="1"/>
      <c r="V869" s="1"/>
      <c r="W869" s="1"/>
      <c r="X869" s="1"/>
      <c r="Y869" s="1"/>
      <c r="Z869" s="1"/>
    </row>
    <row r="870" spans="17:26">
      <c r="Q870" s="23"/>
      <c r="R870" s="1"/>
      <c r="S870" s="1"/>
      <c r="T870" s="1"/>
      <c r="U870" s="1"/>
      <c r="V870" s="1"/>
      <c r="W870" s="1"/>
      <c r="X870" s="1"/>
      <c r="Y870" s="1"/>
      <c r="Z870" s="1"/>
    </row>
    <row r="871" spans="17:26">
      <c r="Q871" s="23"/>
      <c r="R871" s="1"/>
      <c r="S871" s="1"/>
      <c r="T871" s="1"/>
      <c r="U871" s="1"/>
      <c r="V871" s="1"/>
      <c r="W871" s="1"/>
      <c r="X871" s="1"/>
      <c r="Y871" s="1"/>
      <c r="Z871" s="1"/>
    </row>
    <row r="872" spans="17:26">
      <c r="Q872" s="23"/>
      <c r="R872" s="1"/>
      <c r="S872" s="1"/>
      <c r="T872" s="1"/>
      <c r="U872" s="1"/>
      <c r="V872" s="1"/>
      <c r="W872" s="1"/>
      <c r="X872" s="1"/>
      <c r="Y872" s="1"/>
      <c r="Z872" s="1"/>
    </row>
    <row r="873" spans="17:26">
      <c r="Q873" s="23"/>
      <c r="R873" s="1"/>
      <c r="S873" s="1"/>
      <c r="T873" s="1"/>
      <c r="U873" s="1"/>
      <c r="V873" s="1"/>
      <c r="W873" s="1"/>
      <c r="X873" s="1"/>
      <c r="Y873" s="1"/>
      <c r="Z873" s="1"/>
    </row>
    <row r="874" spans="17:26">
      <c r="Q874" s="23"/>
      <c r="R874" s="1"/>
      <c r="S874" s="1"/>
      <c r="T874" s="1"/>
      <c r="U874" s="1"/>
      <c r="V874" s="1"/>
      <c r="W874" s="1"/>
      <c r="X874" s="1"/>
      <c r="Y874" s="1"/>
      <c r="Z874" s="1"/>
    </row>
    <row r="875" spans="17:26">
      <c r="Q875" s="23"/>
      <c r="R875" s="1"/>
      <c r="S875" s="1"/>
      <c r="T875" s="1"/>
      <c r="U875" s="1"/>
      <c r="V875" s="1"/>
      <c r="W875" s="1"/>
      <c r="X875" s="1"/>
      <c r="Y875" s="1"/>
      <c r="Z875" s="1"/>
    </row>
    <row r="876" spans="17:26">
      <c r="Q876" s="23"/>
      <c r="R876" s="1"/>
      <c r="S876" s="1"/>
      <c r="T876" s="1"/>
      <c r="U876" s="1"/>
      <c r="V876" s="1"/>
      <c r="W876" s="1"/>
      <c r="X876" s="1"/>
      <c r="Y876" s="1"/>
      <c r="Z876" s="1"/>
    </row>
    <row r="877" spans="17:26">
      <c r="Q877" s="23"/>
      <c r="R877" s="1"/>
      <c r="S877" s="1"/>
      <c r="T877" s="1"/>
      <c r="U877" s="1"/>
      <c r="V877" s="1"/>
      <c r="W877" s="1"/>
      <c r="X877" s="1"/>
      <c r="Y877" s="1"/>
      <c r="Z877" s="1"/>
    </row>
    <row r="878" spans="17:26">
      <c r="Q878" s="23"/>
      <c r="R878" s="1"/>
      <c r="S878" s="1"/>
      <c r="T878" s="1"/>
      <c r="U878" s="1"/>
      <c r="V878" s="1"/>
      <c r="W878" s="1"/>
      <c r="X878" s="1"/>
      <c r="Y878" s="1"/>
      <c r="Z878" s="1"/>
    </row>
    <row r="879" spans="17:26">
      <c r="Q879" s="23"/>
      <c r="R879" s="1"/>
      <c r="S879" s="1"/>
      <c r="T879" s="1"/>
      <c r="U879" s="1"/>
      <c r="V879" s="1"/>
      <c r="W879" s="1"/>
      <c r="X879" s="1"/>
      <c r="Y879" s="1"/>
      <c r="Z879" s="1"/>
    </row>
    <row r="880" spans="17:26">
      <c r="Q880" s="23"/>
      <c r="R880" s="1"/>
      <c r="S880" s="1"/>
      <c r="T880" s="1"/>
      <c r="U880" s="1"/>
      <c r="V880" s="1"/>
      <c r="W880" s="1"/>
      <c r="X880" s="1"/>
      <c r="Y880" s="1"/>
      <c r="Z880" s="1"/>
    </row>
    <row r="881" spans="17:26">
      <c r="Q881" s="23"/>
      <c r="R881" s="1"/>
      <c r="S881" s="1"/>
      <c r="T881" s="1"/>
      <c r="U881" s="1"/>
      <c r="V881" s="1"/>
      <c r="W881" s="1"/>
      <c r="X881" s="1"/>
      <c r="Y881" s="1"/>
      <c r="Z881" s="1"/>
    </row>
    <row r="882" spans="17:26">
      <c r="Q882" s="23"/>
      <c r="R882" s="1"/>
      <c r="S882" s="1"/>
      <c r="T882" s="1"/>
      <c r="U882" s="1"/>
      <c r="V882" s="1"/>
      <c r="W882" s="1"/>
      <c r="X882" s="1"/>
      <c r="Y882" s="1"/>
      <c r="Z882" s="1"/>
    </row>
    <row r="883" spans="17:26">
      <c r="Q883" s="23"/>
      <c r="R883" s="1"/>
      <c r="S883" s="1"/>
      <c r="T883" s="1"/>
      <c r="U883" s="1"/>
      <c r="V883" s="1"/>
      <c r="W883" s="1"/>
      <c r="X883" s="1"/>
      <c r="Y883" s="1"/>
      <c r="Z883" s="1"/>
    </row>
    <row r="884" spans="17:26">
      <c r="Q884" s="23"/>
      <c r="R884" s="1"/>
      <c r="S884" s="1"/>
      <c r="T884" s="1"/>
      <c r="U884" s="1"/>
      <c r="V884" s="1"/>
      <c r="W884" s="1"/>
      <c r="X884" s="1"/>
      <c r="Y884" s="1"/>
      <c r="Z884" s="1"/>
    </row>
    <row r="885" spans="17:26">
      <c r="Q885" s="23"/>
      <c r="R885" s="1"/>
      <c r="S885" s="1"/>
      <c r="T885" s="1"/>
      <c r="U885" s="1"/>
      <c r="V885" s="1"/>
      <c r="W885" s="1"/>
      <c r="X885" s="1"/>
      <c r="Y885" s="1"/>
      <c r="Z885" s="1"/>
    </row>
    <row r="886" spans="17:26">
      <c r="Q886" s="23"/>
      <c r="R886" s="1"/>
      <c r="S886" s="1"/>
      <c r="T886" s="1"/>
      <c r="U886" s="1"/>
      <c r="V886" s="1"/>
      <c r="W886" s="1"/>
      <c r="X886" s="1"/>
      <c r="Y886" s="1"/>
      <c r="Z886" s="1"/>
    </row>
    <row r="887" spans="17:26">
      <c r="Q887" s="23"/>
      <c r="R887" s="1"/>
      <c r="S887" s="1"/>
      <c r="T887" s="1"/>
      <c r="U887" s="1"/>
      <c r="V887" s="1"/>
      <c r="W887" s="1"/>
      <c r="X887" s="1"/>
      <c r="Y887" s="1"/>
      <c r="Z887" s="1"/>
    </row>
    <row r="888" spans="17:26">
      <c r="Q888" s="23"/>
      <c r="R888" s="1"/>
      <c r="S888" s="1"/>
      <c r="T888" s="1"/>
      <c r="U888" s="1"/>
      <c r="V888" s="1"/>
      <c r="W888" s="1"/>
      <c r="X888" s="1"/>
      <c r="Y888" s="1"/>
      <c r="Z888" s="1"/>
    </row>
    <row r="889" spans="17:26">
      <c r="Q889" s="23"/>
      <c r="R889" s="1"/>
      <c r="S889" s="1"/>
      <c r="T889" s="1"/>
      <c r="U889" s="1"/>
      <c r="V889" s="1"/>
      <c r="W889" s="1"/>
      <c r="X889" s="1"/>
      <c r="Y889" s="1"/>
      <c r="Z889" s="1"/>
    </row>
    <row r="890" spans="17:26">
      <c r="Q890" s="23"/>
      <c r="R890" s="1"/>
      <c r="S890" s="1"/>
      <c r="T890" s="1"/>
      <c r="U890" s="1"/>
      <c r="V890" s="1"/>
      <c r="W890" s="1"/>
      <c r="X890" s="1"/>
      <c r="Y890" s="1"/>
      <c r="Z890" s="1"/>
    </row>
    <row r="891" spans="17:26">
      <c r="Q891" s="23"/>
      <c r="R891" s="1"/>
      <c r="S891" s="1"/>
      <c r="T891" s="1"/>
      <c r="U891" s="1"/>
      <c r="V891" s="1"/>
      <c r="W891" s="1"/>
      <c r="X891" s="1"/>
      <c r="Y891" s="1"/>
      <c r="Z891" s="1"/>
    </row>
    <row r="892" spans="17:26">
      <c r="Q892" s="23"/>
      <c r="R892" s="1"/>
      <c r="S892" s="1"/>
      <c r="T892" s="1"/>
      <c r="U892" s="1"/>
      <c r="V892" s="1"/>
      <c r="W892" s="1"/>
      <c r="X892" s="1"/>
      <c r="Y892" s="1"/>
      <c r="Z892" s="1"/>
    </row>
    <row r="893" spans="17:26">
      <c r="Q893" s="23"/>
      <c r="R893" s="1"/>
      <c r="S893" s="1"/>
      <c r="T893" s="1"/>
      <c r="U893" s="1"/>
      <c r="V893" s="1"/>
      <c r="W893" s="1"/>
      <c r="X893" s="1"/>
      <c r="Y893" s="1"/>
      <c r="Z893" s="1"/>
    </row>
    <row r="894" spans="17:26">
      <c r="Q894" s="23"/>
      <c r="R894" s="1"/>
      <c r="S894" s="1"/>
      <c r="T894" s="1"/>
      <c r="U894" s="1"/>
      <c r="V894" s="1"/>
      <c r="W894" s="1"/>
      <c r="X894" s="1"/>
      <c r="Y894" s="1"/>
      <c r="Z894" s="1"/>
    </row>
    <row r="895" spans="17:26">
      <c r="Q895" s="23"/>
      <c r="R895" s="1"/>
      <c r="S895" s="1"/>
      <c r="T895" s="1"/>
      <c r="U895" s="1"/>
      <c r="V895" s="1"/>
      <c r="W895" s="1"/>
      <c r="X895" s="1"/>
      <c r="Y895" s="1"/>
      <c r="Z895" s="1"/>
    </row>
    <row r="896" spans="17:26">
      <c r="Q896" s="23"/>
      <c r="R896" s="1"/>
      <c r="S896" s="1"/>
      <c r="T896" s="1"/>
      <c r="U896" s="1"/>
      <c r="V896" s="1"/>
      <c r="W896" s="1"/>
      <c r="X896" s="1"/>
      <c r="Y896" s="1"/>
      <c r="Z896" s="1"/>
    </row>
    <row r="897" spans="17:26">
      <c r="Q897" s="23"/>
      <c r="R897" s="1"/>
      <c r="S897" s="1"/>
      <c r="T897" s="1"/>
      <c r="U897" s="1"/>
      <c r="V897" s="1"/>
      <c r="W897" s="1"/>
      <c r="X897" s="1"/>
      <c r="Y897" s="1"/>
      <c r="Z897" s="1"/>
    </row>
    <row r="898" spans="17:26">
      <c r="Q898" s="1"/>
      <c r="R898" s="1"/>
      <c r="S898" s="1"/>
      <c r="T898" s="1"/>
      <c r="U898" s="1"/>
      <c r="V898" s="1"/>
      <c r="W898" s="1"/>
      <c r="X898" s="1"/>
      <c r="Y898" s="1"/>
      <c r="Z898" s="1"/>
    </row>
    <row r="899" spans="17:26">
      <c r="Q899" s="1"/>
      <c r="R899" s="1"/>
      <c r="S899" s="1"/>
      <c r="T899" s="1"/>
      <c r="U899" s="1"/>
      <c r="V899" s="1"/>
      <c r="W899" s="1"/>
      <c r="X899" s="1"/>
      <c r="Y899" s="1"/>
      <c r="Z899" s="1"/>
    </row>
    <row r="900" spans="17:26">
      <c r="Q900" s="1"/>
      <c r="R900" s="1"/>
      <c r="S900" s="1"/>
      <c r="T900" s="1"/>
      <c r="U900" s="1"/>
      <c r="V900" s="1"/>
      <c r="W900" s="1"/>
      <c r="X900" s="1"/>
      <c r="Y900" s="1"/>
      <c r="Z900" s="1"/>
    </row>
    <row r="901" spans="17:26">
      <c r="Q901" s="1"/>
      <c r="R901" s="1"/>
      <c r="S901" s="1"/>
      <c r="T901" s="1"/>
      <c r="U901" s="1"/>
      <c r="V901" s="1"/>
      <c r="W901" s="1"/>
      <c r="X901" s="1"/>
      <c r="Y901" s="1"/>
      <c r="Z901" s="1"/>
    </row>
    <row r="902" spans="17:26">
      <c r="Q902" s="1"/>
      <c r="R902" s="1"/>
      <c r="S902" s="1"/>
      <c r="T902" s="1"/>
      <c r="U902" s="1"/>
      <c r="V902" s="1"/>
      <c r="W902" s="1"/>
      <c r="X902" s="1"/>
      <c r="Y902" s="1"/>
      <c r="Z902" s="1"/>
    </row>
    <row r="903" spans="17:26">
      <c r="Q903" s="1"/>
      <c r="R903" s="1"/>
      <c r="S903" s="1"/>
      <c r="T903" s="1"/>
      <c r="U903" s="1"/>
      <c r="V903" s="1"/>
      <c r="W903" s="1"/>
      <c r="X903" s="1"/>
      <c r="Y903" s="1"/>
      <c r="Z903" s="1"/>
    </row>
    <row r="904" spans="17:26">
      <c r="Q904" s="1"/>
      <c r="R904" s="1"/>
      <c r="S904" s="1"/>
      <c r="T904" s="1"/>
      <c r="U904" s="1"/>
      <c r="V904" s="1"/>
      <c r="W904" s="1"/>
      <c r="X904" s="1"/>
      <c r="Y904" s="1"/>
      <c r="Z904" s="1"/>
    </row>
    <row r="905" spans="17:26">
      <c r="Q905" s="1"/>
      <c r="R905" s="1"/>
      <c r="S905" s="1"/>
      <c r="T905" s="1"/>
      <c r="U905" s="1"/>
      <c r="V905" s="1"/>
      <c r="W905" s="1"/>
      <c r="X905" s="1"/>
      <c r="Y905" s="1"/>
      <c r="Z905" s="1"/>
    </row>
    <row r="906" spans="17:26">
      <c r="Q906" s="1"/>
      <c r="R906" s="1"/>
      <c r="S906" s="1"/>
      <c r="T906" s="1"/>
      <c r="U906" s="1"/>
      <c r="V906" s="1"/>
      <c r="W906" s="1"/>
      <c r="X906" s="1"/>
      <c r="Y906" s="1"/>
      <c r="Z906" s="1"/>
    </row>
  </sheetData>
  <mergeCells count="540">
    <mergeCell ref="T542:T543"/>
    <mergeCell ref="U542:U543"/>
    <mergeCell ref="R547:W547"/>
    <mergeCell ref="R548:S551"/>
    <mergeCell ref="T548:T549"/>
    <mergeCell ref="U548:U549"/>
    <mergeCell ref="V548:V549"/>
    <mergeCell ref="W548:W549"/>
    <mergeCell ref="W528:W530"/>
    <mergeCell ref="V542:V543"/>
    <mergeCell ref="R534:W534"/>
    <mergeCell ref="R535:S538"/>
    <mergeCell ref="T535:T536"/>
    <mergeCell ref="U535:U536"/>
    <mergeCell ref="V535:V536"/>
    <mergeCell ref="W535:W536"/>
    <mergeCell ref="W542:W543"/>
    <mergeCell ref="R542:S545"/>
    <mergeCell ref="R528:S532"/>
    <mergeCell ref="T528:T530"/>
    <mergeCell ref="U528:U530"/>
    <mergeCell ref="V528:V530"/>
    <mergeCell ref="T513:T514"/>
    <mergeCell ref="U513:U514"/>
    <mergeCell ref="R525:W525"/>
    <mergeCell ref="R526:W526"/>
    <mergeCell ref="R518:W518"/>
    <mergeCell ref="R519:S522"/>
    <mergeCell ref="T519:T520"/>
    <mergeCell ref="U519:U520"/>
    <mergeCell ref="V519:V520"/>
    <mergeCell ref="W519:W520"/>
    <mergeCell ref="W499:W501"/>
    <mergeCell ref="V513:V514"/>
    <mergeCell ref="R505:W505"/>
    <mergeCell ref="R506:S509"/>
    <mergeCell ref="T506:T507"/>
    <mergeCell ref="U506:U507"/>
    <mergeCell ref="V506:V507"/>
    <mergeCell ref="W506:W507"/>
    <mergeCell ref="W513:W514"/>
    <mergeCell ref="R513:S516"/>
    <mergeCell ref="R499:S503"/>
    <mergeCell ref="T499:T501"/>
    <mergeCell ref="U499:U501"/>
    <mergeCell ref="V499:V501"/>
    <mergeCell ref="T484:T485"/>
    <mergeCell ref="U484:U485"/>
    <mergeCell ref="R496:W496"/>
    <mergeCell ref="R497:W497"/>
    <mergeCell ref="R489:W489"/>
    <mergeCell ref="R490:S493"/>
    <mergeCell ref="T490:T491"/>
    <mergeCell ref="U490:U491"/>
    <mergeCell ref="V490:V491"/>
    <mergeCell ref="W490:W491"/>
    <mergeCell ref="W470:W472"/>
    <mergeCell ref="V484:V485"/>
    <mergeCell ref="R476:W476"/>
    <mergeCell ref="R477:S480"/>
    <mergeCell ref="T477:T478"/>
    <mergeCell ref="U477:U478"/>
    <mergeCell ref="V477:V478"/>
    <mergeCell ref="W477:W478"/>
    <mergeCell ref="W484:W485"/>
    <mergeCell ref="R484:S487"/>
    <mergeCell ref="R470:S474"/>
    <mergeCell ref="T470:T472"/>
    <mergeCell ref="U470:U472"/>
    <mergeCell ref="V470:V472"/>
    <mergeCell ref="T455:T456"/>
    <mergeCell ref="U455:U456"/>
    <mergeCell ref="R467:W467"/>
    <mergeCell ref="R468:W468"/>
    <mergeCell ref="R460:W460"/>
    <mergeCell ref="R461:S464"/>
    <mergeCell ref="T461:T462"/>
    <mergeCell ref="U461:U462"/>
    <mergeCell ref="V461:V462"/>
    <mergeCell ref="W461:W462"/>
    <mergeCell ref="W441:W443"/>
    <mergeCell ref="V455:V456"/>
    <mergeCell ref="R447:W447"/>
    <mergeCell ref="R448:S451"/>
    <mergeCell ref="T448:T449"/>
    <mergeCell ref="U448:U449"/>
    <mergeCell ref="V448:V449"/>
    <mergeCell ref="W448:W449"/>
    <mergeCell ref="W455:W456"/>
    <mergeCell ref="R455:S458"/>
    <mergeCell ref="R441:S445"/>
    <mergeCell ref="T441:T443"/>
    <mergeCell ref="U441:U443"/>
    <mergeCell ref="V441:V443"/>
    <mergeCell ref="U423:U424"/>
    <mergeCell ref="R435:W437"/>
    <mergeCell ref="R438:W438"/>
    <mergeCell ref="R439:W439"/>
    <mergeCell ref="R428:W428"/>
    <mergeCell ref="R429:S432"/>
    <mergeCell ref="T429:T430"/>
    <mergeCell ref="U429:U430"/>
    <mergeCell ref="V429:V430"/>
    <mergeCell ref="W429:W430"/>
    <mergeCell ref="V423:V424"/>
    <mergeCell ref="R415:W415"/>
    <mergeCell ref="R416:S419"/>
    <mergeCell ref="T416:T417"/>
    <mergeCell ref="U416:U417"/>
    <mergeCell ref="V416:V417"/>
    <mergeCell ref="W416:W417"/>
    <mergeCell ref="W423:W424"/>
    <mergeCell ref="R423:S426"/>
    <mergeCell ref="T423:T424"/>
    <mergeCell ref="U394:U395"/>
    <mergeCell ref="R406:W406"/>
    <mergeCell ref="R407:W407"/>
    <mergeCell ref="R409:S413"/>
    <mergeCell ref="T409:T411"/>
    <mergeCell ref="U409:U411"/>
    <mergeCell ref="V409:V411"/>
    <mergeCell ref="W409:W411"/>
    <mergeCell ref="R399:W399"/>
    <mergeCell ref="R400:S403"/>
    <mergeCell ref="T400:T401"/>
    <mergeCell ref="U400:U401"/>
    <mergeCell ref="V400:V401"/>
    <mergeCell ref="W400:W401"/>
    <mergeCell ref="V394:V395"/>
    <mergeCell ref="R386:W386"/>
    <mergeCell ref="R387:S390"/>
    <mergeCell ref="T387:T388"/>
    <mergeCell ref="U387:U388"/>
    <mergeCell ref="V387:V388"/>
    <mergeCell ref="W387:W388"/>
    <mergeCell ref="W394:W395"/>
    <mergeCell ref="R394:S397"/>
    <mergeCell ref="T394:T395"/>
    <mergeCell ref="U365:U366"/>
    <mergeCell ref="R377:W377"/>
    <mergeCell ref="R378:W378"/>
    <mergeCell ref="R380:S384"/>
    <mergeCell ref="T380:T382"/>
    <mergeCell ref="U380:U382"/>
    <mergeCell ref="V380:V382"/>
    <mergeCell ref="W380:W382"/>
    <mergeCell ref="R370:W370"/>
    <mergeCell ref="R371:S374"/>
    <mergeCell ref="T371:T372"/>
    <mergeCell ref="U371:U372"/>
    <mergeCell ref="V371:V372"/>
    <mergeCell ref="W371:W372"/>
    <mergeCell ref="V365:V366"/>
    <mergeCell ref="R357:W357"/>
    <mergeCell ref="R358:S361"/>
    <mergeCell ref="T358:T359"/>
    <mergeCell ref="U358:U359"/>
    <mergeCell ref="V358:V359"/>
    <mergeCell ref="W358:W359"/>
    <mergeCell ref="W365:W366"/>
    <mergeCell ref="R365:S368"/>
    <mergeCell ref="T365:T366"/>
    <mergeCell ref="U336:U337"/>
    <mergeCell ref="R348:W348"/>
    <mergeCell ref="R349:W349"/>
    <mergeCell ref="R351:S355"/>
    <mergeCell ref="T351:T353"/>
    <mergeCell ref="U351:U353"/>
    <mergeCell ref="V351:V353"/>
    <mergeCell ref="W351:W353"/>
    <mergeCell ref="R341:W341"/>
    <mergeCell ref="R342:S345"/>
    <mergeCell ref="T342:T343"/>
    <mergeCell ref="U342:U343"/>
    <mergeCell ref="V342:V343"/>
    <mergeCell ref="W342:W343"/>
    <mergeCell ref="V336:V337"/>
    <mergeCell ref="R328:W328"/>
    <mergeCell ref="R329:S332"/>
    <mergeCell ref="T329:T330"/>
    <mergeCell ref="U329:U330"/>
    <mergeCell ref="V329:V330"/>
    <mergeCell ref="W329:W330"/>
    <mergeCell ref="W336:W337"/>
    <mergeCell ref="R336:S339"/>
    <mergeCell ref="T336:T337"/>
    <mergeCell ref="R316:W318"/>
    <mergeCell ref="R319:W319"/>
    <mergeCell ref="R320:W320"/>
    <mergeCell ref="R322:S326"/>
    <mergeCell ref="T322:T324"/>
    <mergeCell ref="U322:U324"/>
    <mergeCell ref="V322:V324"/>
    <mergeCell ref="W322:W324"/>
    <mergeCell ref="T302:U302"/>
    <mergeCell ref="R305:V305"/>
    <mergeCell ref="R306:R307"/>
    <mergeCell ref="S306:S307"/>
    <mergeCell ref="T306:T307"/>
    <mergeCell ref="U306:U307"/>
    <mergeCell ref="V306:V307"/>
    <mergeCell ref="R297:U297"/>
    <mergeCell ref="R298:U298"/>
    <mergeCell ref="R299:U299"/>
    <mergeCell ref="T301:U301"/>
    <mergeCell ref="R293:U293"/>
    <mergeCell ref="R294:U294"/>
    <mergeCell ref="R295:U295"/>
    <mergeCell ref="R296:U296"/>
    <mergeCell ref="R289:U289"/>
    <mergeCell ref="R290:U290"/>
    <mergeCell ref="R291:U291"/>
    <mergeCell ref="R292:U292"/>
    <mergeCell ref="W286:W287"/>
    <mergeCell ref="X286:X287"/>
    <mergeCell ref="Y286:Y287"/>
    <mergeCell ref="R288:U288"/>
    <mergeCell ref="S282:T282"/>
    <mergeCell ref="S283:T283"/>
    <mergeCell ref="R286:U287"/>
    <mergeCell ref="V286:V287"/>
    <mergeCell ref="S277:T277"/>
    <mergeCell ref="R278:X278"/>
    <mergeCell ref="R279:T279"/>
    <mergeCell ref="U279:U280"/>
    <mergeCell ref="V279:V280"/>
    <mergeCell ref="W279:W280"/>
    <mergeCell ref="X279:X280"/>
    <mergeCell ref="R280:R283"/>
    <mergeCell ref="S280:T280"/>
    <mergeCell ref="S281:T281"/>
    <mergeCell ref="R272:X272"/>
    <mergeCell ref="R273:T273"/>
    <mergeCell ref="U273:U274"/>
    <mergeCell ref="V273:V274"/>
    <mergeCell ref="W273:W274"/>
    <mergeCell ref="X273:X274"/>
    <mergeCell ref="R274:R277"/>
    <mergeCell ref="S274:T274"/>
    <mergeCell ref="S275:T275"/>
    <mergeCell ref="S276:T276"/>
    <mergeCell ref="X267:X268"/>
    <mergeCell ref="R268:R271"/>
    <mergeCell ref="S268:T268"/>
    <mergeCell ref="S269:T269"/>
    <mergeCell ref="S270:T270"/>
    <mergeCell ref="S271:T271"/>
    <mergeCell ref="R267:T267"/>
    <mergeCell ref="U267:U268"/>
    <mergeCell ref="V267:V268"/>
    <mergeCell ref="W267:W268"/>
    <mergeCell ref="X254:X255"/>
    <mergeCell ref="R257:T257"/>
    <mergeCell ref="R260:Y260"/>
    <mergeCell ref="R264:S265"/>
    <mergeCell ref="U264:V264"/>
    <mergeCell ref="U265:V265"/>
    <mergeCell ref="R254:T255"/>
    <mergeCell ref="U254:U255"/>
    <mergeCell ref="V254:V255"/>
    <mergeCell ref="W254:W255"/>
    <mergeCell ref="X247:X248"/>
    <mergeCell ref="R249:T249"/>
    <mergeCell ref="U249:U251"/>
    <mergeCell ref="R250:T250"/>
    <mergeCell ref="R251:T251"/>
    <mergeCell ref="R247:T248"/>
    <mergeCell ref="U247:U248"/>
    <mergeCell ref="V247:V248"/>
    <mergeCell ref="W247:W248"/>
    <mergeCell ref="X241:X242"/>
    <mergeCell ref="R243:T243"/>
    <mergeCell ref="U243:U245"/>
    <mergeCell ref="R244:T244"/>
    <mergeCell ref="R245:T245"/>
    <mergeCell ref="R241:T242"/>
    <mergeCell ref="U241:U242"/>
    <mergeCell ref="V241:V242"/>
    <mergeCell ref="W241:W242"/>
    <mergeCell ref="W235:W236"/>
    <mergeCell ref="X235:X236"/>
    <mergeCell ref="R237:T237"/>
    <mergeCell ref="U237:U239"/>
    <mergeCell ref="R238:T238"/>
    <mergeCell ref="R239:T239"/>
    <mergeCell ref="R231:U231"/>
    <mergeCell ref="R235:T236"/>
    <mergeCell ref="U235:U236"/>
    <mergeCell ref="V235:V236"/>
    <mergeCell ref="R226:U226"/>
    <mergeCell ref="R227:U227"/>
    <mergeCell ref="R228:U228"/>
    <mergeCell ref="R229:U229"/>
    <mergeCell ref="R222:U222"/>
    <mergeCell ref="R223:U223"/>
    <mergeCell ref="R224:U224"/>
    <mergeCell ref="R225:U225"/>
    <mergeCell ref="R218:U218"/>
    <mergeCell ref="R219:U219"/>
    <mergeCell ref="R220:U220"/>
    <mergeCell ref="R221:U221"/>
    <mergeCell ref="Y213:Y214"/>
    <mergeCell ref="R215:U215"/>
    <mergeCell ref="R216:U216"/>
    <mergeCell ref="R217:U217"/>
    <mergeCell ref="R213:U214"/>
    <mergeCell ref="V213:V214"/>
    <mergeCell ref="W213:W214"/>
    <mergeCell ref="X213:X214"/>
    <mergeCell ref="R201:T201"/>
    <mergeCell ref="R202:T202"/>
    <mergeCell ref="R204:Y208"/>
    <mergeCell ref="R210:W211"/>
    <mergeCell ref="X210:X211"/>
    <mergeCell ref="Y210:Y211"/>
    <mergeCell ref="V198:V199"/>
    <mergeCell ref="W198:W199"/>
    <mergeCell ref="X198:X199"/>
    <mergeCell ref="R200:T200"/>
    <mergeCell ref="R195:T195"/>
    <mergeCell ref="R196:T196"/>
    <mergeCell ref="R198:T199"/>
    <mergeCell ref="U198:U199"/>
    <mergeCell ref="V193:V194"/>
    <mergeCell ref="W193:W194"/>
    <mergeCell ref="X193:X194"/>
    <mergeCell ref="R188:T189"/>
    <mergeCell ref="U188:U189"/>
    <mergeCell ref="R190:T190"/>
    <mergeCell ref="R191:T191"/>
    <mergeCell ref="R193:T194"/>
    <mergeCell ref="U193:U194"/>
    <mergeCell ref="V188:V189"/>
    <mergeCell ref="W188:W189"/>
    <mergeCell ref="W183:W184"/>
    <mergeCell ref="X183:X184"/>
    <mergeCell ref="X188:X189"/>
    <mergeCell ref="R185:T185"/>
    <mergeCell ref="R186:T186"/>
    <mergeCell ref="R181:T181"/>
    <mergeCell ref="R183:T184"/>
    <mergeCell ref="U183:U184"/>
    <mergeCell ref="V183:V184"/>
    <mergeCell ref="W177:W178"/>
    <mergeCell ref="X177:X178"/>
    <mergeCell ref="U177:U178"/>
    <mergeCell ref="V177:V178"/>
    <mergeCell ref="R179:T179"/>
    <mergeCell ref="R180:T180"/>
    <mergeCell ref="R175:T175"/>
    <mergeCell ref="R177:T178"/>
    <mergeCell ref="V172:V173"/>
    <mergeCell ref="W172:W173"/>
    <mergeCell ref="X172:X173"/>
    <mergeCell ref="R174:T174"/>
    <mergeCell ref="R169:T169"/>
    <mergeCell ref="R170:T170"/>
    <mergeCell ref="R172:T173"/>
    <mergeCell ref="U172:U173"/>
    <mergeCell ref="X162:X163"/>
    <mergeCell ref="R164:T164"/>
    <mergeCell ref="R165:T165"/>
    <mergeCell ref="R167:T168"/>
    <mergeCell ref="U167:U168"/>
    <mergeCell ref="V167:V168"/>
    <mergeCell ref="W167:W168"/>
    <mergeCell ref="X167:X168"/>
    <mergeCell ref="R162:T163"/>
    <mergeCell ref="U162:U163"/>
    <mergeCell ref="V162:V163"/>
    <mergeCell ref="W162:W163"/>
    <mergeCell ref="R158:T158"/>
    <mergeCell ref="U158:U160"/>
    <mergeCell ref="R159:T159"/>
    <mergeCell ref="R160:T160"/>
    <mergeCell ref="R155:X155"/>
    <mergeCell ref="R156:T157"/>
    <mergeCell ref="U156:U157"/>
    <mergeCell ref="V156:V157"/>
    <mergeCell ref="W156:W157"/>
    <mergeCell ref="X156:X157"/>
    <mergeCell ref="R152:T152"/>
    <mergeCell ref="U152:U154"/>
    <mergeCell ref="R153:T153"/>
    <mergeCell ref="R154:T154"/>
    <mergeCell ref="R147:T147"/>
    <mergeCell ref="R148:T148"/>
    <mergeCell ref="R149:X149"/>
    <mergeCell ref="R150:T151"/>
    <mergeCell ref="U150:U151"/>
    <mergeCell ref="V150:V151"/>
    <mergeCell ref="W150:W151"/>
    <mergeCell ref="X150:X151"/>
    <mergeCell ref="X143:X144"/>
    <mergeCell ref="R145:T145"/>
    <mergeCell ref="U145:U146"/>
    <mergeCell ref="R146:T146"/>
    <mergeCell ref="R143:T144"/>
    <mergeCell ref="U143:U144"/>
    <mergeCell ref="V143:V144"/>
    <mergeCell ref="W143:W144"/>
    <mergeCell ref="R134:T134"/>
    <mergeCell ref="R135:T135"/>
    <mergeCell ref="R137:Y137"/>
    <mergeCell ref="R142:W142"/>
    <mergeCell ref="X126:X127"/>
    <mergeCell ref="R128:T128"/>
    <mergeCell ref="R130:Y130"/>
    <mergeCell ref="R132:T133"/>
    <mergeCell ref="U132:U133"/>
    <mergeCell ref="V132:V133"/>
    <mergeCell ref="W132:W133"/>
    <mergeCell ref="X132:X133"/>
    <mergeCell ref="R126:T127"/>
    <mergeCell ref="U126:U127"/>
    <mergeCell ref="V126:V127"/>
    <mergeCell ref="W126:W127"/>
    <mergeCell ref="X118:X119"/>
    <mergeCell ref="R120:T120"/>
    <mergeCell ref="R121:T121"/>
    <mergeCell ref="R123:Y123"/>
    <mergeCell ref="R118:T119"/>
    <mergeCell ref="U118:U119"/>
    <mergeCell ref="V118:V119"/>
    <mergeCell ref="W118:W119"/>
    <mergeCell ref="W112:W113"/>
    <mergeCell ref="X112:X113"/>
    <mergeCell ref="R114:T114"/>
    <mergeCell ref="R115:T115"/>
    <mergeCell ref="R109:T109"/>
    <mergeCell ref="R112:T113"/>
    <mergeCell ref="U112:U113"/>
    <mergeCell ref="V112:V113"/>
    <mergeCell ref="V106:V107"/>
    <mergeCell ref="W106:W107"/>
    <mergeCell ref="X106:X107"/>
    <mergeCell ref="R108:T108"/>
    <mergeCell ref="R102:T102"/>
    <mergeCell ref="R103:T103"/>
    <mergeCell ref="R106:T107"/>
    <mergeCell ref="U106:U107"/>
    <mergeCell ref="R96:Y96"/>
    <mergeCell ref="R100:T101"/>
    <mergeCell ref="U100:U101"/>
    <mergeCell ref="V100:V101"/>
    <mergeCell ref="W100:W101"/>
    <mergeCell ref="X100:X101"/>
    <mergeCell ref="X90:X91"/>
    <mergeCell ref="R92:T92"/>
    <mergeCell ref="R93:T93"/>
    <mergeCell ref="R94:T94"/>
    <mergeCell ref="R90:T91"/>
    <mergeCell ref="U90:U91"/>
    <mergeCell ref="V90:V91"/>
    <mergeCell ref="W90:W91"/>
    <mergeCell ref="X83:X84"/>
    <mergeCell ref="R85:T85"/>
    <mergeCell ref="R86:T86"/>
    <mergeCell ref="R87:T87"/>
    <mergeCell ref="R83:T84"/>
    <mergeCell ref="U83:U84"/>
    <mergeCell ref="V83:V84"/>
    <mergeCell ref="W83:W84"/>
    <mergeCell ref="R76:T76"/>
    <mergeCell ref="R77:T77"/>
    <mergeCell ref="R78:T78"/>
    <mergeCell ref="R80:Y80"/>
    <mergeCell ref="U74:U75"/>
    <mergeCell ref="V74:V75"/>
    <mergeCell ref="W74:W75"/>
    <mergeCell ref="X74:X75"/>
    <mergeCell ref="R69:T69"/>
    <mergeCell ref="R70:T70"/>
    <mergeCell ref="R71:T71"/>
    <mergeCell ref="R74:T75"/>
    <mergeCell ref="R61:T61"/>
    <mergeCell ref="R62:T62"/>
    <mergeCell ref="R64:Y64"/>
    <mergeCell ref="R67:T68"/>
    <mergeCell ref="U67:U68"/>
    <mergeCell ref="V67:V68"/>
    <mergeCell ref="W67:W68"/>
    <mergeCell ref="X67:X68"/>
    <mergeCell ref="W54:W55"/>
    <mergeCell ref="X54:X55"/>
    <mergeCell ref="R56:T56"/>
    <mergeCell ref="R59:T60"/>
    <mergeCell ref="U59:U60"/>
    <mergeCell ref="V59:V60"/>
    <mergeCell ref="W59:W60"/>
    <mergeCell ref="X59:X60"/>
    <mergeCell ref="R51:T51"/>
    <mergeCell ref="R54:T55"/>
    <mergeCell ref="U54:U55"/>
    <mergeCell ref="V54:V55"/>
    <mergeCell ref="R44:T44"/>
    <mergeCell ref="R46:Y46"/>
    <mergeCell ref="R49:T50"/>
    <mergeCell ref="U49:U50"/>
    <mergeCell ref="V49:V50"/>
    <mergeCell ref="W49:W50"/>
    <mergeCell ref="X49:X50"/>
    <mergeCell ref="X39:X40"/>
    <mergeCell ref="R41:T41"/>
    <mergeCell ref="R42:T42"/>
    <mergeCell ref="R43:T43"/>
    <mergeCell ref="R39:T40"/>
    <mergeCell ref="U39:U40"/>
    <mergeCell ref="V39:V40"/>
    <mergeCell ref="W39:W40"/>
    <mergeCell ref="R33:T33"/>
    <mergeCell ref="R34:T34"/>
    <mergeCell ref="R35:T35"/>
    <mergeCell ref="R36:T36"/>
    <mergeCell ref="R28:Y28"/>
    <mergeCell ref="R31:T32"/>
    <mergeCell ref="U31:U32"/>
    <mergeCell ref="V31:V32"/>
    <mergeCell ref="W31:W32"/>
    <mergeCell ref="X31:X32"/>
    <mergeCell ref="R23:U23"/>
    <mergeCell ref="R24:U24"/>
    <mergeCell ref="R25:U25"/>
    <mergeCell ref="R26:U26"/>
    <mergeCell ref="R19:U19"/>
    <mergeCell ref="R20:U20"/>
    <mergeCell ref="R21:U21"/>
    <mergeCell ref="R22:U22"/>
    <mergeCell ref="R15:U15"/>
    <mergeCell ref="R16:U16"/>
    <mergeCell ref="R7:Y7"/>
    <mergeCell ref="R10:U10"/>
    <mergeCell ref="R11:U11"/>
    <mergeCell ref="R12:U12"/>
    <mergeCell ref="B2:K3"/>
    <mergeCell ref="B5:D5"/>
    <mergeCell ref="R2:Y3"/>
    <mergeCell ref="R5:U5"/>
    <mergeCell ref="R13:U13"/>
    <mergeCell ref="R14:U14"/>
  </mergeCells>
  <phoneticPr fontId="0" type="noConversion"/>
  <conditionalFormatting sqref="AD233">
    <cfRule type="cellIs" dxfId="231" priority="1" stopIfTrue="1" operator="lessThan">
      <formula>$U$117</formula>
    </cfRule>
    <cfRule type="cellIs" dxfId="230" priority="2" stopIfTrue="1" operator="greaterThan">
      <formula>$U$117</formula>
    </cfRule>
  </conditionalFormatting>
  <conditionalFormatting sqref="U108:X109">
    <cfRule type="cellIs" dxfId="229" priority="3" stopIfTrue="1" operator="equal">
      <formula>"yes"</formula>
    </cfRule>
    <cfRule type="cellIs" dxfId="228" priority="4" stopIfTrue="1" operator="equal">
      <formula>"no"</formula>
    </cfRule>
  </conditionalFormatting>
  <conditionalFormatting sqref="X254:X255 X106:X107 X247:X248 X49:X50 X235:X236 X54:X55 X67:X68 X74:X75 X100:X101 X112:X113 X118:X119 X132:X133 X279:X280 X126:X127 X241:X242 X59:X60 Y286:Y287 S306:S307 X143:X144 X183:X184 X177:X178 X267:X268 X273:X274 Y213:Y214 X83 X90 X156:X157 X150:X151 X198:X199 X162:X163 X167:X168 X172:X173 X188:X189 X193:X194">
    <cfRule type="cellIs" dxfId="227" priority="5" stopIfTrue="1" operator="equal">
      <formula>$U$31</formula>
    </cfRule>
    <cfRule type="cellIs" dxfId="226" priority="6" stopIfTrue="1" operator="equal">
      <formula>$W$31</formula>
    </cfRule>
    <cfRule type="cellIs" dxfId="225" priority="7" stopIfTrue="1" operator="equal">
      <formula>$Y$31</formula>
    </cfRule>
  </conditionalFormatting>
  <conditionalFormatting sqref="R36 R44">
    <cfRule type="cellIs" dxfId="224" priority="8" stopIfTrue="1" operator="equal">
      <formula>$AI$31</formula>
    </cfRule>
    <cfRule type="cellIs" dxfId="223" priority="9" stopIfTrue="1" operator="equal">
      <formula>$AK$31</formula>
    </cfRule>
    <cfRule type="cellIs" dxfId="222" priority="10" stopIfTrue="1" operator="equal">
      <formula>$AM$31</formula>
    </cfRule>
  </conditionalFormatting>
  <conditionalFormatting sqref="V106:V107 V247:V248 V49:V50 V241:V242 V54:V55 V59:V60 V67:V68 V74:V75 W286:W287 V100:V101 V112:V113 V118:V119 V126:V127 V132:V133 V279:V280 V235:V236 V254:V255 T306:T307 V143:V144 V183:V184 V177:V178 V267:V268 V273:V274 W213:W214 V83 V90 V156:V157 V150:V151 V198:V199 V162:V163 V167:V168 V172:V173 V188:V189 V193:V194">
    <cfRule type="cellIs" dxfId="221" priority="11" stopIfTrue="1" operator="equal">
      <formula>$R$6</formula>
    </cfRule>
    <cfRule type="cellIs" dxfId="220" priority="12" stopIfTrue="1" operator="equal">
      <formula>$V$33</formula>
    </cfRule>
    <cfRule type="cellIs" dxfId="219" priority="13" stopIfTrue="1" operator="equal">
      <formula>$R$8</formula>
    </cfRule>
  </conditionalFormatting>
  <conditionalFormatting sqref="W106:W107 W126:W127 W247:W248 W49:W50 W241:W242 W54:W55 W59:W60 W67:W68 W74:W75 X286:X287 W100:W101 W112:W113 W118:W119 W132:W133 W279:W280 W235:W236 W254:W255 U306:U307 W143:W144 W183:W184 W177:W178 W267:W268 W273:W274 X213:X214 W83 W90 W156:W157 W150:W151 W198:W199 W162:W163 W167:W168 W172:W173 W188:W189 W193:W194">
    <cfRule type="cellIs" dxfId="218" priority="14" stopIfTrue="1" operator="equal">
      <formula>$R$6</formula>
    </cfRule>
    <cfRule type="cellIs" dxfId="217" priority="15" stopIfTrue="1" operator="equal">
      <formula>$R$7</formula>
    </cfRule>
    <cfRule type="cellIs" dxfId="216" priority="16" stopIfTrue="1" operator="equal">
      <formula>$W$33</formula>
    </cfRule>
  </conditionalFormatting>
  <conditionalFormatting sqref="R34 R42">
    <cfRule type="cellIs" dxfId="215" priority="17" stopIfTrue="1" operator="equal">
      <formula>$AF$6</formula>
    </cfRule>
    <cfRule type="cellIs" dxfId="214" priority="18" stopIfTrue="1" operator="equal">
      <formula>$AJ$33</formula>
    </cfRule>
    <cfRule type="cellIs" dxfId="213" priority="19" stopIfTrue="1" operator="equal">
      <formula>$AF$8</formula>
    </cfRule>
  </conditionalFormatting>
  <conditionalFormatting sqref="R35 R43">
    <cfRule type="cellIs" dxfId="212" priority="20" stopIfTrue="1" operator="equal">
      <formula>$AF$6</formula>
    </cfRule>
    <cfRule type="cellIs" dxfId="211" priority="21" stopIfTrue="1" operator="equal">
      <formula>$AF$7</formula>
    </cfRule>
    <cfRule type="cellIs" dxfId="210" priority="22" stopIfTrue="1" operator="equal">
      <formula>$AK$33</formula>
    </cfRule>
  </conditionalFormatting>
  <pageMargins left="0" right="0" top="0.59055118110236227" bottom="0.39370078740157483" header="0.51181102362204722" footer="0.51181102362204722"/>
  <pageSetup paperSize="9" scale="96" fitToHeight="6" orientation="portrait"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sheetPr codeName="Sheet68">
    <pageSetUpPr autoPageBreaks="0" fitToPage="1"/>
  </sheetPr>
  <dimension ref="A1:AI850"/>
  <sheetViews>
    <sheetView showRowColHeaders="0" workbookViewId="0">
      <selection activeCell="B2" sqref="B2:I3"/>
    </sheetView>
  </sheetViews>
  <sheetFormatPr defaultRowHeight="12.75"/>
  <cols>
    <col min="1" max="9" width="11.7109375" style="1" customWidth="1"/>
    <col min="10" max="15" width="10.7109375" style="1" customWidth="1"/>
    <col min="16" max="16" width="4.7109375" style="20" customWidth="1"/>
    <col min="17" max="25" width="10.7109375" style="18" customWidth="1"/>
    <col min="26" max="26" width="10.7109375" style="1" customWidth="1"/>
    <col min="27" max="29" width="8.7109375" style="1" customWidth="1"/>
    <col min="30" max="34" width="13.7109375" style="1" customWidth="1"/>
    <col min="35" max="36" width="10.7109375" style="1" customWidth="1"/>
    <col min="37" max="53" width="10.28515625" style="1" customWidth="1"/>
    <col min="54" max="109" width="10.7109375" style="1" customWidth="1"/>
    <col min="110" max="16384" width="9.140625" style="1"/>
  </cols>
  <sheetData>
    <row r="1" spans="1:31" ht="6" customHeight="1" thickBot="1">
      <c r="A1" s="121"/>
      <c r="B1" s="121"/>
      <c r="C1" s="121"/>
      <c r="D1" s="121"/>
      <c r="E1" s="121"/>
      <c r="F1" s="121"/>
      <c r="G1" s="121"/>
      <c r="H1" s="121"/>
      <c r="I1" s="121"/>
      <c r="J1" s="121"/>
      <c r="K1" s="121"/>
      <c r="L1" s="121"/>
      <c r="M1" s="121"/>
      <c r="N1" s="121"/>
      <c r="O1" s="121"/>
      <c r="P1"/>
      <c r="Q1"/>
      <c r="R1"/>
      <c r="S1"/>
      <c r="T1"/>
      <c r="U1"/>
      <c r="V1"/>
      <c r="W1"/>
      <c r="X1"/>
      <c r="Y1"/>
      <c r="Z1"/>
      <c r="AA1"/>
      <c r="AB1"/>
      <c r="AC1"/>
      <c r="AD1"/>
      <c r="AE1"/>
    </row>
    <row r="2" spans="1:31" ht="12.75" customHeight="1" thickTop="1">
      <c r="A2" s="121"/>
      <c r="B2" s="1024" t="s">
        <v>424</v>
      </c>
      <c r="C2" s="1025"/>
      <c r="D2" s="1025"/>
      <c r="E2" s="1025"/>
      <c r="F2" s="1025"/>
      <c r="G2" s="1025"/>
      <c r="H2" s="1025"/>
      <c r="I2" s="1026"/>
      <c r="J2" s="466"/>
      <c r="K2" s="304"/>
      <c r="L2" s="345"/>
      <c r="M2" s="345"/>
      <c r="N2" s="345"/>
      <c r="O2" s="121"/>
      <c r="P2"/>
      <c r="Q2"/>
      <c r="R2"/>
      <c r="S2"/>
      <c r="T2"/>
      <c r="U2"/>
      <c r="V2"/>
      <c r="W2"/>
      <c r="X2"/>
      <c r="Y2"/>
      <c r="Z2"/>
      <c r="AA2"/>
      <c r="AB2"/>
      <c r="AC2"/>
      <c r="AD2"/>
      <c r="AE2"/>
    </row>
    <row r="3" spans="1:31" ht="12.75" customHeight="1" thickBot="1">
      <c r="A3" s="121"/>
      <c r="B3" s="1027"/>
      <c r="C3" s="1028"/>
      <c r="D3" s="1028"/>
      <c r="E3" s="1028"/>
      <c r="F3" s="1028"/>
      <c r="G3" s="1028"/>
      <c r="H3" s="1028"/>
      <c r="I3" s="1029"/>
      <c r="J3" s="466"/>
      <c r="K3" s="304"/>
      <c r="L3" s="345"/>
      <c r="M3" s="345"/>
      <c r="N3" s="345"/>
      <c r="O3" s="121"/>
      <c r="P3"/>
      <c r="Q3"/>
      <c r="R3"/>
      <c r="S3"/>
      <c r="T3"/>
      <c r="U3"/>
      <c r="V3"/>
      <c r="W3"/>
      <c r="X3"/>
      <c r="Y3"/>
      <c r="Z3"/>
      <c r="AA3"/>
      <c r="AB3"/>
      <c r="AC3"/>
      <c r="AD3"/>
      <c r="AE3"/>
    </row>
    <row r="4" spans="1:31" ht="12.75" customHeight="1" thickTop="1" thickBot="1">
      <c r="A4" s="121"/>
      <c r="B4" s="391"/>
      <c r="C4" s="391"/>
      <c r="D4" s="391"/>
      <c r="E4" s="391"/>
      <c r="F4" s="391"/>
      <c r="G4" s="391"/>
      <c r="H4" s="391"/>
      <c r="I4" s="391"/>
      <c r="J4" s="391"/>
      <c r="K4" s="121"/>
      <c r="L4" s="121"/>
      <c r="M4" s="121"/>
      <c r="N4" s="121"/>
      <c r="O4" s="121"/>
      <c r="P4"/>
      <c r="Q4"/>
      <c r="R4"/>
      <c r="S4"/>
      <c r="T4"/>
      <c r="U4"/>
      <c r="V4"/>
      <c r="W4"/>
      <c r="X4"/>
      <c r="Y4"/>
      <c r="Z4"/>
      <c r="AA4"/>
      <c r="AB4"/>
      <c r="AC4"/>
      <c r="AD4"/>
      <c r="AE4"/>
    </row>
    <row r="5" spans="1:31" ht="12.75" customHeight="1" thickTop="1" thickBot="1">
      <c r="A5" s="121"/>
      <c r="B5" s="1155" t="s">
        <v>573</v>
      </c>
      <c r="C5" s="1156"/>
      <c r="D5" s="467"/>
      <c r="E5" s="391"/>
      <c r="F5" s="391"/>
      <c r="G5" s="391"/>
      <c r="H5" s="391"/>
      <c r="I5" s="391"/>
      <c r="J5" s="391"/>
      <c r="K5" s="121"/>
      <c r="L5" s="121"/>
      <c r="M5" s="121"/>
      <c r="N5" s="121"/>
      <c r="O5" s="121"/>
      <c r="P5"/>
      <c r="Q5"/>
      <c r="R5"/>
      <c r="S5"/>
      <c r="T5"/>
      <c r="U5"/>
      <c r="V5"/>
      <c r="W5"/>
      <c r="X5"/>
      <c r="Y5"/>
      <c r="Z5"/>
      <c r="AA5"/>
      <c r="AB5"/>
      <c r="AC5"/>
      <c r="AD5"/>
      <c r="AE5"/>
    </row>
    <row r="6" spans="1:31" ht="12.75" customHeight="1" thickTop="1">
      <c r="A6" s="121"/>
      <c r="B6" s="1157" t="s">
        <v>558</v>
      </c>
      <c r="C6" s="1158"/>
      <c r="D6" s="1158"/>
      <c r="E6" s="1158"/>
      <c r="F6" s="1158"/>
      <c r="G6" s="469" t="s">
        <v>559</v>
      </c>
      <c r="H6" s="468" t="s">
        <v>560</v>
      </c>
      <c r="I6" s="470" t="s">
        <v>23</v>
      </c>
      <c r="J6" s="391"/>
      <c r="K6" s="121"/>
      <c r="L6" s="121"/>
      <c r="M6" s="121"/>
      <c r="N6" s="121"/>
      <c r="O6" s="121"/>
      <c r="P6"/>
      <c r="Q6"/>
      <c r="R6"/>
      <c r="S6"/>
      <c r="T6"/>
      <c r="U6"/>
      <c r="V6"/>
      <c r="W6"/>
      <c r="X6"/>
      <c r="Y6"/>
      <c r="Z6"/>
      <c r="AA6"/>
      <c r="AB6"/>
      <c r="AC6"/>
      <c r="AD6"/>
      <c r="AE6"/>
    </row>
    <row r="7" spans="1:31" ht="12.75" customHeight="1">
      <c r="A7" s="121"/>
      <c r="B7" s="1139" t="s">
        <v>561</v>
      </c>
      <c r="C7" s="1140"/>
      <c r="D7" s="1140"/>
      <c r="E7" s="1140"/>
      <c r="F7" s="1140"/>
      <c r="G7" s="392">
        <v>1</v>
      </c>
      <c r="H7" s="393">
        <v>20741.3</v>
      </c>
      <c r="I7" s="471">
        <f t="shared" ref="I7:I16" si="0">G7*H7</f>
        <v>20741.3</v>
      </c>
      <c r="J7" s="391"/>
      <c r="K7" s="121"/>
      <c r="L7" s="121"/>
      <c r="M7" s="121"/>
      <c r="N7" s="121"/>
      <c r="O7" s="121"/>
      <c r="P7"/>
      <c r="Q7"/>
      <c r="R7"/>
      <c r="S7"/>
      <c r="T7"/>
      <c r="U7"/>
      <c r="V7"/>
      <c r="W7"/>
      <c r="X7"/>
      <c r="Y7"/>
      <c r="Z7"/>
      <c r="AA7"/>
      <c r="AB7"/>
      <c r="AC7"/>
      <c r="AD7"/>
      <c r="AE7"/>
    </row>
    <row r="8" spans="1:31" ht="12.75" customHeight="1">
      <c r="A8" s="121"/>
      <c r="B8" s="1153" t="s">
        <v>5</v>
      </c>
      <c r="C8" s="1154"/>
      <c r="D8" s="1154"/>
      <c r="E8" s="1154"/>
      <c r="F8" s="1154"/>
      <c r="G8" s="392">
        <v>1</v>
      </c>
      <c r="H8" s="393">
        <v>7432.96</v>
      </c>
      <c r="I8" s="471">
        <f t="shared" si="0"/>
        <v>7432.96</v>
      </c>
      <c r="J8" s="391"/>
      <c r="K8" s="121"/>
      <c r="L8" s="121"/>
      <c r="M8" s="121"/>
      <c r="N8" s="121"/>
      <c r="O8" s="121"/>
      <c r="P8"/>
      <c r="Q8"/>
      <c r="R8"/>
      <c r="S8"/>
      <c r="T8"/>
      <c r="U8"/>
      <c r="V8"/>
      <c r="W8"/>
      <c r="X8"/>
      <c r="Y8"/>
      <c r="Z8"/>
      <c r="AA8"/>
      <c r="AB8"/>
      <c r="AC8"/>
      <c r="AD8"/>
      <c r="AE8"/>
    </row>
    <row r="9" spans="1:31" ht="12.75" customHeight="1">
      <c r="A9" s="121"/>
      <c r="B9" s="1146" t="s">
        <v>7</v>
      </c>
      <c r="C9" s="1147"/>
      <c r="D9" s="1147"/>
      <c r="E9" s="713" t="s">
        <v>6</v>
      </c>
      <c r="F9" s="714">
        <f>G10</f>
        <v>4</v>
      </c>
      <c r="G9" s="347">
        <f>F9*45</f>
        <v>180</v>
      </c>
      <c r="H9" s="393">
        <v>69.89</v>
      </c>
      <c r="I9" s="471">
        <f t="shared" si="0"/>
        <v>12580.2</v>
      </c>
      <c r="J9" s="391"/>
      <c r="K9" s="121"/>
      <c r="L9" s="121"/>
      <c r="M9" s="121"/>
      <c r="N9" s="121"/>
      <c r="O9" s="121"/>
      <c r="P9"/>
      <c r="Q9"/>
      <c r="R9"/>
      <c r="S9"/>
      <c r="T9"/>
      <c r="U9"/>
      <c r="V9"/>
      <c r="W9"/>
      <c r="X9"/>
      <c r="Y9"/>
      <c r="Z9"/>
      <c r="AA9"/>
      <c r="AB9"/>
      <c r="AC9"/>
      <c r="AD9"/>
      <c r="AE9"/>
    </row>
    <row r="10" spans="1:31" ht="12.75" customHeight="1">
      <c r="A10" s="121"/>
      <c r="B10" s="1152" t="s">
        <v>562</v>
      </c>
      <c r="C10" s="925"/>
      <c r="D10" s="925"/>
      <c r="E10" s="925"/>
      <c r="F10" s="925"/>
      <c r="G10" s="397">
        <f>'Prod Parameters'!F19</f>
        <v>4</v>
      </c>
      <c r="H10" s="393">
        <v>2149.1799999999998</v>
      </c>
      <c r="I10" s="471">
        <f t="shared" si="0"/>
        <v>8596.7199999999993</v>
      </c>
      <c r="J10" s="391"/>
      <c r="K10" s="121"/>
      <c r="L10" s="121"/>
      <c r="M10" s="121"/>
      <c r="N10" s="121"/>
      <c r="O10" s="121"/>
      <c r="P10"/>
      <c r="Q10"/>
      <c r="R10"/>
      <c r="S10"/>
      <c r="T10"/>
      <c r="U10"/>
      <c r="V10"/>
      <c r="W10"/>
      <c r="X10"/>
      <c r="Y10"/>
      <c r="Z10"/>
      <c r="AA10"/>
      <c r="AB10"/>
      <c r="AC10"/>
      <c r="AD10"/>
      <c r="AE10"/>
    </row>
    <row r="11" spans="1:31" ht="12.75" customHeight="1">
      <c r="A11" s="121"/>
      <c r="B11" s="1139" t="s">
        <v>563</v>
      </c>
      <c r="C11" s="1140"/>
      <c r="D11" s="1140"/>
      <c r="E11" s="1140"/>
      <c r="F11" s="1140"/>
      <c r="G11" s="397">
        <f>G10</f>
        <v>4</v>
      </c>
      <c r="H11" s="393">
        <v>492.92</v>
      </c>
      <c r="I11" s="471">
        <f t="shared" si="0"/>
        <v>1971.68</v>
      </c>
      <c r="J11" s="391"/>
      <c r="K11" s="121"/>
      <c r="L11" s="121"/>
      <c r="M11" s="121"/>
      <c r="N11" s="121"/>
      <c r="O11" s="121"/>
      <c r="P11"/>
      <c r="Q11"/>
      <c r="R11"/>
      <c r="S11"/>
      <c r="T11"/>
      <c r="U11"/>
      <c r="V11"/>
      <c r="W11"/>
      <c r="X11"/>
      <c r="Y11"/>
      <c r="Z11"/>
      <c r="AA11"/>
      <c r="AB11"/>
      <c r="AC11"/>
      <c r="AD11"/>
      <c r="AE11"/>
    </row>
    <row r="12" spans="1:31" ht="12.75" customHeight="1">
      <c r="A12" s="121"/>
      <c r="B12" s="1153" t="s">
        <v>564</v>
      </c>
      <c r="C12" s="1154"/>
      <c r="D12" s="1154"/>
      <c r="E12" s="1154"/>
      <c r="F12" s="1154"/>
      <c r="G12" s="397">
        <f>G10</f>
        <v>4</v>
      </c>
      <c r="H12" s="393">
        <v>170.8</v>
      </c>
      <c r="I12" s="471">
        <f t="shared" si="0"/>
        <v>683.2</v>
      </c>
      <c r="J12" s="391"/>
      <c r="K12" s="121"/>
      <c r="L12" s="121"/>
      <c r="M12" s="121"/>
      <c r="N12" s="121"/>
      <c r="O12" s="121"/>
      <c r="P12"/>
      <c r="Q12"/>
      <c r="R12"/>
      <c r="S12"/>
      <c r="T12"/>
      <c r="U12"/>
      <c r="V12"/>
      <c r="W12"/>
      <c r="X12"/>
      <c r="Y12"/>
      <c r="Z12"/>
      <c r="AA12"/>
      <c r="AB12"/>
      <c r="AC12"/>
      <c r="AD12"/>
      <c r="AE12"/>
    </row>
    <row r="13" spans="1:31" ht="12.75" customHeight="1">
      <c r="A13" s="121"/>
      <c r="B13" s="484" t="s">
        <v>8</v>
      </c>
      <c r="C13" s="713"/>
      <c r="D13" s="713"/>
      <c r="E13" s="713" t="s">
        <v>6</v>
      </c>
      <c r="F13" s="714">
        <f>F9</f>
        <v>4</v>
      </c>
      <c r="G13" s="347">
        <f>F13*45</f>
        <v>180</v>
      </c>
      <c r="H13" s="393">
        <v>69.89</v>
      </c>
      <c r="I13" s="471">
        <f t="shared" si="0"/>
        <v>12580.2</v>
      </c>
      <c r="J13" s="391"/>
      <c r="K13" s="121"/>
      <c r="L13" s="121"/>
      <c r="M13" s="121"/>
      <c r="N13" s="121"/>
      <c r="O13" s="121"/>
      <c r="P13"/>
      <c r="Q13"/>
      <c r="R13"/>
      <c r="S13"/>
      <c r="T13"/>
      <c r="U13"/>
      <c r="V13"/>
      <c r="W13"/>
      <c r="X13"/>
      <c r="Y13"/>
      <c r="Z13"/>
      <c r="AA13"/>
      <c r="AB13"/>
      <c r="AC13"/>
      <c r="AD13"/>
      <c r="AE13"/>
    </row>
    <row r="14" spans="1:31" ht="12.75" customHeight="1">
      <c r="A14" s="121"/>
      <c r="B14" s="1144" t="s">
        <v>565</v>
      </c>
      <c r="C14" s="1145"/>
      <c r="D14" s="1145"/>
      <c r="E14" s="1145"/>
      <c r="F14" s="1145"/>
      <c r="G14" s="397">
        <f>G10</f>
        <v>4</v>
      </c>
      <c r="H14" s="393">
        <v>2149.1799999999998</v>
      </c>
      <c r="I14" s="471">
        <f t="shared" si="0"/>
        <v>8596.7199999999993</v>
      </c>
      <c r="J14" s="391"/>
      <c r="K14" s="121"/>
      <c r="L14" s="121"/>
      <c r="M14" s="121"/>
      <c r="N14" s="121"/>
      <c r="O14" s="121"/>
      <c r="P14"/>
      <c r="Q14"/>
      <c r="R14"/>
      <c r="S14"/>
      <c r="T14"/>
      <c r="U14"/>
      <c r="V14"/>
      <c r="W14"/>
      <c r="X14"/>
      <c r="Y14"/>
      <c r="Z14"/>
      <c r="AA14"/>
      <c r="AB14"/>
      <c r="AC14"/>
      <c r="AD14"/>
      <c r="AE14"/>
    </row>
    <row r="15" spans="1:31" ht="12.75" customHeight="1">
      <c r="A15" s="121"/>
      <c r="B15" s="1139" t="s">
        <v>566</v>
      </c>
      <c r="C15" s="1140"/>
      <c r="D15" s="1140"/>
      <c r="E15" s="1140"/>
      <c r="F15" s="1140"/>
      <c r="G15" s="397">
        <f>G10</f>
        <v>4</v>
      </c>
      <c r="H15" s="393">
        <v>848.63</v>
      </c>
      <c r="I15" s="471">
        <f t="shared" si="0"/>
        <v>3394.52</v>
      </c>
      <c r="J15" s="391"/>
      <c r="K15" s="121"/>
      <c r="L15" s="121"/>
      <c r="M15" s="121"/>
      <c r="N15" s="121"/>
      <c r="O15" s="121"/>
      <c r="P15"/>
      <c r="Q15"/>
      <c r="R15"/>
      <c r="S15"/>
      <c r="T15"/>
      <c r="U15"/>
      <c r="V15"/>
      <c r="W15"/>
      <c r="X15"/>
      <c r="Y15"/>
      <c r="Z15"/>
      <c r="AA15"/>
      <c r="AB15"/>
      <c r="AC15"/>
      <c r="AD15"/>
      <c r="AE15"/>
    </row>
    <row r="16" spans="1:31" ht="12.75" customHeight="1">
      <c r="A16" s="121"/>
      <c r="B16" s="1139" t="s">
        <v>567</v>
      </c>
      <c r="C16" s="1140"/>
      <c r="D16" s="1140"/>
      <c r="E16" s="1140"/>
      <c r="F16" s="1140"/>
      <c r="G16" s="397">
        <f>G10*2</f>
        <v>8</v>
      </c>
      <c r="H16" s="393">
        <v>492.92</v>
      </c>
      <c r="I16" s="471">
        <f t="shared" si="0"/>
        <v>3943.36</v>
      </c>
      <c r="J16" s="391"/>
      <c r="K16" s="121"/>
      <c r="L16" s="121"/>
      <c r="M16" s="121"/>
      <c r="N16" s="121"/>
      <c r="O16" s="121"/>
      <c r="P16"/>
      <c r="Q16"/>
      <c r="R16"/>
      <c r="S16"/>
      <c r="T16"/>
      <c r="U16"/>
      <c r="V16"/>
      <c r="W16"/>
      <c r="X16"/>
      <c r="Y16"/>
      <c r="Z16"/>
      <c r="AA16"/>
      <c r="AB16"/>
      <c r="AC16"/>
      <c r="AD16"/>
      <c r="AE16"/>
    </row>
    <row r="17" spans="1:31" ht="12.75" customHeight="1">
      <c r="A17" s="121"/>
      <c r="B17" s="1141" t="s">
        <v>425</v>
      </c>
      <c r="C17" s="1142"/>
      <c r="D17" s="1142"/>
      <c r="E17" s="1142"/>
      <c r="F17" s="1142"/>
      <c r="G17" s="1143"/>
      <c r="H17" s="446" t="s">
        <v>23</v>
      </c>
      <c r="I17" s="471">
        <f>SUM(I7:I16)</f>
        <v>80520.86</v>
      </c>
      <c r="J17" s="391"/>
      <c r="K17" s="121"/>
      <c r="L17" s="121"/>
      <c r="M17" s="121"/>
      <c r="N17" s="121"/>
      <c r="O17" s="121"/>
      <c r="P17"/>
      <c r="Q17"/>
      <c r="R17"/>
      <c r="S17"/>
      <c r="T17"/>
      <c r="U17"/>
      <c r="V17"/>
      <c r="W17"/>
      <c r="X17"/>
      <c r="Y17"/>
      <c r="Z17"/>
      <c r="AA17"/>
      <c r="AB17"/>
      <c r="AC17"/>
      <c r="AD17"/>
      <c r="AE17"/>
    </row>
    <row r="18" spans="1:31" ht="12.75" customHeight="1" thickBot="1">
      <c r="A18" s="121"/>
      <c r="B18" s="1134" t="s">
        <v>570</v>
      </c>
      <c r="C18" s="1135"/>
      <c r="D18" s="1135"/>
      <c r="E18" s="1135"/>
      <c r="F18" s="1135"/>
      <c r="G18" s="472">
        <f>'Prod Parameters'!F20</f>
        <v>40</v>
      </c>
      <c r="H18" s="473">
        <f>I17</f>
        <v>80520.86</v>
      </c>
      <c r="I18" s="474">
        <f>G18*H18</f>
        <v>3220834.4</v>
      </c>
      <c r="J18" s="391"/>
      <c r="K18" s="121"/>
      <c r="L18" s="121"/>
      <c r="M18" s="121"/>
      <c r="N18" s="121"/>
      <c r="O18" s="121"/>
      <c r="P18"/>
      <c r="Q18"/>
      <c r="R18"/>
      <c r="S18"/>
      <c r="T18"/>
      <c r="U18"/>
      <c r="V18"/>
      <c r="W18"/>
      <c r="X18"/>
      <c r="Y18"/>
      <c r="Z18"/>
      <c r="AA18"/>
      <c r="AB18"/>
      <c r="AC18"/>
      <c r="AD18"/>
      <c r="AE18"/>
    </row>
    <row r="19" spans="1:31" ht="12.75" customHeight="1" thickTop="1">
      <c r="A19" s="121"/>
      <c r="B19" s="475"/>
      <c r="C19" s="475"/>
      <c r="D19" s="475"/>
      <c r="E19" s="475"/>
      <c r="F19" s="475"/>
      <c r="G19" s="476"/>
      <c r="H19" s="390"/>
      <c r="I19" s="477"/>
      <c r="J19" s="391"/>
      <c r="K19" s="121"/>
      <c r="L19" s="121"/>
      <c r="M19" s="121"/>
      <c r="N19" s="121"/>
      <c r="O19" s="121"/>
      <c r="P19"/>
      <c r="Q19"/>
      <c r="R19"/>
      <c r="S19"/>
      <c r="T19"/>
      <c r="U19"/>
      <c r="V19"/>
      <c r="W19"/>
      <c r="X19"/>
      <c r="Y19"/>
      <c r="Z19"/>
      <c r="AA19"/>
      <c r="AB19"/>
      <c r="AC19"/>
      <c r="AD19"/>
      <c r="AE19"/>
    </row>
    <row r="20" spans="1:31" ht="12.75" customHeight="1" thickBot="1">
      <c r="A20" s="121"/>
      <c r="B20" s="475"/>
      <c r="C20" s="475"/>
      <c r="D20" s="475"/>
      <c r="E20" s="475"/>
      <c r="F20" s="475"/>
      <c r="G20" s="476"/>
      <c r="H20" s="390"/>
      <c r="I20" s="477"/>
      <c r="J20" s="391"/>
      <c r="K20" s="121"/>
      <c r="L20" s="121"/>
      <c r="M20" s="121"/>
      <c r="N20" s="121"/>
      <c r="O20" s="121"/>
      <c r="P20"/>
      <c r="Q20"/>
      <c r="R20"/>
      <c r="S20"/>
      <c r="T20"/>
      <c r="U20"/>
      <c r="V20"/>
      <c r="W20"/>
      <c r="X20"/>
      <c r="Y20"/>
      <c r="Z20"/>
      <c r="AA20"/>
      <c r="AB20"/>
      <c r="AC20"/>
      <c r="AD20"/>
      <c r="AE20"/>
    </row>
    <row r="21" spans="1:31" ht="12.75" customHeight="1" thickTop="1" thickBot="1">
      <c r="A21" s="121"/>
      <c r="B21" s="1149" t="s">
        <v>426</v>
      </c>
      <c r="C21" s="1150"/>
      <c r="D21" s="1150"/>
      <c r="E21" s="1151"/>
      <c r="F21" s="475"/>
      <c r="G21" s="476"/>
      <c r="H21" s="390"/>
      <c r="I21" s="477"/>
      <c r="J21" s="391"/>
      <c r="K21" s="121"/>
      <c r="L21" s="121"/>
      <c r="M21" s="121"/>
      <c r="N21" s="121"/>
      <c r="O21" s="121"/>
      <c r="P21"/>
      <c r="Q21"/>
      <c r="R21"/>
      <c r="S21"/>
      <c r="T21"/>
      <c r="U21"/>
      <c r="V21"/>
      <c r="W21"/>
      <c r="X21"/>
      <c r="Y21"/>
      <c r="Z21"/>
      <c r="AA21"/>
      <c r="AB21"/>
      <c r="AC21"/>
      <c r="AD21"/>
      <c r="AE21"/>
    </row>
    <row r="22" spans="1:31" ht="12.75" customHeight="1" thickTop="1">
      <c r="A22" s="121"/>
      <c r="B22" s="1136" t="s">
        <v>558</v>
      </c>
      <c r="C22" s="1137"/>
      <c r="D22" s="1137"/>
      <c r="E22" s="1137"/>
      <c r="F22" s="1138"/>
      <c r="G22" s="469" t="s">
        <v>559</v>
      </c>
      <c r="H22" s="468" t="s">
        <v>560</v>
      </c>
      <c r="I22" s="470" t="s">
        <v>23</v>
      </c>
      <c r="J22" s="391"/>
      <c r="K22" s="121"/>
      <c r="L22" s="121"/>
      <c r="M22" s="121"/>
      <c r="N22" s="121"/>
      <c r="O22" s="121"/>
      <c r="P22"/>
      <c r="Q22"/>
      <c r="R22"/>
      <c r="S22"/>
      <c r="T22"/>
      <c r="U22"/>
      <c r="V22"/>
      <c r="W22"/>
      <c r="X22"/>
      <c r="Y22"/>
      <c r="Z22"/>
      <c r="AA22"/>
      <c r="AB22"/>
      <c r="AC22"/>
      <c r="AD22"/>
      <c r="AE22"/>
    </row>
    <row r="23" spans="1:31" ht="12.75" customHeight="1">
      <c r="A23" s="121"/>
      <c r="B23" s="1139" t="s">
        <v>572</v>
      </c>
      <c r="C23" s="1140"/>
      <c r="D23" s="1140"/>
      <c r="E23" s="1140"/>
      <c r="F23" s="1140"/>
      <c r="G23" s="479">
        <f>'Prod Parameters'!F19</f>
        <v>4</v>
      </c>
      <c r="H23" s="394">
        <v>4320</v>
      </c>
      <c r="I23" s="471">
        <f>G23*H23</f>
        <v>17280</v>
      </c>
      <c r="J23" s="391"/>
      <c r="K23" s="121"/>
      <c r="L23" s="121"/>
      <c r="M23" s="121"/>
      <c r="N23" s="121"/>
      <c r="O23" s="121"/>
      <c r="P23"/>
      <c r="Q23"/>
      <c r="R23"/>
      <c r="S23"/>
      <c r="T23"/>
      <c r="U23"/>
      <c r="V23"/>
      <c r="W23"/>
      <c r="X23"/>
      <c r="Y23"/>
      <c r="Z23"/>
      <c r="AA23"/>
      <c r="AB23"/>
      <c r="AC23"/>
      <c r="AD23"/>
      <c r="AE23"/>
    </row>
    <row r="24" spans="1:31" ht="12.75" customHeight="1">
      <c r="A24" s="121"/>
      <c r="B24" s="1139" t="s">
        <v>568</v>
      </c>
      <c r="C24" s="1140"/>
      <c r="D24" s="1140"/>
      <c r="E24" s="1140"/>
      <c r="F24" s="1140"/>
      <c r="G24" s="395">
        <f>'Prod Parameters'!F17*'Prod Parameters'!F18*'Prod Parameters'!F9</f>
        <v>4416</v>
      </c>
      <c r="H24" s="393">
        <v>1.27</v>
      </c>
      <c r="I24" s="471">
        <f>G24*H24</f>
        <v>5608.32</v>
      </c>
      <c r="J24" s="391"/>
      <c r="K24" s="121"/>
      <c r="L24" s="121"/>
      <c r="M24" s="121"/>
      <c r="N24" s="121"/>
      <c r="O24" s="121"/>
      <c r="P24"/>
      <c r="Q24"/>
      <c r="R24"/>
      <c r="S24"/>
      <c r="T24"/>
      <c r="U24"/>
      <c r="V24"/>
      <c r="W24"/>
      <c r="X24"/>
      <c r="Y24"/>
      <c r="Z24"/>
      <c r="AA24"/>
      <c r="AB24"/>
      <c r="AC24"/>
      <c r="AD24"/>
      <c r="AE24"/>
    </row>
    <row r="25" spans="1:31" ht="12.75" customHeight="1">
      <c r="A25" s="121"/>
      <c r="B25" s="1139" t="s">
        <v>569</v>
      </c>
      <c r="C25" s="1140"/>
      <c r="D25" s="1140"/>
      <c r="E25" s="1140"/>
      <c r="F25" s="1140"/>
      <c r="G25" s="395">
        <f>G24</f>
        <v>4416</v>
      </c>
      <c r="H25" s="393">
        <v>0.79</v>
      </c>
      <c r="I25" s="471">
        <f>G25*H25</f>
        <v>3488.6400000000003</v>
      </c>
      <c r="J25" s="391"/>
      <c r="K25" s="121"/>
      <c r="L25" s="121"/>
      <c r="M25" s="121"/>
      <c r="N25" s="121"/>
      <c r="O25" s="121"/>
      <c r="P25"/>
      <c r="Q25"/>
      <c r="R25"/>
      <c r="S25"/>
      <c r="T25"/>
      <c r="U25"/>
      <c r="V25"/>
      <c r="W25"/>
      <c r="X25"/>
      <c r="Y25"/>
      <c r="Z25"/>
      <c r="AA25"/>
      <c r="AB25"/>
      <c r="AC25"/>
      <c r="AD25"/>
      <c r="AE25"/>
    </row>
    <row r="26" spans="1:31" ht="12.75" customHeight="1">
      <c r="A26" s="121"/>
      <c r="B26" s="1146" t="s">
        <v>13</v>
      </c>
      <c r="C26" s="1147"/>
      <c r="D26" s="1147"/>
      <c r="E26" s="1147"/>
      <c r="F26" s="1148"/>
      <c r="G26" s="715"/>
      <c r="H26" s="396"/>
      <c r="I26" s="471">
        <f>I17*10%</f>
        <v>8052.0860000000002</v>
      </c>
      <c r="J26" s="391"/>
      <c r="K26" s="121"/>
      <c r="L26" s="121"/>
      <c r="M26" s="121"/>
      <c r="N26" s="121"/>
      <c r="O26" s="121"/>
      <c r="P26"/>
      <c r="Q26"/>
      <c r="R26"/>
      <c r="S26"/>
      <c r="T26"/>
      <c r="U26"/>
      <c r="V26"/>
      <c r="W26"/>
      <c r="X26"/>
      <c r="Y26"/>
      <c r="Z26"/>
      <c r="AA26"/>
      <c r="AB26"/>
      <c r="AC26"/>
      <c r="AD26"/>
      <c r="AE26"/>
    </row>
    <row r="27" spans="1:31" ht="12.75" customHeight="1">
      <c r="A27" s="121"/>
      <c r="B27" s="1141" t="s">
        <v>425</v>
      </c>
      <c r="C27" s="1142"/>
      <c r="D27" s="1142"/>
      <c r="E27" s="1142"/>
      <c r="F27" s="1142"/>
      <c r="G27" s="1143"/>
      <c r="H27" s="397" t="s">
        <v>23</v>
      </c>
      <c r="I27" s="471">
        <f>SUM(I23:I26)</f>
        <v>34429.046000000002</v>
      </c>
      <c r="J27" s="391"/>
      <c r="K27" s="121"/>
      <c r="L27" s="121"/>
      <c r="M27" s="121"/>
      <c r="N27" s="121"/>
      <c r="O27" s="121"/>
      <c r="P27"/>
      <c r="Q27"/>
      <c r="R27"/>
      <c r="S27"/>
      <c r="T27"/>
      <c r="U27"/>
      <c r="V27"/>
      <c r="W27"/>
      <c r="X27"/>
      <c r="Y27"/>
      <c r="Z27"/>
      <c r="AA27"/>
      <c r="AB27"/>
      <c r="AC27"/>
      <c r="AD27"/>
      <c r="AE27"/>
    </row>
    <row r="28" spans="1:31" ht="12.75" customHeight="1" thickBot="1">
      <c r="A28" s="121"/>
      <c r="B28" s="1134" t="s">
        <v>571</v>
      </c>
      <c r="C28" s="1135"/>
      <c r="D28" s="1135"/>
      <c r="E28" s="1135"/>
      <c r="F28" s="1135"/>
      <c r="G28" s="472">
        <f>G18</f>
        <v>40</v>
      </c>
      <c r="H28" s="478">
        <f>I27</f>
        <v>34429.046000000002</v>
      </c>
      <c r="I28" s="474">
        <f>G28*H28</f>
        <v>1377161.84</v>
      </c>
      <c r="J28" s="391"/>
      <c r="K28" s="121"/>
      <c r="L28" s="121"/>
      <c r="M28" s="121"/>
      <c r="N28" s="121"/>
      <c r="O28" s="121"/>
      <c r="P28"/>
      <c r="Q28"/>
      <c r="R28"/>
      <c r="S28"/>
      <c r="T28"/>
      <c r="U28"/>
      <c r="V28"/>
      <c r="W28"/>
      <c r="X28"/>
      <c r="Y28"/>
      <c r="Z28"/>
      <c r="AA28"/>
      <c r="AB28"/>
      <c r="AC28"/>
      <c r="AD28"/>
      <c r="AE28"/>
    </row>
    <row r="29" spans="1:31" ht="12.75" customHeight="1" thickTop="1">
      <c r="A29" s="121"/>
      <c r="B29" s="391"/>
      <c r="C29" s="391"/>
      <c r="D29" s="391"/>
      <c r="E29" s="391"/>
      <c r="F29" s="391"/>
      <c r="G29" s="391"/>
      <c r="H29" s="391"/>
      <c r="I29" s="391"/>
      <c r="J29" s="391"/>
      <c r="K29" s="121"/>
      <c r="L29" s="121"/>
      <c r="M29" s="121"/>
      <c r="N29" s="121"/>
      <c r="O29" s="121"/>
      <c r="P29"/>
      <c r="Q29"/>
      <c r="R29"/>
      <c r="S29"/>
      <c r="T29"/>
      <c r="U29"/>
      <c r="V29"/>
      <c r="W29"/>
      <c r="X29"/>
      <c r="Y29"/>
      <c r="Z29"/>
      <c r="AA29"/>
      <c r="AB29"/>
      <c r="AC29"/>
      <c r="AD29"/>
      <c r="AE29"/>
    </row>
    <row r="30" spans="1:31" ht="12.75" customHeight="1">
      <c r="A30" s="121"/>
      <c r="B30" s="391"/>
      <c r="C30" s="391"/>
      <c r="D30" s="391"/>
      <c r="E30" s="391"/>
      <c r="F30" s="391"/>
      <c r="G30" s="391"/>
      <c r="H30" s="391"/>
      <c r="I30" s="391"/>
      <c r="J30" s="391"/>
      <c r="K30" s="121"/>
      <c r="L30" s="121"/>
      <c r="M30" s="121"/>
      <c r="N30" s="121"/>
      <c r="O30" s="121"/>
      <c r="P30"/>
      <c r="Q30"/>
      <c r="R30"/>
      <c r="S30"/>
      <c r="T30"/>
      <c r="U30"/>
      <c r="V30"/>
      <c r="W30"/>
      <c r="X30"/>
      <c r="Y30"/>
      <c r="Z30"/>
      <c r="AA30"/>
      <c r="AB30"/>
      <c r="AC30"/>
      <c r="AD30"/>
      <c r="AE30"/>
    </row>
    <row r="31" spans="1:31" ht="12.75" hidden="1" customHeight="1">
      <c r="A31" s="121"/>
      <c r="B31" s="391"/>
      <c r="C31" s="391"/>
      <c r="D31" s="391"/>
      <c r="E31" s="391"/>
      <c r="F31" s="391"/>
      <c r="G31" s="391"/>
      <c r="H31" s="391"/>
      <c r="I31" s="391"/>
      <c r="J31" s="391"/>
      <c r="K31" s="121"/>
      <c r="L31" s="121"/>
      <c r="M31" s="121"/>
      <c r="N31" s="121"/>
      <c r="O31" s="121"/>
      <c r="P31"/>
      <c r="Q31"/>
      <c r="R31"/>
      <c r="S31"/>
      <c r="T31"/>
      <c r="U31"/>
      <c r="V31"/>
      <c r="W31"/>
      <c r="X31"/>
      <c r="Y31"/>
      <c r="Z31"/>
      <c r="AA31"/>
      <c r="AB31"/>
      <c r="AC31"/>
      <c r="AD31"/>
      <c r="AE31"/>
    </row>
    <row r="32" spans="1:31" ht="12.75" hidden="1" customHeight="1">
      <c r="A32" s="121"/>
      <c r="B32" s="391"/>
      <c r="C32" s="391"/>
      <c r="D32" s="391"/>
      <c r="E32" s="391"/>
      <c r="F32" s="391"/>
      <c r="G32" s="391"/>
      <c r="H32" s="391"/>
      <c r="I32" s="391"/>
      <c r="J32" s="391"/>
      <c r="K32" s="121"/>
      <c r="L32" s="121"/>
      <c r="M32" s="121"/>
      <c r="N32" s="121"/>
      <c r="O32" s="121"/>
      <c r="P32"/>
      <c r="Q32"/>
      <c r="R32"/>
      <c r="S32"/>
      <c r="T32"/>
      <c r="U32"/>
      <c r="V32"/>
      <c r="W32"/>
      <c r="X32"/>
      <c r="Y32"/>
      <c r="Z32"/>
      <c r="AA32"/>
      <c r="AB32"/>
      <c r="AC32"/>
      <c r="AD32"/>
      <c r="AE32"/>
    </row>
    <row r="33" spans="1:31" ht="12.75" hidden="1" customHeight="1">
      <c r="A33" s="121"/>
      <c r="B33" s="391"/>
      <c r="C33" s="391"/>
      <c r="D33" s="391"/>
      <c r="E33" s="391"/>
      <c r="F33" s="391"/>
      <c r="G33" s="391"/>
      <c r="H33" s="391"/>
      <c r="I33" s="391"/>
      <c r="J33" s="391"/>
      <c r="K33" s="121"/>
      <c r="L33" s="121"/>
      <c r="M33" s="121"/>
      <c r="N33" s="121"/>
      <c r="O33" s="121"/>
      <c r="P33"/>
      <c r="Q33"/>
      <c r="R33"/>
      <c r="S33"/>
      <c r="T33"/>
      <c r="U33"/>
      <c r="V33"/>
      <c r="W33"/>
      <c r="X33"/>
      <c r="Y33"/>
      <c r="Z33"/>
      <c r="AA33"/>
      <c r="AB33"/>
      <c r="AC33"/>
      <c r="AD33"/>
      <c r="AE33"/>
    </row>
    <row r="34" spans="1:31" ht="12.75" hidden="1" customHeight="1">
      <c r="A34" s="121"/>
      <c r="B34" s="391"/>
      <c r="C34" s="391"/>
      <c r="D34" s="391"/>
      <c r="E34" s="391"/>
      <c r="F34" s="391"/>
      <c r="G34" s="391"/>
      <c r="H34" s="391"/>
      <c r="I34" s="391"/>
      <c r="J34" s="391"/>
      <c r="K34" s="121"/>
      <c r="L34" s="121"/>
      <c r="M34" s="121"/>
      <c r="N34" s="121"/>
      <c r="O34" s="121"/>
      <c r="P34"/>
      <c r="Q34"/>
      <c r="R34"/>
      <c r="S34"/>
      <c r="T34"/>
      <c r="U34"/>
      <c r="V34"/>
      <c r="W34"/>
      <c r="X34"/>
      <c r="Y34"/>
      <c r="Z34"/>
      <c r="AA34"/>
      <c r="AB34"/>
      <c r="AC34"/>
      <c r="AD34"/>
      <c r="AE34"/>
    </row>
    <row r="35" spans="1:31" ht="12.75" hidden="1" customHeight="1">
      <c r="A35" s="121"/>
      <c r="B35" s="391"/>
      <c r="C35" s="391"/>
      <c r="D35" s="391"/>
      <c r="E35" s="391"/>
      <c r="F35" s="391"/>
      <c r="G35" s="391"/>
      <c r="H35" s="391"/>
      <c r="I35" s="391"/>
      <c r="J35" s="391"/>
      <c r="K35" s="121"/>
      <c r="L35" s="121"/>
      <c r="M35" s="121"/>
      <c r="N35" s="121"/>
      <c r="O35" s="121"/>
      <c r="P35"/>
      <c r="Q35"/>
      <c r="R35"/>
      <c r="S35"/>
      <c r="T35"/>
      <c r="U35"/>
      <c r="V35"/>
      <c r="W35"/>
      <c r="X35"/>
      <c r="Y35"/>
      <c r="Z35"/>
      <c r="AA35"/>
      <c r="AB35"/>
      <c r="AC35"/>
      <c r="AD35"/>
      <c r="AE35"/>
    </row>
    <row r="36" spans="1:31" ht="12.75" hidden="1" customHeight="1">
      <c r="A36" s="121"/>
      <c r="B36" s="391"/>
      <c r="C36" s="391"/>
      <c r="D36" s="391"/>
      <c r="E36" s="391"/>
      <c r="F36" s="391"/>
      <c r="G36" s="391"/>
      <c r="H36" s="391"/>
      <c r="I36" s="391"/>
      <c r="J36" s="391"/>
      <c r="K36" s="121"/>
      <c r="L36" s="121"/>
      <c r="M36" s="121"/>
      <c r="N36" s="121"/>
      <c r="O36" s="121"/>
      <c r="P36"/>
      <c r="Q36"/>
      <c r="R36"/>
      <c r="S36"/>
      <c r="T36"/>
      <c r="U36"/>
      <c r="V36"/>
      <c r="W36"/>
      <c r="X36"/>
      <c r="Y36"/>
      <c r="Z36"/>
      <c r="AA36"/>
      <c r="AB36"/>
      <c r="AC36"/>
      <c r="AD36"/>
      <c r="AE36"/>
    </row>
    <row r="37" spans="1:31" ht="12.75" hidden="1" customHeight="1">
      <c r="A37" s="121"/>
      <c r="B37" s="391"/>
      <c r="C37" s="391"/>
      <c r="D37" s="391"/>
      <c r="E37" s="391"/>
      <c r="F37" s="391"/>
      <c r="G37" s="391"/>
      <c r="H37" s="391"/>
      <c r="I37" s="391"/>
      <c r="J37" s="391"/>
      <c r="K37" s="121"/>
      <c r="L37" s="121"/>
      <c r="M37" s="121"/>
      <c r="N37" s="121"/>
      <c r="O37" s="121"/>
      <c r="P37"/>
      <c r="Q37"/>
      <c r="R37"/>
      <c r="S37"/>
      <c r="T37"/>
      <c r="U37"/>
      <c r="V37"/>
      <c r="W37"/>
      <c r="X37"/>
      <c r="Y37"/>
      <c r="Z37"/>
      <c r="AA37"/>
      <c r="AB37"/>
      <c r="AC37"/>
      <c r="AD37"/>
      <c r="AE37"/>
    </row>
    <row r="38" spans="1:31" ht="12.75" hidden="1" customHeight="1">
      <c r="A38" s="121"/>
      <c r="B38" s="391"/>
      <c r="C38" s="391"/>
      <c r="D38" s="391"/>
      <c r="E38" s="391"/>
      <c r="F38" s="391"/>
      <c r="G38" s="391"/>
      <c r="H38" s="391"/>
      <c r="I38" s="391"/>
      <c r="J38" s="391"/>
      <c r="K38" s="121"/>
      <c r="L38" s="121"/>
      <c r="M38" s="121"/>
      <c r="N38" s="121"/>
      <c r="O38" s="121"/>
      <c r="P38"/>
      <c r="Q38"/>
      <c r="R38"/>
      <c r="S38"/>
      <c r="T38"/>
      <c r="U38"/>
      <c r="V38"/>
      <c r="W38"/>
      <c r="X38"/>
      <c r="Y38"/>
      <c r="Z38"/>
      <c r="AA38"/>
      <c r="AB38"/>
      <c r="AC38"/>
      <c r="AD38"/>
      <c r="AE38"/>
    </row>
    <row r="39" spans="1:31" ht="12.75" hidden="1" customHeight="1">
      <c r="A39" s="121"/>
      <c r="B39" s="391"/>
      <c r="C39" s="391"/>
      <c r="D39" s="391"/>
      <c r="E39" s="391"/>
      <c r="F39" s="391"/>
      <c r="G39" s="391"/>
      <c r="H39" s="391"/>
      <c r="I39" s="391"/>
      <c r="J39" s="391"/>
      <c r="K39" s="121"/>
      <c r="L39" s="121"/>
      <c r="M39" s="121"/>
      <c r="N39" s="121"/>
      <c r="O39" s="121"/>
      <c r="P39"/>
      <c r="Q39"/>
      <c r="R39"/>
      <c r="S39"/>
      <c r="T39"/>
      <c r="U39"/>
      <c r="V39"/>
      <c r="W39"/>
      <c r="X39"/>
      <c r="Y39"/>
      <c r="Z39"/>
      <c r="AA39"/>
      <c r="AB39"/>
      <c r="AC39"/>
      <c r="AD39"/>
      <c r="AE39"/>
    </row>
    <row r="40" spans="1:31" ht="12.75" hidden="1" customHeight="1">
      <c r="A40" s="121"/>
      <c r="B40" s="391"/>
      <c r="C40" s="391"/>
      <c r="D40" s="391"/>
      <c r="E40" s="391"/>
      <c r="F40" s="391"/>
      <c r="G40" s="391"/>
      <c r="H40" s="391"/>
      <c r="I40" s="391"/>
      <c r="J40" s="391"/>
      <c r="K40" s="121"/>
      <c r="L40" s="121"/>
      <c r="M40" s="121"/>
      <c r="N40" s="121"/>
      <c r="O40" s="121"/>
      <c r="P40"/>
      <c r="Q40"/>
      <c r="R40"/>
      <c r="S40"/>
      <c r="T40"/>
      <c r="U40"/>
      <c r="V40"/>
      <c r="W40"/>
      <c r="X40"/>
      <c r="Y40"/>
      <c r="Z40"/>
      <c r="AA40"/>
      <c r="AB40"/>
      <c r="AC40"/>
      <c r="AD40"/>
      <c r="AE40"/>
    </row>
    <row r="41" spans="1:31" ht="12.75" hidden="1" customHeight="1">
      <c r="A41" s="121"/>
      <c r="B41" s="391"/>
      <c r="C41" s="391"/>
      <c r="D41" s="391"/>
      <c r="E41" s="391"/>
      <c r="F41" s="391"/>
      <c r="G41" s="391"/>
      <c r="H41" s="391"/>
      <c r="I41" s="391"/>
      <c r="J41" s="391"/>
      <c r="K41" s="121"/>
      <c r="L41" s="121"/>
      <c r="M41" s="121"/>
      <c r="N41" s="121"/>
      <c r="O41" s="121"/>
      <c r="P41"/>
      <c r="Q41"/>
      <c r="R41"/>
      <c r="S41"/>
      <c r="T41"/>
      <c r="U41"/>
      <c r="V41"/>
      <c r="W41"/>
      <c r="X41"/>
      <c r="Y41"/>
      <c r="Z41"/>
      <c r="AA41"/>
      <c r="AB41"/>
      <c r="AC41"/>
      <c r="AD41"/>
      <c r="AE41"/>
    </row>
    <row r="42" spans="1:31" ht="12.75" hidden="1" customHeight="1">
      <c r="A42" s="121"/>
      <c r="B42" s="391"/>
      <c r="C42" s="391"/>
      <c r="D42" s="391"/>
      <c r="E42" s="391"/>
      <c r="F42" s="391"/>
      <c r="G42" s="391"/>
      <c r="H42" s="391"/>
      <c r="I42" s="391"/>
      <c r="J42" s="391"/>
      <c r="K42" s="121"/>
      <c r="L42" s="121"/>
      <c r="M42" s="121"/>
      <c r="N42" s="121"/>
      <c r="O42" s="121"/>
      <c r="P42"/>
      <c r="Q42"/>
      <c r="R42"/>
      <c r="S42"/>
      <c r="T42"/>
      <c r="U42"/>
      <c r="V42"/>
      <c r="W42"/>
      <c r="X42"/>
      <c r="Y42"/>
      <c r="Z42"/>
      <c r="AA42"/>
      <c r="AB42"/>
      <c r="AC42"/>
      <c r="AD42"/>
      <c r="AE42"/>
    </row>
    <row r="43" spans="1:31" ht="12.75" hidden="1" customHeight="1">
      <c r="A43" s="121"/>
      <c r="B43" s="391"/>
      <c r="C43" s="391"/>
      <c r="D43" s="391"/>
      <c r="E43" s="391"/>
      <c r="F43" s="391"/>
      <c r="G43" s="391"/>
      <c r="H43" s="391"/>
      <c r="I43" s="391"/>
      <c r="J43" s="391"/>
      <c r="K43" s="121"/>
      <c r="L43" s="121"/>
      <c r="M43" s="121"/>
      <c r="N43" s="121"/>
      <c r="O43" s="121"/>
      <c r="P43"/>
      <c r="Q43"/>
      <c r="R43"/>
      <c r="S43"/>
      <c r="T43"/>
      <c r="U43"/>
      <c r="V43"/>
      <c r="W43"/>
      <c r="X43"/>
      <c r="Y43"/>
      <c r="Z43"/>
      <c r="AA43"/>
      <c r="AB43"/>
      <c r="AC43"/>
      <c r="AD43"/>
      <c r="AE43"/>
    </row>
    <row r="44" spans="1:31" ht="12.75" hidden="1" customHeight="1">
      <c r="A44" s="121"/>
      <c r="B44" s="391"/>
      <c r="C44" s="391"/>
      <c r="D44" s="391"/>
      <c r="E44" s="391"/>
      <c r="F44" s="391"/>
      <c r="G44" s="391"/>
      <c r="H44" s="391"/>
      <c r="I44" s="391"/>
      <c r="J44" s="391"/>
      <c r="K44" s="121"/>
      <c r="L44" s="121"/>
      <c r="M44" s="121"/>
      <c r="N44" s="121"/>
      <c r="O44" s="121"/>
      <c r="P44"/>
      <c r="Q44"/>
      <c r="R44"/>
      <c r="S44"/>
      <c r="T44"/>
      <c r="U44"/>
      <c r="V44"/>
      <c r="W44"/>
      <c r="X44"/>
      <c r="Y44"/>
      <c r="Z44"/>
      <c r="AA44"/>
      <c r="AB44"/>
      <c r="AC44"/>
      <c r="AD44"/>
      <c r="AE44"/>
    </row>
    <row r="45" spans="1:31" ht="12.75" hidden="1" customHeight="1">
      <c r="A45" s="121"/>
      <c r="B45" s="391"/>
      <c r="C45" s="391"/>
      <c r="D45" s="391"/>
      <c r="E45" s="391"/>
      <c r="F45" s="391"/>
      <c r="G45" s="391"/>
      <c r="H45" s="391"/>
      <c r="I45" s="391"/>
      <c r="J45" s="391"/>
      <c r="K45" s="121"/>
      <c r="L45" s="121"/>
      <c r="M45" s="121"/>
      <c r="N45" s="121"/>
      <c r="O45" s="121"/>
      <c r="P45"/>
      <c r="Q45"/>
      <c r="R45"/>
      <c r="S45"/>
      <c r="T45"/>
      <c r="U45"/>
      <c r="V45"/>
      <c r="W45"/>
      <c r="X45"/>
      <c r="Y45"/>
      <c r="Z45"/>
      <c r="AA45"/>
      <c r="AB45"/>
      <c r="AC45"/>
      <c r="AD45"/>
      <c r="AE45"/>
    </row>
    <row r="46" spans="1:31" ht="12.75" hidden="1" customHeight="1">
      <c r="A46" s="121"/>
      <c r="B46" s="391"/>
      <c r="C46" s="391"/>
      <c r="D46" s="391"/>
      <c r="E46" s="391"/>
      <c r="F46" s="391"/>
      <c r="G46" s="391"/>
      <c r="H46" s="391"/>
      <c r="I46" s="391"/>
      <c r="J46" s="391"/>
      <c r="K46" s="121"/>
      <c r="L46" s="121"/>
      <c r="M46" s="121"/>
      <c r="N46" s="121"/>
      <c r="O46" s="121"/>
      <c r="P46"/>
      <c r="Q46"/>
      <c r="R46"/>
      <c r="S46"/>
      <c r="T46"/>
      <c r="U46"/>
      <c r="V46"/>
      <c r="W46"/>
      <c r="X46"/>
      <c r="Y46"/>
      <c r="Z46"/>
      <c r="AA46"/>
      <c r="AB46"/>
      <c r="AC46"/>
      <c r="AD46"/>
      <c r="AE46"/>
    </row>
    <row r="47" spans="1:31" ht="12.75" hidden="1" customHeight="1">
      <c r="A47" s="121"/>
      <c r="B47" s="391"/>
      <c r="C47" s="391"/>
      <c r="D47" s="391"/>
      <c r="E47" s="391"/>
      <c r="F47" s="391"/>
      <c r="G47" s="391"/>
      <c r="H47" s="391"/>
      <c r="I47" s="391"/>
      <c r="J47" s="391"/>
      <c r="K47" s="121"/>
      <c r="L47" s="121"/>
      <c r="M47" s="121"/>
      <c r="N47" s="121"/>
      <c r="O47" s="121"/>
      <c r="P47"/>
      <c r="Q47"/>
      <c r="R47"/>
      <c r="S47"/>
      <c r="T47"/>
      <c r="U47"/>
      <c r="V47"/>
      <c r="W47"/>
      <c r="X47"/>
      <c r="Y47"/>
      <c r="Z47"/>
      <c r="AA47"/>
      <c r="AB47"/>
      <c r="AC47"/>
      <c r="AD47"/>
      <c r="AE47"/>
    </row>
    <row r="48" spans="1:31" ht="12.75" hidden="1" customHeight="1">
      <c r="A48" s="121"/>
      <c r="B48" s="391"/>
      <c r="C48" s="391"/>
      <c r="D48" s="391"/>
      <c r="E48" s="391"/>
      <c r="F48" s="391"/>
      <c r="G48" s="391"/>
      <c r="H48" s="391"/>
      <c r="I48" s="391"/>
      <c r="J48" s="391"/>
      <c r="K48" s="121"/>
      <c r="L48" s="121"/>
      <c r="M48" s="121"/>
      <c r="N48" s="121"/>
      <c r="O48" s="121"/>
      <c r="P48"/>
      <c r="Q48"/>
      <c r="R48"/>
      <c r="S48"/>
      <c r="T48"/>
      <c r="U48"/>
      <c r="V48"/>
      <c r="W48"/>
      <c r="X48"/>
      <c r="Y48"/>
      <c r="Z48"/>
      <c r="AA48"/>
      <c r="AB48"/>
      <c r="AC48"/>
      <c r="AD48"/>
      <c r="AE48"/>
    </row>
    <row r="49" spans="1:31" ht="12.75" customHeight="1">
      <c r="A49" s="121"/>
      <c r="B49" s="391"/>
      <c r="C49" s="391"/>
      <c r="D49" s="391"/>
      <c r="E49" s="391"/>
      <c r="F49" s="391"/>
      <c r="G49" s="391"/>
      <c r="H49" s="391"/>
      <c r="I49" s="391"/>
      <c r="J49" s="391"/>
      <c r="K49" s="121"/>
      <c r="L49" s="121"/>
      <c r="M49" s="121"/>
      <c r="N49" s="121"/>
      <c r="O49" s="121"/>
      <c r="P49"/>
      <c r="Q49"/>
      <c r="R49"/>
      <c r="S49"/>
      <c r="T49"/>
      <c r="U49"/>
      <c r="V49"/>
      <c r="W49"/>
      <c r="X49"/>
      <c r="Y49"/>
      <c r="Z49"/>
      <c r="AA49"/>
      <c r="AB49"/>
      <c r="AC49"/>
      <c r="AD49"/>
      <c r="AE49"/>
    </row>
    <row r="50" spans="1:31" ht="12.75" customHeight="1">
      <c r="A50" s="121"/>
      <c r="B50" s="391"/>
      <c r="C50" s="391"/>
      <c r="D50" s="391"/>
      <c r="E50" s="391"/>
      <c r="F50" s="391"/>
      <c r="G50" s="391"/>
      <c r="H50" s="391"/>
      <c r="I50" s="391"/>
      <c r="J50" s="391"/>
      <c r="K50" s="121"/>
      <c r="L50" s="121"/>
      <c r="M50" s="121"/>
      <c r="N50" s="121"/>
      <c r="O50" s="121"/>
      <c r="P50"/>
      <c r="Q50"/>
      <c r="R50"/>
      <c r="S50"/>
      <c r="T50"/>
      <c r="U50"/>
      <c r="V50"/>
      <c r="W50"/>
      <c r="X50"/>
      <c r="Y50"/>
      <c r="Z50"/>
      <c r="AA50"/>
      <c r="AB50"/>
      <c r="AC50"/>
      <c r="AD50"/>
      <c r="AE50"/>
    </row>
    <row r="51" spans="1:31" ht="12.75" customHeight="1">
      <c r="A51" s="121"/>
      <c r="B51" s="121"/>
      <c r="C51" s="121"/>
      <c r="D51" s="121"/>
      <c r="E51" s="121"/>
      <c r="F51" s="121"/>
      <c r="G51" s="121"/>
      <c r="H51" s="121"/>
      <c r="I51" s="121"/>
      <c r="J51" s="121"/>
      <c r="K51" s="121"/>
      <c r="L51" s="121"/>
      <c r="M51" s="121"/>
      <c r="N51" s="121"/>
      <c r="O51" s="121"/>
      <c r="P51"/>
      <c r="Q51"/>
      <c r="R51"/>
      <c r="S51"/>
      <c r="T51"/>
      <c r="U51"/>
      <c r="V51"/>
      <c r="W51"/>
      <c r="X51"/>
      <c r="Y51"/>
      <c r="Z51"/>
      <c r="AA51"/>
      <c r="AB51"/>
      <c r="AC51"/>
      <c r="AD51"/>
      <c r="AE51"/>
    </row>
    <row r="52" spans="1:31" ht="12.75" customHeight="1">
      <c r="A52" s="121"/>
      <c r="B52" s="121"/>
      <c r="C52" s="121"/>
      <c r="D52" s="121"/>
      <c r="E52" s="121"/>
      <c r="F52" s="121"/>
      <c r="G52" s="121"/>
      <c r="H52" s="121"/>
      <c r="I52" s="121"/>
      <c r="J52" s="121"/>
      <c r="K52" s="121"/>
      <c r="L52" s="121"/>
      <c r="M52" s="121"/>
      <c r="N52" s="121"/>
      <c r="O52" s="121"/>
      <c r="P52"/>
      <c r="Q52"/>
      <c r="R52"/>
      <c r="S52"/>
      <c r="T52"/>
      <c r="U52"/>
      <c r="V52"/>
      <c r="W52"/>
      <c r="X52"/>
      <c r="Y52"/>
      <c r="Z52"/>
      <c r="AA52"/>
      <c r="AB52"/>
      <c r="AC52"/>
      <c r="AD52"/>
      <c r="AE52"/>
    </row>
    <row r="53" spans="1:31" ht="12.75" customHeight="1">
      <c r="A53" s="121"/>
      <c r="B53" s="121"/>
      <c r="C53" s="121"/>
      <c r="D53" s="121"/>
      <c r="E53" s="121"/>
      <c r="F53" s="121"/>
      <c r="G53" s="121"/>
      <c r="H53" s="121"/>
      <c r="I53" s="121"/>
      <c r="J53" s="121"/>
      <c r="K53" s="121"/>
      <c r="L53" s="121"/>
      <c r="M53" s="121"/>
      <c r="N53" s="121"/>
      <c r="O53" s="121"/>
      <c r="P53"/>
      <c r="Q53"/>
      <c r="R53"/>
      <c r="S53"/>
      <c r="T53"/>
      <c r="U53"/>
      <c r="V53"/>
      <c r="W53"/>
      <c r="X53"/>
      <c r="Y53"/>
      <c r="Z53"/>
      <c r="AA53"/>
      <c r="AB53"/>
      <c r="AC53"/>
      <c r="AD53"/>
      <c r="AE53"/>
    </row>
    <row r="54" spans="1:31" ht="12.75" customHeight="1">
      <c r="A54" s="121"/>
      <c r="B54" s="121"/>
      <c r="C54" s="121"/>
      <c r="D54" s="121"/>
      <c r="E54" s="121"/>
      <c r="F54" s="121"/>
      <c r="G54" s="121"/>
      <c r="H54" s="121"/>
      <c r="I54" s="121"/>
      <c r="J54" s="121"/>
      <c r="K54" s="121"/>
      <c r="L54" s="121"/>
      <c r="M54" s="121"/>
      <c r="N54" s="121"/>
      <c r="O54" s="121"/>
      <c r="P54"/>
      <c r="Q54"/>
      <c r="R54"/>
      <c r="S54"/>
      <c r="T54"/>
      <c r="U54"/>
      <c r="V54"/>
      <c r="W54"/>
      <c r="X54"/>
      <c r="Y54"/>
      <c r="Z54"/>
      <c r="AA54"/>
      <c r="AB54"/>
      <c r="AC54"/>
      <c r="AD54"/>
      <c r="AE54"/>
    </row>
    <row r="55" spans="1:31" ht="12.75" customHeight="1">
      <c r="A55" s="121"/>
      <c r="B55" s="121"/>
      <c r="C55" s="121"/>
      <c r="D55" s="121"/>
      <c r="E55" s="121"/>
      <c r="F55" s="121"/>
      <c r="G55" s="121"/>
      <c r="H55" s="121"/>
      <c r="I55" s="121"/>
      <c r="J55" s="121"/>
      <c r="K55" s="121"/>
      <c r="L55" s="121"/>
      <c r="M55" s="121"/>
      <c r="N55" s="121"/>
      <c r="O55" s="121"/>
      <c r="P55"/>
      <c r="Q55"/>
      <c r="R55"/>
      <c r="S55"/>
      <c r="T55"/>
      <c r="U55"/>
      <c r="V55"/>
      <c r="W55"/>
      <c r="X55"/>
      <c r="Y55"/>
      <c r="Z55"/>
      <c r="AA55"/>
      <c r="AB55"/>
      <c r="AC55"/>
      <c r="AD55"/>
      <c r="AE55"/>
    </row>
    <row r="56" spans="1:31" ht="12.75" customHeight="1">
      <c r="A56" s="121"/>
      <c r="B56" s="121"/>
      <c r="C56" s="121"/>
      <c r="D56" s="121"/>
      <c r="E56" s="121"/>
      <c r="F56" s="121"/>
      <c r="G56" s="121"/>
      <c r="H56" s="121"/>
      <c r="I56" s="121"/>
      <c r="J56" s="121"/>
      <c r="K56" s="121"/>
      <c r="L56" s="121"/>
      <c r="M56" s="121"/>
      <c r="N56" s="121"/>
      <c r="O56" s="121"/>
      <c r="P56"/>
      <c r="Q56"/>
      <c r="R56"/>
      <c r="S56"/>
      <c r="T56"/>
      <c r="U56"/>
      <c r="V56"/>
      <c r="W56"/>
      <c r="X56"/>
      <c r="Y56"/>
      <c r="Z56"/>
      <c r="AA56"/>
      <c r="AB56"/>
      <c r="AC56"/>
      <c r="AD56"/>
      <c r="AE56"/>
    </row>
    <row r="57" spans="1:31" ht="12.75" customHeight="1">
      <c r="A57" s="121"/>
      <c r="B57" s="121"/>
      <c r="C57" s="121"/>
      <c r="D57" s="121"/>
      <c r="E57" s="121"/>
      <c r="F57" s="121"/>
      <c r="G57" s="121"/>
      <c r="H57" s="121"/>
      <c r="I57" s="121"/>
      <c r="J57" s="121"/>
      <c r="K57" s="121"/>
      <c r="L57" s="121"/>
      <c r="M57" s="121"/>
      <c r="N57" s="121"/>
      <c r="O57" s="121"/>
      <c r="P57"/>
      <c r="Q57"/>
      <c r="R57"/>
      <c r="S57"/>
      <c r="T57"/>
      <c r="U57"/>
      <c r="V57"/>
      <c r="W57"/>
      <c r="X57"/>
      <c r="Y57"/>
      <c r="Z57"/>
      <c r="AA57"/>
      <c r="AB57"/>
      <c r="AC57"/>
      <c r="AD57"/>
      <c r="AE57"/>
    </row>
    <row r="58" spans="1:31" ht="12.75" customHeight="1">
      <c r="A58" s="121"/>
      <c r="B58" s="121"/>
      <c r="C58" s="121"/>
      <c r="D58" s="121"/>
      <c r="E58" s="121"/>
      <c r="F58" s="121"/>
      <c r="G58" s="121"/>
      <c r="H58" s="121"/>
      <c r="I58" s="121"/>
      <c r="J58" s="121"/>
      <c r="K58" s="121"/>
      <c r="L58" s="121"/>
      <c r="M58" s="121"/>
      <c r="N58" s="121"/>
      <c r="O58" s="121"/>
      <c r="P58"/>
      <c r="Q58"/>
      <c r="R58"/>
      <c r="S58"/>
      <c r="T58"/>
      <c r="U58"/>
      <c r="V58"/>
      <c r="W58"/>
      <c r="X58"/>
      <c r="Y58"/>
      <c r="Z58"/>
      <c r="AA58"/>
      <c r="AB58"/>
      <c r="AC58"/>
      <c r="AD58"/>
      <c r="AE58"/>
    </row>
    <row r="59" spans="1:31" ht="12.75" customHeight="1">
      <c r="A59" s="121"/>
      <c r="B59" s="121"/>
      <c r="C59" s="121"/>
      <c r="D59" s="121"/>
      <c r="E59" s="121"/>
      <c r="F59" s="121"/>
      <c r="G59" s="121"/>
      <c r="H59" s="121"/>
      <c r="I59" s="121"/>
      <c r="J59" s="121"/>
      <c r="K59" s="121"/>
      <c r="L59" s="121"/>
      <c r="M59" s="121"/>
      <c r="N59" s="121"/>
      <c r="O59" s="121"/>
      <c r="P59"/>
      <c r="Q59"/>
      <c r="R59"/>
      <c r="S59"/>
      <c r="T59"/>
      <c r="U59"/>
      <c r="V59"/>
      <c r="W59"/>
      <c r="X59"/>
      <c r="Y59"/>
      <c r="Z59"/>
      <c r="AA59"/>
      <c r="AB59"/>
      <c r="AC59"/>
      <c r="AD59"/>
      <c r="AE59"/>
    </row>
    <row r="60" spans="1:31" ht="12.75" customHeight="1">
      <c r="A60" s="121"/>
      <c r="B60" s="121"/>
      <c r="C60" s="121"/>
      <c r="D60" s="121"/>
      <c r="E60" s="121"/>
      <c r="F60" s="121"/>
      <c r="G60" s="121"/>
      <c r="H60" s="121"/>
      <c r="I60" s="121"/>
      <c r="J60" s="121"/>
      <c r="K60" s="121"/>
      <c r="L60" s="121"/>
      <c r="M60" s="121"/>
      <c r="N60" s="121"/>
      <c r="O60" s="121"/>
      <c r="P60"/>
      <c r="Q60"/>
      <c r="R60"/>
      <c r="S60"/>
      <c r="T60"/>
      <c r="U60"/>
      <c r="V60"/>
      <c r="W60"/>
      <c r="X60"/>
      <c r="Y60"/>
      <c r="Z60"/>
      <c r="AA60"/>
      <c r="AB60"/>
      <c r="AC60"/>
      <c r="AD60"/>
      <c r="AE60"/>
    </row>
    <row r="61" spans="1:31" ht="12.75" customHeight="1">
      <c r="A61" s="121"/>
      <c r="B61" s="121"/>
      <c r="C61" s="121"/>
      <c r="D61" s="121"/>
      <c r="E61" s="121"/>
      <c r="F61" s="121"/>
      <c r="G61" s="121"/>
      <c r="H61" s="121"/>
      <c r="I61" s="121"/>
      <c r="J61" s="121"/>
      <c r="K61" s="121"/>
      <c r="L61" s="121"/>
      <c r="M61" s="121"/>
      <c r="N61" s="121"/>
      <c r="O61" s="121"/>
      <c r="P61"/>
      <c r="Q61"/>
      <c r="R61"/>
      <c r="S61"/>
      <c r="T61"/>
      <c r="U61"/>
      <c r="V61"/>
      <c r="W61"/>
      <c r="X61"/>
      <c r="Y61"/>
      <c r="Z61"/>
      <c r="AA61"/>
      <c r="AB61"/>
      <c r="AC61"/>
      <c r="AD61"/>
      <c r="AE61"/>
    </row>
    <row r="62" spans="1:31" ht="12.75" customHeight="1">
      <c r="A62" s="121"/>
      <c r="B62" s="121"/>
      <c r="C62" s="121"/>
      <c r="D62" s="121"/>
      <c r="E62" s="121"/>
      <c r="F62" s="121"/>
      <c r="G62" s="121"/>
      <c r="H62" s="121"/>
      <c r="I62" s="121"/>
      <c r="J62" s="121"/>
      <c r="K62" s="121"/>
      <c r="L62" s="121"/>
      <c r="M62" s="121"/>
      <c r="N62" s="121"/>
      <c r="O62" s="121"/>
      <c r="P62"/>
      <c r="Q62"/>
      <c r="R62"/>
      <c r="S62"/>
      <c r="T62"/>
      <c r="U62"/>
      <c r="V62"/>
      <c r="W62"/>
      <c r="X62"/>
      <c r="Y62"/>
      <c r="Z62"/>
      <c r="AA62"/>
      <c r="AB62"/>
      <c r="AC62"/>
      <c r="AD62"/>
      <c r="AE62"/>
    </row>
    <row r="63" spans="1:31" ht="12.75" customHeight="1">
      <c r="A63" s="121"/>
      <c r="B63" s="121"/>
      <c r="C63" s="121"/>
      <c r="D63" s="121"/>
      <c r="E63" s="121"/>
      <c r="F63" s="121"/>
      <c r="G63" s="121"/>
      <c r="H63" s="121"/>
      <c r="I63" s="121"/>
      <c r="J63" s="121"/>
      <c r="K63" s="121"/>
      <c r="L63" s="121"/>
      <c r="M63" s="121"/>
      <c r="N63" s="121"/>
      <c r="O63" s="121"/>
      <c r="P63"/>
      <c r="Q63"/>
      <c r="R63"/>
      <c r="S63"/>
      <c r="T63"/>
      <c r="U63"/>
      <c r="V63"/>
      <c r="W63"/>
      <c r="X63"/>
      <c r="Y63"/>
      <c r="Z63"/>
      <c r="AA63"/>
      <c r="AB63"/>
      <c r="AC63"/>
      <c r="AD63"/>
      <c r="AE63"/>
    </row>
    <row r="64" spans="1:31" ht="12.75" customHeight="1">
      <c r="A64" s="121"/>
      <c r="B64" s="121"/>
      <c r="C64" s="121"/>
      <c r="D64" s="121"/>
      <c r="E64" s="121"/>
      <c r="F64" s="121"/>
      <c r="G64" s="121"/>
      <c r="H64" s="121"/>
      <c r="I64" s="121"/>
      <c r="J64" s="121"/>
      <c r="K64" s="121"/>
      <c r="L64" s="121"/>
      <c r="M64" s="121"/>
      <c r="N64" s="121"/>
      <c r="O64" s="121"/>
      <c r="P64"/>
      <c r="Q64"/>
      <c r="R64"/>
      <c r="S64"/>
      <c r="T64"/>
      <c r="U64"/>
      <c r="V64"/>
      <c r="W64"/>
      <c r="X64"/>
      <c r="Y64"/>
      <c r="Z64"/>
      <c r="AA64"/>
      <c r="AB64"/>
      <c r="AC64"/>
      <c r="AD64"/>
      <c r="AE64"/>
    </row>
    <row r="65" spans="1:35" ht="12.75" customHeight="1">
      <c r="A65" s="121"/>
      <c r="B65" s="121"/>
      <c r="C65" s="121"/>
      <c r="D65" s="121"/>
      <c r="E65" s="121"/>
      <c r="F65" s="121"/>
      <c r="G65" s="121"/>
      <c r="H65" s="121"/>
      <c r="I65" s="121"/>
      <c r="J65" s="121"/>
      <c r="K65" s="121"/>
      <c r="L65" s="121"/>
      <c r="M65" s="121"/>
      <c r="N65" s="121"/>
      <c r="O65" s="121"/>
      <c r="P65"/>
      <c r="Q65"/>
      <c r="R65"/>
      <c r="S65"/>
      <c r="T65"/>
      <c r="U65"/>
      <c r="V65"/>
      <c r="W65"/>
      <c r="X65"/>
      <c r="Y65"/>
      <c r="Z65"/>
      <c r="AA65"/>
      <c r="AB65"/>
      <c r="AC65"/>
      <c r="AD65"/>
      <c r="AE65"/>
    </row>
    <row r="66" spans="1:35" ht="12.75" customHeight="1">
      <c r="A66" s="121"/>
      <c r="B66" s="121"/>
      <c r="C66" s="121"/>
      <c r="D66" s="121"/>
      <c r="E66" s="121"/>
      <c r="F66" s="121"/>
      <c r="G66" s="121"/>
      <c r="H66" s="121"/>
      <c r="I66" s="121"/>
      <c r="J66" s="121"/>
      <c r="K66" s="121"/>
      <c r="L66" s="121"/>
      <c r="M66" s="121"/>
      <c r="N66" s="121"/>
      <c r="O66" s="121"/>
      <c r="P66"/>
      <c r="Q66"/>
      <c r="R66"/>
      <c r="S66"/>
      <c r="T66"/>
      <c r="U66"/>
      <c r="V66"/>
      <c r="W66"/>
      <c r="X66"/>
      <c r="Y66"/>
      <c r="Z66"/>
      <c r="AA66"/>
      <c r="AB66"/>
      <c r="AC66"/>
      <c r="AD66"/>
      <c r="AE66"/>
    </row>
    <row r="67" spans="1:35" ht="12.75" hidden="1" customHeight="1">
      <c r="A67" s="121"/>
      <c r="B67" s="121"/>
      <c r="C67" s="121"/>
      <c r="D67" s="121"/>
      <c r="E67" s="121"/>
      <c r="F67" s="121"/>
      <c r="G67" s="121"/>
      <c r="H67" s="121"/>
      <c r="I67" s="121"/>
      <c r="J67" s="121"/>
      <c r="K67" s="121"/>
      <c r="L67" s="121"/>
      <c r="M67" s="121"/>
      <c r="N67" s="121"/>
      <c r="O67" s="121"/>
      <c r="P67"/>
      <c r="Q67"/>
      <c r="R67"/>
      <c r="S67"/>
      <c r="T67"/>
      <c r="U67"/>
      <c r="V67"/>
      <c r="W67"/>
      <c r="X67"/>
      <c r="Y67"/>
      <c r="Z67"/>
      <c r="AA67"/>
      <c r="AB67"/>
      <c r="AC67"/>
      <c r="AD67"/>
      <c r="AE67"/>
    </row>
    <row r="68" spans="1:35" ht="12.75" hidden="1" customHeight="1">
      <c r="A68" s="121"/>
      <c r="B68" s="121"/>
      <c r="C68" s="121"/>
      <c r="D68" s="121"/>
      <c r="E68" s="121"/>
      <c r="F68" s="121"/>
      <c r="G68" s="121"/>
      <c r="H68" s="121"/>
      <c r="I68" s="121"/>
      <c r="J68" s="121"/>
      <c r="K68" s="121"/>
      <c r="L68" s="121"/>
      <c r="M68" s="121"/>
      <c r="N68" s="121"/>
      <c r="O68" s="121"/>
      <c r="P68"/>
      <c r="Q68"/>
      <c r="R68"/>
      <c r="S68"/>
      <c r="T68"/>
      <c r="U68"/>
      <c r="V68"/>
      <c r="W68"/>
      <c r="X68"/>
      <c r="Y68"/>
      <c r="Z68"/>
      <c r="AA68"/>
      <c r="AB68"/>
      <c r="AC68"/>
      <c r="AD68"/>
      <c r="AE68"/>
      <c r="AF68" s="23"/>
      <c r="AG68" s="23"/>
      <c r="AH68" s="23"/>
    </row>
    <row r="69" spans="1:35" ht="12.75" hidden="1" customHeight="1">
      <c r="A69" s="121"/>
      <c r="B69" s="121"/>
      <c r="C69" s="121"/>
      <c r="D69" s="121"/>
      <c r="E69" s="121"/>
      <c r="F69" s="121"/>
      <c r="G69" s="121"/>
      <c r="H69" s="121"/>
      <c r="I69" s="121"/>
      <c r="J69" s="121"/>
      <c r="K69" s="121"/>
      <c r="L69" s="121"/>
      <c r="M69" s="121"/>
      <c r="N69" s="121"/>
      <c r="O69" s="121"/>
      <c r="P69"/>
      <c r="Q69"/>
      <c r="R69"/>
      <c r="S69"/>
      <c r="T69"/>
      <c r="U69"/>
      <c r="V69"/>
      <c r="W69"/>
      <c r="X69"/>
      <c r="Y69"/>
      <c r="Z69"/>
      <c r="AA69"/>
      <c r="AB69"/>
      <c r="AC69"/>
      <c r="AD69"/>
      <c r="AE69"/>
      <c r="AI69" s="17"/>
    </row>
    <row r="70" spans="1:35" ht="12.75" hidden="1" customHeight="1">
      <c r="A70" s="121"/>
      <c r="B70" s="121"/>
      <c r="C70" s="121"/>
      <c r="D70" s="121"/>
      <c r="E70" s="121"/>
      <c r="F70" s="121"/>
      <c r="G70" s="121"/>
      <c r="H70" s="121"/>
      <c r="I70" s="121"/>
      <c r="J70" s="121"/>
      <c r="K70" s="121"/>
      <c r="L70" s="121"/>
      <c r="M70" s="121"/>
      <c r="N70" s="121"/>
      <c r="O70" s="121"/>
      <c r="P70"/>
      <c r="Q70"/>
      <c r="R70"/>
      <c r="S70"/>
      <c r="T70"/>
      <c r="U70"/>
      <c r="V70"/>
      <c r="W70"/>
      <c r="X70"/>
      <c r="Y70"/>
      <c r="Z70"/>
      <c r="AA70"/>
      <c r="AB70"/>
      <c r="AC70"/>
      <c r="AD70"/>
      <c r="AE70"/>
      <c r="AI70" s="17"/>
    </row>
    <row r="71" spans="1:35" ht="12.75" hidden="1" customHeight="1">
      <c r="A71" s="121"/>
      <c r="B71" s="121"/>
      <c r="C71" s="121"/>
      <c r="D71" s="121"/>
      <c r="E71" s="121"/>
      <c r="F71" s="121"/>
      <c r="G71" s="121"/>
      <c r="H71" s="121"/>
      <c r="I71" s="121"/>
      <c r="J71" s="121"/>
      <c r="K71" s="121"/>
      <c r="L71" s="121"/>
      <c r="M71" s="121"/>
      <c r="N71" s="121"/>
      <c r="O71" s="121"/>
      <c r="P71"/>
      <c r="Q71"/>
      <c r="R71"/>
      <c r="S71"/>
      <c r="T71"/>
      <c r="U71"/>
      <c r="V71"/>
      <c r="W71"/>
      <c r="X71"/>
      <c r="Y71"/>
      <c r="Z71"/>
      <c r="AA71"/>
      <c r="AB71"/>
      <c r="AC71"/>
      <c r="AD71"/>
      <c r="AE71"/>
      <c r="AI71" s="17"/>
    </row>
    <row r="72" spans="1:35" ht="12.75" hidden="1" customHeight="1">
      <c r="A72" s="121"/>
      <c r="B72" s="121"/>
      <c r="C72" s="121"/>
      <c r="D72" s="121"/>
      <c r="E72" s="121"/>
      <c r="F72" s="121"/>
      <c r="G72" s="121"/>
      <c r="H72" s="121"/>
      <c r="I72" s="121"/>
      <c r="J72" s="121"/>
      <c r="K72" s="121"/>
      <c r="L72" s="121"/>
      <c r="M72" s="121"/>
      <c r="N72" s="121"/>
      <c r="O72" s="121"/>
      <c r="P72"/>
      <c r="Q72"/>
      <c r="R72"/>
      <c r="S72"/>
      <c r="T72"/>
      <c r="U72"/>
      <c r="V72"/>
      <c r="W72"/>
      <c r="X72"/>
      <c r="Y72"/>
      <c r="Z72"/>
      <c r="AA72"/>
      <c r="AB72"/>
      <c r="AC72"/>
      <c r="AD72"/>
      <c r="AE72"/>
      <c r="AI72" s="32"/>
    </row>
    <row r="73" spans="1:35" ht="12.75" hidden="1" customHeight="1">
      <c r="A73" s="121"/>
      <c r="B73" s="121"/>
      <c r="C73" s="121"/>
      <c r="D73" s="121"/>
      <c r="E73" s="121"/>
      <c r="F73" s="121"/>
      <c r="G73" s="121"/>
      <c r="H73" s="121"/>
      <c r="I73" s="121"/>
      <c r="J73" s="121"/>
      <c r="K73" s="121"/>
      <c r="L73" s="121"/>
      <c r="M73" s="121"/>
      <c r="N73" s="121"/>
      <c r="O73" s="121"/>
      <c r="P73"/>
      <c r="Q73"/>
      <c r="R73"/>
      <c r="S73"/>
      <c r="T73"/>
      <c r="U73"/>
      <c r="V73"/>
      <c r="W73"/>
      <c r="X73"/>
      <c r="Y73"/>
      <c r="Z73"/>
      <c r="AA73"/>
      <c r="AB73"/>
      <c r="AC73"/>
      <c r="AD73"/>
      <c r="AE73"/>
      <c r="AI73" s="32"/>
    </row>
    <row r="74" spans="1:35" ht="12.75" hidden="1" customHeight="1">
      <c r="A74" s="121"/>
      <c r="B74" s="121"/>
      <c r="C74" s="121"/>
      <c r="D74" s="121"/>
      <c r="E74" s="121"/>
      <c r="F74" s="121"/>
      <c r="G74" s="121"/>
      <c r="H74" s="121"/>
      <c r="I74" s="121"/>
      <c r="J74" s="121"/>
      <c r="K74" s="121"/>
      <c r="L74" s="121"/>
      <c r="M74" s="121"/>
      <c r="N74" s="121"/>
      <c r="O74" s="121"/>
      <c r="P74"/>
      <c r="Q74"/>
      <c r="R74"/>
      <c r="S74"/>
      <c r="T74"/>
      <c r="U74"/>
      <c r="V74"/>
      <c r="W74"/>
      <c r="X74"/>
      <c r="Y74"/>
      <c r="Z74"/>
      <c r="AA74"/>
      <c r="AB74"/>
      <c r="AC74"/>
      <c r="AD74"/>
      <c r="AE74"/>
      <c r="AI74" s="32"/>
    </row>
    <row r="75" spans="1:35" ht="12.75" hidden="1" customHeight="1">
      <c r="A75" s="121"/>
      <c r="B75" s="121"/>
      <c r="C75" s="121"/>
      <c r="D75" s="121"/>
      <c r="E75" s="121"/>
      <c r="F75" s="121"/>
      <c r="G75" s="121"/>
      <c r="H75" s="121"/>
      <c r="I75" s="121"/>
      <c r="J75" s="121"/>
      <c r="K75" s="121"/>
      <c r="L75" s="121"/>
      <c r="M75" s="121"/>
      <c r="N75" s="121"/>
      <c r="O75" s="121"/>
      <c r="P75"/>
      <c r="Q75"/>
      <c r="R75"/>
      <c r="S75"/>
      <c r="T75"/>
      <c r="U75"/>
      <c r="V75"/>
      <c r="W75"/>
      <c r="X75"/>
      <c r="Y75"/>
      <c r="Z75"/>
      <c r="AA75"/>
      <c r="AB75"/>
      <c r="AC75"/>
      <c r="AD75"/>
      <c r="AE75"/>
      <c r="AI75" s="17"/>
    </row>
    <row r="76" spans="1:35" ht="12.75" hidden="1" customHeight="1">
      <c r="A76" s="121"/>
      <c r="B76" s="121"/>
      <c r="C76" s="121"/>
      <c r="D76" s="121"/>
      <c r="E76" s="121"/>
      <c r="F76" s="121"/>
      <c r="G76" s="121"/>
      <c r="H76" s="121"/>
      <c r="I76" s="121"/>
      <c r="J76" s="121"/>
      <c r="K76" s="121"/>
      <c r="L76" s="121"/>
      <c r="M76" s="121"/>
      <c r="N76" s="121"/>
      <c r="O76" s="121"/>
      <c r="P76"/>
      <c r="Q76"/>
      <c r="R76"/>
      <c r="S76"/>
      <c r="T76"/>
      <c r="U76"/>
      <c r="V76"/>
      <c r="W76"/>
      <c r="X76"/>
      <c r="Y76"/>
      <c r="Z76"/>
      <c r="AA76"/>
      <c r="AB76"/>
      <c r="AC76"/>
      <c r="AD76"/>
      <c r="AE76"/>
      <c r="AI76" s="17"/>
    </row>
    <row r="77" spans="1:35" ht="12.75" hidden="1" customHeight="1">
      <c r="A77" s="121"/>
      <c r="B77" s="121"/>
      <c r="C77" s="121"/>
      <c r="D77" s="121"/>
      <c r="E77" s="121"/>
      <c r="F77" s="121"/>
      <c r="G77" s="121"/>
      <c r="H77" s="121"/>
      <c r="I77" s="121"/>
      <c r="J77" s="121"/>
      <c r="K77" s="121"/>
      <c r="L77" s="121"/>
      <c r="M77" s="121"/>
      <c r="N77" s="121"/>
      <c r="O77" s="121"/>
      <c r="P77"/>
      <c r="Q77"/>
      <c r="R77"/>
      <c r="S77"/>
      <c r="T77"/>
      <c r="U77"/>
      <c r="V77"/>
      <c r="W77"/>
      <c r="X77"/>
      <c r="Y77"/>
      <c r="Z77"/>
      <c r="AA77"/>
      <c r="AB77"/>
      <c r="AC77"/>
      <c r="AD77"/>
      <c r="AE77"/>
      <c r="AI77" s="17"/>
    </row>
    <row r="78" spans="1:35" ht="12.75" hidden="1" customHeight="1">
      <c r="A78" s="121"/>
      <c r="B78" s="121"/>
      <c r="C78" s="121"/>
      <c r="D78" s="121"/>
      <c r="E78" s="121"/>
      <c r="F78" s="121"/>
      <c r="G78" s="121"/>
      <c r="H78" s="121"/>
      <c r="I78" s="121"/>
      <c r="J78" s="121"/>
      <c r="K78" s="121"/>
      <c r="L78" s="121"/>
      <c r="M78" s="121"/>
      <c r="N78" s="121"/>
      <c r="O78" s="121"/>
      <c r="P78"/>
      <c r="Q78"/>
      <c r="R78"/>
      <c r="S78"/>
      <c r="T78"/>
      <c r="U78"/>
      <c r="V78"/>
      <c r="W78"/>
      <c r="X78"/>
      <c r="Y78"/>
      <c r="Z78"/>
      <c r="AA78"/>
      <c r="AB78"/>
      <c r="AC78"/>
      <c r="AD78"/>
      <c r="AE78"/>
      <c r="AI78" s="17"/>
    </row>
    <row r="79" spans="1:35" ht="12.75" hidden="1" customHeight="1">
      <c r="A79" s="121"/>
      <c r="B79" s="121"/>
      <c r="C79" s="121"/>
      <c r="D79" s="121"/>
      <c r="E79" s="121"/>
      <c r="F79" s="121"/>
      <c r="G79" s="121"/>
      <c r="H79" s="121"/>
      <c r="I79" s="121"/>
      <c r="J79" s="121"/>
      <c r="K79" s="121"/>
      <c r="L79" s="121"/>
      <c r="M79" s="121"/>
      <c r="N79" s="121"/>
      <c r="O79" s="121"/>
      <c r="P79"/>
      <c r="Q79"/>
      <c r="R79"/>
      <c r="S79"/>
      <c r="T79"/>
      <c r="U79"/>
      <c r="V79"/>
      <c r="W79"/>
      <c r="X79"/>
      <c r="Y79"/>
      <c r="Z79"/>
      <c r="AA79"/>
      <c r="AB79"/>
      <c r="AC79"/>
      <c r="AD79"/>
      <c r="AE79"/>
      <c r="AI79" s="17"/>
    </row>
    <row r="80" spans="1:35" ht="12.75" hidden="1" customHeight="1">
      <c r="A80" s="121"/>
      <c r="B80" s="121"/>
      <c r="C80" s="121"/>
      <c r="D80" s="121"/>
      <c r="E80" s="121"/>
      <c r="F80" s="121"/>
      <c r="G80" s="121"/>
      <c r="H80" s="121"/>
      <c r="I80" s="121"/>
      <c r="J80" s="121"/>
      <c r="K80" s="121"/>
      <c r="L80" s="121"/>
      <c r="M80" s="121"/>
      <c r="N80" s="121"/>
      <c r="O80" s="121"/>
      <c r="P80"/>
      <c r="Q80"/>
      <c r="R80"/>
      <c r="S80"/>
      <c r="T80"/>
      <c r="U80"/>
      <c r="V80"/>
      <c r="W80"/>
      <c r="X80"/>
      <c r="Y80"/>
      <c r="Z80"/>
      <c r="AA80"/>
      <c r="AB80"/>
      <c r="AC80"/>
      <c r="AD80"/>
      <c r="AE80"/>
      <c r="AI80" s="17"/>
    </row>
    <row r="81" spans="1:35" ht="12.75" hidden="1" customHeight="1">
      <c r="A81" s="121"/>
      <c r="B81" s="121"/>
      <c r="C81" s="121"/>
      <c r="D81" s="121"/>
      <c r="E81" s="121"/>
      <c r="F81" s="121"/>
      <c r="G81" s="121"/>
      <c r="H81" s="121"/>
      <c r="I81" s="121"/>
      <c r="J81" s="121"/>
      <c r="K81" s="121"/>
      <c r="L81" s="121"/>
      <c r="M81" s="121"/>
      <c r="N81" s="121"/>
      <c r="O81" s="121"/>
      <c r="P81"/>
      <c r="Q81"/>
      <c r="R81"/>
      <c r="S81"/>
      <c r="T81"/>
      <c r="U81"/>
      <c r="V81"/>
      <c r="W81"/>
      <c r="X81"/>
      <c r="Y81"/>
      <c r="Z81"/>
      <c r="AA81"/>
      <c r="AB81"/>
      <c r="AC81"/>
      <c r="AD81"/>
      <c r="AE81"/>
      <c r="AI81" s="17"/>
    </row>
    <row r="82" spans="1:35" ht="12.75" hidden="1" customHeight="1">
      <c r="A82" s="121"/>
      <c r="B82" s="121"/>
      <c r="C82" s="121"/>
      <c r="D82" s="121"/>
      <c r="E82" s="121"/>
      <c r="F82" s="121"/>
      <c r="G82" s="121"/>
      <c r="H82" s="121"/>
      <c r="I82" s="121"/>
      <c r="J82" s="121"/>
      <c r="K82" s="121"/>
      <c r="L82" s="121"/>
      <c r="M82" s="121"/>
      <c r="N82" s="121"/>
      <c r="O82" s="121"/>
      <c r="P82"/>
      <c r="Q82"/>
      <c r="R82"/>
      <c r="S82"/>
      <c r="T82"/>
      <c r="U82"/>
      <c r="V82"/>
      <c r="W82"/>
      <c r="X82"/>
      <c r="Y82"/>
      <c r="Z82"/>
      <c r="AA82"/>
      <c r="AB82"/>
      <c r="AC82"/>
      <c r="AD82"/>
      <c r="AE82"/>
      <c r="AI82" s="17"/>
    </row>
    <row r="83" spans="1:35" ht="12.75" hidden="1" customHeight="1">
      <c r="A83" s="121"/>
      <c r="B83" s="121"/>
      <c r="C83" s="121"/>
      <c r="D83" s="121"/>
      <c r="E83" s="121"/>
      <c r="F83" s="121"/>
      <c r="G83" s="121"/>
      <c r="H83" s="121"/>
      <c r="I83" s="121"/>
      <c r="J83" s="121"/>
      <c r="K83" s="121"/>
      <c r="L83" s="121"/>
      <c r="M83" s="121"/>
      <c r="N83" s="121"/>
      <c r="O83" s="121"/>
      <c r="P83"/>
      <c r="Q83"/>
      <c r="R83"/>
      <c r="S83"/>
      <c r="T83"/>
      <c r="U83"/>
      <c r="V83"/>
      <c r="W83"/>
      <c r="X83"/>
      <c r="Y83"/>
      <c r="Z83"/>
      <c r="AA83"/>
      <c r="AB83"/>
      <c r="AC83"/>
      <c r="AD83"/>
      <c r="AE83"/>
      <c r="AI83" s="43"/>
    </row>
    <row r="84" spans="1:35" ht="12.75" hidden="1" customHeight="1">
      <c r="A84" s="121"/>
      <c r="B84" s="121"/>
      <c r="C84" s="121"/>
      <c r="D84" s="121"/>
      <c r="E84" s="121"/>
      <c r="F84" s="121"/>
      <c r="G84" s="121"/>
      <c r="H84" s="121"/>
      <c r="I84" s="121"/>
      <c r="J84" s="121"/>
      <c r="K84" s="121"/>
      <c r="L84" s="121"/>
      <c r="M84" s="121"/>
      <c r="N84" s="121"/>
      <c r="O84" s="121"/>
      <c r="P84"/>
      <c r="Q84"/>
      <c r="R84"/>
      <c r="S84"/>
      <c r="T84"/>
      <c r="U84"/>
      <c r="V84"/>
      <c r="W84"/>
      <c r="X84"/>
      <c r="Y84"/>
      <c r="Z84"/>
      <c r="AA84"/>
      <c r="AB84"/>
      <c r="AC84"/>
      <c r="AD84"/>
      <c r="AE84"/>
    </row>
    <row r="85" spans="1:35" ht="12.75" hidden="1" customHeight="1">
      <c r="A85" s="121"/>
      <c r="B85" s="121"/>
      <c r="C85" s="121"/>
      <c r="D85" s="121"/>
      <c r="E85" s="121"/>
      <c r="F85" s="121"/>
      <c r="G85" s="121"/>
      <c r="H85" s="121"/>
      <c r="I85" s="121"/>
      <c r="J85" s="121"/>
      <c r="K85" s="121"/>
      <c r="L85" s="121"/>
      <c r="M85" s="121"/>
      <c r="N85" s="121"/>
      <c r="O85" s="121"/>
      <c r="P85"/>
      <c r="Q85"/>
      <c r="R85"/>
      <c r="S85"/>
      <c r="T85"/>
      <c r="U85"/>
      <c r="V85"/>
      <c r="W85"/>
      <c r="X85"/>
      <c r="Y85"/>
      <c r="Z85"/>
      <c r="AA85"/>
      <c r="AB85"/>
      <c r="AC85"/>
      <c r="AD85"/>
      <c r="AE85"/>
    </row>
    <row r="86" spans="1:35" ht="12.75" hidden="1" customHeight="1">
      <c r="A86" s="121"/>
      <c r="B86" s="121"/>
      <c r="C86" s="121"/>
      <c r="D86" s="121"/>
      <c r="E86" s="121"/>
      <c r="F86" s="121"/>
      <c r="G86" s="121"/>
      <c r="H86" s="121"/>
      <c r="I86" s="121"/>
      <c r="J86" s="121"/>
      <c r="K86" s="121"/>
      <c r="L86" s="121"/>
      <c r="M86" s="121"/>
      <c r="N86" s="121"/>
      <c r="O86" s="121"/>
      <c r="P86"/>
      <c r="Q86"/>
      <c r="R86"/>
      <c r="S86"/>
      <c r="T86"/>
      <c r="U86"/>
      <c r="V86"/>
      <c r="W86"/>
      <c r="X86"/>
      <c r="Y86"/>
      <c r="Z86"/>
      <c r="AA86"/>
      <c r="AB86"/>
      <c r="AC86"/>
      <c r="AD86"/>
      <c r="AE86"/>
    </row>
    <row r="87" spans="1:35" ht="12.75" hidden="1" customHeight="1">
      <c r="A87" s="121"/>
      <c r="B87" s="121"/>
      <c r="C87" s="121"/>
      <c r="D87" s="121"/>
      <c r="E87" s="121"/>
      <c r="F87" s="121"/>
      <c r="G87" s="121"/>
      <c r="H87" s="121"/>
      <c r="I87" s="121"/>
      <c r="J87" s="121"/>
      <c r="K87" s="121"/>
      <c r="L87" s="121"/>
      <c r="M87" s="121"/>
      <c r="N87" s="121"/>
      <c r="O87" s="121"/>
      <c r="P87"/>
      <c r="Q87"/>
      <c r="R87"/>
      <c r="S87"/>
      <c r="T87"/>
      <c r="U87"/>
      <c r="V87"/>
      <c r="W87"/>
      <c r="X87"/>
      <c r="Y87"/>
      <c r="Z87"/>
      <c r="AA87"/>
      <c r="AB87"/>
      <c r="AC87"/>
      <c r="AD87"/>
      <c r="AE87"/>
    </row>
    <row r="88" spans="1:35" ht="12.75" hidden="1" customHeight="1">
      <c r="A88" s="121"/>
      <c r="B88" s="121"/>
      <c r="C88" s="121"/>
      <c r="D88" s="121"/>
      <c r="E88" s="121"/>
      <c r="F88" s="121"/>
      <c r="G88" s="121"/>
      <c r="H88" s="121"/>
      <c r="I88" s="121"/>
      <c r="J88" s="121"/>
      <c r="K88" s="121"/>
      <c r="L88" s="121"/>
      <c r="M88" s="121"/>
      <c r="N88" s="121"/>
      <c r="O88" s="121"/>
      <c r="P88"/>
      <c r="Q88"/>
      <c r="R88"/>
      <c r="S88"/>
      <c r="T88"/>
      <c r="U88"/>
      <c r="V88"/>
      <c r="W88"/>
      <c r="X88"/>
      <c r="Y88"/>
      <c r="Z88"/>
      <c r="AA88"/>
      <c r="AB88"/>
      <c r="AC88"/>
      <c r="AD88"/>
      <c r="AE88"/>
    </row>
    <row r="89" spans="1:35" ht="12.75" hidden="1" customHeight="1">
      <c r="A89" s="121"/>
      <c r="B89" s="121"/>
      <c r="C89" s="121"/>
      <c r="D89" s="121"/>
      <c r="E89" s="121"/>
      <c r="F89" s="121"/>
      <c r="G89" s="121"/>
      <c r="H89" s="121"/>
      <c r="I89" s="121"/>
      <c r="J89" s="121"/>
      <c r="K89" s="121"/>
      <c r="L89" s="121"/>
      <c r="M89" s="121"/>
      <c r="N89" s="121"/>
      <c r="O89" s="121"/>
      <c r="P89"/>
      <c r="Q89"/>
      <c r="R89"/>
      <c r="S89"/>
      <c r="T89"/>
      <c r="U89"/>
      <c r="V89"/>
      <c r="W89"/>
      <c r="X89"/>
      <c r="Y89"/>
      <c r="Z89"/>
      <c r="AA89"/>
      <c r="AB89"/>
      <c r="AC89"/>
      <c r="AD89"/>
      <c r="AE89"/>
    </row>
    <row r="90" spans="1:35" ht="12.75" hidden="1" customHeight="1">
      <c r="A90" s="121"/>
      <c r="B90" s="121"/>
      <c r="C90" s="121"/>
      <c r="D90" s="121"/>
      <c r="E90" s="121"/>
      <c r="F90" s="121"/>
      <c r="G90" s="121"/>
      <c r="H90" s="121"/>
      <c r="I90" s="121"/>
      <c r="J90" s="121"/>
      <c r="K90" s="121"/>
      <c r="L90" s="121"/>
      <c r="M90" s="121"/>
      <c r="N90" s="121"/>
      <c r="O90" s="121"/>
      <c r="P90"/>
      <c r="Q90"/>
      <c r="R90"/>
      <c r="S90"/>
      <c r="T90"/>
      <c r="U90"/>
      <c r="V90"/>
      <c r="W90"/>
      <c r="X90"/>
      <c r="Y90"/>
      <c r="Z90"/>
      <c r="AA90"/>
      <c r="AB90"/>
      <c r="AC90"/>
      <c r="AD90"/>
      <c r="AE90"/>
    </row>
    <row r="91" spans="1:35" ht="12.75" hidden="1" customHeight="1">
      <c r="A91" s="121"/>
      <c r="B91" s="121"/>
      <c r="C91" s="121"/>
      <c r="D91" s="121"/>
      <c r="E91" s="121"/>
      <c r="F91" s="121"/>
      <c r="G91" s="121"/>
      <c r="H91" s="121"/>
      <c r="I91" s="121"/>
      <c r="J91" s="121"/>
      <c r="K91" s="121"/>
      <c r="L91" s="121"/>
      <c r="M91" s="121"/>
      <c r="N91" s="121"/>
      <c r="O91" s="121"/>
      <c r="P91"/>
      <c r="Q91"/>
      <c r="R91"/>
      <c r="S91"/>
      <c r="T91"/>
      <c r="U91"/>
      <c r="V91"/>
      <c r="W91"/>
      <c r="X91"/>
      <c r="Y91"/>
      <c r="Z91"/>
      <c r="AA91"/>
      <c r="AB91"/>
      <c r="AC91"/>
      <c r="AD91"/>
      <c r="AE91"/>
    </row>
    <row r="92" spans="1:35" ht="12.75" hidden="1" customHeight="1">
      <c r="A92" s="121"/>
      <c r="B92" s="121"/>
      <c r="C92" s="121"/>
      <c r="D92" s="121"/>
      <c r="E92" s="121"/>
      <c r="F92" s="121"/>
      <c r="G92" s="121"/>
      <c r="H92" s="121"/>
      <c r="I92" s="121"/>
      <c r="J92" s="121"/>
      <c r="K92" s="121"/>
      <c r="L92" s="121"/>
      <c r="M92" s="121"/>
      <c r="N92" s="121"/>
      <c r="O92" s="121"/>
      <c r="P92"/>
      <c r="Q92"/>
      <c r="R92"/>
      <c r="S92"/>
      <c r="T92"/>
      <c r="U92"/>
      <c r="V92"/>
      <c r="W92"/>
      <c r="X92"/>
      <c r="Y92"/>
      <c r="Z92"/>
      <c r="AA92"/>
      <c r="AB92"/>
      <c r="AC92"/>
      <c r="AD92"/>
      <c r="AE92"/>
    </row>
    <row r="93" spans="1:35" ht="12.75" hidden="1" customHeight="1">
      <c r="A93" s="121"/>
      <c r="B93" s="121"/>
      <c r="C93" s="121"/>
      <c r="D93" s="121"/>
      <c r="E93" s="121"/>
      <c r="F93" s="121"/>
      <c r="G93" s="121"/>
      <c r="H93" s="121"/>
      <c r="I93" s="121"/>
      <c r="J93" s="121"/>
      <c r="K93" s="121"/>
      <c r="L93" s="121"/>
      <c r="M93" s="121"/>
      <c r="N93" s="121"/>
      <c r="O93" s="121"/>
      <c r="P93"/>
      <c r="Q93"/>
      <c r="R93"/>
      <c r="S93"/>
      <c r="T93"/>
      <c r="U93"/>
      <c r="V93"/>
      <c r="W93"/>
      <c r="X93"/>
      <c r="Y93"/>
      <c r="Z93"/>
      <c r="AA93"/>
      <c r="AB93"/>
      <c r="AC93"/>
      <c r="AD93"/>
      <c r="AE93"/>
    </row>
    <row r="94" spans="1:35" ht="12.75" hidden="1" customHeight="1">
      <c r="A94" s="121"/>
      <c r="B94" s="121"/>
      <c r="C94" s="121"/>
      <c r="D94" s="121"/>
      <c r="E94" s="121"/>
      <c r="F94" s="121"/>
      <c r="G94" s="121"/>
      <c r="H94" s="121"/>
      <c r="I94" s="121"/>
      <c r="J94" s="121"/>
      <c r="K94" s="121"/>
      <c r="L94" s="121"/>
      <c r="M94" s="121"/>
      <c r="N94" s="121"/>
      <c r="O94" s="121"/>
      <c r="P94"/>
      <c r="Q94"/>
      <c r="R94"/>
      <c r="S94"/>
      <c r="T94"/>
      <c r="U94"/>
      <c r="V94"/>
      <c r="W94"/>
      <c r="X94"/>
      <c r="Y94"/>
      <c r="Z94"/>
      <c r="AA94"/>
      <c r="AB94"/>
      <c r="AC94"/>
      <c r="AD94"/>
      <c r="AE94"/>
    </row>
    <row r="95" spans="1:35" ht="12.75" hidden="1" customHeight="1">
      <c r="A95" s="121"/>
      <c r="B95" s="121"/>
      <c r="C95" s="121"/>
      <c r="D95" s="121"/>
      <c r="E95" s="121"/>
      <c r="F95" s="121"/>
      <c r="G95" s="121"/>
      <c r="H95" s="121"/>
      <c r="I95" s="121"/>
      <c r="J95" s="121"/>
      <c r="K95" s="121"/>
      <c r="L95" s="121"/>
      <c r="M95" s="121"/>
      <c r="N95" s="121"/>
      <c r="O95" s="121"/>
      <c r="P95"/>
      <c r="Q95"/>
      <c r="R95"/>
      <c r="S95"/>
      <c r="T95"/>
      <c r="U95"/>
      <c r="V95"/>
      <c r="W95"/>
      <c r="X95"/>
      <c r="Y95"/>
      <c r="Z95"/>
      <c r="AA95"/>
      <c r="AB95"/>
      <c r="AC95"/>
      <c r="AD95"/>
      <c r="AE95"/>
    </row>
    <row r="96" spans="1:35" ht="12.75" hidden="1" customHeight="1">
      <c r="A96" s="121"/>
      <c r="B96" s="121"/>
      <c r="C96" s="121"/>
      <c r="D96" s="121"/>
      <c r="E96" s="121"/>
      <c r="F96" s="121"/>
      <c r="G96" s="121"/>
      <c r="H96" s="121"/>
      <c r="I96" s="121"/>
      <c r="J96" s="121"/>
      <c r="K96" s="121"/>
      <c r="L96" s="121"/>
      <c r="M96" s="121"/>
      <c r="N96" s="121"/>
      <c r="O96" s="121"/>
      <c r="P96"/>
      <c r="Q96"/>
      <c r="R96"/>
      <c r="S96"/>
      <c r="T96"/>
      <c r="U96"/>
      <c r="V96"/>
      <c r="W96"/>
      <c r="X96"/>
      <c r="Y96"/>
      <c r="Z96"/>
      <c r="AA96"/>
      <c r="AB96"/>
      <c r="AC96"/>
      <c r="AD96"/>
      <c r="AE96"/>
    </row>
    <row r="97" spans="1:31" ht="12.75" hidden="1" customHeight="1">
      <c r="A97" s="121"/>
      <c r="B97" s="121"/>
      <c r="C97" s="121"/>
      <c r="D97" s="121"/>
      <c r="E97" s="121"/>
      <c r="F97" s="121"/>
      <c r="G97" s="121"/>
      <c r="H97" s="121"/>
      <c r="I97" s="121"/>
      <c r="J97" s="121"/>
      <c r="K97" s="121"/>
      <c r="L97" s="121"/>
      <c r="M97" s="121"/>
      <c r="N97" s="121"/>
      <c r="O97" s="121"/>
      <c r="P97"/>
      <c r="Q97"/>
      <c r="R97"/>
      <c r="S97"/>
      <c r="T97"/>
      <c r="U97"/>
      <c r="V97"/>
      <c r="W97"/>
      <c r="X97"/>
      <c r="Y97"/>
      <c r="Z97"/>
      <c r="AA97"/>
      <c r="AB97"/>
      <c r="AC97"/>
      <c r="AD97"/>
      <c r="AE97"/>
    </row>
    <row r="98" spans="1:31" ht="12.75" hidden="1" customHeight="1">
      <c r="A98" s="121"/>
      <c r="B98" s="121"/>
      <c r="C98" s="121"/>
      <c r="D98" s="121"/>
      <c r="E98" s="121"/>
      <c r="F98" s="121"/>
      <c r="G98" s="121"/>
      <c r="H98" s="121"/>
      <c r="I98" s="121"/>
      <c r="J98" s="121"/>
      <c r="K98" s="121"/>
      <c r="L98" s="121"/>
      <c r="M98" s="121"/>
      <c r="N98" s="121"/>
      <c r="O98" s="121"/>
      <c r="P98"/>
      <c r="Q98"/>
      <c r="R98"/>
      <c r="S98"/>
      <c r="T98"/>
      <c r="U98"/>
      <c r="V98"/>
      <c r="W98"/>
      <c r="X98"/>
      <c r="Y98"/>
      <c r="Z98"/>
      <c r="AA98"/>
      <c r="AB98"/>
      <c r="AC98"/>
      <c r="AD98"/>
      <c r="AE98"/>
    </row>
    <row r="99" spans="1:31" ht="12.75" hidden="1" customHeight="1">
      <c r="A99" s="121"/>
      <c r="B99" s="121"/>
      <c r="C99" s="121"/>
      <c r="D99" s="121"/>
      <c r="E99" s="121"/>
      <c r="F99" s="121"/>
      <c r="G99" s="121"/>
      <c r="H99" s="121"/>
      <c r="I99" s="121"/>
      <c r="J99" s="121"/>
      <c r="K99" s="121"/>
      <c r="L99" s="121"/>
      <c r="M99" s="121"/>
      <c r="N99" s="121"/>
      <c r="O99" s="121"/>
      <c r="P99"/>
      <c r="Q99"/>
      <c r="R99"/>
      <c r="S99"/>
      <c r="T99"/>
      <c r="U99"/>
      <c r="V99"/>
      <c r="W99"/>
      <c r="X99"/>
      <c r="Y99"/>
      <c r="Z99"/>
      <c r="AA99"/>
      <c r="AB99"/>
      <c r="AC99"/>
      <c r="AD99"/>
      <c r="AE99"/>
    </row>
    <row r="100" spans="1:31" ht="12.75" hidden="1" customHeight="1">
      <c r="A100" s="121"/>
      <c r="B100" s="121"/>
      <c r="C100" s="121"/>
      <c r="D100" s="121"/>
      <c r="E100" s="121"/>
      <c r="F100" s="121"/>
      <c r="G100" s="121"/>
      <c r="H100" s="121"/>
      <c r="I100" s="121"/>
      <c r="J100" s="121"/>
      <c r="K100" s="121"/>
      <c r="L100" s="121"/>
      <c r="M100" s="121"/>
      <c r="N100" s="121"/>
      <c r="O100" s="121"/>
      <c r="P100"/>
      <c r="Q100"/>
      <c r="R100"/>
      <c r="S100"/>
      <c r="T100"/>
      <c r="U100"/>
      <c r="V100"/>
      <c r="W100"/>
      <c r="X100"/>
      <c r="Y100"/>
      <c r="Z100"/>
      <c r="AA100"/>
      <c r="AB100"/>
      <c r="AC100"/>
      <c r="AD100"/>
      <c r="AE100"/>
    </row>
    <row r="101" spans="1:31" ht="12.75" hidden="1" customHeight="1">
      <c r="A101" s="121"/>
      <c r="B101" s="121"/>
      <c r="C101" s="121"/>
      <c r="D101" s="121"/>
      <c r="E101" s="121"/>
      <c r="F101" s="121"/>
      <c r="G101" s="121"/>
      <c r="H101" s="121"/>
      <c r="I101" s="121"/>
      <c r="J101" s="121"/>
      <c r="K101" s="121"/>
      <c r="L101" s="121"/>
      <c r="M101" s="121"/>
      <c r="N101" s="121"/>
      <c r="O101" s="121"/>
      <c r="P101"/>
      <c r="Q101"/>
      <c r="R101"/>
      <c r="S101"/>
      <c r="T101"/>
      <c r="U101"/>
      <c r="V101"/>
      <c r="W101"/>
      <c r="X101"/>
      <c r="Y101"/>
      <c r="Z101"/>
      <c r="AA101"/>
      <c r="AB101"/>
      <c r="AC101"/>
      <c r="AD101"/>
      <c r="AE101"/>
    </row>
    <row r="102" spans="1:31" ht="12.75" hidden="1" customHeight="1">
      <c r="A102" s="121"/>
      <c r="B102" s="121"/>
      <c r="C102" s="121"/>
      <c r="D102" s="121"/>
      <c r="E102" s="121"/>
      <c r="F102" s="121"/>
      <c r="G102" s="121"/>
      <c r="H102" s="121"/>
      <c r="I102" s="121"/>
      <c r="J102" s="121"/>
      <c r="K102" s="121"/>
      <c r="L102" s="121"/>
      <c r="M102" s="121"/>
      <c r="N102" s="121"/>
      <c r="O102" s="121"/>
      <c r="P102"/>
      <c r="Q102"/>
      <c r="R102"/>
      <c r="S102"/>
      <c r="T102"/>
      <c r="U102"/>
      <c r="V102"/>
      <c r="W102"/>
      <c r="X102"/>
      <c r="Y102"/>
      <c r="Z102"/>
      <c r="AA102"/>
      <c r="AB102"/>
      <c r="AC102"/>
      <c r="AD102"/>
      <c r="AE102"/>
    </row>
    <row r="103" spans="1:31" ht="12.75" hidden="1" customHeight="1">
      <c r="A103" s="121"/>
      <c r="B103" s="121"/>
      <c r="C103" s="121"/>
      <c r="D103" s="121"/>
      <c r="E103" s="121"/>
      <c r="F103" s="121"/>
      <c r="G103" s="121"/>
      <c r="H103" s="121"/>
      <c r="I103" s="121"/>
      <c r="J103" s="121"/>
      <c r="K103" s="121"/>
      <c r="L103" s="121"/>
      <c r="M103" s="121"/>
      <c r="N103" s="121"/>
      <c r="O103" s="121"/>
      <c r="P103"/>
      <c r="Q103"/>
      <c r="R103"/>
      <c r="S103"/>
      <c r="T103"/>
      <c r="U103"/>
      <c r="V103"/>
      <c r="W103"/>
      <c r="X103"/>
      <c r="Y103"/>
      <c r="Z103"/>
      <c r="AA103"/>
      <c r="AB103"/>
      <c r="AC103"/>
      <c r="AD103"/>
      <c r="AE103"/>
    </row>
    <row r="104" spans="1:31" ht="12.75" hidden="1" customHeight="1">
      <c r="A104" s="121"/>
      <c r="B104" s="121"/>
      <c r="C104" s="121"/>
      <c r="D104" s="121"/>
      <c r="E104" s="121"/>
      <c r="F104" s="121"/>
      <c r="G104" s="121"/>
      <c r="H104" s="121"/>
      <c r="I104" s="121"/>
      <c r="J104" s="121"/>
      <c r="K104" s="121"/>
      <c r="L104" s="121"/>
      <c r="M104" s="121"/>
      <c r="N104" s="121"/>
      <c r="O104" s="121"/>
      <c r="P104"/>
      <c r="Q104"/>
      <c r="R104"/>
      <c r="S104"/>
      <c r="T104"/>
      <c r="U104"/>
      <c r="V104"/>
      <c r="W104"/>
      <c r="X104"/>
      <c r="Y104"/>
      <c r="Z104"/>
      <c r="AA104"/>
      <c r="AB104"/>
      <c r="AC104"/>
      <c r="AD104"/>
      <c r="AE104"/>
    </row>
    <row r="105" spans="1:31" ht="12.75" hidden="1" customHeight="1">
      <c r="A105" s="121"/>
      <c r="B105" s="121"/>
      <c r="C105" s="121"/>
      <c r="D105" s="121"/>
      <c r="E105" s="121"/>
      <c r="F105" s="121"/>
      <c r="G105" s="121"/>
      <c r="H105" s="121"/>
      <c r="I105" s="121"/>
      <c r="J105" s="121"/>
      <c r="K105" s="121"/>
      <c r="L105" s="121"/>
      <c r="M105" s="121"/>
      <c r="N105" s="121"/>
      <c r="O105" s="121"/>
      <c r="P105"/>
      <c r="Q105"/>
      <c r="R105"/>
      <c r="S105"/>
      <c r="T105"/>
      <c r="U105"/>
      <c r="V105"/>
      <c r="W105"/>
      <c r="X105"/>
      <c r="Y105"/>
      <c r="Z105"/>
      <c r="AA105"/>
      <c r="AB105"/>
      <c r="AC105"/>
      <c r="AD105"/>
      <c r="AE105"/>
    </row>
    <row r="106" spans="1:31" ht="12.75" hidden="1" customHeight="1">
      <c r="A106" s="121"/>
      <c r="B106" s="121"/>
      <c r="C106" s="121"/>
      <c r="D106" s="121"/>
      <c r="E106" s="121"/>
      <c r="F106" s="121"/>
      <c r="G106" s="121"/>
      <c r="H106" s="121"/>
      <c r="I106" s="121"/>
      <c r="J106" s="121"/>
      <c r="K106" s="121"/>
      <c r="L106" s="121"/>
      <c r="M106" s="121"/>
      <c r="N106" s="121"/>
      <c r="O106" s="121"/>
      <c r="P106"/>
      <c r="Q106"/>
      <c r="R106"/>
      <c r="S106"/>
      <c r="T106"/>
      <c r="U106"/>
      <c r="V106"/>
      <c r="W106"/>
      <c r="X106"/>
      <c r="Y106"/>
      <c r="Z106"/>
      <c r="AA106"/>
      <c r="AB106"/>
      <c r="AC106"/>
      <c r="AD106"/>
      <c r="AE106"/>
    </row>
    <row r="107" spans="1:31" ht="12.75" hidden="1" customHeight="1">
      <c r="A107" s="121"/>
      <c r="B107" s="121"/>
      <c r="C107" s="121"/>
      <c r="D107" s="121"/>
      <c r="E107" s="121"/>
      <c r="F107" s="121"/>
      <c r="G107" s="121"/>
      <c r="H107" s="121"/>
      <c r="I107" s="121"/>
      <c r="J107" s="121"/>
      <c r="K107" s="121"/>
      <c r="L107" s="121"/>
      <c r="M107" s="121"/>
      <c r="N107" s="121"/>
      <c r="O107" s="121"/>
      <c r="P107"/>
      <c r="Q107"/>
      <c r="R107"/>
      <c r="S107"/>
      <c r="T107"/>
      <c r="U107"/>
      <c r="V107"/>
      <c r="W107"/>
      <c r="X107"/>
      <c r="Y107"/>
      <c r="Z107"/>
      <c r="AA107"/>
      <c r="AB107"/>
      <c r="AC107"/>
      <c r="AD107"/>
      <c r="AE107"/>
    </row>
    <row r="108" spans="1:31" ht="12.75" hidden="1" customHeight="1">
      <c r="A108" s="121"/>
      <c r="B108" s="121"/>
      <c r="C108" s="121"/>
      <c r="D108" s="121"/>
      <c r="E108" s="121"/>
      <c r="F108" s="121"/>
      <c r="G108" s="121"/>
      <c r="H108" s="121"/>
      <c r="I108" s="121"/>
      <c r="J108" s="121"/>
      <c r="K108" s="121"/>
      <c r="L108" s="121"/>
      <c r="M108" s="121"/>
      <c r="N108" s="121"/>
      <c r="O108" s="121"/>
      <c r="P108"/>
      <c r="Q108"/>
      <c r="R108"/>
      <c r="S108"/>
      <c r="T108"/>
      <c r="U108"/>
      <c r="V108"/>
      <c r="W108"/>
      <c r="X108"/>
      <c r="Y108"/>
      <c r="Z108"/>
      <c r="AA108"/>
      <c r="AB108"/>
      <c r="AC108"/>
      <c r="AD108"/>
      <c r="AE108"/>
    </row>
    <row r="109" spans="1:31" ht="12.75" hidden="1" customHeight="1">
      <c r="A109" s="121"/>
      <c r="B109" s="121"/>
      <c r="C109" s="121"/>
      <c r="D109" s="121"/>
      <c r="E109" s="121"/>
      <c r="F109" s="121"/>
      <c r="G109" s="121"/>
      <c r="H109" s="121"/>
      <c r="I109" s="121"/>
      <c r="J109" s="121"/>
      <c r="K109" s="121"/>
      <c r="L109" s="121"/>
      <c r="M109" s="121"/>
      <c r="N109" s="121"/>
      <c r="O109" s="121"/>
      <c r="P109"/>
      <c r="Q109"/>
      <c r="R109"/>
      <c r="S109"/>
      <c r="T109"/>
      <c r="U109"/>
      <c r="V109"/>
      <c r="W109"/>
      <c r="X109"/>
      <c r="Y109"/>
      <c r="Z109"/>
      <c r="AA109"/>
      <c r="AB109"/>
      <c r="AC109"/>
      <c r="AD109"/>
      <c r="AE109"/>
    </row>
    <row r="110" spans="1:31" ht="12.75" hidden="1" customHeight="1">
      <c r="A110" s="121"/>
      <c r="B110" s="121"/>
      <c r="C110" s="121"/>
      <c r="D110" s="121"/>
      <c r="E110" s="121"/>
      <c r="F110" s="121"/>
      <c r="G110" s="121"/>
      <c r="H110" s="121"/>
      <c r="I110" s="121"/>
      <c r="J110" s="121"/>
      <c r="K110" s="121"/>
      <c r="L110" s="121"/>
      <c r="M110" s="121"/>
      <c r="N110" s="121"/>
      <c r="O110" s="121"/>
      <c r="P110"/>
      <c r="Q110"/>
      <c r="R110"/>
      <c r="S110"/>
      <c r="T110"/>
      <c r="U110"/>
      <c r="V110"/>
      <c r="W110"/>
      <c r="X110"/>
      <c r="Y110"/>
      <c r="Z110"/>
      <c r="AA110"/>
      <c r="AB110"/>
      <c r="AC110"/>
      <c r="AD110"/>
      <c r="AE110"/>
    </row>
    <row r="111" spans="1:31" ht="12.75" hidden="1" customHeight="1">
      <c r="A111" s="121"/>
      <c r="B111" s="121"/>
      <c r="C111" s="121"/>
      <c r="D111" s="121"/>
      <c r="E111" s="121"/>
      <c r="F111" s="121"/>
      <c r="G111" s="121"/>
      <c r="H111" s="121"/>
      <c r="I111" s="121"/>
      <c r="J111" s="121"/>
      <c r="K111" s="121"/>
      <c r="L111" s="121"/>
      <c r="M111" s="121"/>
      <c r="N111" s="121"/>
      <c r="O111" s="121"/>
      <c r="P111"/>
      <c r="Q111"/>
      <c r="R111"/>
      <c r="S111"/>
      <c r="T111"/>
      <c r="U111"/>
      <c r="V111"/>
      <c r="W111"/>
      <c r="X111"/>
      <c r="Y111"/>
      <c r="Z111"/>
      <c r="AA111"/>
      <c r="AB111"/>
      <c r="AC111"/>
      <c r="AD111"/>
      <c r="AE111"/>
    </row>
    <row r="112" spans="1:31" ht="12.75" hidden="1" customHeight="1">
      <c r="A112" s="121"/>
      <c r="B112" s="121"/>
      <c r="C112" s="121"/>
      <c r="D112" s="121"/>
      <c r="E112" s="121"/>
      <c r="F112" s="121"/>
      <c r="G112" s="121"/>
      <c r="H112" s="121"/>
      <c r="I112" s="121"/>
      <c r="J112" s="121"/>
      <c r="K112" s="121"/>
      <c r="L112" s="121"/>
      <c r="M112" s="121"/>
      <c r="N112" s="121"/>
      <c r="O112" s="121"/>
      <c r="P112"/>
      <c r="Q112"/>
      <c r="R112"/>
      <c r="S112"/>
      <c r="T112"/>
      <c r="U112"/>
      <c r="V112"/>
      <c r="W112"/>
      <c r="X112"/>
      <c r="Y112"/>
      <c r="Z112"/>
      <c r="AA112"/>
      <c r="AB112"/>
      <c r="AC112"/>
      <c r="AD112"/>
      <c r="AE112"/>
    </row>
    <row r="113" spans="1:31" ht="12.75" hidden="1" customHeight="1">
      <c r="A113" s="121"/>
      <c r="B113" s="121"/>
      <c r="C113" s="121"/>
      <c r="D113" s="121"/>
      <c r="E113" s="121"/>
      <c r="F113" s="121"/>
      <c r="G113" s="121"/>
      <c r="H113" s="121"/>
      <c r="I113" s="121"/>
      <c r="J113" s="121"/>
      <c r="K113" s="121"/>
      <c r="L113" s="121"/>
      <c r="M113" s="121"/>
      <c r="N113" s="121"/>
      <c r="O113" s="121"/>
      <c r="P113"/>
      <c r="Q113"/>
      <c r="R113"/>
      <c r="S113"/>
      <c r="T113"/>
      <c r="U113"/>
      <c r="V113"/>
      <c r="W113"/>
      <c r="X113"/>
      <c r="Y113"/>
      <c r="Z113"/>
      <c r="AA113"/>
      <c r="AB113"/>
      <c r="AC113"/>
      <c r="AD113"/>
      <c r="AE113"/>
    </row>
    <row r="114" spans="1:31" ht="12.75" hidden="1" customHeight="1">
      <c r="A114" s="121"/>
      <c r="B114" s="121"/>
      <c r="C114" s="121"/>
      <c r="D114" s="121"/>
      <c r="E114" s="121"/>
      <c r="F114" s="121"/>
      <c r="G114" s="121"/>
      <c r="H114" s="121"/>
      <c r="I114" s="121"/>
      <c r="J114" s="121"/>
      <c r="K114" s="121"/>
      <c r="L114" s="121"/>
      <c r="M114" s="121"/>
      <c r="N114" s="121"/>
      <c r="O114" s="121"/>
      <c r="P114"/>
      <c r="Q114"/>
      <c r="R114"/>
      <c r="S114"/>
      <c r="T114"/>
      <c r="U114"/>
      <c r="V114"/>
      <c r="W114"/>
      <c r="X114"/>
      <c r="Y114"/>
      <c r="Z114"/>
      <c r="AA114"/>
      <c r="AB114"/>
      <c r="AC114"/>
      <c r="AD114"/>
      <c r="AE114"/>
    </row>
    <row r="115" spans="1:31" ht="12.75" hidden="1" customHeight="1">
      <c r="A115" s="121"/>
      <c r="B115" s="121"/>
      <c r="C115" s="121"/>
      <c r="D115" s="121"/>
      <c r="E115" s="121"/>
      <c r="F115" s="121"/>
      <c r="G115" s="121"/>
      <c r="H115" s="121"/>
      <c r="I115" s="121"/>
      <c r="J115" s="121"/>
      <c r="K115" s="121"/>
      <c r="L115" s="121"/>
      <c r="M115" s="121"/>
      <c r="N115" s="121"/>
      <c r="O115" s="121"/>
      <c r="P115"/>
      <c r="Q115"/>
      <c r="R115"/>
      <c r="S115"/>
      <c r="T115"/>
      <c r="U115"/>
      <c r="V115"/>
      <c r="W115"/>
      <c r="X115"/>
      <c r="Y115"/>
      <c r="Z115"/>
      <c r="AA115"/>
      <c r="AB115"/>
      <c r="AC115"/>
      <c r="AD115"/>
      <c r="AE115"/>
    </row>
    <row r="116" spans="1:31" ht="12.75" hidden="1" customHeight="1">
      <c r="A116" s="121"/>
      <c r="B116" s="121"/>
      <c r="C116" s="121"/>
      <c r="D116" s="121"/>
      <c r="E116" s="121"/>
      <c r="F116" s="121"/>
      <c r="G116" s="121"/>
      <c r="H116" s="121"/>
      <c r="I116" s="121"/>
      <c r="J116" s="121"/>
      <c r="K116" s="121"/>
      <c r="L116" s="121"/>
      <c r="M116" s="121"/>
      <c r="N116" s="121"/>
      <c r="O116" s="121"/>
      <c r="P116"/>
      <c r="Q116"/>
      <c r="R116"/>
      <c r="S116"/>
      <c r="T116"/>
      <c r="U116"/>
      <c r="V116"/>
      <c r="W116"/>
      <c r="X116"/>
      <c r="Y116"/>
      <c r="Z116"/>
      <c r="AA116"/>
      <c r="AB116"/>
      <c r="AC116"/>
      <c r="AD116"/>
      <c r="AE116"/>
    </row>
    <row r="117" spans="1:31" ht="12.75" hidden="1" customHeight="1">
      <c r="A117" s="121"/>
      <c r="B117" s="121"/>
      <c r="C117" s="121"/>
      <c r="D117" s="121"/>
      <c r="E117" s="121"/>
      <c r="F117" s="121"/>
      <c r="G117" s="121"/>
      <c r="H117" s="121"/>
      <c r="I117" s="121"/>
      <c r="J117" s="121"/>
      <c r="K117" s="121"/>
      <c r="L117" s="121"/>
      <c r="M117" s="121"/>
      <c r="N117" s="121"/>
      <c r="O117" s="121"/>
      <c r="P117"/>
      <c r="Q117"/>
      <c r="R117"/>
      <c r="S117"/>
      <c r="T117"/>
      <c r="U117"/>
      <c r="V117"/>
      <c r="W117"/>
      <c r="X117"/>
      <c r="Y117"/>
      <c r="Z117"/>
      <c r="AA117"/>
      <c r="AB117"/>
      <c r="AC117"/>
      <c r="AD117"/>
      <c r="AE117"/>
    </row>
    <row r="118" spans="1:31" ht="12.75" hidden="1" customHeight="1">
      <c r="A118" s="121"/>
      <c r="B118" s="121"/>
      <c r="C118" s="121"/>
      <c r="D118" s="121"/>
      <c r="E118" s="121"/>
      <c r="F118" s="121"/>
      <c r="G118" s="121"/>
      <c r="H118" s="121"/>
      <c r="I118" s="121"/>
      <c r="J118" s="121"/>
      <c r="K118" s="121"/>
      <c r="L118" s="121"/>
      <c r="M118" s="121"/>
      <c r="N118" s="121"/>
      <c r="O118" s="121"/>
      <c r="P118"/>
      <c r="Q118"/>
      <c r="R118"/>
      <c r="S118"/>
      <c r="T118"/>
      <c r="U118"/>
      <c r="V118"/>
      <c r="W118"/>
      <c r="X118"/>
      <c r="Y118"/>
      <c r="Z118"/>
      <c r="AA118"/>
      <c r="AB118"/>
      <c r="AC118"/>
      <c r="AD118"/>
      <c r="AE118"/>
    </row>
    <row r="119" spans="1:31" ht="12.75" hidden="1" customHeight="1">
      <c r="A119" s="121"/>
      <c r="B119" s="121"/>
      <c r="C119" s="121"/>
      <c r="D119" s="121"/>
      <c r="E119" s="121"/>
      <c r="F119" s="121"/>
      <c r="G119" s="121"/>
      <c r="H119" s="121"/>
      <c r="I119" s="121"/>
      <c r="J119" s="121"/>
      <c r="K119" s="121"/>
      <c r="L119" s="121"/>
      <c r="M119" s="121"/>
      <c r="N119" s="121"/>
      <c r="O119" s="121"/>
      <c r="P119"/>
      <c r="Q119"/>
      <c r="R119"/>
      <c r="S119"/>
      <c r="T119"/>
      <c r="U119"/>
      <c r="V119"/>
      <c r="W119"/>
      <c r="X119"/>
      <c r="Y119"/>
      <c r="Z119"/>
      <c r="AA119"/>
      <c r="AB119"/>
      <c r="AC119"/>
      <c r="AD119"/>
      <c r="AE119"/>
    </row>
    <row r="120" spans="1:31" ht="12.75" hidden="1" customHeight="1">
      <c r="A120" s="121"/>
      <c r="B120" s="121"/>
      <c r="C120" s="121"/>
      <c r="D120" s="121"/>
      <c r="E120" s="121"/>
      <c r="F120" s="121"/>
      <c r="G120" s="121"/>
      <c r="H120" s="121"/>
      <c r="I120" s="121"/>
      <c r="J120" s="121"/>
      <c r="K120" s="121"/>
      <c r="L120" s="121"/>
      <c r="M120" s="121"/>
      <c r="N120" s="121"/>
      <c r="O120" s="121"/>
      <c r="P120"/>
      <c r="Q120"/>
      <c r="R120"/>
      <c r="S120"/>
      <c r="T120"/>
      <c r="U120"/>
      <c r="V120"/>
      <c r="W120"/>
      <c r="X120"/>
      <c r="Y120"/>
      <c r="Z120"/>
      <c r="AA120"/>
      <c r="AB120"/>
      <c r="AC120"/>
      <c r="AD120"/>
      <c r="AE120"/>
    </row>
    <row r="121" spans="1:31" ht="12.75" hidden="1" customHeight="1">
      <c r="A121" s="121"/>
      <c r="B121" s="121"/>
      <c r="C121" s="121"/>
      <c r="D121" s="121"/>
      <c r="E121" s="121"/>
      <c r="F121" s="121"/>
      <c r="G121" s="121"/>
      <c r="H121" s="121"/>
      <c r="I121" s="121"/>
      <c r="J121" s="121"/>
      <c r="K121" s="121"/>
      <c r="L121" s="121"/>
      <c r="M121" s="121"/>
      <c r="N121" s="121"/>
      <c r="O121" s="121"/>
      <c r="P121"/>
      <c r="Q121"/>
      <c r="R121"/>
      <c r="S121"/>
      <c r="T121"/>
      <c r="U121"/>
      <c r="V121"/>
      <c r="W121"/>
      <c r="X121"/>
      <c r="Y121"/>
      <c r="Z121"/>
      <c r="AA121"/>
      <c r="AB121"/>
      <c r="AC121"/>
      <c r="AD121"/>
      <c r="AE121"/>
    </row>
    <row r="122" spans="1:31" ht="12.75" hidden="1" customHeight="1">
      <c r="A122" s="121"/>
      <c r="B122" s="121"/>
      <c r="C122" s="121"/>
      <c r="D122" s="121"/>
      <c r="E122" s="121"/>
      <c r="F122" s="121"/>
      <c r="G122" s="121"/>
      <c r="H122" s="121"/>
      <c r="I122" s="121"/>
      <c r="J122" s="121"/>
      <c r="K122" s="121"/>
      <c r="L122" s="121"/>
      <c r="M122" s="121"/>
      <c r="N122" s="121"/>
      <c r="O122" s="121"/>
      <c r="P122"/>
      <c r="Q122"/>
      <c r="R122"/>
      <c r="S122"/>
      <c r="T122"/>
      <c r="U122"/>
      <c r="V122"/>
      <c r="W122"/>
      <c r="X122"/>
      <c r="Y122"/>
      <c r="Z122"/>
      <c r="AA122"/>
      <c r="AB122"/>
      <c r="AC122"/>
      <c r="AD122"/>
      <c r="AE122"/>
    </row>
    <row r="123" spans="1:31" ht="12.75" hidden="1" customHeight="1">
      <c r="A123" s="121"/>
      <c r="B123" s="121"/>
      <c r="C123" s="121"/>
      <c r="D123" s="121"/>
      <c r="E123" s="121"/>
      <c r="F123" s="121"/>
      <c r="G123" s="121"/>
      <c r="H123" s="121"/>
      <c r="I123" s="121"/>
      <c r="J123" s="121"/>
      <c r="K123" s="121"/>
      <c r="L123" s="121"/>
      <c r="M123" s="121"/>
      <c r="N123" s="121"/>
      <c r="O123" s="121"/>
      <c r="P123"/>
      <c r="Q123"/>
      <c r="R123"/>
      <c r="S123"/>
      <c r="T123"/>
      <c r="U123"/>
      <c r="V123"/>
      <c r="W123"/>
      <c r="X123"/>
      <c r="Y123"/>
      <c r="Z123"/>
      <c r="AA123"/>
      <c r="AB123"/>
      <c r="AC123"/>
      <c r="AD123"/>
      <c r="AE123"/>
    </row>
    <row r="124" spans="1:31" ht="12.75" hidden="1" customHeight="1">
      <c r="A124" s="121"/>
      <c r="B124" s="121"/>
      <c r="C124" s="121"/>
      <c r="D124" s="121"/>
      <c r="E124" s="121"/>
      <c r="F124" s="121"/>
      <c r="G124" s="121"/>
      <c r="H124" s="121"/>
      <c r="I124" s="121"/>
      <c r="J124" s="121"/>
      <c r="K124" s="121"/>
      <c r="L124" s="121"/>
      <c r="M124" s="121"/>
      <c r="N124" s="121"/>
      <c r="O124" s="121"/>
      <c r="P124"/>
      <c r="Q124"/>
      <c r="R124"/>
      <c r="S124"/>
      <c r="T124"/>
      <c r="U124"/>
      <c r="V124"/>
      <c r="W124"/>
      <c r="X124"/>
      <c r="Y124"/>
      <c r="Z124"/>
      <c r="AA124"/>
      <c r="AB124"/>
      <c r="AC124"/>
      <c r="AD124"/>
      <c r="AE124"/>
    </row>
    <row r="125" spans="1:31" ht="12.75" hidden="1" customHeight="1">
      <c r="A125" s="121"/>
      <c r="B125" s="121"/>
      <c r="C125" s="121"/>
      <c r="D125" s="121"/>
      <c r="E125" s="121"/>
      <c r="F125" s="121"/>
      <c r="G125" s="121"/>
      <c r="H125" s="121"/>
      <c r="I125" s="121"/>
      <c r="J125" s="121"/>
      <c r="K125" s="121"/>
      <c r="L125" s="121"/>
      <c r="M125" s="121"/>
      <c r="N125" s="121"/>
      <c r="O125" s="121"/>
      <c r="P125"/>
      <c r="Q125"/>
      <c r="R125"/>
      <c r="S125"/>
      <c r="T125"/>
      <c r="U125"/>
      <c r="V125"/>
      <c r="W125"/>
      <c r="X125"/>
      <c r="Y125"/>
      <c r="Z125"/>
      <c r="AA125"/>
      <c r="AB125"/>
      <c r="AC125"/>
      <c r="AD125"/>
      <c r="AE125"/>
    </row>
    <row r="126" spans="1:31" ht="12.75" hidden="1" customHeight="1">
      <c r="A126" s="121"/>
      <c r="B126" s="121"/>
      <c r="C126" s="121"/>
      <c r="D126" s="121"/>
      <c r="E126" s="121"/>
      <c r="F126" s="121"/>
      <c r="G126" s="121"/>
      <c r="H126" s="121"/>
      <c r="I126" s="121"/>
      <c r="J126" s="121"/>
      <c r="K126" s="121"/>
      <c r="L126" s="121"/>
      <c r="M126" s="121"/>
      <c r="N126" s="121"/>
      <c r="O126" s="121"/>
      <c r="P126"/>
      <c r="Q126"/>
      <c r="R126"/>
      <c r="S126"/>
      <c r="T126"/>
      <c r="U126"/>
      <c r="V126"/>
      <c r="W126"/>
      <c r="X126"/>
      <c r="Y126"/>
      <c r="Z126"/>
      <c r="AA126"/>
      <c r="AB126"/>
      <c r="AC126"/>
      <c r="AD126"/>
      <c r="AE126"/>
    </row>
    <row r="127" spans="1:31" ht="12.75" hidden="1" customHeight="1">
      <c r="A127" s="121"/>
      <c r="B127" s="121"/>
      <c r="C127" s="121"/>
      <c r="D127" s="121"/>
      <c r="E127" s="121"/>
      <c r="F127" s="121"/>
      <c r="G127" s="121"/>
      <c r="H127" s="121"/>
      <c r="I127" s="121"/>
      <c r="J127" s="121"/>
      <c r="K127" s="121"/>
      <c r="L127" s="121"/>
      <c r="M127" s="121"/>
      <c r="N127" s="121"/>
      <c r="O127" s="121"/>
      <c r="P127"/>
      <c r="Q127"/>
      <c r="R127"/>
      <c r="S127"/>
      <c r="T127"/>
      <c r="U127"/>
      <c r="V127"/>
      <c r="W127"/>
      <c r="X127"/>
      <c r="Y127"/>
      <c r="Z127"/>
      <c r="AA127"/>
      <c r="AB127"/>
      <c r="AC127"/>
      <c r="AD127"/>
      <c r="AE127"/>
    </row>
    <row r="128" spans="1:31" ht="12.75" customHeight="1">
      <c r="A128" s="121"/>
      <c r="B128" s="121"/>
      <c r="C128" s="121"/>
      <c r="D128" s="121"/>
      <c r="E128" s="121"/>
      <c r="F128" s="121"/>
      <c r="G128" s="121"/>
      <c r="H128" s="121"/>
      <c r="I128" s="121"/>
      <c r="J128" s="121"/>
      <c r="K128" s="121"/>
      <c r="L128" s="121"/>
      <c r="M128" s="121"/>
      <c r="N128" s="121"/>
      <c r="O128" s="121"/>
      <c r="P128"/>
      <c r="Q128"/>
      <c r="R128"/>
      <c r="S128"/>
      <c r="T128"/>
      <c r="U128"/>
      <c r="V128"/>
      <c r="W128"/>
      <c r="X128"/>
      <c r="Y128"/>
      <c r="Z128"/>
      <c r="AA128"/>
      <c r="AB128"/>
      <c r="AC128"/>
      <c r="AD128"/>
      <c r="AE128"/>
    </row>
    <row r="129" spans="1:31" ht="12.75" customHeight="1">
      <c r="A129" s="121"/>
      <c r="B129" s="121"/>
      <c r="C129" s="121"/>
      <c r="D129" s="121"/>
      <c r="E129" s="121"/>
      <c r="F129" s="121"/>
      <c r="G129" s="121"/>
      <c r="H129" s="121"/>
      <c r="I129" s="121"/>
      <c r="J129" s="121"/>
      <c r="K129" s="121"/>
      <c r="L129" s="121"/>
      <c r="M129" s="121"/>
      <c r="N129" s="121"/>
      <c r="O129" s="121"/>
      <c r="P129"/>
      <c r="Q129"/>
      <c r="R129"/>
      <c r="S129"/>
      <c r="T129"/>
      <c r="U129"/>
      <c r="V129"/>
      <c r="W129"/>
      <c r="X129"/>
      <c r="Y129"/>
      <c r="Z129"/>
      <c r="AA129"/>
      <c r="AB129"/>
      <c r="AC129"/>
      <c r="AD129"/>
      <c r="AE129"/>
    </row>
    <row r="130" spans="1:31" ht="12.75" customHeight="1">
      <c r="A130" s="121"/>
      <c r="B130" s="121"/>
      <c r="C130" s="121"/>
      <c r="D130" s="121"/>
      <c r="E130" s="121"/>
      <c r="F130" s="121"/>
      <c r="G130" s="121"/>
      <c r="H130" s="121"/>
      <c r="I130" s="121"/>
      <c r="J130" s="121"/>
      <c r="K130" s="121"/>
      <c r="L130" s="121"/>
      <c r="M130" s="121"/>
      <c r="N130" s="121"/>
      <c r="O130" s="121"/>
      <c r="P130"/>
      <c r="Q130"/>
      <c r="R130"/>
      <c r="S130"/>
      <c r="T130"/>
      <c r="U130"/>
      <c r="V130"/>
      <c r="W130"/>
      <c r="X130"/>
      <c r="Y130"/>
      <c r="Z130"/>
      <c r="AA130"/>
      <c r="AB130"/>
      <c r="AC130"/>
      <c r="AD130"/>
      <c r="AE130"/>
    </row>
    <row r="131" spans="1:31" ht="12.75" customHeight="1">
      <c r="A131" s="121"/>
      <c r="B131" s="121"/>
      <c r="C131" s="121"/>
      <c r="D131" s="121"/>
      <c r="E131" s="121"/>
      <c r="F131" s="121"/>
      <c r="G131" s="121"/>
      <c r="H131" s="121"/>
      <c r="I131" s="121"/>
      <c r="J131" s="121"/>
      <c r="K131" s="121"/>
      <c r="L131" s="121"/>
      <c r="M131" s="121"/>
      <c r="N131" s="121"/>
      <c r="O131" s="121"/>
      <c r="P131"/>
      <c r="Q131"/>
      <c r="R131"/>
      <c r="S131"/>
      <c r="T131"/>
      <c r="U131"/>
      <c r="V131"/>
      <c r="W131"/>
      <c r="X131"/>
      <c r="Y131"/>
      <c r="Z131"/>
      <c r="AA131"/>
      <c r="AB131"/>
      <c r="AC131"/>
      <c r="AD131"/>
      <c r="AE131"/>
    </row>
    <row r="132" spans="1:31" ht="13.5" customHeight="1">
      <c r="A132" s="121"/>
      <c r="B132" s="121"/>
      <c r="C132" s="121"/>
      <c r="D132" s="121"/>
      <c r="E132" s="121"/>
      <c r="F132" s="121"/>
      <c r="G132" s="121"/>
      <c r="H132" s="121"/>
      <c r="I132" s="121"/>
      <c r="J132" s="121"/>
      <c r="K132" s="121"/>
      <c r="L132" s="121"/>
      <c r="M132" s="121"/>
      <c r="N132" s="121"/>
      <c r="O132" s="121"/>
      <c r="P132"/>
      <c r="Q132"/>
      <c r="R132"/>
      <c r="S132"/>
      <c r="T132"/>
      <c r="U132"/>
      <c r="V132"/>
      <c r="W132"/>
      <c r="X132"/>
      <c r="Y132"/>
      <c r="Z132"/>
      <c r="AA132"/>
      <c r="AB132"/>
      <c r="AC132"/>
      <c r="AD132"/>
      <c r="AE132"/>
    </row>
    <row r="133" spans="1:31" ht="13.5" customHeight="1">
      <c r="A133" s="121"/>
      <c r="B133" s="121"/>
      <c r="C133" s="121"/>
      <c r="D133" s="121"/>
      <c r="E133" s="121"/>
      <c r="F133" s="121"/>
      <c r="G133" s="121"/>
      <c r="H133" s="121"/>
      <c r="I133" s="121"/>
      <c r="J133" s="121"/>
      <c r="K133" s="121"/>
      <c r="L133" s="121"/>
      <c r="M133" s="121"/>
      <c r="N133" s="121"/>
      <c r="O133" s="121"/>
      <c r="P133"/>
      <c r="Q133"/>
      <c r="R133"/>
      <c r="S133"/>
      <c r="T133"/>
      <c r="U133"/>
      <c r="V133"/>
      <c r="W133"/>
      <c r="X133"/>
      <c r="Y133"/>
      <c r="Z133"/>
      <c r="AA133"/>
      <c r="AB133"/>
      <c r="AC133"/>
      <c r="AD133"/>
      <c r="AE133"/>
    </row>
    <row r="134" spans="1:31" ht="13.5" customHeight="1">
      <c r="A134" s="121"/>
      <c r="B134" s="121"/>
      <c r="C134" s="121"/>
      <c r="D134" s="121"/>
      <c r="E134" s="121"/>
      <c r="F134" s="121"/>
      <c r="G134" s="121"/>
      <c r="H134" s="121"/>
      <c r="I134" s="121"/>
      <c r="J134" s="121"/>
      <c r="K134" s="121"/>
      <c r="L134" s="121"/>
      <c r="M134" s="121"/>
      <c r="N134" s="121"/>
      <c r="O134" s="121"/>
      <c r="P134"/>
      <c r="Q134"/>
      <c r="R134"/>
      <c r="S134"/>
      <c r="T134"/>
      <c r="U134"/>
      <c r="V134"/>
      <c r="W134"/>
      <c r="X134"/>
      <c r="Y134"/>
      <c r="Z134"/>
      <c r="AA134"/>
      <c r="AB134"/>
      <c r="AC134"/>
      <c r="AD134"/>
      <c r="AE134"/>
    </row>
    <row r="135" spans="1:31" ht="13.5" customHeight="1">
      <c r="A135" s="121"/>
      <c r="B135" s="121"/>
      <c r="C135" s="121"/>
      <c r="D135" s="121"/>
      <c r="E135" s="121"/>
      <c r="F135" s="121"/>
      <c r="G135" s="121"/>
      <c r="H135" s="121"/>
      <c r="I135" s="121"/>
      <c r="J135" s="121"/>
      <c r="K135" s="121"/>
      <c r="L135" s="121"/>
      <c r="M135" s="121"/>
      <c r="N135" s="121"/>
      <c r="O135" s="121"/>
      <c r="P135"/>
      <c r="Q135"/>
      <c r="R135"/>
      <c r="S135"/>
      <c r="T135"/>
      <c r="U135"/>
      <c r="V135"/>
      <c r="W135"/>
      <c r="X135"/>
      <c r="Y135"/>
      <c r="Z135"/>
      <c r="AA135"/>
      <c r="AB135"/>
      <c r="AC135"/>
      <c r="AD135"/>
      <c r="AE135"/>
    </row>
    <row r="136" spans="1:31" ht="12.75" customHeight="1">
      <c r="A136" s="121"/>
      <c r="B136" s="121"/>
      <c r="C136" s="121"/>
      <c r="D136" s="121"/>
      <c r="E136" s="121"/>
      <c r="F136" s="121"/>
      <c r="G136" s="121"/>
      <c r="H136" s="121"/>
      <c r="I136" s="121"/>
      <c r="J136" s="121"/>
      <c r="K136" s="121"/>
      <c r="L136" s="121"/>
      <c r="M136" s="121"/>
      <c r="N136" s="121"/>
      <c r="O136" s="121"/>
      <c r="P136"/>
      <c r="Q136"/>
      <c r="R136"/>
      <c r="S136"/>
      <c r="T136"/>
      <c r="U136"/>
      <c r="V136"/>
      <c r="W136"/>
      <c r="X136"/>
      <c r="Y136"/>
      <c r="Z136"/>
      <c r="AA136"/>
      <c r="AB136"/>
      <c r="AC136"/>
      <c r="AD136"/>
      <c r="AE136"/>
    </row>
    <row r="137" spans="1:31" ht="12.75" customHeight="1">
      <c r="A137" s="121"/>
      <c r="B137" s="121"/>
      <c r="C137" s="121"/>
      <c r="D137" s="121"/>
      <c r="E137" s="121"/>
      <c r="F137" s="121"/>
      <c r="G137" s="121"/>
      <c r="H137" s="121"/>
      <c r="I137" s="121"/>
      <c r="J137" s="121"/>
      <c r="K137" s="121"/>
      <c r="L137" s="121"/>
      <c r="M137" s="121"/>
      <c r="N137" s="121"/>
      <c r="O137" s="121"/>
      <c r="P137"/>
      <c r="Q137"/>
      <c r="R137"/>
      <c r="S137"/>
      <c r="T137"/>
      <c r="U137"/>
      <c r="V137"/>
      <c r="W137"/>
      <c r="X137"/>
      <c r="Y137"/>
      <c r="Z137"/>
      <c r="AA137"/>
      <c r="AB137"/>
      <c r="AC137"/>
      <c r="AD137"/>
      <c r="AE137"/>
    </row>
    <row r="138" spans="1:31" ht="12.75" customHeight="1">
      <c r="A138" s="121"/>
      <c r="B138" s="121"/>
      <c r="C138" s="121"/>
      <c r="D138" s="121"/>
      <c r="E138" s="121"/>
      <c r="F138" s="121"/>
      <c r="G138" s="121"/>
      <c r="H138" s="121"/>
      <c r="I138" s="121"/>
      <c r="J138" s="121"/>
      <c r="K138" s="121"/>
      <c r="L138" s="121"/>
      <c r="M138" s="121"/>
      <c r="N138" s="121"/>
      <c r="O138" s="121"/>
      <c r="P138"/>
      <c r="Q138"/>
      <c r="R138"/>
      <c r="S138"/>
      <c r="T138"/>
      <c r="U138"/>
      <c r="V138"/>
      <c r="W138"/>
      <c r="X138"/>
      <c r="Y138"/>
      <c r="Z138"/>
      <c r="AA138"/>
      <c r="AB138"/>
      <c r="AC138"/>
      <c r="AD138"/>
      <c r="AE138"/>
    </row>
    <row r="139" spans="1:31" ht="12.75" customHeight="1">
      <c r="A139" s="121"/>
      <c r="B139" s="121"/>
      <c r="C139" s="121"/>
      <c r="D139" s="121"/>
      <c r="E139" s="121"/>
      <c r="F139" s="121"/>
      <c r="G139" s="121"/>
      <c r="H139" s="121"/>
      <c r="I139" s="121"/>
      <c r="J139" s="121"/>
      <c r="K139" s="121"/>
      <c r="L139" s="121"/>
      <c r="M139" s="121"/>
      <c r="N139" s="121"/>
      <c r="O139" s="121"/>
      <c r="P139"/>
      <c r="Q139"/>
      <c r="R139"/>
      <c r="S139"/>
      <c r="T139"/>
      <c r="U139"/>
      <c r="V139"/>
      <c r="W139"/>
      <c r="X139"/>
      <c r="Y139"/>
      <c r="Z139"/>
      <c r="AA139"/>
      <c r="AB139"/>
      <c r="AC139"/>
      <c r="AD139"/>
      <c r="AE139"/>
    </row>
    <row r="140" spans="1:31" ht="12.75" customHeight="1">
      <c r="A140" s="121"/>
      <c r="B140" s="121"/>
      <c r="C140" s="121"/>
      <c r="D140" s="121"/>
      <c r="E140" s="121"/>
      <c r="F140" s="121"/>
      <c r="G140" s="121"/>
      <c r="H140" s="121"/>
      <c r="I140" s="121"/>
      <c r="J140" s="121"/>
      <c r="K140" s="121"/>
      <c r="L140" s="121"/>
      <c r="M140" s="121"/>
      <c r="N140" s="121"/>
      <c r="O140" s="121"/>
      <c r="P140"/>
      <c r="Q140"/>
      <c r="R140"/>
      <c r="S140"/>
      <c r="T140"/>
      <c r="U140"/>
      <c r="V140"/>
      <c r="W140"/>
      <c r="X140"/>
      <c r="Y140"/>
      <c r="Z140"/>
      <c r="AA140"/>
      <c r="AB140"/>
      <c r="AC140"/>
      <c r="AD140"/>
      <c r="AE140"/>
    </row>
    <row r="141" spans="1:31" ht="12.75" customHeight="1">
      <c r="A141" s="121"/>
      <c r="B141" s="121"/>
      <c r="C141" s="121"/>
      <c r="D141" s="121"/>
      <c r="E141" s="121"/>
      <c r="F141" s="121"/>
      <c r="G141" s="121"/>
      <c r="H141" s="121"/>
      <c r="I141" s="121"/>
      <c r="J141" s="121"/>
      <c r="K141" s="121"/>
      <c r="L141" s="121"/>
      <c r="M141" s="121"/>
      <c r="N141" s="121"/>
      <c r="O141" s="121"/>
      <c r="P141"/>
      <c r="Q141"/>
      <c r="R141"/>
      <c r="S141"/>
      <c r="T141"/>
      <c r="U141"/>
      <c r="V141"/>
      <c r="W141"/>
      <c r="X141"/>
      <c r="Y141"/>
      <c r="Z141"/>
      <c r="AA141"/>
      <c r="AB141"/>
      <c r="AC141"/>
      <c r="AD141"/>
      <c r="AE141"/>
    </row>
    <row r="142" spans="1:31" ht="12.75" customHeight="1">
      <c r="A142" s="121"/>
      <c r="B142" s="121"/>
      <c r="C142" s="121"/>
      <c r="D142" s="121"/>
      <c r="E142" s="121"/>
      <c r="F142" s="121"/>
      <c r="G142" s="121"/>
      <c r="H142" s="121"/>
      <c r="I142" s="121"/>
      <c r="J142" s="121"/>
      <c r="K142" s="121"/>
      <c r="L142" s="121"/>
      <c r="M142" s="121"/>
      <c r="N142" s="121"/>
      <c r="O142" s="121"/>
      <c r="P142"/>
      <c r="Q142"/>
      <c r="R142"/>
      <c r="S142"/>
      <c r="T142"/>
      <c r="U142"/>
      <c r="V142"/>
      <c r="W142"/>
      <c r="X142"/>
      <c r="Y142"/>
      <c r="Z142"/>
      <c r="AA142"/>
      <c r="AB142"/>
      <c r="AC142"/>
      <c r="AD142"/>
      <c r="AE142"/>
    </row>
    <row r="143" spans="1:31" ht="12.75" customHeight="1">
      <c r="A143" s="121"/>
      <c r="B143" s="121"/>
      <c r="C143" s="121"/>
      <c r="D143" s="121"/>
      <c r="E143" s="121"/>
      <c r="F143" s="121"/>
      <c r="G143" s="121"/>
      <c r="H143" s="121"/>
      <c r="I143" s="121"/>
      <c r="J143" s="121"/>
      <c r="K143" s="121"/>
      <c r="L143" s="121"/>
      <c r="M143" s="121"/>
      <c r="N143" s="121"/>
      <c r="O143" s="121"/>
      <c r="P143"/>
      <c r="Q143"/>
      <c r="R143"/>
      <c r="S143"/>
      <c r="T143"/>
      <c r="U143"/>
      <c r="V143"/>
      <c r="W143"/>
      <c r="X143"/>
      <c r="Y143"/>
      <c r="Z143"/>
      <c r="AA143"/>
      <c r="AB143"/>
      <c r="AC143"/>
      <c r="AD143"/>
      <c r="AE143"/>
    </row>
    <row r="144" spans="1:31" ht="12.75" customHeight="1">
      <c r="A144" s="121"/>
      <c r="B144" s="121"/>
      <c r="C144" s="121"/>
      <c r="D144" s="121"/>
      <c r="E144" s="121"/>
      <c r="F144" s="121"/>
      <c r="G144" s="121"/>
      <c r="H144" s="121"/>
      <c r="I144" s="121"/>
      <c r="J144" s="121"/>
      <c r="K144" s="121"/>
      <c r="L144" s="121"/>
      <c r="M144" s="121"/>
      <c r="N144" s="121"/>
      <c r="O144" s="121"/>
      <c r="P144"/>
      <c r="Q144"/>
      <c r="R144"/>
      <c r="S144"/>
      <c r="T144"/>
      <c r="U144"/>
      <c r="V144"/>
      <c r="W144"/>
      <c r="X144"/>
      <c r="Y144"/>
      <c r="Z144"/>
      <c r="AA144"/>
      <c r="AB144"/>
      <c r="AC144"/>
      <c r="AD144"/>
      <c r="AE144"/>
    </row>
    <row r="145" spans="1:31" ht="12.75" customHeight="1">
      <c r="A145" s="121"/>
      <c r="B145" s="121"/>
      <c r="C145" s="121"/>
      <c r="D145" s="121"/>
      <c r="E145" s="121"/>
      <c r="F145" s="121"/>
      <c r="G145" s="121"/>
      <c r="H145" s="121"/>
      <c r="I145" s="121"/>
      <c r="J145" s="121"/>
      <c r="K145" s="121"/>
      <c r="L145" s="121"/>
      <c r="M145" s="121"/>
      <c r="N145" s="121"/>
      <c r="O145" s="121"/>
      <c r="P145"/>
      <c r="Q145"/>
      <c r="R145"/>
      <c r="S145"/>
      <c r="T145"/>
      <c r="U145"/>
      <c r="V145"/>
      <c r="W145"/>
      <c r="X145"/>
      <c r="Y145"/>
      <c r="Z145"/>
      <c r="AA145"/>
      <c r="AB145"/>
      <c r="AC145"/>
      <c r="AD145"/>
      <c r="AE145"/>
    </row>
    <row r="146" spans="1:31" ht="12.75" customHeight="1">
      <c r="A146" s="121"/>
      <c r="B146" s="121"/>
      <c r="C146" s="121"/>
      <c r="D146" s="121"/>
      <c r="E146" s="121"/>
      <c r="F146" s="121"/>
      <c r="G146" s="121"/>
      <c r="H146" s="121"/>
      <c r="I146" s="121"/>
      <c r="J146" s="121"/>
      <c r="K146" s="121"/>
      <c r="L146" s="121"/>
      <c r="M146" s="121"/>
      <c r="N146" s="121"/>
      <c r="O146" s="121"/>
      <c r="P146"/>
      <c r="Q146"/>
      <c r="R146"/>
      <c r="S146"/>
      <c r="T146"/>
      <c r="U146"/>
      <c r="V146"/>
      <c r="W146"/>
      <c r="X146"/>
      <c r="Y146"/>
      <c r="Z146"/>
      <c r="AA146"/>
      <c r="AB146"/>
      <c r="AC146"/>
      <c r="AD146"/>
      <c r="AE146"/>
    </row>
    <row r="147" spans="1:31" ht="12.75" customHeight="1">
      <c r="A147" s="121"/>
      <c r="B147" s="121"/>
      <c r="C147" s="121"/>
      <c r="D147" s="121"/>
      <c r="E147" s="121"/>
      <c r="F147" s="121"/>
      <c r="G147" s="121"/>
      <c r="H147" s="121"/>
      <c r="I147" s="121"/>
      <c r="J147" s="121"/>
      <c r="K147" s="121"/>
      <c r="L147" s="121"/>
      <c r="M147" s="121"/>
      <c r="N147" s="121"/>
      <c r="O147" s="121"/>
      <c r="P147"/>
      <c r="Q147"/>
      <c r="R147"/>
      <c r="S147"/>
      <c r="T147"/>
      <c r="U147"/>
      <c r="V147"/>
      <c r="W147"/>
      <c r="X147"/>
      <c r="Y147"/>
      <c r="Z147"/>
      <c r="AA147"/>
      <c r="AB147"/>
      <c r="AC147"/>
      <c r="AD147"/>
      <c r="AE147"/>
    </row>
    <row r="148" spans="1:31" ht="12.75" customHeight="1">
      <c r="A148" s="121"/>
      <c r="B148" s="121"/>
      <c r="C148" s="121"/>
      <c r="D148" s="121"/>
      <c r="E148" s="121"/>
      <c r="F148" s="121"/>
      <c r="G148" s="121"/>
      <c r="H148" s="121"/>
      <c r="I148" s="121"/>
      <c r="J148" s="121"/>
      <c r="K148" s="121"/>
      <c r="L148" s="121"/>
      <c r="M148" s="121"/>
      <c r="N148" s="121"/>
      <c r="O148" s="121"/>
      <c r="P148"/>
      <c r="Q148"/>
      <c r="R148"/>
      <c r="S148"/>
      <c r="T148"/>
      <c r="U148"/>
      <c r="V148"/>
      <c r="W148"/>
      <c r="X148"/>
      <c r="Y148"/>
      <c r="Z148"/>
      <c r="AA148"/>
      <c r="AB148"/>
      <c r="AC148"/>
      <c r="AD148"/>
      <c r="AE148"/>
    </row>
    <row r="149" spans="1:31" ht="12.75" customHeight="1">
      <c r="A149" s="121"/>
      <c r="B149" s="121"/>
      <c r="C149" s="121"/>
      <c r="D149" s="121"/>
      <c r="E149" s="121"/>
      <c r="F149" s="121"/>
      <c r="G149" s="121"/>
      <c r="H149" s="121"/>
      <c r="I149" s="121"/>
      <c r="J149" s="121"/>
      <c r="K149" s="121"/>
      <c r="L149" s="121"/>
      <c r="M149" s="121"/>
      <c r="N149" s="121"/>
      <c r="O149" s="121"/>
      <c r="P149"/>
      <c r="Q149"/>
      <c r="R149"/>
      <c r="S149"/>
      <c r="T149"/>
      <c r="U149"/>
      <c r="V149"/>
      <c r="W149"/>
      <c r="X149"/>
      <c r="Y149"/>
      <c r="Z149"/>
      <c r="AA149"/>
      <c r="AB149"/>
      <c r="AC149"/>
      <c r="AD149"/>
      <c r="AE149"/>
    </row>
    <row r="150" spans="1:31" ht="12.75" customHeight="1">
      <c r="A150" s="121"/>
      <c r="B150" s="121"/>
      <c r="C150" s="121"/>
      <c r="D150" s="121"/>
      <c r="E150" s="121"/>
      <c r="F150" s="121"/>
      <c r="G150" s="121"/>
      <c r="H150" s="121"/>
      <c r="I150" s="121"/>
      <c r="J150" s="121"/>
      <c r="K150" s="121"/>
      <c r="L150" s="121"/>
      <c r="M150" s="121"/>
      <c r="N150" s="121"/>
      <c r="O150" s="121"/>
      <c r="P150"/>
      <c r="Q150"/>
      <c r="R150"/>
      <c r="S150"/>
      <c r="T150"/>
      <c r="U150"/>
      <c r="V150"/>
      <c r="W150"/>
      <c r="X150"/>
      <c r="Y150"/>
      <c r="Z150"/>
      <c r="AA150"/>
      <c r="AB150"/>
      <c r="AC150"/>
      <c r="AD150"/>
      <c r="AE150"/>
    </row>
    <row r="151" spans="1:31" ht="12.75" customHeight="1">
      <c r="A151" s="121"/>
      <c r="B151" s="121"/>
      <c r="C151" s="121"/>
      <c r="D151" s="121"/>
      <c r="E151" s="121"/>
      <c r="F151" s="121"/>
      <c r="G151" s="121"/>
      <c r="H151" s="121"/>
      <c r="I151" s="121"/>
      <c r="J151" s="121"/>
      <c r="K151" s="121"/>
      <c r="L151" s="121"/>
      <c r="M151" s="121"/>
      <c r="N151" s="121"/>
      <c r="O151" s="121"/>
      <c r="P151"/>
      <c r="Q151"/>
      <c r="R151"/>
      <c r="S151"/>
      <c r="T151"/>
      <c r="U151"/>
      <c r="V151"/>
      <c r="W151"/>
      <c r="X151"/>
      <c r="Y151"/>
      <c r="Z151"/>
      <c r="AA151"/>
      <c r="AB151"/>
      <c r="AC151"/>
      <c r="AD151"/>
      <c r="AE151"/>
    </row>
    <row r="152" spans="1:31" ht="12.75" customHeight="1">
      <c r="A152" s="121"/>
      <c r="B152" s="121"/>
      <c r="C152" s="121"/>
      <c r="D152" s="121"/>
      <c r="E152" s="121"/>
      <c r="F152" s="121"/>
      <c r="G152" s="121"/>
      <c r="H152" s="121"/>
      <c r="I152" s="121"/>
      <c r="J152" s="121"/>
      <c r="K152" s="121"/>
      <c r="L152" s="121"/>
      <c r="M152" s="121"/>
      <c r="N152" s="121"/>
      <c r="O152" s="121"/>
      <c r="P152"/>
      <c r="Q152"/>
      <c r="R152"/>
      <c r="S152"/>
      <c r="T152"/>
      <c r="U152"/>
      <c r="V152"/>
      <c r="W152"/>
      <c r="X152"/>
      <c r="Y152"/>
      <c r="Z152"/>
      <c r="AA152"/>
      <c r="AB152"/>
      <c r="AC152"/>
      <c r="AD152"/>
      <c r="AE152"/>
    </row>
    <row r="153" spans="1:31" ht="12.75" customHeight="1">
      <c r="A153" s="121"/>
      <c r="B153" s="121"/>
      <c r="C153" s="121"/>
      <c r="D153" s="121"/>
      <c r="E153" s="121"/>
      <c r="F153" s="121"/>
      <c r="G153" s="121"/>
      <c r="H153" s="121"/>
      <c r="I153" s="121"/>
      <c r="J153" s="121"/>
      <c r="K153" s="121"/>
      <c r="L153" s="121"/>
      <c r="M153" s="121"/>
      <c r="N153" s="121"/>
      <c r="O153" s="121"/>
      <c r="P153"/>
      <c r="Q153"/>
      <c r="R153"/>
      <c r="S153"/>
      <c r="T153"/>
      <c r="U153"/>
      <c r="V153"/>
      <c r="W153"/>
      <c r="X153"/>
      <c r="Y153"/>
      <c r="Z153"/>
      <c r="AA153"/>
      <c r="AB153"/>
      <c r="AC153"/>
      <c r="AD153"/>
      <c r="AE153"/>
    </row>
    <row r="154" spans="1:31" ht="12.75" customHeight="1">
      <c r="A154" s="121"/>
      <c r="B154" s="121"/>
      <c r="C154" s="121"/>
      <c r="D154" s="121"/>
      <c r="E154" s="121"/>
      <c r="F154" s="121"/>
      <c r="G154" s="121"/>
      <c r="H154" s="121"/>
      <c r="I154" s="121"/>
      <c r="J154" s="121"/>
      <c r="K154" s="121"/>
      <c r="L154" s="121"/>
      <c r="M154" s="121"/>
      <c r="N154" s="121"/>
      <c r="O154" s="121"/>
      <c r="P154"/>
      <c r="Q154"/>
      <c r="R154"/>
      <c r="S154"/>
      <c r="T154"/>
      <c r="U154"/>
      <c r="V154"/>
      <c r="W154"/>
      <c r="X154"/>
      <c r="Y154"/>
      <c r="Z154"/>
      <c r="AA154"/>
      <c r="AB154"/>
      <c r="AC154"/>
      <c r="AD154"/>
      <c r="AE154"/>
    </row>
    <row r="155" spans="1:31" ht="12.75" customHeight="1">
      <c r="A155" s="121"/>
      <c r="B155" s="121"/>
      <c r="C155" s="121"/>
      <c r="D155" s="121"/>
      <c r="E155" s="121"/>
      <c r="F155" s="121"/>
      <c r="G155" s="121"/>
      <c r="H155" s="121"/>
      <c r="I155" s="121"/>
      <c r="J155" s="121"/>
      <c r="K155" s="121"/>
      <c r="L155" s="121"/>
      <c r="M155" s="121"/>
      <c r="N155" s="121"/>
      <c r="O155" s="121"/>
      <c r="P155"/>
      <c r="Q155"/>
      <c r="R155"/>
      <c r="S155"/>
      <c r="T155"/>
      <c r="U155"/>
      <c r="V155"/>
      <c r="W155"/>
      <c r="X155"/>
      <c r="Y155"/>
      <c r="Z155"/>
      <c r="AA155"/>
      <c r="AB155"/>
      <c r="AC155"/>
      <c r="AD155"/>
      <c r="AE155"/>
    </row>
    <row r="156" spans="1:31" ht="12.75" customHeight="1">
      <c r="A156" s="121"/>
      <c r="B156" s="121"/>
      <c r="C156" s="121"/>
      <c r="D156" s="121"/>
      <c r="E156" s="121"/>
      <c r="F156" s="121"/>
      <c r="G156" s="121"/>
      <c r="H156" s="121"/>
      <c r="I156" s="121"/>
      <c r="J156" s="121"/>
      <c r="K156" s="121"/>
      <c r="L156" s="121"/>
      <c r="M156" s="121"/>
      <c r="N156" s="121"/>
      <c r="O156" s="121"/>
      <c r="P156"/>
      <c r="Q156"/>
      <c r="R156"/>
      <c r="S156"/>
      <c r="T156"/>
      <c r="U156"/>
      <c r="V156"/>
      <c r="W156"/>
      <c r="X156"/>
      <c r="Y156"/>
      <c r="Z156"/>
      <c r="AA156"/>
      <c r="AB156"/>
      <c r="AC156"/>
      <c r="AD156"/>
      <c r="AE156"/>
    </row>
    <row r="157" spans="1:31" ht="12.75" customHeight="1">
      <c r="A157" s="108"/>
      <c r="B157" s="108"/>
      <c r="C157" s="108"/>
      <c r="D157" s="108"/>
      <c r="E157" s="108"/>
      <c r="F157" s="108"/>
      <c r="G157" s="108"/>
      <c r="H157" s="108"/>
      <c r="I157" s="108"/>
      <c r="J157" s="108"/>
      <c r="K157" s="108"/>
      <c r="P157"/>
      <c r="Q157"/>
      <c r="R157"/>
      <c r="S157"/>
      <c r="T157"/>
      <c r="U157"/>
      <c r="V157"/>
      <c r="W157"/>
      <c r="X157"/>
      <c r="Y157"/>
      <c r="Z157"/>
      <c r="AA157"/>
      <c r="AB157"/>
      <c r="AC157"/>
      <c r="AD157"/>
      <c r="AE157"/>
    </row>
    <row r="158" spans="1:31" ht="12.75" customHeight="1">
      <c r="A158" s="108"/>
      <c r="B158" s="108"/>
      <c r="C158" s="108"/>
      <c r="D158" s="108"/>
      <c r="E158" s="108"/>
      <c r="F158" s="108"/>
      <c r="G158" s="108"/>
      <c r="H158" s="108"/>
      <c r="I158" s="108"/>
      <c r="J158" s="108"/>
      <c r="K158" s="108"/>
      <c r="P158"/>
      <c r="Q158"/>
      <c r="R158"/>
      <c r="S158"/>
      <c r="T158"/>
      <c r="U158"/>
      <c r="V158"/>
      <c r="W158"/>
      <c r="X158"/>
      <c r="Y158"/>
      <c r="Z158"/>
      <c r="AA158"/>
      <c r="AB158"/>
      <c r="AC158"/>
      <c r="AD158"/>
      <c r="AE158"/>
    </row>
    <row r="159" spans="1:31" ht="12.75" customHeight="1">
      <c r="A159" s="108"/>
      <c r="B159" s="108"/>
      <c r="C159" s="108"/>
      <c r="D159" s="108"/>
      <c r="E159" s="108"/>
      <c r="F159" s="108"/>
      <c r="G159" s="108"/>
      <c r="H159" s="108"/>
      <c r="I159" s="108"/>
      <c r="J159" s="108"/>
      <c r="K159" s="108"/>
      <c r="P159"/>
      <c r="Q159"/>
      <c r="R159"/>
      <c r="S159"/>
      <c r="T159"/>
      <c r="U159"/>
      <c r="V159"/>
      <c r="W159"/>
      <c r="X159"/>
      <c r="Y159"/>
      <c r="Z159"/>
      <c r="AA159"/>
      <c r="AB159"/>
      <c r="AC159"/>
      <c r="AD159"/>
      <c r="AE159"/>
    </row>
    <row r="160" spans="1:31" ht="12.75" customHeight="1">
      <c r="A160" s="108"/>
      <c r="B160" s="108"/>
      <c r="C160" s="108"/>
      <c r="D160" s="108"/>
      <c r="E160" s="108"/>
      <c r="F160" s="108"/>
      <c r="G160" s="108"/>
      <c r="H160" s="108"/>
      <c r="I160" s="108"/>
      <c r="J160" s="108"/>
      <c r="K160" s="108"/>
      <c r="P160"/>
      <c r="Q160"/>
      <c r="R160"/>
      <c r="S160"/>
      <c r="T160"/>
      <c r="U160"/>
      <c r="V160"/>
      <c r="W160"/>
      <c r="X160"/>
      <c r="Y160"/>
      <c r="Z160"/>
      <c r="AA160"/>
      <c r="AB160"/>
      <c r="AC160"/>
      <c r="AD160"/>
      <c r="AE160"/>
    </row>
    <row r="161" spans="1:31" ht="12.75" hidden="1" customHeight="1">
      <c r="A161" s="108"/>
      <c r="B161" s="108"/>
      <c r="C161" s="108"/>
      <c r="D161" s="108"/>
      <c r="E161" s="108"/>
      <c r="F161" s="108"/>
      <c r="G161" s="108"/>
      <c r="H161" s="108"/>
      <c r="I161" s="108"/>
      <c r="J161" s="108"/>
      <c r="K161" s="108"/>
      <c r="P161"/>
      <c r="Q161"/>
      <c r="R161"/>
      <c r="S161"/>
      <c r="T161"/>
      <c r="U161"/>
      <c r="V161"/>
      <c r="W161"/>
      <c r="X161"/>
      <c r="Y161"/>
      <c r="Z161"/>
      <c r="AA161"/>
      <c r="AB161"/>
      <c r="AC161"/>
      <c r="AD161"/>
      <c r="AE161"/>
    </row>
    <row r="162" spans="1:31" ht="12.75" hidden="1" customHeight="1">
      <c r="A162" s="108"/>
      <c r="B162" s="108"/>
      <c r="C162" s="108"/>
      <c r="D162" s="108"/>
      <c r="E162" s="108"/>
      <c r="F162" s="108"/>
      <c r="G162" s="108"/>
      <c r="H162" s="108"/>
      <c r="I162" s="108"/>
      <c r="J162" s="108"/>
      <c r="K162" s="108"/>
      <c r="P162"/>
      <c r="Q162"/>
      <c r="R162"/>
      <c r="S162"/>
      <c r="T162"/>
      <c r="U162"/>
      <c r="V162"/>
      <c r="W162"/>
      <c r="X162"/>
      <c r="Y162"/>
      <c r="Z162"/>
      <c r="AA162"/>
      <c r="AB162"/>
      <c r="AC162"/>
      <c r="AD162"/>
      <c r="AE162"/>
    </row>
    <row r="163" spans="1:31" ht="12.75" hidden="1" customHeight="1">
      <c r="A163" s="108"/>
      <c r="B163" s="108"/>
      <c r="C163" s="108"/>
      <c r="D163" s="108"/>
      <c r="E163" s="108"/>
      <c r="F163" s="108"/>
      <c r="G163" s="108"/>
      <c r="H163" s="108"/>
      <c r="I163" s="108"/>
      <c r="J163" s="108"/>
      <c r="K163" s="108"/>
      <c r="P163"/>
      <c r="Q163"/>
      <c r="R163"/>
      <c r="S163"/>
      <c r="T163"/>
      <c r="U163"/>
      <c r="V163"/>
      <c r="W163"/>
      <c r="X163"/>
      <c r="Y163"/>
      <c r="Z163"/>
      <c r="AA163"/>
      <c r="AB163"/>
      <c r="AC163"/>
      <c r="AD163"/>
      <c r="AE163"/>
    </row>
    <row r="164" spans="1:31" ht="12.75" hidden="1" customHeight="1">
      <c r="A164" s="108"/>
      <c r="B164" s="108"/>
      <c r="C164" s="108"/>
      <c r="D164" s="108"/>
      <c r="E164" s="108"/>
      <c r="F164" s="108"/>
      <c r="G164" s="108"/>
      <c r="H164" s="108"/>
      <c r="I164" s="108"/>
      <c r="J164" s="108"/>
      <c r="K164" s="108"/>
      <c r="P164"/>
      <c r="Q164"/>
      <c r="R164"/>
      <c r="S164"/>
      <c r="T164"/>
      <c r="U164"/>
      <c r="V164"/>
      <c r="W164"/>
      <c r="X164"/>
      <c r="Y164"/>
      <c r="Z164"/>
      <c r="AA164"/>
      <c r="AB164"/>
      <c r="AC164"/>
      <c r="AD164"/>
      <c r="AE164"/>
    </row>
    <row r="165" spans="1:31" ht="12.75" hidden="1" customHeight="1">
      <c r="A165" s="108"/>
      <c r="B165" s="108"/>
      <c r="C165" s="108"/>
      <c r="D165" s="108"/>
      <c r="E165" s="108"/>
      <c r="F165" s="108"/>
      <c r="G165" s="108"/>
      <c r="H165" s="108"/>
      <c r="I165" s="108"/>
      <c r="J165" s="108"/>
      <c r="K165" s="108"/>
      <c r="P165"/>
      <c r="Q165"/>
      <c r="R165"/>
      <c r="S165"/>
      <c r="T165"/>
      <c r="U165"/>
      <c r="V165"/>
      <c r="W165"/>
      <c r="X165"/>
      <c r="Y165"/>
      <c r="Z165"/>
      <c r="AA165"/>
      <c r="AB165"/>
      <c r="AC165"/>
      <c r="AD165"/>
      <c r="AE165"/>
    </row>
    <row r="166" spans="1:31" ht="12.75" hidden="1" customHeight="1">
      <c r="A166" s="108"/>
      <c r="B166" s="108"/>
      <c r="C166" s="108"/>
      <c r="D166" s="108"/>
      <c r="E166" s="108"/>
      <c r="F166" s="108"/>
      <c r="G166" s="108"/>
      <c r="H166" s="108"/>
      <c r="I166" s="108"/>
      <c r="J166" s="108"/>
      <c r="K166" s="108"/>
      <c r="P166"/>
      <c r="Q166"/>
      <c r="R166"/>
      <c r="S166"/>
      <c r="T166"/>
      <c r="U166"/>
      <c r="V166"/>
      <c r="W166"/>
      <c r="X166"/>
      <c r="Y166"/>
      <c r="Z166"/>
      <c r="AA166"/>
      <c r="AB166"/>
      <c r="AC166"/>
      <c r="AD166"/>
      <c r="AE166"/>
    </row>
    <row r="167" spans="1:31" ht="12.75" hidden="1" customHeight="1">
      <c r="A167" s="108"/>
      <c r="B167" s="108"/>
      <c r="C167" s="108"/>
      <c r="D167" s="108"/>
      <c r="E167" s="108"/>
      <c r="F167" s="108"/>
      <c r="G167" s="108"/>
      <c r="H167" s="108"/>
      <c r="I167" s="108"/>
      <c r="J167" s="108"/>
      <c r="K167" s="108"/>
      <c r="P167"/>
      <c r="Q167"/>
      <c r="R167"/>
      <c r="S167"/>
      <c r="T167"/>
      <c r="U167"/>
      <c r="V167"/>
      <c r="W167"/>
      <c r="X167"/>
      <c r="Y167"/>
      <c r="Z167"/>
      <c r="AA167"/>
      <c r="AB167"/>
      <c r="AC167"/>
      <c r="AD167"/>
      <c r="AE167"/>
    </row>
    <row r="168" spans="1:31" ht="12.75" hidden="1" customHeight="1">
      <c r="A168" s="108"/>
      <c r="B168" s="108"/>
      <c r="C168" s="108"/>
      <c r="D168" s="108"/>
      <c r="E168" s="108"/>
      <c r="F168" s="108"/>
      <c r="G168" s="108"/>
      <c r="H168" s="108"/>
      <c r="I168" s="108"/>
      <c r="J168" s="108"/>
      <c r="K168" s="108"/>
      <c r="P168"/>
      <c r="Q168"/>
      <c r="R168"/>
      <c r="S168"/>
      <c r="T168"/>
      <c r="U168"/>
      <c r="V168"/>
      <c r="W168"/>
      <c r="X168"/>
      <c r="Y168"/>
      <c r="Z168"/>
      <c r="AA168"/>
      <c r="AB168"/>
      <c r="AC168"/>
      <c r="AD168"/>
      <c r="AE168"/>
    </row>
    <row r="169" spans="1:31" ht="12.75" hidden="1" customHeight="1">
      <c r="A169" s="108"/>
      <c r="B169" s="108"/>
      <c r="C169" s="108"/>
      <c r="D169" s="108"/>
      <c r="E169" s="108"/>
      <c r="F169" s="108"/>
      <c r="G169" s="108"/>
      <c r="H169" s="108"/>
      <c r="I169" s="108"/>
      <c r="J169" s="108"/>
      <c r="K169" s="108"/>
      <c r="P169"/>
      <c r="Q169"/>
      <c r="R169"/>
      <c r="S169"/>
      <c r="T169"/>
      <c r="U169"/>
      <c r="V169"/>
      <c r="W169"/>
      <c r="X169"/>
      <c r="Y169"/>
      <c r="Z169"/>
      <c r="AA169"/>
      <c r="AB169"/>
      <c r="AC169"/>
      <c r="AD169"/>
      <c r="AE169"/>
    </row>
    <row r="170" spans="1:31" ht="12.75" hidden="1" customHeight="1">
      <c r="A170" s="108"/>
      <c r="B170" s="108"/>
      <c r="C170" s="108"/>
      <c r="D170" s="108"/>
      <c r="E170" s="108"/>
      <c r="F170" s="108"/>
      <c r="G170" s="108"/>
      <c r="H170" s="108"/>
      <c r="I170" s="108"/>
      <c r="J170" s="108"/>
      <c r="K170" s="108"/>
      <c r="P170"/>
      <c r="Q170"/>
      <c r="R170"/>
      <c r="S170"/>
      <c r="T170"/>
      <c r="U170"/>
      <c r="V170"/>
      <c r="W170"/>
      <c r="X170"/>
      <c r="Y170"/>
      <c r="Z170"/>
      <c r="AA170"/>
      <c r="AB170"/>
      <c r="AC170"/>
      <c r="AD170"/>
      <c r="AE170"/>
    </row>
    <row r="171" spans="1:31" ht="12.75" hidden="1" customHeight="1">
      <c r="A171" s="108"/>
      <c r="B171" s="108"/>
      <c r="C171" s="108"/>
      <c r="D171" s="108"/>
      <c r="E171" s="108"/>
      <c r="F171" s="108"/>
      <c r="G171" s="108"/>
      <c r="H171" s="108"/>
      <c r="I171" s="108"/>
      <c r="J171" s="108"/>
      <c r="K171" s="108"/>
      <c r="P171"/>
      <c r="Q171"/>
      <c r="R171"/>
      <c r="S171"/>
      <c r="T171"/>
      <c r="U171"/>
      <c r="V171"/>
      <c r="W171"/>
      <c r="X171"/>
      <c r="Y171"/>
      <c r="Z171"/>
      <c r="AA171"/>
      <c r="AB171"/>
      <c r="AC171"/>
      <c r="AD171"/>
      <c r="AE171"/>
    </row>
    <row r="172" spans="1:31" ht="12.75" hidden="1" customHeight="1">
      <c r="A172" s="108"/>
      <c r="B172" s="108"/>
      <c r="C172" s="108"/>
      <c r="D172" s="108"/>
      <c r="E172" s="108"/>
      <c r="F172" s="108"/>
      <c r="G172" s="108"/>
      <c r="H172" s="108"/>
      <c r="I172" s="108"/>
      <c r="J172" s="108"/>
      <c r="K172" s="108"/>
      <c r="P172"/>
      <c r="Q172"/>
      <c r="R172"/>
      <c r="S172"/>
      <c r="T172"/>
      <c r="U172"/>
      <c r="V172"/>
      <c r="W172"/>
      <c r="X172"/>
      <c r="Y172"/>
      <c r="Z172"/>
      <c r="AA172"/>
      <c r="AB172"/>
      <c r="AC172"/>
      <c r="AD172"/>
      <c r="AE172"/>
    </row>
    <row r="173" spans="1:31" ht="12.75" hidden="1" customHeight="1">
      <c r="A173" s="108"/>
      <c r="B173" s="108"/>
      <c r="C173" s="108"/>
      <c r="D173" s="108"/>
      <c r="E173" s="108"/>
      <c r="F173" s="108"/>
      <c r="G173" s="108"/>
      <c r="H173" s="108"/>
      <c r="I173" s="108"/>
      <c r="J173" s="108"/>
      <c r="K173" s="108"/>
      <c r="P173"/>
      <c r="Q173"/>
      <c r="R173"/>
      <c r="S173"/>
      <c r="T173"/>
      <c r="U173"/>
      <c r="V173"/>
      <c r="W173"/>
      <c r="X173"/>
      <c r="Y173"/>
      <c r="Z173"/>
      <c r="AA173"/>
      <c r="AB173"/>
      <c r="AC173"/>
      <c r="AD173"/>
      <c r="AE173"/>
    </row>
    <row r="174" spans="1:31" ht="12.75" hidden="1" customHeight="1">
      <c r="A174" s="108"/>
      <c r="B174" s="108"/>
      <c r="C174" s="108"/>
      <c r="D174" s="108"/>
      <c r="E174" s="108"/>
      <c r="F174" s="108"/>
      <c r="G174" s="108"/>
      <c r="H174" s="108"/>
      <c r="I174" s="108"/>
      <c r="J174" s="108"/>
      <c r="K174" s="108"/>
      <c r="P174"/>
      <c r="Q174"/>
      <c r="R174"/>
      <c r="S174"/>
      <c r="T174"/>
      <c r="U174"/>
      <c r="V174"/>
      <c r="W174"/>
      <c r="X174"/>
      <c r="Y174"/>
      <c r="Z174"/>
      <c r="AA174"/>
      <c r="AB174"/>
      <c r="AC174"/>
      <c r="AD174"/>
      <c r="AE174"/>
    </row>
    <row r="175" spans="1:31" ht="12.75" hidden="1" customHeight="1">
      <c r="A175" s="108"/>
      <c r="B175" s="108"/>
      <c r="C175" s="108"/>
      <c r="D175" s="108"/>
      <c r="E175" s="108"/>
      <c r="F175" s="108"/>
      <c r="G175" s="108"/>
      <c r="H175" s="108"/>
      <c r="I175" s="108"/>
      <c r="J175" s="108"/>
      <c r="K175" s="108"/>
      <c r="P175"/>
      <c r="Q175"/>
      <c r="R175"/>
      <c r="S175"/>
      <c r="T175"/>
      <c r="U175"/>
      <c r="V175"/>
      <c r="W175"/>
      <c r="X175"/>
      <c r="Y175"/>
      <c r="Z175"/>
      <c r="AA175"/>
      <c r="AB175"/>
      <c r="AC175"/>
      <c r="AD175"/>
      <c r="AE175"/>
    </row>
    <row r="176" spans="1:31" ht="12.75" hidden="1" customHeight="1">
      <c r="A176" s="108"/>
      <c r="B176" s="108"/>
      <c r="C176" s="108"/>
      <c r="D176" s="108"/>
      <c r="E176" s="108"/>
      <c r="F176" s="108"/>
      <c r="G176" s="108"/>
      <c r="H176" s="108"/>
      <c r="I176" s="108"/>
      <c r="J176" s="108"/>
      <c r="K176" s="108"/>
      <c r="P176"/>
      <c r="Q176"/>
      <c r="R176"/>
      <c r="S176"/>
      <c r="T176"/>
      <c r="U176"/>
      <c r="V176"/>
      <c r="W176"/>
      <c r="X176"/>
      <c r="Y176"/>
      <c r="Z176"/>
      <c r="AA176"/>
      <c r="AB176"/>
      <c r="AC176"/>
      <c r="AD176"/>
      <c r="AE176"/>
    </row>
    <row r="177" spans="1:31" ht="12.75" hidden="1" customHeight="1">
      <c r="A177" s="108"/>
      <c r="B177" s="108"/>
      <c r="C177" s="108"/>
      <c r="D177" s="108"/>
      <c r="E177" s="108"/>
      <c r="F177" s="108"/>
      <c r="G177" s="108"/>
      <c r="H177" s="108"/>
      <c r="I177" s="108"/>
      <c r="J177" s="108"/>
      <c r="K177" s="108"/>
      <c r="P177"/>
      <c r="Q177"/>
      <c r="R177"/>
      <c r="S177"/>
      <c r="T177"/>
      <c r="U177"/>
      <c r="V177"/>
      <c r="W177"/>
      <c r="X177"/>
      <c r="Y177"/>
      <c r="Z177"/>
      <c r="AA177"/>
      <c r="AB177"/>
      <c r="AC177"/>
      <c r="AD177"/>
      <c r="AE177"/>
    </row>
    <row r="178" spans="1:31" ht="12.75" hidden="1" customHeight="1">
      <c r="A178" s="108"/>
      <c r="B178" s="108"/>
      <c r="C178" s="108"/>
      <c r="D178" s="108"/>
      <c r="E178" s="108"/>
      <c r="F178" s="108"/>
      <c r="G178" s="108"/>
      <c r="H178" s="108"/>
      <c r="I178" s="108"/>
      <c r="J178" s="108"/>
      <c r="K178" s="108"/>
      <c r="P178"/>
      <c r="Q178"/>
      <c r="R178"/>
      <c r="S178"/>
      <c r="T178"/>
      <c r="U178"/>
      <c r="V178"/>
      <c r="W178"/>
      <c r="X178"/>
      <c r="Y178"/>
      <c r="Z178"/>
      <c r="AA178"/>
      <c r="AB178"/>
      <c r="AC178"/>
      <c r="AD178"/>
      <c r="AE178"/>
    </row>
    <row r="179" spans="1:31" ht="12.75" hidden="1" customHeight="1">
      <c r="A179" s="108"/>
      <c r="B179" s="108"/>
      <c r="C179" s="108"/>
      <c r="D179" s="108"/>
      <c r="E179" s="108"/>
      <c r="F179" s="108"/>
      <c r="G179" s="108"/>
      <c r="H179" s="108"/>
      <c r="I179" s="108"/>
      <c r="J179" s="108"/>
      <c r="K179" s="108"/>
      <c r="P179"/>
      <c r="Q179"/>
      <c r="R179"/>
      <c r="S179"/>
      <c r="T179"/>
      <c r="U179"/>
      <c r="V179"/>
      <c r="W179"/>
      <c r="X179"/>
      <c r="Y179"/>
      <c r="Z179"/>
      <c r="AA179"/>
      <c r="AB179"/>
      <c r="AC179"/>
      <c r="AD179"/>
      <c r="AE179"/>
    </row>
    <row r="180" spans="1:31" ht="12.75" hidden="1" customHeight="1">
      <c r="A180" s="108"/>
      <c r="B180" s="108"/>
      <c r="C180" s="108"/>
      <c r="D180" s="108"/>
      <c r="E180" s="108"/>
      <c r="F180" s="108"/>
      <c r="G180" s="108"/>
      <c r="H180" s="108"/>
      <c r="I180" s="108"/>
      <c r="J180" s="108"/>
      <c r="K180" s="108"/>
      <c r="P180"/>
      <c r="Q180"/>
      <c r="R180"/>
      <c r="S180"/>
      <c r="T180"/>
      <c r="U180"/>
      <c r="V180"/>
      <c r="W180"/>
      <c r="X180"/>
      <c r="Y180"/>
      <c r="Z180"/>
      <c r="AA180"/>
      <c r="AB180"/>
      <c r="AC180"/>
      <c r="AD180"/>
      <c r="AE180"/>
    </row>
    <row r="181" spans="1:31" ht="12.75" hidden="1" customHeight="1">
      <c r="A181" s="108"/>
      <c r="B181" s="108"/>
      <c r="C181" s="108"/>
      <c r="D181" s="108"/>
      <c r="E181" s="108"/>
      <c r="F181" s="108"/>
      <c r="G181" s="108"/>
      <c r="H181" s="108"/>
      <c r="I181" s="108"/>
      <c r="J181" s="108"/>
      <c r="K181" s="108"/>
      <c r="P181"/>
      <c r="Q181"/>
      <c r="R181"/>
      <c r="S181"/>
      <c r="T181"/>
      <c r="U181"/>
      <c r="V181"/>
      <c r="W181"/>
      <c r="X181"/>
      <c r="Y181"/>
      <c r="Z181"/>
      <c r="AA181"/>
      <c r="AB181"/>
      <c r="AC181"/>
      <c r="AD181"/>
      <c r="AE181"/>
    </row>
    <row r="182" spans="1:31" ht="12.75" hidden="1" customHeight="1">
      <c r="A182" s="108"/>
      <c r="B182" s="108"/>
      <c r="C182" s="108"/>
      <c r="D182" s="108"/>
      <c r="E182" s="108"/>
      <c r="F182" s="108"/>
      <c r="G182" s="108"/>
      <c r="H182" s="108"/>
      <c r="I182" s="108"/>
      <c r="J182" s="108"/>
      <c r="K182" s="108"/>
      <c r="P182"/>
      <c r="Q182"/>
      <c r="R182"/>
      <c r="S182"/>
      <c r="T182"/>
      <c r="U182"/>
      <c r="V182"/>
      <c r="W182"/>
      <c r="X182"/>
      <c r="Y182"/>
      <c r="Z182"/>
      <c r="AA182"/>
      <c r="AB182"/>
      <c r="AC182"/>
      <c r="AD182"/>
      <c r="AE182"/>
    </row>
    <row r="183" spans="1:31" ht="12.75" hidden="1" customHeight="1">
      <c r="A183" s="108"/>
      <c r="B183" s="108"/>
      <c r="C183" s="108"/>
      <c r="D183" s="108"/>
      <c r="E183" s="108"/>
      <c r="F183" s="108"/>
      <c r="G183" s="108"/>
      <c r="H183" s="108"/>
      <c r="I183" s="108"/>
      <c r="J183" s="108"/>
      <c r="K183" s="108"/>
      <c r="P183"/>
      <c r="Q183"/>
      <c r="R183"/>
      <c r="S183"/>
      <c r="T183"/>
      <c r="U183"/>
      <c r="V183"/>
      <c r="W183"/>
      <c r="X183"/>
      <c r="Y183"/>
      <c r="Z183"/>
      <c r="AA183"/>
      <c r="AB183"/>
      <c r="AC183"/>
      <c r="AD183"/>
      <c r="AE183"/>
    </row>
    <row r="184" spans="1:31" ht="12.75" hidden="1" customHeight="1">
      <c r="A184" s="108"/>
      <c r="B184" s="108"/>
      <c r="C184" s="108"/>
      <c r="D184" s="108"/>
      <c r="E184" s="108"/>
      <c r="F184" s="108"/>
      <c r="G184" s="108"/>
      <c r="H184" s="108"/>
      <c r="I184" s="108"/>
      <c r="J184" s="108"/>
      <c r="K184" s="108"/>
      <c r="P184"/>
      <c r="Q184"/>
      <c r="R184"/>
      <c r="S184"/>
      <c r="T184"/>
      <c r="U184"/>
      <c r="V184"/>
      <c r="W184"/>
      <c r="X184"/>
      <c r="Y184"/>
      <c r="Z184"/>
      <c r="AA184"/>
      <c r="AB184"/>
      <c r="AC184"/>
      <c r="AD184"/>
      <c r="AE184"/>
    </row>
    <row r="185" spans="1:31" ht="12.75" hidden="1" customHeight="1">
      <c r="A185" s="108"/>
      <c r="B185" s="108"/>
      <c r="C185" s="108"/>
      <c r="D185" s="108"/>
      <c r="E185" s="108"/>
      <c r="F185" s="108"/>
      <c r="G185" s="108"/>
      <c r="H185" s="108"/>
      <c r="I185" s="108"/>
      <c r="J185" s="108"/>
      <c r="K185" s="108"/>
      <c r="P185"/>
      <c r="Q185"/>
      <c r="R185"/>
      <c r="S185"/>
      <c r="T185"/>
      <c r="U185"/>
      <c r="V185"/>
      <c r="W185"/>
      <c r="X185"/>
      <c r="Y185"/>
      <c r="Z185"/>
      <c r="AA185"/>
      <c r="AB185"/>
      <c r="AC185"/>
      <c r="AD185"/>
      <c r="AE185"/>
    </row>
    <row r="186" spans="1:31" ht="12.75" hidden="1" customHeight="1">
      <c r="A186" s="108"/>
      <c r="B186" s="108"/>
      <c r="C186" s="108"/>
      <c r="D186" s="108"/>
      <c r="E186" s="108"/>
      <c r="F186" s="108"/>
      <c r="G186" s="108"/>
      <c r="H186" s="108"/>
      <c r="I186" s="108"/>
      <c r="J186" s="108"/>
      <c r="K186" s="108"/>
      <c r="P186"/>
      <c r="Q186"/>
      <c r="R186"/>
      <c r="S186"/>
      <c r="T186"/>
      <c r="U186"/>
      <c r="V186"/>
      <c r="W186"/>
      <c r="X186"/>
      <c r="Y186"/>
      <c r="Z186"/>
      <c r="AA186"/>
      <c r="AB186"/>
      <c r="AC186"/>
      <c r="AD186"/>
      <c r="AE186"/>
    </row>
    <row r="187" spans="1:31" ht="12.75" customHeight="1">
      <c r="A187" s="108"/>
      <c r="B187" s="108"/>
      <c r="C187" s="108"/>
      <c r="D187" s="108"/>
      <c r="E187" s="108"/>
      <c r="F187" s="108"/>
      <c r="G187" s="108"/>
      <c r="H187" s="108"/>
      <c r="I187" s="108"/>
      <c r="J187" s="108"/>
      <c r="K187" s="108"/>
      <c r="P187"/>
      <c r="Q187"/>
      <c r="R187"/>
      <c r="S187"/>
      <c r="T187"/>
      <c r="U187"/>
      <c r="V187"/>
      <c r="W187"/>
      <c r="X187"/>
      <c r="Y187"/>
      <c r="Z187"/>
      <c r="AA187"/>
      <c r="AB187"/>
      <c r="AC187"/>
      <c r="AD187"/>
      <c r="AE187"/>
    </row>
    <row r="188" spans="1:31" ht="12.75" customHeight="1">
      <c r="A188" s="108"/>
      <c r="B188" s="108"/>
      <c r="C188" s="108"/>
      <c r="D188" s="108"/>
      <c r="E188" s="108"/>
      <c r="F188" s="108"/>
      <c r="G188" s="108"/>
      <c r="H188" s="108"/>
      <c r="I188" s="108"/>
      <c r="J188" s="108"/>
      <c r="K188" s="108"/>
      <c r="P188"/>
      <c r="Q188"/>
      <c r="R188"/>
      <c r="S188"/>
      <c r="T188"/>
      <c r="U188"/>
      <c r="V188"/>
      <c r="W188"/>
      <c r="X188"/>
      <c r="Y188"/>
      <c r="Z188"/>
      <c r="AA188"/>
      <c r="AB188"/>
      <c r="AC188"/>
      <c r="AD188"/>
      <c r="AE188"/>
    </row>
    <row r="189" spans="1:31" ht="12.75" customHeight="1">
      <c r="A189" s="108"/>
      <c r="B189" s="108"/>
      <c r="C189" s="108"/>
      <c r="D189" s="108"/>
      <c r="E189" s="108"/>
      <c r="F189" s="108"/>
      <c r="G189" s="108"/>
      <c r="H189" s="108"/>
      <c r="I189" s="108"/>
      <c r="J189" s="108"/>
      <c r="K189" s="108"/>
      <c r="P189"/>
      <c r="Q189"/>
      <c r="R189"/>
      <c r="S189"/>
      <c r="T189"/>
      <c r="U189"/>
      <c r="V189"/>
      <c r="W189"/>
      <c r="X189"/>
      <c r="Y189"/>
      <c r="Z189"/>
      <c r="AA189"/>
      <c r="AB189"/>
      <c r="AC189"/>
      <c r="AD189"/>
      <c r="AE189"/>
    </row>
    <row r="190" spans="1:31" ht="12.75" customHeight="1">
      <c r="A190" s="108"/>
      <c r="B190" s="108"/>
      <c r="C190" s="108"/>
      <c r="D190" s="108"/>
      <c r="E190" s="108"/>
      <c r="F190" s="108"/>
      <c r="G190" s="108"/>
      <c r="H190" s="108"/>
      <c r="I190" s="108"/>
      <c r="J190" s="108"/>
      <c r="K190" s="108"/>
      <c r="P190"/>
      <c r="Q190"/>
      <c r="R190"/>
      <c r="S190"/>
      <c r="T190"/>
      <c r="U190"/>
      <c r="V190"/>
      <c r="W190"/>
      <c r="X190"/>
      <c r="Y190"/>
      <c r="Z190"/>
      <c r="AA190"/>
      <c r="AB190"/>
      <c r="AC190"/>
      <c r="AD190"/>
      <c r="AE190"/>
    </row>
    <row r="191" spans="1:31" ht="12.75" customHeight="1">
      <c r="A191" s="108"/>
      <c r="B191" s="108"/>
      <c r="C191" s="108"/>
      <c r="D191" s="108"/>
      <c r="E191" s="108"/>
      <c r="F191" s="108"/>
      <c r="G191" s="108"/>
      <c r="H191" s="108"/>
      <c r="I191" s="108"/>
      <c r="J191" s="108"/>
      <c r="K191" s="108"/>
      <c r="P191"/>
      <c r="Q191"/>
      <c r="R191"/>
      <c r="S191"/>
      <c r="T191"/>
      <c r="U191"/>
      <c r="V191"/>
      <c r="W191"/>
      <c r="X191"/>
      <c r="Y191"/>
      <c r="Z191"/>
      <c r="AA191"/>
      <c r="AB191"/>
      <c r="AC191"/>
      <c r="AD191"/>
      <c r="AE191"/>
    </row>
    <row r="192" spans="1:31" ht="12.75" customHeight="1">
      <c r="A192" s="108"/>
      <c r="B192" s="108"/>
      <c r="C192" s="108"/>
      <c r="D192" s="108"/>
      <c r="E192" s="108"/>
      <c r="F192" s="108"/>
      <c r="G192" s="108"/>
      <c r="H192" s="108"/>
      <c r="I192" s="108"/>
      <c r="J192" s="108"/>
      <c r="K192" s="108"/>
      <c r="P192"/>
      <c r="Q192"/>
      <c r="R192"/>
      <c r="S192"/>
      <c r="T192"/>
      <c r="U192"/>
      <c r="V192"/>
      <c r="W192"/>
      <c r="X192"/>
      <c r="Y192"/>
      <c r="Z192"/>
      <c r="AA192"/>
      <c r="AB192"/>
      <c r="AC192"/>
      <c r="AD192"/>
      <c r="AE192"/>
    </row>
    <row r="193" spans="1:31" ht="12.75" customHeight="1">
      <c r="A193" s="108"/>
      <c r="B193" s="108"/>
      <c r="C193" s="108"/>
      <c r="D193" s="108"/>
      <c r="E193" s="108"/>
      <c r="F193" s="108"/>
      <c r="G193" s="108"/>
      <c r="H193" s="108"/>
      <c r="I193" s="108"/>
      <c r="J193" s="108"/>
      <c r="K193" s="108"/>
      <c r="P193"/>
      <c r="Q193"/>
      <c r="R193"/>
      <c r="S193"/>
      <c r="T193"/>
      <c r="U193"/>
      <c r="V193"/>
      <c r="W193"/>
      <c r="X193"/>
      <c r="Y193"/>
      <c r="Z193"/>
      <c r="AA193"/>
      <c r="AB193"/>
      <c r="AC193"/>
      <c r="AD193"/>
      <c r="AE193"/>
    </row>
    <row r="194" spans="1:31" ht="12.75" customHeight="1">
      <c r="A194" s="108"/>
      <c r="B194" s="108"/>
      <c r="C194" s="108"/>
      <c r="D194" s="108"/>
      <c r="E194" s="108"/>
      <c r="F194" s="108"/>
      <c r="G194" s="108"/>
      <c r="H194" s="108"/>
      <c r="I194" s="108"/>
      <c r="J194" s="108"/>
      <c r="K194" s="108"/>
      <c r="P194"/>
      <c r="Q194"/>
      <c r="R194"/>
      <c r="S194"/>
      <c r="T194"/>
      <c r="U194"/>
      <c r="V194"/>
      <c r="W194"/>
      <c r="X194"/>
      <c r="Y194"/>
      <c r="Z194"/>
      <c r="AA194"/>
      <c r="AB194"/>
      <c r="AC194"/>
      <c r="AD194"/>
      <c r="AE194"/>
    </row>
    <row r="195" spans="1:31" ht="12.75" customHeight="1">
      <c r="A195" s="108"/>
      <c r="B195" s="108"/>
      <c r="C195" s="108"/>
      <c r="D195" s="108"/>
      <c r="E195" s="108"/>
      <c r="F195" s="108"/>
      <c r="G195" s="108"/>
      <c r="H195" s="108"/>
      <c r="I195" s="108"/>
      <c r="J195" s="108"/>
      <c r="K195" s="108"/>
      <c r="P195"/>
      <c r="Q195"/>
      <c r="R195"/>
      <c r="S195"/>
      <c r="T195"/>
      <c r="U195"/>
      <c r="V195"/>
      <c r="W195"/>
      <c r="X195"/>
      <c r="Y195"/>
      <c r="Z195"/>
      <c r="AA195"/>
      <c r="AB195"/>
      <c r="AC195"/>
      <c r="AD195"/>
      <c r="AE195"/>
    </row>
    <row r="196" spans="1:31" ht="12.75" customHeight="1">
      <c r="A196" s="108"/>
      <c r="B196" s="108"/>
      <c r="C196" s="108"/>
      <c r="D196" s="108"/>
      <c r="E196" s="108"/>
      <c r="F196" s="108"/>
      <c r="G196" s="108"/>
      <c r="H196" s="108"/>
      <c r="I196" s="108"/>
      <c r="J196" s="108"/>
      <c r="K196" s="108"/>
      <c r="P196"/>
      <c r="Q196"/>
      <c r="R196"/>
      <c r="S196"/>
      <c r="T196"/>
      <c r="U196"/>
      <c r="V196"/>
      <c r="W196"/>
      <c r="X196"/>
      <c r="Y196"/>
      <c r="Z196"/>
      <c r="AA196"/>
      <c r="AB196"/>
      <c r="AC196"/>
      <c r="AD196"/>
      <c r="AE196"/>
    </row>
    <row r="197" spans="1:31" ht="12.75" customHeight="1">
      <c r="A197" s="108"/>
      <c r="B197" s="108"/>
      <c r="C197" s="108"/>
      <c r="D197" s="108"/>
      <c r="E197" s="108"/>
      <c r="F197" s="108"/>
      <c r="G197" s="108"/>
      <c r="H197" s="108"/>
      <c r="I197" s="108"/>
      <c r="J197" s="108"/>
      <c r="K197" s="108"/>
      <c r="P197"/>
      <c r="Q197"/>
      <c r="R197"/>
      <c r="S197"/>
      <c r="T197"/>
      <c r="U197"/>
      <c r="V197"/>
      <c r="W197"/>
      <c r="X197"/>
      <c r="Y197"/>
      <c r="Z197"/>
      <c r="AA197"/>
      <c r="AB197"/>
      <c r="AC197"/>
      <c r="AD197"/>
      <c r="AE197"/>
    </row>
    <row r="198" spans="1:31" ht="12.75" customHeight="1">
      <c r="A198" s="108"/>
      <c r="B198" s="108"/>
      <c r="C198" s="108"/>
      <c r="D198" s="108"/>
      <c r="E198" s="108"/>
      <c r="F198" s="108"/>
      <c r="G198" s="108"/>
      <c r="H198" s="108"/>
      <c r="I198" s="108"/>
      <c r="J198" s="108"/>
      <c r="K198" s="108"/>
      <c r="P198"/>
      <c r="Q198"/>
      <c r="R198"/>
      <c r="S198"/>
      <c r="T198"/>
      <c r="U198"/>
      <c r="V198"/>
      <c r="W198"/>
      <c r="X198"/>
      <c r="Y198"/>
      <c r="Z198"/>
      <c r="AA198"/>
      <c r="AB198"/>
      <c r="AC198"/>
      <c r="AD198"/>
      <c r="AE198"/>
    </row>
    <row r="199" spans="1:31" ht="12.75" customHeight="1">
      <c r="A199" s="108"/>
      <c r="B199" s="108"/>
      <c r="C199" s="108"/>
      <c r="D199" s="108"/>
      <c r="E199" s="108"/>
      <c r="F199" s="108"/>
      <c r="G199" s="108"/>
      <c r="H199" s="108"/>
      <c r="I199" s="108"/>
      <c r="J199" s="108"/>
      <c r="K199" s="108"/>
      <c r="P199"/>
      <c r="Q199"/>
      <c r="R199"/>
      <c r="S199"/>
      <c r="T199"/>
      <c r="U199"/>
      <c r="V199"/>
      <c r="W199"/>
      <c r="X199"/>
      <c r="Y199"/>
      <c r="Z199"/>
      <c r="AA199"/>
      <c r="AB199"/>
      <c r="AC199"/>
      <c r="AD199"/>
      <c r="AE199"/>
    </row>
    <row r="200" spans="1:31" ht="12.75" customHeight="1">
      <c r="A200" s="108"/>
      <c r="B200" s="108"/>
      <c r="C200" s="108"/>
      <c r="D200" s="108"/>
      <c r="E200" s="108"/>
      <c r="F200" s="108"/>
      <c r="G200" s="108"/>
      <c r="H200" s="108"/>
      <c r="I200" s="108"/>
      <c r="J200" s="108"/>
      <c r="K200" s="108"/>
      <c r="P200"/>
      <c r="Q200"/>
      <c r="R200"/>
      <c r="S200"/>
      <c r="T200"/>
      <c r="U200"/>
      <c r="V200"/>
      <c r="W200"/>
      <c r="X200"/>
      <c r="Y200"/>
      <c r="Z200"/>
      <c r="AA200"/>
      <c r="AB200"/>
      <c r="AC200"/>
      <c r="AD200"/>
      <c r="AE200"/>
    </row>
    <row r="201" spans="1:31" ht="12.75" customHeight="1">
      <c r="A201" s="108"/>
      <c r="B201" s="108"/>
      <c r="C201" s="108"/>
      <c r="D201" s="108"/>
      <c r="E201" s="108"/>
      <c r="F201" s="108"/>
      <c r="G201" s="108"/>
      <c r="H201" s="108"/>
      <c r="I201" s="108"/>
      <c r="J201" s="108"/>
      <c r="K201" s="108"/>
      <c r="P201"/>
      <c r="Q201"/>
      <c r="R201"/>
      <c r="S201"/>
      <c r="T201"/>
      <c r="U201"/>
      <c r="V201"/>
      <c r="W201"/>
      <c r="X201"/>
      <c r="Y201"/>
      <c r="Z201"/>
      <c r="AA201"/>
      <c r="AB201"/>
      <c r="AC201"/>
      <c r="AD201"/>
      <c r="AE201"/>
    </row>
    <row r="202" spans="1:31" ht="12.75" customHeight="1">
      <c r="A202" s="108"/>
      <c r="B202" s="108"/>
      <c r="C202" s="108"/>
      <c r="D202" s="108"/>
      <c r="E202" s="108"/>
      <c r="F202" s="108"/>
      <c r="G202" s="108"/>
      <c r="H202" s="108"/>
      <c r="I202" s="108"/>
      <c r="J202" s="108"/>
      <c r="K202" s="108"/>
      <c r="P202"/>
      <c r="Q202"/>
      <c r="R202"/>
      <c r="S202"/>
      <c r="T202"/>
      <c r="U202"/>
      <c r="V202"/>
      <c r="W202"/>
      <c r="X202"/>
      <c r="Y202"/>
      <c r="Z202"/>
      <c r="AA202"/>
      <c r="AB202"/>
      <c r="AC202"/>
      <c r="AD202"/>
      <c r="AE202"/>
    </row>
    <row r="203" spans="1:31" ht="12.75" customHeight="1">
      <c r="A203" s="108"/>
      <c r="B203" s="108"/>
      <c r="C203" s="108"/>
      <c r="D203" s="108"/>
      <c r="E203" s="108"/>
      <c r="F203" s="108"/>
      <c r="G203" s="108"/>
      <c r="H203" s="108"/>
      <c r="I203" s="108"/>
      <c r="J203" s="108"/>
      <c r="K203" s="108"/>
      <c r="P203"/>
      <c r="Q203"/>
      <c r="R203"/>
      <c r="S203"/>
      <c r="T203"/>
      <c r="U203"/>
      <c r="V203"/>
      <c r="W203"/>
      <c r="X203"/>
      <c r="Y203"/>
      <c r="Z203"/>
      <c r="AA203"/>
      <c r="AB203"/>
      <c r="AC203"/>
      <c r="AD203"/>
      <c r="AE203"/>
    </row>
    <row r="204" spans="1:31" ht="12.75" customHeight="1">
      <c r="A204" s="108"/>
      <c r="B204" s="108"/>
      <c r="C204" s="108"/>
      <c r="D204" s="108"/>
      <c r="E204" s="108"/>
      <c r="F204" s="108"/>
      <c r="G204" s="108"/>
      <c r="H204" s="108"/>
      <c r="I204" s="108"/>
      <c r="J204" s="108"/>
      <c r="K204" s="108"/>
      <c r="P204"/>
      <c r="Q204"/>
      <c r="R204"/>
      <c r="S204"/>
      <c r="T204"/>
      <c r="U204"/>
      <c r="V204"/>
      <c r="W204"/>
      <c r="X204"/>
      <c r="Y204"/>
      <c r="Z204"/>
      <c r="AA204"/>
      <c r="AB204"/>
      <c r="AC204"/>
      <c r="AD204"/>
      <c r="AE204"/>
    </row>
    <row r="205" spans="1:31" ht="12.75" customHeight="1">
      <c r="A205" s="108"/>
      <c r="B205" s="108"/>
      <c r="C205" s="108"/>
      <c r="D205" s="108"/>
      <c r="E205" s="108"/>
      <c r="F205" s="108"/>
      <c r="G205" s="108"/>
      <c r="H205" s="108"/>
      <c r="I205" s="108"/>
      <c r="J205" s="108"/>
      <c r="K205" s="108"/>
      <c r="P205"/>
      <c r="Q205"/>
      <c r="R205"/>
      <c r="S205"/>
      <c r="T205"/>
      <c r="U205"/>
      <c r="V205"/>
      <c r="W205"/>
      <c r="X205"/>
      <c r="Y205"/>
      <c r="Z205"/>
      <c r="AA205"/>
      <c r="AB205"/>
      <c r="AC205"/>
      <c r="AD205"/>
      <c r="AE205"/>
    </row>
    <row r="206" spans="1:31" ht="12.75" customHeight="1">
      <c r="A206" s="108"/>
      <c r="B206" s="108"/>
      <c r="C206" s="108"/>
      <c r="D206" s="108"/>
      <c r="E206" s="108"/>
      <c r="F206" s="108"/>
      <c r="G206" s="108"/>
      <c r="H206" s="108"/>
      <c r="I206" s="108"/>
      <c r="J206" s="108"/>
      <c r="K206" s="108"/>
      <c r="P206"/>
      <c r="Q206"/>
      <c r="R206"/>
      <c r="S206"/>
      <c r="T206"/>
      <c r="U206"/>
      <c r="V206"/>
      <c r="W206"/>
      <c r="X206"/>
      <c r="Y206"/>
      <c r="Z206"/>
      <c r="AA206"/>
      <c r="AB206"/>
      <c r="AC206"/>
      <c r="AD206"/>
      <c r="AE206"/>
    </row>
    <row r="207" spans="1:31" ht="12.75" customHeight="1">
      <c r="A207" s="108"/>
      <c r="B207" s="108"/>
      <c r="C207" s="108"/>
      <c r="D207" s="108"/>
      <c r="E207" s="108"/>
      <c r="F207" s="108"/>
      <c r="G207" s="108"/>
      <c r="H207" s="108"/>
      <c r="I207" s="108"/>
      <c r="J207" s="108"/>
      <c r="K207" s="108"/>
      <c r="P207"/>
      <c r="Q207"/>
      <c r="R207"/>
      <c r="S207"/>
      <c r="T207"/>
      <c r="U207"/>
      <c r="V207"/>
      <c r="W207"/>
      <c r="X207"/>
      <c r="Y207"/>
      <c r="Z207"/>
      <c r="AA207"/>
      <c r="AB207"/>
      <c r="AC207"/>
      <c r="AD207"/>
      <c r="AE207"/>
    </row>
    <row r="208" spans="1:31" ht="12.75" customHeight="1">
      <c r="A208" s="108"/>
      <c r="B208" s="108"/>
      <c r="C208" s="108"/>
      <c r="D208" s="108"/>
      <c r="E208" s="108"/>
      <c r="F208" s="108"/>
      <c r="G208" s="108"/>
      <c r="H208" s="108"/>
      <c r="I208" s="108"/>
      <c r="J208" s="108"/>
      <c r="K208" s="108"/>
      <c r="P208"/>
      <c r="Q208"/>
      <c r="R208"/>
      <c r="S208"/>
      <c r="T208"/>
      <c r="U208"/>
      <c r="V208"/>
      <c r="W208"/>
      <c r="X208"/>
      <c r="Y208"/>
      <c r="Z208"/>
      <c r="AA208"/>
      <c r="AB208"/>
      <c r="AC208"/>
      <c r="AD208"/>
      <c r="AE208"/>
    </row>
    <row r="209" spans="1:31" ht="12.75" customHeight="1">
      <c r="A209" s="108"/>
      <c r="B209" s="108"/>
      <c r="C209" s="108"/>
      <c r="D209" s="108"/>
      <c r="E209" s="108"/>
      <c r="F209" s="108"/>
      <c r="G209" s="108"/>
      <c r="H209" s="108"/>
      <c r="I209" s="108"/>
      <c r="J209" s="108"/>
      <c r="K209" s="108"/>
      <c r="P209"/>
      <c r="Q209"/>
      <c r="R209"/>
      <c r="S209"/>
      <c r="T209"/>
      <c r="U209"/>
      <c r="V209"/>
      <c r="W209"/>
      <c r="X209"/>
      <c r="Y209"/>
      <c r="Z209"/>
      <c r="AA209"/>
      <c r="AB209"/>
      <c r="AC209"/>
      <c r="AD209"/>
      <c r="AE209"/>
    </row>
    <row r="210" spans="1:31" ht="12.75" customHeight="1">
      <c r="A210" s="108"/>
      <c r="B210" s="108"/>
      <c r="C210" s="108"/>
      <c r="D210" s="108"/>
      <c r="E210" s="108"/>
      <c r="F210" s="108"/>
      <c r="G210" s="108"/>
      <c r="H210" s="108"/>
      <c r="I210" s="108"/>
      <c r="J210" s="108"/>
      <c r="K210" s="108"/>
      <c r="P210"/>
      <c r="Q210"/>
      <c r="R210"/>
      <c r="S210"/>
      <c r="T210"/>
      <c r="U210"/>
      <c r="V210"/>
      <c r="W210"/>
      <c r="X210"/>
      <c r="Y210"/>
      <c r="Z210"/>
      <c r="AA210"/>
      <c r="AB210"/>
      <c r="AC210"/>
      <c r="AD210"/>
      <c r="AE210"/>
    </row>
    <row r="211" spans="1:31" ht="12.75" customHeight="1">
      <c r="A211" s="108"/>
      <c r="B211" s="108"/>
      <c r="C211" s="108"/>
      <c r="D211" s="108"/>
      <c r="E211" s="108"/>
      <c r="F211" s="108"/>
      <c r="G211" s="108"/>
      <c r="H211" s="108"/>
      <c r="I211" s="108"/>
      <c r="J211" s="108"/>
      <c r="K211" s="108"/>
      <c r="P211"/>
      <c r="Q211"/>
      <c r="R211"/>
      <c r="S211"/>
      <c r="T211"/>
      <c r="U211"/>
      <c r="V211"/>
      <c r="W211"/>
      <c r="X211"/>
      <c r="Y211"/>
      <c r="Z211"/>
      <c r="AA211"/>
      <c r="AB211"/>
      <c r="AC211"/>
      <c r="AD211"/>
      <c r="AE211"/>
    </row>
    <row r="212" spans="1:31" ht="12.75" customHeight="1">
      <c r="A212" s="108"/>
      <c r="B212" s="108"/>
      <c r="C212" s="108"/>
      <c r="D212" s="108"/>
      <c r="E212" s="108"/>
      <c r="F212" s="108"/>
      <c r="G212" s="108"/>
      <c r="H212" s="108"/>
      <c r="I212" s="108"/>
      <c r="J212" s="108"/>
      <c r="K212" s="108"/>
      <c r="P212"/>
      <c r="Q212"/>
      <c r="R212"/>
      <c r="S212"/>
      <c r="T212"/>
      <c r="U212"/>
      <c r="V212"/>
      <c r="W212"/>
      <c r="X212"/>
      <c r="Y212"/>
      <c r="Z212"/>
      <c r="AA212"/>
      <c r="AB212"/>
      <c r="AC212"/>
      <c r="AD212"/>
      <c r="AE212"/>
    </row>
    <row r="213" spans="1:31" ht="12.75" customHeight="1">
      <c r="A213" s="108"/>
      <c r="B213" s="108"/>
      <c r="C213" s="108"/>
      <c r="D213" s="108"/>
      <c r="E213" s="108"/>
      <c r="F213" s="108"/>
      <c r="G213" s="108"/>
      <c r="H213" s="108"/>
      <c r="I213" s="108"/>
      <c r="J213" s="108"/>
      <c r="K213" s="108"/>
      <c r="P213"/>
      <c r="Q213"/>
      <c r="R213"/>
      <c r="S213"/>
      <c r="T213"/>
      <c r="U213"/>
      <c r="V213"/>
      <c r="W213"/>
      <c r="X213"/>
      <c r="Y213"/>
      <c r="Z213"/>
      <c r="AA213"/>
      <c r="AB213"/>
      <c r="AC213"/>
      <c r="AD213"/>
      <c r="AE213"/>
    </row>
    <row r="214" spans="1:31" ht="12.75" customHeight="1">
      <c r="A214" s="108"/>
      <c r="B214" s="108"/>
      <c r="C214" s="108"/>
      <c r="D214" s="108"/>
      <c r="E214" s="108"/>
      <c r="F214" s="108"/>
      <c r="G214" s="108"/>
      <c r="H214" s="108"/>
      <c r="I214" s="108"/>
      <c r="J214" s="108"/>
      <c r="K214" s="108"/>
      <c r="P214"/>
      <c r="Q214"/>
      <c r="R214"/>
      <c r="S214"/>
      <c r="T214"/>
      <c r="U214"/>
      <c r="V214"/>
      <c r="W214"/>
      <c r="X214"/>
      <c r="Y214"/>
      <c r="Z214"/>
      <c r="AA214"/>
      <c r="AB214"/>
      <c r="AC214"/>
      <c r="AD214"/>
      <c r="AE214"/>
    </row>
    <row r="215" spans="1:31" ht="12.75" customHeight="1">
      <c r="A215" s="108"/>
      <c r="B215" s="108"/>
      <c r="C215" s="108"/>
      <c r="D215" s="108"/>
      <c r="E215" s="108"/>
      <c r="F215" s="108"/>
      <c r="G215" s="108"/>
      <c r="H215" s="108"/>
      <c r="I215" s="108"/>
      <c r="J215" s="108"/>
      <c r="K215" s="108"/>
      <c r="P215"/>
      <c r="Q215"/>
      <c r="R215"/>
      <c r="S215"/>
      <c r="T215"/>
      <c r="U215"/>
      <c r="V215"/>
      <c r="W215"/>
      <c r="X215"/>
      <c r="Y215"/>
      <c r="Z215"/>
      <c r="AA215"/>
      <c r="AB215"/>
      <c r="AC215"/>
      <c r="AD215"/>
      <c r="AE215"/>
    </row>
    <row r="216" spans="1:31" ht="12.75" customHeight="1">
      <c r="A216" s="108"/>
      <c r="B216" s="108"/>
      <c r="C216" s="108"/>
      <c r="D216" s="108"/>
      <c r="E216" s="108"/>
      <c r="F216" s="108"/>
      <c r="G216" s="108"/>
      <c r="H216" s="108"/>
      <c r="I216" s="108"/>
      <c r="J216" s="108"/>
      <c r="K216" s="108"/>
      <c r="P216"/>
      <c r="Q216"/>
      <c r="R216"/>
      <c r="S216"/>
      <c r="T216"/>
      <c r="U216"/>
      <c r="V216"/>
      <c r="W216"/>
      <c r="X216"/>
      <c r="Y216"/>
      <c r="Z216"/>
      <c r="AA216"/>
      <c r="AB216"/>
      <c r="AC216"/>
      <c r="AD216"/>
      <c r="AE216"/>
    </row>
    <row r="217" spans="1:31" ht="12.75" customHeight="1">
      <c r="A217" s="108"/>
      <c r="B217" s="108"/>
      <c r="C217" s="108"/>
      <c r="D217" s="108"/>
      <c r="E217" s="108"/>
      <c r="F217" s="108"/>
      <c r="G217" s="108"/>
      <c r="H217" s="108"/>
      <c r="I217" s="108"/>
      <c r="J217" s="108"/>
      <c r="K217" s="108"/>
      <c r="P217"/>
      <c r="Q217"/>
      <c r="R217"/>
      <c r="S217"/>
      <c r="T217"/>
      <c r="U217"/>
      <c r="V217"/>
      <c r="W217"/>
      <c r="X217"/>
      <c r="Y217"/>
      <c r="Z217"/>
      <c r="AA217"/>
      <c r="AB217"/>
      <c r="AC217"/>
      <c r="AD217"/>
      <c r="AE217"/>
    </row>
    <row r="218" spans="1:31" ht="12.75" customHeight="1">
      <c r="A218" s="108"/>
      <c r="B218" s="108"/>
      <c r="C218" s="108"/>
      <c r="D218" s="108"/>
      <c r="E218" s="108"/>
      <c r="F218" s="108"/>
      <c r="G218" s="108"/>
      <c r="H218" s="108"/>
      <c r="I218" s="108"/>
      <c r="J218" s="108"/>
      <c r="K218" s="108"/>
      <c r="P218"/>
      <c r="Q218"/>
      <c r="R218"/>
      <c r="S218"/>
      <c r="T218"/>
      <c r="U218"/>
      <c r="V218"/>
      <c r="W218"/>
      <c r="X218"/>
      <c r="Y218"/>
      <c r="Z218"/>
      <c r="AA218"/>
      <c r="AB218"/>
      <c r="AC218"/>
      <c r="AD218"/>
      <c r="AE218"/>
    </row>
    <row r="219" spans="1:31" ht="12.75" customHeight="1">
      <c r="A219" s="108"/>
      <c r="B219" s="108"/>
      <c r="C219" s="108"/>
      <c r="D219" s="108"/>
      <c r="E219" s="108"/>
      <c r="F219" s="108"/>
      <c r="G219" s="108"/>
      <c r="H219" s="108"/>
      <c r="I219" s="108"/>
      <c r="J219" s="108"/>
      <c r="K219" s="108"/>
      <c r="P219"/>
      <c r="Q219"/>
      <c r="R219"/>
      <c r="S219"/>
      <c r="T219"/>
      <c r="U219"/>
      <c r="V219"/>
      <c r="W219"/>
      <c r="X219"/>
      <c r="Y219"/>
      <c r="Z219"/>
      <c r="AA219"/>
      <c r="AB219"/>
      <c r="AC219"/>
      <c r="AD219"/>
      <c r="AE219"/>
    </row>
    <row r="220" spans="1:31" ht="12.75" customHeight="1">
      <c r="A220" s="108"/>
      <c r="B220" s="108"/>
      <c r="C220" s="108"/>
      <c r="D220" s="108"/>
      <c r="E220" s="108"/>
      <c r="F220" s="108"/>
      <c r="G220" s="108"/>
      <c r="H220" s="108"/>
      <c r="I220" s="108"/>
      <c r="J220" s="108"/>
      <c r="K220" s="108"/>
      <c r="P220"/>
      <c r="Q220"/>
      <c r="R220"/>
      <c r="S220"/>
      <c r="T220"/>
      <c r="U220"/>
      <c r="V220"/>
      <c r="W220"/>
      <c r="X220"/>
      <c r="Y220"/>
      <c r="Z220"/>
      <c r="AA220"/>
      <c r="AB220"/>
      <c r="AC220"/>
      <c r="AD220"/>
      <c r="AE220"/>
    </row>
    <row r="221" spans="1:31" ht="12.75" customHeight="1">
      <c r="A221" s="108"/>
      <c r="B221" s="108"/>
      <c r="C221" s="108"/>
      <c r="D221" s="108"/>
      <c r="E221" s="108"/>
      <c r="F221" s="108"/>
      <c r="G221" s="108"/>
      <c r="H221" s="108"/>
      <c r="I221" s="108"/>
      <c r="J221" s="108"/>
      <c r="K221" s="108"/>
      <c r="P221"/>
      <c r="Q221"/>
      <c r="R221"/>
      <c r="S221"/>
      <c r="T221"/>
      <c r="U221"/>
      <c r="V221"/>
      <c r="W221"/>
      <c r="X221"/>
      <c r="Y221"/>
      <c r="Z221"/>
      <c r="AA221"/>
      <c r="AB221"/>
      <c r="AC221"/>
      <c r="AD221"/>
      <c r="AE221"/>
    </row>
    <row r="222" spans="1:31" ht="12.75" customHeight="1">
      <c r="A222" s="108"/>
      <c r="B222" s="108"/>
      <c r="C222" s="108"/>
      <c r="D222" s="108"/>
      <c r="E222" s="108"/>
      <c r="F222" s="108"/>
      <c r="G222" s="108"/>
      <c r="H222" s="108"/>
      <c r="I222" s="108"/>
      <c r="J222" s="108"/>
      <c r="K222" s="108"/>
      <c r="P222"/>
      <c r="Q222"/>
      <c r="R222"/>
      <c r="S222"/>
      <c r="T222"/>
      <c r="U222"/>
      <c r="V222"/>
      <c r="W222"/>
      <c r="X222"/>
      <c r="Y222"/>
      <c r="Z222"/>
      <c r="AA222"/>
      <c r="AB222"/>
      <c r="AC222"/>
      <c r="AD222"/>
      <c r="AE222"/>
    </row>
    <row r="223" spans="1:31" ht="12.75" customHeight="1">
      <c r="A223" s="108"/>
      <c r="B223" s="108"/>
      <c r="C223" s="108"/>
      <c r="D223" s="108"/>
      <c r="E223" s="108"/>
      <c r="F223" s="108"/>
      <c r="G223" s="108"/>
      <c r="H223" s="108"/>
      <c r="I223" s="108"/>
      <c r="J223" s="108"/>
      <c r="K223" s="108"/>
      <c r="P223"/>
      <c r="Q223"/>
      <c r="R223"/>
      <c r="S223"/>
      <c r="T223"/>
      <c r="U223"/>
      <c r="V223"/>
      <c r="W223"/>
      <c r="X223"/>
      <c r="Y223"/>
      <c r="Z223"/>
      <c r="AA223"/>
      <c r="AB223"/>
      <c r="AC223"/>
      <c r="AD223"/>
      <c r="AE223"/>
    </row>
    <row r="224" spans="1:31" ht="12.75" customHeight="1">
      <c r="A224" s="108"/>
      <c r="B224" s="108"/>
      <c r="C224" s="108"/>
      <c r="D224" s="108"/>
      <c r="E224" s="108"/>
      <c r="F224" s="108"/>
      <c r="G224" s="108"/>
      <c r="H224" s="108"/>
      <c r="I224" s="108"/>
      <c r="J224" s="108"/>
      <c r="K224" s="108"/>
      <c r="P224"/>
      <c r="Q224"/>
      <c r="R224"/>
      <c r="S224"/>
      <c r="T224"/>
      <c r="U224"/>
      <c r="V224"/>
      <c r="W224"/>
      <c r="X224"/>
      <c r="Y224"/>
      <c r="Z224"/>
      <c r="AA224"/>
      <c r="AB224"/>
      <c r="AC224"/>
      <c r="AD224"/>
      <c r="AE224"/>
    </row>
    <row r="225" spans="1:31" ht="12.75" customHeight="1">
      <c r="A225" s="108"/>
      <c r="B225" s="108"/>
      <c r="C225" s="108"/>
      <c r="D225" s="108"/>
      <c r="E225" s="108"/>
      <c r="F225" s="108"/>
      <c r="G225" s="108"/>
      <c r="H225" s="108"/>
      <c r="I225" s="108"/>
      <c r="J225" s="108"/>
      <c r="K225" s="108"/>
      <c r="P225"/>
      <c r="Q225"/>
      <c r="R225"/>
      <c r="S225"/>
      <c r="T225"/>
      <c r="U225"/>
      <c r="V225"/>
      <c r="W225"/>
      <c r="X225"/>
      <c r="Y225"/>
      <c r="Z225"/>
      <c r="AA225"/>
      <c r="AB225"/>
      <c r="AC225"/>
      <c r="AD225"/>
      <c r="AE225"/>
    </row>
    <row r="226" spans="1:31" ht="12.75" customHeight="1">
      <c r="A226" s="108"/>
      <c r="B226" s="108"/>
      <c r="C226" s="108"/>
      <c r="D226" s="108"/>
      <c r="E226" s="108"/>
      <c r="F226" s="108"/>
      <c r="G226" s="108"/>
      <c r="H226" s="108"/>
      <c r="I226" s="108"/>
      <c r="J226" s="108"/>
      <c r="K226" s="108"/>
      <c r="P226"/>
      <c r="Q226"/>
      <c r="R226"/>
      <c r="S226"/>
      <c r="T226"/>
      <c r="U226"/>
      <c r="V226"/>
      <c r="W226"/>
      <c r="X226"/>
      <c r="Y226"/>
      <c r="Z226"/>
      <c r="AA226"/>
      <c r="AB226"/>
      <c r="AC226"/>
      <c r="AD226"/>
      <c r="AE226"/>
    </row>
    <row r="227" spans="1:31" ht="12.75" customHeight="1">
      <c r="A227" s="108"/>
      <c r="B227" s="108"/>
      <c r="C227" s="108"/>
      <c r="D227" s="108"/>
      <c r="E227" s="108"/>
      <c r="F227" s="108"/>
      <c r="G227" s="108"/>
      <c r="H227" s="108"/>
      <c r="I227" s="108"/>
      <c r="J227" s="108"/>
      <c r="K227" s="108"/>
      <c r="P227"/>
      <c r="Q227"/>
      <c r="R227"/>
      <c r="S227"/>
      <c r="T227"/>
      <c r="U227"/>
      <c r="V227"/>
      <c r="W227"/>
      <c r="X227"/>
      <c r="Y227"/>
      <c r="Z227"/>
      <c r="AA227"/>
      <c r="AB227"/>
      <c r="AC227"/>
      <c r="AD227"/>
      <c r="AE227"/>
    </row>
    <row r="228" spans="1:31" ht="12.75" customHeight="1">
      <c r="A228" s="108"/>
      <c r="B228" s="108"/>
      <c r="C228" s="108"/>
      <c r="D228" s="108"/>
      <c r="E228" s="108"/>
      <c r="F228" s="108"/>
      <c r="G228" s="108"/>
      <c r="H228" s="108"/>
      <c r="I228" s="108"/>
      <c r="J228" s="108"/>
      <c r="K228" s="108"/>
      <c r="P228"/>
      <c r="Q228"/>
      <c r="R228"/>
      <c r="S228"/>
      <c r="T228"/>
      <c r="U228"/>
      <c r="V228"/>
      <c r="W228"/>
      <c r="X228"/>
      <c r="Y228"/>
      <c r="Z228"/>
      <c r="AA228"/>
      <c r="AB228"/>
      <c r="AC228"/>
      <c r="AD228"/>
      <c r="AE228"/>
    </row>
    <row r="229" spans="1:31" ht="12.75" customHeight="1">
      <c r="A229" s="108"/>
      <c r="B229" s="108"/>
      <c r="C229" s="108"/>
      <c r="D229" s="108"/>
      <c r="E229" s="108"/>
      <c r="F229" s="108"/>
      <c r="G229" s="108"/>
      <c r="H229" s="108"/>
      <c r="I229" s="108"/>
      <c r="J229" s="108"/>
      <c r="K229" s="108"/>
      <c r="P229"/>
      <c r="Q229"/>
      <c r="R229"/>
      <c r="S229"/>
      <c r="T229"/>
      <c r="U229"/>
      <c r="V229"/>
      <c r="W229"/>
      <c r="X229"/>
      <c r="Y229"/>
      <c r="Z229"/>
      <c r="AA229"/>
      <c r="AB229"/>
      <c r="AC229"/>
      <c r="AD229"/>
      <c r="AE229"/>
    </row>
    <row r="230" spans="1:31" ht="12.75" customHeight="1">
      <c r="A230" s="108"/>
      <c r="B230" s="108"/>
      <c r="C230" s="108"/>
      <c r="D230" s="108"/>
      <c r="E230" s="108"/>
      <c r="F230" s="108"/>
      <c r="G230" s="108"/>
      <c r="H230" s="108"/>
      <c r="I230" s="108"/>
      <c r="J230" s="108"/>
      <c r="K230" s="108"/>
      <c r="P230"/>
      <c r="Q230"/>
      <c r="R230"/>
      <c r="S230"/>
      <c r="T230"/>
      <c r="U230"/>
      <c r="V230"/>
      <c r="W230"/>
      <c r="X230"/>
      <c r="Y230"/>
      <c r="Z230"/>
      <c r="AA230"/>
      <c r="AB230"/>
      <c r="AC230"/>
      <c r="AD230"/>
      <c r="AE230"/>
    </row>
    <row r="231" spans="1:31" ht="12.75" customHeight="1">
      <c r="A231" s="108"/>
      <c r="B231" s="108"/>
      <c r="C231" s="108"/>
      <c r="D231" s="108"/>
      <c r="E231" s="108"/>
      <c r="F231" s="108"/>
      <c r="G231" s="108"/>
      <c r="H231" s="108"/>
      <c r="I231" s="108"/>
      <c r="J231" s="108"/>
      <c r="K231" s="108"/>
      <c r="P231"/>
      <c r="Q231"/>
      <c r="R231"/>
      <c r="S231"/>
      <c r="T231"/>
      <c r="U231"/>
      <c r="V231"/>
      <c r="W231"/>
      <c r="X231"/>
      <c r="Y231"/>
      <c r="Z231"/>
      <c r="AA231"/>
      <c r="AB231"/>
      <c r="AC231"/>
      <c r="AD231"/>
      <c r="AE231"/>
    </row>
    <row r="232" spans="1:31" ht="12.75" customHeight="1">
      <c r="A232" s="108"/>
      <c r="B232" s="108"/>
      <c r="C232" s="108"/>
      <c r="D232" s="108"/>
      <c r="E232" s="108"/>
      <c r="F232" s="108"/>
      <c r="G232" s="108"/>
      <c r="H232" s="108"/>
      <c r="I232" s="108"/>
      <c r="J232" s="108"/>
      <c r="K232" s="108"/>
      <c r="P232"/>
      <c r="Q232"/>
      <c r="R232"/>
      <c r="S232"/>
      <c r="T232"/>
      <c r="U232"/>
      <c r="V232"/>
      <c r="W232"/>
      <c r="X232"/>
      <c r="Y232"/>
      <c r="Z232"/>
      <c r="AA232"/>
      <c r="AB232"/>
      <c r="AC232"/>
      <c r="AD232"/>
      <c r="AE232"/>
    </row>
    <row r="233" spans="1:31" ht="12.75" customHeight="1">
      <c r="A233" s="108"/>
      <c r="B233" s="108"/>
      <c r="C233" s="108"/>
      <c r="D233" s="108"/>
      <c r="E233" s="108"/>
      <c r="F233" s="108"/>
      <c r="G233" s="108"/>
      <c r="H233" s="108"/>
      <c r="I233" s="108"/>
      <c r="J233" s="108"/>
      <c r="K233" s="108"/>
      <c r="P233"/>
      <c r="Q233"/>
      <c r="R233"/>
      <c r="S233"/>
      <c r="T233"/>
      <c r="U233"/>
      <c r="V233"/>
      <c r="W233"/>
      <c r="X233"/>
      <c r="Y233"/>
      <c r="Z233"/>
      <c r="AA233"/>
      <c r="AB233"/>
      <c r="AC233"/>
      <c r="AD233"/>
      <c r="AE233"/>
    </row>
    <row r="234" spans="1:31" ht="12.75" customHeight="1">
      <c r="A234" s="108"/>
      <c r="B234" s="108"/>
      <c r="C234" s="108"/>
      <c r="D234" s="108"/>
      <c r="E234" s="108"/>
      <c r="F234" s="108"/>
      <c r="G234" s="108"/>
      <c r="H234" s="108"/>
      <c r="I234" s="108"/>
      <c r="J234" s="108"/>
      <c r="K234" s="108"/>
      <c r="P234"/>
      <c r="Q234"/>
      <c r="R234"/>
      <c r="S234"/>
      <c r="T234"/>
      <c r="U234"/>
      <c r="V234"/>
      <c r="W234"/>
      <c r="X234"/>
      <c r="Y234"/>
      <c r="Z234"/>
      <c r="AA234"/>
      <c r="AB234"/>
      <c r="AC234"/>
      <c r="AD234"/>
      <c r="AE234"/>
    </row>
    <row r="235" spans="1:31" ht="12.75" customHeight="1">
      <c r="A235" s="108"/>
      <c r="B235" s="108"/>
      <c r="C235" s="108"/>
      <c r="D235" s="108"/>
      <c r="E235" s="108"/>
      <c r="F235" s="108"/>
      <c r="G235" s="108"/>
      <c r="H235" s="108"/>
      <c r="I235" s="108"/>
      <c r="J235" s="108"/>
      <c r="K235" s="108"/>
      <c r="P235"/>
      <c r="Q235"/>
      <c r="R235"/>
      <c r="S235"/>
      <c r="T235"/>
      <c r="U235"/>
      <c r="V235"/>
      <c r="W235"/>
      <c r="X235"/>
      <c r="Y235"/>
      <c r="Z235"/>
      <c r="AA235"/>
      <c r="AB235"/>
      <c r="AC235"/>
      <c r="AD235"/>
      <c r="AE235"/>
    </row>
    <row r="236" spans="1:31" ht="12.75" customHeight="1">
      <c r="A236" s="108"/>
      <c r="B236" s="108"/>
      <c r="C236" s="108"/>
      <c r="D236" s="108"/>
      <c r="E236" s="108"/>
      <c r="F236" s="108"/>
      <c r="G236" s="108"/>
      <c r="H236" s="108"/>
      <c r="I236" s="108"/>
      <c r="J236" s="108"/>
      <c r="K236" s="108"/>
      <c r="P236"/>
      <c r="Q236"/>
      <c r="R236"/>
      <c r="S236"/>
      <c r="T236"/>
      <c r="U236"/>
      <c r="V236"/>
      <c r="W236"/>
      <c r="X236"/>
      <c r="Y236"/>
      <c r="Z236"/>
      <c r="AA236"/>
      <c r="AB236"/>
      <c r="AC236"/>
      <c r="AD236"/>
      <c r="AE236"/>
    </row>
    <row r="237" spans="1:31" ht="12.75" customHeight="1">
      <c r="A237" s="108"/>
      <c r="B237" s="108"/>
      <c r="C237" s="108"/>
      <c r="D237" s="108"/>
      <c r="E237" s="108"/>
      <c r="F237" s="108"/>
      <c r="G237" s="108"/>
      <c r="H237" s="108"/>
      <c r="I237" s="108"/>
      <c r="J237" s="108"/>
      <c r="K237" s="108"/>
      <c r="P237"/>
      <c r="Q237"/>
      <c r="R237"/>
      <c r="S237"/>
      <c r="T237"/>
      <c r="U237"/>
      <c r="V237"/>
      <c r="W237"/>
      <c r="X237"/>
      <c r="Y237"/>
      <c r="Z237"/>
      <c r="AA237"/>
      <c r="AB237"/>
      <c r="AC237"/>
      <c r="AD237"/>
      <c r="AE237"/>
    </row>
    <row r="238" spans="1:31" ht="12.75" customHeight="1">
      <c r="A238" s="108"/>
      <c r="B238" s="108"/>
      <c r="C238" s="108"/>
      <c r="D238" s="108"/>
      <c r="E238" s="108"/>
      <c r="F238" s="108"/>
      <c r="G238" s="108"/>
      <c r="H238" s="108"/>
      <c r="I238" s="108"/>
      <c r="J238" s="108"/>
      <c r="K238" s="108"/>
      <c r="P238"/>
      <c r="Q238"/>
      <c r="R238"/>
      <c r="S238"/>
      <c r="T238"/>
      <c r="U238"/>
      <c r="V238"/>
      <c r="W238"/>
      <c r="X238"/>
      <c r="Y238"/>
      <c r="Z238"/>
      <c r="AA238"/>
      <c r="AB238"/>
      <c r="AC238"/>
      <c r="AD238"/>
      <c r="AE238"/>
    </row>
    <row r="239" spans="1:31" ht="12.75" customHeight="1">
      <c r="A239" s="108"/>
      <c r="B239" s="108"/>
      <c r="C239" s="108"/>
      <c r="D239" s="108"/>
      <c r="E239" s="108"/>
      <c r="F239" s="108"/>
      <c r="G239" s="108"/>
      <c r="H239" s="108"/>
      <c r="I239" s="108"/>
      <c r="J239" s="108"/>
      <c r="K239" s="108"/>
      <c r="P239"/>
      <c r="Q239"/>
      <c r="R239"/>
      <c r="S239"/>
      <c r="T239"/>
      <c r="U239"/>
      <c r="V239"/>
      <c r="W239"/>
      <c r="X239"/>
      <c r="Y239"/>
      <c r="Z239"/>
      <c r="AA239"/>
      <c r="AB239"/>
      <c r="AC239"/>
      <c r="AD239"/>
      <c r="AE239"/>
    </row>
    <row r="240" spans="1:31" ht="12.75" customHeight="1">
      <c r="A240" s="108"/>
      <c r="B240" s="108"/>
      <c r="C240" s="108"/>
      <c r="D240" s="108"/>
      <c r="E240" s="108"/>
      <c r="F240" s="108"/>
      <c r="G240" s="108"/>
      <c r="H240" s="108"/>
      <c r="I240" s="108"/>
      <c r="J240" s="108"/>
      <c r="K240" s="108"/>
      <c r="P240"/>
      <c r="Q240"/>
      <c r="R240"/>
      <c r="S240"/>
      <c r="T240"/>
      <c r="U240"/>
      <c r="V240"/>
      <c r="W240"/>
      <c r="X240"/>
      <c r="Y240"/>
      <c r="Z240"/>
      <c r="AA240"/>
      <c r="AB240"/>
      <c r="AC240"/>
      <c r="AD240"/>
      <c r="AE240"/>
    </row>
    <row r="241" spans="1:31" ht="12.75" customHeight="1">
      <c r="A241" s="108"/>
      <c r="B241" s="108"/>
      <c r="C241" s="108"/>
      <c r="D241" s="108"/>
      <c r="E241" s="108"/>
      <c r="F241" s="108"/>
      <c r="G241" s="108"/>
      <c r="H241" s="108"/>
      <c r="I241" s="108"/>
      <c r="J241" s="108"/>
      <c r="K241" s="108"/>
      <c r="P241"/>
      <c r="Q241"/>
      <c r="R241"/>
      <c r="S241"/>
      <c r="T241"/>
      <c r="U241"/>
      <c r="V241"/>
      <c r="W241"/>
      <c r="X241"/>
      <c r="Y241"/>
      <c r="Z241"/>
      <c r="AA241"/>
      <c r="AB241"/>
      <c r="AC241"/>
      <c r="AD241"/>
      <c r="AE241"/>
    </row>
    <row r="242" spans="1:31" ht="12.75" customHeight="1">
      <c r="A242" s="108"/>
      <c r="B242" s="108"/>
      <c r="C242" s="108"/>
      <c r="D242" s="108"/>
      <c r="E242" s="108"/>
      <c r="F242" s="108"/>
      <c r="G242" s="108"/>
      <c r="H242" s="108"/>
      <c r="I242" s="108"/>
      <c r="J242" s="108"/>
      <c r="K242" s="108"/>
      <c r="P242"/>
      <c r="Q242"/>
      <c r="R242"/>
      <c r="S242"/>
      <c r="T242"/>
      <c r="U242"/>
      <c r="V242"/>
      <c r="W242"/>
      <c r="X242"/>
      <c r="Y242"/>
      <c r="Z242"/>
      <c r="AA242"/>
      <c r="AB242"/>
      <c r="AC242"/>
      <c r="AD242"/>
      <c r="AE242"/>
    </row>
    <row r="243" spans="1:31" ht="12.75" customHeight="1">
      <c r="A243" s="108"/>
      <c r="B243" s="108"/>
      <c r="C243" s="108"/>
      <c r="D243" s="108"/>
      <c r="E243" s="108"/>
      <c r="F243" s="108"/>
      <c r="G243" s="108"/>
      <c r="H243" s="108"/>
      <c r="I243" s="108"/>
      <c r="J243" s="108"/>
      <c r="K243" s="108"/>
      <c r="P243"/>
      <c r="Q243"/>
      <c r="R243"/>
      <c r="S243"/>
      <c r="T243"/>
      <c r="U243"/>
      <c r="V243"/>
      <c r="W243"/>
      <c r="X243"/>
      <c r="Y243"/>
      <c r="Z243"/>
      <c r="AA243"/>
      <c r="AB243"/>
      <c r="AC243"/>
      <c r="AD243"/>
      <c r="AE243"/>
    </row>
    <row r="244" spans="1:31" ht="12.75" customHeight="1">
      <c r="A244" s="108"/>
      <c r="B244" s="108"/>
      <c r="C244" s="108"/>
      <c r="D244" s="108"/>
      <c r="E244" s="108"/>
      <c r="F244" s="108"/>
      <c r="G244" s="108"/>
      <c r="H244" s="108"/>
      <c r="I244" s="108"/>
      <c r="J244" s="108"/>
      <c r="K244" s="108"/>
      <c r="P244"/>
      <c r="Q244"/>
      <c r="R244"/>
      <c r="S244"/>
      <c r="T244"/>
      <c r="U244"/>
      <c r="V244"/>
      <c r="W244"/>
      <c r="X244"/>
      <c r="Y244"/>
      <c r="Z244"/>
      <c r="AA244"/>
      <c r="AB244"/>
      <c r="AC244"/>
      <c r="AD244"/>
      <c r="AE244"/>
    </row>
    <row r="245" spans="1:31" ht="12.75" customHeight="1">
      <c r="A245" s="108"/>
      <c r="B245" s="108"/>
      <c r="C245" s="108"/>
      <c r="D245" s="108"/>
      <c r="E245" s="108"/>
      <c r="F245" s="108"/>
      <c r="G245" s="108"/>
      <c r="H245" s="108"/>
      <c r="I245" s="108"/>
      <c r="J245" s="108"/>
      <c r="K245" s="108"/>
      <c r="P245"/>
      <c r="Q245"/>
      <c r="R245"/>
      <c r="S245"/>
      <c r="T245"/>
      <c r="U245"/>
      <c r="V245"/>
      <c r="W245"/>
      <c r="X245"/>
      <c r="Y245"/>
      <c r="Z245"/>
      <c r="AA245"/>
      <c r="AB245"/>
      <c r="AC245"/>
      <c r="AD245"/>
      <c r="AE245"/>
    </row>
    <row r="246" spans="1:31" ht="12.75" customHeight="1">
      <c r="A246" s="108"/>
      <c r="B246" s="108"/>
      <c r="C246" s="108"/>
      <c r="D246" s="108"/>
      <c r="E246" s="108"/>
      <c r="F246" s="108"/>
      <c r="G246" s="108"/>
      <c r="H246" s="108"/>
      <c r="I246" s="108"/>
      <c r="J246" s="108"/>
      <c r="K246" s="108"/>
      <c r="P246"/>
      <c r="Q246"/>
      <c r="R246"/>
      <c r="S246"/>
      <c r="T246"/>
      <c r="U246"/>
      <c r="V246"/>
      <c r="W246"/>
      <c r="X246"/>
      <c r="Y246"/>
      <c r="Z246"/>
      <c r="AA246"/>
      <c r="AB246"/>
      <c r="AC246"/>
      <c r="AD246"/>
      <c r="AE246"/>
    </row>
    <row r="247" spans="1:31" ht="12.75" customHeight="1">
      <c r="A247" s="108"/>
      <c r="B247" s="108"/>
      <c r="C247" s="108"/>
      <c r="D247" s="108"/>
      <c r="E247" s="108"/>
      <c r="F247" s="108"/>
      <c r="G247" s="108"/>
      <c r="H247" s="108"/>
      <c r="I247" s="108"/>
      <c r="J247" s="108"/>
      <c r="K247" s="108"/>
      <c r="P247"/>
      <c r="Q247"/>
      <c r="R247"/>
      <c r="S247"/>
      <c r="T247"/>
      <c r="U247"/>
      <c r="V247"/>
      <c r="W247"/>
      <c r="X247"/>
      <c r="Y247"/>
      <c r="Z247"/>
      <c r="AA247"/>
      <c r="AB247"/>
      <c r="AC247"/>
      <c r="AD247"/>
      <c r="AE247"/>
    </row>
    <row r="248" spans="1:31" ht="12.75" customHeight="1">
      <c r="A248" s="108"/>
      <c r="B248" s="108"/>
      <c r="C248" s="108"/>
      <c r="D248" s="108"/>
      <c r="E248" s="108"/>
      <c r="F248" s="108"/>
      <c r="G248" s="108"/>
      <c r="H248" s="108"/>
      <c r="I248" s="108"/>
      <c r="J248" s="108"/>
      <c r="K248" s="108"/>
      <c r="P248"/>
      <c r="Q248"/>
      <c r="R248"/>
      <c r="S248"/>
      <c r="T248"/>
      <c r="U248"/>
      <c r="V248"/>
      <c r="W248"/>
      <c r="X248"/>
      <c r="Y248"/>
      <c r="Z248"/>
      <c r="AA248"/>
      <c r="AB248"/>
      <c r="AC248"/>
      <c r="AD248"/>
      <c r="AE248"/>
    </row>
    <row r="249" spans="1:31" ht="12.75" customHeight="1">
      <c r="A249" s="108"/>
      <c r="B249" s="108"/>
      <c r="C249" s="108"/>
      <c r="D249" s="108"/>
      <c r="E249" s="108"/>
      <c r="F249" s="108"/>
      <c r="G249" s="108"/>
      <c r="H249" s="108"/>
      <c r="I249" s="108"/>
      <c r="J249" s="108"/>
      <c r="K249" s="108"/>
      <c r="P249"/>
      <c r="Q249"/>
      <c r="R249"/>
      <c r="S249"/>
      <c r="T249"/>
      <c r="U249"/>
      <c r="V249"/>
      <c r="W249"/>
      <c r="X249"/>
      <c r="Y249"/>
      <c r="Z249"/>
      <c r="AA249"/>
      <c r="AB249"/>
      <c r="AC249"/>
      <c r="AD249"/>
      <c r="AE249"/>
    </row>
    <row r="250" spans="1:31" ht="12.75" customHeight="1">
      <c r="A250" s="108"/>
      <c r="B250" s="108"/>
      <c r="C250" s="108"/>
      <c r="D250" s="108"/>
      <c r="E250" s="108"/>
      <c r="F250" s="108"/>
      <c r="G250" s="108"/>
      <c r="H250" s="108"/>
      <c r="I250" s="108"/>
      <c r="J250" s="108"/>
      <c r="K250" s="108"/>
      <c r="P250"/>
      <c r="Q250"/>
      <c r="R250"/>
      <c r="S250"/>
      <c r="T250"/>
      <c r="U250"/>
      <c r="V250"/>
      <c r="W250"/>
      <c r="X250"/>
      <c r="Y250"/>
      <c r="Z250"/>
      <c r="AA250"/>
      <c r="AB250"/>
      <c r="AC250"/>
      <c r="AD250"/>
      <c r="AE250"/>
    </row>
    <row r="251" spans="1:31" ht="12.75" customHeight="1">
      <c r="A251" s="108"/>
      <c r="B251" s="108"/>
      <c r="C251" s="108"/>
      <c r="D251" s="108"/>
      <c r="E251" s="108"/>
      <c r="F251" s="108"/>
      <c r="G251" s="108"/>
      <c r="H251" s="108"/>
      <c r="I251" s="108"/>
      <c r="J251" s="108"/>
      <c r="K251" s="108"/>
      <c r="P251"/>
      <c r="Q251"/>
      <c r="R251"/>
      <c r="S251"/>
      <c r="T251"/>
      <c r="U251"/>
      <c r="V251"/>
      <c r="W251"/>
      <c r="X251"/>
      <c r="Y251"/>
      <c r="Z251"/>
      <c r="AA251"/>
      <c r="AB251"/>
      <c r="AC251"/>
      <c r="AD251"/>
      <c r="AE251"/>
    </row>
    <row r="252" spans="1:31" ht="12.75" customHeight="1">
      <c r="A252" s="108"/>
      <c r="B252" s="108"/>
      <c r="C252" s="108"/>
      <c r="D252" s="108"/>
      <c r="E252" s="108"/>
      <c r="F252" s="108"/>
      <c r="G252" s="108"/>
      <c r="H252" s="108"/>
      <c r="I252" s="108"/>
      <c r="J252" s="108"/>
      <c r="K252" s="108"/>
      <c r="P252"/>
      <c r="Q252"/>
      <c r="R252"/>
      <c r="S252"/>
      <c r="T252"/>
      <c r="U252"/>
      <c r="V252"/>
      <c r="W252"/>
      <c r="X252"/>
      <c r="Y252"/>
      <c r="Z252"/>
      <c r="AA252"/>
      <c r="AB252"/>
      <c r="AC252"/>
      <c r="AD252"/>
      <c r="AE252"/>
    </row>
    <row r="253" spans="1:31" ht="12.75" customHeight="1">
      <c r="A253" s="108"/>
      <c r="B253" s="108"/>
      <c r="C253" s="108"/>
      <c r="D253" s="108"/>
      <c r="E253" s="108"/>
      <c r="F253" s="108"/>
      <c r="G253" s="108"/>
      <c r="H253" s="108"/>
      <c r="I253" s="108"/>
      <c r="J253" s="108"/>
      <c r="K253" s="108"/>
      <c r="P253"/>
      <c r="Q253"/>
      <c r="R253"/>
      <c r="S253"/>
      <c r="T253"/>
      <c r="U253"/>
      <c r="V253"/>
      <c r="W253"/>
      <c r="X253"/>
      <c r="Y253"/>
      <c r="Z253"/>
      <c r="AA253"/>
      <c r="AB253"/>
      <c r="AC253"/>
      <c r="AD253"/>
      <c r="AE253"/>
    </row>
    <row r="254" spans="1:31" ht="12.75" customHeight="1">
      <c r="A254" s="108"/>
      <c r="B254" s="108"/>
      <c r="C254" s="108"/>
      <c r="D254" s="108"/>
      <c r="E254" s="108"/>
      <c r="F254" s="108"/>
      <c r="G254" s="108"/>
      <c r="H254" s="108"/>
      <c r="I254" s="108"/>
      <c r="J254" s="108"/>
      <c r="K254" s="108"/>
      <c r="P254"/>
      <c r="Q254"/>
      <c r="R254"/>
      <c r="S254"/>
      <c r="T254"/>
      <c r="U254"/>
      <c r="V254"/>
      <c r="W254"/>
      <c r="X254"/>
      <c r="Y254"/>
      <c r="Z254"/>
      <c r="AA254"/>
      <c r="AB254"/>
      <c r="AC254"/>
      <c r="AD254"/>
      <c r="AE254"/>
    </row>
    <row r="255" spans="1:31" ht="12.75" customHeight="1">
      <c r="A255" s="108"/>
      <c r="B255" s="108"/>
      <c r="C255" s="108"/>
      <c r="D255" s="108"/>
      <c r="E255" s="108"/>
      <c r="F255" s="108"/>
      <c r="G255" s="108"/>
      <c r="H255" s="108"/>
      <c r="I255" s="108"/>
      <c r="J255" s="108"/>
      <c r="K255" s="108"/>
      <c r="P255"/>
      <c r="Q255"/>
      <c r="R255"/>
      <c r="S255"/>
      <c r="T255"/>
      <c r="U255"/>
      <c r="V255"/>
      <c r="W255"/>
      <c r="X255"/>
      <c r="Y255"/>
      <c r="Z255"/>
      <c r="AA255"/>
      <c r="AB255"/>
      <c r="AC255"/>
      <c r="AD255"/>
      <c r="AE255"/>
    </row>
    <row r="256" spans="1:31" ht="12.75" customHeight="1">
      <c r="A256" s="108"/>
      <c r="B256" s="108"/>
      <c r="C256" s="108"/>
      <c r="D256" s="108"/>
      <c r="E256" s="108"/>
      <c r="F256" s="108"/>
      <c r="G256" s="108"/>
      <c r="H256" s="108"/>
      <c r="I256" s="108"/>
      <c r="J256" s="108"/>
      <c r="K256" s="108"/>
      <c r="P256"/>
      <c r="Q256"/>
      <c r="R256"/>
      <c r="S256"/>
      <c r="T256"/>
      <c r="U256"/>
      <c r="V256"/>
      <c r="W256"/>
      <c r="X256"/>
      <c r="Y256"/>
      <c r="Z256"/>
      <c r="AA256"/>
      <c r="AB256"/>
      <c r="AC256"/>
      <c r="AD256"/>
      <c r="AE256"/>
    </row>
    <row r="257" spans="1:31" ht="12.75" customHeight="1">
      <c r="A257" s="108"/>
      <c r="B257" s="108"/>
      <c r="C257" s="108"/>
      <c r="D257" s="108"/>
      <c r="E257" s="108"/>
      <c r="F257" s="108"/>
      <c r="G257" s="108"/>
      <c r="H257" s="108"/>
      <c r="I257" s="108"/>
      <c r="J257" s="108"/>
      <c r="K257" s="108"/>
      <c r="P257"/>
      <c r="Q257"/>
      <c r="R257"/>
      <c r="S257"/>
      <c r="T257"/>
      <c r="U257"/>
      <c r="V257"/>
      <c r="W257"/>
      <c r="X257"/>
      <c r="Y257"/>
      <c r="Z257"/>
      <c r="AA257"/>
      <c r="AB257"/>
      <c r="AC257"/>
      <c r="AD257"/>
      <c r="AE257"/>
    </row>
    <row r="258" spans="1:31" ht="12.75" customHeight="1">
      <c r="A258" s="108"/>
      <c r="B258" s="108"/>
      <c r="C258" s="108"/>
      <c r="D258" s="108"/>
      <c r="E258" s="108"/>
      <c r="F258" s="108"/>
      <c r="G258" s="108"/>
      <c r="H258" s="108"/>
      <c r="I258" s="108"/>
      <c r="J258" s="108"/>
      <c r="K258" s="108"/>
      <c r="P258"/>
      <c r="Q258"/>
      <c r="R258"/>
      <c r="S258"/>
      <c r="T258"/>
      <c r="U258"/>
      <c r="V258"/>
      <c r="W258"/>
      <c r="X258"/>
      <c r="Y258"/>
      <c r="Z258"/>
      <c r="AA258"/>
      <c r="AB258"/>
      <c r="AC258"/>
      <c r="AD258"/>
      <c r="AE258"/>
    </row>
    <row r="259" spans="1:31" ht="12.75" customHeight="1">
      <c r="A259" s="108"/>
      <c r="B259" s="108"/>
      <c r="C259" s="108"/>
      <c r="D259" s="108"/>
      <c r="E259" s="108"/>
      <c r="F259" s="108"/>
      <c r="G259" s="108"/>
      <c r="H259" s="108"/>
      <c r="I259" s="108"/>
      <c r="J259" s="108"/>
      <c r="K259" s="108"/>
      <c r="P259"/>
      <c r="Q259"/>
      <c r="R259"/>
      <c r="S259"/>
      <c r="T259"/>
      <c r="U259"/>
      <c r="V259"/>
      <c r="W259"/>
      <c r="X259"/>
      <c r="Y259"/>
      <c r="Z259"/>
      <c r="AA259"/>
      <c r="AB259"/>
      <c r="AC259"/>
      <c r="AD259"/>
      <c r="AE259"/>
    </row>
    <row r="260" spans="1:31" ht="12.75" customHeight="1">
      <c r="A260" s="108"/>
      <c r="B260" s="108"/>
      <c r="C260" s="108"/>
      <c r="D260" s="108"/>
      <c r="E260" s="108"/>
      <c r="F260" s="108"/>
      <c r="G260" s="108"/>
      <c r="H260" s="108"/>
      <c r="I260" s="108"/>
      <c r="J260" s="108"/>
      <c r="K260" s="108"/>
      <c r="P260"/>
      <c r="Q260"/>
      <c r="R260"/>
      <c r="S260"/>
      <c r="T260"/>
      <c r="U260"/>
      <c r="V260"/>
      <c r="W260"/>
      <c r="X260"/>
      <c r="Y260"/>
      <c r="Z260"/>
      <c r="AA260"/>
      <c r="AB260"/>
      <c r="AC260"/>
      <c r="AD260"/>
      <c r="AE260"/>
    </row>
    <row r="261" spans="1:31" ht="12.75" customHeight="1">
      <c r="A261" s="108"/>
      <c r="B261" s="108"/>
      <c r="C261" s="108"/>
      <c r="D261" s="108"/>
      <c r="E261" s="108"/>
      <c r="F261" s="108"/>
      <c r="G261" s="108"/>
      <c r="H261" s="108"/>
      <c r="I261" s="108"/>
      <c r="J261" s="108"/>
      <c r="K261" s="108"/>
      <c r="P261"/>
      <c r="Q261"/>
      <c r="R261"/>
      <c r="S261"/>
      <c r="T261"/>
      <c r="U261"/>
      <c r="V261"/>
      <c r="W261"/>
      <c r="X261"/>
      <c r="Y261"/>
      <c r="Z261"/>
      <c r="AA261"/>
      <c r="AB261"/>
      <c r="AC261"/>
      <c r="AD261"/>
      <c r="AE261"/>
    </row>
    <row r="262" spans="1:31" ht="12.75" customHeight="1">
      <c r="A262" s="108"/>
      <c r="B262" s="108"/>
      <c r="C262" s="108"/>
      <c r="D262" s="108"/>
      <c r="E262" s="108"/>
      <c r="F262" s="108"/>
      <c r="G262" s="108"/>
      <c r="H262" s="108"/>
      <c r="I262" s="108"/>
      <c r="J262" s="108"/>
      <c r="K262" s="108"/>
      <c r="P262"/>
      <c r="Q262"/>
      <c r="R262"/>
      <c r="S262"/>
      <c r="T262"/>
      <c r="U262"/>
      <c r="V262"/>
      <c r="W262"/>
      <c r="X262"/>
      <c r="Y262"/>
      <c r="Z262"/>
      <c r="AA262"/>
      <c r="AB262"/>
      <c r="AC262"/>
      <c r="AD262"/>
      <c r="AE262"/>
    </row>
    <row r="263" spans="1:31" ht="12.75" customHeight="1">
      <c r="A263" s="108"/>
      <c r="B263" s="108"/>
      <c r="C263" s="108"/>
      <c r="D263" s="108"/>
      <c r="E263" s="108"/>
      <c r="F263" s="108"/>
      <c r="G263" s="108"/>
      <c r="H263" s="108"/>
      <c r="I263" s="108"/>
      <c r="J263" s="108"/>
      <c r="K263" s="108"/>
      <c r="P263"/>
      <c r="Q263"/>
      <c r="R263"/>
      <c r="S263"/>
      <c r="T263"/>
      <c r="U263"/>
      <c r="V263"/>
      <c r="W263"/>
      <c r="X263"/>
      <c r="Y263"/>
      <c r="Z263"/>
      <c r="AA263"/>
      <c r="AB263"/>
      <c r="AC263"/>
      <c r="AD263"/>
      <c r="AE263"/>
    </row>
    <row r="264" spans="1:31" ht="12.75" customHeight="1">
      <c r="A264" s="108"/>
      <c r="B264" s="108"/>
      <c r="C264" s="108"/>
      <c r="D264" s="108"/>
      <c r="E264" s="108"/>
      <c r="F264" s="108"/>
      <c r="G264" s="108"/>
      <c r="H264" s="108"/>
      <c r="I264" s="108"/>
      <c r="J264" s="108"/>
      <c r="K264" s="108"/>
      <c r="P264"/>
      <c r="Q264"/>
      <c r="R264"/>
      <c r="S264"/>
      <c r="T264"/>
      <c r="U264"/>
      <c r="V264"/>
      <c r="W264"/>
      <c r="X264"/>
      <c r="Y264"/>
      <c r="Z264"/>
      <c r="AA264"/>
      <c r="AB264"/>
      <c r="AC264"/>
      <c r="AD264"/>
      <c r="AE264"/>
    </row>
    <row r="265" spans="1:31" ht="12.75" customHeight="1">
      <c r="A265" s="108"/>
      <c r="B265" s="108"/>
      <c r="C265" s="108"/>
      <c r="D265" s="108"/>
      <c r="E265" s="108"/>
      <c r="F265" s="108"/>
      <c r="G265" s="108"/>
      <c r="H265" s="108"/>
      <c r="I265" s="108"/>
      <c r="J265" s="108"/>
      <c r="K265" s="108"/>
      <c r="P265"/>
      <c r="Q265"/>
      <c r="R265"/>
      <c r="S265"/>
      <c r="T265"/>
      <c r="U265"/>
      <c r="V265"/>
      <c r="W265"/>
      <c r="X265"/>
      <c r="Y265"/>
      <c r="Z265"/>
      <c r="AA265"/>
      <c r="AB265"/>
      <c r="AC265"/>
      <c r="AD265"/>
      <c r="AE265"/>
    </row>
    <row r="266" spans="1:31" ht="12.75" customHeight="1">
      <c r="A266" s="108"/>
      <c r="B266" s="108"/>
      <c r="C266" s="108"/>
      <c r="D266" s="108"/>
      <c r="E266" s="108"/>
      <c r="F266" s="108"/>
      <c r="G266" s="108"/>
      <c r="H266" s="108"/>
      <c r="I266" s="108"/>
      <c r="J266" s="108"/>
      <c r="K266" s="108"/>
      <c r="P266"/>
      <c r="Q266"/>
      <c r="R266"/>
      <c r="S266"/>
      <c r="T266"/>
      <c r="U266"/>
      <c r="V266"/>
      <c r="W266"/>
      <c r="X266"/>
      <c r="Y266"/>
      <c r="Z266"/>
      <c r="AA266"/>
      <c r="AB266"/>
      <c r="AC266"/>
      <c r="AD266"/>
      <c r="AE266"/>
    </row>
    <row r="267" spans="1:31" ht="12.75" customHeight="1">
      <c r="A267" s="108"/>
      <c r="B267" s="108"/>
      <c r="C267" s="108"/>
      <c r="D267" s="108"/>
      <c r="E267" s="108"/>
      <c r="F267" s="108"/>
      <c r="G267" s="108"/>
      <c r="H267" s="108"/>
      <c r="I267" s="108"/>
      <c r="J267" s="108"/>
      <c r="K267" s="108"/>
      <c r="P267"/>
      <c r="Q267"/>
      <c r="R267"/>
      <c r="S267"/>
      <c r="T267"/>
      <c r="U267"/>
      <c r="V267"/>
      <c r="W267"/>
      <c r="X267"/>
      <c r="Y267"/>
      <c r="Z267"/>
      <c r="AA267"/>
      <c r="AB267"/>
      <c r="AC267"/>
      <c r="AD267"/>
      <c r="AE267"/>
    </row>
    <row r="268" spans="1:31" ht="12.75" customHeight="1">
      <c r="A268" s="108"/>
      <c r="B268" s="108"/>
      <c r="C268" s="108"/>
      <c r="D268" s="108"/>
      <c r="E268" s="108"/>
      <c r="F268" s="108"/>
      <c r="G268" s="108"/>
      <c r="H268" s="108"/>
      <c r="I268" s="108"/>
      <c r="J268" s="108"/>
      <c r="K268" s="108"/>
      <c r="P268"/>
      <c r="Q268"/>
      <c r="R268"/>
      <c r="S268"/>
      <c r="T268"/>
      <c r="U268"/>
      <c r="V268"/>
      <c r="W268"/>
      <c r="X268"/>
      <c r="Y268"/>
      <c r="Z268"/>
      <c r="AA268"/>
      <c r="AB268"/>
      <c r="AC268"/>
      <c r="AD268"/>
      <c r="AE268"/>
    </row>
    <row r="269" spans="1:31" ht="12.75" customHeight="1">
      <c r="A269" s="108"/>
      <c r="B269" s="108"/>
      <c r="C269" s="108"/>
      <c r="D269" s="108"/>
      <c r="E269" s="108"/>
      <c r="F269" s="108"/>
      <c r="G269" s="108"/>
      <c r="H269" s="108"/>
      <c r="I269" s="108"/>
      <c r="J269" s="108"/>
      <c r="K269" s="108"/>
      <c r="P269"/>
      <c r="Q269"/>
      <c r="R269"/>
      <c r="S269"/>
      <c r="T269"/>
      <c r="U269"/>
      <c r="V269"/>
      <c r="W269"/>
      <c r="X269"/>
      <c r="Y269"/>
      <c r="Z269"/>
      <c r="AA269"/>
      <c r="AB269"/>
      <c r="AC269"/>
      <c r="AD269"/>
      <c r="AE269"/>
    </row>
    <row r="270" spans="1:31" ht="12.75" customHeight="1">
      <c r="A270" s="108"/>
      <c r="B270" s="108"/>
      <c r="C270" s="108"/>
      <c r="D270" s="108"/>
      <c r="E270" s="108"/>
      <c r="F270" s="108"/>
      <c r="G270" s="108"/>
      <c r="H270" s="108"/>
      <c r="I270" s="108"/>
      <c r="J270" s="108"/>
      <c r="K270" s="108"/>
      <c r="P270"/>
      <c r="Q270"/>
      <c r="R270"/>
      <c r="S270"/>
      <c r="T270"/>
      <c r="U270"/>
      <c r="V270"/>
      <c r="W270"/>
      <c r="X270"/>
      <c r="Y270"/>
      <c r="Z270"/>
      <c r="AA270"/>
      <c r="AB270"/>
      <c r="AC270"/>
      <c r="AD270"/>
      <c r="AE270"/>
    </row>
    <row r="271" spans="1:31" ht="12.75" customHeight="1">
      <c r="A271" s="108"/>
      <c r="B271" s="108"/>
      <c r="C271" s="108"/>
      <c r="D271" s="108"/>
      <c r="E271" s="108"/>
      <c r="F271" s="108"/>
      <c r="G271" s="108"/>
      <c r="H271" s="108"/>
      <c r="I271" s="108"/>
      <c r="J271" s="108"/>
      <c r="K271" s="108"/>
      <c r="P271"/>
      <c r="Q271"/>
      <c r="R271"/>
      <c r="S271"/>
      <c r="T271"/>
      <c r="U271"/>
      <c r="V271"/>
      <c r="W271"/>
      <c r="X271"/>
      <c r="Y271"/>
      <c r="Z271"/>
      <c r="AA271"/>
      <c r="AB271"/>
      <c r="AC271"/>
      <c r="AD271"/>
      <c r="AE271"/>
    </row>
    <row r="272" spans="1:31" ht="12.75" customHeight="1">
      <c r="A272" s="108"/>
      <c r="B272" s="108"/>
      <c r="C272" s="108"/>
      <c r="D272" s="108"/>
      <c r="E272" s="108"/>
      <c r="F272" s="108"/>
      <c r="G272" s="108"/>
      <c r="H272" s="108"/>
      <c r="I272" s="108"/>
      <c r="J272" s="108"/>
      <c r="K272" s="108"/>
      <c r="P272"/>
      <c r="Q272"/>
      <c r="R272"/>
      <c r="S272"/>
      <c r="T272"/>
      <c r="U272"/>
      <c r="V272"/>
      <c r="W272"/>
      <c r="X272"/>
      <c r="Y272"/>
      <c r="Z272"/>
      <c r="AA272"/>
      <c r="AB272"/>
      <c r="AC272"/>
      <c r="AD272"/>
      <c r="AE272"/>
    </row>
    <row r="273" spans="1:31" ht="12.75" customHeight="1">
      <c r="A273" s="108"/>
      <c r="B273" s="108"/>
      <c r="C273" s="108"/>
      <c r="D273" s="108"/>
      <c r="E273" s="108"/>
      <c r="F273" s="108"/>
      <c r="G273" s="108"/>
      <c r="H273" s="108"/>
      <c r="I273" s="108"/>
      <c r="J273" s="108"/>
      <c r="K273" s="108"/>
      <c r="P273"/>
      <c r="Q273"/>
      <c r="R273"/>
      <c r="S273"/>
      <c r="T273"/>
      <c r="U273"/>
      <c r="V273"/>
      <c r="W273"/>
      <c r="X273"/>
      <c r="Y273"/>
      <c r="Z273"/>
      <c r="AA273"/>
      <c r="AB273"/>
      <c r="AC273"/>
      <c r="AD273"/>
      <c r="AE273"/>
    </row>
    <row r="274" spans="1:31" ht="12.75" customHeight="1">
      <c r="A274" s="108"/>
      <c r="B274" s="108"/>
      <c r="C274" s="108"/>
      <c r="D274" s="108"/>
      <c r="E274" s="108"/>
      <c r="F274" s="108"/>
      <c r="G274" s="108"/>
      <c r="H274" s="108"/>
      <c r="I274" s="108"/>
      <c r="J274" s="108"/>
      <c r="K274" s="108"/>
      <c r="P274"/>
      <c r="Q274"/>
      <c r="R274"/>
      <c r="S274"/>
      <c r="T274"/>
      <c r="U274"/>
      <c r="V274"/>
      <c r="W274"/>
      <c r="X274"/>
      <c r="Y274"/>
      <c r="Z274"/>
      <c r="AA274"/>
      <c r="AB274"/>
      <c r="AC274"/>
      <c r="AD274"/>
      <c r="AE274"/>
    </row>
    <row r="275" spans="1:31" ht="12.75" customHeight="1">
      <c r="A275" s="108"/>
      <c r="B275" s="108"/>
      <c r="C275" s="108"/>
      <c r="D275" s="108"/>
      <c r="E275" s="108"/>
      <c r="F275" s="108"/>
      <c r="G275" s="108"/>
      <c r="H275" s="108"/>
      <c r="I275" s="108"/>
      <c r="J275" s="108"/>
      <c r="K275" s="108"/>
      <c r="P275"/>
      <c r="Q275"/>
      <c r="R275"/>
      <c r="S275"/>
      <c r="T275"/>
      <c r="U275"/>
      <c r="V275"/>
      <c r="W275"/>
      <c r="X275"/>
      <c r="Y275"/>
      <c r="Z275"/>
      <c r="AA275"/>
      <c r="AB275"/>
      <c r="AC275"/>
      <c r="AD275"/>
      <c r="AE275"/>
    </row>
    <row r="276" spans="1:31" ht="12.75" customHeight="1">
      <c r="A276" s="108"/>
      <c r="B276" s="108"/>
      <c r="C276" s="108"/>
      <c r="D276" s="108"/>
      <c r="E276" s="108"/>
      <c r="F276" s="108"/>
      <c r="G276" s="108"/>
      <c r="H276" s="108"/>
      <c r="I276" s="108"/>
      <c r="J276" s="108"/>
      <c r="K276" s="108"/>
      <c r="P276"/>
      <c r="Q276"/>
      <c r="R276"/>
      <c r="S276"/>
      <c r="T276"/>
      <c r="U276"/>
      <c r="V276"/>
      <c r="W276"/>
      <c r="X276"/>
      <c r="Y276"/>
      <c r="Z276"/>
      <c r="AA276"/>
      <c r="AB276"/>
      <c r="AC276"/>
      <c r="AD276"/>
      <c r="AE276"/>
    </row>
    <row r="277" spans="1:31" ht="12.75" customHeight="1">
      <c r="A277" s="108"/>
      <c r="B277" s="108"/>
      <c r="C277" s="108"/>
      <c r="D277" s="108"/>
      <c r="E277" s="108"/>
      <c r="F277" s="108"/>
      <c r="G277" s="108"/>
      <c r="H277" s="108"/>
      <c r="I277" s="108"/>
      <c r="J277" s="108"/>
      <c r="K277" s="108"/>
      <c r="P277"/>
      <c r="Q277"/>
      <c r="R277"/>
      <c r="S277"/>
      <c r="T277"/>
      <c r="U277"/>
      <c r="V277"/>
      <c r="W277"/>
      <c r="X277"/>
      <c r="Y277"/>
      <c r="Z277"/>
      <c r="AA277"/>
      <c r="AB277"/>
      <c r="AC277"/>
      <c r="AD277"/>
      <c r="AE277"/>
    </row>
    <row r="278" spans="1:31" ht="12.75" customHeight="1">
      <c r="A278" s="108"/>
      <c r="B278" s="108"/>
      <c r="C278" s="108"/>
      <c r="D278" s="108"/>
      <c r="E278" s="108"/>
      <c r="F278" s="108"/>
      <c r="G278" s="108"/>
      <c r="H278" s="108"/>
      <c r="I278" s="108"/>
      <c r="J278" s="108"/>
      <c r="K278" s="108"/>
      <c r="P278"/>
      <c r="Q278"/>
      <c r="R278"/>
      <c r="S278"/>
      <c r="T278"/>
      <c r="U278"/>
      <c r="V278"/>
      <c r="W278"/>
      <c r="X278"/>
      <c r="Y278"/>
      <c r="Z278"/>
      <c r="AA278"/>
      <c r="AB278"/>
      <c r="AC278"/>
      <c r="AD278"/>
      <c r="AE278"/>
    </row>
    <row r="279" spans="1:31" ht="12.75" customHeight="1">
      <c r="A279" s="108"/>
      <c r="B279" s="108"/>
      <c r="C279" s="108"/>
      <c r="D279" s="108"/>
      <c r="E279" s="108"/>
      <c r="F279" s="108"/>
      <c r="G279" s="108"/>
      <c r="H279" s="108"/>
      <c r="I279" s="108"/>
      <c r="J279" s="108"/>
      <c r="K279" s="108"/>
      <c r="P279"/>
      <c r="Q279"/>
      <c r="R279"/>
      <c r="S279"/>
      <c r="T279"/>
      <c r="U279"/>
      <c r="V279"/>
      <c r="W279"/>
      <c r="X279"/>
      <c r="Y279"/>
      <c r="Z279"/>
      <c r="AA279"/>
      <c r="AB279"/>
      <c r="AC279"/>
      <c r="AD279"/>
      <c r="AE279"/>
    </row>
    <row r="280" spans="1:31" ht="12.75" customHeight="1">
      <c r="A280" s="108"/>
      <c r="B280" s="108"/>
      <c r="C280" s="108"/>
      <c r="D280" s="108"/>
      <c r="E280" s="108"/>
      <c r="F280" s="108"/>
      <c r="G280" s="108"/>
      <c r="H280" s="108"/>
      <c r="I280" s="108"/>
      <c r="J280" s="108"/>
      <c r="K280" s="108"/>
      <c r="P280"/>
      <c r="Q280"/>
      <c r="R280"/>
      <c r="S280"/>
      <c r="T280"/>
      <c r="U280"/>
      <c r="V280"/>
      <c r="W280"/>
      <c r="X280"/>
      <c r="Y280"/>
      <c r="Z280"/>
      <c r="AA280"/>
      <c r="AB280"/>
      <c r="AC280"/>
      <c r="AD280"/>
      <c r="AE280"/>
    </row>
    <row r="281" spans="1:31" ht="12.75" customHeight="1">
      <c r="A281" s="108"/>
      <c r="B281" s="108"/>
      <c r="C281" s="108"/>
      <c r="D281" s="108"/>
      <c r="E281" s="108"/>
      <c r="F281" s="108"/>
      <c r="G281" s="108"/>
      <c r="H281" s="108"/>
      <c r="I281" s="108"/>
      <c r="J281" s="108"/>
      <c r="K281" s="108"/>
      <c r="P281"/>
      <c r="Q281"/>
      <c r="R281"/>
      <c r="S281"/>
      <c r="T281"/>
      <c r="U281"/>
      <c r="V281"/>
      <c r="W281"/>
      <c r="X281"/>
      <c r="Y281"/>
      <c r="Z281"/>
      <c r="AA281"/>
      <c r="AB281"/>
      <c r="AC281"/>
      <c r="AD281"/>
      <c r="AE281"/>
    </row>
    <row r="282" spans="1:31" ht="12.75" customHeight="1">
      <c r="A282" s="108"/>
      <c r="B282" s="108"/>
      <c r="C282" s="108"/>
      <c r="D282" s="108"/>
      <c r="E282" s="108"/>
      <c r="F282" s="108"/>
      <c r="G282" s="108"/>
      <c r="H282" s="108"/>
      <c r="I282" s="108"/>
      <c r="J282" s="108"/>
      <c r="K282" s="108"/>
      <c r="P282"/>
      <c r="Q282"/>
      <c r="R282"/>
      <c r="S282"/>
      <c r="T282"/>
      <c r="U282"/>
      <c r="V282"/>
      <c r="W282"/>
      <c r="X282"/>
      <c r="Y282"/>
      <c r="Z282"/>
      <c r="AA282"/>
      <c r="AB282"/>
      <c r="AC282"/>
      <c r="AD282"/>
      <c r="AE282"/>
    </row>
    <row r="283" spans="1:31" ht="12.75" customHeight="1">
      <c r="A283" s="108"/>
      <c r="B283" s="108"/>
      <c r="C283" s="108"/>
      <c r="D283" s="108"/>
      <c r="E283" s="108"/>
      <c r="F283" s="108"/>
      <c r="G283" s="108"/>
      <c r="H283" s="108"/>
      <c r="I283" s="108"/>
      <c r="J283" s="108"/>
      <c r="K283" s="108"/>
      <c r="P283"/>
      <c r="Q283"/>
      <c r="R283"/>
      <c r="S283"/>
      <c r="T283"/>
      <c r="U283"/>
      <c r="V283"/>
      <c r="W283"/>
      <c r="X283"/>
      <c r="Y283"/>
      <c r="Z283"/>
      <c r="AA283"/>
      <c r="AB283"/>
      <c r="AC283"/>
      <c r="AD283"/>
      <c r="AE283"/>
    </row>
    <row r="284" spans="1:31" ht="12.75" customHeight="1">
      <c r="A284" s="108"/>
      <c r="B284" s="108"/>
      <c r="C284" s="108"/>
      <c r="D284" s="108"/>
      <c r="E284" s="108"/>
      <c r="F284" s="108"/>
      <c r="G284" s="108"/>
      <c r="H284" s="108"/>
      <c r="I284" s="108"/>
      <c r="J284" s="108"/>
      <c r="K284" s="108"/>
      <c r="P284"/>
      <c r="Q284"/>
      <c r="R284"/>
      <c r="S284"/>
      <c r="T284"/>
      <c r="U284"/>
      <c r="V284"/>
      <c r="W284"/>
      <c r="X284"/>
      <c r="Y284"/>
      <c r="Z284"/>
      <c r="AA284"/>
      <c r="AB284"/>
      <c r="AC284"/>
      <c r="AD284"/>
      <c r="AE284"/>
    </row>
    <row r="285" spans="1:31" ht="12.75" customHeight="1">
      <c r="A285" s="108"/>
      <c r="B285" s="108"/>
      <c r="C285" s="108"/>
      <c r="D285" s="108"/>
      <c r="E285" s="108"/>
      <c r="F285" s="108"/>
      <c r="G285" s="108"/>
      <c r="H285" s="108"/>
      <c r="I285" s="108"/>
      <c r="J285" s="108"/>
      <c r="K285" s="108"/>
      <c r="P285"/>
      <c r="Q285"/>
      <c r="R285"/>
      <c r="S285"/>
      <c r="T285"/>
      <c r="U285"/>
      <c r="V285"/>
      <c r="W285"/>
      <c r="X285"/>
      <c r="Y285"/>
      <c r="Z285"/>
      <c r="AA285"/>
      <c r="AB285"/>
      <c r="AC285"/>
      <c r="AD285"/>
      <c r="AE285"/>
    </row>
    <row r="286" spans="1:31" ht="12.75" customHeight="1">
      <c r="A286" s="108"/>
      <c r="B286" s="108"/>
      <c r="C286" s="108"/>
      <c r="D286" s="108"/>
      <c r="E286" s="108"/>
      <c r="F286" s="108"/>
      <c r="G286" s="108"/>
      <c r="H286" s="108"/>
      <c r="I286" s="108"/>
      <c r="J286" s="108"/>
      <c r="K286" s="108"/>
      <c r="P286"/>
      <c r="Q286"/>
      <c r="R286"/>
      <c r="S286"/>
      <c r="T286"/>
      <c r="U286"/>
      <c r="V286"/>
      <c r="W286"/>
      <c r="X286"/>
      <c r="Y286"/>
      <c r="Z286"/>
      <c r="AA286"/>
      <c r="AB286"/>
      <c r="AC286"/>
      <c r="AD286"/>
      <c r="AE286"/>
    </row>
    <row r="287" spans="1:31" ht="12.75" customHeight="1">
      <c r="A287" s="108"/>
      <c r="B287" s="108"/>
      <c r="C287" s="108"/>
      <c r="D287" s="108"/>
      <c r="E287" s="108"/>
      <c r="F287" s="108"/>
      <c r="G287" s="108"/>
      <c r="H287" s="108"/>
      <c r="I287" s="108"/>
      <c r="J287" s="108"/>
      <c r="K287" s="108"/>
      <c r="P287"/>
      <c r="Q287"/>
      <c r="R287"/>
      <c r="S287"/>
      <c r="T287"/>
      <c r="U287"/>
      <c r="V287"/>
      <c r="W287"/>
      <c r="X287"/>
      <c r="Y287"/>
      <c r="Z287"/>
      <c r="AA287"/>
      <c r="AB287"/>
      <c r="AC287"/>
      <c r="AD287"/>
      <c r="AE287"/>
    </row>
    <row r="288" spans="1:31" ht="12.75" customHeight="1">
      <c r="A288" s="108"/>
      <c r="B288" s="108"/>
      <c r="C288" s="108"/>
      <c r="D288" s="108"/>
      <c r="E288" s="108"/>
      <c r="F288" s="108"/>
      <c r="G288" s="108"/>
      <c r="H288" s="108"/>
      <c r="I288" s="108"/>
      <c r="J288" s="108"/>
      <c r="K288" s="108"/>
      <c r="P288"/>
      <c r="Q288"/>
      <c r="R288"/>
      <c r="S288"/>
      <c r="T288"/>
      <c r="U288"/>
      <c r="V288"/>
      <c r="W288"/>
      <c r="X288"/>
      <c r="Y288"/>
      <c r="Z288"/>
      <c r="AA288"/>
      <c r="AB288"/>
      <c r="AC288"/>
      <c r="AD288"/>
      <c r="AE288"/>
    </row>
    <row r="289" spans="1:31" ht="12.75" customHeight="1">
      <c r="A289" s="108"/>
      <c r="B289" s="108"/>
      <c r="C289" s="108"/>
      <c r="D289" s="108"/>
      <c r="E289" s="108"/>
      <c r="F289" s="108"/>
      <c r="G289" s="108"/>
      <c r="H289" s="108"/>
      <c r="I289" s="108"/>
      <c r="J289" s="108"/>
      <c r="K289" s="108"/>
      <c r="P289"/>
      <c r="Q289"/>
      <c r="R289"/>
      <c r="S289"/>
      <c r="T289"/>
      <c r="U289"/>
      <c r="V289"/>
      <c r="W289"/>
      <c r="X289"/>
      <c r="Y289"/>
      <c r="Z289"/>
      <c r="AA289"/>
      <c r="AB289"/>
      <c r="AC289"/>
      <c r="AD289"/>
      <c r="AE289"/>
    </row>
    <row r="290" spans="1:31" ht="12.75" customHeight="1">
      <c r="A290" s="108"/>
      <c r="B290" s="108"/>
      <c r="C290" s="108"/>
      <c r="D290" s="108"/>
      <c r="E290" s="108"/>
      <c r="F290" s="108"/>
      <c r="G290" s="108"/>
      <c r="H290" s="108"/>
      <c r="I290" s="108"/>
      <c r="J290" s="108"/>
      <c r="K290" s="108"/>
      <c r="P290"/>
      <c r="Q290"/>
      <c r="R290"/>
      <c r="S290"/>
      <c r="T290"/>
      <c r="U290"/>
      <c r="V290"/>
      <c r="W290"/>
      <c r="X290"/>
      <c r="Y290"/>
      <c r="Z290"/>
      <c r="AA290"/>
      <c r="AB290"/>
      <c r="AC290"/>
      <c r="AD290"/>
      <c r="AE290"/>
    </row>
    <row r="291" spans="1:31" ht="12.75" customHeight="1">
      <c r="A291" s="108"/>
      <c r="B291" s="108"/>
      <c r="C291" s="108"/>
      <c r="D291" s="108"/>
      <c r="E291" s="108"/>
      <c r="F291" s="108"/>
      <c r="G291" s="108"/>
      <c r="H291" s="108"/>
      <c r="I291" s="108"/>
      <c r="J291" s="108"/>
      <c r="K291" s="108"/>
      <c r="P291"/>
      <c r="Q291"/>
      <c r="R291"/>
      <c r="S291"/>
      <c r="T291"/>
      <c r="U291"/>
      <c r="V291"/>
      <c r="W291"/>
      <c r="X291"/>
      <c r="Y291"/>
      <c r="Z291"/>
      <c r="AA291"/>
      <c r="AB291"/>
      <c r="AC291"/>
      <c r="AD291"/>
      <c r="AE291"/>
    </row>
    <row r="292" spans="1:31" ht="12.75" customHeight="1">
      <c r="A292" s="108"/>
      <c r="B292" s="108"/>
      <c r="C292" s="108"/>
      <c r="D292" s="108"/>
      <c r="E292" s="108"/>
      <c r="F292" s="108"/>
      <c r="G292" s="108"/>
      <c r="H292" s="108"/>
      <c r="I292" s="108"/>
      <c r="J292" s="108"/>
      <c r="K292" s="108"/>
      <c r="P292"/>
      <c r="Q292"/>
      <c r="R292"/>
      <c r="S292"/>
      <c r="T292"/>
      <c r="U292"/>
      <c r="V292"/>
      <c r="W292"/>
      <c r="X292"/>
      <c r="Y292"/>
      <c r="Z292"/>
      <c r="AA292"/>
      <c r="AB292"/>
      <c r="AC292"/>
      <c r="AD292"/>
      <c r="AE292"/>
    </row>
    <row r="293" spans="1:31" ht="12.75" customHeight="1">
      <c r="A293" s="108"/>
      <c r="B293" s="108"/>
      <c r="C293" s="108"/>
      <c r="D293" s="108"/>
      <c r="E293" s="108"/>
      <c r="F293" s="108"/>
      <c r="G293" s="108"/>
      <c r="H293" s="108"/>
      <c r="I293" s="108"/>
      <c r="J293" s="108"/>
      <c r="K293" s="108"/>
      <c r="P293"/>
      <c r="Q293"/>
      <c r="R293"/>
      <c r="S293"/>
      <c r="T293"/>
      <c r="U293"/>
      <c r="V293"/>
      <c r="W293"/>
      <c r="X293"/>
      <c r="Y293"/>
      <c r="Z293"/>
      <c r="AA293"/>
      <c r="AB293"/>
      <c r="AC293"/>
      <c r="AD293"/>
      <c r="AE293"/>
    </row>
    <row r="294" spans="1:31" ht="12.75" customHeight="1">
      <c r="A294" s="108"/>
      <c r="B294" s="108"/>
      <c r="C294" s="108"/>
      <c r="D294" s="108"/>
      <c r="E294" s="108"/>
      <c r="F294" s="108"/>
      <c r="G294" s="108"/>
      <c r="H294" s="108"/>
      <c r="I294" s="108"/>
      <c r="J294" s="108"/>
      <c r="K294" s="108"/>
      <c r="P294"/>
      <c r="Q294"/>
      <c r="R294"/>
      <c r="S294"/>
      <c r="T294"/>
      <c r="U294"/>
      <c r="V294"/>
      <c r="W294"/>
      <c r="X294"/>
      <c r="Y294"/>
      <c r="Z294"/>
      <c r="AA294"/>
      <c r="AB294"/>
      <c r="AC294"/>
      <c r="AD294"/>
      <c r="AE294"/>
    </row>
    <row r="295" spans="1:31" ht="12.75" customHeight="1">
      <c r="A295" s="108"/>
      <c r="B295" s="108"/>
      <c r="C295" s="108"/>
      <c r="D295" s="108"/>
      <c r="E295" s="108"/>
      <c r="F295" s="108"/>
      <c r="G295" s="108"/>
      <c r="H295" s="108"/>
      <c r="I295" s="108"/>
      <c r="J295" s="108"/>
      <c r="K295" s="108"/>
      <c r="P295"/>
      <c r="Q295"/>
      <c r="R295"/>
      <c r="S295"/>
      <c r="T295"/>
      <c r="U295"/>
      <c r="V295"/>
      <c r="W295"/>
      <c r="X295"/>
      <c r="Y295"/>
      <c r="Z295"/>
      <c r="AA295"/>
      <c r="AB295"/>
      <c r="AC295"/>
      <c r="AD295"/>
      <c r="AE295"/>
    </row>
    <row r="296" spans="1:31" ht="12.75" customHeight="1">
      <c r="A296" s="108"/>
      <c r="B296" s="108"/>
      <c r="C296" s="108"/>
      <c r="D296" s="108"/>
      <c r="E296" s="108"/>
      <c r="F296" s="108"/>
      <c r="G296" s="108"/>
      <c r="H296" s="108"/>
      <c r="I296" s="108"/>
      <c r="J296" s="108"/>
      <c r="K296" s="108"/>
      <c r="P296"/>
      <c r="Q296"/>
      <c r="R296"/>
      <c r="S296"/>
      <c r="T296"/>
      <c r="U296"/>
      <c r="V296"/>
      <c r="W296"/>
      <c r="X296"/>
      <c r="Y296"/>
      <c r="Z296"/>
      <c r="AA296"/>
      <c r="AB296"/>
      <c r="AC296"/>
      <c r="AD296"/>
      <c r="AE296"/>
    </row>
    <row r="297" spans="1:31" ht="12.75" customHeight="1">
      <c r="A297" s="108"/>
      <c r="B297" s="108"/>
      <c r="C297" s="108"/>
      <c r="D297" s="108"/>
      <c r="E297" s="108"/>
      <c r="F297" s="108"/>
      <c r="G297" s="108"/>
      <c r="H297" s="108"/>
      <c r="I297" s="108"/>
      <c r="J297" s="108"/>
      <c r="K297" s="108"/>
      <c r="P297"/>
      <c r="Q297"/>
      <c r="R297"/>
      <c r="S297"/>
      <c r="T297"/>
      <c r="U297"/>
      <c r="V297"/>
      <c r="W297"/>
      <c r="X297"/>
      <c r="Y297"/>
      <c r="Z297"/>
      <c r="AA297"/>
      <c r="AB297"/>
      <c r="AC297"/>
      <c r="AD297"/>
      <c r="AE297"/>
    </row>
    <row r="298" spans="1:31" ht="12.75" customHeight="1">
      <c r="A298" s="108"/>
      <c r="B298" s="108"/>
      <c r="C298" s="108"/>
      <c r="D298" s="108"/>
      <c r="E298" s="108"/>
      <c r="F298" s="108"/>
      <c r="G298" s="108"/>
      <c r="H298" s="108"/>
      <c r="I298" s="108"/>
      <c r="J298" s="108"/>
      <c r="K298" s="108"/>
      <c r="P298"/>
      <c r="Q298"/>
      <c r="R298"/>
      <c r="S298"/>
      <c r="T298"/>
      <c r="U298"/>
      <c r="V298"/>
      <c r="W298"/>
      <c r="X298"/>
      <c r="Y298"/>
      <c r="Z298"/>
      <c r="AA298"/>
      <c r="AB298"/>
      <c r="AC298"/>
      <c r="AD298"/>
      <c r="AE298"/>
    </row>
    <row r="299" spans="1:31" ht="12.75" customHeight="1">
      <c r="A299" s="108"/>
      <c r="B299" s="108"/>
      <c r="C299" s="108"/>
      <c r="D299" s="108"/>
      <c r="E299" s="108"/>
      <c r="F299" s="108"/>
      <c r="G299" s="108"/>
      <c r="H299" s="108"/>
      <c r="I299" s="108"/>
      <c r="J299" s="108"/>
      <c r="K299" s="108"/>
      <c r="P299"/>
      <c r="Q299"/>
      <c r="R299"/>
      <c r="S299"/>
      <c r="T299"/>
      <c r="U299"/>
      <c r="V299"/>
      <c r="W299"/>
      <c r="X299"/>
      <c r="Y299"/>
      <c r="Z299"/>
      <c r="AA299"/>
      <c r="AB299"/>
      <c r="AC299"/>
      <c r="AD299"/>
      <c r="AE299"/>
    </row>
    <row r="300" spans="1:31" ht="12.75" customHeight="1">
      <c r="A300" s="108"/>
      <c r="B300" s="108"/>
      <c r="C300" s="108"/>
      <c r="D300" s="108"/>
      <c r="E300" s="108"/>
      <c r="F300" s="108"/>
      <c r="G300" s="108"/>
      <c r="H300" s="108"/>
      <c r="I300" s="108"/>
      <c r="J300" s="108"/>
      <c r="K300" s="108"/>
      <c r="P300"/>
      <c r="Q300"/>
      <c r="R300"/>
      <c r="S300"/>
      <c r="T300"/>
      <c r="U300"/>
      <c r="V300"/>
      <c r="W300"/>
      <c r="X300"/>
      <c r="Y300"/>
      <c r="Z300"/>
      <c r="AA300"/>
      <c r="AB300"/>
      <c r="AC300"/>
      <c r="AD300"/>
      <c r="AE300"/>
    </row>
    <row r="301" spans="1:31" ht="12.75" customHeight="1">
      <c r="A301" s="108"/>
      <c r="B301" s="108"/>
      <c r="C301" s="108"/>
      <c r="D301" s="108"/>
      <c r="E301" s="108"/>
      <c r="F301" s="108"/>
      <c r="G301" s="108"/>
      <c r="H301" s="108"/>
      <c r="I301" s="108"/>
      <c r="J301" s="108"/>
      <c r="K301" s="108"/>
      <c r="P301"/>
      <c r="Q301"/>
      <c r="R301"/>
      <c r="S301"/>
      <c r="T301"/>
      <c r="U301"/>
      <c r="V301"/>
      <c r="W301"/>
      <c r="X301"/>
      <c r="Y301"/>
      <c r="Z301"/>
      <c r="AA301"/>
      <c r="AB301"/>
      <c r="AC301"/>
      <c r="AD301"/>
      <c r="AE301"/>
    </row>
    <row r="302" spans="1:31" ht="12.75" customHeight="1">
      <c r="A302" s="108"/>
      <c r="B302" s="108"/>
      <c r="C302" s="108"/>
      <c r="D302" s="108"/>
      <c r="E302" s="108"/>
      <c r="F302" s="108"/>
      <c r="G302" s="108"/>
      <c r="H302" s="108"/>
      <c r="I302" s="108"/>
      <c r="J302" s="108"/>
      <c r="K302" s="108"/>
      <c r="P302"/>
      <c r="Q302"/>
      <c r="R302"/>
      <c r="S302"/>
      <c r="T302"/>
      <c r="U302"/>
      <c r="V302"/>
      <c r="W302"/>
      <c r="X302"/>
      <c r="Y302"/>
      <c r="Z302"/>
      <c r="AA302"/>
      <c r="AB302"/>
      <c r="AC302"/>
      <c r="AD302"/>
      <c r="AE302"/>
    </row>
    <row r="303" spans="1:31" ht="12.75" customHeight="1">
      <c r="A303" s="108"/>
      <c r="B303" s="108"/>
      <c r="C303" s="108"/>
      <c r="D303" s="108"/>
      <c r="E303" s="108"/>
      <c r="F303" s="108"/>
      <c r="G303" s="108"/>
      <c r="H303" s="108"/>
      <c r="I303" s="108"/>
      <c r="J303" s="108"/>
      <c r="K303" s="108"/>
      <c r="P303"/>
      <c r="Q303"/>
      <c r="R303"/>
      <c r="S303"/>
      <c r="T303"/>
      <c r="U303"/>
      <c r="V303"/>
      <c r="W303"/>
      <c r="X303"/>
      <c r="Y303"/>
      <c r="Z303"/>
      <c r="AA303"/>
      <c r="AB303"/>
      <c r="AC303"/>
      <c r="AD303"/>
      <c r="AE303"/>
    </row>
    <row r="304" spans="1:31" ht="12.75" customHeight="1">
      <c r="A304" s="108"/>
      <c r="B304" s="108"/>
      <c r="C304" s="108"/>
      <c r="D304" s="108"/>
      <c r="E304" s="108"/>
      <c r="F304" s="108"/>
      <c r="G304" s="108"/>
      <c r="H304" s="108"/>
      <c r="I304" s="108"/>
      <c r="J304" s="108"/>
      <c r="K304" s="108"/>
      <c r="P304"/>
      <c r="Q304"/>
      <c r="R304"/>
      <c r="S304"/>
      <c r="T304"/>
      <c r="U304"/>
      <c r="V304"/>
      <c r="W304"/>
      <c r="X304"/>
      <c r="Y304"/>
      <c r="Z304"/>
      <c r="AA304"/>
      <c r="AB304"/>
      <c r="AC304"/>
      <c r="AD304"/>
      <c r="AE304"/>
    </row>
    <row r="305" spans="1:31" ht="12.75" customHeight="1">
      <c r="A305" s="108"/>
      <c r="B305" s="108"/>
      <c r="C305" s="108"/>
      <c r="D305" s="108"/>
      <c r="E305" s="108"/>
      <c r="F305" s="108"/>
      <c r="G305" s="108"/>
      <c r="H305" s="108"/>
      <c r="I305" s="108"/>
      <c r="J305" s="108"/>
      <c r="K305" s="108"/>
      <c r="P305"/>
      <c r="Q305"/>
      <c r="R305"/>
      <c r="S305"/>
      <c r="T305"/>
      <c r="U305"/>
      <c r="V305"/>
      <c r="W305"/>
      <c r="X305"/>
      <c r="Y305"/>
      <c r="Z305"/>
      <c r="AA305"/>
      <c r="AB305"/>
      <c r="AC305"/>
      <c r="AD305"/>
      <c r="AE305"/>
    </row>
    <row r="306" spans="1:31" ht="12.75" customHeight="1">
      <c r="A306" s="108"/>
      <c r="B306" s="108"/>
      <c r="C306" s="108"/>
      <c r="D306" s="108"/>
      <c r="E306" s="108"/>
      <c r="F306" s="108"/>
      <c r="G306" s="108"/>
      <c r="H306" s="108"/>
      <c r="I306" s="108"/>
      <c r="J306" s="108"/>
      <c r="K306" s="108"/>
      <c r="P306"/>
      <c r="Q306"/>
      <c r="R306"/>
      <c r="S306"/>
      <c r="T306"/>
      <c r="U306"/>
      <c r="V306"/>
      <c r="W306"/>
      <c r="X306"/>
      <c r="Y306"/>
      <c r="Z306"/>
      <c r="AA306"/>
      <c r="AB306"/>
      <c r="AC306"/>
      <c r="AD306"/>
      <c r="AE306"/>
    </row>
    <row r="307" spans="1:31" ht="12.75" customHeight="1">
      <c r="A307" s="108"/>
      <c r="B307" s="108"/>
      <c r="C307" s="108"/>
      <c r="D307" s="108"/>
      <c r="E307" s="108"/>
      <c r="F307" s="108"/>
      <c r="G307" s="108"/>
      <c r="H307" s="108"/>
      <c r="I307" s="108"/>
      <c r="J307" s="108"/>
      <c r="K307" s="108"/>
      <c r="P307"/>
      <c r="Q307"/>
      <c r="R307"/>
      <c r="S307"/>
      <c r="T307"/>
      <c r="U307"/>
      <c r="V307"/>
      <c r="W307"/>
      <c r="X307"/>
      <c r="Y307"/>
      <c r="Z307"/>
      <c r="AA307"/>
      <c r="AB307"/>
      <c r="AC307"/>
      <c r="AD307"/>
      <c r="AE307"/>
    </row>
    <row r="308" spans="1:31" ht="12.75" customHeight="1">
      <c r="A308" s="108"/>
      <c r="B308" s="108"/>
      <c r="C308" s="108"/>
      <c r="D308" s="108"/>
      <c r="E308" s="108"/>
      <c r="F308" s="108"/>
      <c r="G308" s="108"/>
      <c r="H308" s="108"/>
      <c r="I308" s="108"/>
      <c r="J308" s="108"/>
      <c r="K308" s="108"/>
      <c r="P308"/>
      <c r="Q308"/>
      <c r="R308"/>
      <c r="S308"/>
      <c r="T308"/>
      <c r="U308"/>
      <c r="V308"/>
      <c r="W308"/>
      <c r="X308"/>
      <c r="Y308"/>
      <c r="Z308"/>
      <c r="AA308"/>
      <c r="AB308"/>
      <c r="AC308"/>
      <c r="AD308"/>
      <c r="AE308"/>
    </row>
    <row r="309" spans="1:31" ht="12.75" customHeight="1">
      <c r="A309" s="108"/>
      <c r="B309" s="108"/>
      <c r="C309" s="108"/>
      <c r="D309" s="108"/>
      <c r="E309" s="108"/>
      <c r="F309" s="108"/>
      <c r="G309" s="108"/>
      <c r="H309" s="108"/>
      <c r="I309" s="108"/>
      <c r="J309" s="108"/>
      <c r="K309" s="108"/>
      <c r="P309"/>
      <c r="Q309"/>
      <c r="R309"/>
      <c r="S309"/>
      <c r="T309"/>
      <c r="U309"/>
      <c r="V309"/>
      <c r="W309"/>
      <c r="X309"/>
      <c r="Y309"/>
      <c r="Z309"/>
      <c r="AA309"/>
      <c r="AB309"/>
      <c r="AC309"/>
      <c r="AD309"/>
      <c r="AE309"/>
    </row>
    <row r="310" spans="1:31" ht="12.75" customHeight="1">
      <c r="A310" s="108"/>
      <c r="B310" s="108"/>
      <c r="C310" s="108"/>
      <c r="D310" s="108"/>
      <c r="E310" s="108"/>
      <c r="F310" s="108"/>
      <c r="G310" s="108"/>
      <c r="H310" s="108"/>
      <c r="I310" s="108"/>
      <c r="J310" s="108"/>
      <c r="K310" s="108"/>
      <c r="P310"/>
      <c r="Q310"/>
      <c r="R310"/>
      <c r="S310"/>
      <c r="T310"/>
      <c r="U310"/>
      <c r="V310"/>
      <c r="W310"/>
      <c r="X310"/>
      <c r="Y310"/>
      <c r="Z310"/>
      <c r="AA310"/>
      <c r="AB310"/>
      <c r="AC310"/>
      <c r="AD310"/>
      <c r="AE310"/>
    </row>
    <row r="311" spans="1:31" ht="12.75" customHeight="1">
      <c r="A311" s="108"/>
      <c r="B311" s="108"/>
      <c r="C311" s="108"/>
      <c r="D311" s="108"/>
      <c r="E311" s="108"/>
      <c r="F311" s="108"/>
      <c r="G311" s="108"/>
      <c r="H311" s="108"/>
      <c r="I311" s="108"/>
      <c r="J311" s="108"/>
      <c r="K311" s="108"/>
      <c r="P311"/>
      <c r="Q311"/>
      <c r="R311"/>
      <c r="S311"/>
      <c r="T311"/>
      <c r="U311"/>
      <c r="V311"/>
      <c r="W311"/>
      <c r="X311"/>
      <c r="Y311"/>
      <c r="Z311"/>
      <c r="AA311"/>
      <c r="AB311"/>
      <c r="AC311"/>
      <c r="AD311"/>
      <c r="AE311"/>
    </row>
    <row r="312" spans="1:31" ht="12.75" customHeight="1">
      <c r="A312" s="108"/>
      <c r="B312" s="108"/>
      <c r="C312" s="108"/>
      <c r="D312" s="108"/>
      <c r="E312" s="108"/>
      <c r="F312" s="108"/>
      <c r="G312" s="108"/>
      <c r="H312" s="108"/>
      <c r="I312" s="108"/>
      <c r="J312" s="108"/>
      <c r="K312" s="108"/>
      <c r="P312"/>
      <c r="Q312"/>
      <c r="R312"/>
      <c r="S312"/>
      <c r="T312"/>
      <c r="U312"/>
      <c r="V312"/>
      <c r="W312"/>
      <c r="X312"/>
      <c r="Y312"/>
      <c r="Z312"/>
      <c r="AA312"/>
      <c r="AB312"/>
      <c r="AC312"/>
      <c r="AD312"/>
      <c r="AE312"/>
    </row>
    <row r="313" spans="1:31" ht="12.75" customHeight="1">
      <c r="A313" s="108"/>
      <c r="B313" s="108"/>
      <c r="C313" s="108"/>
      <c r="D313" s="108"/>
      <c r="E313" s="108"/>
      <c r="F313" s="108"/>
      <c r="G313" s="108"/>
      <c r="H313" s="108"/>
      <c r="I313" s="108"/>
      <c r="J313" s="108"/>
      <c r="K313" s="108"/>
      <c r="P313"/>
      <c r="Q313"/>
      <c r="R313"/>
      <c r="S313"/>
      <c r="T313"/>
      <c r="U313"/>
      <c r="V313"/>
      <c r="W313"/>
      <c r="X313"/>
      <c r="Y313"/>
      <c r="Z313"/>
      <c r="AA313"/>
      <c r="AB313"/>
      <c r="AC313"/>
      <c r="AD313"/>
      <c r="AE313"/>
    </row>
    <row r="314" spans="1:31" ht="12.75" customHeight="1">
      <c r="A314" s="108"/>
      <c r="B314" s="108"/>
      <c r="C314" s="108"/>
      <c r="D314" s="108"/>
      <c r="E314" s="108"/>
      <c r="F314" s="108"/>
      <c r="G314" s="108"/>
      <c r="H314" s="108"/>
      <c r="I314" s="108"/>
      <c r="J314" s="108"/>
      <c r="K314" s="108"/>
      <c r="P314"/>
      <c r="Q314"/>
      <c r="R314"/>
      <c r="S314"/>
      <c r="T314"/>
      <c r="U314"/>
      <c r="V314"/>
      <c r="W314"/>
      <c r="X314"/>
      <c r="Y314"/>
      <c r="Z314"/>
      <c r="AA314"/>
      <c r="AB314"/>
      <c r="AC314"/>
      <c r="AD314"/>
      <c r="AE314"/>
    </row>
    <row r="315" spans="1:31" ht="12.75" customHeight="1">
      <c r="A315" s="108"/>
      <c r="B315" s="108"/>
      <c r="C315" s="108"/>
      <c r="D315" s="108"/>
      <c r="E315" s="108"/>
      <c r="F315" s="108"/>
      <c r="G315" s="108"/>
      <c r="H315" s="108"/>
      <c r="I315" s="108"/>
      <c r="J315" s="108"/>
      <c r="K315" s="108"/>
      <c r="P315"/>
      <c r="Q315"/>
      <c r="R315"/>
      <c r="S315"/>
      <c r="T315"/>
      <c r="U315"/>
      <c r="V315"/>
      <c r="W315"/>
      <c r="X315"/>
      <c r="Y315"/>
      <c r="Z315"/>
      <c r="AA315"/>
      <c r="AB315"/>
      <c r="AC315"/>
      <c r="AD315"/>
      <c r="AE315"/>
    </row>
    <row r="316" spans="1:31" ht="12.75" customHeight="1">
      <c r="A316" s="108"/>
      <c r="B316" s="108"/>
      <c r="C316" s="108"/>
      <c r="D316" s="108"/>
      <c r="E316" s="108"/>
      <c r="F316" s="108"/>
      <c r="G316" s="108"/>
      <c r="H316" s="108"/>
      <c r="I316" s="108"/>
      <c r="J316" s="108"/>
      <c r="K316" s="108"/>
      <c r="P316"/>
      <c r="Q316"/>
      <c r="R316"/>
      <c r="S316"/>
      <c r="T316"/>
      <c r="U316"/>
      <c r="V316"/>
      <c r="W316"/>
      <c r="X316"/>
      <c r="Y316"/>
      <c r="Z316"/>
      <c r="AA316"/>
      <c r="AB316"/>
      <c r="AC316"/>
      <c r="AD316"/>
      <c r="AE316"/>
    </row>
    <row r="317" spans="1:31" ht="12.75" customHeight="1">
      <c r="A317" s="108"/>
      <c r="B317" s="108"/>
      <c r="C317" s="108"/>
      <c r="D317" s="108"/>
      <c r="E317" s="108"/>
      <c r="F317" s="108"/>
      <c r="G317" s="108"/>
      <c r="H317" s="108"/>
      <c r="I317" s="108"/>
      <c r="J317" s="108"/>
      <c r="K317" s="108"/>
      <c r="P317"/>
      <c r="Q317"/>
      <c r="R317"/>
      <c r="S317"/>
      <c r="T317"/>
      <c r="U317"/>
      <c r="V317"/>
      <c r="W317"/>
      <c r="X317"/>
      <c r="Y317"/>
      <c r="Z317"/>
      <c r="AA317"/>
      <c r="AB317"/>
      <c r="AC317"/>
      <c r="AD317"/>
      <c r="AE317"/>
    </row>
    <row r="318" spans="1:31" ht="12.75" customHeight="1">
      <c r="A318" s="108"/>
      <c r="B318" s="108"/>
      <c r="C318" s="108"/>
      <c r="D318" s="108"/>
      <c r="E318" s="108"/>
      <c r="F318" s="108"/>
      <c r="G318" s="108"/>
      <c r="H318" s="108"/>
      <c r="I318" s="108"/>
      <c r="J318" s="108"/>
      <c r="K318" s="108"/>
      <c r="P318"/>
      <c r="Q318"/>
      <c r="R318"/>
      <c r="S318"/>
      <c r="T318"/>
      <c r="U318"/>
      <c r="V318"/>
      <c r="W318"/>
      <c r="X318"/>
      <c r="Y318"/>
      <c r="Z318"/>
      <c r="AA318"/>
      <c r="AB318"/>
      <c r="AC318"/>
      <c r="AD318"/>
      <c r="AE318"/>
    </row>
    <row r="319" spans="1:31" ht="12.75" customHeight="1">
      <c r="A319" s="108"/>
      <c r="B319" s="108"/>
      <c r="C319" s="108"/>
      <c r="D319" s="108"/>
      <c r="E319" s="108"/>
      <c r="F319" s="108"/>
      <c r="G319" s="108"/>
      <c r="H319" s="108"/>
      <c r="I319" s="108"/>
      <c r="J319" s="108"/>
      <c r="K319" s="108"/>
      <c r="P319"/>
      <c r="Q319"/>
      <c r="R319"/>
      <c r="S319"/>
      <c r="T319"/>
      <c r="U319"/>
      <c r="V319"/>
      <c r="W319"/>
      <c r="X319"/>
      <c r="Y319"/>
      <c r="Z319"/>
      <c r="AA319"/>
      <c r="AB319"/>
      <c r="AC319"/>
      <c r="AD319"/>
      <c r="AE319"/>
    </row>
    <row r="320" spans="1:31" ht="12.75" customHeight="1">
      <c r="A320" s="108"/>
      <c r="B320" s="108"/>
      <c r="C320" s="108"/>
      <c r="D320" s="108"/>
      <c r="E320" s="108"/>
      <c r="F320" s="108"/>
      <c r="G320" s="108"/>
      <c r="H320" s="108"/>
      <c r="I320" s="108"/>
      <c r="J320" s="108"/>
      <c r="K320" s="108"/>
      <c r="P320"/>
      <c r="Q320"/>
      <c r="R320"/>
      <c r="S320"/>
      <c r="T320"/>
      <c r="U320"/>
      <c r="V320"/>
      <c r="W320"/>
      <c r="X320"/>
      <c r="Y320"/>
      <c r="Z320"/>
      <c r="AA320"/>
      <c r="AB320"/>
      <c r="AC320"/>
      <c r="AD320"/>
      <c r="AE320"/>
    </row>
    <row r="321" spans="1:31" ht="12.75" customHeight="1">
      <c r="A321" s="108"/>
      <c r="B321" s="108"/>
      <c r="C321" s="108"/>
      <c r="D321" s="108"/>
      <c r="E321" s="108"/>
      <c r="F321" s="108"/>
      <c r="G321" s="108"/>
      <c r="H321" s="108"/>
      <c r="I321" s="108"/>
      <c r="J321" s="108"/>
      <c r="K321" s="108"/>
      <c r="P321"/>
      <c r="Q321"/>
      <c r="R321"/>
      <c r="S321"/>
      <c r="T321"/>
      <c r="U321"/>
      <c r="V321"/>
      <c r="W321"/>
      <c r="X321"/>
      <c r="Y321"/>
      <c r="Z321"/>
      <c r="AA321"/>
      <c r="AB321"/>
      <c r="AC321"/>
      <c r="AD321"/>
      <c r="AE321"/>
    </row>
    <row r="322" spans="1:31" ht="12.75" customHeight="1">
      <c r="A322" s="108"/>
      <c r="B322" s="108"/>
      <c r="C322" s="108"/>
      <c r="D322" s="108"/>
      <c r="E322" s="108"/>
      <c r="F322" s="108"/>
      <c r="G322" s="108"/>
      <c r="H322" s="108"/>
      <c r="I322" s="108"/>
      <c r="J322" s="108"/>
      <c r="K322" s="108"/>
      <c r="P322"/>
      <c r="Q322"/>
      <c r="R322"/>
      <c r="S322"/>
      <c r="T322"/>
      <c r="U322"/>
      <c r="V322"/>
      <c r="W322"/>
      <c r="X322"/>
      <c r="Y322"/>
      <c r="Z322"/>
      <c r="AA322"/>
      <c r="AB322"/>
      <c r="AC322"/>
      <c r="AD322"/>
      <c r="AE322"/>
    </row>
    <row r="323" spans="1:31" ht="12.75" customHeight="1">
      <c r="A323" s="108"/>
      <c r="B323" s="108"/>
      <c r="C323" s="108"/>
      <c r="D323" s="108"/>
      <c r="E323" s="108"/>
      <c r="F323" s="108"/>
      <c r="G323" s="108"/>
      <c r="H323" s="108"/>
      <c r="I323" s="108"/>
      <c r="J323" s="108"/>
      <c r="K323" s="108"/>
      <c r="P323"/>
      <c r="Q323"/>
      <c r="R323"/>
      <c r="S323"/>
      <c r="T323"/>
      <c r="U323"/>
      <c r="V323"/>
      <c r="W323"/>
      <c r="X323"/>
      <c r="Y323"/>
      <c r="Z323"/>
      <c r="AA323"/>
      <c r="AB323"/>
      <c r="AC323"/>
      <c r="AD323"/>
      <c r="AE323"/>
    </row>
    <row r="324" spans="1:31" ht="12.75" customHeight="1">
      <c r="A324" s="108"/>
      <c r="B324" s="108"/>
      <c r="C324" s="108"/>
      <c r="D324" s="108"/>
      <c r="E324" s="108"/>
      <c r="F324" s="108"/>
      <c r="G324" s="108"/>
      <c r="H324" s="108"/>
      <c r="I324" s="108"/>
      <c r="J324" s="108"/>
      <c r="K324" s="108"/>
      <c r="P324"/>
      <c r="Q324"/>
      <c r="R324"/>
      <c r="S324"/>
      <c r="T324"/>
      <c r="U324"/>
      <c r="V324"/>
      <c r="W324"/>
      <c r="X324"/>
      <c r="Y324"/>
      <c r="Z324"/>
      <c r="AA324"/>
      <c r="AB324"/>
      <c r="AC324"/>
      <c r="AD324"/>
      <c r="AE324"/>
    </row>
    <row r="325" spans="1:31" ht="12.75" customHeight="1">
      <c r="A325" s="108"/>
      <c r="B325" s="108"/>
      <c r="C325" s="108"/>
      <c r="D325" s="108"/>
      <c r="E325" s="108"/>
      <c r="F325" s="108"/>
      <c r="G325" s="108"/>
      <c r="H325" s="108"/>
      <c r="I325" s="108"/>
      <c r="J325" s="108"/>
      <c r="K325" s="108"/>
      <c r="P325"/>
      <c r="Q325"/>
      <c r="R325"/>
      <c r="S325"/>
      <c r="T325"/>
      <c r="U325"/>
      <c r="V325"/>
      <c r="W325"/>
      <c r="X325"/>
      <c r="Y325"/>
      <c r="Z325"/>
      <c r="AA325"/>
      <c r="AB325"/>
      <c r="AC325"/>
      <c r="AD325"/>
      <c r="AE325"/>
    </row>
    <row r="326" spans="1:31" ht="12.75" customHeight="1">
      <c r="A326" s="108"/>
      <c r="B326" s="108"/>
      <c r="C326" s="108"/>
      <c r="D326" s="108"/>
      <c r="E326" s="108"/>
      <c r="F326" s="108"/>
      <c r="G326" s="108"/>
      <c r="H326" s="108"/>
      <c r="I326" s="108"/>
      <c r="J326" s="108"/>
      <c r="K326" s="108"/>
      <c r="P326"/>
      <c r="Q326"/>
      <c r="R326"/>
      <c r="S326"/>
      <c r="T326"/>
      <c r="U326"/>
      <c r="V326"/>
      <c r="W326"/>
      <c r="X326"/>
      <c r="Y326"/>
      <c r="Z326"/>
      <c r="AA326"/>
      <c r="AB326"/>
      <c r="AC326"/>
      <c r="AD326"/>
      <c r="AE326"/>
    </row>
    <row r="327" spans="1:31" ht="12.75" customHeight="1">
      <c r="A327" s="108"/>
      <c r="B327" s="108"/>
      <c r="C327" s="108"/>
      <c r="D327" s="108"/>
      <c r="E327" s="108"/>
      <c r="F327" s="108"/>
      <c r="G327" s="108"/>
      <c r="H327" s="108"/>
      <c r="I327" s="108"/>
      <c r="J327" s="108"/>
      <c r="K327" s="108"/>
      <c r="P327"/>
      <c r="Q327"/>
      <c r="R327"/>
      <c r="S327"/>
      <c r="T327"/>
      <c r="U327"/>
      <c r="V327"/>
      <c r="W327"/>
      <c r="X327"/>
      <c r="Y327"/>
      <c r="Z327"/>
      <c r="AA327"/>
      <c r="AB327"/>
      <c r="AC327"/>
      <c r="AD327"/>
      <c r="AE327"/>
    </row>
    <row r="328" spans="1:31" ht="12.75" customHeight="1">
      <c r="A328" s="108"/>
      <c r="B328" s="108"/>
      <c r="C328" s="108"/>
      <c r="D328" s="108"/>
      <c r="E328" s="108"/>
      <c r="F328" s="108"/>
      <c r="G328" s="108"/>
      <c r="H328" s="108"/>
      <c r="I328" s="108"/>
      <c r="J328" s="108"/>
      <c r="K328" s="108"/>
      <c r="P328"/>
      <c r="Q328"/>
      <c r="R328"/>
      <c r="S328"/>
      <c r="T328"/>
      <c r="U328"/>
      <c r="V328"/>
      <c r="W328"/>
      <c r="X328"/>
      <c r="Y328"/>
      <c r="Z328"/>
      <c r="AA328"/>
      <c r="AB328"/>
      <c r="AC328"/>
      <c r="AD328"/>
      <c r="AE328"/>
    </row>
    <row r="329" spans="1:31" ht="12.75" customHeight="1">
      <c r="A329" s="108"/>
      <c r="B329" s="108"/>
      <c r="C329" s="108"/>
      <c r="D329" s="108"/>
      <c r="E329" s="108"/>
      <c r="F329" s="108"/>
      <c r="G329" s="108"/>
      <c r="H329" s="108"/>
      <c r="I329" s="108"/>
      <c r="J329" s="108"/>
      <c r="K329" s="108"/>
      <c r="P329"/>
      <c r="Q329"/>
      <c r="R329"/>
      <c r="S329"/>
      <c r="T329"/>
      <c r="U329"/>
      <c r="V329"/>
      <c r="W329"/>
      <c r="X329"/>
      <c r="Y329"/>
      <c r="Z329"/>
      <c r="AA329"/>
      <c r="AB329"/>
      <c r="AC329"/>
      <c r="AD329"/>
      <c r="AE329"/>
    </row>
    <row r="330" spans="1:31" ht="12.75" customHeight="1">
      <c r="A330" s="108"/>
      <c r="B330" s="108"/>
      <c r="C330" s="108"/>
      <c r="D330" s="108"/>
      <c r="E330" s="108"/>
      <c r="F330" s="108"/>
      <c r="G330" s="108"/>
      <c r="H330" s="108"/>
      <c r="I330" s="108"/>
      <c r="J330" s="108"/>
      <c r="K330" s="108"/>
      <c r="P330"/>
      <c r="Q330"/>
      <c r="R330"/>
      <c r="S330"/>
      <c r="T330"/>
      <c r="U330"/>
      <c r="V330"/>
      <c r="W330"/>
      <c r="X330"/>
      <c r="Y330"/>
      <c r="Z330"/>
      <c r="AA330"/>
      <c r="AB330"/>
      <c r="AC330"/>
      <c r="AD330"/>
      <c r="AE330"/>
    </row>
    <row r="331" spans="1:31" ht="12.75" customHeight="1">
      <c r="A331" s="108"/>
      <c r="B331" s="108"/>
      <c r="C331" s="108"/>
      <c r="D331" s="108"/>
      <c r="E331" s="108"/>
      <c r="F331" s="108"/>
      <c r="G331" s="108"/>
      <c r="H331" s="108"/>
      <c r="I331" s="108"/>
      <c r="J331" s="108"/>
      <c r="K331" s="108"/>
      <c r="P331"/>
      <c r="Q331"/>
      <c r="R331"/>
      <c r="S331"/>
      <c r="T331"/>
      <c r="U331"/>
      <c r="V331"/>
      <c r="W331"/>
      <c r="X331"/>
      <c r="Y331"/>
      <c r="Z331"/>
      <c r="AA331"/>
      <c r="AB331"/>
      <c r="AC331"/>
      <c r="AD331"/>
      <c r="AE331"/>
    </row>
    <row r="332" spans="1:31" ht="12.75" customHeight="1">
      <c r="A332" s="108"/>
      <c r="B332" s="108"/>
      <c r="C332" s="108"/>
      <c r="D332" s="108"/>
      <c r="E332" s="108"/>
      <c r="F332" s="108"/>
      <c r="G332" s="108"/>
      <c r="H332" s="108"/>
      <c r="I332" s="108"/>
      <c r="J332" s="108"/>
      <c r="K332" s="108"/>
      <c r="P332"/>
      <c r="Q332"/>
      <c r="R332"/>
      <c r="S332"/>
      <c r="T332"/>
      <c r="U332"/>
      <c r="V332"/>
      <c r="W332"/>
      <c r="X332"/>
      <c r="Y332"/>
      <c r="Z332"/>
      <c r="AA332"/>
      <c r="AB332"/>
      <c r="AC332"/>
      <c r="AD332"/>
      <c r="AE332"/>
    </row>
    <row r="333" spans="1:31" ht="12.75" customHeight="1">
      <c r="A333" s="108"/>
      <c r="B333" s="108"/>
      <c r="C333" s="108"/>
      <c r="D333" s="108"/>
      <c r="E333" s="108"/>
      <c r="F333" s="108"/>
      <c r="G333" s="108"/>
      <c r="H333" s="108"/>
      <c r="I333" s="108"/>
      <c r="J333" s="108"/>
      <c r="K333" s="108"/>
      <c r="P333"/>
      <c r="Q333"/>
      <c r="R333"/>
      <c r="S333"/>
      <c r="T333"/>
      <c r="U333"/>
      <c r="V333"/>
      <c r="W333"/>
      <c r="X333"/>
      <c r="Y333"/>
      <c r="Z333"/>
      <c r="AA333"/>
      <c r="AB333"/>
      <c r="AC333"/>
      <c r="AD333"/>
      <c r="AE333"/>
    </row>
    <row r="334" spans="1:31" ht="12.75" customHeight="1">
      <c r="A334" s="108"/>
      <c r="B334" s="108"/>
      <c r="C334" s="108"/>
      <c r="D334" s="108"/>
      <c r="E334" s="108"/>
      <c r="F334" s="108"/>
      <c r="G334" s="108"/>
      <c r="H334" s="108"/>
      <c r="I334" s="108"/>
      <c r="J334" s="108"/>
      <c r="K334" s="108"/>
      <c r="P334"/>
      <c r="Q334"/>
      <c r="R334"/>
      <c r="S334"/>
      <c r="T334"/>
      <c r="U334"/>
      <c r="V334"/>
      <c r="W334"/>
      <c r="X334"/>
      <c r="Y334"/>
      <c r="Z334"/>
      <c r="AA334"/>
      <c r="AB334"/>
      <c r="AC334"/>
      <c r="AD334"/>
      <c r="AE334"/>
    </row>
    <row r="335" spans="1:31" ht="12.75" customHeight="1">
      <c r="A335" s="108"/>
      <c r="B335" s="108"/>
      <c r="C335" s="108"/>
      <c r="D335" s="108"/>
      <c r="E335" s="108"/>
      <c r="F335" s="108"/>
      <c r="G335" s="108"/>
      <c r="H335" s="108"/>
      <c r="I335" s="108"/>
      <c r="J335" s="108"/>
      <c r="K335" s="108"/>
      <c r="P335"/>
      <c r="Q335"/>
      <c r="R335"/>
      <c r="S335"/>
      <c r="T335"/>
      <c r="U335"/>
      <c r="V335"/>
      <c r="W335"/>
      <c r="X335"/>
      <c r="Y335"/>
      <c r="Z335"/>
      <c r="AA335"/>
      <c r="AB335"/>
      <c r="AC335"/>
      <c r="AD335"/>
      <c r="AE335"/>
    </row>
    <row r="336" spans="1:31" ht="12.75" customHeight="1">
      <c r="A336" s="108"/>
      <c r="B336" s="108"/>
      <c r="C336" s="108"/>
      <c r="D336" s="108"/>
      <c r="E336" s="108"/>
      <c r="F336" s="108"/>
      <c r="G336" s="108"/>
      <c r="H336" s="108"/>
      <c r="I336" s="108"/>
      <c r="J336" s="108"/>
      <c r="K336" s="108"/>
      <c r="P336"/>
      <c r="Q336"/>
      <c r="R336"/>
      <c r="S336"/>
      <c r="T336"/>
      <c r="U336"/>
      <c r="V336"/>
      <c r="W336"/>
      <c r="X336"/>
      <c r="Y336"/>
      <c r="Z336"/>
      <c r="AA336"/>
      <c r="AB336"/>
      <c r="AC336"/>
      <c r="AD336"/>
      <c r="AE336"/>
    </row>
    <row r="337" spans="1:31" ht="12.75" customHeight="1">
      <c r="A337" s="108"/>
      <c r="B337" s="108"/>
      <c r="C337" s="108"/>
      <c r="D337" s="108"/>
      <c r="E337" s="108"/>
      <c r="F337" s="108"/>
      <c r="G337" s="108"/>
      <c r="H337" s="108"/>
      <c r="I337" s="108"/>
      <c r="J337" s="108"/>
      <c r="K337" s="108"/>
      <c r="P337"/>
      <c r="Q337"/>
      <c r="R337"/>
      <c r="S337"/>
      <c r="T337"/>
      <c r="U337"/>
      <c r="V337"/>
      <c r="W337"/>
      <c r="X337"/>
      <c r="Y337"/>
      <c r="Z337"/>
      <c r="AA337"/>
      <c r="AB337"/>
      <c r="AC337"/>
      <c r="AD337"/>
      <c r="AE337"/>
    </row>
    <row r="338" spans="1:31" ht="12.75" customHeight="1">
      <c r="A338" s="108"/>
      <c r="B338" s="108"/>
      <c r="C338" s="108"/>
      <c r="D338" s="108"/>
      <c r="E338" s="108"/>
      <c r="F338" s="108"/>
      <c r="G338" s="108"/>
      <c r="H338" s="108"/>
      <c r="I338" s="108"/>
      <c r="J338" s="108"/>
      <c r="K338" s="108"/>
      <c r="P338"/>
      <c r="Q338"/>
      <c r="R338"/>
      <c r="S338"/>
      <c r="T338"/>
      <c r="U338"/>
      <c r="V338"/>
      <c r="W338"/>
      <c r="X338"/>
      <c r="Y338"/>
      <c r="Z338"/>
      <c r="AA338"/>
      <c r="AB338"/>
      <c r="AC338"/>
      <c r="AD338"/>
      <c r="AE338"/>
    </row>
    <row r="339" spans="1:31" ht="12.75" customHeight="1">
      <c r="A339" s="108"/>
      <c r="B339" s="108"/>
      <c r="C339" s="108"/>
      <c r="D339" s="108"/>
      <c r="E339" s="108"/>
      <c r="F339" s="108"/>
      <c r="G339" s="108"/>
      <c r="H339" s="108"/>
      <c r="I339" s="108"/>
      <c r="J339" s="108"/>
      <c r="K339" s="108"/>
      <c r="P339"/>
      <c r="Q339"/>
      <c r="R339"/>
      <c r="S339"/>
      <c r="T339"/>
      <c r="U339"/>
      <c r="V339"/>
      <c r="W339"/>
      <c r="X339"/>
      <c r="Y339"/>
      <c r="Z339"/>
      <c r="AA339"/>
      <c r="AB339"/>
      <c r="AC339"/>
      <c r="AD339"/>
      <c r="AE339"/>
    </row>
    <row r="340" spans="1:31" ht="12.75" customHeight="1">
      <c r="A340" s="108"/>
      <c r="B340" s="108"/>
      <c r="C340" s="108"/>
      <c r="D340" s="108"/>
      <c r="E340" s="108"/>
      <c r="F340" s="108"/>
      <c r="G340" s="108"/>
      <c r="H340" s="108"/>
      <c r="I340" s="108"/>
      <c r="J340" s="108"/>
      <c r="K340" s="108"/>
      <c r="P340"/>
      <c r="Q340"/>
      <c r="R340"/>
      <c r="S340"/>
      <c r="T340"/>
      <c r="U340"/>
      <c r="V340"/>
      <c r="W340"/>
      <c r="X340"/>
      <c r="Y340"/>
      <c r="Z340"/>
      <c r="AA340"/>
      <c r="AB340"/>
      <c r="AC340"/>
      <c r="AD340"/>
      <c r="AE340"/>
    </row>
    <row r="341" spans="1:31" ht="12.75" customHeight="1">
      <c r="A341" s="108"/>
      <c r="B341" s="108"/>
      <c r="C341" s="108"/>
      <c r="D341" s="108"/>
      <c r="E341" s="108"/>
      <c r="F341" s="108"/>
      <c r="G341" s="108"/>
      <c r="H341" s="108"/>
      <c r="I341" s="108"/>
      <c r="J341" s="108"/>
      <c r="K341" s="108"/>
      <c r="P341"/>
      <c r="Q341"/>
      <c r="R341"/>
      <c r="S341"/>
      <c r="T341"/>
      <c r="U341"/>
      <c r="V341"/>
      <c r="W341"/>
      <c r="X341"/>
      <c r="Y341"/>
      <c r="Z341"/>
      <c r="AA341"/>
      <c r="AB341"/>
      <c r="AC341"/>
      <c r="AD341"/>
      <c r="AE341"/>
    </row>
    <row r="342" spans="1:31" ht="12.75" customHeight="1">
      <c r="A342" s="108"/>
      <c r="B342" s="108"/>
      <c r="C342" s="108"/>
      <c r="D342" s="108"/>
      <c r="E342" s="108"/>
      <c r="F342" s="108"/>
      <c r="G342" s="108"/>
      <c r="H342" s="108"/>
      <c r="I342" s="108"/>
      <c r="J342" s="108"/>
      <c r="K342" s="108"/>
      <c r="P342"/>
      <c r="Q342"/>
      <c r="R342"/>
      <c r="S342"/>
      <c r="T342"/>
      <c r="U342"/>
      <c r="V342"/>
      <c r="W342"/>
      <c r="X342"/>
      <c r="Y342"/>
      <c r="Z342"/>
      <c r="AA342"/>
      <c r="AB342"/>
      <c r="AC342"/>
      <c r="AD342"/>
      <c r="AE342"/>
    </row>
    <row r="343" spans="1:31" ht="12.75" customHeight="1">
      <c r="A343" s="108"/>
      <c r="B343" s="108"/>
      <c r="C343" s="108"/>
      <c r="D343" s="108"/>
      <c r="E343" s="108"/>
      <c r="F343" s="108"/>
      <c r="G343" s="108"/>
      <c r="H343" s="108"/>
      <c r="I343" s="108"/>
      <c r="J343" s="108"/>
      <c r="K343" s="108"/>
      <c r="P343"/>
      <c r="Q343"/>
      <c r="R343"/>
      <c r="S343"/>
      <c r="T343"/>
      <c r="U343"/>
      <c r="V343"/>
      <c r="W343"/>
      <c r="X343"/>
      <c r="Y343"/>
      <c r="Z343"/>
      <c r="AA343"/>
      <c r="AB343"/>
      <c r="AC343"/>
      <c r="AD343"/>
      <c r="AE343"/>
    </row>
    <row r="344" spans="1:31" ht="12.75" customHeight="1">
      <c r="A344" s="108"/>
      <c r="B344" s="108"/>
      <c r="C344" s="108"/>
      <c r="D344" s="108"/>
      <c r="E344" s="108"/>
      <c r="F344" s="108"/>
      <c r="G344" s="108"/>
      <c r="H344" s="108"/>
      <c r="I344" s="108"/>
      <c r="J344" s="108"/>
      <c r="K344" s="108"/>
      <c r="P344"/>
      <c r="Q344"/>
      <c r="R344"/>
      <c r="S344"/>
      <c r="T344"/>
      <c r="U344"/>
      <c r="V344"/>
      <c r="W344"/>
      <c r="X344"/>
      <c r="Y344"/>
      <c r="Z344"/>
      <c r="AA344"/>
      <c r="AB344"/>
      <c r="AC344"/>
      <c r="AD344"/>
      <c r="AE344"/>
    </row>
    <row r="345" spans="1:31" ht="12.75" customHeight="1">
      <c r="A345" s="108"/>
      <c r="B345" s="108"/>
      <c r="C345" s="108"/>
      <c r="D345" s="108"/>
      <c r="E345" s="108"/>
      <c r="F345" s="108"/>
      <c r="G345" s="108"/>
      <c r="H345" s="108"/>
      <c r="I345" s="108"/>
      <c r="J345" s="108"/>
      <c r="K345" s="108"/>
      <c r="P345"/>
      <c r="Q345"/>
      <c r="R345"/>
      <c r="S345"/>
      <c r="T345"/>
      <c r="U345"/>
      <c r="V345"/>
      <c r="W345"/>
      <c r="X345"/>
      <c r="Y345"/>
      <c r="Z345"/>
      <c r="AA345"/>
      <c r="AB345"/>
      <c r="AC345"/>
      <c r="AD345"/>
      <c r="AE345"/>
    </row>
    <row r="346" spans="1:31" ht="12.75" customHeight="1">
      <c r="A346" s="108"/>
      <c r="B346" s="108"/>
      <c r="C346" s="108"/>
      <c r="D346" s="108"/>
      <c r="E346" s="108"/>
      <c r="F346" s="108"/>
      <c r="G346" s="108"/>
      <c r="H346" s="108"/>
      <c r="I346" s="108"/>
      <c r="J346" s="108"/>
      <c r="K346" s="108"/>
      <c r="P346"/>
      <c r="Q346"/>
      <c r="R346"/>
      <c r="S346"/>
      <c r="T346"/>
      <c r="U346"/>
      <c r="V346"/>
      <c r="W346"/>
      <c r="X346"/>
      <c r="Y346"/>
      <c r="Z346"/>
      <c r="AA346"/>
      <c r="AB346"/>
      <c r="AC346"/>
      <c r="AD346"/>
      <c r="AE346"/>
    </row>
    <row r="347" spans="1:31" ht="12.75" customHeight="1">
      <c r="A347" s="108"/>
      <c r="B347" s="108"/>
      <c r="C347" s="108"/>
      <c r="D347" s="108"/>
      <c r="E347" s="108"/>
      <c r="F347" s="108"/>
      <c r="G347" s="108"/>
      <c r="H347" s="108"/>
      <c r="I347" s="108"/>
      <c r="J347" s="108"/>
      <c r="K347" s="108"/>
      <c r="P347"/>
      <c r="Q347"/>
      <c r="R347"/>
      <c r="S347"/>
      <c r="T347"/>
      <c r="U347"/>
      <c r="V347"/>
      <c r="W347"/>
      <c r="X347"/>
      <c r="Y347"/>
      <c r="Z347"/>
      <c r="AA347"/>
      <c r="AB347"/>
      <c r="AC347"/>
      <c r="AD347"/>
      <c r="AE347"/>
    </row>
    <row r="348" spans="1:31" ht="12.75" customHeight="1">
      <c r="A348" s="108"/>
      <c r="B348" s="108"/>
      <c r="C348" s="108"/>
      <c r="D348" s="108"/>
      <c r="E348" s="108"/>
      <c r="F348" s="108"/>
      <c r="G348" s="108"/>
      <c r="H348" s="108"/>
      <c r="I348" s="108"/>
      <c r="J348" s="108"/>
      <c r="K348" s="108"/>
      <c r="P348"/>
      <c r="Q348"/>
      <c r="R348"/>
      <c r="S348"/>
      <c r="T348"/>
      <c r="U348"/>
      <c r="V348"/>
      <c r="W348"/>
      <c r="X348"/>
      <c r="Y348"/>
      <c r="Z348"/>
      <c r="AA348"/>
      <c r="AB348"/>
      <c r="AC348"/>
      <c r="AD348"/>
      <c r="AE348"/>
    </row>
    <row r="349" spans="1:31" ht="12.75" customHeight="1">
      <c r="A349" s="108"/>
      <c r="B349" s="108"/>
      <c r="C349" s="108"/>
      <c r="D349" s="108"/>
      <c r="E349" s="108"/>
      <c r="F349" s="108"/>
      <c r="G349" s="108"/>
      <c r="H349" s="108"/>
      <c r="I349" s="108"/>
      <c r="J349" s="108"/>
      <c r="K349" s="108"/>
      <c r="P349"/>
      <c r="Q349"/>
      <c r="R349"/>
      <c r="S349"/>
      <c r="T349"/>
      <c r="U349"/>
      <c r="V349"/>
      <c r="W349"/>
      <c r="X349"/>
      <c r="Y349"/>
      <c r="Z349"/>
      <c r="AA349"/>
      <c r="AB349"/>
      <c r="AC349"/>
      <c r="AD349"/>
      <c r="AE349"/>
    </row>
    <row r="350" spans="1:31" ht="12.75" customHeight="1">
      <c r="A350" s="108"/>
      <c r="B350" s="108"/>
      <c r="C350" s="108"/>
      <c r="D350" s="108"/>
      <c r="E350" s="108"/>
      <c r="F350" s="108"/>
      <c r="G350" s="108"/>
      <c r="H350" s="108"/>
      <c r="I350" s="108"/>
      <c r="J350" s="108"/>
      <c r="K350" s="108"/>
      <c r="P350"/>
      <c r="Q350"/>
      <c r="R350"/>
      <c r="S350"/>
      <c r="T350"/>
      <c r="U350"/>
      <c r="V350"/>
      <c r="W350"/>
      <c r="X350"/>
      <c r="Y350"/>
      <c r="Z350"/>
      <c r="AA350"/>
      <c r="AB350"/>
      <c r="AC350"/>
      <c r="AD350"/>
      <c r="AE350"/>
    </row>
    <row r="351" spans="1:31" ht="12.75" customHeight="1">
      <c r="A351" s="108"/>
      <c r="B351" s="108"/>
      <c r="C351" s="108"/>
      <c r="D351" s="108"/>
      <c r="E351" s="108"/>
      <c r="F351" s="108"/>
      <c r="G351" s="108"/>
      <c r="H351" s="108"/>
      <c r="I351" s="108"/>
      <c r="J351" s="108"/>
      <c r="K351" s="108"/>
      <c r="P351"/>
      <c r="Q351"/>
      <c r="R351"/>
      <c r="S351"/>
      <c r="T351"/>
      <c r="U351"/>
      <c r="V351"/>
      <c r="W351"/>
      <c r="X351"/>
      <c r="Y351"/>
      <c r="Z351"/>
      <c r="AA351"/>
      <c r="AB351"/>
      <c r="AC351"/>
      <c r="AD351"/>
      <c r="AE351"/>
    </row>
    <row r="352" spans="1:31" ht="12.75" customHeight="1">
      <c r="A352" s="108"/>
      <c r="B352" s="108"/>
      <c r="C352" s="108"/>
      <c r="D352" s="108"/>
      <c r="E352" s="108"/>
      <c r="F352" s="108"/>
      <c r="G352" s="108"/>
      <c r="H352" s="108"/>
      <c r="I352" s="108"/>
      <c r="J352" s="108"/>
      <c r="K352" s="108"/>
      <c r="P352"/>
      <c r="Q352"/>
      <c r="R352"/>
      <c r="S352"/>
      <c r="T352"/>
      <c r="U352"/>
      <c r="V352"/>
      <c r="W352"/>
      <c r="X352"/>
      <c r="Y352"/>
      <c r="Z352"/>
      <c r="AA352"/>
      <c r="AB352"/>
      <c r="AC352"/>
      <c r="AD352"/>
      <c r="AE352"/>
    </row>
    <row r="353" spans="1:31" ht="12.75" customHeight="1">
      <c r="A353" s="108"/>
      <c r="B353" s="108"/>
      <c r="C353" s="108"/>
      <c r="D353" s="108"/>
      <c r="E353" s="108"/>
      <c r="F353" s="108"/>
      <c r="G353" s="108"/>
      <c r="H353" s="108"/>
      <c r="I353" s="108"/>
      <c r="J353" s="108"/>
      <c r="K353" s="108"/>
      <c r="P353"/>
      <c r="Q353"/>
      <c r="R353"/>
      <c r="S353"/>
      <c r="T353"/>
      <c r="U353"/>
      <c r="V353"/>
      <c r="W353"/>
      <c r="X353"/>
      <c r="Y353"/>
      <c r="Z353"/>
      <c r="AA353"/>
      <c r="AB353"/>
      <c r="AC353"/>
      <c r="AD353"/>
      <c r="AE353"/>
    </row>
    <row r="354" spans="1:31" ht="12.75" customHeight="1">
      <c r="A354" s="108"/>
      <c r="B354" s="108"/>
      <c r="C354" s="108"/>
      <c r="D354" s="108"/>
      <c r="E354" s="108"/>
      <c r="F354" s="108"/>
      <c r="G354" s="108"/>
      <c r="H354" s="108"/>
      <c r="I354" s="108"/>
      <c r="J354" s="108"/>
      <c r="K354" s="108"/>
      <c r="P354"/>
      <c r="Q354"/>
      <c r="R354"/>
      <c r="S354"/>
      <c r="T354"/>
      <c r="U354"/>
      <c r="V354"/>
      <c r="W354"/>
      <c r="X354"/>
      <c r="Y354"/>
      <c r="Z354"/>
      <c r="AA354"/>
      <c r="AB354"/>
      <c r="AC354"/>
      <c r="AD354"/>
      <c r="AE354"/>
    </row>
    <row r="355" spans="1:31" ht="12.75" customHeight="1">
      <c r="A355" s="108"/>
      <c r="B355" s="108"/>
      <c r="C355" s="108"/>
      <c r="D355" s="108"/>
      <c r="E355" s="108"/>
      <c r="F355" s="108"/>
      <c r="G355" s="108"/>
      <c r="H355" s="108"/>
      <c r="I355" s="108"/>
      <c r="J355" s="108"/>
      <c r="K355" s="108"/>
      <c r="P355"/>
      <c r="Q355"/>
      <c r="R355"/>
      <c r="S355"/>
      <c r="T355"/>
      <c r="U355"/>
      <c r="V355"/>
      <c r="W355"/>
      <c r="X355"/>
      <c r="Y355"/>
      <c r="Z355"/>
      <c r="AA355"/>
      <c r="AB355"/>
      <c r="AC355"/>
      <c r="AD355"/>
      <c r="AE355"/>
    </row>
    <row r="356" spans="1:31" ht="12.75" customHeight="1">
      <c r="A356" s="108"/>
      <c r="B356" s="108"/>
      <c r="C356" s="108"/>
      <c r="D356" s="108"/>
      <c r="E356" s="108"/>
      <c r="F356" s="108"/>
      <c r="G356" s="108"/>
      <c r="H356" s="108"/>
      <c r="I356" s="108"/>
      <c r="J356" s="108"/>
      <c r="K356" s="108"/>
      <c r="P356"/>
      <c r="Q356"/>
      <c r="R356"/>
      <c r="S356"/>
      <c r="T356"/>
      <c r="U356"/>
      <c r="V356"/>
      <c r="W356"/>
      <c r="X356"/>
      <c r="Y356"/>
      <c r="Z356"/>
      <c r="AA356"/>
      <c r="AB356"/>
      <c r="AC356"/>
      <c r="AD356"/>
      <c r="AE356"/>
    </row>
    <row r="357" spans="1:31" ht="12.75" customHeight="1">
      <c r="A357" s="108"/>
      <c r="B357" s="108"/>
      <c r="C357" s="108"/>
      <c r="D357" s="108"/>
      <c r="E357" s="108"/>
      <c r="F357" s="108"/>
      <c r="G357" s="108"/>
      <c r="H357" s="108"/>
      <c r="I357" s="108"/>
      <c r="J357" s="108"/>
      <c r="K357" s="108"/>
      <c r="P357"/>
      <c r="Q357"/>
      <c r="R357"/>
      <c r="S357"/>
      <c r="T357"/>
      <c r="U357"/>
      <c r="V357"/>
      <c r="W357"/>
      <c r="X357"/>
      <c r="Y357"/>
      <c r="Z357"/>
      <c r="AA357"/>
      <c r="AB357"/>
      <c r="AC357"/>
      <c r="AD357"/>
      <c r="AE357"/>
    </row>
    <row r="358" spans="1:31" ht="12.75" customHeight="1">
      <c r="A358" s="108"/>
      <c r="B358" s="108"/>
      <c r="C358" s="108"/>
      <c r="D358" s="108"/>
      <c r="E358" s="108"/>
      <c r="F358" s="108"/>
      <c r="G358" s="108"/>
      <c r="H358" s="108"/>
      <c r="I358" s="108"/>
      <c r="J358" s="108"/>
      <c r="K358" s="108"/>
      <c r="P358"/>
      <c r="Q358"/>
      <c r="R358"/>
      <c r="S358"/>
      <c r="T358"/>
      <c r="U358"/>
      <c r="V358"/>
      <c r="W358"/>
      <c r="X358"/>
      <c r="Y358"/>
      <c r="Z358"/>
      <c r="AA358"/>
      <c r="AB358"/>
      <c r="AC358"/>
      <c r="AD358"/>
      <c r="AE358"/>
    </row>
    <row r="359" spans="1:31" ht="12.75" customHeight="1">
      <c r="A359" s="108"/>
      <c r="B359" s="108"/>
      <c r="C359" s="108"/>
      <c r="D359" s="108"/>
      <c r="E359" s="108"/>
      <c r="F359" s="108"/>
      <c r="G359" s="108"/>
      <c r="H359" s="108"/>
      <c r="I359" s="108"/>
      <c r="J359" s="108"/>
      <c r="K359" s="108"/>
      <c r="P359"/>
      <c r="Q359"/>
      <c r="R359"/>
      <c r="S359"/>
      <c r="T359"/>
      <c r="U359"/>
      <c r="V359"/>
      <c r="W359"/>
      <c r="X359"/>
      <c r="Y359"/>
      <c r="Z359"/>
      <c r="AA359"/>
      <c r="AB359"/>
      <c r="AC359"/>
      <c r="AD359"/>
      <c r="AE359"/>
    </row>
    <row r="360" spans="1:31" ht="12.75" customHeight="1">
      <c r="A360" s="108"/>
      <c r="B360" s="108"/>
      <c r="C360" s="108"/>
      <c r="D360" s="108"/>
      <c r="E360" s="108"/>
      <c r="F360" s="108"/>
      <c r="G360" s="108"/>
      <c r="H360" s="108"/>
      <c r="I360" s="108"/>
      <c r="J360" s="108"/>
      <c r="K360" s="108"/>
      <c r="P360"/>
      <c r="Q360"/>
      <c r="R360"/>
      <c r="S360"/>
      <c r="T360"/>
      <c r="U360"/>
      <c r="V360"/>
      <c r="W360"/>
      <c r="X360"/>
      <c r="Y360"/>
      <c r="Z360"/>
      <c r="AA360"/>
      <c r="AB360"/>
      <c r="AC360"/>
      <c r="AD360"/>
      <c r="AE360"/>
    </row>
    <row r="361" spans="1:31" ht="12.75" customHeight="1">
      <c r="A361" s="108"/>
      <c r="B361" s="108"/>
      <c r="C361" s="108"/>
      <c r="D361" s="108"/>
      <c r="E361" s="108"/>
      <c r="F361" s="108"/>
      <c r="G361" s="108"/>
      <c r="H361" s="108"/>
      <c r="I361" s="108"/>
      <c r="J361" s="108"/>
      <c r="K361" s="108"/>
      <c r="P361"/>
      <c r="Q361"/>
      <c r="R361"/>
      <c r="S361"/>
      <c r="T361"/>
      <c r="U361"/>
      <c r="V361"/>
      <c r="W361"/>
      <c r="X361"/>
      <c r="Y361"/>
      <c r="Z361"/>
      <c r="AA361"/>
      <c r="AB361"/>
      <c r="AC361"/>
      <c r="AD361"/>
      <c r="AE361"/>
    </row>
    <row r="362" spans="1:31" ht="12.75" customHeight="1">
      <c r="A362" s="108"/>
      <c r="B362" s="108"/>
      <c r="C362" s="108"/>
      <c r="D362" s="108"/>
      <c r="E362" s="108"/>
      <c r="F362" s="108"/>
      <c r="G362" s="108"/>
      <c r="H362" s="108"/>
      <c r="I362" s="108"/>
      <c r="J362" s="108"/>
      <c r="K362" s="108"/>
      <c r="P362"/>
      <c r="Q362"/>
      <c r="R362"/>
      <c r="S362"/>
      <c r="T362"/>
      <c r="U362"/>
      <c r="V362"/>
      <c r="W362"/>
      <c r="X362"/>
      <c r="Y362"/>
      <c r="Z362"/>
      <c r="AA362"/>
      <c r="AB362"/>
      <c r="AC362"/>
      <c r="AD362"/>
      <c r="AE362"/>
    </row>
    <row r="363" spans="1:31" ht="12.75" customHeight="1">
      <c r="A363" s="108"/>
      <c r="B363" s="108"/>
      <c r="C363" s="108"/>
      <c r="D363" s="108"/>
      <c r="E363" s="108"/>
      <c r="F363" s="108"/>
      <c r="G363" s="108"/>
      <c r="H363" s="108"/>
      <c r="I363" s="108"/>
      <c r="J363" s="108"/>
      <c r="K363" s="108"/>
      <c r="P363"/>
      <c r="Q363"/>
      <c r="R363"/>
      <c r="S363"/>
      <c r="T363"/>
      <c r="U363"/>
      <c r="V363"/>
      <c r="W363"/>
      <c r="X363"/>
      <c r="Y363"/>
      <c r="Z363"/>
      <c r="AA363"/>
      <c r="AB363"/>
      <c r="AC363"/>
      <c r="AD363"/>
      <c r="AE363"/>
    </row>
    <row r="364" spans="1:31" ht="12.75" customHeight="1">
      <c r="A364" s="108"/>
      <c r="B364" s="108"/>
      <c r="C364" s="108"/>
      <c r="D364" s="108"/>
      <c r="E364" s="108"/>
      <c r="F364" s="108"/>
      <c r="G364" s="108"/>
      <c r="H364" s="108"/>
      <c r="I364" s="108"/>
      <c r="J364" s="108"/>
      <c r="K364" s="108"/>
      <c r="P364"/>
      <c r="Q364"/>
      <c r="R364"/>
      <c r="S364"/>
      <c r="T364"/>
      <c r="U364"/>
      <c r="V364"/>
      <c r="W364"/>
      <c r="X364"/>
      <c r="Y364"/>
      <c r="Z364"/>
      <c r="AA364"/>
      <c r="AB364"/>
      <c r="AC364"/>
      <c r="AD364"/>
      <c r="AE364"/>
    </row>
    <row r="365" spans="1:31" ht="12.75" customHeight="1">
      <c r="A365" s="108"/>
      <c r="B365" s="108"/>
      <c r="C365" s="108"/>
      <c r="D365" s="108"/>
      <c r="E365" s="108"/>
      <c r="F365" s="108"/>
      <c r="G365" s="108"/>
      <c r="H365" s="108"/>
      <c r="I365" s="108"/>
      <c r="J365" s="108"/>
      <c r="K365" s="108"/>
      <c r="P365"/>
      <c r="Q365"/>
      <c r="R365"/>
      <c r="S365"/>
      <c r="T365"/>
      <c r="U365"/>
      <c r="V365"/>
      <c r="W365"/>
      <c r="X365"/>
      <c r="Y365"/>
      <c r="Z365"/>
      <c r="AA365"/>
      <c r="AB365"/>
      <c r="AC365"/>
      <c r="AD365"/>
      <c r="AE365"/>
    </row>
    <row r="366" spans="1:31" ht="12.75" customHeight="1">
      <c r="A366" s="108"/>
      <c r="B366" s="108"/>
      <c r="C366" s="108"/>
      <c r="D366" s="108"/>
      <c r="E366" s="108"/>
      <c r="F366" s="108"/>
      <c r="G366" s="108"/>
      <c r="H366" s="108"/>
      <c r="I366" s="108"/>
      <c r="J366" s="108"/>
      <c r="K366" s="108"/>
      <c r="P366"/>
      <c r="Q366"/>
      <c r="R366"/>
      <c r="S366"/>
      <c r="T366"/>
      <c r="U366"/>
      <c r="V366"/>
      <c r="W366"/>
      <c r="X366"/>
      <c r="Y366"/>
      <c r="Z366"/>
      <c r="AA366"/>
      <c r="AB366"/>
      <c r="AC366"/>
      <c r="AD366"/>
      <c r="AE366"/>
    </row>
    <row r="367" spans="1:31" ht="12.75" customHeight="1">
      <c r="A367" s="108"/>
      <c r="B367" s="108"/>
      <c r="C367" s="108"/>
      <c r="D367" s="108"/>
      <c r="E367" s="108"/>
      <c r="F367" s="108"/>
      <c r="G367" s="108"/>
      <c r="H367" s="108"/>
      <c r="I367" s="108"/>
      <c r="J367" s="108"/>
      <c r="K367" s="108"/>
      <c r="P367"/>
      <c r="Q367"/>
      <c r="R367"/>
      <c r="S367"/>
      <c r="T367"/>
      <c r="U367"/>
      <c r="V367"/>
      <c r="W367"/>
      <c r="X367"/>
      <c r="Y367"/>
      <c r="Z367"/>
      <c r="AA367"/>
      <c r="AB367"/>
      <c r="AC367"/>
      <c r="AD367"/>
      <c r="AE367"/>
    </row>
    <row r="368" spans="1:31" ht="12.75" customHeight="1">
      <c r="A368" s="108"/>
      <c r="B368" s="108"/>
      <c r="C368" s="108"/>
      <c r="D368" s="108"/>
      <c r="E368" s="108"/>
      <c r="F368" s="108"/>
      <c r="G368" s="108"/>
      <c r="H368" s="108"/>
      <c r="I368" s="108"/>
      <c r="J368" s="108"/>
      <c r="K368" s="108"/>
      <c r="P368"/>
      <c r="Q368"/>
      <c r="R368"/>
      <c r="S368"/>
      <c r="T368"/>
      <c r="U368"/>
      <c r="V368"/>
      <c r="W368"/>
      <c r="X368"/>
      <c r="Y368"/>
      <c r="Z368"/>
      <c r="AA368"/>
      <c r="AB368"/>
      <c r="AC368"/>
      <c r="AD368"/>
      <c r="AE368"/>
    </row>
    <row r="369" spans="1:31" ht="12.75" customHeight="1">
      <c r="A369" s="108"/>
      <c r="B369" s="108"/>
      <c r="C369" s="108"/>
      <c r="D369" s="108"/>
      <c r="E369" s="108"/>
      <c r="F369" s="108"/>
      <c r="G369" s="108"/>
      <c r="H369" s="108"/>
      <c r="I369" s="108"/>
      <c r="J369" s="108"/>
      <c r="K369" s="108"/>
      <c r="P369"/>
      <c r="Q369"/>
      <c r="R369"/>
      <c r="S369"/>
      <c r="T369"/>
      <c r="U369"/>
      <c r="V369"/>
      <c r="W369"/>
      <c r="X369"/>
      <c r="Y369"/>
      <c r="Z369"/>
      <c r="AA369"/>
      <c r="AB369"/>
      <c r="AC369"/>
      <c r="AD369"/>
      <c r="AE369"/>
    </row>
    <row r="370" spans="1:31" ht="12.75" customHeight="1">
      <c r="A370" s="108"/>
      <c r="B370" s="108"/>
      <c r="C370" s="108"/>
      <c r="D370" s="108"/>
      <c r="E370" s="108"/>
      <c r="F370" s="108"/>
      <c r="G370" s="108"/>
      <c r="H370" s="108"/>
      <c r="I370" s="108"/>
      <c r="J370" s="108"/>
      <c r="K370" s="108"/>
      <c r="P370"/>
      <c r="Q370"/>
      <c r="R370"/>
      <c r="S370"/>
      <c r="T370"/>
      <c r="U370"/>
      <c r="V370"/>
      <c r="W370"/>
      <c r="X370"/>
      <c r="Y370"/>
      <c r="Z370"/>
      <c r="AA370"/>
      <c r="AB370"/>
      <c r="AC370"/>
      <c r="AD370"/>
      <c r="AE370"/>
    </row>
    <row r="371" spans="1:31" ht="12.75" customHeight="1">
      <c r="A371" s="108"/>
      <c r="B371" s="108"/>
      <c r="C371" s="108"/>
      <c r="D371" s="108"/>
      <c r="E371" s="108"/>
      <c r="F371" s="108"/>
      <c r="G371" s="108"/>
      <c r="H371" s="108"/>
      <c r="I371" s="108"/>
      <c r="J371" s="108"/>
      <c r="K371" s="108"/>
      <c r="P371"/>
      <c r="Q371"/>
      <c r="R371"/>
      <c r="S371"/>
      <c r="T371"/>
      <c r="U371"/>
      <c r="V371"/>
      <c r="W371"/>
      <c r="X371"/>
      <c r="Y371"/>
      <c r="Z371"/>
      <c r="AA371"/>
      <c r="AB371"/>
      <c r="AC371"/>
      <c r="AD371"/>
      <c r="AE371"/>
    </row>
    <row r="372" spans="1:31" ht="12.75" customHeight="1">
      <c r="A372" s="108"/>
      <c r="B372" s="108"/>
      <c r="C372" s="108"/>
      <c r="D372" s="108"/>
      <c r="E372" s="108"/>
      <c r="F372" s="108"/>
      <c r="G372" s="108"/>
      <c r="H372" s="108"/>
      <c r="I372" s="108"/>
      <c r="J372" s="108"/>
      <c r="K372" s="108"/>
      <c r="P372"/>
      <c r="Q372"/>
      <c r="R372"/>
      <c r="S372"/>
      <c r="T372"/>
      <c r="U372"/>
      <c r="V372"/>
      <c r="W372"/>
      <c r="X372"/>
      <c r="Y372"/>
      <c r="Z372"/>
      <c r="AA372"/>
      <c r="AB372"/>
      <c r="AC372"/>
      <c r="AD372"/>
      <c r="AE372"/>
    </row>
    <row r="373" spans="1:31" ht="12.75" customHeight="1">
      <c r="A373" s="108"/>
      <c r="B373" s="108"/>
      <c r="C373" s="108"/>
      <c r="D373" s="108"/>
      <c r="E373" s="108"/>
      <c r="F373" s="108"/>
      <c r="G373" s="108"/>
      <c r="H373" s="108"/>
      <c r="I373" s="108"/>
      <c r="J373" s="108"/>
      <c r="K373" s="108"/>
      <c r="P373"/>
      <c r="Q373"/>
      <c r="R373"/>
      <c r="S373"/>
      <c r="T373"/>
      <c r="U373"/>
      <c r="V373"/>
      <c r="W373"/>
      <c r="X373"/>
      <c r="Y373"/>
      <c r="Z373"/>
      <c r="AA373"/>
      <c r="AB373"/>
      <c r="AC373"/>
      <c r="AD373"/>
      <c r="AE373"/>
    </row>
    <row r="374" spans="1:31" ht="12.75" customHeight="1">
      <c r="A374" s="108"/>
      <c r="B374" s="108"/>
      <c r="C374" s="108"/>
      <c r="D374" s="108"/>
      <c r="E374" s="108"/>
      <c r="F374" s="108"/>
      <c r="G374" s="108"/>
      <c r="H374" s="108"/>
      <c r="I374" s="108"/>
      <c r="J374" s="108"/>
      <c r="K374" s="108"/>
      <c r="P374"/>
      <c r="Q374"/>
      <c r="R374"/>
      <c r="S374"/>
      <c r="T374"/>
      <c r="U374"/>
      <c r="V374"/>
      <c r="W374"/>
      <c r="X374"/>
      <c r="Y374"/>
      <c r="Z374"/>
      <c r="AA374"/>
      <c r="AB374"/>
      <c r="AC374"/>
      <c r="AD374"/>
      <c r="AE374"/>
    </row>
    <row r="375" spans="1:31" ht="12.75" customHeight="1">
      <c r="A375" s="108"/>
      <c r="B375" s="108"/>
      <c r="C375" s="108"/>
      <c r="D375" s="108"/>
      <c r="E375" s="108"/>
      <c r="F375" s="108"/>
      <c r="G375" s="108"/>
      <c r="H375" s="108"/>
      <c r="I375" s="108"/>
      <c r="J375" s="108"/>
      <c r="K375" s="108"/>
      <c r="P375"/>
      <c r="Q375"/>
      <c r="R375"/>
      <c r="S375"/>
      <c r="T375"/>
      <c r="U375"/>
      <c r="V375"/>
      <c r="W375"/>
      <c r="X375"/>
      <c r="Y375"/>
      <c r="Z375"/>
      <c r="AA375"/>
      <c r="AB375"/>
      <c r="AC375"/>
      <c r="AD375"/>
      <c r="AE375"/>
    </row>
    <row r="376" spans="1:31" ht="12.75" customHeight="1">
      <c r="A376" s="108"/>
      <c r="B376" s="108"/>
      <c r="C376" s="108"/>
      <c r="D376" s="108"/>
      <c r="E376" s="108"/>
      <c r="F376" s="108"/>
      <c r="G376" s="108"/>
      <c r="H376" s="108"/>
      <c r="I376" s="108"/>
      <c r="J376" s="108"/>
      <c r="K376" s="108"/>
      <c r="P376"/>
      <c r="Q376"/>
      <c r="R376"/>
      <c r="S376"/>
      <c r="T376"/>
      <c r="U376"/>
      <c r="V376"/>
      <c r="W376"/>
      <c r="X376"/>
      <c r="Y376"/>
      <c r="Z376"/>
      <c r="AA376"/>
      <c r="AB376"/>
      <c r="AC376"/>
      <c r="AD376"/>
      <c r="AE376"/>
    </row>
    <row r="377" spans="1:31" ht="12.75" customHeight="1">
      <c r="A377" s="108"/>
      <c r="B377" s="108"/>
      <c r="C377" s="108"/>
      <c r="D377" s="108"/>
      <c r="E377" s="108"/>
      <c r="F377" s="108"/>
      <c r="G377" s="108"/>
      <c r="H377" s="108"/>
      <c r="I377" s="108"/>
      <c r="J377" s="108"/>
      <c r="K377" s="108"/>
      <c r="P377"/>
      <c r="Q377"/>
      <c r="R377"/>
      <c r="S377"/>
      <c r="T377"/>
      <c r="U377"/>
      <c r="V377"/>
      <c r="W377"/>
      <c r="X377"/>
      <c r="Y377"/>
      <c r="Z377"/>
      <c r="AA377"/>
      <c r="AB377"/>
      <c r="AC377"/>
      <c r="AD377"/>
      <c r="AE377"/>
    </row>
    <row r="378" spans="1:31" ht="12.75" customHeight="1">
      <c r="P378"/>
      <c r="Q378"/>
      <c r="R378"/>
      <c r="S378"/>
      <c r="T378"/>
      <c r="U378"/>
      <c r="V378"/>
      <c r="W378"/>
      <c r="X378"/>
      <c r="Y378"/>
      <c r="Z378"/>
      <c r="AA378"/>
      <c r="AB378"/>
      <c r="AC378"/>
      <c r="AD378"/>
      <c r="AE378"/>
    </row>
    <row r="379" spans="1:31" ht="12.75" customHeight="1">
      <c r="P379"/>
      <c r="Q379"/>
      <c r="R379"/>
      <c r="S379"/>
      <c r="T379"/>
      <c r="U379"/>
      <c r="V379"/>
      <c r="W379"/>
      <c r="X379"/>
      <c r="Y379"/>
      <c r="Z379"/>
      <c r="AA379"/>
      <c r="AB379"/>
      <c r="AC379"/>
      <c r="AD379"/>
      <c r="AE379"/>
    </row>
    <row r="380" spans="1:31" ht="12.75" customHeight="1">
      <c r="P380"/>
      <c r="Q380"/>
      <c r="R380"/>
      <c r="S380"/>
      <c r="T380"/>
      <c r="U380"/>
      <c r="V380"/>
      <c r="W380"/>
      <c r="X380"/>
      <c r="Y380"/>
      <c r="Z380"/>
      <c r="AA380"/>
      <c r="AB380"/>
      <c r="AC380"/>
      <c r="AD380"/>
      <c r="AE380"/>
    </row>
    <row r="381" spans="1:31" ht="12.75" customHeight="1">
      <c r="P381"/>
      <c r="Q381"/>
      <c r="R381"/>
      <c r="S381"/>
      <c r="T381"/>
      <c r="U381"/>
      <c r="V381"/>
      <c r="W381"/>
      <c r="X381"/>
      <c r="Y381"/>
      <c r="Z381"/>
      <c r="AA381"/>
      <c r="AB381"/>
      <c r="AC381"/>
      <c r="AD381"/>
      <c r="AE381"/>
    </row>
    <row r="382" spans="1:31" ht="12.75" customHeight="1">
      <c r="P382"/>
      <c r="Q382"/>
      <c r="R382"/>
      <c r="S382"/>
      <c r="T382"/>
      <c r="U382"/>
      <c r="V382"/>
      <c r="W382"/>
      <c r="X382"/>
      <c r="Y382"/>
      <c r="Z382"/>
      <c r="AA382"/>
      <c r="AB382"/>
      <c r="AC382"/>
      <c r="AD382"/>
      <c r="AE382"/>
    </row>
    <row r="383" spans="1:31" ht="12.75" customHeight="1">
      <c r="P383"/>
      <c r="Q383"/>
      <c r="R383"/>
      <c r="S383"/>
      <c r="T383"/>
      <c r="U383"/>
      <c r="V383"/>
      <c r="W383"/>
      <c r="X383"/>
      <c r="Y383"/>
      <c r="Z383"/>
      <c r="AA383"/>
      <c r="AB383"/>
      <c r="AC383"/>
      <c r="AD383"/>
      <c r="AE383"/>
    </row>
    <row r="384" spans="1:31" ht="12.75" customHeight="1">
      <c r="P384"/>
      <c r="Q384"/>
      <c r="R384"/>
      <c r="S384"/>
      <c r="T384"/>
      <c r="U384"/>
      <c r="V384"/>
      <c r="W384"/>
      <c r="X384"/>
      <c r="Y384"/>
      <c r="Z384"/>
      <c r="AA384"/>
      <c r="AB384"/>
      <c r="AC384"/>
      <c r="AD384"/>
      <c r="AE384"/>
    </row>
    <row r="385" spans="16:31" ht="12.75" customHeight="1">
      <c r="P385"/>
      <c r="Q385"/>
      <c r="R385"/>
      <c r="S385"/>
      <c r="T385"/>
      <c r="U385"/>
      <c r="V385"/>
      <c r="W385"/>
      <c r="X385"/>
      <c r="Y385"/>
      <c r="Z385"/>
      <c r="AA385"/>
      <c r="AB385"/>
      <c r="AC385"/>
      <c r="AD385"/>
      <c r="AE385"/>
    </row>
    <row r="386" spans="16:31" ht="12.75" customHeight="1">
      <c r="P386"/>
      <c r="Q386"/>
      <c r="R386"/>
      <c r="S386"/>
      <c r="T386"/>
      <c r="U386"/>
      <c r="V386"/>
      <c r="W386"/>
      <c r="X386"/>
      <c r="Y386"/>
      <c r="Z386"/>
      <c r="AA386"/>
      <c r="AB386"/>
      <c r="AC386"/>
      <c r="AD386"/>
      <c r="AE386"/>
    </row>
    <row r="387" spans="16:31" ht="12.75" customHeight="1">
      <c r="P387"/>
      <c r="Q387"/>
      <c r="R387"/>
      <c r="S387"/>
      <c r="T387"/>
      <c r="U387"/>
      <c r="V387"/>
      <c r="W387"/>
      <c r="X387"/>
      <c r="Y387"/>
      <c r="Z387"/>
      <c r="AA387"/>
      <c r="AB387"/>
      <c r="AC387"/>
      <c r="AD387"/>
      <c r="AE387"/>
    </row>
    <row r="388" spans="16:31" ht="12.75" customHeight="1">
      <c r="P388"/>
      <c r="Q388"/>
      <c r="R388"/>
      <c r="S388"/>
      <c r="T388"/>
      <c r="U388"/>
      <c r="V388"/>
      <c r="W388"/>
      <c r="X388"/>
      <c r="Y388"/>
      <c r="Z388"/>
      <c r="AA388"/>
      <c r="AB388"/>
      <c r="AC388"/>
      <c r="AD388"/>
      <c r="AE388"/>
    </row>
    <row r="389" spans="16:31" ht="12.75" customHeight="1">
      <c r="P389"/>
      <c r="Q389"/>
      <c r="R389"/>
      <c r="S389"/>
      <c r="T389"/>
      <c r="U389"/>
      <c r="V389"/>
      <c r="W389"/>
      <c r="X389"/>
      <c r="Y389"/>
      <c r="Z389"/>
      <c r="AA389"/>
      <c r="AB389"/>
      <c r="AC389"/>
      <c r="AD389"/>
      <c r="AE389"/>
    </row>
    <row r="390" spans="16:31" ht="12.75" customHeight="1">
      <c r="P390"/>
      <c r="Q390"/>
      <c r="R390"/>
      <c r="S390"/>
      <c r="T390"/>
      <c r="U390"/>
      <c r="V390"/>
      <c r="W390"/>
      <c r="X390"/>
      <c r="Y390"/>
      <c r="Z390"/>
      <c r="AA390"/>
      <c r="AB390"/>
      <c r="AC390"/>
      <c r="AD390"/>
      <c r="AE390"/>
    </row>
    <row r="391" spans="16:31" ht="12.75" customHeight="1">
      <c r="P391"/>
      <c r="Q391"/>
      <c r="R391"/>
      <c r="S391"/>
      <c r="T391"/>
      <c r="U391"/>
      <c r="V391"/>
      <c r="W391"/>
      <c r="X391"/>
      <c r="Y391"/>
      <c r="Z391"/>
      <c r="AA391"/>
      <c r="AB391"/>
      <c r="AC391"/>
      <c r="AD391"/>
      <c r="AE391"/>
    </row>
    <row r="392" spans="16:31" ht="12.75" customHeight="1">
      <c r="P392"/>
      <c r="Q392"/>
      <c r="R392"/>
      <c r="S392"/>
      <c r="T392"/>
      <c r="U392"/>
      <c r="V392"/>
      <c r="W392"/>
      <c r="X392"/>
      <c r="Y392"/>
      <c r="Z392"/>
      <c r="AA392"/>
      <c r="AB392"/>
      <c r="AC392"/>
      <c r="AD392"/>
      <c r="AE392"/>
    </row>
    <row r="393" spans="16:31" ht="12.75" customHeight="1">
      <c r="P393"/>
      <c r="Q393"/>
      <c r="R393"/>
      <c r="S393"/>
      <c r="T393"/>
      <c r="U393"/>
      <c r="V393"/>
      <c r="W393"/>
      <c r="X393"/>
      <c r="Y393"/>
      <c r="Z393"/>
      <c r="AA393"/>
      <c r="AB393"/>
      <c r="AC393"/>
      <c r="AD393"/>
      <c r="AE393"/>
    </row>
    <row r="394" spans="16:31" ht="12.75" customHeight="1">
      <c r="P394"/>
      <c r="Q394"/>
      <c r="R394"/>
      <c r="S394"/>
      <c r="T394"/>
      <c r="U394"/>
      <c r="V394"/>
      <c r="W394"/>
      <c r="X394"/>
      <c r="Y394"/>
      <c r="Z394"/>
      <c r="AA394"/>
      <c r="AB394"/>
      <c r="AC394"/>
      <c r="AD394"/>
      <c r="AE394"/>
    </row>
    <row r="395" spans="16:31" ht="12.75" customHeight="1">
      <c r="P395"/>
      <c r="Q395"/>
      <c r="R395"/>
      <c r="S395"/>
      <c r="T395"/>
      <c r="U395"/>
      <c r="V395"/>
      <c r="W395"/>
      <c r="X395"/>
      <c r="Y395"/>
      <c r="Z395"/>
      <c r="AA395"/>
      <c r="AB395"/>
      <c r="AC395"/>
      <c r="AD395"/>
      <c r="AE395"/>
    </row>
    <row r="396" spans="16:31" ht="12.75" customHeight="1">
      <c r="P396"/>
      <c r="Q396"/>
      <c r="R396"/>
      <c r="S396"/>
      <c r="T396"/>
      <c r="U396"/>
      <c r="V396"/>
      <c r="W396"/>
      <c r="X396"/>
      <c r="Y396"/>
      <c r="Z396"/>
      <c r="AA396"/>
      <c r="AB396"/>
      <c r="AC396"/>
      <c r="AD396"/>
      <c r="AE396"/>
    </row>
    <row r="397" spans="16:31" ht="12.75" customHeight="1">
      <c r="P397"/>
      <c r="Q397"/>
      <c r="R397"/>
      <c r="S397"/>
      <c r="T397"/>
      <c r="U397"/>
      <c r="V397"/>
      <c r="W397"/>
      <c r="X397"/>
      <c r="Y397"/>
      <c r="Z397"/>
      <c r="AA397"/>
      <c r="AB397"/>
      <c r="AC397"/>
      <c r="AD397"/>
      <c r="AE397"/>
    </row>
    <row r="398" spans="16:31" ht="12.75" customHeight="1">
      <c r="P398"/>
      <c r="Q398"/>
      <c r="R398"/>
      <c r="S398"/>
      <c r="T398"/>
      <c r="U398"/>
      <c r="V398"/>
      <c r="W398"/>
      <c r="X398"/>
      <c r="Y398"/>
      <c r="Z398"/>
      <c r="AA398"/>
      <c r="AB398"/>
      <c r="AC398"/>
      <c r="AD398"/>
      <c r="AE398"/>
    </row>
    <row r="399" spans="16:31" ht="12.75" customHeight="1">
      <c r="P399"/>
      <c r="Q399"/>
      <c r="R399"/>
      <c r="S399"/>
      <c r="T399"/>
      <c r="U399"/>
      <c r="V399"/>
      <c r="W399"/>
      <c r="X399"/>
      <c r="Y399"/>
      <c r="Z399"/>
      <c r="AA399"/>
      <c r="AB399"/>
      <c r="AC399"/>
      <c r="AD399"/>
      <c r="AE399"/>
    </row>
    <row r="400" spans="16:31" ht="12.75" customHeight="1">
      <c r="P400"/>
      <c r="Q400"/>
      <c r="R400"/>
      <c r="S400"/>
      <c r="T400"/>
      <c r="U400"/>
      <c r="V400"/>
      <c r="W400"/>
      <c r="X400"/>
      <c r="Y400"/>
      <c r="Z400"/>
      <c r="AA400"/>
      <c r="AB400"/>
      <c r="AC400"/>
      <c r="AD400"/>
      <c r="AE400"/>
    </row>
    <row r="401" spans="16:31" ht="12.75" customHeight="1">
      <c r="P401"/>
      <c r="Q401"/>
      <c r="R401"/>
      <c r="S401"/>
      <c r="T401"/>
      <c r="U401"/>
      <c r="V401"/>
      <c r="W401"/>
      <c r="X401"/>
      <c r="Y401"/>
      <c r="Z401"/>
      <c r="AA401"/>
      <c r="AB401"/>
      <c r="AC401"/>
      <c r="AD401"/>
      <c r="AE401"/>
    </row>
    <row r="402" spans="16:31" ht="12.75" customHeight="1">
      <c r="P402"/>
      <c r="Q402"/>
      <c r="R402"/>
      <c r="S402"/>
      <c r="T402"/>
      <c r="U402"/>
      <c r="V402"/>
      <c r="W402"/>
      <c r="X402"/>
      <c r="Y402"/>
      <c r="Z402"/>
      <c r="AA402"/>
      <c r="AB402"/>
      <c r="AC402"/>
      <c r="AD402"/>
      <c r="AE402"/>
    </row>
    <row r="403" spans="16:31" ht="12.75" customHeight="1">
      <c r="P403"/>
      <c r="Q403"/>
      <c r="R403"/>
      <c r="S403"/>
      <c r="T403"/>
      <c r="U403"/>
      <c r="V403"/>
      <c r="W403"/>
      <c r="X403"/>
      <c r="Y403"/>
      <c r="Z403"/>
      <c r="AA403"/>
      <c r="AB403"/>
      <c r="AC403"/>
      <c r="AD403"/>
      <c r="AE403"/>
    </row>
    <row r="404" spans="16:31" ht="12.75" customHeight="1">
      <c r="P404"/>
      <c r="Q404"/>
      <c r="R404"/>
      <c r="S404"/>
      <c r="T404"/>
      <c r="U404"/>
      <c r="V404"/>
      <c r="W404"/>
      <c r="X404"/>
      <c r="Y404"/>
      <c r="Z404"/>
      <c r="AA404"/>
      <c r="AB404"/>
      <c r="AC404"/>
      <c r="AD404"/>
      <c r="AE404"/>
    </row>
    <row r="405" spans="16:31" ht="12.75" customHeight="1">
      <c r="P405"/>
      <c r="Q405"/>
      <c r="R405"/>
      <c r="S405"/>
      <c r="T405"/>
      <c r="U405"/>
      <c r="V405"/>
      <c r="W405"/>
      <c r="X405"/>
      <c r="Y405"/>
      <c r="Z405"/>
      <c r="AA405"/>
      <c r="AB405"/>
      <c r="AC405"/>
      <c r="AD405"/>
      <c r="AE405"/>
    </row>
    <row r="406" spans="16:31" ht="12.75" customHeight="1">
      <c r="P406"/>
      <c r="Q406"/>
      <c r="R406"/>
      <c r="S406"/>
      <c r="T406"/>
      <c r="U406"/>
      <c r="V406"/>
      <c r="W406"/>
      <c r="X406"/>
      <c r="Y406"/>
      <c r="Z406"/>
      <c r="AA406"/>
      <c r="AB406"/>
      <c r="AC406"/>
      <c r="AD406"/>
      <c r="AE406"/>
    </row>
    <row r="407" spans="16:31" ht="12.75" customHeight="1">
      <c r="P407"/>
      <c r="Q407"/>
      <c r="R407"/>
      <c r="S407"/>
      <c r="T407"/>
      <c r="U407"/>
      <c r="V407"/>
      <c r="W407"/>
      <c r="X407"/>
      <c r="Y407"/>
      <c r="Z407"/>
      <c r="AA407"/>
      <c r="AB407"/>
      <c r="AC407"/>
      <c r="AD407"/>
      <c r="AE407"/>
    </row>
    <row r="408" spans="16:31" ht="12.75" customHeight="1">
      <c r="P408"/>
      <c r="Q408"/>
      <c r="R408"/>
      <c r="S408"/>
      <c r="T408"/>
      <c r="U408"/>
      <c r="V408"/>
      <c r="W408"/>
      <c r="X408"/>
      <c r="Y408"/>
      <c r="Z408"/>
      <c r="AA408"/>
      <c r="AB408"/>
      <c r="AC408"/>
      <c r="AD408"/>
      <c r="AE408"/>
    </row>
    <row r="409" spans="16:31" ht="12.75" customHeight="1">
      <c r="P409"/>
      <c r="Q409"/>
      <c r="R409"/>
      <c r="S409"/>
      <c r="T409"/>
      <c r="U409"/>
      <c r="V409"/>
      <c r="W409"/>
      <c r="X409"/>
      <c r="Y409"/>
      <c r="Z409"/>
      <c r="AA409"/>
      <c r="AB409"/>
      <c r="AC409"/>
      <c r="AD409"/>
      <c r="AE409"/>
    </row>
    <row r="410" spans="16:31" ht="12.75" customHeight="1">
      <c r="P410"/>
      <c r="Q410"/>
      <c r="R410"/>
      <c r="S410"/>
      <c r="T410"/>
      <c r="U410"/>
      <c r="V410"/>
      <c r="W410"/>
      <c r="X410"/>
      <c r="Y410"/>
      <c r="Z410"/>
      <c r="AA410"/>
      <c r="AB410"/>
      <c r="AC410"/>
      <c r="AD410"/>
      <c r="AE410"/>
    </row>
    <row r="411" spans="16:31" ht="12.75" customHeight="1">
      <c r="P411"/>
      <c r="Q411"/>
      <c r="R411"/>
      <c r="S411"/>
      <c r="T411"/>
      <c r="U411"/>
      <c r="V411"/>
      <c r="W411"/>
      <c r="X411"/>
      <c r="Y411"/>
      <c r="Z411"/>
      <c r="AA411"/>
      <c r="AB411"/>
      <c r="AC411"/>
      <c r="AD411"/>
      <c r="AE411"/>
    </row>
    <row r="412" spans="16:31" ht="12.75" customHeight="1">
      <c r="P412"/>
      <c r="Q412"/>
      <c r="R412"/>
      <c r="S412"/>
      <c r="T412"/>
      <c r="U412"/>
      <c r="V412"/>
      <c r="W412"/>
      <c r="X412"/>
      <c r="Y412"/>
      <c r="Z412"/>
      <c r="AA412"/>
      <c r="AB412"/>
      <c r="AC412"/>
      <c r="AD412"/>
      <c r="AE412"/>
    </row>
    <row r="413" spans="16:31" ht="12.75" customHeight="1">
      <c r="P413"/>
      <c r="Q413"/>
      <c r="R413"/>
      <c r="S413"/>
      <c r="T413"/>
      <c r="U413"/>
      <c r="V413"/>
      <c r="W413"/>
      <c r="X413"/>
      <c r="Y413"/>
      <c r="Z413"/>
      <c r="AA413"/>
      <c r="AB413"/>
      <c r="AC413"/>
      <c r="AD413"/>
      <c r="AE413"/>
    </row>
    <row r="414" spans="16:31" ht="12.75" customHeight="1">
      <c r="P414"/>
      <c r="Q414"/>
      <c r="R414"/>
      <c r="S414"/>
      <c r="T414"/>
      <c r="U414"/>
      <c r="V414"/>
      <c r="W414"/>
      <c r="X414"/>
      <c r="Y414"/>
      <c r="Z414"/>
      <c r="AA414"/>
      <c r="AB414"/>
      <c r="AC414"/>
      <c r="AD414"/>
      <c r="AE414"/>
    </row>
    <row r="415" spans="16:31" ht="12.75" customHeight="1">
      <c r="P415"/>
      <c r="Q415"/>
      <c r="R415"/>
      <c r="S415"/>
      <c r="T415"/>
      <c r="U415"/>
      <c r="V415"/>
      <c r="W415"/>
      <c r="X415"/>
      <c r="Y415"/>
      <c r="Z415"/>
      <c r="AA415"/>
      <c r="AB415"/>
      <c r="AC415"/>
      <c r="AD415"/>
      <c r="AE415"/>
    </row>
    <row r="416" spans="16:31" ht="12.75" customHeight="1">
      <c r="P416"/>
      <c r="Q416"/>
      <c r="R416"/>
      <c r="S416"/>
      <c r="T416"/>
      <c r="U416"/>
      <c r="V416"/>
      <c r="W416"/>
      <c r="X416"/>
      <c r="Y416"/>
      <c r="Z416"/>
      <c r="AA416"/>
      <c r="AB416"/>
      <c r="AC416"/>
      <c r="AD416"/>
      <c r="AE416"/>
    </row>
    <row r="417" spans="16:31" ht="12.75" customHeight="1">
      <c r="P417"/>
      <c r="Q417"/>
      <c r="R417"/>
      <c r="S417"/>
      <c r="T417"/>
      <c r="U417"/>
      <c r="V417"/>
      <c r="W417"/>
      <c r="X417"/>
      <c r="Y417"/>
      <c r="Z417"/>
      <c r="AA417"/>
      <c r="AB417"/>
      <c r="AC417"/>
      <c r="AD417"/>
      <c r="AE417"/>
    </row>
    <row r="418" spans="16:31" ht="12.75" customHeight="1">
      <c r="P418"/>
      <c r="Q418"/>
      <c r="R418"/>
      <c r="S418"/>
      <c r="T418"/>
      <c r="U418"/>
      <c r="V418"/>
      <c r="W418"/>
      <c r="X418"/>
      <c r="Y418"/>
      <c r="Z418"/>
      <c r="AA418"/>
      <c r="AB418"/>
      <c r="AC418"/>
      <c r="AD418"/>
      <c r="AE418"/>
    </row>
    <row r="419" spans="16:31" ht="12.75" customHeight="1">
      <c r="P419"/>
      <c r="Q419"/>
      <c r="R419"/>
      <c r="S419"/>
      <c r="T419"/>
      <c r="U419"/>
      <c r="V419"/>
      <c r="W419"/>
      <c r="X419"/>
      <c r="Y419"/>
      <c r="Z419"/>
      <c r="AA419"/>
      <c r="AB419"/>
      <c r="AC419"/>
      <c r="AD419"/>
      <c r="AE419"/>
    </row>
    <row r="420" spans="16:31" ht="12.75" customHeight="1">
      <c r="P420"/>
      <c r="Q420"/>
      <c r="R420"/>
      <c r="S420"/>
      <c r="T420"/>
      <c r="U420"/>
      <c r="V420"/>
      <c r="W420"/>
      <c r="X420"/>
      <c r="Y420"/>
      <c r="Z420"/>
      <c r="AA420"/>
      <c r="AB420"/>
      <c r="AC420"/>
      <c r="AD420"/>
      <c r="AE420"/>
    </row>
    <row r="421" spans="16:31" ht="12.75" customHeight="1">
      <c r="P421"/>
      <c r="Q421"/>
      <c r="R421"/>
      <c r="S421"/>
      <c r="T421"/>
      <c r="U421"/>
      <c r="V421"/>
      <c r="W421"/>
      <c r="X421"/>
      <c r="Y421"/>
      <c r="Z421"/>
      <c r="AA421"/>
      <c r="AB421"/>
      <c r="AC421"/>
      <c r="AD421"/>
      <c r="AE421"/>
    </row>
    <row r="422" spans="16:31" ht="12.75" customHeight="1">
      <c r="P422"/>
      <c r="Q422"/>
      <c r="R422"/>
      <c r="S422"/>
      <c r="T422"/>
      <c r="U422"/>
      <c r="V422"/>
      <c r="W422"/>
      <c r="X422"/>
      <c r="Y422"/>
      <c r="Z422"/>
      <c r="AA422"/>
      <c r="AB422"/>
      <c r="AC422"/>
      <c r="AD422"/>
      <c r="AE422"/>
    </row>
    <row r="423" spans="16:31" ht="12.75" customHeight="1">
      <c r="P423"/>
      <c r="Q423"/>
      <c r="R423"/>
      <c r="S423"/>
      <c r="T423"/>
      <c r="U423"/>
      <c r="V423"/>
      <c r="W423"/>
      <c r="X423"/>
      <c r="Y423"/>
      <c r="Z423"/>
      <c r="AA423"/>
      <c r="AB423"/>
      <c r="AC423"/>
      <c r="AD423"/>
      <c r="AE423"/>
    </row>
    <row r="424" spans="16:31" ht="12.75" customHeight="1">
      <c r="P424"/>
      <c r="Q424"/>
      <c r="R424"/>
      <c r="S424"/>
      <c r="T424"/>
      <c r="U424"/>
      <c r="V424"/>
      <c r="W424"/>
      <c r="X424"/>
      <c r="Y424"/>
      <c r="Z424"/>
      <c r="AA424"/>
      <c r="AB424"/>
      <c r="AC424"/>
      <c r="AD424"/>
      <c r="AE424"/>
    </row>
    <row r="425" spans="16:31" ht="12.75" customHeight="1">
      <c r="P425"/>
      <c r="Q425"/>
      <c r="R425"/>
      <c r="S425"/>
      <c r="T425"/>
      <c r="U425"/>
      <c r="V425"/>
      <c r="W425"/>
      <c r="X425"/>
      <c r="Y425"/>
      <c r="Z425"/>
      <c r="AA425"/>
      <c r="AB425"/>
      <c r="AC425"/>
      <c r="AD425"/>
      <c r="AE425"/>
    </row>
    <row r="426" spans="16:31" ht="12.75" customHeight="1">
      <c r="P426"/>
      <c r="Q426"/>
      <c r="R426"/>
      <c r="S426"/>
      <c r="T426"/>
      <c r="U426"/>
      <c r="V426"/>
      <c r="W426"/>
      <c r="X426"/>
      <c r="Y426"/>
      <c r="Z426"/>
      <c r="AA426"/>
      <c r="AB426"/>
      <c r="AC426"/>
      <c r="AD426"/>
      <c r="AE426"/>
    </row>
    <row r="427" spans="16:31" ht="12.75" customHeight="1">
      <c r="P427"/>
      <c r="Q427"/>
      <c r="R427"/>
      <c r="S427"/>
      <c r="T427"/>
      <c r="U427"/>
      <c r="V427"/>
      <c r="W427"/>
      <c r="X427"/>
      <c r="Y427"/>
      <c r="Z427"/>
      <c r="AA427"/>
      <c r="AB427"/>
      <c r="AC427"/>
      <c r="AD427"/>
      <c r="AE427"/>
    </row>
    <row r="428" spans="16:31" ht="12.75" customHeight="1">
      <c r="P428"/>
      <c r="Q428"/>
      <c r="R428"/>
      <c r="S428"/>
      <c r="T428"/>
      <c r="U428"/>
      <c r="V428"/>
      <c r="W428"/>
      <c r="X428"/>
      <c r="Y428"/>
      <c r="Z428"/>
      <c r="AA428"/>
      <c r="AB428"/>
      <c r="AC428"/>
      <c r="AD428"/>
      <c r="AE428"/>
    </row>
    <row r="429" spans="16:31" ht="12.75" customHeight="1">
      <c r="P429"/>
      <c r="Q429"/>
      <c r="R429"/>
      <c r="S429"/>
      <c r="T429"/>
      <c r="U429"/>
      <c r="V429"/>
      <c r="W429"/>
      <c r="X429"/>
      <c r="Y429"/>
      <c r="Z429"/>
      <c r="AA429"/>
      <c r="AB429"/>
      <c r="AC429"/>
      <c r="AD429"/>
      <c r="AE429"/>
    </row>
    <row r="430" spans="16:31" ht="12.75" customHeight="1">
      <c r="P430"/>
      <c r="Q430"/>
      <c r="R430"/>
      <c r="S430"/>
      <c r="T430"/>
      <c r="U430"/>
      <c r="V430"/>
      <c r="W430"/>
      <c r="X430"/>
      <c r="Y430"/>
      <c r="Z430"/>
      <c r="AA430"/>
      <c r="AB430"/>
      <c r="AC430"/>
      <c r="AD430"/>
      <c r="AE430"/>
    </row>
    <row r="431" spans="16:31" ht="12.75" customHeight="1">
      <c r="P431"/>
      <c r="Q431"/>
      <c r="R431"/>
      <c r="S431"/>
      <c r="T431"/>
      <c r="U431"/>
      <c r="V431"/>
      <c r="W431"/>
      <c r="X431"/>
      <c r="Y431"/>
      <c r="Z431"/>
      <c r="AA431"/>
      <c r="AB431"/>
      <c r="AC431"/>
      <c r="AD431"/>
      <c r="AE431"/>
    </row>
    <row r="432" spans="16:31" ht="12.75" customHeight="1">
      <c r="P432"/>
      <c r="Q432"/>
      <c r="R432"/>
      <c r="S432"/>
      <c r="T432"/>
      <c r="U432"/>
      <c r="V432"/>
      <c r="W432"/>
      <c r="X432"/>
      <c r="Y432"/>
      <c r="Z432"/>
      <c r="AA432"/>
      <c r="AB432"/>
      <c r="AC432"/>
      <c r="AD432"/>
      <c r="AE432"/>
    </row>
    <row r="433" spans="16:31" ht="12.75" customHeight="1">
      <c r="P433"/>
      <c r="Q433"/>
      <c r="R433"/>
      <c r="S433"/>
      <c r="T433"/>
      <c r="U433"/>
      <c r="V433"/>
      <c r="W433"/>
      <c r="X433"/>
      <c r="Y433"/>
      <c r="Z433"/>
      <c r="AA433"/>
      <c r="AB433"/>
      <c r="AC433"/>
      <c r="AD433"/>
      <c r="AE433"/>
    </row>
    <row r="434" spans="16:31" ht="12.75" customHeight="1">
      <c r="P434"/>
      <c r="Q434"/>
      <c r="R434"/>
      <c r="S434"/>
      <c r="T434"/>
      <c r="U434"/>
      <c r="V434"/>
      <c r="W434"/>
      <c r="X434"/>
      <c r="Y434"/>
      <c r="Z434"/>
      <c r="AA434"/>
      <c r="AB434"/>
      <c r="AC434"/>
      <c r="AD434"/>
      <c r="AE434"/>
    </row>
    <row r="435" spans="16:31" ht="12.75" customHeight="1">
      <c r="P435"/>
      <c r="Q435"/>
      <c r="R435"/>
      <c r="S435"/>
      <c r="T435"/>
      <c r="U435"/>
      <c r="V435"/>
      <c r="W435"/>
      <c r="X435"/>
      <c r="Y435"/>
      <c r="Z435"/>
      <c r="AA435"/>
      <c r="AB435"/>
      <c r="AC435"/>
      <c r="AD435"/>
      <c r="AE435"/>
    </row>
    <row r="436" spans="16:31" ht="12.75" customHeight="1">
      <c r="P436"/>
      <c r="Q436"/>
      <c r="R436"/>
      <c r="S436"/>
      <c r="T436"/>
      <c r="U436"/>
      <c r="V436"/>
      <c r="W436"/>
      <c r="X436"/>
      <c r="Y436"/>
      <c r="Z436"/>
      <c r="AA436"/>
      <c r="AB436"/>
      <c r="AC436"/>
      <c r="AD436"/>
      <c r="AE436"/>
    </row>
    <row r="437" spans="16:31" ht="12.75" customHeight="1">
      <c r="P437"/>
      <c r="Q437"/>
      <c r="R437"/>
      <c r="S437"/>
      <c r="T437"/>
      <c r="U437"/>
      <c r="V437"/>
      <c r="W437"/>
      <c r="X437"/>
      <c r="Y437"/>
      <c r="Z437"/>
      <c r="AA437"/>
      <c r="AB437"/>
      <c r="AC437"/>
      <c r="AD437"/>
      <c r="AE437"/>
    </row>
    <row r="438" spans="16:31" ht="12.75" customHeight="1">
      <c r="P438"/>
      <c r="Q438"/>
      <c r="R438"/>
      <c r="S438"/>
      <c r="T438"/>
      <c r="U438"/>
      <c r="V438"/>
      <c r="W438"/>
      <c r="X438"/>
      <c r="Y438"/>
      <c r="Z438"/>
      <c r="AA438"/>
      <c r="AB438"/>
      <c r="AC438"/>
      <c r="AD438"/>
      <c r="AE438"/>
    </row>
    <row r="439" spans="16:31" ht="12.75" customHeight="1">
      <c r="P439"/>
      <c r="Q439"/>
      <c r="R439"/>
      <c r="S439"/>
      <c r="T439"/>
      <c r="U439"/>
      <c r="V439"/>
      <c r="W439"/>
      <c r="X439"/>
      <c r="Y439"/>
      <c r="Z439"/>
      <c r="AA439"/>
      <c r="AB439"/>
      <c r="AC439"/>
      <c r="AD439"/>
      <c r="AE439"/>
    </row>
    <row r="440" spans="16:31" ht="12.75" customHeight="1">
      <c r="P440"/>
      <c r="Q440"/>
      <c r="R440"/>
      <c r="S440"/>
      <c r="T440"/>
      <c r="U440"/>
      <c r="V440"/>
      <c r="W440"/>
      <c r="X440"/>
      <c r="Y440"/>
      <c r="Z440"/>
      <c r="AA440"/>
      <c r="AB440"/>
      <c r="AC440"/>
      <c r="AD440"/>
      <c r="AE440"/>
    </row>
    <row r="441" spans="16:31" ht="12.75" customHeight="1">
      <c r="P441"/>
      <c r="Q441"/>
      <c r="R441"/>
      <c r="S441"/>
      <c r="T441"/>
      <c r="U441"/>
      <c r="V441"/>
      <c r="W441"/>
      <c r="X441"/>
      <c r="Y441"/>
      <c r="Z441"/>
      <c r="AA441"/>
      <c r="AB441"/>
      <c r="AC441"/>
      <c r="AD441"/>
      <c r="AE441"/>
    </row>
    <row r="442" spans="16:31" ht="12.75" customHeight="1">
      <c r="P442"/>
      <c r="Q442"/>
      <c r="R442"/>
      <c r="S442"/>
      <c r="T442"/>
      <c r="U442"/>
      <c r="V442"/>
      <c r="W442"/>
      <c r="X442"/>
      <c r="Y442"/>
      <c r="Z442"/>
      <c r="AA442"/>
      <c r="AB442"/>
      <c r="AC442"/>
      <c r="AD442"/>
      <c r="AE442"/>
    </row>
    <row r="443" spans="16:31" ht="12.75" customHeight="1">
      <c r="P443"/>
      <c r="Q443"/>
      <c r="R443"/>
      <c r="S443"/>
      <c r="T443"/>
      <c r="U443"/>
      <c r="V443"/>
      <c r="W443"/>
      <c r="X443"/>
      <c r="Y443"/>
      <c r="Z443"/>
      <c r="AA443"/>
      <c r="AB443"/>
      <c r="AC443"/>
      <c r="AD443"/>
      <c r="AE443"/>
    </row>
    <row r="444" spans="16:31" ht="12.75" customHeight="1">
      <c r="P444"/>
      <c r="Q444"/>
      <c r="R444"/>
      <c r="S444"/>
      <c r="T444"/>
      <c r="U444"/>
      <c r="V444"/>
      <c r="W444"/>
      <c r="X444"/>
      <c r="Y444"/>
      <c r="Z444"/>
      <c r="AA444"/>
      <c r="AB444"/>
      <c r="AC444"/>
      <c r="AD444"/>
      <c r="AE444"/>
    </row>
    <row r="445" spans="16:31" ht="12.75" customHeight="1">
      <c r="P445"/>
      <c r="Q445"/>
      <c r="R445"/>
      <c r="S445"/>
      <c r="T445"/>
      <c r="U445"/>
      <c r="V445"/>
      <c r="W445"/>
      <c r="X445"/>
      <c r="Y445"/>
      <c r="Z445"/>
      <c r="AA445"/>
      <c r="AB445"/>
      <c r="AC445"/>
      <c r="AD445"/>
      <c r="AE445"/>
    </row>
    <row r="446" spans="16:31" ht="12.75" customHeight="1">
      <c r="P446"/>
      <c r="Q446"/>
      <c r="R446"/>
      <c r="S446"/>
      <c r="T446"/>
      <c r="U446"/>
      <c r="V446"/>
      <c r="W446"/>
      <c r="X446"/>
      <c r="Y446"/>
      <c r="Z446"/>
      <c r="AA446"/>
      <c r="AB446"/>
      <c r="AC446"/>
      <c r="AD446"/>
      <c r="AE446"/>
    </row>
    <row r="447" spans="16:31" ht="12.75" customHeight="1">
      <c r="P447"/>
      <c r="Q447"/>
      <c r="R447"/>
      <c r="S447"/>
      <c r="T447"/>
      <c r="U447"/>
      <c r="V447"/>
      <c r="W447"/>
      <c r="X447"/>
      <c r="Y447"/>
      <c r="Z447"/>
      <c r="AA447"/>
      <c r="AB447"/>
      <c r="AC447"/>
      <c r="AD447"/>
      <c r="AE447"/>
    </row>
    <row r="448" spans="16:31" ht="12.75" customHeight="1">
      <c r="P448"/>
      <c r="Q448"/>
      <c r="R448"/>
      <c r="S448"/>
      <c r="T448"/>
      <c r="U448"/>
      <c r="V448"/>
      <c r="W448"/>
      <c r="X448"/>
      <c r="Y448"/>
      <c r="Z448"/>
      <c r="AA448"/>
      <c r="AB448"/>
      <c r="AC448"/>
      <c r="AD448"/>
      <c r="AE448"/>
    </row>
    <row r="449" spans="16:31" ht="12.75" customHeight="1">
      <c r="P449"/>
      <c r="Q449"/>
      <c r="R449"/>
      <c r="S449"/>
      <c r="T449"/>
      <c r="U449"/>
      <c r="V449"/>
      <c r="W449"/>
      <c r="X449"/>
      <c r="Y449"/>
      <c r="Z449"/>
      <c r="AA449"/>
      <c r="AB449"/>
      <c r="AC449"/>
      <c r="AD449"/>
      <c r="AE449"/>
    </row>
    <row r="450" spans="16:31" ht="12.75" customHeight="1">
      <c r="P450"/>
      <c r="Q450"/>
      <c r="R450"/>
      <c r="S450"/>
      <c r="T450"/>
      <c r="U450"/>
      <c r="V450"/>
      <c r="W450"/>
      <c r="X450"/>
      <c r="Y450"/>
      <c r="Z450"/>
      <c r="AA450"/>
      <c r="AB450"/>
      <c r="AC450"/>
      <c r="AD450"/>
      <c r="AE450"/>
    </row>
    <row r="451" spans="16:31" ht="12.75" customHeight="1">
      <c r="P451"/>
      <c r="Q451"/>
      <c r="R451"/>
      <c r="S451"/>
      <c r="T451"/>
      <c r="U451"/>
      <c r="V451"/>
      <c r="W451"/>
      <c r="X451"/>
      <c r="Y451"/>
      <c r="Z451"/>
      <c r="AA451"/>
      <c r="AB451"/>
      <c r="AC451"/>
      <c r="AD451"/>
      <c r="AE451"/>
    </row>
    <row r="452" spans="16:31" ht="12.75" customHeight="1">
      <c r="P452"/>
      <c r="Q452"/>
      <c r="R452"/>
      <c r="S452"/>
      <c r="T452"/>
      <c r="U452"/>
      <c r="V452"/>
      <c r="W452"/>
      <c r="X452"/>
      <c r="Y452"/>
      <c r="Z452"/>
      <c r="AA452"/>
      <c r="AB452"/>
      <c r="AC452"/>
      <c r="AD452"/>
      <c r="AE452"/>
    </row>
    <row r="453" spans="16:31" ht="12.75" customHeight="1">
      <c r="P453"/>
      <c r="Q453"/>
      <c r="R453"/>
      <c r="S453"/>
      <c r="T453"/>
      <c r="U453"/>
      <c r="V453"/>
      <c r="W453"/>
      <c r="X453"/>
      <c r="Y453"/>
      <c r="Z453"/>
      <c r="AA453"/>
      <c r="AB453"/>
      <c r="AC453"/>
      <c r="AD453"/>
      <c r="AE453"/>
    </row>
    <row r="454" spans="16:31" ht="12.75" customHeight="1">
      <c r="P454"/>
      <c r="Q454"/>
      <c r="R454"/>
      <c r="S454"/>
      <c r="T454"/>
      <c r="U454"/>
      <c r="V454"/>
      <c r="W454"/>
      <c r="X454"/>
      <c r="Y454"/>
      <c r="Z454"/>
      <c r="AA454"/>
      <c r="AB454"/>
      <c r="AC454"/>
      <c r="AD454"/>
      <c r="AE454"/>
    </row>
    <row r="455" spans="16:31" ht="12.75" customHeight="1">
      <c r="P455"/>
      <c r="Q455"/>
      <c r="R455"/>
      <c r="S455"/>
      <c r="T455"/>
      <c r="U455"/>
      <c r="V455"/>
      <c r="W455"/>
      <c r="X455"/>
      <c r="Y455"/>
      <c r="Z455"/>
      <c r="AA455"/>
      <c r="AB455"/>
      <c r="AC455"/>
      <c r="AD455"/>
      <c r="AE455"/>
    </row>
    <row r="456" spans="16:31" ht="12.75" customHeight="1">
      <c r="P456"/>
      <c r="Q456"/>
      <c r="R456"/>
      <c r="S456"/>
      <c r="T456"/>
      <c r="U456"/>
      <c r="V456"/>
      <c r="W456"/>
      <c r="X456"/>
      <c r="Y456"/>
      <c r="Z456"/>
      <c r="AA456"/>
      <c r="AB456"/>
      <c r="AC456"/>
      <c r="AD456"/>
      <c r="AE456"/>
    </row>
    <row r="457" spans="16:31" ht="12.75" customHeight="1">
      <c r="P457"/>
      <c r="Q457"/>
      <c r="R457"/>
      <c r="S457"/>
      <c r="T457"/>
      <c r="U457"/>
      <c r="V457"/>
      <c r="W457"/>
      <c r="X457"/>
      <c r="Y457"/>
      <c r="Z457"/>
      <c r="AA457"/>
      <c r="AB457"/>
      <c r="AC457"/>
      <c r="AD457"/>
      <c r="AE457"/>
    </row>
    <row r="458" spans="16:31" ht="12.75" customHeight="1">
      <c r="P458"/>
      <c r="Q458"/>
      <c r="R458"/>
      <c r="S458"/>
      <c r="T458"/>
      <c r="U458"/>
      <c r="V458"/>
      <c r="W458"/>
      <c r="X458"/>
      <c r="Y458"/>
      <c r="Z458"/>
      <c r="AA458"/>
      <c r="AB458"/>
      <c r="AC458"/>
      <c r="AD458"/>
      <c r="AE458"/>
    </row>
    <row r="459" spans="16:31" ht="12.75" customHeight="1">
      <c r="P459"/>
      <c r="Q459"/>
      <c r="R459"/>
      <c r="S459"/>
      <c r="T459"/>
      <c r="U459"/>
      <c r="V459"/>
      <c r="W459"/>
      <c r="X459"/>
      <c r="Y459"/>
      <c r="Z459"/>
      <c r="AA459"/>
      <c r="AB459"/>
      <c r="AC459"/>
      <c r="AD459"/>
      <c r="AE459"/>
    </row>
    <row r="460" spans="16:31" ht="12.75" customHeight="1">
      <c r="P460"/>
      <c r="Q460"/>
      <c r="R460"/>
      <c r="S460"/>
      <c r="T460"/>
      <c r="U460"/>
      <c r="V460"/>
      <c r="W460"/>
      <c r="X460"/>
      <c r="Y460"/>
      <c r="Z460"/>
      <c r="AA460"/>
      <c r="AB460"/>
      <c r="AC460"/>
      <c r="AD460"/>
      <c r="AE460"/>
    </row>
    <row r="461" spans="16:31" ht="12.75" customHeight="1">
      <c r="P461"/>
      <c r="Q461"/>
      <c r="R461"/>
      <c r="S461"/>
      <c r="T461"/>
      <c r="U461"/>
      <c r="V461"/>
      <c r="W461"/>
      <c r="X461"/>
      <c r="Y461"/>
      <c r="Z461"/>
      <c r="AA461"/>
      <c r="AB461"/>
      <c r="AC461"/>
      <c r="AD461"/>
      <c r="AE461"/>
    </row>
    <row r="462" spans="16:31" ht="12.75" customHeight="1">
      <c r="P462"/>
      <c r="Q462"/>
      <c r="R462"/>
      <c r="S462"/>
      <c r="T462"/>
      <c r="U462"/>
      <c r="V462"/>
      <c r="W462"/>
      <c r="X462"/>
      <c r="Y462"/>
      <c r="Z462"/>
      <c r="AA462"/>
      <c r="AB462"/>
      <c r="AC462"/>
      <c r="AD462"/>
      <c r="AE462"/>
    </row>
    <row r="463" spans="16:31" ht="12.75" customHeight="1">
      <c r="P463"/>
      <c r="Q463"/>
      <c r="R463"/>
      <c r="S463"/>
      <c r="T463"/>
      <c r="U463"/>
      <c r="V463"/>
      <c r="W463"/>
      <c r="X463"/>
      <c r="Y463"/>
      <c r="Z463"/>
      <c r="AA463"/>
      <c r="AB463"/>
      <c r="AC463"/>
      <c r="AD463"/>
      <c r="AE463"/>
    </row>
    <row r="464" spans="16:31" ht="12.75" customHeight="1">
      <c r="P464"/>
      <c r="Q464"/>
      <c r="R464"/>
      <c r="S464"/>
      <c r="T464"/>
      <c r="U464"/>
      <c r="V464"/>
      <c r="W464"/>
      <c r="X464"/>
      <c r="Y464"/>
      <c r="Z464"/>
      <c r="AA464"/>
      <c r="AB464"/>
      <c r="AC464"/>
      <c r="AD464"/>
      <c r="AE464"/>
    </row>
    <row r="465" spans="16:31" ht="12.75" customHeight="1">
      <c r="P465"/>
      <c r="Q465"/>
      <c r="R465"/>
      <c r="S465"/>
      <c r="T465"/>
      <c r="U465"/>
      <c r="V465"/>
      <c r="W465"/>
      <c r="X465"/>
      <c r="Y465"/>
      <c r="Z465"/>
      <c r="AA465"/>
      <c r="AB465"/>
      <c r="AC465"/>
      <c r="AD465"/>
      <c r="AE465"/>
    </row>
    <row r="466" spans="16:31" ht="12.75" customHeight="1">
      <c r="P466"/>
      <c r="Q466"/>
      <c r="R466"/>
      <c r="S466"/>
      <c r="T466"/>
      <c r="U466"/>
      <c r="V466"/>
      <c r="W466"/>
      <c r="X466"/>
      <c r="Y466"/>
      <c r="Z466"/>
      <c r="AA466"/>
      <c r="AB466"/>
      <c r="AC466"/>
      <c r="AD466"/>
      <c r="AE466"/>
    </row>
    <row r="467" spans="16:31" ht="12.75" customHeight="1">
      <c r="P467"/>
      <c r="Q467"/>
      <c r="R467"/>
      <c r="S467"/>
      <c r="T467"/>
      <c r="U467"/>
      <c r="V467"/>
      <c r="W467"/>
      <c r="X467"/>
      <c r="Y467"/>
      <c r="Z467"/>
      <c r="AA467"/>
      <c r="AB467"/>
      <c r="AC467"/>
      <c r="AD467"/>
      <c r="AE467"/>
    </row>
    <row r="468" spans="16:31" ht="12.75" customHeight="1">
      <c r="P468"/>
      <c r="Q468"/>
      <c r="R468"/>
      <c r="S468"/>
      <c r="T468"/>
      <c r="U468"/>
      <c r="V468"/>
      <c r="W468"/>
      <c r="X468"/>
      <c r="Y468"/>
      <c r="Z468"/>
      <c r="AA468"/>
      <c r="AB468"/>
      <c r="AC468"/>
      <c r="AD468"/>
      <c r="AE468"/>
    </row>
    <row r="469" spans="16:31" ht="12.75" customHeight="1">
      <c r="P469"/>
      <c r="Q469"/>
      <c r="R469"/>
      <c r="S469"/>
      <c r="T469"/>
      <c r="U469"/>
      <c r="V469"/>
      <c r="W469"/>
      <c r="X469"/>
      <c r="Y469"/>
      <c r="Z469"/>
      <c r="AA469"/>
      <c r="AB469"/>
      <c r="AC469"/>
      <c r="AD469"/>
      <c r="AE469"/>
    </row>
    <row r="470" spans="16:31" ht="12.75" customHeight="1">
      <c r="P470"/>
      <c r="Q470"/>
      <c r="R470"/>
      <c r="S470"/>
      <c r="T470"/>
      <c r="U470"/>
      <c r="V470"/>
      <c r="W470"/>
      <c r="X470"/>
      <c r="Y470"/>
      <c r="Z470"/>
      <c r="AA470"/>
      <c r="AB470"/>
      <c r="AC470"/>
      <c r="AD470"/>
      <c r="AE470"/>
    </row>
    <row r="471" spans="16:31" ht="12.75" customHeight="1">
      <c r="P471"/>
      <c r="Q471"/>
      <c r="R471"/>
      <c r="S471"/>
      <c r="T471"/>
      <c r="U471"/>
      <c r="V471"/>
      <c r="W471"/>
      <c r="X471"/>
      <c r="Y471"/>
      <c r="Z471"/>
      <c r="AA471"/>
      <c r="AB471"/>
      <c r="AC471"/>
      <c r="AD471"/>
      <c r="AE471"/>
    </row>
    <row r="472" spans="16:31" ht="12.75" customHeight="1">
      <c r="P472"/>
      <c r="Q472"/>
      <c r="R472"/>
      <c r="S472"/>
      <c r="T472"/>
      <c r="U472"/>
      <c r="V472"/>
      <c r="W472"/>
      <c r="X472"/>
      <c r="Y472"/>
      <c r="Z472"/>
      <c r="AA472"/>
      <c r="AB472"/>
      <c r="AC472"/>
      <c r="AD472"/>
      <c r="AE472"/>
    </row>
    <row r="473" spans="16:31" ht="12.75" customHeight="1">
      <c r="P473"/>
      <c r="Q473"/>
      <c r="R473"/>
      <c r="S473"/>
      <c r="T473"/>
      <c r="U473"/>
      <c r="V473"/>
      <c r="W473"/>
      <c r="X473"/>
      <c r="Y473"/>
      <c r="Z473"/>
      <c r="AA473"/>
      <c r="AB473"/>
      <c r="AC473"/>
      <c r="AD473"/>
      <c r="AE473"/>
    </row>
    <row r="474" spans="16:31" ht="12.75" customHeight="1">
      <c r="P474"/>
      <c r="Q474"/>
      <c r="R474"/>
      <c r="S474"/>
      <c r="T474"/>
      <c r="U474"/>
      <c r="V474"/>
      <c r="W474"/>
      <c r="X474"/>
      <c r="Y474"/>
      <c r="Z474"/>
      <c r="AA474"/>
      <c r="AB474"/>
      <c r="AC474"/>
      <c r="AD474"/>
      <c r="AE474"/>
    </row>
    <row r="475" spans="16:31" ht="12.75" customHeight="1">
      <c r="P475"/>
      <c r="Q475"/>
      <c r="R475"/>
      <c r="S475"/>
      <c r="T475"/>
      <c r="U475"/>
      <c r="V475"/>
      <c r="W475"/>
      <c r="X475"/>
      <c r="Y475"/>
      <c r="Z475"/>
      <c r="AA475"/>
      <c r="AB475"/>
      <c r="AC475"/>
      <c r="AD475"/>
      <c r="AE475"/>
    </row>
    <row r="476" spans="16:31" ht="12.75" customHeight="1">
      <c r="P476"/>
      <c r="Q476"/>
      <c r="R476"/>
      <c r="S476"/>
      <c r="T476"/>
      <c r="U476"/>
      <c r="V476"/>
      <c r="W476"/>
      <c r="X476"/>
      <c r="Y476"/>
      <c r="Z476"/>
      <c r="AA476"/>
      <c r="AB476"/>
      <c r="AC476"/>
      <c r="AD476"/>
      <c r="AE476"/>
    </row>
    <row r="477" spans="16:31" ht="12.75" customHeight="1">
      <c r="P477"/>
      <c r="Q477"/>
      <c r="R477"/>
      <c r="S477"/>
      <c r="T477"/>
      <c r="U477"/>
      <c r="V477"/>
      <c r="W477"/>
      <c r="X477"/>
      <c r="Y477"/>
      <c r="Z477"/>
      <c r="AA477"/>
      <c r="AB477"/>
      <c r="AC477"/>
      <c r="AD477"/>
      <c r="AE477"/>
    </row>
    <row r="478" spans="16:31" ht="12.75" customHeight="1">
      <c r="P478"/>
      <c r="Q478"/>
      <c r="R478"/>
      <c r="S478"/>
      <c r="T478"/>
      <c r="U478"/>
      <c r="V478"/>
      <c r="W478"/>
      <c r="X478"/>
      <c r="Y478"/>
      <c r="Z478"/>
      <c r="AA478"/>
      <c r="AB478"/>
      <c r="AC478"/>
      <c r="AD478"/>
      <c r="AE478"/>
    </row>
    <row r="479" spans="16:31" ht="12.75" customHeight="1">
      <c r="P479"/>
      <c r="Q479"/>
      <c r="R479"/>
      <c r="S479"/>
      <c r="T479"/>
      <c r="U479"/>
      <c r="V479"/>
      <c r="W479"/>
      <c r="X479"/>
      <c r="Y479"/>
      <c r="Z479"/>
      <c r="AA479"/>
      <c r="AB479"/>
      <c r="AC479"/>
      <c r="AD479"/>
      <c r="AE479"/>
    </row>
    <row r="480" spans="16:31" ht="12.75" customHeight="1">
      <c r="P480"/>
      <c r="Q480"/>
      <c r="R480"/>
      <c r="S480"/>
      <c r="T480"/>
      <c r="U480"/>
      <c r="V480"/>
      <c r="W480"/>
      <c r="X480"/>
      <c r="Y480"/>
      <c r="Z480"/>
      <c r="AA480"/>
      <c r="AB480"/>
      <c r="AC480"/>
      <c r="AD480"/>
      <c r="AE480"/>
    </row>
    <row r="481" spans="16:31" ht="12.75" customHeight="1">
      <c r="P481"/>
      <c r="Q481"/>
      <c r="R481"/>
      <c r="S481"/>
      <c r="T481"/>
      <c r="U481"/>
      <c r="V481"/>
      <c r="W481"/>
      <c r="X481"/>
      <c r="Y481"/>
      <c r="Z481"/>
      <c r="AA481"/>
      <c r="AB481"/>
      <c r="AC481"/>
      <c r="AD481"/>
      <c r="AE481"/>
    </row>
    <row r="482" spans="16:31" ht="12.75" customHeight="1">
      <c r="P482"/>
      <c r="Q482"/>
      <c r="R482"/>
      <c r="S482"/>
      <c r="T482"/>
      <c r="U482"/>
      <c r="V482"/>
      <c r="W482"/>
      <c r="X482"/>
      <c r="Y482"/>
      <c r="Z482"/>
      <c r="AA482"/>
      <c r="AB482"/>
      <c r="AC482"/>
      <c r="AD482"/>
      <c r="AE482"/>
    </row>
    <row r="483" spans="16:31" ht="12.75" customHeight="1">
      <c r="P483"/>
      <c r="Q483"/>
      <c r="R483"/>
      <c r="S483"/>
      <c r="T483"/>
      <c r="U483"/>
      <c r="V483"/>
      <c r="W483"/>
      <c r="X483"/>
      <c r="Y483"/>
      <c r="Z483"/>
      <c r="AA483"/>
      <c r="AB483"/>
      <c r="AC483"/>
      <c r="AD483"/>
      <c r="AE483"/>
    </row>
    <row r="484" spans="16:31" ht="12.75" customHeight="1">
      <c r="P484"/>
      <c r="Q484"/>
      <c r="R484"/>
      <c r="S484"/>
      <c r="T484"/>
      <c r="U484"/>
      <c r="V484"/>
      <c r="W484"/>
      <c r="X484"/>
      <c r="Y484"/>
      <c r="Z484"/>
      <c r="AA484"/>
      <c r="AB484"/>
      <c r="AC484"/>
      <c r="AD484"/>
      <c r="AE484"/>
    </row>
    <row r="485" spans="16:31" ht="12.75" customHeight="1">
      <c r="P485"/>
      <c r="Q485"/>
      <c r="R485"/>
      <c r="S485"/>
      <c r="T485"/>
      <c r="U485"/>
      <c r="V485"/>
      <c r="W485"/>
      <c r="X485"/>
      <c r="Y485"/>
      <c r="Z485"/>
      <c r="AA485"/>
      <c r="AB485"/>
      <c r="AC485"/>
      <c r="AD485"/>
      <c r="AE485"/>
    </row>
    <row r="486" spans="16:31" ht="12.75" customHeight="1">
      <c r="P486"/>
      <c r="Q486"/>
      <c r="R486"/>
      <c r="S486"/>
      <c r="T486"/>
      <c r="U486"/>
      <c r="V486"/>
      <c r="W486"/>
      <c r="X486"/>
      <c r="Y486"/>
      <c r="Z486"/>
      <c r="AA486"/>
      <c r="AB486"/>
      <c r="AC486"/>
      <c r="AD486"/>
      <c r="AE486"/>
    </row>
    <row r="487" spans="16:31" ht="12.75" customHeight="1">
      <c r="P487"/>
      <c r="Q487"/>
      <c r="R487"/>
      <c r="S487"/>
      <c r="T487"/>
      <c r="U487"/>
      <c r="V487"/>
      <c r="W487"/>
      <c r="X487"/>
      <c r="Y487"/>
      <c r="Z487"/>
      <c r="AA487"/>
      <c r="AB487"/>
      <c r="AC487"/>
      <c r="AD487"/>
      <c r="AE487"/>
    </row>
    <row r="488" spans="16:31" ht="12.75" customHeight="1">
      <c r="P488"/>
      <c r="Q488"/>
      <c r="R488"/>
      <c r="S488"/>
      <c r="T488"/>
      <c r="U488"/>
      <c r="V488"/>
      <c r="W488"/>
      <c r="X488"/>
      <c r="Y488"/>
      <c r="Z488"/>
      <c r="AA488"/>
      <c r="AB488"/>
      <c r="AC488"/>
      <c r="AD488"/>
      <c r="AE488"/>
    </row>
    <row r="489" spans="16:31" ht="12.75" customHeight="1">
      <c r="P489"/>
      <c r="Q489"/>
      <c r="R489"/>
      <c r="S489"/>
      <c r="T489"/>
      <c r="U489"/>
      <c r="V489"/>
      <c r="W489"/>
      <c r="X489"/>
      <c r="Y489"/>
      <c r="Z489"/>
      <c r="AA489"/>
      <c r="AB489"/>
      <c r="AC489"/>
      <c r="AD489"/>
      <c r="AE489"/>
    </row>
    <row r="490" spans="16:31" ht="12.75" customHeight="1">
      <c r="P490"/>
      <c r="Q490"/>
      <c r="R490"/>
      <c r="S490"/>
      <c r="T490"/>
      <c r="U490"/>
      <c r="V490"/>
      <c r="W490"/>
      <c r="X490"/>
      <c r="Y490"/>
      <c r="Z490"/>
      <c r="AA490"/>
      <c r="AB490"/>
      <c r="AC490"/>
      <c r="AD490"/>
      <c r="AE490"/>
    </row>
    <row r="491" spans="16:31" ht="12.75" customHeight="1">
      <c r="P491"/>
      <c r="Q491"/>
      <c r="R491"/>
      <c r="S491"/>
      <c r="T491"/>
      <c r="U491"/>
      <c r="V491"/>
      <c r="W491"/>
      <c r="X491"/>
      <c r="Y491"/>
      <c r="Z491"/>
      <c r="AA491"/>
      <c r="AB491"/>
      <c r="AC491"/>
      <c r="AD491"/>
      <c r="AE491"/>
    </row>
    <row r="492" spans="16:31" ht="12.75" customHeight="1">
      <c r="P492"/>
      <c r="Q492"/>
      <c r="R492"/>
      <c r="S492"/>
      <c r="T492"/>
      <c r="U492"/>
      <c r="V492"/>
      <c r="W492"/>
      <c r="X492"/>
      <c r="Y492"/>
      <c r="Z492"/>
      <c r="AA492"/>
      <c r="AB492"/>
      <c r="AC492"/>
      <c r="AD492"/>
      <c r="AE492"/>
    </row>
    <row r="493" spans="16:31" ht="12.75" customHeight="1">
      <c r="P493"/>
      <c r="Q493"/>
      <c r="R493"/>
      <c r="S493"/>
      <c r="T493"/>
      <c r="U493"/>
      <c r="V493"/>
      <c r="W493"/>
      <c r="X493"/>
      <c r="Y493"/>
      <c r="Z493"/>
      <c r="AA493"/>
      <c r="AB493"/>
      <c r="AC493"/>
      <c r="AD493"/>
      <c r="AE493"/>
    </row>
    <row r="494" spans="16:31" ht="12.75" customHeight="1">
      <c r="P494"/>
      <c r="Q494"/>
      <c r="R494"/>
      <c r="S494"/>
      <c r="T494"/>
      <c r="U494"/>
      <c r="V494"/>
      <c r="W494"/>
      <c r="X494"/>
      <c r="Y494"/>
      <c r="Z494"/>
      <c r="AA494"/>
      <c r="AB494"/>
      <c r="AC494"/>
      <c r="AD494"/>
      <c r="AE494"/>
    </row>
    <row r="495" spans="16:31" ht="12.75" customHeight="1">
      <c r="P495"/>
      <c r="Q495"/>
      <c r="R495"/>
      <c r="S495"/>
      <c r="T495"/>
      <c r="U495"/>
      <c r="V495"/>
      <c r="W495"/>
      <c r="X495"/>
      <c r="Y495"/>
      <c r="Z495"/>
      <c r="AA495"/>
      <c r="AB495"/>
      <c r="AC495"/>
      <c r="AD495"/>
      <c r="AE495"/>
    </row>
    <row r="496" spans="16:31" ht="12.75" customHeight="1">
      <c r="P496"/>
      <c r="Q496"/>
      <c r="R496"/>
      <c r="S496"/>
      <c r="T496"/>
      <c r="U496"/>
      <c r="V496"/>
      <c r="W496"/>
      <c r="X496"/>
      <c r="Y496"/>
      <c r="Z496"/>
      <c r="AA496"/>
      <c r="AB496"/>
      <c r="AC496"/>
      <c r="AD496"/>
      <c r="AE496"/>
    </row>
    <row r="497" spans="16:31" ht="12.75" customHeight="1">
      <c r="P497"/>
      <c r="Q497"/>
      <c r="R497"/>
      <c r="S497"/>
      <c r="T497"/>
      <c r="U497"/>
      <c r="V497"/>
      <c r="W497"/>
      <c r="X497"/>
      <c r="Y497"/>
      <c r="Z497"/>
      <c r="AA497"/>
      <c r="AB497"/>
      <c r="AC497"/>
      <c r="AD497"/>
      <c r="AE497"/>
    </row>
    <row r="498" spans="16:31" ht="12.75" customHeight="1">
      <c r="P498"/>
      <c r="Q498"/>
      <c r="R498"/>
      <c r="S498"/>
      <c r="T498"/>
      <c r="U498"/>
      <c r="V498"/>
      <c r="W498"/>
      <c r="X498"/>
      <c r="Y498"/>
      <c r="Z498"/>
      <c r="AA498"/>
      <c r="AB498"/>
      <c r="AC498"/>
      <c r="AD498"/>
      <c r="AE498"/>
    </row>
    <row r="499" spans="16:31" ht="12.75" customHeight="1">
      <c r="P499"/>
      <c r="Q499"/>
      <c r="R499"/>
      <c r="S499"/>
      <c r="T499"/>
      <c r="U499"/>
      <c r="V499"/>
      <c r="W499"/>
      <c r="X499"/>
      <c r="Y499"/>
      <c r="Z499"/>
      <c r="AA499"/>
      <c r="AB499"/>
      <c r="AC499"/>
      <c r="AD499"/>
      <c r="AE499"/>
    </row>
    <row r="500" spans="16:31" ht="12.75" customHeight="1">
      <c r="P500"/>
      <c r="Q500"/>
      <c r="R500"/>
      <c r="S500"/>
      <c r="T500"/>
      <c r="U500"/>
      <c r="V500"/>
      <c r="W500"/>
      <c r="X500"/>
      <c r="Y500"/>
      <c r="Z500"/>
      <c r="AA500"/>
      <c r="AB500"/>
      <c r="AC500"/>
      <c r="AD500"/>
      <c r="AE500"/>
    </row>
    <row r="501" spans="16:31" ht="12.75" customHeight="1">
      <c r="P501"/>
      <c r="Q501"/>
      <c r="R501"/>
      <c r="S501"/>
      <c r="T501"/>
      <c r="U501"/>
      <c r="V501"/>
      <c r="W501"/>
      <c r="X501"/>
      <c r="Y501"/>
      <c r="Z501"/>
      <c r="AA501"/>
      <c r="AB501"/>
      <c r="AC501"/>
      <c r="AD501"/>
      <c r="AE501"/>
    </row>
    <row r="502" spans="16:31" ht="12.75" customHeight="1">
      <c r="P502"/>
      <c r="Q502"/>
      <c r="R502"/>
      <c r="S502"/>
      <c r="T502"/>
      <c r="U502"/>
      <c r="V502"/>
      <c r="W502"/>
      <c r="X502"/>
      <c r="Y502"/>
      <c r="Z502"/>
      <c r="AA502"/>
      <c r="AB502"/>
      <c r="AC502"/>
      <c r="AD502"/>
      <c r="AE502"/>
    </row>
    <row r="503" spans="16:31" ht="12.75" customHeight="1">
      <c r="P503"/>
      <c r="Q503"/>
      <c r="R503"/>
      <c r="S503"/>
      <c r="T503"/>
      <c r="U503"/>
      <c r="V503"/>
      <c r="W503"/>
      <c r="X503"/>
      <c r="Y503"/>
      <c r="Z503"/>
      <c r="AA503"/>
      <c r="AB503"/>
      <c r="AC503"/>
      <c r="AD503"/>
      <c r="AE503"/>
    </row>
    <row r="504" spans="16:31" ht="12.75" customHeight="1">
      <c r="P504"/>
      <c r="Q504"/>
      <c r="R504"/>
      <c r="S504"/>
      <c r="T504"/>
      <c r="U504"/>
      <c r="V504"/>
      <c r="W504"/>
      <c r="X504"/>
      <c r="Y504"/>
      <c r="Z504"/>
      <c r="AA504"/>
      <c r="AB504"/>
      <c r="AC504"/>
      <c r="AD504"/>
      <c r="AE504"/>
    </row>
    <row r="505" spans="16:31" ht="12.75" customHeight="1">
      <c r="P505"/>
      <c r="Q505"/>
      <c r="R505"/>
      <c r="S505"/>
      <c r="T505"/>
      <c r="U505"/>
      <c r="V505"/>
      <c r="W505"/>
      <c r="X505"/>
      <c r="Y505"/>
      <c r="Z505"/>
      <c r="AA505"/>
      <c r="AB505"/>
      <c r="AC505"/>
      <c r="AD505"/>
      <c r="AE505"/>
    </row>
    <row r="506" spans="16:31" ht="12.75" customHeight="1">
      <c r="P506"/>
      <c r="Q506"/>
      <c r="R506"/>
      <c r="S506"/>
      <c r="T506"/>
      <c r="U506"/>
      <c r="V506"/>
      <c r="W506"/>
      <c r="X506"/>
      <c r="Y506"/>
      <c r="Z506"/>
      <c r="AA506"/>
      <c r="AB506"/>
      <c r="AC506"/>
      <c r="AD506"/>
      <c r="AE506"/>
    </row>
    <row r="507" spans="16:31" ht="12.75" customHeight="1">
      <c r="P507"/>
      <c r="Q507"/>
      <c r="R507"/>
      <c r="S507"/>
      <c r="T507"/>
      <c r="U507"/>
      <c r="V507"/>
      <c r="W507"/>
      <c r="X507"/>
      <c r="Y507"/>
      <c r="Z507"/>
      <c r="AA507"/>
      <c r="AB507"/>
      <c r="AC507"/>
      <c r="AD507"/>
      <c r="AE507"/>
    </row>
    <row r="508" spans="16:31" ht="12.75" customHeight="1">
      <c r="P508"/>
      <c r="Q508"/>
      <c r="R508"/>
      <c r="S508"/>
      <c r="T508"/>
      <c r="U508"/>
      <c r="V508"/>
      <c r="W508"/>
      <c r="X508"/>
      <c r="Y508"/>
      <c r="Z508"/>
      <c r="AA508"/>
      <c r="AB508"/>
      <c r="AC508"/>
      <c r="AD508"/>
      <c r="AE508"/>
    </row>
    <row r="509" spans="16:31" ht="12.75" customHeight="1">
      <c r="P509"/>
      <c r="Q509"/>
      <c r="R509"/>
      <c r="S509"/>
      <c r="T509"/>
      <c r="U509"/>
      <c r="V509"/>
      <c r="W509"/>
      <c r="X509"/>
      <c r="Y509"/>
      <c r="Z509"/>
      <c r="AA509"/>
      <c r="AB509"/>
      <c r="AC509"/>
      <c r="AD509"/>
      <c r="AE509"/>
    </row>
    <row r="510" spans="16:31" ht="12.75" customHeight="1">
      <c r="P510"/>
      <c r="Q510"/>
      <c r="R510"/>
      <c r="S510"/>
      <c r="T510"/>
      <c r="U510"/>
      <c r="V510"/>
      <c r="W510"/>
      <c r="X510"/>
      <c r="Y510"/>
      <c r="Z510"/>
      <c r="AA510"/>
      <c r="AB510"/>
      <c r="AC510"/>
      <c r="AD510"/>
      <c r="AE510"/>
    </row>
    <row r="511" spans="16:31" ht="12.75" customHeight="1">
      <c r="P511"/>
      <c r="Q511"/>
      <c r="R511"/>
      <c r="S511"/>
      <c r="T511"/>
      <c r="U511"/>
      <c r="V511"/>
      <c r="W511"/>
      <c r="X511"/>
      <c r="Y511"/>
      <c r="Z511"/>
      <c r="AA511"/>
      <c r="AB511"/>
      <c r="AC511"/>
      <c r="AD511"/>
      <c r="AE511"/>
    </row>
    <row r="512" spans="16:31" ht="12.75" customHeight="1">
      <c r="P512"/>
      <c r="Q512"/>
      <c r="R512"/>
      <c r="S512"/>
      <c r="T512"/>
      <c r="U512"/>
      <c r="V512"/>
      <c r="W512"/>
      <c r="X512"/>
      <c r="Y512"/>
      <c r="Z512"/>
      <c r="AA512"/>
      <c r="AB512"/>
      <c r="AC512"/>
      <c r="AD512"/>
      <c r="AE512"/>
    </row>
    <row r="513" spans="16:31" ht="12.75" customHeight="1">
      <c r="P513"/>
      <c r="Q513"/>
      <c r="R513"/>
      <c r="S513"/>
      <c r="T513"/>
      <c r="U513"/>
      <c r="V513"/>
      <c r="W513"/>
      <c r="X513"/>
      <c r="Y513"/>
      <c r="Z513"/>
      <c r="AA513"/>
      <c r="AB513"/>
      <c r="AC513"/>
      <c r="AD513"/>
      <c r="AE513"/>
    </row>
    <row r="514" spans="16:31" ht="12.75" customHeight="1">
      <c r="P514"/>
      <c r="Q514"/>
      <c r="R514"/>
      <c r="S514"/>
      <c r="T514"/>
      <c r="U514"/>
      <c r="V514"/>
      <c r="W514"/>
      <c r="X514"/>
      <c r="Y514"/>
      <c r="Z514"/>
      <c r="AA514"/>
      <c r="AB514"/>
      <c r="AC514"/>
      <c r="AD514"/>
      <c r="AE514"/>
    </row>
    <row r="515" spans="16:31" ht="12.75" customHeight="1">
      <c r="P515"/>
      <c r="Q515"/>
      <c r="R515"/>
      <c r="S515"/>
      <c r="T515"/>
      <c r="U515"/>
      <c r="V515"/>
      <c r="W515"/>
      <c r="X515"/>
      <c r="Y515"/>
      <c r="Z515"/>
      <c r="AA515"/>
      <c r="AB515"/>
      <c r="AC515"/>
      <c r="AD515"/>
      <c r="AE515"/>
    </row>
    <row r="516" spans="16:31" ht="12.75" customHeight="1">
      <c r="P516"/>
      <c r="Q516"/>
      <c r="R516"/>
      <c r="S516"/>
      <c r="T516"/>
      <c r="U516"/>
      <c r="V516"/>
      <c r="W516"/>
      <c r="X516"/>
      <c r="Y516"/>
      <c r="Z516"/>
      <c r="AA516"/>
      <c r="AB516"/>
      <c r="AC516"/>
      <c r="AD516"/>
      <c r="AE516"/>
    </row>
    <row r="517" spans="16:31" ht="12.75" customHeight="1">
      <c r="P517"/>
      <c r="Q517"/>
      <c r="R517"/>
      <c r="S517"/>
      <c r="T517"/>
      <c r="U517"/>
      <c r="V517"/>
      <c r="W517"/>
      <c r="X517"/>
      <c r="Y517"/>
      <c r="Z517"/>
      <c r="AA517"/>
      <c r="AB517"/>
      <c r="AC517"/>
      <c r="AD517"/>
      <c r="AE517"/>
    </row>
    <row r="518" spans="16:31" ht="12.75" customHeight="1">
      <c r="P518"/>
      <c r="Q518"/>
      <c r="R518"/>
      <c r="S518"/>
      <c r="T518"/>
      <c r="U518"/>
      <c r="V518"/>
      <c r="W518"/>
      <c r="X518"/>
      <c r="Y518"/>
      <c r="Z518"/>
      <c r="AA518"/>
      <c r="AB518"/>
      <c r="AC518"/>
      <c r="AD518"/>
      <c r="AE518"/>
    </row>
    <row r="519" spans="16:31" ht="12.75" customHeight="1">
      <c r="P519"/>
      <c r="Q519"/>
      <c r="R519"/>
      <c r="S519"/>
      <c r="T519"/>
      <c r="U519"/>
      <c r="V519"/>
      <c r="W519"/>
      <c r="X519"/>
      <c r="Y519"/>
      <c r="Z519"/>
      <c r="AA519"/>
      <c r="AB519"/>
      <c r="AC519"/>
      <c r="AD519"/>
      <c r="AE519"/>
    </row>
    <row r="520" spans="16:31" ht="12.75" customHeight="1">
      <c r="P520"/>
      <c r="Q520"/>
      <c r="R520"/>
      <c r="S520"/>
      <c r="T520"/>
      <c r="U520"/>
      <c r="V520"/>
      <c r="W520"/>
      <c r="X520"/>
      <c r="Y520"/>
      <c r="Z520"/>
      <c r="AA520"/>
      <c r="AB520"/>
      <c r="AC520"/>
      <c r="AD520"/>
      <c r="AE520"/>
    </row>
    <row r="521" spans="16:31" ht="12.75" customHeight="1">
      <c r="P521"/>
      <c r="Q521"/>
      <c r="R521"/>
      <c r="S521"/>
      <c r="T521"/>
      <c r="U521"/>
      <c r="V521"/>
      <c r="W521"/>
      <c r="X521"/>
      <c r="Y521"/>
      <c r="Z521"/>
      <c r="AA521"/>
      <c r="AB521"/>
      <c r="AC521"/>
      <c r="AD521"/>
      <c r="AE521"/>
    </row>
    <row r="522" spans="16:31" ht="12.75" customHeight="1">
      <c r="P522"/>
      <c r="Q522"/>
      <c r="R522"/>
      <c r="S522"/>
      <c r="T522"/>
      <c r="U522"/>
      <c r="V522"/>
      <c r="W522"/>
      <c r="X522"/>
      <c r="Y522"/>
      <c r="Z522"/>
      <c r="AA522"/>
      <c r="AB522"/>
      <c r="AC522"/>
      <c r="AD522"/>
      <c r="AE522"/>
    </row>
    <row r="523" spans="16:31" ht="12.75" customHeight="1">
      <c r="P523"/>
      <c r="Q523"/>
      <c r="R523"/>
      <c r="S523"/>
      <c r="T523"/>
      <c r="U523"/>
      <c r="V523"/>
      <c r="W523"/>
      <c r="X523"/>
      <c r="Y523"/>
      <c r="Z523"/>
      <c r="AA523"/>
      <c r="AB523"/>
      <c r="AC523"/>
      <c r="AD523"/>
      <c r="AE523"/>
    </row>
    <row r="524" spans="16:31" ht="12.75" customHeight="1">
      <c r="P524"/>
      <c r="Q524"/>
      <c r="R524"/>
      <c r="S524"/>
      <c r="T524"/>
      <c r="U524"/>
      <c r="V524"/>
      <c r="W524"/>
      <c r="X524"/>
      <c r="Y524"/>
      <c r="Z524"/>
      <c r="AA524"/>
      <c r="AB524"/>
      <c r="AC524"/>
      <c r="AD524"/>
      <c r="AE524"/>
    </row>
    <row r="525" spans="16:31" ht="12.75" customHeight="1">
      <c r="P525"/>
      <c r="Q525"/>
      <c r="R525"/>
      <c r="S525"/>
      <c r="T525"/>
      <c r="U525"/>
      <c r="V525"/>
      <c r="W525"/>
      <c r="X525"/>
      <c r="Y525"/>
      <c r="Z525"/>
      <c r="AA525"/>
      <c r="AB525"/>
      <c r="AC525"/>
      <c r="AD525"/>
      <c r="AE525"/>
    </row>
    <row r="526" spans="16:31" ht="12.75" customHeight="1">
      <c r="P526"/>
      <c r="Q526"/>
      <c r="R526"/>
      <c r="S526"/>
      <c r="T526"/>
      <c r="U526"/>
      <c r="V526"/>
      <c r="W526"/>
      <c r="X526"/>
      <c r="Y526"/>
      <c r="Z526"/>
      <c r="AA526"/>
      <c r="AB526"/>
      <c r="AC526"/>
      <c r="AD526"/>
      <c r="AE526"/>
    </row>
    <row r="527" spans="16:31" ht="12.75" customHeight="1">
      <c r="P527"/>
      <c r="Q527"/>
      <c r="R527"/>
      <c r="S527"/>
      <c r="T527"/>
      <c r="U527"/>
      <c r="V527"/>
      <c r="W527"/>
      <c r="X527"/>
      <c r="Y527"/>
      <c r="Z527"/>
      <c r="AA527"/>
      <c r="AB527"/>
      <c r="AC527"/>
      <c r="AD527"/>
      <c r="AE527"/>
    </row>
    <row r="528" spans="16:31" ht="12.75" customHeight="1">
      <c r="P528"/>
      <c r="Q528"/>
      <c r="R528"/>
      <c r="S528"/>
      <c r="T528"/>
      <c r="U528"/>
      <c r="V528"/>
      <c r="W528"/>
      <c r="X528"/>
      <c r="Y528"/>
      <c r="Z528"/>
      <c r="AA528"/>
      <c r="AB528"/>
      <c r="AC528"/>
      <c r="AD528"/>
      <c r="AE528"/>
    </row>
    <row r="529" spans="16:31" ht="12.75" customHeight="1">
      <c r="P529"/>
      <c r="Q529"/>
      <c r="R529"/>
      <c r="S529"/>
      <c r="T529"/>
      <c r="U529"/>
      <c r="V529"/>
      <c r="W529"/>
      <c r="X529"/>
      <c r="Y529"/>
      <c r="Z529"/>
      <c r="AA529"/>
      <c r="AB529"/>
      <c r="AC529"/>
      <c r="AD529"/>
      <c r="AE529"/>
    </row>
    <row r="530" spans="16:31" ht="12.75" customHeight="1">
      <c r="P530"/>
      <c r="Q530"/>
      <c r="R530"/>
      <c r="S530"/>
      <c r="T530"/>
      <c r="U530"/>
      <c r="V530"/>
      <c r="W530"/>
      <c r="X530"/>
      <c r="Y530"/>
      <c r="Z530"/>
      <c r="AA530"/>
      <c r="AB530"/>
      <c r="AC530"/>
      <c r="AD530"/>
      <c r="AE530"/>
    </row>
    <row r="531" spans="16:31" ht="12.75" customHeight="1">
      <c r="P531"/>
      <c r="Q531"/>
      <c r="R531"/>
      <c r="S531"/>
      <c r="T531"/>
      <c r="U531"/>
      <c r="V531"/>
      <c r="W531"/>
      <c r="X531"/>
      <c r="Y531"/>
      <c r="Z531"/>
      <c r="AA531"/>
      <c r="AB531"/>
      <c r="AC531"/>
      <c r="AD531"/>
      <c r="AE531"/>
    </row>
    <row r="532" spans="16:31" ht="12.75" customHeight="1">
      <c r="P532"/>
      <c r="Q532"/>
      <c r="R532"/>
      <c r="S532"/>
      <c r="T532"/>
      <c r="U532"/>
      <c r="V532"/>
      <c r="W532"/>
      <c r="X532"/>
      <c r="Y532"/>
      <c r="Z532"/>
      <c r="AA532"/>
      <c r="AB532"/>
      <c r="AC532"/>
      <c r="AD532"/>
      <c r="AE532"/>
    </row>
    <row r="533" spans="16:31" ht="12.75" customHeight="1">
      <c r="P533"/>
      <c r="Q533"/>
      <c r="R533"/>
      <c r="S533"/>
      <c r="T533"/>
      <c r="U533"/>
      <c r="V533"/>
      <c r="W533"/>
      <c r="X533"/>
      <c r="Y533"/>
      <c r="Z533"/>
      <c r="AA533"/>
      <c r="AB533"/>
      <c r="AC533"/>
      <c r="AD533"/>
      <c r="AE533"/>
    </row>
    <row r="534" spans="16:31" ht="12.75" customHeight="1">
      <c r="P534"/>
      <c r="Q534"/>
      <c r="R534"/>
      <c r="S534"/>
      <c r="T534"/>
      <c r="U534"/>
      <c r="V534"/>
      <c r="W534"/>
      <c r="X534"/>
      <c r="Y534"/>
      <c r="Z534"/>
      <c r="AA534"/>
      <c r="AB534"/>
      <c r="AC534"/>
      <c r="AD534"/>
      <c r="AE534"/>
    </row>
    <row r="535" spans="16:31" ht="12.75" customHeight="1">
      <c r="P535"/>
      <c r="Q535"/>
      <c r="R535"/>
      <c r="S535"/>
      <c r="T535"/>
      <c r="U535"/>
      <c r="V535"/>
      <c r="W535"/>
      <c r="X535"/>
      <c r="Y535"/>
      <c r="Z535"/>
      <c r="AA535"/>
      <c r="AB535"/>
      <c r="AC535"/>
      <c r="AD535"/>
      <c r="AE535"/>
    </row>
    <row r="536" spans="16:31" ht="12.75" customHeight="1">
      <c r="P536"/>
      <c r="Q536"/>
      <c r="R536"/>
      <c r="S536"/>
      <c r="T536"/>
      <c r="U536"/>
      <c r="V536"/>
      <c r="W536"/>
      <c r="X536"/>
      <c r="Y536"/>
      <c r="Z536"/>
      <c r="AA536"/>
      <c r="AB536"/>
      <c r="AC536"/>
      <c r="AD536"/>
      <c r="AE536"/>
    </row>
    <row r="537" spans="16:31" ht="12.75" customHeight="1">
      <c r="P537"/>
      <c r="Q537"/>
      <c r="R537"/>
      <c r="S537"/>
      <c r="T537"/>
      <c r="U537"/>
      <c r="V537"/>
      <c r="W537"/>
      <c r="X537"/>
      <c r="Y537"/>
      <c r="Z537"/>
      <c r="AA537"/>
      <c r="AB537"/>
      <c r="AC537"/>
      <c r="AD537"/>
      <c r="AE537"/>
    </row>
    <row r="538" spans="16:31" ht="12.75" customHeight="1">
      <c r="P538"/>
      <c r="Q538"/>
      <c r="R538"/>
      <c r="S538"/>
      <c r="T538"/>
      <c r="U538"/>
      <c r="V538"/>
      <c r="W538"/>
      <c r="X538"/>
      <c r="Y538"/>
      <c r="Z538"/>
      <c r="AA538"/>
      <c r="AB538"/>
      <c r="AC538"/>
      <c r="AD538"/>
      <c r="AE538"/>
    </row>
    <row r="539" spans="16:31" ht="12.75" customHeight="1">
      <c r="P539"/>
      <c r="Q539"/>
      <c r="R539"/>
      <c r="S539"/>
      <c r="T539"/>
      <c r="U539"/>
      <c r="V539"/>
      <c r="W539"/>
      <c r="X539"/>
      <c r="Y539"/>
      <c r="Z539"/>
      <c r="AA539"/>
      <c r="AB539"/>
      <c r="AC539"/>
      <c r="AD539"/>
      <c r="AE539"/>
    </row>
    <row r="540" spans="16:31" ht="12.75" customHeight="1">
      <c r="P540"/>
      <c r="Q540"/>
      <c r="R540"/>
      <c r="S540"/>
      <c r="T540"/>
      <c r="U540"/>
      <c r="V540"/>
      <c r="W540"/>
      <c r="X540"/>
      <c r="Y540"/>
      <c r="Z540"/>
      <c r="AA540"/>
      <c r="AB540"/>
      <c r="AC540"/>
      <c r="AD540"/>
      <c r="AE540"/>
    </row>
    <row r="541" spans="16:31" ht="12.75" customHeight="1">
      <c r="P541"/>
      <c r="Q541"/>
      <c r="R541"/>
      <c r="S541"/>
      <c r="T541"/>
      <c r="U541"/>
      <c r="V541"/>
      <c r="W541"/>
      <c r="X541"/>
      <c r="Y541"/>
      <c r="Z541"/>
      <c r="AA541"/>
      <c r="AB541"/>
      <c r="AC541"/>
      <c r="AD541"/>
      <c r="AE541"/>
    </row>
    <row r="542" spans="16:31" ht="12.75" customHeight="1">
      <c r="P542"/>
      <c r="Q542"/>
      <c r="R542"/>
      <c r="S542"/>
      <c r="T542"/>
      <c r="U542"/>
      <c r="V542"/>
      <c r="W542"/>
      <c r="X542"/>
      <c r="Y542"/>
      <c r="Z542"/>
      <c r="AA542"/>
      <c r="AB542"/>
      <c r="AC542"/>
      <c r="AD542"/>
      <c r="AE542"/>
    </row>
    <row r="543" spans="16:31" ht="12.75" customHeight="1">
      <c r="P543"/>
      <c r="Q543"/>
      <c r="R543"/>
      <c r="S543"/>
      <c r="T543"/>
      <c r="U543"/>
      <c r="V543"/>
      <c r="W543"/>
      <c r="X543"/>
      <c r="Y543"/>
      <c r="Z543"/>
      <c r="AA543"/>
      <c r="AB543"/>
      <c r="AC543"/>
      <c r="AD543"/>
      <c r="AE543"/>
    </row>
    <row r="544" spans="16:31" ht="12.75" customHeight="1">
      <c r="P544"/>
      <c r="Q544"/>
      <c r="R544"/>
      <c r="S544"/>
      <c r="T544"/>
      <c r="U544"/>
      <c r="V544"/>
      <c r="W544"/>
      <c r="X544"/>
      <c r="Y544"/>
      <c r="Z544"/>
      <c r="AA544"/>
      <c r="AB544"/>
      <c r="AC544"/>
      <c r="AD544"/>
      <c r="AE544"/>
    </row>
    <row r="545" spans="16:31" ht="12.75" customHeight="1">
      <c r="P545"/>
      <c r="Q545"/>
      <c r="R545"/>
      <c r="S545"/>
      <c r="T545"/>
      <c r="U545"/>
      <c r="V545"/>
      <c r="W545"/>
      <c r="X545"/>
      <c r="Y545"/>
      <c r="Z545"/>
      <c r="AA545"/>
      <c r="AB545"/>
      <c r="AC545"/>
      <c r="AD545"/>
      <c r="AE545"/>
    </row>
    <row r="546" spans="16:31" ht="12.75" customHeight="1">
      <c r="P546"/>
      <c r="Q546"/>
      <c r="R546"/>
      <c r="S546"/>
      <c r="T546"/>
      <c r="U546"/>
      <c r="V546"/>
      <c r="W546"/>
      <c r="X546"/>
      <c r="Y546"/>
      <c r="Z546"/>
      <c r="AA546"/>
      <c r="AB546"/>
      <c r="AC546"/>
      <c r="AD546"/>
      <c r="AE546"/>
    </row>
    <row r="547" spans="16:31" ht="12.75" customHeight="1">
      <c r="P547"/>
      <c r="Q547"/>
      <c r="R547"/>
      <c r="S547"/>
      <c r="T547"/>
      <c r="U547"/>
      <c r="V547"/>
      <c r="W547"/>
      <c r="X547"/>
      <c r="Y547"/>
      <c r="Z547"/>
      <c r="AA547"/>
      <c r="AB547"/>
      <c r="AC547"/>
      <c r="AD547"/>
      <c r="AE547"/>
    </row>
    <row r="548" spans="16:31" ht="12.75" customHeight="1">
      <c r="P548"/>
      <c r="Q548"/>
      <c r="R548"/>
      <c r="S548"/>
      <c r="T548"/>
      <c r="U548"/>
      <c r="V548"/>
      <c r="W548"/>
      <c r="X548"/>
      <c r="Y548"/>
      <c r="Z548"/>
      <c r="AA548"/>
      <c r="AB548"/>
      <c r="AC548"/>
      <c r="AD548"/>
      <c r="AE548"/>
    </row>
    <row r="549" spans="16:31" ht="12.75" customHeight="1">
      <c r="P549"/>
      <c r="Q549"/>
      <c r="R549"/>
      <c r="S549"/>
      <c r="T549"/>
      <c r="U549"/>
      <c r="V549"/>
      <c r="W549"/>
      <c r="X549"/>
      <c r="Y549"/>
      <c r="Z549"/>
      <c r="AA549"/>
      <c r="AB549"/>
      <c r="AC549"/>
      <c r="AD549"/>
      <c r="AE549"/>
    </row>
    <row r="550" spans="16:31" ht="12.75" customHeight="1">
      <c r="P550"/>
      <c r="Q550"/>
      <c r="R550"/>
      <c r="S550"/>
      <c r="T550"/>
      <c r="U550"/>
      <c r="V550"/>
      <c r="W550"/>
      <c r="X550"/>
      <c r="Y550"/>
      <c r="Z550"/>
      <c r="AA550"/>
      <c r="AB550"/>
      <c r="AC550"/>
      <c r="AD550"/>
      <c r="AE550"/>
    </row>
    <row r="551" spans="16:31" ht="12.75" customHeight="1">
      <c r="P551"/>
      <c r="Q551"/>
      <c r="R551"/>
      <c r="S551"/>
      <c r="T551"/>
      <c r="U551"/>
      <c r="V551"/>
      <c r="W551"/>
      <c r="X551"/>
      <c r="Y551"/>
      <c r="Z551"/>
      <c r="AA551"/>
      <c r="AB551"/>
      <c r="AC551"/>
      <c r="AD551"/>
      <c r="AE551"/>
    </row>
    <row r="552" spans="16:31" ht="12.75" customHeight="1">
      <c r="P552"/>
      <c r="Q552"/>
      <c r="R552"/>
      <c r="S552"/>
      <c r="T552"/>
      <c r="U552"/>
      <c r="V552"/>
      <c r="W552"/>
      <c r="X552"/>
      <c r="Y552"/>
      <c r="Z552"/>
      <c r="AA552"/>
      <c r="AB552"/>
      <c r="AC552"/>
      <c r="AD552"/>
      <c r="AE552"/>
    </row>
    <row r="553" spans="16:31" ht="12.75" customHeight="1">
      <c r="P553"/>
      <c r="Q553"/>
      <c r="R553"/>
      <c r="S553"/>
      <c r="T553"/>
      <c r="U553"/>
      <c r="V553"/>
      <c r="W553"/>
      <c r="X553"/>
      <c r="Y553"/>
      <c r="Z553"/>
      <c r="AA553"/>
      <c r="AB553"/>
      <c r="AC553"/>
      <c r="AD553"/>
      <c r="AE553"/>
    </row>
    <row r="554" spans="16:31" ht="12.75" customHeight="1">
      <c r="P554"/>
      <c r="Q554"/>
      <c r="R554"/>
      <c r="S554"/>
      <c r="T554"/>
      <c r="U554"/>
      <c r="V554"/>
      <c r="W554"/>
      <c r="X554"/>
      <c r="Y554"/>
      <c r="Z554"/>
      <c r="AA554"/>
      <c r="AB554"/>
      <c r="AC554"/>
      <c r="AD554"/>
      <c r="AE554"/>
    </row>
    <row r="555" spans="16:31" ht="12.75" customHeight="1">
      <c r="P555"/>
      <c r="Q555"/>
      <c r="R555"/>
      <c r="S555"/>
      <c r="T555"/>
      <c r="U555"/>
      <c r="V555"/>
      <c r="W555"/>
      <c r="X555"/>
      <c r="Y555"/>
      <c r="Z555"/>
      <c r="AA555"/>
      <c r="AB555"/>
      <c r="AC555"/>
      <c r="AD555"/>
      <c r="AE555"/>
    </row>
    <row r="556" spans="16:31" ht="12.75" customHeight="1">
      <c r="P556"/>
      <c r="Q556"/>
      <c r="R556"/>
      <c r="S556"/>
      <c r="T556"/>
      <c r="U556"/>
      <c r="V556"/>
      <c r="W556"/>
      <c r="X556"/>
      <c r="Y556"/>
      <c r="Z556"/>
      <c r="AA556"/>
      <c r="AB556"/>
      <c r="AC556"/>
      <c r="AD556"/>
      <c r="AE556"/>
    </row>
    <row r="557" spans="16:31" ht="12.75" customHeight="1">
      <c r="P557"/>
      <c r="Q557"/>
      <c r="R557"/>
      <c r="S557"/>
      <c r="T557"/>
      <c r="U557"/>
      <c r="V557"/>
      <c r="W557"/>
      <c r="X557"/>
      <c r="Y557"/>
      <c r="Z557"/>
      <c r="AA557"/>
      <c r="AB557"/>
      <c r="AC557"/>
      <c r="AD557"/>
      <c r="AE557"/>
    </row>
    <row r="558" spans="16:31" ht="12.75" customHeight="1">
      <c r="P558"/>
      <c r="Q558"/>
      <c r="R558"/>
      <c r="S558"/>
      <c r="T558"/>
      <c r="U558"/>
      <c r="V558"/>
      <c r="W558"/>
      <c r="X558"/>
      <c r="Y558"/>
      <c r="Z558"/>
      <c r="AA558"/>
      <c r="AB558"/>
      <c r="AC558"/>
      <c r="AD558"/>
      <c r="AE558"/>
    </row>
    <row r="559" spans="16:31" ht="12.75" customHeight="1">
      <c r="P559"/>
      <c r="Q559"/>
      <c r="R559"/>
      <c r="S559"/>
      <c r="T559"/>
      <c r="U559"/>
      <c r="V559"/>
      <c r="W559"/>
      <c r="X559"/>
      <c r="Y559"/>
      <c r="Z559"/>
      <c r="AA559"/>
      <c r="AB559"/>
      <c r="AC559"/>
      <c r="AD559"/>
      <c r="AE559"/>
    </row>
    <row r="560" spans="16:31" ht="12.75" customHeight="1">
      <c r="P560"/>
      <c r="Q560"/>
      <c r="R560"/>
      <c r="S560"/>
      <c r="T560"/>
      <c r="U560"/>
      <c r="V560"/>
      <c r="W560"/>
      <c r="X560"/>
      <c r="Y560"/>
      <c r="Z560"/>
      <c r="AA560"/>
      <c r="AB560"/>
      <c r="AC560"/>
      <c r="AD560"/>
      <c r="AE560"/>
    </row>
    <row r="561" spans="16:31" ht="12.75" customHeight="1">
      <c r="P561"/>
      <c r="Q561"/>
      <c r="R561"/>
      <c r="S561"/>
      <c r="T561"/>
      <c r="U561"/>
      <c r="V561"/>
      <c r="W561"/>
      <c r="X561"/>
      <c r="Y561"/>
      <c r="Z561"/>
      <c r="AA561"/>
      <c r="AB561"/>
      <c r="AC561"/>
      <c r="AD561"/>
      <c r="AE561"/>
    </row>
    <row r="562" spans="16:31" ht="12.75" customHeight="1">
      <c r="P562"/>
      <c r="Q562"/>
      <c r="R562"/>
      <c r="S562"/>
      <c r="T562"/>
      <c r="U562"/>
      <c r="V562"/>
      <c r="W562"/>
      <c r="X562"/>
      <c r="Y562"/>
      <c r="Z562"/>
      <c r="AA562"/>
      <c r="AB562"/>
      <c r="AC562"/>
      <c r="AD562"/>
      <c r="AE562"/>
    </row>
    <row r="563" spans="16:31" ht="12.75" customHeight="1">
      <c r="P563"/>
      <c r="Q563"/>
      <c r="R563"/>
      <c r="S563"/>
      <c r="T563"/>
      <c r="U563"/>
      <c r="V563"/>
      <c r="W563"/>
      <c r="X563"/>
      <c r="Y563"/>
      <c r="Z563"/>
      <c r="AA563"/>
      <c r="AB563"/>
      <c r="AC563"/>
      <c r="AD563"/>
      <c r="AE563"/>
    </row>
    <row r="564" spans="16:31" ht="12.75" customHeight="1">
      <c r="P564"/>
      <c r="Q564"/>
      <c r="R564"/>
      <c r="S564"/>
      <c r="T564"/>
      <c r="U564"/>
      <c r="V564"/>
      <c r="W564"/>
      <c r="X564"/>
      <c r="Y564"/>
      <c r="Z564"/>
      <c r="AA564"/>
      <c r="AB564"/>
      <c r="AC564"/>
      <c r="AD564"/>
      <c r="AE564"/>
    </row>
    <row r="565" spans="16:31" ht="12.75" customHeight="1">
      <c r="P565"/>
      <c r="Q565"/>
      <c r="R565"/>
      <c r="S565"/>
      <c r="T565"/>
      <c r="U565"/>
      <c r="V565"/>
      <c r="W565"/>
      <c r="X565"/>
      <c r="Y565"/>
      <c r="Z565"/>
      <c r="AA565"/>
      <c r="AB565"/>
      <c r="AC565"/>
      <c r="AD565"/>
      <c r="AE565"/>
    </row>
    <row r="566" spans="16:31" ht="12.75" customHeight="1">
      <c r="P566"/>
      <c r="Q566"/>
      <c r="R566"/>
      <c r="S566"/>
      <c r="T566"/>
      <c r="U566"/>
      <c r="V566"/>
      <c r="W566"/>
      <c r="X566"/>
      <c r="Y566"/>
      <c r="Z566"/>
      <c r="AA566"/>
      <c r="AB566"/>
      <c r="AC566"/>
      <c r="AD566"/>
      <c r="AE566"/>
    </row>
    <row r="567" spans="16:31" ht="12.75" customHeight="1">
      <c r="P567"/>
      <c r="Q567"/>
      <c r="R567"/>
      <c r="S567"/>
      <c r="T567"/>
      <c r="U567"/>
      <c r="V567"/>
      <c r="W567"/>
      <c r="X567"/>
      <c r="Y567"/>
      <c r="Z567"/>
      <c r="AA567"/>
      <c r="AB567"/>
      <c r="AC567"/>
      <c r="AD567"/>
      <c r="AE567"/>
    </row>
    <row r="568" spans="16:31" ht="12.75" customHeight="1">
      <c r="P568"/>
      <c r="Q568"/>
      <c r="R568"/>
      <c r="S568"/>
      <c r="T568"/>
      <c r="U568"/>
      <c r="V568"/>
      <c r="W568"/>
      <c r="X568"/>
      <c r="Y568"/>
      <c r="Z568"/>
      <c r="AA568"/>
      <c r="AB568"/>
      <c r="AC568"/>
      <c r="AD568"/>
      <c r="AE568"/>
    </row>
    <row r="569" spans="16:31" ht="12.75" customHeight="1">
      <c r="P569"/>
      <c r="Q569"/>
      <c r="R569"/>
      <c r="S569"/>
      <c r="T569"/>
      <c r="U569"/>
      <c r="V569"/>
      <c r="W569"/>
      <c r="X569"/>
      <c r="Y569"/>
      <c r="Z569"/>
      <c r="AA569"/>
      <c r="AB569"/>
      <c r="AC569"/>
      <c r="AD569"/>
      <c r="AE569"/>
    </row>
    <row r="570" spans="16:31" ht="12.75" customHeight="1">
      <c r="P570"/>
      <c r="Q570"/>
      <c r="R570"/>
      <c r="S570"/>
      <c r="T570"/>
      <c r="U570"/>
      <c r="V570"/>
      <c r="W570"/>
      <c r="X570"/>
      <c r="Y570"/>
      <c r="Z570"/>
      <c r="AA570"/>
      <c r="AB570"/>
      <c r="AC570"/>
      <c r="AD570"/>
      <c r="AE570"/>
    </row>
    <row r="571" spans="16:31" ht="12.75" customHeight="1">
      <c r="P571"/>
      <c r="Q571"/>
      <c r="R571"/>
      <c r="S571"/>
      <c r="T571"/>
      <c r="U571"/>
      <c r="V571"/>
      <c r="W571"/>
      <c r="X571"/>
      <c r="Y571"/>
      <c r="Z571"/>
      <c r="AA571"/>
      <c r="AB571"/>
      <c r="AC571"/>
      <c r="AD571"/>
      <c r="AE571"/>
    </row>
    <row r="572" spans="16:31" ht="12.75" customHeight="1">
      <c r="P572"/>
      <c r="Q572"/>
      <c r="R572"/>
      <c r="S572"/>
      <c r="T572"/>
      <c r="U572"/>
      <c r="V572"/>
      <c r="W572"/>
      <c r="X572"/>
      <c r="Y572"/>
      <c r="Z572"/>
      <c r="AA572"/>
      <c r="AB572"/>
      <c r="AC572"/>
      <c r="AD572"/>
      <c r="AE572"/>
    </row>
    <row r="573" spans="16:31" ht="12.75" customHeight="1">
      <c r="P573"/>
      <c r="Q573"/>
      <c r="R573"/>
      <c r="S573"/>
      <c r="T573"/>
      <c r="U573"/>
      <c r="V573"/>
      <c r="W573"/>
      <c r="X573"/>
      <c r="Y573"/>
      <c r="Z573"/>
      <c r="AA573"/>
      <c r="AB573"/>
      <c r="AC573"/>
      <c r="AD573"/>
      <c r="AE573"/>
    </row>
    <row r="574" spans="16:31" ht="12.75" customHeight="1">
      <c r="P574"/>
      <c r="Q574"/>
      <c r="R574"/>
      <c r="S574"/>
      <c r="T574"/>
      <c r="U574"/>
      <c r="V574"/>
      <c r="W574"/>
      <c r="X574"/>
      <c r="Y574"/>
      <c r="Z574"/>
      <c r="AA574"/>
      <c r="AB574"/>
      <c r="AC574"/>
      <c r="AD574"/>
      <c r="AE574"/>
    </row>
    <row r="575" spans="16:31" ht="12.75" customHeight="1">
      <c r="P575"/>
      <c r="Q575"/>
      <c r="R575"/>
      <c r="S575"/>
      <c r="T575"/>
      <c r="U575"/>
      <c r="V575"/>
      <c r="W575"/>
      <c r="X575"/>
      <c r="Y575"/>
      <c r="Z575"/>
      <c r="AA575"/>
      <c r="AB575"/>
      <c r="AC575"/>
      <c r="AD575"/>
      <c r="AE575"/>
    </row>
    <row r="576" spans="16:31" ht="12.75" customHeight="1">
      <c r="P576"/>
      <c r="Q576"/>
      <c r="R576"/>
      <c r="S576"/>
      <c r="T576"/>
      <c r="U576"/>
      <c r="V576"/>
      <c r="W576"/>
      <c r="X576"/>
      <c r="Y576"/>
      <c r="Z576"/>
      <c r="AA576"/>
      <c r="AB576"/>
      <c r="AC576"/>
      <c r="AD576"/>
      <c r="AE576"/>
    </row>
    <row r="577" spans="16:31" ht="12.75" customHeight="1">
      <c r="P577"/>
      <c r="Q577"/>
      <c r="R577"/>
      <c r="S577"/>
      <c r="T577"/>
      <c r="U577"/>
      <c r="V577"/>
      <c r="W577"/>
      <c r="X577"/>
      <c r="Y577"/>
      <c r="Z577"/>
      <c r="AA577"/>
      <c r="AB577"/>
      <c r="AC577"/>
      <c r="AD577"/>
      <c r="AE577"/>
    </row>
    <row r="578" spans="16:31" ht="12.75" customHeight="1">
      <c r="P578"/>
      <c r="Q578"/>
      <c r="R578"/>
      <c r="S578"/>
      <c r="T578"/>
      <c r="U578"/>
      <c r="V578"/>
      <c r="W578"/>
      <c r="X578"/>
      <c r="Y578"/>
      <c r="Z578"/>
      <c r="AA578"/>
      <c r="AB578"/>
      <c r="AC578"/>
      <c r="AD578"/>
      <c r="AE578"/>
    </row>
    <row r="579" spans="16:31" ht="12.75" customHeight="1">
      <c r="P579"/>
      <c r="Q579"/>
      <c r="R579"/>
      <c r="S579"/>
      <c r="T579"/>
      <c r="U579"/>
      <c r="V579"/>
      <c r="W579"/>
      <c r="X579"/>
      <c r="Y579"/>
      <c r="Z579"/>
      <c r="AA579"/>
      <c r="AB579"/>
      <c r="AC579"/>
      <c r="AD579"/>
      <c r="AE579"/>
    </row>
    <row r="580" spans="16:31" ht="12.75" customHeight="1">
      <c r="P580"/>
      <c r="Q580"/>
      <c r="R580"/>
      <c r="S580"/>
      <c r="T580"/>
      <c r="U580"/>
      <c r="V580"/>
      <c r="W580"/>
      <c r="X580"/>
      <c r="Y580"/>
      <c r="Z580"/>
      <c r="AA580"/>
      <c r="AB580"/>
      <c r="AC580"/>
      <c r="AD580"/>
      <c r="AE580"/>
    </row>
    <row r="581" spans="16:31" ht="12.75" customHeight="1">
      <c r="P581"/>
      <c r="Q581"/>
      <c r="R581"/>
      <c r="S581"/>
      <c r="T581"/>
      <c r="U581"/>
      <c r="V581"/>
      <c r="W581"/>
      <c r="X581"/>
      <c r="Y581"/>
      <c r="Z581"/>
      <c r="AA581"/>
      <c r="AB581"/>
      <c r="AC581"/>
      <c r="AD581"/>
      <c r="AE581"/>
    </row>
    <row r="582" spans="16:31" ht="12.75" customHeight="1">
      <c r="P582"/>
      <c r="Q582"/>
      <c r="R582"/>
      <c r="S582"/>
      <c r="T582"/>
      <c r="U582"/>
      <c r="V582"/>
      <c r="W582"/>
      <c r="X582"/>
      <c r="Y582"/>
      <c r="Z582"/>
      <c r="AA582"/>
      <c r="AB582"/>
      <c r="AC582"/>
      <c r="AD582"/>
      <c r="AE582"/>
    </row>
    <row r="583" spans="16:31" ht="12.75" customHeight="1">
      <c r="P583"/>
      <c r="Q583"/>
      <c r="R583"/>
      <c r="S583"/>
      <c r="T583"/>
      <c r="U583"/>
      <c r="V583"/>
      <c r="W583"/>
      <c r="X583"/>
      <c r="Y583"/>
      <c r="Z583"/>
      <c r="AA583"/>
      <c r="AB583"/>
      <c r="AC583"/>
      <c r="AD583"/>
      <c r="AE583"/>
    </row>
    <row r="584" spans="16:31" ht="12.75" customHeight="1">
      <c r="P584"/>
      <c r="Q584"/>
      <c r="R584"/>
      <c r="S584"/>
      <c r="T584"/>
      <c r="U584"/>
      <c r="V584"/>
      <c r="W584"/>
      <c r="X584"/>
      <c r="Y584"/>
      <c r="Z584"/>
      <c r="AA584"/>
      <c r="AB584"/>
      <c r="AC584"/>
      <c r="AD584"/>
      <c r="AE584"/>
    </row>
    <row r="585" spans="16:31" ht="12.75" customHeight="1">
      <c r="P585"/>
      <c r="Q585"/>
      <c r="R585"/>
      <c r="S585"/>
      <c r="T585"/>
      <c r="U585"/>
      <c r="V585"/>
      <c r="W585"/>
      <c r="X585"/>
      <c r="Y585"/>
      <c r="Z585"/>
      <c r="AA585"/>
      <c r="AB585"/>
      <c r="AC585"/>
      <c r="AD585"/>
      <c r="AE585"/>
    </row>
    <row r="586" spans="16:31" ht="12.75" customHeight="1">
      <c r="P586"/>
      <c r="Q586"/>
      <c r="R586"/>
      <c r="S586"/>
      <c r="T586"/>
      <c r="U586"/>
      <c r="V586"/>
      <c r="W586"/>
      <c r="X586"/>
      <c r="Y586"/>
      <c r="Z586"/>
      <c r="AA586"/>
      <c r="AB586"/>
      <c r="AC586"/>
      <c r="AD586"/>
      <c r="AE586"/>
    </row>
    <row r="587" spans="16:31" ht="12.75" customHeight="1">
      <c r="P587"/>
      <c r="Q587"/>
      <c r="R587"/>
      <c r="S587"/>
      <c r="T587"/>
      <c r="U587"/>
      <c r="V587"/>
      <c r="W587"/>
      <c r="X587"/>
      <c r="Y587"/>
      <c r="Z587"/>
      <c r="AA587"/>
      <c r="AB587"/>
      <c r="AC587"/>
      <c r="AD587"/>
      <c r="AE587"/>
    </row>
    <row r="588" spans="16:31" ht="12.75" customHeight="1">
      <c r="P588"/>
      <c r="Q588"/>
      <c r="R588"/>
      <c r="S588"/>
      <c r="T588"/>
      <c r="U588"/>
      <c r="V588"/>
      <c r="W588"/>
      <c r="X588"/>
      <c r="Y588"/>
      <c r="Z588"/>
      <c r="AA588"/>
      <c r="AB588"/>
      <c r="AC588"/>
      <c r="AD588"/>
      <c r="AE588"/>
    </row>
    <row r="589" spans="16:31" ht="12.75" customHeight="1">
      <c r="P589"/>
      <c r="Q589"/>
      <c r="R589"/>
      <c r="S589"/>
      <c r="T589"/>
      <c r="U589"/>
      <c r="V589"/>
      <c r="W589"/>
      <c r="X589"/>
      <c r="Y589"/>
      <c r="Z589"/>
      <c r="AA589"/>
      <c r="AB589"/>
      <c r="AC589"/>
      <c r="AD589"/>
      <c r="AE589"/>
    </row>
    <row r="590" spans="16:31" ht="12.75" customHeight="1">
      <c r="P590"/>
      <c r="Q590"/>
      <c r="R590"/>
      <c r="S590"/>
      <c r="T590"/>
      <c r="U590"/>
      <c r="V590"/>
      <c r="W590"/>
      <c r="X590"/>
      <c r="Y590"/>
      <c r="Z590"/>
      <c r="AA590"/>
      <c r="AB590"/>
      <c r="AC590"/>
      <c r="AD590"/>
      <c r="AE590"/>
    </row>
    <row r="591" spans="16:31" ht="12.75" customHeight="1">
      <c r="P591"/>
      <c r="Q591"/>
      <c r="R591"/>
      <c r="S591"/>
      <c r="T591"/>
      <c r="U591"/>
      <c r="V591"/>
      <c r="W591"/>
      <c r="X591"/>
      <c r="Y591"/>
      <c r="Z591"/>
      <c r="AA591"/>
      <c r="AB591"/>
      <c r="AC591"/>
      <c r="AD591"/>
      <c r="AE591"/>
    </row>
    <row r="592" spans="16:31" ht="12.75" customHeight="1">
      <c r="P592"/>
      <c r="Q592"/>
      <c r="R592"/>
      <c r="S592"/>
      <c r="T592"/>
      <c r="U592"/>
      <c r="V592"/>
      <c r="W592"/>
      <c r="X592"/>
      <c r="Y592"/>
      <c r="Z592"/>
      <c r="AA592"/>
      <c r="AB592"/>
      <c r="AC592"/>
      <c r="AD592"/>
      <c r="AE592"/>
    </row>
    <row r="593" spans="16:31" ht="12.75" customHeight="1">
      <c r="P593"/>
      <c r="Q593"/>
      <c r="R593"/>
      <c r="S593"/>
      <c r="T593"/>
      <c r="U593"/>
      <c r="V593"/>
      <c r="W593"/>
      <c r="X593"/>
      <c r="Y593"/>
      <c r="Z593"/>
      <c r="AA593"/>
      <c r="AB593"/>
      <c r="AC593"/>
      <c r="AD593"/>
      <c r="AE593"/>
    </row>
    <row r="594" spans="16:31" ht="12.75" customHeight="1">
      <c r="P594"/>
      <c r="Q594"/>
      <c r="R594"/>
      <c r="S594"/>
      <c r="T594"/>
      <c r="U594"/>
      <c r="V594"/>
      <c r="W594"/>
      <c r="X594"/>
      <c r="Y594"/>
      <c r="Z594"/>
      <c r="AA594"/>
      <c r="AB594"/>
      <c r="AC594"/>
      <c r="AD594"/>
      <c r="AE594"/>
    </row>
    <row r="595" spans="16:31" ht="12.75" customHeight="1">
      <c r="P595"/>
      <c r="Q595"/>
      <c r="R595"/>
      <c r="S595"/>
      <c r="T595"/>
      <c r="U595"/>
      <c r="V595"/>
      <c r="W595"/>
      <c r="X595"/>
      <c r="Y595"/>
      <c r="Z595"/>
      <c r="AA595"/>
      <c r="AB595"/>
      <c r="AC595"/>
      <c r="AD595"/>
      <c r="AE595"/>
    </row>
    <row r="596" spans="16:31" ht="12.75" customHeight="1">
      <c r="P596"/>
      <c r="Q596"/>
      <c r="R596"/>
      <c r="S596"/>
      <c r="T596"/>
      <c r="U596"/>
      <c r="V596"/>
      <c r="W596"/>
      <c r="X596"/>
      <c r="Y596"/>
      <c r="Z596"/>
      <c r="AA596"/>
      <c r="AB596"/>
      <c r="AC596"/>
      <c r="AD596"/>
      <c r="AE596"/>
    </row>
    <row r="597" spans="16:31" ht="12.75" customHeight="1">
      <c r="P597"/>
      <c r="Q597"/>
      <c r="R597"/>
      <c r="S597"/>
      <c r="T597"/>
      <c r="U597"/>
      <c r="V597"/>
      <c r="W597"/>
      <c r="X597"/>
      <c r="Y597"/>
      <c r="Z597"/>
      <c r="AA597"/>
      <c r="AB597"/>
      <c r="AC597"/>
      <c r="AD597"/>
      <c r="AE597"/>
    </row>
    <row r="598" spans="16:31" ht="12.75" customHeight="1">
      <c r="P598"/>
      <c r="Q598"/>
      <c r="R598"/>
      <c r="S598"/>
      <c r="T598"/>
      <c r="U598"/>
      <c r="V598"/>
      <c r="W598"/>
      <c r="X598"/>
      <c r="Y598"/>
      <c r="Z598"/>
      <c r="AA598"/>
      <c r="AB598"/>
      <c r="AC598"/>
      <c r="AD598"/>
      <c r="AE598"/>
    </row>
    <row r="599" spans="16:31" ht="12.75" customHeight="1">
      <c r="P599"/>
      <c r="Q599"/>
      <c r="R599"/>
      <c r="S599"/>
      <c r="T599"/>
      <c r="U599"/>
      <c r="V599"/>
      <c r="W599"/>
      <c r="X599"/>
      <c r="Y599"/>
      <c r="Z599"/>
      <c r="AA599"/>
      <c r="AB599"/>
      <c r="AC599"/>
      <c r="AD599"/>
      <c r="AE599"/>
    </row>
    <row r="600" spans="16:31" ht="12.75" customHeight="1">
      <c r="P600"/>
      <c r="Q600"/>
      <c r="R600"/>
      <c r="S600"/>
      <c r="T600"/>
      <c r="U600"/>
      <c r="V600"/>
      <c r="W600"/>
      <c r="X600"/>
      <c r="Y600"/>
      <c r="Z600"/>
      <c r="AA600"/>
      <c r="AB600"/>
      <c r="AC600"/>
      <c r="AD600"/>
      <c r="AE600"/>
    </row>
    <row r="601" spans="16:31" ht="12.75" customHeight="1">
      <c r="P601"/>
      <c r="Q601"/>
      <c r="R601"/>
      <c r="S601"/>
      <c r="T601"/>
      <c r="U601"/>
      <c r="V601"/>
      <c r="W601"/>
      <c r="X601"/>
      <c r="Y601"/>
      <c r="Z601"/>
      <c r="AA601"/>
      <c r="AB601"/>
      <c r="AC601"/>
      <c r="AD601"/>
      <c r="AE601"/>
    </row>
    <row r="602" spans="16:31" ht="12.75" customHeight="1">
      <c r="P602"/>
      <c r="Q602"/>
      <c r="R602"/>
      <c r="S602"/>
      <c r="T602"/>
      <c r="U602"/>
      <c r="V602"/>
      <c r="W602"/>
      <c r="X602"/>
      <c r="Y602"/>
      <c r="Z602"/>
      <c r="AA602"/>
      <c r="AB602"/>
      <c r="AC602"/>
      <c r="AD602"/>
      <c r="AE602"/>
    </row>
    <row r="603" spans="16:31" ht="12.75" customHeight="1">
      <c r="P603"/>
      <c r="Q603"/>
      <c r="R603"/>
      <c r="S603"/>
      <c r="T603"/>
      <c r="U603"/>
      <c r="V603"/>
      <c r="W603"/>
      <c r="X603"/>
      <c r="Y603"/>
      <c r="Z603"/>
      <c r="AA603"/>
      <c r="AB603"/>
      <c r="AC603"/>
      <c r="AD603"/>
      <c r="AE603"/>
    </row>
    <row r="604" spans="16:31" ht="12.75" customHeight="1">
      <c r="P604"/>
      <c r="Q604"/>
      <c r="R604"/>
      <c r="S604"/>
      <c r="T604"/>
      <c r="U604"/>
      <c r="V604"/>
      <c r="W604"/>
      <c r="X604"/>
      <c r="Y604"/>
      <c r="Z604"/>
      <c r="AA604"/>
      <c r="AB604"/>
      <c r="AC604"/>
      <c r="AD604"/>
      <c r="AE604"/>
    </row>
    <row r="605" spans="16:31" ht="12.75" customHeight="1">
      <c r="P605"/>
      <c r="Q605"/>
      <c r="R605"/>
      <c r="S605"/>
      <c r="T605"/>
      <c r="U605"/>
      <c r="V605"/>
      <c r="W605"/>
      <c r="X605"/>
      <c r="Y605"/>
      <c r="Z605"/>
      <c r="AA605"/>
      <c r="AB605"/>
      <c r="AC605"/>
      <c r="AD605"/>
      <c r="AE605"/>
    </row>
    <row r="606" spans="16:31" ht="12.75" customHeight="1">
      <c r="P606"/>
      <c r="Q606"/>
      <c r="R606"/>
      <c r="S606"/>
      <c r="T606"/>
      <c r="U606"/>
      <c r="V606"/>
      <c r="W606"/>
      <c r="X606"/>
      <c r="Y606"/>
      <c r="Z606"/>
      <c r="AA606"/>
      <c r="AB606"/>
      <c r="AC606"/>
      <c r="AD606"/>
      <c r="AE606"/>
    </row>
    <row r="607" spans="16:31" ht="12.75" customHeight="1">
      <c r="P607"/>
      <c r="Q607"/>
      <c r="R607"/>
      <c r="S607"/>
      <c r="T607"/>
      <c r="U607"/>
      <c r="V607"/>
      <c r="W607"/>
      <c r="X607"/>
      <c r="Y607"/>
      <c r="Z607"/>
      <c r="AA607"/>
      <c r="AB607"/>
      <c r="AC607"/>
      <c r="AD607"/>
      <c r="AE607"/>
    </row>
    <row r="608" spans="16:31" ht="12.75" customHeight="1">
      <c r="P608"/>
      <c r="Q608"/>
      <c r="R608"/>
      <c r="S608"/>
      <c r="T608"/>
      <c r="U608"/>
      <c r="V608"/>
      <c r="W608"/>
      <c r="X608"/>
      <c r="Y608"/>
      <c r="Z608"/>
      <c r="AA608"/>
      <c r="AB608"/>
      <c r="AC608"/>
      <c r="AD608"/>
      <c r="AE608"/>
    </row>
    <row r="609" spans="16:31" ht="12.75" customHeight="1">
      <c r="P609"/>
      <c r="Q609"/>
      <c r="R609"/>
      <c r="S609"/>
      <c r="T609"/>
      <c r="U609"/>
      <c r="V609"/>
      <c r="W609"/>
      <c r="X609"/>
      <c r="Y609"/>
      <c r="Z609"/>
      <c r="AA609"/>
      <c r="AB609"/>
      <c r="AC609"/>
      <c r="AD609"/>
      <c r="AE609"/>
    </row>
    <row r="610" spans="16:31" ht="12.75" customHeight="1">
      <c r="P610"/>
      <c r="Q610"/>
      <c r="R610"/>
      <c r="S610"/>
      <c r="T610"/>
      <c r="U610"/>
      <c r="V610"/>
      <c r="W610"/>
      <c r="X610"/>
      <c r="Y610"/>
      <c r="Z610"/>
      <c r="AA610"/>
      <c r="AB610"/>
      <c r="AC610"/>
      <c r="AD610"/>
      <c r="AE610"/>
    </row>
    <row r="611" spans="16:31" ht="12.75" customHeight="1">
      <c r="P611"/>
      <c r="Q611"/>
      <c r="R611"/>
      <c r="S611"/>
      <c r="T611"/>
      <c r="U611"/>
      <c r="V611"/>
      <c r="W611"/>
      <c r="X611"/>
      <c r="Y611"/>
      <c r="Z611"/>
      <c r="AA611"/>
      <c r="AB611"/>
      <c r="AC611"/>
      <c r="AD611"/>
      <c r="AE611"/>
    </row>
    <row r="612" spans="16:31" ht="12.75" customHeight="1">
      <c r="P612"/>
      <c r="Q612"/>
      <c r="R612"/>
      <c r="S612"/>
      <c r="T612"/>
      <c r="U612"/>
      <c r="V612"/>
      <c r="W612"/>
      <c r="X612"/>
      <c r="Y612"/>
      <c r="Z612"/>
      <c r="AA612"/>
      <c r="AB612"/>
      <c r="AC612"/>
      <c r="AD612"/>
      <c r="AE612"/>
    </row>
    <row r="613" spans="16:31" ht="12.75" customHeight="1">
      <c r="P613"/>
      <c r="Q613"/>
      <c r="R613"/>
      <c r="S613"/>
      <c r="T613"/>
      <c r="U613"/>
      <c r="V613"/>
      <c r="W613"/>
      <c r="X613"/>
      <c r="Y613"/>
      <c r="Z613"/>
      <c r="AA613"/>
      <c r="AB613"/>
      <c r="AC613"/>
      <c r="AD613"/>
      <c r="AE613"/>
    </row>
    <row r="614" spans="16:31" ht="12.75" customHeight="1">
      <c r="P614"/>
      <c r="Q614"/>
      <c r="R614"/>
      <c r="S614"/>
      <c r="T614"/>
      <c r="U614"/>
      <c r="V614"/>
      <c r="W614"/>
      <c r="X614"/>
      <c r="Y614"/>
      <c r="Z614"/>
      <c r="AA614"/>
      <c r="AB614"/>
      <c r="AC614"/>
      <c r="AD614"/>
      <c r="AE614"/>
    </row>
    <row r="615" spans="16:31" ht="12.75" customHeight="1">
      <c r="P615"/>
      <c r="Q615"/>
      <c r="R615"/>
      <c r="S615"/>
      <c r="T615"/>
      <c r="U615"/>
      <c r="V615"/>
      <c r="W615"/>
      <c r="X615"/>
      <c r="Y615"/>
      <c r="Z615"/>
      <c r="AA615"/>
      <c r="AB615"/>
      <c r="AC615"/>
      <c r="AD615"/>
      <c r="AE615"/>
    </row>
    <row r="616" spans="16:31" ht="12.75" customHeight="1">
      <c r="P616"/>
      <c r="Q616"/>
      <c r="R616"/>
      <c r="S616"/>
      <c r="T616"/>
      <c r="U616"/>
      <c r="V616"/>
      <c r="W616"/>
      <c r="X616"/>
      <c r="Y616"/>
      <c r="Z616"/>
      <c r="AA616"/>
      <c r="AB616"/>
      <c r="AC616"/>
      <c r="AD616"/>
      <c r="AE616"/>
    </row>
    <row r="617" spans="16:31" ht="12.75" customHeight="1">
      <c r="P617"/>
      <c r="Q617"/>
      <c r="R617"/>
      <c r="S617"/>
      <c r="T617"/>
      <c r="U617"/>
      <c r="V617"/>
      <c r="W617"/>
      <c r="X617"/>
      <c r="Y617"/>
      <c r="Z617"/>
      <c r="AA617"/>
      <c r="AB617"/>
      <c r="AC617"/>
      <c r="AD617"/>
      <c r="AE617"/>
    </row>
    <row r="618" spans="16:31" ht="12.75" customHeight="1">
      <c r="P618"/>
      <c r="Q618"/>
      <c r="R618"/>
      <c r="S618"/>
      <c r="T618"/>
      <c r="U618"/>
      <c r="V618"/>
      <c r="W618"/>
      <c r="X618"/>
      <c r="Y618"/>
      <c r="Z618"/>
      <c r="AA618"/>
      <c r="AB618"/>
      <c r="AC618"/>
      <c r="AD618"/>
      <c r="AE618"/>
    </row>
    <row r="619" spans="16:31" ht="12.75" customHeight="1">
      <c r="P619"/>
      <c r="Q619"/>
      <c r="R619"/>
      <c r="S619"/>
      <c r="T619"/>
      <c r="U619"/>
      <c r="V619"/>
      <c r="W619"/>
      <c r="X619"/>
      <c r="Y619"/>
      <c r="Z619"/>
      <c r="AA619"/>
      <c r="AB619"/>
      <c r="AC619"/>
      <c r="AD619"/>
      <c r="AE619"/>
    </row>
    <row r="620" spans="16:31" ht="12.75" customHeight="1">
      <c r="P620"/>
      <c r="Q620"/>
      <c r="R620"/>
      <c r="S620"/>
      <c r="T620"/>
      <c r="U620"/>
      <c r="V620"/>
      <c r="W620"/>
      <c r="X620"/>
      <c r="Y620"/>
      <c r="Z620"/>
      <c r="AA620"/>
      <c r="AB620"/>
      <c r="AC620"/>
      <c r="AD620"/>
      <c r="AE620"/>
    </row>
    <row r="621" spans="16:31" ht="12.75" customHeight="1">
      <c r="P621"/>
      <c r="Q621"/>
      <c r="R621"/>
      <c r="S621"/>
      <c r="T621"/>
      <c r="U621"/>
      <c r="V621"/>
      <c r="W621"/>
      <c r="X621"/>
      <c r="Y621"/>
      <c r="Z621"/>
      <c r="AA621"/>
      <c r="AB621"/>
      <c r="AC621"/>
      <c r="AD621"/>
      <c r="AE621"/>
    </row>
    <row r="622" spans="16:31" ht="12.75" customHeight="1">
      <c r="P622"/>
      <c r="Q622"/>
      <c r="R622"/>
      <c r="S622"/>
      <c r="T622"/>
      <c r="U622"/>
      <c r="V622"/>
      <c r="W622"/>
      <c r="X622"/>
      <c r="Y622"/>
      <c r="Z622"/>
      <c r="AA622"/>
      <c r="AB622"/>
      <c r="AC622"/>
      <c r="AD622"/>
      <c r="AE622"/>
    </row>
    <row r="623" spans="16:31" ht="12.75" customHeight="1">
      <c r="P623"/>
      <c r="Q623"/>
      <c r="R623"/>
      <c r="S623"/>
      <c r="T623"/>
      <c r="U623"/>
      <c r="V623"/>
      <c r="W623"/>
      <c r="X623"/>
      <c r="Y623"/>
      <c r="Z623"/>
      <c r="AA623"/>
      <c r="AB623"/>
      <c r="AC623"/>
      <c r="AD623"/>
      <c r="AE623"/>
    </row>
    <row r="624" spans="16:31" ht="12.75" customHeight="1">
      <c r="P624"/>
      <c r="Q624"/>
      <c r="R624"/>
      <c r="S624"/>
      <c r="T624"/>
      <c r="U624"/>
      <c r="V624"/>
      <c r="W624"/>
      <c r="X624"/>
      <c r="Y624"/>
      <c r="Z624"/>
      <c r="AA624"/>
      <c r="AB624"/>
      <c r="AC624"/>
      <c r="AD624"/>
      <c r="AE624"/>
    </row>
    <row r="625" spans="16:31" ht="12.75" customHeight="1">
      <c r="P625"/>
      <c r="Q625"/>
      <c r="R625"/>
      <c r="S625"/>
      <c r="T625"/>
      <c r="U625"/>
      <c r="V625"/>
      <c r="W625"/>
      <c r="X625"/>
      <c r="Y625"/>
      <c r="Z625"/>
      <c r="AA625"/>
      <c r="AB625"/>
      <c r="AC625"/>
      <c r="AD625"/>
      <c r="AE625"/>
    </row>
    <row r="626" spans="16:31" ht="12.75" customHeight="1">
      <c r="P626"/>
      <c r="Q626"/>
      <c r="R626"/>
      <c r="S626"/>
      <c r="T626"/>
      <c r="U626"/>
      <c r="V626"/>
      <c r="W626"/>
      <c r="X626"/>
      <c r="Y626"/>
      <c r="Z626"/>
      <c r="AA626"/>
      <c r="AB626"/>
      <c r="AC626"/>
      <c r="AD626"/>
      <c r="AE626"/>
    </row>
    <row r="627" spans="16:31" ht="12.75" customHeight="1">
      <c r="P627"/>
      <c r="Q627"/>
      <c r="R627"/>
      <c r="S627"/>
      <c r="T627"/>
      <c r="U627"/>
      <c r="V627"/>
      <c r="W627"/>
      <c r="X627"/>
      <c r="Y627"/>
      <c r="Z627"/>
      <c r="AA627"/>
      <c r="AB627"/>
      <c r="AC627"/>
      <c r="AD627"/>
      <c r="AE627"/>
    </row>
    <row r="628" spans="16:31" ht="12.75" customHeight="1">
      <c r="P628"/>
      <c r="Q628"/>
      <c r="R628"/>
      <c r="S628"/>
      <c r="T628"/>
      <c r="U628"/>
      <c r="V628"/>
      <c r="W628"/>
      <c r="X628"/>
      <c r="Y628"/>
      <c r="Z628"/>
      <c r="AA628"/>
      <c r="AB628"/>
      <c r="AC628"/>
      <c r="AD628"/>
      <c r="AE628"/>
    </row>
    <row r="629" spans="16:31" ht="12.75" customHeight="1">
      <c r="P629"/>
      <c r="Q629"/>
      <c r="R629"/>
      <c r="S629"/>
      <c r="T629"/>
      <c r="U629"/>
      <c r="V629"/>
      <c r="W629"/>
      <c r="X629"/>
      <c r="Y629"/>
      <c r="Z629"/>
      <c r="AA629"/>
      <c r="AB629"/>
      <c r="AC629"/>
      <c r="AD629"/>
      <c r="AE629"/>
    </row>
    <row r="630" spans="16:31" ht="12.75" customHeight="1">
      <c r="P630"/>
      <c r="Q630"/>
      <c r="R630"/>
      <c r="S630"/>
      <c r="T630"/>
      <c r="U630"/>
      <c r="V630"/>
      <c r="W630"/>
      <c r="X630"/>
      <c r="Y630"/>
      <c r="Z630"/>
      <c r="AA630"/>
      <c r="AB630"/>
      <c r="AC630"/>
      <c r="AD630"/>
      <c r="AE630"/>
    </row>
    <row r="631" spans="16:31" ht="12.75" customHeight="1">
      <c r="P631"/>
      <c r="Q631"/>
      <c r="R631"/>
      <c r="S631"/>
      <c r="T631"/>
      <c r="U631"/>
      <c r="V631"/>
      <c r="W631"/>
      <c r="X631"/>
      <c r="Y631"/>
      <c r="Z631"/>
      <c r="AA631"/>
      <c r="AB631"/>
      <c r="AC631"/>
      <c r="AD631"/>
      <c r="AE631"/>
    </row>
    <row r="632" spans="16:31" ht="12.75" customHeight="1">
      <c r="P632" s="23"/>
      <c r="Q632" s="1"/>
      <c r="R632" s="1"/>
      <c r="S632" s="1"/>
      <c r="T632" s="1"/>
      <c r="U632" s="1"/>
      <c r="V632" s="1"/>
      <c r="W632" s="1"/>
      <c r="X632" s="1"/>
      <c r="Y632" s="1"/>
    </row>
    <row r="633" spans="16:31">
      <c r="P633" s="23"/>
      <c r="Q633" s="1"/>
      <c r="R633" s="1"/>
      <c r="S633" s="1"/>
      <c r="T633" s="1"/>
      <c r="U633" s="1"/>
      <c r="V633" s="1"/>
      <c r="W633" s="1"/>
      <c r="X633" s="1"/>
      <c r="Y633" s="1"/>
    </row>
    <row r="634" spans="16:31">
      <c r="P634" s="23"/>
      <c r="Q634" s="1"/>
      <c r="R634" s="1"/>
      <c r="S634" s="1"/>
      <c r="T634" s="1"/>
      <c r="U634" s="1"/>
      <c r="V634" s="1"/>
      <c r="W634" s="1"/>
      <c r="X634" s="1"/>
      <c r="Y634" s="1"/>
    </row>
    <row r="635" spans="16:31">
      <c r="P635" s="23"/>
      <c r="Q635" s="1"/>
      <c r="R635" s="1"/>
      <c r="S635" s="1"/>
      <c r="T635" s="1"/>
      <c r="U635" s="1"/>
      <c r="V635" s="1"/>
      <c r="W635" s="1"/>
      <c r="X635" s="1"/>
      <c r="Y635" s="1"/>
    </row>
    <row r="636" spans="16:31">
      <c r="P636" s="23"/>
      <c r="Q636" s="1"/>
      <c r="R636" s="1"/>
      <c r="S636" s="1"/>
      <c r="T636" s="1"/>
      <c r="U636" s="1"/>
      <c r="V636" s="1"/>
      <c r="W636" s="1"/>
      <c r="X636" s="1"/>
      <c r="Y636" s="1"/>
    </row>
    <row r="637" spans="16:31">
      <c r="P637" s="23"/>
      <c r="Q637" s="1"/>
      <c r="R637" s="1"/>
      <c r="S637" s="1"/>
      <c r="T637" s="1"/>
      <c r="U637" s="1"/>
      <c r="V637" s="1"/>
      <c r="W637" s="1"/>
      <c r="X637" s="1"/>
      <c r="Y637" s="1"/>
    </row>
    <row r="638" spans="16:31">
      <c r="P638" s="23"/>
      <c r="Q638" s="1"/>
      <c r="R638" s="1"/>
      <c r="S638" s="1"/>
      <c r="T638" s="1"/>
      <c r="U638" s="1"/>
      <c r="V638" s="1"/>
      <c r="W638" s="1"/>
      <c r="X638" s="1"/>
      <c r="Y638" s="1"/>
    </row>
    <row r="639" spans="16:31">
      <c r="P639" s="23"/>
      <c r="Q639" s="1"/>
      <c r="R639" s="1"/>
      <c r="S639" s="1"/>
      <c r="T639" s="1"/>
      <c r="U639" s="1"/>
      <c r="V639" s="1"/>
      <c r="W639" s="1"/>
      <c r="X639" s="1"/>
      <c r="Y639" s="1"/>
    </row>
    <row r="640" spans="16:31">
      <c r="P640" s="23"/>
      <c r="Q640" s="1"/>
      <c r="R640" s="1"/>
      <c r="S640" s="1"/>
      <c r="T640" s="1"/>
      <c r="U640" s="1"/>
      <c r="V640" s="1"/>
      <c r="W640" s="1"/>
      <c r="X640" s="1"/>
      <c r="Y640" s="1"/>
    </row>
    <row r="641" spans="16:25">
      <c r="P641" s="23"/>
      <c r="Q641" s="1"/>
      <c r="R641" s="1"/>
      <c r="S641" s="1"/>
      <c r="T641" s="1"/>
      <c r="U641" s="1"/>
      <c r="V641" s="1"/>
      <c r="W641" s="1"/>
      <c r="X641" s="1"/>
      <c r="Y641" s="1"/>
    </row>
    <row r="642" spans="16:25">
      <c r="P642" s="23"/>
      <c r="Q642" s="1"/>
      <c r="R642" s="1"/>
      <c r="S642" s="1"/>
      <c r="T642" s="1"/>
      <c r="U642" s="1"/>
      <c r="V642" s="1"/>
      <c r="W642" s="1"/>
      <c r="X642" s="1"/>
      <c r="Y642" s="1"/>
    </row>
    <row r="643" spans="16:25">
      <c r="P643" s="23"/>
      <c r="Q643" s="1"/>
      <c r="R643" s="1"/>
      <c r="S643" s="1"/>
      <c r="T643" s="1"/>
      <c r="U643" s="1"/>
      <c r="V643" s="1"/>
      <c r="W643" s="1"/>
      <c r="X643" s="1"/>
      <c r="Y643" s="1"/>
    </row>
    <row r="644" spans="16:25">
      <c r="P644" s="23"/>
      <c r="Q644" s="1"/>
      <c r="R644" s="1"/>
      <c r="S644" s="1"/>
      <c r="T644" s="1"/>
      <c r="U644" s="1"/>
      <c r="V644" s="1"/>
      <c r="W644" s="1"/>
      <c r="X644" s="1"/>
      <c r="Y644" s="1"/>
    </row>
    <row r="645" spans="16:25">
      <c r="P645" s="23"/>
      <c r="Q645" s="1"/>
      <c r="R645" s="1"/>
      <c r="S645" s="1"/>
      <c r="T645" s="1"/>
      <c r="U645" s="1"/>
      <c r="V645" s="1"/>
      <c r="W645" s="1"/>
      <c r="X645" s="1"/>
      <c r="Y645" s="1"/>
    </row>
    <row r="646" spans="16:25">
      <c r="P646" s="23"/>
      <c r="Q646" s="1"/>
      <c r="R646" s="1"/>
      <c r="S646" s="1"/>
      <c r="T646" s="1"/>
      <c r="U646" s="1"/>
      <c r="V646" s="1"/>
      <c r="W646" s="1"/>
      <c r="X646" s="1"/>
      <c r="Y646" s="1"/>
    </row>
    <row r="647" spans="16:25">
      <c r="P647" s="23"/>
      <c r="Q647" s="1"/>
      <c r="R647" s="1"/>
      <c r="S647" s="1"/>
      <c r="T647" s="1"/>
      <c r="U647" s="1"/>
      <c r="V647" s="1"/>
      <c r="W647" s="1"/>
      <c r="X647" s="1"/>
      <c r="Y647" s="1"/>
    </row>
    <row r="648" spans="16:25">
      <c r="P648" s="23"/>
      <c r="Q648" s="1"/>
      <c r="R648" s="1"/>
      <c r="S648" s="1"/>
      <c r="T648" s="1"/>
      <c r="U648" s="1"/>
      <c r="V648" s="1"/>
      <c r="W648" s="1"/>
      <c r="X648" s="1"/>
      <c r="Y648" s="1"/>
    </row>
    <row r="649" spans="16:25">
      <c r="P649" s="23"/>
      <c r="Q649" s="1"/>
      <c r="R649" s="1"/>
      <c r="S649" s="1"/>
      <c r="T649" s="1"/>
      <c r="U649" s="1"/>
      <c r="V649" s="1"/>
      <c r="W649" s="1"/>
      <c r="X649" s="1"/>
      <c r="Y649" s="1"/>
    </row>
    <row r="650" spans="16:25">
      <c r="P650" s="23"/>
      <c r="Q650" s="1"/>
      <c r="R650" s="1"/>
      <c r="S650" s="1"/>
      <c r="T650" s="1"/>
      <c r="U650" s="1"/>
      <c r="V650" s="1"/>
      <c r="W650" s="1"/>
      <c r="X650" s="1"/>
      <c r="Y650" s="1"/>
    </row>
    <row r="651" spans="16:25">
      <c r="P651" s="23"/>
      <c r="Q651" s="1"/>
      <c r="R651" s="1"/>
      <c r="S651" s="1"/>
      <c r="T651" s="1"/>
      <c r="U651" s="1"/>
      <c r="V651" s="1"/>
      <c r="W651" s="1"/>
      <c r="X651" s="1"/>
      <c r="Y651" s="1"/>
    </row>
    <row r="652" spans="16:25">
      <c r="P652" s="23"/>
      <c r="Q652" s="1"/>
      <c r="R652" s="1"/>
      <c r="S652" s="1"/>
      <c r="T652" s="1"/>
      <c r="U652" s="1"/>
      <c r="V652" s="1"/>
      <c r="W652" s="1"/>
      <c r="X652" s="1"/>
      <c r="Y652" s="1"/>
    </row>
    <row r="653" spans="16:25">
      <c r="P653" s="23"/>
      <c r="Q653" s="1"/>
      <c r="R653" s="1"/>
      <c r="S653" s="1"/>
      <c r="T653" s="1"/>
      <c r="U653" s="1"/>
      <c r="V653" s="1"/>
      <c r="W653" s="1"/>
      <c r="X653" s="1"/>
      <c r="Y653" s="1"/>
    </row>
    <row r="654" spans="16:25">
      <c r="P654" s="23"/>
      <c r="Q654" s="1"/>
      <c r="R654" s="1"/>
      <c r="S654" s="1"/>
      <c r="T654" s="1"/>
      <c r="U654" s="1"/>
      <c r="V654" s="1"/>
      <c r="W654" s="1"/>
      <c r="X654" s="1"/>
      <c r="Y654" s="1"/>
    </row>
    <row r="655" spans="16:25">
      <c r="P655" s="23"/>
      <c r="Q655" s="1"/>
      <c r="R655" s="1"/>
      <c r="S655" s="1"/>
      <c r="T655" s="1"/>
      <c r="U655" s="1"/>
      <c r="V655" s="1"/>
      <c r="W655" s="1"/>
      <c r="X655" s="1"/>
      <c r="Y655" s="1"/>
    </row>
    <row r="656" spans="16:25">
      <c r="P656" s="23"/>
      <c r="Q656" s="1"/>
      <c r="R656" s="1"/>
      <c r="S656" s="1"/>
      <c r="T656" s="1"/>
      <c r="U656" s="1"/>
      <c r="V656" s="1"/>
      <c r="W656" s="1"/>
      <c r="X656" s="1"/>
      <c r="Y656" s="1"/>
    </row>
    <row r="657" spans="16:25">
      <c r="P657" s="23"/>
      <c r="Q657" s="1"/>
      <c r="R657" s="1"/>
      <c r="S657" s="1"/>
      <c r="T657" s="1"/>
      <c r="U657" s="1"/>
      <c r="V657" s="1"/>
      <c r="W657" s="1"/>
      <c r="X657" s="1"/>
      <c r="Y657" s="1"/>
    </row>
    <row r="658" spans="16:25">
      <c r="P658" s="23"/>
      <c r="Q658" s="1"/>
      <c r="R658" s="1"/>
      <c r="S658" s="1"/>
      <c r="T658" s="1"/>
      <c r="U658" s="1"/>
      <c r="V658" s="1"/>
      <c r="W658" s="1"/>
      <c r="X658" s="1"/>
      <c r="Y658" s="1"/>
    </row>
    <row r="659" spans="16:25">
      <c r="P659" s="23"/>
      <c r="Q659" s="1"/>
      <c r="R659" s="1"/>
      <c r="S659" s="1"/>
      <c r="T659" s="1"/>
      <c r="U659" s="1"/>
      <c r="V659" s="1"/>
      <c r="W659" s="1"/>
      <c r="X659" s="1"/>
      <c r="Y659" s="1"/>
    </row>
    <row r="660" spans="16:25">
      <c r="P660" s="23"/>
      <c r="Q660" s="1"/>
      <c r="R660" s="1"/>
      <c r="S660" s="1"/>
      <c r="T660" s="1"/>
      <c r="U660" s="1"/>
      <c r="V660" s="1"/>
      <c r="W660" s="1"/>
      <c r="X660" s="1"/>
      <c r="Y660" s="1"/>
    </row>
    <row r="661" spans="16:25">
      <c r="P661" s="23"/>
      <c r="Q661" s="1"/>
      <c r="R661" s="1"/>
      <c r="S661" s="1"/>
      <c r="T661" s="1"/>
      <c r="U661" s="1"/>
      <c r="V661" s="1"/>
      <c r="W661" s="1"/>
      <c r="X661" s="1"/>
      <c r="Y661" s="1"/>
    </row>
    <row r="662" spans="16:25">
      <c r="P662" s="23"/>
      <c r="Q662" s="1"/>
      <c r="R662" s="1"/>
      <c r="S662" s="1"/>
      <c r="T662" s="1"/>
      <c r="U662" s="1"/>
      <c r="V662" s="1"/>
      <c r="W662" s="1"/>
      <c r="X662" s="1"/>
      <c r="Y662" s="1"/>
    </row>
    <row r="663" spans="16:25">
      <c r="P663" s="23"/>
      <c r="Q663" s="1"/>
      <c r="R663" s="1"/>
      <c r="S663" s="1"/>
      <c r="T663" s="1"/>
      <c r="U663" s="1"/>
      <c r="V663" s="1"/>
      <c r="W663" s="1"/>
      <c r="X663" s="1"/>
      <c r="Y663" s="1"/>
    </row>
    <row r="664" spans="16:25">
      <c r="P664" s="23"/>
      <c r="Q664" s="1"/>
      <c r="R664" s="1"/>
      <c r="S664" s="1"/>
      <c r="T664" s="1"/>
      <c r="U664" s="1"/>
      <c r="V664" s="1"/>
      <c r="W664" s="1"/>
      <c r="X664" s="1"/>
      <c r="Y664" s="1"/>
    </row>
    <row r="665" spans="16:25">
      <c r="P665" s="23"/>
      <c r="Q665" s="1"/>
      <c r="R665" s="1"/>
      <c r="S665" s="1"/>
      <c r="T665" s="1"/>
      <c r="U665" s="1"/>
      <c r="V665" s="1"/>
      <c r="W665" s="1"/>
      <c r="X665" s="1"/>
      <c r="Y665" s="1"/>
    </row>
    <row r="666" spans="16:25">
      <c r="P666" s="23"/>
      <c r="Q666" s="1"/>
      <c r="R666" s="1"/>
      <c r="S666" s="1"/>
      <c r="T666" s="1"/>
      <c r="U666" s="1"/>
      <c r="V666" s="1"/>
      <c r="W666" s="1"/>
      <c r="X666" s="1"/>
      <c r="Y666" s="1"/>
    </row>
    <row r="667" spans="16:25">
      <c r="P667" s="23"/>
      <c r="Q667" s="1"/>
      <c r="R667" s="1"/>
      <c r="S667" s="1"/>
      <c r="T667" s="1"/>
      <c r="U667" s="1"/>
      <c r="V667" s="1"/>
      <c r="W667" s="1"/>
      <c r="X667" s="1"/>
      <c r="Y667" s="1"/>
    </row>
    <row r="668" spans="16:25">
      <c r="P668" s="23"/>
      <c r="Q668" s="1"/>
      <c r="R668" s="1"/>
      <c r="S668" s="1"/>
      <c r="T668" s="1"/>
      <c r="U668" s="1"/>
      <c r="V668" s="1"/>
      <c r="W668" s="1"/>
      <c r="X668" s="1"/>
      <c r="Y668" s="1"/>
    </row>
    <row r="669" spans="16:25">
      <c r="P669" s="23"/>
      <c r="Q669" s="1"/>
      <c r="R669" s="1"/>
      <c r="S669" s="1"/>
      <c r="T669" s="1"/>
      <c r="U669" s="1"/>
      <c r="V669" s="1"/>
      <c r="W669" s="1"/>
      <c r="X669" s="1"/>
      <c r="Y669" s="1"/>
    </row>
    <row r="670" spans="16:25">
      <c r="P670" s="23"/>
      <c r="Q670" s="1"/>
      <c r="R670" s="1"/>
      <c r="S670" s="1"/>
      <c r="T670" s="1"/>
      <c r="U670" s="1"/>
      <c r="V670" s="1"/>
      <c r="W670" s="1"/>
      <c r="X670" s="1"/>
      <c r="Y670" s="1"/>
    </row>
    <row r="671" spans="16:25">
      <c r="P671" s="23"/>
      <c r="Q671" s="1"/>
      <c r="R671" s="1"/>
      <c r="S671" s="1"/>
      <c r="T671" s="1"/>
      <c r="U671" s="1"/>
      <c r="V671" s="1"/>
      <c r="W671" s="1"/>
      <c r="X671" s="1"/>
      <c r="Y671" s="1"/>
    </row>
    <row r="672" spans="16:25">
      <c r="P672" s="23"/>
      <c r="Q672" s="1"/>
      <c r="R672" s="1"/>
      <c r="S672" s="1"/>
      <c r="T672" s="1"/>
      <c r="U672" s="1"/>
      <c r="V672" s="1"/>
      <c r="W672" s="1"/>
      <c r="X672" s="1"/>
      <c r="Y672" s="1"/>
    </row>
    <row r="673" spans="16:25">
      <c r="P673" s="23"/>
      <c r="Q673" s="1"/>
      <c r="R673" s="1"/>
      <c r="S673" s="1"/>
      <c r="T673" s="1"/>
      <c r="U673" s="1"/>
      <c r="V673" s="1"/>
      <c r="W673" s="1"/>
      <c r="X673" s="1"/>
      <c r="Y673" s="1"/>
    </row>
    <row r="674" spans="16:25">
      <c r="P674" s="23"/>
      <c r="Q674" s="1"/>
      <c r="R674" s="1"/>
      <c r="S674" s="1"/>
      <c r="T674" s="1"/>
      <c r="U674" s="1"/>
      <c r="V674" s="1"/>
      <c r="W674" s="1"/>
      <c r="X674" s="1"/>
      <c r="Y674" s="1"/>
    </row>
    <row r="675" spans="16:25">
      <c r="P675" s="23"/>
      <c r="Q675" s="1"/>
      <c r="R675" s="1"/>
      <c r="S675" s="1"/>
      <c r="T675" s="1"/>
      <c r="U675" s="1"/>
      <c r="V675" s="1"/>
      <c r="W675" s="1"/>
      <c r="X675" s="1"/>
      <c r="Y675" s="1"/>
    </row>
    <row r="676" spans="16:25">
      <c r="P676" s="23"/>
      <c r="Q676" s="1"/>
      <c r="R676" s="1"/>
      <c r="S676" s="1"/>
      <c r="T676" s="1"/>
      <c r="U676" s="1"/>
      <c r="V676" s="1"/>
      <c r="W676" s="1"/>
      <c r="X676" s="1"/>
      <c r="Y676" s="1"/>
    </row>
    <row r="677" spans="16:25">
      <c r="P677" s="23"/>
      <c r="Q677" s="1"/>
      <c r="R677" s="1"/>
      <c r="S677" s="1"/>
      <c r="T677" s="1"/>
      <c r="U677" s="1"/>
      <c r="V677" s="1"/>
      <c r="W677" s="1"/>
      <c r="X677" s="1"/>
      <c r="Y677" s="1"/>
    </row>
    <row r="678" spans="16:25">
      <c r="P678" s="23"/>
      <c r="Q678" s="1"/>
      <c r="R678" s="1"/>
      <c r="S678" s="1"/>
      <c r="T678" s="1"/>
      <c r="U678" s="1"/>
      <c r="V678" s="1"/>
      <c r="W678" s="1"/>
      <c r="X678" s="1"/>
      <c r="Y678" s="1"/>
    </row>
    <row r="679" spans="16:25">
      <c r="P679" s="23"/>
      <c r="Q679" s="1"/>
      <c r="R679" s="1"/>
      <c r="S679" s="1"/>
      <c r="T679" s="1"/>
      <c r="U679" s="1"/>
      <c r="V679" s="1"/>
      <c r="W679" s="1"/>
      <c r="X679" s="1"/>
      <c r="Y679" s="1"/>
    </row>
    <row r="680" spans="16:25">
      <c r="P680" s="23"/>
      <c r="Q680" s="1"/>
      <c r="R680" s="1"/>
      <c r="S680" s="1"/>
      <c r="T680" s="1"/>
      <c r="U680" s="1"/>
      <c r="V680" s="1"/>
      <c r="W680" s="1"/>
      <c r="X680" s="1"/>
      <c r="Y680" s="1"/>
    </row>
    <row r="681" spans="16:25">
      <c r="P681" s="23"/>
      <c r="Q681" s="1"/>
      <c r="R681" s="1"/>
      <c r="S681" s="1"/>
      <c r="T681" s="1"/>
      <c r="U681" s="1"/>
      <c r="V681" s="1"/>
      <c r="W681" s="1"/>
      <c r="X681" s="1"/>
      <c r="Y681" s="1"/>
    </row>
    <row r="682" spans="16:25">
      <c r="P682" s="23"/>
      <c r="Q682" s="1"/>
      <c r="R682" s="1"/>
      <c r="S682" s="1"/>
      <c r="T682" s="1"/>
      <c r="U682" s="1"/>
      <c r="V682" s="1"/>
      <c r="W682" s="1"/>
      <c r="X682" s="1"/>
      <c r="Y682" s="1"/>
    </row>
    <row r="683" spans="16:25">
      <c r="P683" s="23"/>
      <c r="Q683" s="1"/>
      <c r="R683" s="1"/>
      <c r="S683" s="1"/>
      <c r="T683" s="1"/>
      <c r="U683" s="1"/>
      <c r="V683" s="1"/>
      <c r="W683" s="1"/>
      <c r="X683" s="1"/>
      <c r="Y683" s="1"/>
    </row>
    <row r="684" spans="16:25">
      <c r="P684" s="23"/>
      <c r="Q684" s="1"/>
      <c r="R684" s="1"/>
      <c r="S684" s="1"/>
      <c r="T684" s="1"/>
      <c r="U684" s="1"/>
      <c r="V684" s="1"/>
      <c r="W684" s="1"/>
      <c r="X684" s="1"/>
      <c r="Y684" s="1"/>
    </row>
    <row r="685" spans="16:25">
      <c r="P685" s="23"/>
      <c r="Q685" s="1"/>
      <c r="R685" s="1"/>
      <c r="S685" s="1"/>
      <c r="T685" s="1"/>
      <c r="U685" s="1"/>
      <c r="V685" s="1"/>
      <c r="W685" s="1"/>
      <c r="X685" s="1"/>
      <c r="Y685" s="1"/>
    </row>
    <row r="686" spans="16:25">
      <c r="P686" s="23"/>
      <c r="Q686" s="1"/>
      <c r="R686" s="1"/>
      <c r="S686" s="1"/>
      <c r="T686" s="1"/>
      <c r="U686" s="1"/>
      <c r="V686" s="1"/>
      <c r="W686" s="1"/>
      <c r="X686" s="1"/>
      <c r="Y686" s="1"/>
    </row>
    <row r="687" spans="16:25">
      <c r="P687" s="23"/>
      <c r="Q687" s="1"/>
      <c r="R687" s="1"/>
      <c r="S687" s="1"/>
      <c r="T687" s="1"/>
      <c r="U687" s="1"/>
      <c r="V687" s="1"/>
      <c r="W687" s="1"/>
      <c r="X687" s="1"/>
      <c r="Y687" s="1"/>
    </row>
    <row r="688" spans="16:25">
      <c r="P688" s="23"/>
      <c r="Q688" s="1"/>
      <c r="R688" s="1"/>
      <c r="S688" s="1"/>
      <c r="T688" s="1"/>
      <c r="U688" s="1"/>
      <c r="V688" s="1"/>
      <c r="W688" s="1"/>
      <c r="X688" s="1"/>
      <c r="Y688" s="1"/>
    </row>
    <row r="689" spans="16:25">
      <c r="P689" s="23"/>
      <c r="Q689" s="1"/>
      <c r="R689" s="1"/>
      <c r="S689" s="1"/>
      <c r="T689" s="1"/>
      <c r="U689" s="1"/>
      <c r="V689" s="1"/>
      <c r="W689" s="1"/>
      <c r="X689" s="1"/>
      <c r="Y689" s="1"/>
    </row>
    <row r="690" spans="16:25">
      <c r="P690" s="23"/>
      <c r="Q690" s="1"/>
      <c r="R690" s="1"/>
      <c r="S690" s="1"/>
      <c r="T690" s="1"/>
      <c r="U690" s="1"/>
      <c r="V690" s="1"/>
      <c r="W690" s="1"/>
      <c r="X690" s="1"/>
      <c r="Y690" s="1"/>
    </row>
    <row r="691" spans="16:25">
      <c r="P691" s="23"/>
      <c r="Q691" s="1"/>
      <c r="R691" s="1"/>
      <c r="S691" s="1"/>
      <c r="T691" s="1"/>
      <c r="U691" s="1"/>
      <c r="V691" s="1"/>
      <c r="W691" s="1"/>
      <c r="X691" s="1"/>
      <c r="Y691" s="1"/>
    </row>
    <row r="692" spans="16:25">
      <c r="P692" s="23"/>
      <c r="Q692" s="1"/>
      <c r="R692" s="1"/>
      <c r="S692" s="1"/>
      <c r="T692" s="1"/>
      <c r="U692" s="1"/>
      <c r="V692" s="1"/>
      <c r="W692" s="1"/>
      <c r="X692" s="1"/>
      <c r="Y692" s="1"/>
    </row>
    <row r="693" spans="16:25">
      <c r="P693" s="23"/>
      <c r="Q693" s="1"/>
      <c r="R693" s="1"/>
      <c r="S693" s="1"/>
      <c r="T693" s="1"/>
      <c r="U693" s="1"/>
      <c r="V693" s="1"/>
      <c r="W693" s="1"/>
      <c r="X693" s="1"/>
      <c r="Y693" s="1"/>
    </row>
    <row r="694" spans="16:25">
      <c r="P694" s="23"/>
      <c r="Q694" s="1"/>
      <c r="R694" s="1"/>
      <c r="S694" s="1"/>
      <c r="T694" s="1"/>
      <c r="U694" s="1"/>
      <c r="V694" s="1"/>
      <c r="W694" s="1"/>
      <c r="X694" s="1"/>
      <c r="Y694" s="1"/>
    </row>
    <row r="695" spans="16:25">
      <c r="P695" s="23"/>
      <c r="Q695" s="1"/>
      <c r="R695" s="1"/>
      <c r="S695" s="1"/>
      <c r="T695" s="1"/>
      <c r="U695" s="1"/>
      <c r="V695" s="1"/>
      <c r="W695" s="1"/>
      <c r="X695" s="1"/>
      <c r="Y695" s="1"/>
    </row>
    <row r="696" spans="16:25">
      <c r="P696" s="23"/>
      <c r="Q696" s="1"/>
      <c r="R696" s="1"/>
      <c r="S696" s="1"/>
      <c r="T696" s="1"/>
      <c r="U696" s="1"/>
      <c r="V696" s="1"/>
      <c r="W696" s="1"/>
      <c r="X696" s="1"/>
      <c r="Y696" s="1"/>
    </row>
    <row r="697" spans="16:25">
      <c r="P697" s="23"/>
      <c r="Q697" s="1"/>
      <c r="R697" s="1"/>
      <c r="S697" s="1"/>
      <c r="T697" s="1"/>
      <c r="U697" s="1"/>
      <c r="V697" s="1"/>
      <c r="W697" s="1"/>
      <c r="X697" s="1"/>
      <c r="Y697" s="1"/>
    </row>
    <row r="698" spans="16:25">
      <c r="P698" s="23"/>
      <c r="Q698" s="1"/>
      <c r="R698" s="1"/>
      <c r="S698" s="1"/>
      <c r="T698" s="1"/>
      <c r="U698" s="1"/>
      <c r="V698" s="1"/>
      <c r="W698" s="1"/>
      <c r="X698" s="1"/>
      <c r="Y698" s="1"/>
    </row>
    <row r="699" spans="16:25">
      <c r="P699" s="23"/>
      <c r="Q699" s="1"/>
      <c r="R699" s="1"/>
      <c r="S699" s="1"/>
      <c r="T699" s="1"/>
      <c r="U699" s="1"/>
      <c r="V699" s="1"/>
      <c r="W699" s="1"/>
      <c r="X699" s="1"/>
      <c r="Y699" s="1"/>
    </row>
    <row r="700" spans="16:25">
      <c r="P700" s="23"/>
      <c r="Q700" s="1"/>
      <c r="R700" s="1"/>
      <c r="S700" s="1"/>
      <c r="T700" s="1"/>
      <c r="U700" s="1"/>
      <c r="V700" s="1"/>
      <c r="W700" s="1"/>
      <c r="X700" s="1"/>
      <c r="Y700" s="1"/>
    </row>
    <row r="701" spans="16:25">
      <c r="P701" s="23"/>
      <c r="Q701" s="1"/>
      <c r="R701" s="1"/>
      <c r="S701" s="1"/>
      <c r="T701" s="1"/>
      <c r="U701" s="1"/>
      <c r="V701" s="1"/>
      <c r="W701" s="1"/>
      <c r="X701" s="1"/>
      <c r="Y701" s="1"/>
    </row>
    <row r="702" spans="16:25">
      <c r="P702" s="23"/>
      <c r="Q702" s="1"/>
      <c r="R702" s="1"/>
      <c r="S702" s="1"/>
      <c r="T702" s="1"/>
      <c r="U702" s="1"/>
      <c r="V702" s="1"/>
      <c r="W702" s="1"/>
      <c r="X702" s="1"/>
      <c r="Y702" s="1"/>
    </row>
    <row r="703" spans="16:25">
      <c r="P703" s="23"/>
      <c r="Q703" s="1"/>
      <c r="R703" s="1"/>
      <c r="S703" s="1"/>
      <c r="T703" s="1"/>
      <c r="U703" s="1"/>
      <c r="V703" s="1"/>
      <c r="W703" s="1"/>
      <c r="X703" s="1"/>
      <c r="Y703" s="1"/>
    </row>
    <row r="704" spans="16:25">
      <c r="P704" s="23"/>
      <c r="Q704" s="1"/>
      <c r="R704" s="1"/>
      <c r="S704" s="1"/>
      <c r="T704" s="1"/>
      <c r="U704" s="1"/>
      <c r="V704" s="1"/>
      <c r="W704" s="1"/>
      <c r="X704" s="1"/>
      <c r="Y704" s="1"/>
    </row>
    <row r="705" spans="16:25">
      <c r="P705" s="23"/>
      <c r="Q705" s="1"/>
      <c r="R705" s="1"/>
      <c r="S705" s="1"/>
      <c r="T705" s="1"/>
      <c r="U705" s="1"/>
      <c r="V705" s="1"/>
      <c r="W705" s="1"/>
      <c r="X705" s="1"/>
      <c r="Y705" s="1"/>
    </row>
    <row r="706" spans="16:25">
      <c r="P706" s="23"/>
      <c r="Q706" s="1"/>
      <c r="R706" s="1"/>
      <c r="S706" s="1"/>
      <c r="T706" s="1"/>
      <c r="U706" s="1"/>
      <c r="V706" s="1"/>
      <c r="W706" s="1"/>
      <c r="X706" s="1"/>
      <c r="Y706" s="1"/>
    </row>
    <row r="707" spans="16:25">
      <c r="P707" s="23"/>
      <c r="Q707" s="1"/>
      <c r="R707" s="1"/>
      <c r="S707" s="1"/>
      <c r="T707" s="1"/>
      <c r="U707" s="1"/>
      <c r="V707" s="1"/>
      <c r="W707" s="1"/>
      <c r="X707" s="1"/>
      <c r="Y707" s="1"/>
    </row>
    <row r="708" spans="16:25">
      <c r="P708" s="23"/>
      <c r="Q708" s="1"/>
      <c r="R708" s="1"/>
      <c r="S708" s="1"/>
      <c r="T708" s="1"/>
      <c r="U708" s="1"/>
      <c r="V708" s="1"/>
      <c r="W708" s="1"/>
      <c r="X708" s="1"/>
      <c r="Y708" s="1"/>
    </row>
    <row r="709" spans="16:25">
      <c r="P709" s="23"/>
      <c r="Q709" s="1"/>
      <c r="R709" s="1"/>
      <c r="S709" s="1"/>
      <c r="T709" s="1"/>
      <c r="U709" s="1"/>
      <c r="V709" s="1"/>
      <c r="W709" s="1"/>
      <c r="X709" s="1"/>
      <c r="Y709" s="1"/>
    </row>
    <row r="710" spans="16:25">
      <c r="P710" s="23"/>
      <c r="Q710" s="1"/>
      <c r="R710" s="1"/>
      <c r="S710" s="1"/>
      <c r="T710" s="1"/>
      <c r="U710" s="1"/>
      <c r="V710" s="1"/>
      <c r="W710" s="1"/>
      <c r="X710" s="1"/>
      <c r="Y710" s="1"/>
    </row>
    <row r="711" spans="16:25">
      <c r="P711" s="23"/>
      <c r="Q711" s="1"/>
      <c r="R711" s="1"/>
      <c r="S711" s="1"/>
      <c r="T711" s="1"/>
      <c r="U711" s="1"/>
      <c r="V711" s="1"/>
      <c r="W711" s="1"/>
      <c r="X711" s="1"/>
      <c r="Y711" s="1"/>
    </row>
    <row r="712" spans="16:25">
      <c r="P712" s="23"/>
      <c r="Q712" s="1"/>
      <c r="R712" s="1"/>
      <c r="S712" s="1"/>
      <c r="T712" s="1"/>
      <c r="U712" s="1"/>
      <c r="V712" s="1"/>
      <c r="W712" s="1"/>
      <c r="X712" s="1"/>
      <c r="Y712" s="1"/>
    </row>
    <row r="713" spans="16:25">
      <c r="P713" s="23"/>
      <c r="Q713" s="1"/>
      <c r="R713" s="1"/>
      <c r="S713" s="1"/>
      <c r="T713" s="1"/>
      <c r="U713" s="1"/>
      <c r="V713" s="1"/>
      <c r="W713" s="1"/>
      <c r="X713" s="1"/>
      <c r="Y713" s="1"/>
    </row>
    <row r="714" spans="16:25">
      <c r="P714" s="23"/>
      <c r="Q714" s="1"/>
      <c r="R714" s="1"/>
      <c r="S714" s="1"/>
      <c r="T714" s="1"/>
      <c r="U714" s="1"/>
      <c r="V714" s="1"/>
      <c r="W714" s="1"/>
      <c r="X714" s="1"/>
      <c r="Y714" s="1"/>
    </row>
    <row r="715" spans="16:25">
      <c r="P715" s="23"/>
      <c r="Q715" s="1"/>
      <c r="R715" s="1"/>
      <c r="S715" s="1"/>
      <c r="T715" s="1"/>
      <c r="U715" s="1"/>
      <c r="V715" s="1"/>
      <c r="W715" s="1"/>
      <c r="X715" s="1"/>
      <c r="Y715" s="1"/>
    </row>
    <row r="716" spans="16:25">
      <c r="P716" s="23"/>
      <c r="Q716" s="1"/>
      <c r="R716" s="1"/>
      <c r="S716" s="1"/>
      <c r="T716" s="1"/>
      <c r="U716" s="1"/>
      <c r="V716" s="1"/>
      <c r="W716" s="1"/>
      <c r="X716" s="1"/>
      <c r="Y716" s="1"/>
    </row>
    <row r="717" spans="16:25">
      <c r="P717" s="23"/>
      <c r="Q717" s="1"/>
      <c r="R717" s="1"/>
      <c r="S717" s="1"/>
      <c r="T717" s="1"/>
      <c r="U717" s="1"/>
      <c r="V717" s="1"/>
      <c r="W717" s="1"/>
      <c r="X717" s="1"/>
      <c r="Y717" s="1"/>
    </row>
    <row r="718" spans="16:25">
      <c r="P718" s="23"/>
      <c r="Q718" s="1"/>
      <c r="R718" s="1"/>
      <c r="S718" s="1"/>
      <c r="T718" s="1"/>
      <c r="U718" s="1"/>
      <c r="V718" s="1"/>
      <c r="W718" s="1"/>
      <c r="X718" s="1"/>
      <c r="Y718" s="1"/>
    </row>
    <row r="719" spans="16:25">
      <c r="P719" s="23"/>
      <c r="Q719" s="1"/>
      <c r="R719" s="1"/>
      <c r="S719" s="1"/>
      <c r="T719" s="1"/>
      <c r="U719" s="1"/>
      <c r="V719" s="1"/>
      <c r="W719" s="1"/>
      <c r="X719" s="1"/>
      <c r="Y719" s="1"/>
    </row>
    <row r="720" spans="16:25">
      <c r="P720" s="23"/>
      <c r="Q720" s="1"/>
      <c r="R720" s="1"/>
      <c r="S720" s="1"/>
      <c r="T720" s="1"/>
      <c r="U720" s="1"/>
      <c r="V720" s="1"/>
      <c r="W720" s="1"/>
      <c r="X720" s="1"/>
      <c r="Y720" s="1"/>
    </row>
    <row r="721" spans="16:25">
      <c r="P721" s="23"/>
      <c r="Q721" s="1"/>
      <c r="R721" s="1"/>
      <c r="S721" s="1"/>
      <c r="T721" s="1"/>
      <c r="U721" s="1"/>
      <c r="V721" s="1"/>
      <c r="W721" s="1"/>
      <c r="X721" s="1"/>
      <c r="Y721" s="1"/>
    </row>
    <row r="722" spans="16:25">
      <c r="P722" s="23"/>
      <c r="Q722" s="1"/>
      <c r="R722" s="1"/>
      <c r="S722" s="1"/>
      <c r="T722" s="1"/>
      <c r="U722" s="1"/>
      <c r="V722" s="1"/>
      <c r="W722" s="1"/>
      <c r="X722" s="1"/>
      <c r="Y722" s="1"/>
    </row>
    <row r="723" spans="16:25">
      <c r="P723" s="23"/>
      <c r="Q723" s="1"/>
      <c r="R723" s="1"/>
      <c r="S723" s="1"/>
      <c r="T723" s="1"/>
      <c r="U723" s="1"/>
      <c r="V723" s="1"/>
      <c r="W723" s="1"/>
      <c r="X723" s="1"/>
      <c r="Y723" s="1"/>
    </row>
    <row r="724" spans="16:25">
      <c r="P724" s="23"/>
      <c r="Q724" s="1"/>
      <c r="R724" s="1"/>
      <c r="S724" s="1"/>
      <c r="T724" s="1"/>
      <c r="U724" s="1"/>
      <c r="V724" s="1"/>
      <c r="W724" s="1"/>
      <c r="X724" s="1"/>
      <c r="Y724" s="1"/>
    </row>
    <row r="725" spans="16:25">
      <c r="P725" s="23"/>
      <c r="Q725" s="1"/>
      <c r="R725" s="1"/>
      <c r="S725" s="1"/>
      <c r="T725" s="1"/>
      <c r="U725" s="1"/>
      <c r="V725" s="1"/>
      <c r="W725" s="1"/>
      <c r="X725" s="1"/>
      <c r="Y725" s="1"/>
    </row>
    <row r="726" spans="16:25">
      <c r="P726" s="23"/>
      <c r="Q726" s="1"/>
      <c r="R726" s="1"/>
      <c r="S726" s="1"/>
      <c r="T726" s="1"/>
      <c r="U726" s="1"/>
      <c r="V726" s="1"/>
      <c r="W726" s="1"/>
      <c r="X726" s="1"/>
      <c r="Y726" s="1"/>
    </row>
    <row r="727" spans="16:25">
      <c r="P727" s="23"/>
      <c r="Q727" s="1"/>
      <c r="R727" s="1"/>
      <c r="S727" s="1"/>
      <c r="T727" s="1"/>
      <c r="U727" s="1"/>
      <c r="V727" s="1"/>
      <c r="W727" s="1"/>
      <c r="X727" s="1"/>
      <c r="Y727" s="1"/>
    </row>
    <row r="728" spans="16:25">
      <c r="P728" s="23"/>
      <c r="Q728" s="1"/>
      <c r="R728" s="1"/>
      <c r="S728" s="1"/>
      <c r="T728" s="1"/>
      <c r="U728" s="1"/>
      <c r="V728" s="1"/>
      <c r="W728" s="1"/>
      <c r="X728" s="1"/>
      <c r="Y728" s="1"/>
    </row>
    <row r="729" spans="16:25">
      <c r="P729" s="23"/>
      <c r="Q729" s="1"/>
      <c r="R729" s="1"/>
      <c r="S729" s="1"/>
      <c r="T729" s="1"/>
      <c r="U729" s="1"/>
      <c r="V729" s="1"/>
      <c r="W729" s="1"/>
      <c r="X729" s="1"/>
      <c r="Y729" s="1"/>
    </row>
    <row r="730" spans="16:25">
      <c r="P730" s="23"/>
      <c r="Q730" s="1"/>
      <c r="R730" s="1"/>
      <c r="S730" s="1"/>
      <c r="T730" s="1"/>
      <c r="U730" s="1"/>
      <c r="V730" s="1"/>
      <c r="W730" s="1"/>
      <c r="X730" s="1"/>
      <c r="Y730" s="1"/>
    </row>
    <row r="731" spans="16:25">
      <c r="P731" s="23"/>
      <c r="Q731" s="1"/>
      <c r="R731" s="1"/>
      <c r="S731" s="1"/>
      <c r="T731" s="1"/>
      <c r="U731" s="1"/>
      <c r="V731" s="1"/>
      <c r="W731" s="1"/>
      <c r="X731" s="1"/>
      <c r="Y731" s="1"/>
    </row>
    <row r="732" spans="16:25">
      <c r="P732" s="23"/>
      <c r="Q732" s="1"/>
      <c r="R732" s="1"/>
      <c r="S732" s="1"/>
      <c r="T732" s="1"/>
      <c r="U732" s="1"/>
      <c r="V732" s="1"/>
      <c r="W732" s="1"/>
      <c r="X732" s="1"/>
      <c r="Y732" s="1"/>
    </row>
    <row r="733" spans="16:25">
      <c r="P733" s="23"/>
      <c r="Q733" s="1"/>
      <c r="R733" s="1"/>
      <c r="S733" s="1"/>
      <c r="T733" s="1"/>
      <c r="U733" s="1"/>
      <c r="V733" s="1"/>
      <c r="W733" s="1"/>
      <c r="X733" s="1"/>
      <c r="Y733" s="1"/>
    </row>
    <row r="734" spans="16:25">
      <c r="P734" s="23"/>
      <c r="Q734" s="1"/>
      <c r="R734" s="1"/>
      <c r="S734" s="1"/>
      <c r="T734" s="1"/>
      <c r="U734" s="1"/>
      <c r="V734" s="1"/>
      <c r="W734" s="1"/>
      <c r="X734" s="1"/>
      <c r="Y734" s="1"/>
    </row>
    <row r="735" spans="16:25">
      <c r="P735" s="23"/>
      <c r="Q735" s="1"/>
      <c r="R735" s="1"/>
      <c r="S735" s="1"/>
      <c r="T735" s="1"/>
      <c r="U735" s="1"/>
      <c r="V735" s="1"/>
      <c r="W735" s="1"/>
      <c r="X735" s="1"/>
      <c r="Y735" s="1"/>
    </row>
    <row r="736" spans="16:25">
      <c r="P736" s="23"/>
      <c r="Q736" s="1"/>
      <c r="R736" s="1"/>
      <c r="S736" s="1"/>
      <c r="T736" s="1"/>
      <c r="U736" s="1"/>
      <c r="V736" s="1"/>
      <c r="W736" s="1"/>
      <c r="X736" s="1"/>
      <c r="Y736" s="1"/>
    </row>
    <row r="737" spans="16:25">
      <c r="P737" s="23"/>
      <c r="Q737" s="1"/>
      <c r="R737" s="1"/>
      <c r="S737" s="1"/>
      <c r="T737" s="1"/>
      <c r="U737" s="1"/>
      <c r="V737" s="1"/>
      <c r="W737" s="1"/>
      <c r="X737" s="1"/>
      <c r="Y737" s="1"/>
    </row>
    <row r="738" spans="16:25">
      <c r="P738" s="23"/>
      <c r="Q738" s="1"/>
      <c r="R738" s="1"/>
      <c r="S738" s="1"/>
      <c r="T738" s="1"/>
      <c r="U738" s="1"/>
      <c r="V738" s="1"/>
      <c r="W738" s="1"/>
      <c r="X738" s="1"/>
      <c r="Y738" s="1"/>
    </row>
    <row r="739" spans="16:25">
      <c r="P739" s="23"/>
      <c r="Q739" s="1"/>
      <c r="R739" s="1"/>
      <c r="S739" s="1"/>
      <c r="T739" s="1"/>
      <c r="U739" s="1"/>
      <c r="V739" s="1"/>
      <c r="W739" s="1"/>
      <c r="X739" s="1"/>
      <c r="Y739" s="1"/>
    </row>
    <row r="740" spans="16:25">
      <c r="P740" s="23"/>
      <c r="Q740" s="1"/>
      <c r="R740" s="1"/>
      <c r="S740" s="1"/>
      <c r="T740" s="1"/>
      <c r="U740" s="1"/>
      <c r="V740" s="1"/>
      <c r="W740" s="1"/>
      <c r="X740" s="1"/>
      <c r="Y740" s="1"/>
    </row>
    <row r="741" spans="16:25">
      <c r="P741" s="23"/>
      <c r="Q741" s="1"/>
      <c r="R741" s="1"/>
      <c r="S741" s="1"/>
      <c r="T741" s="1"/>
      <c r="U741" s="1"/>
      <c r="V741" s="1"/>
      <c r="W741" s="1"/>
      <c r="X741" s="1"/>
      <c r="Y741" s="1"/>
    </row>
    <row r="742" spans="16:25">
      <c r="P742" s="23"/>
      <c r="Q742" s="1"/>
      <c r="R742" s="1"/>
      <c r="S742" s="1"/>
      <c r="T742" s="1"/>
      <c r="U742" s="1"/>
      <c r="V742" s="1"/>
      <c r="W742" s="1"/>
      <c r="X742" s="1"/>
      <c r="Y742" s="1"/>
    </row>
    <row r="743" spans="16:25">
      <c r="P743" s="23"/>
      <c r="Q743" s="1"/>
      <c r="R743" s="1"/>
      <c r="S743" s="1"/>
      <c r="T743" s="1"/>
      <c r="U743" s="1"/>
      <c r="V743" s="1"/>
      <c r="W743" s="1"/>
      <c r="X743" s="1"/>
      <c r="Y743" s="1"/>
    </row>
    <row r="744" spans="16:25">
      <c r="P744" s="23"/>
      <c r="Q744" s="1"/>
      <c r="R744" s="1"/>
      <c r="S744" s="1"/>
      <c r="T744" s="1"/>
      <c r="U744" s="1"/>
      <c r="V744" s="1"/>
      <c r="W744" s="1"/>
      <c r="X744" s="1"/>
      <c r="Y744" s="1"/>
    </row>
    <row r="745" spans="16:25">
      <c r="P745" s="23"/>
      <c r="Q745" s="1"/>
      <c r="R745" s="1"/>
      <c r="S745" s="1"/>
      <c r="T745" s="1"/>
      <c r="U745" s="1"/>
      <c r="V745" s="1"/>
      <c r="W745" s="1"/>
      <c r="X745" s="1"/>
      <c r="Y745" s="1"/>
    </row>
    <row r="746" spans="16:25">
      <c r="P746" s="23"/>
      <c r="Q746" s="1"/>
      <c r="R746" s="1"/>
      <c r="S746" s="1"/>
      <c r="T746" s="1"/>
      <c r="U746" s="1"/>
      <c r="V746" s="1"/>
      <c r="W746" s="1"/>
      <c r="X746" s="1"/>
      <c r="Y746" s="1"/>
    </row>
    <row r="747" spans="16:25">
      <c r="P747" s="23"/>
      <c r="Q747" s="1"/>
      <c r="R747" s="1"/>
      <c r="S747" s="1"/>
      <c r="T747" s="1"/>
      <c r="U747" s="1"/>
      <c r="V747" s="1"/>
      <c r="W747" s="1"/>
      <c r="X747" s="1"/>
      <c r="Y747" s="1"/>
    </row>
    <row r="748" spans="16:25">
      <c r="P748" s="23"/>
      <c r="Q748" s="1"/>
      <c r="R748" s="1"/>
      <c r="S748" s="1"/>
      <c r="T748" s="1"/>
      <c r="U748" s="1"/>
      <c r="V748" s="1"/>
      <c r="W748" s="1"/>
      <c r="X748" s="1"/>
      <c r="Y748" s="1"/>
    </row>
    <row r="749" spans="16:25">
      <c r="P749" s="23"/>
      <c r="Q749" s="1"/>
      <c r="R749" s="1"/>
      <c r="S749" s="1"/>
      <c r="T749" s="1"/>
      <c r="U749" s="1"/>
      <c r="V749" s="1"/>
      <c r="W749" s="1"/>
      <c r="X749" s="1"/>
      <c r="Y749" s="1"/>
    </row>
    <row r="750" spans="16:25">
      <c r="P750" s="23"/>
      <c r="Q750" s="1"/>
      <c r="R750" s="1"/>
      <c r="S750" s="1"/>
      <c r="T750" s="1"/>
      <c r="U750" s="1"/>
      <c r="V750" s="1"/>
      <c r="W750" s="1"/>
      <c r="X750" s="1"/>
      <c r="Y750" s="1"/>
    </row>
    <row r="751" spans="16:25">
      <c r="P751" s="23"/>
      <c r="Q751" s="1"/>
      <c r="R751" s="1"/>
      <c r="S751" s="1"/>
      <c r="T751" s="1"/>
      <c r="U751" s="1"/>
      <c r="V751" s="1"/>
      <c r="W751" s="1"/>
      <c r="X751" s="1"/>
      <c r="Y751" s="1"/>
    </row>
    <row r="752" spans="16:25">
      <c r="P752" s="23"/>
      <c r="Q752" s="1"/>
      <c r="R752" s="1"/>
      <c r="S752" s="1"/>
      <c r="T752" s="1"/>
      <c r="U752" s="1"/>
      <c r="V752" s="1"/>
      <c r="W752" s="1"/>
      <c r="X752" s="1"/>
      <c r="Y752" s="1"/>
    </row>
    <row r="753" spans="16:25">
      <c r="P753" s="23"/>
      <c r="Q753" s="1"/>
      <c r="R753" s="1"/>
      <c r="S753" s="1"/>
      <c r="T753" s="1"/>
      <c r="U753" s="1"/>
      <c r="V753" s="1"/>
      <c r="W753" s="1"/>
      <c r="X753" s="1"/>
      <c r="Y753" s="1"/>
    </row>
    <row r="754" spans="16:25">
      <c r="P754" s="23"/>
      <c r="Q754" s="1"/>
      <c r="R754" s="1"/>
      <c r="S754" s="1"/>
      <c r="T754" s="1"/>
      <c r="U754" s="1"/>
      <c r="V754" s="1"/>
      <c r="W754" s="1"/>
      <c r="X754" s="1"/>
      <c r="Y754" s="1"/>
    </row>
    <row r="755" spans="16:25">
      <c r="P755" s="23"/>
      <c r="Q755" s="1"/>
      <c r="R755" s="1"/>
      <c r="S755" s="1"/>
      <c r="T755" s="1"/>
      <c r="U755" s="1"/>
      <c r="V755" s="1"/>
      <c r="W755" s="1"/>
      <c r="X755" s="1"/>
      <c r="Y755" s="1"/>
    </row>
    <row r="756" spans="16:25">
      <c r="P756" s="23"/>
      <c r="Q756" s="1"/>
      <c r="R756" s="1"/>
      <c r="S756" s="1"/>
      <c r="T756" s="1"/>
      <c r="U756" s="1"/>
      <c r="V756" s="1"/>
      <c r="W756" s="1"/>
      <c r="X756" s="1"/>
      <c r="Y756" s="1"/>
    </row>
    <row r="757" spans="16:25">
      <c r="P757" s="23"/>
      <c r="Q757" s="1"/>
      <c r="R757" s="1"/>
      <c r="S757" s="1"/>
      <c r="T757" s="1"/>
      <c r="U757" s="1"/>
      <c r="V757" s="1"/>
      <c r="W757" s="1"/>
      <c r="X757" s="1"/>
      <c r="Y757" s="1"/>
    </row>
    <row r="758" spans="16:25">
      <c r="P758" s="23"/>
      <c r="Q758" s="1"/>
      <c r="R758" s="1"/>
      <c r="S758" s="1"/>
      <c r="T758" s="1"/>
      <c r="U758" s="1"/>
      <c r="V758" s="1"/>
      <c r="W758" s="1"/>
      <c r="X758" s="1"/>
      <c r="Y758" s="1"/>
    </row>
    <row r="759" spans="16:25">
      <c r="P759" s="23"/>
      <c r="Q759" s="1"/>
      <c r="R759" s="1"/>
      <c r="S759" s="1"/>
      <c r="T759" s="1"/>
      <c r="U759" s="1"/>
      <c r="V759" s="1"/>
      <c r="W759" s="1"/>
      <c r="X759" s="1"/>
      <c r="Y759" s="1"/>
    </row>
    <row r="760" spans="16:25">
      <c r="P760" s="23"/>
      <c r="Q760" s="1"/>
      <c r="R760" s="1"/>
      <c r="S760" s="1"/>
      <c r="T760" s="1"/>
      <c r="U760" s="1"/>
      <c r="V760" s="1"/>
      <c r="W760" s="1"/>
      <c r="X760" s="1"/>
      <c r="Y760" s="1"/>
    </row>
    <row r="761" spans="16:25">
      <c r="P761" s="23"/>
      <c r="Q761" s="1"/>
      <c r="R761" s="1"/>
      <c r="S761" s="1"/>
      <c r="T761" s="1"/>
      <c r="U761" s="1"/>
      <c r="V761" s="1"/>
      <c r="W761" s="1"/>
      <c r="X761" s="1"/>
      <c r="Y761" s="1"/>
    </row>
    <row r="762" spans="16:25">
      <c r="P762" s="23"/>
      <c r="Q762" s="1"/>
      <c r="R762" s="1"/>
      <c r="S762" s="1"/>
      <c r="T762" s="1"/>
      <c r="U762" s="1"/>
      <c r="V762" s="1"/>
      <c r="W762" s="1"/>
      <c r="X762" s="1"/>
      <c r="Y762" s="1"/>
    </row>
    <row r="763" spans="16:25">
      <c r="P763" s="23"/>
      <c r="Q763" s="1"/>
      <c r="R763" s="1"/>
      <c r="S763" s="1"/>
      <c r="T763" s="1"/>
      <c r="U763" s="1"/>
      <c r="V763" s="1"/>
      <c r="W763" s="1"/>
      <c r="X763" s="1"/>
      <c r="Y763" s="1"/>
    </row>
    <row r="764" spans="16:25">
      <c r="P764" s="23"/>
      <c r="Q764" s="1"/>
      <c r="R764" s="1"/>
      <c r="S764" s="1"/>
      <c r="T764" s="1"/>
      <c r="U764" s="1"/>
      <c r="V764" s="1"/>
      <c r="W764" s="1"/>
      <c r="X764" s="1"/>
      <c r="Y764" s="1"/>
    </row>
    <row r="765" spans="16:25">
      <c r="P765" s="23"/>
      <c r="Q765" s="1"/>
      <c r="R765" s="1"/>
      <c r="S765" s="1"/>
      <c r="T765" s="1"/>
      <c r="U765" s="1"/>
      <c r="V765" s="1"/>
      <c r="W765" s="1"/>
      <c r="X765" s="1"/>
      <c r="Y765" s="1"/>
    </row>
    <row r="766" spans="16:25">
      <c r="P766" s="23"/>
      <c r="Q766" s="1"/>
      <c r="R766" s="1"/>
      <c r="S766" s="1"/>
      <c r="T766" s="1"/>
      <c r="U766" s="1"/>
      <c r="V766" s="1"/>
      <c r="W766" s="1"/>
      <c r="X766" s="1"/>
      <c r="Y766" s="1"/>
    </row>
    <row r="767" spans="16:25">
      <c r="P767" s="23"/>
      <c r="Q767" s="1"/>
      <c r="R767" s="1"/>
      <c r="S767" s="1"/>
      <c r="T767" s="1"/>
      <c r="U767" s="1"/>
      <c r="V767" s="1"/>
      <c r="W767" s="1"/>
      <c r="X767" s="1"/>
      <c r="Y767" s="1"/>
    </row>
    <row r="768" spans="16:25">
      <c r="P768" s="23"/>
      <c r="Q768" s="1"/>
      <c r="R768" s="1"/>
      <c r="S768" s="1"/>
      <c r="T768" s="1"/>
      <c r="U768" s="1"/>
      <c r="V768" s="1"/>
      <c r="W768" s="1"/>
      <c r="X768" s="1"/>
      <c r="Y768" s="1"/>
    </row>
    <row r="769" spans="16:25">
      <c r="P769" s="23"/>
      <c r="Q769" s="1"/>
      <c r="R769" s="1"/>
      <c r="S769" s="1"/>
      <c r="T769" s="1"/>
      <c r="U769" s="1"/>
      <c r="V769" s="1"/>
      <c r="W769" s="1"/>
      <c r="X769" s="1"/>
      <c r="Y769" s="1"/>
    </row>
    <row r="770" spans="16:25">
      <c r="P770" s="23"/>
      <c r="Q770" s="1"/>
      <c r="R770" s="1"/>
      <c r="S770" s="1"/>
      <c r="T770" s="1"/>
      <c r="U770" s="1"/>
      <c r="V770" s="1"/>
      <c r="W770" s="1"/>
      <c r="X770" s="1"/>
      <c r="Y770" s="1"/>
    </row>
    <row r="771" spans="16:25">
      <c r="P771" s="23"/>
      <c r="Q771" s="1"/>
      <c r="R771" s="1"/>
      <c r="S771" s="1"/>
      <c r="T771" s="1"/>
      <c r="U771" s="1"/>
      <c r="V771" s="1"/>
      <c r="W771" s="1"/>
      <c r="X771" s="1"/>
      <c r="Y771" s="1"/>
    </row>
    <row r="772" spans="16:25">
      <c r="P772" s="23"/>
      <c r="Q772" s="1"/>
      <c r="R772" s="1"/>
      <c r="S772" s="1"/>
      <c r="T772" s="1"/>
      <c r="U772" s="1"/>
      <c r="V772" s="1"/>
      <c r="W772" s="1"/>
      <c r="X772" s="1"/>
      <c r="Y772" s="1"/>
    </row>
    <row r="773" spans="16:25">
      <c r="P773" s="23"/>
      <c r="Q773" s="1"/>
      <c r="R773" s="1"/>
      <c r="S773" s="1"/>
      <c r="T773" s="1"/>
      <c r="U773" s="1"/>
      <c r="V773" s="1"/>
      <c r="W773" s="1"/>
      <c r="X773" s="1"/>
      <c r="Y773" s="1"/>
    </row>
    <row r="774" spans="16:25">
      <c r="P774" s="23"/>
      <c r="Q774" s="1"/>
      <c r="R774" s="1"/>
      <c r="S774" s="1"/>
      <c r="T774" s="1"/>
      <c r="U774" s="1"/>
      <c r="V774" s="1"/>
      <c r="W774" s="1"/>
      <c r="X774" s="1"/>
      <c r="Y774" s="1"/>
    </row>
    <row r="775" spans="16:25">
      <c r="P775" s="23"/>
      <c r="Q775" s="1"/>
      <c r="R775" s="1"/>
      <c r="S775" s="1"/>
      <c r="T775" s="1"/>
      <c r="U775" s="1"/>
      <c r="V775" s="1"/>
      <c r="W775" s="1"/>
      <c r="X775" s="1"/>
      <c r="Y775" s="1"/>
    </row>
    <row r="776" spans="16:25">
      <c r="P776" s="23"/>
      <c r="Q776" s="1"/>
      <c r="R776" s="1"/>
      <c r="S776" s="1"/>
      <c r="T776" s="1"/>
      <c r="U776" s="1"/>
      <c r="V776" s="1"/>
      <c r="W776" s="1"/>
      <c r="X776" s="1"/>
      <c r="Y776" s="1"/>
    </row>
    <row r="777" spans="16:25">
      <c r="P777" s="23"/>
      <c r="Q777" s="1"/>
      <c r="R777" s="1"/>
      <c r="S777" s="1"/>
      <c r="T777" s="1"/>
      <c r="U777" s="1"/>
      <c r="V777" s="1"/>
      <c r="W777" s="1"/>
      <c r="X777" s="1"/>
      <c r="Y777" s="1"/>
    </row>
    <row r="778" spans="16:25">
      <c r="P778" s="23"/>
      <c r="Q778" s="1"/>
      <c r="R778" s="1"/>
      <c r="S778" s="1"/>
      <c r="T778" s="1"/>
      <c r="U778" s="1"/>
      <c r="V778" s="1"/>
      <c r="W778" s="1"/>
      <c r="X778" s="1"/>
      <c r="Y778" s="1"/>
    </row>
    <row r="779" spans="16:25">
      <c r="P779" s="23"/>
      <c r="Q779" s="1"/>
      <c r="R779" s="1"/>
      <c r="S779" s="1"/>
      <c r="T779" s="1"/>
      <c r="U779" s="1"/>
      <c r="V779" s="1"/>
      <c r="W779" s="1"/>
      <c r="X779" s="1"/>
      <c r="Y779" s="1"/>
    </row>
    <row r="780" spans="16:25">
      <c r="P780" s="23"/>
      <c r="Q780" s="1"/>
      <c r="R780" s="1"/>
      <c r="S780" s="1"/>
      <c r="T780" s="1"/>
      <c r="U780" s="1"/>
      <c r="V780" s="1"/>
      <c r="W780" s="1"/>
      <c r="X780" s="1"/>
      <c r="Y780" s="1"/>
    </row>
    <row r="781" spans="16:25">
      <c r="P781" s="23"/>
      <c r="Q781" s="1"/>
      <c r="R781" s="1"/>
      <c r="S781" s="1"/>
      <c r="T781" s="1"/>
      <c r="U781" s="1"/>
      <c r="V781" s="1"/>
      <c r="W781" s="1"/>
      <c r="X781" s="1"/>
      <c r="Y781" s="1"/>
    </row>
    <row r="782" spans="16:25">
      <c r="P782" s="23"/>
      <c r="Q782" s="1"/>
      <c r="R782" s="1"/>
      <c r="S782" s="1"/>
      <c r="T782" s="1"/>
      <c r="U782" s="1"/>
      <c r="V782" s="1"/>
      <c r="W782" s="1"/>
      <c r="X782" s="1"/>
      <c r="Y782" s="1"/>
    </row>
    <row r="783" spans="16:25">
      <c r="P783" s="23"/>
      <c r="Q783" s="1"/>
      <c r="R783" s="1"/>
      <c r="S783" s="1"/>
      <c r="T783" s="1"/>
      <c r="U783" s="1"/>
      <c r="V783" s="1"/>
      <c r="W783" s="1"/>
      <c r="X783" s="1"/>
      <c r="Y783" s="1"/>
    </row>
    <row r="784" spans="16:25">
      <c r="P784" s="23"/>
      <c r="Q784" s="1"/>
      <c r="R784" s="1"/>
      <c r="S784" s="1"/>
      <c r="T784" s="1"/>
      <c r="U784" s="1"/>
      <c r="V784" s="1"/>
      <c r="W784" s="1"/>
      <c r="X784" s="1"/>
      <c r="Y784" s="1"/>
    </row>
    <row r="785" spans="16:25">
      <c r="P785" s="23"/>
      <c r="Q785" s="1"/>
      <c r="R785" s="1"/>
      <c r="S785" s="1"/>
      <c r="T785" s="1"/>
      <c r="U785" s="1"/>
      <c r="V785" s="1"/>
      <c r="W785" s="1"/>
      <c r="X785" s="1"/>
      <c r="Y785" s="1"/>
    </row>
    <row r="786" spans="16:25">
      <c r="P786" s="23"/>
      <c r="Q786" s="1"/>
      <c r="R786" s="1"/>
      <c r="S786" s="1"/>
      <c r="T786" s="1"/>
      <c r="U786" s="1"/>
      <c r="V786" s="1"/>
      <c r="W786" s="1"/>
      <c r="X786" s="1"/>
      <c r="Y786" s="1"/>
    </row>
    <row r="787" spans="16:25">
      <c r="P787" s="23"/>
      <c r="Q787" s="1"/>
      <c r="R787" s="1"/>
      <c r="S787" s="1"/>
      <c r="T787" s="1"/>
      <c r="U787" s="1"/>
      <c r="V787" s="1"/>
      <c r="W787" s="1"/>
      <c r="X787" s="1"/>
      <c r="Y787" s="1"/>
    </row>
    <row r="788" spans="16:25">
      <c r="P788" s="23"/>
      <c r="Q788" s="1"/>
      <c r="R788" s="1"/>
      <c r="S788" s="1"/>
      <c r="T788" s="1"/>
      <c r="U788" s="1"/>
      <c r="V788" s="1"/>
      <c r="W788" s="1"/>
      <c r="X788" s="1"/>
      <c r="Y788" s="1"/>
    </row>
    <row r="789" spans="16:25">
      <c r="P789" s="23"/>
      <c r="Q789" s="1"/>
      <c r="R789" s="1"/>
      <c r="S789" s="1"/>
      <c r="T789" s="1"/>
      <c r="U789" s="1"/>
      <c r="V789" s="1"/>
      <c r="W789" s="1"/>
      <c r="X789" s="1"/>
      <c r="Y789" s="1"/>
    </row>
    <row r="790" spans="16:25">
      <c r="P790" s="23"/>
      <c r="Q790" s="1"/>
      <c r="R790" s="1"/>
      <c r="S790" s="1"/>
      <c r="T790" s="1"/>
      <c r="U790" s="1"/>
      <c r="V790" s="1"/>
      <c r="W790" s="1"/>
      <c r="X790" s="1"/>
      <c r="Y790" s="1"/>
    </row>
    <row r="791" spans="16:25">
      <c r="P791" s="23"/>
      <c r="Q791" s="1"/>
      <c r="R791" s="1"/>
      <c r="S791" s="1"/>
      <c r="T791" s="1"/>
      <c r="U791" s="1"/>
      <c r="V791" s="1"/>
      <c r="W791" s="1"/>
      <c r="X791" s="1"/>
      <c r="Y791" s="1"/>
    </row>
    <row r="792" spans="16:25">
      <c r="P792" s="23"/>
      <c r="Q792" s="1"/>
      <c r="R792" s="1"/>
      <c r="S792" s="1"/>
      <c r="T792" s="1"/>
      <c r="U792" s="1"/>
      <c r="V792" s="1"/>
      <c r="W792" s="1"/>
      <c r="X792" s="1"/>
      <c r="Y792" s="1"/>
    </row>
    <row r="793" spans="16:25">
      <c r="P793" s="23"/>
      <c r="Q793" s="1"/>
      <c r="R793" s="1"/>
      <c r="S793" s="1"/>
      <c r="T793" s="1"/>
      <c r="U793" s="1"/>
      <c r="V793" s="1"/>
      <c r="W793" s="1"/>
      <c r="X793" s="1"/>
      <c r="Y793" s="1"/>
    </row>
    <row r="794" spans="16:25">
      <c r="P794" s="23"/>
      <c r="Q794" s="1"/>
      <c r="R794" s="1"/>
      <c r="S794" s="1"/>
      <c r="T794" s="1"/>
      <c r="U794" s="1"/>
      <c r="V794" s="1"/>
      <c r="W794" s="1"/>
      <c r="X794" s="1"/>
      <c r="Y794" s="1"/>
    </row>
    <row r="795" spans="16:25">
      <c r="P795" s="23"/>
      <c r="Q795" s="1"/>
      <c r="R795" s="1"/>
      <c r="S795" s="1"/>
      <c r="T795" s="1"/>
      <c r="U795" s="1"/>
      <c r="V795" s="1"/>
      <c r="W795" s="1"/>
      <c r="X795" s="1"/>
      <c r="Y795" s="1"/>
    </row>
    <row r="796" spans="16:25">
      <c r="P796" s="23"/>
      <c r="Q796" s="1"/>
      <c r="R796" s="1"/>
      <c r="S796" s="1"/>
      <c r="T796" s="1"/>
      <c r="U796" s="1"/>
      <c r="V796" s="1"/>
      <c r="W796" s="1"/>
      <c r="X796" s="1"/>
      <c r="Y796" s="1"/>
    </row>
    <row r="797" spans="16:25">
      <c r="P797" s="23"/>
      <c r="Q797" s="1"/>
      <c r="R797" s="1"/>
      <c r="S797" s="1"/>
      <c r="T797" s="1"/>
      <c r="U797" s="1"/>
      <c r="V797" s="1"/>
      <c r="W797" s="1"/>
      <c r="X797" s="1"/>
      <c r="Y797" s="1"/>
    </row>
    <row r="798" spans="16:25">
      <c r="P798" s="23"/>
      <c r="Q798" s="1"/>
      <c r="R798" s="1"/>
      <c r="S798" s="1"/>
      <c r="T798" s="1"/>
      <c r="U798" s="1"/>
      <c r="V798" s="1"/>
      <c r="W798" s="1"/>
      <c r="X798" s="1"/>
      <c r="Y798" s="1"/>
    </row>
    <row r="799" spans="16:25">
      <c r="P799" s="23"/>
      <c r="Q799" s="1"/>
      <c r="R799" s="1"/>
      <c r="S799" s="1"/>
      <c r="T799" s="1"/>
      <c r="U799" s="1"/>
      <c r="V799" s="1"/>
      <c r="W799" s="1"/>
      <c r="X799" s="1"/>
      <c r="Y799" s="1"/>
    </row>
    <row r="800" spans="16:25">
      <c r="P800" s="23"/>
      <c r="Q800" s="1"/>
      <c r="R800" s="1"/>
      <c r="S800" s="1"/>
      <c r="T800" s="1"/>
      <c r="U800" s="1"/>
      <c r="V800" s="1"/>
      <c r="W800" s="1"/>
      <c r="X800" s="1"/>
      <c r="Y800" s="1"/>
    </row>
    <row r="801" spans="16:25">
      <c r="P801" s="23"/>
      <c r="Q801" s="1"/>
      <c r="R801" s="1"/>
      <c r="S801" s="1"/>
      <c r="T801" s="1"/>
      <c r="U801" s="1"/>
      <c r="V801" s="1"/>
      <c r="W801" s="1"/>
      <c r="X801" s="1"/>
      <c r="Y801" s="1"/>
    </row>
    <row r="802" spans="16:25">
      <c r="P802" s="23"/>
      <c r="Q802" s="1"/>
      <c r="R802" s="1"/>
      <c r="S802" s="1"/>
      <c r="T802" s="1"/>
      <c r="U802" s="1"/>
      <c r="V802" s="1"/>
      <c r="W802" s="1"/>
      <c r="X802" s="1"/>
      <c r="Y802" s="1"/>
    </row>
    <row r="803" spans="16:25">
      <c r="P803" s="23"/>
      <c r="Q803" s="1"/>
      <c r="R803" s="1"/>
      <c r="S803" s="1"/>
      <c r="T803" s="1"/>
      <c r="U803" s="1"/>
      <c r="V803" s="1"/>
      <c r="W803" s="1"/>
      <c r="X803" s="1"/>
      <c r="Y803" s="1"/>
    </row>
    <row r="804" spans="16:25">
      <c r="P804" s="23"/>
      <c r="Q804" s="1"/>
      <c r="R804" s="1"/>
      <c r="S804" s="1"/>
      <c r="T804" s="1"/>
      <c r="U804" s="1"/>
      <c r="V804" s="1"/>
      <c r="W804" s="1"/>
      <c r="X804" s="1"/>
      <c r="Y804" s="1"/>
    </row>
    <row r="805" spans="16:25">
      <c r="P805" s="23"/>
      <c r="Q805" s="1"/>
      <c r="R805" s="1"/>
      <c r="S805" s="1"/>
      <c r="T805" s="1"/>
      <c r="U805" s="1"/>
      <c r="V805" s="1"/>
      <c r="W805" s="1"/>
      <c r="X805" s="1"/>
      <c r="Y805" s="1"/>
    </row>
    <row r="806" spans="16:25">
      <c r="P806" s="23"/>
      <c r="Q806" s="1"/>
      <c r="R806" s="1"/>
      <c r="S806" s="1"/>
      <c r="T806" s="1"/>
      <c r="U806" s="1"/>
      <c r="V806" s="1"/>
      <c r="W806" s="1"/>
      <c r="X806" s="1"/>
      <c r="Y806" s="1"/>
    </row>
    <row r="807" spans="16:25">
      <c r="P807" s="23"/>
      <c r="Q807" s="1"/>
      <c r="R807" s="1"/>
      <c r="S807" s="1"/>
      <c r="T807" s="1"/>
      <c r="U807" s="1"/>
      <c r="V807" s="1"/>
      <c r="W807" s="1"/>
      <c r="X807" s="1"/>
      <c r="Y807" s="1"/>
    </row>
    <row r="808" spans="16:25">
      <c r="P808" s="23"/>
      <c r="Q808" s="1"/>
      <c r="R808" s="1"/>
      <c r="S808" s="1"/>
      <c r="T808" s="1"/>
      <c r="U808" s="1"/>
      <c r="V808" s="1"/>
      <c r="W808" s="1"/>
      <c r="X808" s="1"/>
      <c r="Y808" s="1"/>
    </row>
    <row r="809" spans="16:25">
      <c r="P809" s="23"/>
      <c r="Q809" s="1"/>
      <c r="R809" s="1"/>
      <c r="S809" s="1"/>
      <c r="T809" s="1"/>
      <c r="U809" s="1"/>
      <c r="V809" s="1"/>
      <c r="W809" s="1"/>
      <c r="X809" s="1"/>
      <c r="Y809" s="1"/>
    </row>
    <row r="810" spans="16:25">
      <c r="P810" s="23"/>
      <c r="Q810" s="1"/>
      <c r="R810" s="1"/>
      <c r="S810" s="1"/>
      <c r="T810" s="1"/>
      <c r="U810" s="1"/>
      <c r="V810" s="1"/>
      <c r="W810" s="1"/>
      <c r="X810" s="1"/>
      <c r="Y810" s="1"/>
    </row>
    <row r="811" spans="16:25">
      <c r="P811" s="23"/>
      <c r="Q811" s="1"/>
      <c r="R811" s="1"/>
      <c r="S811" s="1"/>
      <c r="T811" s="1"/>
      <c r="U811" s="1"/>
      <c r="V811" s="1"/>
      <c r="W811" s="1"/>
      <c r="X811" s="1"/>
      <c r="Y811" s="1"/>
    </row>
    <row r="812" spans="16:25">
      <c r="P812" s="23"/>
      <c r="Q812" s="1"/>
      <c r="R812" s="1"/>
      <c r="S812" s="1"/>
      <c r="T812" s="1"/>
      <c r="U812" s="1"/>
      <c r="V812" s="1"/>
      <c r="W812" s="1"/>
      <c r="X812" s="1"/>
      <c r="Y812" s="1"/>
    </row>
    <row r="813" spans="16:25">
      <c r="P813" s="23"/>
      <c r="Q813" s="1"/>
      <c r="R813" s="1"/>
      <c r="S813" s="1"/>
      <c r="T813" s="1"/>
      <c r="U813" s="1"/>
      <c r="V813" s="1"/>
      <c r="W813" s="1"/>
      <c r="X813" s="1"/>
      <c r="Y813" s="1"/>
    </row>
    <row r="814" spans="16:25">
      <c r="P814" s="23"/>
      <c r="Q814" s="1"/>
      <c r="R814" s="1"/>
      <c r="S814" s="1"/>
      <c r="T814" s="1"/>
      <c r="U814" s="1"/>
      <c r="V814" s="1"/>
      <c r="W814" s="1"/>
      <c r="X814" s="1"/>
      <c r="Y814" s="1"/>
    </row>
    <row r="815" spans="16:25">
      <c r="P815" s="23"/>
      <c r="Q815" s="1"/>
      <c r="R815" s="1"/>
      <c r="S815" s="1"/>
      <c r="T815" s="1"/>
      <c r="U815" s="1"/>
      <c r="V815" s="1"/>
      <c r="W815" s="1"/>
      <c r="X815" s="1"/>
      <c r="Y815" s="1"/>
    </row>
    <row r="816" spans="16:25">
      <c r="P816" s="23"/>
      <c r="Q816" s="1"/>
      <c r="R816" s="1"/>
      <c r="S816" s="1"/>
      <c r="T816" s="1"/>
      <c r="U816" s="1"/>
      <c r="V816" s="1"/>
      <c r="W816" s="1"/>
      <c r="X816" s="1"/>
      <c r="Y816" s="1"/>
    </row>
    <row r="817" spans="16:25">
      <c r="P817" s="23"/>
      <c r="Q817" s="1"/>
      <c r="R817" s="1"/>
      <c r="S817" s="1"/>
      <c r="T817" s="1"/>
      <c r="U817" s="1"/>
      <c r="V817" s="1"/>
      <c r="W817" s="1"/>
      <c r="X817" s="1"/>
      <c r="Y817" s="1"/>
    </row>
    <row r="818" spans="16:25">
      <c r="P818" s="23"/>
      <c r="Q818" s="1"/>
      <c r="R818" s="1"/>
      <c r="S818" s="1"/>
      <c r="T818" s="1"/>
      <c r="U818" s="1"/>
      <c r="V818" s="1"/>
      <c r="W818" s="1"/>
      <c r="X818" s="1"/>
      <c r="Y818" s="1"/>
    </row>
    <row r="819" spans="16:25">
      <c r="P819" s="23"/>
      <c r="Q819" s="1"/>
      <c r="R819" s="1"/>
      <c r="S819" s="1"/>
      <c r="T819" s="1"/>
      <c r="U819" s="1"/>
      <c r="V819" s="1"/>
      <c r="W819" s="1"/>
      <c r="X819" s="1"/>
      <c r="Y819" s="1"/>
    </row>
    <row r="820" spans="16:25">
      <c r="P820" s="23"/>
      <c r="Q820" s="1"/>
      <c r="R820" s="1"/>
      <c r="S820" s="1"/>
      <c r="T820" s="1"/>
      <c r="U820" s="1"/>
      <c r="V820" s="1"/>
      <c r="W820" s="1"/>
      <c r="X820" s="1"/>
      <c r="Y820" s="1"/>
    </row>
    <row r="821" spans="16:25">
      <c r="P821" s="23"/>
      <c r="Q821" s="1"/>
      <c r="R821" s="1"/>
      <c r="S821" s="1"/>
      <c r="T821" s="1"/>
      <c r="U821" s="1"/>
      <c r="V821" s="1"/>
      <c r="W821" s="1"/>
      <c r="X821" s="1"/>
      <c r="Y821" s="1"/>
    </row>
    <row r="822" spans="16:25">
      <c r="P822" s="23"/>
      <c r="Q822" s="1"/>
      <c r="R822" s="1"/>
      <c r="S822" s="1"/>
      <c r="T822" s="1"/>
      <c r="U822" s="1"/>
      <c r="V822" s="1"/>
      <c r="W822" s="1"/>
      <c r="X822" s="1"/>
      <c r="Y822" s="1"/>
    </row>
    <row r="823" spans="16:25">
      <c r="P823" s="23"/>
      <c r="Q823" s="1"/>
      <c r="R823" s="1"/>
      <c r="S823" s="1"/>
      <c r="T823" s="1"/>
      <c r="U823" s="1"/>
      <c r="V823" s="1"/>
      <c r="W823" s="1"/>
      <c r="X823" s="1"/>
      <c r="Y823" s="1"/>
    </row>
    <row r="824" spans="16:25">
      <c r="P824" s="23"/>
      <c r="Q824" s="1"/>
      <c r="R824" s="1"/>
      <c r="S824" s="1"/>
      <c r="T824" s="1"/>
      <c r="U824" s="1"/>
      <c r="V824" s="1"/>
      <c r="W824" s="1"/>
      <c r="X824" s="1"/>
      <c r="Y824" s="1"/>
    </row>
    <row r="825" spans="16:25">
      <c r="P825" s="23"/>
      <c r="Q825" s="1"/>
      <c r="R825" s="1"/>
      <c r="S825" s="1"/>
      <c r="T825" s="1"/>
      <c r="U825" s="1"/>
      <c r="V825" s="1"/>
      <c r="W825" s="1"/>
      <c r="X825" s="1"/>
      <c r="Y825" s="1"/>
    </row>
    <row r="826" spans="16:25">
      <c r="P826" s="23"/>
      <c r="Q826" s="1"/>
      <c r="R826" s="1"/>
      <c r="S826" s="1"/>
      <c r="T826" s="1"/>
      <c r="U826" s="1"/>
      <c r="V826" s="1"/>
      <c r="W826" s="1"/>
      <c r="X826" s="1"/>
      <c r="Y826" s="1"/>
    </row>
    <row r="827" spans="16:25">
      <c r="P827" s="23"/>
      <c r="Q827" s="1"/>
      <c r="R827" s="1"/>
      <c r="S827" s="1"/>
      <c r="T827" s="1"/>
      <c r="U827" s="1"/>
      <c r="V827" s="1"/>
      <c r="W827" s="1"/>
      <c r="X827" s="1"/>
      <c r="Y827" s="1"/>
    </row>
    <row r="828" spans="16:25">
      <c r="P828" s="23"/>
      <c r="Q828" s="1"/>
      <c r="R828" s="1"/>
      <c r="S828" s="1"/>
      <c r="T828" s="1"/>
      <c r="U828" s="1"/>
      <c r="V828" s="1"/>
      <c r="W828" s="1"/>
      <c r="X828" s="1"/>
      <c r="Y828" s="1"/>
    </row>
    <row r="829" spans="16:25">
      <c r="P829" s="23"/>
      <c r="Q829" s="1"/>
      <c r="R829" s="1"/>
      <c r="S829" s="1"/>
      <c r="T829" s="1"/>
      <c r="U829" s="1"/>
      <c r="V829" s="1"/>
      <c r="W829" s="1"/>
      <c r="X829" s="1"/>
      <c r="Y829" s="1"/>
    </row>
    <row r="830" spans="16:25">
      <c r="P830" s="23"/>
      <c r="Q830" s="1"/>
      <c r="R830" s="1"/>
      <c r="S830" s="1"/>
      <c r="T830" s="1"/>
      <c r="U830" s="1"/>
      <c r="V830" s="1"/>
      <c r="W830" s="1"/>
      <c r="X830" s="1"/>
      <c r="Y830" s="1"/>
    </row>
    <row r="831" spans="16:25">
      <c r="P831" s="23"/>
      <c r="Q831" s="1"/>
      <c r="R831" s="1"/>
      <c r="S831" s="1"/>
      <c r="T831" s="1"/>
      <c r="U831" s="1"/>
      <c r="V831" s="1"/>
      <c r="W831" s="1"/>
      <c r="X831" s="1"/>
      <c r="Y831" s="1"/>
    </row>
    <row r="832" spans="16:25">
      <c r="P832" s="23"/>
      <c r="Q832" s="1"/>
      <c r="R832" s="1"/>
      <c r="S832" s="1"/>
      <c r="T832" s="1"/>
      <c r="U832" s="1"/>
      <c r="V832" s="1"/>
      <c r="W832" s="1"/>
      <c r="X832" s="1"/>
      <c r="Y832" s="1"/>
    </row>
    <row r="833" spans="16:25">
      <c r="P833" s="23"/>
      <c r="Q833" s="1"/>
      <c r="R833" s="1"/>
      <c r="S833" s="1"/>
      <c r="T833" s="1"/>
      <c r="U833" s="1"/>
      <c r="V833" s="1"/>
      <c r="W833" s="1"/>
      <c r="X833" s="1"/>
      <c r="Y833" s="1"/>
    </row>
    <row r="834" spans="16:25">
      <c r="P834" s="23"/>
      <c r="Q834" s="1"/>
      <c r="R834" s="1"/>
      <c r="S834" s="1"/>
      <c r="T834" s="1"/>
      <c r="U834" s="1"/>
      <c r="V834" s="1"/>
      <c r="W834" s="1"/>
      <c r="X834" s="1"/>
      <c r="Y834" s="1"/>
    </row>
    <row r="835" spans="16:25">
      <c r="P835" s="23"/>
      <c r="Q835" s="1"/>
      <c r="R835" s="1"/>
      <c r="S835" s="1"/>
      <c r="T835" s="1"/>
      <c r="U835" s="1"/>
      <c r="V835" s="1"/>
      <c r="W835" s="1"/>
      <c r="X835" s="1"/>
      <c r="Y835" s="1"/>
    </row>
    <row r="836" spans="16:25">
      <c r="P836" s="23"/>
      <c r="Q836" s="1"/>
      <c r="R836" s="1"/>
      <c r="S836" s="1"/>
      <c r="T836" s="1"/>
      <c r="U836" s="1"/>
      <c r="V836" s="1"/>
      <c r="W836" s="1"/>
      <c r="X836" s="1"/>
      <c r="Y836" s="1"/>
    </row>
    <row r="837" spans="16:25">
      <c r="P837" s="23"/>
      <c r="Q837" s="1"/>
      <c r="R837" s="1"/>
      <c r="S837" s="1"/>
      <c r="T837" s="1"/>
      <c r="U837" s="1"/>
      <c r="V837" s="1"/>
      <c r="W837" s="1"/>
      <c r="X837" s="1"/>
      <c r="Y837" s="1"/>
    </row>
    <row r="838" spans="16:25">
      <c r="P838" s="23"/>
      <c r="Q838" s="1"/>
      <c r="R838" s="1"/>
      <c r="S838" s="1"/>
      <c r="T838" s="1"/>
      <c r="U838" s="1"/>
      <c r="V838" s="1"/>
      <c r="W838" s="1"/>
      <c r="X838" s="1"/>
      <c r="Y838" s="1"/>
    </row>
    <row r="839" spans="16:25">
      <c r="P839" s="23"/>
      <c r="Q839" s="1"/>
      <c r="R839" s="1"/>
      <c r="S839" s="1"/>
      <c r="T839" s="1"/>
      <c r="U839" s="1"/>
      <c r="V839" s="1"/>
      <c r="W839" s="1"/>
      <c r="X839" s="1"/>
      <c r="Y839" s="1"/>
    </row>
    <row r="840" spans="16:25">
      <c r="P840" s="23"/>
      <c r="Q840" s="1"/>
      <c r="R840" s="1"/>
      <c r="S840" s="1"/>
      <c r="T840" s="1"/>
      <c r="U840" s="1"/>
      <c r="V840" s="1"/>
      <c r="W840" s="1"/>
      <c r="X840" s="1"/>
      <c r="Y840" s="1"/>
    </row>
    <row r="841" spans="16:25">
      <c r="P841" s="23"/>
      <c r="Q841" s="1"/>
      <c r="R841" s="1"/>
      <c r="S841" s="1"/>
      <c r="T841" s="1"/>
      <c r="U841" s="1"/>
      <c r="V841" s="1"/>
      <c r="W841" s="1"/>
      <c r="X841" s="1"/>
      <c r="Y841" s="1"/>
    </row>
    <row r="842" spans="16:25">
      <c r="P842" s="1"/>
      <c r="Q842" s="1"/>
      <c r="R842" s="1"/>
      <c r="S842" s="1"/>
      <c r="T842" s="1"/>
      <c r="U842" s="1"/>
      <c r="V842" s="1"/>
      <c r="W842" s="1"/>
      <c r="X842" s="1"/>
      <c r="Y842" s="1"/>
    </row>
    <row r="843" spans="16:25">
      <c r="P843" s="1"/>
      <c r="Q843" s="1"/>
      <c r="R843" s="1"/>
      <c r="S843" s="1"/>
      <c r="T843" s="1"/>
      <c r="U843" s="1"/>
      <c r="V843" s="1"/>
      <c r="W843" s="1"/>
      <c r="X843" s="1"/>
      <c r="Y843" s="1"/>
    </row>
    <row r="844" spans="16:25">
      <c r="P844" s="1"/>
      <c r="Q844" s="1"/>
      <c r="R844" s="1"/>
      <c r="S844" s="1"/>
      <c r="T844" s="1"/>
      <c r="U844" s="1"/>
      <c r="V844" s="1"/>
      <c r="W844" s="1"/>
      <c r="X844" s="1"/>
      <c r="Y844" s="1"/>
    </row>
    <row r="845" spans="16:25">
      <c r="P845" s="1"/>
      <c r="Q845" s="1"/>
      <c r="R845" s="1"/>
      <c r="S845" s="1"/>
      <c r="T845" s="1"/>
      <c r="U845" s="1"/>
      <c r="V845" s="1"/>
      <c r="W845" s="1"/>
      <c r="X845" s="1"/>
      <c r="Y845" s="1"/>
    </row>
    <row r="846" spans="16:25">
      <c r="P846" s="1"/>
      <c r="Q846" s="1"/>
      <c r="R846" s="1"/>
      <c r="S846" s="1"/>
      <c r="T846" s="1"/>
      <c r="U846" s="1"/>
      <c r="V846" s="1"/>
      <c r="W846" s="1"/>
      <c r="X846" s="1"/>
      <c r="Y846" s="1"/>
    </row>
    <row r="847" spans="16:25">
      <c r="P847" s="1"/>
      <c r="Q847" s="1"/>
      <c r="R847" s="1"/>
      <c r="S847" s="1"/>
      <c r="T847" s="1"/>
      <c r="U847" s="1"/>
      <c r="V847" s="1"/>
      <c r="W847" s="1"/>
      <c r="X847" s="1"/>
      <c r="Y847" s="1"/>
    </row>
    <row r="848" spans="16:25">
      <c r="P848" s="1"/>
      <c r="Q848" s="1"/>
      <c r="R848" s="1"/>
      <c r="S848" s="1"/>
      <c r="T848" s="1"/>
      <c r="U848" s="1"/>
      <c r="V848" s="1"/>
      <c r="W848" s="1"/>
      <c r="X848" s="1"/>
      <c r="Y848" s="1"/>
    </row>
    <row r="849" spans="16:25">
      <c r="P849" s="1"/>
      <c r="Q849" s="1"/>
      <c r="R849" s="1"/>
      <c r="S849" s="1"/>
      <c r="T849" s="1"/>
      <c r="U849" s="1"/>
      <c r="V849" s="1"/>
      <c r="W849" s="1"/>
      <c r="X849" s="1"/>
      <c r="Y849" s="1"/>
    </row>
    <row r="850" spans="16:25">
      <c r="P850" s="1"/>
      <c r="Q850" s="1"/>
      <c r="R850" s="1"/>
      <c r="S850" s="1"/>
      <c r="T850" s="1"/>
      <c r="U850" s="1"/>
      <c r="V850" s="1"/>
      <c r="W850" s="1"/>
      <c r="X850" s="1"/>
      <c r="Y850" s="1"/>
    </row>
  </sheetData>
  <mergeCells count="22">
    <mergeCell ref="B10:F10"/>
    <mergeCell ref="B11:F11"/>
    <mergeCell ref="B12:F12"/>
    <mergeCell ref="B2:I3"/>
    <mergeCell ref="B5:C5"/>
    <mergeCell ref="B6:F6"/>
    <mergeCell ref="B7:F7"/>
    <mergeCell ref="B8:F8"/>
    <mergeCell ref="B9:D9"/>
    <mergeCell ref="B14:F14"/>
    <mergeCell ref="B15:F15"/>
    <mergeCell ref="B16:F16"/>
    <mergeCell ref="B26:F26"/>
    <mergeCell ref="B18:F18"/>
    <mergeCell ref="B17:G17"/>
    <mergeCell ref="B21:E21"/>
    <mergeCell ref="B28:F28"/>
    <mergeCell ref="B22:F22"/>
    <mergeCell ref="B23:F23"/>
    <mergeCell ref="B24:F24"/>
    <mergeCell ref="B25:F25"/>
    <mergeCell ref="B27:G27"/>
  </mergeCells>
  <phoneticPr fontId="0" type="noConversion"/>
  <pageMargins left="0" right="0" top="0.59055118110236227" bottom="0.39370078740157483" header="0.51181102362204722" footer="0.51181102362204722"/>
  <pageSetup paperSize="9" fitToHeight="6" orientation="portrait" r:id="rId1"/>
  <headerFooter alignWithMargins="0"/>
  <legacyDrawing r:id="rId2"/>
</worksheet>
</file>

<file path=xl/worksheets/sheet33.xml><?xml version="1.0" encoding="utf-8"?>
<worksheet xmlns="http://schemas.openxmlformats.org/spreadsheetml/2006/main" xmlns:r="http://schemas.openxmlformats.org/officeDocument/2006/relationships">
  <sheetPr codeName="Sheet19">
    <pageSetUpPr autoPageBreaks="0" fitToPage="1"/>
  </sheetPr>
  <dimension ref="A1:K134"/>
  <sheetViews>
    <sheetView showRowColHeaders="0" workbookViewId="0">
      <selection activeCell="B2" sqref="B2:H3"/>
    </sheetView>
  </sheetViews>
  <sheetFormatPr defaultRowHeight="12.75"/>
  <cols>
    <col min="1" max="1" width="11.7109375" customWidth="1"/>
    <col min="2" max="2" width="35.140625" customWidth="1"/>
    <col min="3" max="8" width="11.7109375" customWidth="1"/>
    <col min="9" max="9" width="12" bestFit="1" customWidth="1"/>
  </cols>
  <sheetData>
    <row r="1" spans="1:11" ht="6" customHeight="1" thickBot="1">
      <c r="A1" s="477"/>
      <c r="B1" s="477"/>
      <c r="C1" s="477"/>
      <c r="D1" s="477"/>
      <c r="E1" s="477"/>
      <c r="F1" s="477"/>
      <c r="G1" s="477"/>
      <c r="H1" s="477"/>
      <c r="I1" s="477"/>
      <c r="J1" s="477"/>
      <c r="K1" s="477"/>
    </row>
    <row r="2" spans="1:11" ht="13.5" thickTop="1">
      <c r="A2" s="477"/>
      <c r="B2" s="1024" t="s">
        <v>76</v>
      </c>
      <c r="C2" s="1025"/>
      <c r="D2" s="1025"/>
      <c r="E2" s="1025"/>
      <c r="F2" s="1025"/>
      <c r="G2" s="1025"/>
      <c r="H2" s="1026"/>
      <c r="I2" s="477"/>
      <c r="J2" s="477"/>
      <c r="K2" s="477"/>
    </row>
    <row r="3" spans="1:11" ht="13.5" thickBot="1">
      <c r="A3" s="477"/>
      <c r="B3" s="1027"/>
      <c r="C3" s="1028"/>
      <c r="D3" s="1028"/>
      <c r="E3" s="1028"/>
      <c r="F3" s="1028"/>
      <c r="G3" s="1028"/>
      <c r="H3" s="1029"/>
      <c r="I3" s="477"/>
      <c r="J3" s="477"/>
      <c r="K3" s="477"/>
    </row>
    <row r="4" spans="1:11" ht="13.5" thickTop="1">
      <c r="A4" s="477"/>
      <c r="B4" s="477"/>
      <c r="C4" s="477"/>
      <c r="D4" s="477"/>
      <c r="E4" s="477"/>
      <c r="F4" s="477"/>
      <c r="G4" s="477"/>
      <c r="H4" s="477"/>
      <c r="I4" s="477"/>
      <c r="J4" s="477"/>
      <c r="K4" s="477"/>
    </row>
    <row r="5" spans="1:11">
      <c r="A5" s="477"/>
      <c r="B5" s="1167" t="s">
        <v>179</v>
      </c>
      <c r="C5" s="1170"/>
      <c r="D5" s="1170"/>
      <c r="E5" s="1160"/>
      <c r="F5" s="477"/>
      <c r="G5" s="481"/>
      <c r="H5" s="477"/>
      <c r="I5" s="477"/>
      <c r="J5" s="477"/>
      <c r="K5" s="477"/>
    </row>
    <row r="6" spans="1:11">
      <c r="A6" s="477"/>
      <c r="B6" s="1161" t="s">
        <v>761</v>
      </c>
      <c r="C6" s="1161"/>
      <c r="D6" s="1161"/>
      <c r="E6" s="347">
        <f>'Prod Parameters'!$F$9</f>
        <v>23</v>
      </c>
      <c r="F6" s="477"/>
      <c r="G6" s="481"/>
      <c r="H6" s="477"/>
      <c r="I6" s="477"/>
      <c r="J6" s="477"/>
      <c r="K6" s="477"/>
    </row>
    <row r="7" spans="1:11">
      <c r="A7" s="477"/>
      <c r="B7" s="1161" t="s">
        <v>178</v>
      </c>
      <c r="C7" s="1161"/>
      <c r="D7" s="1161"/>
      <c r="E7" s="348">
        <f>'Prod Parameters'!$F$17</f>
        <v>160</v>
      </c>
      <c r="F7" s="477"/>
      <c r="G7" s="1172"/>
      <c r="H7" s="1172"/>
      <c r="I7" s="477"/>
      <c r="J7" s="477"/>
      <c r="K7" s="477"/>
    </row>
    <row r="8" spans="1:11">
      <c r="A8" s="477"/>
      <c r="B8" s="1161" t="s">
        <v>31</v>
      </c>
      <c r="C8" s="1161"/>
      <c r="D8" s="1161"/>
      <c r="E8" s="349">
        <f>'Prod Parameters'!$F$18</f>
        <v>1.2</v>
      </c>
      <c r="F8" s="477"/>
      <c r="G8" s="477"/>
      <c r="H8" s="477"/>
      <c r="I8" s="477"/>
      <c r="J8" s="477"/>
      <c r="K8" s="477"/>
    </row>
    <row r="9" spans="1:11">
      <c r="A9" s="477"/>
      <c r="B9" s="1161" t="s">
        <v>177</v>
      </c>
      <c r="C9" s="1161"/>
      <c r="D9" s="1161"/>
      <c r="E9" s="350">
        <f>'Prod Parameters'!$F$19</f>
        <v>4</v>
      </c>
      <c r="F9" s="477"/>
      <c r="G9" s="477"/>
      <c r="H9" s="477"/>
      <c r="I9" s="477"/>
      <c r="J9" s="477"/>
      <c r="K9" s="477"/>
    </row>
    <row r="10" spans="1:11">
      <c r="A10" s="477"/>
      <c r="B10" s="1161" t="s">
        <v>20</v>
      </c>
      <c r="C10" s="1161"/>
      <c r="D10" s="1161"/>
      <c r="E10" s="350">
        <f>'Prod Parameters'!$F$20</f>
        <v>40</v>
      </c>
      <c r="F10" s="477"/>
      <c r="G10" s="477"/>
      <c r="H10" s="477"/>
      <c r="I10" s="477"/>
      <c r="J10" s="477"/>
      <c r="K10" s="477"/>
    </row>
    <row r="11" spans="1:11">
      <c r="A11" s="477"/>
      <c r="B11" s="1161" t="s">
        <v>310</v>
      </c>
      <c r="C11" s="1161"/>
      <c r="D11" s="1161"/>
      <c r="E11" s="350">
        <f>E9*E10</f>
        <v>160</v>
      </c>
      <c r="F11" s="477"/>
      <c r="G11" s="477"/>
      <c r="H11" s="477"/>
      <c r="I11" s="477"/>
      <c r="J11" s="477"/>
      <c r="K11" s="477"/>
    </row>
    <row r="12" spans="1:11">
      <c r="A12" s="477"/>
      <c r="B12" s="1161" t="s">
        <v>315</v>
      </c>
      <c r="C12" s="1161"/>
      <c r="D12" s="1161"/>
      <c r="E12" s="351">
        <f>E7*E10</f>
        <v>6400</v>
      </c>
      <c r="F12" s="477"/>
      <c r="G12" s="477"/>
      <c r="H12" s="477"/>
      <c r="I12" s="477"/>
      <c r="J12" s="477"/>
      <c r="K12" s="477"/>
    </row>
    <row r="13" spans="1:11">
      <c r="A13" s="477"/>
      <c r="B13" s="1161" t="s">
        <v>180</v>
      </c>
      <c r="C13" s="1161"/>
      <c r="D13" s="1161"/>
      <c r="E13" s="351">
        <f>E12*E8</f>
        <v>7680</v>
      </c>
      <c r="F13" s="477"/>
      <c r="G13" s="477"/>
      <c r="H13" s="482"/>
      <c r="I13" s="481"/>
      <c r="J13" s="477"/>
      <c r="K13" s="477"/>
    </row>
    <row r="14" spans="1:11">
      <c r="A14" s="477"/>
      <c r="B14" s="1161" t="s">
        <v>185</v>
      </c>
      <c r="C14" s="1161"/>
      <c r="D14" s="1161"/>
      <c r="E14" s="351">
        <f>E13*E6</f>
        <v>176640</v>
      </c>
      <c r="F14" s="477"/>
      <c r="G14" s="477"/>
      <c r="H14" s="482"/>
      <c r="I14" s="481"/>
      <c r="J14" s="477"/>
      <c r="K14" s="477"/>
    </row>
    <row r="15" spans="1:11" ht="13.5" thickBot="1">
      <c r="A15" s="477"/>
      <c r="B15" s="477"/>
      <c r="C15" s="477"/>
      <c r="D15" s="477"/>
      <c r="E15" s="477"/>
      <c r="F15" s="477"/>
      <c r="G15" s="477"/>
      <c r="H15" s="477"/>
      <c r="I15" s="477"/>
      <c r="J15" s="477"/>
      <c r="K15" s="477"/>
    </row>
    <row r="16" spans="1:11">
      <c r="A16" s="477"/>
      <c r="B16" s="483" t="s">
        <v>181</v>
      </c>
      <c r="C16" s="1164" t="s">
        <v>323</v>
      </c>
      <c r="D16" s="1165"/>
      <c r="E16" s="1166"/>
      <c r="F16" s="1164" t="s">
        <v>324</v>
      </c>
      <c r="G16" s="1165"/>
      <c r="H16" s="1166"/>
      <c r="I16" s="477"/>
      <c r="J16" s="477"/>
      <c r="K16" s="477"/>
    </row>
    <row r="17" spans="1:11">
      <c r="A17" s="477"/>
      <c r="B17" s="1167" t="s">
        <v>77</v>
      </c>
      <c r="C17" s="1168" t="s">
        <v>182</v>
      </c>
      <c r="D17" s="1169" t="s">
        <v>186</v>
      </c>
      <c r="E17" s="1171" t="s">
        <v>23</v>
      </c>
      <c r="F17" s="1168" t="s">
        <v>182</v>
      </c>
      <c r="G17" s="1169" t="s">
        <v>186</v>
      </c>
      <c r="H17" s="1171" t="s">
        <v>23</v>
      </c>
      <c r="I17" s="477"/>
      <c r="J17" s="477"/>
      <c r="K17" s="477"/>
    </row>
    <row r="18" spans="1:11">
      <c r="A18" s="477"/>
      <c r="B18" s="1167"/>
      <c r="C18" s="1168"/>
      <c r="D18" s="1169"/>
      <c r="E18" s="1171"/>
      <c r="F18" s="1168"/>
      <c r="G18" s="1169"/>
      <c r="H18" s="1171"/>
      <c r="I18" s="477"/>
      <c r="J18" s="477"/>
      <c r="K18" s="477"/>
    </row>
    <row r="19" spans="1:11">
      <c r="A19" s="477"/>
      <c r="B19" s="484" t="s">
        <v>313</v>
      </c>
      <c r="C19" s="485">
        <f>E14</f>
        <v>176640</v>
      </c>
      <c r="D19" s="78">
        <v>0.66</v>
      </c>
      <c r="E19" s="487">
        <f>C19*D19</f>
        <v>116582.40000000001</v>
      </c>
      <c r="F19" s="485">
        <f>E14</f>
        <v>176640</v>
      </c>
      <c r="G19" s="78">
        <v>0.79</v>
      </c>
      <c r="H19" s="487">
        <f>F19*G19</f>
        <v>139545.60000000001</v>
      </c>
      <c r="I19" s="477"/>
      <c r="J19" s="477"/>
      <c r="K19" s="477"/>
    </row>
    <row r="20" spans="1:11">
      <c r="A20" s="477"/>
      <c r="B20" s="484" t="s">
        <v>74</v>
      </c>
      <c r="C20" s="485">
        <f>C19</f>
        <v>176640</v>
      </c>
      <c r="D20" s="78">
        <v>1.1000000000000001</v>
      </c>
      <c r="E20" s="487">
        <f>C20*D20</f>
        <v>194304.00000000003</v>
      </c>
      <c r="F20" s="485">
        <f>F19</f>
        <v>176640</v>
      </c>
      <c r="G20" s="78">
        <v>1.27</v>
      </c>
      <c r="H20" s="487">
        <f>F20*G20</f>
        <v>224332.80000000002</v>
      </c>
      <c r="I20" s="477"/>
      <c r="J20" s="477"/>
      <c r="K20" s="477"/>
    </row>
    <row r="21" spans="1:11">
      <c r="A21" s="477"/>
      <c r="B21" s="484" t="s">
        <v>183</v>
      </c>
      <c r="C21" s="488">
        <f>(('Prod Parameters'!F11/6)/12)*'Prod Parameters'!F21</f>
        <v>115.55555555555556</v>
      </c>
      <c r="D21" s="78">
        <v>300</v>
      </c>
      <c r="E21" s="487">
        <f>C21*D21</f>
        <v>34666.666666666664</v>
      </c>
      <c r="F21" s="1159" t="s">
        <v>434</v>
      </c>
      <c r="G21" s="1160"/>
      <c r="H21" s="487">
        <f>'Capital Cost'!I17*10%*E10</f>
        <v>322083.44</v>
      </c>
      <c r="I21" s="477"/>
      <c r="J21" s="477"/>
      <c r="K21" s="477"/>
    </row>
    <row r="22" spans="1:11">
      <c r="A22" s="477"/>
      <c r="B22" s="484" t="s">
        <v>762</v>
      </c>
      <c r="C22" s="489"/>
      <c r="D22" s="486"/>
      <c r="E22" s="487">
        <f>C22*D22*12</f>
        <v>0</v>
      </c>
      <c r="F22" s="488">
        <f>E11</f>
        <v>160</v>
      </c>
      <c r="G22" s="480">
        <v>4320</v>
      </c>
      <c r="H22" s="487">
        <f>F22*G22</f>
        <v>691200</v>
      </c>
      <c r="I22" s="477"/>
      <c r="J22" s="477"/>
      <c r="K22" s="477"/>
    </row>
    <row r="23" spans="1:11">
      <c r="A23" s="477"/>
      <c r="B23" s="484" t="s">
        <v>75</v>
      </c>
      <c r="C23" s="485">
        <f>C20</f>
        <v>176640</v>
      </c>
      <c r="D23" s="78">
        <v>0.5</v>
      </c>
      <c r="E23" s="487">
        <f>C23*D23</f>
        <v>88320</v>
      </c>
      <c r="F23" s="489"/>
      <c r="G23" s="396"/>
      <c r="H23" s="487"/>
      <c r="I23" s="477"/>
      <c r="J23" s="477"/>
      <c r="K23" s="477"/>
    </row>
    <row r="24" spans="1:11">
      <c r="A24" s="477"/>
      <c r="B24" s="490" t="s">
        <v>188</v>
      </c>
      <c r="C24" s="491">
        <f>(E11/48)</f>
        <v>3.3333333333333335</v>
      </c>
      <c r="D24" s="79">
        <v>1015</v>
      </c>
      <c r="E24" s="487">
        <f>C24*D24</f>
        <v>3383.3333333333335</v>
      </c>
      <c r="F24" s="485"/>
      <c r="G24" s="396"/>
      <c r="H24" s="487"/>
      <c r="I24" s="477"/>
      <c r="J24" s="477"/>
      <c r="K24" s="477"/>
    </row>
    <row r="25" spans="1:11">
      <c r="A25" s="477"/>
      <c r="B25" s="490" t="s">
        <v>189</v>
      </c>
      <c r="C25" s="491">
        <f>(E11/48)</f>
        <v>3.3333333333333335</v>
      </c>
      <c r="D25" s="79">
        <v>4990</v>
      </c>
      <c r="E25" s="487">
        <f>C25*D25</f>
        <v>16633.333333333336</v>
      </c>
      <c r="F25" s="485"/>
      <c r="G25" s="396"/>
      <c r="H25" s="487"/>
      <c r="I25" s="477"/>
      <c r="J25" s="477"/>
      <c r="K25" s="477"/>
    </row>
    <row r="26" spans="1:11" ht="13.5" thickBot="1">
      <c r="A26" s="477"/>
      <c r="B26" s="484" t="s">
        <v>184</v>
      </c>
      <c r="C26" s="1162"/>
      <c r="D26" s="1163"/>
      <c r="E26" s="492">
        <f>SUM(E19:E25)</f>
        <v>453889.73333333334</v>
      </c>
      <c r="F26" s="1162"/>
      <c r="G26" s="1163"/>
      <c r="H26" s="492">
        <f>SUM(H19:H25)</f>
        <v>1377161.84</v>
      </c>
      <c r="I26" s="477"/>
      <c r="J26" s="477"/>
      <c r="K26" s="477"/>
    </row>
    <row r="27" spans="1:11">
      <c r="A27" s="477"/>
      <c r="B27" s="477"/>
      <c r="C27" s="477"/>
      <c r="D27" s="477"/>
      <c r="E27" s="477"/>
      <c r="F27" s="493"/>
      <c r="G27" s="477"/>
      <c r="H27" s="494"/>
      <c r="I27" s="477"/>
      <c r="J27" s="477"/>
      <c r="K27" s="477"/>
    </row>
    <row r="28" spans="1:11">
      <c r="A28" s="477"/>
      <c r="B28" s="477"/>
      <c r="C28" s="477"/>
      <c r="D28" s="477"/>
      <c r="E28" s="477"/>
      <c r="F28" s="493"/>
      <c r="G28" s="477"/>
      <c r="H28" s="494"/>
      <c r="I28" s="477"/>
      <c r="J28" s="477"/>
      <c r="K28" s="477"/>
    </row>
    <row r="29" spans="1:11">
      <c r="A29" s="477"/>
      <c r="B29" s="477"/>
      <c r="C29" s="477"/>
      <c r="D29" s="477"/>
      <c r="E29" s="477"/>
      <c r="F29" s="493"/>
      <c r="G29" s="477"/>
      <c r="H29" s="494"/>
      <c r="I29" s="477"/>
      <c r="J29" s="477"/>
      <c r="K29" s="477"/>
    </row>
    <row r="30" spans="1:11">
      <c r="A30" s="477"/>
      <c r="B30" s="477"/>
      <c r="C30" s="477"/>
      <c r="D30" s="477"/>
      <c r="E30" s="477"/>
      <c r="F30" s="495"/>
      <c r="G30" s="477"/>
      <c r="H30" s="494"/>
      <c r="I30" s="477"/>
      <c r="J30" s="477"/>
      <c r="K30" s="477"/>
    </row>
    <row r="31" spans="1:11">
      <c r="A31" s="477"/>
      <c r="B31" s="477"/>
      <c r="C31" s="477"/>
      <c r="D31" s="477"/>
      <c r="E31" s="477"/>
      <c r="F31" s="477"/>
      <c r="G31" s="477"/>
      <c r="H31" s="477"/>
      <c r="I31" s="477"/>
      <c r="J31" s="477"/>
      <c r="K31" s="477"/>
    </row>
    <row r="32" spans="1:11">
      <c r="A32" s="477"/>
      <c r="B32" s="477"/>
      <c r="C32" s="477"/>
      <c r="D32" s="477"/>
      <c r="E32" s="477"/>
      <c r="F32" s="477"/>
      <c r="G32" s="477"/>
      <c r="H32" s="477"/>
      <c r="I32" s="477"/>
      <c r="J32" s="477"/>
      <c r="K32" s="477"/>
    </row>
    <row r="33" spans="1:11">
      <c r="A33" s="477"/>
      <c r="B33" s="477"/>
      <c r="C33" s="477"/>
      <c r="D33" s="477"/>
      <c r="E33" s="477"/>
      <c r="F33" s="477"/>
      <c r="G33" s="477"/>
      <c r="H33" s="477"/>
      <c r="I33" s="477"/>
      <c r="J33" s="477"/>
      <c r="K33" s="477"/>
    </row>
    <row r="34" spans="1:11">
      <c r="A34" s="477"/>
      <c r="B34" s="477"/>
      <c r="C34" s="477"/>
      <c r="D34" s="477"/>
      <c r="E34" s="477"/>
      <c r="F34" s="477"/>
      <c r="G34" s="477"/>
      <c r="H34" s="477"/>
      <c r="I34" s="477"/>
      <c r="J34" s="477"/>
      <c r="K34" s="477"/>
    </row>
    <row r="35" spans="1:11">
      <c r="A35" s="477"/>
      <c r="B35" s="477"/>
      <c r="C35" s="477"/>
      <c r="D35" s="477"/>
      <c r="E35" s="477"/>
      <c r="F35" s="477"/>
      <c r="G35" s="477"/>
      <c r="H35" s="477"/>
      <c r="I35" s="477"/>
      <c r="J35" s="477"/>
      <c r="K35" s="477"/>
    </row>
    <row r="36" spans="1:11">
      <c r="A36" s="477"/>
      <c r="B36" s="477"/>
      <c r="C36" s="477"/>
      <c r="D36" s="477"/>
      <c r="E36" s="477"/>
      <c r="F36" s="477"/>
      <c r="G36" s="477"/>
      <c r="H36" s="477"/>
      <c r="I36" s="477"/>
      <c r="J36" s="477"/>
      <c r="K36" s="477"/>
    </row>
    <row r="37" spans="1:11">
      <c r="A37" s="477"/>
      <c r="B37" s="477"/>
      <c r="C37" s="477"/>
      <c r="D37" s="477"/>
      <c r="E37" s="477"/>
      <c r="F37" s="477"/>
      <c r="G37" s="477"/>
      <c r="H37" s="477"/>
      <c r="I37" s="477"/>
      <c r="J37" s="477"/>
      <c r="K37" s="477"/>
    </row>
    <row r="38" spans="1:11">
      <c r="A38" s="477"/>
      <c r="B38" s="477"/>
      <c r="C38" s="477"/>
      <c r="D38" s="477"/>
      <c r="E38" s="477"/>
      <c r="F38" s="477"/>
      <c r="G38" s="477"/>
      <c r="H38" s="477"/>
      <c r="I38" s="477"/>
      <c r="J38" s="477"/>
      <c r="K38" s="477"/>
    </row>
    <row r="39" spans="1:11">
      <c r="A39" s="477"/>
      <c r="B39" s="477"/>
      <c r="C39" s="477"/>
      <c r="D39" s="477"/>
      <c r="E39" s="477"/>
      <c r="F39" s="477"/>
      <c r="G39" s="477"/>
      <c r="H39" s="477"/>
      <c r="I39" s="477"/>
      <c r="J39" s="477"/>
      <c r="K39" s="477"/>
    </row>
    <row r="40" spans="1:11">
      <c r="A40" s="477"/>
      <c r="B40" s="477"/>
      <c r="C40" s="477"/>
      <c r="D40" s="477"/>
      <c r="E40" s="477"/>
      <c r="F40" s="477"/>
      <c r="G40" s="477"/>
      <c r="H40" s="477"/>
      <c r="I40" s="477"/>
      <c r="J40" s="477"/>
      <c r="K40" s="477"/>
    </row>
    <row r="41" spans="1:11">
      <c r="A41" s="477"/>
      <c r="B41" s="477"/>
      <c r="C41" s="477"/>
      <c r="D41" s="477"/>
      <c r="E41" s="477"/>
      <c r="F41" s="477"/>
      <c r="G41" s="477"/>
      <c r="H41" s="477"/>
      <c r="I41" s="477"/>
      <c r="J41" s="477"/>
      <c r="K41" s="477"/>
    </row>
    <row r="42" spans="1:11">
      <c r="A42" s="477"/>
      <c r="B42" s="477"/>
      <c r="C42" s="477"/>
      <c r="D42" s="477"/>
      <c r="E42" s="477"/>
      <c r="F42" s="477"/>
      <c r="G42" s="477"/>
      <c r="H42" s="477"/>
      <c r="I42" s="477"/>
      <c r="J42" s="477"/>
      <c r="K42" s="477"/>
    </row>
    <row r="43" spans="1:11">
      <c r="A43" s="477"/>
      <c r="B43" s="477"/>
      <c r="C43" s="477"/>
      <c r="D43" s="477"/>
      <c r="E43" s="477"/>
      <c r="F43" s="477"/>
      <c r="G43" s="477"/>
      <c r="H43" s="477"/>
      <c r="I43" s="477"/>
      <c r="J43" s="477"/>
      <c r="K43" s="477"/>
    </row>
    <row r="44" spans="1:11">
      <c r="A44" s="477"/>
      <c r="B44" s="477"/>
      <c r="C44" s="477"/>
      <c r="D44" s="477"/>
      <c r="E44" s="477"/>
      <c r="F44" s="477"/>
      <c r="G44" s="477"/>
      <c r="H44" s="477"/>
      <c r="I44" s="477"/>
      <c r="J44" s="477"/>
      <c r="K44" s="477"/>
    </row>
    <row r="45" spans="1:11">
      <c r="A45" s="477"/>
      <c r="B45" s="477"/>
      <c r="C45" s="477"/>
      <c r="D45" s="477"/>
      <c r="E45" s="477"/>
      <c r="F45" s="477"/>
      <c r="G45" s="477"/>
      <c r="H45" s="477"/>
      <c r="I45" s="477"/>
      <c r="J45" s="477"/>
      <c r="K45" s="477"/>
    </row>
    <row r="46" spans="1:11">
      <c r="A46" s="477"/>
      <c r="B46" s="477"/>
      <c r="C46" s="477"/>
      <c r="D46" s="477"/>
      <c r="E46" s="477"/>
      <c r="F46" s="477"/>
      <c r="G46" s="477"/>
      <c r="H46" s="477"/>
      <c r="I46" s="477"/>
      <c r="J46" s="477"/>
      <c r="K46" s="477"/>
    </row>
    <row r="47" spans="1:11">
      <c r="A47" s="477"/>
      <c r="B47" s="477"/>
      <c r="C47" s="477"/>
      <c r="D47" s="477"/>
      <c r="E47" s="477"/>
      <c r="F47" s="477"/>
      <c r="G47" s="477"/>
      <c r="H47" s="477"/>
      <c r="I47" s="477"/>
      <c r="J47" s="477"/>
      <c r="K47" s="477"/>
    </row>
    <row r="48" spans="1:11">
      <c r="A48" s="477"/>
      <c r="B48" s="477"/>
      <c r="C48" s="477"/>
      <c r="D48" s="477"/>
      <c r="E48" s="477"/>
      <c r="F48" s="477"/>
      <c r="G48" s="477"/>
      <c r="H48" s="477"/>
      <c r="I48" s="477"/>
      <c r="J48" s="477"/>
      <c r="K48" s="477"/>
    </row>
    <row r="49" spans="1:11">
      <c r="A49" s="477"/>
      <c r="B49" s="477"/>
      <c r="C49" s="477"/>
      <c r="D49" s="477"/>
      <c r="E49" s="477"/>
      <c r="F49" s="477"/>
      <c r="G49" s="477"/>
      <c r="H49" s="477"/>
      <c r="I49" s="477"/>
      <c r="J49" s="477"/>
      <c r="K49" s="477"/>
    </row>
    <row r="50" spans="1:11">
      <c r="A50" s="477"/>
      <c r="B50" s="477"/>
      <c r="C50" s="477"/>
      <c r="D50" s="477"/>
      <c r="E50" s="477"/>
      <c r="F50" s="477"/>
      <c r="G50" s="477"/>
      <c r="H50" s="477"/>
      <c r="I50" s="477"/>
      <c r="J50" s="477"/>
      <c r="K50" s="477"/>
    </row>
    <row r="51" spans="1:11">
      <c r="A51" s="477"/>
      <c r="B51" s="477"/>
      <c r="C51" s="477"/>
      <c r="D51" s="477"/>
      <c r="E51" s="477"/>
      <c r="F51" s="477"/>
      <c r="G51" s="477"/>
      <c r="H51" s="477"/>
      <c r="I51" s="477"/>
      <c r="J51" s="477"/>
      <c r="K51" s="477"/>
    </row>
    <row r="52" spans="1:11">
      <c r="A52" s="477"/>
      <c r="B52" s="477"/>
      <c r="C52" s="477"/>
      <c r="D52" s="477"/>
      <c r="E52" s="477"/>
      <c r="F52" s="477"/>
      <c r="G52" s="477"/>
      <c r="H52" s="477"/>
      <c r="I52" s="477"/>
      <c r="J52" s="477"/>
      <c r="K52" s="477"/>
    </row>
    <row r="53" spans="1:11">
      <c r="A53" s="477"/>
      <c r="B53" s="477"/>
      <c r="C53" s="477"/>
      <c r="D53" s="477"/>
      <c r="E53" s="477"/>
      <c r="F53" s="477"/>
      <c r="G53" s="477"/>
      <c r="H53" s="477"/>
      <c r="I53" s="477"/>
      <c r="J53" s="477"/>
      <c r="K53" s="477"/>
    </row>
    <row r="54" spans="1:11">
      <c r="A54" s="477"/>
      <c r="B54" s="477"/>
      <c r="C54" s="477"/>
      <c r="D54" s="477"/>
      <c r="E54" s="477"/>
      <c r="F54" s="477"/>
      <c r="G54" s="477"/>
      <c r="H54" s="477"/>
      <c r="I54" s="477"/>
      <c r="J54" s="477"/>
      <c r="K54" s="477"/>
    </row>
    <row r="55" spans="1:11">
      <c r="A55" s="477"/>
      <c r="B55" s="477"/>
      <c r="C55" s="477"/>
      <c r="D55" s="477"/>
      <c r="E55" s="477"/>
      <c r="F55" s="477"/>
      <c r="G55" s="477"/>
      <c r="H55" s="477"/>
      <c r="I55" s="477"/>
      <c r="J55" s="477"/>
      <c r="K55" s="477"/>
    </row>
    <row r="56" spans="1:11">
      <c r="A56" s="477"/>
      <c r="B56" s="477"/>
      <c r="C56" s="477"/>
      <c r="D56" s="477"/>
      <c r="E56" s="477"/>
      <c r="F56" s="477"/>
      <c r="G56" s="477"/>
      <c r="H56" s="477"/>
      <c r="I56" s="477"/>
      <c r="J56" s="477"/>
      <c r="K56" s="477"/>
    </row>
    <row r="57" spans="1:11">
      <c r="A57" s="114"/>
      <c r="B57" s="114"/>
      <c r="C57" s="114"/>
      <c r="D57" s="114"/>
      <c r="E57" s="114"/>
      <c r="F57" s="114"/>
      <c r="G57" s="114"/>
      <c r="H57" s="114"/>
      <c r="I57" s="114"/>
      <c r="J57" s="114"/>
      <c r="K57" s="114"/>
    </row>
    <row r="58" spans="1:11">
      <c r="A58" s="114"/>
      <c r="B58" s="114"/>
      <c r="C58" s="114"/>
      <c r="D58" s="114"/>
      <c r="E58" s="114"/>
      <c r="F58" s="114"/>
      <c r="G58" s="114"/>
      <c r="H58" s="114"/>
      <c r="I58" s="114"/>
      <c r="J58" s="114"/>
      <c r="K58" s="114"/>
    </row>
    <row r="59" spans="1:11">
      <c r="A59" s="114"/>
      <c r="B59" s="114"/>
      <c r="C59" s="114"/>
      <c r="D59" s="114"/>
      <c r="E59" s="114"/>
      <c r="F59" s="114"/>
      <c r="G59" s="114"/>
      <c r="H59" s="114"/>
      <c r="I59" s="114"/>
      <c r="J59" s="114"/>
      <c r="K59" s="114"/>
    </row>
    <row r="60" spans="1:11">
      <c r="A60" s="114"/>
      <c r="B60" s="114"/>
      <c r="C60" s="114"/>
      <c r="D60" s="114"/>
      <c r="E60" s="114"/>
      <c r="F60" s="114"/>
      <c r="G60" s="114"/>
      <c r="H60" s="114"/>
      <c r="I60" s="114"/>
      <c r="J60" s="114"/>
      <c r="K60" s="114"/>
    </row>
    <row r="61" spans="1:11">
      <c r="A61" s="114"/>
      <c r="B61" s="114"/>
      <c r="C61" s="114"/>
      <c r="D61" s="114"/>
      <c r="E61" s="114"/>
      <c r="F61" s="114"/>
      <c r="G61" s="114"/>
      <c r="H61" s="114"/>
      <c r="I61" s="114"/>
      <c r="J61" s="114"/>
      <c r="K61" s="114"/>
    </row>
    <row r="62" spans="1:11">
      <c r="A62" s="114"/>
      <c r="B62" s="114"/>
      <c r="C62" s="114"/>
      <c r="D62" s="114"/>
      <c r="E62" s="114"/>
      <c r="F62" s="114"/>
      <c r="G62" s="114"/>
      <c r="H62" s="114"/>
      <c r="I62" s="114"/>
      <c r="J62" s="114"/>
      <c r="K62" s="114"/>
    </row>
    <row r="63" spans="1:11">
      <c r="A63" s="114"/>
      <c r="B63" s="114"/>
      <c r="C63" s="114"/>
      <c r="D63" s="114"/>
      <c r="E63" s="114"/>
      <c r="F63" s="114"/>
      <c r="G63" s="114"/>
      <c r="H63" s="114"/>
      <c r="I63" s="114"/>
      <c r="J63" s="114"/>
      <c r="K63" s="114"/>
    </row>
    <row r="64" spans="1:11">
      <c r="A64" s="114"/>
      <c r="B64" s="114"/>
      <c r="C64" s="114"/>
      <c r="D64" s="114"/>
      <c r="E64" s="114"/>
      <c r="F64" s="114"/>
      <c r="G64" s="114"/>
      <c r="H64" s="114"/>
      <c r="I64" s="114"/>
      <c r="J64" s="114"/>
      <c r="K64" s="114"/>
    </row>
    <row r="65" spans="1:11">
      <c r="A65" s="114"/>
      <c r="B65" s="114"/>
      <c r="C65" s="114"/>
      <c r="D65" s="114"/>
      <c r="E65" s="114"/>
      <c r="F65" s="114"/>
      <c r="G65" s="114"/>
      <c r="H65" s="114"/>
      <c r="I65" s="114"/>
      <c r="J65" s="114"/>
      <c r="K65" s="114"/>
    </row>
    <row r="66" spans="1:11">
      <c r="A66" s="114"/>
      <c r="B66" s="114"/>
      <c r="C66" s="114"/>
      <c r="D66" s="114"/>
      <c r="E66" s="114"/>
      <c r="F66" s="114"/>
      <c r="G66" s="114"/>
      <c r="H66" s="114"/>
      <c r="I66" s="114"/>
      <c r="J66" s="114"/>
      <c r="K66" s="114"/>
    </row>
    <row r="67" spans="1:11">
      <c r="A67" s="114"/>
      <c r="B67" s="114"/>
      <c r="C67" s="114"/>
      <c r="D67" s="114"/>
      <c r="E67" s="114"/>
      <c r="F67" s="114"/>
      <c r="G67" s="114"/>
      <c r="H67" s="114"/>
      <c r="I67" s="114"/>
      <c r="J67" s="114"/>
      <c r="K67" s="114"/>
    </row>
    <row r="68" spans="1:11">
      <c r="A68" s="114"/>
      <c r="B68" s="114"/>
      <c r="C68" s="114"/>
      <c r="D68" s="114"/>
      <c r="E68" s="114"/>
      <c r="F68" s="114"/>
      <c r="G68" s="114"/>
      <c r="H68" s="114"/>
      <c r="I68" s="114"/>
      <c r="J68" s="114"/>
      <c r="K68" s="114"/>
    </row>
    <row r="69" spans="1:11">
      <c r="A69" s="114"/>
      <c r="B69" s="114"/>
      <c r="C69" s="114"/>
      <c r="D69" s="114"/>
      <c r="E69" s="114"/>
      <c r="F69" s="114"/>
      <c r="G69" s="114"/>
      <c r="H69" s="114"/>
      <c r="I69" s="114"/>
      <c r="J69" s="114"/>
      <c r="K69" s="114"/>
    </row>
    <row r="70" spans="1:11">
      <c r="A70" s="114"/>
      <c r="B70" s="114"/>
      <c r="C70" s="114"/>
      <c r="D70" s="114"/>
      <c r="E70" s="114"/>
      <c r="F70" s="114"/>
      <c r="G70" s="114"/>
      <c r="H70" s="114"/>
      <c r="I70" s="114"/>
      <c r="J70" s="114"/>
      <c r="K70" s="114"/>
    </row>
    <row r="71" spans="1:11">
      <c r="A71" s="114"/>
      <c r="B71" s="114"/>
      <c r="C71" s="114"/>
      <c r="D71" s="114"/>
      <c r="E71" s="114"/>
      <c r="F71" s="114"/>
      <c r="G71" s="114"/>
      <c r="H71" s="114"/>
      <c r="I71" s="114"/>
      <c r="J71" s="114"/>
      <c r="K71" s="114"/>
    </row>
    <row r="72" spans="1:11">
      <c r="A72" s="114"/>
      <c r="B72" s="114"/>
      <c r="C72" s="114"/>
      <c r="D72" s="114"/>
      <c r="E72" s="114"/>
      <c r="F72" s="114"/>
      <c r="G72" s="114"/>
      <c r="H72" s="114"/>
      <c r="I72" s="114"/>
      <c r="J72" s="114"/>
      <c r="K72" s="114"/>
    </row>
    <row r="73" spans="1:11">
      <c r="A73" s="114"/>
      <c r="B73" s="114"/>
      <c r="C73" s="114"/>
      <c r="D73" s="114"/>
      <c r="E73" s="114"/>
      <c r="F73" s="114"/>
      <c r="G73" s="114"/>
      <c r="H73" s="114"/>
      <c r="I73" s="114"/>
      <c r="J73" s="114"/>
      <c r="K73" s="114"/>
    </row>
    <row r="74" spans="1:11">
      <c r="A74" s="114"/>
      <c r="B74" s="114"/>
      <c r="C74" s="114"/>
      <c r="D74" s="114"/>
      <c r="E74" s="114"/>
      <c r="F74" s="114"/>
      <c r="G74" s="114"/>
      <c r="H74" s="114"/>
      <c r="I74" s="114"/>
      <c r="J74" s="114"/>
      <c r="K74" s="114"/>
    </row>
    <row r="75" spans="1:11">
      <c r="A75" s="114"/>
      <c r="B75" s="114"/>
      <c r="C75" s="114"/>
      <c r="D75" s="114"/>
      <c r="E75" s="114"/>
      <c r="F75" s="114"/>
      <c r="G75" s="114"/>
      <c r="H75" s="114"/>
      <c r="I75" s="114"/>
      <c r="J75" s="114"/>
      <c r="K75" s="114"/>
    </row>
    <row r="76" spans="1:11">
      <c r="A76" s="114"/>
      <c r="B76" s="114"/>
      <c r="C76" s="114"/>
      <c r="D76" s="114"/>
      <c r="E76" s="114"/>
      <c r="F76" s="114"/>
      <c r="G76" s="114"/>
      <c r="H76" s="114"/>
      <c r="I76" s="114"/>
      <c r="J76" s="114"/>
      <c r="K76" s="114"/>
    </row>
    <row r="77" spans="1:11">
      <c r="A77" s="10"/>
      <c r="B77" s="10"/>
      <c r="C77" s="10"/>
      <c r="D77" s="10"/>
      <c r="E77" s="10"/>
      <c r="F77" s="10"/>
      <c r="G77" s="10"/>
      <c r="H77" s="10"/>
      <c r="I77" s="10"/>
      <c r="J77" s="10"/>
      <c r="K77" s="10"/>
    </row>
    <row r="78" spans="1:11">
      <c r="A78" s="10"/>
      <c r="B78" s="10"/>
      <c r="C78" s="10"/>
      <c r="D78" s="10"/>
      <c r="E78" s="10"/>
      <c r="F78" s="10"/>
      <c r="G78" s="10"/>
      <c r="H78" s="10"/>
      <c r="I78" s="10"/>
      <c r="J78" s="10"/>
      <c r="K78" s="10"/>
    </row>
    <row r="79" spans="1:11">
      <c r="A79" s="10"/>
      <c r="B79" s="10"/>
      <c r="C79" s="10"/>
      <c r="D79" s="10"/>
      <c r="E79" s="10"/>
      <c r="F79" s="10"/>
      <c r="G79" s="10"/>
      <c r="H79" s="10"/>
      <c r="I79" s="10"/>
      <c r="J79" s="10"/>
      <c r="K79" s="10"/>
    </row>
    <row r="80" spans="1:11">
      <c r="A80" s="10"/>
      <c r="B80" s="10"/>
      <c r="C80" s="10"/>
      <c r="D80" s="10"/>
      <c r="E80" s="10"/>
      <c r="F80" s="10"/>
      <c r="G80" s="10"/>
      <c r="H80" s="10"/>
      <c r="I80" s="10"/>
      <c r="J80" s="10"/>
      <c r="K80" s="10"/>
    </row>
    <row r="81" spans="1:11">
      <c r="A81" s="10"/>
      <c r="B81" s="10"/>
      <c r="C81" s="10"/>
      <c r="D81" s="10"/>
      <c r="E81" s="10"/>
      <c r="F81" s="10"/>
      <c r="G81" s="10"/>
      <c r="H81" s="10"/>
      <c r="I81" s="10"/>
      <c r="J81" s="10"/>
      <c r="K81" s="10"/>
    </row>
    <row r="82" spans="1:11">
      <c r="A82" s="10"/>
      <c r="B82" s="10"/>
      <c r="C82" s="10"/>
      <c r="D82" s="10"/>
      <c r="E82" s="10"/>
      <c r="F82" s="10"/>
      <c r="G82" s="10"/>
      <c r="H82" s="10"/>
      <c r="I82" s="10"/>
      <c r="J82" s="10"/>
      <c r="K82" s="10"/>
    </row>
    <row r="83" spans="1:11">
      <c r="A83" s="10"/>
      <c r="B83" s="10"/>
      <c r="C83" s="10"/>
      <c r="D83" s="10"/>
      <c r="E83" s="10"/>
      <c r="F83" s="10"/>
      <c r="G83" s="10"/>
      <c r="H83" s="10"/>
      <c r="I83" s="10"/>
      <c r="J83" s="10"/>
      <c r="K83" s="10"/>
    </row>
    <row r="84" spans="1:11">
      <c r="A84" s="10"/>
      <c r="B84" s="10"/>
      <c r="C84" s="10"/>
      <c r="D84" s="10"/>
      <c r="E84" s="10"/>
      <c r="F84" s="10"/>
      <c r="G84" s="10"/>
      <c r="H84" s="10"/>
      <c r="I84" s="10"/>
      <c r="J84" s="10"/>
      <c r="K84" s="10"/>
    </row>
    <row r="85" spans="1:11">
      <c r="A85" s="10"/>
      <c r="B85" s="10"/>
      <c r="C85" s="10"/>
      <c r="D85" s="10"/>
      <c r="E85" s="10"/>
      <c r="F85" s="10"/>
      <c r="G85" s="10"/>
      <c r="H85" s="10"/>
      <c r="I85" s="10"/>
      <c r="J85" s="10"/>
      <c r="K85" s="10"/>
    </row>
    <row r="86" spans="1:11">
      <c r="A86" s="10"/>
      <c r="B86" s="10"/>
      <c r="C86" s="10"/>
      <c r="D86" s="10"/>
      <c r="E86" s="10"/>
      <c r="F86" s="10"/>
      <c r="G86" s="10"/>
      <c r="H86" s="10"/>
      <c r="I86" s="10"/>
      <c r="J86" s="10"/>
      <c r="K86" s="10"/>
    </row>
    <row r="87" spans="1:11">
      <c r="A87" s="10"/>
      <c r="B87" s="10"/>
      <c r="C87" s="10"/>
      <c r="D87" s="10"/>
      <c r="E87" s="10"/>
      <c r="F87" s="10"/>
      <c r="G87" s="10"/>
      <c r="H87" s="10"/>
      <c r="I87" s="10"/>
      <c r="J87" s="10"/>
      <c r="K87" s="10"/>
    </row>
    <row r="88" spans="1:11">
      <c r="A88" s="10"/>
      <c r="B88" s="10"/>
      <c r="C88" s="10"/>
      <c r="D88" s="10"/>
      <c r="E88" s="10"/>
      <c r="F88" s="10"/>
      <c r="G88" s="10"/>
      <c r="H88" s="10"/>
      <c r="I88" s="10"/>
      <c r="J88" s="10"/>
      <c r="K88" s="10"/>
    </row>
    <row r="89" spans="1:11">
      <c r="A89" s="10"/>
      <c r="B89" s="10"/>
      <c r="C89" s="10"/>
      <c r="D89" s="10"/>
      <c r="E89" s="10"/>
      <c r="F89" s="10"/>
      <c r="G89" s="10"/>
      <c r="H89" s="10"/>
      <c r="I89" s="10"/>
      <c r="J89" s="10"/>
      <c r="K89" s="10"/>
    </row>
    <row r="90" spans="1:11">
      <c r="A90" s="10"/>
      <c r="B90" s="10"/>
      <c r="C90" s="10"/>
      <c r="D90" s="10"/>
      <c r="E90" s="10"/>
      <c r="F90" s="10"/>
      <c r="G90" s="10"/>
      <c r="H90" s="10"/>
      <c r="I90" s="10"/>
      <c r="J90" s="10"/>
      <c r="K90" s="10"/>
    </row>
    <row r="91" spans="1:11">
      <c r="A91" s="10"/>
      <c r="B91" s="10"/>
      <c r="C91" s="10"/>
      <c r="D91" s="10"/>
      <c r="E91" s="10"/>
      <c r="F91" s="10"/>
      <c r="G91" s="10"/>
      <c r="H91" s="238"/>
      <c r="I91" s="10"/>
      <c r="J91" s="10"/>
      <c r="K91" s="10"/>
    </row>
    <row r="92" spans="1:11">
      <c r="A92" s="10"/>
      <c r="B92" s="10"/>
      <c r="C92" s="10"/>
      <c r="D92" s="10"/>
      <c r="E92" s="10"/>
      <c r="F92" s="10"/>
      <c r="G92" s="10"/>
      <c r="H92" s="10"/>
      <c r="I92" s="10"/>
      <c r="J92" s="10"/>
      <c r="K92" s="10"/>
    </row>
    <row r="93" spans="1:11">
      <c r="A93" s="10"/>
      <c r="B93" s="10"/>
      <c r="C93" s="10"/>
      <c r="D93" s="10"/>
      <c r="E93" s="10"/>
      <c r="F93" s="10"/>
      <c r="G93" s="10"/>
      <c r="H93" s="10"/>
      <c r="I93" s="10"/>
      <c r="J93" s="10"/>
      <c r="K93" s="10"/>
    </row>
    <row r="94" spans="1:11">
      <c r="A94" s="10"/>
      <c r="B94" s="10"/>
      <c r="C94" s="10"/>
      <c r="D94" s="10"/>
      <c r="E94" s="10"/>
      <c r="F94" s="10"/>
      <c r="G94" s="10"/>
      <c r="H94" s="10"/>
      <c r="I94" s="10"/>
      <c r="J94" s="10"/>
      <c r="K94" s="10"/>
    </row>
    <row r="95" spans="1:11">
      <c r="A95" s="10"/>
      <c r="B95" s="10"/>
      <c r="C95" s="10"/>
      <c r="D95" s="10"/>
      <c r="E95" s="10"/>
      <c r="F95" s="10"/>
      <c r="G95" s="10"/>
      <c r="H95" s="10"/>
      <c r="I95" s="10"/>
      <c r="J95" s="10"/>
      <c r="K95" s="10"/>
    </row>
    <row r="96" spans="1:11">
      <c r="A96" s="10"/>
      <c r="B96" s="10"/>
      <c r="C96" s="10"/>
      <c r="D96" s="10"/>
      <c r="E96" s="10"/>
      <c r="F96" s="10"/>
      <c r="G96" s="10"/>
      <c r="H96" s="10"/>
      <c r="I96" s="10"/>
      <c r="J96" s="10"/>
      <c r="K96" s="10"/>
    </row>
    <row r="97" spans="1:11">
      <c r="A97" s="10"/>
      <c r="B97" s="10"/>
      <c r="C97" s="10"/>
      <c r="D97" s="10"/>
      <c r="E97" s="10"/>
      <c r="F97" s="10"/>
      <c r="G97" s="10"/>
      <c r="H97" s="10"/>
      <c r="I97" s="10"/>
      <c r="J97" s="10"/>
      <c r="K97" s="10"/>
    </row>
    <row r="98" spans="1:11">
      <c r="A98" s="10"/>
      <c r="B98" s="10"/>
      <c r="C98" s="10"/>
      <c r="D98" s="10"/>
      <c r="E98" s="10"/>
      <c r="F98" s="10"/>
      <c r="G98" s="10"/>
      <c r="H98" s="10"/>
      <c r="I98" s="10"/>
      <c r="J98" s="10"/>
      <c r="K98" s="10"/>
    </row>
    <row r="99" spans="1:11">
      <c r="A99" s="10"/>
      <c r="B99" s="10"/>
      <c r="C99" s="10"/>
      <c r="D99" s="10"/>
      <c r="E99" s="10"/>
      <c r="F99" s="10"/>
      <c r="G99" s="10"/>
      <c r="H99" s="10"/>
      <c r="I99" s="10"/>
      <c r="J99" s="10"/>
      <c r="K99" s="10"/>
    </row>
    <row r="100" spans="1:11">
      <c r="A100" s="10"/>
      <c r="B100" s="10"/>
      <c r="C100" s="10"/>
      <c r="D100" s="10"/>
      <c r="E100" s="10"/>
      <c r="F100" s="10"/>
      <c r="G100" s="10"/>
      <c r="H100" s="10"/>
      <c r="I100" s="10"/>
      <c r="J100" s="10"/>
      <c r="K100" s="10"/>
    </row>
    <row r="101" spans="1:11">
      <c r="A101" s="10"/>
      <c r="B101" s="10"/>
      <c r="C101" s="10"/>
      <c r="D101" s="10"/>
      <c r="E101" s="10"/>
      <c r="F101" s="10"/>
      <c r="G101" s="10"/>
      <c r="H101" s="10"/>
      <c r="I101" s="10"/>
      <c r="J101" s="10"/>
      <c r="K101" s="10"/>
    </row>
    <row r="102" spans="1:11">
      <c r="A102" s="10"/>
      <c r="B102" s="10"/>
      <c r="C102" s="10"/>
      <c r="D102" s="10"/>
      <c r="E102" s="10"/>
      <c r="F102" s="10"/>
      <c r="G102" s="10"/>
      <c r="H102" s="10"/>
      <c r="I102" s="10"/>
      <c r="J102" s="10"/>
      <c r="K102" s="10"/>
    </row>
    <row r="103" spans="1:11">
      <c r="A103" s="10"/>
      <c r="B103" s="10"/>
      <c r="C103" s="10"/>
      <c r="D103" s="10"/>
      <c r="E103" s="10"/>
      <c r="F103" s="10"/>
      <c r="G103" s="10"/>
      <c r="H103" s="10"/>
      <c r="I103" s="10"/>
      <c r="J103" s="10"/>
      <c r="K103" s="10"/>
    </row>
    <row r="104" spans="1:11">
      <c r="A104" s="10"/>
      <c r="B104" s="10"/>
      <c r="C104" s="10"/>
      <c r="D104" s="10"/>
      <c r="E104" s="10"/>
      <c r="F104" s="10"/>
      <c r="G104" s="10"/>
      <c r="H104" s="10"/>
      <c r="I104" s="10"/>
      <c r="J104" s="10"/>
      <c r="K104" s="10"/>
    </row>
    <row r="105" spans="1:11">
      <c r="A105" s="10"/>
      <c r="B105" s="10"/>
      <c r="C105" s="10"/>
      <c r="D105" s="10"/>
      <c r="E105" s="10"/>
      <c r="F105" s="10"/>
      <c r="G105" s="10"/>
      <c r="H105" s="10"/>
      <c r="I105" s="10"/>
      <c r="J105" s="10"/>
      <c r="K105" s="10"/>
    </row>
    <row r="106" spans="1:11">
      <c r="A106" s="10"/>
      <c r="B106" s="10"/>
      <c r="C106" s="10"/>
      <c r="D106" s="10"/>
      <c r="E106" s="10"/>
      <c r="F106" s="10"/>
      <c r="G106" s="10"/>
      <c r="H106" s="10"/>
      <c r="I106" s="10"/>
      <c r="J106" s="10"/>
      <c r="K106" s="10"/>
    </row>
    <row r="107" spans="1:11">
      <c r="A107" s="10"/>
      <c r="B107" s="10"/>
      <c r="C107" s="10"/>
      <c r="D107" s="10"/>
      <c r="E107" s="10"/>
      <c r="F107" s="10"/>
      <c r="G107" s="10"/>
      <c r="H107" s="10"/>
      <c r="I107" s="10"/>
      <c r="J107" s="10"/>
      <c r="K107" s="10"/>
    </row>
    <row r="108" spans="1:11">
      <c r="A108" s="10"/>
      <c r="B108" s="10"/>
      <c r="C108" s="10"/>
      <c r="D108" s="10"/>
      <c r="E108" s="10"/>
      <c r="F108" s="10"/>
      <c r="G108" s="10"/>
      <c r="H108" s="10"/>
      <c r="I108" s="10"/>
      <c r="J108" s="10"/>
      <c r="K108" s="10"/>
    </row>
    <row r="109" spans="1:11">
      <c r="A109" s="10"/>
      <c r="B109" s="10"/>
      <c r="C109" s="10"/>
      <c r="D109" s="10"/>
      <c r="E109" s="10"/>
      <c r="F109" s="10"/>
      <c r="G109" s="10"/>
      <c r="H109" s="10"/>
      <c r="I109" s="10"/>
      <c r="J109" s="10"/>
      <c r="K109" s="10"/>
    </row>
    <row r="110" spans="1:11">
      <c r="A110" s="10"/>
      <c r="B110" s="10"/>
      <c r="C110" s="10"/>
      <c r="D110" s="10"/>
      <c r="E110" s="10"/>
      <c r="F110" s="10"/>
      <c r="G110" s="10"/>
      <c r="H110" s="10"/>
      <c r="I110" s="10"/>
      <c r="J110" s="10"/>
      <c r="K110" s="10"/>
    </row>
    <row r="111" spans="1:11">
      <c r="C111" s="10"/>
      <c r="D111" s="10"/>
      <c r="E111" s="10"/>
      <c r="F111" s="10"/>
      <c r="G111" s="10"/>
      <c r="H111" s="10"/>
      <c r="I111" s="10"/>
      <c r="J111" s="10"/>
      <c r="K111" s="10"/>
    </row>
    <row r="112" spans="1:11">
      <c r="C112" s="10"/>
      <c r="D112" s="10"/>
      <c r="E112" s="10"/>
      <c r="F112" s="10"/>
      <c r="G112" s="10"/>
      <c r="H112" s="10"/>
      <c r="I112" s="10"/>
      <c r="J112" s="10"/>
      <c r="K112" s="10"/>
    </row>
    <row r="113" spans="3:11">
      <c r="C113" s="10"/>
      <c r="D113" s="10"/>
      <c r="E113" s="10"/>
      <c r="F113" s="10"/>
      <c r="G113" s="10"/>
      <c r="H113" s="10"/>
      <c r="I113" s="10"/>
      <c r="J113" s="10"/>
      <c r="K113" s="10"/>
    </row>
    <row r="114" spans="3:11">
      <c r="C114" s="10"/>
      <c r="D114" s="10"/>
      <c r="E114" s="10"/>
      <c r="F114" s="10"/>
      <c r="G114" s="10"/>
      <c r="H114" s="10"/>
      <c r="I114" s="10"/>
      <c r="J114" s="10"/>
      <c r="K114" s="10"/>
    </row>
    <row r="115" spans="3:11">
      <c r="C115" s="10"/>
      <c r="D115" s="10"/>
      <c r="E115" s="10"/>
      <c r="F115" s="10"/>
      <c r="G115" s="10"/>
      <c r="H115" s="10"/>
      <c r="I115" s="10"/>
      <c r="J115" s="10"/>
      <c r="K115" s="10"/>
    </row>
    <row r="116" spans="3:11">
      <c r="C116" s="10"/>
      <c r="D116" s="10"/>
      <c r="E116" s="10"/>
      <c r="F116" s="10"/>
      <c r="G116" s="10"/>
      <c r="H116" s="10"/>
      <c r="I116" s="10"/>
      <c r="J116" s="10"/>
      <c r="K116" s="10"/>
    </row>
    <row r="117" spans="3:11">
      <c r="C117" s="10"/>
      <c r="D117" s="10"/>
      <c r="E117" s="10"/>
      <c r="F117" s="10"/>
      <c r="G117" s="10"/>
      <c r="H117" s="10"/>
      <c r="I117" s="10"/>
      <c r="J117" s="10"/>
      <c r="K117" s="10"/>
    </row>
    <row r="118" spans="3:11">
      <c r="C118" s="10"/>
      <c r="D118" s="10"/>
      <c r="E118" s="10"/>
      <c r="F118" s="10"/>
      <c r="G118" s="10"/>
      <c r="H118" s="10"/>
      <c r="I118" s="10"/>
      <c r="J118" s="10"/>
      <c r="K118" s="10"/>
    </row>
    <row r="119" spans="3:11">
      <c r="C119" s="10"/>
      <c r="D119" s="10"/>
      <c r="E119" s="10"/>
      <c r="F119" s="10"/>
      <c r="G119" s="10"/>
      <c r="H119" s="10"/>
      <c r="I119" s="10"/>
      <c r="J119" s="10"/>
      <c r="K119" s="10"/>
    </row>
    <row r="120" spans="3:11">
      <c r="C120" s="10"/>
      <c r="D120" s="10"/>
      <c r="E120" s="10"/>
      <c r="F120" s="10"/>
      <c r="G120" s="10"/>
      <c r="H120" s="10"/>
      <c r="I120" s="10"/>
      <c r="J120" s="10"/>
      <c r="K120" s="10"/>
    </row>
    <row r="121" spans="3:11">
      <c r="C121" s="10"/>
      <c r="D121" s="10"/>
      <c r="E121" s="10"/>
      <c r="F121" s="10"/>
      <c r="G121" s="10"/>
      <c r="H121" s="10"/>
      <c r="I121" s="10"/>
      <c r="J121" s="10"/>
      <c r="K121" s="10"/>
    </row>
    <row r="122" spans="3:11">
      <c r="C122" s="10"/>
      <c r="D122" s="10"/>
      <c r="E122" s="10"/>
      <c r="F122" s="10"/>
      <c r="G122" s="10"/>
      <c r="H122" s="10"/>
      <c r="I122" s="10"/>
      <c r="J122" s="10"/>
      <c r="K122" s="10"/>
    </row>
    <row r="123" spans="3:11">
      <c r="C123" s="10"/>
      <c r="D123" s="10"/>
      <c r="E123" s="10"/>
      <c r="F123" s="10"/>
      <c r="G123" s="10"/>
      <c r="H123" s="10"/>
      <c r="I123" s="10"/>
      <c r="J123" s="10"/>
      <c r="K123" s="10"/>
    </row>
    <row r="124" spans="3:11">
      <c r="C124" s="10"/>
      <c r="D124" s="10"/>
      <c r="E124" s="10"/>
      <c r="F124" s="10"/>
      <c r="G124" s="10"/>
      <c r="H124" s="10"/>
      <c r="I124" s="10"/>
      <c r="J124" s="10"/>
      <c r="K124" s="10"/>
    </row>
    <row r="125" spans="3:11">
      <c r="C125" s="10"/>
      <c r="D125" s="10"/>
      <c r="E125" s="10"/>
      <c r="F125" s="10"/>
      <c r="G125" s="10"/>
      <c r="H125" s="10"/>
      <c r="I125" s="10"/>
      <c r="J125" s="10"/>
      <c r="K125" s="10"/>
    </row>
    <row r="126" spans="3:11">
      <c r="C126" s="10"/>
      <c r="D126" s="10"/>
      <c r="E126" s="10"/>
      <c r="F126" s="10"/>
      <c r="G126" s="10"/>
      <c r="H126" s="10"/>
      <c r="I126" s="10"/>
      <c r="J126" s="10"/>
      <c r="K126" s="10"/>
    </row>
    <row r="127" spans="3:11">
      <c r="C127" s="10"/>
      <c r="D127" s="10"/>
      <c r="E127" s="10"/>
      <c r="F127" s="10"/>
      <c r="G127" s="10"/>
      <c r="H127" s="10"/>
      <c r="I127" s="10"/>
      <c r="J127" s="10"/>
      <c r="K127" s="10"/>
    </row>
    <row r="128" spans="3:11">
      <c r="C128" s="10"/>
      <c r="D128" s="10"/>
      <c r="E128" s="10"/>
      <c r="F128" s="10"/>
      <c r="G128" s="10"/>
      <c r="H128" s="10"/>
      <c r="I128" s="10"/>
      <c r="J128" s="10"/>
      <c r="K128" s="10"/>
    </row>
    <row r="129" spans="3:11">
      <c r="C129" s="10"/>
      <c r="D129" s="10"/>
      <c r="E129" s="10"/>
      <c r="F129" s="10"/>
      <c r="G129" s="10"/>
      <c r="H129" s="10"/>
      <c r="I129" s="10"/>
      <c r="J129" s="10"/>
      <c r="K129" s="10"/>
    </row>
    <row r="130" spans="3:11">
      <c r="C130" s="10"/>
      <c r="D130" s="10"/>
      <c r="E130" s="10"/>
      <c r="F130" s="10"/>
      <c r="G130" s="10"/>
      <c r="H130" s="10"/>
      <c r="I130" s="10"/>
      <c r="J130" s="10"/>
      <c r="K130" s="10"/>
    </row>
    <row r="131" spans="3:11">
      <c r="C131" s="10"/>
      <c r="D131" s="10"/>
      <c r="E131" s="10"/>
      <c r="F131" s="10"/>
      <c r="G131" s="10"/>
      <c r="H131" s="10"/>
      <c r="I131" s="10"/>
      <c r="J131" s="10"/>
      <c r="K131" s="10"/>
    </row>
    <row r="132" spans="3:11">
      <c r="C132" s="10"/>
      <c r="D132" s="10"/>
      <c r="E132" s="10"/>
      <c r="F132" s="10"/>
      <c r="G132" s="10"/>
      <c r="H132" s="10"/>
      <c r="I132" s="10"/>
      <c r="J132" s="10"/>
      <c r="K132" s="10"/>
    </row>
    <row r="133" spans="3:11">
      <c r="C133" s="10"/>
      <c r="D133" s="10"/>
      <c r="E133" s="10"/>
      <c r="F133" s="10"/>
      <c r="G133" s="10"/>
      <c r="H133" s="10"/>
      <c r="I133" s="10"/>
      <c r="J133" s="10"/>
      <c r="K133" s="10"/>
    </row>
    <row r="134" spans="3:11">
      <c r="C134" s="10"/>
      <c r="D134" s="10"/>
      <c r="E134" s="10"/>
      <c r="F134" s="10"/>
      <c r="G134" s="10"/>
      <c r="H134" s="10"/>
      <c r="I134" s="10"/>
      <c r="J134" s="10"/>
      <c r="K134" s="10"/>
    </row>
  </sheetData>
  <mergeCells count="24">
    <mergeCell ref="F16:H16"/>
    <mergeCell ref="G7:H7"/>
    <mergeCell ref="F17:F18"/>
    <mergeCell ref="G17:G18"/>
    <mergeCell ref="B12:D12"/>
    <mergeCell ref="B17:B18"/>
    <mergeCell ref="C17:C18"/>
    <mergeCell ref="D17:D18"/>
    <mergeCell ref="B2:H3"/>
    <mergeCell ref="B5:E5"/>
    <mergeCell ref="B7:D7"/>
    <mergeCell ref="B8:D8"/>
    <mergeCell ref="E17:E18"/>
    <mergeCell ref="H17:H18"/>
    <mergeCell ref="F21:G21"/>
    <mergeCell ref="B6:D6"/>
    <mergeCell ref="C26:D26"/>
    <mergeCell ref="F26:G26"/>
    <mergeCell ref="B13:D13"/>
    <mergeCell ref="C16:E16"/>
    <mergeCell ref="B14:D14"/>
    <mergeCell ref="B9:D9"/>
    <mergeCell ref="B10:D10"/>
    <mergeCell ref="B11:D11"/>
  </mergeCells>
  <phoneticPr fontId="0" type="noConversion"/>
  <pageMargins left="0.19685039370078741" right="0.19685039370078741" top="0.59055118110236227" bottom="0.39370078740157483" header="0.51181102362204722" footer="0.51181102362204722"/>
  <pageSetup paperSize="9" orientation="portrait" r:id="rId1"/>
  <headerFooter alignWithMargins="0"/>
  <legacyDrawing r:id="rId2"/>
</worksheet>
</file>

<file path=xl/worksheets/sheet34.xml><?xml version="1.0" encoding="utf-8"?>
<worksheet xmlns="http://schemas.openxmlformats.org/spreadsheetml/2006/main" xmlns:r="http://schemas.openxmlformats.org/officeDocument/2006/relationships">
  <sheetPr codeName="Sheet70">
    <pageSetUpPr fitToPage="1"/>
  </sheetPr>
  <dimension ref="A1:AJ933"/>
  <sheetViews>
    <sheetView showRowColHeaders="0" workbookViewId="0">
      <selection activeCell="B2" sqref="B2:K3"/>
    </sheetView>
  </sheetViews>
  <sheetFormatPr defaultRowHeight="12.75"/>
  <cols>
    <col min="1" max="11" width="11.7109375" style="1" customWidth="1"/>
    <col min="12" max="16" width="10.7109375" style="1" customWidth="1"/>
    <col min="17" max="17" width="4.7109375" style="20" customWidth="1"/>
    <col min="18" max="20" width="10.7109375" style="18" customWidth="1"/>
    <col min="21" max="23" width="11.7109375" style="18" customWidth="1"/>
    <col min="24" max="26" width="10.7109375" style="18" customWidth="1"/>
    <col min="27" max="27" width="10.7109375" style="1" customWidth="1"/>
    <col min="28" max="30" width="8.7109375" style="1" customWidth="1"/>
    <col min="31" max="35" width="13.7109375" style="1" customWidth="1"/>
    <col min="36" max="37" width="10.7109375" style="1" customWidth="1"/>
    <col min="38" max="54" width="10.28515625" style="1" customWidth="1"/>
    <col min="55" max="110" width="10.7109375" style="1" customWidth="1"/>
    <col min="111" max="16384" width="9.140625" style="1"/>
  </cols>
  <sheetData>
    <row r="1" spans="1:27" ht="6" customHeight="1" thickBot="1">
      <c r="A1" s="121"/>
      <c r="B1" s="121"/>
      <c r="C1" s="121"/>
      <c r="D1" s="121"/>
      <c r="E1" s="121"/>
      <c r="F1" s="121"/>
      <c r="G1" s="121"/>
      <c r="H1" s="121"/>
      <c r="I1" s="121"/>
      <c r="J1" s="121"/>
      <c r="K1" s="121"/>
      <c r="L1" s="121"/>
      <c r="M1" s="121"/>
      <c r="N1" s="121"/>
      <c r="O1" s="121"/>
      <c r="P1" s="121"/>
      <c r="Q1" s="360"/>
      <c r="R1" s="361"/>
      <c r="S1" s="361"/>
      <c r="T1" s="361"/>
      <c r="U1" s="361"/>
      <c r="V1" s="361"/>
      <c r="W1" s="361"/>
      <c r="X1" s="361"/>
      <c r="Y1" s="361"/>
      <c r="Z1" s="361"/>
      <c r="AA1" s="362"/>
    </row>
    <row r="2" spans="1:27" ht="12.75" customHeight="1" thickTop="1">
      <c r="A2" s="121"/>
      <c r="B2" s="753" t="s">
        <v>458</v>
      </c>
      <c r="C2" s="754"/>
      <c r="D2" s="754"/>
      <c r="E2" s="754"/>
      <c r="F2" s="754"/>
      <c r="G2" s="754"/>
      <c r="H2" s="754"/>
      <c r="I2" s="754"/>
      <c r="J2" s="754"/>
      <c r="K2" s="755"/>
      <c r="L2" s="121"/>
      <c r="M2" s="121"/>
      <c r="N2" s="121"/>
      <c r="O2" s="121"/>
      <c r="P2" s="121"/>
      <c r="Q2" s="363"/>
      <c r="R2" s="1024" t="s">
        <v>396</v>
      </c>
      <c r="S2" s="1025"/>
      <c r="T2" s="1025"/>
      <c r="U2" s="1025"/>
      <c r="V2" s="1025"/>
      <c r="W2" s="1025"/>
      <c r="X2" s="1025"/>
      <c r="Y2" s="1026"/>
      <c r="Z2" s="362"/>
      <c r="AA2" s="362"/>
    </row>
    <row r="3" spans="1:27" ht="12.75" customHeight="1" thickBot="1">
      <c r="A3" s="121"/>
      <c r="B3" s="756"/>
      <c r="C3" s="757"/>
      <c r="D3" s="757"/>
      <c r="E3" s="757"/>
      <c r="F3" s="757"/>
      <c r="G3" s="757"/>
      <c r="H3" s="757"/>
      <c r="I3" s="757"/>
      <c r="J3" s="757"/>
      <c r="K3" s="758"/>
      <c r="L3" s="121"/>
      <c r="M3" s="121"/>
      <c r="N3" s="121"/>
      <c r="O3" s="121"/>
      <c r="P3" s="121"/>
      <c r="Q3" s="363"/>
      <c r="R3" s="1027"/>
      <c r="S3" s="1028"/>
      <c r="T3" s="1028"/>
      <c r="U3" s="1028"/>
      <c r="V3" s="1028"/>
      <c r="W3" s="1028"/>
      <c r="X3" s="1028"/>
      <c r="Y3" s="1029"/>
      <c r="Z3" s="362"/>
      <c r="AA3" s="362"/>
    </row>
    <row r="4" spans="1:27" ht="12.75" customHeight="1" thickTop="1">
      <c r="A4" s="121"/>
      <c r="B4" s="121"/>
      <c r="C4" s="121"/>
      <c r="D4" s="121"/>
      <c r="E4" s="121"/>
      <c r="F4" s="121"/>
      <c r="G4" s="121"/>
      <c r="H4" s="121"/>
      <c r="I4" s="121"/>
      <c r="J4" s="121"/>
      <c r="K4" s="121"/>
      <c r="L4" s="121"/>
      <c r="M4" s="121"/>
      <c r="N4" s="121"/>
      <c r="O4" s="121"/>
      <c r="P4" s="121"/>
      <c r="Q4" s="363"/>
      <c r="R4" s="361"/>
      <c r="S4" s="361"/>
      <c r="T4" s="361"/>
      <c r="U4" s="361"/>
      <c r="V4" s="361"/>
      <c r="W4" s="361"/>
      <c r="X4" s="361"/>
      <c r="Y4" s="361"/>
      <c r="Z4" s="361"/>
      <c r="AA4" s="362"/>
    </row>
    <row r="5" spans="1:27" ht="12.75" customHeight="1">
      <c r="A5" s="121"/>
      <c r="B5" s="828" t="s">
        <v>581</v>
      </c>
      <c r="C5" s="829"/>
      <c r="D5" s="830"/>
      <c r="E5" s="460">
        <v>450</v>
      </c>
      <c r="F5" s="461">
        <f>+E5</f>
        <v>450</v>
      </c>
      <c r="G5" s="121"/>
      <c r="H5" s="121"/>
      <c r="I5" s="121"/>
      <c r="J5" s="121"/>
      <c r="K5" s="121"/>
      <c r="L5" s="121"/>
      <c r="M5" s="121"/>
      <c r="N5" s="121"/>
      <c r="O5" s="121"/>
      <c r="P5" s="121"/>
      <c r="Q5" s="360"/>
      <c r="R5" s="951" t="s">
        <v>868</v>
      </c>
      <c r="S5" s="951"/>
      <c r="T5" s="951"/>
      <c r="U5" s="951"/>
      <c r="V5" s="447">
        <f>F5</f>
        <v>450</v>
      </c>
      <c r="W5" s="362"/>
      <c r="X5" s="362"/>
      <c r="Y5" s="362"/>
      <c r="Z5" s="362"/>
      <c r="AA5" s="362"/>
    </row>
    <row r="6" spans="1:27" ht="12.75" customHeight="1">
      <c r="A6" s="121"/>
      <c r="B6" s="121"/>
      <c r="C6" s="121"/>
      <c r="D6" s="121"/>
      <c r="E6" s="121"/>
      <c r="F6" s="121"/>
      <c r="G6" s="121"/>
      <c r="H6" s="121"/>
      <c r="I6" s="121"/>
      <c r="J6" s="121"/>
      <c r="K6" s="121"/>
      <c r="L6" s="121"/>
      <c r="M6" s="121"/>
      <c r="N6" s="121"/>
      <c r="O6" s="121"/>
      <c r="P6" s="121"/>
      <c r="Q6" s="360"/>
      <c r="R6" s="362"/>
      <c r="S6" s="362"/>
      <c r="T6" s="362"/>
      <c r="U6" s="362"/>
      <c r="V6" s="361"/>
      <c r="W6" s="361"/>
      <c r="X6" s="361"/>
      <c r="Y6" s="361"/>
      <c r="Z6" s="361"/>
      <c r="AA6" s="362"/>
    </row>
    <row r="7" spans="1:27" ht="12.75" customHeight="1">
      <c r="A7" s="306"/>
      <c r="B7" s="121"/>
      <c r="C7" s="121"/>
      <c r="D7" s="121"/>
      <c r="E7" s="121"/>
      <c r="F7" s="121"/>
      <c r="G7" s="121"/>
      <c r="H7" s="121"/>
      <c r="I7" s="121"/>
      <c r="J7" s="121"/>
      <c r="K7" s="121"/>
      <c r="L7" s="121"/>
      <c r="M7" s="121"/>
      <c r="N7" s="121"/>
      <c r="O7" s="121"/>
      <c r="P7" s="121"/>
      <c r="Q7" s="385">
        <v>1</v>
      </c>
      <c r="R7" s="1008" t="s">
        <v>24</v>
      </c>
      <c r="S7" s="1008"/>
      <c r="T7" s="1008"/>
      <c r="U7" s="1008"/>
      <c r="V7" s="1008"/>
      <c r="W7" s="1008"/>
      <c r="X7" s="1008"/>
      <c r="Y7" s="1008"/>
      <c r="Z7" s="536"/>
      <c r="AA7" s="362"/>
    </row>
    <row r="8" spans="1:27" ht="12.75" customHeight="1">
      <c r="A8" s="306"/>
      <c r="B8" s="121"/>
      <c r="C8" s="121"/>
      <c r="D8" s="121"/>
      <c r="E8" s="121"/>
      <c r="F8" s="121"/>
      <c r="G8" s="121"/>
      <c r="H8" s="121"/>
      <c r="I8" s="121"/>
      <c r="J8" s="121"/>
      <c r="K8" s="121"/>
      <c r="L8" s="121"/>
      <c r="M8" s="121"/>
      <c r="N8" s="121"/>
      <c r="O8" s="121"/>
      <c r="P8" s="121"/>
      <c r="Q8" s="386"/>
      <c r="R8" s="361"/>
      <c r="S8" s="361"/>
      <c r="T8" s="361"/>
      <c r="U8" s="361"/>
      <c r="V8" s="361"/>
      <c r="W8" s="361"/>
      <c r="X8" s="361"/>
      <c r="Y8" s="361"/>
      <c r="Z8" s="361"/>
      <c r="AA8" s="362"/>
    </row>
    <row r="9" spans="1:27" ht="12.75" customHeight="1">
      <c r="A9" s="306"/>
      <c r="B9" s="121"/>
      <c r="C9" s="121"/>
      <c r="D9" s="121"/>
      <c r="E9" s="121"/>
      <c r="F9" s="121"/>
      <c r="G9" s="121"/>
      <c r="H9" s="121"/>
      <c r="I9" s="121"/>
      <c r="J9" s="121"/>
      <c r="K9" s="121"/>
      <c r="L9" s="121"/>
      <c r="M9" s="121"/>
      <c r="N9" s="121"/>
      <c r="O9" s="121"/>
      <c r="P9" s="121"/>
      <c r="Q9" s="360">
        <v>1.1000000000000001</v>
      </c>
      <c r="R9" s="364" t="s">
        <v>586</v>
      </c>
      <c r="S9" s="363"/>
      <c r="T9" s="363"/>
      <c r="U9" s="363"/>
      <c r="V9" s="363"/>
      <c r="W9" s="363"/>
      <c r="X9" s="363"/>
      <c r="Y9" s="363"/>
      <c r="Z9" s="363"/>
      <c r="AA9" s="362"/>
    </row>
    <row r="10" spans="1:27" ht="12.75" customHeight="1">
      <c r="A10" s="306"/>
      <c r="B10" s="121"/>
      <c r="C10" s="121"/>
      <c r="D10" s="121"/>
      <c r="E10" s="121"/>
      <c r="F10" s="121"/>
      <c r="G10" s="121"/>
      <c r="H10" s="121"/>
      <c r="I10" s="121"/>
      <c r="J10" s="121"/>
      <c r="K10" s="121"/>
      <c r="L10" s="121"/>
      <c r="M10" s="121"/>
      <c r="N10" s="121"/>
      <c r="O10" s="121"/>
      <c r="P10" s="121"/>
      <c r="Q10" s="360"/>
      <c r="R10" s="969" t="s">
        <v>25</v>
      </c>
      <c r="S10" s="969"/>
      <c r="T10" s="969"/>
      <c r="U10" s="969"/>
      <c r="V10" s="447">
        <f>'Prod Parameters'!$F$8</f>
        <v>23</v>
      </c>
      <c r="W10" s="363"/>
      <c r="X10" s="363"/>
      <c r="Y10" s="363"/>
      <c r="Z10" s="363"/>
      <c r="AA10" s="362"/>
    </row>
    <row r="11" spans="1:27" ht="12.75" customHeight="1">
      <c r="A11" s="306"/>
      <c r="B11" s="121"/>
      <c r="C11" s="121"/>
      <c r="D11" s="121"/>
      <c r="E11" s="121"/>
      <c r="F11" s="121"/>
      <c r="G11" s="121"/>
      <c r="H11" s="121"/>
      <c r="I11" s="121"/>
      <c r="J11" s="121"/>
      <c r="K11" s="121"/>
      <c r="L11" s="121"/>
      <c r="M11" s="121"/>
      <c r="N11" s="121"/>
      <c r="O11" s="121"/>
      <c r="P11" s="121"/>
      <c r="Q11" s="360"/>
      <c r="R11" s="969" t="s">
        <v>325</v>
      </c>
      <c r="S11" s="969"/>
      <c r="T11" s="969"/>
      <c r="U11" s="969"/>
      <c r="V11" s="447">
        <f>'Prod Parameters'!$F$9</f>
        <v>23</v>
      </c>
      <c r="W11" s="363"/>
      <c r="X11" s="363"/>
      <c r="Y11" s="363"/>
      <c r="Z11" s="363"/>
      <c r="AA11" s="362"/>
    </row>
    <row r="12" spans="1:27" ht="12.75" customHeight="1">
      <c r="A12" s="306"/>
      <c r="B12" s="121"/>
      <c r="C12" s="121"/>
      <c r="D12" s="121"/>
      <c r="E12" s="121"/>
      <c r="F12" s="121"/>
      <c r="G12" s="114"/>
      <c r="H12" s="114"/>
      <c r="I12" s="114"/>
      <c r="J12" s="114"/>
      <c r="K12" s="114"/>
      <c r="L12" s="121"/>
      <c r="M12" s="121"/>
      <c r="N12" s="121"/>
      <c r="O12" s="121"/>
      <c r="P12" s="121"/>
      <c r="Q12" s="360"/>
      <c r="R12" s="1021" t="s">
        <v>26</v>
      </c>
      <c r="S12" s="1022"/>
      <c r="T12" s="1022"/>
      <c r="U12" s="1023"/>
      <c r="V12" s="447">
        <f>'Prod Parameters'!$F$10</f>
        <v>6</v>
      </c>
      <c r="W12" s="363"/>
      <c r="X12" s="363"/>
      <c r="Y12" s="363"/>
      <c r="Z12" s="363"/>
      <c r="AA12" s="362"/>
    </row>
    <row r="13" spans="1:27" ht="12.75" customHeight="1">
      <c r="A13" s="306"/>
      <c r="B13" s="121"/>
      <c r="C13" s="121"/>
      <c r="D13" s="121"/>
      <c r="E13" s="121"/>
      <c r="F13" s="121"/>
      <c r="G13" s="114"/>
      <c r="H13" s="114"/>
      <c r="I13" s="114"/>
      <c r="J13" s="114"/>
      <c r="K13" s="114"/>
      <c r="L13" s="121"/>
      <c r="M13" s="121"/>
      <c r="N13" s="121"/>
      <c r="O13" s="121"/>
      <c r="P13" s="121"/>
      <c r="Q13" s="360"/>
      <c r="R13" s="969" t="s">
        <v>27</v>
      </c>
      <c r="S13" s="969"/>
      <c r="T13" s="969"/>
      <c r="U13" s="969"/>
      <c r="V13" s="447">
        <f>'Prod Parameters'!$F$11</f>
        <v>52</v>
      </c>
      <c r="W13" s="363"/>
      <c r="X13" s="363"/>
      <c r="Y13" s="363"/>
      <c r="Z13" s="363"/>
      <c r="AA13" s="362"/>
    </row>
    <row r="14" spans="1:27" ht="12.75" customHeight="1">
      <c r="A14" s="306"/>
      <c r="B14" s="121"/>
      <c r="C14" s="121"/>
      <c r="D14" s="121"/>
      <c r="E14" s="121"/>
      <c r="F14" s="121"/>
      <c r="G14" s="114"/>
      <c r="H14" s="114"/>
      <c r="I14" s="114"/>
      <c r="J14" s="114"/>
      <c r="K14" s="114"/>
      <c r="L14" s="121"/>
      <c r="M14" s="121"/>
      <c r="N14" s="121"/>
      <c r="O14" s="121"/>
      <c r="P14" s="121"/>
      <c r="Q14" s="360"/>
      <c r="R14" s="969" t="s">
        <v>28</v>
      </c>
      <c r="S14" s="969"/>
      <c r="T14" s="969"/>
      <c r="U14" s="969"/>
      <c r="V14" s="447">
        <f>'Prod Parameters'!$F$12</f>
        <v>260</v>
      </c>
      <c r="W14" s="363"/>
      <c r="X14" s="363"/>
      <c r="Y14" s="363"/>
      <c r="Z14" s="363"/>
      <c r="AA14" s="362"/>
    </row>
    <row r="15" spans="1:27" ht="12.75" customHeight="1">
      <c r="A15" s="306"/>
      <c r="B15" s="121"/>
      <c r="C15" s="121"/>
      <c r="D15" s="121"/>
      <c r="E15" s="121"/>
      <c r="F15" s="121"/>
      <c r="G15" s="114"/>
      <c r="H15" s="114"/>
      <c r="I15" s="114"/>
      <c r="J15" s="114"/>
      <c r="K15" s="114"/>
      <c r="L15" s="121"/>
      <c r="M15" s="121"/>
      <c r="N15" s="121"/>
      <c r="O15" s="121"/>
      <c r="P15" s="121"/>
      <c r="Q15" s="360"/>
      <c r="R15" s="969" t="s">
        <v>29</v>
      </c>
      <c r="S15" s="969"/>
      <c r="T15" s="969"/>
      <c r="U15" s="969"/>
      <c r="V15" s="447">
        <f>'Prod Parameters'!$F$13</f>
        <v>30</v>
      </c>
      <c r="W15" s="363"/>
      <c r="X15" s="363"/>
      <c r="Y15" s="363"/>
      <c r="Z15" s="363"/>
      <c r="AA15" s="362"/>
    </row>
    <row r="16" spans="1:27" ht="12.75" customHeight="1">
      <c r="A16" s="306"/>
      <c r="B16" s="121"/>
      <c r="C16" s="121"/>
      <c r="D16" s="121"/>
      <c r="E16" s="121"/>
      <c r="F16" s="121"/>
      <c r="G16" s="114"/>
      <c r="H16" s="114"/>
      <c r="I16" s="114"/>
      <c r="J16" s="114"/>
      <c r="K16" s="114"/>
      <c r="L16" s="121"/>
      <c r="M16" s="121"/>
      <c r="N16" s="121"/>
      <c r="O16" s="121"/>
      <c r="P16" s="121"/>
      <c r="Q16" s="360"/>
      <c r="R16" s="968" t="s">
        <v>30</v>
      </c>
      <c r="S16" s="968"/>
      <c r="T16" s="968"/>
      <c r="U16" s="968"/>
      <c r="V16" s="447">
        <f>'Prod Parameters'!$F$14</f>
        <v>230</v>
      </c>
      <c r="W16" s="363"/>
      <c r="X16" s="363"/>
      <c r="Y16" s="363"/>
      <c r="Z16" s="363"/>
      <c r="AA16" s="362"/>
    </row>
    <row r="17" spans="1:32" ht="12.75" customHeight="1">
      <c r="A17" s="306"/>
      <c r="B17" s="121"/>
      <c r="C17" s="121"/>
      <c r="D17" s="121"/>
      <c r="E17" s="121"/>
      <c r="F17" s="121"/>
      <c r="G17" s="114"/>
      <c r="H17" s="114"/>
      <c r="I17" s="114"/>
      <c r="J17" s="114"/>
      <c r="K17" s="114"/>
      <c r="L17" s="121"/>
      <c r="M17" s="121"/>
      <c r="N17" s="121"/>
      <c r="O17" s="121"/>
      <c r="P17" s="121"/>
      <c r="Q17" s="360"/>
      <c r="R17" s="363"/>
      <c r="S17" s="363"/>
      <c r="T17" s="363"/>
      <c r="U17" s="363"/>
      <c r="V17" s="363"/>
      <c r="W17" s="363"/>
      <c r="X17" s="363"/>
      <c r="Y17" s="363"/>
      <c r="Z17" s="363"/>
      <c r="AA17" s="367"/>
      <c r="AB17"/>
      <c r="AC17"/>
      <c r="AD17"/>
      <c r="AE17"/>
      <c r="AF17"/>
    </row>
    <row r="18" spans="1:32" ht="12.75" customHeight="1">
      <c r="A18" s="306"/>
      <c r="B18" s="121"/>
      <c r="C18" s="121"/>
      <c r="D18" s="121"/>
      <c r="E18" s="121"/>
      <c r="F18" s="121"/>
      <c r="G18" s="121"/>
      <c r="H18" s="121"/>
      <c r="I18" s="121"/>
      <c r="J18" s="121"/>
      <c r="K18" s="121"/>
      <c r="L18" s="121"/>
      <c r="M18" s="121"/>
      <c r="N18" s="121"/>
      <c r="O18" s="121"/>
      <c r="P18" s="121"/>
      <c r="Q18" s="360">
        <v>1.2</v>
      </c>
      <c r="R18" s="364" t="s">
        <v>19</v>
      </c>
      <c r="S18" s="363"/>
      <c r="T18" s="363"/>
      <c r="U18" s="363"/>
      <c r="V18" s="363"/>
      <c r="W18" s="363"/>
      <c r="X18" s="363"/>
      <c r="Y18" s="363"/>
      <c r="Z18" s="363"/>
      <c r="AA18" s="367"/>
      <c r="AB18"/>
      <c r="AC18"/>
      <c r="AD18"/>
      <c r="AE18"/>
      <c r="AF18"/>
    </row>
    <row r="19" spans="1:32" ht="12.75" customHeight="1">
      <c r="A19" s="306"/>
      <c r="B19" s="121"/>
      <c r="C19" s="121"/>
      <c r="D19" s="121"/>
      <c r="E19" s="121"/>
      <c r="F19" s="121"/>
      <c r="G19" s="121"/>
      <c r="H19" s="121"/>
      <c r="I19" s="121"/>
      <c r="J19" s="121"/>
      <c r="K19" s="121"/>
      <c r="L19" s="121"/>
      <c r="M19" s="121"/>
      <c r="N19" s="121"/>
      <c r="O19" s="121"/>
      <c r="P19" s="121"/>
      <c r="Q19" s="360"/>
      <c r="R19" s="969" t="s">
        <v>314</v>
      </c>
      <c r="S19" s="969"/>
      <c r="T19" s="969"/>
      <c r="U19" s="969"/>
      <c r="V19" s="447">
        <f>'Prod Parameters'!$F$17</f>
        <v>160</v>
      </c>
      <c r="W19" s="363"/>
      <c r="X19" s="363"/>
      <c r="Y19" s="363"/>
      <c r="Z19" s="363"/>
      <c r="AA19" s="367"/>
      <c r="AB19"/>
      <c r="AC19"/>
      <c r="AD19"/>
      <c r="AE19"/>
      <c r="AF19"/>
    </row>
    <row r="20" spans="1:32" ht="12.75" customHeight="1">
      <c r="A20" s="306"/>
      <c r="B20" s="121"/>
      <c r="C20" s="121"/>
      <c r="D20" s="121"/>
      <c r="E20" s="121"/>
      <c r="F20" s="121"/>
      <c r="G20" s="121"/>
      <c r="H20" s="121"/>
      <c r="I20" s="121"/>
      <c r="J20" s="121"/>
      <c r="K20" s="121"/>
      <c r="L20" s="121"/>
      <c r="M20" s="121"/>
      <c r="N20" s="121"/>
      <c r="O20" s="121"/>
      <c r="P20" s="121"/>
      <c r="Q20" s="360"/>
      <c r="R20" s="969" t="s">
        <v>31</v>
      </c>
      <c r="S20" s="969"/>
      <c r="T20" s="969"/>
      <c r="U20" s="969"/>
      <c r="V20" s="447">
        <f>'Prod Parameters'!$F$18</f>
        <v>1.2</v>
      </c>
      <c r="W20" s="363"/>
      <c r="X20" s="363"/>
      <c r="Y20" s="363"/>
      <c r="Z20" s="363"/>
      <c r="AA20" s="367"/>
      <c r="AB20"/>
      <c r="AC20"/>
      <c r="AD20"/>
      <c r="AE20"/>
      <c r="AF20"/>
    </row>
    <row r="21" spans="1:32" ht="12.75" customHeight="1">
      <c r="A21" s="306"/>
      <c r="B21" s="121"/>
      <c r="C21" s="121"/>
      <c r="D21" s="121"/>
      <c r="E21" s="121"/>
      <c r="F21" s="121"/>
      <c r="G21" s="121"/>
      <c r="H21" s="121"/>
      <c r="I21" s="121"/>
      <c r="J21" s="121"/>
      <c r="K21" s="121"/>
      <c r="L21" s="121"/>
      <c r="M21" s="121"/>
      <c r="N21" s="121"/>
      <c r="O21" s="121"/>
      <c r="P21" s="121"/>
      <c r="Q21" s="360"/>
      <c r="R21" s="969" t="s">
        <v>199</v>
      </c>
      <c r="S21" s="969"/>
      <c r="T21" s="969"/>
      <c r="U21" s="969"/>
      <c r="V21" s="447">
        <f>'Prod Parameters'!$F$19</f>
        <v>4</v>
      </c>
      <c r="W21" s="363"/>
      <c r="X21" s="363"/>
      <c r="Y21" s="363"/>
      <c r="Z21" s="363"/>
      <c r="AA21" s="367"/>
      <c r="AB21"/>
      <c r="AC21"/>
      <c r="AD21"/>
      <c r="AE21"/>
      <c r="AF21"/>
    </row>
    <row r="22" spans="1:32" ht="12.75" customHeight="1">
      <c r="A22" s="306"/>
      <c r="B22" s="121"/>
      <c r="C22" s="121"/>
      <c r="D22" s="121"/>
      <c r="E22" s="121"/>
      <c r="F22" s="121"/>
      <c r="G22" s="121"/>
      <c r="H22" s="121"/>
      <c r="I22" s="121"/>
      <c r="J22" s="121"/>
      <c r="K22" s="121"/>
      <c r="L22" s="121"/>
      <c r="M22" s="121"/>
      <c r="N22" s="121"/>
      <c r="O22" s="121"/>
      <c r="P22" s="121"/>
      <c r="Q22" s="360"/>
      <c r="R22" s="969" t="s">
        <v>20</v>
      </c>
      <c r="S22" s="969"/>
      <c r="T22" s="969"/>
      <c r="U22" s="969"/>
      <c r="V22" s="447">
        <f>'Prod Parameters'!$F$20</f>
        <v>40</v>
      </c>
      <c r="W22" s="363"/>
      <c r="X22" s="363"/>
      <c r="Y22" s="363"/>
      <c r="Z22" s="363"/>
      <c r="AA22" s="367"/>
      <c r="AB22"/>
      <c r="AC22"/>
      <c r="AD22"/>
      <c r="AE22"/>
      <c r="AF22"/>
    </row>
    <row r="23" spans="1:32" ht="12.75" customHeight="1">
      <c r="A23" s="306"/>
      <c r="B23" s="121"/>
      <c r="C23" s="121"/>
      <c r="D23" s="121"/>
      <c r="E23" s="121"/>
      <c r="F23" s="121"/>
      <c r="G23" s="121"/>
      <c r="H23" s="121"/>
      <c r="I23" s="121"/>
      <c r="J23" s="121"/>
      <c r="K23" s="121"/>
      <c r="L23" s="121"/>
      <c r="M23" s="121"/>
      <c r="N23" s="121"/>
      <c r="O23" s="121"/>
      <c r="P23" s="121"/>
      <c r="Q23" s="360"/>
      <c r="R23" s="969" t="s">
        <v>310</v>
      </c>
      <c r="S23" s="969"/>
      <c r="T23" s="969"/>
      <c r="U23" s="969"/>
      <c r="V23" s="447">
        <f>'Prod Parameters'!$F$21</f>
        <v>160</v>
      </c>
      <c r="W23" s="363"/>
      <c r="X23" s="363"/>
      <c r="Y23" s="363"/>
      <c r="Z23" s="363"/>
      <c r="AA23" s="367"/>
      <c r="AB23"/>
      <c r="AC23"/>
      <c r="AD23"/>
      <c r="AE23"/>
      <c r="AF23"/>
    </row>
    <row r="24" spans="1:32" ht="12.75" customHeight="1">
      <c r="A24" s="306"/>
      <c r="B24" s="121"/>
      <c r="C24" s="121"/>
      <c r="D24" s="121"/>
      <c r="E24" s="121"/>
      <c r="F24" s="121"/>
      <c r="G24" s="121"/>
      <c r="H24" s="121"/>
      <c r="I24" s="121"/>
      <c r="J24" s="121"/>
      <c r="K24" s="121"/>
      <c r="L24" s="121"/>
      <c r="M24" s="121"/>
      <c r="N24" s="121"/>
      <c r="O24" s="121"/>
      <c r="P24" s="121"/>
      <c r="Q24" s="360"/>
      <c r="R24" s="969" t="s">
        <v>315</v>
      </c>
      <c r="S24" s="969"/>
      <c r="T24" s="969"/>
      <c r="U24" s="969"/>
      <c r="V24" s="549">
        <f>'Prod Parameters'!$F$22</f>
        <v>6400</v>
      </c>
      <c r="W24" s="363"/>
      <c r="X24" s="363"/>
      <c r="Y24" s="363"/>
      <c r="Z24" s="363"/>
      <c r="AA24" s="367"/>
      <c r="AB24"/>
      <c r="AC24"/>
      <c r="AD24"/>
      <c r="AE24"/>
      <c r="AF24"/>
    </row>
    <row r="25" spans="1:32" ht="12.75" customHeight="1">
      <c r="A25" s="306"/>
      <c r="B25" s="121"/>
      <c r="C25" s="121"/>
      <c r="D25" s="121"/>
      <c r="E25" s="121"/>
      <c r="F25" s="121"/>
      <c r="G25" s="121"/>
      <c r="H25" s="121"/>
      <c r="I25" s="121"/>
      <c r="J25" s="121"/>
      <c r="K25" s="121"/>
      <c r="L25" s="121"/>
      <c r="M25" s="121"/>
      <c r="N25" s="121"/>
      <c r="O25" s="121"/>
      <c r="P25" s="121"/>
      <c r="Q25" s="360"/>
      <c r="R25" s="969" t="s">
        <v>187</v>
      </c>
      <c r="S25" s="969"/>
      <c r="T25" s="969"/>
      <c r="U25" s="969"/>
      <c r="V25" s="549">
        <f>'Prod Parameters'!$F$23</f>
        <v>7680</v>
      </c>
      <c r="W25" s="363"/>
      <c r="X25" s="363"/>
      <c r="Y25" s="363"/>
      <c r="Z25" s="363"/>
      <c r="AA25" s="367"/>
      <c r="AB25"/>
      <c r="AC25"/>
      <c r="AD25"/>
      <c r="AE25"/>
      <c r="AF25"/>
    </row>
    <row r="26" spans="1:32" ht="12.75" customHeight="1">
      <c r="A26" s="306"/>
      <c r="B26" s="121"/>
      <c r="C26" s="121"/>
      <c r="D26" s="121"/>
      <c r="E26" s="121"/>
      <c r="F26" s="121"/>
      <c r="G26" s="121"/>
      <c r="H26" s="121"/>
      <c r="I26" s="121"/>
      <c r="J26" s="121"/>
      <c r="K26" s="121"/>
      <c r="L26" s="121"/>
      <c r="M26" s="121"/>
      <c r="N26" s="121"/>
      <c r="O26" s="121"/>
      <c r="P26" s="121"/>
      <c r="Q26" s="360"/>
      <c r="R26" s="969" t="s">
        <v>200</v>
      </c>
      <c r="S26" s="969"/>
      <c r="T26" s="969"/>
      <c r="U26" s="969"/>
      <c r="V26" s="549">
        <f>'Prod Parameters'!$F$24</f>
        <v>176640</v>
      </c>
      <c r="W26" s="363"/>
      <c r="X26" s="363"/>
      <c r="Y26" s="363"/>
      <c r="Z26" s="363"/>
      <c r="AA26" s="367"/>
      <c r="AB26"/>
      <c r="AC26"/>
      <c r="AD26"/>
      <c r="AE26"/>
      <c r="AF26"/>
    </row>
    <row r="27" spans="1:32" ht="12.75" customHeight="1">
      <c r="A27" s="306"/>
      <c r="B27" s="121"/>
      <c r="C27" s="121"/>
      <c r="D27" s="121"/>
      <c r="E27" s="121"/>
      <c r="F27" s="121"/>
      <c r="G27" s="121"/>
      <c r="H27" s="121"/>
      <c r="I27" s="121"/>
      <c r="J27" s="121"/>
      <c r="K27" s="121"/>
      <c r="L27" s="121"/>
      <c r="M27" s="121"/>
      <c r="N27" s="121"/>
      <c r="O27" s="121"/>
      <c r="P27" s="121"/>
      <c r="Q27" s="360"/>
      <c r="R27" s="363"/>
      <c r="S27" s="363"/>
      <c r="T27" s="363"/>
      <c r="U27" s="363"/>
      <c r="V27" s="363"/>
      <c r="W27" s="363"/>
      <c r="X27" s="363"/>
      <c r="Y27" s="363"/>
      <c r="Z27" s="363"/>
      <c r="AA27" s="367"/>
      <c r="AB27"/>
      <c r="AC27"/>
      <c r="AD27"/>
      <c r="AE27"/>
      <c r="AF27"/>
    </row>
    <row r="28" spans="1:32" ht="12.75" customHeight="1">
      <c r="A28" s="121"/>
      <c r="B28" s="121"/>
      <c r="C28" s="121"/>
      <c r="D28" s="121"/>
      <c r="E28" s="121"/>
      <c r="F28" s="121"/>
      <c r="G28" s="121"/>
      <c r="H28" s="121"/>
      <c r="I28" s="121"/>
      <c r="J28" s="121"/>
      <c r="K28" s="121"/>
      <c r="L28" s="121"/>
      <c r="M28" s="121"/>
      <c r="N28" s="121"/>
      <c r="O28" s="121"/>
      <c r="P28" s="121"/>
      <c r="Q28" s="385" t="s">
        <v>33</v>
      </c>
      <c r="R28" s="1008" t="s">
        <v>821</v>
      </c>
      <c r="S28" s="1008"/>
      <c r="T28" s="1008"/>
      <c r="U28" s="1008"/>
      <c r="V28" s="1008"/>
      <c r="W28" s="1008"/>
      <c r="X28" s="1008"/>
      <c r="Y28" s="1008"/>
      <c r="Z28" s="536"/>
      <c r="AA28" s="367"/>
      <c r="AB28"/>
      <c r="AC28"/>
      <c r="AD28"/>
      <c r="AE28"/>
      <c r="AF28"/>
    </row>
    <row r="29" spans="1:32" ht="12.75" customHeight="1">
      <c r="A29" s="306"/>
      <c r="B29" s="121"/>
      <c r="C29" s="121"/>
      <c r="D29" s="121"/>
      <c r="E29" s="121"/>
      <c r="F29" s="121"/>
      <c r="G29" s="121"/>
      <c r="H29" s="121"/>
      <c r="I29" s="121"/>
      <c r="J29" s="121"/>
      <c r="K29" s="121"/>
      <c r="L29" s="121"/>
      <c r="M29" s="121"/>
      <c r="N29" s="121"/>
      <c r="O29" s="121"/>
      <c r="P29" s="121"/>
      <c r="Q29" s="546"/>
      <c r="R29" s="363"/>
      <c r="S29" s="363"/>
      <c r="T29" s="363"/>
      <c r="U29" s="363"/>
      <c r="V29" s="363"/>
      <c r="W29" s="363"/>
      <c r="X29" s="363"/>
      <c r="Y29" s="363"/>
      <c r="Z29" s="363"/>
      <c r="AA29" s="367"/>
      <c r="AB29"/>
      <c r="AC29"/>
      <c r="AD29"/>
      <c r="AE29"/>
      <c r="AF29"/>
    </row>
    <row r="30" spans="1:32" ht="12.75" customHeight="1">
      <c r="A30" s="306"/>
      <c r="B30" s="121"/>
      <c r="C30" s="121"/>
      <c r="D30" s="121"/>
      <c r="E30" s="121"/>
      <c r="F30" s="121"/>
      <c r="G30" s="121"/>
      <c r="H30" s="121"/>
      <c r="I30" s="121"/>
      <c r="J30" s="121"/>
      <c r="K30" s="121"/>
      <c r="L30" s="121"/>
      <c r="M30" s="121"/>
      <c r="N30" s="121"/>
      <c r="O30" s="121"/>
      <c r="P30" s="121"/>
      <c r="Q30" s="546">
        <v>2.1</v>
      </c>
      <c r="R30" s="363" t="s">
        <v>831</v>
      </c>
      <c r="S30" s="363"/>
      <c r="T30" s="363"/>
      <c r="U30" s="550"/>
      <c r="V30" s="550"/>
      <c r="W30" s="550"/>
      <c r="X30" s="550"/>
      <c r="Y30" s="551"/>
      <c r="Z30" s="551"/>
      <c r="AA30" s="367"/>
      <c r="AB30"/>
      <c r="AC30"/>
      <c r="AD30"/>
      <c r="AE30"/>
      <c r="AF30"/>
    </row>
    <row r="31" spans="1:32" ht="12.75" customHeight="1">
      <c r="A31" s="121"/>
      <c r="B31" s="121"/>
      <c r="C31" s="121"/>
      <c r="D31" s="121"/>
      <c r="E31" s="121"/>
      <c r="F31" s="121"/>
      <c r="G31" s="121"/>
      <c r="H31" s="121"/>
      <c r="I31" s="121"/>
      <c r="J31" s="121"/>
      <c r="K31" s="121"/>
      <c r="L31" s="121"/>
      <c r="M31" s="121"/>
      <c r="N31" s="121"/>
      <c r="O31" s="121"/>
      <c r="P31" s="121"/>
      <c r="Q31" s="546"/>
      <c r="R31" s="998" t="s">
        <v>77</v>
      </c>
      <c r="S31" s="999"/>
      <c r="T31" s="1000"/>
      <c r="U31" s="1019" t="s">
        <v>824</v>
      </c>
      <c r="V31" s="1019" t="s">
        <v>828</v>
      </c>
      <c r="W31" s="1019" t="s">
        <v>826</v>
      </c>
      <c r="X31" s="1019" t="s">
        <v>23</v>
      </c>
      <c r="Y31" s="552"/>
      <c r="Z31" s="552"/>
      <c r="AA31" s="367"/>
      <c r="AB31"/>
      <c r="AC31"/>
      <c r="AD31"/>
      <c r="AE31"/>
      <c r="AF31"/>
    </row>
    <row r="32" spans="1:32" ht="12.75" customHeight="1">
      <c r="A32" s="121"/>
      <c r="B32" s="121"/>
      <c r="C32" s="121"/>
      <c r="D32" s="121"/>
      <c r="E32" s="121"/>
      <c r="F32" s="121"/>
      <c r="G32" s="121"/>
      <c r="H32" s="121"/>
      <c r="I32" s="121"/>
      <c r="J32" s="121"/>
      <c r="K32" s="121"/>
      <c r="L32" s="121"/>
      <c r="M32" s="121"/>
      <c r="N32" s="121"/>
      <c r="O32" s="121"/>
      <c r="P32" s="121"/>
      <c r="Q32" s="546"/>
      <c r="R32" s="1001"/>
      <c r="S32" s="1002"/>
      <c r="T32" s="1003"/>
      <c r="U32" s="1019"/>
      <c r="V32" s="1019"/>
      <c r="W32" s="1019"/>
      <c r="X32" s="1019"/>
      <c r="Y32" s="364"/>
      <c r="Z32" s="364"/>
      <c r="AA32" s="367"/>
      <c r="AB32"/>
      <c r="AC32"/>
      <c r="AD32"/>
      <c r="AE32"/>
      <c r="AF32"/>
    </row>
    <row r="33" spans="1:32" ht="12.75" customHeight="1">
      <c r="A33" s="114"/>
      <c r="B33" s="114"/>
      <c r="C33" s="114"/>
      <c r="D33" s="114"/>
      <c r="E33" s="114"/>
      <c r="F33" s="114"/>
      <c r="G33" s="114"/>
      <c r="H33" s="114"/>
      <c r="I33" s="114"/>
      <c r="J33" s="114"/>
      <c r="K33" s="114"/>
      <c r="L33" s="121"/>
      <c r="M33" s="121"/>
      <c r="N33" s="121"/>
      <c r="O33" s="121"/>
      <c r="P33" s="121"/>
      <c r="Q33" s="546"/>
      <c r="R33" s="1020" t="s">
        <v>500</v>
      </c>
      <c r="S33" s="1020"/>
      <c r="T33" s="1020"/>
      <c r="U33" s="369">
        <v>23.9</v>
      </c>
      <c r="V33" s="369">
        <f>'Lookup Properties'!$C$7</f>
        <v>15.4</v>
      </c>
      <c r="W33" s="369">
        <f>'Lookup Properties'!$D$7</f>
        <v>4.8</v>
      </c>
      <c r="X33" s="553">
        <f>SUM(U33:W33)</f>
        <v>44.099999999999994</v>
      </c>
      <c r="Y33" s="364"/>
      <c r="Z33" s="364"/>
      <c r="AA33" s="367"/>
      <c r="AB33"/>
      <c r="AC33"/>
      <c r="AD33"/>
      <c r="AE33"/>
      <c r="AF33"/>
    </row>
    <row r="34" spans="1:32" ht="12.75" customHeight="1">
      <c r="A34" s="121"/>
      <c r="B34" s="121"/>
      <c r="C34" s="121"/>
      <c r="D34" s="121"/>
      <c r="E34" s="121"/>
      <c r="F34" s="121"/>
      <c r="G34" s="121"/>
      <c r="H34" s="121"/>
      <c r="I34" s="121"/>
      <c r="J34" s="121"/>
      <c r="K34" s="121"/>
      <c r="L34" s="121"/>
      <c r="M34" s="121"/>
      <c r="N34" s="121"/>
      <c r="O34" s="121"/>
      <c r="P34" s="121"/>
      <c r="Q34" s="546"/>
      <c r="R34" s="1017" t="s">
        <v>22</v>
      </c>
      <c r="S34" s="1017"/>
      <c r="T34" s="1017"/>
      <c r="U34" s="369">
        <f>'Lookup Properties'!$B$5</f>
        <v>22.35</v>
      </c>
      <c r="V34" s="369">
        <f>'Lookup Properties'!$C$5</f>
        <v>17.399999999999999</v>
      </c>
      <c r="W34" s="369">
        <f>'Lookup Properties'!$D$5</f>
        <v>5</v>
      </c>
      <c r="X34" s="553">
        <f>SUM(U34:W34)</f>
        <v>44.75</v>
      </c>
      <c r="Y34" s="364"/>
      <c r="Z34" s="364"/>
      <c r="AA34" s="367"/>
      <c r="AB34"/>
      <c r="AC34"/>
      <c r="AD34"/>
      <c r="AE34"/>
      <c r="AF34"/>
    </row>
    <row r="35" spans="1:32" ht="12.75" customHeight="1">
      <c r="A35" s="121"/>
      <c r="B35" s="121"/>
      <c r="C35" s="121"/>
      <c r="D35" s="121"/>
      <c r="E35" s="121"/>
      <c r="F35" s="121"/>
      <c r="G35" s="121"/>
      <c r="H35" s="121"/>
      <c r="I35" s="121"/>
      <c r="J35" s="121"/>
      <c r="K35" s="121"/>
      <c r="L35" s="121"/>
      <c r="M35" s="121"/>
      <c r="N35" s="121"/>
      <c r="O35" s="121"/>
      <c r="P35" s="121"/>
      <c r="Q35" s="546"/>
      <c r="R35" s="1018" t="s">
        <v>579</v>
      </c>
      <c r="S35" s="1018"/>
      <c r="T35" s="1018"/>
      <c r="U35" s="369">
        <f>'Lookup Properties'!$B$6</f>
        <v>22.15</v>
      </c>
      <c r="V35" s="369">
        <f>'Lookup Properties'!$C$6</f>
        <v>18.149999999999999</v>
      </c>
      <c r="W35" s="369">
        <f>'Lookup Properties'!$D$6</f>
        <v>5</v>
      </c>
      <c r="X35" s="553">
        <f>SUM(U35:W35)</f>
        <v>45.3</v>
      </c>
      <c r="Y35" s="364"/>
      <c r="Z35" s="364"/>
      <c r="AA35" s="367"/>
      <c r="AB35"/>
      <c r="AC35"/>
      <c r="AD35"/>
      <c r="AE35"/>
      <c r="AF35"/>
    </row>
    <row r="36" spans="1:32" ht="12.75" customHeight="1">
      <c r="A36" s="121"/>
      <c r="B36" s="121"/>
      <c r="C36" s="121"/>
      <c r="D36" s="121"/>
      <c r="E36" s="121"/>
      <c r="F36" s="121"/>
      <c r="G36" s="121"/>
      <c r="H36" s="121"/>
      <c r="I36" s="121"/>
      <c r="J36" s="121"/>
      <c r="K36" s="121"/>
      <c r="L36" s="121"/>
      <c r="M36" s="121"/>
      <c r="N36" s="121"/>
      <c r="O36" s="121"/>
      <c r="P36" s="121"/>
      <c r="Q36" s="546"/>
      <c r="R36" s="1016" t="s">
        <v>21</v>
      </c>
      <c r="S36" s="1016"/>
      <c r="T36" s="1016"/>
      <c r="U36" s="369">
        <f>'Lookup Properties'!$B$4</f>
        <v>21.25</v>
      </c>
      <c r="V36" s="369">
        <f>'Lookup Properties'!$C$4</f>
        <v>17.399999999999999</v>
      </c>
      <c r="W36" s="369">
        <f>'Lookup Properties'!$D$4</f>
        <v>5</v>
      </c>
      <c r="X36" s="553">
        <f>SUM(U36:W36)</f>
        <v>43.65</v>
      </c>
      <c r="Y36" s="364"/>
      <c r="Z36" s="364"/>
      <c r="AA36" s="367"/>
      <c r="AB36"/>
      <c r="AC36"/>
      <c r="AD36"/>
      <c r="AE36"/>
      <c r="AF36"/>
    </row>
    <row r="37" spans="1:32" ht="12.75" customHeight="1">
      <c r="A37" s="121"/>
      <c r="B37" s="121"/>
      <c r="C37" s="121"/>
      <c r="D37" s="121"/>
      <c r="E37" s="121"/>
      <c r="F37" s="121"/>
      <c r="G37" s="121"/>
      <c r="H37" s="121"/>
      <c r="I37" s="121"/>
      <c r="J37" s="121"/>
      <c r="K37" s="121"/>
      <c r="L37" s="121"/>
      <c r="M37" s="121"/>
      <c r="N37" s="121"/>
      <c r="O37" s="121"/>
      <c r="P37" s="121"/>
      <c r="Q37" s="364"/>
      <c r="R37" s="364"/>
      <c r="S37" s="364"/>
      <c r="T37" s="364"/>
      <c r="U37" s="555"/>
      <c r="V37" s="555"/>
      <c r="W37" s="555"/>
      <c r="X37" s="555"/>
      <c r="Y37" s="555"/>
      <c r="Z37" s="364"/>
      <c r="AA37" s="367"/>
      <c r="AB37"/>
      <c r="AC37"/>
      <c r="AD37"/>
      <c r="AE37"/>
      <c r="AF37"/>
    </row>
    <row r="38" spans="1:32" ht="12.75" customHeight="1">
      <c r="A38" s="121"/>
      <c r="B38" s="121"/>
      <c r="C38" s="121"/>
      <c r="D38" s="121"/>
      <c r="E38" s="121"/>
      <c r="F38" s="121"/>
      <c r="G38" s="121"/>
      <c r="H38" s="121"/>
      <c r="I38" s="121"/>
      <c r="J38" s="121"/>
      <c r="K38" s="121"/>
      <c r="L38" s="121"/>
      <c r="M38" s="121"/>
      <c r="N38" s="121"/>
      <c r="O38" s="121"/>
      <c r="P38" s="121"/>
      <c r="Q38" s="360">
        <v>2.2000000000000002</v>
      </c>
      <c r="R38" s="363" t="s">
        <v>832</v>
      </c>
      <c r="S38" s="363"/>
      <c r="T38" s="363"/>
      <c r="U38" s="363"/>
      <c r="V38" s="363"/>
      <c r="W38" s="363"/>
      <c r="X38" s="363"/>
      <c r="Y38" s="363"/>
      <c r="Z38" s="364"/>
      <c r="AA38" s="367"/>
      <c r="AB38"/>
      <c r="AC38"/>
      <c r="AD38"/>
      <c r="AE38"/>
      <c r="AF38"/>
    </row>
    <row r="39" spans="1:32" ht="12.75" customHeight="1">
      <c r="A39" s="121"/>
      <c r="B39" s="121"/>
      <c r="C39" s="121"/>
      <c r="D39" s="121"/>
      <c r="E39" s="121"/>
      <c r="F39" s="121"/>
      <c r="G39" s="121"/>
      <c r="H39" s="121"/>
      <c r="I39" s="121"/>
      <c r="J39" s="121"/>
      <c r="K39" s="121"/>
      <c r="L39" s="121"/>
      <c r="M39" s="121"/>
      <c r="N39" s="121"/>
      <c r="O39" s="121"/>
      <c r="P39" s="121"/>
      <c r="Q39" s="360"/>
      <c r="R39" s="998" t="s">
        <v>77</v>
      </c>
      <c r="S39" s="999"/>
      <c r="T39" s="1000"/>
      <c r="U39" s="1019" t="s">
        <v>824</v>
      </c>
      <c r="V39" s="1019" t="s">
        <v>828</v>
      </c>
      <c r="W39" s="1019" t="s">
        <v>826</v>
      </c>
      <c r="X39" s="1019" t="s">
        <v>23</v>
      </c>
      <c r="Y39" s="364"/>
      <c r="Z39" s="364"/>
      <c r="AA39" s="367"/>
      <c r="AB39"/>
      <c r="AC39"/>
      <c r="AD39"/>
      <c r="AE39"/>
      <c r="AF39"/>
    </row>
    <row r="40" spans="1:32" ht="12.75" customHeight="1">
      <c r="A40" s="121"/>
      <c r="B40" s="121"/>
      <c r="C40" s="121"/>
      <c r="D40" s="121"/>
      <c r="E40" s="121"/>
      <c r="F40" s="121"/>
      <c r="G40" s="121"/>
      <c r="H40" s="121"/>
      <c r="I40" s="121"/>
      <c r="J40" s="121"/>
      <c r="K40" s="121"/>
      <c r="L40" s="121"/>
      <c r="M40" s="121"/>
      <c r="N40" s="121"/>
      <c r="O40" s="121"/>
      <c r="P40" s="121"/>
      <c r="Q40" s="360"/>
      <c r="R40" s="1001"/>
      <c r="S40" s="1002"/>
      <c r="T40" s="1003"/>
      <c r="U40" s="1019"/>
      <c r="V40" s="1019"/>
      <c r="W40" s="1019"/>
      <c r="X40" s="1019"/>
      <c r="Y40" s="364"/>
      <c r="Z40" s="364"/>
      <c r="AA40" s="367"/>
      <c r="AB40"/>
      <c r="AC40"/>
      <c r="AD40"/>
      <c r="AE40"/>
      <c r="AF40"/>
    </row>
    <row r="41" spans="1:32" ht="12.75" customHeight="1">
      <c r="A41" s="121"/>
      <c r="B41" s="121"/>
      <c r="C41" s="121"/>
      <c r="D41" s="121"/>
      <c r="E41" s="121"/>
      <c r="F41" s="121"/>
      <c r="G41" s="121"/>
      <c r="H41" s="121"/>
      <c r="I41" s="121"/>
      <c r="J41" s="121"/>
      <c r="K41" s="121"/>
      <c r="L41" s="121"/>
      <c r="M41" s="121"/>
      <c r="N41" s="121"/>
      <c r="O41" s="121"/>
      <c r="P41" s="121"/>
      <c r="Q41" s="360"/>
      <c r="R41" s="1020" t="s">
        <v>500</v>
      </c>
      <c r="S41" s="1020"/>
      <c r="T41" s="1020"/>
      <c r="U41" s="556">
        <f>'Lookup Properties'!$B$13</f>
        <v>0.74</v>
      </c>
      <c r="V41" s="556">
        <f>'Lookup Properties'!$C$13</f>
        <v>0.78</v>
      </c>
      <c r="W41" s="556">
        <f>'Lookup Properties'!$D$13</f>
        <v>1.26</v>
      </c>
      <c r="X41" s="553">
        <f>SUM(U41:W41)</f>
        <v>2.7800000000000002</v>
      </c>
      <c r="Y41" s="364"/>
      <c r="Z41" s="364"/>
      <c r="AA41" s="367"/>
      <c r="AB41"/>
      <c r="AC41"/>
      <c r="AD41"/>
      <c r="AE41"/>
      <c r="AF41"/>
    </row>
    <row r="42" spans="1:32" ht="12.75" customHeight="1">
      <c r="A42" s="121"/>
      <c r="B42" s="121"/>
      <c r="C42" s="121"/>
      <c r="D42" s="121"/>
      <c r="E42" s="121"/>
      <c r="F42" s="121"/>
      <c r="G42" s="121"/>
      <c r="H42" s="121"/>
      <c r="I42" s="121"/>
      <c r="J42" s="121"/>
      <c r="K42" s="121"/>
      <c r="L42" s="121"/>
      <c r="M42" s="121"/>
      <c r="N42" s="121"/>
      <c r="O42" s="121"/>
      <c r="P42" s="121"/>
      <c r="Q42" s="360"/>
      <c r="R42" s="1017" t="s">
        <v>22</v>
      </c>
      <c r="S42" s="1017"/>
      <c r="T42" s="1017"/>
      <c r="U42" s="557">
        <f>'Lookup Properties'!$B$11</f>
        <v>0.71499999999999997</v>
      </c>
      <c r="V42" s="557">
        <f>'Lookup Properties'!$C$11</f>
        <v>1.03</v>
      </c>
      <c r="W42" s="557">
        <f>'Lookup Properties'!$D$11</f>
        <v>1.29</v>
      </c>
      <c r="X42" s="553">
        <f>SUM(U42:W42)</f>
        <v>3.0350000000000001</v>
      </c>
      <c r="Y42" s="364"/>
      <c r="Z42" s="364"/>
      <c r="AA42" s="367"/>
      <c r="AB42"/>
      <c r="AC42"/>
      <c r="AD42"/>
      <c r="AE42"/>
      <c r="AF42"/>
    </row>
    <row r="43" spans="1:32" ht="12.75" customHeight="1">
      <c r="A43" s="121"/>
      <c r="B43" s="121"/>
      <c r="C43" s="121"/>
      <c r="D43" s="121"/>
      <c r="E43" s="121"/>
      <c r="F43" s="121"/>
      <c r="G43" s="121"/>
      <c r="H43" s="121"/>
      <c r="I43" s="121"/>
      <c r="J43" s="121"/>
      <c r="K43" s="121"/>
      <c r="L43" s="121"/>
      <c r="M43" s="121"/>
      <c r="N43" s="121"/>
      <c r="O43" s="121"/>
      <c r="P43" s="121"/>
      <c r="Q43" s="360"/>
      <c r="R43" s="1018" t="s">
        <v>579</v>
      </c>
      <c r="S43" s="1018"/>
      <c r="T43" s="1018"/>
      <c r="U43" s="557">
        <f>'Lookup Properties'!$B$12</f>
        <v>0.755</v>
      </c>
      <c r="V43" s="557">
        <f>'Lookup Properties'!$C$12</f>
        <v>1.07</v>
      </c>
      <c r="W43" s="557">
        <f>'Lookup Properties'!$D$12</f>
        <v>1.2949999999999999</v>
      </c>
      <c r="X43" s="553">
        <f>SUM(U43:W43)</f>
        <v>3.12</v>
      </c>
      <c r="Y43" s="364"/>
      <c r="Z43" s="364"/>
      <c r="AA43" s="367"/>
      <c r="AB43"/>
      <c r="AC43"/>
      <c r="AD43"/>
      <c r="AE43"/>
      <c r="AF43"/>
    </row>
    <row r="44" spans="1:32" ht="12.75" customHeight="1">
      <c r="A44" s="121"/>
      <c r="B44" s="121"/>
      <c r="C44" s="121"/>
      <c r="D44" s="121"/>
      <c r="E44" s="121"/>
      <c r="F44" s="121"/>
      <c r="G44" s="121"/>
      <c r="H44" s="121"/>
      <c r="I44" s="121"/>
      <c r="J44" s="121"/>
      <c r="K44" s="121"/>
      <c r="L44" s="121"/>
      <c r="M44" s="121"/>
      <c r="N44" s="121"/>
      <c r="O44" s="121"/>
      <c r="P44" s="121"/>
      <c r="Q44" s="360"/>
      <c r="R44" s="1016" t="s">
        <v>21</v>
      </c>
      <c r="S44" s="1016"/>
      <c r="T44" s="1016"/>
      <c r="U44" s="557">
        <f>'Lookup Properties'!$B$10</f>
        <v>0.71</v>
      </c>
      <c r="V44" s="557">
        <f>'Lookup Properties'!$C$10</f>
        <v>1.03</v>
      </c>
      <c r="W44" s="557">
        <f>'Lookup Properties'!$D$10</f>
        <v>1.29</v>
      </c>
      <c r="X44" s="553">
        <f>SUM(U44:W44)</f>
        <v>3.0300000000000002</v>
      </c>
      <c r="Y44" s="364"/>
      <c r="Z44" s="364"/>
      <c r="AA44" s="367"/>
      <c r="AB44"/>
      <c r="AC44"/>
      <c r="AD44"/>
      <c r="AE44"/>
      <c r="AF44"/>
    </row>
    <row r="45" spans="1:32" ht="12.75" customHeight="1">
      <c r="A45" s="121"/>
      <c r="B45" s="121"/>
      <c r="C45" s="121"/>
      <c r="D45" s="121"/>
      <c r="E45" s="121"/>
      <c r="F45" s="121"/>
      <c r="G45" s="121"/>
      <c r="H45" s="121"/>
      <c r="I45" s="121"/>
      <c r="J45" s="121"/>
      <c r="K45" s="121"/>
      <c r="L45" s="121"/>
      <c r="M45" s="121"/>
      <c r="N45" s="121"/>
      <c r="O45" s="121"/>
      <c r="P45" s="121"/>
      <c r="Q45" s="364"/>
      <c r="R45" s="364"/>
      <c r="S45" s="364"/>
      <c r="T45" s="364"/>
      <c r="U45" s="555"/>
      <c r="V45" s="555"/>
      <c r="W45" s="555"/>
      <c r="X45" s="555"/>
      <c r="Y45" s="555"/>
      <c r="Z45" s="364"/>
      <c r="AA45" s="367"/>
      <c r="AB45"/>
      <c r="AC45"/>
      <c r="AD45"/>
      <c r="AE45"/>
      <c r="AF45"/>
    </row>
    <row r="46" spans="1:32" ht="12.75" customHeight="1">
      <c r="A46" s="121"/>
      <c r="B46" s="121"/>
      <c r="C46" s="121"/>
      <c r="D46" s="121"/>
      <c r="E46" s="121"/>
      <c r="F46" s="121"/>
      <c r="G46" s="121"/>
      <c r="H46" s="121"/>
      <c r="I46" s="121"/>
      <c r="J46" s="121"/>
      <c r="K46" s="121"/>
      <c r="L46" s="121"/>
      <c r="M46" s="121"/>
      <c r="N46" s="121"/>
      <c r="O46" s="121"/>
      <c r="P46" s="121"/>
      <c r="Q46" s="387" t="s">
        <v>817</v>
      </c>
      <c r="R46" s="1015" t="s">
        <v>206</v>
      </c>
      <c r="S46" s="1015"/>
      <c r="T46" s="1015"/>
      <c r="U46" s="1015"/>
      <c r="V46" s="1015"/>
      <c r="W46" s="1015"/>
      <c r="X46" s="1015"/>
      <c r="Y46" s="1015"/>
      <c r="Z46" s="536"/>
      <c r="AA46" s="367"/>
      <c r="AB46"/>
      <c r="AC46"/>
      <c r="AD46"/>
      <c r="AE46"/>
      <c r="AF46"/>
    </row>
    <row r="47" spans="1:32" ht="12.75" customHeight="1">
      <c r="A47" s="121"/>
      <c r="B47" s="121"/>
      <c r="C47" s="121"/>
      <c r="D47" s="121"/>
      <c r="E47" s="121"/>
      <c r="F47" s="121"/>
      <c r="G47" s="121"/>
      <c r="H47" s="121"/>
      <c r="I47" s="121"/>
      <c r="J47" s="121"/>
      <c r="K47" s="121"/>
      <c r="L47" s="121"/>
      <c r="M47" s="121"/>
      <c r="N47" s="121"/>
      <c r="O47" s="121"/>
      <c r="P47" s="121"/>
      <c r="Q47" s="668"/>
      <c r="R47" s="364"/>
      <c r="S47" s="364"/>
      <c r="T47" s="364"/>
      <c r="U47" s="555"/>
      <c r="V47" s="555"/>
      <c r="W47" s="555"/>
      <c r="X47" s="555"/>
      <c r="Y47" s="555"/>
      <c r="Z47" s="364"/>
      <c r="AA47" s="367"/>
      <c r="AB47"/>
      <c r="AC47"/>
      <c r="AD47"/>
      <c r="AE47"/>
      <c r="AF47"/>
    </row>
    <row r="48" spans="1:32" ht="12.75" customHeight="1">
      <c r="A48" s="121"/>
      <c r="B48" s="121"/>
      <c r="C48" s="121"/>
      <c r="D48" s="121"/>
      <c r="E48" s="121"/>
      <c r="F48" s="121"/>
      <c r="G48" s="121"/>
      <c r="H48" s="121"/>
      <c r="I48" s="121"/>
      <c r="J48" s="121"/>
      <c r="K48" s="121"/>
      <c r="L48" s="121"/>
      <c r="M48" s="121"/>
      <c r="N48" s="121"/>
      <c r="O48" s="121"/>
      <c r="P48" s="121"/>
      <c r="Q48" s="668" t="s">
        <v>196</v>
      </c>
      <c r="R48" s="364" t="s">
        <v>207</v>
      </c>
      <c r="S48" s="364"/>
      <c r="T48" s="364"/>
      <c r="U48" s="555"/>
      <c r="V48" s="555"/>
      <c r="W48" s="555"/>
      <c r="X48" s="555"/>
      <c r="Y48" s="555"/>
      <c r="Z48" s="364"/>
      <c r="AA48" s="367"/>
      <c r="AB48"/>
      <c r="AC48"/>
      <c r="AD48"/>
      <c r="AE48"/>
      <c r="AF48"/>
    </row>
    <row r="49" spans="1:32" ht="12.75" customHeight="1">
      <c r="A49" s="121"/>
      <c r="B49" s="121"/>
      <c r="C49" s="121"/>
      <c r="D49" s="121"/>
      <c r="E49" s="121"/>
      <c r="F49" s="121"/>
      <c r="G49" s="121"/>
      <c r="H49" s="121"/>
      <c r="I49" s="121"/>
      <c r="J49" s="121"/>
      <c r="K49" s="121"/>
      <c r="L49" s="121"/>
      <c r="M49" s="121"/>
      <c r="N49" s="121"/>
      <c r="O49" s="121"/>
      <c r="P49" s="121"/>
      <c r="Q49" s="364"/>
      <c r="R49" s="962" t="s">
        <v>678</v>
      </c>
      <c r="S49" s="963"/>
      <c r="T49" s="964"/>
      <c r="U49" s="949" t="s">
        <v>500</v>
      </c>
      <c r="V49" s="938" t="s">
        <v>22</v>
      </c>
      <c r="W49" s="940" t="s">
        <v>579</v>
      </c>
      <c r="X49" s="942" t="s">
        <v>21</v>
      </c>
      <c r="Y49" s="361"/>
      <c r="Z49" s="364"/>
      <c r="AA49" s="367"/>
      <c r="AB49"/>
      <c r="AC49"/>
      <c r="AD49"/>
      <c r="AE49"/>
      <c r="AF49"/>
    </row>
    <row r="50" spans="1:32" ht="12.75" customHeight="1">
      <c r="A50" s="121"/>
      <c r="B50" s="121"/>
      <c r="C50" s="121"/>
      <c r="D50" s="121"/>
      <c r="E50" s="121"/>
      <c r="F50" s="121"/>
      <c r="G50" s="121"/>
      <c r="H50" s="121"/>
      <c r="I50" s="121"/>
      <c r="J50" s="121"/>
      <c r="K50" s="121"/>
      <c r="L50" s="121"/>
      <c r="M50" s="121"/>
      <c r="N50" s="121"/>
      <c r="O50" s="121"/>
      <c r="P50" s="121"/>
      <c r="Q50" s="364"/>
      <c r="R50" s="965"/>
      <c r="S50" s="966"/>
      <c r="T50" s="967"/>
      <c r="U50" s="950"/>
      <c r="V50" s="939"/>
      <c r="W50" s="941"/>
      <c r="X50" s="943"/>
      <c r="Y50" s="361"/>
      <c r="Z50" s="364"/>
      <c r="AA50" s="367"/>
      <c r="AB50"/>
      <c r="AC50"/>
      <c r="AD50"/>
      <c r="AE50"/>
      <c r="AF50"/>
    </row>
    <row r="51" spans="1:32" ht="12.75" customHeight="1">
      <c r="A51" s="121"/>
      <c r="B51" s="121"/>
      <c r="C51" s="121"/>
      <c r="D51" s="121"/>
      <c r="E51" s="121"/>
      <c r="F51" s="121"/>
      <c r="G51" s="121"/>
      <c r="H51" s="121"/>
      <c r="I51" s="121"/>
      <c r="J51" s="121"/>
      <c r="K51" s="121"/>
      <c r="L51" s="121"/>
      <c r="M51" s="121"/>
      <c r="N51" s="121"/>
      <c r="O51" s="121"/>
      <c r="P51" s="121"/>
      <c r="Q51" s="364"/>
      <c r="R51" s="969" t="s">
        <v>210</v>
      </c>
      <c r="S51" s="969"/>
      <c r="T51" s="969"/>
      <c r="U51" s="560">
        <v>0.3</v>
      </c>
      <c r="V51" s="537">
        <f>VLOOKUP($V$5,'Lookup Penetration Rate'!$B$8:$E$208,3)</f>
        <v>0.4</v>
      </c>
      <c r="W51" s="537">
        <f>VLOOKUP($V$5,'Lookup Penetration Rate'!$B$8:$E$208,4)</f>
        <v>0.46</v>
      </c>
      <c r="X51" s="537">
        <f>VLOOKUP($V$5,'Lookup Penetration Rate'!$B$8:$E$208,2)</f>
        <v>0.56000000000000005</v>
      </c>
      <c r="Y51" s="361"/>
      <c r="Z51" s="364"/>
      <c r="AA51" s="367"/>
      <c r="AB51"/>
      <c r="AC51"/>
      <c r="AD51"/>
      <c r="AE51"/>
      <c r="AF51"/>
    </row>
    <row r="52" spans="1:32" ht="12.75" customHeight="1">
      <c r="A52" s="121"/>
      <c r="B52" s="121"/>
      <c r="C52" s="121"/>
      <c r="D52" s="121"/>
      <c r="E52" s="121"/>
      <c r="F52" s="121"/>
      <c r="G52" s="121"/>
      <c r="H52" s="121"/>
      <c r="I52" s="121"/>
      <c r="J52" s="121"/>
      <c r="K52" s="121"/>
      <c r="L52" s="121"/>
      <c r="M52" s="121"/>
      <c r="N52" s="121"/>
      <c r="O52" s="121"/>
      <c r="P52" s="121"/>
      <c r="Q52" s="364"/>
      <c r="R52" s="364"/>
      <c r="S52" s="364"/>
      <c r="T52" s="364"/>
      <c r="U52" s="555"/>
      <c r="V52" s="555"/>
      <c r="W52" s="555"/>
      <c r="X52" s="555"/>
      <c r="Y52" s="555"/>
      <c r="Z52" s="364"/>
      <c r="AA52" s="367"/>
      <c r="AB52"/>
      <c r="AC52"/>
      <c r="AD52"/>
      <c r="AE52"/>
      <c r="AF52"/>
    </row>
    <row r="53" spans="1:32" ht="12.75" customHeight="1">
      <c r="A53" s="121"/>
      <c r="B53" s="121"/>
      <c r="C53" s="121"/>
      <c r="D53" s="121"/>
      <c r="E53" s="121"/>
      <c r="F53" s="121"/>
      <c r="G53" s="121"/>
      <c r="H53" s="121"/>
      <c r="I53" s="121"/>
      <c r="J53" s="121"/>
      <c r="K53" s="121"/>
      <c r="L53" s="121"/>
      <c r="M53" s="121"/>
      <c r="N53" s="121"/>
      <c r="O53" s="121"/>
      <c r="P53" s="121"/>
      <c r="Q53" s="668" t="s">
        <v>197</v>
      </c>
      <c r="R53" s="364" t="s">
        <v>208</v>
      </c>
      <c r="S53" s="364"/>
      <c r="T53" s="364"/>
      <c r="U53" s="555"/>
      <c r="V53" s="555"/>
      <c r="W53" s="555"/>
      <c r="X53" s="555"/>
      <c r="Y53" s="555"/>
      <c r="Z53" s="364"/>
      <c r="AA53" s="367"/>
      <c r="AB53"/>
      <c r="AC53"/>
      <c r="AD53"/>
      <c r="AE53"/>
      <c r="AF53"/>
    </row>
    <row r="54" spans="1:32" ht="12.75" customHeight="1">
      <c r="A54" s="121"/>
      <c r="B54" s="121"/>
      <c r="C54" s="121"/>
      <c r="D54" s="121"/>
      <c r="E54" s="121"/>
      <c r="F54" s="121"/>
      <c r="G54" s="121"/>
      <c r="H54" s="121"/>
      <c r="I54" s="121"/>
      <c r="J54" s="121"/>
      <c r="K54" s="121"/>
      <c r="L54" s="121"/>
      <c r="M54" s="121"/>
      <c r="N54" s="121"/>
      <c r="O54" s="121"/>
      <c r="P54" s="121"/>
      <c r="Q54" s="668"/>
      <c r="R54" s="962" t="s">
        <v>678</v>
      </c>
      <c r="S54" s="963"/>
      <c r="T54" s="964"/>
      <c r="U54" s="949" t="s">
        <v>500</v>
      </c>
      <c r="V54" s="938" t="s">
        <v>22</v>
      </c>
      <c r="W54" s="940" t="s">
        <v>579</v>
      </c>
      <c r="X54" s="942" t="s">
        <v>21</v>
      </c>
      <c r="Y54" s="361"/>
      <c r="Z54" s="364"/>
      <c r="AA54" s="367"/>
      <c r="AB54"/>
      <c r="AC54"/>
      <c r="AD54"/>
      <c r="AE54"/>
      <c r="AF54"/>
    </row>
    <row r="55" spans="1:32" ht="12.75" customHeight="1">
      <c r="A55" s="121"/>
      <c r="B55" s="121"/>
      <c r="C55" s="121"/>
      <c r="D55" s="121"/>
      <c r="E55" s="121"/>
      <c r="F55" s="121"/>
      <c r="G55" s="121"/>
      <c r="H55" s="121"/>
      <c r="I55" s="121"/>
      <c r="J55" s="121"/>
      <c r="K55" s="121"/>
      <c r="L55" s="121"/>
      <c r="M55" s="121"/>
      <c r="N55" s="121"/>
      <c r="O55" s="121"/>
      <c r="P55" s="121"/>
      <c r="Q55" s="668"/>
      <c r="R55" s="965"/>
      <c r="S55" s="966"/>
      <c r="T55" s="967"/>
      <c r="U55" s="950"/>
      <c r="V55" s="939"/>
      <c r="W55" s="941"/>
      <c r="X55" s="943"/>
      <c r="Y55" s="361"/>
      <c r="Z55" s="364"/>
      <c r="AA55" s="367"/>
      <c r="AB55"/>
      <c r="AC55"/>
      <c r="AD55"/>
      <c r="AE55"/>
      <c r="AF55"/>
    </row>
    <row r="56" spans="1:32" ht="12.75" customHeight="1">
      <c r="A56" s="121"/>
      <c r="B56" s="121"/>
      <c r="C56" s="121"/>
      <c r="D56" s="121"/>
      <c r="E56" s="121"/>
      <c r="F56" s="121"/>
      <c r="G56" s="121"/>
      <c r="H56" s="121"/>
      <c r="I56" s="121"/>
      <c r="J56" s="121"/>
      <c r="K56" s="121"/>
      <c r="L56" s="121"/>
      <c r="M56" s="121"/>
      <c r="N56" s="121"/>
      <c r="O56" s="121"/>
      <c r="P56" s="121"/>
      <c r="Q56" s="668"/>
      <c r="R56" s="969" t="s">
        <v>209</v>
      </c>
      <c r="S56" s="969"/>
      <c r="T56" s="969"/>
      <c r="U56" s="560">
        <f>$V$20/U51</f>
        <v>4</v>
      </c>
      <c r="V56" s="669">
        <f>$V$20/V51</f>
        <v>2.9999999999999996</v>
      </c>
      <c r="W56" s="669">
        <f>$V$20/W51</f>
        <v>2.6086956521739126</v>
      </c>
      <c r="X56" s="669">
        <f>$V$20/X51</f>
        <v>2.1428571428571428</v>
      </c>
      <c r="Y56" s="361"/>
      <c r="Z56" s="364"/>
      <c r="AA56" s="367"/>
      <c r="AB56"/>
      <c r="AC56"/>
      <c r="AD56"/>
      <c r="AE56"/>
      <c r="AF56"/>
    </row>
    <row r="57" spans="1:32" ht="12.75" customHeight="1">
      <c r="A57" s="121"/>
      <c r="B57" s="121"/>
      <c r="C57" s="121"/>
      <c r="D57" s="121"/>
      <c r="E57" s="121"/>
      <c r="F57" s="121"/>
      <c r="G57" s="121"/>
      <c r="H57" s="121"/>
      <c r="I57" s="121"/>
      <c r="J57" s="121"/>
      <c r="K57" s="121"/>
      <c r="L57" s="121"/>
      <c r="M57" s="121"/>
      <c r="N57" s="121"/>
      <c r="O57" s="121"/>
      <c r="P57" s="121"/>
      <c r="Q57" s="364"/>
      <c r="R57" s="364"/>
      <c r="S57" s="364"/>
      <c r="T57" s="364"/>
      <c r="U57" s="555"/>
      <c r="V57" s="555"/>
      <c r="W57" s="555"/>
      <c r="X57" s="555"/>
      <c r="Y57" s="555"/>
      <c r="Z57" s="364"/>
      <c r="AA57" s="367"/>
      <c r="AB57"/>
      <c r="AC57"/>
      <c r="AD57"/>
      <c r="AE57"/>
      <c r="AF57"/>
    </row>
    <row r="58" spans="1:32" ht="12.75" customHeight="1">
      <c r="A58" s="121"/>
      <c r="B58" s="121"/>
      <c r="C58" s="121"/>
      <c r="D58" s="121"/>
      <c r="E58" s="121"/>
      <c r="F58" s="121"/>
      <c r="G58" s="121"/>
      <c r="H58" s="121"/>
      <c r="I58" s="121"/>
      <c r="J58" s="121"/>
      <c r="K58" s="121"/>
      <c r="L58" s="121"/>
      <c r="M58" s="121"/>
      <c r="N58" s="121"/>
      <c r="O58" s="121"/>
      <c r="P58" s="121"/>
      <c r="Q58" s="563">
        <v>3.3</v>
      </c>
      <c r="R58" s="363" t="s">
        <v>211</v>
      </c>
      <c r="S58" s="363"/>
      <c r="T58" s="363"/>
      <c r="U58" s="363"/>
      <c r="V58" s="363"/>
      <c r="W58" s="363"/>
      <c r="X58" s="363"/>
      <c r="Y58" s="363"/>
      <c r="Z58" s="364"/>
      <c r="AA58" s="367"/>
      <c r="AB58"/>
      <c r="AC58"/>
      <c r="AD58"/>
      <c r="AE58"/>
      <c r="AF58"/>
    </row>
    <row r="59" spans="1:32" ht="12.75" customHeight="1">
      <c r="A59" s="121"/>
      <c r="B59" s="121"/>
      <c r="C59" s="121"/>
      <c r="D59" s="121"/>
      <c r="E59" s="121"/>
      <c r="F59" s="121"/>
      <c r="G59" s="121"/>
      <c r="H59" s="121"/>
      <c r="I59" s="121"/>
      <c r="J59" s="121"/>
      <c r="K59" s="121"/>
      <c r="L59" s="121"/>
      <c r="M59" s="121"/>
      <c r="N59" s="121"/>
      <c r="O59" s="121"/>
      <c r="P59" s="121"/>
      <c r="Q59" s="563"/>
      <c r="R59" s="962" t="s">
        <v>678</v>
      </c>
      <c r="S59" s="963"/>
      <c r="T59" s="964"/>
      <c r="U59" s="949" t="s">
        <v>500</v>
      </c>
      <c r="V59" s="938" t="s">
        <v>22</v>
      </c>
      <c r="W59" s="940" t="s">
        <v>579</v>
      </c>
      <c r="X59" s="942" t="s">
        <v>21</v>
      </c>
      <c r="Y59" s="361"/>
      <c r="Z59" s="364"/>
      <c r="AA59" s="367"/>
      <c r="AB59"/>
      <c r="AC59"/>
      <c r="AD59"/>
      <c r="AE59"/>
      <c r="AF59"/>
    </row>
    <row r="60" spans="1:32" ht="12.75" customHeight="1">
      <c r="A60" s="121"/>
      <c r="B60" s="121"/>
      <c r="C60" s="121"/>
      <c r="D60" s="121"/>
      <c r="E60" s="121"/>
      <c r="F60" s="121"/>
      <c r="G60" s="121"/>
      <c r="H60" s="121"/>
      <c r="I60" s="121"/>
      <c r="J60" s="121"/>
      <c r="K60" s="121"/>
      <c r="L60" s="121"/>
      <c r="M60" s="121"/>
      <c r="N60" s="121"/>
      <c r="O60" s="121"/>
      <c r="P60" s="121"/>
      <c r="Q60" s="563"/>
      <c r="R60" s="965"/>
      <c r="S60" s="966"/>
      <c r="T60" s="967"/>
      <c r="U60" s="950"/>
      <c r="V60" s="939"/>
      <c r="W60" s="941"/>
      <c r="X60" s="943"/>
      <c r="Y60" s="361"/>
      <c r="Z60" s="364"/>
      <c r="AA60" s="367"/>
      <c r="AB60"/>
      <c r="AC60"/>
      <c r="AD60"/>
      <c r="AE60"/>
      <c r="AF60"/>
    </row>
    <row r="61" spans="1:32" ht="12.75" customHeight="1">
      <c r="A61" s="121"/>
      <c r="B61" s="121"/>
      <c r="C61" s="121"/>
      <c r="D61" s="121"/>
      <c r="E61" s="121"/>
      <c r="F61" s="121"/>
      <c r="G61" s="121"/>
      <c r="H61" s="121"/>
      <c r="I61" s="121"/>
      <c r="J61" s="121"/>
      <c r="K61" s="121"/>
      <c r="L61" s="121"/>
      <c r="M61" s="121"/>
      <c r="N61" s="121"/>
      <c r="O61" s="121"/>
      <c r="P61" s="121"/>
      <c r="Q61" s="563"/>
      <c r="R61" s="969" t="s">
        <v>209</v>
      </c>
      <c r="S61" s="969"/>
      <c r="T61" s="969"/>
      <c r="U61" s="562">
        <f>(U56*$V$24)/$V$23</f>
        <v>160</v>
      </c>
      <c r="V61" s="670">
        <f>(V56*$V$24)/$V$23</f>
        <v>119.99999999999997</v>
      </c>
      <c r="W61" s="670">
        <f>(W56*$V$24)/$V$23</f>
        <v>104.3478260869565</v>
      </c>
      <c r="X61" s="670">
        <f>(X56*$V$24)/$V$23</f>
        <v>85.714285714285708</v>
      </c>
      <c r="Y61" s="361"/>
      <c r="Z61" s="364"/>
      <c r="AA61" s="367"/>
      <c r="AB61"/>
      <c r="AC61"/>
      <c r="AD61"/>
      <c r="AE61"/>
      <c r="AF61"/>
    </row>
    <row r="62" spans="1:32" ht="12.75" customHeight="1">
      <c r="A62" s="121"/>
      <c r="B62" s="121"/>
      <c r="C62" s="121"/>
      <c r="D62" s="121"/>
      <c r="E62" s="121"/>
      <c r="F62" s="121"/>
      <c r="G62" s="121"/>
      <c r="H62" s="121"/>
      <c r="I62" s="121"/>
      <c r="J62" s="121"/>
      <c r="K62" s="121"/>
      <c r="L62" s="121"/>
      <c r="M62" s="121"/>
      <c r="N62" s="121"/>
      <c r="O62" s="121"/>
      <c r="P62" s="121"/>
      <c r="Q62" s="563"/>
      <c r="R62" s="931" t="s">
        <v>212</v>
      </c>
      <c r="S62" s="931"/>
      <c r="T62" s="931"/>
      <c r="U62" s="537">
        <f>U61/60</f>
        <v>2.6666666666666665</v>
      </c>
      <c r="V62" s="557">
        <f>V61/60</f>
        <v>1.9999999999999996</v>
      </c>
      <c r="W62" s="557">
        <f>W61/60</f>
        <v>1.7391304347826084</v>
      </c>
      <c r="X62" s="557">
        <f>X61/60</f>
        <v>1.4285714285714284</v>
      </c>
      <c r="Y62" s="361"/>
      <c r="Z62" s="364"/>
      <c r="AA62" s="367"/>
      <c r="AB62"/>
      <c r="AC62"/>
      <c r="AD62"/>
      <c r="AE62"/>
      <c r="AF62"/>
    </row>
    <row r="63" spans="1:32" ht="12.75" customHeight="1">
      <c r="A63" s="121"/>
      <c r="B63" s="121"/>
      <c r="C63" s="121"/>
      <c r="D63" s="121"/>
      <c r="E63" s="121"/>
      <c r="F63" s="121"/>
      <c r="G63" s="121"/>
      <c r="H63" s="121"/>
      <c r="I63" s="121"/>
      <c r="J63" s="121"/>
      <c r="K63" s="121"/>
      <c r="L63" s="121"/>
      <c r="M63" s="121"/>
      <c r="N63" s="121"/>
      <c r="O63" s="121"/>
      <c r="P63" s="121"/>
      <c r="Q63" s="563"/>
      <c r="R63" s="363"/>
      <c r="S63" s="363"/>
      <c r="T63" s="363"/>
      <c r="U63" s="363"/>
      <c r="V63" s="363"/>
      <c r="W63" s="363"/>
      <c r="X63" s="363"/>
      <c r="Y63" s="363"/>
      <c r="Z63" s="364"/>
      <c r="AA63" s="367"/>
      <c r="AB63"/>
      <c r="AC63"/>
      <c r="AD63"/>
      <c r="AE63"/>
      <c r="AF63"/>
    </row>
    <row r="64" spans="1:32" ht="12.75" customHeight="1">
      <c r="A64" s="121"/>
      <c r="B64" s="121"/>
      <c r="C64" s="121"/>
      <c r="D64" s="121"/>
      <c r="E64" s="121"/>
      <c r="F64" s="121"/>
      <c r="G64" s="121"/>
      <c r="H64" s="121"/>
      <c r="I64" s="121"/>
      <c r="J64" s="121"/>
      <c r="K64" s="121"/>
      <c r="L64" s="121"/>
      <c r="M64" s="121"/>
      <c r="N64" s="121"/>
      <c r="O64" s="121"/>
      <c r="P64" s="121"/>
      <c r="Q64" s="388" t="s">
        <v>295</v>
      </c>
      <c r="R64" s="1015" t="s">
        <v>216</v>
      </c>
      <c r="S64" s="1015"/>
      <c r="T64" s="1015"/>
      <c r="U64" s="1015"/>
      <c r="V64" s="1015"/>
      <c r="W64" s="1015"/>
      <c r="X64" s="1015"/>
      <c r="Y64" s="1015"/>
      <c r="Z64" s="536"/>
      <c r="AA64" s="367"/>
      <c r="AB64"/>
      <c r="AC64"/>
      <c r="AD64"/>
      <c r="AE64"/>
      <c r="AF64"/>
    </row>
    <row r="65" spans="1:36" ht="12.75" customHeight="1">
      <c r="A65" s="121"/>
      <c r="B65" s="121"/>
      <c r="C65" s="121"/>
      <c r="D65" s="121"/>
      <c r="E65" s="121"/>
      <c r="F65" s="121"/>
      <c r="G65" s="121"/>
      <c r="H65" s="121"/>
      <c r="I65" s="121"/>
      <c r="J65" s="121"/>
      <c r="K65" s="121"/>
      <c r="L65" s="121"/>
      <c r="M65" s="121"/>
      <c r="N65" s="121"/>
      <c r="O65" s="121"/>
      <c r="P65" s="121"/>
      <c r="Q65" s="563"/>
      <c r="R65" s="363"/>
      <c r="S65" s="363"/>
      <c r="T65" s="363"/>
      <c r="U65" s="363"/>
      <c r="V65" s="363"/>
      <c r="W65" s="363"/>
      <c r="X65" s="363"/>
      <c r="Y65" s="363"/>
      <c r="Z65" s="364"/>
      <c r="AA65" s="367"/>
      <c r="AB65"/>
      <c r="AC65"/>
      <c r="AD65"/>
      <c r="AE65"/>
      <c r="AF65"/>
      <c r="AG65" s="23"/>
      <c r="AH65" s="23"/>
      <c r="AI65" s="23"/>
    </row>
    <row r="66" spans="1:36" ht="12.75" customHeight="1">
      <c r="A66" s="121"/>
      <c r="B66" s="121"/>
      <c r="C66" s="121"/>
      <c r="D66" s="121"/>
      <c r="E66" s="121"/>
      <c r="F66" s="121"/>
      <c r="G66" s="121"/>
      <c r="H66" s="121"/>
      <c r="I66" s="121"/>
      <c r="J66" s="121"/>
      <c r="K66" s="121"/>
      <c r="L66" s="121"/>
      <c r="M66" s="121"/>
      <c r="N66" s="121"/>
      <c r="O66" s="121"/>
      <c r="P66" s="121"/>
      <c r="Q66" s="360" t="s">
        <v>502</v>
      </c>
      <c r="R66" s="364" t="s">
        <v>527</v>
      </c>
      <c r="S66" s="364"/>
      <c r="T66" s="364"/>
      <c r="U66" s="555"/>
      <c r="V66" s="555"/>
      <c r="W66" s="555"/>
      <c r="X66" s="555"/>
      <c r="Y66" s="555"/>
      <c r="Z66" s="364"/>
      <c r="AA66" s="367"/>
      <c r="AB66"/>
      <c r="AC66"/>
      <c r="AD66"/>
      <c r="AE66"/>
      <c r="AF66"/>
      <c r="AJ66" s="17"/>
    </row>
    <row r="67" spans="1:36" ht="12.75" customHeight="1">
      <c r="A67" s="121"/>
      <c r="B67" s="121"/>
      <c r="C67" s="121"/>
      <c r="D67" s="121"/>
      <c r="E67" s="121"/>
      <c r="F67" s="121"/>
      <c r="G67" s="121"/>
      <c r="H67" s="121"/>
      <c r="I67" s="121"/>
      <c r="J67" s="121"/>
      <c r="K67" s="121"/>
      <c r="L67" s="121"/>
      <c r="M67" s="121"/>
      <c r="N67" s="121"/>
      <c r="O67" s="121"/>
      <c r="P67" s="121"/>
      <c r="Q67" s="360"/>
      <c r="R67" s="962" t="s">
        <v>678</v>
      </c>
      <c r="S67" s="963"/>
      <c r="T67" s="964"/>
      <c r="U67" s="949" t="s">
        <v>500</v>
      </c>
      <c r="V67" s="938" t="s">
        <v>22</v>
      </c>
      <c r="W67" s="940" t="s">
        <v>579</v>
      </c>
      <c r="X67" s="942" t="s">
        <v>21</v>
      </c>
      <c r="Y67" s="361"/>
      <c r="Z67" s="364"/>
      <c r="AA67" s="367"/>
      <c r="AB67"/>
      <c r="AC67"/>
      <c r="AD67"/>
      <c r="AE67"/>
      <c r="AF67"/>
      <c r="AJ67" s="17"/>
    </row>
    <row r="68" spans="1:36" ht="12.75" customHeight="1">
      <c r="A68" s="121"/>
      <c r="B68" s="121"/>
      <c r="C68" s="121"/>
      <c r="D68" s="121"/>
      <c r="E68" s="121"/>
      <c r="F68" s="121"/>
      <c r="G68" s="121"/>
      <c r="H68" s="121"/>
      <c r="I68" s="121"/>
      <c r="J68" s="121"/>
      <c r="K68" s="121"/>
      <c r="L68" s="121"/>
      <c r="M68" s="121"/>
      <c r="N68" s="121"/>
      <c r="O68" s="121"/>
      <c r="P68" s="121"/>
      <c r="Q68" s="360"/>
      <c r="R68" s="965"/>
      <c r="S68" s="966"/>
      <c r="T68" s="967"/>
      <c r="U68" s="950"/>
      <c r="V68" s="939"/>
      <c r="W68" s="941"/>
      <c r="X68" s="943"/>
      <c r="Y68" s="361"/>
      <c r="Z68" s="364"/>
      <c r="AA68" s="367"/>
      <c r="AB68"/>
      <c r="AC68"/>
      <c r="AD68"/>
      <c r="AE68"/>
      <c r="AF68"/>
      <c r="AJ68" s="17"/>
    </row>
    <row r="69" spans="1:36" ht="12.75" customHeight="1">
      <c r="A69" s="121"/>
      <c r="B69" s="121"/>
      <c r="C69" s="121"/>
      <c r="D69" s="121"/>
      <c r="E69" s="121"/>
      <c r="F69" s="121"/>
      <c r="G69" s="121"/>
      <c r="H69" s="121"/>
      <c r="I69" s="121"/>
      <c r="J69" s="121"/>
      <c r="K69" s="121"/>
      <c r="L69" s="121"/>
      <c r="M69" s="121"/>
      <c r="N69" s="121"/>
      <c r="O69" s="121"/>
      <c r="P69" s="121"/>
      <c r="Q69" s="360"/>
      <c r="R69" s="969" t="s">
        <v>63</v>
      </c>
      <c r="S69" s="969"/>
      <c r="T69" s="969"/>
      <c r="U69" s="369">
        <v>102</v>
      </c>
      <c r="V69" s="369">
        <f>VLOOKUP($V$5,'Lookup dBA'!$B$8:$E$208,3)</f>
        <v>108</v>
      </c>
      <c r="W69" s="369">
        <f>VLOOKUP($V$5,'Lookup dBA'!$B$8:$E$208,4)</f>
        <v>109</v>
      </c>
      <c r="X69" s="369">
        <f>VLOOKUP($V$5,'Lookup dBA'!$B$8:$E$208,2)</f>
        <v>116</v>
      </c>
      <c r="Y69" s="361"/>
      <c r="Z69" s="364"/>
      <c r="AA69" s="367"/>
      <c r="AB69"/>
      <c r="AC69"/>
      <c r="AD69"/>
      <c r="AE69"/>
      <c r="AF69"/>
      <c r="AJ69" s="32"/>
    </row>
    <row r="70" spans="1:36" ht="12.75" customHeight="1">
      <c r="A70" s="121"/>
      <c r="B70" s="121"/>
      <c r="C70" s="121"/>
      <c r="D70" s="121"/>
      <c r="E70" s="121"/>
      <c r="F70" s="121"/>
      <c r="G70" s="121"/>
      <c r="H70" s="121"/>
      <c r="I70" s="121"/>
      <c r="J70" s="121"/>
      <c r="K70" s="121"/>
      <c r="L70" s="121"/>
      <c r="M70" s="121"/>
      <c r="N70" s="121"/>
      <c r="O70" s="121"/>
      <c r="P70" s="121"/>
      <c r="Q70" s="360"/>
      <c r="R70" s="969" t="s">
        <v>64</v>
      </c>
      <c r="S70" s="969"/>
      <c r="T70" s="969"/>
      <c r="U70" s="369">
        <f>U69-PPE!$I$15</f>
        <v>89</v>
      </c>
      <c r="V70" s="369">
        <f>V69-PPE!$I$15</f>
        <v>95</v>
      </c>
      <c r="W70" s="369">
        <f>W69-PPE!$I$15</f>
        <v>96</v>
      </c>
      <c r="X70" s="369">
        <f>X69-PPE!$I$15</f>
        <v>103</v>
      </c>
      <c r="Y70" s="361"/>
      <c r="Z70" s="364"/>
      <c r="AA70" s="367"/>
      <c r="AB70"/>
      <c r="AC70"/>
      <c r="AD70"/>
      <c r="AE70"/>
      <c r="AF70"/>
      <c r="AJ70" s="32"/>
    </row>
    <row r="71" spans="1:36" ht="12.75" customHeight="1">
      <c r="A71" s="121"/>
      <c r="B71" s="121"/>
      <c r="C71" s="121"/>
      <c r="D71" s="121"/>
      <c r="E71" s="121"/>
      <c r="F71" s="121"/>
      <c r="G71" s="121"/>
      <c r="H71" s="121"/>
      <c r="I71" s="121"/>
      <c r="J71" s="121"/>
      <c r="K71" s="121"/>
      <c r="L71" s="121"/>
      <c r="M71" s="121"/>
      <c r="N71" s="121"/>
      <c r="O71" s="121"/>
      <c r="P71" s="121"/>
      <c r="Q71" s="360"/>
      <c r="R71" s="969" t="s">
        <v>529</v>
      </c>
      <c r="S71" s="969"/>
      <c r="T71" s="969"/>
      <c r="U71" s="369">
        <v>110</v>
      </c>
      <c r="V71" s="369">
        <v>110</v>
      </c>
      <c r="W71" s="369">
        <v>110</v>
      </c>
      <c r="X71" s="369">
        <v>110</v>
      </c>
      <c r="Y71" s="361"/>
      <c r="Z71" s="364"/>
      <c r="AA71" s="367"/>
      <c r="AB71"/>
      <c r="AC71"/>
      <c r="AD71"/>
      <c r="AE71"/>
      <c r="AF71"/>
      <c r="AJ71" s="32"/>
    </row>
    <row r="72" spans="1:36" ht="12.75" customHeight="1">
      <c r="A72" s="121"/>
      <c r="B72" s="121"/>
      <c r="C72" s="121"/>
      <c r="D72" s="121"/>
      <c r="E72" s="121"/>
      <c r="F72" s="121"/>
      <c r="G72" s="121"/>
      <c r="H72" s="121"/>
      <c r="I72" s="121"/>
      <c r="J72" s="121"/>
      <c r="K72" s="121"/>
      <c r="L72" s="121"/>
      <c r="M72" s="121"/>
      <c r="N72" s="121"/>
      <c r="O72" s="121"/>
      <c r="P72" s="121"/>
      <c r="Q72" s="360"/>
      <c r="R72" s="363"/>
      <c r="S72" s="363"/>
      <c r="T72" s="363"/>
      <c r="U72" s="363"/>
      <c r="V72" s="363"/>
      <c r="W72" s="363"/>
      <c r="X72" s="363"/>
      <c r="Y72" s="555"/>
      <c r="Z72" s="364"/>
      <c r="AA72" s="367"/>
      <c r="AB72"/>
      <c r="AC72"/>
      <c r="AD72"/>
      <c r="AE72"/>
      <c r="AF72"/>
      <c r="AJ72" s="17"/>
    </row>
    <row r="73" spans="1:36" ht="12.75" customHeight="1">
      <c r="A73" s="121"/>
      <c r="B73" s="121"/>
      <c r="C73" s="121"/>
      <c r="D73" s="121"/>
      <c r="E73" s="121"/>
      <c r="F73" s="121"/>
      <c r="G73" s="121"/>
      <c r="H73" s="121"/>
      <c r="I73" s="121"/>
      <c r="J73" s="121"/>
      <c r="K73" s="121"/>
      <c r="L73" s="121"/>
      <c r="M73" s="121"/>
      <c r="N73" s="121"/>
      <c r="O73" s="121"/>
      <c r="P73" s="121"/>
      <c r="Q73" s="360" t="s">
        <v>503</v>
      </c>
      <c r="R73" s="364" t="s">
        <v>528</v>
      </c>
      <c r="S73" s="364"/>
      <c r="T73" s="364"/>
      <c r="U73" s="555"/>
      <c r="V73" s="555"/>
      <c r="W73" s="555"/>
      <c r="X73" s="555"/>
      <c r="Y73" s="555"/>
      <c r="Z73" s="364"/>
      <c r="AA73" s="367"/>
      <c r="AB73"/>
      <c r="AC73"/>
      <c r="AD73"/>
      <c r="AE73"/>
      <c r="AF73"/>
      <c r="AJ73" s="17"/>
    </row>
    <row r="74" spans="1:36" ht="12.75" customHeight="1">
      <c r="A74" s="121"/>
      <c r="B74" s="121"/>
      <c r="C74" s="121"/>
      <c r="D74" s="121"/>
      <c r="E74" s="121"/>
      <c r="F74" s="121"/>
      <c r="G74" s="121"/>
      <c r="H74" s="121"/>
      <c r="I74" s="121"/>
      <c r="J74" s="121"/>
      <c r="K74" s="121"/>
      <c r="L74" s="121"/>
      <c r="M74" s="121"/>
      <c r="N74" s="121"/>
      <c r="O74" s="121"/>
      <c r="P74" s="121"/>
      <c r="Q74" s="360"/>
      <c r="R74" s="935" t="s">
        <v>678</v>
      </c>
      <c r="S74" s="935"/>
      <c r="T74" s="935"/>
      <c r="U74" s="930" t="s">
        <v>500</v>
      </c>
      <c r="V74" s="928" t="s">
        <v>22</v>
      </c>
      <c r="W74" s="929" t="s">
        <v>579</v>
      </c>
      <c r="X74" s="927" t="s">
        <v>21</v>
      </c>
      <c r="Y74" s="361"/>
      <c r="Z74" s="364"/>
      <c r="AA74" s="367"/>
      <c r="AB74"/>
      <c r="AC74"/>
      <c r="AD74"/>
      <c r="AE74"/>
      <c r="AF74"/>
      <c r="AJ74" s="17"/>
    </row>
    <row r="75" spans="1:36" ht="12.75" customHeight="1">
      <c r="A75" s="121"/>
      <c r="B75" s="121"/>
      <c r="C75" s="121"/>
      <c r="D75" s="121"/>
      <c r="E75" s="121"/>
      <c r="F75" s="121"/>
      <c r="G75" s="121"/>
      <c r="H75" s="121"/>
      <c r="I75" s="121"/>
      <c r="J75" s="121"/>
      <c r="K75" s="121"/>
      <c r="L75" s="121"/>
      <c r="M75" s="121"/>
      <c r="N75" s="121"/>
      <c r="O75" s="121"/>
      <c r="P75" s="121"/>
      <c r="Q75" s="360"/>
      <c r="R75" s="935"/>
      <c r="S75" s="935"/>
      <c r="T75" s="935"/>
      <c r="U75" s="930"/>
      <c r="V75" s="928"/>
      <c r="W75" s="929"/>
      <c r="X75" s="927"/>
      <c r="Y75" s="361"/>
      <c r="Z75" s="364"/>
      <c r="AA75" s="367"/>
      <c r="AB75"/>
      <c r="AC75"/>
      <c r="AD75"/>
      <c r="AE75"/>
      <c r="AF75"/>
      <c r="AJ75" s="17"/>
    </row>
    <row r="76" spans="1:36" ht="12.75" customHeight="1">
      <c r="A76" s="121"/>
      <c r="B76" s="121"/>
      <c r="C76" s="121"/>
      <c r="D76" s="121"/>
      <c r="E76" s="121"/>
      <c r="F76" s="121"/>
      <c r="G76" s="121"/>
      <c r="H76" s="121"/>
      <c r="I76" s="121"/>
      <c r="J76" s="121"/>
      <c r="K76" s="121"/>
      <c r="L76" s="121"/>
      <c r="M76" s="121"/>
      <c r="N76" s="121"/>
      <c r="O76" s="121"/>
      <c r="P76" s="121"/>
      <c r="Q76" s="360"/>
      <c r="R76" s="969" t="s">
        <v>63</v>
      </c>
      <c r="S76" s="969"/>
      <c r="T76" s="969"/>
      <c r="U76" s="369">
        <f>VLOOKUP($V$21,$R$309:$Z$314,5)</f>
        <v>108.02059991327964</v>
      </c>
      <c r="V76" s="369">
        <f>VLOOKUP($V$21,$R$309:$Z$314,3)</f>
        <v>114.02059991327963</v>
      </c>
      <c r="W76" s="369">
        <f>VLOOKUP($V$21,$R$309:$Z$314,4)</f>
        <v>115.02059991327963</v>
      </c>
      <c r="X76" s="369">
        <f>VLOOKUP($V$21,$R$309:$Z$314,2)</f>
        <v>122.02059991327964</v>
      </c>
      <c r="Y76" s="361"/>
      <c r="Z76" s="364"/>
      <c r="AA76" s="367"/>
      <c r="AB76"/>
      <c r="AC76"/>
      <c r="AD76"/>
      <c r="AE76"/>
      <c r="AF76"/>
      <c r="AJ76" s="17"/>
    </row>
    <row r="77" spans="1:36" ht="12.75" customHeight="1">
      <c r="Q77" s="360"/>
      <c r="R77" s="969" t="s">
        <v>64</v>
      </c>
      <c r="S77" s="969"/>
      <c r="T77" s="969"/>
      <c r="U77" s="369">
        <f>U76-PPE!$I$15</f>
        <v>95.020599913279639</v>
      </c>
      <c r="V77" s="369">
        <f>V76-PPE!$I$15</f>
        <v>101.02059991327963</v>
      </c>
      <c r="W77" s="369">
        <f>W76-PPE!$I$15</f>
        <v>102.02059991327963</v>
      </c>
      <c r="X77" s="369">
        <f>X76-PPE!$I$15</f>
        <v>109.02059991327964</v>
      </c>
      <c r="Y77" s="361"/>
      <c r="Z77" s="364"/>
      <c r="AA77" s="367"/>
      <c r="AB77"/>
      <c r="AC77"/>
      <c r="AD77"/>
      <c r="AE77"/>
      <c r="AF77"/>
      <c r="AJ77" s="17"/>
    </row>
    <row r="78" spans="1:36" ht="12.75" customHeight="1">
      <c r="Q78" s="360"/>
      <c r="R78" s="969" t="s">
        <v>529</v>
      </c>
      <c r="S78" s="969"/>
      <c r="T78" s="969"/>
      <c r="U78" s="369">
        <v>110</v>
      </c>
      <c r="V78" s="369">
        <v>110</v>
      </c>
      <c r="W78" s="369">
        <v>110</v>
      </c>
      <c r="X78" s="369">
        <v>110</v>
      </c>
      <c r="Y78" s="361"/>
      <c r="Z78" s="364"/>
      <c r="AA78" s="367"/>
      <c r="AB78"/>
      <c r="AC78"/>
      <c r="AD78"/>
      <c r="AE78"/>
      <c r="AF78"/>
      <c r="AJ78" s="17"/>
    </row>
    <row r="79" spans="1:36" ht="12.75" customHeight="1">
      <c r="Q79" s="360"/>
      <c r="R79" s="364"/>
      <c r="S79" s="364"/>
      <c r="T79" s="364"/>
      <c r="U79" s="555"/>
      <c r="V79" s="555"/>
      <c r="W79" s="555"/>
      <c r="X79" s="555"/>
      <c r="Y79" s="555"/>
      <c r="Z79" s="364"/>
      <c r="AA79" s="367"/>
      <c r="AB79"/>
      <c r="AC79"/>
      <c r="AD79"/>
      <c r="AE79"/>
      <c r="AF79"/>
      <c r="AJ79" s="17"/>
    </row>
    <row r="80" spans="1:36" ht="12.75" customHeight="1">
      <c r="Q80" s="385" t="s">
        <v>305</v>
      </c>
      <c r="R80" s="1008" t="s">
        <v>218</v>
      </c>
      <c r="S80" s="1008"/>
      <c r="T80" s="1008"/>
      <c r="U80" s="1008"/>
      <c r="V80" s="1008"/>
      <c r="W80" s="1008"/>
      <c r="X80" s="1008"/>
      <c r="Y80" s="1008"/>
      <c r="Z80" s="536"/>
      <c r="AA80" s="367"/>
      <c r="AB80"/>
      <c r="AC80"/>
      <c r="AD80"/>
      <c r="AE80"/>
      <c r="AF80"/>
      <c r="AJ80" s="43"/>
    </row>
    <row r="81" spans="17:36" ht="12.75" customHeight="1">
      <c r="Q81" s="546"/>
      <c r="R81" s="363"/>
      <c r="S81" s="363"/>
      <c r="T81" s="363"/>
      <c r="U81" s="363"/>
      <c r="V81" s="363"/>
      <c r="W81" s="363"/>
      <c r="X81" s="363"/>
      <c r="Y81" s="363"/>
      <c r="Z81" s="364"/>
      <c r="AA81" s="367"/>
      <c r="AB81"/>
      <c r="AC81"/>
      <c r="AD81"/>
      <c r="AE81"/>
      <c r="AF81"/>
      <c r="AJ81" s="43"/>
    </row>
    <row r="82" spans="17:36" ht="12.75" customHeight="1">
      <c r="Q82" s="546"/>
      <c r="R82" s="363" t="s">
        <v>436</v>
      </c>
      <c r="S82" s="363"/>
      <c r="T82" s="363"/>
      <c r="U82" s="363"/>
      <c r="V82" s="363"/>
      <c r="W82" s="363"/>
      <c r="X82" s="363"/>
      <c r="Y82" s="363"/>
      <c r="Z82" s="364"/>
      <c r="AA82" s="367"/>
      <c r="AB82"/>
      <c r="AC82"/>
      <c r="AD82"/>
      <c r="AE82"/>
      <c r="AF82"/>
      <c r="AJ82" s="43"/>
    </row>
    <row r="83" spans="17:36" ht="12.75" customHeight="1">
      <c r="Q83" s="360"/>
      <c r="R83" s="935" t="s">
        <v>678</v>
      </c>
      <c r="S83" s="935"/>
      <c r="T83" s="935"/>
      <c r="U83" s="949" t="s">
        <v>500</v>
      </c>
      <c r="V83" s="1011" t="s">
        <v>22</v>
      </c>
      <c r="W83" s="1013" t="s">
        <v>579</v>
      </c>
      <c r="X83" s="1009" t="s">
        <v>21</v>
      </c>
      <c r="Y83" s="361"/>
      <c r="Z83" s="364"/>
      <c r="AA83" s="367"/>
      <c r="AB83"/>
      <c r="AC83"/>
      <c r="AD83"/>
      <c r="AE83"/>
      <c r="AF83"/>
    </row>
    <row r="84" spans="17:36" ht="12.75" customHeight="1">
      <c r="Q84" s="360"/>
      <c r="R84" s="935"/>
      <c r="S84" s="935"/>
      <c r="T84" s="935"/>
      <c r="U84" s="950"/>
      <c r="V84" s="1012"/>
      <c r="W84" s="1014"/>
      <c r="X84" s="1010"/>
      <c r="Y84" s="361"/>
      <c r="Z84" s="364"/>
      <c r="AA84" s="367"/>
      <c r="AB84"/>
      <c r="AC84"/>
      <c r="AD84"/>
      <c r="AE84"/>
      <c r="AF84"/>
    </row>
    <row r="85" spans="17:36" ht="12.75" customHeight="1">
      <c r="Q85" s="360"/>
      <c r="R85" s="969" t="s">
        <v>63</v>
      </c>
      <c r="S85" s="969"/>
      <c r="T85" s="969"/>
      <c r="U85" s="369">
        <f>U414</f>
        <v>97.15</v>
      </c>
      <c r="V85" s="369">
        <f>U356</f>
        <v>101.95</v>
      </c>
      <c r="W85" s="369">
        <f>U385</f>
        <v>102.4</v>
      </c>
      <c r="X85" s="369">
        <f>U327</f>
        <v>108.5</v>
      </c>
      <c r="Y85" s="361"/>
      <c r="Z85" s="364"/>
      <c r="AA85" s="367"/>
      <c r="AB85"/>
      <c r="AC85"/>
      <c r="AD85"/>
      <c r="AE85"/>
      <c r="AF85"/>
    </row>
    <row r="86" spans="17:36" ht="12.75" customHeight="1">
      <c r="Q86" s="360"/>
      <c r="R86" s="969" t="s">
        <v>64</v>
      </c>
      <c r="S86" s="969"/>
      <c r="T86" s="969"/>
      <c r="U86" s="369">
        <f>U427</f>
        <v>84.15</v>
      </c>
      <c r="V86" s="369">
        <f>U369</f>
        <v>88.95</v>
      </c>
      <c r="W86" s="369">
        <f>U398</f>
        <v>89.3</v>
      </c>
      <c r="X86" s="369">
        <f>U340</f>
        <v>95.55</v>
      </c>
      <c r="Y86" s="361"/>
      <c r="Z86" s="364"/>
      <c r="AA86" s="367"/>
      <c r="AB86"/>
      <c r="AC86"/>
      <c r="AD86"/>
      <c r="AE86"/>
      <c r="AF86"/>
    </row>
    <row r="87" spans="17:36" ht="12.75" customHeight="1">
      <c r="Q87" s="360"/>
      <c r="R87" s="969" t="s">
        <v>530</v>
      </c>
      <c r="S87" s="969"/>
      <c r="T87" s="969"/>
      <c r="U87" s="369">
        <v>85</v>
      </c>
      <c r="V87" s="369">
        <v>85</v>
      </c>
      <c r="W87" s="369">
        <v>85</v>
      </c>
      <c r="X87" s="369">
        <v>85</v>
      </c>
      <c r="Y87" s="361"/>
      <c r="Z87" s="364"/>
      <c r="AA87" s="367"/>
      <c r="AB87"/>
      <c r="AC87"/>
      <c r="AD87"/>
      <c r="AE87"/>
      <c r="AF87"/>
    </row>
    <row r="88" spans="17:36" ht="12.75" customHeight="1">
      <c r="Q88" s="360"/>
      <c r="R88" s="363"/>
      <c r="S88" s="363"/>
      <c r="T88" s="363"/>
      <c r="U88" s="363"/>
      <c r="V88" s="363"/>
      <c r="W88" s="363"/>
      <c r="X88" s="363"/>
      <c r="Y88" s="363"/>
      <c r="Z88" s="364"/>
      <c r="AA88" s="367"/>
      <c r="AB88"/>
      <c r="AC88"/>
      <c r="AD88"/>
      <c r="AE88"/>
      <c r="AF88"/>
    </row>
    <row r="89" spans="17:36" ht="12.75" customHeight="1">
      <c r="Q89" s="360"/>
      <c r="R89" s="363" t="s">
        <v>437</v>
      </c>
      <c r="S89" s="363"/>
      <c r="T89" s="363"/>
      <c r="U89" s="363"/>
      <c r="V89" s="363"/>
      <c r="W89" s="363"/>
      <c r="X89" s="363"/>
      <c r="Y89" s="363"/>
      <c r="Z89" s="364"/>
      <c r="AA89" s="367"/>
      <c r="AB89"/>
      <c r="AC89"/>
      <c r="AD89"/>
      <c r="AE89"/>
      <c r="AF89"/>
    </row>
    <row r="90" spans="17:36" ht="12.75" customHeight="1">
      <c r="Q90" s="360"/>
      <c r="R90" s="935" t="s">
        <v>678</v>
      </c>
      <c r="S90" s="935"/>
      <c r="T90" s="935"/>
      <c r="U90" s="949" t="s">
        <v>500</v>
      </c>
      <c r="V90" s="1011" t="s">
        <v>22</v>
      </c>
      <c r="W90" s="1013" t="s">
        <v>579</v>
      </c>
      <c r="X90" s="1009" t="s">
        <v>21</v>
      </c>
      <c r="Y90" s="361"/>
      <c r="Z90" s="364"/>
      <c r="AA90" s="367"/>
      <c r="AB90"/>
      <c r="AC90"/>
      <c r="AD90"/>
      <c r="AE90"/>
      <c r="AF90"/>
    </row>
    <row r="91" spans="17:36" ht="12.75" customHeight="1">
      <c r="Q91" s="360"/>
      <c r="R91" s="935"/>
      <c r="S91" s="935"/>
      <c r="T91" s="935"/>
      <c r="U91" s="950"/>
      <c r="V91" s="1012"/>
      <c r="W91" s="1014"/>
      <c r="X91" s="1010"/>
      <c r="Y91" s="361"/>
      <c r="Z91" s="364"/>
      <c r="AA91" s="367"/>
      <c r="AB91"/>
      <c r="AC91"/>
      <c r="AD91"/>
      <c r="AE91"/>
      <c r="AF91"/>
    </row>
    <row r="92" spans="17:36" ht="12.75" customHeight="1">
      <c r="Q92" s="360"/>
      <c r="R92" s="969" t="s">
        <v>63</v>
      </c>
      <c r="S92" s="969"/>
      <c r="T92" s="969"/>
      <c r="U92" s="369">
        <f>U533</f>
        <v>103.15</v>
      </c>
      <c r="V92" s="369">
        <f>U475</f>
        <v>107.95</v>
      </c>
      <c r="W92" s="369">
        <f>U504</f>
        <v>108.4</v>
      </c>
      <c r="X92" s="369">
        <f>U446</f>
        <v>113.95</v>
      </c>
      <c r="Y92" s="361"/>
      <c r="Z92" s="364"/>
      <c r="AA92" s="367"/>
      <c r="AB92"/>
      <c r="AC92"/>
      <c r="AD92"/>
      <c r="AE92"/>
      <c r="AF92"/>
    </row>
    <row r="93" spans="17:36" ht="12.75" customHeight="1">
      <c r="Q93" s="360"/>
      <c r="R93" s="969" t="s">
        <v>64</v>
      </c>
      <c r="S93" s="969"/>
      <c r="T93" s="969"/>
      <c r="U93" s="369">
        <f>U546</f>
        <v>90.15</v>
      </c>
      <c r="V93" s="369">
        <f>U488</f>
        <v>94.95</v>
      </c>
      <c r="W93" s="369">
        <f>U517</f>
        <v>95.3</v>
      </c>
      <c r="X93" s="369">
        <f>U459</f>
        <v>101.55</v>
      </c>
      <c r="Y93" s="361"/>
      <c r="Z93" s="364"/>
      <c r="AA93" s="367"/>
      <c r="AB93"/>
      <c r="AC93"/>
      <c r="AD93"/>
      <c r="AE93"/>
      <c r="AF93"/>
    </row>
    <row r="94" spans="17:36" ht="12.75" customHeight="1">
      <c r="Q94" s="360"/>
      <c r="R94" s="969" t="s">
        <v>530</v>
      </c>
      <c r="S94" s="969"/>
      <c r="T94" s="969"/>
      <c r="U94" s="369">
        <v>85</v>
      </c>
      <c r="V94" s="369">
        <v>85</v>
      </c>
      <c r="W94" s="369">
        <v>85</v>
      </c>
      <c r="X94" s="369">
        <v>85</v>
      </c>
      <c r="Y94" s="361"/>
      <c r="Z94" s="364"/>
      <c r="AA94" s="367"/>
      <c r="AB94"/>
      <c r="AC94"/>
      <c r="AD94"/>
      <c r="AE94"/>
      <c r="AF94"/>
    </row>
    <row r="95" spans="17:36" ht="12.75" customHeight="1">
      <c r="Q95" s="360"/>
      <c r="R95" s="363"/>
      <c r="S95" s="363"/>
      <c r="T95" s="363"/>
      <c r="U95" s="363"/>
      <c r="V95" s="363"/>
      <c r="W95" s="363"/>
      <c r="X95" s="363"/>
      <c r="Y95" s="363"/>
      <c r="Z95" s="364"/>
      <c r="AA95" s="367"/>
      <c r="AB95"/>
      <c r="AC95"/>
      <c r="AD95"/>
      <c r="AE95"/>
      <c r="AF95"/>
    </row>
    <row r="96" spans="17:36" s="133" customFormat="1" ht="12.75" customHeight="1">
      <c r="Q96" s="385" t="s">
        <v>222</v>
      </c>
      <c r="R96" s="1008" t="s">
        <v>504</v>
      </c>
      <c r="S96" s="1008"/>
      <c r="T96" s="1008"/>
      <c r="U96" s="1008"/>
      <c r="V96" s="1008"/>
      <c r="W96" s="1008"/>
      <c r="X96" s="1008"/>
      <c r="Y96" s="1008"/>
      <c r="Z96" s="547"/>
      <c r="AA96" s="367"/>
      <c r="AB96"/>
      <c r="AC96"/>
      <c r="AD96"/>
      <c r="AE96"/>
      <c r="AF96"/>
    </row>
    <row r="97" spans="17:32" ht="12.75" customHeight="1">
      <c r="Q97" s="360"/>
      <c r="R97" s="363"/>
      <c r="S97" s="363"/>
      <c r="T97" s="363"/>
      <c r="U97" s="363"/>
      <c r="V97" s="363"/>
      <c r="W97" s="363"/>
      <c r="X97" s="363"/>
      <c r="Y97" s="363"/>
      <c r="Z97" s="364"/>
      <c r="AA97" s="367"/>
      <c r="AB97"/>
      <c r="AC97"/>
      <c r="AD97"/>
      <c r="AE97"/>
      <c r="AF97"/>
    </row>
    <row r="98" spans="17:32" ht="12.75" customHeight="1">
      <c r="Q98" s="360" t="s">
        <v>505</v>
      </c>
      <c r="R98" s="363" t="s">
        <v>514</v>
      </c>
      <c r="S98" s="363"/>
      <c r="T98" s="363"/>
      <c r="U98" s="363"/>
      <c r="V98" s="363"/>
      <c r="W98" s="363"/>
      <c r="X98" s="363"/>
      <c r="Y98" s="363"/>
      <c r="Z98" s="364"/>
      <c r="AA98" s="367"/>
      <c r="AB98"/>
      <c r="AC98"/>
      <c r="AD98"/>
      <c r="AE98"/>
      <c r="AF98"/>
    </row>
    <row r="99" spans="17:32" ht="12.75" customHeight="1">
      <c r="Q99" s="360"/>
      <c r="R99" s="363" t="s">
        <v>512</v>
      </c>
      <c r="S99" s="363"/>
      <c r="T99" s="363"/>
      <c r="U99" s="363"/>
      <c r="V99" s="363"/>
      <c r="W99" s="363"/>
      <c r="X99" s="363"/>
      <c r="Y99" s="363"/>
      <c r="Z99" s="364"/>
      <c r="AA99" s="367"/>
      <c r="AB99"/>
      <c r="AC99"/>
      <c r="AD99"/>
      <c r="AE99"/>
      <c r="AF99"/>
    </row>
    <row r="100" spans="17:32" ht="12.75" customHeight="1">
      <c r="Q100" s="360"/>
      <c r="R100" s="998" t="s">
        <v>191</v>
      </c>
      <c r="S100" s="999"/>
      <c r="T100" s="1000"/>
      <c r="U100" s="949" t="s">
        <v>500</v>
      </c>
      <c r="V100" s="938" t="s">
        <v>22</v>
      </c>
      <c r="W100" s="940" t="s">
        <v>579</v>
      </c>
      <c r="X100" s="942" t="s">
        <v>21</v>
      </c>
      <c r="Y100" s="361"/>
      <c r="Z100" s="364"/>
      <c r="AA100" s="367"/>
      <c r="AB100"/>
      <c r="AC100"/>
      <c r="AD100"/>
      <c r="AE100"/>
      <c r="AF100"/>
    </row>
    <row r="101" spans="17:32" ht="12.75" customHeight="1">
      <c r="Q101" s="360"/>
      <c r="R101" s="1001"/>
      <c r="S101" s="1002"/>
      <c r="T101" s="1003"/>
      <c r="U101" s="950"/>
      <c r="V101" s="939"/>
      <c r="W101" s="941"/>
      <c r="X101" s="943"/>
      <c r="Y101" s="361"/>
      <c r="Z101" s="364"/>
      <c r="AA101" s="367"/>
      <c r="AB101"/>
      <c r="AC101"/>
      <c r="AD101"/>
      <c r="AE101"/>
      <c r="AF101"/>
    </row>
    <row r="102" spans="17:32" ht="12.75" customHeight="1">
      <c r="Q102" s="360"/>
      <c r="R102" s="969" t="s">
        <v>63</v>
      </c>
      <c r="S102" s="969"/>
      <c r="T102" s="969"/>
      <c r="U102" s="537">
        <f>VLOOKUP(U69,'Lookup Exposure Time'!$B$12:$C$732,2)</f>
        <v>10</v>
      </c>
      <c r="V102" s="537">
        <f>VLOOKUP(V69,'Lookup Exposure Time'!$B$12:$C$732,2)</f>
        <v>2.5</v>
      </c>
      <c r="W102" s="537">
        <f>VLOOKUP(W69,'Lookup Exposure Time'!$B$12:$C$732,2)</f>
        <v>1.875</v>
      </c>
      <c r="X102" s="537">
        <f>VLOOKUP(X69,'Lookup Exposure Time'!$B$12:$C$732,2)</f>
        <v>0.39061999999999986</v>
      </c>
      <c r="Y102" s="361"/>
      <c r="Z102" s="364"/>
      <c r="AA102" s="367"/>
      <c r="AB102"/>
      <c r="AC102"/>
      <c r="AD102"/>
      <c r="AE102"/>
      <c r="AF102"/>
    </row>
    <row r="103" spans="17:32" ht="12.75" customHeight="1">
      <c r="Q103" s="360"/>
      <c r="R103" s="969" t="s">
        <v>64</v>
      </c>
      <c r="S103" s="969"/>
      <c r="T103" s="969"/>
      <c r="U103" s="537">
        <f>VLOOKUP(U70,'Lookup Exposure Time'!$B$12:$C$732,2)</f>
        <v>200</v>
      </c>
      <c r="V103" s="537">
        <f>VLOOKUP(V70,'Lookup Exposure Time'!$B$12:$C$732,2)</f>
        <v>50</v>
      </c>
      <c r="W103" s="537">
        <f>VLOOKUP(W70,'Lookup Exposure Time'!$B$12:$C$732,2)</f>
        <v>40</v>
      </c>
      <c r="X103" s="537">
        <f>VLOOKUP(X70,'Lookup Exposure Time'!$B$12:$C$732,2)</f>
        <v>7.5</v>
      </c>
      <c r="Y103" s="361"/>
      <c r="Z103" s="364"/>
      <c r="AA103" s="367"/>
      <c r="AB103"/>
      <c r="AC103"/>
      <c r="AD103"/>
      <c r="AE103"/>
      <c r="AF103"/>
    </row>
    <row r="104" spans="17:32" ht="12.75" customHeight="1">
      <c r="Q104" s="360"/>
      <c r="R104" s="364"/>
      <c r="S104" s="364"/>
      <c r="T104" s="364"/>
      <c r="U104" s="364"/>
      <c r="V104" s="364"/>
      <c r="W104" s="364"/>
      <c r="X104" s="364"/>
      <c r="Y104" s="363"/>
      <c r="Z104" s="364"/>
      <c r="AA104" s="367"/>
      <c r="AB104"/>
      <c r="AC104"/>
      <c r="AD104"/>
      <c r="AE104"/>
      <c r="AF104"/>
    </row>
    <row r="105" spans="17:32" ht="12.75" customHeight="1">
      <c r="Q105" s="360" t="s">
        <v>507</v>
      </c>
      <c r="R105" s="363" t="s">
        <v>513</v>
      </c>
      <c r="S105" s="363"/>
      <c r="T105" s="363"/>
      <c r="U105" s="363"/>
      <c r="V105" s="363"/>
      <c r="W105" s="363"/>
      <c r="X105" s="363"/>
      <c r="Y105" s="363"/>
      <c r="Z105" s="364"/>
      <c r="AA105" s="367"/>
      <c r="AB105"/>
      <c r="AC105"/>
      <c r="AD105"/>
      <c r="AE105"/>
      <c r="AF105"/>
    </row>
    <row r="106" spans="17:32" ht="12.75" customHeight="1">
      <c r="Q106" s="360"/>
      <c r="R106" s="998" t="s">
        <v>191</v>
      </c>
      <c r="S106" s="999"/>
      <c r="T106" s="1000"/>
      <c r="U106" s="949" t="s">
        <v>500</v>
      </c>
      <c r="V106" s="938" t="s">
        <v>22</v>
      </c>
      <c r="W106" s="940" t="s">
        <v>579</v>
      </c>
      <c r="X106" s="942" t="s">
        <v>21</v>
      </c>
      <c r="Y106" s="361"/>
      <c r="Z106" s="364"/>
      <c r="AA106" s="367"/>
      <c r="AB106"/>
      <c r="AC106"/>
      <c r="AD106"/>
      <c r="AE106"/>
      <c r="AF106"/>
    </row>
    <row r="107" spans="17:32" ht="12.75" customHeight="1">
      <c r="Q107" s="360"/>
      <c r="R107" s="1001"/>
      <c r="S107" s="1002"/>
      <c r="T107" s="1003"/>
      <c r="U107" s="950"/>
      <c r="V107" s="939"/>
      <c r="W107" s="941"/>
      <c r="X107" s="943"/>
      <c r="Y107" s="361"/>
      <c r="Z107" s="364"/>
      <c r="AA107" s="367"/>
      <c r="AB107"/>
      <c r="AC107"/>
      <c r="AD107"/>
      <c r="AE107"/>
      <c r="AF107"/>
    </row>
    <row r="108" spans="17:32" ht="12.75" customHeight="1">
      <c r="Q108" s="360"/>
      <c r="R108" s="969" t="s">
        <v>63</v>
      </c>
      <c r="S108" s="969"/>
      <c r="T108" s="969"/>
      <c r="U108" s="671">
        <f>VLOOKUP(U76,'Lookup Exposure Time'!$B$12:$C$732,2)</f>
        <v>2.5</v>
      </c>
      <c r="V108" s="671">
        <f>VLOOKUP(V76,'Lookup Exposure Time'!$B$12:$C$732,2)</f>
        <v>0.625</v>
      </c>
      <c r="W108" s="671">
        <f>VLOOKUP(W76,'Lookup Exposure Time'!$B$12:$C$732,2)</f>
        <v>0.46875</v>
      </c>
      <c r="X108" s="671">
        <f>VLOOKUP(X76,'Lookup Exposure Time'!$B$12:$C$732,2)</f>
        <v>9.765625E-2</v>
      </c>
      <c r="Y108" s="361"/>
      <c r="Z108" s="364"/>
      <c r="AA108" s="367"/>
      <c r="AB108"/>
      <c r="AC108"/>
      <c r="AD108"/>
      <c r="AE108"/>
      <c r="AF108"/>
    </row>
    <row r="109" spans="17:32" ht="12.75" customHeight="1">
      <c r="Q109" s="360"/>
      <c r="R109" s="969" t="s">
        <v>64</v>
      </c>
      <c r="S109" s="969"/>
      <c r="T109" s="969"/>
      <c r="U109" s="557">
        <f>VLOOKUP(U77,'Lookup Exposure Time'!$B$12:$C$732,2)</f>
        <v>50</v>
      </c>
      <c r="V109" s="557">
        <f>VLOOKUP(V77,'Lookup Exposure Time'!$B$12:$C$732,2)</f>
        <v>12.5</v>
      </c>
      <c r="W109" s="557">
        <f>VLOOKUP(W77,'Lookup Exposure Time'!$B$12:$C$732,2)</f>
        <v>10</v>
      </c>
      <c r="X109" s="557">
        <f>VLOOKUP(X77,'Lookup Exposure Time'!$B$12:$C$732,2)</f>
        <v>1.875</v>
      </c>
      <c r="Y109" s="361"/>
      <c r="Z109" s="364"/>
      <c r="AA109" s="367"/>
      <c r="AB109"/>
      <c r="AC109"/>
      <c r="AD109"/>
      <c r="AE109"/>
      <c r="AF109"/>
    </row>
    <row r="110" spans="17:32" ht="12.75" customHeight="1">
      <c r="Q110" s="360"/>
      <c r="R110" s="363"/>
      <c r="S110" s="363"/>
      <c r="T110" s="363"/>
      <c r="U110" s="363"/>
      <c r="V110" s="363"/>
      <c r="W110" s="363"/>
      <c r="X110" s="363"/>
      <c r="Y110" s="363"/>
      <c r="Z110" s="364"/>
      <c r="AA110" s="367"/>
      <c r="AB110"/>
      <c r="AC110"/>
      <c r="AD110"/>
      <c r="AE110"/>
      <c r="AF110"/>
    </row>
    <row r="111" spans="17:32" ht="12.75" customHeight="1">
      <c r="Q111" s="360" t="s">
        <v>508</v>
      </c>
      <c r="R111" s="363" t="s">
        <v>531</v>
      </c>
      <c r="S111" s="363"/>
      <c r="T111" s="363"/>
      <c r="U111" s="363"/>
      <c r="V111" s="363"/>
      <c r="W111" s="363"/>
      <c r="X111" s="363"/>
      <c r="Y111" s="363"/>
      <c r="Z111" s="364"/>
      <c r="AA111" s="367"/>
      <c r="AB111"/>
      <c r="AC111"/>
      <c r="AD111"/>
      <c r="AE111"/>
      <c r="AF111"/>
    </row>
    <row r="112" spans="17:32" ht="12.75" customHeight="1">
      <c r="Q112" s="360"/>
      <c r="R112" s="998" t="s">
        <v>191</v>
      </c>
      <c r="S112" s="999"/>
      <c r="T112" s="1000"/>
      <c r="U112" s="949" t="s">
        <v>500</v>
      </c>
      <c r="V112" s="938" t="s">
        <v>22</v>
      </c>
      <c r="W112" s="940" t="s">
        <v>579</v>
      </c>
      <c r="X112" s="942" t="s">
        <v>21</v>
      </c>
      <c r="Y112" s="361"/>
      <c r="Z112" s="364"/>
      <c r="AA112" s="367"/>
      <c r="AB112"/>
      <c r="AC112"/>
      <c r="AD112"/>
      <c r="AE112"/>
      <c r="AF112"/>
    </row>
    <row r="113" spans="17:32" ht="12.75" customHeight="1">
      <c r="Q113" s="360"/>
      <c r="R113" s="1001"/>
      <c r="S113" s="1002"/>
      <c r="T113" s="1003"/>
      <c r="U113" s="950"/>
      <c r="V113" s="939"/>
      <c r="W113" s="941"/>
      <c r="X113" s="943"/>
      <c r="Y113" s="361"/>
      <c r="Z113" s="364"/>
      <c r="AA113" s="367"/>
      <c r="AB113"/>
      <c r="AC113"/>
      <c r="AD113"/>
      <c r="AE113"/>
      <c r="AF113"/>
    </row>
    <row r="114" spans="17:32" ht="12.75" customHeight="1">
      <c r="Q114" s="360"/>
      <c r="R114" s="969" t="s">
        <v>63</v>
      </c>
      <c r="S114" s="969"/>
      <c r="T114" s="969"/>
      <c r="U114" s="537">
        <f t="shared" ref="U114:X115" si="0">U102/60</f>
        <v>0.16666666666666666</v>
      </c>
      <c r="V114" s="537">
        <f t="shared" si="0"/>
        <v>4.1666666666666664E-2</v>
      </c>
      <c r="W114" s="537">
        <f t="shared" si="0"/>
        <v>3.125E-2</v>
      </c>
      <c r="X114" s="537">
        <f t="shared" si="0"/>
        <v>6.5103333333333306E-3</v>
      </c>
      <c r="Y114" s="361"/>
      <c r="Z114" s="364"/>
      <c r="AA114" s="367"/>
      <c r="AB114"/>
      <c r="AC114"/>
      <c r="AD114"/>
      <c r="AE114"/>
      <c r="AF114"/>
    </row>
    <row r="115" spans="17:32" ht="12.75" customHeight="1">
      <c r="Q115" s="360"/>
      <c r="R115" s="969" t="s">
        <v>64</v>
      </c>
      <c r="S115" s="969"/>
      <c r="T115" s="969"/>
      <c r="U115" s="537">
        <f t="shared" si="0"/>
        <v>3.3333333333333335</v>
      </c>
      <c r="V115" s="537">
        <f t="shared" si="0"/>
        <v>0.83333333333333337</v>
      </c>
      <c r="W115" s="537">
        <f t="shared" si="0"/>
        <v>0.66666666666666663</v>
      </c>
      <c r="X115" s="537">
        <f t="shared" si="0"/>
        <v>0.125</v>
      </c>
      <c r="Y115" s="361"/>
      <c r="Z115" s="364"/>
      <c r="AA115" s="367"/>
      <c r="AB115"/>
      <c r="AC115"/>
      <c r="AD115"/>
      <c r="AE115"/>
      <c r="AF115"/>
    </row>
    <row r="116" spans="17:32" ht="12.75" customHeight="1">
      <c r="Q116" s="360"/>
      <c r="R116" s="364"/>
      <c r="S116" s="364"/>
      <c r="T116" s="364"/>
      <c r="U116" s="364"/>
      <c r="V116" s="364"/>
      <c r="W116" s="364"/>
      <c r="X116" s="364"/>
      <c r="Y116" s="363"/>
      <c r="Z116" s="364"/>
      <c r="AA116" s="367"/>
      <c r="AB116"/>
      <c r="AC116"/>
      <c r="AD116"/>
      <c r="AE116"/>
      <c r="AF116"/>
    </row>
    <row r="117" spans="17:32" ht="12.75" customHeight="1">
      <c r="Q117" s="360" t="s">
        <v>506</v>
      </c>
      <c r="R117" s="363" t="s">
        <v>532</v>
      </c>
      <c r="S117" s="363"/>
      <c r="T117" s="363"/>
      <c r="U117" s="363"/>
      <c r="V117" s="363"/>
      <c r="W117" s="363"/>
      <c r="X117" s="363"/>
      <c r="Y117" s="363"/>
      <c r="Z117" s="364"/>
      <c r="AA117" s="367"/>
      <c r="AB117"/>
      <c r="AC117"/>
      <c r="AD117"/>
      <c r="AE117"/>
      <c r="AF117"/>
    </row>
    <row r="118" spans="17:32" ht="12.75" customHeight="1">
      <c r="Q118" s="360"/>
      <c r="R118" s="998" t="s">
        <v>191</v>
      </c>
      <c r="S118" s="999"/>
      <c r="T118" s="1000"/>
      <c r="U118" s="949" t="s">
        <v>500</v>
      </c>
      <c r="V118" s="938" t="s">
        <v>22</v>
      </c>
      <c r="W118" s="940" t="s">
        <v>579</v>
      </c>
      <c r="X118" s="942" t="s">
        <v>21</v>
      </c>
      <c r="Y118" s="361"/>
      <c r="Z118" s="364"/>
      <c r="AA118" s="367"/>
      <c r="AB118"/>
      <c r="AC118"/>
      <c r="AD118"/>
      <c r="AE118"/>
      <c r="AF118"/>
    </row>
    <row r="119" spans="17:32" ht="12.75" customHeight="1">
      <c r="Q119" s="360"/>
      <c r="R119" s="1001"/>
      <c r="S119" s="1002"/>
      <c r="T119" s="1003"/>
      <c r="U119" s="950"/>
      <c r="V119" s="939"/>
      <c r="W119" s="941"/>
      <c r="X119" s="943"/>
      <c r="Y119" s="361"/>
      <c r="Z119" s="364"/>
      <c r="AA119" s="367"/>
      <c r="AB119"/>
      <c r="AC119"/>
      <c r="AD119"/>
      <c r="AE119"/>
      <c r="AF119"/>
    </row>
    <row r="120" spans="17:32" ht="12.75" customHeight="1">
      <c r="Q120" s="360"/>
      <c r="R120" s="969" t="s">
        <v>63</v>
      </c>
      <c r="S120" s="969"/>
      <c r="T120" s="969"/>
      <c r="U120" s="537">
        <f t="shared" ref="U120:X121" si="1">U108/60</f>
        <v>4.1666666666666664E-2</v>
      </c>
      <c r="V120" s="537">
        <f t="shared" si="1"/>
        <v>1.0416666666666666E-2</v>
      </c>
      <c r="W120" s="537">
        <f t="shared" si="1"/>
        <v>7.8125E-3</v>
      </c>
      <c r="X120" s="537">
        <f t="shared" si="1"/>
        <v>1.6276041666666667E-3</v>
      </c>
      <c r="Y120" s="361"/>
      <c r="Z120" s="364"/>
      <c r="AA120" s="367"/>
      <c r="AB120"/>
      <c r="AC120"/>
      <c r="AD120"/>
      <c r="AE120"/>
      <c r="AF120"/>
    </row>
    <row r="121" spans="17:32" ht="12.75" customHeight="1">
      <c r="Q121" s="360"/>
      <c r="R121" s="969" t="s">
        <v>64</v>
      </c>
      <c r="S121" s="969"/>
      <c r="T121" s="969"/>
      <c r="U121" s="537">
        <f t="shared" si="1"/>
        <v>0.83333333333333337</v>
      </c>
      <c r="V121" s="537">
        <f t="shared" si="1"/>
        <v>0.20833333333333334</v>
      </c>
      <c r="W121" s="537">
        <f t="shared" si="1"/>
        <v>0.16666666666666666</v>
      </c>
      <c r="X121" s="537">
        <f t="shared" si="1"/>
        <v>3.125E-2</v>
      </c>
      <c r="Y121" s="361"/>
      <c r="Z121" s="364"/>
      <c r="AA121" s="367"/>
      <c r="AB121"/>
      <c r="AC121"/>
      <c r="AD121"/>
      <c r="AE121"/>
      <c r="AF121"/>
    </row>
    <row r="122" spans="17:32" ht="12.75" customHeight="1">
      <c r="Q122" s="360"/>
      <c r="R122" s="363"/>
      <c r="S122" s="363"/>
      <c r="T122" s="363"/>
      <c r="U122" s="363"/>
      <c r="V122" s="363"/>
      <c r="W122" s="363"/>
      <c r="X122" s="363"/>
      <c r="Y122" s="363"/>
      <c r="Z122" s="364"/>
      <c r="AA122" s="367"/>
      <c r="AB122"/>
      <c r="AC122"/>
      <c r="AD122"/>
      <c r="AE122"/>
      <c r="AF122"/>
    </row>
    <row r="123" spans="17:32" ht="12.75" customHeight="1">
      <c r="Q123" s="546" t="s">
        <v>231</v>
      </c>
      <c r="R123" s="952" t="s">
        <v>232</v>
      </c>
      <c r="S123" s="952"/>
      <c r="T123" s="952"/>
      <c r="U123" s="952"/>
      <c r="V123" s="952"/>
      <c r="W123" s="952"/>
      <c r="X123" s="952"/>
      <c r="Y123" s="952"/>
      <c r="Z123" s="360"/>
      <c r="AA123" s="367"/>
      <c r="AB123"/>
      <c r="AC123"/>
      <c r="AD123"/>
      <c r="AE123"/>
      <c r="AF123"/>
    </row>
    <row r="124" spans="17:32" ht="12.75" customHeight="1">
      <c r="Q124" s="546"/>
      <c r="R124" s="360"/>
      <c r="S124" s="360"/>
      <c r="T124" s="360"/>
      <c r="U124" s="360"/>
      <c r="V124" s="360"/>
      <c r="W124" s="360"/>
      <c r="X124" s="360"/>
      <c r="Y124" s="360"/>
      <c r="Z124" s="360"/>
      <c r="AA124" s="367"/>
      <c r="AB124"/>
      <c r="AC124"/>
      <c r="AD124"/>
      <c r="AE124"/>
      <c r="AF124"/>
    </row>
    <row r="125" spans="17:32" ht="12.75" customHeight="1">
      <c r="Q125" s="546"/>
      <c r="R125" s="363" t="s">
        <v>233</v>
      </c>
      <c r="S125" s="363"/>
      <c r="T125" s="363"/>
      <c r="U125" s="363"/>
      <c r="V125" s="363"/>
      <c r="W125" s="363"/>
      <c r="X125" s="363"/>
      <c r="Y125" s="363"/>
      <c r="Z125" s="364"/>
      <c r="AA125" s="367"/>
      <c r="AB125"/>
      <c r="AC125"/>
      <c r="AD125"/>
      <c r="AE125"/>
      <c r="AF125"/>
    </row>
    <row r="126" spans="17:32" ht="12.75" customHeight="1">
      <c r="Q126" s="360"/>
      <c r="R126" s="998" t="s">
        <v>678</v>
      </c>
      <c r="S126" s="999"/>
      <c r="T126" s="1000"/>
      <c r="U126" s="949" t="s">
        <v>470</v>
      </c>
      <c r="V126" s="938" t="s">
        <v>22</v>
      </c>
      <c r="W126" s="940" t="s">
        <v>579</v>
      </c>
      <c r="X126" s="942" t="s">
        <v>21</v>
      </c>
      <c r="Y126" s="361"/>
      <c r="Z126" s="364"/>
      <c r="AA126" s="367"/>
      <c r="AB126"/>
      <c r="AC126"/>
      <c r="AD126"/>
      <c r="AE126"/>
      <c r="AF126"/>
    </row>
    <row r="127" spans="17:32" ht="12.75" customHeight="1">
      <c r="Q127" s="360"/>
      <c r="R127" s="1001"/>
      <c r="S127" s="1002"/>
      <c r="T127" s="1003"/>
      <c r="U127" s="950"/>
      <c r="V127" s="939"/>
      <c r="W127" s="941"/>
      <c r="X127" s="943"/>
      <c r="Y127" s="361"/>
      <c r="Z127" s="364"/>
      <c r="AA127" s="367"/>
      <c r="AB127"/>
      <c r="AC127"/>
      <c r="AD127"/>
      <c r="AE127"/>
      <c r="AF127"/>
    </row>
    <row r="128" spans="17:32" ht="12.75" customHeight="1">
      <c r="Q128" s="360"/>
      <c r="R128" s="969" t="s">
        <v>234</v>
      </c>
      <c r="S128" s="969"/>
      <c r="T128" s="969"/>
      <c r="U128" s="672">
        <v>8.3000000000000007</v>
      </c>
      <c r="V128" s="672">
        <f>VLOOKUP($V$5,'Lookup Vibration'!$B$8:$F$208,3)</f>
        <v>18.049999999999951</v>
      </c>
      <c r="W128" s="672">
        <f>VLOOKUP($V$5,'Lookup Vibration'!$B$8:$F$208,4)</f>
        <v>19.950000000000074</v>
      </c>
      <c r="X128" s="672">
        <f>VLOOKUP($V$5,'Lookup Vibration'!$B$8:$F$208,2)</f>
        <v>18.049999999999951</v>
      </c>
      <c r="Y128" s="361"/>
      <c r="Z128" s="364"/>
      <c r="AA128" s="367"/>
      <c r="AB128"/>
      <c r="AC128"/>
      <c r="AD128"/>
      <c r="AE128"/>
      <c r="AF128"/>
    </row>
    <row r="129" spans="17:32" ht="12.75" customHeight="1">
      <c r="Q129" s="360"/>
      <c r="R129" s="363"/>
      <c r="S129" s="363"/>
      <c r="T129" s="363"/>
      <c r="U129" s="363"/>
      <c r="V129" s="363"/>
      <c r="W129" s="363"/>
      <c r="X129" s="363"/>
      <c r="Y129" s="363"/>
      <c r="Z129" s="364"/>
      <c r="AA129" s="367"/>
      <c r="AB129"/>
      <c r="AC129"/>
      <c r="AD129"/>
      <c r="AE129"/>
      <c r="AF129"/>
    </row>
    <row r="130" spans="17:32" ht="12.75" customHeight="1">
      <c r="Q130" s="546" t="s">
        <v>235</v>
      </c>
      <c r="R130" s="952" t="s">
        <v>34</v>
      </c>
      <c r="S130" s="952"/>
      <c r="T130" s="952"/>
      <c r="U130" s="952"/>
      <c r="V130" s="952"/>
      <c r="W130" s="952"/>
      <c r="X130" s="952"/>
      <c r="Y130" s="952"/>
      <c r="Z130" s="360"/>
      <c r="AA130" s="367"/>
      <c r="AB130"/>
      <c r="AC130"/>
      <c r="AD130"/>
      <c r="AE130"/>
      <c r="AF130"/>
    </row>
    <row r="131" spans="17:32" ht="12.75" customHeight="1">
      <c r="Q131" s="546"/>
      <c r="R131" s="363"/>
      <c r="S131" s="363"/>
      <c r="T131" s="363"/>
      <c r="U131" s="363"/>
      <c r="V131" s="363"/>
      <c r="W131" s="363"/>
      <c r="X131" s="363"/>
      <c r="Y131" s="363"/>
      <c r="Z131" s="364"/>
      <c r="AA131" s="367"/>
      <c r="AB131"/>
      <c r="AC131"/>
      <c r="AD131"/>
      <c r="AE131"/>
      <c r="AF131"/>
    </row>
    <row r="132" spans="17:32" ht="12.75" customHeight="1">
      <c r="Q132" s="360"/>
      <c r="R132" s="998" t="s">
        <v>678</v>
      </c>
      <c r="S132" s="999"/>
      <c r="T132" s="1000"/>
      <c r="U132" s="949" t="s">
        <v>500</v>
      </c>
      <c r="V132" s="938" t="s">
        <v>22</v>
      </c>
      <c r="W132" s="940" t="s">
        <v>579</v>
      </c>
      <c r="X132" s="942" t="s">
        <v>21</v>
      </c>
      <c r="Y132" s="361"/>
      <c r="Z132" s="364"/>
      <c r="AA132" s="367"/>
      <c r="AB132"/>
      <c r="AC132"/>
      <c r="AD132"/>
      <c r="AE132"/>
      <c r="AF132"/>
    </row>
    <row r="133" spans="17:32" ht="12.75" customHeight="1">
      <c r="Q133" s="360"/>
      <c r="R133" s="1001"/>
      <c r="S133" s="1002"/>
      <c r="T133" s="1003"/>
      <c r="U133" s="950"/>
      <c r="V133" s="939"/>
      <c r="W133" s="941"/>
      <c r="X133" s="943"/>
      <c r="Y133" s="361"/>
      <c r="Z133" s="364"/>
      <c r="AA133" s="367"/>
      <c r="AB133"/>
      <c r="AC133"/>
      <c r="AD133"/>
      <c r="AE133"/>
      <c r="AF133"/>
    </row>
    <row r="134" spans="17:32" ht="12.75" customHeight="1">
      <c r="Q134" s="360"/>
      <c r="R134" s="1004" t="s">
        <v>298</v>
      </c>
      <c r="S134" s="1004"/>
      <c r="T134" s="1004"/>
      <c r="U134" s="673" t="s">
        <v>819</v>
      </c>
      <c r="V134" s="673" t="s">
        <v>818</v>
      </c>
      <c r="W134" s="673" t="s">
        <v>819</v>
      </c>
      <c r="X134" s="673" t="s">
        <v>818</v>
      </c>
      <c r="Y134" s="361"/>
      <c r="Z134" s="364"/>
      <c r="AA134" s="367"/>
      <c r="AB134"/>
      <c r="AC134"/>
      <c r="AD134"/>
      <c r="AE134"/>
      <c r="AF134"/>
    </row>
    <row r="135" spans="17:32" ht="12.75" customHeight="1">
      <c r="Q135" s="360"/>
      <c r="R135" s="931" t="s">
        <v>299</v>
      </c>
      <c r="S135" s="931"/>
      <c r="T135" s="931"/>
      <c r="U135" s="673" t="s">
        <v>297</v>
      </c>
      <c r="V135" s="673" t="s">
        <v>296</v>
      </c>
      <c r="W135" s="673" t="s">
        <v>296</v>
      </c>
      <c r="X135" s="673" t="s">
        <v>296</v>
      </c>
      <c r="Y135" s="361"/>
      <c r="Z135" s="364"/>
      <c r="AA135" s="367"/>
      <c r="AB135"/>
      <c r="AC135"/>
      <c r="AD135"/>
      <c r="AE135"/>
      <c r="AF135"/>
    </row>
    <row r="136" spans="17:32" ht="12.75" customHeight="1">
      <c r="Q136" s="360"/>
      <c r="R136" s="363"/>
      <c r="S136" s="363"/>
      <c r="T136" s="363"/>
      <c r="U136" s="363"/>
      <c r="V136" s="363"/>
      <c r="W136" s="363"/>
      <c r="X136" s="363"/>
      <c r="Y136" s="363"/>
      <c r="Z136" s="363"/>
      <c r="AA136" s="367"/>
      <c r="AB136"/>
      <c r="AC136"/>
      <c r="AD136"/>
      <c r="AE136"/>
      <c r="AF136"/>
    </row>
    <row r="137" spans="17:32" ht="12.75" customHeight="1">
      <c r="Q137" s="546" t="s">
        <v>236</v>
      </c>
      <c r="R137" s="952" t="s">
        <v>237</v>
      </c>
      <c r="S137" s="952"/>
      <c r="T137" s="952"/>
      <c r="U137" s="952"/>
      <c r="V137" s="952"/>
      <c r="W137" s="952"/>
      <c r="X137" s="952"/>
      <c r="Y137" s="952"/>
      <c r="Z137" s="360"/>
      <c r="AA137" s="367"/>
      <c r="AB137"/>
      <c r="AC137"/>
      <c r="AD137"/>
      <c r="AE137"/>
      <c r="AF137"/>
    </row>
    <row r="138" spans="17:32" ht="12.75" customHeight="1">
      <c r="Q138" s="360"/>
      <c r="R138" s="363"/>
      <c r="S138" s="363"/>
      <c r="T138" s="363"/>
      <c r="U138" s="363"/>
      <c r="V138" s="363"/>
      <c r="W138" s="363"/>
      <c r="X138" s="363"/>
      <c r="Y138" s="363"/>
      <c r="Z138" s="363"/>
      <c r="AA138" s="367"/>
      <c r="AB138"/>
      <c r="AC138"/>
      <c r="AD138"/>
      <c r="AE138"/>
      <c r="AF138"/>
    </row>
    <row r="139" spans="17:32" ht="12.75" customHeight="1">
      <c r="Q139" s="668" t="s">
        <v>238</v>
      </c>
      <c r="R139" s="364" t="s">
        <v>239</v>
      </c>
      <c r="S139" s="364"/>
      <c r="T139" s="364"/>
      <c r="U139" s="364"/>
      <c r="V139" s="364"/>
      <c r="W139" s="364"/>
      <c r="X139" s="364"/>
      <c r="Y139" s="364"/>
      <c r="Z139" s="364"/>
      <c r="AA139" s="367"/>
      <c r="AB139"/>
      <c r="AC139"/>
      <c r="AD139"/>
      <c r="AE139"/>
      <c r="AF139"/>
    </row>
    <row r="140" spans="17:32" ht="12.75" customHeight="1">
      <c r="Q140" s="668"/>
      <c r="R140" s="364" t="s">
        <v>469</v>
      </c>
      <c r="S140" s="364"/>
      <c r="T140" s="364"/>
      <c r="U140" s="364"/>
      <c r="V140" s="364"/>
      <c r="W140" s="364"/>
      <c r="X140" s="364"/>
      <c r="Y140" s="364"/>
      <c r="Z140" s="364"/>
      <c r="AA140" s="367"/>
      <c r="AB140"/>
      <c r="AC140"/>
      <c r="AD140"/>
      <c r="AE140"/>
      <c r="AF140"/>
    </row>
    <row r="141" spans="17:32" ht="12.75" customHeight="1">
      <c r="Q141" s="668"/>
      <c r="R141" s="364"/>
      <c r="S141" s="364"/>
      <c r="T141" s="364"/>
      <c r="U141" s="364"/>
      <c r="V141" s="364"/>
      <c r="W141" s="364"/>
      <c r="X141" s="364"/>
      <c r="Y141" s="364"/>
      <c r="Z141" s="364"/>
      <c r="AA141" s="367"/>
      <c r="AB141"/>
      <c r="AC141"/>
      <c r="AD141"/>
      <c r="AE141"/>
      <c r="AF141"/>
    </row>
    <row r="142" spans="17:32" ht="12.75" customHeight="1">
      <c r="Q142" s="668"/>
      <c r="R142" s="1005" t="s">
        <v>734</v>
      </c>
      <c r="S142" s="1006"/>
      <c r="T142" s="1006"/>
      <c r="U142" s="1006"/>
      <c r="V142" s="1006"/>
      <c r="W142" s="1007"/>
      <c r="X142" s="351">
        <f>'Compressor Input Data'!G5</f>
        <v>22800</v>
      </c>
      <c r="Y142" s="364"/>
      <c r="Z142" s="364"/>
      <c r="AA142" s="367"/>
      <c r="AB142"/>
      <c r="AC142"/>
      <c r="AD142"/>
      <c r="AE142"/>
      <c r="AF142"/>
    </row>
    <row r="143" spans="17:32" ht="12.75" customHeight="1">
      <c r="Q143" s="668"/>
      <c r="R143" s="990" t="s">
        <v>430</v>
      </c>
      <c r="S143" s="991"/>
      <c r="T143" s="992"/>
      <c r="U143" s="949" t="s">
        <v>500</v>
      </c>
      <c r="V143" s="938" t="s">
        <v>22</v>
      </c>
      <c r="W143" s="940" t="s">
        <v>579</v>
      </c>
      <c r="X143" s="942" t="s">
        <v>21</v>
      </c>
      <c r="Y143" s="361"/>
      <c r="Z143" s="364"/>
      <c r="AA143" s="367"/>
      <c r="AB143"/>
      <c r="AC143"/>
      <c r="AD143"/>
      <c r="AE143"/>
      <c r="AF143"/>
    </row>
    <row r="144" spans="17:32" ht="12.75" customHeight="1">
      <c r="Q144" s="668"/>
      <c r="R144" s="993"/>
      <c r="S144" s="994"/>
      <c r="T144" s="995"/>
      <c r="U144" s="950"/>
      <c r="V144" s="939"/>
      <c r="W144" s="941"/>
      <c r="X144" s="943"/>
      <c r="Y144" s="361"/>
      <c r="Z144" s="364"/>
      <c r="AA144" s="367"/>
      <c r="AB144"/>
      <c r="AC144"/>
      <c r="AD144"/>
      <c r="AE144"/>
      <c r="AF144"/>
    </row>
    <row r="145" spans="17:32" ht="12.75" customHeight="1">
      <c r="Q145" s="668"/>
      <c r="R145" s="973" t="s">
        <v>555</v>
      </c>
      <c r="S145" s="973"/>
      <c r="T145" s="973"/>
      <c r="U145" s="996"/>
      <c r="V145" s="544">
        <f>X145</f>
        <v>22800</v>
      </c>
      <c r="W145" s="544">
        <f>X145</f>
        <v>22800</v>
      </c>
      <c r="X145" s="544">
        <f>X142</f>
        <v>22800</v>
      </c>
      <c r="Y145" s="361"/>
      <c r="Z145" s="364"/>
      <c r="AA145" s="367"/>
      <c r="AB145"/>
      <c r="AC145"/>
      <c r="AD145"/>
      <c r="AE145"/>
      <c r="AF145"/>
    </row>
    <row r="146" spans="17:32" ht="12.75" customHeight="1">
      <c r="Q146" s="668"/>
      <c r="R146" s="973" t="s">
        <v>549</v>
      </c>
      <c r="S146" s="973"/>
      <c r="T146" s="973"/>
      <c r="U146" s="997"/>
      <c r="V146" s="544">
        <f>X146</f>
        <v>24</v>
      </c>
      <c r="W146" s="544">
        <f>V146</f>
        <v>24</v>
      </c>
      <c r="X146" s="544">
        <f>'Compressor Input Data'!J15</f>
        <v>24</v>
      </c>
      <c r="Y146" s="361"/>
      <c r="Z146" s="364"/>
      <c r="AA146" s="367"/>
      <c r="AB146"/>
      <c r="AC146"/>
      <c r="AD146"/>
      <c r="AE146"/>
      <c r="AF146"/>
    </row>
    <row r="147" spans="17:32" ht="12.75" customHeight="1">
      <c r="Q147" s="668"/>
      <c r="R147" s="970" t="s">
        <v>556</v>
      </c>
      <c r="S147" s="971"/>
      <c r="T147" s="972"/>
      <c r="U147" s="566">
        <f>U62</f>
        <v>2.6666666666666665</v>
      </c>
      <c r="V147" s="566">
        <f>V62</f>
        <v>1.9999999999999996</v>
      </c>
      <c r="W147" s="566">
        <f>W62</f>
        <v>1.7391304347826084</v>
      </c>
      <c r="X147" s="566">
        <f>X62</f>
        <v>1.4285714285714284</v>
      </c>
      <c r="Y147" s="361"/>
      <c r="Z147" s="364"/>
      <c r="AA147" s="367"/>
      <c r="AB147"/>
      <c r="AC147"/>
      <c r="AD147"/>
      <c r="AE147"/>
      <c r="AF147"/>
    </row>
    <row r="148" spans="17:32" ht="12.75" customHeight="1">
      <c r="Q148" s="668"/>
      <c r="R148" s="973" t="s">
        <v>575</v>
      </c>
      <c r="S148" s="973"/>
      <c r="T148" s="973"/>
      <c r="U148" s="531">
        <f>W148</f>
        <v>0.22500000000000001</v>
      </c>
      <c r="V148" s="531">
        <f>X148</f>
        <v>0.22500000000000001</v>
      </c>
      <c r="W148" s="531">
        <f>V148</f>
        <v>0.22500000000000001</v>
      </c>
      <c r="X148" s="531">
        <f>'Compressor Input Data'!J17</f>
        <v>0.22500000000000001</v>
      </c>
      <c r="Y148" s="361"/>
      <c r="Z148" s="364"/>
      <c r="AA148" s="367"/>
      <c r="AB148"/>
      <c r="AC148"/>
      <c r="AD148"/>
      <c r="AE148"/>
      <c r="AF148"/>
    </row>
    <row r="149" spans="17:32" ht="12.75" customHeight="1">
      <c r="Q149" s="668"/>
      <c r="R149" s="987"/>
      <c r="S149" s="988"/>
      <c r="T149" s="988"/>
      <c r="U149" s="988"/>
      <c r="V149" s="988"/>
      <c r="W149" s="988"/>
      <c r="X149" s="989"/>
      <c r="Y149" s="364"/>
      <c r="Z149" s="364"/>
      <c r="AA149" s="367"/>
      <c r="AB149"/>
      <c r="AC149"/>
      <c r="AD149"/>
      <c r="AE149"/>
      <c r="AF149"/>
    </row>
    <row r="150" spans="17:32" ht="12.75" customHeight="1">
      <c r="Q150" s="668"/>
      <c r="R150" s="990" t="s">
        <v>467</v>
      </c>
      <c r="S150" s="991"/>
      <c r="T150" s="992"/>
      <c r="U150" s="949" t="s">
        <v>500</v>
      </c>
      <c r="V150" s="938" t="s">
        <v>22</v>
      </c>
      <c r="W150" s="940" t="s">
        <v>579</v>
      </c>
      <c r="X150" s="942" t="s">
        <v>21</v>
      </c>
      <c r="Y150" s="361"/>
      <c r="Z150" s="364"/>
      <c r="AA150" s="367"/>
      <c r="AB150"/>
      <c r="AC150"/>
      <c r="AD150"/>
      <c r="AE150"/>
      <c r="AF150"/>
    </row>
    <row r="151" spans="17:32" ht="12.75" customHeight="1">
      <c r="Q151" s="668"/>
      <c r="R151" s="993"/>
      <c r="S151" s="994"/>
      <c r="T151" s="995"/>
      <c r="U151" s="950"/>
      <c r="V151" s="939"/>
      <c r="W151" s="941"/>
      <c r="X151" s="943"/>
      <c r="Y151" s="361"/>
      <c r="Z151" s="364"/>
      <c r="AA151" s="367"/>
      <c r="AB151"/>
      <c r="AC151"/>
      <c r="AD151"/>
      <c r="AE151"/>
      <c r="AF151"/>
    </row>
    <row r="152" spans="17:32" ht="12.75" customHeight="1">
      <c r="Q152" s="668"/>
      <c r="R152" s="973" t="s">
        <v>554</v>
      </c>
      <c r="S152" s="973"/>
      <c r="T152" s="973"/>
      <c r="U152" s="986"/>
      <c r="V152" s="569">
        <f>X152</f>
        <v>1</v>
      </c>
      <c r="W152" s="570">
        <f>V152</f>
        <v>1</v>
      </c>
      <c r="X152" s="570">
        <f>'Compressor Input Data'!J20</f>
        <v>1</v>
      </c>
      <c r="Y152" s="361"/>
      <c r="Z152" s="364"/>
      <c r="AA152" s="367"/>
      <c r="AB152"/>
      <c r="AC152"/>
      <c r="AD152"/>
      <c r="AE152"/>
      <c r="AF152"/>
    </row>
    <row r="153" spans="17:32" ht="12.75" customHeight="1">
      <c r="Q153" s="668"/>
      <c r="R153" s="983" t="s">
        <v>551</v>
      </c>
      <c r="S153" s="984"/>
      <c r="T153" s="985"/>
      <c r="U153" s="986"/>
      <c r="V153" s="571">
        <f>V147/V146</f>
        <v>8.3333333333333315E-2</v>
      </c>
      <c r="W153" s="571">
        <f>W147/W146</f>
        <v>7.2463768115942018E-2</v>
      </c>
      <c r="X153" s="571">
        <f>X147/X146</f>
        <v>5.9523809523809514E-2</v>
      </c>
      <c r="Y153" s="361"/>
      <c r="Z153" s="364"/>
      <c r="AA153" s="367"/>
      <c r="AB153"/>
      <c r="AC153"/>
      <c r="AD153"/>
      <c r="AE153"/>
      <c r="AF153"/>
    </row>
    <row r="154" spans="17:32" ht="12.75" customHeight="1">
      <c r="Q154" s="668"/>
      <c r="R154" s="973" t="s">
        <v>552</v>
      </c>
      <c r="S154" s="973"/>
      <c r="T154" s="973"/>
      <c r="U154" s="986"/>
      <c r="V154" s="572">
        <f>X154</f>
        <v>0.6</v>
      </c>
      <c r="W154" s="572">
        <f>V154</f>
        <v>0.6</v>
      </c>
      <c r="X154" s="572">
        <f>'Compressor Input Data'!J22</f>
        <v>0.6</v>
      </c>
      <c r="Y154" s="361"/>
      <c r="Z154" s="364"/>
      <c r="AA154" s="367"/>
      <c r="AB154"/>
      <c r="AC154"/>
      <c r="AD154"/>
      <c r="AE154"/>
      <c r="AF154"/>
    </row>
    <row r="155" spans="17:32" ht="12.75" customHeight="1">
      <c r="Q155" s="668"/>
      <c r="R155" s="987"/>
      <c r="S155" s="988"/>
      <c r="T155" s="988"/>
      <c r="U155" s="988"/>
      <c r="V155" s="988"/>
      <c r="W155" s="988"/>
      <c r="X155" s="989"/>
      <c r="Y155" s="364"/>
      <c r="Z155" s="364"/>
      <c r="AA155" s="367"/>
      <c r="AB155"/>
      <c r="AC155"/>
      <c r="AD155"/>
      <c r="AE155"/>
      <c r="AF155"/>
    </row>
    <row r="156" spans="17:32" ht="12.75" customHeight="1">
      <c r="Q156" s="668"/>
      <c r="R156" s="990" t="s">
        <v>468</v>
      </c>
      <c r="S156" s="991"/>
      <c r="T156" s="992"/>
      <c r="U156" s="949" t="s">
        <v>500</v>
      </c>
      <c r="V156" s="938" t="s">
        <v>22</v>
      </c>
      <c r="W156" s="940" t="s">
        <v>579</v>
      </c>
      <c r="X156" s="942" t="s">
        <v>21</v>
      </c>
      <c r="Y156" s="361"/>
      <c r="Z156" s="364"/>
      <c r="AA156" s="367"/>
      <c r="AB156"/>
      <c r="AC156"/>
      <c r="AD156"/>
      <c r="AE156"/>
      <c r="AF156"/>
    </row>
    <row r="157" spans="17:32" ht="12.75" customHeight="1">
      <c r="Q157" s="668"/>
      <c r="R157" s="993"/>
      <c r="S157" s="994"/>
      <c r="T157" s="995"/>
      <c r="U157" s="950"/>
      <c r="V157" s="939"/>
      <c r="W157" s="941"/>
      <c r="X157" s="943"/>
      <c r="Y157" s="361"/>
      <c r="Z157" s="364"/>
      <c r="AA157" s="367"/>
      <c r="AB157"/>
      <c r="AC157"/>
      <c r="AD157"/>
      <c r="AE157"/>
      <c r="AF157"/>
    </row>
    <row r="158" spans="17:32" ht="12.75" customHeight="1">
      <c r="Q158" s="668"/>
      <c r="R158" s="973" t="s">
        <v>554</v>
      </c>
      <c r="S158" s="973"/>
      <c r="T158" s="973"/>
      <c r="U158" s="980"/>
      <c r="V158" s="572">
        <f>X158</f>
        <v>0.5</v>
      </c>
      <c r="W158" s="572">
        <f>V158</f>
        <v>0.5</v>
      </c>
      <c r="X158" s="572">
        <f>'Compressor Input Data'!J25</f>
        <v>0.5</v>
      </c>
      <c r="Y158" s="361"/>
      <c r="Z158" s="364"/>
      <c r="AA158" s="367"/>
      <c r="AB158"/>
      <c r="AC158"/>
      <c r="AD158"/>
      <c r="AE158"/>
      <c r="AF158"/>
    </row>
    <row r="159" spans="17:32" ht="12.75" customHeight="1">
      <c r="Q159" s="668"/>
      <c r="R159" s="983" t="s">
        <v>551</v>
      </c>
      <c r="S159" s="984"/>
      <c r="T159" s="985"/>
      <c r="U159" s="981"/>
      <c r="V159" s="572">
        <f>V152-V153</f>
        <v>0.91666666666666674</v>
      </c>
      <c r="W159" s="572">
        <f>W152-W153</f>
        <v>0.92753623188405798</v>
      </c>
      <c r="X159" s="572">
        <f>X152-X153</f>
        <v>0.94047619047619047</v>
      </c>
      <c r="Y159" s="361"/>
      <c r="Z159" s="364"/>
      <c r="AA159" s="367"/>
      <c r="AB159"/>
      <c r="AC159"/>
      <c r="AD159"/>
      <c r="AE159"/>
      <c r="AF159"/>
    </row>
    <row r="160" spans="17:32" ht="12.75" customHeight="1">
      <c r="Q160" s="668"/>
      <c r="R160" s="973" t="s">
        <v>552</v>
      </c>
      <c r="S160" s="973"/>
      <c r="T160" s="973"/>
      <c r="U160" s="982"/>
      <c r="V160" s="572">
        <f>X160</f>
        <v>0.6</v>
      </c>
      <c r="W160" s="572">
        <f>V160</f>
        <v>0.6</v>
      </c>
      <c r="X160" s="572">
        <f>'Compressor Input Data'!J27</f>
        <v>0.6</v>
      </c>
      <c r="Y160" s="361"/>
      <c r="Z160" s="364"/>
      <c r="AA160" s="367"/>
      <c r="AB160"/>
      <c r="AC160"/>
      <c r="AD160"/>
      <c r="AE160"/>
      <c r="AF160"/>
    </row>
    <row r="161" spans="17:32" ht="12.75" customHeight="1">
      <c r="Q161" s="668"/>
      <c r="R161" s="567"/>
      <c r="S161" s="568"/>
      <c r="T161" s="568"/>
      <c r="U161" s="573"/>
      <c r="V161" s="573"/>
      <c r="W161" s="573"/>
      <c r="X161" s="574"/>
      <c r="Y161" s="364"/>
      <c r="Z161" s="364"/>
      <c r="AA161" s="367"/>
      <c r="AB161"/>
      <c r="AC161"/>
      <c r="AD161"/>
      <c r="AE161"/>
      <c r="AF161"/>
    </row>
    <row r="162" spans="17:32" ht="12.75" customHeight="1">
      <c r="Q162" s="668"/>
      <c r="R162" s="901" t="s">
        <v>471</v>
      </c>
      <c r="S162" s="901"/>
      <c r="T162" s="901"/>
      <c r="U162" s="930" t="s">
        <v>500</v>
      </c>
      <c r="V162" s="928" t="s">
        <v>22</v>
      </c>
      <c r="W162" s="929" t="s">
        <v>579</v>
      </c>
      <c r="X162" s="927" t="s">
        <v>21</v>
      </c>
      <c r="Y162" s="361"/>
      <c r="Z162" s="364"/>
      <c r="AA162" s="367"/>
      <c r="AB162"/>
      <c r="AC162"/>
      <c r="AD162"/>
      <c r="AE162"/>
      <c r="AF162"/>
    </row>
    <row r="163" spans="17:32" ht="12.75" customHeight="1">
      <c r="Q163" s="668"/>
      <c r="R163" s="901"/>
      <c r="S163" s="901"/>
      <c r="T163" s="901"/>
      <c r="U163" s="930"/>
      <c r="V163" s="928"/>
      <c r="W163" s="929"/>
      <c r="X163" s="927"/>
      <c r="Y163" s="361"/>
      <c r="Z163" s="364"/>
      <c r="AA163" s="367"/>
      <c r="AB163"/>
      <c r="AC163"/>
      <c r="AD163"/>
      <c r="AE163"/>
      <c r="AF163"/>
    </row>
    <row r="164" spans="17:32" ht="12.75" customHeight="1">
      <c r="Q164" s="668"/>
      <c r="R164" s="973" t="s">
        <v>472</v>
      </c>
      <c r="S164" s="973"/>
      <c r="T164" s="973"/>
      <c r="U164" s="544">
        <f>$V$224</f>
        <v>938.66666666666674</v>
      </c>
      <c r="V164" s="544">
        <f>($V$145*$V$146*$V$153*$V$152)/$V$154</f>
        <v>75999.999999999985</v>
      </c>
      <c r="W164" s="544">
        <f>($W$145*$W$146*$W$153*$W$152)/$W$154</f>
        <v>66086.956521739121</v>
      </c>
      <c r="X164" s="544">
        <f>($X$145*$X$146*$X$153*$X$152)/$X$154</f>
        <v>54285.714285714275</v>
      </c>
      <c r="Y164" s="361"/>
      <c r="Z164" s="364"/>
      <c r="AA164" s="367"/>
      <c r="AB164"/>
      <c r="AC164"/>
      <c r="AD164"/>
      <c r="AE164"/>
      <c r="AF164"/>
    </row>
    <row r="165" spans="17:32" ht="12.75" customHeight="1">
      <c r="Q165" s="668"/>
      <c r="R165" s="973" t="s">
        <v>473</v>
      </c>
      <c r="S165" s="973"/>
      <c r="T165" s="973"/>
      <c r="U165" s="543"/>
      <c r="V165" s="544">
        <f>($V$145*$V$146*$V$159*$V$158)/$V$160</f>
        <v>418000.00000000006</v>
      </c>
      <c r="W165" s="544">
        <f>($W$145*$W$146*$W$159*$W$158)/$W$160</f>
        <v>422956.52173913049</v>
      </c>
      <c r="X165" s="544">
        <f>($X$145*$X$146*$X$159*$X$158)/$X$160</f>
        <v>428857.14285714284</v>
      </c>
      <c r="Y165" s="361"/>
      <c r="Z165" s="364"/>
      <c r="AA165" s="367"/>
      <c r="AB165"/>
      <c r="AC165"/>
      <c r="AD165"/>
      <c r="AE165"/>
      <c r="AF165"/>
    </row>
    <row r="166" spans="17:32" ht="12.75" customHeight="1">
      <c r="Q166" s="668"/>
      <c r="R166" s="567"/>
      <c r="S166" s="568"/>
      <c r="T166" s="568"/>
      <c r="U166" s="573"/>
      <c r="V166" s="573"/>
      <c r="W166" s="573"/>
      <c r="X166" s="574"/>
      <c r="Y166" s="364"/>
      <c r="Z166" s="364"/>
      <c r="AA166" s="367"/>
      <c r="AB166"/>
      <c r="AC166"/>
      <c r="AD166"/>
      <c r="AE166"/>
      <c r="AF166"/>
    </row>
    <row r="167" spans="17:32" ht="12.75" customHeight="1">
      <c r="Q167" s="668"/>
      <c r="R167" s="901" t="s">
        <v>474</v>
      </c>
      <c r="S167" s="901"/>
      <c r="T167" s="901"/>
      <c r="U167" s="930" t="s">
        <v>500</v>
      </c>
      <c r="V167" s="928" t="s">
        <v>22</v>
      </c>
      <c r="W167" s="929" t="s">
        <v>579</v>
      </c>
      <c r="X167" s="927" t="s">
        <v>21</v>
      </c>
      <c r="Y167" s="361"/>
      <c r="Z167" s="364"/>
      <c r="AA167" s="367"/>
      <c r="AB167"/>
      <c r="AC167"/>
      <c r="AD167"/>
      <c r="AE167"/>
      <c r="AF167"/>
    </row>
    <row r="168" spans="17:32" ht="12.75" customHeight="1">
      <c r="Q168" s="668"/>
      <c r="R168" s="901"/>
      <c r="S168" s="901"/>
      <c r="T168" s="901"/>
      <c r="U168" s="930"/>
      <c r="V168" s="928"/>
      <c r="W168" s="929"/>
      <c r="X168" s="927"/>
      <c r="Y168" s="361"/>
      <c r="Z168" s="364"/>
      <c r="AA168" s="367"/>
      <c r="AB168"/>
      <c r="AC168"/>
      <c r="AD168"/>
      <c r="AE168"/>
      <c r="AF168"/>
    </row>
    <row r="169" spans="17:32" ht="12.75" customHeight="1">
      <c r="Q169" s="668"/>
      <c r="R169" s="973" t="s">
        <v>472</v>
      </c>
      <c r="S169" s="973"/>
      <c r="T169" s="973"/>
      <c r="U169" s="544">
        <f>U164*$V$11</f>
        <v>21589.333333333336</v>
      </c>
      <c r="V169" s="544">
        <f>V164*$V$11</f>
        <v>1747999.9999999998</v>
      </c>
      <c r="W169" s="544">
        <f>W164*$V$11</f>
        <v>1519999.9999999998</v>
      </c>
      <c r="X169" s="544">
        <f>X164*$V$11</f>
        <v>1248571.4285714284</v>
      </c>
      <c r="Y169" s="361"/>
      <c r="Z169" s="364"/>
      <c r="AA169" s="367"/>
      <c r="AB169"/>
      <c r="AC169"/>
      <c r="AD169"/>
      <c r="AE169"/>
      <c r="AF169"/>
    </row>
    <row r="170" spans="17:32" ht="12.75" customHeight="1">
      <c r="Q170" s="668"/>
      <c r="R170" s="973" t="s">
        <v>473</v>
      </c>
      <c r="S170" s="973"/>
      <c r="T170" s="973"/>
      <c r="U170" s="543"/>
      <c r="V170" s="544">
        <f>V165*$V$11</f>
        <v>9614000.0000000019</v>
      </c>
      <c r="W170" s="544">
        <f>W165*$V$11</f>
        <v>9728000.0000000019</v>
      </c>
      <c r="X170" s="544">
        <f>X165*$V$11</f>
        <v>9863714.2857142854</v>
      </c>
      <c r="Y170" s="361"/>
      <c r="Z170" s="364"/>
      <c r="AA170" s="367"/>
      <c r="AB170"/>
      <c r="AC170"/>
      <c r="AD170"/>
      <c r="AE170"/>
      <c r="AF170"/>
    </row>
    <row r="171" spans="17:32" ht="12.75" customHeight="1">
      <c r="Q171" s="668"/>
      <c r="R171" s="567"/>
      <c r="S171" s="568"/>
      <c r="T171" s="568"/>
      <c r="U171" s="573"/>
      <c r="V171" s="573"/>
      <c r="W171" s="573"/>
      <c r="X171" s="574"/>
      <c r="Y171" s="364"/>
      <c r="Z171" s="364"/>
      <c r="AA171" s="367"/>
      <c r="AB171"/>
      <c r="AC171"/>
      <c r="AD171"/>
      <c r="AE171"/>
      <c r="AF171"/>
    </row>
    <row r="172" spans="17:32" ht="12.75" customHeight="1">
      <c r="Q172" s="668"/>
      <c r="R172" s="901" t="s">
        <v>474</v>
      </c>
      <c r="S172" s="901"/>
      <c r="T172" s="901"/>
      <c r="U172" s="930" t="s">
        <v>500</v>
      </c>
      <c r="V172" s="928" t="s">
        <v>22</v>
      </c>
      <c r="W172" s="929" t="s">
        <v>579</v>
      </c>
      <c r="X172" s="927" t="s">
        <v>21</v>
      </c>
      <c r="Y172" s="361"/>
      <c r="Z172" s="364"/>
      <c r="AA172" s="367"/>
      <c r="AB172"/>
      <c r="AC172"/>
      <c r="AD172"/>
      <c r="AE172"/>
      <c r="AF172"/>
    </row>
    <row r="173" spans="17:32" ht="12.75" customHeight="1">
      <c r="Q173" s="668"/>
      <c r="R173" s="901"/>
      <c r="S173" s="901"/>
      <c r="T173" s="901"/>
      <c r="U173" s="930"/>
      <c r="V173" s="928"/>
      <c r="W173" s="929"/>
      <c r="X173" s="927"/>
      <c r="Y173" s="361"/>
      <c r="Z173" s="364"/>
      <c r="AA173" s="367"/>
      <c r="AB173"/>
      <c r="AC173"/>
      <c r="AD173"/>
      <c r="AE173"/>
      <c r="AF173"/>
    </row>
    <row r="174" spans="17:32" ht="12.75" customHeight="1">
      <c r="Q174" s="668"/>
      <c r="R174" s="973" t="s">
        <v>472</v>
      </c>
      <c r="S174" s="973"/>
      <c r="T174" s="973"/>
      <c r="U174" s="544">
        <f>U169*12</f>
        <v>259072.00000000003</v>
      </c>
      <c r="V174" s="544">
        <f>V169*12</f>
        <v>20975999.999999996</v>
      </c>
      <c r="W174" s="544">
        <f>W169*12</f>
        <v>18239999.999999996</v>
      </c>
      <c r="X174" s="544">
        <f>X169*12</f>
        <v>14982857.142857142</v>
      </c>
      <c r="Y174" s="361"/>
      <c r="Z174" s="364"/>
      <c r="AA174" s="367"/>
      <c r="AB174"/>
      <c r="AC174"/>
      <c r="AD174"/>
      <c r="AE174"/>
      <c r="AF174"/>
    </row>
    <row r="175" spans="17:32" ht="12.75" customHeight="1">
      <c r="Q175" s="668"/>
      <c r="R175" s="973" t="s">
        <v>473</v>
      </c>
      <c r="S175" s="973"/>
      <c r="T175" s="973"/>
      <c r="U175" s="543"/>
      <c r="V175" s="544">
        <f>V170*12</f>
        <v>115368000.00000003</v>
      </c>
      <c r="W175" s="544">
        <f>W170*12</f>
        <v>116736000.00000003</v>
      </c>
      <c r="X175" s="544">
        <f>X170*12</f>
        <v>118364571.42857143</v>
      </c>
      <c r="Y175" s="361"/>
      <c r="Z175" s="364"/>
      <c r="AA175" s="367"/>
      <c r="AB175"/>
      <c r="AC175"/>
      <c r="AD175"/>
      <c r="AE175"/>
      <c r="AF175"/>
    </row>
    <row r="176" spans="17:32" ht="12.75" customHeight="1">
      <c r="Q176" s="668"/>
      <c r="R176" s="381"/>
      <c r="S176" s="381"/>
      <c r="T176" s="381"/>
      <c r="U176" s="381"/>
      <c r="V176" s="381"/>
      <c r="W176" s="381"/>
      <c r="X176" s="381"/>
      <c r="Y176" s="364"/>
      <c r="Z176" s="364"/>
      <c r="AA176" s="367"/>
      <c r="AB176"/>
      <c r="AC176"/>
      <c r="AD176"/>
      <c r="AE176"/>
      <c r="AF176"/>
    </row>
    <row r="177" spans="17:32" ht="12.75" customHeight="1">
      <c r="Q177" s="668"/>
      <c r="R177" s="901" t="s">
        <v>433</v>
      </c>
      <c r="S177" s="901"/>
      <c r="T177" s="901"/>
      <c r="U177" s="949" t="s">
        <v>500</v>
      </c>
      <c r="V177" s="938" t="s">
        <v>22</v>
      </c>
      <c r="W177" s="940" t="s">
        <v>579</v>
      </c>
      <c r="X177" s="942" t="s">
        <v>21</v>
      </c>
      <c r="Y177" s="361"/>
      <c r="Z177" s="364"/>
      <c r="AA177" s="367"/>
      <c r="AB177"/>
      <c r="AC177"/>
      <c r="AD177"/>
      <c r="AE177"/>
      <c r="AF177"/>
    </row>
    <row r="178" spans="17:32" ht="12.75" customHeight="1">
      <c r="Q178" s="668"/>
      <c r="R178" s="901"/>
      <c r="S178" s="901"/>
      <c r="T178" s="901"/>
      <c r="U178" s="950"/>
      <c r="V178" s="939"/>
      <c r="W178" s="941"/>
      <c r="X178" s="943"/>
      <c r="Y178" s="361"/>
      <c r="Z178" s="364"/>
      <c r="AA178" s="367"/>
      <c r="AB178"/>
      <c r="AC178"/>
      <c r="AD178"/>
      <c r="AE178"/>
      <c r="AF178"/>
    </row>
    <row r="179" spans="17:32" ht="12.75" customHeight="1">
      <c r="Q179" s="668"/>
      <c r="R179" s="970" t="s">
        <v>459</v>
      </c>
      <c r="S179" s="971"/>
      <c r="T179" s="972"/>
      <c r="U179" s="544">
        <f>U164</f>
        <v>938.66666666666674</v>
      </c>
      <c r="V179" s="544">
        <f>V164+V165</f>
        <v>494000.00000000006</v>
      </c>
      <c r="W179" s="544">
        <f>W164+W165</f>
        <v>489043.47826086963</v>
      </c>
      <c r="X179" s="544">
        <f>X164+X165</f>
        <v>483142.8571428571</v>
      </c>
      <c r="Y179" s="361"/>
      <c r="Z179" s="364"/>
      <c r="AA179" s="367"/>
      <c r="AB179"/>
      <c r="AC179"/>
      <c r="AD179"/>
      <c r="AE179"/>
      <c r="AF179"/>
    </row>
    <row r="180" spans="17:32" ht="12.75" customHeight="1">
      <c r="Q180" s="668"/>
      <c r="R180" s="973" t="s">
        <v>307</v>
      </c>
      <c r="S180" s="973"/>
      <c r="T180" s="973"/>
      <c r="U180" s="544">
        <f>U169</f>
        <v>21589.333333333336</v>
      </c>
      <c r="V180" s="544">
        <f>V169+V170</f>
        <v>11362000.000000002</v>
      </c>
      <c r="W180" s="544">
        <f>W169+W170</f>
        <v>11248000.000000002</v>
      </c>
      <c r="X180" s="544">
        <f>X169+X170</f>
        <v>11112285.714285715</v>
      </c>
      <c r="Y180" s="361"/>
      <c r="Z180" s="364"/>
      <c r="AA180" s="367"/>
      <c r="AB180"/>
      <c r="AC180"/>
      <c r="AD180"/>
      <c r="AE180"/>
      <c r="AF180"/>
    </row>
    <row r="181" spans="17:32" ht="12.75" customHeight="1">
      <c r="Q181" s="668"/>
      <c r="R181" s="973" t="s">
        <v>308</v>
      </c>
      <c r="S181" s="973"/>
      <c r="T181" s="973"/>
      <c r="U181" s="544">
        <f>U174</f>
        <v>259072.00000000003</v>
      </c>
      <c r="V181" s="544">
        <f>V174+V175</f>
        <v>136344000.00000003</v>
      </c>
      <c r="W181" s="544">
        <f>W174+W175</f>
        <v>134976000.00000003</v>
      </c>
      <c r="X181" s="544">
        <f>X174+X175</f>
        <v>133347428.57142857</v>
      </c>
      <c r="Y181" s="361"/>
      <c r="Z181" s="364"/>
      <c r="AA181" s="367"/>
      <c r="AB181"/>
      <c r="AC181"/>
      <c r="AD181"/>
      <c r="AE181"/>
      <c r="AF181"/>
    </row>
    <row r="182" spans="17:32" ht="12.75" customHeight="1">
      <c r="Q182" s="668"/>
      <c r="R182" s="381"/>
      <c r="S182" s="381"/>
      <c r="T182" s="381"/>
      <c r="U182" s="381"/>
      <c r="V182" s="381"/>
      <c r="W182" s="381"/>
      <c r="X182" s="381"/>
      <c r="Y182" s="364"/>
      <c r="Z182" s="364"/>
      <c r="AA182" s="367"/>
      <c r="AB182"/>
      <c r="AC182"/>
      <c r="AD182" t="str">
        <f>R185</f>
        <v>"Fully Loaded" - Drilling Shift</v>
      </c>
      <c r="AE182" t="str">
        <f>R186</f>
        <v>"Un-loaded" - Off Shift</v>
      </c>
      <c r="AF182"/>
    </row>
    <row r="183" spans="17:32" ht="12.75" customHeight="1">
      <c r="Q183" s="668"/>
      <c r="R183" s="901" t="s">
        <v>475</v>
      </c>
      <c r="S183" s="901"/>
      <c r="T183" s="901"/>
      <c r="U183" s="930" t="s">
        <v>500</v>
      </c>
      <c r="V183" s="928" t="s">
        <v>22</v>
      </c>
      <c r="W183" s="929" t="s">
        <v>579</v>
      </c>
      <c r="X183" s="927" t="s">
        <v>21</v>
      </c>
      <c r="Y183" s="361"/>
      <c r="Z183" s="364"/>
      <c r="AA183" s="367"/>
      <c r="AB183" s="716" t="s">
        <v>500</v>
      </c>
      <c r="AC183"/>
      <c r="AD183" s="717">
        <f>U185</f>
        <v>211.20000000000002</v>
      </c>
      <c r="AE183"/>
      <c r="AF183"/>
    </row>
    <row r="184" spans="17:32" ht="12.75" customHeight="1">
      <c r="Q184" s="668"/>
      <c r="R184" s="901"/>
      <c r="S184" s="901"/>
      <c r="T184" s="901"/>
      <c r="U184" s="930"/>
      <c r="V184" s="928"/>
      <c r="W184" s="929"/>
      <c r="X184" s="927"/>
      <c r="Y184" s="361"/>
      <c r="Z184" s="364"/>
      <c r="AA184" s="367"/>
      <c r="AB184" s="716" t="s">
        <v>22</v>
      </c>
      <c r="AC184"/>
      <c r="AD184" s="717">
        <f>V185</f>
        <v>17099.999999999996</v>
      </c>
      <c r="AE184" s="717">
        <f>V186</f>
        <v>94050.000000000015</v>
      </c>
      <c r="AF184"/>
    </row>
    <row r="185" spans="17:32" ht="12.75" customHeight="1">
      <c r="Q185" s="668"/>
      <c r="R185" s="973" t="s">
        <v>472</v>
      </c>
      <c r="S185" s="973"/>
      <c r="T185" s="973"/>
      <c r="U185" s="593">
        <f>$V$224*$U$148</f>
        <v>211.20000000000002</v>
      </c>
      <c r="V185" s="593">
        <f>($V$145*$V$146*$V$153*$V$152*$V$148)/$V$154</f>
        <v>17099.999999999996</v>
      </c>
      <c r="W185" s="593">
        <f>($W$145*$W$146*$W$153*$W$152*$W$148)/$W$154</f>
        <v>14869.565217391304</v>
      </c>
      <c r="X185" s="593">
        <f>($X$145*$X$146*$X$153*$X$152*$X$148)/$X$154</f>
        <v>12214.285714285714</v>
      </c>
      <c r="Y185" s="361"/>
      <c r="Z185" s="364"/>
      <c r="AA185" s="367"/>
      <c r="AB185" s="716" t="s">
        <v>579</v>
      </c>
      <c r="AC185"/>
      <c r="AD185" s="717">
        <f>W185</f>
        <v>14869.565217391304</v>
      </c>
      <c r="AE185" s="717">
        <f>W186</f>
        <v>95165.217391304366</v>
      </c>
      <c r="AF185"/>
    </row>
    <row r="186" spans="17:32" ht="12.75" customHeight="1">
      <c r="Q186" s="668"/>
      <c r="R186" s="973" t="s">
        <v>473</v>
      </c>
      <c r="S186" s="973"/>
      <c r="T186" s="973"/>
      <c r="U186" s="543"/>
      <c r="V186" s="593">
        <f>($V$145*$V$146*$V$159*$V$158*$V$148)/$V$160</f>
        <v>94050.000000000015</v>
      </c>
      <c r="W186" s="593">
        <f>($W$145*$W$146*$W$159*$W$158*$W$148)/$W$160</f>
        <v>95165.217391304366</v>
      </c>
      <c r="X186" s="593">
        <f>($X$145*$X$146*$X$159*$X$158*$X$148)/$X$160</f>
        <v>96492.857142857145</v>
      </c>
      <c r="Y186" s="361"/>
      <c r="Z186" s="364"/>
      <c r="AA186" s="367"/>
      <c r="AB186" s="716" t="s">
        <v>21</v>
      </c>
      <c r="AC186"/>
      <c r="AD186" s="717">
        <f>X185</f>
        <v>12214.285714285714</v>
      </c>
      <c r="AE186" s="717">
        <f>X186</f>
        <v>96492.857142857145</v>
      </c>
      <c r="AF186"/>
    </row>
    <row r="187" spans="17:32" ht="12.75" customHeight="1">
      <c r="Q187" s="668"/>
      <c r="R187" s="381"/>
      <c r="S187" s="381"/>
      <c r="T187" s="381"/>
      <c r="U187" s="381"/>
      <c r="V187" s="381"/>
      <c r="W187" s="381"/>
      <c r="X187" s="381"/>
      <c r="Y187" s="552"/>
      <c r="Z187" s="364"/>
      <c r="AA187" s="367"/>
      <c r="AC187"/>
      <c r="AD187"/>
      <c r="AE187"/>
      <c r="AF187"/>
    </row>
    <row r="188" spans="17:32" ht="12.75" customHeight="1">
      <c r="Q188" s="668"/>
      <c r="R188" s="901" t="s">
        <v>476</v>
      </c>
      <c r="S188" s="901"/>
      <c r="T188" s="901"/>
      <c r="U188" s="930" t="s">
        <v>500</v>
      </c>
      <c r="V188" s="928" t="s">
        <v>22</v>
      </c>
      <c r="W188" s="929" t="s">
        <v>579</v>
      </c>
      <c r="X188" s="927" t="s">
        <v>21</v>
      </c>
      <c r="Y188" s="361"/>
      <c r="Z188" s="364"/>
      <c r="AA188" s="367"/>
      <c r="AB188"/>
      <c r="AC188"/>
      <c r="AD188"/>
      <c r="AE188"/>
      <c r="AF188"/>
    </row>
    <row r="189" spans="17:32" ht="12.75" customHeight="1">
      <c r="Q189" s="668"/>
      <c r="R189" s="901"/>
      <c r="S189" s="901"/>
      <c r="T189" s="901"/>
      <c r="U189" s="930"/>
      <c r="V189" s="928"/>
      <c r="W189" s="929"/>
      <c r="X189" s="927"/>
      <c r="Y189" s="361"/>
      <c r="Z189" s="364"/>
      <c r="AA189" s="367"/>
      <c r="AB189"/>
      <c r="AC189"/>
      <c r="AD189"/>
      <c r="AE189"/>
      <c r="AF189"/>
    </row>
    <row r="190" spans="17:32" ht="12.75" customHeight="1">
      <c r="Q190" s="668"/>
      <c r="R190" s="973" t="s">
        <v>472</v>
      </c>
      <c r="S190" s="973"/>
      <c r="T190" s="973"/>
      <c r="U190" s="593">
        <f>U185*$V$11</f>
        <v>4857.6000000000004</v>
      </c>
      <c r="V190" s="593">
        <f>V185*$V$11</f>
        <v>393299.99999999994</v>
      </c>
      <c r="W190" s="593">
        <f>W185*$V$11</f>
        <v>342000</v>
      </c>
      <c r="X190" s="593">
        <f>X185*$V$11</f>
        <v>280928.57142857142</v>
      </c>
      <c r="Y190" s="361"/>
      <c r="Z190" s="364"/>
      <c r="AA190" s="367"/>
      <c r="AB190"/>
      <c r="AC190"/>
      <c r="AD190"/>
      <c r="AE190"/>
      <c r="AF190"/>
    </row>
    <row r="191" spans="17:32" ht="12.75" customHeight="1">
      <c r="Q191" s="668"/>
      <c r="R191" s="973" t="s">
        <v>473</v>
      </c>
      <c r="S191" s="973"/>
      <c r="T191" s="973"/>
      <c r="U191" s="543"/>
      <c r="V191" s="593">
        <f>V186*$V$11</f>
        <v>2163150.0000000005</v>
      </c>
      <c r="W191" s="593">
        <f>W186*$V$11</f>
        <v>2188800.0000000005</v>
      </c>
      <c r="X191" s="593">
        <f>X186*$V$11</f>
        <v>2219335.7142857146</v>
      </c>
      <c r="Y191" s="361"/>
      <c r="Z191" s="364"/>
      <c r="AA191" s="367"/>
      <c r="AB191"/>
      <c r="AC191"/>
      <c r="AD191"/>
      <c r="AE191"/>
      <c r="AF191"/>
    </row>
    <row r="192" spans="17:32" ht="12.75" customHeight="1">
      <c r="Q192" s="668"/>
      <c r="R192" s="367"/>
      <c r="S192" s="367"/>
      <c r="T192" s="367"/>
      <c r="U192" s="367"/>
      <c r="V192" s="367"/>
      <c r="W192" s="367"/>
      <c r="X192" s="367"/>
      <c r="Y192" s="364"/>
      <c r="Z192" s="364"/>
      <c r="AA192" s="367"/>
      <c r="AB192"/>
      <c r="AC192"/>
      <c r="AD192"/>
      <c r="AE192"/>
      <c r="AF192"/>
    </row>
    <row r="193" spans="17:32" ht="12.75" customHeight="1">
      <c r="Q193" s="668"/>
      <c r="R193" s="901" t="s">
        <v>477</v>
      </c>
      <c r="S193" s="901"/>
      <c r="T193" s="901"/>
      <c r="U193" s="930" t="s">
        <v>500</v>
      </c>
      <c r="V193" s="928" t="s">
        <v>22</v>
      </c>
      <c r="W193" s="929" t="s">
        <v>579</v>
      </c>
      <c r="X193" s="927" t="s">
        <v>21</v>
      </c>
      <c r="Y193" s="361"/>
      <c r="Z193" s="364"/>
      <c r="AA193" s="367"/>
      <c r="AB193"/>
      <c r="AC193"/>
      <c r="AD193"/>
      <c r="AE193"/>
      <c r="AF193"/>
    </row>
    <row r="194" spans="17:32" ht="12.75" customHeight="1">
      <c r="Q194" s="668"/>
      <c r="R194" s="901"/>
      <c r="S194" s="901"/>
      <c r="T194" s="901"/>
      <c r="U194" s="930"/>
      <c r="V194" s="928"/>
      <c r="W194" s="929"/>
      <c r="X194" s="927"/>
      <c r="Y194" s="361"/>
      <c r="Z194" s="364"/>
      <c r="AA194" s="367"/>
      <c r="AB194"/>
      <c r="AC194"/>
      <c r="AD194"/>
      <c r="AE194"/>
      <c r="AF194"/>
    </row>
    <row r="195" spans="17:32" ht="12.75" customHeight="1">
      <c r="Q195" s="668"/>
      <c r="R195" s="973" t="s">
        <v>472</v>
      </c>
      <c r="S195" s="973"/>
      <c r="T195" s="973"/>
      <c r="U195" s="593">
        <f>U190*12</f>
        <v>58291.200000000004</v>
      </c>
      <c r="V195" s="593">
        <f>V190*12</f>
        <v>4719599.9999999991</v>
      </c>
      <c r="W195" s="593">
        <f>W190*12</f>
        <v>4104000</v>
      </c>
      <c r="X195" s="593">
        <f>X190*12</f>
        <v>3371142.8571428573</v>
      </c>
      <c r="Y195" s="361"/>
      <c r="Z195" s="364"/>
      <c r="AA195" s="367"/>
      <c r="AB195"/>
      <c r="AC195"/>
      <c r="AD195"/>
      <c r="AE195"/>
      <c r="AF195"/>
    </row>
    <row r="196" spans="17:32" ht="12.75" customHeight="1">
      <c r="Q196" s="668"/>
      <c r="R196" s="973" t="s">
        <v>473</v>
      </c>
      <c r="S196" s="973"/>
      <c r="T196" s="973"/>
      <c r="U196" s="543"/>
      <c r="V196" s="593">
        <f>V191*12</f>
        <v>25957800.000000007</v>
      </c>
      <c r="W196" s="593">
        <f>W191*12</f>
        <v>26265600.000000007</v>
      </c>
      <c r="X196" s="593">
        <f>X191*12</f>
        <v>26632028.571428575</v>
      </c>
      <c r="Y196" s="361"/>
      <c r="Z196" s="364"/>
      <c r="AA196" s="367"/>
      <c r="AB196"/>
      <c r="AC196"/>
      <c r="AD196"/>
      <c r="AE196"/>
      <c r="AF196"/>
    </row>
    <row r="197" spans="17:32" ht="12.75" customHeight="1">
      <c r="Q197" s="668"/>
      <c r="R197" s="367"/>
      <c r="S197" s="367"/>
      <c r="T197" s="367"/>
      <c r="U197" s="367"/>
      <c r="V197" s="367"/>
      <c r="W197" s="367"/>
      <c r="X197" s="367"/>
      <c r="Y197" s="364"/>
      <c r="Z197" s="364"/>
      <c r="AA197" s="367"/>
      <c r="AB197"/>
      <c r="AC197"/>
      <c r="AD197"/>
      <c r="AE197"/>
      <c r="AF197"/>
    </row>
    <row r="198" spans="17:32" ht="12.75" customHeight="1">
      <c r="Q198" s="668"/>
      <c r="R198" s="901" t="s">
        <v>116</v>
      </c>
      <c r="S198" s="901"/>
      <c r="T198" s="901"/>
      <c r="U198" s="949" t="s">
        <v>500</v>
      </c>
      <c r="V198" s="938" t="s">
        <v>22</v>
      </c>
      <c r="W198" s="940" t="s">
        <v>579</v>
      </c>
      <c r="X198" s="942" t="s">
        <v>21</v>
      </c>
      <c r="Y198" s="361"/>
      <c r="Z198" s="364"/>
      <c r="AA198" s="367"/>
      <c r="AB198"/>
      <c r="AC198"/>
      <c r="AD198"/>
      <c r="AE198"/>
      <c r="AF198"/>
    </row>
    <row r="199" spans="17:32" ht="12.75" customHeight="1">
      <c r="Q199" s="668"/>
      <c r="R199" s="901"/>
      <c r="S199" s="901"/>
      <c r="T199" s="901"/>
      <c r="U199" s="950"/>
      <c r="V199" s="939"/>
      <c r="W199" s="941"/>
      <c r="X199" s="943"/>
      <c r="Y199" s="361"/>
      <c r="Z199" s="364"/>
      <c r="AA199" s="367"/>
      <c r="AB199"/>
      <c r="AC199"/>
      <c r="AD199"/>
      <c r="AE199"/>
      <c r="AF199"/>
    </row>
    <row r="200" spans="17:32" ht="12.75" customHeight="1">
      <c r="Q200" s="668"/>
      <c r="R200" s="970" t="s">
        <v>459</v>
      </c>
      <c r="S200" s="971"/>
      <c r="T200" s="972"/>
      <c r="U200" s="593">
        <f>U185</f>
        <v>211.20000000000002</v>
      </c>
      <c r="V200" s="593">
        <f>V185+V186</f>
        <v>111150.00000000001</v>
      </c>
      <c r="W200" s="593">
        <f>W185+W186</f>
        <v>110034.78260869568</v>
      </c>
      <c r="X200" s="593">
        <f>X185+X186</f>
        <v>108707.14285714286</v>
      </c>
      <c r="Y200" s="361"/>
      <c r="Z200" s="364"/>
      <c r="AA200" s="367"/>
      <c r="AB200"/>
      <c r="AC200"/>
      <c r="AD200"/>
      <c r="AE200"/>
      <c r="AF200"/>
    </row>
    <row r="201" spans="17:32" ht="12.75" customHeight="1">
      <c r="Q201" s="668"/>
      <c r="R201" s="973" t="s">
        <v>307</v>
      </c>
      <c r="S201" s="973"/>
      <c r="T201" s="973"/>
      <c r="U201" s="593">
        <f>U190</f>
        <v>4857.6000000000004</v>
      </c>
      <c r="V201" s="593">
        <f>V190+V191</f>
        <v>2556450.0000000005</v>
      </c>
      <c r="W201" s="593">
        <f>W190+W191</f>
        <v>2530800.0000000005</v>
      </c>
      <c r="X201" s="593">
        <f>X190+X191</f>
        <v>2500264.2857142859</v>
      </c>
      <c r="Y201" s="361"/>
      <c r="Z201" s="364"/>
      <c r="AA201" s="367"/>
      <c r="AB201"/>
      <c r="AC201"/>
      <c r="AD201"/>
      <c r="AE201"/>
      <c r="AF201"/>
    </row>
    <row r="202" spans="17:32" ht="12.75" customHeight="1">
      <c r="Q202" s="668"/>
      <c r="R202" s="973" t="s">
        <v>308</v>
      </c>
      <c r="S202" s="973"/>
      <c r="T202" s="973"/>
      <c r="U202" s="593">
        <f>U195</f>
        <v>58291.200000000004</v>
      </c>
      <c r="V202" s="593">
        <f>V195+V196</f>
        <v>30677400.000000007</v>
      </c>
      <c r="W202" s="593">
        <f>W195+W196</f>
        <v>30369600.000000007</v>
      </c>
      <c r="X202" s="593">
        <f>X195+X196</f>
        <v>30003171.428571433</v>
      </c>
      <c r="Y202" s="361"/>
      <c r="Z202" s="364"/>
      <c r="AA202" s="367"/>
      <c r="AB202"/>
      <c r="AC202"/>
      <c r="AD202"/>
      <c r="AE202"/>
      <c r="AF202"/>
    </row>
    <row r="203" spans="17:32" ht="12.75" customHeight="1">
      <c r="Q203" s="668"/>
      <c r="R203" s="575"/>
      <c r="S203" s="575"/>
      <c r="T203" s="575"/>
      <c r="U203" s="382"/>
      <c r="V203" s="382"/>
      <c r="W203" s="382"/>
      <c r="X203" s="382"/>
      <c r="Y203" s="364"/>
      <c r="Z203" s="364"/>
      <c r="AA203" s="367"/>
      <c r="AB203"/>
      <c r="AC203"/>
      <c r="AD203"/>
      <c r="AE203"/>
      <c r="AF203"/>
    </row>
    <row r="204" spans="17:32" ht="12.75" customHeight="1">
      <c r="Q204" s="668"/>
      <c r="R204" s="974" t="s">
        <v>775</v>
      </c>
      <c r="S204" s="974"/>
      <c r="T204" s="974"/>
      <c r="U204" s="974"/>
      <c r="V204" s="974"/>
      <c r="W204" s="974"/>
      <c r="X204" s="974"/>
      <c r="Y204" s="974"/>
      <c r="Z204" s="364"/>
      <c r="AA204" s="367"/>
      <c r="AB204"/>
      <c r="AC204"/>
      <c r="AD204"/>
      <c r="AE204"/>
      <c r="AF204"/>
    </row>
    <row r="205" spans="17:32" ht="12.75" customHeight="1">
      <c r="Q205" s="668"/>
      <c r="R205" s="974"/>
      <c r="S205" s="974"/>
      <c r="T205" s="974"/>
      <c r="U205" s="974"/>
      <c r="V205" s="974"/>
      <c r="W205" s="974"/>
      <c r="X205" s="974"/>
      <c r="Y205" s="974"/>
      <c r="Z205" s="576"/>
      <c r="AA205" s="367"/>
      <c r="AB205"/>
      <c r="AC205"/>
      <c r="AD205"/>
      <c r="AE205"/>
      <c r="AF205"/>
    </row>
    <row r="206" spans="17:32" ht="12.75" customHeight="1">
      <c r="Q206" s="668"/>
      <c r="R206" s="974"/>
      <c r="S206" s="974"/>
      <c r="T206" s="974"/>
      <c r="U206" s="974"/>
      <c r="V206" s="974"/>
      <c r="W206" s="974"/>
      <c r="X206" s="974"/>
      <c r="Y206" s="974"/>
      <c r="Z206" s="576"/>
      <c r="AA206" s="367"/>
      <c r="AB206"/>
      <c r="AC206"/>
      <c r="AD206"/>
      <c r="AE206"/>
      <c r="AF206"/>
    </row>
    <row r="207" spans="17:32" ht="12.75" customHeight="1">
      <c r="Q207" s="668"/>
      <c r="R207" s="974"/>
      <c r="S207" s="974"/>
      <c r="T207" s="974"/>
      <c r="U207" s="974"/>
      <c r="V207" s="974"/>
      <c r="W207" s="974"/>
      <c r="X207" s="974"/>
      <c r="Y207" s="974"/>
      <c r="Z207" s="576"/>
      <c r="AA207" s="367"/>
      <c r="AB207"/>
      <c r="AC207"/>
      <c r="AD207"/>
      <c r="AE207"/>
      <c r="AF207"/>
    </row>
    <row r="208" spans="17:32" ht="12.75" customHeight="1">
      <c r="Q208" s="668"/>
      <c r="R208" s="974"/>
      <c r="S208" s="974"/>
      <c r="T208" s="974"/>
      <c r="U208" s="974"/>
      <c r="V208" s="974"/>
      <c r="W208" s="974"/>
      <c r="X208" s="974"/>
      <c r="Y208" s="974"/>
      <c r="Z208" s="576"/>
      <c r="AA208" s="367"/>
      <c r="AB208"/>
      <c r="AC208"/>
      <c r="AD208"/>
      <c r="AE208"/>
      <c r="AF208"/>
    </row>
    <row r="209" spans="17:32" ht="12.75" customHeight="1">
      <c r="Q209" s="668"/>
      <c r="R209" s="364"/>
      <c r="S209" s="375"/>
      <c r="T209" s="375"/>
      <c r="U209" s="577"/>
      <c r="V209" s="577"/>
      <c r="W209" s="577"/>
      <c r="X209" s="577"/>
      <c r="Y209" s="551"/>
      <c r="Z209" s="363"/>
      <c r="AA209" s="367"/>
      <c r="AB209"/>
      <c r="AC209"/>
      <c r="AD209"/>
      <c r="AE209"/>
      <c r="AF209"/>
    </row>
    <row r="210" spans="17:32" ht="12.75" customHeight="1">
      <c r="Q210" s="668"/>
      <c r="R210" s="975" t="s">
        <v>667</v>
      </c>
      <c r="S210" s="976"/>
      <c r="T210" s="976"/>
      <c r="U210" s="976"/>
      <c r="V210" s="976"/>
      <c r="W210" s="976"/>
      <c r="X210" s="979">
        <f>10*V25</f>
        <v>76800</v>
      </c>
      <c r="Y210" s="935" t="s">
        <v>668</v>
      </c>
      <c r="Z210" s="364"/>
      <c r="AA210" s="367"/>
      <c r="AB210"/>
      <c r="AC210"/>
      <c r="AD210"/>
      <c r="AE210"/>
      <c r="AF210"/>
    </row>
    <row r="211" spans="17:32" ht="12.75" customHeight="1">
      <c r="Q211" s="668"/>
      <c r="R211" s="977"/>
      <c r="S211" s="978"/>
      <c r="T211" s="978"/>
      <c r="U211" s="978"/>
      <c r="V211" s="978"/>
      <c r="W211" s="978"/>
      <c r="X211" s="979"/>
      <c r="Y211" s="935"/>
      <c r="Z211" s="364"/>
      <c r="AA211" s="367"/>
      <c r="AB211"/>
      <c r="AC211"/>
      <c r="AD211"/>
      <c r="AE211"/>
      <c r="AF211"/>
    </row>
    <row r="212" spans="17:32" ht="12.75" customHeight="1">
      <c r="Q212" s="668"/>
      <c r="R212" s="578"/>
      <c r="S212" s="578"/>
      <c r="T212" s="578"/>
      <c r="U212" s="578"/>
      <c r="V212" s="578"/>
      <c r="W212" s="578"/>
      <c r="X212" s="578"/>
      <c r="Y212" s="579"/>
      <c r="Z212" s="551"/>
      <c r="AA212" s="367"/>
      <c r="AB212"/>
      <c r="AC212"/>
      <c r="AD212"/>
      <c r="AE212"/>
      <c r="AF212"/>
    </row>
    <row r="213" spans="17:32" ht="12.75" customHeight="1">
      <c r="Q213" s="668"/>
      <c r="R213" s="937" t="s">
        <v>678</v>
      </c>
      <c r="S213" s="937"/>
      <c r="T213" s="937"/>
      <c r="U213" s="937"/>
      <c r="V213" s="949" t="s">
        <v>500</v>
      </c>
      <c r="W213" s="938" t="s">
        <v>22</v>
      </c>
      <c r="X213" s="940" t="s">
        <v>579</v>
      </c>
      <c r="Y213" s="942" t="s">
        <v>21</v>
      </c>
      <c r="Z213" s="361"/>
      <c r="AA213" s="367"/>
      <c r="AB213"/>
      <c r="AC213"/>
      <c r="AD213"/>
      <c r="AE213"/>
      <c r="AF213"/>
    </row>
    <row r="214" spans="17:32" ht="12.75" customHeight="1">
      <c r="Q214" s="668"/>
      <c r="R214" s="937"/>
      <c r="S214" s="937"/>
      <c r="T214" s="937"/>
      <c r="U214" s="937"/>
      <c r="V214" s="950"/>
      <c r="W214" s="939"/>
      <c r="X214" s="941"/>
      <c r="Y214" s="943"/>
      <c r="Z214" s="361"/>
      <c r="AA214" s="367"/>
      <c r="AB214"/>
      <c r="AC214"/>
      <c r="AD214"/>
      <c r="AE214"/>
      <c r="AF214"/>
    </row>
    <row r="215" spans="17:32" ht="12.75" customHeight="1">
      <c r="Q215" s="668"/>
      <c r="R215" s="968" t="s">
        <v>533</v>
      </c>
      <c r="S215" s="968"/>
      <c r="T215" s="968"/>
      <c r="U215" s="968"/>
      <c r="V215" s="580">
        <v>0.107</v>
      </c>
      <c r="W215" s="581">
        <f>VLOOKUP($V$5,'Lookup Energy kWhm'!$B$8:$E$208,3)</f>
        <v>0.13</v>
      </c>
      <c r="X215" s="581">
        <f>VLOOKUP($V$5,'Lookup Energy kWhm'!$B$8:$E$208,4)</f>
        <v>0.14799999999999999</v>
      </c>
      <c r="Y215" s="581">
        <f>VLOOKUP($V$5,'Lookup Energy kWhm'!$B$8:$E$208,2)</f>
        <v>0.1</v>
      </c>
      <c r="Z215" s="361"/>
      <c r="AA215" s="367"/>
      <c r="AB215"/>
      <c r="AC215"/>
      <c r="AD215"/>
      <c r="AE215"/>
      <c r="AF215"/>
    </row>
    <row r="216" spans="17:32" ht="12.75" customHeight="1">
      <c r="Q216" s="668"/>
      <c r="R216" s="969" t="s">
        <v>31</v>
      </c>
      <c r="S216" s="969"/>
      <c r="T216" s="969"/>
      <c r="U216" s="969"/>
      <c r="V216" s="556">
        <f t="shared" ref="V216:W219" si="2">X216</f>
        <v>1.2</v>
      </c>
      <c r="W216" s="556">
        <f t="shared" si="2"/>
        <v>1.2</v>
      </c>
      <c r="X216" s="556">
        <f>W216</f>
        <v>1.2</v>
      </c>
      <c r="Y216" s="556">
        <f>V20</f>
        <v>1.2</v>
      </c>
      <c r="Z216" s="361"/>
      <c r="AA216" s="367"/>
      <c r="AB216"/>
      <c r="AC216"/>
      <c r="AD216"/>
      <c r="AE216"/>
      <c r="AF216"/>
    </row>
    <row r="217" spans="17:32" ht="12.75" customHeight="1">
      <c r="Q217" s="668"/>
      <c r="R217" s="969" t="s">
        <v>314</v>
      </c>
      <c r="S217" s="969"/>
      <c r="T217" s="969"/>
      <c r="U217" s="969"/>
      <c r="V217" s="556">
        <f t="shared" si="2"/>
        <v>160</v>
      </c>
      <c r="W217" s="556">
        <f t="shared" si="2"/>
        <v>160</v>
      </c>
      <c r="X217" s="556">
        <f>W217</f>
        <v>160</v>
      </c>
      <c r="Y217" s="556">
        <f>V19</f>
        <v>160</v>
      </c>
      <c r="Z217" s="361"/>
      <c r="AA217" s="367"/>
      <c r="AB217"/>
      <c r="AC217"/>
      <c r="AD217"/>
      <c r="AE217"/>
      <c r="AF217"/>
    </row>
    <row r="218" spans="17:32" ht="12.75" customHeight="1">
      <c r="Q218" s="668"/>
      <c r="R218" s="969" t="s">
        <v>20</v>
      </c>
      <c r="S218" s="969"/>
      <c r="T218" s="969"/>
      <c r="U218" s="969"/>
      <c r="V218" s="556">
        <f t="shared" si="2"/>
        <v>40</v>
      </c>
      <c r="W218" s="556">
        <f t="shared" si="2"/>
        <v>40</v>
      </c>
      <c r="X218" s="556">
        <f>W218</f>
        <v>40</v>
      </c>
      <c r="Y218" s="556">
        <f>V22</f>
        <v>40</v>
      </c>
      <c r="Z218" s="361"/>
      <c r="AA218" s="367"/>
      <c r="AB218"/>
      <c r="AC218"/>
      <c r="AD218"/>
      <c r="AE218"/>
      <c r="AF218"/>
    </row>
    <row r="219" spans="17:32" ht="12.75" customHeight="1">
      <c r="Q219" s="668"/>
      <c r="R219" s="969" t="s">
        <v>310</v>
      </c>
      <c r="S219" s="969"/>
      <c r="T219" s="969"/>
      <c r="U219" s="969"/>
      <c r="V219" s="556">
        <f t="shared" si="2"/>
        <v>160</v>
      </c>
      <c r="W219" s="556">
        <f t="shared" si="2"/>
        <v>160</v>
      </c>
      <c r="X219" s="556">
        <f>W219</f>
        <v>160</v>
      </c>
      <c r="Y219" s="556">
        <f>V23</f>
        <v>160</v>
      </c>
      <c r="Z219" s="361"/>
      <c r="AA219" s="367"/>
      <c r="AB219"/>
      <c r="AC219"/>
      <c r="AD219"/>
      <c r="AE219"/>
      <c r="AF219"/>
    </row>
    <row r="220" spans="17:32" ht="12.75" customHeight="1">
      <c r="Q220" s="668"/>
      <c r="R220" s="968" t="s">
        <v>543</v>
      </c>
      <c r="S220" s="968"/>
      <c r="T220" s="968"/>
      <c r="U220" s="968"/>
      <c r="V220" s="582">
        <f>V215*V216*V217*V218</f>
        <v>821.75999999999988</v>
      </c>
      <c r="W220" s="582">
        <f>W215*W216*W217*W218</f>
        <v>998.40000000000009</v>
      </c>
      <c r="X220" s="582">
        <f>X215*X216*X217*X218</f>
        <v>1136.6399999999999</v>
      </c>
      <c r="Y220" s="582">
        <f>Y215*Y216*Y217*Y218</f>
        <v>768</v>
      </c>
      <c r="Z220" s="361"/>
      <c r="AA220" s="367"/>
      <c r="AB220"/>
      <c r="AC220"/>
      <c r="AD220"/>
      <c r="AE220"/>
      <c r="AF220"/>
    </row>
    <row r="221" spans="17:32" ht="12.75" customHeight="1">
      <c r="Q221" s="668"/>
      <c r="R221" s="968" t="s">
        <v>542</v>
      </c>
      <c r="S221" s="968"/>
      <c r="T221" s="968"/>
      <c r="U221" s="968"/>
      <c r="V221" s="583">
        <f>V220/V219</f>
        <v>5.1359999999999992</v>
      </c>
      <c r="W221" s="583">
        <f>W220/W219</f>
        <v>6.24</v>
      </c>
      <c r="X221" s="583">
        <f>X220/X219</f>
        <v>7.1039999999999992</v>
      </c>
      <c r="Y221" s="583">
        <f>Y220/Y219</f>
        <v>4.8</v>
      </c>
      <c r="Z221" s="361"/>
      <c r="AA221" s="367"/>
      <c r="AB221"/>
      <c r="AC221"/>
      <c r="AD221"/>
      <c r="AE221"/>
      <c r="AF221"/>
    </row>
    <row r="222" spans="17:32" ht="12.75" customHeight="1">
      <c r="Q222" s="668"/>
      <c r="R222" s="968" t="s">
        <v>538</v>
      </c>
      <c r="S222" s="968"/>
      <c r="T222" s="968"/>
      <c r="U222" s="968"/>
      <c r="V222" s="537">
        <f>U62</f>
        <v>2.6666666666666665</v>
      </c>
      <c r="W222" s="537">
        <f>V62</f>
        <v>1.9999999999999996</v>
      </c>
      <c r="X222" s="537">
        <f>W62</f>
        <v>1.7391304347826084</v>
      </c>
      <c r="Y222" s="537">
        <f>X62</f>
        <v>1.4285714285714284</v>
      </c>
      <c r="Z222" s="361"/>
      <c r="AA222" s="367"/>
      <c r="AB222"/>
      <c r="AC222"/>
      <c r="AD222"/>
      <c r="AE222"/>
      <c r="AF222"/>
    </row>
    <row r="223" spans="17:32" ht="12.75" customHeight="1">
      <c r="Q223" s="668"/>
      <c r="R223" s="968" t="s">
        <v>546</v>
      </c>
      <c r="S223" s="968"/>
      <c r="T223" s="968"/>
      <c r="U223" s="968"/>
      <c r="V223" s="584">
        <f>2.2*V222</f>
        <v>5.8666666666666671</v>
      </c>
      <c r="W223" s="584">
        <f>W222/W215</f>
        <v>15.384615384615381</v>
      </c>
      <c r="X223" s="584">
        <f>X222/X215</f>
        <v>11.750881316098706</v>
      </c>
      <c r="Y223" s="584">
        <f>Y222/Y215</f>
        <v>14.285714285714283</v>
      </c>
      <c r="Z223" s="361"/>
      <c r="AA223" s="367"/>
      <c r="AB223"/>
      <c r="AC223"/>
      <c r="AD223"/>
      <c r="AE223"/>
      <c r="AF223"/>
    </row>
    <row r="224" spans="17:32" ht="12.75" customHeight="1">
      <c r="Q224" s="668"/>
      <c r="R224" s="968" t="s">
        <v>544</v>
      </c>
      <c r="S224" s="968"/>
      <c r="T224" s="968"/>
      <c r="U224" s="968"/>
      <c r="V224" s="582">
        <f>V219*V223</f>
        <v>938.66666666666674</v>
      </c>
      <c r="W224" s="582">
        <f>W219*W223</f>
        <v>2461.538461538461</v>
      </c>
      <c r="X224" s="582">
        <f>X219*X223</f>
        <v>1880.141010575793</v>
      </c>
      <c r="Y224" s="674">
        <f>Y219*Y223</f>
        <v>2285.7142857142853</v>
      </c>
      <c r="Z224" s="361"/>
      <c r="AA224" s="367"/>
      <c r="AB224"/>
      <c r="AC224"/>
      <c r="AD224"/>
      <c r="AE224"/>
      <c r="AF224"/>
    </row>
    <row r="225" spans="17:32" ht="12.75" customHeight="1">
      <c r="Q225" s="668"/>
      <c r="R225" s="969" t="s">
        <v>535</v>
      </c>
      <c r="S225" s="969"/>
      <c r="T225" s="969"/>
      <c r="U225" s="969"/>
      <c r="V225" s="556">
        <f>V217/V222</f>
        <v>60</v>
      </c>
      <c r="W225" s="556">
        <f>W217/W222</f>
        <v>80.000000000000014</v>
      </c>
      <c r="X225" s="556">
        <f>X217/X222</f>
        <v>92.000000000000014</v>
      </c>
      <c r="Y225" s="556">
        <f>Y217/Y222</f>
        <v>112.00000000000001</v>
      </c>
      <c r="Z225" s="361"/>
      <c r="AA225" s="367"/>
      <c r="AB225"/>
      <c r="AC225"/>
      <c r="AD225"/>
      <c r="AE225"/>
      <c r="AF225"/>
    </row>
    <row r="226" spans="17:32" ht="12.75" customHeight="1">
      <c r="Q226" s="668"/>
      <c r="R226" s="969" t="s">
        <v>536</v>
      </c>
      <c r="S226" s="969"/>
      <c r="T226" s="969"/>
      <c r="U226" s="969"/>
      <c r="V226" s="675">
        <f>V216*V225</f>
        <v>72</v>
      </c>
      <c r="W226" s="675">
        <f>W216*W225</f>
        <v>96.000000000000014</v>
      </c>
      <c r="X226" s="675">
        <f>X216*X225</f>
        <v>110.40000000000002</v>
      </c>
      <c r="Y226" s="675">
        <f>Y216*Y225</f>
        <v>134.4</v>
      </c>
      <c r="Z226" s="361"/>
      <c r="AA226" s="367"/>
      <c r="AB226"/>
      <c r="AC226"/>
      <c r="AD226"/>
      <c r="AE226"/>
      <c r="AF226"/>
    </row>
    <row r="227" spans="17:32" ht="12.75" customHeight="1">
      <c r="Q227" s="668"/>
      <c r="R227" s="968" t="s">
        <v>534</v>
      </c>
      <c r="S227" s="968"/>
      <c r="T227" s="968"/>
      <c r="U227" s="968"/>
      <c r="V227" s="583">
        <f>U56</f>
        <v>4</v>
      </c>
      <c r="W227" s="583">
        <f>V56</f>
        <v>2.9999999999999996</v>
      </c>
      <c r="X227" s="583">
        <f>W56</f>
        <v>2.6086956521739126</v>
      </c>
      <c r="Y227" s="583">
        <f>X56</f>
        <v>2.1428571428571428</v>
      </c>
      <c r="Z227" s="361"/>
      <c r="AA227" s="367"/>
      <c r="AB227"/>
      <c r="AC227"/>
      <c r="AD227"/>
      <c r="AE227"/>
      <c r="AF227"/>
    </row>
    <row r="228" spans="17:32" ht="12.75" customHeight="1">
      <c r="Q228" s="668"/>
      <c r="R228" s="968" t="s">
        <v>537</v>
      </c>
      <c r="S228" s="968"/>
      <c r="T228" s="968"/>
      <c r="U228" s="968"/>
      <c r="V228" s="584">
        <f>V225*V227</f>
        <v>240</v>
      </c>
      <c r="W228" s="584">
        <f>W225*W227</f>
        <v>240</v>
      </c>
      <c r="X228" s="584">
        <f>X225*X227</f>
        <v>240</v>
      </c>
      <c r="Y228" s="584">
        <f>Y225*Y227</f>
        <v>240.00000000000003</v>
      </c>
      <c r="Z228" s="361"/>
      <c r="AA228" s="367"/>
      <c r="AB228"/>
      <c r="AC228"/>
      <c r="AD228"/>
      <c r="AE228"/>
      <c r="AF228"/>
    </row>
    <row r="229" spans="17:32" ht="12.75" customHeight="1">
      <c r="Q229" s="668"/>
      <c r="R229" s="968" t="s">
        <v>545</v>
      </c>
      <c r="S229" s="968"/>
      <c r="T229" s="968"/>
      <c r="U229" s="968"/>
      <c r="V229" s="585">
        <f>V221/V223</f>
        <v>0.87545454545454526</v>
      </c>
      <c r="W229" s="585">
        <f>W221/W223</f>
        <v>0.40560000000000007</v>
      </c>
      <c r="X229" s="585">
        <f>X221/X223</f>
        <v>0.60455040000000004</v>
      </c>
      <c r="Y229" s="585">
        <f>Y221/Y223</f>
        <v>0.33600000000000008</v>
      </c>
      <c r="Z229" s="361"/>
      <c r="AA229" s="367"/>
      <c r="AB229"/>
      <c r="AC229"/>
      <c r="AD229"/>
      <c r="AE229"/>
      <c r="AF229"/>
    </row>
    <row r="230" spans="17:32" ht="12.75" customHeight="1">
      <c r="Q230" s="668"/>
      <c r="R230" s="540" t="s">
        <v>547</v>
      </c>
      <c r="S230" s="540"/>
      <c r="T230" s="540"/>
      <c r="U230" s="540"/>
      <c r="V230" s="585"/>
      <c r="W230" s="586">
        <f>10*W217*W216*W218</f>
        <v>76800</v>
      </c>
      <c r="X230" s="586">
        <f>10*X217*X216*X218</f>
        <v>76800</v>
      </c>
      <c r="Y230" s="586">
        <f>10*Y217*Y216*Y218</f>
        <v>76800</v>
      </c>
      <c r="Z230" s="361"/>
      <c r="AA230" s="367"/>
      <c r="AB230"/>
      <c r="AC230"/>
      <c r="AD230"/>
      <c r="AE230"/>
      <c r="AF230"/>
    </row>
    <row r="231" spans="17:32" ht="12.75" customHeight="1">
      <c r="Q231" s="668"/>
      <c r="R231" s="968" t="s">
        <v>548</v>
      </c>
      <c r="S231" s="968"/>
      <c r="T231" s="968"/>
      <c r="U231" s="968"/>
      <c r="V231" s="585">
        <f>V229</f>
        <v>0.87545454545454526</v>
      </c>
      <c r="W231" s="585">
        <f>W220/W230</f>
        <v>1.3000000000000001E-2</v>
      </c>
      <c r="X231" s="585">
        <f>X220/X230</f>
        <v>1.4799999999999999E-2</v>
      </c>
      <c r="Y231" s="585">
        <f>Y220/Y230</f>
        <v>0.01</v>
      </c>
      <c r="Z231" s="361"/>
      <c r="AA231" s="367"/>
      <c r="AB231"/>
      <c r="AC231"/>
      <c r="AD231"/>
      <c r="AE231"/>
      <c r="AF231"/>
    </row>
    <row r="232" spans="17:32" ht="12.75" customHeight="1">
      <c r="Q232" s="668"/>
      <c r="R232" s="587"/>
      <c r="S232" s="587"/>
      <c r="T232" s="587"/>
      <c r="U232" s="587"/>
      <c r="V232" s="588"/>
      <c r="W232" s="588"/>
      <c r="X232" s="588"/>
      <c r="Y232" s="588"/>
      <c r="Z232" s="589"/>
      <c r="AA232" s="367"/>
      <c r="AB232"/>
      <c r="AC232"/>
      <c r="AD232"/>
      <c r="AE232"/>
      <c r="AF232"/>
    </row>
    <row r="233" spans="17:32" ht="12.75" customHeight="1">
      <c r="Q233" s="668"/>
      <c r="R233" s="587"/>
      <c r="S233" s="587"/>
      <c r="T233" s="587"/>
      <c r="U233" s="587"/>
      <c r="V233" s="676"/>
      <c r="W233" s="676"/>
      <c r="X233" s="676"/>
      <c r="Y233" s="588"/>
      <c r="Z233" s="364"/>
      <c r="AA233" s="367"/>
      <c r="AB233"/>
      <c r="AC233"/>
      <c r="AD233"/>
      <c r="AE233"/>
      <c r="AF233"/>
    </row>
    <row r="234" spans="17:32" ht="12.75" customHeight="1">
      <c r="Q234" s="668" t="s">
        <v>240</v>
      </c>
      <c r="R234" s="364" t="s">
        <v>241</v>
      </c>
      <c r="S234" s="364"/>
      <c r="T234" s="364"/>
      <c r="U234" s="364"/>
      <c r="V234" s="364"/>
      <c r="W234" s="364"/>
      <c r="X234" s="364"/>
      <c r="Y234" s="364"/>
      <c r="Z234" s="364"/>
      <c r="AA234" s="367"/>
      <c r="AB234"/>
      <c r="AC234"/>
      <c r="AD234"/>
      <c r="AE234"/>
      <c r="AF234"/>
    </row>
    <row r="235" spans="17:32" ht="12.75" customHeight="1">
      <c r="Q235" s="364"/>
      <c r="R235" s="962" t="s">
        <v>301</v>
      </c>
      <c r="S235" s="963"/>
      <c r="T235" s="964"/>
      <c r="U235" s="949" t="s">
        <v>500</v>
      </c>
      <c r="V235" s="938" t="s">
        <v>22</v>
      </c>
      <c r="W235" s="940" t="s">
        <v>579</v>
      </c>
      <c r="X235" s="942" t="s">
        <v>21</v>
      </c>
      <c r="Y235" s="361"/>
      <c r="Z235" s="364"/>
      <c r="AA235" s="367"/>
      <c r="AB235"/>
      <c r="AC235"/>
      <c r="AD235"/>
      <c r="AE235"/>
      <c r="AF235"/>
    </row>
    <row r="236" spans="17:32" ht="12.75" customHeight="1">
      <c r="Q236" s="364"/>
      <c r="R236" s="965"/>
      <c r="S236" s="966"/>
      <c r="T236" s="967"/>
      <c r="U236" s="950"/>
      <c r="V236" s="939"/>
      <c r="W236" s="941"/>
      <c r="X236" s="943"/>
      <c r="Y236" s="361"/>
      <c r="Z236" s="364"/>
      <c r="AA236" s="367"/>
      <c r="AB236"/>
      <c r="AC236"/>
      <c r="AD236"/>
      <c r="AE236"/>
      <c r="AF236"/>
    </row>
    <row r="237" spans="17:32" ht="12.75" customHeight="1">
      <c r="Q237" s="364"/>
      <c r="R237" s="931" t="s">
        <v>662</v>
      </c>
      <c r="S237" s="931"/>
      <c r="T237" s="931"/>
      <c r="U237" s="901" t="s">
        <v>427</v>
      </c>
      <c r="V237" s="562">
        <f>VLOOKUP($V$5,'Lookup Air Consumption'!$B$8:$E$208,3)</f>
        <v>38</v>
      </c>
      <c r="W237" s="562">
        <f>VLOOKUP($V$5,'Lookup Air Consumption'!$B$8:$E$208,4)</f>
        <v>50</v>
      </c>
      <c r="X237" s="562">
        <f>VLOOKUP($V$5,'Lookup Air Consumption'!$B$8:$E$208,2)</f>
        <v>41</v>
      </c>
      <c r="Y237" s="361"/>
      <c r="Z237" s="364"/>
      <c r="AA237" s="367"/>
      <c r="AB237"/>
      <c r="AC237"/>
      <c r="AD237"/>
      <c r="AE237"/>
      <c r="AF237"/>
    </row>
    <row r="238" spans="17:32" ht="12.75" customHeight="1">
      <c r="Q238" s="364"/>
      <c r="R238" s="931" t="s">
        <v>663</v>
      </c>
      <c r="S238" s="931"/>
      <c r="T238" s="931"/>
      <c r="U238" s="901"/>
      <c r="V238" s="590">
        <f>V237/1000</f>
        <v>3.7999999999999999E-2</v>
      </c>
      <c r="W238" s="590">
        <f>W237/1000</f>
        <v>0.05</v>
      </c>
      <c r="X238" s="590">
        <f>X237/1000</f>
        <v>4.1000000000000002E-2</v>
      </c>
      <c r="Y238" s="361"/>
      <c r="Z238" s="364"/>
      <c r="AA238" s="367"/>
      <c r="AB238"/>
      <c r="AC238"/>
      <c r="AD238"/>
      <c r="AE238"/>
      <c r="AF238"/>
    </row>
    <row r="239" spans="17:32" ht="12.75" customHeight="1">
      <c r="Q239" s="364"/>
      <c r="R239" s="931" t="s">
        <v>664</v>
      </c>
      <c r="S239" s="931"/>
      <c r="T239" s="931"/>
      <c r="U239" s="901"/>
      <c r="V239" s="560">
        <f>V238*35.31467</f>
        <v>1.3419574599999999</v>
      </c>
      <c r="W239" s="560">
        <f>W238*35.31467</f>
        <v>1.7657335000000001</v>
      </c>
      <c r="X239" s="560">
        <f>X238*35.31467</f>
        <v>1.4479014700000001</v>
      </c>
      <c r="Y239" s="361"/>
      <c r="Z239" s="364"/>
      <c r="AA239" s="367"/>
      <c r="AB239"/>
      <c r="AC239"/>
      <c r="AD239"/>
      <c r="AE239"/>
      <c r="AF239"/>
    </row>
    <row r="240" spans="17:32" ht="12.75" customHeight="1">
      <c r="Q240" s="360"/>
      <c r="R240" s="551"/>
      <c r="S240" s="551"/>
      <c r="T240" s="551"/>
      <c r="U240" s="591"/>
      <c r="V240" s="551"/>
      <c r="W240" s="551"/>
      <c r="X240" s="551"/>
      <c r="Y240" s="361"/>
      <c r="Z240" s="364"/>
      <c r="AA240" s="367"/>
      <c r="AB240"/>
      <c r="AC240"/>
      <c r="AD240"/>
      <c r="AE240"/>
      <c r="AF240"/>
    </row>
    <row r="241" spans="17:32" ht="12.75" customHeight="1">
      <c r="Q241" s="360"/>
      <c r="R241" s="962" t="s">
        <v>302</v>
      </c>
      <c r="S241" s="963"/>
      <c r="T241" s="964"/>
      <c r="U241" s="949" t="s">
        <v>500</v>
      </c>
      <c r="V241" s="938" t="s">
        <v>22</v>
      </c>
      <c r="W241" s="940" t="s">
        <v>579</v>
      </c>
      <c r="X241" s="942" t="s">
        <v>21</v>
      </c>
      <c r="Y241" s="361"/>
      <c r="Z241" s="364"/>
      <c r="AA241" s="367"/>
      <c r="AB241"/>
      <c r="AC241"/>
      <c r="AD241"/>
      <c r="AE241"/>
      <c r="AF241"/>
    </row>
    <row r="242" spans="17:32" ht="12.75" customHeight="1">
      <c r="Q242" s="360"/>
      <c r="R242" s="965"/>
      <c r="S242" s="966"/>
      <c r="T242" s="967"/>
      <c r="U242" s="950"/>
      <c r="V242" s="939"/>
      <c r="W242" s="941"/>
      <c r="X242" s="943"/>
      <c r="Y242" s="361"/>
      <c r="Z242" s="364"/>
      <c r="AA242" s="367"/>
      <c r="AB242"/>
      <c r="AC242"/>
      <c r="AD242"/>
      <c r="AE242"/>
      <c r="AF242"/>
    </row>
    <row r="243" spans="17:32" ht="12.75" customHeight="1">
      <c r="Q243" s="360"/>
      <c r="R243" s="931" t="s">
        <v>662</v>
      </c>
      <c r="S243" s="931"/>
      <c r="T243" s="931"/>
      <c r="U243" s="901" t="s">
        <v>427</v>
      </c>
      <c r="V243" s="549">
        <f t="shared" ref="V243:W245" si="3">V237*$V$23</f>
        <v>6080</v>
      </c>
      <c r="W243" s="549">
        <f t="shared" si="3"/>
        <v>8000</v>
      </c>
      <c r="X243" s="549">
        <f>X237*$V$23</f>
        <v>6560</v>
      </c>
      <c r="Y243" s="361"/>
      <c r="Z243" s="364"/>
      <c r="AA243" s="367"/>
      <c r="AB243"/>
      <c r="AC243"/>
      <c r="AD243"/>
      <c r="AE243"/>
      <c r="AF243"/>
    </row>
    <row r="244" spans="17:32" ht="12.75" customHeight="1">
      <c r="Q244" s="360"/>
      <c r="R244" s="931" t="s">
        <v>663</v>
      </c>
      <c r="S244" s="931"/>
      <c r="T244" s="931"/>
      <c r="U244" s="901"/>
      <c r="V244" s="560">
        <f t="shared" si="3"/>
        <v>6.08</v>
      </c>
      <c r="W244" s="560">
        <f t="shared" si="3"/>
        <v>8</v>
      </c>
      <c r="X244" s="560">
        <f>X238*$V$23</f>
        <v>6.5600000000000005</v>
      </c>
      <c r="Y244" s="361"/>
      <c r="Z244" s="364"/>
      <c r="AA244" s="367"/>
      <c r="AB244"/>
      <c r="AC244"/>
      <c r="AD244"/>
      <c r="AE244"/>
      <c r="AF244"/>
    </row>
    <row r="245" spans="17:32" ht="12.75" customHeight="1">
      <c r="Q245" s="360"/>
      <c r="R245" s="931" t="s">
        <v>664</v>
      </c>
      <c r="S245" s="931"/>
      <c r="T245" s="931"/>
      <c r="U245" s="901"/>
      <c r="V245" s="560">
        <f t="shared" si="3"/>
        <v>214.71319359999998</v>
      </c>
      <c r="W245" s="560">
        <f t="shared" si="3"/>
        <v>282.51736</v>
      </c>
      <c r="X245" s="560">
        <f>X239*$V$23</f>
        <v>231.66423520000001</v>
      </c>
      <c r="Y245" s="361"/>
      <c r="Z245" s="364"/>
      <c r="AA245" s="367"/>
      <c r="AB245"/>
      <c r="AC245"/>
      <c r="AD245"/>
      <c r="AE245"/>
      <c r="AF245"/>
    </row>
    <row r="246" spans="17:32" ht="12.75" customHeight="1">
      <c r="Q246" s="360"/>
      <c r="R246" s="364"/>
      <c r="S246" s="364"/>
      <c r="T246" s="364"/>
      <c r="U246" s="364"/>
      <c r="V246" s="555"/>
      <c r="W246" s="555"/>
      <c r="X246" s="555"/>
      <c r="Y246" s="361"/>
      <c r="Z246" s="364"/>
      <c r="AA246" s="367"/>
      <c r="AB246"/>
      <c r="AC246"/>
      <c r="AD246"/>
      <c r="AE246"/>
      <c r="AF246"/>
    </row>
    <row r="247" spans="17:32" ht="12.75" customHeight="1">
      <c r="Q247" s="360"/>
      <c r="R247" s="962" t="s">
        <v>303</v>
      </c>
      <c r="S247" s="963"/>
      <c r="T247" s="964"/>
      <c r="U247" s="949" t="s">
        <v>500</v>
      </c>
      <c r="V247" s="938" t="s">
        <v>22</v>
      </c>
      <c r="W247" s="940" t="s">
        <v>579</v>
      </c>
      <c r="X247" s="942" t="s">
        <v>21</v>
      </c>
      <c r="Y247" s="361"/>
      <c r="Z247" s="364"/>
      <c r="AA247" s="367"/>
      <c r="AB247"/>
      <c r="AC247"/>
      <c r="AD247"/>
      <c r="AE247"/>
      <c r="AF247"/>
    </row>
    <row r="248" spans="17:32" ht="12.75" customHeight="1">
      <c r="Q248" s="360"/>
      <c r="R248" s="965"/>
      <c r="S248" s="966"/>
      <c r="T248" s="967"/>
      <c r="U248" s="950"/>
      <c r="V248" s="939"/>
      <c r="W248" s="941"/>
      <c r="X248" s="943"/>
      <c r="Y248" s="361"/>
      <c r="Z248" s="364"/>
      <c r="AA248" s="367"/>
      <c r="AB248"/>
      <c r="AC248"/>
      <c r="AD248"/>
      <c r="AE248"/>
      <c r="AF248"/>
    </row>
    <row r="249" spans="17:32" ht="12.75" customHeight="1">
      <c r="Q249" s="563"/>
      <c r="R249" s="951" t="s">
        <v>517</v>
      </c>
      <c r="S249" s="951"/>
      <c r="T249" s="951"/>
      <c r="U249" s="901" t="s">
        <v>427</v>
      </c>
      <c r="V249" s="549">
        <f t="shared" ref="V249:X251" si="4">($V$25/$X$51)*60*V237</f>
        <v>31268571.428571429</v>
      </c>
      <c r="W249" s="549">
        <f t="shared" si="4"/>
        <v>41142857.142857142</v>
      </c>
      <c r="X249" s="549">
        <f t="shared" si="4"/>
        <v>33737142.857142858</v>
      </c>
      <c r="Y249" s="361"/>
      <c r="Z249" s="364"/>
      <c r="AA249" s="367"/>
      <c r="AB249"/>
      <c r="AC249"/>
      <c r="AD249"/>
      <c r="AE249"/>
      <c r="AF249"/>
    </row>
    <row r="250" spans="17:32" ht="12.75" customHeight="1">
      <c r="Q250" s="364"/>
      <c r="R250" s="951" t="s">
        <v>666</v>
      </c>
      <c r="S250" s="951"/>
      <c r="T250" s="951"/>
      <c r="U250" s="901"/>
      <c r="V250" s="549">
        <f t="shared" si="4"/>
        <v>31268.571428571428</v>
      </c>
      <c r="W250" s="549">
        <f t="shared" si="4"/>
        <v>41142.857142857145</v>
      </c>
      <c r="X250" s="549">
        <f t="shared" si="4"/>
        <v>33737.142857142855</v>
      </c>
      <c r="Y250" s="361"/>
      <c r="Z250" s="364"/>
      <c r="AA250" s="367"/>
      <c r="AB250"/>
      <c r="AC250"/>
      <c r="AD250"/>
      <c r="AE250"/>
      <c r="AF250"/>
    </row>
    <row r="251" spans="17:32" ht="12.75" customHeight="1">
      <c r="Q251" s="364"/>
      <c r="R251" s="951" t="s">
        <v>583</v>
      </c>
      <c r="S251" s="951"/>
      <c r="T251" s="951"/>
      <c r="U251" s="901"/>
      <c r="V251" s="549">
        <f t="shared" si="4"/>
        <v>1104239.2813714284</v>
      </c>
      <c r="W251" s="549">
        <f t="shared" si="4"/>
        <v>1452946.422857143</v>
      </c>
      <c r="X251" s="549">
        <f t="shared" si="4"/>
        <v>1191416.0667428572</v>
      </c>
      <c r="Y251" s="361"/>
      <c r="Z251" s="364"/>
      <c r="AA251" s="367"/>
      <c r="AB251"/>
      <c r="AC251"/>
      <c r="AD251"/>
      <c r="AE251"/>
      <c r="AF251"/>
    </row>
    <row r="252" spans="17:32" ht="12.75" customHeight="1">
      <c r="Q252" s="364"/>
      <c r="R252" s="364"/>
      <c r="S252" s="364"/>
      <c r="T252" s="364"/>
      <c r="U252" s="364"/>
      <c r="V252" s="364"/>
      <c r="W252" s="364"/>
      <c r="X252" s="364"/>
      <c r="Y252" s="361"/>
      <c r="Z252" s="364"/>
      <c r="AA252" s="367"/>
      <c r="AB252"/>
      <c r="AC252"/>
      <c r="AD252"/>
      <c r="AE252"/>
      <c r="AF252"/>
    </row>
    <row r="253" spans="17:32" ht="12.75" customHeight="1">
      <c r="Q253" s="668" t="s">
        <v>753</v>
      </c>
      <c r="R253" s="364" t="s">
        <v>300</v>
      </c>
      <c r="S253" s="364"/>
      <c r="T253" s="364"/>
      <c r="U253" s="364"/>
      <c r="V253" s="364"/>
      <c r="W253" s="364"/>
      <c r="X253" s="364"/>
      <c r="Y253" s="361"/>
      <c r="Z253" s="364"/>
      <c r="AA253" s="367"/>
      <c r="AB253"/>
      <c r="AC253"/>
      <c r="AD253"/>
      <c r="AE253"/>
      <c r="AF253"/>
    </row>
    <row r="254" spans="17:32" ht="12.75" customHeight="1">
      <c r="Q254" s="364"/>
      <c r="R254" s="957" t="s">
        <v>669</v>
      </c>
      <c r="S254" s="958"/>
      <c r="T254" s="959"/>
      <c r="U254" s="949" t="s">
        <v>500</v>
      </c>
      <c r="V254" s="938" t="s">
        <v>22</v>
      </c>
      <c r="W254" s="940" t="s">
        <v>579</v>
      </c>
      <c r="X254" s="942" t="s">
        <v>21</v>
      </c>
      <c r="Y254" s="361"/>
      <c r="Z254" s="364"/>
      <c r="AA254" s="367"/>
      <c r="AB254"/>
      <c r="AC254"/>
      <c r="AD254"/>
      <c r="AE254"/>
      <c r="AF254"/>
    </row>
    <row r="255" spans="17:32" ht="12.75" customHeight="1">
      <c r="Q255" s="364"/>
      <c r="R255" s="960"/>
      <c r="S255" s="961"/>
      <c r="T255" s="899"/>
      <c r="U255" s="950"/>
      <c r="V255" s="939"/>
      <c r="W255" s="941"/>
      <c r="X255" s="943"/>
      <c r="Y255" s="361"/>
      <c r="Z255" s="364"/>
      <c r="AA255" s="367"/>
      <c r="AB255"/>
      <c r="AC255"/>
      <c r="AD255"/>
      <c r="AE255"/>
      <c r="AF255"/>
    </row>
    <row r="256" spans="17:32" ht="12.75" customHeight="1">
      <c r="Q256" s="364"/>
      <c r="R256" s="541" t="s">
        <v>80</v>
      </c>
      <c r="S256" s="559"/>
      <c r="T256" s="559"/>
      <c r="U256" s="543">
        <v>6.5</v>
      </c>
      <c r="V256" s="669">
        <f>VLOOKUP($V$5,'Lookup Water Flow'!$B$8:$E$208,3)</f>
        <v>6.9</v>
      </c>
      <c r="W256" s="669">
        <f>VLOOKUP($V$5,'Lookup Water Flow'!$B$8:$E$208,4)</f>
        <v>12.1</v>
      </c>
      <c r="X256" s="669">
        <f>VLOOKUP($V$5,'Lookup Water Flow'!$B$8:$E$208,2)</f>
        <v>12.6</v>
      </c>
      <c r="Y256" s="361"/>
      <c r="Z256" s="364"/>
      <c r="AA256" s="367"/>
      <c r="AB256"/>
      <c r="AC256"/>
      <c r="AD256"/>
      <c r="AE256"/>
      <c r="AF256"/>
    </row>
    <row r="257" spans="17:32" ht="12.75" customHeight="1">
      <c r="Q257" s="364"/>
      <c r="R257" s="951" t="s">
        <v>81</v>
      </c>
      <c r="S257" s="951"/>
      <c r="T257" s="951"/>
      <c r="U257" s="677">
        <f>U256*V23</f>
        <v>1040</v>
      </c>
      <c r="V257" s="678">
        <f>V256*$V$23</f>
        <v>1104</v>
      </c>
      <c r="W257" s="678">
        <f>W256*$V$23</f>
        <v>1936</v>
      </c>
      <c r="X257" s="678">
        <f>X256*$V$23</f>
        <v>2016</v>
      </c>
      <c r="Y257" s="361"/>
      <c r="Z257" s="364"/>
      <c r="AA257" s="367"/>
      <c r="AB257"/>
      <c r="AC257"/>
      <c r="AD257"/>
      <c r="AE257"/>
      <c r="AF257"/>
    </row>
    <row r="258" spans="17:32" ht="12.75" customHeight="1">
      <c r="Q258" s="364"/>
      <c r="R258" s="592" t="s">
        <v>670</v>
      </c>
      <c r="S258" s="559"/>
      <c r="T258" s="559"/>
      <c r="U258" s="549">
        <f>(U256*U56*V24)+(24*2*V24)</f>
        <v>473600</v>
      </c>
      <c r="V258" s="679">
        <f>V256*$X$56*$V$24</f>
        <v>94628.571428571435</v>
      </c>
      <c r="W258" s="679">
        <f>W256*$X$56*$V$24</f>
        <v>165942.85714285713</v>
      </c>
      <c r="X258" s="679">
        <f>X256*$X$56*$V$24</f>
        <v>172800</v>
      </c>
      <c r="Y258" s="361"/>
      <c r="Z258" s="364"/>
      <c r="AA258" s="367"/>
      <c r="AB258"/>
      <c r="AC258"/>
      <c r="AD258"/>
      <c r="AE258"/>
      <c r="AF258"/>
    </row>
    <row r="259" spans="17:32" ht="12.75" customHeight="1">
      <c r="Q259" s="364"/>
      <c r="R259" s="364"/>
      <c r="S259" s="364"/>
      <c r="T259" s="364"/>
      <c r="U259" s="364"/>
      <c r="V259" s="364"/>
      <c r="W259" s="364"/>
      <c r="X259" s="364"/>
      <c r="Y259" s="364"/>
      <c r="Z259" s="364"/>
      <c r="AA259" s="367"/>
      <c r="AB259"/>
      <c r="AC259"/>
      <c r="AD259"/>
      <c r="AE259"/>
      <c r="AF259"/>
    </row>
    <row r="260" spans="17:32" ht="12.75" customHeight="1">
      <c r="Q260" s="680" t="s">
        <v>754</v>
      </c>
      <c r="R260" s="952" t="s">
        <v>309</v>
      </c>
      <c r="S260" s="952"/>
      <c r="T260" s="952"/>
      <c r="U260" s="952"/>
      <c r="V260" s="952"/>
      <c r="W260" s="952"/>
      <c r="X260" s="952"/>
      <c r="Y260" s="952"/>
      <c r="Z260" s="360"/>
      <c r="AA260" s="367"/>
      <c r="AB260"/>
      <c r="AC260"/>
      <c r="AD260"/>
      <c r="AE260"/>
      <c r="AF260"/>
    </row>
    <row r="261" spans="17:32" ht="12.75" customHeight="1">
      <c r="Q261" s="364"/>
      <c r="R261" s="364"/>
      <c r="S261" s="364"/>
      <c r="T261" s="364"/>
      <c r="U261" s="364"/>
      <c r="V261" s="364"/>
      <c r="W261" s="364"/>
      <c r="X261" s="364"/>
      <c r="Y261" s="364"/>
      <c r="Z261" s="364"/>
      <c r="AA261" s="367"/>
      <c r="AB261"/>
      <c r="AC261"/>
      <c r="AD261"/>
      <c r="AE261"/>
      <c r="AF261"/>
    </row>
    <row r="262" spans="17:32" ht="12.75" customHeight="1">
      <c r="Q262" s="668" t="s">
        <v>755</v>
      </c>
      <c r="R262" s="364" t="s">
        <v>239</v>
      </c>
      <c r="S262" s="364"/>
      <c r="T262" s="364"/>
      <c r="U262" s="364"/>
      <c r="V262" s="364"/>
      <c r="W262" s="364"/>
      <c r="X262" s="364"/>
      <c r="Y262" s="364"/>
      <c r="Z262" s="364"/>
      <c r="AA262" s="367"/>
      <c r="AB262"/>
      <c r="AC262"/>
      <c r="AD262"/>
      <c r="AE262"/>
      <c r="AF262"/>
    </row>
    <row r="263" spans="17:32" ht="12.75" customHeight="1">
      <c r="Q263" s="364"/>
      <c r="R263" s="364"/>
      <c r="S263" s="364"/>
      <c r="T263" s="364"/>
      <c r="U263" s="364"/>
      <c r="V263" s="364"/>
      <c r="W263" s="364"/>
      <c r="X263" s="364"/>
      <c r="Y263" s="364"/>
      <c r="Z263" s="364"/>
      <c r="AA263" s="367"/>
      <c r="AB263"/>
      <c r="AC263"/>
      <c r="AD263"/>
      <c r="AE263"/>
      <c r="AF263"/>
    </row>
    <row r="264" spans="17:32" ht="12.75" customHeight="1">
      <c r="Q264" s="364"/>
      <c r="R264" s="953" t="s">
        <v>676</v>
      </c>
      <c r="S264" s="954"/>
      <c r="T264" s="561" t="s">
        <v>320</v>
      </c>
      <c r="U264" s="935" t="s">
        <v>318</v>
      </c>
      <c r="V264" s="935"/>
      <c r="W264" s="681">
        <f>'Compressor Input Data'!G7</f>
        <v>0.19</v>
      </c>
      <c r="X264" s="594"/>
      <c r="Y264" s="595"/>
      <c r="Z264" s="363"/>
      <c r="AA264" s="367"/>
      <c r="AB264"/>
      <c r="AC264"/>
      <c r="AD264"/>
      <c r="AE264"/>
      <c r="AF264"/>
    </row>
    <row r="265" spans="17:32" ht="12.75" customHeight="1">
      <c r="Q265" s="364"/>
      <c r="R265" s="955"/>
      <c r="S265" s="956"/>
      <c r="T265" s="561" t="s">
        <v>321</v>
      </c>
      <c r="U265" s="935" t="s">
        <v>319</v>
      </c>
      <c r="V265" s="935"/>
      <c r="W265" s="681">
        <f>'Compressor Input Data'!G8</f>
        <v>0.33</v>
      </c>
      <c r="X265" s="594"/>
      <c r="Y265" s="595"/>
      <c r="Z265" s="595"/>
      <c r="AA265" s="367"/>
      <c r="AB265"/>
      <c r="AC265"/>
      <c r="AD265"/>
      <c r="AE265"/>
      <c r="AF265"/>
    </row>
    <row r="266" spans="17:32" ht="12.75" customHeight="1">
      <c r="Q266" s="364"/>
      <c r="R266" s="363"/>
      <c r="S266" s="363"/>
      <c r="T266" s="577"/>
      <c r="U266" s="577"/>
      <c r="V266" s="596"/>
      <c r="W266" s="363"/>
      <c r="X266" s="363"/>
      <c r="Y266" s="363"/>
      <c r="Z266" s="363"/>
      <c r="AA266" s="367"/>
      <c r="AB266"/>
      <c r="AC266"/>
      <c r="AD266"/>
      <c r="AE266"/>
      <c r="AF266"/>
    </row>
    <row r="267" spans="17:32" ht="12.75" customHeight="1">
      <c r="Q267" s="364"/>
      <c r="R267" s="935" t="s">
        <v>675</v>
      </c>
      <c r="S267" s="935"/>
      <c r="T267" s="935"/>
      <c r="U267" s="949" t="s">
        <v>500</v>
      </c>
      <c r="V267" s="938" t="s">
        <v>22</v>
      </c>
      <c r="W267" s="940" t="s">
        <v>579</v>
      </c>
      <c r="X267" s="942" t="s">
        <v>21</v>
      </c>
      <c r="Y267" s="361"/>
      <c r="Z267" s="364"/>
      <c r="AA267" s="367"/>
      <c r="AB267"/>
      <c r="AC267"/>
      <c r="AD267"/>
      <c r="AE267"/>
      <c r="AF267"/>
    </row>
    <row r="268" spans="17:32" ht="12.75" customHeight="1">
      <c r="Q268" s="364"/>
      <c r="R268" s="944" t="s">
        <v>320</v>
      </c>
      <c r="S268" s="947"/>
      <c r="T268" s="948"/>
      <c r="U268" s="950"/>
      <c r="V268" s="939"/>
      <c r="W268" s="941"/>
      <c r="X268" s="943"/>
      <c r="Y268" s="361"/>
      <c r="Z268" s="364"/>
      <c r="AA268" s="367"/>
      <c r="AB268"/>
      <c r="AC268"/>
      <c r="AD268"/>
      <c r="AE268"/>
      <c r="AF268"/>
    </row>
    <row r="269" spans="17:32" ht="12.75" customHeight="1">
      <c r="Q269" s="364"/>
      <c r="R269" s="945"/>
      <c r="S269" s="935" t="s">
        <v>306</v>
      </c>
      <c r="T269" s="935"/>
      <c r="U269" s="599">
        <f>U164*$W$264</f>
        <v>178.34666666666669</v>
      </c>
      <c r="V269" s="599">
        <f>V164*$W$264</f>
        <v>14439.999999999998</v>
      </c>
      <c r="W269" s="599">
        <f>W164*$W$264</f>
        <v>12556.521739130432</v>
      </c>
      <c r="X269" s="599">
        <f>X164*$W$264</f>
        <v>10314.285714285712</v>
      </c>
      <c r="Y269" s="361"/>
      <c r="Z269" s="364"/>
      <c r="AA269" s="367"/>
      <c r="AB269"/>
      <c r="AC269"/>
      <c r="AD269"/>
      <c r="AE269"/>
      <c r="AF269"/>
    </row>
    <row r="270" spans="17:32" ht="12.75" customHeight="1">
      <c r="Q270" s="364"/>
      <c r="R270" s="945"/>
      <c r="S270" s="935" t="s">
        <v>307</v>
      </c>
      <c r="T270" s="935"/>
      <c r="U270" s="599">
        <f>U269*$V$11</f>
        <v>4101.9733333333343</v>
      </c>
      <c r="V270" s="599">
        <f>V269*$V$11</f>
        <v>332119.99999999994</v>
      </c>
      <c r="W270" s="599">
        <f>W269*$V$11</f>
        <v>288799.99999999994</v>
      </c>
      <c r="X270" s="599">
        <f>X269*$V$11</f>
        <v>237228.57142857136</v>
      </c>
      <c r="Y270" s="361"/>
      <c r="Z270" s="364"/>
      <c r="AA270" s="367"/>
      <c r="AB270"/>
      <c r="AC270"/>
      <c r="AD270"/>
      <c r="AE270"/>
      <c r="AF270"/>
    </row>
    <row r="271" spans="17:32" ht="12.75" customHeight="1">
      <c r="Q271" s="364"/>
      <c r="R271" s="946"/>
      <c r="S271" s="935" t="s">
        <v>308</v>
      </c>
      <c r="T271" s="935"/>
      <c r="U271" s="599">
        <f>U270*9</f>
        <v>36917.760000000009</v>
      </c>
      <c r="V271" s="599">
        <f>V270*9</f>
        <v>2989079.9999999995</v>
      </c>
      <c r="W271" s="599">
        <f>W270*9</f>
        <v>2599199.9999999995</v>
      </c>
      <c r="X271" s="599">
        <f>X270*9</f>
        <v>2135057.1428571423</v>
      </c>
      <c r="Y271" s="361"/>
      <c r="Z271" s="364"/>
      <c r="AA271" s="367"/>
      <c r="AB271"/>
      <c r="AC271"/>
      <c r="AD271"/>
      <c r="AE271"/>
      <c r="AF271"/>
    </row>
    <row r="272" spans="17:32" ht="12.75" customHeight="1">
      <c r="Q272" s="597"/>
      <c r="R272" s="937"/>
      <c r="S272" s="937"/>
      <c r="T272" s="937"/>
      <c r="U272" s="937"/>
      <c r="V272" s="937"/>
      <c r="W272" s="937"/>
      <c r="X272" s="937"/>
      <c r="Y272" s="364"/>
      <c r="Z272" s="364"/>
      <c r="AA272" s="367"/>
      <c r="AB272"/>
      <c r="AC272"/>
      <c r="AD272"/>
      <c r="AE272"/>
      <c r="AF272"/>
    </row>
    <row r="273" spans="17:32" ht="12.75" customHeight="1">
      <c r="Q273" s="597"/>
      <c r="R273" s="935" t="s">
        <v>675</v>
      </c>
      <c r="S273" s="935"/>
      <c r="T273" s="935"/>
      <c r="U273" s="930" t="s">
        <v>500</v>
      </c>
      <c r="V273" s="928" t="s">
        <v>22</v>
      </c>
      <c r="W273" s="929" t="s">
        <v>579</v>
      </c>
      <c r="X273" s="927" t="s">
        <v>21</v>
      </c>
      <c r="Y273" s="361"/>
      <c r="Z273" s="364"/>
      <c r="AA273" s="367"/>
      <c r="AB273"/>
      <c r="AC273"/>
      <c r="AD273"/>
      <c r="AE273"/>
      <c r="AF273"/>
    </row>
    <row r="274" spans="17:32" ht="12.75" customHeight="1">
      <c r="Q274" s="597"/>
      <c r="R274" s="937" t="s">
        <v>321</v>
      </c>
      <c r="S274" s="937"/>
      <c r="T274" s="937"/>
      <c r="U274" s="930"/>
      <c r="V274" s="928"/>
      <c r="W274" s="929"/>
      <c r="X274" s="927"/>
      <c r="Y274" s="361"/>
      <c r="Z274" s="364"/>
      <c r="AA274" s="367"/>
      <c r="AB274"/>
      <c r="AC274"/>
      <c r="AD274"/>
      <c r="AE274"/>
      <c r="AF274"/>
    </row>
    <row r="275" spans="17:32" ht="12.75" customHeight="1">
      <c r="Q275" s="364"/>
      <c r="R275" s="937"/>
      <c r="S275" s="935" t="s">
        <v>306</v>
      </c>
      <c r="T275" s="935"/>
      <c r="U275" s="599">
        <f>U164*$W$265</f>
        <v>309.76000000000005</v>
      </c>
      <c r="V275" s="599">
        <f>V164*$W$265</f>
        <v>25079.999999999996</v>
      </c>
      <c r="W275" s="599">
        <f>W164*$W$265</f>
        <v>21808.695652173912</v>
      </c>
      <c r="X275" s="599">
        <f>X164*$W$265</f>
        <v>17914.28571428571</v>
      </c>
      <c r="Y275" s="361"/>
      <c r="Z275" s="364"/>
      <c r="AA275" s="367"/>
      <c r="AB275"/>
      <c r="AC275"/>
      <c r="AD275"/>
      <c r="AE275"/>
      <c r="AF275"/>
    </row>
    <row r="276" spans="17:32" ht="12.75" customHeight="1">
      <c r="Q276" s="597"/>
      <c r="R276" s="937"/>
      <c r="S276" s="935" t="s">
        <v>307</v>
      </c>
      <c r="T276" s="935"/>
      <c r="U276" s="599">
        <f>U275*$V$11</f>
        <v>7124.4800000000014</v>
      </c>
      <c r="V276" s="599">
        <f>V275*$V$11</f>
        <v>576839.99999999988</v>
      </c>
      <c r="W276" s="599">
        <f>W275*$V$11</f>
        <v>501600</v>
      </c>
      <c r="X276" s="599">
        <f>X275*$V$11</f>
        <v>412028.57142857136</v>
      </c>
      <c r="Y276" s="361"/>
      <c r="Z276" s="364"/>
      <c r="AA276" s="367"/>
      <c r="AB276"/>
      <c r="AC276"/>
      <c r="AD276"/>
      <c r="AE276"/>
      <c r="AF276"/>
    </row>
    <row r="277" spans="17:32" ht="12.75" customHeight="1">
      <c r="Q277" s="364"/>
      <c r="R277" s="937"/>
      <c r="S277" s="935" t="s">
        <v>308</v>
      </c>
      <c r="T277" s="935"/>
      <c r="U277" s="599">
        <f>U276*3</f>
        <v>21373.440000000002</v>
      </c>
      <c r="V277" s="599">
        <f>V276*3</f>
        <v>1730519.9999999995</v>
      </c>
      <c r="W277" s="599">
        <f>W276*3</f>
        <v>1504800</v>
      </c>
      <c r="X277" s="599">
        <f>X276*3</f>
        <v>1236085.7142857141</v>
      </c>
      <c r="Y277" s="361"/>
      <c r="Z277" s="364"/>
      <c r="AA277" s="367"/>
      <c r="AB277"/>
      <c r="AC277"/>
      <c r="AD277"/>
      <c r="AE277"/>
      <c r="AF277"/>
    </row>
    <row r="278" spans="17:32" ht="12.75" customHeight="1">
      <c r="Q278" s="364"/>
      <c r="R278" s="937"/>
      <c r="S278" s="937"/>
      <c r="T278" s="937"/>
      <c r="U278" s="937"/>
      <c r="V278" s="937"/>
      <c r="W278" s="937"/>
      <c r="X278" s="937"/>
      <c r="Y278" s="364"/>
      <c r="Z278" s="364"/>
      <c r="AA278" s="367"/>
      <c r="AB278"/>
      <c r="AC278"/>
      <c r="AD278"/>
      <c r="AE278"/>
      <c r="AF278"/>
    </row>
    <row r="279" spans="17:32" ht="12.75" customHeight="1">
      <c r="Q279" s="364"/>
      <c r="R279" s="935" t="s">
        <v>675</v>
      </c>
      <c r="S279" s="935"/>
      <c r="T279" s="935"/>
      <c r="U279" s="930" t="s">
        <v>500</v>
      </c>
      <c r="V279" s="928" t="s">
        <v>22</v>
      </c>
      <c r="W279" s="929" t="s">
        <v>579</v>
      </c>
      <c r="X279" s="927" t="s">
        <v>21</v>
      </c>
      <c r="Y279" s="361"/>
      <c r="Z279" s="364"/>
      <c r="AA279" s="367"/>
      <c r="AB279"/>
      <c r="AC279"/>
      <c r="AD279"/>
      <c r="AE279"/>
      <c r="AF279"/>
    </row>
    <row r="280" spans="17:32" ht="12.75" customHeight="1">
      <c r="Q280" s="364"/>
      <c r="R280" s="937" t="s">
        <v>322</v>
      </c>
      <c r="S280" s="937"/>
      <c r="T280" s="937"/>
      <c r="U280" s="930"/>
      <c r="V280" s="928"/>
      <c r="W280" s="929"/>
      <c r="X280" s="927"/>
      <c r="Y280" s="361"/>
      <c r="Z280" s="364"/>
      <c r="AA280" s="367"/>
      <c r="AB280"/>
      <c r="AC280"/>
      <c r="AD280"/>
      <c r="AE280"/>
      <c r="AF280"/>
    </row>
    <row r="281" spans="17:32" ht="12.75" customHeight="1">
      <c r="Q281" s="364"/>
      <c r="R281" s="937"/>
      <c r="S281" s="935" t="s">
        <v>306</v>
      </c>
      <c r="T281" s="935"/>
      <c r="U281" s="599">
        <f>U282/$V$11</f>
        <v>211.20000000000005</v>
      </c>
      <c r="V281" s="599">
        <f>V282/$V$11</f>
        <v>17099.999999999996</v>
      </c>
      <c r="W281" s="599">
        <f>W282/$V$11</f>
        <v>14869.565217391302</v>
      </c>
      <c r="X281" s="599">
        <f>X282/$V$11</f>
        <v>12214.285714285712</v>
      </c>
      <c r="Y281" s="361"/>
      <c r="Z281" s="364"/>
      <c r="AA281" s="367"/>
      <c r="AB281"/>
      <c r="AC281"/>
      <c r="AD281"/>
      <c r="AE281"/>
      <c r="AF281"/>
    </row>
    <row r="282" spans="17:32" ht="12.75" customHeight="1">
      <c r="Q282" s="364"/>
      <c r="R282" s="937"/>
      <c r="S282" s="935" t="s">
        <v>307</v>
      </c>
      <c r="T282" s="935"/>
      <c r="U282" s="599">
        <f>U283/12</f>
        <v>4857.6000000000013</v>
      </c>
      <c r="V282" s="599">
        <f>V283/12</f>
        <v>393299.99999999994</v>
      </c>
      <c r="W282" s="599">
        <f>W283/12</f>
        <v>341999.99999999994</v>
      </c>
      <c r="X282" s="599">
        <f>X283/12</f>
        <v>280928.57142857136</v>
      </c>
      <c r="Y282" s="361"/>
      <c r="Z282" s="364"/>
      <c r="AA282" s="367"/>
      <c r="AB282"/>
      <c r="AC282"/>
      <c r="AD282"/>
      <c r="AE282"/>
      <c r="AF282"/>
    </row>
    <row r="283" spans="17:32" ht="12.75" customHeight="1">
      <c r="Q283" s="364"/>
      <c r="R283" s="937"/>
      <c r="S283" s="935" t="s">
        <v>308</v>
      </c>
      <c r="T283" s="935"/>
      <c r="U283" s="599">
        <f>U271+U277</f>
        <v>58291.200000000012</v>
      </c>
      <c r="V283" s="599">
        <f>V271+V277</f>
        <v>4719599.9999999991</v>
      </c>
      <c r="W283" s="599">
        <f>W271+W277</f>
        <v>4103999.9999999995</v>
      </c>
      <c r="X283" s="599">
        <f>X271+X277</f>
        <v>3371142.8571428563</v>
      </c>
      <c r="Y283" s="361"/>
      <c r="Z283" s="364"/>
      <c r="AA283" s="367"/>
      <c r="AB283"/>
      <c r="AC283"/>
      <c r="AD283"/>
      <c r="AE283"/>
      <c r="AF283"/>
    </row>
    <row r="284" spans="17:32" ht="12.75" customHeight="1">
      <c r="Q284" s="364"/>
      <c r="R284" s="363"/>
      <c r="S284" s="363"/>
      <c r="T284" s="577"/>
      <c r="U284" s="577"/>
      <c r="V284" s="596"/>
      <c r="W284" s="363"/>
      <c r="X284" s="363"/>
      <c r="Y284" s="363"/>
      <c r="Z284" s="363"/>
      <c r="AA284" s="367"/>
      <c r="AB284"/>
      <c r="AC284"/>
      <c r="AD284"/>
      <c r="AE284"/>
      <c r="AF284"/>
    </row>
    <row r="285" spans="17:32" ht="12.75" customHeight="1">
      <c r="Q285" s="668" t="s">
        <v>756</v>
      </c>
      <c r="R285" s="363" t="s">
        <v>758</v>
      </c>
      <c r="S285" s="363"/>
      <c r="T285" s="577"/>
      <c r="U285" s="577"/>
      <c r="V285" s="596"/>
      <c r="W285" s="363"/>
      <c r="X285" s="363"/>
      <c r="Y285" s="363"/>
      <c r="Z285" s="363"/>
      <c r="AA285" s="367"/>
      <c r="AB285"/>
      <c r="AC285"/>
      <c r="AD285"/>
      <c r="AE285"/>
      <c r="AF285"/>
    </row>
    <row r="286" spans="17:32" ht="12.75" customHeight="1">
      <c r="Q286" s="364"/>
      <c r="R286" s="935" t="s">
        <v>678</v>
      </c>
      <c r="S286" s="935"/>
      <c r="T286" s="935"/>
      <c r="U286" s="935"/>
      <c r="V286" s="936" t="s">
        <v>500</v>
      </c>
      <c r="W286" s="936" t="s">
        <v>22</v>
      </c>
      <c r="X286" s="936" t="s">
        <v>579</v>
      </c>
      <c r="Y286" s="936" t="s">
        <v>21</v>
      </c>
      <c r="Z286" s="361"/>
      <c r="AA286" s="367"/>
      <c r="AB286"/>
      <c r="AC286"/>
      <c r="AD286"/>
      <c r="AE286"/>
      <c r="AF286"/>
    </row>
    <row r="287" spans="17:32" ht="12.75" customHeight="1">
      <c r="Q287" s="364"/>
      <c r="R287" s="935"/>
      <c r="S287" s="935"/>
      <c r="T287" s="935"/>
      <c r="U287" s="935"/>
      <c r="V287" s="936"/>
      <c r="W287" s="936"/>
      <c r="X287" s="936"/>
      <c r="Y287" s="936"/>
      <c r="Z287" s="361"/>
      <c r="AA287" s="367"/>
      <c r="AB287"/>
      <c r="AC287"/>
      <c r="AD287"/>
      <c r="AE287"/>
      <c r="AF287"/>
    </row>
    <row r="288" spans="17:32" ht="12.75" customHeight="1">
      <c r="Q288" s="364"/>
      <c r="R288" s="931" t="s">
        <v>35</v>
      </c>
      <c r="S288" s="931"/>
      <c r="T288" s="931"/>
      <c r="U288" s="931"/>
      <c r="V288" s="599">
        <f>AVERAGE(U196:W196)*5%</f>
        <v>1305585.0000000005</v>
      </c>
      <c r="W288" s="599">
        <f>V202*5%</f>
        <v>1533870.0000000005</v>
      </c>
      <c r="X288" s="599">
        <f>W202*5%</f>
        <v>1518480.0000000005</v>
      </c>
      <c r="Y288" s="599">
        <f>X202*5%</f>
        <v>1500158.5714285718</v>
      </c>
      <c r="Z288" s="361"/>
      <c r="AA288" s="367"/>
      <c r="AB288"/>
      <c r="AC288"/>
      <c r="AD288"/>
      <c r="AE288"/>
      <c r="AF288"/>
    </row>
    <row r="289" spans="17:32" ht="12.75" customHeight="1">
      <c r="Q289" s="364"/>
      <c r="R289" s="931" t="s">
        <v>481</v>
      </c>
      <c r="S289" s="931"/>
      <c r="T289" s="931"/>
      <c r="U289" s="931"/>
      <c r="V289" s="600" t="s">
        <v>479</v>
      </c>
      <c r="W289" s="599">
        <f>Y289</f>
        <v>1059840</v>
      </c>
      <c r="X289" s="600" t="s">
        <v>479</v>
      </c>
      <c r="Y289" s="599">
        <f>Consumables!E23*12</f>
        <v>1059840</v>
      </c>
      <c r="Z289" s="361"/>
      <c r="AA289" s="367"/>
      <c r="AB289"/>
      <c r="AC289"/>
      <c r="AD289"/>
      <c r="AE289"/>
      <c r="AF289"/>
    </row>
    <row r="290" spans="17:32" ht="12.75" customHeight="1">
      <c r="Q290" s="364"/>
      <c r="R290" s="931" t="s">
        <v>311</v>
      </c>
      <c r="S290" s="931"/>
      <c r="T290" s="931"/>
      <c r="U290" s="931"/>
      <c r="V290" s="600" t="s">
        <v>557</v>
      </c>
      <c r="W290" s="599">
        <f>Y290</f>
        <v>416000</v>
      </c>
      <c r="X290" s="599">
        <f>W290</f>
        <v>416000</v>
      </c>
      <c r="Y290" s="599">
        <f>Consumables!E21*12</f>
        <v>416000</v>
      </c>
      <c r="Z290" s="361"/>
      <c r="AA290" s="367"/>
      <c r="AB290"/>
      <c r="AC290"/>
      <c r="AD290"/>
      <c r="AE290"/>
      <c r="AF290"/>
    </row>
    <row r="291" spans="17:32" ht="12.75" customHeight="1">
      <c r="Q291" s="364"/>
      <c r="R291" s="931" t="s">
        <v>480</v>
      </c>
      <c r="S291" s="931"/>
      <c r="T291" s="931"/>
      <c r="U291" s="931"/>
      <c r="V291" s="599">
        <f>Consumables!H21*12</f>
        <v>3865001.2800000003</v>
      </c>
      <c r="W291" s="599">
        <v>0</v>
      </c>
      <c r="X291" s="599">
        <v>0</v>
      </c>
      <c r="Y291" s="599">
        <v>0</v>
      </c>
      <c r="Z291" s="361"/>
      <c r="AA291" s="367"/>
      <c r="AB291"/>
      <c r="AC291"/>
      <c r="AD291"/>
      <c r="AE291"/>
      <c r="AF291"/>
    </row>
    <row r="292" spans="17:32" ht="12.75" customHeight="1">
      <c r="Q292" s="364"/>
      <c r="R292" s="931" t="s">
        <v>312</v>
      </c>
      <c r="S292" s="931"/>
      <c r="T292" s="931"/>
      <c r="U292" s="931"/>
      <c r="V292" s="599">
        <f>Consumables!H20*12</f>
        <v>2691993.6000000001</v>
      </c>
      <c r="W292" s="599">
        <f>Y292</f>
        <v>2331648.0000000005</v>
      </c>
      <c r="X292" s="599">
        <f>W292</f>
        <v>2331648.0000000005</v>
      </c>
      <c r="Y292" s="599">
        <f>Consumables!E20*12</f>
        <v>2331648.0000000005</v>
      </c>
      <c r="Z292" s="361"/>
      <c r="AA292" s="367"/>
      <c r="AB292"/>
      <c r="AC292"/>
      <c r="AD292"/>
      <c r="AE292"/>
      <c r="AF292"/>
    </row>
    <row r="293" spans="17:32" ht="12.75" customHeight="1">
      <c r="Q293" s="364"/>
      <c r="R293" s="931" t="s">
        <v>313</v>
      </c>
      <c r="S293" s="931"/>
      <c r="T293" s="931"/>
      <c r="U293" s="931"/>
      <c r="V293" s="599">
        <f>Consumables!H19*12</f>
        <v>1674547.2000000002</v>
      </c>
      <c r="W293" s="599">
        <f>Y293</f>
        <v>1398988.8</v>
      </c>
      <c r="X293" s="599">
        <f>W293</f>
        <v>1398988.8</v>
      </c>
      <c r="Y293" s="599">
        <f>Consumables!E19*12</f>
        <v>1398988.8</v>
      </c>
      <c r="Z293" s="361"/>
      <c r="AA293" s="367"/>
      <c r="AB293"/>
      <c r="AC293"/>
      <c r="AD293"/>
      <c r="AE293"/>
      <c r="AF293"/>
    </row>
    <row r="294" spans="17:32" ht="12.75" customHeight="1">
      <c r="Q294" s="364"/>
      <c r="R294" s="931" t="s">
        <v>190</v>
      </c>
      <c r="S294" s="931"/>
      <c r="T294" s="931"/>
      <c r="U294" s="931"/>
      <c r="V294" s="599">
        <f>Consumables!H22*12</f>
        <v>8294400</v>
      </c>
      <c r="W294" s="599">
        <v>0</v>
      </c>
      <c r="X294" s="599">
        <v>0</v>
      </c>
      <c r="Y294" s="599">
        <v>0</v>
      </c>
      <c r="Z294" s="361"/>
      <c r="AA294" s="367"/>
      <c r="AB294"/>
      <c r="AC294"/>
      <c r="AD294"/>
      <c r="AE294"/>
      <c r="AF294"/>
    </row>
    <row r="295" spans="17:32" ht="12.75" customHeight="1">
      <c r="Q295" s="364"/>
      <c r="R295" s="931" t="s">
        <v>482</v>
      </c>
      <c r="S295" s="931"/>
      <c r="T295" s="931"/>
      <c r="U295" s="931"/>
      <c r="V295" s="599">
        <v>0</v>
      </c>
      <c r="W295" s="599">
        <f>Y295</f>
        <v>199600.00000000003</v>
      </c>
      <c r="X295" s="599">
        <f>W295</f>
        <v>199600.00000000003</v>
      </c>
      <c r="Y295" s="599">
        <f>Consumables!E25*12</f>
        <v>199600.00000000003</v>
      </c>
      <c r="Z295" s="361"/>
      <c r="AA295" s="367"/>
      <c r="AB295"/>
      <c r="AC295"/>
      <c r="AD295"/>
      <c r="AE295"/>
      <c r="AF295"/>
    </row>
    <row r="296" spans="17:32" ht="12.75" customHeight="1">
      <c r="Q296" s="364"/>
      <c r="R296" s="931" t="s">
        <v>483</v>
      </c>
      <c r="S296" s="931"/>
      <c r="T296" s="931"/>
      <c r="U296" s="931"/>
      <c r="V296" s="599">
        <v>0</v>
      </c>
      <c r="W296" s="599">
        <f>Y296</f>
        <v>40600</v>
      </c>
      <c r="X296" s="599">
        <f>W296</f>
        <v>40600</v>
      </c>
      <c r="Y296" s="599">
        <f>Consumables!E24*12</f>
        <v>40600</v>
      </c>
      <c r="Z296" s="361"/>
      <c r="AA296" s="367"/>
      <c r="AB296"/>
      <c r="AC296"/>
      <c r="AD296"/>
      <c r="AE296"/>
      <c r="AF296"/>
    </row>
    <row r="297" spans="17:32" ht="12.75" customHeight="1">
      <c r="Q297" s="364"/>
      <c r="R297" s="931" t="s">
        <v>478</v>
      </c>
      <c r="S297" s="931"/>
      <c r="T297" s="931"/>
      <c r="U297" s="931"/>
      <c r="V297" s="599">
        <f>U283</f>
        <v>58291.200000000012</v>
      </c>
      <c r="W297" s="599">
        <f>V283</f>
        <v>4719599.9999999991</v>
      </c>
      <c r="X297" s="599">
        <f>W283</f>
        <v>4103999.9999999995</v>
      </c>
      <c r="Y297" s="599">
        <f>X283</f>
        <v>3371142.8571428563</v>
      </c>
      <c r="Z297" s="361"/>
      <c r="AA297" s="367"/>
      <c r="AB297"/>
      <c r="AC297"/>
      <c r="AD297"/>
      <c r="AE297"/>
      <c r="AF297"/>
    </row>
    <row r="298" spans="17:32" ht="12.75" customHeight="1">
      <c r="Q298" s="364"/>
      <c r="R298" s="931" t="s">
        <v>484</v>
      </c>
      <c r="S298" s="931"/>
      <c r="T298" s="931"/>
      <c r="U298" s="931"/>
      <c r="V298" s="599">
        <f>'NIHL Compenation Cost'!AD21</f>
        <v>1715167.5</v>
      </c>
      <c r="W298" s="599">
        <f>'NIHL Compenation Cost'!Z21</f>
        <v>989115.00000000012</v>
      </c>
      <c r="X298" s="599">
        <f>'NIHL Compenation Cost'!AB21</f>
        <v>1087325</v>
      </c>
      <c r="Y298" s="599">
        <f>'NIHL Compenation Cost'!X21</f>
        <v>596275</v>
      </c>
      <c r="Z298" s="361"/>
      <c r="AA298" s="367"/>
      <c r="AB298"/>
      <c r="AC298"/>
      <c r="AD298"/>
      <c r="AE298"/>
      <c r="AF298"/>
    </row>
    <row r="299" spans="17:32" ht="12.75" customHeight="1">
      <c r="Q299" s="364"/>
      <c r="R299" s="932" t="s">
        <v>677</v>
      </c>
      <c r="S299" s="932"/>
      <c r="T299" s="932"/>
      <c r="U299" s="932"/>
      <c r="V299" s="599">
        <f>SUM(V288:V298)</f>
        <v>19604985.780000001</v>
      </c>
      <c r="W299" s="599">
        <f>SUM(W288:W298)</f>
        <v>12689261.800000001</v>
      </c>
      <c r="X299" s="599">
        <f>SUM(X288:X298)</f>
        <v>11096641.800000001</v>
      </c>
      <c r="Y299" s="599">
        <f>SUM(Y288:Y298)</f>
        <v>10914253.22857143</v>
      </c>
      <c r="Z299" s="361"/>
      <c r="AA299" s="367"/>
      <c r="AB299"/>
      <c r="AC299"/>
      <c r="AD299"/>
      <c r="AE299"/>
      <c r="AF299"/>
    </row>
    <row r="300" spans="17:32" ht="12.75" customHeight="1">
      <c r="Q300" s="364"/>
      <c r="R300" s="591"/>
      <c r="S300" s="591"/>
      <c r="T300" s="591"/>
      <c r="U300" s="591"/>
      <c r="V300" s="718"/>
      <c r="W300" s="718"/>
      <c r="X300" s="718"/>
      <c r="Y300" s="718"/>
      <c r="Z300" s="361"/>
      <c r="AA300" s="367"/>
      <c r="AB300"/>
      <c r="AC300"/>
      <c r="AD300"/>
      <c r="AE300"/>
      <c r="AF300"/>
    </row>
    <row r="301" spans="17:32" ht="12.75" customHeight="1">
      <c r="Q301" s="364"/>
      <c r="R301" s="591"/>
      <c r="S301" s="591"/>
      <c r="T301" s="933" t="s">
        <v>812</v>
      </c>
      <c r="U301" s="933"/>
      <c r="V301" s="718">
        <f>V299-V294</f>
        <v>11310585.780000001</v>
      </c>
      <c r="W301" s="718">
        <f>W299-W294</f>
        <v>12689261.800000001</v>
      </c>
      <c r="X301" s="718">
        <f>X299-X294</f>
        <v>11096641.800000001</v>
      </c>
      <c r="Y301" s="718">
        <f>Y299-Y294</f>
        <v>10914253.22857143</v>
      </c>
      <c r="Z301" s="361"/>
      <c r="AA301" s="367"/>
      <c r="AB301"/>
      <c r="AC301"/>
      <c r="AD301"/>
      <c r="AE301"/>
      <c r="AF301"/>
    </row>
    <row r="302" spans="17:32" ht="12.75" customHeight="1">
      <c r="Q302" s="364"/>
      <c r="R302" s="364"/>
      <c r="S302" s="364"/>
      <c r="T302" s="934" t="s">
        <v>350</v>
      </c>
      <c r="U302" s="934"/>
      <c r="V302" s="682">
        <f>V294</f>
        <v>8294400</v>
      </c>
      <c r="W302" s="682"/>
      <c r="X302" s="682"/>
      <c r="Y302" s="682"/>
      <c r="Z302" s="364"/>
      <c r="AA302" s="367"/>
      <c r="AB302"/>
      <c r="AC302"/>
      <c r="AD302"/>
      <c r="AE302"/>
      <c r="AF302"/>
    </row>
    <row r="303" spans="17:32" ht="12.75" customHeight="1">
      <c r="Q303" s="364">
        <v>10.3</v>
      </c>
      <c r="R303" s="363"/>
      <c r="S303" s="364"/>
      <c r="T303" s="364"/>
      <c r="U303" s="364"/>
      <c r="V303" s="682"/>
      <c r="W303" s="364"/>
      <c r="X303" s="362"/>
      <c r="Y303" s="682"/>
      <c r="Z303" s="364"/>
      <c r="AA303" s="367"/>
      <c r="AB303"/>
      <c r="AC303"/>
      <c r="AD303"/>
      <c r="AE303"/>
      <c r="AF303"/>
    </row>
    <row r="304" spans="17:32" ht="12.75" customHeight="1">
      <c r="Q304" s="364"/>
      <c r="R304" s="364"/>
      <c r="S304" s="364"/>
      <c r="T304" s="364"/>
      <c r="U304" s="364"/>
      <c r="V304" s="364"/>
      <c r="W304" s="364"/>
      <c r="X304" s="364"/>
      <c r="Y304" s="364"/>
      <c r="Z304" s="364"/>
      <c r="AA304" s="367"/>
      <c r="AB304"/>
      <c r="AC304"/>
      <c r="AD304"/>
      <c r="AE304"/>
      <c r="AF304"/>
    </row>
    <row r="305" spans="17:32" ht="12.75" customHeight="1">
      <c r="Q305" s="364"/>
      <c r="R305" s="935" t="s">
        <v>195</v>
      </c>
      <c r="S305" s="935"/>
      <c r="T305" s="935"/>
      <c r="U305" s="935"/>
      <c r="V305" s="935"/>
      <c r="W305" s="375"/>
      <c r="X305" s="683"/>
      <c r="Y305" s="375"/>
      <c r="Z305" s="375"/>
      <c r="AA305" s="367"/>
      <c r="AB305"/>
      <c r="AC305"/>
      <c r="AD305"/>
      <c r="AE305"/>
      <c r="AF305"/>
    </row>
    <row r="306" spans="17:32" ht="12.75" customHeight="1">
      <c r="Q306" s="364"/>
      <c r="R306" s="926" t="s">
        <v>509</v>
      </c>
      <c r="S306" s="927" t="s">
        <v>21</v>
      </c>
      <c r="T306" s="928" t="s">
        <v>22</v>
      </c>
      <c r="U306" s="929" t="s">
        <v>579</v>
      </c>
      <c r="V306" s="930" t="s">
        <v>500</v>
      </c>
      <c r="W306" s="363"/>
      <c r="X306" s="684"/>
      <c r="Y306" s="363"/>
      <c r="Z306" s="364"/>
      <c r="AA306" s="367"/>
      <c r="AB306"/>
      <c r="AC306"/>
      <c r="AD306"/>
      <c r="AE306"/>
      <c r="AF306"/>
    </row>
    <row r="307" spans="17:32" ht="12.75" customHeight="1">
      <c r="Q307" s="364"/>
      <c r="R307" s="926"/>
      <c r="S307" s="927"/>
      <c r="T307" s="928"/>
      <c r="U307" s="929"/>
      <c r="V307" s="930"/>
      <c r="W307" s="363"/>
      <c r="X307" s="684"/>
      <c r="Y307" s="363"/>
      <c r="Z307" s="364"/>
      <c r="AA307" s="367"/>
      <c r="AB307"/>
      <c r="AC307"/>
      <c r="AD307"/>
      <c r="AE307"/>
      <c r="AF307"/>
    </row>
    <row r="308" spans="17:32" ht="12.75" customHeight="1">
      <c r="Q308" s="364"/>
      <c r="R308" s="667" t="s">
        <v>204</v>
      </c>
      <c r="S308" s="667" t="s">
        <v>846</v>
      </c>
      <c r="T308" s="667" t="s">
        <v>846</v>
      </c>
      <c r="U308" s="667" t="s">
        <v>846</v>
      </c>
      <c r="V308" s="667" t="s">
        <v>846</v>
      </c>
      <c r="W308" s="363"/>
      <c r="X308" s="363"/>
      <c r="Y308" s="363"/>
      <c r="Z308" s="364"/>
      <c r="AA308" s="367"/>
      <c r="AB308"/>
      <c r="AC308"/>
      <c r="AD308"/>
      <c r="AE308"/>
      <c r="AF308"/>
    </row>
    <row r="309" spans="17:32" ht="12.75" customHeight="1">
      <c r="Q309" s="364"/>
      <c r="R309" s="600">
        <v>1</v>
      </c>
      <c r="S309" s="369">
        <f>$X$69</f>
        <v>116</v>
      </c>
      <c r="T309" s="584">
        <f>$V$69</f>
        <v>108</v>
      </c>
      <c r="U309" s="685">
        <f>$W$69</f>
        <v>109</v>
      </c>
      <c r="V309" s="369">
        <f>$U$69</f>
        <v>102</v>
      </c>
      <c r="W309" s="363"/>
      <c r="X309" s="363"/>
      <c r="Y309" s="363"/>
      <c r="Z309" s="364"/>
      <c r="AA309" s="367"/>
      <c r="AB309"/>
      <c r="AC309"/>
      <c r="AD309"/>
      <c r="AE309"/>
      <c r="AF309"/>
    </row>
    <row r="310" spans="17:32" ht="12.75" customHeight="1">
      <c r="Q310" s="364"/>
      <c r="R310" s="600">
        <v>2</v>
      </c>
      <c r="S310" s="584">
        <f>(LOG((10^(S309/10))+(10^(S309/10))))*10</f>
        <v>119.01029995663983</v>
      </c>
      <c r="T310" s="584">
        <f>(LOG((10^(T309/10))+(10^(T309/10))))*10</f>
        <v>111.01029995663981</v>
      </c>
      <c r="U310" s="584">
        <f>(LOG((10^(U309/10))+(10^(U309/10))))*10</f>
        <v>112.01029995663981</v>
      </c>
      <c r="V310" s="584">
        <f>(LOG((10^(V309/10))+(10^(V309/10))))*10</f>
        <v>105.01029995663983</v>
      </c>
      <c r="W310" s="363"/>
      <c r="X310" s="363"/>
      <c r="Y310" s="363"/>
      <c r="Z310" s="364"/>
      <c r="AA310" s="367"/>
      <c r="AB310"/>
      <c r="AC310"/>
      <c r="AD310"/>
      <c r="AE310"/>
      <c r="AF310"/>
    </row>
    <row r="311" spans="17:32" ht="12.75" customHeight="1">
      <c r="Q311" s="597"/>
      <c r="R311" s="600">
        <v>3</v>
      </c>
      <c r="S311" s="584">
        <f>(LOG((10^(S309/10))+(10^(S309/10))+(10^(S309/10)))*10)</f>
        <v>120.77121254719664</v>
      </c>
      <c r="T311" s="584">
        <f>(LOG((10^(T309/10))+(10^(T309/10))+(10^(T309/10)))*10)</f>
        <v>112.77121254719663</v>
      </c>
      <c r="U311" s="584">
        <f>(LOG((10^(U309/10))+(10^(U309/10))+(10^(U309/10)))*10)</f>
        <v>113.77121254719663</v>
      </c>
      <c r="V311" s="584">
        <f>(LOG((10^(V309/10))+(10^(V309/10))+(10^(V309/10)))*10)</f>
        <v>106.77121254719664</v>
      </c>
      <c r="W311" s="363"/>
      <c r="X311" s="363"/>
      <c r="Y311" s="363"/>
      <c r="Z311" s="364"/>
      <c r="AA311" s="367"/>
      <c r="AB311"/>
      <c r="AC311"/>
      <c r="AD311"/>
      <c r="AE311"/>
      <c r="AF311"/>
    </row>
    <row r="312" spans="17:32" ht="12.75" customHeight="1">
      <c r="Q312" s="364"/>
      <c r="R312" s="600">
        <v>4</v>
      </c>
      <c r="S312" s="584">
        <f>(LOG((10^(S309/10))+(10^(S309/10))+(10^(S309/10))+(10^(S309/10))))*10</f>
        <v>122.02059991327964</v>
      </c>
      <c r="T312" s="584">
        <f>(LOG((10^(T309/10))+(10^(T309/10))+(10^(T309/10))+(10^(T309/10))))*10</f>
        <v>114.02059991327963</v>
      </c>
      <c r="U312" s="584">
        <f>(LOG((10^(U309/10))+(10^(U309/10))+(10^(U309/10))+(10^(U309/10))))*10</f>
        <v>115.02059991327963</v>
      </c>
      <c r="V312" s="584">
        <f>(LOG((10^(V309/10))+(10^(V309/10))+(10^(V309/10))+(10^(V309/10))))*10</f>
        <v>108.02059991327964</v>
      </c>
      <c r="W312" s="363"/>
      <c r="X312" s="363"/>
      <c r="Y312" s="363"/>
      <c r="Z312" s="364"/>
      <c r="AA312" s="367"/>
      <c r="AB312"/>
      <c r="AC312"/>
      <c r="AD312"/>
      <c r="AE312"/>
      <c r="AF312"/>
    </row>
    <row r="313" spans="17:32" ht="12.75" customHeight="1">
      <c r="Q313" s="364"/>
      <c r="R313" s="600">
        <v>5</v>
      </c>
      <c r="S313" s="584">
        <f>(LOG((10^(S309/10))+(10^(S309/10))+(10^(S309/10))+(10^(S309/10))+(10^(S309/10))))*10</f>
        <v>122.9897000433602</v>
      </c>
      <c r="T313" s="584">
        <f>(LOG((10^(T309/10))+(10^(T309/10))+(10^(T309/10))+(10^(T309/10))+(10^(T309/10))))*10</f>
        <v>114.98970004336019</v>
      </c>
      <c r="U313" s="584">
        <f>(LOG((10^(U309/10))+(10^(U309/10))+(10^(U309/10))+(10^(U309/10))+(10^(U309/10))))*10</f>
        <v>115.98970004336019</v>
      </c>
      <c r="V313" s="584">
        <f>(LOG((10^(V309/10))+(10^(V309/10))+(10^(V309/10))+(10^(V309/10))+(10^(V309/10))))*10</f>
        <v>108.9897000433602</v>
      </c>
      <c r="W313" s="363"/>
      <c r="X313" s="363"/>
      <c r="Y313" s="363"/>
      <c r="Z313" s="364"/>
      <c r="AA313" s="367"/>
      <c r="AB313"/>
      <c r="AC313"/>
      <c r="AD313"/>
      <c r="AE313"/>
      <c r="AF313"/>
    </row>
    <row r="314" spans="17:32" ht="12.75" customHeight="1">
      <c r="Q314" s="364"/>
      <c r="R314" s="600">
        <v>6</v>
      </c>
      <c r="S314" s="584">
        <f>(LOG((10^(S309/10))+(10^(S309/10))+(10^(S309/10))+(10^(S309/10))+(10^(S309/10))+(10^(S309/10)))*10)</f>
        <v>123.78151250383645</v>
      </c>
      <c r="T314" s="584">
        <f>(LOG((10^(T309/10))+(10^(T309/10))+(10^(T309/10))+(10^(T309/10))+(10^(T309/10))+(10^(T309/10)))*10)</f>
        <v>115.78151250383644</v>
      </c>
      <c r="U314" s="584">
        <f>(LOG((10^(U309/10))+(10^(U309/10))+(10^(U309/10))+(10^(U309/10))+(10^(U309/10))+(10^(U309/10)))*10)</f>
        <v>116.78151250383644</v>
      </c>
      <c r="V314" s="584">
        <f>(LOG((10^(V309/10))+(10^(V309/10))+(10^(V309/10))+(10^(V309/10))+(10^(V309/10))+(10^(V309/10)))*10)</f>
        <v>109.78151250383645</v>
      </c>
      <c r="W314" s="363"/>
      <c r="X314" s="363"/>
      <c r="Y314" s="363"/>
      <c r="Z314" s="364"/>
      <c r="AA314" s="367"/>
      <c r="AB314"/>
      <c r="AC314"/>
      <c r="AD314"/>
      <c r="AE314"/>
      <c r="AF314"/>
    </row>
    <row r="315" spans="17:32" ht="12.75" customHeight="1" thickBot="1">
      <c r="Q315" s="364"/>
      <c r="R315" s="364"/>
      <c r="S315" s="364"/>
      <c r="T315" s="364"/>
      <c r="U315" s="364"/>
      <c r="V315" s="364"/>
      <c r="W315" s="364"/>
      <c r="X315" s="364"/>
      <c r="Y315" s="364"/>
      <c r="Z315" s="364"/>
      <c r="AA315" s="367"/>
      <c r="AB315"/>
      <c r="AC315"/>
      <c r="AD315"/>
      <c r="AE315"/>
      <c r="AF315"/>
    </row>
    <row r="316" spans="17:32" ht="12.75" customHeight="1" thickTop="1">
      <c r="Q316" s="364"/>
      <c r="R316" s="916" t="s">
        <v>428</v>
      </c>
      <c r="S316" s="917"/>
      <c r="T316" s="917"/>
      <c r="U316" s="917"/>
      <c r="V316" s="917"/>
      <c r="W316" s="918"/>
      <c r="X316" s="364"/>
      <c r="Y316" s="364"/>
      <c r="Z316" s="364"/>
      <c r="AA316" s="367"/>
      <c r="AB316"/>
      <c r="AC316"/>
      <c r="AD316"/>
      <c r="AE316"/>
      <c r="AF316"/>
    </row>
    <row r="317" spans="17:32" ht="12.75" customHeight="1">
      <c r="Q317" s="364"/>
      <c r="R317" s="919"/>
      <c r="S317" s="920"/>
      <c r="T317" s="920"/>
      <c r="U317" s="920"/>
      <c r="V317" s="920"/>
      <c r="W317" s="921"/>
      <c r="X317" s="364"/>
      <c r="Y317" s="364"/>
      <c r="Z317" s="364"/>
      <c r="AA317" s="367"/>
      <c r="AB317"/>
      <c r="AC317"/>
      <c r="AD317"/>
      <c r="AE317"/>
      <c r="AF317"/>
    </row>
    <row r="318" spans="17:32" ht="12.75" customHeight="1" thickBot="1">
      <c r="Q318" s="364"/>
      <c r="R318" s="922"/>
      <c r="S318" s="923"/>
      <c r="T318" s="923"/>
      <c r="U318" s="923"/>
      <c r="V318" s="923"/>
      <c r="W318" s="924"/>
      <c r="X318" s="364"/>
      <c r="Y318" s="364"/>
      <c r="Z318" s="364"/>
      <c r="AA318" s="367"/>
      <c r="AB318"/>
      <c r="AC318"/>
      <c r="AD318"/>
      <c r="AE318"/>
      <c r="AF318"/>
    </row>
    <row r="319" spans="17:32" ht="12.75" customHeight="1" thickTop="1">
      <c r="Q319" s="364"/>
      <c r="R319" s="925" t="str">
        <f>S306</f>
        <v>Seco S215</v>
      </c>
      <c r="S319" s="925"/>
      <c r="T319" s="925"/>
      <c r="U319" s="925"/>
      <c r="V319" s="925"/>
      <c r="W319" s="925"/>
      <c r="X319" s="364"/>
      <c r="Y319" s="364"/>
      <c r="Z319" s="364"/>
      <c r="AA319" s="367"/>
      <c r="AB319"/>
      <c r="AC319"/>
      <c r="AD319"/>
      <c r="AE319"/>
      <c r="AF319"/>
    </row>
    <row r="320" spans="17:32" ht="12.75" customHeight="1" thickBot="1">
      <c r="Q320" s="364"/>
      <c r="R320" s="910" t="s">
        <v>205</v>
      </c>
      <c r="S320" s="911"/>
      <c r="T320" s="911"/>
      <c r="U320" s="911"/>
      <c r="V320" s="911"/>
      <c r="W320" s="912"/>
      <c r="X320" s="364"/>
      <c r="Y320" s="364"/>
      <c r="Z320" s="364"/>
      <c r="AA320" s="367"/>
      <c r="AB320"/>
      <c r="AC320"/>
      <c r="AD320"/>
      <c r="AE320"/>
      <c r="AF320"/>
    </row>
    <row r="321" spans="17:32" ht="12.75" customHeight="1" thickBot="1">
      <c r="Q321" s="364"/>
      <c r="R321" s="686" t="s">
        <v>59</v>
      </c>
      <c r="S321" s="577"/>
      <c r="T321" s="687"/>
      <c r="U321" s="687"/>
      <c r="V321" s="687"/>
      <c r="W321" s="688"/>
      <c r="X321" s="364"/>
      <c r="Y321" s="364"/>
      <c r="Z321" s="364"/>
      <c r="AA321" s="367"/>
      <c r="AB321"/>
      <c r="AC321"/>
      <c r="AD321"/>
      <c r="AE321"/>
      <c r="AF321"/>
    </row>
    <row r="322" spans="17:32" ht="12.75" customHeight="1">
      <c r="Q322" s="364"/>
      <c r="R322" s="895" t="s">
        <v>845</v>
      </c>
      <c r="S322" s="896"/>
      <c r="T322" s="900" t="s">
        <v>835</v>
      </c>
      <c r="U322" s="900" t="s">
        <v>836</v>
      </c>
      <c r="V322" s="900" t="s">
        <v>837</v>
      </c>
      <c r="W322" s="902" t="s">
        <v>838</v>
      </c>
      <c r="X322" s="364"/>
      <c r="Y322" s="364"/>
      <c r="Z322" s="364"/>
      <c r="AA322" s="367"/>
      <c r="AB322"/>
      <c r="AC322"/>
      <c r="AD322"/>
      <c r="AE322"/>
      <c r="AF322"/>
    </row>
    <row r="323" spans="17:32" ht="12.75" customHeight="1">
      <c r="Q323" s="364"/>
      <c r="R323" s="892"/>
      <c r="S323" s="897"/>
      <c r="T323" s="904"/>
      <c r="U323" s="904"/>
      <c r="V323" s="904"/>
      <c r="W323" s="905"/>
      <c r="X323" s="364"/>
      <c r="Y323" s="364"/>
      <c r="Z323" s="364"/>
      <c r="AA323" s="367"/>
      <c r="AB323"/>
      <c r="AC323"/>
      <c r="AD323"/>
      <c r="AE323"/>
      <c r="AF323"/>
    </row>
    <row r="324" spans="17:32" ht="12.75" customHeight="1">
      <c r="Q324" s="364"/>
      <c r="R324" s="892"/>
      <c r="S324" s="897"/>
      <c r="T324" s="901"/>
      <c r="U324" s="901"/>
      <c r="V324" s="901"/>
      <c r="W324" s="903"/>
      <c r="X324" s="364"/>
      <c r="Y324" s="364"/>
      <c r="Z324" s="364"/>
      <c r="AA324" s="367"/>
      <c r="AB324"/>
      <c r="AC324"/>
      <c r="AD324"/>
      <c r="AE324"/>
      <c r="AF324"/>
    </row>
    <row r="325" spans="17:32" ht="12.75" customHeight="1">
      <c r="Q325" s="364"/>
      <c r="R325" s="892"/>
      <c r="S325" s="897"/>
      <c r="T325" s="689">
        <f>X69</f>
        <v>116</v>
      </c>
      <c r="U325" s="560">
        <f>X62</f>
        <v>1.4285714285714284</v>
      </c>
      <c r="V325" s="690">
        <f>IF(T325&gt;0,W325*U325," ")</f>
        <v>22857.142857142855</v>
      </c>
      <c r="W325" s="691">
        <f>IF(T325&gt;0,(VLOOKUP(T325,'Lookup Ready-reckoner'!$B$5:$E$1207,4))," ")</f>
        <v>16000</v>
      </c>
      <c r="X325" s="364"/>
      <c r="Y325" s="364"/>
      <c r="Z325" s="364"/>
      <c r="AA325" s="367"/>
      <c r="AB325"/>
      <c r="AC325"/>
      <c r="AD325"/>
      <c r="AE325"/>
      <c r="AF325"/>
    </row>
    <row r="326" spans="17:32" ht="12.75" customHeight="1">
      <c r="Q326" s="364"/>
      <c r="R326" s="898"/>
      <c r="S326" s="899"/>
      <c r="T326" s="447"/>
      <c r="U326" s="560"/>
      <c r="V326" s="690" t="str">
        <f>IF(T326&gt;0,W326*U326," ")</f>
        <v xml:space="preserve"> </v>
      </c>
      <c r="W326" s="691" t="str">
        <f>IF(T326&gt;0,(VLOOKUP(T326,'Lookup Ready-reckoner'!$B$5:$E$1007,4))," ")</f>
        <v xml:space="preserve"> </v>
      </c>
      <c r="X326" s="364"/>
      <c r="Y326" s="364"/>
      <c r="Z326" s="364"/>
      <c r="AA326" s="367"/>
      <c r="AB326"/>
      <c r="AC326"/>
      <c r="AD326"/>
      <c r="AE326"/>
      <c r="AF326"/>
    </row>
    <row r="327" spans="17:32" ht="12.75" customHeight="1" thickBot="1">
      <c r="Q327" s="364"/>
      <c r="R327" s="692" t="s">
        <v>839</v>
      </c>
      <c r="S327" s="693"/>
      <c r="T327" s="693"/>
      <c r="U327" s="694">
        <f>IF(T325&gt;0,(VLOOKUP(V327,'Lookup Ready-reckoner'!$L$5:$M$1207,2))," ")</f>
        <v>108.5</v>
      </c>
      <c r="V327" s="695">
        <f>IF(U325&gt;0,(SUM(V325:V326))," ")</f>
        <v>22857.142857142855</v>
      </c>
      <c r="W327" s="696"/>
      <c r="X327" s="364"/>
      <c r="Y327" s="364"/>
      <c r="Z327" s="364"/>
      <c r="AA327" s="367"/>
      <c r="AB327"/>
      <c r="AC327"/>
      <c r="AD327"/>
      <c r="AE327"/>
      <c r="AF327"/>
    </row>
    <row r="328" spans="17:32" ht="12.75" customHeight="1" thickBot="1">
      <c r="Q328" s="364"/>
      <c r="R328" s="892"/>
      <c r="S328" s="893"/>
      <c r="T328" s="893"/>
      <c r="U328" s="893"/>
      <c r="V328" s="893"/>
      <c r="W328" s="894"/>
      <c r="X328" s="364"/>
      <c r="Y328" s="364"/>
      <c r="Z328" s="364"/>
      <c r="AA328" s="367"/>
      <c r="AB328"/>
      <c r="AC328"/>
      <c r="AD328"/>
      <c r="AE328"/>
      <c r="AF328"/>
    </row>
    <row r="329" spans="17:32" ht="12.75" customHeight="1">
      <c r="Q329" s="364"/>
      <c r="R329" s="895" t="s">
        <v>886</v>
      </c>
      <c r="S329" s="896"/>
      <c r="T329" s="900" t="s">
        <v>835</v>
      </c>
      <c r="U329" s="900" t="s">
        <v>836</v>
      </c>
      <c r="V329" s="900" t="s">
        <v>837</v>
      </c>
      <c r="W329" s="902" t="s">
        <v>838</v>
      </c>
      <c r="X329" s="364"/>
      <c r="Y329" s="364"/>
      <c r="Z329" s="364"/>
      <c r="AA329" s="367"/>
      <c r="AB329"/>
      <c r="AC329"/>
      <c r="AD329"/>
      <c r="AE329"/>
      <c r="AF329"/>
    </row>
    <row r="330" spans="17:32" ht="12.75" customHeight="1">
      <c r="Q330" s="364"/>
      <c r="R330" s="892"/>
      <c r="S330" s="897"/>
      <c r="T330" s="901"/>
      <c r="U330" s="901"/>
      <c r="V330" s="901"/>
      <c r="W330" s="903"/>
      <c r="X330" s="364"/>
      <c r="Y330" s="364"/>
      <c r="Z330" s="364"/>
      <c r="AA330" s="367"/>
      <c r="AB330"/>
      <c r="AC330"/>
      <c r="AD330"/>
      <c r="AE330"/>
      <c r="AF330"/>
    </row>
    <row r="331" spans="17:32" ht="12.75" customHeight="1">
      <c r="Q331" s="364"/>
      <c r="R331" s="892"/>
      <c r="S331" s="897"/>
      <c r="T331" s="689">
        <f>T325*(1-0.0178*2)</f>
        <v>111.8704</v>
      </c>
      <c r="U331" s="560">
        <f>U325</f>
        <v>1.4285714285714284</v>
      </c>
      <c r="V331" s="690">
        <f>IF(T331&gt;0,W331*U331," ")</f>
        <v>8842.8571428571413</v>
      </c>
      <c r="W331" s="691">
        <f>IF(T331&gt;0,(VLOOKUP(T331,'Lookup Ready-reckoner'!$B$5:$E$1207,4))," ")</f>
        <v>6190</v>
      </c>
      <c r="X331" s="364"/>
      <c r="Y331" s="364"/>
      <c r="Z331" s="364"/>
      <c r="AA331" s="367"/>
      <c r="AB331"/>
      <c r="AC331"/>
      <c r="AD331"/>
      <c r="AE331"/>
      <c r="AF331"/>
    </row>
    <row r="332" spans="17:32" ht="12.75" customHeight="1">
      <c r="Q332" s="364"/>
      <c r="R332" s="898"/>
      <c r="S332" s="899"/>
      <c r="T332" s="447"/>
      <c r="U332" s="560"/>
      <c r="V332" s="690" t="str">
        <f>IF(T332&gt;0,W332*U332," ")</f>
        <v xml:space="preserve"> </v>
      </c>
      <c r="W332" s="691" t="str">
        <f>IF(T332&gt;0,(VLOOKUP(T332,'Lookup Ready-reckoner'!$B$5:$E$1007,4))," ")</f>
        <v xml:space="preserve"> </v>
      </c>
      <c r="X332" s="364"/>
      <c r="Y332" s="364"/>
      <c r="Z332" s="364"/>
      <c r="AA332" s="367"/>
      <c r="AB332"/>
      <c r="AC332"/>
      <c r="AD332"/>
      <c r="AE332"/>
      <c r="AF332"/>
    </row>
    <row r="333" spans="17:32" ht="12.75" customHeight="1" thickBot="1">
      <c r="Q333" s="364"/>
      <c r="R333" s="692" t="s">
        <v>839</v>
      </c>
      <c r="S333" s="693"/>
      <c r="T333" s="693"/>
      <c r="U333" s="694">
        <f>IF(T331&gt;0,(VLOOKUP(V333,'Lookup Ready-reckoner'!$L$5:$M$1207,2))," ")</f>
        <v>104.4</v>
      </c>
      <c r="V333" s="695">
        <f>IF(U331&gt;0,(SUM(V331:V332))," ")</f>
        <v>8842.8571428571413</v>
      </c>
      <c r="W333" s="696"/>
      <c r="X333" s="364"/>
      <c r="Y333" s="364"/>
      <c r="Z333" s="364"/>
      <c r="AA333" s="367"/>
      <c r="AB333"/>
      <c r="AC333"/>
      <c r="AD333"/>
      <c r="AE333"/>
      <c r="AF333"/>
    </row>
    <row r="334" spans="17:32" ht="12.75" customHeight="1">
      <c r="Q334" s="364"/>
      <c r="R334" s="697"/>
      <c r="S334" s="687"/>
      <c r="T334" s="687"/>
      <c r="U334" s="372"/>
      <c r="V334" s="374"/>
      <c r="W334" s="688"/>
      <c r="X334" s="364"/>
      <c r="Y334" s="364"/>
      <c r="Z334" s="364"/>
      <c r="AA334" s="367"/>
      <c r="AB334"/>
      <c r="AC334"/>
      <c r="AD334"/>
      <c r="AE334"/>
      <c r="AF334"/>
    </row>
    <row r="335" spans="17:32" ht="12.75" customHeight="1" thickBot="1">
      <c r="Q335" s="364"/>
      <c r="R335" s="686" t="s">
        <v>60</v>
      </c>
      <c r="S335" s="577"/>
      <c r="T335" s="577"/>
      <c r="U335" s="577"/>
      <c r="V335" s="577"/>
      <c r="W335" s="698"/>
      <c r="X335" s="364"/>
      <c r="Y335" s="364"/>
      <c r="Z335" s="364"/>
      <c r="AA335" s="367"/>
      <c r="AB335"/>
      <c r="AC335"/>
      <c r="AD335"/>
      <c r="AE335"/>
      <c r="AF335"/>
    </row>
    <row r="336" spans="17:32" ht="12.75" customHeight="1">
      <c r="Q336" s="364"/>
      <c r="R336" s="895" t="s">
        <v>845</v>
      </c>
      <c r="S336" s="896"/>
      <c r="T336" s="900" t="s">
        <v>835</v>
      </c>
      <c r="U336" s="900" t="s">
        <v>836</v>
      </c>
      <c r="V336" s="900" t="s">
        <v>837</v>
      </c>
      <c r="W336" s="902" t="s">
        <v>838</v>
      </c>
      <c r="X336" s="364"/>
      <c r="Y336" s="364"/>
      <c r="Z336" s="364"/>
      <c r="AA336" s="367"/>
      <c r="AB336"/>
      <c r="AC336"/>
      <c r="AD336"/>
      <c r="AE336"/>
      <c r="AF336"/>
    </row>
    <row r="337" spans="17:32" ht="12.75" customHeight="1">
      <c r="Q337" s="364"/>
      <c r="R337" s="892"/>
      <c r="S337" s="897"/>
      <c r="T337" s="901"/>
      <c r="U337" s="901"/>
      <c r="V337" s="901"/>
      <c r="W337" s="903"/>
      <c r="X337" s="364"/>
      <c r="Y337" s="364"/>
      <c r="Z337" s="364"/>
      <c r="AA337" s="367"/>
      <c r="AB337"/>
      <c r="AC337"/>
      <c r="AD337"/>
      <c r="AE337"/>
      <c r="AF337"/>
    </row>
    <row r="338" spans="17:32" ht="12.75" customHeight="1">
      <c r="Q338" s="364"/>
      <c r="R338" s="892"/>
      <c r="S338" s="897"/>
      <c r="T338" s="689">
        <f>T325-PPE!$I$15</f>
        <v>103</v>
      </c>
      <c r="U338" s="560">
        <f>U331</f>
        <v>1.4285714285714284</v>
      </c>
      <c r="V338" s="690">
        <f>IF(T338&gt;0,W338*U338," ")</f>
        <v>1142.8571428571427</v>
      </c>
      <c r="W338" s="691">
        <f>IF(T338&gt;0,(VLOOKUP(T338,'Lookup Ready-reckoner'!$B$5:$E$1207,4))," ")</f>
        <v>800</v>
      </c>
      <c r="X338" s="364"/>
      <c r="Y338" s="364"/>
      <c r="Z338" s="364"/>
      <c r="AA338" s="367"/>
      <c r="AB338"/>
      <c r="AC338"/>
      <c r="AD338"/>
      <c r="AE338"/>
      <c r="AF338"/>
    </row>
    <row r="339" spans="17:32" ht="12.75" customHeight="1">
      <c r="Q339" s="364"/>
      <c r="R339" s="898"/>
      <c r="S339" s="899"/>
      <c r="T339" s="447"/>
      <c r="U339" s="560"/>
      <c r="V339" s="690" t="str">
        <f>IF(T339&gt;0,W339*U339," ")</f>
        <v xml:space="preserve"> </v>
      </c>
      <c r="W339" s="691" t="str">
        <f>IF(T339&gt;0,(VLOOKUP(T339,'Lookup Ready-reckoner'!$B$5:$E$1007,4))," ")</f>
        <v xml:space="preserve"> </v>
      </c>
      <c r="X339" s="364"/>
      <c r="Y339" s="364"/>
      <c r="Z339" s="364"/>
      <c r="AA339" s="367"/>
      <c r="AB339"/>
      <c r="AC339"/>
      <c r="AD339"/>
      <c r="AE339"/>
      <c r="AF339"/>
    </row>
    <row r="340" spans="17:32" ht="12.75" customHeight="1" thickBot="1">
      <c r="Q340" s="364"/>
      <c r="R340" s="699" t="s">
        <v>839</v>
      </c>
      <c r="S340" s="693"/>
      <c r="T340" s="693"/>
      <c r="U340" s="694">
        <f>IF(T338&gt;0,(VLOOKUP(V340,'Lookup Ready-reckoner'!$L$5:$M$1207,2))," ")</f>
        <v>95.55</v>
      </c>
      <c r="V340" s="695">
        <f>IF(U338&gt;0,(SUM(V338:V339))," ")</f>
        <v>1142.8571428571427</v>
      </c>
      <c r="W340" s="696"/>
      <c r="X340" s="364"/>
      <c r="Y340" s="364"/>
      <c r="Z340" s="364"/>
      <c r="AA340" s="367"/>
      <c r="AB340"/>
      <c r="AC340"/>
      <c r="AD340"/>
      <c r="AE340"/>
      <c r="AF340"/>
    </row>
    <row r="341" spans="17:32" ht="12.75" customHeight="1" thickBot="1">
      <c r="Q341" s="364"/>
      <c r="R341" s="892"/>
      <c r="S341" s="893"/>
      <c r="T341" s="893"/>
      <c r="U341" s="893"/>
      <c r="V341" s="893"/>
      <c r="W341" s="894"/>
      <c r="X341" s="364"/>
      <c r="Y341" s="364"/>
      <c r="Z341" s="364"/>
      <c r="AA341" s="367"/>
      <c r="AB341"/>
      <c r="AC341"/>
      <c r="AD341"/>
      <c r="AE341"/>
      <c r="AF341"/>
    </row>
    <row r="342" spans="17:32" ht="12.75" customHeight="1">
      <c r="Q342" s="364"/>
      <c r="R342" s="895" t="s">
        <v>886</v>
      </c>
      <c r="S342" s="896"/>
      <c r="T342" s="900" t="s">
        <v>835</v>
      </c>
      <c r="U342" s="900" t="s">
        <v>836</v>
      </c>
      <c r="V342" s="900" t="s">
        <v>837</v>
      </c>
      <c r="W342" s="902" t="s">
        <v>838</v>
      </c>
      <c r="X342" s="364"/>
      <c r="Y342" s="364"/>
      <c r="Z342" s="364"/>
      <c r="AA342" s="367"/>
      <c r="AB342"/>
      <c r="AC342"/>
      <c r="AD342"/>
      <c r="AE342"/>
      <c r="AF342"/>
    </row>
    <row r="343" spans="17:32" ht="12.75" customHeight="1">
      <c r="Q343" s="364"/>
      <c r="R343" s="892"/>
      <c r="S343" s="897"/>
      <c r="T343" s="901"/>
      <c r="U343" s="901"/>
      <c r="V343" s="901"/>
      <c r="W343" s="903"/>
      <c r="X343" s="364"/>
      <c r="Y343" s="364"/>
      <c r="Z343" s="364"/>
      <c r="AA343" s="367"/>
      <c r="AB343"/>
      <c r="AC343"/>
      <c r="AD343"/>
      <c r="AE343"/>
      <c r="AF343"/>
    </row>
    <row r="344" spans="17:32" ht="12.75" customHeight="1">
      <c r="Q344" s="364"/>
      <c r="R344" s="892"/>
      <c r="S344" s="897"/>
      <c r="T344" s="689">
        <f>T331-PPE!$I$15</f>
        <v>98.870400000000004</v>
      </c>
      <c r="U344" s="560">
        <f>U338</f>
        <v>1.4285714285714284</v>
      </c>
      <c r="V344" s="690">
        <f>IF(T344&gt;0,W344*U344," ")</f>
        <v>433.03571428571422</v>
      </c>
      <c r="W344" s="691">
        <f>IF(T344&gt;0,(VLOOKUP(T344,'Lookup Ready-reckoner'!$B$5:$E$1207,4))," ")</f>
        <v>303.125</v>
      </c>
      <c r="X344" s="364"/>
      <c r="Y344" s="364"/>
      <c r="Z344" s="364"/>
      <c r="AA344" s="367"/>
      <c r="AB344"/>
      <c r="AC344"/>
      <c r="AD344"/>
      <c r="AE344"/>
      <c r="AF344"/>
    </row>
    <row r="345" spans="17:32" ht="12.75" customHeight="1">
      <c r="Q345" s="364"/>
      <c r="R345" s="898"/>
      <c r="S345" s="899"/>
      <c r="T345" s="447"/>
      <c r="U345" s="560"/>
      <c r="V345" s="690" t="str">
        <f>IF(T345&gt;0,W345*U345," ")</f>
        <v xml:space="preserve"> </v>
      </c>
      <c r="W345" s="691" t="str">
        <f>IF(T345&gt;0,(VLOOKUP(T345,'Lookup Ready-reckoner'!$B$5:$E$1007,4))," ")</f>
        <v xml:space="preserve"> </v>
      </c>
      <c r="X345" s="364"/>
      <c r="Y345" s="364"/>
      <c r="Z345" s="364"/>
      <c r="AA345" s="367"/>
      <c r="AB345"/>
      <c r="AC345"/>
      <c r="AD345"/>
      <c r="AE345"/>
      <c r="AF345"/>
    </row>
    <row r="346" spans="17:32" ht="12.75" customHeight="1" thickBot="1">
      <c r="Q346" s="364"/>
      <c r="R346" s="692" t="s">
        <v>839</v>
      </c>
      <c r="S346" s="693"/>
      <c r="T346" s="693"/>
      <c r="U346" s="694">
        <f>IF(T344&gt;0,(VLOOKUP(V346,'Lookup Ready-reckoner'!$L$5:$M$1207,2))," ")</f>
        <v>91.3</v>
      </c>
      <c r="V346" s="695">
        <f>IF(U344&gt;0,(SUM(V344:V345))," ")</f>
        <v>433.03571428571422</v>
      </c>
      <c r="W346" s="696"/>
      <c r="X346" s="364"/>
      <c r="Y346" s="364"/>
      <c r="Z346" s="364"/>
      <c r="AA346" s="367"/>
      <c r="AB346"/>
      <c r="AC346"/>
      <c r="AD346"/>
      <c r="AE346"/>
      <c r="AF346"/>
    </row>
    <row r="347" spans="17:32" ht="12.75" customHeight="1">
      <c r="Q347" s="364"/>
      <c r="R347" s="363"/>
      <c r="S347" s="363"/>
      <c r="T347" s="363"/>
      <c r="U347" s="363"/>
      <c r="V347" s="363"/>
      <c r="W347" s="363"/>
      <c r="X347" s="364"/>
      <c r="Y347" s="364"/>
      <c r="Z347" s="364"/>
      <c r="AA347" s="367"/>
      <c r="AB347"/>
      <c r="AC347"/>
      <c r="AD347"/>
      <c r="AE347"/>
      <c r="AF347"/>
    </row>
    <row r="348" spans="17:32" ht="12.75" customHeight="1" thickBot="1">
      <c r="Q348" s="364"/>
      <c r="R348" s="915" t="str">
        <f>T306</f>
        <v>Seco S215 Muffled</v>
      </c>
      <c r="S348" s="915"/>
      <c r="T348" s="915"/>
      <c r="U348" s="915"/>
      <c r="V348" s="915"/>
      <c r="W348" s="915"/>
      <c r="X348" s="364"/>
      <c r="Y348" s="363"/>
      <c r="Z348" s="363"/>
      <c r="AA348" s="367"/>
      <c r="AB348"/>
      <c r="AC348"/>
      <c r="AD348"/>
      <c r="AE348"/>
      <c r="AF348"/>
    </row>
    <row r="349" spans="17:32" ht="12.75" customHeight="1" thickBot="1">
      <c r="Q349" s="364"/>
      <c r="R349" s="906" t="s">
        <v>205</v>
      </c>
      <c r="S349" s="907"/>
      <c r="T349" s="907"/>
      <c r="U349" s="907"/>
      <c r="V349" s="907"/>
      <c r="W349" s="908"/>
      <c r="X349" s="364"/>
      <c r="Y349" s="363"/>
      <c r="Z349" s="363"/>
      <c r="AA349" s="367"/>
      <c r="AB349"/>
      <c r="AC349"/>
      <c r="AD349"/>
      <c r="AE349"/>
      <c r="AF349"/>
    </row>
    <row r="350" spans="17:32" ht="12.75" customHeight="1" thickBot="1">
      <c r="Q350" s="364"/>
      <c r="R350" s="686" t="s">
        <v>59</v>
      </c>
      <c r="S350" s="577"/>
      <c r="T350" s="687"/>
      <c r="U350" s="687"/>
      <c r="V350" s="687"/>
      <c r="W350" s="688"/>
      <c r="X350" s="364"/>
      <c r="Y350" s="363"/>
      <c r="Z350" s="363"/>
      <c r="AA350" s="367"/>
      <c r="AB350"/>
      <c r="AC350"/>
      <c r="AD350"/>
      <c r="AE350"/>
      <c r="AF350"/>
    </row>
    <row r="351" spans="17:32" ht="12.75" customHeight="1">
      <c r="Q351" s="364"/>
      <c r="R351" s="895" t="s">
        <v>845</v>
      </c>
      <c r="S351" s="896"/>
      <c r="T351" s="900" t="s">
        <v>835</v>
      </c>
      <c r="U351" s="900" t="s">
        <v>836</v>
      </c>
      <c r="V351" s="900" t="s">
        <v>837</v>
      </c>
      <c r="W351" s="902" t="s">
        <v>838</v>
      </c>
      <c r="X351" s="364"/>
      <c r="Y351" s="363"/>
      <c r="Z351" s="363"/>
      <c r="AA351" s="367"/>
      <c r="AB351"/>
      <c r="AC351"/>
      <c r="AD351"/>
      <c r="AE351"/>
      <c r="AF351"/>
    </row>
    <row r="352" spans="17:32" ht="12.75" customHeight="1">
      <c r="Q352" s="364"/>
      <c r="R352" s="892"/>
      <c r="S352" s="897"/>
      <c r="T352" s="904"/>
      <c r="U352" s="904"/>
      <c r="V352" s="904"/>
      <c r="W352" s="905"/>
      <c r="X352" s="364"/>
      <c r="Y352" s="363"/>
      <c r="Z352" s="363"/>
      <c r="AA352" s="367"/>
      <c r="AB352"/>
      <c r="AC352"/>
      <c r="AD352"/>
      <c r="AE352"/>
      <c r="AF352"/>
    </row>
    <row r="353" spans="17:32" ht="12.75" customHeight="1">
      <c r="Q353" s="364"/>
      <c r="R353" s="892"/>
      <c r="S353" s="897"/>
      <c r="T353" s="901"/>
      <c r="U353" s="901"/>
      <c r="V353" s="901"/>
      <c r="W353" s="903"/>
      <c r="X353" s="364"/>
      <c r="Y353" s="363"/>
      <c r="Z353" s="363"/>
      <c r="AA353" s="367"/>
      <c r="AB353"/>
      <c r="AC353"/>
      <c r="AD353"/>
      <c r="AE353"/>
      <c r="AF353"/>
    </row>
    <row r="354" spans="17:32" ht="12.75" customHeight="1">
      <c r="Q354" s="364"/>
      <c r="R354" s="892"/>
      <c r="S354" s="897"/>
      <c r="T354" s="700">
        <f>V69</f>
        <v>108</v>
      </c>
      <c r="U354" s="560">
        <f>V62</f>
        <v>1.9999999999999996</v>
      </c>
      <c r="V354" s="690">
        <f>IF(T354&gt;0,W354*U354," ")</f>
        <v>4999.9999999999991</v>
      </c>
      <c r="W354" s="691">
        <f>IF(T354&gt;0,(VLOOKUP(T354,'Lookup Ready-reckoner'!$B$5:$E$1207,4))," ")</f>
        <v>2500</v>
      </c>
      <c r="X354" s="364"/>
      <c r="Y354" s="363"/>
      <c r="Z354" s="363"/>
      <c r="AA354" s="367"/>
      <c r="AB354"/>
      <c r="AC354"/>
      <c r="AD354"/>
      <c r="AE354"/>
      <c r="AF354"/>
    </row>
    <row r="355" spans="17:32" ht="12.75" customHeight="1">
      <c r="Q355" s="364"/>
      <c r="R355" s="898"/>
      <c r="S355" s="899"/>
      <c r="T355" s="447"/>
      <c r="U355" s="560"/>
      <c r="V355" s="690" t="str">
        <f>IF(T355&gt;0,W355*U355," ")</f>
        <v xml:space="preserve"> </v>
      </c>
      <c r="W355" s="691" t="str">
        <f>IF(T355&gt;0,(VLOOKUP(T355,'Lookup Ready-reckoner'!$B$5:$E$1007,4))," ")</f>
        <v xml:space="preserve"> </v>
      </c>
      <c r="X355" s="364"/>
      <c r="Y355" s="363"/>
      <c r="Z355" s="363"/>
      <c r="AA355" s="367"/>
      <c r="AB355"/>
      <c r="AC355"/>
      <c r="AD355"/>
      <c r="AE355"/>
      <c r="AF355"/>
    </row>
    <row r="356" spans="17:32" ht="12.75" customHeight="1" thickBot="1">
      <c r="Q356" s="364"/>
      <c r="R356" s="699" t="s">
        <v>839</v>
      </c>
      <c r="S356" s="693"/>
      <c r="T356" s="693"/>
      <c r="U356" s="701">
        <f>IF(T354&gt;0,(VLOOKUP(V356,'Lookup Ready-reckoner'!$L$5:$M$1207,2))," ")</f>
        <v>101.95</v>
      </c>
      <c r="V356" s="695">
        <f>IF(U354&gt;0,(SUM(V354:V355))," ")</f>
        <v>4999.9999999999991</v>
      </c>
      <c r="W356" s="696"/>
      <c r="X356" s="364"/>
      <c r="Y356" s="363"/>
      <c r="Z356" s="363"/>
      <c r="AA356" s="367"/>
      <c r="AB356"/>
      <c r="AC356"/>
      <c r="AD356"/>
      <c r="AE356"/>
      <c r="AF356"/>
    </row>
    <row r="357" spans="17:32" ht="12.75" customHeight="1" thickBot="1">
      <c r="Q357" s="364"/>
      <c r="R357" s="892"/>
      <c r="S357" s="893"/>
      <c r="T357" s="893"/>
      <c r="U357" s="893"/>
      <c r="V357" s="893"/>
      <c r="W357" s="894"/>
      <c r="X357" s="364"/>
      <c r="Y357" s="363"/>
      <c r="Z357" s="363"/>
      <c r="AA357" s="367"/>
      <c r="AB357"/>
      <c r="AC357"/>
      <c r="AD357"/>
      <c r="AE357"/>
      <c r="AF357"/>
    </row>
    <row r="358" spans="17:32" ht="12.75" customHeight="1">
      <c r="Q358" s="364"/>
      <c r="R358" s="895" t="s">
        <v>886</v>
      </c>
      <c r="S358" s="896"/>
      <c r="T358" s="900" t="s">
        <v>835</v>
      </c>
      <c r="U358" s="900" t="s">
        <v>836</v>
      </c>
      <c r="V358" s="900" t="s">
        <v>837</v>
      </c>
      <c r="W358" s="902" t="s">
        <v>838</v>
      </c>
      <c r="X358" s="364"/>
      <c r="Y358" s="363"/>
      <c r="Z358" s="363"/>
      <c r="AA358" s="367"/>
      <c r="AB358"/>
      <c r="AC358"/>
      <c r="AD358"/>
      <c r="AE358"/>
      <c r="AF358"/>
    </row>
    <row r="359" spans="17:32" ht="12.75" customHeight="1">
      <c r="Q359" s="364"/>
      <c r="R359" s="892"/>
      <c r="S359" s="897"/>
      <c r="T359" s="901"/>
      <c r="U359" s="901"/>
      <c r="V359" s="901"/>
      <c r="W359" s="903"/>
      <c r="X359" s="364"/>
      <c r="Y359" s="363"/>
      <c r="Z359" s="363"/>
      <c r="AA359" s="367"/>
      <c r="AB359"/>
      <c r="AC359"/>
      <c r="AD359"/>
      <c r="AE359"/>
      <c r="AF359"/>
    </row>
    <row r="360" spans="17:32" ht="12.75" customHeight="1">
      <c r="Q360" s="364"/>
      <c r="R360" s="892"/>
      <c r="S360" s="897"/>
      <c r="T360" s="700">
        <f>T354*(1-0.0178*2)</f>
        <v>104.15520000000001</v>
      </c>
      <c r="U360" s="560">
        <f>U354</f>
        <v>1.9999999999999996</v>
      </c>
      <c r="V360" s="690">
        <f>IF(T360&gt;0,W360*U360," ")</f>
        <v>2074.9999999999995</v>
      </c>
      <c r="W360" s="691">
        <f>IF(T360&gt;0,(VLOOKUP(T360,'Lookup Ready-reckoner'!$B$5:$E$1207,4))," ")</f>
        <v>1037.5</v>
      </c>
      <c r="X360" s="364"/>
      <c r="Y360" s="363"/>
      <c r="Z360" s="363"/>
      <c r="AA360" s="367"/>
      <c r="AB360"/>
      <c r="AC360"/>
      <c r="AD360"/>
      <c r="AE360"/>
      <c r="AF360"/>
    </row>
    <row r="361" spans="17:32" ht="12.75" customHeight="1">
      <c r="Q361" s="364"/>
      <c r="R361" s="898"/>
      <c r="S361" s="899"/>
      <c r="T361" s="447"/>
      <c r="U361" s="560"/>
      <c r="V361" s="690" t="str">
        <f>IF(T361&gt;0,W361*U361," ")</f>
        <v xml:space="preserve"> </v>
      </c>
      <c r="W361" s="691" t="str">
        <f>IF(T361&gt;0,(VLOOKUP(T361,'Lookup Ready-reckoner'!$B$5:$E$1007,4))," ")</f>
        <v xml:space="preserve"> </v>
      </c>
      <c r="X361" s="364"/>
      <c r="Y361" s="363"/>
      <c r="Z361" s="363"/>
      <c r="AA361" s="367"/>
      <c r="AB361"/>
      <c r="AC361"/>
      <c r="AD361"/>
      <c r="AE361"/>
      <c r="AF361"/>
    </row>
    <row r="362" spans="17:32" ht="12.75" customHeight="1" thickBot="1">
      <c r="Q362" s="364"/>
      <c r="R362" s="692" t="s">
        <v>839</v>
      </c>
      <c r="S362" s="693"/>
      <c r="T362" s="693"/>
      <c r="U362" s="701">
        <f>IF(T360&gt;0,(VLOOKUP(V362,'Lookup Ready-reckoner'!$L$5:$M$1207,2))," ")</f>
        <v>98.1</v>
      </c>
      <c r="V362" s="695">
        <f>IF(U360&gt;0,(SUM(V360:V361))," ")</f>
        <v>2074.9999999999995</v>
      </c>
      <c r="W362" s="696"/>
      <c r="X362" s="364"/>
      <c r="Y362" s="363"/>
      <c r="Z362" s="363"/>
      <c r="AA362" s="367"/>
      <c r="AB362"/>
      <c r="AC362"/>
      <c r="AD362"/>
      <c r="AE362"/>
      <c r="AF362"/>
    </row>
    <row r="363" spans="17:32" ht="12.75" customHeight="1">
      <c r="Q363" s="364"/>
      <c r="R363" s="697"/>
      <c r="S363" s="687"/>
      <c r="T363" s="687"/>
      <c r="U363" s="372"/>
      <c r="V363" s="374"/>
      <c r="W363" s="688"/>
      <c r="X363" s="364"/>
      <c r="Y363" s="363"/>
      <c r="Z363" s="363"/>
      <c r="AA363" s="367"/>
      <c r="AB363"/>
      <c r="AC363"/>
      <c r="AD363"/>
      <c r="AE363"/>
      <c r="AF363"/>
    </row>
    <row r="364" spans="17:32" ht="12.75" customHeight="1" thickBot="1">
      <c r="Q364" s="364"/>
      <c r="R364" s="686" t="s">
        <v>60</v>
      </c>
      <c r="S364" s="577"/>
      <c r="T364" s="577"/>
      <c r="U364" s="577"/>
      <c r="V364" s="577"/>
      <c r="W364" s="698"/>
      <c r="X364" s="364"/>
      <c r="Y364" s="363"/>
      <c r="Z364" s="363"/>
      <c r="AA364" s="367"/>
      <c r="AB364"/>
      <c r="AC364"/>
      <c r="AD364"/>
      <c r="AE364"/>
      <c r="AF364"/>
    </row>
    <row r="365" spans="17:32" ht="12.75" customHeight="1">
      <c r="Q365" s="364"/>
      <c r="R365" s="895" t="s">
        <v>845</v>
      </c>
      <c r="S365" s="896"/>
      <c r="T365" s="900" t="s">
        <v>835</v>
      </c>
      <c r="U365" s="900" t="s">
        <v>836</v>
      </c>
      <c r="V365" s="900" t="s">
        <v>837</v>
      </c>
      <c r="W365" s="902" t="s">
        <v>838</v>
      </c>
      <c r="X365" s="364"/>
      <c r="Y365" s="363"/>
      <c r="Z365" s="363"/>
      <c r="AA365" s="367"/>
      <c r="AB365"/>
      <c r="AC365"/>
      <c r="AD365"/>
      <c r="AE365"/>
      <c r="AF365"/>
    </row>
    <row r="366" spans="17:32" ht="12.75" customHeight="1">
      <c r="Q366" s="364"/>
      <c r="R366" s="892"/>
      <c r="S366" s="897"/>
      <c r="T366" s="901"/>
      <c r="U366" s="901"/>
      <c r="V366" s="901"/>
      <c r="W366" s="903"/>
      <c r="X366" s="364"/>
      <c r="Y366" s="363"/>
      <c r="Z366" s="363"/>
      <c r="AA366" s="367"/>
      <c r="AB366"/>
      <c r="AC366"/>
      <c r="AD366"/>
      <c r="AE366"/>
      <c r="AF366"/>
    </row>
    <row r="367" spans="17:32" ht="12.75" customHeight="1">
      <c r="Q367" s="364"/>
      <c r="R367" s="892"/>
      <c r="S367" s="897"/>
      <c r="T367" s="700">
        <f>T354-PPE!$I$15</f>
        <v>95</v>
      </c>
      <c r="U367" s="560">
        <f>U360</f>
        <v>1.9999999999999996</v>
      </c>
      <c r="V367" s="690">
        <f>IF(T367&gt;0,W367*U367," ")</f>
        <v>249.99999999999994</v>
      </c>
      <c r="W367" s="691">
        <f>IF(T367&gt;0,(VLOOKUP(T367,'Lookup Ready-reckoner'!$B$5:$E$1207,4))," ")</f>
        <v>125</v>
      </c>
      <c r="X367" s="364"/>
      <c r="Y367" s="363"/>
      <c r="Z367" s="363"/>
      <c r="AA367" s="367"/>
      <c r="AB367"/>
      <c r="AC367"/>
      <c r="AD367"/>
      <c r="AE367"/>
      <c r="AF367"/>
    </row>
    <row r="368" spans="17:32" ht="12.75" customHeight="1">
      <c r="Q368" s="364"/>
      <c r="R368" s="898"/>
      <c r="S368" s="899"/>
      <c r="T368" s="447"/>
      <c r="U368" s="560"/>
      <c r="V368" s="690" t="str">
        <f>IF(T368&gt;0,W368*U368," ")</f>
        <v xml:space="preserve"> </v>
      </c>
      <c r="W368" s="691" t="str">
        <f>IF(T368&gt;0,(VLOOKUP(T368,'Lookup Ready-reckoner'!$B$5:$E$1007,4))," ")</f>
        <v xml:space="preserve"> </v>
      </c>
      <c r="X368" s="364"/>
      <c r="Y368" s="363"/>
      <c r="Z368" s="363"/>
      <c r="AA368" s="367"/>
      <c r="AB368"/>
      <c r="AC368"/>
      <c r="AD368"/>
      <c r="AE368"/>
      <c r="AF368"/>
    </row>
    <row r="369" spans="17:32" ht="12.75" customHeight="1" thickBot="1">
      <c r="Q369" s="364"/>
      <c r="R369" s="692" t="s">
        <v>839</v>
      </c>
      <c r="S369" s="693"/>
      <c r="T369" s="693"/>
      <c r="U369" s="701">
        <f>IF(T367&gt;0,(VLOOKUP(V369,'Lookup Ready-reckoner'!$L$5:$M$1207,2))," ")</f>
        <v>88.95</v>
      </c>
      <c r="V369" s="695">
        <f>IF(U367&gt;0,(SUM(V367:V368))," ")</f>
        <v>249.99999999999994</v>
      </c>
      <c r="W369" s="696"/>
      <c r="X369" s="364"/>
      <c r="Y369" s="363"/>
      <c r="Z369" s="363"/>
      <c r="AA369" s="367"/>
      <c r="AB369"/>
      <c r="AC369"/>
      <c r="AD369"/>
      <c r="AE369"/>
      <c r="AF369"/>
    </row>
    <row r="370" spans="17:32" ht="12.75" customHeight="1" thickBot="1">
      <c r="Q370" s="364"/>
      <c r="R370" s="892"/>
      <c r="S370" s="893"/>
      <c r="T370" s="893"/>
      <c r="U370" s="893"/>
      <c r="V370" s="893"/>
      <c r="W370" s="894"/>
      <c r="X370" s="364"/>
      <c r="Y370" s="363"/>
      <c r="Z370" s="363"/>
      <c r="AA370" s="367"/>
      <c r="AB370"/>
      <c r="AC370"/>
      <c r="AD370"/>
      <c r="AE370"/>
      <c r="AF370"/>
    </row>
    <row r="371" spans="17:32" ht="12.75" customHeight="1">
      <c r="Q371" s="364"/>
      <c r="R371" s="895" t="s">
        <v>886</v>
      </c>
      <c r="S371" s="896"/>
      <c r="T371" s="900" t="s">
        <v>835</v>
      </c>
      <c r="U371" s="900" t="s">
        <v>836</v>
      </c>
      <c r="V371" s="900" t="s">
        <v>837</v>
      </c>
      <c r="W371" s="902" t="s">
        <v>838</v>
      </c>
      <c r="X371" s="364"/>
      <c r="Y371" s="363"/>
      <c r="Z371" s="363"/>
      <c r="AA371" s="367"/>
      <c r="AB371"/>
      <c r="AC371"/>
      <c r="AD371"/>
      <c r="AE371"/>
      <c r="AF371"/>
    </row>
    <row r="372" spans="17:32" ht="12.75" customHeight="1">
      <c r="Q372" s="364"/>
      <c r="R372" s="892"/>
      <c r="S372" s="897"/>
      <c r="T372" s="901"/>
      <c r="U372" s="901"/>
      <c r="V372" s="901"/>
      <c r="W372" s="903"/>
      <c r="X372" s="364"/>
      <c r="Y372" s="363"/>
      <c r="Z372" s="363"/>
      <c r="AA372" s="367"/>
      <c r="AB372"/>
      <c r="AC372"/>
      <c r="AD372"/>
      <c r="AE372"/>
      <c r="AF372"/>
    </row>
    <row r="373" spans="17:32" ht="12.75" customHeight="1">
      <c r="Q373" s="364"/>
      <c r="R373" s="892"/>
      <c r="S373" s="897"/>
      <c r="T373" s="700">
        <f>T360-PPE!$I$15</f>
        <v>91.155200000000008</v>
      </c>
      <c r="U373" s="560">
        <f>U367</f>
        <v>1.9999999999999996</v>
      </c>
      <c r="V373" s="690">
        <f>IF(T373&gt;0,W373*U373," ")</f>
        <v>103.74999999999997</v>
      </c>
      <c r="W373" s="691">
        <f>IF(T373&gt;0,(VLOOKUP(T373,'Lookup Ready-reckoner'!$B$5:$E$1207,4))," ")</f>
        <v>51.875</v>
      </c>
      <c r="X373" s="364"/>
      <c r="Y373" s="363"/>
      <c r="Z373" s="363"/>
      <c r="AA373" s="367"/>
      <c r="AB373"/>
      <c r="AC373"/>
      <c r="AD373"/>
      <c r="AE373"/>
      <c r="AF373"/>
    </row>
    <row r="374" spans="17:32" ht="12.75" customHeight="1">
      <c r="Q374" s="364"/>
      <c r="R374" s="898"/>
      <c r="S374" s="899"/>
      <c r="T374" s="447"/>
      <c r="U374" s="560"/>
      <c r="V374" s="690" t="str">
        <f>IF(T374&gt;0,W374*U374," ")</f>
        <v xml:space="preserve"> </v>
      </c>
      <c r="W374" s="691" t="str">
        <f>IF(T374&gt;0,(VLOOKUP(T374,'Lookup Ready-reckoner'!$B$5:$E$1007,4))," ")</f>
        <v xml:space="preserve"> </v>
      </c>
      <c r="X374" s="364"/>
      <c r="Y374" s="363"/>
      <c r="Z374" s="363"/>
      <c r="AA374" s="367"/>
      <c r="AB374"/>
      <c r="AC374"/>
      <c r="AD374"/>
      <c r="AE374"/>
      <c r="AF374"/>
    </row>
    <row r="375" spans="17:32" ht="12.75" customHeight="1" thickBot="1">
      <c r="Q375" s="364"/>
      <c r="R375" s="692" t="s">
        <v>839</v>
      </c>
      <c r="S375" s="693"/>
      <c r="T375" s="693"/>
      <c r="U375" s="701">
        <f>IF(T373&gt;0,(VLOOKUP(V375,'Lookup Ready-reckoner'!$L$5:$M$1207,2))," ")</f>
        <v>85.1</v>
      </c>
      <c r="V375" s="695">
        <f>IF(U373&gt;0,(SUM(V373:V374))," ")</f>
        <v>103.74999999999997</v>
      </c>
      <c r="W375" s="696"/>
      <c r="X375" s="364"/>
      <c r="Y375" s="363"/>
      <c r="Z375" s="363"/>
      <c r="AA375" s="367"/>
      <c r="AB375"/>
      <c r="AC375"/>
      <c r="AD375"/>
      <c r="AE375"/>
      <c r="AF375"/>
    </row>
    <row r="376" spans="17:32" ht="12.75" customHeight="1">
      <c r="Q376" s="364"/>
      <c r="R376" s="363"/>
      <c r="S376" s="363"/>
      <c r="T376" s="363"/>
      <c r="U376" s="363"/>
      <c r="V376" s="363"/>
      <c r="W376" s="363"/>
      <c r="X376" s="364"/>
      <c r="Y376" s="364"/>
      <c r="Z376" s="364"/>
      <c r="AA376" s="367"/>
      <c r="AB376"/>
      <c r="AC376"/>
      <c r="AD376"/>
      <c r="AE376"/>
      <c r="AF376"/>
    </row>
    <row r="377" spans="17:32" ht="12.75" customHeight="1">
      <c r="Q377" s="364"/>
      <c r="R377" s="913" t="str">
        <f>U306</f>
        <v>Sulzer ADDS</v>
      </c>
      <c r="S377" s="914"/>
      <c r="T377" s="914"/>
      <c r="U377" s="914"/>
      <c r="V377" s="914"/>
      <c r="W377" s="914"/>
      <c r="X377" s="364"/>
      <c r="Y377" s="363"/>
      <c r="Z377" s="363"/>
      <c r="AA377" s="367"/>
      <c r="AB377"/>
      <c r="AC377"/>
      <c r="AD377"/>
      <c r="AE377"/>
      <c r="AF377"/>
    </row>
    <row r="378" spans="17:32" ht="12.75" customHeight="1" thickBot="1">
      <c r="Q378" s="364"/>
      <c r="R378" s="910" t="s">
        <v>205</v>
      </c>
      <c r="S378" s="911"/>
      <c r="T378" s="911"/>
      <c r="U378" s="911"/>
      <c r="V378" s="911"/>
      <c r="W378" s="912"/>
      <c r="X378" s="364"/>
      <c r="Y378" s="363"/>
      <c r="Z378" s="363"/>
      <c r="AA378" s="367"/>
      <c r="AB378"/>
      <c r="AC378"/>
      <c r="AD378"/>
      <c r="AE378"/>
      <c r="AF378"/>
    </row>
    <row r="379" spans="17:32" ht="12.75" customHeight="1" thickBot="1">
      <c r="Q379" s="364"/>
      <c r="R379" s="686" t="s">
        <v>59</v>
      </c>
      <c r="S379" s="577"/>
      <c r="T379" s="687"/>
      <c r="U379" s="687"/>
      <c r="V379" s="687"/>
      <c r="W379" s="688"/>
      <c r="X379" s="364"/>
      <c r="Y379" s="363"/>
      <c r="Z379" s="363"/>
      <c r="AA379" s="367"/>
      <c r="AB379"/>
      <c r="AC379"/>
      <c r="AD379"/>
      <c r="AE379"/>
      <c r="AF379"/>
    </row>
    <row r="380" spans="17:32" ht="12.75" customHeight="1">
      <c r="Q380" s="364"/>
      <c r="R380" s="895" t="s">
        <v>845</v>
      </c>
      <c r="S380" s="896"/>
      <c r="T380" s="900" t="s">
        <v>835</v>
      </c>
      <c r="U380" s="900" t="s">
        <v>836</v>
      </c>
      <c r="V380" s="900" t="s">
        <v>837</v>
      </c>
      <c r="W380" s="902" t="s">
        <v>838</v>
      </c>
      <c r="X380" s="364"/>
      <c r="Y380" s="363"/>
      <c r="Z380" s="363"/>
      <c r="AA380" s="367"/>
      <c r="AB380"/>
      <c r="AC380"/>
      <c r="AD380"/>
      <c r="AE380"/>
      <c r="AF380"/>
    </row>
    <row r="381" spans="17:32" ht="12.75" customHeight="1">
      <c r="Q381" s="364"/>
      <c r="R381" s="892"/>
      <c r="S381" s="897"/>
      <c r="T381" s="904"/>
      <c r="U381" s="904"/>
      <c r="V381" s="904"/>
      <c r="W381" s="905"/>
      <c r="X381" s="364"/>
      <c r="Y381" s="363"/>
      <c r="Z381" s="363"/>
      <c r="AA381" s="367"/>
      <c r="AB381"/>
      <c r="AC381"/>
      <c r="AD381"/>
      <c r="AE381"/>
      <c r="AF381"/>
    </row>
    <row r="382" spans="17:32" ht="12.75" customHeight="1">
      <c r="Q382" s="364"/>
      <c r="R382" s="892"/>
      <c r="S382" s="897"/>
      <c r="T382" s="901"/>
      <c r="U382" s="901"/>
      <c r="V382" s="901"/>
      <c r="W382" s="903"/>
      <c r="X382" s="364"/>
      <c r="Y382" s="363"/>
      <c r="Z382" s="363"/>
      <c r="AA382" s="367"/>
      <c r="AB382"/>
      <c r="AC382"/>
      <c r="AD382"/>
      <c r="AE382"/>
      <c r="AF382"/>
    </row>
    <row r="383" spans="17:32" ht="12.75" customHeight="1">
      <c r="Q383" s="364"/>
      <c r="R383" s="892"/>
      <c r="S383" s="897"/>
      <c r="T383" s="702">
        <f>W69</f>
        <v>109</v>
      </c>
      <c r="U383" s="560">
        <f>W62</f>
        <v>1.7391304347826084</v>
      </c>
      <c r="V383" s="690">
        <f>IF(T383&gt;0,W383*U383," ")</f>
        <v>5565.2173913043471</v>
      </c>
      <c r="W383" s="691">
        <f>IF(T383&gt;0,(VLOOKUP(T383,'Lookup Ready-reckoner'!$B$5:$E$1207,4))," ")</f>
        <v>3200</v>
      </c>
      <c r="X383" s="364"/>
      <c r="Y383" s="363"/>
      <c r="Z383" s="363"/>
      <c r="AA383" s="367"/>
      <c r="AB383"/>
      <c r="AC383"/>
      <c r="AD383"/>
      <c r="AE383"/>
      <c r="AF383"/>
    </row>
    <row r="384" spans="17:32" ht="12.75" customHeight="1">
      <c r="Q384" s="364"/>
      <c r="R384" s="898"/>
      <c r="S384" s="899"/>
      <c r="T384" s="447"/>
      <c r="U384" s="560"/>
      <c r="V384" s="690" t="str">
        <f>IF(T384&gt;0,W384*U384," ")</f>
        <v xml:space="preserve"> </v>
      </c>
      <c r="W384" s="691" t="str">
        <f>IF(T384&gt;0,(VLOOKUP(T384,'Lookup Ready-reckoner'!$B$5:$E$1007,4))," ")</f>
        <v xml:space="preserve"> </v>
      </c>
      <c r="X384" s="364"/>
      <c r="Y384" s="363"/>
      <c r="Z384" s="363"/>
      <c r="AA384" s="367"/>
      <c r="AB384"/>
      <c r="AC384"/>
      <c r="AD384"/>
      <c r="AE384"/>
      <c r="AF384"/>
    </row>
    <row r="385" spans="17:32" ht="12.75" customHeight="1" thickBot="1">
      <c r="Q385" s="364"/>
      <c r="R385" s="692" t="s">
        <v>839</v>
      </c>
      <c r="S385" s="693"/>
      <c r="T385" s="693"/>
      <c r="U385" s="703">
        <f>IF(T383&gt;0,(VLOOKUP(V385,'Lookup Ready-reckoner'!$L$5:$M$1207,2))," ")</f>
        <v>102.4</v>
      </c>
      <c r="V385" s="695">
        <f>IF(U383&gt;0,(SUM(V383:V384))," ")</f>
        <v>5565.2173913043471</v>
      </c>
      <c r="W385" s="696"/>
      <c r="X385" s="364"/>
      <c r="Y385" s="363"/>
      <c r="Z385" s="363"/>
      <c r="AA385" s="367"/>
      <c r="AB385"/>
      <c r="AC385"/>
      <c r="AD385"/>
      <c r="AE385"/>
      <c r="AF385"/>
    </row>
    <row r="386" spans="17:32" ht="12.75" customHeight="1" thickBot="1">
      <c r="Q386" s="364"/>
      <c r="R386" s="892"/>
      <c r="S386" s="893"/>
      <c r="T386" s="893"/>
      <c r="U386" s="893"/>
      <c r="V386" s="893"/>
      <c r="W386" s="894"/>
      <c r="X386" s="364"/>
      <c r="Y386" s="363"/>
      <c r="Z386" s="363"/>
      <c r="AA386" s="367"/>
      <c r="AB386"/>
      <c r="AC386"/>
      <c r="AD386"/>
      <c r="AE386"/>
      <c r="AF386"/>
    </row>
    <row r="387" spans="17:32" ht="12.75" customHeight="1">
      <c r="Q387" s="364"/>
      <c r="R387" s="895" t="s">
        <v>886</v>
      </c>
      <c r="S387" s="896"/>
      <c r="T387" s="900" t="s">
        <v>835</v>
      </c>
      <c r="U387" s="900" t="s">
        <v>836</v>
      </c>
      <c r="V387" s="900" t="s">
        <v>837</v>
      </c>
      <c r="W387" s="902" t="s">
        <v>838</v>
      </c>
      <c r="X387" s="364"/>
      <c r="Y387" s="363"/>
      <c r="Z387" s="363"/>
      <c r="AA387" s="367"/>
      <c r="AB387"/>
      <c r="AC387"/>
      <c r="AD387"/>
      <c r="AE387"/>
      <c r="AF387"/>
    </row>
    <row r="388" spans="17:32" ht="12.75" customHeight="1">
      <c r="Q388" s="364"/>
      <c r="R388" s="892"/>
      <c r="S388" s="897"/>
      <c r="T388" s="901"/>
      <c r="U388" s="901"/>
      <c r="V388" s="901"/>
      <c r="W388" s="903"/>
      <c r="X388" s="364"/>
      <c r="Y388" s="363"/>
      <c r="Z388" s="363"/>
      <c r="AA388" s="367"/>
      <c r="AB388"/>
      <c r="AC388"/>
      <c r="AD388"/>
      <c r="AE388"/>
      <c r="AF388"/>
    </row>
    <row r="389" spans="17:32" ht="12.75" customHeight="1">
      <c r="Q389" s="364"/>
      <c r="R389" s="892"/>
      <c r="S389" s="897"/>
      <c r="T389" s="702">
        <f>T383*(1-0.0178*2)</f>
        <v>105.11960000000001</v>
      </c>
      <c r="U389" s="560">
        <f>U383</f>
        <v>1.7391304347826084</v>
      </c>
      <c r="V389" s="690">
        <f>IF(T389&gt;0,W389*U389," ")</f>
        <v>2234.782608695652</v>
      </c>
      <c r="W389" s="691">
        <f>IF(T389&gt;0,(VLOOKUP(T389,'Lookup Ready-reckoner'!$B$5:$E$1207,4))," ")</f>
        <v>1285</v>
      </c>
      <c r="X389" s="364"/>
      <c r="Y389" s="363"/>
      <c r="Z389" s="363"/>
      <c r="AA389" s="367"/>
      <c r="AB389"/>
      <c r="AC389"/>
      <c r="AD389"/>
      <c r="AE389"/>
      <c r="AF389"/>
    </row>
    <row r="390" spans="17:32" ht="12.75" customHeight="1">
      <c r="Q390" s="364"/>
      <c r="R390" s="898"/>
      <c r="S390" s="899"/>
      <c r="T390" s="447"/>
      <c r="U390" s="560"/>
      <c r="V390" s="690" t="str">
        <f>IF(T390&gt;0,W390*U390," ")</f>
        <v xml:space="preserve"> </v>
      </c>
      <c r="W390" s="691" t="str">
        <f>IF(T390&gt;0,(VLOOKUP(T390,'Lookup Ready-reckoner'!$B$5:$E$1007,4))," ")</f>
        <v xml:space="preserve"> </v>
      </c>
      <c r="X390" s="364"/>
      <c r="Y390" s="363"/>
      <c r="Z390" s="363"/>
      <c r="AA390" s="367"/>
      <c r="AB390"/>
      <c r="AC390"/>
      <c r="AD390"/>
      <c r="AE390"/>
      <c r="AF390"/>
    </row>
    <row r="391" spans="17:32" ht="12.75" customHeight="1" thickBot="1">
      <c r="Q391" s="364"/>
      <c r="R391" s="692" t="s">
        <v>839</v>
      </c>
      <c r="S391" s="693"/>
      <c r="T391" s="693"/>
      <c r="U391" s="703">
        <f>IF(T389&gt;0,(VLOOKUP(V391,'Lookup Ready-reckoner'!$L$5:$M$1207,2))," ")</f>
        <v>98.45</v>
      </c>
      <c r="V391" s="695">
        <f>IF(U389&gt;0,(SUM(V389:V390))," ")</f>
        <v>2234.782608695652</v>
      </c>
      <c r="W391" s="696"/>
      <c r="X391" s="364"/>
      <c r="Y391" s="363"/>
      <c r="Z391" s="363"/>
      <c r="AA391" s="367"/>
      <c r="AB391"/>
      <c r="AC391"/>
      <c r="AD391"/>
      <c r="AE391"/>
      <c r="AF391"/>
    </row>
    <row r="392" spans="17:32" ht="12.75" customHeight="1">
      <c r="Q392" s="364"/>
      <c r="R392" s="697"/>
      <c r="S392" s="687"/>
      <c r="T392" s="687"/>
      <c r="U392" s="372"/>
      <c r="V392" s="374"/>
      <c r="W392" s="688"/>
      <c r="X392" s="364"/>
      <c r="Y392" s="363"/>
      <c r="Z392" s="363"/>
      <c r="AA392" s="367"/>
      <c r="AB392"/>
      <c r="AC392"/>
      <c r="AD392"/>
      <c r="AE392"/>
      <c r="AF392"/>
    </row>
    <row r="393" spans="17:32" ht="12.75" customHeight="1" thickBot="1">
      <c r="Q393" s="364"/>
      <c r="R393" s="686" t="s">
        <v>60</v>
      </c>
      <c r="S393" s="577"/>
      <c r="T393" s="577"/>
      <c r="U393" s="577"/>
      <c r="V393" s="577"/>
      <c r="W393" s="698"/>
      <c r="X393" s="364"/>
      <c r="Y393" s="363"/>
      <c r="Z393" s="363"/>
      <c r="AA393" s="367"/>
      <c r="AB393"/>
      <c r="AC393"/>
      <c r="AD393"/>
      <c r="AE393"/>
      <c r="AF393"/>
    </row>
    <row r="394" spans="17:32" ht="12.75" customHeight="1">
      <c r="Q394" s="364"/>
      <c r="R394" s="895" t="s">
        <v>845</v>
      </c>
      <c r="S394" s="896"/>
      <c r="T394" s="900" t="s">
        <v>835</v>
      </c>
      <c r="U394" s="900" t="s">
        <v>836</v>
      </c>
      <c r="V394" s="900" t="s">
        <v>837</v>
      </c>
      <c r="W394" s="902" t="s">
        <v>838</v>
      </c>
      <c r="X394" s="364"/>
      <c r="Y394" s="363"/>
      <c r="Z394" s="363"/>
      <c r="AA394" s="367"/>
      <c r="AB394"/>
      <c r="AC394"/>
      <c r="AD394"/>
      <c r="AE394"/>
      <c r="AF394"/>
    </row>
    <row r="395" spans="17:32" ht="12.75" customHeight="1">
      <c r="Q395" s="364"/>
      <c r="R395" s="892"/>
      <c r="S395" s="897"/>
      <c r="T395" s="901"/>
      <c r="U395" s="901"/>
      <c r="V395" s="901"/>
      <c r="W395" s="903"/>
      <c r="X395" s="364"/>
      <c r="Y395" s="363"/>
      <c r="Z395" s="363"/>
      <c r="AA395" s="367"/>
      <c r="AB395"/>
      <c r="AC395"/>
      <c r="AD395"/>
      <c r="AE395"/>
      <c r="AF395"/>
    </row>
    <row r="396" spans="17:32" ht="12.75" customHeight="1">
      <c r="Q396" s="364"/>
      <c r="R396" s="892"/>
      <c r="S396" s="897"/>
      <c r="T396" s="702">
        <f>T383-PPE!$I$15</f>
        <v>96</v>
      </c>
      <c r="U396" s="560">
        <f>U389</f>
        <v>1.7391304347826084</v>
      </c>
      <c r="V396" s="690">
        <f>IF(T396&gt;0,W396*U396," ")</f>
        <v>271.73913043478257</v>
      </c>
      <c r="W396" s="691">
        <f>IF(T396&gt;0,(VLOOKUP(T396,'Lookup Ready-reckoner'!$B$5:$E$1207,4))," ")</f>
        <v>156.25</v>
      </c>
      <c r="X396" s="364"/>
      <c r="Y396" s="363"/>
      <c r="Z396" s="363"/>
      <c r="AA396" s="367"/>
      <c r="AB396"/>
      <c r="AC396"/>
      <c r="AD396"/>
      <c r="AE396"/>
      <c r="AF396"/>
    </row>
    <row r="397" spans="17:32" ht="12.75" customHeight="1">
      <c r="Q397" s="364"/>
      <c r="R397" s="898"/>
      <c r="S397" s="899"/>
      <c r="T397" s="447"/>
      <c r="U397" s="560"/>
      <c r="V397" s="690" t="str">
        <f>IF(T397&gt;0,W397*U397," ")</f>
        <v xml:space="preserve"> </v>
      </c>
      <c r="W397" s="691" t="str">
        <f>IF(T397&gt;0,(VLOOKUP(T397,'Lookup Ready-reckoner'!$B$5:$E$1007,4))," ")</f>
        <v xml:space="preserve"> </v>
      </c>
      <c r="X397" s="364"/>
      <c r="Y397" s="363"/>
      <c r="Z397" s="363"/>
      <c r="AA397" s="367"/>
      <c r="AB397"/>
      <c r="AC397"/>
      <c r="AD397"/>
      <c r="AE397"/>
      <c r="AF397"/>
    </row>
    <row r="398" spans="17:32" ht="12.75" customHeight="1" thickBot="1">
      <c r="Q398" s="364"/>
      <c r="R398" s="692" t="s">
        <v>839</v>
      </c>
      <c r="S398" s="693"/>
      <c r="T398" s="693"/>
      <c r="U398" s="703">
        <f>IF(T396&gt;0,(VLOOKUP(V398,'Lookup Ready-reckoner'!$L$5:$M$1207,2))," ")</f>
        <v>89.3</v>
      </c>
      <c r="V398" s="695">
        <f>IF(U396&gt;0,(SUM(V396:V397))," ")</f>
        <v>271.73913043478257</v>
      </c>
      <c r="W398" s="696"/>
      <c r="X398" s="364"/>
      <c r="Y398" s="363"/>
      <c r="Z398" s="363"/>
      <c r="AA398" s="367"/>
      <c r="AB398"/>
      <c r="AC398"/>
      <c r="AD398"/>
      <c r="AE398"/>
      <c r="AF398"/>
    </row>
    <row r="399" spans="17:32" ht="12.75" customHeight="1" thickBot="1">
      <c r="Q399" s="364"/>
      <c r="R399" s="892"/>
      <c r="S399" s="893"/>
      <c r="T399" s="893"/>
      <c r="U399" s="893"/>
      <c r="V399" s="893"/>
      <c r="W399" s="894"/>
      <c r="X399" s="364"/>
      <c r="Y399" s="363"/>
      <c r="Z399" s="363"/>
      <c r="AA399" s="367"/>
      <c r="AB399"/>
      <c r="AC399"/>
      <c r="AD399"/>
      <c r="AE399"/>
      <c r="AF399"/>
    </row>
    <row r="400" spans="17:32" ht="12.75" customHeight="1">
      <c r="Q400" s="364"/>
      <c r="R400" s="895" t="s">
        <v>886</v>
      </c>
      <c r="S400" s="896"/>
      <c r="T400" s="900" t="s">
        <v>835</v>
      </c>
      <c r="U400" s="900" t="s">
        <v>836</v>
      </c>
      <c r="V400" s="900" t="s">
        <v>837</v>
      </c>
      <c r="W400" s="902" t="s">
        <v>838</v>
      </c>
      <c r="X400" s="364"/>
      <c r="Y400" s="363"/>
      <c r="Z400" s="363"/>
      <c r="AA400" s="367"/>
      <c r="AB400"/>
      <c r="AC400"/>
      <c r="AD400"/>
      <c r="AE400"/>
      <c r="AF400"/>
    </row>
    <row r="401" spans="17:32" ht="12.75" customHeight="1">
      <c r="Q401" s="364"/>
      <c r="R401" s="892"/>
      <c r="S401" s="897"/>
      <c r="T401" s="901"/>
      <c r="U401" s="901"/>
      <c r="V401" s="901"/>
      <c r="W401" s="903"/>
      <c r="X401" s="364"/>
      <c r="Y401" s="363"/>
      <c r="Z401" s="363"/>
      <c r="AA401" s="367"/>
      <c r="AB401"/>
      <c r="AC401"/>
      <c r="AD401"/>
      <c r="AE401"/>
      <c r="AF401"/>
    </row>
    <row r="402" spans="17:32" ht="12.75" customHeight="1">
      <c r="Q402" s="364"/>
      <c r="R402" s="892"/>
      <c r="S402" s="897"/>
      <c r="T402" s="702">
        <f>T389-PPE!$I$15</f>
        <v>92.119600000000005</v>
      </c>
      <c r="U402" s="560">
        <f>U396</f>
        <v>1.7391304347826084</v>
      </c>
      <c r="V402" s="690">
        <f>IF(T402&gt;0,W402*U402," ")</f>
        <v>111.52173913043477</v>
      </c>
      <c r="W402" s="691">
        <f>IF(T402&gt;0,(VLOOKUP(T402,'Lookup Ready-reckoner'!$B$5:$E$1207,4))," ")</f>
        <v>64.125</v>
      </c>
      <c r="X402" s="364"/>
      <c r="Y402" s="363"/>
      <c r="Z402" s="363"/>
      <c r="AA402" s="367"/>
      <c r="AB402"/>
      <c r="AC402"/>
      <c r="AD402"/>
      <c r="AE402"/>
      <c r="AF402"/>
    </row>
    <row r="403" spans="17:32" ht="12.75" customHeight="1">
      <c r="Q403" s="364"/>
      <c r="R403" s="898"/>
      <c r="S403" s="899"/>
      <c r="T403" s="447"/>
      <c r="U403" s="560"/>
      <c r="V403" s="690" t="str">
        <f>IF(T403&gt;0,W403*U403," ")</f>
        <v xml:space="preserve"> </v>
      </c>
      <c r="W403" s="691" t="str">
        <f>IF(T403&gt;0,(VLOOKUP(T403,'Lookup Ready-reckoner'!$B$5:$E$1007,4))," ")</f>
        <v xml:space="preserve"> </v>
      </c>
      <c r="X403" s="364"/>
      <c r="Y403" s="363"/>
      <c r="Z403" s="363"/>
      <c r="AA403" s="367"/>
      <c r="AB403"/>
      <c r="AC403"/>
      <c r="AD403"/>
      <c r="AE403"/>
      <c r="AF403"/>
    </row>
    <row r="404" spans="17:32" ht="12.75" customHeight="1" thickBot="1">
      <c r="Q404" s="364"/>
      <c r="R404" s="692" t="s">
        <v>839</v>
      </c>
      <c r="S404" s="693"/>
      <c r="T404" s="693"/>
      <c r="U404" s="703">
        <f>IF(T402&gt;0,(VLOOKUP(V404,'Lookup Ready-reckoner'!$L$5:$M$1207,2))," ")</f>
        <v>85.45</v>
      </c>
      <c r="V404" s="695">
        <f>IF(U402&gt;0,(SUM(V402:V403))," ")</f>
        <v>111.52173913043477</v>
      </c>
      <c r="W404" s="696"/>
      <c r="X404" s="364"/>
      <c r="Y404" s="363"/>
      <c r="Z404" s="363"/>
      <c r="AA404" s="367"/>
      <c r="AB404"/>
      <c r="AC404"/>
      <c r="AD404"/>
      <c r="AE404"/>
      <c r="AF404"/>
    </row>
    <row r="405" spans="17:32" ht="12.75" customHeight="1">
      <c r="Q405" s="364"/>
      <c r="R405" s="363"/>
      <c r="S405" s="363"/>
      <c r="T405" s="363"/>
      <c r="U405" s="363"/>
      <c r="V405" s="363"/>
      <c r="W405" s="363"/>
      <c r="X405" s="364"/>
      <c r="Y405" s="364"/>
      <c r="Z405" s="364"/>
      <c r="AA405" s="367"/>
      <c r="AB405"/>
      <c r="AC405"/>
      <c r="AD405"/>
      <c r="AE405"/>
      <c r="AF405"/>
    </row>
    <row r="406" spans="17:32" ht="12.75" customHeight="1">
      <c r="Q406" s="364"/>
      <c r="R406" s="909" t="str">
        <f>V306</f>
        <v xml:space="preserve">Hilti TE MD20 </v>
      </c>
      <c r="S406" s="909"/>
      <c r="T406" s="909"/>
      <c r="U406" s="909"/>
      <c r="V406" s="909"/>
      <c r="W406" s="909"/>
      <c r="X406" s="364"/>
      <c r="Y406" s="364"/>
      <c r="Z406" s="364"/>
      <c r="AA406" s="367"/>
      <c r="AB406"/>
      <c r="AC406"/>
      <c r="AD406"/>
      <c r="AE406"/>
      <c r="AF406"/>
    </row>
    <row r="407" spans="17:32" ht="12.75" customHeight="1" thickBot="1">
      <c r="Q407" s="364"/>
      <c r="R407" s="910" t="s">
        <v>205</v>
      </c>
      <c r="S407" s="911"/>
      <c r="T407" s="911"/>
      <c r="U407" s="911"/>
      <c r="V407" s="911"/>
      <c r="W407" s="912"/>
      <c r="X407" s="364"/>
      <c r="Y407" s="364"/>
      <c r="Z407" s="364"/>
      <c r="AA407" s="367"/>
      <c r="AB407"/>
      <c r="AC407"/>
      <c r="AD407"/>
      <c r="AE407"/>
      <c r="AF407"/>
    </row>
    <row r="408" spans="17:32" ht="12.75" customHeight="1" thickBot="1">
      <c r="Q408" s="364"/>
      <c r="R408" s="686" t="s">
        <v>59</v>
      </c>
      <c r="S408" s="577"/>
      <c r="T408" s="687"/>
      <c r="U408" s="687"/>
      <c r="V408" s="687"/>
      <c r="W408" s="688"/>
      <c r="X408" s="364"/>
      <c r="Y408" s="364"/>
      <c r="Z408" s="364"/>
      <c r="AA408" s="367"/>
      <c r="AB408"/>
      <c r="AC408"/>
      <c r="AD408"/>
      <c r="AE408"/>
      <c r="AF408"/>
    </row>
    <row r="409" spans="17:32" ht="12.75" customHeight="1">
      <c r="Q409" s="364"/>
      <c r="R409" s="895" t="s">
        <v>845</v>
      </c>
      <c r="S409" s="896"/>
      <c r="T409" s="900" t="s">
        <v>835</v>
      </c>
      <c r="U409" s="900" t="s">
        <v>836</v>
      </c>
      <c r="V409" s="900" t="s">
        <v>837</v>
      </c>
      <c r="W409" s="902" t="s">
        <v>838</v>
      </c>
      <c r="X409" s="364"/>
      <c r="Y409" s="364"/>
      <c r="Z409" s="364"/>
      <c r="AA409" s="367"/>
      <c r="AB409"/>
      <c r="AC409"/>
      <c r="AD409"/>
      <c r="AE409"/>
      <c r="AF409"/>
    </row>
    <row r="410" spans="17:32" ht="12.75" customHeight="1">
      <c r="Q410" s="364"/>
      <c r="R410" s="892"/>
      <c r="S410" s="897"/>
      <c r="T410" s="904"/>
      <c r="U410" s="904"/>
      <c r="V410" s="904"/>
      <c r="W410" s="905"/>
      <c r="X410" s="364"/>
      <c r="Y410" s="364"/>
      <c r="Z410" s="364"/>
      <c r="AA410" s="367"/>
      <c r="AB410"/>
      <c r="AC410"/>
      <c r="AD410"/>
      <c r="AE410"/>
      <c r="AF410"/>
    </row>
    <row r="411" spans="17:32" ht="12.75" customHeight="1">
      <c r="Q411" s="364"/>
      <c r="R411" s="892"/>
      <c r="S411" s="897"/>
      <c r="T411" s="901"/>
      <c r="U411" s="901"/>
      <c r="V411" s="901"/>
      <c r="W411" s="903"/>
      <c r="X411" s="364"/>
      <c r="Y411" s="364"/>
      <c r="Z411" s="364"/>
      <c r="AA411" s="367"/>
      <c r="AB411"/>
      <c r="AC411"/>
      <c r="AD411"/>
      <c r="AE411"/>
      <c r="AF411"/>
    </row>
    <row r="412" spans="17:32" ht="12.75" customHeight="1">
      <c r="Q412" s="364"/>
      <c r="R412" s="892"/>
      <c r="S412" s="897"/>
      <c r="T412" s="704">
        <f>U69</f>
        <v>102</v>
      </c>
      <c r="U412" s="560">
        <f>U62</f>
        <v>2.6666666666666665</v>
      </c>
      <c r="V412" s="690">
        <f>IF(T412&gt;0,W412*U412," ")</f>
        <v>1666.6666666666665</v>
      </c>
      <c r="W412" s="691">
        <f>IF(T412&gt;0,(VLOOKUP(T412,'Lookup Ready-reckoner'!$B$5:$E$1207,4))," ")</f>
        <v>625</v>
      </c>
      <c r="X412" s="364"/>
      <c r="Y412" s="364"/>
      <c r="Z412" s="364"/>
      <c r="AA412" s="367"/>
      <c r="AB412"/>
      <c r="AC412"/>
      <c r="AD412"/>
      <c r="AE412"/>
      <c r="AF412"/>
    </row>
    <row r="413" spans="17:32" ht="12.75" customHeight="1">
      <c r="Q413" s="364"/>
      <c r="R413" s="898"/>
      <c r="S413" s="899"/>
      <c r="T413" s="447"/>
      <c r="U413" s="560"/>
      <c r="V413" s="690" t="str">
        <f>IF(T413&gt;0,W413*U413," ")</f>
        <v xml:space="preserve"> </v>
      </c>
      <c r="W413" s="691" t="str">
        <f>IF(T413&gt;0,(VLOOKUP(T413,'Lookup Ready-reckoner'!$B$5:$E$1007,4))," ")</f>
        <v xml:space="preserve"> </v>
      </c>
      <c r="X413" s="364"/>
      <c r="Y413" s="364"/>
      <c r="Z413" s="364"/>
      <c r="AA413" s="367"/>
      <c r="AB413"/>
      <c r="AC413"/>
      <c r="AD413"/>
      <c r="AE413"/>
      <c r="AF413"/>
    </row>
    <row r="414" spans="17:32" ht="12.75" customHeight="1" thickBot="1">
      <c r="Q414" s="364"/>
      <c r="R414" s="692" t="s">
        <v>839</v>
      </c>
      <c r="S414" s="693"/>
      <c r="T414" s="693"/>
      <c r="U414" s="705">
        <f>IF(T412&gt;0,(VLOOKUP(V414,'Lookup Ready-reckoner'!$L$5:$M$1207,2))," ")</f>
        <v>97.15</v>
      </c>
      <c r="V414" s="695">
        <f>IF(U412&gt;0,(SUM(V412:V413))," ")</f>
        <v>1666.6666666666665</v>
      </c>
      <c r="W414" s="696"/>
      <c r="X414" s="364"/>
      <c r="Y414" s="364"/>
      <c r="Z414" s="364"/>
      <c r="AA414" s="367"/>
      <c r="AB414"/>
      <c r="AC414"/>
      <c r="AD414"/>
      <c r="AE414"/>
      <c r="AF414"/>
    </row>
    <row r="415" spans="17:32" ht="12.75" customHeight="1" thickBot="1">
      <c r="Q415" s="364"/>
      <c r="R415" s="906"/>
      <c r="S415" s="907"/>
      <c r="T415" s="907"/>
      <c r="U415" s="907"/>
      <c r="V415" s="907"/>
      <c r="W415" s="908"/>
      <c r="X415" s="364"/>
      <c r="Y415" s="364"/>
      <c r="Z415" s="364"/>
      <c r="AA415" s="367"/>
      <c r="AB415"/>
      <c r="AC415"/>
      <c r="AD415"/>
      <c r="AE415"/>
      <c r="AF415"/>
    </row>
    <row r="416" spans="17:32" ht="12.75" customHeight="1">
      <c r="Q416" s="364"/>
      <c r="R416" s="895" t="s">
        <v>886</v>
      </c>
      <c r="S416" s="896"/>
      <c r="T416" s="900" t="s">
        <v>835</v>
      </c>
      <c r="U416" s="900" t="s">
        <v>836</v>
      </c>
      <c r="V416" s="900" t="s">
        <v>837</v>
      </c>
      <c r="W416" s="902" t="s">
        <v>838</v>
      </c>
      <c r="X416" s="364"/>
      <c r="Y416" s="364"/>
      <c r="Z416" s="364"/>
      <c r="AA416" s="367"/>
      <c r="AB416"/>
      <c r="AC416"/>
      <c r="AD416"/>
      <c r="AE416"/>
      <c r="AF416"/>
    </row>
    <row r="417" spans="17:32" ht="12.75" customHeight="1">
      <c r="Q417" s="364"/>
      <c r="R417" s="892"/>
      <c r="S417" s="897"/>
      <c r="T417" s="901"/>
      <c r="U417" s="901"/>
      <c r="V417" s="901"/>
      <c r="W417" s="903"/>
      <c r="X417" s="364"/>
      <c r="Y417" s="364"/>
      <c r="Z417" s="364"/>
      <c r="AA417" s="367"/>
      <c r="AB417"/>
      <c r="AC417"/>
      <c r="AD417"/>
      <c r="AE417"/>
      <c r="AF417"/>
    </row>
    <row r="418" spans="17:32" ht="12.75" customHeight="1">
      <c r="Q418" s="364"/>
      <c r="R418" s="892"/>
      <c r="S418" s="897"/>
      <c r="T418" s="704">
        <f>T412*(1-0.0178*2)</f>
        <v>98.368800000000007</v>
      </c>
      <c r="U418" s="560">
        <f>U412</f>
        <v>2.6666666666666665</v>
      </c>
      <c r="V418" s="690">
        <f>IF(T418&gt;0,W418*U418," ")</f>
        <v>725</v>
      </c>
      <c r="W418" s="691">
        <f>IF(T418&gt;0,(VLOOKUP(T418,'Lookup Ready-reckoner'!$B$5:$E$1207,4))," ")</f>
        <v>271.875</v>
      </c>
      <c r="X418" s="364"/>
      <c r="Y418" s="364"/>
      <c r="Z418" s="364"/>
      <c r="AA418" s="367"/>
      <c r="AB418"/>
      <c r="AC418"/>
      <c r="AD418"/>
      <c r="AE418"/>
      <c r="AF418"/>
    </row>
    <row r="419" spans="17:32" ht="12.75" customHeight="1">
      <c r="Q419" s="364"/>
      <c r="R419" s="898"/>
      <c r="S419" s="899"/>
      <c r="T419" s="447"/>
      <c r="U419" s="560"/>
      <c r="V419" s="690" t="str">
        <f>IF(T419&gt;0,W419*U419," ")</f>
        <v xml:space="preserve"> </v>
      </c>
      <c r="W419" s="691" t="str">
        <f>IF(T419&gt;0,(VLOOKUP(T419,'Lookup Ready-reckoner'!$B$5:$E$1007,4))," ")</f>
        <v xml:space="preserve"> </v>
      </c>
      <c r="X419" s="364"/>
      <c r="Y419" s="364"/>
      <c r="Z419" s="364"/>
      <c r="AA419" s="367"/>
      <c r="AB419"/>
      <c r="AC419"/>
      <c r="AD419"/>
      <c r="AE419"/>
      <c r="AF419"/>
    </row>
    <row r="420" spans="17:32" ht="12.75" customHeight="1" thickBot="1">
      <c r="Q420" s="364"/>
      <c r="R420" s="692" t="s">
        <v>839</v>
      </c>
      <c r="S420" s="693"/>
      <c r="T420" s="693"/>
      <c r="U420" s="705">
        <f>IF(T418&gt;0,(VLOOKUP(V420,'Lookup Ready-reckoner'!$L$5:$M$1207,2))," ")</f>
        <v>93.55</v>
      </c>
      <c r="V420" s="695">
        <f>IF(U418&gt;0,(SUM(V418:V419))," ")</f>
        <v>725</v>
      </c>
      <c r="W420" s="696"/>
      <c r="X420" s="364"/>
      <c r="Y420" s="364"/>
      <c r="Z420" s="364"/>
      <c r="AA420" s="367"/>
      <c r="AB420"/>
      <c r="AC420"/>
      <c r="AD420"/>
      <c r="AE420"/>
      <c r="AF420"/>
    </row>
    <row r="421" spans="17:32" ht="12.75" customHeight="1">
      <c r="Q421" s="364"/>
      <c r="R421" s="697"/>
      <c r="S421" s="687"/>
      <c r="T421" s="687"/>
      <c r="U421" s="372"/>
      <c r="V421" s="374"/>
      <c r="W421" s="688"/>
      <c r="X421" s="364"/>
      <c r="Y421" s="364"/>
      <c r="Z421" s="364"/>
      <c r="AA421" s="367"/>
      <c r="AB421"/>
      <c r="AC421"/>
      <c r="AD421"/>
      <c r="AE421"/>
      <c r="AF421"/>
    </row>
    <row r="422" spans="17:32" ht="12.75" customHeight="1" thickBot="1">
      <c r="Q422" s="364"/>
      <c r="R422" s="686" t="s">
        <v>60</v>
      </c>
      <c r="S422" s="577"/>
      <c r="T422" s="577"/>
      <c r="U422" s="577"/>
      <c r="V422" s="577"/>
      <c r="W422" s="698"/>
      <c r="X422" s="364"/>
      <c r="Y422" s="364"/>
      <c r="Z422" s="364"/>
      <c r="AA422" s="367"/>
      <c r="AB422"/>
      <c r="AC422"/>
      <c r="AD422"/>
      <c r="AE422"/>
      <c r="AF422"/>
    </row>
    <row r="423" spans="17:32" ht="12.75" customHeight="1">
      <c r="Q423" s="364"/>
      <c r="R423" s="895" t="s">
        <v>845</v>
      </c>
      <c r="S423" s="896"/>
      <c r="T423" s="900" t="s">
        <v>835</v>
      </c>
      <c r="U423" s="900" t="s">
        <v>836</v>
      </c>
      <c r="V423" s="900" t="s">
        <v>837</v>
      </c>
      <c r="W423" s="902" t="s">
        <v>838</v>
      </c>
      <c r="X423" s="364"/>
      <c r="Y423" s="364"/>
      <c r="Z423" s="364"/>
      <c r="AA423" s="367"/>
      <c r="AB423"/>
      <c r="AC423"/>
      <c r="AD423"/>
      <c r="AE423"/>
      <c r="AF423"/>
    </row>
    <row r="424" spans="17:32" ht="12.75" customHeight="1">
      <c r="Q424" s="364"/>
      <c r="R424" s="892"/>
      <c r="S424" s="897"/>
      <c r="T424" s="901"/>
      <c r="U424" s="901"/>
      <c r="V424" s="901"/>
      <c r="W424" s="903"/>
      <c r="X424" s="364"/>
      <c r="Y424" s="364"/>
      <c r="Z424" s="364"/>
      <c r="AA424" s="367"/>
      <c r="AB424"/>
      <c r="AC424"/>
      <c r="AD424"/>
      <c r="AE424"/>
      <c r="AF424"/>
    </row>
    <row r="425" spans="17:32" ht="12.75" customHeight="1">
      <c r="Q425" s="364"/>
      <c r="R425" s="892"/>
      <c r="S425" s="897"/>
      <c r="T425" s="704">
        <f>T412-PPE!$I$15</f>
        <v>89</v>
      </c>
      <c r="U425" s="560">
        <f>U418</f>
        <v>2.6666666666666665</v>
      </c>
      <c r="V425" s="690">
        <f>IF(T425&gt;0,W425*U425," ")</f>
        <v>83.333333333333329</v>
      </c>
      <c r="W425" s="691">
        <f>IF(T425&gt;0,(VLOOKUP(T425,'Lookup Ready-reckoner'!$B$5:$E$1207,4))," ")</f>
        <v>31.25</v>
      </c>
      <c r="X425" s="364"/>
      <c r="Y425" s="364"/>
      <c r="Z425" s="364"/>
      <c r="AA425" s="367"/>
      <c r="AB425"/>
      <c r="AC425"/>
      <c r="AD425"/>
      <c r="AE425"/>
      <c r="AF425"/>
    </row>
    <row r="426" spans="17:32" ht="12.75" customHeight="1">
      <c r="Q426" s="364"/>
      <c r="R426" s="898"/>
      <c r="S426" s="899"/>
      <c r="T426" s="447"/>
      <c r="U426" s="560"/>
      <c r="V426" s="690" t="str">
        <f>IF(T426&gt;0,W426*U426," ")</f>
        <v xml:space="preserve"> </v>
      </c>
      <c r="W426" s="691" t="str">
        <f>IF(T426&gt;0,(VLOOKUP(T426,'Lookup Ready-reckoner'!$B$5:$E$1007,4))," ")</f>
        <v xml:space="preserve"> </v>
      </c>
      <c r="X426" s="364"/>
      <c r="Y426" s="364"/>
      <c r="Z426" s="364"/>
      <c r="AA426" s="367"/>
      <c r="AB426"/>
      <c r="AC426"/>
      <c r="AD426"/>
      <c r="AE426"/>
      <c r="AF426"/>
    </row>
    <row r="427" spans="17:32" ht="12.75" customHeight="1" thickBot="1">
      <c r="Q427" s="364"/>
      <c r="R427" s="692" t="s">
        <v>839</v>
      </c>
      <c r="S427" s="693"/>
      <c r="T427" s="693"/>
      <c r="U427" s="705">
        <f>IF(T425&gt;0,(VLOOKUP(V427,'Lookup Ready-reckoner'!$L$5:$M$1207,2))," ")</f>
        <v>84.15</v>
      </c>
      <c r="V427" s="695">
        <f>IF(U425&gt;0,(SUM(V425:V426))," ")</f>
        <v>83.333333333333329</v>
      </c>
      <c r="W427" s="696"/>
      <c r="X427" s="364"/>
      <c r="Y427" s="364"/>
      <c r="Z427" s="364"/>
      <c r="AA427" s="367"/>
      <c r="AB427"/>
      <c r="AC427"/>
      <c r="AD427"/>
      <c r="AE427"/>
      <c r="AF427"/>
    </row>
    <row r="428" spans="17:32" ht="12.75" customHeight="1" thickBot="1">
      <c r="Q428" s="364"/>
      <c r="R428" s="892"/>
      <c r="S428" s="893"/>
      <c r="T428" s="893"/>
      <c r="U428" s="893"/>
      <c r="V428" s="893"/>
      <c r="W428" s="894"/>
      <c r="X428" s="364"/>
      <c r="Y428" s="364"/>
      <c r="Z428" s="364"/>
      <c r="AA428" s="367"/>
      <c r="AB428"/>
      <c r="AC428"/>
      <c r="AD428"/>
      <c r="AE428"/>
      <c r="AF428"/>
    </row>
    <row r="429" spans="17:32" ht="12.75" customHeight="1">
      <c r="Q429" s="364"/>
      <c r="R429" s="895" t="s">
        <v>886</v>
      </c>
      <c r="S429" s="896"/>
      <c r="T429" s="900" t="s">
        <v>835</v>
      </c>
      <c r="U429" s="900" t="s">
        <v>836</v>
      </c>
      <c r="V429" s="900" t="s">
        <v>837</v>
      </c>
      <c r="W429" s="902" t="s">
        <v>838</v>
      </c>
      <c r="X429" s="364"/>
      <c r="Y429" s="364"/>
      <c r="Z429" s="364"/>
      <c r="AA429" s="367"/>
      <c r="AB429"/>
      <c r="AC429"/>
      <c r="AD429"/>
      <c r="AE429"/>
      <c r="AF429"/>
    </row>
    <row r="430" spans="17:32" ht="12.75" customHeight="1">
      <c r="Q430" s="364"/>
      <c r="R430" s="892"/>
      <c r="S430" s="897"/>
      <c r="T430" s="901"/>
      <c r="U430" s="901"/>
      <c r="V430" s="901"/>
      <c r="W430" s="903"/>
      <c r="X430" s="364"/>
      <c r="Y430" s="364"/>
      <c r="Z430" s="364"/>
      <c r="AA430" s="367"/>
      <c r="AB430"/>
      <c r="AC430"/>
      <c r="AD430"/>
      <c r="AE430"/>
      <c r="AF430"/>
    </row>
    <row r="431" spans="17:32" ht="12.75" customHeight="1">
      <c r="Q431" s="364"/>
      <c r="R431" s="892"/>
      <c r="S431" s="897"/>
      <c r="T431" s="704">
        <f>T418-PPE!$I$15</f>
        <v>85.368800000000007</v>
      </c>
      <c r="U431" s="560">
        <f>U425</f>
        <v>2.6666666666666665</v>
      </c>
      <c r="V431" s="690">
        <f>IF(T431&gt;0,W431*U431," ")</f>
        <v>36.25</v>
      </c>
      <c r="W431" s="691">
        <f>IF(T431&gt;0,(VLOOKUP(T431,'Lookup Ready-reckoner'!$B$5:$E$1207,4))," ")</f>
        <v>13.59375</v>
      </c>
      <c r="X431" s="364"/>
      <c r="Y431" s="364"/>
      <c r="Z431" s="364"/>
      <c r="AA431" s="367"/>
      <c r="AB431"/>
      <c r="AC431"/>
      <c r="AD431"/>
      <c r="AE431"/>
      <c r="AF431"/>
    </row>
    <row r="432" spans="17:32" ht="12.75" customHeight="1">
      <c r="Q432" s="364"/>
      <c r="R432" s="898"/>
      <c r="S432" s="899"/>
      <c r="T432" s="447"/>
      <c r="U432" s="560"/>
      <c r="V432" s="690" t="str">
        <f>IF(T432&gt;0,W432*U432," ")</f>
        <v xml:space="preserve"> </v>
      </c>
      <c r="W432" s="691" t="str">
        <f>IF(T432&gt;0,(VLOOKUP(T432,'Lookup Ready-reckoner'!$B$5:$E$1007,4))," ")</f>
        <v xml:space="preserve"> </v>
      </c>
      <c r="X432" s="364"/>
      <c r="Y432" s="364"/>
      <c r="Z432" s="364"/>
      <c r="AA432" s="367"/>
      <c r="AB432"/>
      <c r="AC432"/>
      <c r="AD432"/>
      <c r="AE432"/>
      <c r="AF432"/>
    </row>
    <row r="433" spans="17:32" ht="12.75" customHeight="1" thickBot="1">
      <c r="Q433" s="364"/>
      <c r="R433" s="692" t="s">
        <v>839</v>
      </c>
      <c r="S433" s="693"/>
      <c r="T433" s="693"/>
      <c r="U433" s="705">
        <f>IF(T431&gt;0,(VLOOKUP(V433,'Lookup Ready-reckoner'!$L$5:$M$1207,2))," ")</f>
        <v>80.5</v>
      </c>
      <c r="V433" s="695">
        <f>IF(U431&gt;0,(SUM(V431:V432))," ")</f>
        <v>36.25</v>
      </c>
      <c r="W433" s="696"/>
      <c r="X433" s="364"/>
      <c r="Y433" s="364"/>
      <c r="Z433" s="364"/>
      <c r="AA433" s="367"/>
      <c r="AB433"/>
      <c r="AC433"/>
      <c r="AD433"/>
      <c r="AE433"/>
      <c r="AF433"/>
    </row>
    <row r="434" spans="17:32" ht="12.75" customHeight="1" thickBot="1">
      <c r="Q434" s="364"/>
      <c r="R434" s="364"/>
      <c r="S434" s="364"/>
      <c r="T434" s="364"/>
      <c r="U434" s="364"/>
      <c r="V434" s="364"/>
      <c r="W434" s="364"/>
      <c r="X434" s="364"/>
      <c r="Y434" s="364"/>
      <c r="Z434" s="364"/>
      <c r="AA434" s="367"/>
      <c r="AB434"/>
      <c r="AC434"/>
      <c r="AD434"/>
      <c r="AE434"/>
      <c r="AF434"/>
    </row>
    <row r="435" spans="17:32" ht="12.75" customHeight="1" thickTop="1">
      <c r="Q435" s="364"/>
      <c r="R435" s="916" t="s">
        <v>429</v>
      </c>
      <c r="S435" s="917"/>
      <c r="T435" s="917"/>
      <c r="U435" s="917"/>
      <c r="V435" s="917"/>
      <c r="W435" s="918"/>
      <c r="X435" s="364"/>
      <c r="Y435" s="364"/>
      <c r="Z435" s="364"/>
      <c r="AA435" s="367"/>
      <c r="AB435"/>
      <c r="AC435"/>
      <c r="AD435"/>
      <c r="AE435"/>
      <c r="AF435"/>
    </row>
    <row r="436" spans="17:32" ht="12.75" customHeight="1">
      <c r="Q436" s="364"/>
      <c r="R436" s="919"/>
      <c r="S436" s="920"/>
      <c r="T436" s="920"/>
      <c r="U436" s="920"/>
      <c r="V436" s="920"/>
      <c r="W436" s="921"/>
      <c r="X436" s="364"/>
      <c r="Y436" s="364"/>
      <c r="Z436" s="364"/>
      <c r="AA436" s="367"/>
      <c r="AB436"/>
      <c r="AC436"/>
      <c r="AD436"/>
      <c r="AE436"/>
      <c r="AF436"/>
    </row>
    <row r="437" spans="17:32" ht="12.75" customHeight="1" thickBot="1">
      <c r="Q437" s="364"/>
      <c r="R437" s="922"/>
      <c r="S437" s="923"/>
      <c r="T437" s="923"/>
      <c r="U437" s="923"/>
      <c r="V437" s="923"/>
      <c r="W437" s="924"/>
      <c r="X437" s="364"/>
      <c r="Y437" s="364"/>
      <c r="Z437" s="364"/>
      <c r="AA437" s="367"/>
      <c r="AB437"/>
      <c r="AC437"/>
      <c r="AD437"/>
      <c r="AE437"/>
      <c r="AF437"/>
    </row>
    <row r="438" spans="17:32" ht="12.75" customHeight="1" thickTop="1">
      <c r="Q438" s="364"/>
      <c r="R438" s="925" t="str">
        <f>R319</f>
        <v>Seco S215</v>
      </c>
      <c r="S438" s="925"/>
      <c r="T438" s="925"/>
      <c r="U438" s="925"/>
      <c r="V438" s="925"/>
      <c r="W438" s="925"/>
      <c r="X438" s="364"/>
      <c r="Y438" s="364"/>
      <c r="Z438" s="364"/>
      <c r="AA438" s="367"/>
      <c r="AB438"/>
      <c r="AC438"/>
      <c r="AD438"/>
      <c r="AE438"/>
      <c r="AF438"/>
    </row>
    <row r="439" spans="17:32" ht="12.75" customHeight="1" thickBot="1">
      <c r="Q439" s="364"/>
      <c r="R439" s="910" t="s">
        <v>205</v>
      </c>
      <c r="S439" s="911"/>
      <c r="T439" s="911"/>
      <c r="U439" s="911"/>
      <c r="V439" s="911"/>
      <c r="W439" s="912"/>
      <c r="X439" s="364"/>
      <c r="Y439" s="364"/>
      <c r="Z439" s="364"/>
      <c r="AA439" s="367"/>
      <c r="AB439"/>
      <c r="AC439"/>
      <c r="AD439"/>
      <c r="AE439"/>
      <c r="AF439"/>
    </row>
    <row r="440" spans="17:32" ht="12.75" customHeight="1" thickBot="1">
      <c r="Q440" s="364"/>
      <c r="R440" s="686" t="s">
        <v>59</v>
      </c>
      <c r="S440" s="577"/>
      <c r="T440" s="687"/>
      <c r="U440" s="687"/>
      <c r="V440" s="687"/>
      <c r="W440" s="688"/>
      <c r="X440" s="364"/>
      <c r="Y440" s="364"/>
      <c r="Z440" s="364"/>
      <c r="AA440" s="367"/>
      <c r="AB440"/>
      <c r="AC440"/>
      <c r="AD440"/>
      <c r="AE440"/>
      <c r="AF440"/>
    </row>
    <row r="441" spans="17:32" ht="12.75" customHeight="1">
      <c r="Q441" s="364"/>
      <c r="R441" s="895" t="s">
        <v>845</v>
      </c>
      <c r="S441" s="896"/>
      <c r="T441" s="900" t="s">
        <v>835</v>
      </c>
      <c r="U441" s="900" t="s">
        <v>836</v>
      </c>
      <c r="V441" s="900" t="s">
        <v>837</v>
      </c>
      <c r="W441" s="902" t="s">
        <v>838</v>
      </c>
      <c r="X441" s="364"/>
      <c r="Y441" s="364"/>
      <c r="Z441" s="364"/>
      <c r="AA441" s="367"/>
      <c r="AB441"/>
      <c r="AC441"/>
      <c r="AD441"/>
      <c r="AE441"/>
      <c r="AF441"/>
    </row>
    <row r="442" spans="17:32" ht="12.75" customHeight="1">
      <c r="Q442" s="364"/>
      <c r="R442" s="892"/>
      <c r="S442" s="897"/>
      <c r="T442" s="904"/>
      <c r="U442" s="904"/>
      <c r="V442" s="904"/>
      <c r="W442" s="905"/>
      <c r="X442" s="364"/>
      <c r="Y442" s="364"/>
      <c r="Z442" s="364"/>
      <c r="AA442" s="367"/>
      <c r="AB442"/>
      <c r="AC442"/>
      <c r="AD442"/>
      <c r="AE442"/>
      <c r="AF442"/>
    </row>
    <row r="443" spans="17:32" ht="12.75" customHeight="1">
      <c r="Q443" s="364"/>
      <c r="R443" s="892"/>
      <c r="S443" s="897"/>
      <c r="T443" s="901"/>
      <c r="U443" s="901"/>
      <c r="V443" s="901"/>
      <c r="W443" s="903"/>
      <c r="X443" s="364"/>
      <c r="Y443" s="364"/>
      <c r="Z443" s="364"/>
      <c r="AA443" s="367"/>
      <c r="AB443"/>
      <c r="AC443"/>
      <c r="AD443"/>
      <c r="AE443"/>
      <c r="AF443"/>
    </row>
    <row r="444" spans="17:32" ht="12.75" customHeight="1">
      <c r="Q444" s="364"/>
      <c r="R444" s="892"/>
      <c r="S444" s="897"/>
      <c r="T444" s="689">
        <f>X76</f>
        <v>122.02059991327964</v>
      </c>
      <c r="U444" s="560">
        <f>X62</f>
        <v>1.4285714285714284</v>
      </c>
      <c r="V444" s="690">
        <f>IF(T444&gt;0,W444*U444," ")</f>
        <v>79999.999999999985</v>
      </c>
      <c r="W444" s="691">
        <f>IF(T444&gt;0,(VLOOKUP(T444,'Lookup Ready-reckoner'!$B$5:$E$1207,4))," ")</f>
        <v>56000</v>
      </c>
      <c r="X444" s="364"/>
      <c r="Y444" s="364"/>
      <c r="Z444" s="364"/>
      <c r="AA444" s="367"/>
      <c r="AB444"/>
      <c r="AC444"/>
      <c r="AD444"/>
      <c r="AE444"/>
      <c r="AF444"/>
    </row>
    <row r="445" spans="17:32" ht="12.75" customHeight="1">
      <c r="Q445" s="364"/>
      <c r="R445" s="898"/>
      <c r="S445" s="899"/>
      <c r="T445" s="447"/>
      <c r="U445" s="560"/>
      <c r="V445" s="690" t="str">
        <f>IF(T445&gt;0,W445*U445," ")</f>
        <v xml:space="preserve"> </v>
      </c>
      <c r="W445" s="691" t="str">
        <f>IF(T445&gt;0,(VLOOKUP(T445,'Lookup Ready-reckoner'!$B$5:$E$1007,4))," ")</f>
        <v xml:space="preserve"> </v>
      </c>
      <c r="X445" s="364"/>
      <c r="Y445" s="364"/>
      <c r="Z445" s="364"/>
      <c r="AA445" s="367"/>
      <c r="AB445"/>
      <c r="AC445"/>
      <c r="AD445"/>
      <c r="AE445"/>
      <c r="AF445"/>
    </row>
    <row r="446" spans="17:32" ht="12.75" customHeight="1" thickBot="1">
      <c r="Q446" s="364"/>
      <c r="R446" s="692" t="s">
        <v>839</v>
      </c>
      <c r="S446" s="693"/>
      <c r="T446" s="693"/>
      <c r="U446" s="694">
        <f>IF(T444&gt;0,(VLOOKUP(V446,'Lookup Ready-reckoner'!$L$5:$M$1207,2))," ")</f>
        <v>113.95</v>
      </c>
      <c r="V446" s="695">
        <f>IF(U444&gt;0,(SUM(V444:V445))," ")</f>
        <v>79999.999999999985</v>
      </c>
      <c r="W446" s="696"/>
      <c r="X446" s="364"/>
      <c r="Y446" s="364"/>
      <c r="Z446" s="364"/>
      <c r="AA446" s="367"/>
      <c r="AB446"/>
      <c r="AC446"/>
      <c r="AD446"/>
      <c r="AE446"/>
      <c r="AF446"/>
    </row>
    <row r="447" spans="17:32" ht="12.75" customHeight="1" thickBot="1">
      <c r="Q447" s="364"/>
      <c r="R447" s="892"/>
      <c r="S447" s="893"/>
      <c r="T447" s="893"/>
      <c r="U447" s="893"/>
      <c r="V447" s="893"/>
      <c r="W447" s="894"/>
      <c r="X447" s="364"/>
      <c r="Y447" s="364"/>
      <c r="Z447" s="364"/>
      <c r="AA447" s="367"/>
      <c r="AB447"/>
      <c r="AC447"/>
      <c r="AD447"/>
      <c r="AE447"/>
      <c r="AF447"/>
    </row>
    <row r="448" spans="17:32" ht="12.75" customHeight="1">
      <c r="Q448" s="364"/>
      <c r="R448" s="895" t="s">
        <v>886</v>
      </c>
      <c r="S448" s="896"/>
      <c r="T448" s="900" t="s">
        <v>835</v>
      </c>
      <c r="U448" s="900" t="s">
        <v>836</v>
      </c>
      <c r="V448" s="900" t="s">
        <v>837</v>
      </c>
      <c r="W448" s="902" t="s">
        <v>838</v>
      </c>
      <c r="X448" s="364"/>
      <c r="Y448" s="364"/>
      <c r="Z448" s="364"/>
      <c r="AA448" s="367"/>
      <c r="AB448"/>
      <c r="AC448"/>
      <c r="AD448"/>
      <c r="AE448"/>
      <c r="AF448"/>
    </row>
    <row r="449" spans="17:32" ht="12.75" customHeight="1">
      <c r="Q449" s="364"/>
      <c r="R449" s="892"/>
      <c r="S449" s="897"/>
      <c r="T449" s="901"/>
      <c r="U449" s="901"/>
      <c r="V449" s="901"/>
      <c r="W449" s="903"/>
      <c r="X449" s="364"/>
      <c r="Y449" s="364"/>
      <c r="Z449" s="364"/>
      <c r="AA449" s="367"/>
      <c r="AB449"/>
      <c r="AC449"/>
      <c r="AD449"/>
      <c r="AE449"/>
      <c r="AF449"/>
    </row>
    <row r="450" spans="17:32" ht="12.75" customHeight="1">
      <c r="Q450" s="364"/>
      <c r="R450" s="892"/>
      <c r="S450" s="897"/>
      <c r="T450" s="689">
        <f>T444*(1-0.0178*2)</f>
        <v>117.67666655636688</v>
      </c>
      <c r="U450" s="560">
        <f>U444</f>
        <v>1.4285714285714284</v>
      </c>
      <c r="V450" s="690">
        <f>IF(T450&gt;0,W450*U450," ")</f>
        <v>33771.428571428565</v>
      </c>
      <c r="W450" s="691">
        <f>IF(T450&gt;0,(VLOOKUP(T450,'Lookup Ready-reckoner'!$B$5:$E$1207,4))," ")</f>
        <v>23640</v>
      </c>
      <c r="X450" s="364"/>
      <c r="Y450" s="364"/>
      <c r="Z450" s="364"/>
      <c r="AA450" s="367"/>
      <c r="AB450"/>
      <c r="AC450"/>
      <c r="AD450"/>
      <c r="AE450"/>
      <c r="AF450"/>
    </row>
    <row r="451" spans="17:32" ht="12.75" customHeight="1">
      <c r="Q451" s="364"/>
      <c r="R451" s="898"/>
      <c r="S451" s="899"/>
      <c r="T451" s="447"/>
      <c r="U451" s="560"/>
      <c r="V451" s="690" t="str">
        <f>IF(T451&gt;0,W451*U451," ")</f>
        <v xml:space="preserve"> </v>
      </c>
      <c r="W451" s="691" t="str">
        <f>IF(T451&gt;0,(VLOOKUP(T451,'Lookup Ready-reckoner'!$B$5:$E$1007,4))," ")</f>
        <v xml:space="preserve"> </v>
      </c>
      <c r="X451" s="364"/>
      <c r="Y451" s="364"/>
      <c r="Z451" s="364"/>
      <c r="AA451" s="367"/>
      <c r="AB451"/>
      <c r="AC451"/>
      <c r="AD451"/>
      <c r="AE451"/>
      <c r="AF451"/>
    </row>
    <row r="452" spans="17:32" ht="12.75" customHeight="1" thickBot="1">
      <c r="Q452" s="364"/>
      <c r="R452" s="692" t="s">
        <v>839</v>
      </c>
      <c r="S452" s="693"/>
      <c r="T452" s="693"/>
      <c r="U452" s="694">
        <f>IF(T450&gt;0,(VLOOKUP(V452,'Lookup Ready-reckoner'!$L$5:$M$1207,2))," ")</f>
        <v>110.2</v>
      </c>
      <c r="V452" s="695">
        <f>IF(U450&gt;0,(SUM(V450:V451))," ")</f>
        <v>33771.428571428565</v>
      </c>
      <c r="W452" s="696"/>
      <c r="X452" s="364"/>
      <c r="Y452" s="364"/>
      <c r="Z452" s="364"/>
      <c r="AA452" s="367"/>
      <c r="AB452"/>
      <c r="AC452"/>
      <c r="AD452"/>
      <c r="AE452"/>
      <c r="AF452"/>
    </row>
    <row r="453" spans="17:32" ht="12.75" customHeight="1">
      <c r="Q453" s="364"/>
      <c r="R453" s="697"/>
      <c r="S453" s="687"/>
      <c r="T453" s="687"/>
      <c r="U453" s="372"/>
      <c r="V453" s="374"/>
      <c r="W453" s="688"/>
      <c r="X453" s="364"/>
      <c r="Y453" s="364"/>
      <c r="Z453" s="364"/>
      <c r="AA453" s="367"/>
      <c r="AB453"/>
      <c r="AC453"/>
      <c r="AD453"/>
      <c r="AE453"/>
      <c r="AF453"/>
    </row>
    <row r="454" spans="17:32" ht="12.75" customHeight="1" thickBot="1">
      <c r="Q454" s="364"/>
      <c r="R454" s="686" t="s">
        <v>60</v>
      </c>
      <c r="S454" s="577"/>
      <c r="T454" s="577"/>
      <c r="U454" s="577"/>
      <c r="V454" s="577"/>
      <c r="W454" s="698"/>
      <c r="X454" s="364"/>
      <c r="Y454" s="364"/>
      <c r="Z454" s="364"/>
      <c r="AA454" s="367"/>
      <c r="AB454"/>
      <c r="AC454"/>
      <c r="AD454"/>
      <c r="AE454"/>
      <c r="AF454"/>
    </row>
    <row r="455" spans="17:32" ht="12.75" customHeight="1">
      <c r="Q455" s="364"/>
      <c r="R455" s="895" t="s">
        <v>845</v>
      </c>
      <c r="S455" s="896"/>
      <c r="T455" s="900" t="s">
        <v>835</v>
      </c>
      <c r="U455" s="900" t="s">
        <v>836</v>
      </c>
      <c r="V455" s="900" t="s">
        <v>837</v>
      </c>
      <c r="W455" s="902" t="s">
        <v>838</v>
      </c>
      <c r="X455" s="364"/>
      <c r="Y455" s="364"/>
      <c r="Z455" s="364"/>
      <c r="AA455" s="367"/>
      <c r="AB455"/>
      <c r="AC455"/>
      <c r="AD455"/>
      <c r="AE455"/>
      <c r="AF455"/>
    </row>
    <row r="456" spans="17:32" ht="12.75" customHeight="1">
      <c r="Q456" s="364"/>
      <c r="R456" s="892"/>
      <c r="S456" s="897"/>
      <c r="T456" s="901"/>
      <c r="U456" s="901"/>
      <c r="V456" s="901"/>
      <c r="W456" s="903"/>
      <c r="X456" s="364"/>
      <c r="Y456" s="364"/>
      <c r="Z456" s="364"/>
      <c r="AA456" s="367"/>
      <c r="AB456"/>
      <c r="AC456"/>
      <c r="AD456"/>
      <c r="AE456"/>
      <c r="AF456"/>
    </row>
    <row r="457" spans="17:32" ht="12.75" customHeight="1">
      <c r="Q457" s="364"/>
      <c r="R457" s="892"/>
      <c r="S457" s="897"/>
      <c r="T457" s="689">
        <f>T444-PPE!$I$15</f>
        <v>109.02059991327964</v>
      </c>
      <c r="U457" s="560">
        <f>U450</f>
        <v>1.4285714285714284</v>
      </c>
      <c r="V457" s="690">
        <f>IF(T457&gt;0,W457*U457," ")</f>
        <v>4571.4285714285706</v>
      </c>
      <c r="W457" s="691">
        <f>IF(T457&gt;0,(VLOOKUP(T457,'Lookup Ready-reckoner'!$B$5:$E$1207,4))," ")</f>
        <v>3200</v>
      </c>
      <c r="X457" s="364"/>
      <c r="Y457" s="364"/>
      <c r="Z457" s="364"/>
      <c r="AA457" s="367"/>
      <c r="AB457"/>
      <c r="AC457"/>
      <c r="AD457"/>
      <c r="AE457"/>
      <c r="AF457"/>
    </row>
    <row r="458" spans="17:32" ht="12.75" customHeight="1">
      <c r="Q458" s="364"/>
      <c r="R458" s="898"/>
      <c r="S458" s="899"/>
      <c r="T458" s="447"/>
      <c r="U458" s="560"/>
      <c r="V458" s="690" t="str">
        <f>IF(T458&gt;0,W458*U458," ")</f>
        <v xml:space="preserve"> </v>
      </c>
      <c r="W458" s="691" t="str">
        <f>IF(T458&gt;0,(VLOOKUP(T458,'Lookup Ready-reckoner'!$B$5:$E$1007,4))," ")</f>
        <v xml:space="preserve"> </v>
      </c>
      <c r="X458" s="364"/>
      <c r="Y458" s="364"/>
      <c r="Z458" s="364"/>
      <c r="AA458" s="367"/>
      <c r="AB458"/>
      <c r="AC458"/>
      <c r="AD458"/>
      <c r="AE458"/>
      <c r="AF458"/>
    </row>
    <row r="459" spans="17:32" ht="12.75" customHeight="1" thickBot="1">
      <c r="Q459" s="364"/>
      <c r="R459" s="699" t="s">
        <v>839</v>
      </c>
      <c r="S459" s="693"/>
      <c r="T459" s="693"/>
      <c r="U459" s="694">
        <f>IF(T457&gt;0,(VLOOKUP(V459,'Lookup Ready-reckoner'!$L$5:$M$1207,2))," ")</f>
        <v>101.55</v>
      </c>
      <c r="V459" s="695">
        <f>IF(U457&gt;0,(SUM(V457:V458))," ")</f>
        <v>4571.4285714285706</v>
      </c>
      <c r="W459" s="696"/>
      <c r="X459" s="364"/>
      <c r="Y459" s="364"/>
      <c r="Z459" s="364"/>
      <c r="AA459" s="367"/>
      <c r="AB459"/>
      <c r="AC459"/>
      <c r="AD459"/>
      <c r="AE459"/>
      <c r="AF459"/>
    </row>
    <row r="460" spans="17:32" ht="12.75" customHeight="1" thickBot="1">
      <c r="Q460" s="364"/>
      <c r="R460" s="892"/>
      <c r="S460" s="893"/>
      <c r="T460" s="893"/>
      <c r="U460" s="893"/>
      <c r="V460" s="893"/>
      <c r="W460" s="894"/>
      <c r="X460" s="364"/>
      <c r="Y460" s="364"/>
      <c r="Z460" s="364"/>
      <c r="AA460" s="367"/>
      <c r="AB460"/>
      <c r="AC460"/>
      <c r="AD460"/>
      <c r="AE460"/>
      <c r="AF460"/>
    </row>
    <row r="461" spans="17:32" ht="12.75" customHeight="1">
      <c r="Q461" s="364"/>
      <c r="R461" s="895" t="s">
        <v>886</v>
      </c>
      <c r="S461" s="896"/>
      <c r="T461" s="900" t="s">
        <v>835</v>
      </c>
      <c r="U461" s="900" t="s">
        <v>836</v>
      </c>
      <c r="V461" s="900" t="s">
        <v>837</v>
      </c>
      <c r="W461" s="902" t="s">
        <v>838</v>
      </c>
      <c r="X461" s="364"/>
      <c r="Y461" s="364"/>
      <c r="Z461" s="364"/>
      <c r="AA461" s="367"/>
      <c r="AB461"/>
      <c r="AC461"/>
      <c r="AD461"/>
      <c r="AE461"/>
      <c r="AF461"/>
    </row>
    <row r="462" spans="17:32" ht="12.75" customHeight="1">
      <c r="Q462" s="364"/>
      <c r="R462" s="892"/>
      <c r="S462" s="897"/>
      <c r="T462" s="901"/>
      <c r="U462" s="901"/>
      <c r="V462" s="901"/>
      <c r="W462" s="903"/>
      <c r="X462" s="364"/>
      <c r="Y462" s="364"/>
      <c r="Z462" s="364"/>
      <c r="AA462" s="367"/>
      <c r="AB462"/>
      <c r="AC462"/>
      <c r="AD462"/>
      <c r="AE462"/>
      <c r="AF462"/>
    </row>
    <row r="463" spans="17:32" ht="12.75" customHeight="1">
      <c r="Q463" s="364"/>
      <c r="R463" s="892"/>
      <c r="S463" s="897"/>
      <c r="T463" s="689">
        <f>T450-PPE!$I$15</f>
        <v>104.67666655636688</v>
      </c>
      <c r="U463" s="560">
        <f>U457</f>
        <v>1.4285714285714284</v>
      </c>
      <c r="V463" s="690">
        <f>IF(T463&gt;0,W463*U463," ")</f>
        <v>1660.7142857142856</v>
      </c>
      <c r="W463" s="691">
        <f>IF(T463&gt;0,(VLOOKUP(T463,'Lookup Ready-reckoner'!$B$5:$E$1207,4))," ")</f>
        <v>1162.5</v>
      </c>
      <c r="X463" s="364"/>
      <c r="Y463" s="364"/>
      <c r="Z463" s="364"/>
      <c r="AA463" s="367"/>
      <c r="AB463"/>
      <c r="AC463"/>
      <c r="AD463"/>
      <c r="AE463"/>
      <c r="AF463"/>
    </row>
    <row r="464" spans="17:32" ht="12.75" customHeight="1">
      <c r="Q464" s="364"/>
      <c r="R464" s="898"/>
      <c r="S464" s="899"/>
      <c r="T464" s="447"/>
      <c r="U464" s="560"/>
      <c r="V464" s="690" t="str">
        <f>IF(T464&gt;0,W464*U464," ")</f>
        <v xml:space="preserve"> </v>
      </c>
      <c r="W464" s="691" t="str">
        <f>IF(T464&gt;0,(VLOOKUP(T464,'Lookup Ready-reckoner'!$B$5:$E$1007,4))," ")</f>
        <v xml:space="preserve"> </v>
      </c>
      <c r="X464" s="364"/>
      <c r="Y464" s="364"/>
      <c r="Z464" s="364"/>
      <c r="AA464" s="367"/>
      <c r="AB464"/>
      <c r="AC464"/>
      <c r="AD464"/>
      <c r="AE464"/>
      <c r="AF464"/>
    </row>
    <row r="465" spans="17:32" ht="12.75" customHeight="1" thickBot="1">
      <c r="Q465" s="364"/>
      <c r="R465" s="692" t="s">
        <v>839</v>
      </c>
      <c r="S465" s="693"/>
      <c r="T465" s="693"/>
      <c r="U465" s="694">
        <f>IF(T463&gt;0,(VLOOKUP(V465,'Lookup Ready-reckoner'!$L$5:$M$1207,2))," ")</f>
        <v>97.15</v>
      </c>
      <c r="V465" s="695">
        <f>IF(U463&gt;0,(SUM(V463:V464))," ")</f>
        <v>1660.7142857142856</v>
      </c>
      <c r="W465" s="696"/>
      <c r="X465" s="364"/>
      <c r="Y465" s="364"/>
      <c r="Z465" s="364"/>
      <c r="AA465" s="367"/>
      <c r="AB465"/>
      <c r="AC465"/>
      <c r="AD465"/>
      <c r="AE465"/>
      <c r="AF465"/>
    </row>
    <row r="466" spans="17:32" ht="12.75" customHeight="1">
      <c r="Q466" s="364"/>
      <c r="R466" s="363"/>
      <c r="S466" s="363"/>
      <c r="T466" s="363"/>
      <c r="U466" s="363"/>
      <c r="V466" s="363"/>
      <c r="W466" s="363"/>
      <c r="X466" s="364"/>
      <c r="Y466" s="364"/>
      <c r="Z466" s="364"/>
      <c r="AA466" s="367"/>
      <c r="AB466"/>
      <c r="AC466"/>
      <c r="AD466"/>
      <c r="AE466"/>
      <c r="AF466"/>
    </row>
    <row r="467" spans="17:32" ht="12.75" customHeight="1" thickBot="1">
      <c r="Q467" s="364"/>
      <c r="R467" s="915" t="str">
        <f>R348</f>
        <v>Seco S215 Muffled</v>
      </c>
      <c r="S467" s="915"/>
      <c r="T467" s="915"/>
      <c r="U467" s="915"/>
      <c r="V467" s="915"/>
      <c r="W467" s="915"/>
      <c r="X467" s="364"/>
      <c r="Y467" s="364"/>
      <c r="Z467" s="364"/>
      <c r="AA467" s="367"/>
      <c r="AB467"/>
      <c r="AC467"/>
      <c r="AD467"/>
      <c r="AE467"/>
      <c r="AF467"/>
    </row>
    <row r="468" spans="17:32" ht="12.75" customHeight="1" thickBot="1">
      <c r="Q468" s="364"/>
      <c r="R468" s="906" t="s">
        <v>205</v>
      </c>
      <c r="S468" s="907"/>
      <c r="T468" s="907"/>
      <c r="U468" s="907"/>
      <c r="V468" s="907"/>
      <c r="W468" s="908"/>
      <c r="X468" s="364"/>
      <c r="Y468" s="364"/>
      <c r="Z468" s="364"/>
      <c r="AA468" s="367"/>
      <c r="AB468"/>
      <c r="AC468"/>
      <c r="AD468"/>
      <c r="AE468"/>
      <c r="AF468"/>
    </row>
    <row r="469" spans="17:32" ht="12.75" customHeight="1" thickBot="1">
      <c r="Q469" s="364"/>
      <c r="R469" s="686" t="s">
        <v>59</v>
      </c>
      <c r="S469" s="577"/>
      <c r="T469" s="687"/>
      <c r="U469" s="687"/>
      <c r="V469" s="687"/>
      <c r="W469" s="688"/>
      <c r="X469" s="364"/>
      <c r="Y469" s="364"/>
      <c r="Z469" s="364"/>
      <c r="AA469" s="367"/>
      <c r="AB469"/>
      <c r="AC469"/>
      <c r="AD469"/>
      <c r="AE469"/>
      <c r="AF469"/>
    </row>
    <row r="470" spans="17:32" ht="12.75" customHeight="1">
      <c r="Q470" s="364"/>
      <c r="R470" s="895" t="s">
        <v>845</v>
      </c>
      <c r="S470" s="896"/>
      <c r="T470" s="900" t="s">
        <v>835</v>
      </c>
      <c r="U470" s="900" t="s">
        <v>836</v>
      </c>
      <c r="V470" s="900" t="s">
        <v>837</v>
      </c>
      <c r="W470" s="902" t="s">
        <v>838</v>
      </c>
      <c r="X470" s="364"/>
      <c r="Y470" s="364"/>
      <c r="Z470" s="364"/>
      <c r="AA470" s="367"/>
      <c r="AB470"/>
      <c r="AC470"/>
      <c r="AD470"/>
      <c r="AE470"/>
      <c r="AF470"/>
    </row>
    <row r="471" spans="17:32" ht="12.75" customHeight="1">
      <c r="Q471" s="364"/>
      <c r="R471" s="892"/>
      <c r="S471" s="897"/>
      <c r="T471" s="904"/>
      <c r="U471" s="904"/>
      <c r="V471" s="904"/>
      <c r="W471" s="905"/>
      <c r="X471" s="364"/>
      <c r="Y471" s="364"/>
      <c r="Z471" s="364"/>
      <c r="AA471" s="367"/>
      <c r="AB471"/>
      <c r="AC471"/>
      <c r="AD471"/>
      <c r="AE471"/>
      <c r="AF471"/>
    </row>
    <row r="472" spans="17:32" ht="12.75" customHeight="1">
      <c r="Q472" s="364"/>
      <c r="R472" s="892"/>
      <c r="S472" s="897"/>
      <c r="T472" s="901"/>
      <c r="U472" s="901"/>
      <c r="V472" s="901"/>
      <c r="W472" s="903"/>
      <c r="X472" s="364"/>
      <c r="Y472" s="364"/>
      <c r="Z472" s="364"/>
      <c r="AA472" s="367"/>
      <c r="AB472"/>
      <c r="AC472"/>
      <c r="AD472"/>
      <c r="AE472"/>
      <c r="AF472"/>
    </row>
    <row r="473" spans="17:32" ht="12.75" customHeight="1">
      <c r="Q473" s="364"/>
      <c r="R473" s="892"/>
      <c r="S473" s="897"/>
      <c r="T473" s="700">
        <f>V76</f>
        <v>114.02059991327963</v>
      </c>
      <c r="U473" s="560">
        <f>V62</f>
        <v>1.9999999999999996</v>
      </c>
      <c r="V473" s="690">
        <f>IF(T473&gt;0,W473*U473," ")</f>
        <v>19999.999999999996</v>
      </c>
      <c r="W473" s="691">
        <f>IF(T473&gt;0,(VLOOKUP(T473,'Lookup Ready-reckoner'!$B$5:$E$1207,4))," ")</f>
        <v>10000</v>
      </c>
      <c r="X473" s="364"/>
      <c r="Y473" s="364"/>
      <c r="Z473" s="364"/>
      <c r="AA473" s="367"/>
      <c r="AB473"/>
      <c r="AC473"/>
      <c r="AD473"/>
      <c r="AE473"/>
      <c r="AF473"/>
    </row>
    <row r="474" spans="17:32" ht="12.75" customHeight="1">
      <c r="Q474" s="364"/>
      <c r="R474" s="898"/>
      <c r="S474" s="899"/>
      <c r="T474" s="447"/>
      <c r="U474" s="560"/>
      <c r="V474" s="690" t="str">
        <f>IF(T474&gt;0,W474*U474," ")</f>
        <v xml:space="preserve"> </v>
      </c>
      <c r="W474" s="691" t="str">
        <f>IF(T474&gt;0,(VLOOKUP(T474,'Lookup Ready-reckoner'!$B$5:$E$1007,4))," ")</f>
        <v xml:space="preserve"> </v>
      </c>
      <c r="X474" s="364"/>
      <c r="Y474" s="364"/>
      <c r="Z474" s="364"/>
      <c r="AA474" s="367"/>
      <c r="AB474"/>
      <c r="AC474"/>
      <c r="AD474"/>
      <c r="AE474"/>
      <c r="AF474"/>
    </row>
    <row r="475" spans="17:32" ht="12.75" customHeight="1" thickBot="1">
      <c r="Q475" s="364"/>
      <c r="R475" s="699" t="s">
        <v>839</v>
      </c>
      <c r="S475" s="693"/>
      <c r="T475" s="693"/>
      <c r="U475" s="701">
        <f>IF(T473&gt;0,(VLOOKUP(V475,'Lookup Ready-reckoner'!$L$5:$M$1207,2))," ")</f>
        <v>107.95</v>
      </c>
      <c r="V475" s="695">
        <f>IF(U473&gt;0,(SUM(V473:V474))," ")</f>
        <v>19999.999999999996</v>
      </c>
      <c r="W475" s="696"/>
      <c r="X475" s="364"/>
      <c r="Y475" s="364"/>
      <c r="Z475" s="364"/>
      <c r="AA475" s="367"/>
      <c r="AB475"/>
      <c r="AC475"/>
      <c r="AD475"/>
      <c r="AE475"/>
      <c r="AF475"/>
    </row>
    <row r="476" spans="17:32" ht="12.75" customHeight="1" thickBot="1">
      <c r="Q476" s="364"/>
      <c r="R476" s="892"/>
      <c r="S476" s="893"/>
      <c r="T476" s="893"/>
      <c r="U476" s="893"/>
      <c r="V476" s="893"/>
      <c r="W476" s="894"/>
      <c r="X476" s="364"/>
      <c r="Y476" s="364"/>
      <c r="Z476" s="364"/>
      <c r="AA476" s="367"/>
      <c r="AB476"/>
      <c r="AC476"/>
      <c r="AD476"/>
      <c r="AE476"/>
      <c r="AF476"/>
    </row>
    <row r="477" spans="17:32" ht="12.75" customHeight="1">
      <c r="Q477" s="364"/>
      <c r="R477" s="895" t="s">
        <v>886</v>
      </c>
      <c r="S477" s="896"/>
      <c r="T477" s="900" t="s">
        <v>835</v>
      </c>
      <c r="U477" s="900" t="s">
        <v>836</v>
      </c>
      <c r="V477" s="900" t="s">
        <v>837</v>
      </c>
      <c r="W477" s="902" t="s">
        <v>838</v>
      </c>
      <c r="X477" s="364"/>
      <c r="Y477" s="364"/>
      <c r="Z477" s="364"/>
      <c r="AA477" s="367"/>
      <c r="AB477"/>
      <c r="AC477"/>
      <c r="AD477"/>
      <c r="AE477"/>
      <c r="AF477"/>
    </row>
    <row r="478" spans="17:32" ht="12.75" customHeight="1">
      <c r="Q478" s="364"/>
      <c r="R478" s="892"/>
      <c r="S478" s="897"/>
      <c r="T478" s="901"/>
      <c r="U478" s="901"/>
      <c r="V478" s="901"/>
      <c r="W478" s="903"/>
      <c r="X478" s="364"/>
      <c r="Y478" s="364"/>
      <c r="Z478" s="364"/>
      <c r="AA478" s="367"/>
      <c r="AB478"/>
      <c r="AC478"/>
      <c r="AD478"/>
      <c r="AE478"/>
      <c r="AF478"/>
    </row>
    <row r="479" spans="17:32" ht="12.75" customHeight="1">
      <c r="Q479" s="364"/>
      <c r="R479" s="892"/>
      <c r="S479" s="897"/>
      <c r="T479" s="700">
        <f>T473*(1-0.0178*2)</f>
        <v>109.96146655636687</v>
      </c>
      <c r="U479" s="560">
        <f>U473</f>
        <v>1.9999999999999996</v>
      </c>
      <c r="V479" s="690">
        <f>IF(T479&gt;0,W479*U479," ")</f>
        <v>7919.9999999999982</v>
      </c>
      <c r="W479" s="691">
        <f>IF(T479&gt;0,(VLOOKUP(T479,'Lookup Ready-reckoner'!$B$5:$E$1207,4))," ")</f>
        <v>3960</v>
      </c>
      <c r="X479" s="364"/>
      <c r="Y479" s="364"/>
      <c r="Z479" s="364"/>
      <c r="AA479" s="367"/>
      <c r="AB479"/>
      <c r="AC479"/>
      <c r="AD479"/>
      <c r="AE479"/>
      <c r="AF479"/>
    </row>
    <row r="480" spans="17:32" ht="12.75" customHeight="1">
      <c r="Q480" s="364"/>
      <c r="R480" s="898"/>
      <c r="S480" s="899"/>
      <c r="T480" s="447"/>
      <c r="U480" s="560"/>
      <c r="V480" s="690" t="str">
        <f>IF(T480&gt;0,W480*U480," ")</f>
        <v xml:space="preserve"> </v>
      </c>
      <c r="W480" s="691" t="str">
        <f>IF(T480&gt;0,(VLOOKUP(T480,'Lookup Ready-reckoner'!$B$5:$E$1007,4))," ")</f>
        <v xml:space="preserve"> </v>
      </c>
      <c r="X480" s="364"/>
      <c r="Y480" s="364"/>
      <c r="Z480" s="364"/>
      <c r="AA480" s="367"/>
      <c r="AB480"/>
      <c r="AC480"/>
      <c r="AD480"/>
      <c r="AE480"/>
      <c r="AF480"/>
    </row>
    <row r="481" spans="17:32" ht="12.75" customHeight="1" thickBot="1">
      <c r="Q481" s="364"/>
      <c r="R481" s="692" t="s">
        <v>839</v>
      </c>
      <c r="S481" s="693"/>
      <c r="T481" s="693"/>
      <c r="U481" s="701">
        <f>IF(T479&gt;0,(VLOOKUP(V481,'Lookup Ready-reckoner'!$L$5:$M$1207,2))," ")</f>
        <v>103.9</v>
      </c>
      <c r="V481" s="695">
        <f>IF(U479&gt;0,(SUM(V479:V480))," ")</f>
        <v>7919.9999999999982</v>
      </c>
      <c r="W481" s="696"/>
      <c r="X481" s="364"/>
      <c r="Y481" s="364"/>
      <c r="Z481" s="364"/>
      <c r="AA481" s="367"/>
      <c r="AB481"/>
      <c r="AC481"/>
      <c r="AD481"/>
      <c r="AE481"/>
      <c r="AF481"/>
    </row>
    <row r="482" spans="17:32" ht="12.75" customHeight="1">
      <c r="Q482" s="364"/>
      <c r="R482" s="697"/>
      <c r="S482" s="687"/>
      <c r="T482" s="687"/>
      <c r="U482" s="372"/>
      <c r="V482" s="374"/>
      <c r="W482" s="688"/>
      <c r="X482" s="364"/>
      <c r="Y482" s="364"/>
      <c r="Z482" s="364"/>
      <c r="AA482" s="367"/>
      <c r="AB482"/>
      <c r="AC482"/>
      <c r="AD482"/>
      <c r="AE482"/>
      <c r="AF482"/>
    </row>
    <row r="483" spans="17:32" ht="12.75" customHeight="1" thickBot="1">
      <c r="Q483" s="364"/>
      <c r="R483" s="686" t="s">
        <v>60</v>
      </c>
      <c r="S483" s="577"/>
      <c r="T483" s="577"/>
      <c r="U483" s="577"/>
      <c r="V483" s="577"/>
      <c r="W483" s="698"/>
      <c r="X483" s="364"/>
      <c r="Y483" s="364"/>
      <c r="Z483" s="364"/>
      <c r="AA483" s="367"/>
      <c r="AB483"/>
      <c r="AC483"/>
      <c r="AD483"/>
      <c r="AE483"/>
      <c r="AF483"/>
    </row>
    <row r="484" spans="17:32" ht="12.75" customHeight="1">
      <c r="Q484" s="364"/>
      <c r="R484" s="895" t="s">
        <v>845</v>
      </c>
      <c r="S484" s="896"/>
      <c r="T484" s="900" t="s">
        <v>835</v>
      </c>
      <c r="U484" s="900" t="s">
        <v>836</v>
      </c>
      <c r="V484" s="900" t="s">
        <v>837</v>
      </c>
      <c r="W484" s="902" t="s">
        <v>838</v>
      </c>
      <c r="X484" s="364"/>
      <c r="Y484" s="364"/>
      <c r="Z484" s="364"/>
      <c r="AA484" s="367"/>
      <c r="AB484"/>
      <c r="AC484"/>
      <c r="AD484"/>
      <c r="AE484"/>
      <c r="AF484"/>
    </row>
    <row r="485" spans="17:32" ht="12.75" customHeight="1">
      <c r="Q485" s="364"/>
      <c r="R485" s="892"/>
      <c r="S485" s="897"/>
      <c r="T485" s="901"/>
      <c r="U485" s="901"/>
      <c r="V485" s="901"/>
      <c r="W485" s="903"/>
      <c r="X485" s="364"/>
      <c r="Y485" s="364"/>
      <c r="Z485" s="364"/>
      <c r="AA485" s="367"/>
      <c r="AB485"/>
      <c r="AC485"/>
      <c r="AD485"/>
      <c r="AE485"/>
      <c r="AF485"/>
    </row>
    <row r="486" spans="17:32" ht="12.75" customHeight="1">
      <c r="Q486" s="364"/>
      <c r="R486" s="892"/>
      <c r="S486" s="897"/>
      <c r="T486" s="700">
        <f>T473-PPE!$I$15</f>
        <v>101.02059991327963</v>
      </c>
      <c r="U486" s="560">
        <f>U479</f>
        <v>1.9999999999999996</v>
      </c>
      <c r="V486" s="690">
        <f>IF(T486&gt;0,W486*U486," ")</f>
        <v>999.99999999999977</v>
      </c>
      <c r="W486" s="691">
        <f>IF(T486&gt;0,(VLOOKUP(T486,'Lookup Ready-reckoner'!$B$5:$E$1207,4))," ")</f>
        <v>500</v>
      </c>
      <c r="X486" s="364"/>
      <c r="Y486" s="364"/>
      <c r="Z486" s="364"/>
      <c r="AA486" s="367"/>
      <c r="AB486"/>
      <c r="AC486"/>
      <c r="AD486"/>
      <c r="AE486"/>
      <c r="AF486"/>
    </row>
    <row r="487" spans="17:32" ht="12.75" customHeight="1">
      <c r="Q487" s="364"/>
      <c r="R487" s="898"/>
      <c r="S487" s="899"/>
      <c r="T487" s="447"/>
      <c r="U487" s="560"/>
      <c r="V487" s="690" t="str">
        <f>IF(T487&gt;0,W487*U487," ")</f>
        <v xml:space="preserve"> </v>
      </c>
      <c r="W487" s="691" t="str">
        <f>IF(T487&gt;0,(VLOOKUP(T487,'Lookup Ready-reckoner'!$B$5:$E$1007,4))," ")</f>
        <v xml:space="preserve"> </v>
      </c>
      <c r="X487" s="364"/>
      <c r="Y487" s="364"/>
      <c r="Z487" s="364"/>
      <c r="AA487" s="367"/>
      <c r="AB487"/>
      <c r="AC487"/>
      <c r="AD487"/>
      <c r="AE487"/>
      <c r="AF487"/>
    </row>
    <row r="488" spans="17:32" ht="12.75" customHeight="1" thickBot="1">
      <c r="Q488" s="364"/>
      <c r="R488" s="692" t="s">
        <v>839</v>
      </c>
      <c r="S488" s="693"/>
      <c r="T488" s="693"/>
      <c r="U488" s="701">
        <f>IF(T486&gt;0,(VLOOKUP(V488,'Lookup Ready-reckoner'!$L$5:$M$1207,2))," ")</f>
        <v>94.95</v>
      </c>
      <c r="V488" s="695">
        <f>IF(U486&gt;0,(SUM(V486:V487))," ")</f>
        <v>999.99999999999977</v>
      </c>
      <c r="W488" s="696"/>
      <c r="X488" s="364"/>
      <c r="Y488" s="364"/>
      <c r="Z488" s="364"/>
      <c r="AA488" s="367"/>
      <c r="AB488"/>
      <c r="AC488"/>
      <c r="AD488"/>
      <c r="AE488"/>
      <c r="AF488"/>
    </row>
    <row r="489" spans="17:32" ht="12.75" customHeight="1" thickBot="1">
      <c r="Q489" s="364"/>
      <c r="R489" s="892"/>
      <c r="S489" s="893"/>
      <c r="T489" s="893"/>
      <c r="U489" s="893"/>
      <c r="V489" s="893"/>
      <c r="W489" s="894"/>
      <c r="X489" s="364"/>
      <c r="Y489" s="364"/>
      <c r="Z489" s="364"/>
      <c r="AA489" s="367"/>
      <c r="AB489"/>
      <c r="AC489"/>
      <c r="AD489"/>
      <c r="AE489"/>
      <c r="AF489"/>
    </row>
    <row r="490" spans="17:32" ht="12.75" customHeight="1">
      <c r="Q490" s="364"/>
      <c r="R490" s="895" t="s">
        <v>886</v>
      </c>
      <c r="S490" s="896"/>
      <c r="T490" s="900" t="s">
        <v>835</v>
      </c>
      <c r="U490" s="900" t="s">
        <v>836</v>
      </c>
      <c r="V490" s="900" t="s">
        <v>837</v>
      </c>
      <c r="W490" s="902" t="s">
        <v>838</v>
      </c>
      <c r="X490" s="364"/>
      <c r="Y490" s="364"/>
      <c r="Z490" s="364"/>
      <c r="AA490" s="367"/>
      <c r="AB490"/>
      <c r="AC490"/>
      <c r="AD490"/>
      <c r="AE490"/>
      <c r="AF490"/>
    </row>
    <row r="491" spans="17:32" ht="12.75" customHeight="1">
      <c r="Q491" s="364"/>
      <c r="R491" s="892"/>
      <c r="S491" s="897"/>
      <c r="T491" s="901"/>
      <c r="U491" s="901"/>
      <c r="V491" s="901"/>
      <c r="W491" s="903"/>
      <c r="X491" s="364"/>
      <c r="Y491" s="364"/>
      <c r="Z491" s="364"/>
      <c r="AA491" s="367"/>
      <c r="AB491"/>
      <c r="AC491"/>
      <c r="AD491"/>
      <c r="AE491"/>
      <c r="AF491"/>
    </row>
    <row r="492" spans="17:32" ht="12.75" customHeight="1">
      <c r="Q492" s="364"/>
      <c r="R492" s="892"/>
      <c r="S492" s="897"/>
      <c r="T492" s="700">
        <f>T479-PPE!$I$15</f>
        <v>96.961466556366872</v>
      </c>
      <c r="U492" s="560">
        <f>U486</f>
        <v>1.9999999999999996</v>
      </c>
      <c r="V492" s="690">
        <f>IF(T492&gt;0,W492*U492," ")</f>
        <v>395.62499999999989</v>
      </c>
      <c r="W492" s="691">
        <f>IF(T492&gt;0,(VLOOKUP(T492,'Lookup Ready-reckoner'!$B$5:$E$1207,4))," ")</f>
        <v>197.8125</v>
      </c>
      <c r="X492" s="364"/>
      <c r="Y492" s="364"/>
      <c r="Z492" s="364"/>
      <c r="AA492" s="367"/>
      <c r="AB492"/>
      <c r="AC492"/>
      <c r="AD492"/>
      <c r="AE492"/>
      <c r="AF492"/>
    </row>
    <row r="493" spans="17:32" ht="12.75" customHeight="1">
      <c r="Q493" s="364"/>
      <c r="R493" s="898"/>
      <c r="S493" s="899"/>
      <c r="T493" s="447"/>
      <c r="U493" s="560"/>
      <c r="V493" s="690" t="str">
        <f>IF(T493&gt;0,W493*U493," ")</f>
        <v xml:space="preserve"> </v>
      </c>
      <c r="W493" s="691" t="str">
        <f>IF(T493&gt;0,(VLOOKUP(T493,'Lookup Ready-reckoner'!$B$5:$E$1007,4))," ")</f>
        <v xml:space="preserve"> </v>
      </c>
      <c r="X493" s="364"/>
      <c r="Y493" s="364"/>
      <c r="Z493" s="364"/>
      <c r="AA493" s="367"/>
      <c r="AB493"/>
      <c r="AC493"/>
      <c r="AD493"/>
      <c r="AE493"/>
      <c r="AF493"/>
    </row>
    <row r="494" spans="17:32" ht="12.75" customHeight="1" thickBot="1">
      <c r="Q494" s="364"/>
      <c r="R494" s="692" t="s">
        <v>839</v>
      </c>
      <c r="S494" s="693"/>
      <c r="T494" s="693"/>
      <c r="U494" s="701">
        <f>IF(T492&gt;0,(VLOOKUP(V494,'Lookup Ready-reckoner'!$L$5:$M$1207,2))," ")</f>
        <v>90.9</v>
      </c>
      <c r="V494" s="695">
        <f>IF(U492&gt;0,(SUM(V492:V493))," ")</f>
        <v>395.62499999999989</v>
      </c>
      <c r="W494" s="696"/>
      <c r="X494" s="364"/>
      <c r="Y494" s="364"/>
      <c r="Z494" s="364"/>
      <c r="AA494" s="367"/>
      <c r="AB494"/>
      <c r="AC494"/>
      <c r="AD494"/>
      <c r="AE494"/>
      <c r="AF494"/>
    </row>
    <row r="495" spans="17:32" ht="12.75" customHeight="1">
      <c r="Q495" s="364"/>
      <c r="R495" s="363"/>
      <c r="S495" s="363"/>
      <c r="T495" s="363"/>
      <c r="U495" s="363"/>
      <c r="V495" s="363"/>
      <c r="W495" s="363"/>
      <c r="X495" s="364"/>
      <c r="Y495" s="364"/>
      <c r="Z495" s="364"/>
      <c r="AA495" s="367"/>
      <c r="AB495"/>
      <c r="AC495"/>
      <c r="AD495"/>
      <c r="AE495"/>
      <c r="AF495"/>
    </row>
    <row r="496" spans="17:32" ht="12.75" customHeight="1">
      <c r="Q496" s="364"/>
      <c r="R496" s="913" t="str">
        <f>R377</f>
        <v>Sulzer ADDS</v>
      </c>
      <c r="S496" s="914"/>
      <c r="T496" s="914"/>
      <c r="U496" s="914"/>
      <c r="V496" s="914"/>
      <c r="W496" s="914"/>
      <c r="X496" s="364"/>
      <c r="Y496" s="364"/>
      <c r="Z496" s="364"/>
      <c r="AA496" s="367"/>
      <c r="AB496"/>
      <c r="AC496"/>
      <c r="AD496"/>
      <c r="AE496"/>
      <c r="AF496"/>
    </row>
    <row r="497" spans="17:32" ht="12.75" customHeight="1" thickBot="1">
      <c r="Q497" s="364"/>
      <c r="R497" s="910" t="s">
        <v>205</v>
      </c>
      <c r="S497" s="911"/>
      <c r="T497" s="911"/>
      <c r="U497" s="911"/>
      <c r="V497" s="911"/>
      <c r="W497" s="912"/>
      <c r="X497" s="364"/>
      <c r="Y497" s="364"/>
      <c r="Z497" s="364"/>
      <c r="AA497" s="367"/>
      <c r="AB497"/>
      <c r="AC497"/>
      <c r="AD497"/>
      <c r="AE497"/>
      <c r="AF497"/>
    </row>
    <row r="498" spans="17:32" ht="12.75" customHeight="1" thickBot="1">
      <c r="Q498" s="364"/>
      <c r="R498" s="686" t="s">
        <v>59</v>
      </c>
      <c r="S498" s="577"/>
      <c r="T498" s="687"/>
      <c r="U498" s="687"/>
      <c r="V498" s="687"/>
      <c r="W498" s="688"/>
      <c r="X498" s="364"/>
      <c r="Y498" s="364"/>
      <c r="Z498" s="364"/>
      <c r="AA498" s="367"/>
      <c r="AB498"/>
      <c r="AC498"/>
      <c r="AD498"/>
      <c r="AE498"/>
      <c r="AF498"/>
    </row>
    <row r="499" spans="17:32" ht="12.75" customHeight="1">
      <c r="Q499" s="364"/>
      <c r="R499" s="895" t="s">
        <v>845</v>
      </c>
      <c r="S499" s="896"/>
      <c r="T499" s="900" t="s">
        <v>835</v>
      </c>
      <c r="U499" s="900" t="s">
        <v>836</v>
      </c>
      <c r="V499" s="900" t="s">
        <v>837</v>
      </c>
      <c r="W499" s="902" t="s">
        <v>838</v>
      </c>
      <c r="X499" s="364"/>
      <c r="Y499" s="364"/>
      <c r="Z499" s="364"/>
      <c r="AA499" s="367"/>
      <c r="AB499"/>
      <c r="AC499"/>
      <c r="AD499"/>
      <c r="AE499"/>
      <c r="AF499"/>
    </row>
    <row r="500" spans="17:32" ht="12.75" customHeight="1">
      <c r="Q500" s="364"/>
      <c r="R500" s="892"/>
      <c r="S500" s="897"/>
      <c r="T500" s="904"/>
      <c r="U500" s="904"/>
      <c r="V500" s="904"/>
      <c r="W500" s="905"/>
      <c r="X500" s="364"/>
      <c r="Y500" s="364"/>
      <c r="Z500" s="364"/>
      <c r="AA500" s="367"/>
      <c r="AB500"/>
      <c r="AC500"/>
      <c r="AD500"/>
      <c r="AE500"/>
      <c r="AF500"/>
    </row>
    <row r="501" spans="17:32" ht="12.75" customHeight="1">
      <c r="Q501" s="364"/>
      <c r="R501" s="892"/>
      <c r="S501" s="897"/>
      <c r="T501" s="901"/>
      <c r="U501" s="901"/>
      <c r="V501" s="901"/>
      <c r="W501" s="903"/>
      <c r="X501" s="364"/>
      <c r="Y501" s="364"/>
      <c r="Z501" s="364"/>
      <c r="AA501" s="367"/>
      <c r="AB501"/>
      <c r="AC501"/>
      <c r="AD501"/>
      <c r="AE501"/>
      <c r="AF501"/>
    </row>
    <row r="502" spans="17:32" ht="12.75" customHeight="1">
      <c r="Q502" s="364"/>
      <c r="R502" s="892"/>
      <c r="S502" s="897"/>
      <c r="T502" s="702">
        <f>W76</f>
        <v>115.02059991327963</v>
      </c>
      <c r="U502" s="560">
        <f>W62</f>
        <v>1.7391304347826084</v>
      </c>
      <c r="V502" s="690">
        <f>IF(T502&gt;0,W502*U502," ")</f>
        <v>22260.869565217388</v>
      </c>
      <c r="W502" s="691">
        <f>IF(T502&gt;0,(VLOOKUP(T502,'Lookup Ready-reckoner'!$B$5:$E$1207,4))," ")</f>
        <v>12800</v>
      </c>
      <c r="X502" s="364"/>
      <c r="Y502" s="364"/>
      <c r="Z502" s="364"/>
      <c r="AA502" s="367"/>
      <c r="AB502"/>
      <c r="AC502"/>
      <c r="AD502"/>
      <c r="AE502"/>
      <c r="AF502"/>
    </row>
    <row r="503" spans="17:32" ht="12.75" customHeight="1">
      <c r="Q503" s="364"/>
      <c r="R503" s="898"/>
      <c r="S503" s="899"/>
      <c r="T503" s="447"/>
      <c r="U503" s="560"/>
      <c r="V503" s="690" t="str">
        <f>IF(T503&gt;0,W503*U503," ")</f>
        <v xml:space="preserve"> </v>
      </c>
      <c r="W503" s="691" t="str">
        <f>IF(T503&gt;0,(VLOOKUP(T503,'Lookup Ready-reckoner'!$B$5:$E$1007,4))," ")</f>
        <v xml:space="preserve"> </v>
      </c>
      <c r="X503" s="364"/>
      <c r="Y503" s="364"/>
      <c r="Z503" s="364"/>
      <c r="AA503" s="367"/>
      <c r="AB503"/>
      <c r="AC503"/>
      <c r="AD503"/>
      <c r="AE503"/>
      <c r="AF503"/>
    </row>
    <row r="504" spans="17:32" ht="12.75" customHeight="1" thickBot="1">
      <c r="Q504" s="364"/>
      <c r="R504" s="692" t="s">
        <v>839</v>
      </c>
      <c r="S504" s="693"/>
      <c r="T504" s="693"/>
      <c r="U504" s="703">
        <f>IF(T502&gt;0,(VLOOKUP(V504,'Lookup Ready-reckoner'!$L$5:$M$1207,2))," ")</f>
        <v>108.4</v>
      </c>
      <c r="V504" s="695">
        <f>IF(U502&gt;0,(SUM(V502:V503))," ")</f>
        <v>22260.869565217388</v>
      </c>
      <c r="W504" s="696"/>
      <c r="X504" s="364"/>
      <c r="Y504" s="364"/>
      <c r="Z504" s="364"/>
      <c r="AA504" s="367"/>
      <c r="AB504"/>
      <c r="AC504"/>
      <c r="AD504"/>
      <c r="AE504"/>
      <c r="AF504"/>
    </row>
    <row r="505" spans="17:32" ht="12.75" customHeight="1" thickBot="1">
      <c r="Q505" s="364"/>
      <c r="R505" s="892"/>
      <c r="S505" s="893"/>
      <c r="T505" s="893"/>
      <c r="U505" s="893"/>
      <c r="V505" s="893"/>
      <c r="W505" s="894"/>
      <c r="X505" s="364"/>
      <c r="Y505" s="364"/>
      <c r="Z505" s="364"/>
      <c r="AA505" s="367"/>
      <c r="AB505"/>
      <c r="AC505"/>
      <c r="AD505"/>
      <c r="AE505"/>
      <c r="AF505"/>
    </row>
    <row r="506" spans="17:32" ht="12.75" customHeight="1">
      <c r="Q506" s="364"/>
      <c r="R506" s="895" t="s">
        <v>886</v>
      </c>
      <c r="S506" s="896"/>
      <c r="T506" s="900" t="s">
        <v>835</v>
      </c>
      <c r="U506" s="900" t="s">
        <v>836</v>
      </c>
      <c r="V506" s="900" t="s">
        <v>837</v>
      </c>
      <c r="W506" s="902" t="s">
        <v>838</v>
      </c>
      <c r="X506" s="364"/>
      <c r="Y506" s="364"/>
      <c r="Z506" s="364"/>
      <c r="AA506" s="367"/>
      <c r="AB506"/>
      <c r="AC506"/>
      <c r="AD506"/>
      <c r="AE506"/>
      <c r="AF506"/>
    </row>
    <row r="507" spans="17:32" ht="12.75" customHeight="1">
      <c r="Q507" s="364"/>
      <c r="R507" s="892"/>
      <c r="S507" s="897"/>
      <c r="T507" s="901"/>
      <c r="U507" s="901"/>
      <c r="V507" s="901"/>
      <c r="W507" s="903"/>
      <c r="X507" s="364"/>
      <c r="Y507" s="364"/>
      <c r="Z507" s="364"/>
      <c r="AA507" s="367"/>
      <c r="AB507"/>
      <c r="AC507"/>
      <c r="AD507"/>
      <c r="AE507"/>
      <c r="AF507"/>
    </row>
    <row r="508" spans="17:32" ht="12.75" customHeight="1">
      <c r="Q508" s="364"/>
      <c r="R508" s="892"/>
      <c r="S508" s="897"/>
      <c r="T508" s="702">
        <f>T502*(1-0.0178*2)</f>
        <v>110.92586655636687</v>
      </c>
      <c r="U508" s="560">
        <f>U502</f>
        <v>1.7391304347826084</v>
      </c>
      <c r="V508" s="690">
        <f>IF(T508&gt;0,W508*U508," ")</f>
        <v>8521.7391304347821</v>
      </c>
      <c r="W508" s="691">
        <f>IF(T508&gt;0,(VLOOKUP(T508,'Lookup Ready-reckoner'!$B$5:$E$1207,4))," ")</f>
        <v>4900</v>
      </c>
      <c r="X508" s="364"/>
      <c r="Y508" s="364"/>
      <c r="Z508" s="364"/>
      <c r="AA508" s="367"/>
      <c r="AB508"/>
      <c r="AC508"/>
      <c r="AD508"/>
      <c r="AE508"/>
      <c r="AF508"/>
    </row>
    <row r="509" spans="17:32" ht="12.75" customHeight="1">
      <c r="Q509" s="364"/>
      <c r="R509" s="898"/>
      <c r="S509" s="899"/>
      <c r="T509" s="447"/>
      <c r="U509" s="560"/>
      <c r="V509" s="690" t="str">
        <f>IF(T509&gt;0,W509*U509," ")</f>
        <v xml:space="preserve"> </v>
      </c>
      <c r="W509" s="691" t="str">
        <f>IF(T509&gt;0,(VLOOKUP(T509,'Lookup Ready-reckoner'!$B$5:$E$1007,4))," ")</f>
        <v xml:space="preserve"> </v>
      </c>
      <c r="X509" s="364"/>
      <c r="Y509" s="364"/>
      <c r="Z509" s="364"/>
      <c r="AA509" s="367"/>
      <c r="AB509"/>
      <c r="AC509"/>
      <c r="AD509"/>
      <c r="AE509"/>
      <c r="AF509"/>
    </row>
    <row r="510" spans="17:32" ht="12.75" customHeight="1" thickBot="1">
      <c r="Q510" s="364"/>
      <c r="R510" s="692" t="s">
        <v>839</v>
      </c>
      <c r="S510" s="693"/>
      <c r="T510" s="693"/>
      <c r="U510" s="703">
        <f>IF(T508&gt;0,(VLOOKUP(V510,'Lookup Ready-reckoner'!$L$5:$M$1207,2))," ")</f>
        <v>104.25</v>
      </c>
      <c r="V510" s="695">
        <f>IF(U508&gt;0,(SUM(V508:V509))," ")</f>
        <v>8521.7391304347821</v>
      </c>
      <c r="W510" s="696"/>
      <c r="X510" s="364"/>
      <c r="Y510" s="364"/>
      <c r="Z510" s="364"/>
      <c r="AA510" s="367"/>
      <c r="AB510"/>
      <c r="AC510"/>
      <c r="AD510"/>
      <c r="AE510"/>
      <c r="AF510"/>
    </row>
    <row r="511" spans="17:32" ht="12.75" customHeight="1">
      <c r="Q511" s="364"/>
      <c r="R511" s="697"/>
      <c r="S511" s="687"/>
      <c r="T511" s="687"/>
      <c r="U511" s="372"/>
      <c r="V511" s="374"/>
      <c r="W511" s="688"/>
      <c r="X511" s="364"/>
      <c r="Y511" s="364"/>
      <c r="Z511" s="364"/>
      <c r="AA511" s="367"/>
      <c r="AB511"/>
      <c r="AC511"/>
      <c r="AD511"/>
      <c r="AE511"/>
      <c r="AF511"/>
    </row>
    <row r="512" spans="17:32" ht="12.75" customHeight="1" thickBot="1">
      <c r="Q512" s="364"/>
      <c r="R512" s="686" t="s">
        <v>60</v>
      </c>
      <c r="S512" s="577"/>
      <c r="T512" s="577"/>
      <c r="U512" s="577"/>
      <c r="V512" s="577"/>
      <c r="W512" s="698"/>
      <c r="X512" s="364"/>
      <c r="Y512" s="364"/>
      <c r="Z512" s="364"/>
      <c r="AA512" s="367"/>
      <c r="AB512"/>
      <c r="AC512"/>
      <c r="AD512"/>
      <c r="AE512"/>
      <c r="AF512"/>
    </row>
    <row r="513" spans="17:32" ht="12.75" customHeight="1">
      <c r="Q513" s="364"/>
      <c r="R513" s="895" t="s">
        <v>845</v>
      </c>
      <c r="S513" s="896"/>
      <c r="T513" s="900" t="s">
        <v>835</v>
      </c>
      <c r="U513" s="900" t="s">
        <v>836</v>
      </c>
      <c r="V513" s="900" t="s">
        <v>837</v>
      </c>
      <c r="W513" s="902" t="s">
        <v>838</v>
      </c>
      <c r="X513" s="364"/>
      <c r="Y513" s="364"/>
      <c r="Z513" s="364"/>
      <c r="AA513" s="367"/>
      <c r="AB513"/>
      <c r="AC513"/>
      <c r="AD513"/>
      <c r="AE513"/>
      <c r="AF513"/>
    </row>
    <row r="514" spans="17:32" ht="12.75" customHeight="1">
      <c r="Q514" s="364"/>
      <c r="R514" s="892"/>
      <c r="S514" s="897"/>
      <c r="T514" s="901"/>
      <c r="U514" s="901"/>
      <c r="V514" s="901"/>
      <c r="W514" s="903"/>
      <c r="X514" s="364"/>
      <c r="Y514" s="364"/>
      <c r="Z514" s="364"/>
      <c r="AA514" s="367"/>
      <c r="AB514"/>
      <c r="AC514"/>
      <c r="AD514"/>
      <c r="AE514"/>
      <c r="AF514"/>
    </row>
    <row r="515" spans="17:32" ht="12.75" customHeight="1">
      <c r="Q515" s="364"/>
      <c r="R515" s="892"/>
      <c r="S515" s="897"/>
      <c r="T515" s="702">
        <f>T502-PPE!$I$15</f>
        <v>102.02059991327963</v>
      </c>
      <c r="U515" s="560">
        <f>U508</f>
        <v>1.7391304347826084</v>
      </c>
      <c r="V515" s="690">
        <f>IF(T515&gt;0,W515*U515," ")</f>
        <v>1086.9565217391303</v>
      </c>
      <c r="W515" s="691">
        <f>IF(T515&gt;0,(VLOOKUP(T515,'Lookup Ready-reckoner'!$B$5:$E$1207,4))," ")</f>
        <v>625</v>
      </c>
      <c r="X515" s="364"/>
      <c r="Y515" s="364"/>
      <c r="Z515" s="364"/>
      <c r="AA515" s="367"/>
      <c r="AB515"/>
      <c r="AC515"/>
      <c r="AD515"/>
      <c r="AE515"/>
      <c r="AF515"/>
    </row>
    <row r="516" spans="17:32" ht="12.75" customHeight="1">
      <c r="Q516" s="364"/>
      <c r="R516" s="898"/>
      <c r="S516" s="899"/>
      <c r="T516" s="447"/>
      <c r="U516" s="560"/>
      <c r="V516" s="690" t="str">
        <f>IF(T516&gt;0,W516*U516," ")</f>
        <v xml:space="preserve"> </v>
      </c>
      <c r="W516" s="691" t="str">
        <f>IF(T516&gt;0,(VLOOKUP(T516,'Lookup Ready-reckoner'!$B$5:$E$1007,4))," ")</f>
        <v xml:space="preserve"> </v>
      </c>
      <c r="X516" s="364"/>
      <c r="Y516" s="364"/>
      <c r="Z516" s="364"/>
      <c r="AA516" s="367"/>
      <c r="AB516"/>
      <c r="AC516"/>
      <c r="AD516"/>
      <c r="AE516"/>
      <c r="AF516"/>
    </row>
    <row r="517" spans="17:32" ht="12.75" customHeight="1" thickBot="1">
      <c r="Q517" s="364"/>
      <c r="R517" s="692" t="s">
        <v>839</v>
      </c>
      <c r="S517" s="693"/>
      <c r="T517" s="693"/>
      <c r="U517" s="703">
        <f>IF(T515&gt;0,(VLOOKUP(V517,'Lookup Ready-reckoner'!$L$5:$M$1207,2))," ")</f>
        <v>95.3</v>
      </c>
      <c r="V517" s="695">
        <f>IF(U515&gt;0,(SUM(V515:V516))," ")</f>
        <v>1086.9565217391303</v>
      </c>
      <c r="W517" s="696"/>
      <c r="X517" s="364"/>
      <c r="Y517" s="364"/>
      <c r="Z517" s="364"/>
      <c r="AA517" s="367"/>
      <c r="AB517"/>
      <c r="AC517"/>
      <c r="AD517"/>
      <c r="AE517"/>
      <c r="AF517"/>
    </row>
    <row r="518" spans="17:32" ht="12.75" customHeight="1" thickBot="1">
      <c r="Q518" s="364"/>
      <c r="R518" s="892"/>
      <c r="S518" s="893"/>
      <c r="T518" s="893"/>
      <c r="U518" s="893"/>
      <c r="V518" s="893"/>
      <c r="W518" s="894"/>
      <c r="X518" s="364"/>
      <c r="Y518" s="364"/>
      <c r="Z518" s="364"/>
      <c r="AA518" s="367"/>
      <c r="AB518"/>
      <c r="AC518"/>
      <c r="AD518"/>
      <c r="AE518"/>
      <c r="AF518"/>
    </row>
    <row r="519" spans="17:32" ht="12.75" customHeight="1">
      <c r="Q519" s="364"/>
      <c r="R519" s="895" t="s">
        <v>886</v>
      </c>
      <c r="S519" s="896"/>
      <c r="T519" s="900" t="s">
        <v>835</v>
      </c>
      <c r="U519" s="900" t="s">
        <v>836</v>
      </c>
      <c r="V519" s="900" t="s">
        <v>837</v>
      </c>
      <c r="W519" s="902" t="s">
        <v>838</v>
      </c>
      <c r="X519" s="364"/>
      <c r="Y519" s="364"/>
      <c r="Z519" s="364"/>
      <c r="AA519" s="367"/>
      <c r="AB519"/>
      <c r="AC519"/>
      <c r="AD519"/>
      <c r="AE519"/>
      <c r="AF519"/>
    </row>
    <row r="520" spans="17:32" ht="12.75" customHeight="1">
      <c r="Q520" s="364"/>
      <c r="R520" s="892"/>
      <c r="S520" s="897"/>
      <c r="T520" s="901"/>
      <c r="U520" s="901"/>
      <c r="V520" s="901"/>
      <c r="W520" s="903"/>
      <c r="X520" s="364"/>
      <c r="Y520" s="364"/>
      <c r="Z520" s="364"/>
      <c r="AA520" s="367"/>
      <c r="AB520"/>
      <c r="AC520"/>
      <c r="AD520"/>
      <c r="AE520"/>
      <c r="AF520"/>
    </row>
    <row r="521" spans="17:32" ht="12.75" customHeight="1">
      <c r="Q521" s="364"/>
      <c r="R521" s="892"/>
      <c r="S521" s="897"/>
      <c r="T521" s="702">
        <f>T508-PPE!$I$15</f>
        <v>97.92586655636687</v>
      </c>
      <c r="U521" s="560">
        <f>U515</f>
        <v>1.7391304347826084</v>
      </c>
      <c r="V521" s="690">
        <f>IF(T521&gt;0,W521*U521," ")</f>
        <v>426.08695652173907</v>
      </c>
      <c r="W521" s="691">
        <f>IF(T521&gt;0,(VLOOKUP(T521,'Lookup Ready-reckoner'!$B$5:$E$1207,4))," ")</f>
        <v>245</v>
      </c>
      <c r="X521" s="364"/>
      <c r="Y521" s="364"/>
      <c r="Z521" s="364"/>
      <c r="AA521" s="367"/>
      <c r="AB521"/>
      <c r="AC521"/>
      <c r="AD521"/>
      <c r="AE521"/>
      <c r="AF521"/>
    </row>
    <row r="522" spans="17:32" ht="12.75" customHeight="1">
      <c r="Q522" s="364"/>
      <c r="R522" s="898"/>
      <c r="S522" s="899"/>
      <c r="T522" s="447"/>
      <c r="U522" s="560"/>
      <c r="V522" s="690" t="str">
        <f>IF(T522&gt;0,W522*U522," ")</f>
        <v xml:space="preserve"> </v>
      </c>
      <c r="W522" s="691" t="str">
        <f>IF(T522&gt;0,(VLOOKUP(T522,'Lookup Ready-reckoner'!$B$5:$E$1007,4))," ")</f>
        <v xml:space="preserve"> </v>
      </c>
      <c r="X522" s="364"/>
      <c r="Y522" s="364"/>
      <c r="Z522" s="364"/>
      <c r="AA522" s="367"/>
      <c r="AB522"/>
      <c r="AC522"/>
      <c r="AD522"/>
      <c r="AE522"/>
      <c r="AF522"/>
    </row>
    <row r="523" spans="17:32" ht="12.75" customHeight="1" thickBot="1">
      <c r="Q523" s="364"/>
      <c r="R523" s="692" t="s">
        <v>839</v>
      </c>
      <c r="S523" s="693"/>
      <c r="T523" s="693"/>
      <c r="U523" s="703">
        <f>IF(T521&gt;0,(VLOOKUP(V523,'Lookup Ready-reckoner'!$L$5:$M$1207,2))," ")</f>
        <v>91.25</v>
      </c>
      <c r="V523" s="695">
        <f>IF(U521&gt;0,(SUM(V521:V522))," ")</f>
        <v>426.08695652173907</v>
      </c>
      <c r="W523" s="696"/>
      <c r="X523" s="364"/>
      <c r="Y523" s="364"/>
      <c r="Z523" s="364"/>
      <c r="AA523" s="367"/>
      <c r="AB523"/>
      <c r="AC523"/>
      <c r="AD523"/>
      <c r="AE523"/>
      <c r="AF523"/>
    </row>
    <row r="524" spans="17:32" ht="12.75" customHeight="1">
      <c r="Q524" s="364"/>
      <c r="R524" s="363"/>
      <c r="S524" s="363"/>
      <c r="T524" s="363"/>
      <c r="U524" s="363"/>
      <c r="V524" s="363"/>
      <c r="W524" s="363"/>
      <c r="X524" s="364"/>
      <c r="Y524" s="364"/>
      <c r="Z524" s="364"/>
      <c r="AA524" s="367"/>
      <c r="AB524"/>
      <c r="AC524"/>
      <c r="AD524"/>
      <c r="AE524"/>
      <c r="AF524"/>
    </row>
    <row r="525" spans="17:32" ht="12.75" customHeight="1">
      <c r="Q525" s="364"/>
      <c r="R525" s="909" t="str">
        <f>R406</f>
        <v xml:space="preserve">Hilti TE MD20 </v>
      </c>
      <c r="S525" s="909"/>
      <c r="T525" s="909"/>
      <c r="U525" s="909"/>
      <c r="V525" s="909"/>
      <c r="W525" s="909"/>
      <c r="X525" s="364"/>
      <c r="Y525" s="364"/>
      <c r="Z525" s="364"/>
      <c r="AA525" s="367"/>
      <c r="AB525"/>
      <c r="AC525"/>
      <c r="AD525"/>
      <c r="AE525"/>
      <c r="AF525"/>
    </row>
    <row r="526" spans="17:32" ht="12.75" customHeight="1" thickBot="1">
      <c r="Q526" s="364"/>
      <c r="R526" s="910" t="s">
        <v>205</v>
      </c>
      <c r="S526" s="911"/>
      <c r="T526" s="911"/>
      <c r="U526" s="911"/>
      <c r="V526" s="911"/>
      <c r="W526" s="912"/>
      <c r="X526" s="364"/>
      <c r="Y526" s="364"/>
      <c r="Z526" s="364"/>
      <c r="AA526" s="367"/>
      <c r="AB526"/>
      <c r="AC526"/>
      <c r="AD526"/>
      <c r="AE526"/>
      <c r="AF526"/>
    </row>
    <row r="527" spans="17:32" ht="12.75" customHeight="1" thickBot="1">
      <c r="Q527" s="364"/>
      <c r="R527" s="686" t="s">
        <v>59</v>
      </c>
      <c r="S527" s="577"/>
      <c r="T527" s="687"/>
      <c r="U527" s="687"/>
      <c r="V527" s="687"/>
      <c r="W527" s="688"/>
      <c r="X527" s="364"/>
      <c r="Y527" s="364"/>
      <c r="Z527" s="364"/>
      <c r="AA527" s="367"/>
      <c r="AB527"/>
      <c r="AC527"/>
      <c r="AD527"/>
      <c r="AE527"/>
      <c r="AF527"/>
    </row>
    <row r="528" spans="17:32" ht="12.75" customHeight="1">
      <c r="Q528" s="364"/>
      <c r="R528" s="895" t="s">
        <v>845</v>
      </c>
      <c r="S528" s="896"/>
      <c r="T528" s="900" t="s">
        <v>835</v>
      </c>
      <c r="U528" s="900" t="s">
        <v>836</v>
      </c>
      <c r="V528" s="900" t="s">
        <v>837</v>
      </c>
      <c r="W528" s="902" t="s">
        <v>838</v>
      </c>
      <c r="X528" s="364"/>
      <c r="Y528" s="364"/>
      <c r="Z528" s="364"/>
      <c r="AA528" s="367"/>
      <c r="AB528"/>
      <c r="AC528"/>
      <c r="AD528"/>
      <c r="AE528"/>
      <c r="AF528"/>
    </row>
    <row r="529" spans="17:32" ht="12.75" customHeight="1">
      <c r="Q529" s="364"/>
      <c r="R529" s="892"/>
      <c r="S529" s="897"/>
      <c r="T529" s="904"/>
      <c r="U529" s="904"/>
      <c r="V529" s="904"/>
      <c r="W529" s="905"/>
      <c r="X529" s="364"/>
      <c r="Y529" s="364"/>
      <c r="Z529" s="364"/>
      <c r="AA529" s="367"/>
      <c r="AB529"/>
      <c r="AC529"/>
      <c r="AD529"/>
      <c r="AE529"/>
      <c r="AF529"/>
    </row>
    <row r="530" spans="17:32" ht="12.75" customHeight="1">
      <c r="Q530" s="364"/>
      <c r="R530" s="892"/>
      <c r="S530" s="897"/>
      <c r="T530" s="901"/>
      <c r="U530" s="901"/>
      <c r="V530" s="901"/>
      <c r="W530" s="903"/>
      <c r="X530" s="364"/>
      <c r="Y530" s="364"/>
      <c r="Z530" s="364"/>
      <c r="AA530" s="367"/>
      <c r="AB530"/>
      <c r="AC530"/>
      <c r="AD530"/>
      <c r="AE530"/>
      <c r="AF530"/>
    </row>
    <row r="531" spans="17:32" ht="12.75" customHeight="1">
      <c r="Q531" s="364"/>
      <c r="R531" s="892"/>
      <c r="S531" s="897"/>
      <c r="T531" s="704">
        <f>U76</f>
        <v>108.02059991327964</v>
      </c>
      <c r="U531" s="560">
        <f>U62</f>
        <v>2.6666666666666665</v>
      </c>
      <c r="V531" s="690">
        <f>IF(T531&gt;0,W531*U531," ")</f>
        <v>6666.6666666666661</v>
      </c>
      <c r="W531" s="691">
        <f>IF(T531&gt;0,(VLOOKUP(T531,'Lookup Ready-reckoner'!$B$5:$E$1207,4))," ")</f>
        <v>2500</v>
      </c>
      <c r="X531" s="364"/>
      <c r="Y531" s="364"/>
      <c r="Z531" s="364"/>
      <c r="AA531" s="367"/>
      <c r="AB531"/>
      <c r="AC531"/>
      <c r="AD531"/>
      <c r="AE531"/>
      <c r="AF531"/>
    </row>
    <row r="532" spans="17:32" ht="12.75" customHeight="1">
      <c r="Q532" s="364"/>
      <c r="R532" s="898"/>
      <c r="S532" s="899"/>
      <c r="T532" s="447"/>
      <c r="U532" s="560"/>
      <c r="V532" s="690" t="str">
        <f>IF(T532&gt;0,W532*U532," ")</f>
        <v xml:space="preserve"> </v>
      </c>
      <c r="W532" s="691" t="str">
        <f>IF(T532&gt;0,(VLOOKUP(T532,'Lookup Ready-reckoner'!$B$5:$E$1007,4))," ")</f>
        <v xml:space="preserve"> </v>
      </c>
      <c r="X532" s="364"/>
      <c r="Y532" s="364"/>
      <c r="Z532" s="364"/>
      <c r="AA532" s="367"/>
      <c r="AB532"/>
      <c r="AC532"/>
      <c r="AD532"/>
      <c r="AE532"/>
      <c r="AF532"/>
    </row>
    <row r="533" spans="17:32" ht="12.75" customHeight="1" thickBot="1">
      <c r="Q533" s="364"/>
      <c r="R533" s="692" t="s">
        <v>839</v>
      </c>
      <c r="S533" s="693"/>
      <c r="T533" s="693"/>
      <c r="U533" s="705">
        <f>IF(T531&gt;0,(VLOOKUP(V533,'Lookup Ready-reckoner'!$L$5:$M$1207,2))," ")</f>
        <v>103.15</v>
      </c>
      <c r="V533" s="695">
        <f>IF(U531&gt;0,(SUM(V531:V532))," ")</f>
        <v>6666.6666666666661</v>
      </c>
      <c r="W533" s="696"/>
      <c r="X533" s="364"/>
      <c r="Y533" s="364"/>
      <c r="Z533" s="364"/>
      <c r="AA533" s="367"/>
      <c r="AB533"/>
      <c r="AC533"/>
      <c r="AD533"/>
      <c r="AE533"/>
      <c r="AF533"/>
    </row>
    <row r="534" spans="17:32" ht="12.75" customHeight="1" thickBot="1">
      <c r="Q534" s="364"/>
      <c r="R534" s="906"/>
      <c r="S534" s="907"/>
      <c r="T534" s="907"/>
      <c r="U534" s="907"/>
      <c r="V534" s="907"/>
      <c r="W534" s="908"/>
      <c r="X534" s="364"/>
      <c r="Y534" s="364"/>
      <c r="Z534" s="364"/>
      <c r="AA534" s="367"/>
      <c r="AB534"/>
      <c r="AC534"/>
      <c r="AD534"/>
      <c r="AE534"/>
      <c r="AF534"/>
    </row>
    <row r="535" spans="17:32" ht="12.75" customHeight="1">
      <c r="Q535" s="364"/>
      <c r="R535" s="895" t="s">
        <v>886</v>
      </c>
      <c r="S535" s="896"/>
      <c r="T535" s="900" t="s">
        <v>835</v>
      </c>
      <c r="U535" s="900" t="s">
        <v>836</v>
      </c>
      <c r="V535" s="900" t="s">
        <v>837</v>
      </c>
      <c r="W535" s="902" t="s">
        <v>838</v>
      </c>
      <c r="X535" s="364"/>
      <c r="Y535" s="364"/>
      <c r="Z535" s="364"/>
      <c r="AA535" s="367"/>
      <c r="AB535"/>
      <c r="AC535"/>
      <c r="AD535"/>
      <c r="AE535"/>
      <c r="AF535"/>
    </row>
    <row r="536" spans="17:32" ht="12.75" customHeight="1">
      <c r="Q536" s="364"/>
      <c r="R536" s="892"/>
      <c r="S536" s="897"/>
      <c r="T536" s="901"/>
      <c r="U536" s="901"/>
      <c r="V536" s="901"/>
      <c r="W536" s="903"/>
      <c r="X536" s="364"/>
      <c r="Y536" s="364"/>
      <c r="Z536" s="364"/>
      <c r="AA536" s="367"/>
      <c r="AB536"/>
      <c r="AC536"/>
      <c r="AD536"/>
      <c r="AE536"/>
      <c r="AF536"/>
    </row>
    <row r="537" spans="17:32" ht="12.75" customHeight="1">
      <c r="Q537" s="364"/>
      <c r="R537" s="892"/>
      <c r="S537" s="897"/>
      <c r="T537" s="704">
        <f>T531*(1-0.0178*2)</f>
        <v>104.17506655636689</v>
      </c>
      <c r="U537" s="560">
        <f>U531</f>
        <v>2.6666666666666665</v>
      </c>
      <c r="V537" s="690">
        <f>IF(T537&gt;0,W537*U537," ")</f>
        <v>2766.6666666666665</v>
      </c>
      <c r="W537" s="691">
        <f>IF(T537&gt;0,(VLOOKUP(T537,'Lookup Ready-reckoner'!$B$5:$E$1207,4))," ")</f>
        <v>1037.5</v>
      </c>
      <c r="X537" s="364"/>
      <c r="Y537" s="364"/>
      <c r="Z537" s="364"/>
      <c r="AA537" s="367"/>
      <c r="AB537"/>
      <c r="AC537"/>
      <c r="AD537"/>
      <c r="AE537"/>
      <c r="AF537"/>
    </row>
    <row r="538" spans="17:32" ht="12.75" customHeight="1">
      <c r="Q538" s="364"/>
      <c r="R538" s="898"/>
      <c r="S538" s="899"/>
      <c r="T538" s="447"/>
      <c r="U538" s="560"/>
      <c r="V538" s="690" t="str">
        <f>IF(T538&gt;0,W538*U538," ")</f>
        <v xml:space="preserve"> </v>
      </c>
      <c r="W538" s="691" t="str">
        <f>IF(T538&gt;0,(VLOOKUP(T538,'Lookup Ready-reckoner'!$B$5:$E$1007,4))," ")</f>
        <v xml:space="preserve"> </v>
      </c>
      <c r="X538" s="364"/>
      <c r="Y538" s="364"/>
      <c r="Z538" s="364"/>
      <c r="AA538" s="367"/>
      <c r="AB538"/>
      <c r="AC538"/>
      <c r="AD538"/>
      <c r="AE538"/>
      <c r="AF538"/>
    </row>
    <row r="539" spans="17:32" ht="12.75" customHeight="1" thickBot="1">
      <c r="Q539" s="364"/>
      <c r="R539" s="692" t="s">
        <v>839</v>
      </c>
      <c r="S539" s="693"/>
      <c r="T539" s="693"/>
      <c r="U539" s="705">
        <f>IF(T537&gt;0,(VLOOKUP(V539,'Lookup Ready-reckoner'!$L$5:$M$1207,2))," ")</f>
        <v>99.35</v>
      </c>
      <c r="V539" s="695">
        <f>IF(U537&gt;0,(SUM(V537:V538))," ")</f>
        <v>2766.6666666666665</v>
      </c>
      <c r="W539" s="696"/>
      <c r="X539" s="364"/>
      <c r="Y539" s="364"/>
      <c r="Z539" s="364"/>
      <c r="AA539" s="367"/>
      <c r="AB539"/>
      <c r="AC539"/>
      <c r="AD539"/>
      <c r="AE539"/>
      <c r="AF539"/>
    </row>
    <row r="540" spans="17:32" ht="12.75" customHeight="1">
      <c r="Q540" s="364"/>
      <c r="R540" s="697"/>
      <c r="S540" s="687"/>
      <c r="T540" s="687"/>
      <c r="U540" s="372"/>
      <c r="V540" s="374"/>
      <c r="W540" s="688"/>
      <c r="X540" s="364"/>
      <c r="Y540" s="364"/>
      <c r="Z540" s="364"/>
      <c r="AA540" s="367"/>
      <c r="AB540"/>
      <c r="AC540"/>
      <c r="AD540"/>
      <c r="AE540"/>
      <c r="AF540"/>
    </row>
    <row r="541" spans="17:32" ht="12.75" customHeight="1" thickBot="1">
      <c r="Q541" s="364"/>
      <c r="R541" s="686" t="s">
        <v>60</v>
      </c>
      <c r="S541" s="577"/>
      <c r="T541" s="577"/>
      <c r="U541" s="577"/>
      <c r="V541" s="577"/>
      <c r="W541" s="698"/>
      <c r="X541" s="364"/>
      <c r="Y541" s="364"/>
      <c r="Z541" s="364"/>
      <c r="AA541" s="367"/>
      <c r="AB541"/>
      <c r="AC541"/>
      <c r="AD541"/>
      <c r="AE541"/>
      <c r="AF541"/>
    </row>
    <row r="542" spans="17:32" ht="12.75" customHeight="1">
      <c r="Q542" s="364"/>
      <c r="R542" s="895" t="s">
        <v>845</v>
      </c>
      <c r="S542" s="896"/>
      <c r="T542" s="900" t="s">
        <v>835</v>
      </c>
      <c r="U542" s="900" t="s">
        <v>836</v>
      </c>
      <c r="V542" s="900" t="s">
        <v>837</v>
      </c>
      <c r="W542" s="902" t="s">
        <v>838</v>
      </c>
      <c r="X542" s="364"/>
      <c r="Y542" s="364"/>
      <c r="Z542" s="364"/>
      <c r="AA542" s="367"/>
      <c r="AB542"/>
      <c r="AC542"/>
      <c r="AD542"/>
      <c r="AE542"/>
      <c r="AF542"/>
    </row>
    <row r="543" spans="17:32" ht="12.75" customHeight="1">
      <c r="Q543" s="364"/>
      <c r="R543" s="892"/>
      <c r="S543" s="897"/>
      <c r="T543" s="901"/>
      <c r="U543" s="901"/>
      <c r="V543" s="901"/>
      <c r="W543" s="903"/>
      <c r="X543" s="364"/>
      <c r="Y543" s="364"/>
      <c r="Z543" s="364"/>
      <c r="AA543" s="367"/>
      <c r="AB543"/>
      <c r="AC543"/>
      <c r="AD543"/>
      <c r="AE543"/>
      <c r="AF543"/>
    </row>
    <row r="544" spans="17:32" ht="12.75" customHeight="1">
      <c r="Q544" s="364"/>
      <c r="R544" s="892"/>
      <c r="S544" s="897"/>
      <c r="T544" s="704">
        <f>T531-PPE!$I$15</f>
        <v>95.020599913279639</v>
      </c>
      <c r="U544" s="560">
        <f>U537</f>
        <v>2.6666666666666665</v>
      </c>
      <c r="V544" s="690">
        <f>IF(T544&gt;0,W544*U544," ")</f>
        <v>333.33333333333331</v>
      </c>
      <c r="W544" s="691">
        <f>IF(T544&gt;0,(VLOOKUP(T544,'Lookup Ready-reckoner'!$B$5:$E$1207,4))," ")</f>
        <v>125</v>
      </c>
      <c r="X544" s="364"/>
      <c r="Y544" s="364"/>
      <c r="Z544" s="364"/>
      <c r="AA544" s="367"/>
      <c r="AB544"/>
      <c r="AC544"/>
      <c r="AD544"/>
      <c r="AE544"/>
      <c r="AF544"/>
    </row>
    <row r="545" spans="17:32" ht="12.75" customHeight="1">
      <c r="Q545" s="364"/>
      <c r="R545" s="898"/>
      <c r="S545" s="899"/>
      <c r="T545" s="447"/>
      <c r="U545" s="560"/>
      <c r="V545" s="690" t="str">
        <f>IF(T545&gt;0,W545*U545," ")</f>
        <v xml:space="preserve"> </v>
      </c>
      <c r="W545" s="691" t="str">
        <f>IF(T545&gt;0,(VLOOKUP(T545,'Lookup Ready-reckoner'!$B$5:$E$1007,4))," ")</f>
        <v xml:space="preserve"> </v>
      </c>
      <c r="X545" s="364"/>
      <c r="Y545" s="364"/>
      <c r="Z545" s="364"/>
      <c r="AA545" s="367"/>
      <c r="AB545"/>
      <c r="AC545"/>
      <c r="AD545"/>
      <c r="AE545"/>
      <c r="AF545"/>
    </row>
    <row r="546" spans="17:32" ht="12.75" customHeight="1" thickBot="1">
      <c r="Q546" s="364"/>
      <c r="R546" s="692" t="s">
        <v>839</v>
      </c>
      <c r="S546" s="693"/>
      <c r="T546" s="693"/>
      <c r="U546" s="705">
        <f>IF(T544&gt;0,(VLOOKUP(V546,'Lookup Ready-reckoner'!$L$5:$M$1207,2))," ")</f>
        <v>90.15</v>
      </c>
      <c r="V546" s="695">
        <f>IF(U544&gt;0,(SUM(V544:V545))," ")</f>
        <v>333.33333333333331</v>
      </c>
      <c r="W546" s="696"/>
      <c r="X546" s="364"/>
      <c r="Y546" s="364"/>
      <c r="Z546" s="364"/>
      <c r="AA546" s="367"/>
      <c r="AB546"/>
      <c r="AC546"/>
      <c r="AD546"/>
      <c r="AE546"/>
      <c r="AF546"/>
    </row>
    <row r="547" spans="17:32" ht="12.75" customHeight="1" thickBot="1">
      <c r="Q547" s="364"/>
      <c r="R547" s="892"/>
      <c r="S547" s="893"/>
      <c r="T547" s="893"/>
      <c r="U547" s="893"/>
      <c r="V547" s="893"/>
      <c r="W547" s="894"/>
      <c r="X547" s="364"/>
      <c r="Y547" s="364"/>
      <c r="Z547" s="364"/>
      <c r="AA547" s="367"/>
      <c r="AB547"/>
      <c r="AC547"/>
      <c r="AD547"/>
      <c r="AE547"/>
      <c r="AF547"/>
    </row>
    <row r="548" spans="17:32" ht="12.75" customHeight="1">
      <c r="Q548" s="364"/>
      <c r="R548" s="895" t="s">
        <v>886</v>
      </c>
      <c r="S548" s="896"/>
      <c r="T548" s="900" t="s">
        <v>835</v>
      </c>
      <c r="U548" s="900" t="s">
        <v>836</v>
      </c>
      <c r="V548" s="900" t="s">
        <v>837</v>
      </c>
      <c r="W548" s="902" t="s">
        <v>838</v>
      </c>
      <c r="X548" s="364"/>
      <c r="Y548" s="364"/>
      <c r="Z548" s="364"/>
      <c r="AA548" s="367"/>
      <c r="AB548"/>
      <c r="AC548"/>
      <c r="AD548"/>
      <c r="AE548"/>
      <c r="AF548"/>
    </row>
    <row r="549" spans="17:32" ht="12.75" customHeight="1">
      <c r="Q549" s="364"/>
      <c r="R549" s="892"/>
      <c r="S549" s="897"/>
      <c r="T549" s="901"/>
      <c r="U549" s="901"/>
      <c r="V549" s="901"/>
      <c r="W549" s="903"/>
      <c r="X549" s="364"/>
      <c r="Y549" s="364"/>
      <c r="Z549" s="364"/>
      <c r="AA549" s="367"/>
      <c r="AB549"/>
      <c r="AC549"/>
      <c r="AD549"/>
      <c r="AE549"/>
      <c r="AF549"/>
    </row>
    <row r="550" spans="17:32" ht="12.75" customHeight="1">
      <c r="Q550" s="364"/>
      <c r="R550" s="892"/>
      <c r="S550" s="897"/>
      <c r="T550" s="704">
        <f>T537-PPE!$I$15</f>
        <v>91.175066556366886</v>
      </c>
      <c r="U550" s="560">
        <f>U544</f>
        <v>2.6666666666666665</v>
      </c>
      <c r="V550" s="690">
        <f>IF(T550&gt;0,W550*U550," ")</f>
        <v>138.33333333333331</v>
      </c>
      <c r="W550" s="691">
        <f>IF(T550&gt;0,(VLOOKUP(T550,'Lookup Ready-reckoner'!$B$5:$E$1207,4))," ")</f>
        <v>51.875</v>
      </c>
      <c r="X550" s="364"/>
      <c r="Y550" s="364"/>
      <c r="Z550" s="364"/>
      <c r="AA550" s="367"/>
      <c r="AB550"/>
      <c r="AC550"/>
      <c r="AD550"/>
      <c r="AE550"/>
      <c r="AF550"/>
    </row>
    <row r="551" spans="17:32" ht="12.75" customHeight="1">
      <c r="Q551" s="364"/>
      <c r="R551" s="898"/>
      <c r="S551" s="899"/>
      <c r="T551" s="447"/>
      <c r="U551" s="560"/>
      <c r="V551" s="690" t="str">
        <f>IF(T551&gt;0,W551*U551," ")</f>
        <v xml:space="preserve"> </v>
      </c>
      <c r="W551" s="691" t="str">
        <f>IF(T551&gt;0,(VLOOKUP(T551,'Lookup Ready-reckoner'!$B$5:$E$1007,4))," ")</f>
        <v xml:space="preserve"> </v>
      </c>
      <c r="X551" s="364"/>
      <c r="Y551" s="364"/>
      <c r="Z551" s="364"/>
      <c r="AA551" s="367"/>
      <c r="AB551"/>
      <c r="AC551"/>
      <c r="AD551"/>
      <c r="AE551"/>
      <c r="AF551"/>
    </row>
    <row r="552" spans="17:32" ht="12.75" customHeight="1" thickBot="1">
      <c r="Q552" s="364"/>
      <c r="R552" s="692" t="s">
        <v>839</v>
      </c>
      <c r="S552" s="693"/>
      <c r="T552" s="693"/>
      <c r="U552" s="705">
        <f>IF(T550&gt;0,(VLOOKUP(V552,'Lookup Ready-reckoner'!$L$5:$M$1207,2))," ")</f>
        <v>86.35</v>
      </c>
      <c r="V552" s="695">
        <f>IF(U550&gt;0,(SUM(V550:V551))," ")</f>
        <v>138.33333333333331</v>
      </c>
      <c r="W552" s="696"/>
      <c r="X552" s="364"/>
      <c r="Y552" s="364"/>
      <c r="Z552" s="364"/>
      <c r="AA552" s="367"/>
      <c r="AB552"/>
      <c r="AC552"/>
      <c r="AD552"/>
      <c r="AE552"/>
      <c r="AF552"/>
    </row>
    <row r="553" spans="17:32" ht="12.75" customHeight="1">
      <c r="Q553" s="364"/>
      <c r="R553" s="364"/>
      <c r="S553" s="364"/>
      <c r="T553" s="364"/>
      <c r="U553" s="364"/>
      <c r="V553" s="364"/>
      <c r="W553" s="364"/>
      <c r="X553" s="364"/>
      <c r="Y553" s="364"/>
      <c r="Z553" s="364"/>
      <c r="AA553" s="367"/>
      <c r="AB553"/>
      <c r="AC553"/>
      <c r="AD553"/>
      <c r="AE553"/>
      <c r="AF553"/>
    </row>
    <row r="554" spans="17:32" ht="12.75" customHeight="1">
      <c r="Q554" s="23"/>
      <c r="R554" s="23"/>
      <c r="S554" s="23"/>
      <c r="T554" s="23"/>
      <c r="U554" s="23"/>
      <c r="V554" s="23"/>
      <c r="W554" s="23"/>
      <c r="X554" s="23"/>
      <c r="Y554" s="23"/>
      <c r="Z554" s="23"/>
      <c r="AA554"/>
      <c r="AB554"/>
      <c r="AC554"/>
      <c r="AD554"/>
      <c r="AE554"/>
      <c r="AF554"/>
    </row>
    <row r="555" spans="17:32" ht="12.75" customHeight="1">
      <c r="Q555" s="23"/>
      <c r="R555" s="23"/>
      <c r="S555" s="23"/>
      <c r="T555" s="23"/>
      <c r="U555" s="23"/>
      <c r="V555" s="23"/>
      <c r="W555" s="23"/>
      <c r="X555" s="23"/>
      <c r="Y555" s="23"/>
      <c r="Z555" s="23"/>
      <c r="AA555"/>
      <c r="AB555"/>
      <c r="AC555"/>
      <c r="AD555"/>
      <c r="AE555"/>
      <c r="AF555"/>
    </row>
    <row r="556" spans="17:32" ht="12.75" customHeight="1">
      <c r="Q556" s="23"/>
      <c r="R556" s="23"/>
      <c r="S556" s="23"/>
      <c r="T556" s="23"/>
      <c r="U556" s="23"/>
      <c r="V556" s="23"/>
      <c r="W556" s="23"/>
      <c r="X556" s="23"/>
      <c r="Y556" s="23"/>
      <c r="Z556" s="23"/>
      <c r="AA556"/>
      <c r="AB556"/>
      <c r="AC556"/>
      <c r="AD556"/>
      <c r="AE556"/>
      <c r="AF556"/>
    </row>
    <row r="557" spans="17:32" ht="12.75" customHeight="1">
      <c r="Q557" s="23"/>
      <c r="R557" s="23"/>
      <c r="S557" s="23"/>
      <c r="T557" s="23"/>
      <c r="U557" s="23"/>
      <c r="V557" s="23"/>
      <c r="W557" s="23"/>
      <c r="X557" s="23"/>
      <c r="Y557" s="23"/>
      <c r="Z557" s="23"/>
      <c r="AA557"/>
      <c r="AB557"/>
      <c r="AC557"/>
      <c r="AD557"/>
      <c r="AE557"/>
      <c r="AF557"/>
    </row>
    <row r="558" spans="17:32" ht="12.75" customHeight="1">
      <c r="Q558" s="23"/>
      <c r="R558" s="23"/>
      <c r="S558" s="23"/>
      <c r="T558" s="23"/>
      <c r="U558" s="23"/>
      <c r="V558" s="23"/>
      <c r="W558" s="23"/>
      <c r="X558" s="23"/>
      <c r="Y558" s="23"/>
      <c r="Z558" s="23"/>
      <c r="AA558"/>
      <c r="AB558"/>
      <c r="AC558"/>
      <c r="AD558"/>
      <c r="AE558"/>
      <c r="AF558"/>
    </row>
    <row r="559" spans="17:32" ht="12.75" customHeight="1">
      <c r="Q559" s="23"/>
      <c r="R559" s="23"/>
      <c r="S559" s="23"/>
      <c r="T559" s="23"/>
      <c r="U559" s="23"/>
      <c r="V559" s="23"/>
      <c r="W559" s="23"/>
      <c r="X559" s="23"/>
      <c r="Y559" s="23"/>
      <c r="Z559" s="23"/>
      <c r="AA559"/>
      <c r="AB559"/>
      <c r="AC559"/>
      <c r="AD559"/>
      <c r="AE559"/>
      <c r="AF559"/>
    </row>
    <row r="560" spans="17:32" ht="12.75" customHeight="1">
      <c r="Q560" s="23"/>
      <c r="R560" s="23"/>
      <c r="S560" s="23"/>
      <c r="T560" s="23"/>
      <c r="U560" s="23"/>
      <c r="V560" s="23"/>
      <c r="W560" s="23"/>
      <c r="X560" s="23"/>
      <c r="Y560" s="23"/>
      <c r="Z560" s="23"/>
      <c r="AA560"/>
      <c r="AB560"/>
      <c r="AC560"/>
      <c r="AD560"/>
      <c r="AE560"/>
      <c r="AF560"/>
    </row>
    <row r="561" spans="17:32" ht="12.75" customHeight="1">
      <c r="Q561" s="23"/>
      <c r="R561" s="23"/>
      <c r="S561" s="23"/>
      <c r="T561" s="23"/>
      <c r="U561" s="23"/>
      <c r="V561" s="23"/>
      <c r="W561" s="23"/>
      <c r="X561" s="23"/>
      <c r="Y561" s="23"/>
      <c r="Z561" s="23"/>
      <c r="AA561"/>
      <c r="AB561"/>
      <c r="AC561"/>
      <c r="AD561"/>
      <c r="AE561"/>
      <c r="AF561"/>
    </row>
    <row r="562" spans="17:32" ht="12.75" customHeight="1">
      <c r="Q562" s="23"/>
      <c r="R562" s="23"/>
      <c r="S562" s="23"/>
      <c r="T562" s="23"/>
      <c r="U562" s="23"/>
      <c r="V562" s="23"/>
      <c r="W562" s="23"/>
      <c r="X562" s="23"/>
      <c r="Y562" s="23"/>
      <c r="Z562" s="23"/>
      <c r="AA562"/>
      <c r="AB562"/>
      <c r="AC562"/>
      <c r="AD562"/>
      <c r="AE562"/>
      <c r="AF562"/>
    </row>
    <row r="563" spans="17:32" ht="12.75" customHeight="1">
      <c r="Q563" s="23"/>
      <c r="R563" s="23"/>
      <c r="S563" s="23"/>
      <c r="T563" s="23"/>
      <c r="U563" s="23"/>
      <c r="V563" s="23"/>
      <c r="W563" s="23"/>
      <c r="X563" s="23"/>
      <c r="Y563" s="23"/>
      <c r="Z563" s="23"/>
      <c r="AA563"/>
      <c r="AB563"/>
      <c r="AC563"/>
      <c r="AD563"/>
      <c r="AE563"/>
      <c r="AF563"/>
    </row>
    <row r="564" spans="17:32" ht="12.75" customHeight="1">
      <c r="Q564" s="23"/>
      <c r="R564" s="23"/>
      <c r="S564" s="23"/>
      <c r="T564" s="23"/>
      <c r="U564" s="23"/>
      <c r="V564" s="23"/>
      <c r="W564" s="23"/>
      <c r="X564" s="23"/>
      <c r="Y564" s="23"/>
      <c r="Z564" s="23"/>
      <c r="AA564"/>
      <c r="AB564"/>
      <c r="AC564"/>
      <c r="AD564"/>
      <c r="AE564"/>
      <c r="AF564"/>
    </row>
    <row r="565" spans="17:32" ht="12.75" customHeight="1">
      <c r="Q565" s="23"/>
      <c r="R565" s="23"/>
      <c r="S565" s="23"/>
      <c r="T565" s="23"/>
      <c r="U565" s="23"/>
      <c r="V565" s="23"/>
      <c r="W565" s="23"/>
      <c r="X565" s="23"/>
      <c r="Y565" s="23"/>
      <c r="Z565" s="23"/>
      <c r="AA565"/>
      <c r="AB565"/>
      <c r="AC565"/>
      <c r="AD565"/>
      <c r="AE565"/>
      <c r="AF565"/>
    </row>
    <row r="566" spans="17:32" ht="12.75" customHeight="1">
      <c r="Q566" s="23"/>
      <c r="R566" s="23"/>
      <c r="S566" s="23"/>
      <c r="T566" s="23"/>
      <c r="U566" s="23"/>
      <c r="V566" s="23"/>
      <c r="W566" s="23"/>
      <c r="X566" s="23"/>
      <c r="Y566" s="23"/>
      <c r="Z566" s="23"/>
      <c r="AA566"/>
      <c r="AB566"/>
      <c r="AC566"/>
      <c r="AD566"/>
      <c r="AE566"/>
      <c r="AF566"/>
    </row>
    <row r="567" spans="17:32" ht="12.75" customHeight="1">
      <c r="Q567" s="23"/>
      <c r="R567" s="23"/>
      <c r="S567" s="23"/>
      <c r="T567" s="23"/>
      <c r="U567" s="23"/>
      <c r="V567" s="23"/>
      <c r="W567" s="23"/>
      <c r="X567" s="23"/>
      <c r="Y567" s="23"/>
      <c r="Z567" s="23"/>
      <c r="AA567"/>
      <c r="AB567"/>
      <c r="AC567"/>
      <c r="AD567"/>
      <c r="AE567"/>
      <c r="AF567"/>
    </row>
    <row r="568" spans="17:32" ht="12.75" customHeight="1">
      <c r="Q568" s="23"/>
      <c r="R568" s="23"/>
      <c r="S568" s="23"/>
      <c r="T568" s="23"/>
      <c r="U568" s="23"/>
      <c r="V568" s="23"/>
      <c r="W568" s="23"/>
      <c r="X568" s="23"/>
      <c r="Y568" s="23"/>
      <c r="Z568" s="23"/>
      <c r="AA568"/>
      <c r="AB568"/>
      <c r="AC568"/>
      <c r="AD568"/>
      <c r="AE568"/>
      <c r="AF568"/>
    </row>
    <row r="569" spans="17:32" ht="12.75" customHeight="1">
      <c r="Q569" s="23"/>
      <c r="R569" s="23"/>
      <c r="S569" s="23"/>
      <c r="T569" s="23"/>
      <c r="U569" s="23"/>
      <c r="V569" s="23"/>
      <c r="W569" s="23"/>
      <c r="X569" s="23"/>
      <c r="Y569" s="23"/>
      <c r="Z569" s="23"/>
      <c r="AA569"/>
      <c r="AB569"/>
      <c r="AC569"/>
      <c r="AD569"/>
      <c r="AE569"/>
      <c r="AF569"/>
    </row>
    <row r="570" spans="17:32" ht="12.75" customHeight="1">
      <c r="Q570" s="23"/>
      <c r="R570" s="23"/>
      <c r="S570" s="23"/>
      <c r="T570" s="23"/>
      <c r="U570" s="23"/>
      <c r="V570" s="23"/>
      <c r="W570" s="23"/>
      <c r="X570" s="23"/>
      <c r="Y570" s="23"/>
      <c r="Z570" s="23"/>
      <c r="AA570"/>
      <c r="AB570"/>
      <c r="AC570"/>
      <c r="AD570"/>
      <c r="AE570"/>
      <c r="AF570"/>
    </row>
    <row r="571" spans="17:32" ht="12.75" customHeight="1">
      <c r="Q571" s="23"/>
      <c r="R571" s="23"/>
      <c r="S571" s="23"/>
      <c r="T571" s="23"/>
      <c r="U571" s="23"/>
      <c r="V571" s="23"/>
      <c r="W571" s="23"/>
      <c r="X571" s="23"/>
      <c r="Y571" s="23"/>
      <c r="Z571" s="23"/>
      <c r="AA571"/>
      <c r="AB571"/>
      <c r="AC571"/>
      <c r="AD571"/>
      <c r="AE571"/>
      <c r="AF571"/>
    </row>
    <row r="572" spans="17:32" ht="12.75" customHeight="1">
      <c r="Q572" s="23"/>
      <c r="R572" s="23"/>
      <c r="S572" s="23"/>
      <c r="T572" s="23"/>
      <c r="U572" s="23"/>
      <c r="V572" s="23"/>
      <c r="W572" s="23"/>
      <c r="X572" s="23"/>
      <c r="Y572" s="23"/>
      <c r="Z572" s="23"/>
      <c r="AA572"/>
      <c r="AB572"/>
      <c r="AC572"/>
      <c r="AD572"/>
      <c r="AE572"/>
      <c r="AF572"/>
    </row>
    <row r="573" spans="17:32" ht="12.75" customHeight="1">
      <c r="Q573" s="23"/>
      <c r="R573" s="23"/>
      <c r="S573" s="23"/>
      <c r="T573" s="23"/>
      <c r="U573" s="23"/>
      <c r="V573" s="23"/>
      <c r="W573" s="23"/>
      <c r="X573" s="23"/>
      <c r="Y573" s="23"/>
      <c r="Z573" s="23"/>
      <c r="AA573"/>
      <c r="AB573"/>
      <c r="AC573"/>
      <c r="AD573"/>
      <c r="AE573"/>
      <c r="AF573"/>
    </row>
    <row r="574" spans="17:32" ht="12.75" customHeight="1">
      <c r="Q574" s="23"/>
      <c r="R574" s="23"/>
      <c r="S574" s="23"/>
      <c r="T574" s="23"/>
      <c r="U574" s="23"/>
      <c r="V574" s="23"/>
      <c r="W574" s="23"/>
      <c r="X574" s="23"/>
      <c r="Y574" s="23"/>
      <c r="Z574" s="23"/>
      <c r="AA574"/>
      <c r="AB574"/>
      <c r="AC574"/>
      <c r="AD574"/>
      <c r="AE574"/>
      <c r="AF574"/>
    </row>
    <row r="575" spans="17:32" ht="12.75" customHeight="1">
      <c r="Q575" s="23"/>
      <c r="R575" s="23"/>
      <c r="S575" s="23"/>
      <c r="T575" s="23"/>
      <c r="U575" s="23"/>
      <c r="V575" s="23"/>
      <c r="W575" s="23"/>
      <c r="X575" s="23"/>
      <c r="Y575" s="23"/>
      <c r="Z575" s="23"/>
      <c r="AA575"/>
      <c r="AB575"/>
      <c r="AC575"/>
      <c r="AD575"/>
      <c r="AE575"/>
      <c r="AF575"/>
    </row>
    <row r="576" spans="17:32" ht="12.75" customHeight="1">
      <c r="Q576" s="23"/>
      <c r="R576" s="23"/>
      <c r="S576" s="23"/>
      <c r="T576" s="23"/>
      <c r="U576" s="23"/>
      <c r="V576" s="23"/>
      <c r="W576" s="23"/>
      <c r="X576" s="23"/>
      <c r="Y576" s="23"/>
      <c r="Z576" s="23"/>
      <c r="AA576"/>
      <c r="AB576"/>
      <c r="AC576"/>
      <c r="AD576"/>
      <c r="AE576"/>
      <c r="AF576"/>
    </row>
    <row r="577" spans="17:32" ht="12.75" customHeight="1">
      <c r="Q577" s="23"/>
      <c r="R577" s="23"/>
      <c r="S577" s="23"/>
      <c r="T577" s="23"/>
      <c r="U577" s="23"/>
      <c r="V577" s="23"/>
      <c r="W577" s="23"/>
      <c r="X577" s="23"/>
      <c r="Y577" s="23"/>
      <c r="Z577" s="23"/>
      <c r="AA577"/>
      <c r="AB577"/>
      <c r="AC577"/>
      <c r="AD577"/>
      <c r="AE577"/>
      <c r="AF577"/>
    </row>
    <row r="578" spans="17:32" ht="12.75" customHeight="1">
      <c r="Q578" s="23"/>
      <c r="R578" s="23"/>
      <c r="S578" s="23"/>
      <c r="T578" s="23"/>
      <c r="U578" s="23"/>
      <c r="V578" s="23"/>
      <c r="W578" s="23"/>
      <c r="X578" s="23"/>
      <c r="Y578" s="23"/>
      <c r="Z578" s="23"/>
      <c r="AA578"/>
      <c r="AB578"/>
      <c r="AC578"/>
      <c r="AD578"/>
      <c r="AE578"/>
      <c r="AF578"/>
    </row>
    <row r="579" spans="17:32" ht="12.75" customHeight="1">
      <c r="Q579" s="23"/>
      <c r="R579" s="23"/>
      <c r="S579" s="23"/>
      <c r="T579" s="23"/>
      <c r="U579" s="23"/>
      <c r="V579" s="23"/>
      <c r="W579" s="23"/>
      <c r="X579" s="23"/>
      <c r="Y579" s="23"/>
      <c r="Z579" s="23"/>
      <c r="AA579"/>
      <c r="AB579"/>
      <c r="AC579"/>
      <c r="AD579"/>
      <c r="AE579"/>
      <c r="AF579"/>
    </row>
    <row r="580" spans="17:32" ht="12.75" customHeight="1">
      <c r="Q580" s="23"/>
      <c r="R580" s="23"/>
      <c r="S580" s="23"/>
      <c r="T580" s="23"/>
      <c r="U580" s="23"/>
      <c r="V580" s="23"/>
      <c r="W580" s="23"/>
      <c r="X580" s="23"/>
      <c r="Y580" s="23"/>
      <c r="Z580" s="23"/>
      <c r="AA580"/>
      <c r="AB580"/>
      <c r="AC580"/>
      <c r="AD580"/>
      <c r="AE580"/>
      <c r="AF580"/>
    </row>
    <row r="581" spans="17:32" ht="12.75" customHeight="1">
      <c r="Q581" s="23"/>
      <c r="R581" s="23"/>
      <c r="S581" s="23"/>
      <c r="T581" s="23"/>
      <c r="U581" s="23"/>
      <c r="V581" s="23"/>
      <c r="W581" s="23"/>
      <c r="X581" s="23"/>
      <c r="Y581" s="23"/>
      <c r="Z581" s="23"/>
      <c r="AA581"/>
      <c r="AB581"/>
      <c r="AC581"/>
      <c r="AD581"/>
      <c r="AE581"/>
      <c r="AF581"/>
    </row>
    <row r="582" spans="17:32" ht="12.75" customHeight="1">
      <c r="Q582" s="23"/>
      <c r="R582" s="23"/>
      <c r="S582" s="23"/>
      <c r="T582" s="23"/>
      <c r="U582" s="23"/>
      <c r="V582" s="23"/>
      <c r="W582" s="23"/>
      <c r="X582" s="23"/>
      <c r="Y582" s="23"/>
      <c r="Z582" s="23"/>
      <c r="AA582"/>
      <c r="AB582"/>
      <c r="AC582"/>
      <c r="AD582"/>
      <c r="AE582"/>
      <c r="AF582"/>
    </row>
    <row r="583" spans="17:32" ht="12.75" customHeight="1">
      <c r="Q583" s="23"/>
      <c r="R583" s="23"/>
      <c r="S583" s="23"/>
      <c r="T583" s="23"/>
      <c r="U583" s="23"/>
      <c r="V583" s="23"/>
      <c r="W583" s="23"/>
      <c r="X583" s="23"/>
      <c r="Y583" s="23"/>
      <c r="Z583" s="23"/>
      <c r="AA583"/>
      <c r="AB583"/>
      <c r="AC583"/>
      <c r="AD583"/>
      <c r="AE583"/>
      <c r="AF583"/>
    </row>
    <row r="584" spans="17:32" ht="12.75" customHeight="1">
      <c r="Q584" s="23"/>
      <c r="R584" s="23"/>
      <c r="S584" s="23"/>
      <c r="T584" s="23"/>
      <c r="U584" s="23"/>
      <c r="V584" s="23"/>
      <c r="W584" s="23"/>
      <c r="X584" s="23"/>
      <c r="Y584" s="23"/>
      <c r="Z584" s="23"/>
      <c r="AA584"/>
      <c r="AB584"/>
      <c r="AC584"/>
      <c r="AD584"/>
      <c r="AE584"/>
      <c r="AF584"/>
    </row>
    <row r="585" spans="17:32" ht="12.75" customHeight="1">
      <c r="Q585" s="23"/>
      <c r="R585" s="23"/>
      <c r="S585" s="23"/>
      <c r="T585" s="23"/>
      <c r="U585" s="23"/>
      <c r="V585" s="23"/>
      <c r="W585" s="23"/>
      <c r="X585" s="23"/>
      <c r="Y585" s="23"/>
      <c r="Z585" s="23"/>
      <c r="AA585"/>
      <c r="AB585"/>
      <c r="AC585"/>
      <c r="AD585"/>
      <c r="AE585"/>
      <c r="AF585"/>
    </row>
    <row r="586" spans="17:32" ht="12.75" customHeight="1">
      <c r="Q586" s="23"/>
      <c r="R586" s="23"/>
      <c r="S586" s="23"/>
      <c r="T586" s="23"/>
      <c r="U586" s="23"/>
      <c r="V586" s="23"/>
      <c r="W586" s="23"/>
      <c r="X586" s="23"/>
      <c r="Y586" s="23"/>
      <c r="Z586" s="23"/>
      <c r="AA586"/>
      <c r="AB586"/>
      <c r="AC586"/>
      <c r="AD586"/>
      <c r="AE586"/>
      <c r="AF586"/>
    </row>
    <row r="587" spans="17:32" ht="12.75" customHeight="1">
      <c r="Q587" s="23"/>
      <c r="R587" s="23"/>
      <c r="S587" s="23"/>
      <c r="T587" s="23"/>
      <c r="U587" s="23"/>
      <c r="V587" s="23"/>
      <c r="W587" s="23"/>
      <c r="X587" s="23"/>
      <c r="Y587" s="23"/>
      <c r="Z587" s="23"/>
      <c r="AA587"/>
      <c r="AB587"/>
      <c r="AC587"/>
      <c r="AD587"/>
      <c r="AE587"/>
      <c r="AF587"/>
    </row>
    <row r="588" spans="17:32" ht="12.75" customHeight="1">
      <c r="Q588" s="23"/>
      <c r="R588" s="23"/>
      <c r="S588" s="23"/>
      <c r="T588" s="23"/>
      <c r="U588" s="23"/>
      <c r="V588" s="23"/>
      <c r="W588" s="23"/>
      <c r="X588" s="23"/>
      <c r="Y588" s="23"/>
      <c r="Z588" s="23"/>
      <c r="AA588"/>
      <c r="AB588"/>
      <c r="AC588"/>
      <c r="AD588"/>
      <c r="AE588"/>
      <c r="AF588"/>
    </row>
    <row r="589" spans="17:32" ht="12.75" customHeight="1">
      <c r="Q589" s="23"/>
      <c r="R589" s="23"/>
      <c r="S589" s="23"/>
      <c r="T589" s="23"/>
      <c r="U589" s="23"/>
      <c r="V589" s="23"/>
      <c r="W589" s="23"/>
      <c r="X589" s="23"/>
      <c r="Y589" s="23"/>
      <c r="Z589" s="23"/>
      <c r="AA589"/>
      <c r="AB589"/>
      <c r="AC589"/>
      <c r="AD589"/>
      <c r="AE589"/>
      <c r="AF589"/>
    </row>
    <row r="590" spans="17:32" ht="12.75" customHeight="1">
      <c r="Q590" s="23"/>
      <c r="R590" s="23"/>
      <c r="S590" s="23"/>
      <c r="T590" s="23"/>
      <c r="U590" s="23"/>
      <c r="V590" s="23"/>
      <c r="W590" s="23"/>
      <c r="X590" s="23"/>
      <c r="Y590" s="23"/>
      <c r="Z590" s="23"/>
      <c r="AA590"/>
      <c r="AB590"/>
      <c r="AC590"/>
      <c r="AD590"/>
      <c r="AE590"/>
      <c r="AF590"/>
    </row>
    <row r="591" spans="17:32" ht="12.75" customHeight="1">
      <c r="Q591" s="23"/>
      <c r="R591" s="23"/>
      <c r="S591" s="23"/>
      <c r="T591" s="23"/>
      <c r="U591" s="23"/>
      <c r="V591" s="23"/>
      <c r="W591" s="23"/>
      <c r="X591" s="23"/>
      <c r="Y591" s="23"/>
      <c r="Z591" s="23"/>
      <c r="AA591"/>
      <c r="AB591"/>
      <c r="AC591"/>
      <c r="AD591"/>
      <c r="AE591"/>
      <c r="AF591"/>
    </row>
    <row r="592" spans="17:32" ht="12.75" customHeight="1">
      <c r="Q592" s="23"/>
      <c r="R592" s="23"/>
      <c r="S592" s="23"/>
      <c r="T592" s="23"/>
      <c r="U592" s="23"/>
      <c r="V592" s="23"/>
      <c r="W592" s="23"/>
      <c r="X592" s="23"/>
      <c r="Y592" s="23"/>
      <c r="Z592" s="23"/>
      <c r="AA592"/>
      <c r="AB592"/>
      <c r="AC592"/>
      <c r="AD592"/>
      <c r="AE592"/>
      <c r="AF592"/>
    </row>
    <row r="593" spans="17:32" ht="12.75" customHeight="1">
      <c r="Q593" s="23"/>
      <c r="R593" s="23"/>
      <c r="S593" s="23"/>
      <c r="T593" s="23"/>
      <c r="U593" s="23"/>
      <c r="V593" s="23"/>
      <c r="W593" s="23"/>
      <c r="X593" s="23"/>
      <c r="Y593" s="23"/>
      <c r="Z593" s="23"/>
      <c r="AA593"/>
      <c r="AB593"/>
      <c r="AC593"/>
      <c r="AD593"/>
      <c r="AE593"/>
      <c r="AF593"/>
    </row>
    <row r="594" spans="17:32" ht="12.75" customHeight="1">
      <c r="Q594" s="23"/>
      <c r="R594" s="23"/>
      <c r="S594" s="23"/>
      <c r="T594" s="23"/>
      <c r="U594" s="23"/>
      <c r="V594" s="23"/>
      <c r="W594" s="23"/>
      <c r="X594" s="23"/>
      <c r="Y594" s="23"/>
      <c r="Z594" s="23"/>
      <c r="AA594"/>
      <c r="AB594"/>
      <c r="AC594"/>
      <c r="AD594"/>
      <c r="AE594"/>
      <c r="AF594"/>
    </row>
    <row r="595" spans="17:32" ht="12.75" customHeight="1">
      <c r="Q595" s="23"/>
      <c r="R595" s="23"/>
      <c r="S595" s="23"/>
      <c r="T595" s="23"/>
      <c r="U595" s="23"/>
      <c r="V595" s="23"/>
      <c r="W595" s="23"/>
      <c r="X595" s="23"/>
      <c r="Y595" s="23"/>
      <c r="Z595" s="23"/>
      <c r="AA595"/>
      <c r="AB595"/>
      <c r="AC595"/>
      <c r="AD595"/>
      <c r="AE595"/>
      <c r="AF595"/>
    </row>
    <row r="596" spans="17:32" ht="12.75" customHeight="1">
      <c r="Q596" s="23"/>
      <c r="R596" s="23"/>
      <c r="S596" s="23"/>
      <c r="T596" s="23"/>
      <c r="U596" s="23"/>
      <c r="V596" s="23"/>
      <c r="W596" s="23"/>
      <c r="X596" s="23"/>
      <c r="Y596" s="23"/>
      <c r="Z596" s="23"/>
      <c r="AA596"/>
      <c r="AB596"/>
      <c r="AC596"/>
      <c r="AD596"/>
      <c r="AE596"/>
      <c r="AF596"/>
    </row>
    <row r="597" spans="17:32" ht="12.75" customHeight="1">
      <c r="Q597" s="23"/>
      <c r="R597" s="23"/>
      <c r="S597" s="23"/>
      <c r="T597" s="23"/>
      <c r="U597" s="23"/>
      <c r="V597" s="23"/>
      <c r="W597" s="23"/>
      <c r="X597" s="23"/>
      <c r="Y597" s="23"/>
      <c r="Z597" s="23"/>
      <c r="AA597"/>
      <c r="AB597"/>
      <c r="AC597"/>
      <c r="AD597"/>
      <c r="AE597"/>
      <c r="AF597"/>
    </row>
    <row r="598" spans="17:32" ht="12.75" customHeight="1">
      <c r="Q598" s="23"/>
      <c r="R598" s="23"/>
      <c r="S598" s="23"/>
      <c r="T598" s="23"/>
      <c r="U598" s="23"/>
      <c r="V598" s="23"/>
      <c r="W598" s="23"/>
      <c r="X598" s="23"/>
      <c r="Y598" s="23"/>
      <c r="Z598" s="23"/>
      <c r="AA598"/>
      <c r="AB598"/>
      <c r="AC598"/>
      <c r="AD598"/>
      <c r="AE598"/>
      <c r="AF598"/>
    </row>
    <row r="599" spans="17:32" ht="12.75" customHeight="1">
      <c r="Q599" s="23"/>
      <c r="R599" s="23"/>
      <c r="S599" s="23"/>
      <c r="T599" s="23"/>
      <c r="U599" s="23"/>
      <c r="V599" s="23"/>
      <c r="W599" s="23"/>
      <c r="X599" s="23"/>
      <c r="Y599" s="23"/>
      <c r="Z599" s="23"/>
      <c r="AA599"/>
      <c r="AB599"/>
      <c r="AC599"/>
      <c r="AD599"/>
      <c r="AE599"/>
      <c r="AF599"/>
    </row>
    <row r="600" spans="17:32" ht="12.75" customHeight="1">
      <c r="Q600" s="23"/>
      <c r="R600" s="23"/>
      <c r="S600" s="23"/>
      <c r="T600" s="23"/>
      <c r="U600" s="23"/>
      <c r="V600" s="23"/>
      <c r="W600" s="23"/>
      <c r="X600" s="23"/>
      <c r="Y600" s="23"/>
      <c r="Z600" s="23"/>
      <c r="AA600"/>
      <c r="AB600"/>
      <c r="AC600"/>
      <c r="AD600"/>
      <c r="AE600"/>
      <c r="AF600"/>
    </row>
    <row r="601" spans="17:32" ht="12.75" customHeight="1">
      <c r="Q601" s="23"/>
      <c r="R601" s="23"/>
      <c r="S601" s="23"/>
      <c r="T601" s="23"/>
      <c r="U601" s="23"/>
      <c r="V601" s="23"/>
      <c r="W601" s="23"/>
      <c r="X601" s="23"/>
      <c r="Y601" s="23"/>
      <c r="Z601" s="23"/>
      <c r="AA601"/>
      <c r="AB601"/>
      <c r="AC601"/>
      <c r="AD601"/>
      <c r="AE601"/>
      <c r="AF601"/>
    </row>
    <row r="602" spans="17:32" ht="12.75" customHeight="1">
      <c r="Q602" s="23"/>
      <c r="R602" s="23"/>
      <c r="S602" s="23"/>
      <c r="T602" s="23"/>
      <c r="U602" s="23"/>
      <c r="V602" s="23"/>
      <c r="W602" s="23"/>
      <c r="X602" s="23"/>
      <c r="Y602" s="23"/>
      <c r="Z602" s="23"/>
      <c r="AA602"/>
      <c r="AB602"/>
      <c r="AC602"/>
      <c r="AD602"/>
      <c r="AE602"/>
      <c r="AF602"/>
    </row>
    <row r="603" spans="17:32" ht="12.75" customHeight="1">
      <c r="Q603" s="23"/>
      <c r="R603" s="23"/>
      <c r="S603" s="23"/>
      <c r="T603" s="23"/>
      <c r="U603" s="23"/>
      <c r="V603" s="23"/>
      <c r="W603" s="23"/>
      <c r="X603" s="23"/>
      <c r="Y603" s="23"/>
      <c r="Z603" s="23"/>
      <c r="AA603"/>
      <c r="AB603"/>
      <c r="AC603"/>
      <c r="AD603"/>
      <c r="AE603"/>
      <c r="AF603"/>
    </row>
    <row r="604" spans="17:32" ht="12.75" customHeight="1">
      <c r="Q604" s="23"/>
      <c r="R604" s="23"/>
      <c r="S604" s="23"/>
      <c r="T604" s="23"/>
      <c r="U604" s="23"/>
      <c r="V604" s="23"/>
      <c r="W604" s="23"/>
      <c r="X604" s="23"/>
      <c r="Y604" s="23"/>
      <c r="Z604" s="23"/>
      <c r="AA604"/>
      <c r="AB604"/>
      <c r="AC604"/>
      <c r="AD604"/>
      <c r="AE604"/>
      <c r="AF604"/>
    </row>
    <row r="605" spans="17:32" ht="12.75" customHeight="1">
      <c r="Q605" s="23"/>
      <c r="R605" s="23"/>
      <c r="S605" s="23"/>
      <c r="T605" s="23"/>
      <c r="U605" s="23"/>
      <c r="V605" s="23"/>
      <c r="W605" s="23"/>
      <c r="X605" s="23"/>
      <c r="Y605" s="23"/>
      <c r="Z605" s="23"/>
      <c r="AA605"/>
      <c r="AB605"/>
      <c r="AC605"/>
      <c r="AD605"/>
      <c r="AE605"/>
      <c r="AF605"/>
    </row>
    <row r="606" spans="17:32" ht="12.75" customHeight="1">
      <c r="Q606" s="23"/>
      <c r="R606" s="23"/>
      <c r="S606" s="23"/>
      <c r="T606" s="23"/>
      <c r="U606" s="23"/>
      <c r="V606" s="23"/>
      <c r="W606" s="23"/>
      <c r="X606" s="23"/>
      <c r="Y606" s="23"/>
      <c r="Z606" s="23"/>
      <c r="AA606"/>
      <c r="AB606"/>
      <c r="AC606"/>
      <c r="AD606"/>
      <c r="AE606"/>
      <c r="AF606"/>
    </row>
    <row r="607" spans="17:32" ht="12.75" customHeight="1">
      <c r="Q607" s="23"/>
      <c r="R607" s="23"/>
      <c r="S607" s="23"/>
      <c r="T607" s="23"/>
      <c r="U607" s="23"/>
      <c r="V607" s="23"/>
      <c r="W607" s="23"/>
      <c r="X607" s="23"/>
      <c r="Y607" s="23"/>
      <c r="Z607" s="23"/>
      <c r="AA607"/>
      <c r="AB607"/>
      <c r="AC607"/>
      <c r="AD607"/>
      <c r="AE607"/>
      <c r="AF607"/>
    </row>
    <row r="608" spans="17:32" ht="12.75" customHeight="1">
      <c r="Q608" s="23"/>
      <c r="R608" s="23"/>
      <c r="S608" s="23"/>
      <c r="T608" s="23"/>
      <c r="U608" s="23"/>
      <c r="V608" s="23"/>
      <c r="W608" s="23"/>
      <c r="X608" s="23"/>
      <c r="Y608" s="23"/>
      <c r="Z608" s="23"/>
      <c r="AA608"/>
      <c r="AB608"/>
      <c r="AC608"/>
      <c r="AD608"/>
      <c r="AE608"/>
      <c r="AF608"/>
    </row>
    <row r="609" spans="17:32" ht="12.75" customHeight="1">
      <c r="Q609" s="23"/>
      <c r="R609" s="23"/>
      <c r="S609" s="23"/>
      <c r="T609" s="23"/>
      <c r="U609" s="23"/>
      <c r="V609" s="23"/>
      <c r="W609" s="23"/>
      <c r="X609" s="23"/>
      <c r="Y609" s="23"/>
      <c r="Z609" s="23"/>
      <c r="AA609"/>
      <c r="AB609"/>
      <c r="AC609"/>
      <c r="AD609"/>
      <c r="AE609"/>
      <c r="AF609"/>
    </row>
    <row r="610" spans="17:32" ht="12.75" customHeight="1">
      <c r="Q610" s="23"/>
      <c r="R610" s="23"/>
      <c r="S610" s="23"/>
      <c r="T610" s="23"/>
      <c r="U610" s="23"/>
      <c r="V610" s="23"/>
      <c r="W610" s="23"/>
      <c r="X610" s="23"/>
      <c r="Y610" s="23"/>
      <c r="Z610" s="23"/>
      <c r="AA610"/>
      <c r="AB610"/>
      <c r="AC610"/>
      <c r="AD610"/>
      <c r="AE610"/>
      <c r="AF610"/>
    </row>
    <row r="611" spans="17:32" ht="12.75" customHeight="1">
      <c r="Q611" s="23"/>
      <c r="R611" s="23"/>
      <c r="S611" s="23"/>
      <c r="T611" s="23"/>
      <c r="U611" s="23"/>
      <c r="V611" s="23"/>
      <c r="W611" s="23"/>
      <c r="X611" s="23"/>
      <c r="Y611" s="23"/>
      <c r="Z611" s="23"/>
      <c r="AA611"/>
      <c r="AB611"/>
      <c r="AC611"/>
      <c r="AD611"/>
      <c r="AE611"/>
      <c r="AF611"/>
    </row>
    <row r="612" spans="17:32" ht="12.75" customHeight="1">
      <c r="Q612" s="23"/>
      <c r="R612" s="23"/>
      <c r="S612" s="23"/>
      <c r="T612" s="23"/>
      <c r="U612" s="23"/>
      <c r="V612" s="23"/>
      <c r="W612" s="23"/>
      <c r="X612" s="23"/>
      <c r="Y612" s="23"/>
      <c r="Z612" s="23"/>
      <c r="AA612"/>
      <c r="AB612"/>
      <c r="AC612"/>
      <c r="AD612"/>
      <c r="AE612"/>
      <c r="AF612"/>
    </row>
    <row r="613" spans="17:32" ht="12.75" customHeight="1">
      <c r="Q613" s="23"/>
      <c r="R613" s="23"/>
      <c r="S613" s="23"/>
      <c r="T613" s="23"/>
      <c r="U613" s="23"/>
      <c r="V613" s="23"/>
      <c r="W613" s="23"/>
      <c r="X613" s="23"/>
      <c r="Y613" s="23"/>
      <c r="Z613" s="23"/>
      <c r="AA613"/>
      <c r="AB613"/>
      <c r="AC613"/>
      <c r="AD613"/>
      <c r="AE613"/>
      <c r="AF613"/>
    </row>
    <row r="614" spans="17:32" ht="12.75" customHeight="1">
      <c r="Q614" s="23"/>
      <c r="R614" s="23"/>
      <c r="S614" s="23"/>
      <c r="T614" s="23"/>
      <c r="U614" s="23"/>
      <c r="V614" s="23"/>
      <c r="W614" s="23"/>
      <c r="X614" s="23"/>
      <c r="Y614" s="23"/>
      <c r="Z614" s="23"/>
      <c r="AA614"/>
      <c r="AB614"/>
      <c r="AC614"/>
      <c r="AD614"/>
      <c r="AE614"/>
      <c r="AF614"/>
    </row>
    <row r="615" spans="17:32" ht="12.75" customHeight="1">
      <c r="Q615" s="23"/>
      <c r="R615" s="23"/>
      <c r="S615" s="23"/>
      <c r="T615" s="23"/>
      <c r="U615" s="23"/>
      <c r="V615" s="23"/>
      <c r="W615" s="23"/>
      <c r="X615" s="23"/>
      <c r="Y615" s="23"/>
      <c r="Z615" s="23"/>
      <c r="AA615"/>
      <c r="AB615"/>
      <c r="AC615"/>
      <c r="AD615"/>
      <c r="AE615"/>
      <c r="AF615"/>
    </row>
    <row r="616" spans="17:32" ht="12.75" customHeight="1">
      <c r="Q616" s="23"/>
      <c r="R616" s="23"/>
      <c r="S616" s="23"/>
      <c r="T616" s="23"/>
      <c r="U616" s="23"/>
      <c r="V616" s="23"/>
      <c r="W616" s="23"/>
      <c r="X616" s="23"/>
      <c r="Y616" s="23"/>
      <c r="Z616" s="23"/>
      <c r="AA616"/>
      <c r="AB616"/>
      <c r="AC616"/>
      <c r="AD616"/>
      <c r="AE616"/>
      <c r="AF616"/>
    </row>
    <row r="617" spans="17:32" ht="12.75" customHeight="1">
      <c r="Q617" s="23"/>
      <c r="R617" s="23"/>
      <c r="S617" s="23"/>
      <c r="T617" s="23"/>
      <c r="U617" s="23"/>
      <c r="V617" s="23"/>
      <c r="W617" s="23"/>
      <c r="X617" s="23"/>
      <c r="Y617" s="23"/>
      <c r="Z617" s="23"/>
      <c r="AA617"/>
      <c r="AB617"/>
      <c r="AC617"/>
      <c r="AD617"/>
      <c r="AE617"/>
      <c r="AF617"/>
    </row>
    <row r="618" spans="17:32" ht="12.75" customHeight="1">
      <c r="Q618" s="23"/>
      <c r="R618" s="23"/>
      <c r="S618" s="23"/>
      <c r="T618" s="23"/>
      <c r="U618" s="23"/>
      <c r="V618" s="23"/>
      <c r="W618" s="23"/>
      <c r="X618" s="23"/>
      <c r="Y618" s="23"/>
      <c r="Z618" s="23"/>
      <c r="AA618"/>
      <c r="AB618"/>
      <c r="AC618"/>
      <c r="AD618"/>
      <c r="AE618"/>
      <c r="AF618"/>
    </row>
    <row r="619" spans="17:32" ht="12.75" customHeight="1">
      <c r="Q619" s="23"/>
      <c r="R619" s="23"/>
      <c r="S619" s="23"/>
      <c r="T619" s="23"/>
      <c r="U619" s="23"/>
      <c r="V619" s="23"/>
      <c r="W619" s="23"/>
      <c r="X619" s="23"/>
      <c r="Y619" s="23"/>
      <c r="Z619" s="23"/>
      <c r="AA619"/>
      <c r="AB619"/>
      <c r="AC619"/>
      <c r="AD619"/>
      <c r="AE619"/>
      <c r="AF619"/>
    </row>
    <row r="620" spans="17:32" ht="12.75" customHeight="1">
      <c r="Q620" s="23"/>
      <c r="R620" s="23"/>
      <c r="S620" s="23"/>
      <c r="T620" s="23"/>
      <c r="U620" s="23"/>
      <c r="V620" s="23"/>
      <c r="W620" s="23"/>
      <c r="X620" s="23"/>
      <c r="Y620" s="23"/>
      <c r="Z620" s="23"/>
      <c r="AA620"/>
      <c r="AB620"/>
      <c r="AC620"/>
      <c r="AD620"/>
      <c r="AE620"/>
      <c r="AF620"/>
    </row>
    <row r="621" spans="17:32" ht="12.75" customHeight="1">
      <c r="Q621" s="23"/>
      <c r="R621" s="23"/>
      <c r="S621" s="23"/>
      <c r="T621" s="23"/>
      <c r="U621" s="23"/>
      <c r="V621" s="23"/>
      <c r="W621" s="23"/>
      <c r="X621" s="23"/>
      <c r="Y621" s="23"/>
      <c r="Z621" s="23"/>
      <c r="AA621"/>
      <c r="AB621"/>
      <c r="AC621"/>
      <c r="AD621"/>
      <c r="AE621"/>
      <c r="AF621"/>
    </row>
    <row r="622" spans="17:32" ht="12.75" customHeight="1">
      <c r="Q622" s="23"/>
      <c r="R622" s="23"/>
      <c r="S622" s="23"/>
      <c r="T622" s="23"/>
      <c r="U622" s="23"/>
      <c r="V622" s="23"/>
      <c r="W622" s="23"/>
      <c r="X622" s="23"/>
      <c r="Y622" s="23"/>
      <c r="Z622" s="23"/>
      <c r="AA622"/>
      <c r="AB622"/>
      <c r="AC622"/>
      <c r="AD622"/>
      <c r="AE622"/>
      <c r="AF622"/>
    </row>
    <row r="623" spans="17:32" ht="12.75" customHeight="1">
      <c r="Q623" s="23"/>
      <c r="R623" s="23"/>
      <c r="S623" s="23"/>
      <c r="T623" s="23"/>
      <c r="U623" s="23"/>
      <c r="V623" s="23"/>
      <c r="W623" s="23"/>
      <c r="X623" s="23"/>
      <c r="Y623" s="23"/>
      <c r="Z623" s="23"/>
      <c r="AA623"/>
      <c r="AB623"/>
      <c r="AC623"/>
      <c r="AD623"/>
      <c r="AE623"/>
      <c r="AF623"/>
    </row>
    <row r="624" spans="17:32" ht="12.75" customHeight="1">
      <c r="Q624" s="23"/>
      <c r="R624" s="23"/>
      <c r="S624" s="23"/>
      <c r="T624" s="23"/>
      <c r="U624" s="23"/>
      <c r="V624" s="23"/>
      <c r="W624" s="23"/>
      <c r="X624" s="23"/>
      <c r="Y624" s="23"/>
      <c r="Z624" s="23"/>
      <c r="AA624"/>
      <c r="AB624"/>
      <c r="AC624"/>
      <c r="AD624"/>
      <c r="AE624"/>
      <c r="AF624"/>
    </row>
    <row r="625" spans="17:32" ht="12.75" customHeight="1">
      <c r="Q625" s="23"/>
      <c r="R625" s="23"/>
      <c r="S625" s="23"/>
      <c r="T625" s="23"/>
      <c r="U625" s="23"/>
      <c r="V625" s="23"/>
      <c r="W625" s="23"/>
      <c r="X625" s="23"/>
      <c r="Y625" s="23"/>
      <c r="Z625" s="23"/>
      <c r="AA625"/>
      <c r="AB625"/>
      <c r="AC625"/>
      <c r="AD625"/>
      <c r="AE625"/>
      <c r="AF625"/>
    </row>
    <row r="626" spans="17:32" ht="12.75" customHeight="1">
      <c r="Q626" s="23"/>
      <c r="R626" s="23"/>
      <c r="S626" s="23"/>
      <c r="T626" s="23"/>
      <c r="U626" s="23"/>
      <c r="V626" s="23"/>
      <c r="W626" s="23"/>
      <c r="X626" s="23"/>
      <c r="Y626" s="23"/>
      <c r="Z626" s="23"/>
      <c r="AA626"/>
      <c r="AB626"/>
      <c r="AC626"/>
      <c r="AD626"/>
      <c r="AE626"/>
      <c r="AF626"/>
    </row>
    <row r="627" spans="17:32" ht="12.75" customHeight="1">
      <c r="Q627" s="23"/>
      <c r="R627" s="23"/>
      <c r="S627" s="23"/>
      <c r="T627" s="23"/>
      <c r="U627" s="23"/>
      <c r="V627" s="23"/>
      <c r="W627" s="23"/>
      <c r="X627" s="23"/>
      <c r="Y627" s="23"/>
      <c r="Z627" s="23"/>
      <c r="AA627"/>
      <c r="AB627"/>
      <c r="AC627"/>
      <c r="AD627"/>
      <c r="AE627"/>
      <c r="AF627"/>
    </row>
    <row r="628" spans="17:32" ht="12.75" customHeight="1">
      <c r="Q628" s="23"/>
      <c r="R628" s="23"/>
      <c r="S628" s="23"/>
      <c r="T628" s="23"/>
      <c r="U628" s="23"/>
      <c r="V628" s="23"/>
      <c r="W628" s="23"/>
      <c r="X628" s="23"/>
      <c r="Y628" s="23"/>
      <c r="Z628" s="23"/>
      <c r="AA628"/>
      <c r="AB628"/>
      <c r="AC628"/>
      <c r="AD628"/>
      <c r="AE628"/>
      <c r="AF628"/>
    </row>
    <row r="629" spans="17:32" ht="12.75" customHeight="1">
      <c r="Q629" s="23"/>
      <c r="R629" s="23"/>
      <c r="S629" s="23"/>
      <c r="T629" s="23"/>
      <c r="U629" s="23"/>
      <c r="V629" s="23"/>
      <c r="W629" s="23"/>
      <c r="X629" s="23"/>
      <c r="Y629" s="23"/>
      <c r="Z629" s="23"/>
      <c r="AA629"/>
      <c r="AB629"/>
      <c r="AC629"/>
      <c r="AD629"/>
      <c r="AE629"/>
      <c r="AF629"/>
    </row>
    <row r="630" spans="17:32" ht="12.75" customHeight="1">
      <c r="Q630" s="23"/>
      <c r="R630" s="23"/>
      <c r="S630" s="23"/>
      <c r="T630" s="23"/>
      <c r="U630" s="23"/>
      <c r="V630" s="23"/>
      <c r="W630" s="23"/>
      <c r="X630" s="23"/>
      <c r="Y630" s="23"/>
      <c r="Z630" s="23"/>
      <c r="AA630"/>
      <c r="AB630"/>
      <c r="AC630"/>
      <c r="AD630"/>
      <c r="AE630"/>
      <c r="AF630"/>
    </row>
    <row r="631" spans="17:32" ht="12.75" customHeight="1">
      <c r="Q631" s="23"/>
      <c r="R631" s="23"/>
      <c r="S631" s="23"/>
      <c r="T631" s="23"/>
      <c r="U631" s="23"/>
      <c r="V631" s="23"/>
      <c r="W631" s="23"/>
      <c r="X631" s="23"/>
      <c r="Y631" s="23"/>
      <c r="Z631" s="23"/>
      <c r="AA631"/>
      <c r="AB631"/>
      <c r="AC631"/>
      <c r="AD631"/>
      <c r="AE631"/>
      <c r="AF631"/>
    </row>
    <row r="632" spans="17:32" ht="12.75" customHeight="1">
      <c r="Q632" s="23"/>
      <c r="R632" s="23"/>
      <c r="S632" s="23"/>
      <c r="T632" s="23"/>
      <c r="U632" s="23"/>
      <c r="V632" s="23"/>
      <c r="W632" s="23"/>
      <c r="X632" s="23"/>
      <c r="Y632" s="23"/>
      <c r="Z632" s="23"/>
      <c r="AA632"/>
      <c r="AB632"/>
      <c r="AC632"/>
      <c r="AD632"/>
      <c r="AE632"/>
      <c r="AF632"/>
    </row>
    <row r="633" spans="17:32" ht="12.75" customHeight="1">
      <c r="Q633" s="23"/>
      <c r="R633" s="23"/>
      <c r="S633" s="23"/>
      <c r="T633" s="23"/>
      <c r="U633" s="23"/>
      <c r="V633" s="23"/>
      <c r="W633" s="23"/>
      <c r="X633" s="23"/>
      <c r="Y633" s="23"/>
      <c r="Z633" s="23"/>
      <c r="AA633"/>
      <c r="AB633"/>
      <c r="AC633"/>
      <c r="AD633"/>
      <c r="AE633"/>
      <c r="AF633"/>
    </row>
    <row r="634" spans="17:32" ht="12.75" customHeight="1">
      <c r="Q634" s="23"/>
      <c r="R634" s="23"/>
      <c r="S634" s="23"/>
      <c r="T634" s="23"/>
      <c r="U634" s="23"/>
      <c r="V634" s="23"/>
      <c r="W634" s="23"/>
      <c r="X634" s="23"/>
      <c r="Y634" s="23"/>
      <c r="Z634" s="23"/>
      <c r="AA634"/>
      <c r="AB634"/>
      <c r="AC634"/>
      <c r="AD634"/>
      <c r="AE634"/>
      <c r="AF634"/>
    </row>
    <row r="635" spans="17:32" ht="12.75" customHeight="1">
      <c r="Q635" s="23"/>
      <c r="R635" s="23"/>
      <c r="S635" s="23"/>
      <c r="T635" s="23"/>
      <c r="U635" s="23"/>
      <c r="V635" s="23"/>
      <c r="W635" s="23"/>
      <c r="X635" s="23"/>
      <c r="Y635" s="23"/>
      <c r="Z635" s="23"/>
      <c r="AA635"/>
      <c r="AB635"/>
      <c r="AC635"/>
      <c r="AD635"/>
      <c r="AE635"/>
      <c r="AF635"/>
    </row>
    <row r="636" spans="17:32" ht="12.75" customHeight="1">
      <c r="Q636" s="23"/>
      <c r="R636" s="23"/>
      <c r="S636" s="23"/>
      <c r="T636" s="23"/>
      <c r="U636" s="23"/>
      <c r="V636" s="23"/>
      <c r="W636" s="23"/>
      <c r="X636" s="23"/>
      <c r="Y636" s="23"/>
      <c r="Z636" s="23"/>
      <c r="AA636"/>
      <c r="AB636"/>
      <c r="AC636"/>
      <c r="AD636"/>
      <c r="AE636"/>
      <c r="AF636"/>
    </row>
    <row r="637" spans="17:32" ht="12.75" customHeight="1">
      <c r="Q637" s="23"/>
      <c r="R637" s="23"/>
      <c r="S637" s="23"/>
      <c r="T637" s="23"/>
      <c r="U637" s="23"/>
      <c r="V637" s="23"/>
      <c r="W637" s="23"/>
      <c r="X637" s="23"/>
      <c r="Y637" s="23"/>
      <c r="Z637" s="23"/>
      <c r="AA637"/>
      <c r="AB637"/>
      <c r="AC637"/>
      <c r="AD637"/>
      <c r="AE637"/>
      <c r="AF637"/>
    </row>
    <row r="638" spans="17:32" ht="12.75" customHeight="1">
      <c r="Q638" s="23"/>
      <c r="R638" s="23"/>
      <c r="S638" s="23"/>
      <c r="T638" s="23"/>
      <c r="U638" s="23"/>
      <c r="V638" s="23"/>
      <c r="W638" s="23"/>
      <c r="X638" s="23"/>
      <c r="Y638" s="23"/>
      <c r="Z638" s="23"/>
      <c r="AA638"/>
      <c r="AB638"/>
      <c r="AC638"/>
      <c r="AD638"/>
      <c r="AE638"/>
      <c r="AF638"/>
    </row>
    <row r="639" spans="17:32" ht="12.75" customHeight="1">
      <c r="Q639" s="23"/>
      <c r="R639" s="23"/>
      <c r="S639" s="23"/>
      <c r="T639" s="23"/>
      <c r="U639" s="23"/>
      <c r="V639" s="23"/>
      <c r="W639" s="23"/>
      <c r="X639" s="23"/>
      <c r="Y639" s="23"/>
      <c r="Z639" s="23"/>
      <c r="AA639"/>
      <c r="AB639"/>
      <c r="AC639"/>
      <c r="AD639"/>
      <c r="AE639"/>
      <c r="AF639"/>
    </row>
    <row r="640" spans="17:32" ht="12.75" customHeight="1">
      <c r="Q640" s="23"/>
      <c r="R640" s="23"/>
      <c r="S640" s="23"/>
      <c r="T640" s="23"/>
      <c r="U640" s="23"/>
      <c r="V640" s="23"/>
      <c r="W640" s="23"/>
      <c r="X640" s="23"/>
      <c r="Y640" s="23"/>
      <c r="Z640" s="23"/>
      <c r="AA640"/>
      <c r="AB640"/>
      <c r="AC640"/>
      <c r="AD640"/>
      <c r="AE640"/>
      <c r="AF640"/>
    </row>
    <row r="641" spans="17:32" ht="12.75" customHeight="1">
      <c r="Q641" s="23"/>
      <c r="R641" s="23"/>
      <c r="S641" s="23"/>
      <c r="T641" s="23"/>
      <c r="U641" s="23"/>
      <c r="V641" s="23"/>
      <c r="W641" s="23"/>
      <c r="X641" s="23"/>
      <c r="Y641" s="23"/>
      <c r="Z641" s="23"/>
      <c r="AA641"/>
      <c r="AB641"/>
      <c r="AC641"/>
      <c r="AD641"/>
      <c r="AE641"/>
      <c r="AF641"/>
    </row>
    <row r="642" spans="17:32" ht="12.75" customHeight="1">
      <c r="Q642" s="23"/>
      <c r="R642" s="23"/>
      <c r="S642" s="23"/>
      <c r="T642" s="23"/>
      <c r="U642" s="23"/>
      <c r="V642" s="23"/>
      <c r="W642" s="23"/>
      <c r="X642" s="23"/>
      <c r="Y642" s="23"/>
      <c r="Z642" s="23"/>
      <c r="AA642"/>
      <c r="AB642"/>
      <c r="AC642"/>
      <c r="AD642"/>
      <c r="AE642"/>
      <c r="AF642"/>
    </row>
    <row r="643" spans="17:32" ht="12.75" customHeight="1">
      <c r="Q643" s="23"/>
      <c r="R643" s="23"/>
      <c r="S643" s="23"/>
      <c r="T643" s="23"/>
      <c r="U643" s="23"/>
      <c r="V643" s="23"/>
      <c r="W643" s="23"/>
      <c r="X643" s="23"/>
      <c r="Y643" s="23"/>
      <c r="Z643" s="23"/>
      <c r="AA643"/>
      <c r="AB643"/>
      <c r="AC643"/>
      <c r="AD643"/>
      <c r="AE643"/>
      <c r="AF643"/>
    </row>
    <row r="644" spans="17:32" ht="12.75" customHeight="1">
      <c r="Q644" s="23"/>
      <c r="R644" s="23"/>
      <c r="S644" s="23"/>
      <c r="T644" s="23"/>
      <c r="U644" s="23"/>
      <c r="V644" s="23"/>
      <c r="W644" s="23"/>
      <c r="X644" s="23"/>
      <c r="Y644" s="23"/>
      <c r="Z644" s="23"/>
      <c r="AA644"/>
      <c r="AB644"/>
      <c r="AC644"/>
      <c r="AD644"/>
      <c r="AE644"/>
      <c r="AF644"/>
    </row>
    <row r="645" spans="17:32" ht="12.75" customHeight="1">
      <c r="Q645" s="23"/>
      <c r="R645" s="23"/>
      <c r="S645" s="23"/>
      <c r="T645" s="23"/>
      <c r="U645" s="23"/>
      <c r="V645" s="23"/>
      <c r="W645" s="23"/>
      <c r="X645" s="23"/>
      <c r="Y645" s="23"/>
      <c r="Z645" s="23"/>
      <c r="AA645"/>
      <c r="AB645"/>
      <c r="AC645"/>
      <c r="AD645"/>
      <c r="AE645"/>
      <c r="AF645"/>
    </row>
    <row r="646" spans="17:32" ht="12.75" customHeight="1">
      <c r="Q646" s="23"/>
      <c r="R646" s="23"/>
      <c r="S646" s="23"/>
      <c r="T646" s="23"/>
      <c r="U646" s="23"/>
      <c r="V646" s="23"/>
      <c r="W646" s="23"/>
      <c r="X646" s="23"/>
      <c r="Y646" s="23"/>
      <c r="Z646" s="23"/>
      <c r="AA646"/>
      <c r="AB646"/>
      <c r="AC646"/>
      <c r="AD646"/>
      <c r="AE646"/>
      <c r="AF646"/>
    </row>
    <row r="647" spans="17:32" ht="12.75" customHeight="1">
      <c r="Q647" s="23"/>
      <c r="R647" s="23"/>
      <c r="S647" s="23"/>
      <c r="T647" s="23"/>
      <c r="U647" s="23"/>
      <c r="V647" s="23"/>
      <c r="W647" s="23"/>
      <c r="X647" s="23"/>
      <c r="Y647" s="23"/>
      <c r="Z647" s="23"/>
      <c r="AA647"/>
      <c r="AB647"/>
      <c r="AC647"/>
      <c r="AD647"/>
      <c r="AE647"/>
      <c r="AF647"/>
    </row>
    <row r="648" spans="17:32" ht="12.75" customHeight="1">
      <c r="Q648" s="23"/>
      <c r="R648" s="23"/>
      <c r="S648" s="23"/>
      <c r="T648" s="23"/>
      <c r="U648" s="23"/>
      <c r="V648" s="23"/>
      <c r="W648" s="23"/>
      <c r="X648" s="23"/>
      <c r="Y648" s="23"/>
      <c r="Z648" s="23"/>
      <c r="AA648"/>
      <c r="AB648"/>
      <c r="AC648"/>
      <c r="AD648"/>
      <c r="AE648"/>
      <c r="AF648"/>
    </row>
    <row r="649" spans="17:32" ht="12.75" customHeight="1">
      <c r="Q649" s="23"/>
      <c r="R649" s="23"/>
      <c r="S649" s="23"/>
      <c r="T649" s="23"/>
      <c r="U649" s="23"/>
      <c r="V649" s="23"/>
      <c r="W649" s="23"/>
      <c r="X649" s="23"/>
      <c r="Y649" s="23"/>
      <c r="Z649" s="23"/>
      <c r="AA649"/>
      <c r="AB649"/>
      <c r="AC649"/>
      <c r="AD649"/>
      <c r="AE649"/>
      <c r="AF649"/>
    </row>
    <row r="650" spans="17:32" ht="12.75" customHeight="1">
      <c r="Q650" s="23"/>
      <c r="R650" s="23"/>
      <c r="S650" s="23"/>
      <c r="T650" s="23"/>
      <c r="U650" s="23"/>
      <c r="V650" s="23"/>
      <c r="W650" s="23"/>
      <c r="X650" s="23"/>
      <c r="Y650" s="23"/>
      <c r="Z650" s="23"/>
      <c r="AA650"/>
      <c r="AB650"/>
      <c r="AC650"/>
      <c r="AD650"/>
      <c r="AE650"/>
      <c r="AF650"/>
    </row>
    <row r="651" spans="17:32" ht="12.75" customHeight="1">
      <c r="Q651" s="23"/>
      <c r="R651" s="23"/>
      <c r="S651" s="23"/>
      <c r="T651" s="23"/>
      <c r="U651" s="23"/>
      <c r="V651" s="23"/>
      <c r="W651" s="23"/>
      <c r="X651" s="23"/>
      <c r="Y651" s="23"/>
      <c r="Z651" s="23"/>
      <c r="AA651"/>
      <c r="AB651"/>
      <c r="AC651"/>
      <c r="AD651"/>
      <c r="AE651"/>
      <c r="AF651"/>
    </row>
    <row r="652" spans="17:32" ht="12.75" customHeight="1">
      <c r="Q652" s="23"/>
      <c r="R652" s="23"/>
      <c r="S652" s="23"/>
      <c r="T652" s="23"/>
      <c r="U652" s="23"/>
      <c r="V652" s="23"/>
      <c r="W652" s="23"/>
      <c r="X652" s="23"/>
      <c r="Y652" s="23"/>
      <c r="Z652" s="23"/>
      <c r="AA652"/>
      <c r="AB652"/>
      <c r="AC652"/>
      <c r="AD652"/>
      <c r="AE652"/>
      <c r="AF652"/>
    </row>
    <row r="653" spans="17:32" ht="12.75" customHeight="1">
      <c r="Q653" s="23"/>
      <c r="R653" s="23"/>
      <c r="S653" s="23"/>
      <c r="T653" s="23"/>
      <c r="U653" s="23"/>
      <c r="V653" s="23"/>
      <c r="W653" s="23"/>
      <c r="X653" s="23"/>
      <c r="Y653" s="23"/>
      <c r="Z653" s="23"/>
      <c r="AA653"/>
      <c r="AB653"/>
      <c r="AC653"/>
      <c r="AD653"/>
      <c r="AE653"/>
      <c r="AF653"/>
    </row>
    <row r="654" spans="17:32" ht="12.75" customHeight="1">
      <c r="Q654" s="23"/>
      <c r="R654" s="23"/>
      <c r="S654" s="23"/>
      <c r="T654" s="23"/>
      <c r="U654" s="23"/>
      <c r="V654" s="23"/>
      <c r="W654" s="23"/>
      <c r="X654" s="23"/>
      <c r="Y654" s="23"/>
      <c r="Z654" s="23"/>
      <c r="AA654"/>
      <c r="AB654"/>
      <c r="AC654"/>
      <c r="AD654"/>
      <c r="AE654"/>
      <c r="AF654"/>
    </row>
    <row r="655" spans="17:32" ht="12.75" customHeight="1">
      <c r="Q655" s="23"/>
      <c r="R655" s="23"/>
      <c r="S655" s="23"/>
      <c r="T655" s="23"/>
      <c r="U655" s="23"/>
      <c r="V655" s="23"/>
      <c r="W655" s="23"/>
      <c r="X655" s="23"/>
      <c r="Y655" s="23"/>
      <c r="Z655" s="23"/>
      <c r="AA655"/>
      <c r="AB655"/>
      <c r="AC655"/>
      <c r="AD655"/>
      <c r="AE655"/>
      <c r="AF655"/>
    </row>
    <row r="656" spans="17:32" ht="12.75" customHeight="1">
      <c r="Q656" s="23"/>
      <c r="R656" s="23"/>
      <c r="S656" s="23"/>
      <c r="T656" s="23"/>
      <c r="U656" s="23"/>
      <c r="V656" s="23"/>
      <c r="W656" s="23"/>
      <c r="X656" s="23"/>
      <c r="Y656" s="23"/>
      <c r="Z656" s="23"/>
      <c r="AA656"/>
      <c r="AB656"/>
      <c r="AC656"/>
      <c r="AD656"/>
      <c r="AE656"/>
      <c r="AF656"/>
    </row>
    <row r="657" spans="17:32" ht="12.75" customHeight="1">
      <c r="Q657" s="23"/>
      <c r="R657" s="23"/>
      <c r="S657" s="23"/>
      <c r="T657" s="23"/>
      <c r="U657" s="23"/>
      <c r="V657" s="23"/>
      <c r="W657" s="23"/>
      <c r="X657" s="23"/>
      <c r="Y657" s="23"/>
      <c r="Z657" s="23"/>
      <c r="AA657"/>
      <c r="AB657"/>
      <c r="AC657"/>
      <c r="AD657"/>
      <c r="AE657"/>
      <c r="AF657"/>
    </row>
    <row r="658" spans="17:32" ht="12.75" customHeight="1">
      <c r="Q658" s="23"/>
      <c r="R658" s="23"/>
      <c r="S658" s="23"/>
      <c r="T658" s="23"/>
      <c r="U658" s="23"/>
      <c r="V658" s="23"/>
      <c r="W658" s="23"/>
      <c r="X658" s="23"/>
      <c r="Y658" s="23"/>
      <c r="Z658" s="23"/>
      <c r="AA658"/>
      <c r="AB658"/>
      <c r="AC658"/>
      <c r="AD658"/>
      <c r="AE658"/>
      <c r="AF658"/>
    </row>
    <row r="659" spans="17:32" ht="12.75" customHeight="1">
      <c r="Q659" s="23"/>
      <c r="R659" s="23"/>
      <c r="S659" s="23"/>
      <c r="T659" s="23"/>
      <c r="U659" s="23"/>
      <c r="V659" s="23"/>
      <c r="W659" s="23"/>
      <c r="X659" s="23"/>
      <c r="Y659" s="23"/>
      <c r="Z659" s="23"/>
      <c r="AA659"/>
      <c r="AB659"/>
      <c r="AC659"/>
      <c r="AD659"/>
      <c r="AE659"/>
      <c r="AF659"/>
    </row>
    <row r="660" spans="17:32" ht="12.75" customHeight="1">
      <c r="Q660" s="23"/>
      <c r="R660" s="23"/>
      <c r="S660" s="23"/>
      <c r="T660" s="23"/>
      <c r="U660" s="23"/>
      <c r="V660" s="23"/>
      <c r="W660" s="23"/>
      <c r="X660" s="23"/>
      <c r="Y660" s="23"/>
      <c r="Z660" s="23"/>
      <c r="AA660"/>
      <c r="AB660"/>
      <c r="AC660"/>
      <c r="AD660"/>
      <c r="AE660"/>
      <c r="AF660"/>
    </row>
    <row r="661" spans="17:32" ht="12.75" customHeight="1">
      <c r="Q661" s="23"/>
      <c r="R661" s="23"/>
      <c r="S661" s="23"/>
      <c r="T661" s="23"/>
      <c r="U661" s="23"/>
      <c r="V661" s="23"/>
      <c r="W661" s="23"/>
      <c r="X661" s="23"/>
      <c r="Y661" s="23"/>
      <c r="Z661" s="23"/>
      <c r="AA661"/>
      <c r="AB661"/>
      <c r="AC661"/>
      <c r="AD661"/>
      <c r="AE661"/>
      <c r="AF661"/>
    </row>
    <row r="662" spans="17:32" ht="12.75" customHeight="1">
      <c r="Q662" s="23"/>
      <c r="R662" s="23"/>
      <c r="S662" s="23"/>
      <c r="T662" s="23"/>
      <c r="U662" s="23"/>
      <c r="V662" s="23"/>
      <c r="W662" s="23"/>
      <c r="X662" s="23"/>
      <c r="Y662" s="23"/>
      <c r="Z662" s="23"/>
      <c r="AA662"/>
      <c r="AB662"/>
      <c r="AC662"/>
      <c r="AD662"/>
      <c r="AE662"/>
      <c r="AF662"/>
    </row>
    <row r="663" spans="17:32" ht="12.75" customHeight="1">
      <c r="Q663" s="23"/>
      <c r="R663" s="23"/>
      <c r="S663" s="23"/>
      <c r="T663" s="23"/>
      <c r="U663" s="23"/>
      <c r="V663" s="23"/>
      <c r="W663" s="23"/>
      <c r="X663" s="23"/>
      <c r="Y663" s="23"/>
      <c r="Z663" s="23"/>
      <c r="AA663"/>
      <c r="AB663"/>
      <c r="AC663"/>
      <c r="AD663"/>
      <c r="AE663"/>
      <c r="AF663"/>
    </row>
    <row r="664" spans="17:32" ht="12.75" customHeight="1">
      <c r="Q664" s="23"/>
      <c r="R664" s="23"/>
      <c r="S664" s="23"/>
      <c r="T664" s="23"/>
      <c r="U664" s="23"/>
      <c r="V664" s="23"/>
      <c r="W664" s="23"/>
      <c r="X664" s="23"/>
      <c r="Y664" s="23"/>
      <c r="Z664" s="23"/>
      <c r="AA664"/>
      <c r="AB664"/>
      <c r="AC664"/>
      <c r="AD664"/>
      <c r="AE664"/>
      <c r="AF664"/>
    </row>
    <row r="665" spans="17:32" ht="12.75" customHeight="1">
      <c r="Q665" s="23"/>
      <c r="R665" s="23"/>
      <c r="S665" s="23"/>
      <c r="T665" s="23"/>
      <c r="U665" s="23"/>
      <c r="V665" s="23"/>
      <c r="W665" s="23"/>
      <c r="X665" s="23"/>
      <c r="Y665" s="23"/>
      <c r="Z665" s="23"/>
      <c r="AA665"/>
      <c r="AB665"/>
      <c r="AC665"/>
      <c r="AD665"/>
      <c r="AE665"/>
      <c r="AF665"/>
    </row>
    <row r="666" spans="17:32" ht="12.75" customHeight="1">
      <c r="Q666" s="23"/>
      <c r="R666" s="23"/>
      <c r="S666" s="23"/>
      <c r="T666" s="23"/>
      <c r="U666" s="23"/>
      <c r="V666" s="23"/>
      <c r="W666" s="23"/>
      <c r="X666" s="23"/>
      <c r="Y666" s="23"/>
      <c r="Z666" s="23"/>
      <c r="AA666"/>
      <c r="AB666"/>
      <c r="AC666"/>
      <c r="AD666"/>
      <c r="AE666"/>
      <c r="AF666"/>
    </row>
    <row r="667" spans="17:32" ht="12.75" customHeight="1">
      <c r="Q667" s="23"/>
      <c r="R667" s="23"/>
      <c r="S667" s="23"/>
      <c r="T667" s="23"/>
      <c r="U667" s="23"/>
      <c r="V667" s="23"/>
      <c r="W667" s="23"/>
      <c r="X667" s="23"/>
      <c r="Y667" s="23"/>
      <c r="Z667" s="23"/>
      <c r="AA667"/>
      <c r="AB667"/>
      <c r="AC667"/>
      <c r="AD667"/>
      <c r="AE667"/>
      <c r="AF667"/>
    </row>
    <row r="668" spans="17:32" ht="12.75" customHeight="1">
      <c r="Q668" s="23"/>
      <c r="R668" s="23"/>
      <c r="S668" s="23"/>
      <c r="T668" s="23"/>
      <c r="U668" s="23"/>
      <c r="V668" s="23"/>
      <c r="W668" s="23"/>
      <c r="X668" s="23"/>
      <c r="Y668" s="23"/>
      <c r="Z668" s="23"/>
      <c r="AA668"/>
      <c r="AB668"/>
      <c r="AC668"/>
      <c r="AD668"/>
      <c r="AE668"/>
      <c r="AF668"/>
    </row>
    <row r="669" spans="17:32" ht="12.75" customHeight="1">
      <c r="Q669" s="23"/>
      <c r="R669" s="23"/>
      <c r="S669" s="23"/>
      <c r="T669" s="23"/>
      <c r="U669" s="23"/>
      <c r="V669" s="23"/>
      <c r="W669" s="23"/>
      <c r="X669" s="23"/>
      <c r="Y669" s="23"/>
      <c r="Z669" s="23"/>
      <c r="AA669"/>
      <c r="AB669"/>
      <c r="AC669"/>
      <c r="AD669"/>
      <c r="AE669"/>
      <c r="AF669"/>
    </row>
    <row r="670" spans="17:32" ht="12.75" customHeight="1">
      <c r="Q670" s="23"/>
      <c r="R670" s="23"/>
      <c r="S670" s="23"/>
      <c r="T670" s="23"/>
      <c r="U670" s="23"/>
      <c r="V670" s="23"/>
      <c r="W670" s="23"/>
      <c r="X670" s="23"/>
      <c r="Y670" s="23"/>
      <c r="Z670" s="23"/>
      <c r="AA670"/>
      <c r="AB670"/>
      <c r="AC670"/>
      <c r="AD670"/>
      <c r="AE670"/>
      <c r="AF670"/>
    </row>
    <row r="671" spans="17:32" ht="12.75" customHeight="1">
      <c r="Q671" s="23"/>
      <c r="R671" s="23"/>
      <c r="S671" s="23"/>
      <c r="T671" s="23"/>
      <c r="U671" s="23"/>
      <c r="V671" s="23"/>
      <c r="W671" s="23"/>
      <c r="X671" s="23"/>
      <c r="Y671" s="23"/>
      <c r="Z671" s="23"/>
      <c r="AA671"/>
      <c r="AB671"/>
      <c r="AC671"/>
      <c r="AD671"/>
      <c r="AE671"/>
      <c r="AF671"/>
    </row>
    <row r="672" spans="17:32" ht="12.75" customHeight="1">
      <c r="Q672" s="23"/>
      <c r="R672" s="23"/>
      <c r="S672" s="23"/>
      <c r="T672" s="23"/>
      <c r="U672" s="23"/>
      <c r="V672" s="23"/>
      <c r="W672" s="23"/>
      <c r="X672" s="23"/>
      <c r="Y672" s="23"/>
      <c r="Z672" s="23"/>
    </row>
    <row r="673" spans="17:26" ht="12.75" customHeight="1">
      <c r="Q673" s="23"/>
      <c r="R673" s="23"/>
      <c r="S673" s="23"/>
      <c r="T673" s="23"/>
      <c r="U673" s="23"/>
      <c r="V673" s="23"/>
      <c r="W673" s="23"/>
      <c r="X673" s="23"/>
      <c r="Y673" s="23"/>
      <c r="Z673" s="23"/>
    </row>
    <row r="674" spans="17:26" ht="12.75" customHeight="1">
      <c r="Q674" s="23"/>
      <c r="R674" s="23"/>
      <c r="S674" s="23"/>
      <c r="T674" s="23"/>
      <c r="U674" s="23"/>
      <c r="V674" s="23"/>
      <c r="W674" s="23"/>
      <c r="X674" s="23"/>
      <c r="Y674" s="23"/>
      <c r="Z674" s="23"/>
    </row>
    <row r="675" spans="17:26" ht="12.75" customHeight="1">
      <c r="Q675" s="23"/>
      <c r="R675" s="23"/>
      <c r="S675" s="23"/>
      <c r="T675" s="23"/>
      <c r="U675" s="23"/>
      <c r="V675" s="23"/>
      <c r="W675" s="23"/>
      <c r="X675" s="23"/>
      <c r="Y675" s="23"/>
      <c r="Z675" s="23"/>
    </row>
    <row r="676" spans="17:26" ht="12.75" customHeight="1">
      <c r="Q676" s="23"/>
      <c r="R676" s="23"/>
      <c r="S676" s="23"/>
      <c r="T676" s="23"/>
      <c r="U676" s="23"/>
      <c r="V676" s="23"/>
      <c r="W676" s="23"/>
      <c r="X676" s="23"/>
      <c r="Y676" s="23"/>
      <c r="Z676" s="23"/>
    </row>
    <row r="677" spans="17:26" ht="12.75" customHeight="1">
      <c r="Q677" s="23"/>
      <c r="R677" s="23"/>
      <c r="S677" s="23"/>
      <c r="T677" s="23"/>
      <c r="U677" s="23"/>
      <c r="V677" s="23"/>
      <c r="W677" s="23"/>
      <c r="X677" s="23"/>
      <c r="Y677" s="23"/>
      <c r="Z677" s="23"/>
    </row>
    <row r="678" spans="17:26" ht="12.75" customHeight="1">
      <c r="Q678" s="23"/>
      <c r="R678" s="23"/>
      <c r="S678" s="23"/>
      <c r="T678" s="23"/>
      <c r="U678" s="23"/>
      <c r="V678" s="23"/>
      <c r="W678" s="23"/>
      <c r="X678" s="23"/>
      <c r="Y678" s="23"/>
      <c r="Z678" s="23"/>
    </row>
    <row r="679" spans="17:26" ht="12.75" customHeight="1">
      <c r="Q679" s="23"/>
      <c r="R679" s="23"/>
      <c r="S679" s="23"/>
      <c r="T679" s="23"/>
      <c r="U679" s="23"/>
      <c r="V679" s="23"/>
      <c r="W679" s="23"/>
      <c r="X679" s="23"/>
      <c r="Y679" s="23"/>
      <c r="Z679" s="23"/>
    </row>
    <row r="680" spans="17:26" ht="12.75" customHeight="1">
      <c r="Q680" s="23"/>
      <c r="R680" s="23"/>
      <c r="S680" s="23"/>
      <c r="T680" s="23"/>
      <c r="U680" s="23"/>
      <c r="V680" s="23"/>
      <c r="W680" s="23"/>
      <c r="X680" s="23"/>
      <c r="Y680" s="23"/>
      <c r="Z680" s="23"/>
    </row>
    <row r="681" spans="17:26" ht="12.75" customHeight="1">
      <c r="Q681" s="23"/>
      <c r="R681" s="23"/>
      <c r="S681" s="23"/>
      <c r="T681" s="23"/>
      <c r="U681" s="23"/>
      <c r="V681" s="23"/>
      <c r="W681" s="23"/>
      <c r="X681" s="23"/>
      <c r="Y681" s="23"/>
      <c r="Z681" s="23"/>
    </row>
    <row r="682" spans="17:26" ht="12.75" customHeight="1">
      <c r="Q682" s="23"/>
      <c r="R682" s="23"/>
      <c r="S682" s="23"/>
      <c r="T682" s="23"/>
      <c r="U682" s="23"/>
      <c r="V682" s="23"/>
      <c r="W682" s="23"/>
      <c r="X682" s="23"/>
      <c r="Y682" s="23"/>
      <c r="Z682" s="23"/>
    </row>
    <row r="683" spans="17:26" ht="12.75" customHeight="1">
      <c r="Q683" s="23"/>
      <c r="R683" s="23"/>
      <c r="S683" s="23"/>
      <c r="T683" s="23"/>
      <c r="U683" s="23"/>
      <c r="V683" s="23"/>
      <c r="W683" s="23"/>
      <c r="X683" s="23"/>
      <c r="Y683" s="23"/>
      <c r="Z683" s="23"/>
    </row>
    <row r="684" spans="17:26" ht="12.75" customHeight="1">
      <c r="Q684" s="23"/>
      <c r="R684" s="23"/>
      <c r="S684" s="23"/>
      <c r="T684" s="23"/>
      <c r="U684" s="23"/>
      <c r="V684" s="23"/>
      <c r="W684" s="23"/>
      <c r="X684" s="23"/>
      <c r="Y684" s="23"/>
      <c r="Z684" s="23"/>
    </row>
    <row r="685" spans="17:26" ht="12.75" customHeight="1">
      <c r="Q685" s="23"/>
      <c r="R685" s="23"/>
      <c r="S685" s="23"/>
      <c r="T685" s="23"/>
      <c r="U685" s="23"/>
      <c r="V685" s="23"/>
      <c r="W685" s="23"/>
      <c r="X685" s="23"/>
      <c r="Y685" s="23"/>
      <c r="Z685" s="23"/>
    </row>
    <row r="686" spans="17:26" ht="12.75" customHeight="1">
      <c r="Q686" s="23"/>
      <c r="R686" s="23"/>
      <c r="S686" s="23"/>
      <c r="T686" s="23"/>
      <c r="U686" s="23"/>
      <c r="V686" s="23"/>
      <c r="W686" s="23"/>
      <c r="X686" s="23"/>
      <c r="Y686" s="23"/>
      <c r="Z686" s="23"/>
    </row>
    <row r="687" spans="17:26" ht="12.75" customHeight="1">
      <c r="Q687" s="23"/>
      <c r="R687" s="23"/>
      <c r="S687" s="23"/>
      <c r="T687" s="23"/>
      <c r="U687" s="23"/>
      <c r="V687" s="23"/>
      <c r="W687" s="23"/>
      <c r="X687" s="23"/>
      <c r="Y687" s="23"/>
      <c r="Z687" s="23"/>
    </row>
    <row r="688" spans="17:26" ht="12.75" customHeight="1">
      <c r="Q688" s="23"/>
      <c r="R688" s="23"/>
      <c r="S688" s="23"/>
      <c r="T688" s="23"/>
      <c r="U688" s="23"/>
      <c r="V688" s="23"/>
      <c r="W688" s="23"/>
      <c r="X688" s="23"/>
      <c r="Y688" s="23"/>
      <c r="Z688" s="23"/>
    </row>
    <row r="689" spans="17:26" ht="12.75" customHeight="1">
      <c r="Q689" s="23"/>
      <c r="R689" s="23"/>
      <c r="S689" s="23"/>
      <c r="T689" s="23"/>
      <c r="U689" s="23"/>
      <c r="V689" s="23"/>
      <c r="W689" s="23"/>
      <c r="X689" s="23"/>
      <c r="Y689" s="23"/>
      <c r="Z689" s="23"/>
    </row>
    <row r="690" spans="17:26" ht="12.75" customHeight="1">
      <c r="Q690" s="23"/>
      <c r="R690" s="23"/>
      <c r="S690" s="23"/>
      <c r="T690" s="23"/>
      <c r="U690" s="23"/>
      <c r="V690" s="23"/>
      <c r="W690" s="23"/>
      <c r="X690" s="23"/>
      <c r="Y690" s="23"/>
      <c r="Z690" s="23"/>
    </row>
    <row r="691" spans="17:26" ht="12.75" customHeight="1">
      <c r="Q691" s="23"/>
      <c r="R691" s="23"/>
      <c r="S691" s="23"/>
      <c r="T691" s="23"/>
      <c r="U691" s="23"/>
      <c r="V691" s="23"/>
      <c r="W691" s="23"/>
      <c r="X691" s="23"/>
      <c r="Y691" s="23"/>
      <c r="Z691" s="23"/>
    </row>
    <row r="692" spans="17:26" ht="12.75" customHeight="1">
      <c r="Q692" s="23"/>
      <c r="R692" s="23"/>
      <c r="S692" s="23"/>
      <c r="T692" s="23"/>
      <c r="U692" s="23"/>
      <c r="V692" s="23"/>
      <c r="W692" s="23"/>
      <c r="X692" s="23"/>
      <c r="Y692" s="23"/>
      <c r="Z692" s="23"/>
    </row>
    <row r="693" spans="17:26" ht="12.75" customHeight="1">
      <c r="Q693" s="23"/>
      <c r="R693" s="23"/>
      <c r="S693" s="23"/>
      <c r="T693" s="23"/>
      <c r="U693" s="23"/>
      <c r="V693" s="23"/>
      <c r="W693" s="23"/>
      <c r="X693" s="23"/>
      <c r="Y693" s="23"/>
      <c r="Z693" s="23"/>
    </row>
    <row r="694" spans="17:26" ht="12.75" customHeight="1">
      <c r="Q694" s="23"/>
      <c r="R694" s="23"/>
      <c r="S694" s="23"/>
      <c r="T694" s="23"/>
      <c r="U694" s="23"/>
      <c r="V694" s="23"/>
      <c r="W694" s="23"/>
      <c r="X694" s="23"/>
      <c r="Y694" s="23"/>
      <c r="Z694" s="23"/>
    </row>
    <row r="695" spans="17:26" ht="12.75" customHeight="1">
      <c r="Q695" s="23"/>
      <c r="R695" s="23"/>
      <c r="S695" s="23"/>
      <c r="T695" s="23"/>
      <c r="U695" s="23"/>
      <c r="V695" s="23"/>
      <c r="W695" s="23"/>
      <c r="X695" s="23"/>
      <c r="Y695" s="23"/>
      <c r="Z695" s="23"/>
    </row>
    <row r="696" spans="17:26">
      <c r="Q696" s="23"/>
      <c r="R696" s="23"/>
      <c r="S696" s="23"/>
      <c r="T696" s="23"/>
      <c r="U696" s="23"/>
      <c r="V696" s="23"/>
      <c r="W696" s="23"/>
      <c r="X696" s="23"/>
      <c r="Y696" s="23"/>
      <c r="Z696" s="23"/>
    </row>
    <row r="697" spans="17:26">
      <c r="Q697" s="23"/>
      <c r="R697" s="23"/>
      <c r="S697" s="23"/>
      <c r="T697" s="23"/>
      <c r="U697" s="23"/>
      <c r="V697" s="23"/>
      <c r="W697" s="23"/>
      <c r="X697" s="23"/>
      <c r="Y697" s="23"/>
      <c r="Z697" s="23"/>
    </row>
    <row r="698" spans="17:26">
      <c r="Q698" s="23"/>
      <c r="R698" s="23"/>
      <c r="S698" s="23"/>
      <c r="T698" s="23"/>
      <c r="U698" s="23"/>
      <c r="V698" s="23"/>
      <c r="W698" s="23"/>
      <c r="X698" s="23"/>
      <c r="Y698" s="23"/>
      <c r="Z698" s="23"/>
    </row>
    <row r="699" spans="17:26">
      <c r="Q699" s="23"/>
      <c r="R699" s="23"/>
      <c r="S699" s="23"/>
      <c r="T699" s="23"/>
      <c r="U699" s="23"/>
      <c r="V699" s="23"/>
      <c r="W699" s="23"/>
      <c r="X699" s="23"/>
      <c r="Y699" s="23"/>
      <c r="Z699" s="23"/>
    </row>
    <row r="700" spans="17:26">
      <c r="Q700" s="23"/>
      <c r="R700" s="23"/>
      <c r="S700" s="23"/>
      <c r="T700" s="23"/>
      <c r="U700" s="23"/>
      <c r="V700" s="23"/>
      <c r="W700" s="23"/>
      <c r="X700" s="23"/>
      <c r="Y700" s="23"/>
      <c r="Z700" s="23"/>
    </row>
    <row r="701" spans="17:26">
      <c r="Q701" s="23"/>
      <c r="R701" s="23"/>
      <c r="S701" s="23"/>
      <c r="T701" s="23"/>
      <c r="U701" s="23"/>
      <c r="V701" s="23"/>
      <c r="W701" s="23"/>
      <c r="X701" s="23"/>
      <c r="Y701" s="23"/>
      <c r="Z701" s="23"/>
    </row>
    <row r="702" spans="17:26">
      <c r="Q702" s="23"/>
      <c r="R702" s="23"/>
      <c r="S702" s="23"/>
      <c r="T702" s="23"/>
      <c r="U702" s="23"/>
      <c r="V702" s="23"/>
      <c r="W702" s="23"/>
      <c r="X702" s="23"/>
      <c r="Y702" s="23"/>
      <c r="Z702" s="23"/>
    </row>
    <row r="703" spans="17:26">
      <c r="Q703" s="23"/>
      <c r="R703" s="23"/>
      <c r="S703" s="23"/>
      <c r="T703" s="23"/>
      <c r="U703" s="23"/>
      <c r="V703" s="23"/>
      <c r="W703" s="23"/>
      <c r="X703" s="23"/>
      <c r="Y703" s="23"/>
      <c r="Z703" s="23"/>
    </row>
    <row r="704" spans="17:26">
      <c r="Q704" s="23"/>
      <c r="R704" s="23"/>
      <c r="S704" s="23"/>
      <c r="T704" s="23"/>
      <c r="U704" s="23"/>
      <c r="V704" s="23"/>
      <c r="W704" s="23"/>
      <c r="X704" s="23"/>
      <c r="Y704" s="23"/>
      <c r="Z704" s="23"/>
    </row>
    <row r="705" spans="17:26">
      <c r="Q705" s="23"/>
      <c r="R705" s="23"/>
      <c r="S705" s="23"/>
      <c r="T705" s="23"/>
      <c r="U705" s="23"/>
      <c r="V705" s="23"/>
      <c r="W705" s="23"/>
      <c r="X705" s="23"/>
      <c r="Y705" s="23"/>
      <c r="Z705" s="23"/>
    </row>
    <row r="706" spans="17:26">
      <c r="Q706" s="23"/>
      <c r="R706" s="23"/>
      <c r="S706" s="23"/>
      <c r="T706" s="23"/>
      <c r="U706" s="23"/>
      <c r="V706" s="23"/>
      <c r="W706" s="23"/>
      <c r="X706" s="23"/>
      <c r="Y706" s="23"/>
      <c r="Z706" s="23"/>
    </row>
    <row r="707" spans="17:26">
      <c r="Q707" s="23"/>
      <c r="R707" s="23"/>
      <c r="S707" s="23"/>
      <c r="T707" s="23"/>
      <c r="U707" s="23"/>
      <c r="V707" s="23"/>
      <c r="W707" s="23"/>
      <c r="X707" s="23"/>
      <c r="Y707" s="23"/>
      <c r="Z707" s="23"/>
    </row>
    <row r="708" spans="17:26">
      <c r="Q708" s="23"/>
      <c r="R708" s="23"/>
      <c r="S708" s="23"/>
      <c r="T708" s="23"/>
      <c r="U708" s="23"/>
      <c r="V708" s="23"/>
      <c r="W708" s="23"/>
      <c r="X708" s="23"/>
      <c r="Y708" s="23"/>
      <c r="Z708" s="23"/>
    </row>
    <row r="709" spans="17:26">
      <c r="Q709" s="23"/>
      <c r="R709" s="23"/>
      <c r="S709" s="23"/>
      <c r="T709" s="23"/>
      <c r="U709" s="23"/>
      <c r="V709" s="23"/>
      <c r="W709" s="23"/>
      <c r="X709" s="23"/>
      <c r="Y709" s="23"/>
      <c r="Z709" s="23"/>
    </row>
    <row r="710" spans="17:26">
      <c r="Q710" s="23"/>
      <c r="R710" s="23"/>
      <c r="S710" s="23"/>
      <c r="T710" s="23"/>
      <c r="U710" s="23"/>
      <c r="V710" s="23"/>
      <c r="W710" s="23"/>
      <c r="X710" s="23"/>
      <c r="Y710" s="23"/>
      <c r="Z710" s="23"/>
    </row>
    <row r="711" spans="17:26">
      <c r="Q711" s="23"/>
      <c r="R711" s="23"/>
      <c r="S711" s="23"/>
      <c r="T711" s="23"/>
      <c r="U711" s="23"/>
      <c r="V711" s="23"/>
      <c r="W711" s="23"/>
      <c r="X711" s="23"/>
      <c r="Y711" s="23"/>
      <c r="Z711" s="23"/>
    </row>
    <row r="712" spans="17:26">
      <c r="Q712" s="23"/>
      <c r="R712" s="23"/>
      <c r="S712" s="23"/>
      <c r="T712" s="23"/>
      <c r="U712" s="23"/>
      <c r="V712" s="23"/>
      <c r="W712" s="23"/>
      <c r="X712" s="23"/>
      <c r="Y712" s="23"/>
      <c r="Z712" s="23"/>
    </row>
    <row r="713" spans="17:26">
      <c r="Q713" s="23"/>
      <c r="R713" s="23"/>
      <c r="S713" s="23"/>
      <c r="T713" s="23"/>
      <c r="U713" s="23"/>
      <c r="V713" s="23"/>
      <c r="W713" s="23"/>
      <c r="X713" s="23"/>
      <c r="Y713" s="23"/>
      <c r="Z713" s="23"/>
    </row>
    <row r="714" spans="17:26">
      <c r="Q714" s="23"/>
      <c r="R714" s="23"/>
      <c r="S714" s="23"/>
      <c r="T714" s="23"/>
      <c r="U714" s="23"/>
      <c r="V714" s="23"/>
      <c r="W714" s="23"/>
      <c r="X714" s="23"/>
      <c r="Y714" s="23"/>
      <c r="Z714" s="23"/>
    </row>
    <row r="715" spans="17:26">
      <c r="Q715" s="23"/>
      <c r="R715" s="23"/>
      <c r="S715" s="23"/>
      <c r="T715" s="23"/>
      <c r="U715" s="23"/>
      <c r="V715" s="23"/>
      <c r="W715" s="23"/>
      <c r="X715" s="23"/>
      <c r="Y715" s="23"/>
      <c r="Z715" s="23"/>
    </row>
    <row r="716" spans="17:26">
      <c r="Q716" s="23"/>
      <c r="R716" s="23"/>
      <c r="S716" s="23"/>
      <c r="T716" s="23"/>
      <c r="U716" s="23"/>
      <c r="V716" s="23"/>
      <c r="W716" s="23"/>
      <c r="X716" s="23"/>
      <c r="Y716" s="23"/>
      <c r="Z716" s="23"/>
    </row>
    <row r="717" spans="17:26">
      <c r="Q717" s="23"/>
      <c r="R717" s="23"/>
      <c r="S717" s="23"/>
      <c r="T717" s="23"/>
      <c r="U717" s="23"/>
      <c r="V717" s="23"/>
      <c r="W717" s="23"/>
      <c r="X717" s="23"/>
      <c r="Y717" s="23"/>
      <c r="Z717" s="23"/>
    </row>
    <row r="718" spans="17:26">
      <c r="Q718" s="23"/>
      <c r="R718" s="23"/>
      <c r="S718" s="23"/>
      <c r="T718" s="23"/>
      <c r="U718" s="23"/>
      <c r="V718" s="23"/>
      <c r="W718" s="23"/>
      <c r="X718" s="23"/>
      <c r="Y718" s="23"/>
      <c r="Z718" s="23"/>
    </row>
    <row r="719" spans="17:26">
      <c r="Q719" s="23"/>
      <c r="R719" s="23"/>
      <c r="S719" s="23"/>
      <c r="T719" s="23"/>
      <c r="U719" s="23"/>
      <c r="V719" s="23"/>
      <c r="W719" s="23"/>
      <c r="X719" s="23"/>
      <c r="Y719" s="23"/>
      <c r="Z719" s="23"/>
    </row>
    <row r="720" spans="17:26">
      <c r="Q720" s="23"/>
      <c r="R720" s="23"/>
      <c r="S720" s="23"/>
      <c r="T720" s="23"/>
      <c r="U720" s="23"/>
      <c r="V720" s="23"/>
      <c r="W720" s="23"/>
      <c r="X720" s="23"/>
      <c r="Y720" s="23"/>
      <c r="Z720" s="23"/>
    </row>
    <row r="721" spans="17:26">
      <c r="Q721" s="23"/>
      <c r="R721" s="23"/>
      <c r="S721" s="23"/>
      <c r="T721" s="23"/>
      <c r="U721" s="23"/>
      <c r="V721" s="23"/>
      <c r="W721" s="23"/>
      <c r="X721" s="23"/>
      <c r="Y721" s="23"/>
      <c r="Z721" s="23"/>
    </row>
    <row r="722" spans="17:26">
      <c r="Q722" s="23"/>
      <c r="R722" s="23"/>
      <c r="S722" s="23"/>
      <c r="T722" s="23"/>
      <c r="U722" s="23"/>
      <c r="V722" s="23"/>
      <c r="W722" s="23"/>
      <c r="X722" s="23"/>
      <c r="Y722" s="23"/>
      <c r="Z722" s="23"/>
    </row>
    <row r="723" spans="17:26">
      <c r="Q723" s="23"/>
      <c r="R723" s="23"/>
      <c r="S723" s="23"/>
      <c r="T723" s="23"/>
      <c r="U723" s="23"/>
      <c r="V723" s="23"/>
      <c r="W723" s="23"/>
      <c r="X723" s="23"/>
      <c r="Y723" s="23"/>
      <c r="Z723" s="23"/>
    </row>
    <row r="724" spans="17:26">
      <c r="Q724" s="23"/>
      <c r="R724" s="23"/>
      <c r="S724" s="23"/>
      <c r="T724" s="23"/>
      <c r="U724" s="23"/>
      <c r="V724" s="23"/>
      <c r="W724" s="23"/>
      <c r="X724" s="23"/>
      <c r="Y724" s="23"/>
      <c r="Z724" s="23"/>
    </row>
    <row r="725" spans="17:26">
      <c r="Q725" s="23"/>
      <c r="R725" s="23"/>
      <c r="S725" s="23"/>
      <c r="T725" s="23"/>
      <c r="U725" s="23"/>
      <c r="V725" s="23"/>
      <c r="W725" s="23"/>
      <c r="X725" s="23"/>
      <c r="Y725" s="23"/>
      <c r="Z725" s="23"/>
    </row>
    <row r="726" spans="17:26">
      <c r="Q726" s="23"/>
      <c r="R726" s="23"/>
      <c r="S726" s="23"/>
      <c r="T726" s="23"/>
      <c r="U726" s="23"/>
      <c r="V726" s="23"/>
      <c r="W726" s="23"/>
      <c r="X726" s="23"/>
      <c r="Y726" s="23"/>
      <c r="Z726" s="23"/>
    </row>
    <row r="727" spans="17:26">
      <c r="Q727" s="23"/>
      <c r="R727" s="23"/>
      <c r="S727" s="23"/>
      <c r="T727" s="23"/>
      <c r="U727" s="23"/>
      <c r="V727" s="23"/>
      <c r="W727" s="23"/>
      <c r="X727" s="23"/>
      <c r="Y727" s="23"/>
      <c r="Z727" s="23"/>
    </row>
    <row r="728" spans="17:26">
      <c r="Q728" s="23"/>
      <c r="R728" s="23"/>
      <c r="S728" s="23"/>
      <c r="T728" s="23"/>
      <c r="U728" s="23"/>
      <c r="V728" s="23"/>
      <c r="W728" s="23"/>
      <c r="X728" s="23"/>
      <c r="Y728" s="23"/>
      <c r="Z728" s="23"/>
    </row>
    <row r="729" spans="17:26">
      <c r="Q729" s="23"/>
      <c r="R729" s="23"/>
      <c r="S729" s="23"/>
      <c r="T729" s="23"/>
      <c r="U729" s="23"/>
      <c r="V729" s="23"/>
      <c r="W729" s="23"/>
      <c r="X729" s="23"/>
      <c r="Y729" s="23"/>
      <c r="Z729" s="23"/>
    </row>
    <row r="730" spans="17:26">
      <c r="Q730" s="23"/>
      <c r="R730" s="23"/>
      <c r="S730" s="23"/>
      <c r="T730" s="23"/>
      <c r="U730" s="23"/>
      <c r="V730" s="23"/>
      <c r="W730" s="23"/>
      <c r="X730" s="23"/>
      <c r="Y730" s="23"/>
      <c r="Z730" s="23"/>
    </row>
    <row r="731" spans="17:26">
      <c r="Q731" s="23"/>
      <c r="R731" s="23"/>
      <c r="S731" s="23"/>
      <c r="T731" s="23"/>
      <c r="U731" s="23"/>
      <c r="V731" s="23"/>
      <c r="W731" s="23"/>
      <c r="X731" s="23"/>
      <c r="Y731" s="23"/>
      <c r="Z731" s="23"/>
    </row>
    <row r="732" spans="17:26">
      <c r="Q732" s="23"/>
      <c r="R732" s="23"/>
      <c r="S732" s="23"/>
      <c r="T732" s="23"/>
      <c r="U732" s="23"/>
      <c r="V732" s="23"/>
      <c r="W732" s="23"/>
      <c r="X732" s="23"/>
      <c r="Y732" s="23"/>
      <c r="Z732" s="23"/>
    </row>
    <row r="733" spans="17:26">
      <c r="Q733" s="23"/>
      <c r="R733" s="23"/>
      <c r="S733" s="23"/>
      <c r="T733" s="23"/>
      <c r="U733" s="23"/>
      <c r="V733" s="23"/>
      <c r="W733" s="23"/>
      <c r="X733" s="23"/>
      <c r="Y733" s="23"/>
      <c r="Z733" s="23"/>
    </row>
    <row r="734" spans="17:26">
      <c r="Q734" s="23"/>
      <c r="R734" s="23"/>
      <c r="S734" s="23"/>
      <c r="T734" s="23"/>
      <c r="U734" s="23"/>
      <c r="V734" s="23"/>
      <c r="W734" s="23"/>
      <c r="X734" s="23"/>
      <c r="Y734" s="23"/>
      <c r="Z734" s="23"/>
    </row>
    <row r="735" spans="17:26">
      <c r="Q735" s="23"/>
      <c r="R735" s="23"/>
      <c r="S735" s="23"/>
      <c r="T735" s="23"/>
      <c r="U735" s="23"/>
      <c r="V735" s="23"/>
      <c r="W735" s="23"/>
      <c r="X735" s="23"/>
      <c r="Y735" s="23"/>
      <c r="Z735" s="23"/>
    </row>
    <row r="736" spans="17:26">
      <c r="Q736" s="23"/>
      <c r="R736" s="23"/>
      <c r="S736" s="23"/>
      <c r="T736" s="23"/>
      <c r="U736" s="23"/>
      <c r="V736" s="23"/>
      <c r="W736" s="23"/>
      <c r="X736" s="23"/>
      <c r="Y736" s="23"/>
      <c r="Z736" s="23"/>
    </row>
    <row r="737" spans="17:26">
      <c r="Q737" s="23"/>
      <c r="R737" s="23"/>
      <c r="S737" s="23"/>
      <c r="T737" s="23"/>
      <c r="U737" s="23"/>
      <c r="V737" s="23"/>
      <c r="W737" s="23"/>
      <c r="X737" s="23"/>
      <c r="Y737" s="23"/>
      <c r="Z737" s="23"/>
    </row>
    <row r="738" spans="17:26">
      <c r="Q738" s="23"/>
      <c r="R738" s="23"/>
      <c r="S738" s="23"/>
      <c r="T738" s="23"/>
      <c r="U738" s="23"/>
      <c r="V738" s="23"/>
      <c r="W738" s="23"/>
      <c r="X738" s="23"/>
      <c r="Y738" s="23"/>
      <c r="Z738" s="23"/>
    </row>
    <row r="739" spans="17:26">
      <c r="Q739" s="23"/>
      <c r="R739" s="23"/>
      <c r="S739" s="23"/>
      <c r="T739" s="23"/>
      <c r="U739" s="23"/>
      <c r="V739" s="23"/>
      <c r="W739" s="23"/>
      <c r="X739" s="23"/>
      <c r="Y739" s="23"/>
      <c r="Z739" s="23"/>
    </row>
    <row r="740" spans="17:26">
      <c r="Q740" s="23"/>
      <c r="R740" s="23"/>
      <c r="S740" s="23"/>
      <c r="T740" s="23"/>
      <c r="U740" s="23"/>
      <c r="V740" s="23"/>
      <c r="W740" s="23"/>
      <c r="X740" s="23"/>
      <c r="Y740" s="23"/>
      <c r="Z740" s="23"/>
    </row>
    <row r="741" spans="17:26">
      <c r="Q741" s="23"/>
      <c r="R741" s="23"/>
      <c r="S741" s="23"/>
      <c r="T741" s="23"/>
      <c r="U741" s="23"/>
      <c r="V741" s="23"/>
      <c r="W741" s="23"/>
      <c r="X741" s="23"/>
      <c r="Y741" s="23"/>
      <c r="Z741" s="23"/>
    </row>
    <row r="742" spans="17:26">
      <c r="Q742" s="23"/>
      <c r="R742" s="23"/>
      <c r="S742" s="23"/>
      <c r="T742" s="23"/>
      <c r="U742" s="23"/>
      <c r="V742" s="23"/>
      <c r="W742" s="23"/>
      <c r="X742" s="23"/>
      <c r="Y742" s="23"/>
      <c r="Z742" s="23"/>
    </row>
    <row r="743" spans="17:26">
      <c r="Q743" s="23"/>
      <c r="R743" s="23"/>
      <c r="S743" s="23"/>
      <c r="T743" s="23"/>
      <c r="U743" s="23"/>
      <c r="V743" s="23"/>
      <c r="W743" s="23"/>
      <c r="X743" s="23"/>
      <c r="Y743" s="23"/>
      <c r="Z743" s="23"/>
    </row>
    <row r="744" spans="17:26">
      <c r="Q744" s="23"/>
      <c r="R744" s="23"/>
      <c r="S744" s="23"/>
      <c r="T744" s="23"/>
      <c r="U744" s="23"/>
      <c r="V744" s="23"/>
      <c r="W744" s="23"/>
      <c r="X744" s="23"/>
      <c r="Y744" s="23"/>
      <c r="Z744" s="23"/>
    </row>
    <row r="745" spans="17:26">
      <c r="Q745" s="23"/>
      <c r="R745" s="23"/>
      <c r="S745" s="23"/>
      <c r="T745" s="23"/>
      <c r="U745" s="23"/>
      <c r="V745" s="23"/>
      <c r="W745" s="23"/>
      <c r="X745" s="23"/>
      <c r="Y745" s="23"/>
      <c r="Z745" s="23"/>
    </row>
    <row r="746" spans="17:26">
      <c r="Q746" s="23"/>
      <c r="R746" s="23"/>
      <c r="S746" s="23"/>
      <c r="T746" s="23"/>
      <c r="U746" s="23"/>
      <c r="V746" s="23"/>
      <c r="W746" s="23"/>
      <c r="X746" s="23"/>
      <c r="Y746" s="23"/>
      <c r="Z746" s="23"/>
    </row>
    <row r="747" spans="17:26">
      <c r="Q747" s="23"/>
      <c r="R747" s="23"/>
      <c r="S747" s="23"/>
      <c r="T747" s="23"/>
      <c r="U747" s="23"/>
      <c r="V747" s="23"/>
      <c r="W747" s="23"/>
      <c r="X747" s="23"/>
      <c r="Y747" s="23"/>
      <c r="Z747" s="23"/>
    </row>
    <row r="748" spans="17:26">
      <c r="Q748" s="23"/>
      <c r="R748" s="23"/>
      <c r="S748" s="23"/>
      <c r="T748" s="23"/>
      <c r="U748" s="23"/>
      <c r="V748" s="23"/>
      <c r="W748" s="23"/>
      <c r="X748" s="23"/>
      <c r="Y748" s="23"/>
      <c r="Z748" s="23"/>
    </row>
    <row r="749" spans="17:26">
      <c r="Q749" s="23"/>
      <c r="R749" s="23"/>
      <c r="S749" s="23"/>
      <c r="T749" s="23"/>
      <c r="U749" s="23"/>
      <c r="V749" s="23"/>
      <c r="W749" s="23"/>
      <c r="X749" s="23"/>
      <c r="Y749" s="23"/>
      <c r="Z749" s="23"/>
    </row>
    <row r="750" spans="17:26">
      <c r="Q750" s="23"/>
      <c r="R750" s="23"/>
      <c r="S750" s="23"/>
      <c r="T750" s="23"/>
      <c r="U750" s="23"/>
      <c r="V750" s="23"/>
      <c r="W750" s="23"/>
      <c r="X750" s="23"/>
      <c r="Y750" s="23"/>
      <c r="Z750" s="23"/>
    </row>
    <row r="751" spans="17:26">
      <c r="Q751" s="23"/>
      <c r="R751" s="23"/>
      <c r="S751" s="23"/>
      <c r="T751" s="23"/>
      <c r="U751" s="23"/>
      <c r="V751" s="23"/>
      <c r="W751" s="23"/>
      <c r="X751" s="23"/>
      <c r="Y751" s="23"/>
      <c r="Z751" s="23"/>
    </row>
    <row r="752" spans="17:26">
      <c r="Q752" s="23"/>
      <c r="R752" s="23"/>
      <c r="S752" s="23"/>
      <c r="T752" s="23"/>
      <c r="U752" s="23"/>
      <c r="V752" s="23"/>
      <c r="W752" s="23"/>
      <c r="X752" s="23"/>
      <c r="Y752" s="23"/>
      <c r="Z752" s="23"/>
    </row>
    <row r="753" spans="17:26">
      <c r="Q753" s="23"/>
      <c r="R753" s="23"/>
      <c r="S753" s="23"/>
      <c r="T753" s="23"/>
      <c r="U753" s="23"/>
      <c r="V753" s="23"/>
      <c r="W753" s="23"/>
      <c r="X753" s="23"/>
      <c r="Y753" s="23"/>
      <c r="Z753" s="23"/>
    </row>
    <row r="754" spans="17:26">
      <c r="Q754" s="23"/>
      <c r="R754" s="23"/>
      <c r="S754" s="23"/>
      <c r="T754" s="23"/>
      <c r="U754" s="23"/>
      <c r="V754" s="23"/>
      <c r="W754" s="23"/>
      <c r="X754" s="23"/>
      <c r="Y754" s="23"/>
      <c r="Z754" s="23"/>
    </row>
    <row r="755" spans="17:26">
      <c r="Q755" s="23"/>
      <c r="R755" s="23"/>
      <c r="S755" s="23"/>
      <c r="T755" s="23"/>
      <c r="U755" s="23"/>
      <c r="V755" s="23"/>
      <c r="W755" s="23"/>
      <c r="X755" s="23"/>
      <c r="Y755" s="23"/>
      <c r="Z755" s="23"/>
    </row>
    <row r="756" spans="17:26">
      <c r="Q756" s="23"/>
      <c r="R756" s="23"/>
      <c r="S756" s="23"/>
      <c r="T756" s="23"/>
      <c r="U756" s="23"/>
      <c r="V756" s="23"/>
      <c r="W756" s="23"/>
      <c r="X756" s="23"/>
      <c r="Y756" s="23"/>
      <c r="Z756" s="23"/>
    </row>
    <row r="757" spans="17:26">
      <c r="Q757" s="23"/>
      <c r="R757" s="23"/>
      <c r="S757" s="23"/>
      <c r="T757" s="23"/>
      <c r="U757" s="23"/>
      <c r="V757" s="23"/>
      <c r="W757" s="23"/>
      <c r="X757" s="23"/>
      <c r="Y757" s="23"/>
      <c r="Z757" s="23"/>
    </row>
    <row r="758" spans="17:26">
      <c r="Q758" s="23"/>
      <c r="R758" s="23"/>
      <c r="S758" s="23"/>
      <c r="T758" s="23"/>
      <c r="U758" s="23"/>
      <c r="V758" s="23"/>
      <c r="W758" s="23"/>
      <c r="X758" s="23"/>
      <c r="Y758" s="23"/>
      <c r="Z758" s="23"/>
    </row>
    <row r="759" spans="17:26">
      <c r="Q759" s="23"/>
      <c r="R759" s="23"/>
      <c r="S759" s="23"/>
      <c r="T759" s="23"/>
      <c r="U759" s="23"/>
      <c r="V759" s="23"/>
      <c r="W759" s="23"/>
      <c r="X759" s="23"/>
      <c r="Y759" s="23"/>
      <c r="Z759" s="23"/>
    </row>
    <row r="760" spans="17:26">
      <c r="Q760" s="23"/>
      <c r="R760" s="23"/>
      <c r="S760" s="23"/>
      <c r="T760" s="23"/>
      <c r="U760" s="23"/>
      <c r="V760" s="23"/>
      <c r="W760" s="23"/>
      <c r="X760" s="23"/>
      <c r="Y760" s="23"/>
      <c r="Z760" s="23"/>
    </row>
    <row r="761" spans="17:26">
      <c r="Q761" s="23"/>
      <c r="R761" s="23"/>
      <c r="S761" s="23"/>
      <c r="T761" s="23"/>
      <c r="U761" s="23"/>
      <c r="V761" s="23"/>
      <c r="W761" s="23"/>
      <c r="X761" s="23"/>
      <c r="Y761" s="23"/>
      <c r="Z761" s="23"/>
    </row>
    <row r="762" spans="17:26">
      <c r="Q762" s="23"/>
      <c r="R762" s="23"/>
      <c r="S762" s="23"/>
      <c r="T762" s="23"/>
      <c r="U762" s="23"/>
      <c r="V762" s="23"/>
      <c r="W762" s="23"/>
      <c r="X762" s="23"/>
      <c r="Y762" s="23"/>
      <c r="Z762" s="23"/>
    </row>
    <row r="763" spans="17:26">
      <c r="Q763" s="23"/>
      <c r="R763" s="23"/>
      <c r="S763" s="23"/>
      <c r="T763" s="23"/>
      <c r="U763" s="23"/>
      <c r="V763" s="23"/>
      <c r="W763" s="23"/>
      <c r="X763" s="23"/>
      <c r="Y763" s="23"/>
      <c r="Z763" s="23"/>
    </row>
    <row r="764" spans="17:26">
      <c r="Q764" s="23"/>
      <c r="R764" s="23"/>
      <c r="S764" s="23"/>
      <c r="T764" s="23"/>
      <c r="U764" s="23"/>
      <c r="V764" s="23"/>
      <c r="W764" s="23"/>
      <c r="X764" s="23"/>
      <c r="Y764" s="23"/>
      <c r="Z764" s="23"/>
    </row>
    <row r="765" spans="17:26">
      <c r="Q765" s="23"/>
      <c r="R765" s="23"/>
      <c r="S765" s="23"/>
      <c r="T765" s="23"/>
      <c r="U765" s="23"/>
      <c r="V765" s="23"/>
      <c r="W765" s="23"/>
      <c r="X765" s="23"/>
      <c r="Y765" s="23"/>
      <c r="Z765" s="23"/>
    </row>
    <row r="766" spans="17:26">
      <c r="Q766" s="23"/>
      <c r="R766" s="23"/>
      <c r="S766" s="23"/>
      <c r="T766" s="23"/>
      <c r="U766" s="23"/>
      <c r="V766" s="23"/>
      <c r="W766" s="23"/>
      <c r="X766" s="23"/>
      <c r="Y766" s="23"/>
      <c r="Z766" s="23"/>
    </row>
    <row r="767" spans="17:26">
      <c r="Q767" s="23"/>
      <c r="R767" s="23"/>
      <c r="S767" s="23"/>
      <c r="T767" s="23"/>
      <c r="U767" s="23"/>
      <c r="V767" s="23"/>
      <c r="W767" s="23"/>
      <c r="X767" s="23"/>
      <c r="Y767" s="23"/>
      <c r="Z767" s="23"/>
    </row>
    <row r="768" spans="17:26">
      <c r="Q768" s="23"/>
      <c r="R768" s="23"/>
      <c r="S768" s="23"/>
      <c r="T768" s="23"/>
      <c r="U768" s="23"/>
      <c r="V768" s="23"/>
      <c r="W768" s="23"/>
      <c r="X768" s="23"/>
      <c r="Y768" s="23"/>
      <c r="Z768" s="23"/>
    </row>
    <row r="769" spans="17:26">
      <c r="Q769" s="23"/>
      <c r="R769" s="23"/>
      <c r="S769" s="23"/>
      <c r="T769" s="23"/>
      <c r="U769" s="23"/>
      <c r="V769" s="23"/>
      <c r="W769" s="23"/>
      <c r="X769" s="23"/>
      <c r="Y769" s="23"/>
      <c r="Z769" s="23"/>
    </row>
    <row r="770" spans="17:26">
      <c r="Q770" s="23"/>
      <c r="R770" s="23"/>
      <c r="S770" s="23"/>
      <c r="T770" s="23"/>
      <c r="U770" s="23"/>
      <c r="V770" s="23"/>
      <c r="W770" s="23"/>
      <c r="X770" s="23"/>
      <c r="Y770" s="23"/>
      <c r="Z770" s="23"/>
    </row>
    <row r="771" spans="17:26">
      <c r="Q771" s="23"/>
      <c r="R771" s="23"/>
      <c r="S771" s="23"/>
      <c r="T771" s="23"/>
      <c r="U771" s="23"/>
      <c r="V771" s="23"/>
      <c r="W771" s="23"/>
      <c r="X771" s="23"/>
      <c r="Y771" s="23"/>
      <c r="Z771" s="23"/>
    </row>
    <row r="772" spans="17:26">
      <c r="Q772" s="23"/>
      <c r="R772" s="23"/>
      <c r="S772" s="23"/>
      <c r="T772" s="23"/>
      <c r="U772" s="23"/>
      <c r="V772" s="23"/>
      <c r="W772" s="23"/>
      <c r="X772" s="23"/>
      <c r="Y772" s="23"/>
      <c r="Z772" s="23"/>
    </row>
    <row r="773" spans="17:26">
      <c r="Q773" s="23"/>
      <c r="R773" s="23"/>
      <c r="S773" s="23"/>
      <c r="T773" s="23"/>
      <c r="U773" s="23"/>
      <c r="V773" s="23"/>
      <c r="W773" s="23"/>
      <c r="X773" s="23"/>
      <c r="Y773" s="23"/>
      <c r="Z773" s="23"/>
    </row>
    <row r="774" spans="17:26">
      <c r="Q774" s="23"/>
      <c r="R774" s="23"/>
      <c r="S774" s="23"/>
      <c r="T774" s="23"/>
      <c r="U774" s="23"/>
      <c r="V774" s="23"/>
      <c r="W774" s="23"/>
      <c r="X774" s="23"/>
      <c r="Y774" s="23"/>
      <c r="Z774" s="23"/>
    </row>
    <row r="775" spans="17:26">
      <c r="Q775" s="23"/>
      <c r="R775" s="23"/>
      <c r="S775" s="23"/>
      <c r="T775" s="23"/>
      <c r="U775" s="23"/>
      <c r="V775" s="23"/>
      <c r="W775" s="23"/>
      <c r="X775" s="23"/>
      <c r="Y775" s="23"/>
      <c r="Z775" s="23"/>
    </row>
    <row r="776" spans="17:26">
      <c r="Q776" s="23"/>
      <c r="R776" s="23"/>
      <c r="S776" s="23"/>
      <c r="T776" s="23"/>
      <c r="U776" s="23"/>
      <c r="V776" s="23"/>
      <c r="W776" s="23"/>
      <c r="X776" s="23"/>
      <c r="Y776" s="23"/>
      <c r="Z776" s="23"/>
    </row>
    <row r="777" spans="17:26">
      <c r="Q777" s="23"/>
      <c r="R777" s="23"/>
      <c r="S777" s="23"/>
      <c r="T777" s="23"/>
      <c r="U777" s="23"/>
      <c r="V777" s="23"/>
      <c r="W777" s="23"/>
      <c r="X777" s="23"/>
      <c r="Y777" s="23"/>
      <c r="Z777" s="23"/>
    </row>
    <row r="778" spans="17:26">
      <c r="Q778" s="23"/>
      <c r="R778" s="23"/>
      <c r="S778" s="23"/>
      <c r="T778" s="23"/>
      <c r="U778" s="23"/>
      <c r="V778" s="23"/>
      <c r="W778" s="23"/>
      <c r="X778" s="23"/>
      <c r="Y778" s="23"/>
      <c r="Z778" s="23"/>
    </row>
    <row r="779" spans="17:26">
      <c r="Q779" s="23"/>
      <c r="R779" s="23"/>
      <c r="S779" s="23"/>
      <c r="T779" s="23"/>
      <c r="U779" s="23"/>
      <c r="V779" s="23"/>
      <c r="W779" s="23"/>
      <c r="X779" s="23"/>
      <c r="Y779" s="23"/>
      <c r="Z779" s="23"/>
    </row>
    <row r="780" spans="17:26">
      <c r="Q780" s="23"/>
      <c r="R780" s="23"/>
      <c r="S780" s="23"/>
      <c r="T780" s="23"/>
      <c r="U780" s="23"/>
      <c r="V780" s="23"/>
      <c r="W780" s="23"/>
      <c r="X780" s="23"/>
      <c r="Y780" s="23"/>
      <c r="Z780" s="23"/>
    </row>
    <row r="781" spans="17:26">
      <c r="Q781" s="23"/>
      <c r="R781" s="23"/>
      <c r="S781" s="23"/>
      <c r="T781" s="23"/>
      <c r="U781" s="23"/>
      <c r="V781" s="23"/>
      <c r="W781" s="23"/>
      <c r="X781" s="23"/>
      <c r="Y781" s="23"/>
      <c r="Z781" s="23"/>
    </row>
    <row r="782" spans="17:26">
      <c r="Q782" s="23"/>
      <c r="R782" s="23"/>
      <c r="S782" s="23"/>
      <c r="T782" s="23"/>
      <c r="U782" s="23"/>
      <c r="V782" s="23"/>
      <c r="W782" s="23"/>
      <c r="X782" s="23"/>
      <c r="Y782" s="23"/>
      <c r="Z782" s="23"/>
    </row>
    <row r="783" spans="17:26">
      <c r="Q783" s="23"/>
      <c r="R783" s="23"/>
      <c r="S783" s="23"/>
      <c r="T783" s="23"/>
      <c r="U783" s="23"/>
      <c r="V783" s="23"/>
      <c r="W783" s="23"/>
      <c r="X783" s="23"/>
      <c r="Y783" s="23"/>
      <c r="Z783" s="23"/>
    </row>
    <row r="784" spans="17:26">
      <c r="Q784" s="23"/>
      <c r="R784" s="23"/>
      <c r="S784" s="23"/>
      <c r="T784" s="23"/>
      <c r="U784" s="23"/>
      <c r="V784" s="23"/>
      <c r="W784" s="23"/>
      <c r="X784" s="23"/>
      <c r="Y784" s="23"/>
      <c r="Z784" s="23"/>
    </row>
    <row r="785" spans="17:26">
      <c r="Q785" s="23"/>
      <c r="R785" s="23"/>
      <c r="S785" s="23"/>
      <c r="T785" s="23"/>
      <c r="U785" s="23"/>
      <c r="V785" s="23"/>
      <c r="W785" s="23"/>
      <c r="X785" s="23"/>
      <c r="Y785" s="23"/>
      <c r="Z785" s="23"/>
    </row>
    <row r="786" spans="17:26">
      <c r="Q786" s="23"/>
      <c r="R786" s="1"/>
      <c r="S786" s="1"/>
      <c r="T786" s="1"/>
      <c r="U786" s="1"/>
      <c r="V786" s="1"/>
      <c r="W786" s="1"/>
      <c r="X786" s="1"/>
      <c r="Y786" s="1"/>
      <c r="Z786" s="1"/>
    </row>
    <row r="787" spans="17:26">
      <c r="Q787" s="23"/>
      <c r="R787" s="1"/>
      <c r="S787" s="1"/>
      <c r="T787" s="1"/>
      <c r="U787" s="1"/>
      <c r="V787" s="1"/>
      <c r="W787" s="1"/>
      <c r="X787" s="1"/>
      <c r="Y787" s="1"/>
      <c r="Z787" s="1"/>
    </row>
    <row r="788" spans="17:26">
      <c r="Q788" s="23"/>
      <c r="R788" s="1"/>
      <c r="S788" s="1"/>
      <c r="T788" s="1"/>
      <c r="U788" s="1"/>
      <c r="V788" s="1"/>
      <c r="W788" s="1"/>
      <c r="X788" s="1"/>
      <c r="Y788" s="1"/>
      <c r="Z788" s="1"/>
    </row>
    <row r="789" spans="17:26">
      <c r="Q789" s="23"/>
      <c r="R789" s="1"/>
      <c r="S789" s="1"/>
      <c r="T789" s="1"/>
      <c r="U789" s="1"/>
      <c r="V789" s="1"/>
      <c r="W789" s="1"/>
      <c r="X789" s="1"/>
      <c r="Y789" s="1"/>
      <c r="Z789" s="1"/>
    </row>
    <row r="790" spans="17:26">
      <c r="Q790" s="23"/>
      <c r="R790" s="1"/>
      <c r="S790" s="1"/>
      <c r="T790" s="1"/>
      <c r="U790" s="1"/>
      <c r="V790" s="1"/>
      <c r="W790" s="1"/>
      <c r="X790" s="1"/>
      <c r="Y790" s="1"/>
      <c r="Z790" s="1"/>
    </row>
    <row r="791" spans="17:26">
      <c r="Q791" s="23"/>
      <c r="R791" s="1"/>
      <c r="S791" s="1"/>
      <c r="T791" s="1"/>
      <c r="U791" s="1"/>
      <c r="V791" s="1"/>
      <c r="W791" s="1"/>
      <c r="X791" s="1"/>
      <c r="Y791" s="1"/>
      <c r="Z791" s="1"/>
    </row>
    <row r="792" spans="17:26">
      <c r="Q792" s="23"/>
      <c r="R792" s="1"/>
      <c r="S792" s="1"/>
      <c r="T792" s="1"/>
      <c r="U792" s="1"/>
      <c r="V792" s="1"/>
      <c r="W792" s="1"/>
      <c r="X792" s="1"/>
      <c r="Y792" s="1"/>
      <c r="Z792" s="1"/>
    </row>
    <row r="793" spans="17:26">
      <c r="Q793" s="23"/>
      <c r="R793" s="1"/>
      <c r="S793" s="1"/>
      <c r="T793" s="1"/>
      <c r="U793" s="1"/>
      <c r="V793" s="1"/>
      <c r="W793" s="1"/>
      <c r="X793" s="1"/>
      <c r="Y793" s="1"/>
      <c r="Z793" s="1"/>
    </row>
    <row r="794" spans="17:26">
      <c r="Q794" s="23"/>
      <c r="R794" s="1"/>
      <c r="S794" s="1"/>
      <c r="T794" s="1"/>
      <c r="U794" s="1"/>
      <c r="V794" s="1"/>
      <c r="W794" s="1"/>
      <c r="X794" s="1"/>
      <c r="Y794" s="1"/>
      <c r="Z794" s="1"/>
    </row>
    <row r="795" spans="17:26">
      <c r="Q795" s="23"/>
      <c r="R795" s="1"/>
      <c r="S795" s="1"/>
      <c r="T795" s="1"/>
      <c r="U795" s="1"/>
      <c r="V795" s="1"/>
      <c r="W795" s="1"/>
      <c r="X795" s="1"/>
      <c r="Y795" s="1"/>
      <c r="Z795" s="1"/>
    </row>
    <row r="796" spans="17:26">
      <c r="Q796" s="23"/>
      <c r="R796" s="1"/>
      <c r="S796" s="1"/>
      <c r="T796" s="1"/>
      <c r="U796" s="1"/>
      <c r="V796" s="1"/>
      <c r="W796" s="1"/>
      <c r="X796" s="1"/>
      <c r="Y796" s="1"/>
      <c r="Z796" s="1"/>
    </row>
    <row r="797" spans="17:26">
      <c r="Q797" s="23"/>
      <c r="R797" s="1"/>
      <c r="S797" s="1"/>
      <c r="T797" s="1"/>
      <c r="U797" s="1"/>
      <c r="V797" s="1"/>
      <c r="W797" s="1"/>
      <c r="X797" s="1"/>
      <c r="Y797" s="1"/>
      <c r="Z797" s="1"/>
    </row>
    <row r="798" spans="17:26">
      <c r="Q798" s="23"/>
      <c r="R798" s="1"/>
      <c r="S798" s="1"/>
      <c r="T798" s="1"/>
      <c r="U798" s="1"/>
      <c r="V798" s="1"/>
      <c r="W798" s="1"/>
      <c r="X798" s="1"/>
      <c r="Y798" s="1"/>
      <c r="Z798" s="1"/>
    </row>
    <row r="799" spans="17:26">
      <c r="Q799" s="23"/>
      <c r="R799" s="1"/>
      <c r="S799" s="1"/>
      <c r="T799" s="1"/>
      <c r="U799" s="1"/>
      <c r="V799" s="1"/>
      <c r="W799" s="1"/>
      <c r="X799" s="1"/>
      <c r="Y799" s="1"/>
      <c r="Z799" s="1"/>
    </row>
    <row r="800" spans="17:26">
      <c r="Q800" s="23"/>
      <c r="R800" s="1"/>
      <c r="S800" s="1"/>
      <c r="T800" s="1"/>
      <c r="U800" s="1"/>
      <c r="V800" s="1"/>
      <c r="W800" s="1"/>
      <c r="X800" s="1"/>
      <c r="Y800" s="1"/>
      <c r="Z800" s="1"/>
    </row>
    <row r="801" spans="17:26">
      <c r="Q801" s="23"/>
      <c r="R801" s="1"/>
      <c r="S801" s="1"/>
      <c r="T801" s="1"/>
      <c r="U801" s="1"/>
      <c r="V801" s="1"/>
      <c r="W801" s="1"/>
      <c r="X801" s="1"/>
      <c r="Y801" s="1"/>
      <c r="Z801" s="1"/>
    </row>
    <row r="802" spans="17:26">
      <c r="Q802" s="23"/>
      <c r="R802" s="1"/>
      <c r="S802" s="1"/>
      <c r="T802" s="1"/>
      <c r="U802" s="1"/>
      <c r="V802" s="1"/>
      <c r="W802" s="1"/>
      <c r="X802" s="1"/>
      <c r="Y802" s="1"/>
      <c r="Z802" s="1"/>
    </row>
    <row r="803" spans="17:26">
      <c r="Q803" s="23"/>
      <c r="R803" s="1"/>
      <c r="S803" s="1"/>
      <c r="T803" s="1"/>
      <c r="U803" s="1"/>
      <c r="V803" s="1"/>
      <c r="W803" s="1"/>
      <c r="X803" s="1"/>
      <c r="Y803" s="1"/>
      <c r="Z803" s="1"/>
    </row>
    <row r="804" spans="17:26">
      <c r="Q804" s="23"/>
      <c r="R804" s="1"/>
      <c r="S804" s="1"/>
      <c r="T804" s="1"/>
      <c r="U804" s="1"/>
      <c r="V804" s="1"/>
      <c r="W804" s="1"/>
      <c r="X804" s="1"/>
      <c r="Y804" s="1"/>
      <c r="Z804" s="1"/>
    </row>
    <row r="805" spans="17:26">
      <c r="Q805" s="23"/>
      <c r="R805" s="1"/>
      <c r="S805" s="1"/>
      <c r="T805" s="1"/>
      <c r="U805" s="1"/>
      <c r="V805" s="1"/>
      <c r="W805" s="1"/>
      <c r="X805" s="1"/>
      <c r="Y805" s="1"/>
      <c r="Z805" s="1"/>
    </row>
    <row r="806" spans="17:26">
      <c r="Q806" s="23"/>
      <c r="R806" s="1"/>
      <c r="S806" s="1"/>
      <c r="T806" s="1"/>
      <c r="U806" s="1"/>
      <c r="V806" s="1"/>
      <c r="W806" s="1"/>
      <c r="X806" s="1"/>
      <c r="Y806" s="1"/>
      <c r="Z806" s="1"/>
    </row>
    <row r="807" spans="17:26">
      <c r="Q807" s="23"/>
      <c r="R807" s="1"/>
      <c r="S807" s="1"/>
      <c r="T807" s="1"/>
      <c r="U807" s="1"/>
      <c r="V807" s="1"/>
      <c r="W807" s="1"/>
      <c r="X807" s="1"/>
      <c r="Y807" s="1"/>
      <c r="Z807" s="1"/>
    </row>
    <row r="808" spans="17:26">
      <c r="Q808" s="23"/>
      <c r="R808" s="1"/>
      <c r="S808" s="1"/>
      <c r="T808" s="1"/>
      <c r="U808" s="1"/>
      <c r="V808" s="1"/>
      <c r="W808" s="1"/>
      <c r="X808" s="1"/>
      <c r="Y808" s="1"/>
      <c r="Z808" s="1"/>
    </row>
    <row r="809" spans="17:26">
      <c r="Q809" s="23"/>
      <c r="R809" s="1"/>
      <c r="S809" s="1"/>
      <c r="T809" s="1"/>
      <c r="U809" s="1"/>
      <c r="V809" s="1"/>
      <c r="W809" s="1"/>
      <c r="X809" s="1"/>
      <c r="Y809" s="1"/>
      <c r="Z809" s="1"/>
    </row>
    <row r="810" spans="17:26">
      <c r="Q810" s="23"/>
      <c r="R810" s="1"/>
      <c r="S810" s="1"/>
      <c r="T810" s="1"/>
      <c r="U810" s="1"/>
      <c r="V810" s="1"/>
      <c r="W810" s="1"/>
      <c r="X810" s="1"/>
      <c r="Y810" s="1"/>
      <c r="Z810" s="1"/>
    </row>
    <row r="811" spans="17:26">
      <c r="Q811" s="23"/>
      <c r="R811" s="1"/>
      <c r="S811" s="1"/>
      <c r="T811" s="1"/>
      <c r="U811" s="1"/>
      <c r="V811" s="1"/>
      <c r="W811" s="1"/>
      <c r="X811" s="1"/>
      <c r="Y811" s="1"/>
      <c r="Z811" s="1"/>
    </row>
    <row r="812" spans="17:26">
      <c r="Q812" s="23"/>
      <c r="R812" s="1"/>
      <c r="S812" s="1"/>
      <c r="T812" s="1"/>
      <c r="U812" s="1"/>
      <c r="V812" s="1"/>
      <c r="W812" s="1"/>
      <c r="X812" s="1"/>
      <c r="Y812" s="1"/>
      <c r="Z812" s="1"/>
    </row>
    <row r="813" spans="17:26">
      <c r="Q813" s="23"/>
      <c r="R813" s="1"/>
      <c r="S813" s="1"/>
      <c r="T813" s="1"/>
      <c r="U813" s="1"/>
      <c r="V813" s="1"/>
      <c r="W813" s="1"/>
      <c r="X813" s="1"/>
      <c r="Y813" s="1"/>
      <c r="Z813" s="1"/>
    </row>
    <row r="814" spans="17:26">
      <c r="Q814" s="23"/>
      <c r="R814" s="1"/>
      <c r="S814" s="1"/>
      <c r="T814" s="1"/>
      <c r="U814" s="1"/>
      <c r="V814" s="1"/>
      <c r="W814" s="1"/>
      <c r="X814" s="1"/>
      <c r="Y814" s="1"/>
      <c r="Z814" s="1"/>
    </row>
    <row r="815" spans="17:26">
      <c r="Q815" s="23"/>
      <c r="R815" s="1"/>
      <c r="S815" s="1"/>
      <c r="T815" s="1"/>
      <c r="U815" s="1"/>
      <c r="V815" s="1"/>
      <c r="W815" s="1"/>
      <c r="X815" s="1"/>
      <c r="Y815" s="1"/>
      <c r="Z815" s="1"/>
    </row>
    <row r="816" spans="17:26">
      <c r="Q816" s="23"/>
      <c r="R816" s="1"/>
      <c r="S816" s="1"/>
      <c r="T816" s="1"/>
      <c r="U816" s="1"/>
      <c r="V816" s="1"/>
      <c r="W816" s="1"/>
      <c r="X816" s="1"/>
      <c r="Y816" s="1"/>
      <c r="Z816" s="1"/>
    </row>
    <row r="817" spans="17:26">
      <c r="Q817" s="23"/>
      <c r="R817" s="1"/>
      <c r="S817" s="1"/>
      <c r="T817" s="1"/>
      <c r="U817" s="1"/>
      <c r="V817" s="1"/>
      <c r="W817" s="1"/>
      <c r="X817" s="1"/>
      <c r="Y817" s="1"/>
      <c r="Z817" s="1"/>
    </row>
    <row r="818" spans="17:26">
      <c r="Q818" s="23"/>
      <c r="R818" s="1"/>
      <c r="S818" s="1"/>
      <c r="T818" s="1"/>
      <c r="U818" s="1"/>
      <c r="V818" s="1"/>
      <c r="W818" s="1"/>
      <c r="X818" s="1"/>
      <c r="Y818" s="1"/>
      <c r="Z818" s="1"/>
    </row>
    <row r="819" spans="17:26">
      <c r="Q819" s="23"/>
      <c r="R819" s="1"/>
      <c r="S819" s="1"/>
      <c r="T819" s="1"/>
      <c r="U819" s="1"/>
      <c r="V819" s="1"/>
      <c r="W819" s="1"/>
      <c r="X819" s="1"/>
      <c r="Y819" s="1"/>
      <c r="Z819" s="1"/>
    </row>
    <row r="820" spans="17:26">
      <c r="Q820" s="23"/>
      <c r="R820" s="1"/>
      <c r="S820" s="1"/>
      <c r="T820" s="1"/>
      <c r="U820" s="1"/>
      <c r="V820" s="1"/>
      <c r="W820" s="1"/>
      <c r="X820" s="1"/>
      <c r="Y820" s="1"/>
      <c r="Z820" s="1"/>
    </row>
    <row r="821" spans="17:26">
      <c r="Q821" s="23"/>
      <c r="R821" s="1"/>
      <c r="S821" s="1"/>
      <c r="T821" s="1"/>
      <c r="U821" s="1"/>
      <c r="V821" s="1"/>
      <c r="W821" s="1"/>
      <c r="X821" s="1"/>
      <c r="Y821" s="1"/>
      <c r="Z821" s="1"/>
    </row>
    <row r="822" spans="17:26">
      <c r="Q822" s="23"/>
      <c r="R822" s="1"/>
      <c r="S822" s="1"/>
      <c r="T822" s="1"/>
      <c r="U822" s="1"/>
      <c r="V822" s="1"/>
      <c r="W822" s="1"/>
      <c r="X822" s="1"/>
      <c r="Y822" s="1"/>
      <c r="Z822" s="1"/>
    </row>
    <row r="823" spans="17:26">
      <c r="Q823" s="23"/>
      <c r="R823" s="1"/>
      <c r="S823" s="1"/>
      <c r="T823" s="1"/>
      <c r="U823" s="1"/>
      <c r="V823" s="1"/>
      <c r="W823" s="1"/>
      <c r="X823" s="1"/>
      <c r="Y823" s="1"/>
      <c r="Z823" s="1"/>
    </row>
    <row r="824" spans="17:26">
      <c r="Q824" s="23"/>
      <c r="R824" s="1"/>
      <c r="S824" s="1"/>
      <c r="T824" s="1"/>
      <c r="U824" s="1"/>
      <c r="V824" s="1"/>
      <c r="W824" s="1"/>
      <c r="X824" s="1"/>
      <c r="Y824" s="1"/>
      <c r="Z824" s="1"/>
    </row>
    <row r="825" spans="17:26">
      <c r="Q825" s="23"/>
      <c r="R825" s="1"/>
      <c r="S825" s="1"/>
      <c r="T825" s="1"/>
      <c r="U825" s="1"/>
      <c r="V825" s="1"/>
      <c r="W825" s="1"/>
      <c r="X825" s="1"/>
      <c r="Y825" s="1"/>
      <c r="Z825" s="1"/>
    </row>
    <row r="826" spans="17:26">
      <c r="Q826" s="23"/>
      <c r="R826" s="1"/>
      <c r="S826" s="1"/>
      <c r="T826" s="1"/>
      <c r="U826" s="1"/>
      <c r="V826" s="1"/>
      <c r="W826" s="1"/>
      <c r="X826" s="1"/>
      <c r="Y826" s="1"/>
      <c r="Z826" s="1"/>
    </row>
    <row r="827" spans="17:26">
      <c r="Q827" s="23"/>
      <c r="R827" s="1"/>
      <c r="S827" s="1"/>
      <c r="T827" s="1"/>
      <c r="U827" s="1"/>
      <c r="V827" s="1"/>
      <c r="W827" s="1"/>
      <c r="X827" s="1"/>
      <c r="Y827" s="1"/>
      <c r="Z827" s="1"/>
    </row>
    <row r="828" spans="17:26">
      <c r="Q828" s="23"/>
      <c r="R828" s="1"/>
      <c r="S828" s="1"/>
      <c r="T828" s="1"/>
      <c r="U828" s="1"/>
      <c r="V828" s="1"/>
      <c r="W828" s="1"/>
      <c r="X828" s="1"/>
      <c r="Y828" s="1"/>
      <c r="Z828" s="1"/>
    </row>
    <row r="829" spans="17:26">
      <c r="Q829" s="23"/>
      <c r="R829" s="1"/>
      <c r="S829" s="1"/>
      <c r="T829" s="1"/>
      <c r="U829" s="1"/>
      <c r="V829" s="1"/>
      <c r="W829" s="1"/>
      <c r="X829" s="1"/>
      <c r="Y829" s="1"/>
      <c r="Z829" s="1"/>
    </row>
    <row r="830" spans="17:26">
      <c r="Q830" s="23"/>
      <c r="R830" s="1"/>
      <c r="S830" s="1"/>
      <c r="T830" s="1"/>
      <c r="U830" s="1"/>
      <c r="V830" s="1"/>
      <c r="W830" s="1"/>
      <c r="X830" s="1"/>
      <c r="Y830" s="1"/>
      <c r="Z830" s="1"/>
    </row>
    <row r="831" spans="17:26">
      <c r="Q831" s="23"/>
      <c r="R831" s="1"/>
      <c r="S831" s="1"/>
      <c r="T831" s="1"/>
      <c r="U831" s="1"/>
      <c r="V831" s="1"/>
      <c r="W831" s="1"/>
      <c r="X831" s="1"/>
      <c r="Y831" s="1"/>
      <c r="Z831" s="1"/>
    </row>
    <row r="832" spans="17:26">
      <c r="Q832" s="23"/>
      <c r="R832" s="1"/>
      <c r="S832" s="1"/>
      <c r="T832" s="1"/>
      <c r="U832" s="1"/>
      <c r="V832" s="1"/>
      <c r="W832" s="1"/>
      <c r="X832" s="1"/>
      <c r="Y832" s="1"/>
      <c r="Z832" s="1"/>
    </row>
    <row r="833" spans="17:26">
      <c r="Q833" s="23"/>
      <c r="R833" s="1"/>
      <c r="S833" s="1"/>
      <c r="T833" s="1"/>
      <c r="U833" s="1"/>
      <c r="V833" s="1"/>
      <c r="W833" s="1"/>
      <c r="X833" s="1"/>
      <c r="Y833" s="1"/>
      <c r="Z833" s="1"/>
    </row>
    <row r="834" spans="17:26">
      <c r="Q834" s="23"/>
      <c r="R834" s="1"/>
      <c r="S834" s="1"/>
      <c r="T834" s="1"/>
      <c r="U834" s="1"/>
      <c r="V834" s="1"/>
      <c r="W834" s="1"/>
      <c r="X834" s="1"/>
      <c r="Y834" s="1"/>
      <c r="Z834" s="1"/>
    </row>
    <row r="835" spans="17:26">
      <c r="Q835" s="23"/>
      <c r="R835" s="1"/>
      <c r="S835" s="1"/>
      <c r="T835" s="1"/>
      <c r="U835" s="1"/>
      <c r="V835" s="1"/>
      <c r="W835" s="1"/>
      <c r="X835" s="1"/>
      <c r="Y835" s="1"/>
      <c r="Z835" s="1"/>
    </row>
    <row r="836" spans="17:26">
      <c r="Q836" s="23"/>
      <c r="R836" s="1"/>
      <c r="S836" s="1"/>
      <c r="T836" s="1"/>
      <c r="U836" s="1"/>
      <c r="V836" s="1"/>
      <c r="W836" s="1"/>
      <c r="X836" s="1"/>
      <c r="Y836" s="1"/>
      <c r="Z836" s="1"/>
    </row>
    <row r="837" spans="17:26">
      <c r="Q837" s="23"/>
      <c r="R837" s="1"/>
      <c r="S837" s="1"/>
      <c r="T837" s="1"/>
      <c r="U837" s="1"/>
      <c r="V837" s="1"/>
      <c r="W837" s="1"/>
      <c r="X837" s="1"/>
      <c r="Y837" s="1"/>
      <c r="Z837" s="1"/>
    </row>
    <row r="838" spans="17:26">
      <c r="Q838" s="23"/>
      <c r="R838" s="1"/>
      <c r="S838" s="1"/>
      <c r="T838" s="1"/>
      <c r="U838" s="1"/>
      <c r="V838" s="1"/>
      <c r="W838" s="1"/>
      <c r="X838" s="1"/>
      <c r="Y838" s="1"/>
      <c r="Z838" s="1"/>
    </row>
    <row r="839" spans="17:26">
      <c r="Q839" s="23"/>
      <c r="R839" s="1"/>
      <c r="S839" s="1"/>
      <c r="T839" s="1"/>
      <c r="U839" s="1"/>
      <c r="V839" s="1"/>
      <c r="W839" s="1"/>
      <c r="X839" s="1"/>
      <c r="Y839" s="1"/>
      <c r="Z839" s="1"/>
    </row>
    <row r="840" spans="17:26">
      <c r="Q840" s="23"/>
      <c r="R840" s="1"/>
      <c r="S840" s="1"/>
      <c r="T840" s="1"/>
      <c r="U840" s="1"/>
      <c r="V840" s="1"/>
      <c r="W840" s="1"/>
      <c r="X840" s="1"/>
      <c r="Y840" s="1"/>
      <c r="Z840" s="1"/>
    </row>
    <row r="841" spans="17:26">
      <c r="Q841" s="23"/>
      <c r="R841" s="1"/>
      <c r="S841" s="1"/>
      <c r="T841" s="1"/>
      <c r="U841" s="1"/>
      <c r="V841" s="1"/>
      <c r="W841" s="1"/>
      <c r="X841" s="1"/>
      <c r="Y841" s="1"/>
      <c r="Z841" s="1"/>
    </row>
    <row r="842" spans="17:26">
      <c r="Q842" s="23"/>
      <c r="R842" s="1"/>
      <c r="S842" s="1"/>
      <c r="T842" s="1"/>
      <c r="U842" s="1"/>
      <c r="V842" s="1"/>
      <c r="W842" s="1"/>
      <c r="X842" s="1"/>
      <c r="Y842" s="1"/>
      <c r="Z842" s="1"/>
    </row>
    <row r="843" spans="17:26">
      <c r="Q843" s="23"/>
      <c r="R843" s="1"/>
      <c r="S843" s="1"/>
      <c r="T843" s="1"/>
      <c r="U843" s="1"/>
      <c r="V843" s="1"/>
      <c r="W843" s="1"/>
      <c r="X843" s="1"/>
      <c r="Y843" s="1"/>
      <c r="Z843" s="1"/>
    </row>
    <row r="844" spans="17:26">
      <c r="Q844" s="23"/>
      <c r="R844" s="1"/>
      <c r="S844" s="1"/>
      <c r="T844" s="1"/>
      <c r="U844" s="1"/>
      <c r="V844" s="1"/>
      <c r="W844" s="1"/>
      <c r="X844" s="1"/>
      <c r="Y844" s="1"/>
      <c r="Z844" s="1"/>
    </row>
    <row r="845" spans="17:26">
      <c r="Q845" s="23"/>
      <c r="R845" s="1"/>
      <c r="S845" s="1"/>
      <c r="T845" s="1"/>
      <c r="U845" s="1"/>
      <c r="V845" s="1"/>
      <c r="W845" s="1"/>
      <c r="X845" s="1"/>
      <c r="Y845" s="1"/>
      <c r="Z845" s="1"/>
    </row>
    <row r="846" spans="17:26">
      <c r="Q846" s="23"/>
      <c r="R846" s="1"/>
      <c r="S846" s="1"/>
      <c r="T846" s="1"/>
      <c r="U846" s="1"/>
      <c r="V846" s="1"/>
      <c r="W846" s="1"/>
      <c r="X846" s="1"/>
      <c r="Y846" s="1"/>
      <c r="Z846" s="1"/>
    </row>
    <row r="847" spans="17:26">
      <c r="Q847" s="23"/>
      <c r="R847" s="1"/>
      <c r="S847" s="1"/>
      <c r="T847" s="1"/>
      <c r="U847" s="1"/>
      <c r="V847" s="1"/>
      <c r="W847" s="1"/>
      <c r="X847" s="1"/>
      <c r="Y847" s="1"/>
      <c r="Z847" s="1"/>
    </row>
    <row r="848" spans="17:26">
      <c r="Q848" s="23"/>
      <c r="R848" s="1"/>
      <c r="S848" s="1"/>
      <c r="T848" s="1"/>
      <c r="U848" s="1"/>
      <c r="V848" s="1"/>
      <c r="W848" s="1"/>
      <c r="X848" s="1"/>
      <c r="Y848" s="1"/>
      <c r="Z848" s="1"/>
    </row>
    <row r="849" spans="17:26">
      <c r="Q849" s="23"/>
      <c r="R849" s="1"/>
      <c r="S849" s="1"/>
      <c r="T849" s="1"/>
      <c r="U849" s="1"/>
      <c r="V849" s="1"/>
      <c r="W849" s="1"/>
      <c r="X849" s="1"/>
      <c r="Y849" s="1"/>
      <c r="Z849" s="1"/>
    </row>
    <row r="850" spans="17:26">
      <c r="Q850" s="23"/>
      <c r="R850" s="1"/>
      <c r="S850" s="1"/>
      <c r="T850" s="1"/>
      <c r="U850" s="1"/>
      <c r="V850" s="1"/>
      <c r="W850" s="1"/>
      <c r="X850" s="1"/>
      <c r="Y850" s="1"/>
      <c r="Z850" s="1"/>
    </row>
    <row r="851" spans="17:26">
      <c r="Q851" s="23"/>
      <c r="R851" s="1"/>
      <c r="S851" s="1"/>
      <c r="T851" s="1"/>
      <c r="U851" s="1"/>
      <c r="V851" s="1"/>
      <c r="W851" s="1"/>
      <c r="X851" s="1"/>
      <c r="Y851" s="1"/>
      <c r="Z851" s="1"/>
    </row>
    <row r="852" spans="17:26">
      <c r="Q852" s="23"/>
      <c r="R852" s="1"/>
      <c r="S852" s="1"/>
      <c r="T852" s="1"/>
      <c r="U852" s="1"/>
      <c r="V852" s="1"/>
      <c r="W852" s="1"/>
      <c r="X852" s="1"/>
      <c r="Y852" s="1"/>
      <c r="Z852" s="1"/>
    </row>
    <row r="853" spans="17:26">
      <c r="Q853" s="23"/>
      <c r="R853" s="1"/>
      <c r="S853" s="1"/>
      <c r="T853" s="1"/>
      <c r="U853" s="1"/>
      <c r="V853" s="1"/>
      <c r="W853" s="1"/>
      <c r="X853" s="1"/>
      <c r="Y853" s="1"/>
      <c r="Z853" s="1"/>
    </row>
    <row r="854" spans="17:26">
      <c r="Q854" s="23"/>
      <c r="R854" s="1"/>
      <c r="S854" s="1"/>
      <c r="T854" s="1"/>
      <c r="U854" s="1"/>
      <c r="V854" s="1"/>
      <c r="W854" s="1"/>
      <c r="X854" s="1"/>
      <c r="Y854" s="1"/>
      <c r="Z854" s="1"/>
    </row>
    <row r="855" spans="17:26">
      <c r="Q855" s="23"/>
      <c r="R855" s="1"/>
      <c r="S855" s="1"/>
      <c r="T855" s="1"/>
      <c r="U855" s="1"/>
      <c r="V855" s="1"/>
      <c r="W855" s="1"/>
      <c r="X855" s="1"/>
      <c r="Y855" s="1"/>
      <c r="Z855" s="1"/>
    </row>
    <row r="856" spans="17:26">
      <c r="Q856" s="23"/>
      <c r="R856" s="1"/>
      <c r="S856" s="1"/>
      <c r="T856" s="1"/>
      <c r="U856" s="1"/>
      <c r="V856" s="1"/>
      <c r="W856" s="1"/>
      <c r="X856" s="1"/>
      <c r="Y856" s="1"/>
      <c r="Z856" s="1"/>
    </row>
    <row r="857" spans="17:26">
      <c r="Q857" s="23"/>
      <c r="R857" s="1"/>
      <c r="S857" s="1"/>
      <c r="T857" s="1"/>
      <c r="U857" s="1"/>
      <c r="V857" s="1"/>
      <c r="W857" s="1"/>
      <c r="X857" s="1"/>
      <c r="Y857" s="1"/>
      <c r="Z857" s="1"/>
    </row>
    <row r="858" spans="17:26">
      <c r="Q858" s="23"/>
      <c r="R858" s="1"/>
      <c r="S858" s="1"/>
      <c r="T858" s="1"/>
      <c r="U858" s="1"/>
      <c r="V858" s="1"/>
      <c r="W858" s="1"/>
      <c r="X858" s="1"/>
      <c r="Y858" s="1"/>
      <c r="Z858" s="1"/>
    </row>
    <row r="859" spans="17:26">
      <c r="Q859" s="23"/>
      <c r="R859" s="1"/>
      <c r="S859" s="1"/>
      <c r="T859" s="1"/>
      <c r="U859" s="1"/>
      <c r="V859" s="1"/>
      <c r="W859" s="1"/>
      <c r="X859" s="1"/>
      <c r="Y859" s="1"/>
      <c r="Z859" s="1"/>
    </row>
    <row r="860" spans="17:26">
      <c r="Q860" s="23"/>
      <c r="R860" s="1"/>
      <c r="S860" s="1"/>
      <c r="T860" s="1"/>
      <c r="U860" s="1"/>
      <c r="V860" s="1"/>
      <c r="W860" s="1"/>
      <c r="X860" s="1"/>
      <c r="Y860" s="1"/>
      <c r="Z860" s="1"/>
    </row>
    <row r="861" spans="17:26">
      <c r="Q861" s="23"/>
      <c r="R861" s="1"/>
      <c r="S861" s="1"/>
      <c r="T861" s="1"/>
      <c r="U861" s="1"/>
      <c r="V861" s="1"/>
      <c r="W861" s="1"/>
      <c r="X861" s="1"/>
      <c r="Y861" s="1"/>
      <c r="Z861" s="1"/>
    </row>
    <row r="862" spans="17:26">
      <c r="Q862" s="23"/>
      <c r="R862" s="1"/>
      <c r="S862" s="1"/>
      <c r="T862" s="1"/>
      <c r="U862" s="1"/>
      <c r="V862" s="1"/>
      <c r="W862" s="1"/>
      <c r="X862" s="1"/>
      <c r="Y862" s="1"/>
      <c r="Z862" s="1"/>
    </row>
    <row r="863" spans="17:26">
      <c r="Q863" s="23"/>
      <c r="R863" s="1"/>
      <c r="S863" s="1"/>
      <c r="T863" s="1"/>
      <c r="U863" s="1"/>
      <c r="V863" s="1"/>
      <c r="W863" s="1"/>
      <c r="X863" s="1"/>
      <c r="Y863" s="1"/>
      <c r="Z863" s="1"/>
    </row>
    <row r="864" spans="17:26">
      <c r="Q864" s="23"/>
      <c r="R864" s="1"/>
      <c r="S864" s="1"/>
      <c r="T864" s="1"/>
      <c r="U864" s="1"/>
      <c r="V864" s="1"/>
      <c r="W864" s="1"/>
      <c r="X864" s="1"/>
      <c r="Y864" s="1"/>
      <c r="Z864" s="1"/>
    </row>
    <row r="865" spans="17:26">
      <c r="Q865" s="23"/>
      <c r="R865" s="1"/>
      <c r="S865" s="1"/>
      <c r="T865" s="1"/>
      <c r="U865" s="1"/>
      <c r="V865" s="1"/>
      <c r="W865" s="1"/>
      <c r="X865" s="1"/>
      <c r="Y865" s="1"/>
      <c r="Z865" s="1"/>
    </row>
    <row r="866" spans="17:26">
      <c r="Q866" s="23"/>
      <c r="R866" s="1"/>
      <c r="S866" s="1"/>
      <c r="T866" s="1"/>
      <c r="U866" s="1"/>
      <c r="V866" s="1"/>
      <c r="W866" s="1"/>
      <c r="X866" s="1"/>
      <c r="Y866" s="1"/>
      <c r="Z866" s="1"/>
    </row>
    <row r="867" spans="17:26">
      <c r="Q867" s="23"/>
      <c r="R867" s="1"/>
      <c r="S867" s="1"/>
      <c r="T867" s="1"/>
      <c r="U867" s="1"/>
      <c r="V867" s="1"/>
      <c r="W867" s="1"/>
      <c r="X867" s="1"/>
      <c r="Y867" s="1"/>
      <c r="Z867" s="1"/>
    </row>
    <row r="868" spans="17:26">
      <c r="Q868" s="23"/>
      <c r="R868" s="1"/>
      <c r="S868" s="1"/>
      <c r="T868" s="1"/>
      <c r="U868" s="1"/>
      <c r="V868" s="1"/>
      <c r="W868" s="1"/>
      <c r="X868" s="1"/>
      <c r="Y868" s="1"/>
      <c r="Z868" s="1"/>
    </row>
    <row r="869" spans="17:26">
      <c r="Q869" s="23"/>
      <c r="R869" s="1"/>
      <c r="S869" s="1"/>
      <c r="T869" s="1"/>
      <c r="U869" s="1"/>
      <c r="V869" s="1"/>
      <c r="W869" s="1"/>
      <c r="X869" s="1"/>
      <c r="Y869" s="1"/>
      <c r="Z869" s="1"/>
    </row>
    <row r="870" spans="17:26">
      <c r="Q870" s="23"/>
      <c r="R870" s="1"/>
      <c r="S870" s="1"/>
      <c r="T870" s="1"/>
      <c r="U870" s="1"/>
      <c r="V870" s="1"/>
      <c r="W870" s="1"/>
      <c r="X870" s="1"/>
      <c r="Y870" s="1"/>
      <c r="Z870" s="1"/>
    </row>
    <row r="871" spans="17:26">
      <c r="Q871" s="23"/>
      <c r="R871" s="1"/>
      <c r="S871" s="1"/>
      <c r="T871" s="1"/>
      <c r="U871" s="1"/>
      <c r="V871" s="1"/>
      <c r="W871" s="1"/>
      <c r="X871" s="1"/>
      <c r="Y871" s="1"/>
      <c r="Z871" s="1"/>
    </row>
    <row r="872" spans="17:26">
      <c r="Q872" s="23"/>
      <c r="R872" s="1"/>
      <c r="S872" s="1"/>
      <c r="T872" s="1"/>
      <c r="U872" s="1"/>
      <c r="V872" s="1"/>
      <c r="W872" s="1"/>
      <c r="X872" s="1"/>
      <c r="Y872" s="1"/>
      <c r="Z872" s="1"/>
    </row>
    <row r="873" spans="17:26">
      <c r="Q873" s="23"/>
      <c r="R873" s="1"/>
      <c r="S873" s="1"/>
      <c r="T873" s="1"/>
      <c r="U873" s="1"/>
      <c r="V873" s="1"/>
      <c r="W873" s="1"/>
      <c r="X873" s="1"/>
      <c r="Y873" s="1"/>
      <c r="Z873" s="1"/>
    </row>
    <row r="874" spans="17:26">
      <c r="Q874" s="23"/>
      <c r="R874" s="1"/>
      <c r="S874" s="1"/>
      <c r="T874" s="1"/>
      <c r="U874" s="1"/>
      <c r="V874" s="1"/>
      <c r="W874" s="1"/>
      <c r="X874" s="1"/>
      <c r="Y874" s="1"/>
      <c r="Z874" s="1"/>
    </row>
    <row r="875" spans="17:26">
      <c r="Q875" s="23"/>
      <c r="R875" s="1"/>
      <c r="S875" s="1"/>
      <c r="T875" s="1"/>
      <c r="U875" s="1"/>
      <c r="V875" s="1"/>
      <c r="W875" s="1"/>
      <c r="X875" s="1"/>
      <c r="Y875" s="1"/>
      <c r="Z875" s="1"/>
    </row>
    <row r="876" spans="17:26">
      <c r="Q876" s="23"/>
      <c r="R876" s="1"/>
      <c r="S876" s="1"/>
      <c r="T876" s="1"/>
      <c r="U876" s="1"/>
      <c r="V876" s="1"/>
      <c r="W876" s="1"/>
      <c r="X876" s="1"/>
      <c r="Y876" s="1"/>
      <c r="Z876" s="1"/>
    </row>
    <row r="877" spans="17:26">
      <c r="Q877" s="23"/>
      <c r="R877" s="1"/>
      <c r="S877" s="1"/>
      <c r="T877" s="1"/>
      <c r="U877" s="1"/>
      <c r="V877" s="1"/>
      <c r="W877" s="1"/>
      <c r="X877" s="1"/>
      <c r="Y877" s="1"/>
      <c r="Z877" s="1"/>
    </row>
    <row r="878" spans="17:26">
      <c r="Q878" s="23"/>
      <c r="R878" s="1"/>
      <c r="S878" s="1"/>
      <c r="T878" s="1"/>
      <c r="U878" s="1"/>
      <c r="V878" s="1"/>
      <c r="W878" s="1"/>
      <c r="X878" s="1"/>
      <c r="Y878" s="1"/>
      <c r="Z878" s="1"/>
    </row>
    <row r="879" spans="17:26">
      <c r="Q879" s="23"/>
      <c r="R879" s="1"/>
      <c r="S879" s="1"/>
      <c r="T879" s="1"/>
      <c r="U879" s="1"/>
      <c r="V879" s="1"/>
      <c r="W879" s="1"/>
      <c r="X879" s="1"/>
      <c r="Y879" s="1"/>
      <c r="Z879" s="1"/>
    </row>
    <row r="880" spans="17:26">
      <c r="Q880" s="23"/>
      <c r="R880" s="1"/>
      <c r="S880" s="1"/>
      <c r="T880" s="1"/>
      <c r="U880" s="1"/>
      <c r="V880" s="1"/>
      <c r="W880" s="1"/>
      <c r="X880" s="1"/>
      <c r="Y880" s="1"/>
      <c r="Z880" s="1"/>
    </row>
    <row r="881" spans="17:26">
      <c r="Q881" s="23"/>
      <c r="R881" s="1"/>
      <c r="S881" s="1"/>
      <c r="T881" s="1"/>
      <c r="U881" s="1"/>
      <c r="V881" s="1"/>
      <c r="W881" s="1"/>
      <c r="X881" s="1"/>
      <c r="Y881" s="1"/>
      <c r="Z881" s="1"/>
    </row>
    <row r="882" spans="17:26">
      <c r="Q882" s="23"/>
      <c r="R882" s="1"/>
      <c r="S882" s="1"/>
      <c r="T882" s="1"/>
      <c r="U882" s="1"/>
      <c r="V882" s="1"/>
      <c r="W882" s="1"/>
      <c r="X882" s="1"/>
      <c r="Y882" s="1"/>
      <c r="Z882" s="1"/>
    </row>
    <row r="883" spans="17:26">
      <c r="Q883" s="23"/>
      <c r="R883" s="1"/>
      <c r="S883" s="1"/>
      <c r="T883" s="1"/>
      <c r="U883" s="1"/>
      <c r="V883" s="1"/>
      <c r="W883" s="1"/>
      <c r="X883" s="1"/>
      <c r="Y883" s="1"/>
      <c r="Z883" s="1"/>
    </row>
    <row r="884" spans="17:26">
      <c r="Q884" s="23"/>
      <c r="R884" s="1"/>
      <c r="S884" s="1"/>
      <c r="T884" s="1"/>
      <c r="U884" s="1"/>
      <c r="V884" s="1"/>
      <c r="W884" s="1"/>
      <c r="X884" s="1"/>
      <c r="Y884" s="1"/>
      <c r="Z884" s="1"/>
    </row>
    <row r="885" spans="17:26">
      <c r="Q885" s="23"/>
      <c r="R885" s="1"/>
      <c r="S885" s="1"/>
      <c r="T885" s="1"/>
      <c r="U885" s="1"/>
      <c r="V885" s="1"/>
      <c r="W885" s="1"/>
      <c r="X885" s="1"/>
      <c r="Y885" s="1"/>
      <c r="Z885" s="1"/>
    </row>
    <row r="886" spans="17:26">
      <c r="Q886" s="23"/>
      <c r="R886" s="1"/>
      <c r="S886" s="1"/>
      <c r="T886" s="1"/>
      <c r="U886" s="1"/>
      <c r="V886" s="1"/>
      <c r="W886" s="1"/>
      <c r="X886" s="1"/>
      <c r="Y886" s="1"/>
      <c r="Z886" s="1"/>
    </row>
    <row r="887" spans="17:26">
      <c r="Q887" s="23"/>
      <c r="R887" s="1"/>
      <c r="S887" s="1"/>
      <c r="T887" s="1"/>
      <c r="U887" s="1"/>
      <c r="V887" s="1"/>
      <c r="W887" s="1"/>
      <c r="X887" s="1"/>
      <c r="Y887" s="1"/>
      <c r="Z887" s="1"/>
    </row>
    <row r="888" spans="17:26">
      <c r="Q888" s="23"/>
      <c r="R888" s="1"/>
      <c r="S888" s="1"/>
      <c r="T888" s="1"/>
      <c r="U888" s="1"/>
      <c r="V888" s="1"/>
      <c r="W888" s="1"/>
      <c r="X888" s="1"/>
      <c r="Y888" s="1"/>
      <c r="Z888" s="1"/>
    </row>
    <row r="889" spans="17:26">
      <c r="Q889" s="23"/>
      <c r="R889" s="1"/>
      <c r="S889" s="1"/>
      <c r="T889" s="1"/>
      <c r="U889" s="1"/>
      <c r="V889" s="1"/>
      <c r="W889" s="1"/>
      <c r="X889" s="1"/>
      <c r="Y889" s="1"/>
      <c r="Z889" s="1"/>
    </row>
    <row r="890" spans="17:26">
      <c r="Q890" s="23"/>
      <c r="R890" s="1"/>
      <c r="S890" s="1"/>
      <c r="T890" s="1"/>
      <c r="U890" s="1"/>
      <c r="V890" s="1"/>
      <c r="W890" s="1"/>
      <c r="X890" s="1"/>
      <c r="Y890" s="1"/>
      <c r="Z890" s="1"/>
    </row>
    <row r="891" spans="17:26">
      <c r="Q891" s="23"/>
      <c r="R891" s="1"/>
      <c r="S891" s="1"/>
      <c r="T891" s="1"/>
      <c r="U891" s="1"/>
      <c r="V891" s="1"/>
      <c r="W891" s="1"/>
      <c r="X891" s="1"/>
      <c r="Y891" s="1"/>
      <c r="Z891" s="1"/>
    </row>
    <row r="892" spans="17:26">
      <c r="Q892" s="23"/>
      <c r="R892" s="1"/>
      <c r="S892" s="1"/>
      <c r="T892" s="1"/>
      <c r="U892" s="1"/>
      <c r="V892" s="1"/>
      <c r="W892" s="1"/>
      <c r="X892" s="1"/>
      <c r="Y892" s="1"/>
      <c r="Z892" s="1"/>
    </row>
    <row r="893" spans="17:26">
      <c r="Q893" s="23"/>
      <c r="R893" s="1"/>
      <c r="S893" s="1"/>
      <c r="T893" s="1"/>
      <c r="U893" s="1"/>
      <c r="V893" s="1"/>
      <c r="W893" s="1"/>
      <c r="X893" s="1"/>
      <c r="Y893" s="1"/>
      <c r="Z893" s="1"/>
    </row>
    <row r="894" spans="17:26">
      <c r="Q894" s="23"/>
      <c r="R894" s="1"/>
      <c r="S894" s="1"/>
      <c r="T894" s="1"/>
      <c r="U894" s="1"/>
      <c r="V894" s="1"/>
      <c r="W894" s="1"/>
      <c r="X894" s="1"/>
      <c r="Y894" s="1"/>
      <c r="Z894" s="1"/>
    </row>
    <row r="895" spans="17:26">
      <c r="Q895" s="23"/>
      <c r="R895" s="1"/>
      <c r="S895" s="1"/>
      <c r="T895" s="1"/>
      <c r="U895" s="1"/>
      <c r="V895" s="1"/>
      <c r="W895" s="1"/>
      <c r="X895" s="1"/>
      <c r="Y895" s="1"/>
      <c r="Z895" s="1"/>
    </row>
    <row r="896" spans="17:26">
      <c r="Q896" s="23"/>
      <c r="R896" s="1"/>
      <c r="S896" s="1"/>
      <c r="T896" s="1"/>
      <c r="U896" s="1"/>
      <c r="V896" s="1"/>
      <c r="W896" s="1"/>
      <c r="X896" s="1"/>
      <c r="Y896" s="1"/>
      <c r="Z896" s="1"/>
    </row>
    <row r="897" spans="17:26">
      <c r="Q897" s="23"/>
      <c r="R897" s="1"/>
      <c r="S897" s="1"/>
      <c r="T897" s="1"/>
      <c r="U897" s="1"/>
      <c r="V897" s="1"/>
      <c r="W897" s="1"/>
      <c r="X897" s="1"/>
      <c r="Y897" s="1"/>
      <c r="Z897" s="1"/>
    </row>
    <row r="898" spans="17:26">
      <c r="Q898" s="23"/>
      <c r="R898" s="1"/>
      <c r="S898" s="1"/>
      <c r="T898" s="1"/>
      <c r="U898" s="1"/>
      <c r="V898" s="1"/>
      <c r="W898" s="1"/>
      <c r="X898" s="1"/>
      <c r="Y898" s="1"/>
      <c r="Z898" s="1"/>
    </row>
    <row r="899" spans="17:26">
      <c r="Q899" s="23"/>
      <c r="R899" s="1"/>
      <c r="S899" s="1"/>
      <c r="T899" s="1"/>
      <c r="U899" s="1"/>
      <c r="V899" s="1"/>
      <c r="W899" s="1"/>
      <c r="X899" s="1"/>
      <c r="Y899" s="1"/>
      <c r="Z899" s="1"/>
    </row>
    <row r="900" spans="17:26">
      <c r="Q900" s="23"/>
      <c r="R900" s="1"/>
      <c r="S900" s="1"/>
      <c r="T900" s="1"/>
      <c r="U900" s="1"/>
      <c r="V900" s="1"/>
      <c r="W900" s="1"/>
      <c r="X900" s="1"/>
      <c r="Y900" s="1"/>
      <c r="Z900" s="1"/>
    </row>
    <row r="901" spans="17:26">
      <c r="Q901" s="23"/>
      <c r="R901" s="1"/>
      <c r="S901" s="1"/>
      <c r="T901" s="1"/>
      <c r="U901" s="1"/>
      <c r="V901" s="1"/>
      <c r="W901" s="1"/>
      <c r="X901" s="1"/>
      <c r="Y901" s="1"/>
      <c r="Z901" s="1"/>
    </row>
    <row r="902" spans="17:26">
      <c r="Q902" s="23"/>
      <c r="R902" s="1"/>
      <c r="S902" s="1"/>
      <c r="T902" s="1"/>
      <c r="U902" s="1"/>
      <c r="V902" s="1"/>
      <c r="W902" s="1"/>
      <c r="X902" s="1"/>
      <c r="Y902" s="1"/>
      <c r="Z902" s="1"/>
    </row>
    <row r="903" spans="17:26">
      <c r="Q903" s="23"/>
      <c r="R903" s="1"/>
      <c r="S903" s="1"/>
      <c r="T903" s="1"/>
      <c r="U903" s="1"/>
      <c r="V903" s="1"/>
      <c r="W903" s="1"/>
      <c r="X903" s="1"/>
      <c r="Y903" s="1"/>
      <c r="Z903" s="1"/>
    </row>
    <row r="904" spans="17:26">
      <c r="Q904" s="23"/>
      <c r="R904" s="1"/>
      <c r="S904" s="1"/>
      <c r="T904" s="1"/>
      <c r="U904" s="1"/>
      <c r="V904" s="1"/>
      <c r="W904" s="1"/>
      <c r="X904" s="1"/>
      <c r="Y904" s="1"/>
      <c r="Z904" s="1"/>
    </row>
    <row r="905" spans="17:26">
      <c r="Q905" s="23"/>
      <c r="R905" s="1"/>
      <c r="S905" s="1"/>
      <c r="T905" s="1"/>
      <c r="U905" s="1"/>
      <c r="V905" s="1"/>
      <c r="W905" s="1"/>
      <c r="X905" s="1"/>
      <c r="Y905" s="1"/>
      <c r="Z905" s="1"/>
    </row>
    <row r="906" spans="17:26">
      <c r="Q906" s="23"/>
      <c r="R906" s="1"/>
      <c r="S906" s="1"/>
      <c r="T906" s="1"/>
      <c r="U906" s="1"/>
      <c r="V906" s="1"/>
      <c r="W906" s="1"/>
      <c r="X906" s="1"/>
      <c r="Y906" s="1"/>
      <c r="Z906" s="1"/>
    </row>
    <row r="907" spans="17:26">
      <c r="Q907" s="23"/>
      <c r="R907" s="1"/>
      <c r="S907" s="1"/>
      <c r="T907" s="1"/>
      <c r="U907" s="1"/>
      <c r="V907" s="1"/>
      <c r="W907" s="1"/>
      <c r="X907" s="1"/>
      <c r="Y907" s="1"/>
      <c r="Z907" s="1"/>
    </row>
    <row r="908" spans="17:26">
      <c r="Q908" s="23"/>
      <c r="R908" s="1"/>
      <c r="S908" s="1"/>
      <c r="T908" s="1"/>
      <c r="U908" s="1"/>
      <c r="V908" s="1"/>
      <c r="W908" s="1"/>
      <c r="X908" s="1"/>
      <c r="Y908" s="1"/>
      <c r="Z908" s="1"/>
    </row>
    <row r="909" spans="17:26">
      <c r="Q909" s="23"/>
      <c r="R909" s="1"/>
      <c r="S909" s="1"/>
      <c r="T909" s="1"/>
      <c r="U909" s="1"/>
      <c r="V909" s="1"/>
      <c r="W909" s="1"/>
      <c r="X909" s="1"/>
      <c r="Y909" s="1"/>
      <c r="Z909" s="1"/>
    </row>
    <row r="910" spans="17:26">
      <c r="Q910" s="23"/>
      <c r="R910" s="1"/>
      <c r="S910" s="1"/>
      <c r="T910" s="1"/>
      <c r="U910" s="1"/>
      <c r="V910" s="1"/>
      <c r="W910" s="1"/>
      <c r="X910" s="1"/>
      <c r="Y910" s="1"/>
      <c r="Z910" s="1"/>
    </row>
    <row r="911" spans="17:26">
      <c r="Q911" s="23"/>
      <c r="R911" s="1"/>
      <c r="S911" s="1"/>
      <c r="T911" s="1"/>
      <c r="U911" s="1"/>
      <c r="V911" s="1"/>
      <c r="W911" s="1"/>
      <c r="X911" s="1"/>
      <c r="Y911" s="1"/>
      <c r="Z911" s="1"/>
    </row>
    <row r="912" spans="17:26">
      <c r="Q912" s="23"/>
      <c r="R912" s="1"/>
      <c r="S912" s="1"/>
      <c r="T912" s="1"/>
      <c r="U912" s="1"/>
      <c r="V912" s="1"/>
      <c r="W912" s="1"/>
      <c r="X912" s="1"/>
      <c r="Y912" s="1"/>
      <c r="Z912" s="1"/>
    </row>
    <row r="913" spans="17:26">
      <c r="Q913" s="23"/>
      <c r="R913" s="1"/>
      <c r="S913" s="1"/>
      <c r="T913" s="1"/>
      <c r="U913" s="1"/>
      <c r="V913" s="1"/>
      <c r="W913" s="1"/>
      <c r="X913" s="1"/>
      <c r="Y913" s="1"/>
      <c r="Z913" s="1"/>
    </row>
    <row r="914" spans="17:26">
      <c r="Q914" s="23"/>
      <c r="R914" s="1"/>
      <c r="S914" s="1"/>
      <c r="T914" s="1"/>
      <c r="U914" s="1"/>
      <c r="V914" s="1"/>
      <c r="W914" s="1"/>
      <c r="X914" s="1"/>
      <c r="Y914" s="1"/>
      <c r="Z914" s="1"/>
    </row>
    <row r="915" spans="17:26">
      <c r="Q915" s="23"/>
      <c r="R915" s="1"/>
      <c r="S915" s="1"/>
      <c r="T915" s="1"/>
      <c r="U915" s="1"/>
      <c r="V915" s="1"/>
      <c r="W915" s="1"/>
      <c r="X915" s="1"/>
      <c r="Y915" s="1"/>
      <c r="Z915" s="1"/>
    </row>
    <row r="916" spans="17:26">
      <c r="Q916" s="23"/>
      <c r="R916" s="1"/>
      <c r="S916" s="1"/>
      <c r="T916" s="1"/>
      <c r="U916" s="1"/>
      <c r="V916" s="1"/>
      <c r="W916" s="1"/>
      <c r="X916" s="1"/>
      <c r="Y916" s="1"/>
      <c r="Z916" s="1"/>
    </row>
    <row r="917" spans="17:26">
      <c r="Q917" s="23"/>
      <c r="R917" s="1"/>
      <c r="S917" s="1"/>
      <c r="T917" s="1"/>
      <c r="U917" s="1"/>
      <c r="V917" s="1"/>
      <c r="W917" s="1"/>
      <c r="X917" s="1"/>
      <c r="Y917" s="1"/>
      <c r="Z917" s="1"/>
    </row>
    <row r="918" spans="17:26">
      <c r="Q918" s="23"/>
      <c r="R918" s="1"/>
      <c r="S918" s="1"/>
      <c r="T918" s="1"/>
      <c r="U918" s="1"/>
      <c r="V918" s="1"/>
      <c r="W918" s="1"/>
      <c r="X918" s="1"/>
      <c r="Y918" s="1"/>
      <c r="Z918" s="1"/>
    </row>
    <row r="919" spans="17:26">
      <c r="Q919" s="23"/>
      <c r="R919" s="1"/>
      <c r="S919" s="1"/>
      <c r="T919" s="1"/>
      <c r="U919" s="1"/>
      <c r="V919" s="1"/>
      <c r="W919" s="1"/>
      <c r="X919" s="1"/>
      <c r="Y919" s="1"/>
      <c r="Z919" s="1"/>
    </row>
    <row r="920" spans="17:26">
      <c r="Q920" s="23"/>
      <c r="R920" s="1"/>
      <c r="S920" s="1"/>
      <c r="T920" s="1"/>
      <c r="U920" s="1"/>
      <c r="V920" s="1"/>
      <c r="W920" s="1"/>
      <c r="X920" s="1"/>
      <c r="Y920" s="1"/>
      <c r="Z920" s="1"/>
    </row>
    <row r="921" spans="17:26">
      <c r="Q921" s="23"/>
      <c r="R921" s="1"/>
      <c r="S921" s="1"/>
      <c r="T921" s="1"/>
      <c r="U921" s="1"/>
      <c r="V921" s="1"/>
      <c r="W921" s="1"/>
      <c r="X921" s="1"/>
      <c r="Y921" s="1"/>
      <c r="Z921" s="1"/>
    </row>
    <row r="922" spans="17:26">
      <c r="Q922" s="23"/>
      <c r="R922" s="1"/>
      <c r="S922" s="1"/>
      <c r="T922" s="1"/>
      <c r="U922" s="1"/>
      <c r="V922" s="1"/>
      <c r="W922" s="1"/>
      <c r="X922" s="1"/>
      <c r="Y922" s="1"/>
      <c r="Z922" s="1"/>
    </row>
    <row r="923" spans="17:26">
      <c r="Q923" s="23"/>
      <c r="R923" s="1"/>
      <c r="S923" s="1"/>
      <c r="T923" s="1"/>
      <c r="U923" s="1"/>
      <c r="V923" s="1"/>
      <c r="W923" s="1"/>
      <c r="X923" s="1"/>
      <c r="Y923" s="1"/>
      <c r="Z923" s="1"/>
    </row>
    <row r="924" spans="17:26">
      <c r="Q924" s="23"/>
      <c r="R924" s="1"/>
      <c r="S924" s="1"/>
      <c r="T924" s="1"/>
      <c r="U924" s="1"/>
      <c r="V924" s="1"/>
      <c r="W924" s="1"/>
      <c r="X924" s="1"/>
      <c r="Y924" s="1"/>
      <c r="Z924" s="1"/>
    </row>
    <row r="925" spans="17:26">
      <c r="Q925" s="1"/>
      <c r="R925" s="1"/>
      <c r="S925" s="1"/>
      <c r="T925" s="1"/>
      <c r="U925" s="1"/>
      <c r="V925" s="1"/>
      <c r="W925" s="1"/>
      <c r="X925" s="1"/>
      <c r="Y925" s="1"/>
      <c r="Z925" s="1"/>
    </row>
    <row r="926" spans="17:26">
      <c r="Q926" s="1"/>
      <c r="R926" s="1"/>
      <c r="S926" s="1"/>
      <c r="T926" s="1"/>
      <c r="U926" s="1"/>
      <c r="V926" s="1"/>
      <c r="W926" s="1"/>
      <c r="X926" s="1"/>
      <c r="Y926" s="1"/>
      <c r="Z926" s="1"/>
    </row>
    <row r="927" spans="17:26">
      <c r="Q927" s="1"/>
      <c r="R927" s="1"/>
      <c r="S927" s="1"/>
      <c r="T927" s="1"/>
      <c r="U927" s="1"/>
      <c r="V927" s="1"/>
      <c r="W927" s="1"/>
      <c r="X927" s="1"/>
      <c r="Y927" s="1"/>
      <c r="Z927" s="1"/>
    </row>
    <row r="928" spans="17:26">
      <c r="Q928" s="1"/>
      <c r="R928" s="1"/>
      <c r="S928" s="1"/>
      <c r="T928" s="1"/>
      <c r="U928" s="1"/>
      <c r="V928" s="1"/>
      <c r="W928" s="1"/>
      <c r="X928" s="1"/>
      <c r="Y928" s="1"/>
      <c r="Z928" s="1"/>
    </row>
    <row r="929" spans="17:26">
      <c r="Q929" s="1"/>
      <c r="R929" s="1"/>
      <c r="S929" s="1"/>
      <c r="T929" s="1"/>
      <c r="U929" s="1"/>
      <c r="V929" s="1"/>
      <c r="W929" s="1"/>
      <c r="X929" s="1"/>
      <c r="Y929" s="1"/>
      <c r="Z929" s="1"/>
    </row>
    <row r="930" spans="17:26">
      <c r="Q930" s="1"/>
      <c r="R930" s="1"/>
      <c r="S930" s="1"/>
      <c r="T930" s="1"/>
      <c r="U930" s="1"/>
      <c r="V930" s="1"/>
      <c r="W930" s="1"/>
      <c r="X930" s="1"/>
      <c r="Y930" s="1"/>
      <c r="Z930" s="1"/>
    </row>
    <row r="931" spans="17:26">
      <c r="Q931" s="1"/>
      <c r="R931" s="1"/>
      <c r="S931" s="1"/>
      <c r="T931" s="1"/>
      <c r="U931" s="1"/>
      <c r="V931" s="1"/>
      <c r="W931" s="1"/>
      <c r="X931" s="1"/>
      <c r="Y931" s="1"/>
      <c r="Z931" s="1"/>
    </row>
    <row r="932" spans="17:26">
      <c r="Q932" s="1"/>
      <c r="R932" s="1"/>
      <c r="S932" s="1"/>
      <c r="T932" s="1"/>
      <c r="U932" s="1"/>
      <c r="V932" s="1"/>
      <c r="W932" s="1"/>
      <c r="X932" s="1"/>
      <c r="Y932" s="1"/>
      <c r="Z932" s="1"/>
    </row>
    <row r="933" spans="17:26">
      <c r="Q933" s="1"/>
      <c r="R933" s="1"/>
      <c r="S933" s="1"/>
      <c r="T933" s="1"/>
      <c r="U933" s="1"/>
      <c r="V933" s="1"/>
      <c r="W933" s="1"/>
      <c r="X933" s="1"/>
      <c r="Y933" s="1"/>
      <c r="Z933" s="1"/>
    </row>
  </sheetData>
  <mergeCells count="540">
    <mergeCell ref="T542:T543"/>
    <mergeCell ref="U542:U543"/>
    <mergeCell ref="R547:W547"/>
    <mergeCell ref="R548:S551"/>
    <mergeCell ref="T548:T549"/>
    <mergeCell ref="U548:U549"/>
    <mergeCell ref="V548:V549"/>
    <mergeCell ref="W548:W549"/>
    <mergeCell ref="W528:W530"/>
    <mergeCell ref="V542:V543"/>
    <mergeCell ref="R534:W534"/>
    <mergeCell ref="R535:S538"/>
    <mergeCell ref="T535:T536"/>
    <mergeCell ref="U535:U536"/>
    <mergeCell ref="V535:V536"/>
    <mergeCell ref="W535:W536"/>
    <mergeCell ref="W542:W543"/>
    <mergeCell ref="R542:S545"/>
    <mergeCell ref="R528:S532"/>
    <mergeCell ref="T528:T530"/>
    <mergeCell ref="U528:U530"/>
    <mergeCell ref="V528:V530"/>
    <mergeCell ref="T513:T514"/>
    <mergeCell ref="U513:U514"/>
    <mergeCell ref="R525:W525"/>
    <mergeCell ref="R526:W526"/>
    <mergeCell ref="R518:W518"/>
    <mergeCell ref="R519:S522"/>
    <mergeCell ref="T519:T520"/>
    <mergeCell ref="U519:U520"/>
    <mergeCell ref="V519:V520"/>
    <mergeCell ref="W519:W520"/>
    <mergeCell ref="W499:W501"/>
    <mergeCell ref="V513:V514"/>
    <mergeCell ref="R505:W505"/>
    <mergeCell ref="R506:S509"/>
    <mergeCell ref="T506:T507"/>
    <mergeCell ref="U506:U507"/>
    <mergeCell ref="V506:V507"/>
    <mergeCell ref="W506:W507"/>
    <mergeCell ref="W513:W514"/>
    <mergeCell ref="R513:S516"/>
    <mergeCell ref="R499:S503"/>
    <mergeCell ref="T499:T501"/>
    <mergeCell ref="U499:U501"/>
    <mergeCell ref="V499:V501"/>
    <mergeCell ref="T484:T485"/>
    <mergeCell ref="U484:U485"/>
    <mergeCell ref="R496:W496"/>
    <mergeCell ref="R497:W497"/>
    <mergeCell ref="R489:W489"/>
    <mergeCell ref="R490:S493"/>
    <mergeCell ref="T490:T491"/>
    <mergeCell ref="U490:U491"/>
    <mergeCell ref="V490:V491"/>
    <mergeCell ref="W490:W491"/>
    <mergeCell ref="W470:W472"/>
    <mergeCell ref="V484:V485"/>
    <mergeCell ref="R476:W476"/>
    <mergeCell ref="R477:S480"/>
    <mergeCell ref="T477:T478"/>
    <mergeCell ref="U477:U478"/>
    <mergeCell ref="V477:V478"/>
    <mergeCell ref="W477:W478"/>
    <mergeCell ref="W484:W485"/>
    <mergeCell ref="R484:S487"/>
    <mergeCell ref="R470:S474"/>
    <mergeCell ref="T470:T472"/>
    <mergeCell ref="U470:U472"/>
    <mergeCell ref="V470:V472"/>
    <mergeCell ref="T455:T456"/>
    <mergeCell ref="U455:U456"/>
    <mergeCell ref="R467:W467"/>
    <mergeCell ref="R468:W468"/>
    <mergeCell ref="R460:W460"/>
    <mergeCell ref="R461:S464"/>
    <mergeCell ref="T461:T462"/>
    <mergeCell ref="U461:U462"/>
    <mergeCell ref="V461:V462"/>
    <mergeCell ref="W461:W462"/>
    <mergeCell ref="W441:W443"/>
    <mergeCell ref="V455:V456"/>
    <mergeCell ref="R447:W447"/>
    <mergeCell ref="R448:S451"/>
    <mergeCell ref="T448:T449"/>
    <mergeCell ref="U448:U449"/>
    <mergeCell ref="V448:V449"/>
    <mergeCell ref="W448:W449"/>
    <mergeCell ref="W455:W456"/>
    <mergeCell ref="R455:S458"/>
    <mergeCell ref="R441:S445"/>
    <mergeCell ref="T441:T443"/>
    <mergeCell ref="U441:U443"/>
    <mergeCell ref="V441:V443"/>
    <mergeCell ref="U423:U424"/>
    <mergeCell ref="R435:W437"/>
    <mergeCell ref="R438:W438"/>
    <mergeCell ref="R439:W439"/>
    <mergeCell ref="R428:W428"/>
    <mergeCell ref="R429:S432"/>
    <mergeCell ref="T429:T430"/>
    <mergeCell ref="U429:U430"/>
    <mergeCell ref="V429:V430"/>
    <mergeCell ref="W429:W430"/>
    <mergeCell ref="V423:V424"/>
    <mergeCell ref="R415:W415"/>
    <mergeCell ref="R416:S419"/>
    <mergeCell ref="T416:T417"/>
    <mergeCell ref="U416:U417"/>
    <mergeCell ref="V416:V417"/>
    <mergeCell ref="W416:W417"/>
    <mergeCell ref="W423:W424"/>
    <mergeCell ref="R423:S426"/>
    <mergeCell ref="T423:T424"/>
    <mergeCell ref="U394:U395"/>
    <mergeCell ref="R406:W406"/>
    <mergeCell ref="R407:W407"/>
    <mergeCell ref="R409:S413"/>
    <mergeCell ref="T409:T411"/>
    <mergeCell ref="U409:U411"/>
    <mergeCell ref="V409:V411"/>
    <mergeCell ref="W409:W411"/>
    <mergeCell ref="R399:W399"/>
    <mergeCell ref="R400:S403"/>
    <mergeCell ref="T400:T401"/>
    <mergeCell ref="U400:U401"/>
    <mergeCell ref="V400:V401"/>
    <mergeCell ref="W400:W401"/>
    <mergeCell ref="V394:V395"/>
    <mergeCell ref="R386:W386"/>
    <mergeCell ref="R387:S390"/>
    <mergeCell ref="T387:T388"/>
    <mergeCell ref="U387:U388"/>
    <mergeCell ref="V387:V388"/>
    <mergeCell ref="W387:W388"/>
    <mergeCell ref="W394:W395"/>
    <mergeCell ref="R394:S397"/>
    <mergeCell ref="T394:T395"/>
    <mergeCell ref="U365:U366"/>
    <mergeCell ref="R377:W377"/>
    <mergeCell ref="R378:W378"/>
    <mergeCell ref="R380:S384"/>
    <mergeCell ref="T380:T382"/>
    <mergeCell ref="U380:U382"/>
    <mergeCell ref="V380:V382"/>
    <mergeCell ref="W380:W382"/>
    <mergeCell ref="R370:W370"/>
    <mergeCell ref="R371:S374"/>
    <mergeCell ref="T371:T372"/>
    <mergeCell ref="U371:U372"/>
    <mergeCell ref="V371:V372"/>
    <mergeCell ref="W371:W372"/>
    <mergeCell ref="V365:V366"/>
    <mergeCell ref="R357:W357"/>
    <mergeCell ref="R358:S361"/>
    <mergeCell ref="T358:T359"/>
    <mergeCell ref="U358:U359"/>
    <mergeCell ref="V358:V359"/>
    <mergeCell ref="W358:W359"/>
    <mergeCell ref="W365:W366"/>
    <mergeCell ref="R365:S368"/>
    <mergeCell ref="T365:T366"/>
    <mergeCell ref="U336:U337"/>
    <mergeCell ref="R348:W348"/>
    <mergeCell ref="R349:W349"/>
    <mergeCell ref="R351:S355"/>
    <mergeCell ref="T351:T353"/>
    <mergeCell ref="U351:U353"/>
    <mergeCell ref="V351:V353"/>
    <mergeCell ref="W351:W353"/>
    <mergeCell ref="R341:W341"/>
    <mergeCell ref="R342:S345"/>
    <mergeCell ref="T342:T343"/>
    <mergeCell ref="U342:U343"/>
    <mergeCell ref="V342:V343"/>
    <mergeCell ref="W342:W343"/>
    <mergeCell ref="V336:V337"/>
    <mergeCell ref="R328:W328"/>
    <mergeCell ref="R329:S332"/>
    <mergeCell ref="T329:T330"/>
    <mergeCell ref="U329:U330"/>
    <mergeCell ref="V329:V330"/>
    <mergeCell ref="W329:W330"/>
    <mergeCell ref="W336:W337"/>
    <mergeCell ref="R336:S339"/>
    <mergeCell ref="T336:T337"/>
    <mergeCell ref="R316:W318"/>
    <mergeCell ref="R319:W319"/>
    <mergeCell ref="R320:W320"/>
    <mergeCell ref="R322:S326"/>
    <mergeCell ref="T322:T324"/>
    <mergeCell ref="U322:U324"/>
    <mergeCell ref="V322:V324"/>
    <mergeCell ref="W322:W324"/>
    <mergeCell ref="T302:U302"/>
    <mergeCell ref="R305:V305"/>
    <mergeCell ref="R306:R307"/>
    <mergeCell ref="S306:S307"/>
    <mergeCell ref="T306:T307"/>
    <mergeCell ref="U306:U307"/>
    <mergeCell ref="V306:V307"/>
    <mergeCell ref="R297:U297"/>
    <mergeCell ref="R298:U298"/>
    <mergeCell ref="R299:U299"/>
    <mergeCell ref="T301:U301"/>
    <mergeCell ref="R293:U293"/>
    <mergeCell ref="R294:U294"/>
    <mergeCell ref="R295:U295"/>
    <mergeCell ref="R296:U296"/>
    <mergeCell ref="R289:U289"/>
    <mergeCell ref="R290:U290"/>
    <mergeCell ref="R291:U291"/>
    <mergeCell ref="R292:U292"/>
    <mergeCell ref="W286:W287"/>
    <mergeCell ref="X286:X287"/>
    <mergeCell ref="Y286:Y287"/>
    <mergeCell ref="R288:U288"/>
    <mergeCell ref="S282:T282"/>
    <mergeCell ref="S283:T283"/>
    <mergeCell ref="R286:U287"/>
    <mergeCell ref="V286:V287"/>
    <mergeCell ref="S277:T277"/>
    <mergeCell ref="R278:X278"/>
    <mergeCell ref="R279:T279"/>
    <mergeCell ref="U279:U280"/>
    <mergeCell ref="V279:V280"/>
    <mergeCell ref="W279:W280"/>
    <mergeCell ref="X279:X280"/>
    <mergeCell ref="R280:R283"/>
    <mergeCell ref="S280:T280"/>
    <mergeCell ref="S281:T281"/>
    <mergeCell ref="R272:X272"/>
    <mergeCell ref="R273:T273"/>
    <mergeCell ref="U273:U274"/>
    <mergeCell ref="V273:V274"/>
    <mergeCell ref="W273:W274"/>
    <mergeCell ref="X273:X274"/>
    <mergeCell ref="R274:R277"/>
    <mergeCell ref="S274:T274"/>
    <mergeCell ref="S275:T275"/>
    <mergeCell ref="S276:T276"/>
    <mergeCell ref="X267:X268"/>
    <mergeCell ref="R268:R271"/>
    <mergeCell ref="S268:T268"/>
    <mergeCell ref="S269:T269"/>
    <mergeCell ref="S270:T270"/>
    <mergeCell ref="S271:T271"/>
    <mergeCell ref="R267:T267"/>
    <mergeCell ref="U267:U268"/>
    <mergeCell ref="V267:V268"/>
    <mergeCell ref="W267:W268"/>
    <mergeCell ref="X254:X255"/>
    <mergeCell ref="R257:T257"/>
    <mergeCell ref="R260:Y260"/>
    <mergeCell ref="R264:S265"/>
    <mergeCell ref="U264:V264"/>
    <mergeCell ref="U265:V265"/>
    <mergeCell ref="R254:T255"/>
    <mergeCell ref="U254:U255"/>
    <mergeCell ref="V254:V255"/>
    <mergeCell ref="W254:W255"/>
    <mergeCell ref="X247:X248"/>
    <mergeCell ref="R249:T249"/>
    <mergeCell ref="U249:U251"/>
    <mergeCell ref="R250:T250"/>
    <mergeCell ref="R251:T251"/>
    <mergeCell ref="R247:T248"/>
    <mergeCell ref="U247:U248"/>
    <mergeCell ref="V247:V248"/>
    <mergeCell ref="W247:W248"/>
    <mergeCell ref="X241:X242"/>
    <mergeCell ref="R243:T243"/>
    <mergeCell ref="U243:U245"/>
    <mergeCell ref="R244:T244"/>
    <mergeCell ref="R245:T245"/>
    <mergeCell ref="R241:T242"/>
    <mergeCell ref="U241:U242"/>
    <mergeCell ref="V241:V242"/>
    <mergeCell ref="W241:W242"/>
    <mergeCell ref="W235:W236"/>
    <mergeCell ref="X235:X236"/>
    <mergeCell ref="R237:T237"/>
    <mergeCell ref="U237:U239"/>
    <mergeCell ref="R238:T238"/>
    <mergeCell ref="R239:T239"/>
    <mergeCell ref="R231:U231"/>
    <mergeCell ref="R235:T236"/>
    <mergeCell ref="U235:U236"/>
    <mergeCell ref="V235:V236"/>
    <mergeCell ref="R226:U226"/>
    <mergeCell ref="R227:U227"/>
    <mergeCell ref="R228:U228"/>
    <mergeCell ref="R229:U229"/>
    <mergeCell ref="R222:U222"/>
    <mergeCell ref="R223:U223"/>
    <mergeCell ref="R224:U224"/>
    <mergeCell ref="R225:U225"/>
    <mergeCell ref="R218:U218"/>
    <mergeCell ref="R219:U219"/>
    <mergeCell ref="R220:U220"/>
    <mergeCell ref="R221:U221"/>
    <mergeCell ref="Y213:Y214"/>
    <mergeCell ref="R215:U215"/>
    <mergeCell ref="R216:U216"/>
    <mergeCell ref="R217:U217"/>
    <mergeCell ref="R213:U214"/>
    <mergeCell ref="V213:V214"/>
    <mergeCell ref="W213:W214"/>
    <mergeCell ref="X213:X214"/>
    <mergeCell ref="R201:T201"/>
    <mergeCell ref="R202:T202"/>
    <mergeCell ref="R204:Y208"/>
    <mergeCell ref="R210:W211"/>
    <mergeCell ref="X210:X211"/>
    <mergeCell ref="Y210:Y211"/>
    <mergeCell ref="V198:V199"/>
    <mergeCell ref="W198:W199"/>
    <mergeCell ref="X198:X199"/>
    <mergeCell ref="R200:T200"/>
    <mergeCell ref="R195:T195"/>
    <mergeCell ref="R196:T196"/>
    <mergeCell ref="R198:T199"/>
    <mergeCell ref="U198:U199"/>
    <mergeCell ref="V193:V194"/>
    <mergeCell ref="W193:W194"/>
    <mergeCell ref="X193:X194"/>
    <mergeCell ref="R188:T189"/>
    <mergeCell ref="U188:U189"/>
    <mergeCell ref="R190:T190"/>
    <mergeCell ref="R191:T191"/>
    <mergeCell ref="R193:T194"/>
    <mergeCell ref="U193:U194"/>
    <mergeCell ref="V188:V189"/>
    <mergeCell ref="W188:W189"/>
    <mergeCell ref="W183:W184"/>
    <mergeCell ref="X183:X184"/>
    <mergeCell ref="X188:X189"/>
    <mergeCell ref="R185:T185"/>
    <mergeCell ref="R186:T186"/>
    <mergeCell ref="R181:T181"/>
    <mergeCell ref="R183:T184"/>
    <mergeCell ref="U183:U184"/>
    <mergeCell ref="V183:V184"/>
    <mergeCell ref="W177:W178"/>
    <mergeCell ref="X177:X178"/>
    <mergeCell ref="U177:U178"/>
    <mergeCell ref="V177:V178"/>
    <mergeCell ref="R179:T179"/>
    <mergeCell ref="R180:T180"/>
    <mergeCell ref="R175:T175"/>
    <mergeCell ref="R177:T178"/>
    <mergeCell ref="V172:V173"/>
    <mergeCell ref="W172:W173"/>
    <mergeCell ref="X172:X173"/>
    <mergeCell ref="R174:T174"/>
    <mergeCell ref="R169:T169"/>
    <mergeCell ref="R170:T170"/>
    <mergeCell ref="R172:T173"/>
    <mergeCell ref="U172:U173"/>
    <mergeCell ref="X162:X163"/>
    <mergeCell ref="R164:T164"/>
    <mergeCell ref="R165:T165"/>
    <mergeCell ref="R167:T168"/>
    <mergeCell ref="U167:U168"/>
    <mergeCell ref="V167:V168"/>
    <mergeCell ref="W167:W168"/>
    <mergeCell ref="X167:X168"/>
    <mergeCell ref="R162:T163"/>
    <mergeCell ref="U162:U163"/>
    <mergeCell ref="V162:V163"/>
    <mergeCell ref="W162:W163"/>
    <mergeCell ref="R158:T158"/>
    <mergeCell ref="U158:U160"/>
    <mergeCell ref="R159:T159"/>
    <mergeCell ref="R160:T160"/>
    <mergeCell ref="R155:X155"/>
    <mergeCell ref="R156:T157"/>
    <mergeCell ref="U156:U157"/>
    <mergeCell ref="V156:V157"/>
    <mergeCell ref="W156:W157"/>
    <mergeCell ref="X156:X157"/>
    <mergeCell ref="R152:T152"/>
    <mergeCell ref="U152:U154"/>
    <mergeCell ref="R153:T153"/>
    <mergeCell ref="R154:T154"/>
    <mergeCell ref="R147:T147"/>
    <mergeCell ref="R148:T148"/>
    <mergeCell ref="R149:X149"/>
    <mergeCell ref="R150:T151"/>
    <mergeCell ref="U150:U151"/>
    <mergeCell ref="V150:V151"/>
    <mergeCell ref="W150:W151"/>
    <mergeCell ref="X150:X151"/>
    <mergeCell ref="X143:X144"/>
    <mergeCell ref="R145:T145"/>
    <mergeCell ref="U145:U146"/>
    <mergeCell ref="R146:T146"/>
    <mergeCell ref="R143:T144"/>
    <mergeCell ref="U143:U144"/>
    <mergeCell ref="V143:V144"/>
    <mergeCell ref="W143:W144"/>
    <mergeCell ref="R134:T134"/>
    <mergeCell ref="R135:T135"/>
    <mergeCell ref="R137:Y137"/>
    <mergeCell ref="R142:W142"/>
    <mergeCell ref="X126:X127"/>
    <mergeCell ref="R128:T128"/>
    <mergeCell ref="R130:Y130"/>
    <mergeCell ref="R132:T133"/>
    <mergeCell ref="U132:U133"/>
    <mergeCell ref="V132:V133"/>
    <mergeCell ref="W132:W133"/>
    <mergeCell ref="X132:X133"/>
    <mergeCell ref="R126:T127"/>
    <mergeCell ref="U126:U127"/>
    <mergeCell ref="V126:V127"/>
    <mergeCell ref="W126:W127"/>
    <mergeCell ref="X118:X119"/>
    <mergeCell ref="R120:T120"/>
    <mergeCell ref="R121:T121"/>
    <mergeCell ref="R123:Y123"/>
    <mergeCell ref="R118:T119"/>
    <mergeCell ref="U118:U119"/>
    <mergeCell ref="V118:V119"/>
    <mergeCell ref="W118:W119"/>
    <mergeCell ref="W112:W113"/>
    <mergeCell ref="X112:X113"/>
    <mergeCell ref="R114:T114"/>
    <mergeCell ref="R115:T115"/>
    <mergeCell ref="R109:T109"/>
    <mergeCell ref="R112:T113"/>
    <mergeCell ref="U112:U113"/>
    <mergeCell ref="V112:V113"/>
    <mergeCell ref="V106:V107"/>
    <mergeCell ref="W106:W107"/>
    <mergeCell ref="X106:X107"/>
    <mergeCell ref="R108:T108"/>
    <mergeCell ref="R102:T102"/>
    <mergeCell ref="R103:T103"/>
    <mergeCell ref="R106:T107"/>
    <mergeCell ref="U106:U107"/>
    <mergeCell ref="R96:Y96"/>
    <mergeCell ref="R100:T101"/>
    <mergeCell ref="U100:U101"/>
    <mergeCell ref="V100:V101"/>
    <mergeCell ref="W100:W101"/>
    <mergeCell ref="X100:X101"/>
    <mergeCell ref="X90:X91"/>
    <mergeCell ref="R92:T92"/>
    <mergeCell ref="R93:T93"/>
    <mergeCell ref="R94:T94"/>
    <mergeCell ref="R90:T91"/>
    <mergeCell ref="U90:U91"/>
    <mergeCell ref="V90:V91"/>
    <mergeCell ref="W90:W91"/>
    <mergeCell ref="X83:X84"/>
    <mergeCell ref="R85:T85"/>
    <mergeCell ref="R86:T86"/>
    <mergeCell ref="R87:T87"/>
    <mergeCell ref="R83:T84"/>
    <mergeCell ref="U83:U84"/>
    <mergeCell ref="V83:V84"/>
    <mergeCell ref="W83:W84"/>
    <mergeCell ref="R76:T76"/>
    <mergeCell ref="R77:T77"/>
    <mergeCell ref="R78:T78"/>
    <mergeCell ref="R80:Y80"/>
    <mergeCell ref="U74:U75"/>
    <mergeCell ref="V74:V75"/>
    <mergeCell ref="W74:W75"/>
    <mergeCell ref="X74:X75"/>
    <mergeCell ref="R69:T69"/>
    <mergeCell ref="R70:T70"/>
    <mergeCell ref="R71:T71"/>
    <mergeCell ref="R74:T75"/>
    <mergeCell ref="R61:T61"/>
    <mergeCell ref="R62:T62"/>
    <mergeCell ref="R64:Y64"/>
    <mergeCell ref="R67:T68"/>
    <mergeCell ref="U67:U68"/>
    <mergeCell ref="V67:V68"/>
    <mergeCell ref="W67:W68"/>
    <mergeCell ref="X67:X68"/>
    <mergeCell ref="W54:W55"/>
    <mergeCell ref="X54:X55"/>
    <mergeCell ref="R56:T56"/>
    <mergeCell ref="R59:T60"/>
    <mergeCell ref="U59:U60"/>
    <mergeCell ref="V59:V60"/>
    <mergeCell ref="W59:W60"/>
    <mergeCell ref="X59:X60"/>
    <mergeCell ref="R51:T51"/>
    <mergeCell ref="R54:T55"/>
    <mergeCell ref="U54:U55"/>
    <mergeCell ref="V54:V55"/>
    <mergeCell ref="R44:T44"/>
    <mergeCell ref="R46:Y46"/>
    <mergeCell ref="R49:T50"/>
    <mergeCell ref="U49:U50"/>
    <mergeCell ref="V49:V50"/>
    <mergeCell ref="W49:W50"/>
    <mergeCell ref="X49:X50"/>
    <mergeCell ref="X39:X40"/>
    <mergeCell ref="R41:T41"/>
    <mergeCell ref="R42:T42"/>
    <mergeCell ref="R43:T43"/>
    <mergeCell ref="R39:T40"/>
    <mergeCell ref="U39:U40"/>
    <mergeCell ref="V39:V40"/>
    <mergeCell ref="W39:W40"/>
    <mergeCell ref="R33:T33"/>
    <mergeCell ref="R34:T34"/>
    <mergeCell ref="R35:T35"/>
    <mergeCell ref="R36:T36"/>
    <mergeCell ref="R28:Y28"/>
    <mergeCell ref="R31:T32"/>
    <mergeCell ref="U31:U32"/>
    <mergeCell ref="V31:V32"/>
    <mergeCell ref="W31:W32"/>
    <mergeCell ref="X31:X32"/>
    <mergeCell ref="R23:U23"/>
    <mergeCell ref="R24:U24"/>
    <mergeCell ref="R25:U25"/>
    <mergeCell ref="R26:U26"/>
    <mergeCell ref="R19:U19"/>
    <mergeCell ref="R20:U20"/>
    <mergeCell ref="R21:U21"/>
    <mergeCell ref="R22:U22"/>
    <mergeCell ref="R15:U15"/>
    <mergeCell ref="R16:U16"/>
    <mergeCell ref="R7:Y7"/>
    <mergeCell ref="R10:U10"/>
    <mergeCell ref="R11:U11"/>
    <mergeCell ref="R12:U12"/>
    <mergeCell ref="B2:K3"/>
    <mergeCell ref="B5:D5"/>
    <mergeCell ref="R2:Y3"/>
    <mergeCell ref="R5:U5"/>
    <mergeCell ref="R13:U13"/>
    <mergeCell ref="R14:U14"/>
  </mergeCells>
  <phoneticPr fontId="0" type="noConversion"/>
  <conditionalFormatting sqref="U108:X109">
    <cfRule type="cellIs" dxfId="209" priority="1" stopIfTrue="1" operator="equal">
      <formula>"yes"</formula>
    </cfRule>
    <cfRule type="cellIs" dxfId="208" priority="2" stopIfTrue="1" operator="equal">
      <formula>"no"</formula>
    </cfRule>
  </conditionalFormatting>
  <conditionalFormatting sqref="X254:X255 X106:X107 X247:X248 X49:X50 X235:X236 X54:X55 X67:X68 X74:X75 X100:X101 X112:X113 X118:X119 X132:X133 X279:X280 X126:X127 X241:X242 X59:X60 Y286:Y287 S306:S307 X143:X144 X183:X184 X177:X178 X267:X268 X273:X274 Y213:Y214 X83 X90 X156:X157 X150:X151 X198:X199 X162:X163 X167:X168 X172:X173 X188:X189 X193:X194 AB186">
    <cfRule type="cellIs" dxfId="207" priority="3" stopIfTrue="1" operator="equal">
      <formula>$U$31</formula>
    </cfRule>
    <cfRule type="cellIs" dxfId="206" priority="4" stopIfTrue="1" operator="equal">
      <formula>$W$31</formula>
    </cfRule>
    <cfRule type="cellIs" dxfId="205" priority="5" stopIfTrue="1" operator="equal">
      <formula>$Y$31</formula>
    </cfRule>
  </conditionalFormatting>
  <conditionalFormatting sqref="R36 R44">
    <cfRule type="cellIs" dxfId="204" priority="6" stopIfTrue="1" operator="equal">
      <formula>$AI$31</formula>
    </cfRule>
    <cfRule type="cellIs" dxfId="203" priority="7" stopIfTrue="1" operator="equal">
      <formula>$AK$31</formula>
    </cfRule>
    <cfRule type="cellIs" dxfId="202" priority="8" stopIfTrue="1" operator="equal">
      <formula>$AM$31</formula>
    </cfRule>
  </conditionalFormatting>
  <conditionalFormatting sqref="V106:V107 V247:V248 V49:V50 V241:V242 V54:V55 V59:V60 V67:V68 V74:V75 W286:W287 V100:V101 V112:V113 V118:V119 V126:V127 V132:V133 V279:V280 V235:V236 V254:V255 T306:T307 V143:V144 V183:V184 V177:V178 V267:V268 V273:V274 W213:W214 V83 V90 V156:V157 V150:V151 V198:V199 V162:V163 V167:V168 V172:V173 V188:V189 V193:V194 AB184">
    <cfRule type="cellIs" dxfId="201" priority="9" stopIfTrue="1" operator="equal">
      <formula>$R$6</formula>
    </cfRule>
    <cfRule type="cellIs" dxfId="200" priority="10" stopIfTrue="1" operator="equal">
      <formula>$V$33</formula>
    </cfRule>
    <cfRule type="cellIs" dxfId="199" priority="11" stopIfTrue="1" operator="equal">
      <formula>$R$8</formula>
    </cfRule>
  </conditionalFormatting>
  <conditionalFormatting sqref="W106:W107 W126:W127 W247:W248 W49:W50 W241:W242 W54:W55 W59:W60 W67:W68 W74:W75 X286:X287 W100:W101 W112:W113 W118:W119 W132:W133 W279:W280 W235:W236 W254:W255 U306:U307 W143:W144 W183:W184 W177:W178 W267:W268 W273:W274 X213:X214 W83 W90 W156:W157 W150:W151 W198:W199 W162:W163 W167:W168 W172:W173 W188:W189 W193:W194 AB185">
    <cfRule type="cellIs" dxfId="198" priority="12" stopIfTrue="1" operator="equal">
      <formula>$R$6</formula>
    </cfRule>
    <cfRule type="cellIs" dxfId="197" priority="13" stopIfTrue="1" operator="equal">
      <formula>$R$7</formula>
    </cfRule>
    <cfRule type="cellIs" dxfId="196" priority="14" stopIfTrue="1" operator="equal">
      <formula>$W$33</formula>
    </cfRule>
  </conditionalFormatting>
  <conditionalFormatting sqref="R34 R42">
    <cfRule type="cellIs" dxfId="195" priority="15" stopIfTrue="1" operator="equal">
      <formula>$AF$6</formula>
    </cfRule>
    <cfRule type="cellIs" dxfId="194" priority="16" stopIfTrue="1" operator="equal">
      <formula>$AJ$33</formula>
    </cfRule>
    <cfRule type="cellIs" dxfId="193" priority="17" stopIfTrue="1" operator="equal">
      <formula>$AF$8</formula>
    </cfRule>
  </conditionalFormatting>
  <conditionalFormatting sqref="R35 R43">
    <cfRule type="cellIs" dxfId="192" priority="18" stopIfTrue="1" operator="equal">
      <formula>$AF$6</formula>
    </cfRule>
    <cfRule type="cellIs" dxfId="191" priority="19" stopIfTrue="1" operator="equal">
      <formula>$AF$7</formula>
    </cfRule>
    <cfRule type="cellIs" dxfId="190" priority="20" stopIfTrue="1" operator="equal">
      <formula>$AK$33</formula>
    </cfRule>
  </conditionalFormatting>
  <pageMargins left="0" right="0" top="0.59055118110236227" bottom="0.39370078740157483" header="0.51181102362204722" footer="0.51181102362204722"/>
  <pageSetup paperSize="9" scale="96" fitToHeight="6" orientation="portrait" r:id="rId1"/>
  <headerFooter alignWithMargins="0"/>
  <drawing r:id="rId2"/>
  <legacyDrawing r:id="rId3"/>
</worksheet>
</file>

<file path=xl/worksheets/sheet35.xml><?xml version="1.0" encoding="utf-8"?>
<worksheet xmlns="http://schemas.openxmlformats.org/spreadsheetml/2006/main" xmlns:r="http://schemas.openxmlformats.org/officeDocument/2006/relationships">
  <sheetPr codeName="Sheet78">
    <pageSetUpPr fitToPage="1"/>
  </sheetPr>
  <dimension ref="A1:AJ912"/>
  <sheetViews>
    <sheetView showRowColHeaders="0" workbookViewId="0">
      <selection activeCell="B2" sqref="B2:K3"/>
    </sheetView>
  </sheetViews>
  <sheetFormatPr defaultRowHeight="12.75"/>
  <cols>
    <col min="1" max="11" width="11.7109375" style="1" customWidth="1"/>
    <col min="12" max="16" width="10.7109375" style="1" customWidth="1"/>
    <col min="17" max="17" width="4.7109375" style="20" customWidth="1"/>
    <col min="18" max="20" width="10.7109375" style="18" customWidth="1"/>
    <col min="21" max="23" width="11.7109375" style="18" customWidth="1"/>
    <col min="24" max="26" width="10.7109375" style="18" customWidth="1"/>
    <col min="27" max="27" width="10.7109375" style="1" customWidth="1"/>
    <col min="28" max="30" width="8.7109375" style="1" customWidth="1"/>
    <col min="31" max="35" width="13.7109375" style="1" customWidth="1"/>
    <col min="36" max="37" width="10.7109375" style="1" customWidth="1"/>
    <col min="38" max="54" width="10.28515625" style="1" customWidth="1"/>
    <col min="55" max="110" width="10.7109375" style="1" customWidth="1"/>
    <col min="111" max="16384" width="9.140625" style="1"/>
  </cols>
  <sheetData>
    <row r="1" spans="1:33" ht="6" customHeight="1" thickBot="1">
      <c r="A1" s="121"/>
      <c r="B1" s="121"/>
      <c r="C1" s="121"/>
      <c r="D1" s="121"/>
      <c r="E1" s="121"/>
      <c r="F1" s="121"/>
      <c r="G1" s="121"/>
      <c r="H1" s="121"/>
      <c r="I1" s="121"/>
      <c r="J1" s="121"/>
      <c r="K1" s="121"/>
      <c r="L1" s="121"/>
      <c r="M1" s="121"/>
      <c r="N1" s="121"/>
      <c r="O1" s="121"/>
      <c r="P1" s="121"/>
      <c r="Q1" s="360"/>
      <c r="R1" s="361"/>
      <c r="S1" s="361"/>
      <c r="T1" s="361"/>
      <c r="U1" s="361"/>
      <c r="V1" s="361"/>
      <c r="W1" s="361"/>
      <c r="X1" s="361"/>
      <c r="Y1" s="361"/>
      <c r="Z1" s="361"/>
      <c r="AA1" s="362"/>
      <c r="AF1"/>
      <c r="AG1"/>
    </row>
    <row r="2" spans="1:33" ht="12.75" customHeight="1" thickTop="1">
      <c r="A2" s="121"/>
      <c r="B2" s="753" t="s">
        <v>460</v>
      </c>
      <c r="C2" s="754"/>
      <c r="D2" s="754"/>
      <c r="E2" s="754"/>
      <c r="F2" s="754"/>
      <c r="G2" s="754"/>
      <c r="H2" s="754"/>
      <c r="I2" s="754"/>
      <c r="J2" s="754"/>
      <c r="K2" s="755"/>
      <c r="L2" s="121"/>
      <c r="M2" s="121"/>
      <c r="N2" s="121"/>
      <c r="O2" s="121"/>
      <c r="P2" s="121"/>
      <c r="Q2" s="363"/>
      <c r="R2" s="1024" t="s">
        <v>396</v>
      </c>
      <c r="S2" s="1025"/>
      <c r="T2" s="1025"/>
      <c r="U2" s="1025"/>
      <c r="V2" s="1025"/>
      <c r="W2" s="1025"/>
      <c r="X2" s="1025"/>
      <c r="Y2" s="1026"/>
      <c r="Z2" s="362"/>
      <c r="AA2" s="362"/>
      <c r="AF2"/>
      <c r="AG2"/>
    </row>
    <row r="3" spans="1:33" ht="12.75" customHeight="1" thickBot="1">
      <c r="A3" s="121"/>
      <c r="B3" s="756"/>
      <c r="C3" s="757"/>
      <c r="D3" s="757"/>
      <c r="E3" s="757"/>
      <c r="F3" s="757"/>
      <c r="G3" s="757"/>
      <c r="H3" s="757"/>
      <c r="I3" s="757"/>
      <c r="J3" s="757"/>
      <c r="K3" s="758"/>
      <c r="L3" s="121"/>
      <c r="M3" s="121"/>
      <c r="N3" s="121"/>
      <c r="O3" s="121"/>
      <c r="P3" s="121"/>
      <c r="Q3" s="363"/>
      <c r="R3" s="1027"/>
      <c r="S3" s="1028"/>
      <c r="T3" s="1028"/>
      <c r="U3" s="1028"/>
      <c r="V3" s="1028"/>
      <c r="W3" s="1028"/>
      <c r="X3" s="1028"/>
      <c r="Y3" s="1029"/>
      <c r="Z3" s="362"/>
      <c r="AA3" s="362"/>
      <c r="AF3"/>
      <c r="AG3"/>
    </row>
    <row r="4" spans="1:33" ht="12.75" customHeight="1" thickTop="1">
      <c r="A4" s="121"/>
      <c r="B4" s="121"/>
      <c r="C4" s="121"/>
      <c r="D4" s="121"/>
      <c r="E4" s="121"/>
      <c r="F4" s="121"/>
      <c r="G4" s="121"/>
      <c r="H4" s="121"/>
      <c r="I4" s="121"/>
      <c r="J4" s="121"/>
      <c r="K4" s="121"/>
      <c r="L4" s="121"/>
      <c r="M4" s="121"/>
      <c r="N4" s="121"/>
      <c r="O4" s="121"/>
      <c r="P4" s="121"/>
      <c r="Q4" s="363"/>
      <c r="R4" s="361"/>
      <c r="S4" s="361"/>
      <c r="T4" s="361"/>
      <c r="U4" s="361"/>
      <c r="V4" s="361"/>
      <c r="W4" s="361"/>
      <c r="X4" s="361"/>
      <c r="Y4" s="361"/>
      <c r="Z4" s="361"/>
      <c r="AA4" s="362"/>
      <c r="AF4"/>
      <c r="AG4"/>
    </row>
    <row r="5" spans="1:33" ht="12.75" customHeight="1">
      <c r="A5" s="121"/>
      <c r="B5" s="828" t="s">
        <v>581</v>
      </c>
      <c r="C5" s="829"/>
      <c r="D5" s="830"/>
      <c r="E5" s="460">
        <v>450</v>
      </c>
      <c r="F5" s="461">
        <f>+E5</f>
        <v>450</v>
      </c>
      <c r="G5" s="121"/>
      <c r="H5" s="121"/>
      <c r="I5" s="121"/>
      <c r="J5" s="121"/>
      <c r="K5" s="121"/>
      <c r="L5" s="121"/>
      <c r="M5" s="121"/>
      <c r="N5" s="121"/>
      <c r="O5" s="121"/>
      <c r="P5" s="121"/>
      <c r="Q5" s="360"/>
      <c r="R5" s="951" t="s">
        <v>868</v>
      </c>
      <c r="S5" s="951"/>
      <c r="T5" s="951"/>
      <c r="U5" s="951"/>
      <c r="V5" s="447">
        <f>F5</f>
        <v>450</v>
      </c>
      <c r="W5" s="362"/>
      <c r="X5" s="362"/>
      <c r="Y5" s="362"/>
      <c r="Z5" s="362"/>
      <c r="AA5" s="362"/>
      <c r="AF5"/>
      <c r="AG5"/>
    </row>
    <row r="6" spans="1:33" ht="12.75" customHeight="1">
      <c r="A6" s="121"/>
      <c r="B6" s="121"/>
      <c r="C6" s="121"/>
      <c r="D6" s="121"/>
      <c r="E6" s="121"/>
      <c r="F6" s="121"/>
      <c r="G6" s="121"/>
      <c r="H6" s="121"/>
      <c r="I6" s="121"/>
      <c r="J6" s="121"/>
      <c r="K6" s="121"/>
      <c r="L6" s="121"/>
      <c r="M6" s="121"/>
      <c r="N6" s="121"/>
      <c r="O6" s="121"/>
      <c r="P6" s="121"/>
      <c r="Q6" s="360"/>
      <c r="R6" s="362"/>
      <c r="S6" s="362"/>
      <c r="T6" s="362"/>
      <c r="U6" s="362"/>
      <c r="V6" s="361"/>
      <c r="W6" s="361"/>
      <c r="X6" s="361"/>
      <c r="Y6" s="361"/>
      <c r="Z6" s="361"/>
      <c r="AA6" s="362"/>
      <c r="AF6"/>
      <c r="AG6"/>
    </row>
    <row r="7" spans="1:33" ht="12.75" customHeight="1">
      <c r="A7" s="121"/>
      <c r="B7" s="121"/>
      <c r="C7" s="121"/>
      <c r="D7" s="121"/>
      <c r="E7" s="121"/>
      <c r="F7" s="121"/>
      <c r="G7" s="121"/>
      <c r="H7" s="121"/>
      <c r="I7" s="121"/>
      <c r="J7" s="121"/>
      <c r="K7" s="121"/>
      <c r="L7" s="121"/>
      <c r="M7" s="121"/>
      <c r="N7" s="121"/>
      <c r="O7" s="121"/>
      <c r="P7" s="121"/>
      <c r="Q7" s="385">
        <v>1</v>
      </c>
      <c r="R7" s="1008" t="s">
        <v>24</v>
      </c>
      <c r="S7" s="1008"/>
      <c r="T7" s="1008"/>
      <c r="U7" s="1008"/>
      <c r="V7" s="1008"/>
      <c r="W7" s="1008"/>
      <c r="X7" s="1008"/>
      <c r="Y7" s="1008"/>
      <c r="Z7" s="536"/>
      <c r="AA7" s="362"/>
      <c r="AF7"/>
      <c r="AG7"/>
    </row>
    <row r="8" spans="1:33" ht="12.75" customHeight="1">
      <c r="A8" s="121"/>
      <c r="B8" s="121"/>
      <c r="C8" s="121"/>
      <c r="D8" s="121"/>
      <c r="E8" s="121"/>
      <c r="F8" s="121"/>
      <c r="G8" s="121"/>
      <c r="H8" s="121"/>
      <c r="I8" s="121"/>
      <c r="J8" s="121"/>
      <c r="K8" s="121"/>
      <c r="L8" s="121"/>
      <c r="M8" s="121"/>
      <c r="N8" s="121"/>
      <c r="O8" s="121"/>
      <c r="P8" s="121"/>
      <c r="Q8" s="386"/>
      <c r="R8" s="361"/>
      <c r="S8" s="361"/>
      <c r="T8" s="361"/>
      <c r="U8" s="361"/>
      <c r="V8" s="361"/>
      <c r="W8" s="361"/>
      <c r="X8" s="361"/>
      <c r="Y8" s="361"/>
      <c r="Z8" s="361"/>
      <c r="AA8" s="362"/>
      <c r="AF8"/>
      <c r="AG8"/>
    </row>
    <row r="9" spans="1:33" ht="12.75" customHeight="1">
      <c r="A9" s="121"/>
      <c r="B9" s="121"/>
      <c r="C9" s="121"/>
      <c r="D9" s="121"/>
      <c r="E9" s="121"/>
      <c r="F9" s="121"/>
      <c r="G9" s="121"/>
      <c r="H9" s="121"/>
      <c r="I9" s="121"/>
      <c r="J9" s="121"/>
      <c r="K9" s="121"/>
      <c r="L9" s="121"/>
      <c r="M9" s="121"/>
      <c r="N9" s="121"/>
      <c r="O9" s="121"/>
      <c r="P9" s="121"/>
      <c r="Q9" s="360">
        <v>1.1000000000000001</v>
      </c>
      <c r="R9" s="364" t="s">
        <v>586</v>
      </c>
      <c r="S9" s="363"/>
      <c r="T9" s="363"/>
      <c r="U9" s="363"/>
      <c r="V9" s="363"/>
      <c r="W9" s="363"/>
      <c r="X9" s="363"/>
      <c r="Y9" s="363"/>
      <c r="Z9" s="363"/>
      <c r="AA9" s="362"/>
      <c r="AF9"/>
      <c r="AG9"/>
    </row>
    <row r="10" spans="1:33" ht="12.75" customHeight="1">
      <c r="A10" s="121"/>
      <c r="B10" s="121"/>
      <c r="C10" s="121"/>
      <c r="D10" s="121"/>
      <c r="E10" s="121"/>
      <c r="F10" s="121"/>
      <c r="G10" s="121"/>
      <c r="H10" s="121"/>
      <c r="I10" s="121"/>
      <c r="J10" s="121"/>
      <c r="K10" s="121"/>
      <c r="L10" s="121"/>
      <c r="M10" s="121"/>
      <c r="N10" s="121"/>
      <c r="O10" s="121"/>
      <c r="P10" s="121"/>
      <c r="Q10" s="360"/>
      <c r="R10" s="969" t="s">
        <v>25</v>
      </c>
      <c r="S10" s="969"/>
      <c r="T10" s="969"/>
      <c r="U10" s="969"/>
      <c r="V10" s="447">
        <f>'Prod Parameters'!$F$8</f>
        <v>23</v>
      </c>
      <c r="W10" s="363"/>
      <c r="X10" s="363"/>
      <c r="Y10" s="363"/>
      <c r="Z10" s="363"/>
      <c r="AA10" s="362"/>
      <c r="AF10"/>
      <c r="AG10"/>
    </row>
    <row r="11" spans="1:33" ht="12.75" customHeight="1">
      <c r="A11" s="121"/>
      <c r="B11" s="121"/>
      <c r="C11" s="121"/>
      <c r="D11" s="121"/>
      <c r="E11" s="121"/>
      <c r="F11" s="121"/>
      <c r="G11" s="121"/>
      <c r="H11" s="121"/>
      <c r="I11" s="121"/>
      <c r="J11" s="121"/>
      <c r="K11" s="121"/>
      <c r="L11" s="121"/>
      <c r="M11" s="121"/>
      <c r="N11" s="121"/>
      <c r="O11" s="121"/>
      <c r="P11" s="121"/>
      <c r="Q11" s="360"/>
      <c r="R11" s="969" t="s">
        <v>325</v>
      </c>
      <c r="S11" s="969"/>
      <c r="T11" s="969"/>
      <c r="U11" s="969"/>
      <c r="V11" s="447">
        <f>'Prod Parameters'!$F$9</f>
        <v>23</v>
      </c>
      <c r="W11" s="363"/>
      <c r="X11" s="363"/>
      <c r="Y11" s="363"/>
      <c r="Z11" s="363"/>
      <c r="AA11" s="362"/>
      <c r="AF11"/>
      <c r="AG11"/>
    </row>
    <row r="12" spans="1:33" ht="12.75" customHeight="1">
      <c r="A12" s="121"/>
      <c r="B12" s="121"/>
      <c r="C12" s="121"/>
      <c r="D12" s="121"/>
      <c r="E12" s="121"/>
      <c r="F12" s="121"/>
      <c r="G12" s="121"/>
      <c r="H12" s="121"/>
      <c r="I12" s="121"/>
      <c r="J12" s="121"/>
      <c r="K12" s="121"/>
      <c r="L12" s="121"/>
      <c r="M12" s="121"/>
      <c r="N12" s="121"/>
      <c r="O12" s="121"/>
      <c r="P12" s="121"/>
      <c r="Q12" s="360"/>
      <c r="R12" s="1021" t="s">
        <v>26</v>
      </c>
      <c r="S12" s="1022"/>
      <c r="T12" s="1022"/>
      <c r="U12" s="1023"/>
      <c r="V12" s="447">
        <f>'Prod Parameters'!$F$10</f>
        <v>6</v>
      </c>
      <c r="W12" s="363"/>
      <c r="X12" s="363"/>
      <c r="Y12" s="363"/>
      <c r="Z12" s="363"/>
      <c r="AA12" s="362"/>
      <c r="AF12"/>
      <c r="AG12"/>
    </row>
    <row r="13" spans="1:33" ht="12.75" customHeight="1">
      <c r="A13" s="121"/>
      <c r="B13" s="121"/>
      <c r="C13" s="121"/>
      <c r="D13" s="121"/>
      <c r="E13" s="121"/>
      <c r="F13" s="121"/>
      <c r="G13" s="121"/>
      <c r="H13" s="121"/>
      <c r="I13" s="121"/>
      <c r="J13" s="121"/>
      <c r="K13" s="121"/>
      <c r="L13" s="121"/>
      <c r="M13" s="121"/>
      <c r="N13" s="121"/>
      <c r="O13" s="121"/>
      <c r="P13" s="121"/>
      <c r="Q13" s="360"/>
      <c r="R13" s="969" t="s">
        <v>27</v>
      </c>
      <c r="S13" s="969"/>
      <c r="T13" s="969"/>
      <c r="U13" s="969"/>
      <c r="V13" s="447">
        <f>'Prod Parameters'!$F$11</f>
        <v>52</v>
      </c>
      <c r="W13" s="363"/>
      <c r="X13" s="363"/>
      <c r="Y13" s="363"/>
      <c r="Z13" s="363"/>
      <c r="AA13" s="362"/>
      <c r="AF13"/>
      <c r="AG13"/>
    </row>
    <row r="14" spans="1:33" ht="12.75" customHeight="1">
      <c r="A14" s="121"/>
      <c r="B14" s="121"/>
      <c r="C14" s="121"/>
      <c r="D14" s="121"/>
      <c r="E14" s="121"/>
      <c r="F14" s="121"/>
      <c r="G14" s="114"/>
      <c r="H14" s="114"/>
      <c r="I14" s="114"/>
      <c r="J14" s="114"/>
      <c r="K14" s="114"/>
      <c r="L14" s="121"/>
      <c r="M14" s="121"/>
      <c r="N14" s="121"/>
      <c r="O14" s="121"/>
      <c r="P14" s="121"/>
      <c r="Q14" s="360"/>
      <c r="R14" s="969" t="s">
        <v>28</v>
      </c>
      <c r="S14" s="969"/>
      <c r="T14" s="969"/>
      <c r="U14" s="969"/>
      <c r="V14" s="447">
        <f>'Prod Parameters'!$F$12</f>
        <v>260</v>
      </c>
      <c r="W14" s="363"/>
      <c r="X14" s="363"/>
      <c r="Y14" s="363"/>
      <c r="Z14" s="363"/>
      <c r="AA14" s="362"/>
      <c r="AF14"/>
      <c r="AG14"/>
    </row>
    <row r="15" spans="1:33" ht="12.75" customHeight="1">
      <c r="A15" s="121"/>
      <c r="B15" s="121"/>
      <c r="C15" s="121"/>
      <c r="D15" s="121"/>
      <c r="E15" s="121"/>
      <c r="F15" s="121"/>
      <c r="G15" s="114"/>
      <c r="H15" s="114"/>
      <c r="I15" s="114"/>
      <c r="J15" s="114"/>
      <c r="K15" s="114"/>
      <c r="L15" s="121"/>
      <c r="M15" s="121"/>
      <c r="N15" s="121"/>
      <c r="O15" s="121"/>
      <c r="P15" s="121"/>
      <c r="Q15" s="360"/>
      <c r="R15" s="969" t="s">
        <v>29</v>
      </c>
      <c r="S15" s="969"/>
      <c r="T15" s="969"/>
      <c r="U15" s="969"/>
      <c r="V15" s="447">
        <f>'Prod Parameters'!$F$13</f>
        <v>30</v>
      </c>
      <c r="W15" s="363"/>
      <c r="X15" s="363"/>
      <c r="Y15" s="363"/>
      <c r="Z15" s="363"/>
      <c r="AA15" s="362"/>
      <c r="AF15"/>
      <c r="AG15"/>
    </row>
    <row r="16" spans="1:33" ht="12.75" customHeight="1">
      <c r="A16" s="121"/>
      <c r="B16" s="121"/>
      <c r="C16" s="121"/>
      <c r="D16" s="121"/>
      <c r="E16" s="121"/>
      <c r="F16" s="121"/>
      <c r="G16" s="114"/>
      <c r="H16" s="114"/>
      <c r="I16" s="114"/>
      <c r="J16" s="114"/>
      <c r="K16" s="114"/>
      <c r="L16" s="121"/>
      <c r="M16" s="121"/>
      <c r="N16" s="121"/>
      <c r="O16" s="121"/>
      <c r="P16" s="121"/>
      <c r="Q16" s="360"/>
      <c r="R16" s="968" t="s">
        <v>30</v>
      </c>
      <c r="S16" s="968"/>
      <c r="T16" s="968"/>
      <c r="U16" s="968"/>
      <c r="V16" s="447">
        <f>'Prod Parameters'!$F$14</f>
        <v>230</v>
      </c>
      <c r="W16" s="363"/>
      <c r="X16" s="363"/>
      <c r="Y16" s="363"/>
      <c r="Z16" s="363"/>
      <c r="AA16" s="362"/>
      <c r="AF16"/>
      <c r="AG16"/>
    </row>
    <row r="17" spans="1:33" ht="12.75" customHeight="1">
      <c r="A17" s="121"/>
      <c r="B17" s="121"/>
      <c r="C17" s="121"/>
      <c r="D17" s="121"/>
      <c r="E17" s="121"/>
      <c r="F17" s="121"/>
      <c r="G17" s="121"/>
      <c r="H17" s="121"/>
      <c r="I17" s="121"/>
      <c r="J17" s="121"/>
      <c r="K17" s="121"/>
      <c r="L17" s="121"/>
      <c r="M17" s="121"/>
      <c r="N17" s="121"/>
      <c r="O17" s="121"/>
      <c r="P17" s="121"/>
      <c r="Q17" s="360"/>
      <c r="R17" s="363"/>
      <c r="S17" s="363"/>
      <c r="T17" s="363"/>
      <c r="U17" s="363"/>
      <c r="V17" s="363"/>
      <c r="W17" s="363"/>
      <c r="X17" s="363"/>
      <c r="Y17" s="363"/>
      <c r="Z17" s="363"/>
      <c r="AA17" s="367"/>
      <c r="AB17"/>
      <c r="AC17"/>
      <c r="AD17"/>
      <c r="AE17"/>
      <c r="AF17"/>
      <c r="AG17"/>
    </row>
    <row r="18" spans="1:33" ht="12.75" customHeight="1">
      <c r="A18" s="121"/>
      <c r="B18" s="121"/>
      <c r="C18" s="121"/>
      <c r="D18" s="121"/>
      <c r="E18" s="121"/>
      <c r="F18" s="121"/>
      <c r="G18" s="121"/>
      <c r="H18" s="121"/>
      <c r="I18" s="121"/>
      <c r="J18" s="121"/>
      <c r="K18" s="121"/>
      <c r="L18" s="121"/>
      <c r="M18" s="121"/>
      <c r="N18" s="121"/>
      <c r="O18" s="121"/>
      <c r="P18" s="121"/>
      <c r="Q18" s="360">
        <v>1.2</v>
      </c>
      <c r="R18" s="364" t="s">
        <v>19</v>
      </c>
      <c r="S18" s="363"/>
      <c r="T18" s="363"/>
      <c r="U18" s="363"/>
      <c r="V18" s="363"/>
      <c r="W18" s="363"/>
      <c r="X18" s="363"/>
      <c r="Y18" s="363"/>
      <c r="Z18" s="363"/>
      <c r="AA18" s="367"/>
      <c r="AB18"/>
      <c r="AC18"/>
      <c r="AD18"/>
      <c r="AE18"/>
      <c r="AF18"/>
      <c r="AG18"/>
    </row>
    <row r="19" spans="1:33" ht="12.75" customHeight="1">
      <c r="A19" s="121"/>
      <c r="B19" s="121"/>
      <c r="C19" s="121"/>
      <c r="D19" s="121"/>
      <c r="E19" s="121"/>
      <c r="F19" s="121"/>
      <c r="G19" s="121"/>
      <c r="H19" s="121"/>
      <c r="I19" s="121"/>
      <c r="J19" s="121"/>
      <c r="K19" s="121"/>
      <c r="L19" s="121"/>
      <c r="M19" s="121"/>
      <c r="N19" s="121"/>
      <c r="O19" s="121"/>
      <c r="P19" s="121"/>
      <c r="Q19" s="360"/>
      <c r="R19" s="969" t="s">
        <v>314</v>
      </c>
      <c r="S19" s="969"/>
      <c r="T19" s="969"/>
      <c r="U19" s="969"/>
      <c r="V19" s="447">
        <f>'Prod Parameters'!$F$17</f>
        <v>160</v>
      </c>
      <c r="W19" s="363"/>
      <c r="X19" s="363"/>
      <c r="Y19" s="363"/>
      <c r="Z19" s="363"/>
      <c r="AA19" s="367"/>
      <c r="AB19"/>
      <c r="AC19"/>
      <c r="AD19"/>
      <c r="AE19"/>
      <c r="AF19"/>
      <c r="AG19"/>
    </row>
    <row r="20" spans="1:33" ht="12.75" customHeight="1">
      <c r="A20" s="121"/>
      <c r="B20" s="121"/>
      <c r="C20" s="121"/>
      <c r="D20" s="121"/>
      <c r="E20" s="121"/>
      <c r="F20" s="121"/>
      <c r="G20" s="121"/>
      <c r="H20" s="121"/>
      <c r="I20" s="121"/>
      <c r="J20" s="121"/>
      <c r="K20" s="121"/>
      <c r="L20" s="121"/>
      <c r="M20" s="121"/>
      <c r="N20" s="121"/>
      <c r="O20" s="121"/>
      <c r="P20" s="121"/>
      <c r="Q20" s="360"/>
      <c r="R20" s="969" t="s">
        <v>31</v>
      </c>
      <c r="S20" s="969"/>
      <c r="T20" s="969"/>
      <c r="U20" s="969"/>
      <c r="V20" s="447">
        <f>'Prod Parameters'!$F$18</f>
        <v>1.2</v>
      </c>
      <c r="W20" s="363"/>
      <c r="X20" s="363"/>
      <c r="Y20" s="363"/>
      <c r="Z20" s="363"/>
      <c r="AA20" s="367"/>
      <c r="AB20"/>
      <c r="AC20"/>
      <c r="AD20"/>
      <c r="AE20"/>
      <c r="AF20"/>
      <c r="AG20"/>
    </row>
    <row r="21" spans="1:33" ht="12.75" customHeight="1">
      <c r="A21" s="121"/>
      <c r="B21" s="121"/>
      <c r="C21" s="121"/>
      <c r="D21" s="121"/>
      <c r="E21" s="121"/>
      <c r="F21" s="121"/>
      <c r="G21" s="121"/>
      <c r="H21" s="121"/>
      <c r="I21" s="121"/>
      <c r="J21" s="121"/>
      <c r="K21" s="121"/>
      <c r="L21" s="121"/>
      <c r="M21" s="121"/>
      <c r="N21" s="121"/>
      <c r="O21" s="121"/>
      <c r="P21" s="121"/>
      <c r="Q21" s="360"/>
      <c r="R21" s="969" t="s">
        <v>199</v>
      </c>
      <c r="S21" s="969"/>
      <c r="T21" s="969"/>
      <c r="U21" s="969"/>
      <c r="V21" s="447">
        <f>'Prod Parameters'!$F$19</f>
        <v>4</v>
      </c>
      <c r="W21" s="363"/>
      <c r="X21" s="363"/>
      <c r="Y21" s="363"/>
      <c r="Z21" s="363"/>
      <c r="AA21" s="367"/>
      <c r="AB21"/>
      <c r="AC21"/>
      <c r="AD21"/>
      <c r="AE21"/>
      <c r="AF21"/>
      <c r="AG21"/>
    </row>
    <row r="22" spans="1:33" ht="12.75" customHeight="1">
      <c r="A22" s="121"/>
      <c r="B22" s="121"/>
      <c r="C22" s="121"/>
      <c r="D22" s="121"/>
      <c r="E22" s="121"/>
      <c r="F22" s="121"/>
      <c r="G22" s="121"/>
      <c r="H22" s="121"/>
      <c r="I22" s="121"/>
      <c r="J22" s="121"/>
      <c r="K22" s="121"/>
      <c r="L22" s="121"/>
      <c r="M22" s="121"/>
      <c r="N22" s="121"/>
      <c r="O22" s="121"/>
      <c r="P22" s="121"/>
      <c r="Q22" s="360"/>
      <c r="R22" s="969" t="s">
        <v>20</v>
      </c>
      <c r="S22" s="969"/>
      <c r="T22" s="969"/>
      <c r="U22" s="969"/>
      <c r="V22" s="447">
        <f>'Prod Parameters'!$F$20</f>
        <v>40</v>
      </c>
      <c r="W22" s="363"/>
      <c r="X22" s="363"/>
      <c r="Y22" s="363"/>
      <c r="Z22" s="363"/>
      <c r="AA22" s="367"/>
      <c r="AB22"/>
      <c r="AC22"/>
      <c r="AD22"/>
      <c r="AE22"/>
      <c r="AF22"/>
      <c r="AG22"/>
    </row>
    <row r="23" spans="1:33" ht="12.75" customHeight="1">
      <c r="A23" s="121"/>
      <c r="B23" s="121"/>
      <c r="C23" s="121"/>
      <c r="D23" s="121"/>
      <c r="E23" s="121"/>
      <c r="F23" s="121"/>
      <c r="G23" s="121"/>
      <c r="H23" s="121"/>
      <c r="I23" s="121"/>
      <c r="J23" s="121"/>
      <c r="K23" s="121"/>
      <c r="L23" s="121"/>
      <c r="M23" s="121"/>
      <c r="N23" s="121"/>
      <c r="O23" s="121"/>
      <c r="P23" s="121"/>
      <c r="Q23" s="360"/>
      <c r="R23" s="969" t="s">
        <v>310</v>
      </c>
      <c r="S23" s="969"/>
      <c r="T23" s="969"/>
      <c r="U23" s="969"/>
      <c r="V23" s="447">
        <f>'Prod Parameters'!$F$21</f>
        <v>160</v>
      </c>
      <c r="W23" s="363"/>
      <c r="X23" s="363"/>
      <c r="Y23" s="363"/>
      <c r="Z23" s="363"/>
      <c r="AA23" s="367"/>
      <c r="AB23"/>
      <c r="AC23"/>
      <c r="AD23"/>
      <c r="AE23"/>
      <c r="AF23"/>
      <c r="AG23"/>
    </row>
    <row r="24" spans="1:33" ht="12.75" customHeight="1">
      <c r="A24" s="121"/>
      <c r="B24" s="121"/>
      <c r="C24" s="121"/>
      <c r="D24" s="121"/>
      <c r="E24" s="121"/>
      <c r="F24" s="121"/>
      <c r="G24" s="121"/>
      <c r="H24" s="121"/>
      <c r="I24" s="121"/>
      <c r="J24" s="121"/>
      <c r="K24" s="121"/>
      <c r="L24" s="121"/>
      <c r="M24" s="121"/>
      <c r="N24" s="121"/>
      <c r="O24" s="121"/>
      <c r="P24" s="121"/>
      <c r="Q24" s="360"/>
      <c r="R24" s="969" t="s">
        <v>315</v>
      </c>
      <c r="S24" s="969"/>
      <c r="T24" s="969"/>
      <c r="U24" s="969"/>
      <c r="V24" s="549">
        <f>'Prod Parameters'!$F$22</f>
        <v>6400</v>
      </c>
      <c r="W24" s="363"/>
      <c r="X24" s="363"/>
      <c r="Y24" s="363"/>
      <c r="Z24" s="363"/>
      <c r="AA24" s="367"/>
      <c r="AB24"/>
      <c r="AC24"/>
      <c r="AD24"/>
      <c r="AE24"/>
      <c r="AF24"/>
      <c r="AG24"/>
    </row>
    <row r="25" spans="1:33" ht="12.75" customHeight="1">
      <c r="A25" s="121"/>
      <c r="B25" s="121"/>
      <c r="C25" s="121"/>
      <c r="D25" s="121"/>
      <c r="E25" s="121"/>
      <c r="F25" s="121"/>
      <c r="G25" s="121"/>
      <c r="H25" s="121"/>
      <c r="I25" s="121"/>
      <c r="J25" s="121"/>
      <c r="K25" s="121"/>
      <c r="L25" s="121"/>
      <c r="M25" s="121"/>
      <c r="N25" s="121"/>
      <c r="O25" s="121"/>
      <c r="P25" s="121"/>
      <c r="Q25" s="360"/>
      <c r="R25" s="969" t="s">
        <v>187</v>
      </c>
      <c r="S25" s="969"/>
      <c r="T25" s="969"/>
      <c r="U25" s="969"/>
      <c r="V25" s="549">
        <f>'Prod Parameters'!$F$23</f>
        <v>7680</v>
      </c>
      <c r="W25" s="363"/>
      <c r="X25" s="363"/>
      <c r="Y25" s="363"/>
      <c r="Z25" s="363"/>
      <c r="AA25" s="367"/>
      <c r="AB25"/>
      <c r="AC25"/>
      <c r="AD25"/>
      <c r="AE25"/>
      <c r="AF25"/>
      <c r="AG25"/>
    </row>
    <row r="26" spans="1:33" ht="12.75" customHeight="1">
      <c r="A26" s="121"/>
      <c r="B26" s="121"/>
      <c r="C26" s="121"/>
      <c r="D26" s="121"/>
      <c r="E26" s="121"/>
      <c r="F26" s="121"/>
      <c r="G26" s="121"/>
      <c r="H26" s="121"/>
      <c r="I26" s="121"/>
      <c r="J26" s="121"/>
      <c r="K26" s="121"/>
      <c r="L26" s="121"/>
      <c r="M26" s="121"/>
      <c r="N26" s="121"/>
      <c r="O26" s="121"/>
      <c r="P26" s="121"/>
      <c r="Q26" s="360"/>
      <c r="R26" s="969" t="s">
        <v>200</v>
      </c>
      <c r="S26" s="969"/>
      <c r="T26" s="969"/>
      <c r="U26" s="969"/>
      <c r="V26" s="549">
        <f>'Prod Parameters'!$F$24</f>
        <v>176640</v>
      </c>
      <c r="W26" s="363"/>
      <c r="X26" s="363"/>
      <c r="Y26" s="363"/>
      <c r="Z26" s="363"/>
      <c r="AA26" s="367"/>
      <c r="AB26"/>
      <c r="AC26"/>
      <c r="AD26"/>
      <c r="AE26"/>
      <c r="AF26"/>
      <c r="AG26"/>
    </row>
    <row r="27" spans="1:33" ht="12.75" customHeight="1">
      <c r="A27" s="121"/>
      <c r="B27" s="121"/>
      <c r="C27" s="121"/>
      <c r="D27" s="121"/>
      <c r="E27" s="121"/>
      <c r="F27" s="121"/>
      <c r="G27" s="121"/>
      <c r="H27" s="121"/>
      <c r="I27" s="121"/>
      <c r="J27" s="121"/>
      <c r="K27" s="121"/>
      <c r="L27" s="121"/>
      <c r="M27" s="121"/>
      <c r="N27" s="121"/>
      <c r="O27" s="121"/>
      <c r="P27" s="121"/>
      <c r="Q27" s="360"/>
      <c r="R27" s="363"/>
      <c r="S27" s="363"/>
      <c r="T27" s="363"/>
      <c r="U27" s="363"/>
      <c r="V27" s="363"/>
      <c r="W27" s="363"/>
      <c r="X27" s="363"/>
      <c r="Y27" s="363"/>
      <c r="Z27" s="363"/>
      <c r="AA27" s="367"/>
      <c r="AB27"/>
      <c r="AC27"/>
      <c r="AD27"/>
      <c r="AE27"/>
      <c r="AF27"/>
      <c r="AG27"/>
    </row>
    <row r="28" spans="1:33" ht="12.75" customHeight="1">
      <c r="A28" s="121"/>
      <c r="B28" s="121"/>
      <c r="C28" s="121"/>
      <c r="D28" s="121"/>
      <c r="E28" s="121"/>
      <c r="F28" s="121"/>
      <c r="G28" s="121"/>
      <c r="H28" s="121"/>
      <c r="I28" s="121"/>
      <c r="J28" s="121"/>
      <c r="K28" s="121"/>
      <c r="L28" s="121"/>
      <c r="M28" s="121"/>
      <c r="N28" s="121"/>
      <c r="O28" s="121"/>
      <c r="P28" s="121"/>
      <c r="Q28" s="385" t="s">
        <v>33</v>
      </c>
      <c r="R28" s="1008" t="s">
        <v>821</v>
      </c>
      <c r="S28" s="1008"/>
      <c r="T28" s="1008"/>
      <c r="U28" s="1008"/>
      <c r="V28" s="1008"/>
      <c r="W28" s="1008"/>
      <c r="X28" s="1008"/>
      <c r="Y28" s="1008"/>
      <c r="Z28" s="536"/>
      <c r="AA28" s="367"/>
      <c r="AB28"/>
      <c r="AC28"/>
      <c r="AD28"/>
      <c r="AE28"/>
      <c r="AF28"/>
      <c r="AG28"/>
    </row>
    <row r="29" spans="1:33" ht="12.75" customHeight="1">
      <c r="A29" s="121"/>
      <c r="B29" s="121"/>
      <c r="C29" s="121"/>
      <c r="D29" s="121"/>
      <c r="E29" s="121"/>
      <c r="F29" s="121"/>
      <c r="G29" s="121"/>
      <c r="H29" s="121"/>
      <c r="I29" s="121"/>
      <c r="J29" s="121"/>
      <c r="K29" s="121"/>
      <c r="L29" s="121"/>
      <c r="M29" s="121"/>
      <c r="N29" s="121"/>
      <c r="O29" s="121"/>
      <c r="P29" s="121"/>
      <c r="Q29" s="546"/>
      <c r="R29" s="363"/>
      <c r="S29" s="363"/>
      <c r="T29" s="363"/>
      <c r="U29" s="363"/>
      <c r="V29" s="363"/>
      <c r="W29" s="363"/>
      <c r="X29" s="363"/>
      <c r="Y29" s="363"/>
      <c r="Z29" s="363"/>
      <c r="AA29" s="367"/>
      <c r="AB29"/>
      <c r="AC29"/>
      <c r="AD29"/>
      <c r="AE29"/>
      <c r="AF29"/>
      <c r="AG29"/>
    </row>
    <row r="30" spans="1:33" ht="12.75" customHeight="1">
      <c r="A30" s="121"/>
      <c r="B30" s="121"/>
      <c r="C30" s="121"/>
      <c r="D30" s="121"/>
      <c r="E30" s="121"/>
      <c r="F30" s="121"/>
      <c r="G30" s="121"/>
      <c r="H30" s="121"/>
      <c r="I30" s="121"/>
      <c r="J30" s="121"/>
      <c r="K30" s="121"/>
      <c r="L30" s="121"/>
      <c r="M30" s="121"/>
      <c r="N30" s="121"/>
      <c r="O30" s="121"/>
      <c r="P30" s="121"/>
      <c r="Q30" s="546">
        <v>2.1</v>
      </c>
      <c r="R30" s="363" t="s">
        <v>831</v>
      </c>
      <c r="S30" s="363"/>
      <c r="T30" s="363"/>
      <c r="U30" s="550"/>
      <c r="V30" s="550"/>
      <c r="W30" s="550"/>
      <c r="X30" s="550"/>
      <c r="Y30" s="551"/>
      <c r="Z30" s="551"/>
      <c r="AA30" s="367"/>
      <c r="AB30"/>
      <c r="AC30"/>
      <c r="AD30"/>
      <c r="AE30"/>
      <c r="AF30"/>
      <c r="AG30"/>
    </row>
    <row r="31" spans="1:33" ht="12.75" customHeight="1">
      <c r="A31" s="121"/>
      <c r="B31" s="121"/>
      <c r="C31" s="121"/>
      <c r="D31" s="121"/>
      <c r="E31" s="121"/>
      <c r="F31" s="121"/>
      <c r="G31" s="121"/>
      <c r="H31" s="121"/>
      <c r="I31" s="121"/>
      <c r="J31" s="121"/>
      <c r="K31" s="121"/>
      <c r="L31" s="121"/>
      <c r="M31" s="121"/>
      <c r="N31" s="121"/>
      <c r="O31" s="121"/>
      <c r="P31" s="121"/>
      <c r="Q31" s="546"/>
      <c r="R31" s="998" t="s">
        <v>77</v>
      </c>
      <c r="S31" s="999"/>
      <c r="T31" s="1000"/>
      <c r="U31" s="1019" t="s">
        <v>824</v>
      </c>
      <c r="V31" s="1019" t="s">
        <v>828</v>
      </c>
      <c r="W31" s="1019" t="s">
        <v>826</v>
      </c>
      <c r="X31" s="1019" t="s">
        <v>23</v>
      </c>
      <c r="Y31" s="552"/>
      <c r="Z31" s="552"/>
      <c r="AA31" s="367"/>
      <c r="AB31"/>
      <c r="AC31"/>
      <c r="AD31"/>
      <c r="AE31"/>
      <c r="AF31"/>
      <c r="AG31"/>
    </row>
    <row r="32" spans="1:33" ht="12.75" customHeight="1">
      <c r="A32" s="114"/>
      <c r="B32" s="114"/>
      <c r="C32" s="114"/>
      <c r="D32" s="114"/>
      <c r="E32" s="114"/>
      <c r="F32" s="114"/>
      <c r="G32" s="114"/>
      <c r="H32" s="114"/>
      <c r="I32" s="114"/>
      <c r="J32" s="114"/>
      <c r="K32" s="114"/>
      <c r="L32" s="121"/>
      <c r="M32" s="121"/>
      <c r="N32" s="121"/>
      <c r="O32" s="121"/>
      <c r="P32" s="121"/>
      <c r="Q32" s="546"/>
      <c r="R32" s="1001"/>
      <c r="S32" s="1002"/>
      <c r="T32" s="1003"/>
      <c r="U32" s="1019"/>
      <c r="V32" s="1019"/>
      <c r="W32" s="1019"/>
      <c r="X32" s="1019"/>
      <c r="Y32" s="364"/>
      <c r="Z32" s="364"/>
      <c r="AA32" s="367"/>
      <c r="AB32"/>
      <c r="AC32"/>
      <c r="AD32"/>
      <c r="AE32"/>
      <c r="AF32"/>
      <c r="AG32"/>
    </row>
    <row r="33" spans="1:33" ht="12.75" customHeight="1">
      <c r="A33" s="121"/>
      <c r="B33" s="121"/>
      <c r="C33" s="121"/>
      <c r="D33" s="121"/>
      <c r="E33" s="121"/>
      <c r="F33" s="121"/>
      <c r="G33" s="121"/>
      <c r="H33" s="121"/>
      <c r="I33" s="121"/>
      <c r="J33" s="121"/>
      <c r="K33" s="121"/>
      <c r="L33" s="121"/>
      <c r="M33" s="121"/>
      <c r="N33" s="121"/>
      <c r="O33" s="121"/>
      <c r="P33" s="121"/>
      <c r="Q33" s="546"/>
      <c r="R33" s="1020" t="s">
        <v>500</v>
      </c>
      <c r="S33" s="1020"/>
      <c r="T33" s="1020"/>
      <c r="U33" s="369">
        <v>23.9</v>
      </c>
      <c r="V33" s="369">
        <f>'Lookup Properties'!$C$7</f>
        <v>15.4</v>
      </c>
      <c r="W33" s="369">
        <f>'Lookup Properties'!$D$7</f>
        <v>4.8</v>
      </c>
      <c r="X33" s="553">
        <f>SUM(U33:W33)</f>
        <v>44.099999999999994</v>
      </c>
      <c r="Y33" s="364"/>
      <c r="Z33" s="364"/>
      <c r="AA33" s="367"/>
      <c r="AB33"/>
      <c r="AC33"/>
      <c r="AD33"/>
      <c r="AE33"/>
      <c r="AF33"/>
      <c r="AG33"/>
    </row>
    <row r="34" spans="1:33" ht="12.75" customHeight="1">
      <c r="A34" s="121"/>
      <c r="B34" s="121"/>
      <c r="C34" s="121"/>
      <c r="D34" s="121"/>
      <c r="E34" s="121"/>
      <c r="F34" s="121"/>
      <c r="G34" s="121"/>
      <c r="H34" s="121"/>
      <c r="I34" s="121"/>
      <c r="J34" s="121"/>
      <c r="K34" s="121"/>
      <c r="L34" s="121"/>
      <c r="M34" s="121"/>
      <c r="N34" s="121"/>
      <c r="O34" s="121"/>
      <c r="P34" s="121"/>
      <c r="Q34" s="546"/>
      <c r="R34" s="1017" t="s">
        <v>22</v>
      </c>
      <c r="S34" s="1017"/>
      <c r="T34" s="1017"/>
      <c r="U34" s="369">
        <f>'Lookup Properties'!$B$5</f>
        <v>22.35</v>
      </c>
      <c r="V34" s="369">
        <f>'Lookup Properties'!$C$5</f>
        <v>17.399999999999999</v>
      </c>
      <c r="W34" s="369">
        <f>'Lookup Properties'!$D$5</f>
        <v>5</v>
      </c>
      <c r="X34" s="553">
        <f>SUM(U34:W34)</f>
        <v>44.75</v>
      </c>
      <c r="Y34" s="364"/>
      <c r="Z34" s="364"/>
      <c r="AA34" s="367"/>
      <c r="AB34"/>
      <c r="AC34"/>
      <c r="AD34"/>
      <c r="AE34"/>
      <c r="AF34"/>
      <c r="AG34"/>
    </row>
    <row r="35" spans="1:33" ht="12.75" customHeight="1">
      <c r="A35" s="121"/>
      <c r="B35" s="121"/>
      <c r="C35" s="121"/>
      <c r="D35" s="121"/>
      <c r="E35" s="121"/>
      <c r="F35" s="121"/>
      <c r="G35" s="121"/>
      <c r="H35" s="121"/>
      <c r="I35" s="121"/>
      <c r="J35" s="121"/>
      <c r="K35" s="121"/>
      <c r="L35" s="121"/>
      <c r="M35" s="121"/>
      <c r="N35" s="121"/>
      <c r="O35" s="121"/>
      <c r="P35" s="121"/>
      <c r="Q35" s="546"/>
      <c r="R35" s="1018" t="s">
        <v>579</v>
      </c>
      <c r="S35" s="1018"/>
      <c r="T35" s="1018"/>
      <c r="U35" s="369">
        <f>'Lookup Properties'!$B$6</f>
        <v>22.15</v>
      </c>
      <c r="V35" s="369">
        <f>'Lookup Properties'!$C$6</f>
        <v>18.149999999999999</v>
      </c>
      <c r="W35" s="369">
        <f>'Lookup Properties'!$D$6</f>
        <v>5</v>
      </c>
      <c r="X35" s="553">
        <f>SUM(U35:W35)</f>
        <v>45.3</v>
      </c>
      <c r="Y35" s="364"/>
      <c r="Z35" s="364"/>
      <c r="AA35" s="367"/>
      <c r="AB35"/>
      <c r="AC35"/>
      <c r="AD35"/>
      <c r="AE35"/>
      <c r="AF35"/>
      <c r="AG35"/>
    </row>
    <row r="36" spans="1:33" ht="12.75" customHeight="1">
      <c r="A36" s="121"/>
      <c r="B36" s="121"/>
      <c r="C36" s="121"/>
      <c r="D36" s="121"/>
      <c r="E36" s="121"/>
      <c r="F36" s="121"/>
      <c r="G36" s="121"/>
      <c r="H36" s="121"/>
      <c r="I36" s="121"/>
      <c r="J36" s="121"/>
      <c r="K36" s="121"/>
      <c r="L36" s="121"/>
      <c r="M36" s="121"/>
      <c r="N36" s="121"/>
      <c r="O36" s="121"/>
      <c r="P36" s="121"/>
      <c r="Q36" s="546"/>
      <c r="R36" s="1016" t="s">
        <v>21</v>
      </c>
      <c r="S36" s="1016"/>
      <c r="T36" s="1016"/>
      <c r="U36" s="369">
        <f>'Lookup Properties'!$B$4</f>
        <v>21.25</v>
      </c>
      <c r="V36" s="369">
        <f>'Lookup Properties'!$C$4</f>
        <v>17.399999999999999</v>
      </c>
      <c r="W36" s="369">
        <f>'Lookup Properties'!$D$4</f>
        <v>5</v>
      </c>
      <c r="X36" s="553">
        <f>SUM(U36:W36)</f>
        <v>43.65</v>
      </c>
      <c r="Y36" s="364"/>
      <c r="Z36" s="364"/>
      <c r="AA36" s="367"/>
      <c r="AB36"/>
      <c r="AC36"/>
      <c r="AD36"/>
      <c r="AE36"/>
      <c r="AF36"/>
      <c r="AG36"/>
    </row>
    <row r="37" spans="1:33" ht="12.75" customHeight="1">
      <c r="A37" s="121"/>
      <c r="B37" s="121"/>
      <c r="C37" s="121"/>
      <c r="D37" s="121"/>
      <c r="E37" s="121"/>
      <c r="F37" s="121"/>
      <c r="G37" s="121"/>
      <c r="H37" s="121"/>
      <c r="I37" s="121"/>
      <c r="J37" s="121"/>
      <c r="K37" s="121"/>
      <c r="L37" s="121"/>
      <c r="M37" s="121"/>
      <c r="N37" s="121"/>
      <c r="O37" s="121"/>
      <c r="P37" s="121"/>
      <c r="Q37" s="364"/>
      <c r="R37" s="364"/>
      <c r="S37" s="364"/>
      <c r="T37" s="364"/>
      <c r="U37" s="555"/>
      <c r="V37" s="555"/>
      <c r="W37" s="555"/>
      <c r="X37" s="555"/>
      <c r="Y37" s="555"/>
      <c r="Z37" s="364"/>
      <c r="AA37" s="367"/>
      <c r="AB37"/>
      <c r="AC37"/>
      <c r="AD37"/>
      <c r="AE37"/>
      <c r="AF37"/>
      <c r="AG37"/>
    </row>
    <row r="38" spans="1:33" ht="12.75" customHeight="1">
      <c r="A38" s="121"/>
      <c r="B38" s="121"/>
      <c r="C38" s="121"/>
      <c r="D38" s="121"/>
      <c r="E38" s="121"/>
      <c r="F38" s="121"/>
      <c r="G38" s="121"/>
      <c r="H38" s="121"/>
      <c r="I38" s="121"/>
      <c r="J38" s="121"/>
      <c r="K38" s="121"/>
      <c r="L38" s="121"/>
      <c r="M38" s="121"/>
      <c r="N38" s="121"/>
      <c r="O38" s="121"/>
      <c r="P38" s="121"/>
      <c r="Q38" s="360">
        <v>2.2000000000000002</v>
      </c>
      <c r="R38" s="363" t="s">
        <v>832</v>
      </c>
      <c r="S38" s="363"/>
      <c r="T38" s="363"/>
      <c r="U38" s="363"/>
      <c r="V38" s="363"/>
      <c r="W38" s="363"/>
      <c r="X38" s="363"/>
      <c r="Y38" s="363"/>
      <c r="Z38" s="364"/>
      <c r="AA38" s="367"/>
      <c r="AB38"/>
      <c r="AC38"/>
      <c r="AD38"/>
      <c r="AE38"/>
      <c r="AF38"/>
      <c r="AG38"/>
    </row>
    <row r="39" spans="1:33" ht="12.75" customHeight="1">
      <c r="A39" s="121"/>
      <c r="B39" s="121"/>
      <c r="C39" s="121"/>
      <c r="D39" s="121"/>
      <c r="E39" s="121"/>
      <c r="F39" s="121"/>
      <c r="G39" s="121"/>
      <c r="H39" s="121"/>
      <c r="I39" s="121"/>
      <c r="J39" s="121"/>
      <c r="K39" s="121"/>
      <c r="L39" s="121"/>
      <c r="M39" s="121"/>
      <c r="N39" s="121"/>
      <c r="O39" s="121"/>
      <c r="P39" s="121"/>
      <c r="Q39" s="360"/>
      <c r="R39" s="998" t="s">
        <v>77</v>
      </c>
      <c r="S39" s="999"/>
      <c r="T39" s="1000"/>
      <c r="U39" s="1019" t="s">
        <v>824</v>
      </c>
      <c r="V39" s="1019" t="s">
        <v>828</v>
      </c>
      <c r="W39" s="1019" t="s">
        <v>826</v>
      </c>
      <c r="X39" s="1019" t="s">
        <v>23</v>
      </c>
      <c r="Y39" s="364"/>
      <c r="Z39" s="364"/>
      <c r="AA39" s="367"/>
      <c r="AB39"/>
      <c r="AC39"/>
      <c r="AD39"/>
      <c r="AE39"/>
      <c r="AF39"/>
      <c r="AG39"/>
    </row>
    <row r="40" spans="1:33" ht="12.75" customHeight="1">
      <c r="A40" s="121"/>
      <c r="B40" s="121"/>
      <c r="C40" s="121"/>
      <c r="D40" s="121"/>
      <c r="E40" s="121"/>
      <c r="F40" s="121"/>
      <c r="G40" s="121"/>
      <c r="H40" s="121"/>
      <c r="I40" s="121"/>
      <c r="J40" s="121"/>
      <c r="K40" s="121"/>
      <c r="L40" s="121"/>
      <c r="M40" s="121"/>
      <c r="N40" s="121"/>
      <c r="O40" s="121"/>
      <c r="P40" s="121"/>
      <c r="Q40" s="360"/>
      <c r="R40" s="1001"/>
      <c r="S40" s="1002"/>
      <c r="T40" s="1003"/>
      <c r="U40" s="1019"/>
      <c r="V40" s="1019"/>
      <c r="W40" s="1019"/>
      <c r="X40" s="1019"/>
      <c r="Y40" s="364"/>
      <c r="Z40" s="364"/>
      <c r="AA40" s="367"/>
      <c r="AB40"/>
      <c r="AC40"/>
      <c r="AD40"/>
      <c r="AE40"/>
      <c r="AF40"/>
      <c r="AG40"/>
    </row>
    <row r="41" spans="1:33" ht="12.75" customHeight="1">
      <c r="A41" s="121"/>
      <c r="B41" s="121"/>
      <c r="C41" s="121"/>
      <c r="D41" s="121"/>
      <c r="E41" s="121"/>
      <c r="F41" s="121"/>
      <c r="G41" s="121"/>
      <c r="H41" s="121"/>
      <c r="I41" s="121"/>
      <c r="J41" s="121"/>
      <c r="K41" s="121"/>
      <c r="L41" s="121"/>
      <c r="M41" s="121"/>
      <c r="N41" s="121"/>
      <c r="O41" s="121"/>
      <c r="P41" s="121"/>
      <c r="Q41" s="360"/>
      <c r="R41" s="1020" t="s">
        <v>500</v>
      </c>
      <c r="S41" s="1020"/>
      <c r="T41" s="1020"/>
      <c r="U41" s="556">
        <f>'Lookup Properties'!$B$13</f>
        <v>0.74</v>
      </c>
      <c r="V41" s="556">
        <f>'Lookup Properties'!$C$13</f>
        <v>0.78</v>
      </c>
      <c r="W41" s="556">
        <f>'Lookup Properties'!$D$13</f>
        <v>1.26</v>
      </c>
      <c r="X41" s="553">
        <f>SUM(U41:W41)</f>
        <v>2.7800000000000002</v>
      </c>
      <c r="Y41" s="364"/>
      <c r="Z41" s="364"/>
      <c r="AA41" s="367"/>
      <c r="AB41"/>
      <c r="AC41"/>
      <c r="AD41"/>
      <c r="AE41"/>
      <c r="AF41"/>
      <c r="AG41"/>
    </row>
    <row r="42" spans="1:33" ht="12.75" customHeight="1">
      <c r="A42" s="121"/>
      <c r="B42" s="121"/>
      <c r="C42" s="121"/>
      <c r="D42" s="121"/>
      <c r="E42" s="121"/>
      <c r="F42" s="121"/>
      <c r="G42" s="121"/>
      <c r="H42" s="121"/>
      <c r="I42" s="121"/>
      <c r="J42" s="121"/>
      <c r="K42" s="121"/>
      <c r="L42" s="121"/>
      <c r="M42" s="121"/>
      <c r="N42" s="121"/>
      <c r="O42" s="121"/>
      <c r="P42" s="121"/>
      <c r="Q42" s="360"/>
      <c r="R42" s="1017" t="s">
        <v>22</v>
      </c>
      <c r="S42" s="1017"/>
      <c r="T42" s="1017"/>
      <c r="U42" s="557">
        <f>'Lookup Properties'!$B$11</f>
        <v>0.71499999999999997</v>
      </c>
      <c r="V42" s="557">
        <f>'Lookup Properties'!$C$11</f>
        <v>1.03</v>
      </c>
      <c r="W42" s="557">
        <f>'Lookup Properties'!$D$11</f>
        <v>1.29</v>
      </c>
      <c r="X42" s="553">
        <f>SUM(U42:W42)</f>
        <v>3.0350000000000001</v>
      </c>
      <c r="Y42" s="364"/>
      <c r="Z42" s="364"/>
      <c r="AA42" s="367"/>
      <c r="AB42"/>
      <c r="AC42"/>
      <c r="AD42"/>
      <c r="AE42"/>
      <c r="AF42"/>
      <c r="AG42"/>
    </row>
    <row r="43" spans="1:33" ht="12.75" customHeight="1">
      <c r="A43" s="121"/>
      <c r="B43" s="121"/>
      <c r="C43" s="121"/>
      <c r="D43" s="121"/>
      <c r="E43" s="121"/>
      <c r="F43" s="121"/>
      <c r="G43" s="121"/>
      <c r="H43" s="121"/>
      <c r="I43" s="121"/>
      <c r="J43" s="121"/>
      <c r="K43" s="121"/>
      <c r="L43" s="121"/>
      <c r="M43" s="121"/>
      <c r="N43" s="121"/>
      <c r="O43" s="121"/>
      <c r="P43" s="121"/>
      <c r="Q43" s="360"/>
      <c r="R43" s="1018" t="s">
        <v>579</v>
      </c>
      <c r="S43" s="1018"/>
      <c r="T43" s="1018"/>
      <c r="U43" s="557">
        <f>'Lookup Properties'!$B$12</f>
        <v>0.755</v>
      </c>
      <c r="V43" s="557">
        <f>'Lookup Properties'!$C$12</f>
        <v>1.07</v>
      </c>
      <c r="W43" s="557">
        <f>'Lookup Properties'!$D$12</f>
        <v>1.2949999999999999</v>
      </c>
      <c r="X43" s="553">
        <f>SUM(U43:W43)</f>
        <v>3.12</v>
      </c>
      <c r="Y43" s="364"/>
      <c r="Z43" s="364"/>
      <c r="AA43" s="367"/>
      <c r="AB43"/>
      <c r="AC43"/>
      <c r="AD43"/>
      <c r="AE43"/>
      <c r="AF43"/>
      <c r="AG43"/>
    </row>
    <row r="44" spans="1:33" ht="12.75" customHeight="1">
      <c r="A44" s="121"/>
      <c r="B44" s="121"/>
      <c r="C44" s="121"/>
      <c r="D44" s="121"/>
      <c r="E44" s="121"/>
      <c r="F44" s="121"/>
      <c r="G44" s="121"/>
      <c r="H44" s="121"/>
      <c r="I44" s="121"/>
      <c r="J44" s="121"/>
      <c r="K44" s="121"/>
      <c r="L44" s="121"/>
      <c r="M44" s="121"/>
      <c r="N44" s="121"/>
      <c r="O44" s="121"/>
      <c r="P44" s="121"/>
      <c r="Q44" s="360"/>
      <c r="R44" s="1016" t="s">
        <v>21</v>
      </c>
      <c r="S44" s="1016"/>
      <c r="T44" s="1016"/>
      <c r="U44" s="557">
        <f>'Lookup Properties'!$B$10</f>
        <v>0.71</v>
      </c>
      <c r="V44" s="557">
        <f>'Lookup Properties'!$C$10</f>
        <v>1.03</v>
      </c>
      <c r="W44" s="557">
        <f>'Lookup Properties'!$D$10</f>
        <v>1.29</v>
      </c>
      <c r="X44" s="553">
        <f>SUM(U44:W44)</f>
        <v>3.0300000000000002</v>
      </c>
      <c r="Y44" s="364"/>
      <c r="Z44" s="364"/>
      <c r="AA44" s="367"/>
      <c r="AB44"/>
      <c r="AC44"/>
      <c r="AD44"/>
      <c r="AE44"/>
      <c r="AF44"/>
      <c r="AG44"/>
    </row>
    <row r="45" spans="1:33" ht="12.75" customHeight="1">
      <c r="A45" s="121"/>
      <c r="B45" s="121"/>
      <c r="C45" s="121"/>
      <c r="D45" s="121"/>
      <c r="E45" s="121"/>
      <c r="F45" s="121"/>
      <c r="G45" s="121"/>
      <c r="H45" s="121"/>
      <c r="I45" s="121"/>
      <c r="J45" s="121"/>
      <c r="K45" s="121"/>
      <c r="L45" s="121"/>
      <c r="M45" s="121"/>
      <c r="N45" s="121"/>
      <c r="O45" s="121"/>
      <c r="P45" s="121"/>
      <c r="Q45" s="364"/>
      <c r="R45" s="364"/>
      <c r="S45" s="364"/>
      <c r="T45" s="364"/>
      <c r="U45" s="555"/>
      <c r="V45" s="555"/>
      <c r="W45" s="555"/>
      <c r="X45" s="555"/>
      <c r="Y45" s="555"/>
      <c r="Z45" s="364"/>
      <c r="AA45" s="367"/>
      <c r="AB45"/>
      <c r="AC45"/>
      <c r="AD45"/>
      <c r="AE45"/>
      <c r="AF45"/>
      <c r="AG45"/>
    </row>
    <row r="46" spans="1:33" ht="12.75" customHeight="1">
      <c r="A46" s="121"/>
      <c r="B46" s="121"/>
      <c r="C46" s="121"/>
      <c r="D46" s="121"/>
      <c r="E46" s="121"/>
      <c r="F46" s="121"/>
      <c r="G46" s="121"/>
      <c r="H46" s="121"/>
      <c r="I46" s="121"/>
      <c r="J46" s="121"/>
      <c r="K46" s="121"/>
      <c r="L46" s="121"/>
      <c r="M46" s="121"/>
      <c r="N46" s="121"/>
      <c r="O46" s="121"/>
      <c r="P46" s="121"/>
      <c r="Q46" s="387" t="s">
        <v>817</v>
      </c>
      <c r="R46" s="1015" t="s">
        <v>206</v>
      </c>
      <c r="S46" s="1015"/>
      <c r="T46" s="1015"/>
      <c r="U46" s="1015"/>
      <c r="V46" s="1015"/>
      <c r="W46" s="1015"/>
      <c r="X46" s="1015"/>
      <c r="Y46" s="1015"/>
      <c r="Z46" s="536"/>
      <c r="AA46" s="367"/>
      <c r="AB46"/>
      <c r="AC46"/>
      <c r="AD46"/>
      <c r="AE46"/>
      <c r="AF46"/>
      <c r="AG46"/>
    </row>
    <row r="47" spans="1:33" ht="12.75" customHeight="1">
      <c r="A47" s="121"/>
      <c r="B47" s="121"/>
      <c r="C47" s="121"/>
      <c r="D47" s="121"/>
      <c r="E47" s="121"/>
      <c r="F47" s="121"/>
      <c r="G47" s="121"/>
      <c r="H47" s="121"/>
      <c r="I47" s="121"/>
      <c r="J47" s="121"/>
      <c r="K47" s="121"/>
      <c r="L47" s="121"/>
      <c r="M47" s="121"/>
      <c r="N47" s="121"/>
      <c r="O47" s="121"/>
      <c r="P47" s="121"/>
      <c r="Q47" s="668"/>
      <c r="R47" s="364"/>
      <c r="S47" s="364"/>
      <c r="T47" s="364"/>
      <c r="U47" s="555"/>
      <c r="V47" s="555"/>
      <c r="W47" s="555"/>
      <c r="X47" s="555"/>
      <c r="Y47" s="555"/>
      <c r="Z47" s="364"/>
      <c r="AA47" s="367"/>
      <c r="AB47"/>
      <c r="AC47"/>
      <c r="AD47"/>
      <c r="AE47"/>
      <c r="AF47"/>
      <c r="AG47"/>
    </row>
    <row r="48" spans="1:33" ht="12.75" customHeight="1">
      <c r="A48" s="121"/>
      <c r="B48" s="121"/>
      <c r="C48" s="121"/>
      <c r="D48" s="121"/>
      <c r="E48" s="121"/>
      <c r="F48" s="121"/>
      <c r="G48" s="121"/>
      <c r="H48" s="121"/>
      <c r="I48" s="121"/>
      <c r="J48" s="121"/>
      <c r="K48" s="121"/>
      <c r="L48" s="121"/>
      <c r="M48" s="121"/>
      <c r="N48" s="121"/>
      <c r="O48" s="121"/>
      <c r="P48" s="121"/>
      <c r="Q48" s="668" t="s">
        <v>196</v>
      </c>
      <c r="R48" s="364" t="s">
        <v>207</v>
      </c>
      <c r="S48" s="364"/>
      <c r="T48" s="364"/>
      <c r="U48" s="555"/>
      <c r="V48" s="555"/>
      <c r="W48" s="555"/>
      <c r="X48" s="555"/>
      <c r="Y48" s="555"/>
      <c r="Z48" s="364"/>
      <c r="AA48" s="367"/>
      <c r="AB48"/>
      <c r="AC48"/>
      <c r="AD48"/>
      <c r="AE48"/>
      <c r="AF48"/>
      <c r="AG48"/>
    </row>
    <row r="49" spans="1:35" ht="12.75" customHeight="1">
      <c r="A49" s="121"/>
      <c r="B49" s="121"/>
      <c r="C49" s="121"/>
      <c r="D49" s="121"/>
      <c r="E49" s="121"/>
      <c r="F49" s="121"/>
      <c r="G49" s="121"/>
      <c r="H49" s="121"/>
      <c r="I49" s="121"/>
      <c r="J49" s="121"/>
      <c r="K49" s="121"/>
      <c r="L49" s="121"/>
      <c r="M49" s="121"/>
      <c r="N49" s="121"/>
      <c r="O49" s="121"/>
      <c r="P49" s="121"/>
      <c r="Q49" s="364"/>
      <c r="R49" s="962" t="s">
        <v>678</v>
      </c>
      <c r="S49" s="963"/>
      <c r="T49" s="964"/>
      <c r="U49" s="949" t="s">
        <v>500</v>
      </c>
      <c r="V49" s="938" t="s">
        <v>22</v>
      </c>
      <c r="W49" s="940" t="s">
        <v>579</v>
      </c>
      <c r="X49" s="942" t="s">
        <v>21</v>
      </c>
      <c r="Y49" s="361"/>
      <c r="Z49" s="364"/>
      <c r="AA49" s="367"/>
      <c r="AB49"/>
      <c r="AC49"/>
      <c r="AD49"/>
      <c r="AE49"/>
      <c r="AF49"/>
      <c r="AG49"/>
    </row>
    <row r="50" spans="1:35" ht="12.75" customHeight="1">
      <c r="A50" s="121"/>
      <c r="B50" s="121"/>
      <c r="C50" s="121"/>
      <c r="D50" s="121"/>
      <c r="E50" s="121"/>
      <c r="F50" s="121"/>
      <c r="G50" s="121"/>
      <c r="H50" s="121"/>
      <c r="I50" s="121"/>
      <c r="J50" s="121"/>
      <c r="K50" s="121"/>
      <c r="L50" s="121"/>
      <c r="M50" s="121"/>
      <c r="N50" s="121"/>
      <c r="O50" s="121"/>
      <c r="P50" s="121"/>
      <c r="Q50" s="364"/>
      <c r="R50" s="965"/>
      <c r="S50" s="966"/>
      <c r="T50" s="967"/>
      <c r="U50" s="950"/>
      <c r="V50" s="939"/>
      <c r="W50" s="941"/>
      <c r="X50" s="943"/>
      <c r="Y50" s="361"/>
      <c r="Z50" s="364"/>
      <c r="AA50" s="367"/>
      <c r="AB50"/>
      <c r="AC50"/>
      <c r="AD50"/>
      <c r="AE50"/>
      <c r="AF50"/>
      <c r="AG50"/>
    </row>
    <row r="51" spans="1:35" ht="12.75" customHeight="1">
      <c r="A51" s="121"/>
      <c r="B51" s="121"/>
      <c r="C51" s="121"/>
      <c r="D51" s="121"/>
      <c r="E51" s="121"/>
      <c r="F51" s="121"/>
      <c r="G51" s="121"/>
      <c r="H51" s="121"/>
      <c r="I51" s="121"/>
      <c r="J51" s="121"/>
      <c r="K51" s="121"/>
      <c r="L51" s="121"/>
      <c r="M51" s="121"/>
      <c r="N51" s="121"/>
      <c r="O51" s="121"/>
      <c r="P51" s="121"/>
      <c r="Q51" s="364"/>
      <c r="R51" s="969" t="s">
        <v>210</v>
      </c>
      <c r="S51" s="969"/>
      <c r="T51" s="969"/>
      <c r="U51" s="560">
        <v>0.3</v>
      </c>
      <c r="V51" s="537">
        <f>VLOOKUP($V$5,'Lookup Penetration Rate'!$B$8:$E$208,3)</f>
        <v>0.4</v>
      </c>
      <c r="W51" s="537">
        <f>VLOOKUP($V$5,'Lookup Penetration Rate'!$B$8:$E$208,4)</f>
        <v>0.46</v>
      </c>
      <c r="X51" s="537">
        <f>VLOOKUP($V$5,'Lookup Penetration Rate'!$B$8:$E$208,2)</f>
        <v>0.56000000000000005</v>
      </c>
      <c r="Y51" s="361"/>
      <c r="Z51" s="364"/>
      <c r="AA51" s="367"/>
      <c r="AB51"/>
      <c r="AC51"/>
      <c r="AD51"/>
      <c r="AE51"/>
      <c r="AF51"/>
      <c r="AG51"/>
    </row>
    <row r="52" spans="1:35" ht="12.75" customHeight="1">
      <c r="A52" s="121"/>
      <c r="B52" s="121"/>
      <c r="C52" s="121"/>
      <c r="D52" s="121"/>
      <c r="E52" s="121"/>
      <c r="F52" s="121"/>
      <c r="G52" s="121"/>
      <c r="H52" s="121"/>
      <c r="I52" s="121"/>
      <c r="J52" s="121"/>
      <c r="K52" s="121"/>
      <c r="L52" s="121"/>
      <c r="M52" s="121"/>
      <c r="N52" s="121"/>
      <c r="O52" s="121"/>
      <c r="P52" s="121"/>
      <c r="Q52" s="364"/>
      <c r="R52" s="364"/>
      <c r="S52" s="364"/>
      <c r="T52" s="364"/>
      <c r="U52" s="555"/>
      <c r="V52" s="555"/>
      <c r="W52" s="555"/>
      <c r="X52" s="555"/>
      <c r="Y52" s="555"/>
      <c r="Z52" s="364"/>
      <c r="AA52" s="367"/>
      <c r="AB52"/>
      <c r="AC52"/>
      <c r="AD52"/>
      <c r="AE52"/>
      <c r="AF52"/>
      <c r="AG52"/>
    </row>
    <row r="53" spans="1:35" ht="12.75" customHeight="1">
      <c r="A53" s="121"/>
      <c r="B53" s="121"/>
      <c r="C53" s="121"/>
      <c r="D53" s="121"/>
      <c r="E53" s="121"/>
      <c r="F53" s="121"/>
      <c r="G53" s="121"/>
      <c r="H53" s="121"/>
      <c r="I53" s="121"/>
      <c r="J53" s="121"/>
      <c r="K53" s="121"/>
      <c r="L53" s="121"/>
      <c r="M53" s="121"/>
      <c r="N53" s="121"/>
      <c r="O53" s="121"/>
      <c r="P53" s="121"/>
      <c r="Q53" s="668" t="s">
        <v>197</v>
      </c>
      <c r="R53" s="364" t="s">
        <v>208</v>
      </c>
      <c r="S53" s="364"/>
      <c r="T53" s="364"/>
      <c r="U53" s="555"/>
      <c r="V53" s="555"/>
      <c r="W53" s="555"/>
      <c r="X53" s="555"/>
      <c r="Y53" s="555"/>
      <c r="Z53" s="364"/>
      <c r="AA53" s="367"/>
      <c r="AB53"/>
      <c r="AC53"/>
      <c r="AD53"/>
      <c r="AE53"/>
      <c r="AF53"/>
      <c r="AG53"/>
    </row>
    <row r="54" spans="1:35" ht="12.75" customHeight="1">
      <c r="A54" s="121"/>
      <c r="B54" s="121"/>
      <c r="C54" s="121"/>
      <c r="D54" s="121"/>
      <c r="E54" s="121"/>
      <c r="F54" s="121"/>
      <c r="G54" s="121"/>
      <c r="H54" s="121"/>
      <c r="I54" s="121"/>
      <c r="J54" s="121"/>
      <c r="K54" s="121"/>
      <c r="L54" s="121"/>
      <c r="M54" s="121"/>
      <c r="N54" s="121"/>
      <c r="O54" s="121"/>
      <c r="P54" s="121"/>
      <c r="Q54" s="668"/>
      <c r="R54" s="962" t="s">
        <v>678</v>
      </c>
      <c r="S54" s="963"/>
      <c r="T54" s="964"/>
      <c r="U54" s="949" t="s">
        <v>500</v>
      </c>
      <c r="V54" s="938" t="s">
        <v>22</v>
      </c>
      <c r="W54" s="940" t="s">
        <v>579</v>
      </c>
      <c r="X54" s="942" t="s">
        <v>21</v>
      </c>
      <c r="Y54" s="361"/>
      <c r="Z54" s="364"/>
      <c r="AA54" s="367"/>
      <c r="AB54"/>
      <c r="AC54"/>
      <c r="AD54"/>
      <c r="AE54"/>
      <c r="AF54"/>
      <c r="AG54"/>
    </row>
    <row r="55" spans="1:35" ht="12.75" customHeight="1">
      <c r="A55" s="121"/>
      <c r="B55" s="121"/>
      <c r="C55" s="121"/>
      <c r="D55" s="121"/>
      <c r="E55" s="121"/>
      <c r="F55" s="121"/>
      <c r="G55" s="121"/>
      <c r="H55" s="121"/>
      <c r="I55" s="121"/>
      <c r="J55" s="121"/>
      <c r="K55" s="121"/>
      <c r="L55" s="121"/>
      <c r="M55" s="121"/>
      <c r="N55" s="121"/>
      <c r="O55" s="121"/>
      <c r="P55" s="121"/>
      <c r="Q55" s="668"/>
      <c r="R55" s="965"/>
      <c r="S55" s="966"/>
      <c r="T55" s="967"/>
      <c r="U55" s="950"/>
      <c r="V55" s="939"/>
      <c r="W55" s="941"/>
      <c r="X55" s="943"/>
      <c r="Y55" s="361"/>
      <c r="Z55" s="364"/>
      <c r="AA55" s="367"/>
      <c r="AB55"/>
      <c r="AC55"/>
      <c r="AD55"/>
      <c r="AE55"/>
      <c r="AF55"/>
      <c r="AG55"/>
    </row>
    <row r="56" spans="1:35" ht="12.75" customHeight="1">
      <c r="A56" s="121"/>
      <c r="B56" s="121"/>
      <c r="C56" s="121"/>
      <c r="D56" s="121"/>
      <c r="E56" s="121"/>
      <c r="F56" s="121"/>
      <c r="G56" s="121"/>
      <c r="H56" s="121"/>
      <c r="I56" s="121"/>
      <c r="J56" s="121"/>
      <c r="K56" s="121"/>
      <c r="L56" s="121"/>
      <c r="M56" s="121"/>
      <c r="N56" s="121"/>
      <c r="O56" s="121"/>
      <c r="P56" s="121"/>
      <c r="Q56" s="668"/>
      <c r="R56" s="969" t="s">
        <v>209</v>
      </c>
      <c r="S56" s="969"/>
      <c r="T56" s="969"/>
      <c r="U56" s="560">
        <f>$V$20/U51</f>
        <v>4</v>
      </c>
      <c r="V56" s="669">
        <f>$V$20/V51</f>
        <v>2.9999999999999996</v>
      </c>
      <c r="W56" s="669">
        <f>$V$20/W51</f>
        <v>2.6086956521739126</v>
      </c>
      <c r="X56" s="669">
        <f>$V$20/X51</f>
        <v>2.1428571428571428</v>
      </c>
      <c r="Y56" s="361"/>
      <c r="Z56" s="364"/>
      <c r="AA56" s="367"/>
      <c r="AB56"/>
      <c r="AC56"/>
      <c r="AD56"/>
      <c r="AE56"/>
      <c r="AF56"/>
      <c r="AG56"/>
    </row>
    <row r="57" spans="1:35" ht="12.75" customHeight="1">
      <c r="A57" s="121"/>
      <c r="B57" s="121"/>
      <c r="C57" s="121"/>
      <c r="D57" s="121"/>
      <c r="E57" s="121"/>
      <c r="F57" s="121"/>
      <c r="G57" s="121"/>
      <c r="H57" s="121"/>
      <c r="I57" s="121"/>
      <c r="J57" s="121"/>
      <c r="K57" s="121"/>
      <c r="L57" s="121"/>
      <c r="M57" s="121"/>
      <c r="N57" s="121"/>
      <c r="O57" s="121"/>
      <c r="P57" s="121"/>
      <c r="Q57" s="364"/>
      <c r="R57" s="364"/>
      <c r="S57" s="364"/>
      <c r="T57" s="364"/>
      <c r="U57" s="555"/>
      <c r="V57" s="555"/>
      <c r="W57" s="555"/>
      <c r="X57" s="555"/>
      <c r="Y57" s="555"/>
      <c r="Z57" s="364"/>
      <c r="AA57" s="367"/>
      <c r="AB57"/>
      <c r="AC57"/>
      <c r="AD57"/>
      <c r="AE57"/>
      <c r="AF57"/>
      <c r="AG57"/>
    </row>
    <row r="58" spans="1:35" ht="12.75" customHeight="1">
      <c r="A58" s="121"/>
      <c r="B58" s="121"/>
      <c r="C58" s="121"/>
      <c r="D58" s="121"/>
      <c r="E58" s="121"/>
      <c r="F58" s="121"/>
      <c r="G58" s="121"/>
      <c r="H58" s="121"/>
      <c r="I58" s="121"/>
      <c r="J58" s="121"/>
      <c r="K58" s="121"/>
      <c r="L58" s="121"/>
      <c r="M58" s="121"/>
      <c r="N58" s="121"/>
      <c r="O58" s="121"/>
      <c r="P58" s="121"/>
      <c r="Q58" s="563">
        <v>3.3</v>
      </c>
      <c r="R58" s="363" t="s">
        <v>211</v>
      </c>
      <c r="S58" s="363"/>
      <c r="T58" s="363"/>
      <c r="U58" s="363"/>
      <c r="V58" s="363"/>
      <c r="W58" s="363"/>
      <c r="X58" s="363"/>
      <c r="Y58" s="363"/>
      <c r="Z58" s="364"/>
      <c r="AA58" s="367"/>
      <c r="AB58"/>
      <c r="AC58"/>
      <c r="AD58"/>
      <c r="AE58"/>
      <c r="AF58"/>
      <c r="AG58"/>
    </row>
    <row r="59" spans="1:35" ht="12.75" customHeight="1">
      <c r="A59" s="121"/>
      <c r="B59" s="121"/>
      <c r="C59" s="121"/>
      <c r="D59" s="121"/>
      <c r="E59" s="121"/>
      <c r="F59" s="121"/>
      <c r="G59" s="121"/>
      <c r="H59" s="121"/>
      <c r="I59" s="121"/>
      <c r="J59" s="121"/>
      <c r="K59" s="121"/>
      <c r="L59" s="121"/>
      <c r="M59" s="121"/>
      <c r="N59" s="121"/>
      <c r="O59" s="121"/>
      <c r="P59" s="121"/>
      <c r="Q59" s="563"/>
      <c r="R59" s="962" t="s">
        <v>678</v>
      </c>
      <c r="S59" s="963"/>
      <c r="T59" s="964"/>
      <c r="U59" s="949" t="s">
        <v>500</v>
      </c>
      <c r="V59" s="938" t="s">
        <v>22</v>
      </c>
      <c r="W59" s="940" t="s">
        <v>579</v>
      </c>
      <c r="X59" s="942" t="s">
        <v>21</v>
      </c>
      <c r="Y59" s="361"/>
      <c r="Z59" s="364"/>
      <c r="AA59" s="367"/>
      <c r="AB59"/>
      <c r="AC59"/>
      <c r="AD59"/>
      <c r="AE59"/>
      <c r="AF59"/>
      <c r="AG59"/>
    </row>
    <row r="60" spans="1:35" ht="12.75" customHeight="1">
      <c r="A60" s="121"/>
      <c r="B60" s="121"/>
      <c r="C60" s="121"/>
      <c r="D60" s="121"/>
      <c r="E60" s="121"/>
      <c r="F60" s="121"/>
      <c r="G60" s="121"/>
      <c r="H60" s="121"/>
      <c r="I60" s="121"/>
      <c r="J60" s="121"/>
      <c r="K60" s="121"/>
      <c r="L60" s="121"/>
      <c r="M60" s="121"/>
      <c r="N60" s="121"/>
      <c r="O60" s="121"/>
      <c r="P60" s="121"/>
      <c r="Q60" s="563"/>
      <c r="R60" s="965"/>
      <c r="S60" s="966"/>
      <c r="T60" s="967"/>
      <c r="U60" s="950"/>
      <c r="V60" s="939"/>
      <c r="W60" s="941"/>
      <c r="X60" s="943"/>
      <c r="Y60" s="361"/>
      <c r="Z60" s="364"/>
      <c r="AA60" s="367"/>
      <c r="AB60"/>
      <c r="AC60"/>
      <c r="AD60"/>
      <c r="AE60"/>
      <c r="AF60"/>
      <c r="AG60"/>
    </row>
    <row r="61" spans="1:35" ht="12.75" customHeight="1">
      <c r="A61" s="121"/>
      <c r="B61" s="121"/>
      <c r="C61" s="121"/>
      <c r="D61" s="121"/>
      <c r="E61" s="121"/>
      <c r="F61" s="121"/>
      <c r="G61" s="121"/>
      <c r="H61" s="121"/>
      <c r="I61" s="121"/>
      <c r="J61" s="121"/>
      <c r="K61" s="121"/>
      <c r="L61" s="121"/>
      <c r="M61" s="121"/>
      <c r="N61" s="121"/>
      <c r="O61" s="121"/>
      <c r="P61" s="121"/>
      <c r="Q61" s="563"/>
      <c r="R61" s="969" t="s">
        <v>209</v>
      </c>
      <c r="S61" s="969"/>
      <c r="T61" s="969"/>
      <c r="U61" s="562">
        <f>(U56*$V$24)/$V$23</f>
        <v>160</v>
      </c>
      <c r="V61" s="670">
        <f>(V56*$V$24)/$V$23</f>
        <v>119.99999999999997</v>
      </c>
      <c r="W61" s="670">
        <f>(W56*$V$24)/$V$23</f>
        <v>104.3478260869565</v>
      </c>
      <c r="X61" s="670">
        <f>(X56*$V$24)/$V$23</f>
        <v>85.714285714285708</v>
      </c>
      <c r="Y61" s="361"/>
      <c r="Z61" s="364"/>
      <c r="AA61" s="367"/>
      <c r="AB61"/>
      <c r="AC61"/>
      <c r="AD61"/>
      <c r="AE61"/>
      <c r="AF61"/>
      <c r="AG61"/>
    </row>
    <row r="62" spans="1:35" ht="12.75" customHeight="1">
      <c r="A62" s="121"/>
      <c r="B62" s="121"/>
      <c r="C62" s="121"/>
      <c r="D62" s="121"/>
      <c r="E62" s="121"/>
      <c r="F62" s="121"/>
      <c r="G62" s="121"/>
      <c r="H62" s="121"/>
      <c r="I62" s="121"/>
      <c r="J62" s="121"/>
      <c r="K62" s="121"/>
      <c r="L62" s="121"/>
      <c r="M62" s="121"/>
      <c r="N62" s="121"/>
      <c r="O62" s="121"/>
      <c r="P62" s="121"/>
      <c r="Q62" s="563"/>
      <c r="R62" s="931" t="s">
        <v>212</v>
      </c>
      <c r="S62" s="931"/>
      <c r="T62" s="931"/>
      <c r="U62" s="537">
        <f>U61/60</f>
        <v>2.6666666666666665</v>
      </c>
      <c r="V62" s="557">
        <f>V61/60</f>
        <v>1.9999999999999996</v>
      </c>
      <c r="W62" s="557">
        <f>W61/60</f>
        <v>1.7391304347826084</v>
      </c>
      <c r="X62" s="557">
        <f>X61/60</f>
        <v>1.4285714285714284</v>
      </c>
      <c r="Y62" s="361"/>
      <c r="Z62" s="364"/>
      <c r="AA62" s="367"/>
      <c r="AB62"/>
      <c r="AC62"/>
      <c r="AD62"/>
      <c r="AE62"/>
      <c r="AF62"/>
      <c r="AG62"/>
    </row>
    <row r="63" spans="1:35" ht="12.75" customHeight="1">
      <c r="A63" s="121"/>
      <c r="B63" s="121"/>
      <c r="C63" s="121"/>
      <c r="D63" s="121"/>
      <c r="E63" s="121"/>
      <c r="F63" s="121"/>
      <c r="G63" s="121"/>
      <c r="H63" s="121"/>
      <c r="I63" s="121"/>
      <c r="J63" s="121"/>
      <c r="K63" s="121"/>
      <c r="L63" s="121"/>
      <c r="M63" s="121"/>
      <c r="N63" s="121"/>
      <c r="O63" s="121"/>
      <c r="P63" s="121"/>
      <c r="Q63" s="563"/>
      <c r="R63" s="363"/>
      <c r="S63" s="363"/>
      <c r="T63" s="363"/>
      <c r="U63" s="363"/>
      <c r="V63" s="363"/>
      <c r="W63" s="363"/>
      <c r="X63" s="363"/>
      <c r="Y63" s="363"/>
      <c r="Z63" s="364"/>
      <c r="AA63" s="367"/>
      <c r="AB63"/>
      <c r="AC63"/>
      <c r="AD63"/>
      <c r="AE63"/>
      <c r="AF63"/>
      <c r="AG63"/>
    </row>
    <row r="64" spans="1:35" ht="12.75" customHeight="1">
      <c r="A64" s="121"/>
      <c r="B64" s="121"/>
      <c r="C64" s="121"/>
      <c r="D64" s="121"/>
      <c r="E64" s="121"/>
      <c r="F64" s="121"/>
      <c r="G64" s="121"/>
      <c r="H64" s="121"/>
      <c r="I64" s="121"/>
      <c r="J64" s="121"/>
      <c r="K64" s="121"/>
      <c r="L64" s="121"/>
      <c r="M64" s="121"/>
      <c r="N64" s="121"/>
      <c r="O64" s="121"/>
      <c r="P64" s="121"/>
      <c r="Q64" s="388" t="s">
        <v>295</v>
      </c>
      <c r="R64" s="1015" t="s">
        <v>216</v>
      </c>
      <c r="S64" s="1015"/>
      <c r="T64" s="1015"/>
      <c r="U64" s="1015"/>
      <c r="V64" s="1015"/>
      <c r="W64" s="1015"/>
      <c r="X64" s="1015"/>
      <c r="Y64" s="1015"/>
      <c r="Z64" s="536"/>
      <c r="AA64" s="367"/>
      <c r="AB64"/>
      <c r="AC64"/>
      <c r="AD64"/>
      <c r="AE64"/>
      <c r="AF64"/>
      <c r="AG64"/>
      <c r="AH64" s="23"/>
      <c r="AI64" s="23"/>
    </row>
    <row r="65" spans="1:36" ht="12.75" customHeight="1">
      <c r="A65" s="121"/>
      <c r="B65" s="121"/>
      <c r="C65" s="121"/>
      <c r="D65" s="121"/>
      <c r="E65" s="121"/>
      <c r="F65" s="121"/>
      <c r="G65" s="121"/>
      <c r="H65" s="121"/>
      <c r="I65" s="121"/>
      <c r="J65" s="121"/>
      <c r="K65" s="121"/>
      <c r="L65" s="121"/>
      <c r="M65" s="121"/>
      <c r="N65" s="121"/>
      <c r="O65" s="121"/>
      <c r="P65" s="121"/>
      <c r="Q65" s="563"/>
      <c r="R65" s="363"/>
      <c r="S65" s="363"/>
      <c r="T65" s="363"/>
      <c r="U65" s="363"/>
      <c r="V65" s="363"/>
      <c r="W65" s="363"/>
      <c r="X65" s="363"/>
      <c r="Y65" s="363"/>
      <c r="Z65" s="364"/>
      <c r="AA65" s="367"/>
      <c r="AB65"/>
      <c r="AC65"/>
      <c r="AD65"/>
      <c r="AE65"/>
      <c r="AF65"/>
      <c r="AG65"/>
      <c r="AJ65" s="17"/>
    </row>
    <row r="66" spans="1:36" ht="12.75" customHeight="1">
      <c r="A66" s="121"/>
      <c r="B66" s="121"/>
      <c r="C66" s="121"/>
      <c r="D66" s="121"/>
      <c r="E66" s="121"/>
      <c r="F66" s="121"/>
      <c r="G66" s="121"/>
      <c r="H66" s="121"/>
      <c r="I66" s="121"/>
      <c r="J66" s="121"/>
      <c r="K66" s="121"/>
      <c r="L66" s="121"/>
      <c r="M66" s="121"/>
      <c r="N66" s="121"/>
      <c r="O66" s="121"/>
      <c r="P66" s="121"/>
      <c r="Q66" s="360" t="s">
        <v>502</v>
      </c>
      <c r="R66" s="364" t="s">
        <v>527</v>
      </c>
      <c r="S66" s="364"/>
      <c r="T66" s="364"/>
      <c r="U66" s="555"/>
      <c r="V66" s="555"/>
      <c r="W66" s="555"/>
      <c r="X66" s="555"/>
      <c r="Y66" s="555"/>
      <c r="Z66" s="364"/>
      <c r="AA66" s="367"/>
      <c r="AB66"/>
      <c r="AC66"/>
      <c r="AD66"/>
      <c r="AE66"/>
      <c r="AF66"/>
      <c r="AG66"/>
      <c r="AJ66" s="17"/>
    </row>
    <row r="67" spans="1:36" ht="12.75" customHeight="1">
      <c r="A67" s="121"/>
      <c r="B67" s="121"/>
      <c r="C67" s="121"/>
      <c r="D67" s="121"/>
      <c r="E67" s="121"/>
      <c r="F67" s="121"/>
      <c r="G67" s="121"/>
      <c r="H67" s="121"/>
      <c r="I67" s="121"/>
      <c r="J67" s="121"/>
      <c r="K67" s="121"/>
      <c r="L67" s="121"/>
      <c r="M67" s="121"/>
      <c r="N67" s="121"/>
      <c r="O67" s="121"/>
      <c r="P67" s="121"/>
      <c r="Q67" s="360"/>
      <c r="R67" s="962" t="s">
        <v>678</v>
      </c>
      <c r="S67" s="963"/>
      <c r="T67" s="964"/>
      <c r="U67" s="949" t="s">
        <v>500</v>
      </c>
      <c r="V67" s="938" t="s">
        <v>22</v>
      </c>
      <c r="W67" s="940" t="s">
        <v>579</v>
      </c>
      <c r="X67" s="942" t="s">
        <v>21</v>
      </c>
      <c r="Y67" s="361"/>
      <c r="Z67" s="364"/>
      <c r="AA67" s="367"/>
      <c r="AB67"/>
      <c r="AC67"/>
      <c r="AD67"/>
      <c r="AE67"/>
      <c r="AF67"/>
      <c r="AG67"/>
      <c r="AJ67" s="17"/>
    </row>
    <row r="68" spans="1:36" ht="12.75" customHeight="1">
      <c r="A68" s="121"/>
      <c r="B68" s="121"/>
      <c r="C68" s="121"/>
      <c r="D68" s="121"/>
      <c r="E68" s="121"/>
      <c r="F68" s="121"/>
      <c r="G68" s="121"/>
      <c r="H68" s="121"/>
      <c r="I68" s="121"/>
      <c r="J68" s="121"/>
      <c r="K68" s="121"/>
      <c r="L68" s="121"/>
      <c r="M68" s="121"/>
      <c r="N68" s="121"/>
      <c r="O68" s="121"/>
      <c r="P68" s="121"/>
      <c r="Q68" s="360"/>
      <c r="R68" s="965"/>
      <c r="S68" s="966"/>
      <c r="T68" s="967"/>
      <c r="U68" s="950"/>
      <c r="V68" s="939"/>
      <c r="W68" s="941"/>
      <c r="X68" s="943"/>
      <c r="Y68" s="361"/>
      <c r="Z68" s="364"/>
      <c r="AA68" s="367"/>
      <c r="AB68"/>
      <c r="AC68"/>
      <c r="AD68"/>
      <c r="AE68"/>
      <c r="AF68"/>
      <c r="AG68"/>
      <c r="AJ68" s="32"/>
    </row>
    <row r="69" spans="1:36" ht="12.75" customHeight="1">
      <c r="A69" s="121"/>
      <c r="B69" s="121"/>
      <c r="C69" s="121"/>
      <c r="D69" s="121"/>
      <c r="E69" s="121"/>
      <c r="F69" s="121"/>
      <c r="G69" s="121"/>
      <c r="H69" s="121"/>
      <c r="I69" s="121"/>
      <c r="J69" s="121"/>
      <c r="K69" s="121"/>
      <c r="L69" s="121"/>
      <c r="M69" s="121"/>
      <c r="N69" s="121"/>
      <c r="O69" s="121"/>
      <c r="P69" s="121"/>
      <c r="Q69" s="360"/>
      <c r="R69" s="969" t="s">
        <v>63</v>
      </c>
      <c r="S69" s="969"/>
      <c r="T69" s="969"/>
      <c r="U69" s="369">
        <v>102</v>
      </c>
      <c r="V69" s="369">
        <f>VLOOKUP($V$5,'Lookup dBA'!$B$8:$E$208,3)</f>
        <v>108</v>
      </c>
      <c r="W69" s="369">
        <f>VLOOKUP($V$5,'Lookup dBA'!$B$8:$E$208,4)</f>
        <v>109</v>
      </c>
      <c r="X69" s="369">
        <f>VLOOKUP($V$5,'Lookup dBA'!$B$8:$E$208,2)</f>
        <v>116</v>
      </c>
      <c r="Y69" s="361"/>
      <c r="Z69" s="364"/>
      <c r="AA69" s="367"/>
      <c r="AB69"/>
      <c r="AC69"/>
      <c r="AD69"/>
      <c r="AE69"/>
      <c r="AF69"/>
      <c r="AG69"/>
      <c r="AJ69" s="32"/>
    </row>
    <row r="70" spans="1:36" ht="12.75" customHeight="1">
      <c r="A70" s="121"/>
      <c r="B70" s="121"/>
      <c r="C70" s="121"/>
      <c r="D70" s="121"/>
      <c r="E70" s="121"/>
      <c r="F70" s="121"/>
      <c r="G70" s="121"/>
      <c r="H70" s="121"/>
      <c r="I70" s="121"/>
      <c r="J70" s="121"/>
      <c r="K70" s="121"/>
      <c r="L70" s="121"/>
      <c r="M70" s="121"/>
      <c r="N70" s="121"/>
      <c r="O70" s="121"/>
      <c r="P70" s="121"/>
      <c r="Q70" s="360"/>
      <c r="R70" s="969" t="s">
        <v>64</v>
      </c>
      <c r="S70" s="969"/>
      <c r="T70" s="969"/>
      <c r="U70" s="369">
        <f>U69-PPE!$I$15</f>
        <v>89</v>
      </c>
      <c r="V70" s="369">
        <f>V69-PPE!$I$15</f>
        <v>95</v>
      </c>
      <c r="W70" s="369">
        <f>W69-PPE!$I$15</f>
        <v>96</v>
      </c>
      <c r="X70" s="369">
        <f>X69-PPE!$I$15</f>
        <v>103</v>
      </c>
      <c r="Y70" s="361"/>
      <c r="Z70" s="364"/>
      <c r="AA70" s="367"/>
      <c r="AB70"/>
      <c r="AC70"/>
      <c r="AD70"/>
      <c r="AE70"/>
      <c r="AF70"/>
      <c r="AG70"/>
      <c r="AJ70" s="32"/>
    </row>
    <row r="71" spans="1:36" ht="12.75" customHeight="1">
      <c r="A71" s="121"/>
      <c r="B71" s="121"/>
      <c r="C71" s="121"/>
      <c r="D71" s="121"/>
      <c r="E71" s="121"/>
      <c r="F71" s="121"/>
      <c r="G71" s="121"/>
      <c r="H71" s="121"/>
      <c r="I71" s="121"/>
      <c r="J71" s="121"/>
      <c r="K71" s="121"/>
      <c r="L71" s="121"/>
      <c r="M71" s="121"/>
      <c r="N71" s="121"/>
      <c r="O71" s="121"/>
      <c r="P71" s="121"/>
      <c r="Q71" s="360"/>
      <c r="R71" s="969" t="s">
        <v>529</v>
      </c>
      <c r="S71" s="969"/>
      <c r="T71" s="969"/>
      <c r="U71" s="369">
        <v>110</v>
      </c>
      <c r="V71" s="369">
        <v>110</v>
      </c>
      <c r="W71" s="369">
        <v>110</v>
      </c>
      <c r="X71" s="369">
        <v>110</v>
      </c>
      <c r="Y71" s="361"/>
      <c r="Z71" s="364"/>
      <c r="AA71" s="367"/>
      <c r="AB71"/>
      <c r="AC71"/>
      <c r="AD71"/>
      <c r="AE71"/>
      <c r="AF71"/>
      <c r="AG71"/>
      <c r="AJ71" s="17"/>
    </row>
    <row r="72" spans="1:36" ht="12.75" customHeight="1">
      <c r="A72" s="121"/>
      <c r="B72" s="121"/>
      <c r="C72" s="121"/>
      <c r="D72" s="121"/>
      <c r="E72" s="121"/>
      <c r="F72" s="121"/>
      <c r="G72" s="121"/>
      <c r="H72" s="121"/>
      <c r="I72" s="121"/>
      <c r="J72" s="121"/>
      <c r="K72" s="121"/>
      <c r="L72" s="121"/>
      <c r="M72" s="121"/>
      <c r="N72" s="121"/>
      <c r="O72" s="121"/>
      <c r="P72" s="121"/>
      <c r="Q72" s="360"/>
      <c r="R72" s="363"/>
      <c r="S72" s="363"/>
      <c r="T72" s="363"/>
      <c r="U72" s="363"/>
      <c r="V72" s="363"/>
      <c r="W72" s="363"/>
      <c r="X72" s="363"/>
      <c r="Y72" s="555"/>
      <c r="Z72" s="364"/>
      <c r="AA72" s="367"/>
      <c r="AB72"/>
      <c r="AC72"/>
      <c r="AD72"/>
      <c r="AE72"/>
      <c r="AF72"/>
      <c r="AG72"/>
      <c r="AJ72" s="17"/>
    </row>
    <row r="73" spans="1:36" ht="12.75" customHeight="1">
      <c r="A73" s="121"/>
      <c r="B73" s="121"/>
      <c r="C73" s="121"/>
      <c r="D73" s="121"/>
      <c r="E73" s="121"/>
      <c r="F73" s="121"/>
      <c r="G73" s="121"/>
      <c r="H73" s="121"/>
      <c r="I73" s="121"/>
      <c r="J73" s="121"/>
      <c r="K73" s="121"/>
      <c r="L73" s="121"/>
      <c r="M73" s="121"/>
      <c r="N73" s="121"/>
      <c r="O73" s="121"/>
      <c r="P73" s="121"/>
      <c r="Q73" s="360" t="s">
        <v>503</v>
      </c>
      <c r="R73" s="364" t="s">
        <v>528</v>
      </c>
      <c r="S73" s="364"/>
      <c r="T73" s="364"/>
      <c r="U73" s="555"/>
      <c r="V73" s="555"/>
      <c r="W73" s="555"/>
      <c r="X73" s="555"/>
      <c r="Y73" s="555"/>
      <c r="Z73" s="364"/>
      <c r="AA73" s="367"/>
      <c r="AB73"/>
      <c r="AC73"/>
      <c r="AD73"/>
      <c r="AE73"/>
      <c r="AF73"/>
      <c r="AG73"/>
      <c r="AJ73" s="17"/>
    </row>
    <row r="74" spans="1:36" ht="12.75" customHeight="1">
      <c r="A74" s="121"/>
      <c r="B74" s="121"/>
      <c r="C74" s="121"/>
      <c r="D74" s="121"/>
      <c r="E74" s="121"/>
      <c r="F74" s="121"/>
      <c r="G74" s="121"/>
      <c r="H74" s="121"/>
      <c r="I74" s="121"/>
      <c r="J74" s="121"/>
      <c r="K74" s="121"/>
      <c r="L74" s="121"/>
      <c r="M74" s="121"/>
      <c r="N74" s="121"/>
      <c r="O74" s="121"/>
      <c r="P74" s="121"/>
      <c r="Q74" s="360"/>
      <c r="R74" s="935" t="s">
        <v>678</v>
      </c>
      <c r="S74" s="935"/>
      <c r="T74" s="935"/>
      <c r="U74" s="930" t="s">
        <v>500</v>
      </c>
      <c r="V74" s="928" t="s">
        <v>22</v>
      </c>
      <c r="W74" s="929" t="s">
        <v>579</v>
      </c>
      <c r="X74" s="927" t="s">
        <v>21</v>
      </c>
      <c r="Y74" s="361"/>
      <c r="Z74" s="364"/>
      <c r="AA74" s="367"/>
      <c r="AB74"/>
      <c r="AC74"/>
      <c r="AD74"/>
      <c r="AE74"/>
      <c r="AF74"/>
      <c r="AG74"/>
      <c r="AJ74" s="17"/>
    </row>
    <row r="75" spans="1:36" ht="12.75" customHeight="1">
      <c r="A75" s="121"/>
      <c r="B75" s="121"/>
      <c r="C75" s="121"/>
      <c r="D75" s="121"/>
      <c r="E75" s="121"/>
      <c r="F75" s="121"/>
      <c r="G75" s="121"/>
      <c r="H75" s="121"/>
      <c r="I75" s="121"/>
      <c r="J75" s="121"/>
      <c r="K75" s="121"/>
      <c r="L75" s="121"/>
      <c r="M75" s="121"/>
      <c r="N75" s="121"/>
      <c r="O75" s="121"/>
      <c r="P75" s="121"/>
      <c r="Q75" s="360"/>
      <c r="R75" s="935"/>
      <c r="S75" s="935"/>
      <c r="T75" s="935"/>
      <c r="U75" s="930"/>
      <c r="V75" s="928"/>
      <c r="W75" s="929"/>
      <c r="X75" s="927"/>
      <c r="Y75" s="361"/>
      <c r="Z75" s="364"/>
      <c r="AA75" s="367"/>
      <c r="AB75"/>
      <c r="AC75"/>
      <c r="AD75"/>
      <c r="AE75"/>
      <c r="AF75"/>
      <c r="AG75"/>
      <c r="AJ75" s="17"/>
    </row>
    <row r="76" spans="1:36" ht="12.75" customHeight="1">
      <c r="Q76" s="360"/>
      <c r="R76" s="969" t="s">
        <v>63</v>
      </c>
      <c r="S76" s="969"/>
      <c r="T76" s="969"/>
      <c r="U76" s="369">
        <f>VLOOKUP($V$21,$R$309:$Z$314,5)</f>
        <v>108.02059991327964</v>
      </c>
      <c r="V76" s="369">
        <f>VLOOKUP($V$21,$R$309:$Z$314,3)</f>
        <v>114.02059991327963</v>
      </c>
      <c r="W76" s="369">
        <f>VLOOKUP($V$21,$R$309:$Z$314,4)</f>
        <v>115.02059991327963</v>
      </c>
      <c r="X76" s="369">
        <f>VLOOKUP($V$21,$R$309:$Z$314,2)</f>
        <v>122.02059991327964</v>
      </c>
      <c r="Y76" s="361"/>
      <c r="Z76" s="364"/>
      <c r="AA76" s="367"/>
      <c r="AB76"/>
      <c r="AC76"/>
      <c r="AD76"/>
      <c r="AE76"/>
      <c r="AF76"/>
      <c r="AG76"/>
      <c r="AJ76" s="17"/>
    </row>
    <row r="77" spans="1:36" ht="12.75" customHeight="1">
      <c r="Q77" s="360"/>
      <c r="R77" s="969" t="s">
        <v>64</v>
      </c>
      <c r="S77" s="969"/>
      <c r="T77" s="969"/>
      <c r="U77" s="369">
        <f>U76-PPE!$I$15</f>
        <v>95.020599913279639</v>
      </c>
      <c r="V77" s="369">
        <f>V76-PPE!$I$15</f>
        <v>101.02059991327963</v>
      </c>
      <c r="W77" s="369">
        <f>W76-PPE!$I$15</f>
        <v>102.02059991327963</v>
      </c>
      <c r="X77" s="369">
        <f>X76-PPE!$I$15</f>
        <v>109.02059991327964</v>
      </c>
      <c r="Y77" s="361"/>
      <c r="Z77" s="364"/>
      <c r="AA77" s="367"/>
      <c r="AB77"/>
      <c r="AC77"/>
      <c r="AD77"/>
      <c r="AE77"/>
      <c r="AF77"/>
      <c r="AG77"/>
      <c r="AJ77" s="17"/>
    </row>
    <row r="78" spans="1:36" ht="12.75" customHeight="1">
      <c r="Q78" s="360"/>
      <c r="R78" s="969" t="s">
        <v>529</v>
      </c>
      <c r="S78" s="969"/>
      <c r="T78" s="969"/>
      <c r="U78" s="369">
        <v>110</v>
      </c>
      <c r="V78" s="369">
        <v>110</v>
      </c>
      <c r="W78" s="369">
        <v>110</v>
      </c>
      <c r="X78" s="369">
        <v>110</v>
      </c>
      <c r="Y78" s="361"/>
      <c r="Z78" s="364"/>
      <c r="AA78" s="367"/>
      <c r="AB78"/>
      <c r="AC78"/>
      <c r="AD78"/>
      <c r="AE78"/>
      <c r="AF78"/>
      <c r="AG78"/>
      <c r="AJ78" s="17"/>
    </row>
    <row r="79" spans="1:36" ht="12.75" customHeight="1">
      <c r="Q79" s="360"/>
      <c r="R79" s="364"/>
      <c r="S79" s="364"/>
      <c r="T79" s="364"/>
      <c r="U79" s="555"/>
      <c r="V79" s="555"/>
      <c r="W79" s="555"/>
      <c r="X79" s="555"/>
      <c r="Y79" s="555"/>
      <c r="Z79" s="364"/>
      <c r="AA79" s="367"/>
      <c r="AB79"/>
      <c r="AC79"/>
      <c r="AD79"/>
      <c r="AE79"/>
      <c r="AF79"/>
      <c r="AG79"/>
      <c r="AJ79" s="43"/>
    </row>
    <row r="80" spans="1:36" ht="12.75" customHeight="1">
      <c r="Q80" s="385" t="s">
        <v>305</v>
      </c>
      <c r="R80" s="1008" t="s">
        <v>218</v>
      </c>
      <c r="S80" s="1008"/>
      <c r="T80" s="1008"/>
      <c r="U80" s="1008"/>
      <c r="V80" s="1008"/>
      <c r="W80" s="1008"/>
      <c r="X80" s="1008"/>
      <c r="Y80" s="1008"/>
      <c r="Z80" s="536"/>
      <c r="AA80" s="367"/>
      <c r="AB80"/>
      <c r="AC80"/>
      <c r="AD80"/>
      <c r="AE80"/>
      <c r="AF80"/>
      <c r="AG80"/>
      <c r="AJ80" s="43"/>
    </row>
    <row r="81" spans="17:36" ht="12.75" customHeight="1">
      <c r="Q81" s="546"/>
      <c r="R81" s="363"/>
      <c r="S81" s="363"/>
      <c r="T81" s="363"/>
      <c r="U81" s="363"/>
      <c r="V81" s="363"/>
      <c r="W81" s="363"/>
      <c r="X81" s="363"/>
      <c r="Y81" s="363"/>
      <c r="Z81" s="364"/>
      <c r="AA81" s="367"/>
      <c r="AB81"/>
      <c r="AC81"/>
      <c r="AD81"/>
      <c r="AE81"/>
      <c r="AF81"/>
      <c r="AG81"/>
      <c r="AJ81" s="43"/>
    </row>
    <row r="82" spans="17:36" ht="12.75" customHeight="1">
      <c r="Q82" s="546"/>
      <c r="R82" s="363" t="s">
        <v>436</v>
      </c>
      <c r="S82" s="363"/>
      <c r="T82" s="363"/>
      <c r="U82" s="363"/>
      <c r="V82" s="363"/>
      <c r="W82" s="363"/>
      <c r="X82" s="363"/>
      <c r="Y82" s="363"/>
      <c r="Z82" s="364"/>
      <c r="AA82" s="367"/>
      <c r="AB82"/>
      <c r="AC82"/>
      <c r="AD82"/>
      <c r="AE82"/>
      <c r="AF82"/>
      <c r="AG82"/>
    </row>
    <row r="83" spans="17:36" ht="12.75" customHeight="1">
      <c r="Q83" s="360"/>
      <c r="R83" s="935" t="s">
        <v>678</v>
      </c>
      <c r="S83" s="935"/>
      <c r="T83" s="935"/>
      <c r="U83" s="949" t="s">
        <v>500</v>
      </c>
      <c r="V83" s="1011" t="s">
        <v>22</v>
      </c>
      <c r="W83" s="1013" t="s">
        <v>579</v>
      </c>
      <c r="X83" s="1009" t="s">
        <v>21</v>
      </c>
      <c r="Y83" s="361"/>
      <c r="Z83" s="364"/>
      <c r="AA83" s="367"/>
      <c r="AB83"/>
      <c r="AC83"/>
      <c r="AD83"/>
      <c r="AE83"/>
      <c r="AF83"/>
      <c r="AG83"/>
    </row>
    <row r="84" spans="17:36" ht="12.75" customHeight="1">
      <c r="Q84" s="360"/>
      <c r="R84" s="935"/>
      <c r="S84" s="935"/>
      <c r="T84" s="935"/>
      <c r="U84" s="950"/>
      <c r="V84" s="1012"/>
      <c r="W84" s="1014"/>
      <c r="X84" s="1010"/>
      <c r="Y84" s="361"/>
      <c r="Z84" s="364"/>
      <c r="AA84" s="367"/>
      <c r="AB84"/>
      <c r="AC84"/>
      <c r="AD84"/>
      <c r="AE84"/>
      <c r="AF84"/>
      <c r="AG84"/>
    </row>
    <row r="85" spans="17:36" ht="12.75" customHeight="1">
      <c r="Q85" s="360"/>
      <c r="R85" s="969" t="s">
        <v>63</v>
      </c>
      <c r="S85" s="969"/>
      <c r="T85" s="969"/>
      <c r="U85" s="369">
        <f>U414</f>
        <v>97.15</v>
      </c>
      <c r="V85" s="369">
        <f>U356</f>
        <v>101.95</v>
      </c>
      <c r="W85" s="369">
        <f>U385</f>
        <v>102.4</v>
      </c>
      <c r="X85" s="369">
        <f>U327</f>
        <v>108.5</v>
      </c>
      <c r="Y85" s="361"/>
      <c r="Z85" s="364"/>
      <c r="AA85" s="367"/>
      <c r="AB85"/>
      <c r="AC85"/>
      <c r="AD85"/>
      <c r="AE85"/>
      <c r="AF85"/>
      <c r="AG85"/>
    </row>
    <row r="86" spans="17:36" ht="12.75" customHeight="1">
      <c r="Q86" s="360"/>
      <c r="R86" s="969" t="s">
        <v>64</v>
      </c>
      <c r="S86" s="969"/>
      <c r="T86" s="969"/>
      <c r="U86" s="369">
        <f>U427</f>
        <v>84.15</v>
      </c>
      <c r="V86" s="369">
        <f>U369</f>
        <v>88.95</v>
      </c>
      <c r="W86" s="369">
        <f>U398</f>
        <v>89.3</v>
      </c>
      <c r="X86" s="369">
        <f>U340</f>
        <v>95.55</v>
      </c>
      <c r="Y86" s="361"/>
      <c r="Z86" s="364"/>
      <c r="AA86" s="367"/>
      <c r="AB86"/>
      <c r="AC86"/>
      <c r="AD86"/>
      <c r="AE86"/>
      <c r="AF86"/>
      <c r="AG86"/>
    </row>
    <row r="87" spans="17:36" ht="12.75" customHeight="1">
      <c r="Q87" s="360"/>
      <c r="R87" s="969" t="s">
        <v>530</v>
      </c>
      <c r="S87" s="969"/>
      <c r="T87" s="969"/>
      <c r="U87" s="369">
        <v>85</v>
      </c>
      <c r="V87" s="369">
        <v>85</v>
      </c>
      <c r="W87" s="369">
        <v>85</v>
      </c>
      <c r="X87" s="369">
        <v>85</v>
      </c>
      <c r="Y87" s="361"/>
      <c r="Z87" s="364"/>
      <c r="AA87" s="367"/>
      <c r="AB87"/>
      <c r="AC87"/>
      <c r="AD87"/>
      <c r="AE87"/>
      <c r="AF87"/>
      <c r="AG87"/>
    </row>
    <row r="88" spans="17:36" ht="12.75" customHeight="1">
      <c r="Q88" s="360"/>
      <c r="R88" s="363"/>
      <c r="S88" s="363"/>
      <c r="T88" s="363"/>
      <c r="U88" s="363"/>
      <c r="V88" s="363"/>
      <c r="W88" s="363"/>
      <c r="X88" s="363"/>
      <c r="Y88" s="363"/>
      <c r="Z88" s="364"/>
      <c r="AA88" s="367"/>
      <c r="AB88"/>
      <c r="AC88"/>
      <c r="AD88"/>
      <c r="AE88"/>
      <c r="AF88"/>
      <c r="AG88"/>
    </row>
    <row r="89" spans="17:36" ht="12.75" customHeight="1">
      <c r="Q89" s="360"/>
      <c r="R89" s="363" t="s">
        <v>437</v>
      </c>
      <c r="S89" s="363"/>
      <c r="T89" s="363"/>
      <c r="U89" s="363"/>
      <c r="V89" s="363"/>
      <c r="W89" s="363"/>
      <c r="X89" s="363"/>
      <c r="Y89" s="363"/>
      <c r="Z89" s="364"/>
      <c r="AA89" s="367"/>
      <c r="AB89"/>
      <c r="AC89"/>
      <c r="AD89"/>
      <c r="AE89"/>
      <c r="AF89"/>
      <c r="AG89"/>
    </row>
    <row r="90" spans="17:36" ht="12.75" customHeight="1">
      <c r="Q90" s="360"/>
      <c r="R90" s="935" t="s">
        <v>678</v>
      </c>
      <c r="S90" s="935"/>
      <c r="T90" s="935"/>
      <c r="U90" s="949" t="s">
        <v>500</v>
      </c>
      <c r="V90" s="1011" t="s">
        <v>22</v>
      </c>
      <c r="W90" s="1013" t="s">
        <v>579</v>
      </c>
      <c r="X90" s="1009" t="s">
        <v>21</v>
      </c>
      <c r="Y90" s="361"/>
      <c r="Z90" s="364"/>
      <c r="AA90" s="367"/>
      <c r="AB90"/>
      <c r="AC90"/>
      <c r="AD90"/>
      <c r="AE90"/>
      <c r="AF90"/>
      <c r="AG90"/>
    </row>
    <row r="91" spans="17:36" ht="12.75" customHeight="1">
      <c r="Q91" s="360"/>
      <c r="R91" s="935"/>
      <c r="S91" s="935"/>
      <c r="T91" s="935"/>
      <c r="U91" s="950"/>
      <c r="V91" s="1012"/>
      <c r="W91" s="1014"/>
      <c r="X91" s="1010"/>
      <c r="Y91" s="361"/>
      <c r="Z91" s="364"/>
      <c r="AA91" s="367"/>
      <c r="AB91"/>
      <c r="AC91"/>
      <c r="AD91"/>
      <c r="AE91"/>
      <c r="AF91"/>
      <c r="AG91"/>
    </row>
    <row r="92" spans="17:36" ht="12.75" customHeight="1">
      <c r="Q92" s="360"/>
      <c r="R92" s="969" t="s">
        <v>63</v>
      </c>
      <c r="S92" s="969"/>
      <c r="T92" s="969"/>
      <c r="U92" s="369">
        <f>U533</f>
        <v>103.15</v>
      </c>
      <c r="V92" s="369">
        <f>U475</f>
        <v>107.95</v>
      </c>
      <c r="W92" s="369">
        <f>U504</f>
        <v>108.4</v>
      </c>
      <c r="X92" s="369">
        <f>U446</f>
        <v>113.95</v>
      </c>
      <c r="Y92" s="361"/>
      <c r="Z92" s="364"/>
      <c r="AA92" s="367"/>
      <c r="AB92"/>
      <c r="AC92"/>
      <c r="AD92"/>
      <c r="AE92"/>
      <c r="AF92"/>
      <c r="AG92"/>
    </row>
    <row r="93" spans="17:36" ht="12.75" customHeight="1">
      <c r="Q93" s="360"/>
      <c r="R93" s="969" t="s">
        <v>64</v>
      </c>
      <c r="S93" s="969"/>
      <c r="T93" s="969"/>
      <c r="U93" s="369">
        <f>U546</f>
        <v>90.15</v>
      </c>
      <c r="V93" s="369">
        <f>U488</f>
        <v>94.95</v>
      </c>
      <c r="W93" s="369">
        <f>U517</f>
        <v>95.3</v>
      </c>
      <c r="X93" s="369">
        <f>U459</f>
        <v>101.55</v>
      </c>
      <c r="Y93" s="361"/>
      <c r="Z93" s="364"/>
      <c r="AA93" s="367"/>
      <c r="AB93"/>
      <c r="AC93"/>
      <c r="AD93"/>
      <c r="AE93"/>
      <c r="AF93"/>
      <c r="AG93"/>
    </row>
    <row r="94" spans="17:36" ht="12.75" customHeight="1">
      <c r="Q94" s="360"/>
      <c r="R94" s="969" t="s">
        <v>530</v>
      </c>
      <c r="S94" s="969"/>
      <c r="T94" s="969"/>
      <c r="U94" s="369">
        <v>85</v>
      </c>
      <c r="V94" s="369">
        <v>85</v>
      </c>
      <c r="W94" s="369">
        <v>85</v>
      </c>
      <c r="X94" s="369">
        <v>85</v>
      </c>
      <c r="Y94" s="361"/>
      <c r="Z94" s="364"/>
      <c r="AA94" s="367"/>
      <c r="AB94"/>
      <c r="AC94"/>
      <c r="AD94"/>
      <c r="AE94"/>
      <c r="AF94"/>
      <c r="AG94"/>
    </row>
    <row r="95" spans="17:36" s="133" customFormat="1" ht="12.75" customHeight="1">
      <c r="Q95" s="360"/>
      <c r="R95" s="363"/>
      <c r="S95" s="363"/>
      <c r="T95" s="363"/>
      <c r="U95" s="363"/>
      <c r="V95" s="363"/>
      <c r="W95" s="363"/>
      <c r="X95" s="363"/>
      <c r="Y95" s="363"/>
      <c r="Z95" s="364"/>
      <c r="AA95" s="367"/>
      <c r="AB95"/>
      <c r="AC95"/>
      <c r="AD95"/>
      <c r="AE95"/>
      <c r="AF95"/>
      <c r="AG95"/>
    </row>
    <row r="96" spans="17:36" ht="12.75" customHeight="1">
      <c r="Q96" s="385" t="s">
        <v>222</v>
      </c>
      <c r="R96" s="1008" t="s">
        <v>504</v>
      </c>
      <c r="S96" s="1008"/>
      <c r="T96" s="1008"/>
      <c r="U96" s="1008"/>
      <c r="V96" s="1008"/>
      <c r="W96" s="1008"/>
      <c r="X96" s="1008"/>
      <c r="Y96" s="1008"/>
      <c r="Z96" s="547"/>
      <c r="AA96" s="367"/>
      <c r="AB96"/>
      <c r="AC96"/>
      <c r="AD96"/>
      <c r="AE96"/>
      <c r="AF96"/>
      <c r="AG96"/>
    </row>
    <row r="97" spans="17:33" ht="12.75" customHeight="1">
      <c r="Q97" s="360"/>
      <c r="R97" s="363"/>
      <c r="S97" s="363"/>
      <c r="T97" s="363"/>
      <c r="U97" s="363"/>
      <c r="V97" s="363"/>
      <c r="W97" s="363"/>
      <c r="X97" s="363"/>
      <c r="Y97" s="363"/>
      <c r="Z97" s="364"/>
      <c r="AA97" s="367"/>
      <c r="AB97"/>
      <c r="AC97"/>
      <c r="AD97"/>
      <c r="AE97"/>
      <c r="AF97"/>
      <c r="AG97"/>
    </row>
    <row r="98" spans="17:33" ht="12.75" customHeight="1">
      <c r="Q98" s="360" t="s">
        <v>505</v>
      </c>
      <c r="R98" s="363" t="s">
        <v>514</v>
      </c>
      <c r="S98" s="363"/>
      <c r="T98" s="363"/>
      <c r="U98" s="363"/>
      <c r="V98" s="363"/>
      <c r="W98" s="363"/>
      <c r="X98" s="363"/>
      <c r="Y98" s="363"/>
      <c r="Z98" s="364"/>
      <c r="AA98" s="367"/>
      <c r="AB98"/>
      <c r="AC98"/>
      <c r="AD98"/>
      <c r="AE98"/>
      <c r="AF98"/>
      <c r="AG98"/>
    </row>
    <row r="99" spans="17:33" ht="12.75" customHeight="1">
      <c r="Q99" s="360"/>
      <c r="R99" s="363" t="s">
        <v>512</v>
      </c>
      <c r="S99" s="363"/>
      <c r="T99" s="363"/>
      <c r="U99" s="363"/>
      <c r="V99" s="363"/>
      <c r="W99" s="363"/>
      <c r="X99" s="363"/>
      <c r="Y99" s="363"/>
      <c r="Z99" s="364"/>
      <c r="AA99" s="367"/>
      <c r="AB99"/>
      <c r="AC99"/>
      <c r="AD99"/>
      <c r="AE99"/>
      <c r="AF99"/>
      <c r="AG99"/>
    </row>
    <row r="100" spans="17:33" ht="12.75" customHeight="1">
      <c r="Q100" s="360"/>
      <c r="R100" s="998" t="s">
        <v>191</v>
      </c>
      <c r="S100" s="999"/>
      <c r="T100" s="1000"/>
      <c r="U100" s="949" t="s">
        <v>500</v>
      </c>
      <c r="V100" s="938" t="s">
        <v>22</v>
      </c>
      <c r="W100" s="940" t="s">
        <v>579</v>
      </c>
      <c r="X100" s="942" t="s">
        <v>21</v>
      </c>
      <c r="Y100" s="361"/>
      <c r="Z100" s="364"/>
      <c r="AA100" s="367"/>
      <c r="AB100"/>
      <c r="AC100"/>
      <c r="AD100"/>
      <c r="AE100"/>
      <c r="AF100"/>
      <c r="AG100"/>
    </row>
    <row r="101" spans="17:33" ht="12.75" customHeight="1">
      <c r="Q101" s="360"/>
      <c r="R101" s="1001"/>
      <c r="S101" s="1002"/>
      <c r="T101" s="1003"/>
      <c r="U101" s="950"/>
      <c r="V101" s="939"/>
      <c r="W101" s="941"/>
      <c r="X101" s="943"/>
      <c r="Y101" s="361"/>
      <c r="Z101" s="364"/>
      <c r="AA101" s="367"/>
      <c r="AB101"/>
      <c r="AC101"/>
      <c r="AD101"/>
      <c r="AE101"/>
      <c r="AF101"/>
      <c r="AG101"/>
    </row>
    <row r="102" spans="17:33" ht="12.75" customHeight="1">
      <c r="Q102" s="360"/>
      <c r="R102" s="969" t="s">
        <v>63</v>
      </c>
      <c r="S102" s="969"/>
      <c r="T102" s="969"/>
      <c r="U102" s="537">
        <f>VLOOKUP(U69,'Lookup Exposure Time'!$B$12:$C$732,2)</f>
        <v>10</v>
      </c>
      <c r="V102" s="537">
        <f>VLOOKUP(V69,'Lookup Exposure Time'!$B$12:$C$732,2)</f>
        <v>2.5</v>
      </c>
      <c r="W102" s="537">
        <f>VLOOKUP(W69,'Lookup Exposure Time'!$B$12:$C$732,2)</f>
        <v>1.875</v>
      </c>
      <c r="X102" s="537">
        <f>VLOOKUP(X69,'Lookup Exposure Time'!$B$12:$C$732,2)</f>
        <v>0.39061999999999986</v>
      </c>
      <c r="Y102" s="361"/>
      <c r="Z102" s="364"/>
      <c r="AA102" s="367"/>
      <c r="AB102"/>
      <c r="AC102"/>
      <c r="AD102"/>
      <c r="AE102"/>
      <c r="AF102"/>
      <c r="AG102"/>
    </row>
    <row r="103" spans="17:33" ht="12.75" customHeight="1">
      <c r="Q103" s="360"/>
      <c r="R103" s="969" t="s">
        <v>64</v>
      </c>
      <c r="S103" s="969"/>
      <c r="T103" s="969"/>
      <c r="U103" s="537">
        <f>VLOOKUP(U70,'Lookup Exposure Time'!$B$12:$C$732,2)</f>
        <v>200</v>
      </c>
      <c r="V103" s="537">
        <f>VLOOKUP(V70,'Lookup Exposure Time'!$B$12:$C$732,2)</f>
        <v>50</v>
      </c>
      <c r="W103" s="537">
        <f>VLOOKUP(W70,'Lookup Exposure Time'!$B$12:$C$732,2)</f>
        <v>40</v>
      </c>
      <c r="X103" s="537">
        <f>VLOOKUP(X70,'Lookup Exposure Time'!$B$12:$C$732,2)</f>
        <v>7.5</v>
      </c>
      <c r="Y103" s="361"/>
      <c r="Z103" s="364"/>
      <c r="AA103" s="367"/>
      <c r="AB103"/>
      <c r="AC103"/>
      <c r="AD103"/>
      <c r="AE103"/>
      <c r="AF103"/>
      <c r="AG103"/>
    </row>
    <row r="104" spans="17:33" ht="12.75" customHeight="1">
      <c r="Q104" s="360"/>
      <c r="R104" s="364"/>
      <c r="S104" s="364"/>
      <c r="T104" s="364"/>
      <c r="U104" s="364"/>
      <c r="V104" s="364"/>
      <c r="W104" s="364"/>
      <c r="X104" s="364"/>
      <c r="Y104" s="363"/>
      <c r="Z104" s="364"/>
      <c r="AA104" s="367"/>
      <c r="AB104"/>
      <c r="AC104"/>
      <c r="AD104"/>
      <c r="AE104"/>
      <c r="AF104"/>
      <c r="AG104"/>
    </row>
    <row r="105" spans="17:33" ht="12.75" customHeight="1">
      <c r="Q105" s="360" t="s">
        <v>507</v>
      </c>
      <c r="R105" s="363" t="s">
        <v>513</v>
      </c>
      <c r="S105" s="363"/>
      <c r="T105" s="363"/>
      <c r="U105" s="363"/>
      <c r="V105" s="363"/>
      <c r="W105" s="363"/>
      <c r="X105" s="363"/>
      <c r="Y105" s="363"/>
      <c r="Z105" s="364"/>
      <c r="AA105" s="367"/>
      <c r="AB105"/>
      <c r="AC105"/>
      <c r="AD105"/>
      <c r="AE105"/>
      <c r="AF105"/>
      <c r="AG105"/>
    </row>
    <row r="106" spans="17:33" ht="12.75" customHeight="1">
      <c r="Q106" s="360"/>
      <c r="R106" s="998" t="s">
        <v>191</v>
      </c>
      <c r="S106" s="999"/>
      <c r="T106" s="1000"/>
      <c r="U106" s="949" t="s">
        <v>500</v>
      </c>
      <c r="V106" s="938" t="s">
        <v>22</v>
      </c>
      <c r="W106" s="940" t="s">
        <v>579</v>
      </c>
      <c r="X106" s="942" t="s">
        <v>21</v>
      </c>
      <c r="Y106" s="361"/>
      <c r="Z106" s="364"/>
      <c r="AA106" s="367"/>
      <c r="AB106"/>
      <c r="AC106"/>
      <c r="AD106"/>
      <c r="AE106"/>
      <c r="AF106"/>
      <c r="AG106"/>
    </row>
    <row r="107" spans="17:33" ht="12.75" customHeight="1">
      <c r="Q107" s="360"/>
      <c r="R107" s="1001"/>
      <c r="S107" s="1002"/>
      <c r="T107" s="1003"/>
      <c r="U107" s="950"/>
      <c r="V107" s="939"/>
      <c r="W107" s="941"/>
      <c r="X107" s="943"/>
      <c r="Y107" s="361"/>
      <c r="Z107" s="364"/>
      <c r="AA107" s="367"/>
      <c r="AB107"/>
      <c r="AC107"/>
      <c r="AD107"/>
      <c r="AE107"/>
      <c r="AF107"/>
      <c r="AG107"/>
    </row>
    <row r="108" spans="17:33" ht="12.75" customHeight="1">
      <c r="Q108" s="360"/>
      <c r="R108" s="969" t="s">
        <v>63</v>
      </c>
      <c r="S108" s="969"/>
      <c r="T108" s="969"/>
      <c r="U108" s="671">
        <f>VLOOKUP(U76,'Lookup Exposure Time'!$B$12:$C$732,2)</f>
        <v>2.5</v>
      </c>
      <c r="V108" s="671">
        <f>VLOOKUP(V76,'Lookup Exposure Time'!$B$12:$C$732,2)</f>
        <v>0.625</v>
      </c>
      <c r="W108" s="671">
        <f>VLOOKUP(W76,'Lookup Exposure Time'!$B$12:$C$732,2)</f>
        <v>0.46875</v>
      </c>
      <c r="X108" s="671">
        <f>VLOOKUP(X76,'Lookup Exposure Time'!$B$12:$C$732,2)</f>
        <v>9.765625E-2</v>
      </c>
      <c r="Y108" s="361"/>
      <c r="Z108" s="364"/>
      <c r="AA108" s="367"/>
      <c r="AB108"/>
      <c r="AC108"/>
      <c r="AD108"/>
      <c r="AE108"/>
      <c r="AF108"/>
      <c r="AG108"/>
    </row>
    <row r="109" spans="17:33" ht="12.75" customHeight="1">
      <c r="Q109" s="360"/>
      <c r="R109" s="969" t="s">
        <v>64</v>
      </c>
      <c r="S109" s="969"/>
      <c r="T109" s="969"/>
      <c r="U109" s="557">
        <f>VLOOKUP(U77,'Lookup Exposure Time'!$B$12:$C$732,2)</f>
        <v>50</v>
      </c>
      <c r="V109" s="557">
        <f>VLOOKUP(V77,'Lookup Exposure Time'!$B$12:$C$732,2)</f>
        <v>12.5</v>
      </c>
      <c r="W109" s="557">
        <f>VLOOKUP(W77,'Lookup Exposure Time'!$B$12:$C$732,2)</f>
        <v>10</v>
      </c>
      <c r="X109" s="557">
        <f>VLOOKUP(X77,'Lookup Exposure Time'!$B$12:$C$732,2)</f>
        <v>1.875</v>
      </c>
      <c r="Y109" s="361"/>
      <c r="Z109" s="364"/>
      <c r="AA109" s="367"/>
      <c r="AB109"/>
      <c r="AC109"/>
      <c r="AD109"/>
      <c r="AE109"/>
      <c r="AF109"/>
      <c r="AG109"/>
    </row>
    <row r="110" spans="17:33" ht="12.75" customHeight="1">
      <c r="Q110" s="360"/>
      <c r="R110" s="363"/>
      <c r="S110" s="363"/>
      <c r="T110" s="363"/>
      <c r="U110" s="363"/>
      <c r="V110" s="363"/>
      <c r="W110" s="363"/>
      <c r="X110" s="363"/>
      <c r="Y110" s="363"/>
      <c r="Z110" s="364"/>
      <c r="AA110" s="367"/>
      <c r="AB110"/>
      <c r="AC110"/>
      <c r="AD110"/>
      <c r="AE110"/>
      <c r="AF110"/>
      <c r="AG110"/>
    </row>
    <row r="111" spans="17:33" ht="12.75" customHeight="1">
      <c r="Q111" s="360" t="s">
        <v>508</v>
      </c>
      <c r="R111" s="363" t="s">
        <v>531</v>
      </c>
      <c r="S111" s="363"/>
      <c r="T111" s="363"/>
      <c r="U111" s="363"/>
      <c r="V111" s="363"/>
      <c r="W111" s="363"/>
      <c r="X111" s="363"/>
      <c r="Y111" s="363"/>
      <c r="Z111" s="364"/>
      <c r="AA111" s="367"/>
      <c r="AB111"/>
      <c r="AC111"/>
      <c r="AD111"/>
      <c r="AE111"/>
      <c r="AF111"/>
      <c r="AG111"/>
    </row>
    <row r="112" spans="17:33" ht="12.75" customHeight="1">
      <c r="Q112" s="360"/>
      <c r="R112" s="998" t="s">
        <v>191</v>
      </c>
      <c r="S112" s="999"/>
      <c r="T112" s="1000"/>
      <c r="U112" s="949" t="s">
        <v>500</v>
      </c>
      <c r="V112" s="938" t="s">
        <v>22</v>
      </c>
      <c r="W112" s="940" t="s">
        <v>579</v>
      </c>
      <c r="X112" s="942" t="s">
        <v>21</v>
      </c>
      <c r="Y112" s="361"/>
      <c r="Z112" s="364"/>
      <c r="AA112" s="367"/>
      <c r="AB112"/>
      <c r="AC112"/>
      <c r="AD112"/>
      <c r="AE112"/>
      <c r="AF112"/>
      <c r="AG112"/>
    </row>
    <row r="113" spans="17:33" ht="12.75" customHeight="1">
      <c r="Q113" s="360"/>
      <c r="R113" s="1001"/>
      <c r="S113" s="1002"/>
      <c r="T113" s="1003"/>
      <c r="U113" s="950"/>
      <c r="V113" s="939"/>
      <c r="W113" s="941"/>
      <c r="X113" s="943"/>
      <c r="Y113" s="361"/>
      <c r="Z113" s="364"/>
      <c r="AA113" s="367"/>
      <c r="AB113"/>
      <c r="AC113"/>
      <c r="AD113"/>
      <c r="AE113"/>
      <c r="AF113"/>
      <c r="AG113"/>
    </row>
    <row r="114" spans="17:33" ht="12.75" customHeight="1">
      <c r="Q114" s="360"/>
      <c r="R114" s="969" t="s">
        <v>63</v>
      </c>
      <c r="S114" s="969"/>
      <c r="T114" s="969"/>
      <c r="U114" s="537">
        <f t="shared" ref="U114:X115" si="0">U102/60</f>
        <v>0.16666666666666666</v>
      </c>
      <c r="V114" s="537">
        <f t="shared" si="0"/>
        <v>4.1666666666666664E-2</v>
      </c>
      <c r="W114" s="537">
        <f t="shared" si="0"/>
        <v>3.125E-2</v>
      </c>
      <c r="X114" s="537">
        <f t="shared" si="0"/>
        <v>6.5103333333333306E-3</v>
      </c>
      <c r="Y114" s="361"/>
      <c r="Z114" s="364"/>
      <c r="AA114" s="367"/>
      <c r="AB114"/>
      <c r="AC114"/>
      <c r="AD114"/>
      <c r="AE114"/>
      <c r="AF114"/>
      <c r="AG114"/>
    </row>
    <row r="115" spans="17:33" ht="12.75" customHeight="1">
      <c r="Q115" s="360"/>
      <c r="R115" s="969" t="s">
        <v>64</v>
      </c>
      <c r="S115" s="969"/>
      <c r="T115" s="969"/>
      <c r="U115" s="537">
        <f t="shared" si="0"/>
        <v>3.3333333333333335</v>
      </c>
      <c r="V115" s="537">
        <f t="shared" si="0"/>
        <v>0.83333333333333337</v>
      </c>
      <c r="W115" s="537">
        <f t="shared" si="0"/>
        <v>0.66666666666666663</v>
      </c>
      <c r="X115" s="537">
        <f t="shared" si="0"/>
        <v>0.125</v>
      </c>
      <c r="Y115" s="361"/>
      <c r="Z115" s="364"/>
      <c r="AA115" s="367"/>
      <c r="AB115"/>
      <c r="AC115"/>
      <c r="AD115"/>
      <c r="AE115"/>
      <c r="AF115"/>
      <c r="AG115"/>
    </row>
    <row r="116" spans="17:33" ht="12.75" customHeight="1">
      <c r="Q116" s="360"/>
      <c r="R116" s="364"/>
      <c r="S116" s="364"/>
      <c r="T116" s="364"/>
      <c r="U116" s="364"/>
      <c r="V116" s="364"/>
      <c r="W116" s="364"/>
      <c r="X116" s="364"/>
      <c r="Y116" s="363"/>
      <c r="Z116" s="364"/>
      <c r="AA116" s="367"/>
      <c r="AB116"/>
      <c r="AC116"/>
      <c r="AD116"/>
      <c r="AE116"/>
      <c r="AF116"/>
      <c r="AG116"/>
    </row>
    <row r="117" spans="17:33" ht="12.75" customHeight="1">
      <c r="Q117" s="360" t="s">
        <v>506</v>
      </c>
      <c r="R117" s="363" t="s">
        <v>532</v>
      </c>
      <c r="S117" s="363"/>
      <c r="T117" s="363"/>
      <c r="U117" s="363"/>
      <c r="V117" s="363"/>
      <c r="W117" s="363"/>
      <c r="X117" s="363"/>
      <c r="Y117" s="363"/>
      <c r="Z117" s="364"/>
      <c r="AA117" s="367"/>
      <c r="AB117"/>
      <c r="AC117"/>
      <c r="AD117"/>
      <c r="AE117"/>
      <c r="AF117"/>
      <c r="AG117"/>
    </row>
    <row r="118" spans="17:33" ht="12.75" customHeight="1">
      <c r="Q118" s="360"/>
      <c r="R118" s="998" t="s">
        <v>191</v>
      </c>
      <c r="S118" s="999"/>
      <c r="T118" s="1000"/>
      <c r="U118" s="949" t="s">
        <v>500</v>
      </c>
      <c r="V118" s="938" t="s">
        <v>22</v>
      </c>
      <c r="W118" s="940" t="s">
        <v>579</v>
      </c>
      <c r="X118" s="942" t="s">
        <v>21</v>
      </c>
      <c r="Y118" s="361"/>
      <c r="Z118" s="364"/>
      <c r="AA118" s="367"/>
      <c r="AB118"/>
      <c r="AC118"/>
      <c r="AD118"/>
      <c r="AE118"/>
      <c r="AF118"/>
      <c r="AG118"/>
    </row>
    <row r="119" spans="17:33" ht="12.75" customHeight="1">
      <c r="Q119" s="360"/>
      <c r="R119" s="1001"/>
      <c r="S119" s="1002"/>
      <c r="T119" s="1003"/>
      <c r="U119" s="950"/>
      <c r="V119" s="939"/>
      <c r="W119" s="941"/>
      <c r="X119" s="943"/>
      <c r="Y119" s="361"/>
      <c r="Z119" s="364"/>
      <c r="AA119" s="367"/>
      <c r="AB119"/>
      <c r="AC119"/>
      <c r="AD119"/>
      <c r="AE119"/>
      <c r="AF119"/>
      <c r="AG119"/>
    </row>
    <row r="120" spans="17:33" ht="12.75" customHeight="1">
      <c r="Q120" s="360"/>
      <c r="R120" s="969" t="s">
        <v>63</v>
      </c>
      <c r="S120" s="969"/>
      <c r="T120" s="969"/>
      <c r="U120" s="537">
        <f t="shared" ref="U120:X121" si="1">U108/60</f>
        <v>4.1666666666666664E-2</v>
      </c>
      <c r="V120" s="537">
        <f t="shared" si="1"/>
        <v>1.0416666666666666E-2</v>
      </c>
      <c r="W120" s="537">
        <f t="shared" si="1"/>
        <v>7.8125E-3</v>
      </c>
      <c r="X120" s="537">
        <f t="shared" si="1"/>
        <v>1.6276041666666667E-3</v>
      </c>
      <c r="Y120" s="361"/>
      <c r="Z120" s="364"/>
      <c r="AA120" s="367"/>
      <c r="AB120"/>
      <c r="AC120"/>
      <c r="AD120"/>
      <c r="AE120"/>
      <c r="AF120"/>
      <c r="AG120"/>
    </row>
    <row r="121" spans="17:33" ht="12.75" customHeight="1">
      <c r="Q121" s="360"/>
      <c r="R121" s="969" t="s">
        <v>64</v>
      </c>
      <c r="S121" s="969"/>
      <c r="T121" s="969"/>
      <c r="U121" s="537">
        <f t="shared" si="1"/>
        <v>0.83333333333333337</v>
      </c>
      <c r="V121" s="537">
        <f t="shared" si="1"/>
        <v>0.20833333333333334</v>
      </c>
      <c r="W121" s="537">
        <f t="shared" si="1"/>
        <v>0.16666666666666666</v>
      </c>
      <c r="X121" s="537">
        <f t="shared" si="1"/>
        <v>3.125E-2</v>
      </c>
      <c r="Y121" s="361"/>
      <c r="Z121" s="364"/>
      <c r="AA121" s="367"/>
      <c r="AB121"/>
      <c r="AC121"/>
      <c r="AD121"/>
      <c r="AE121"/>
      <c r="AF121"/>
      <c r="AG121"/>
    </row>
    <row r="122" spans="17:33" ht="12.75" customHeight="1">
      <c r="Q122" s="360"/>
      <c r="R122" s="363"/>
      <c r="S122" s="363"/>
      <c r="T122" s="363"/>
      <c r="U122" s="363"/>
      <c r="V122" s="363"/>
      <c r="W122" s="363"/>
      <c r="X122" s="363"/>
      <c r="Y122" s="363"/>
      <c r="Z122" s="364"/>
      <c r="AA122" s="367"/>
      <c r="AB122"/>
      <c r="AC122"/>
      <c r="AD122"/>
      <c r="AE122"/>
      <c r="AF122"/>
      <c r="AG122"/>
    </row>
    <row r="123" spans="17:33" ht="12.75" customHeight="1">
      <c r="Q123" s="546" t="s">
        <v>231</v>
      </c>
      <c r="R123" s="952" t="s">
        <v>232</v>
      </c>
      <c r="S123" s="952"/>
      <c r="T123" s="952"/>
      <c r="U123" s="952"/>
      <c r="V123" s="952"/>
      <c r="W123" s="952"/>
      <c r="X123" s="952"/>
      <c r="Y123" s="952"/>
      <c r="Z123" s="360"/>
      <c r="AA123" s="367"/>
      <c r="AB123"/>
      <c r="AC123"/>
      <c r="AD123"/>
      <c r="AE123"/>
      <c r="AF123"/>
      <c r="AG123"/>
    </row>
    <row r="124" spans="17:33" ht="12.75" customHeight="1">
      <c r="Q124" s="546"/>
      <c r="R124" s="360"/>
      <c r="S124" s="360"/>
      <c r="T124" s="360"/>
      <c r="U124" s="360"/>
      <c r="V124" s="360"/>
      <c r="W124" s="360"/>
      <c r="X124" s="360"/>
      <c r="Y124" s="360"/>
      <c r="Z124" s="360"/>
      <c r="AA124" s="367"/>
      <c r="AB124"/>
      <c r="AC124"/>
      <c r="AD124"/>
      <c r="AE124"/>
      <c r="AF124"/>
      <c r="AG124"/>
    </row>
    <row r="125" spans="17:33" ht="12.75" customHeight="1">
      <c r="Q125" s="546"/>
      <c r="R125" s="363" t="s">
        <v>233</v>
      </c>
      <c r="S125" s="363"/>
      <c r="T125" s="363"/>
      <c r="U125" s="363"/>
      <c r="V125" s="363"/>
      <c r="W125" s="363"/>
      <c r="X125" s="363"/>
      <c r="Y125" s="363"/>
      <c r="Z125" s="364"/>
      <c r="AA125" s="367"/>
      <c r="AB125"/>
      <c r="AC125"/>
      <c r="AD125"/>
      <c r="AE125"/>
      <c r="AF125"/>
      <c r="AG125"/>
    </row>
    <row r="126" spans="17:33" ht="12.75" customHeight="1">
      <c r="Q126" s="360"/>
      <c r="R126" s="998" t="s">
        <v>678</v>
      </c>
      <c r="S126" s="999"/>
      <c r="T126" s="1000"/>
      <c r="U126" s="949" t="s">
        <v>470</v>
      </c>
      <c r="V126" s="938" t="s">
        <v>22</v>
      </c>
      <c r="W126" s="940" t="s">
        <v>579</v>
      </c>
      <c r="X126" s="942" t="s">
        <v>21</v>
      </c>
      <c r="Y126" s="361"/>
      <c r="Z126" s="364"/>
      <c r="AA126" s="367"/>
      <c r="AB126"/>
      <c r="AC126"/>
      <c r="AD126"/>
      <c r="AE126"/>
      <c r="AF126"/>
      <c r="AG126"/>
    </row>
    <row r="127" spans="17:33" ht="12.75" customHeight="1">
      <c r="Q127" s="360"/>
      <c r="R127" s="1001"/>
      <c r="S127" s="1002"/>
      <c r="T127" s="1003"/>
      <c r="U127" s="950"/>
      <c r="V127" s="939"/>
      <c r="W127" s="941"/>
      <c r="X127" s="943"/>
      <c r="Y127" s="361"/>
      <c r="Z127" s="364"/>
      <c r="AA127" s="367"/>
      <c r="AB127"/>
      <c r="AC127"/>
      <c r="AD127"/>
      <c r="AE127"/>
      <c r="AF127"/>
      <c r="AG127"/>
    </row>
    <row r="128" spans="17:33" ht="12.75" customHeight="1">
      <c r="Q128" s="360"/>
      <c r="R128" s="969" t="s">
        <v>234</v>
      </c>
      <c r="S128" s="969"/>
      <c r="T128" s="969"/>
      <c r="U128" s="672">
        <v>8.3000000000000007</v>
      </c>
      <c r="V128" s="672">
        <f>VLOOKUP($V$5,'Lookup Vibration'!$B$8:$F$208,3)</f>
        <v>18.049999999999951</v>
      </c>
      <c r="W128" s="672">
        <f>VLOOKUP($V$5,'Lookup Vibration'!$B$8:$F$208,4)</f>
        <v>19.950000000000074</v>
      </c>
      <c r="X128" s="672">
        <f>VLOOKUP($V$5,'Lookup Vibration'!$B$8:$F$208,2)</f>
        <v>18.049999999999951</v>
      </c>
      <c r="Y128" s="361"/>
      <c r="Z128" s="364"/>
      <c r="AA128" s="367"/>
      <c r="AB128"/>
      <c r="AC128"/>
      <c r="AD128"/>
      <c r="AE128"/>
      <c r="AF128"/>
      <c r="AG128"/>
    </row>
    <row r="129" spans="17:33" ht="12.75" customHeight="1">
      <c r="Q129" s="360"/>
      <c r="R129" s="363"/>
      <c r="S129" s="363"/>
      <c r="T129" s="363"/>
      <c r="U129" s="363"/>
      <c r="V129" s="363"/>
      <c r="W129" s="363"/>
      <c r="X129" s="363"/>
      <c r="Y129" s="363"/>
      <c r="Z129" s="364"/>
      <c r="AA129" s="367"/>
      <c r="AB129"/>
      <c r="AC129"/>
      <c r="AD129"/>
      <c r="AE129"/>
      <c r="AF129"/>
      <c r="AG129"/>
    </row>
    <row r="130" spans="17:33" ht="12.75" customHeight="1">
      <c r="Q130" s="546" t="s">
        <v>235</v>
      </c>
      <c r="R130" s="952" t="s">
        <v>34</v>
      </c>
      <c r="S130" s="952"/>
      <c r="T130" s="952"/>
      <c r="U130" s="952"/>
      <c r="V130" s="952"/>
      <c r="W130" s="952"/>
      <c r="X130" s="952"/>
      <c r="Y130" s="952"/>
      <c r="Z130" s="360"/>
      <c r="AA130" s="367"/>
      <c r="AB130"/>
      <c r="AC130"/>
      <c r="AD130"/>
      <c r="AE130"/>
      <c r="AF130"/>
      <c r="AG130"/>
    </row>
    <row r="131" spans="17:33" ht="12.75" customHeight="1">
      <c r="Q131" s="546"/>
      <c r="R131" s="363"/>
      <c r="S131" s="363"/>
      <c r="T131" s="363"/>
      <c r="U131" s="363"/>
      <c r="V131" s="363"/>
      <c r="W131" s="363"/>
      <c r="X131" s="363"/>
      <c r="Y131" s="363"/>
      <c r="Z131" s="364"/>
      <c r="AA131" s="367"/>
      <c r="AB131"/>
      <c r="AC131"/>
      <c r="AD131"/>
      <c r="AE131"/>
      <c r="AF131"/>
      <c r="AG131"/>
    </row>
    <row r="132" spans="17:33" ht="12.75" customHeight="1">
      <c r="Q132" s="360"/>
      <c r="R132" s="998" t="s">
        <v>678</v>
      </c>
      <c r="S132" s="999"/>
      <c r="T132" s="1000"/>
      <c r="U132" s="949" t="s">
        <v>500</v>
      </c>
      <c r="V132" s="938" t="s">
        <v>22</v>
      </c>
      <c r="W132" s="940" t="s">
        <v>579</v>
      </c>
      <c r="X132" s="942" t="s">
        <v>21</v>
      </c>
      <c r="Y132" s="361"/>
      <c r="Z132" s="364"/>
      <c r="AA132" s="367"/>
      <c r="AB132"/>
      <c r="AC132"/>
      <c r="AD132"/>
      <c r="AE132"/>
      <c r="AF132"/>
      <c r="AG132"/>
    </row>
    <row r="133" spans="17:33" ht="12.75" customHeight="1">
      <c r="Q133" s="360"/>
      <c r="R133" s="1001"/>
      <c r="S133" s="1002"/>
      <c r="T133" s="1003"/>
      <c r="U133" s="950"/>
      <c r="V133" s="939"/>
      <c r="W133" s="941"/>
      <c r="X133" s="943"/>
      <c r="Y133" s="361"/>
      <c r="Z133" s="364"/>
      <c r="AA133" s="367"/>
      <c r="AB133"/>
      <c r="AC133"/>
      <c r="AD133"/>
      <c r="AE133"/>
      <c r="AF133"/>
      <c r="AG133"/>
    </row>
    <row r="134" spans="17:33" ht="12.75" customHeight="1">
      <c r="Q134" s="360"/>
      <c r="R134" s="1004" t="s">
        <v>298</v>
      </c>
      <c r="S134" s="1004"/>
      <c r="T134" s="1004"/>
      <c r="U134" s="673" t="s">
        <v>819</v>
      </c>
      <c r="V134" s="673" t="s">
        <v>818</v>
      </c>
      <c r="W134" s="673" t="s">
        <v>819</v>
      </c>
      <c r="X134" s="673" t="s">
        <v>818</v>
      </c>
      <c r="Y134" s="361"/>
      <c r="Z134" s="364"/>
      <c r="AA134" s="367"/>
      <c r="AB134"/>
      <c r="AC134"/>
      <c r="AD134"/>
      <c r="AE134"/>
      <c r="AF134"/>
      <c r="AG134"/>
    </row>
    <row r="135" spans="17:33" ht="12.75" customHeight="1">
      <c r="Q135" s="360"/>
      <c r="R135" s="931" t="s">
        <v>299</v>
      </c>
      <c r="S135" s="931"/>
      <c r="T135" s="931"/>
      <c r="U135" s="673" t="s">
        <v>297</v>
      </c>
      <c r="V135" s="673" t="s">
        <v>296</v>
      </c>
      <c r="W135" s="673" t="s">
        <v>296</v>
      </c>
      <c r="X135" s="673" t="s">
        <v>296</v>
      </c>
      <c r="Y135" s="361"/>
      <c r="Z135" s="364"/>
      <c r="AA135" s="367"/>
      <c r="AB135"/>
      <c r="AC135"/>
      <c r="AD135"/>
      <c r="AE135"/>
      <c r="AF135"/>
      <c r="AG135"/>
    </row>
    <row r="136" spans="17:33" ht="12.75" customHeight="1">
      <c r="Q136" s="360"/>
      <c r="R136" s="363"/>
      <c r="S136" s="363"/>
      <c r="T136" s="363"/>
      <c r="U136" s="363"/>
      <c r="V136" s="363"/>
      <c r="W136" s="363"/>
      <c r="X136" s="363"/>
      <c r="Y136" s="363"/>
      <c r="Z136" s="363"/>
      <c r="AA136" s="367"/>
      <c r="AB136"/>
      <c r="AC136"/>
      <c r="AD136"/>
      <c r="AE136"/>
      <c r="AF136"/>
      <c r="AG136"/>
    </row>
    <row r="137" spans="17:33" ht="12.75" customHeight="1">
      <c r="Q137" s="546" t="s">
        <v>236</v>
      </c>
      <c r="R137" s="952" t="s">
        <v>237</v>
      </c>
      <c r="S137" s="952"/>
      <c r="T137" s="952"/>
      <c r="U137" s="952"/>
      <c r="V137" s="952"/>
      <c r="W137" s="952"/>
      <c r="X137" s="952"/>
      <c r="Y137" s="952"/>
      <c r="Z137" s="360"/>
      <c r="AA137" s="367"/>
      <c r="AB137"/>
      <c r="AC137"/>
      <c r="AD137"/>
      <c r="AE137"/>
      <c r="AF137"/>
      <c r="AG137"/>
    </row>
    <row r="138" spans="17:33" ht="12.75" customHeight="1">
      <c r="Q138" s="360"/>
      <c r="R138" s="363"/>
      <c r="S138" s="363"/>
      <c r="T138" s="363"/>
      <c r="U138" s="363"/>
      <c r="V138" s="363"/>
      <c r="W138" s="363"/>
      <c r="X138" s="363"/>
      <c r="Y138" s="363"/>
      <c r="Z138" s="363"/>
      <c r="AA138" s="367"/>
      <c r="AB138"/>
      <c r="AC138"/>
      <c r="AD138"/>
      <c r="AE138"/>
      <c r="AF138"/>
      <c r="AG138"/>
    </row>
    <row r="139" spans="17:33" ht="12.75" customHeight="1">
      <c r="Q139" s="668" t="s">
        <v>238</v>
      </c>
      <c r="R139" s="364" t="s">
        <v>239</v>
      </c>
      <c r="S139" s="364"/>
      <c r="T139" s="364"/>
      <c r="U139" s="364"/>
      <c r="V139" s="364"/>
      <c r="W139" s="364"/>
      <c r="X139" s="364"/>
      <c r="Y139" s="364"/>
      <c r="Z139" s="364"/>
      <c r="AA139" s="367"/>
      <c r="AB139"/>
      <c r="AC139"/>
      <c r="AD139"/>
      <c r="AE139"/>
      <c r="AF139"/>
      <c r="AG139"/>
    </row>
    <row r="140" spans="17:33" ht="12.75" customHeight="1">
      <c r="Q140" s="668"/>
      <c r="R140" s="364" t="s">
        <v>469</v>
      </c>
      <c r="S140" s="364"/>
      <c r="T140" s="364"/>
      <c r="U140" s="364"/>
      <c r="V140" s="364"/>
      <c r="W140" s="364"/>
      <c r="X140" s="364"/>
      <c r="Y140" s="364"/>
      <c r="Z140" s="364"/>
      <c r="AA140" s="367"/>
      <c r="AB140"/>
      <c r="AC140"/>
      <c r="AD140"/>
      <c r="AE140"/>
      <c r="AF140"/>
      <c r="AG140"/>
    </row>
    <row r="141" spans="17:33" ht="12.75" customHeight="1">
      <c r="Q141" s="668"/>
      <c r="R141" s="364"/>
      <c r="S141" s="364"/>
      <c r="T141" s="364"/>
      <c r="U141" s="364"/>
      <c r="V141" s="364"/>
      <c r="W141" s="364"/>
      <c r="X141" s="364"/>
      <c r="Y141" s="364"/>
      <c r="Z141" s="364"/>
      <c r="AA141" s="367"/>
      <c r="AB141"/>
      <c r="AC141"/>
      <c r="AD141"/>
      <c r="AE141"/>
      <c r="AF141"/>
      <c r="AG141"/>
    </row>
    <row r="142" spans="17:33" ht="12.75" customHeight="1">
      <c r="Q142" s="668"/>
      <c r="R142" s="1005" t="s">
        <v>734</v>
      </c>
      <c r="S142" s="1006"/>
      <c r="T142" s="1006"/>
      <c r="U142" s="1006"/>
      <c r="V142" s="1006"/>
      <c r="W142" s="1007"/>
      <c r="X142" s="351">
        <f>'Compressor Input Data'!G5</f>
        <v>22800</v>
      </c>
      <c r="Y142" s="364"/>
      <c r="Z142" s="364"/>
      <c r="AA142" s="367"/>
      <c r="AB142"/>
      <c r="AC142"/>
      <c r="AD142"/>
      <c r="AE142"/>
      <c r="AF142"/>
      <c r="AG142"/>
    </row>
    <row r="143" spans="17:33" ht="12.75" customHeight="1">
      <c r="Q143" s="668"/>
      <c r="R143" s="990" t="s">
        <v>430</v>
      </c>
      <c r="S143" s="991"/>
      <c r="T143" s="992"/>
      <c r="U143" s="949" t="s">
        <v>500</v>
      </c>
      <c r="V143" s="938" t="s">
        <v>22</v>
      </c>
      <c r="W143" s="940" t="s">
        <v>579</v>
      </c>
      <c r="X143" s="942" t="s">
        <v>21</v>
      </c>
      <c r="Y143" s="361"/>
      <c r="Z143" s="364"/>
      <c r="AA143" s="367"/>
      <c r="AB143"/>
      <c r="AC143"/>
      <c r="AD143"/>
      <c r="AE143"/>
      <c r="AF143"/>
      <c r="AG143"/>
    </row>
    <row r="144" spans="17:33" ht="12.75" customHeight="1">
      <c r="Q144" s="668"/>
      <c r="R144" s="993"/>
      <c r="S144" s="994"/>
      <c r="T144" s="995"/>
      <c r="U144" s="950"/>
      <c r="V144" s="939"/>
      <c r="W144" s="941"/>
      <c r="X144" s="943"/>
      <c r="Y144" s="361"/>
      <c r="Z144" s="364"/>
      <c r="AA144" s="367"/>
      <c r="AB144"/>
      <c r="AC144"/>
      <c r="AD144"/>
      <c r="AE144"/>
      <c r="AF144"/>
      <c r="AG144"/>
    </row>
    <row r="145" spans="17:33" ht="12.75" customHeight="1">
      <c r="Q145" s="668"/>
      <c r="R145" s="973" t="s">
        <v>555</v>
      </c>
      <c r="S145" s="973"/>
      <c r="T145" s="973"/>
      <c r="U145" s="996"/>
      <c r="V145" s="544">
        <f>X145</f>
        <v>22800</v>
      </c>
      <c r="W145" s="544">
        <f>X145</f>
        <v>22800</v>
      </c>
      <c r="X145" s="544">
        <f>X142</f>
        <v>22800</v>
      </c>
      <c r="Y145" s="361"/>
      <c r="Z145" s="364"/>
      <c r="AA145" s="367"/>
      <c r="AB145"/>
      <c r="AC145"/>
      <c r="AD145"/>
      <c r="AE145"/>
      <c r="AF145"/>
      <c r="AG145"/>
    </row>
    <row r="146" spans="17:33" ht="12.75" customHeight="1">
      <c r="Q146" s="668"/>
      <c r="R146" s="973" t="s">
        <v>549</v>
      </c>
      <c r="S146" s="973"/>
      <c r="T146" s="973"/>
      <c r="U146" s="997"/>
      <c r="V146" s="544">
        <f>X146</f>
        <v>24</v>
      </c>
      <c r="W146" s="544">
        <f>V146</f>
        <v>24</v>
      </c>
      <c r="X146" s="544">
        <f>'Compressor Input Data'!J15</f>
        <v>24</v>
      </c>
      <c r="Y146" s="361"/>
      <c r="Z146" s="364"/>
      <c r="AA146" s="367"/>
      <c r="AB146"/>
      <c r="AC146"/>
      <c r="AD146"/>
      <c r="AE146"/>
      <c r="AF146"/>
      <c r="AG146"/>
    </row>
    <row r="147" spans="17:33" ht="12.75" customHeight="1">
      <c r="Q147" s="668"/>
      <c r="R147" s="970" t="s">
        <v>556</v>
      </c>
      <c r="S147" s="971"/>
      <c r="T147" s="972"/>
      <c r="U147" s="566">
        <f>U62</f>
        <v>2.6666666666666665</v>
      </c>
      <c r="V147" s="566">
        <f>V62</f>
        <v>1.9999999999999996</v>
      </c>
      <c r="W147" s="566">
        <f>W62</f>
        <v>1.7391304347826084</v>
      </c>
      <c r="X147" s="566">
        <f>X62</f>
        <v>1.4285714285714284</v>
      </c>
      <c r="Y147" s="361"/>
      <c r="Z147" s="364"/>
      <c r="AA147" s="367"/>
      <c r="AB147"/>
      <c r="AC147"/>
      <c r="AD147"/>
      <c r="AE147"/>
      <c r="AF147"/>
      <c r="AG147"/>
    </row>
    <row r="148" spans="17:33" ht="12.75" customHeight="1">
      <c r="Q148" s="668"/>
      <c r="R148" s="973" t="s">
        <v>575</v>
      </c>
      <c r="S148" s="973"/>
      <c r="T148" s="973"/>
      <c r="U148" s="531">
        <f>W148</f>
        <v>0.22500000000000001</v>
      </c>
      <c r="V148" s="531">
        <f>X148</f>
        <v>0.22500000000000001</v>
      </c>
      <c r="W148" s="531">
        <f>V148</f>
        <v>0.22500000000000001</v>
      </c>
      <c r="X148" s="531">
        <f>'Compressor Input Data'!J17</f>
        <v>0.22500000000000001</v>
      </c>
      <c r="Y148" s="361"/>
      <c r="Z148" s="364"/>
      <c r="AA148" s="367"/>
      <c r="AB148"/>
      <c r="AC148"/>
      <c r="AD148"/>
      <c r="AE148"/>
      <c r="AF148"/>
      <c r="AG148"/>
    </row>
    <row r="149" spans="17:33" ht="12.75" customHeight="1">
      <c r="Q149" s="668"/>
      <c r="R149" s="987"/>
      <c r="S149" s="988"/>
      <c r="T149" s="988"/>
      <c r="U149" s="988"/>
      <c r="V149" s="988"/>
      <c r="W149" s="988"/>
      <c r="X149" s="989"/>
      <c r="Y149" s="364"/>
      <c r="Z149" s="364"/>
      <c r="AA149" s="367"/>
      <c r="AB149"/>
      <c r="AC149"/>
      <c r="AD149"/>
      <c r="AE149"/>
      <c r="AF149"/>
      <c r="AG149"/>
    </row>
    <row r="150" spans="17:33" ht="12.75" customHeight="1">
      <c r="Q150" s="668"/>
      <c r="R150" s="990" t="s">
        <v>467</v>
      </c>
      <c r="S150" s="991"/>
      <c r="T150" s="992"/>
      <c r="U150" s="949" t="s">
        <v>500</v>
      </c>
      <c r="V150" s="938" t="s">
        <v>22</v>
      </c>
      <c r="W150" s="940" t="s">
        <v>579</v>
      </c>
      <c r="X150" s="942" t="s">
        <v>21</v>
      </c>
      <c r="Y150" s="361"/>
      <c r="Z150" s="364"/>
      <c r="AA150" s="367"/>
      <c r="AB150"/>
      <c r="AC150"/>
      <c r="AD150"/>
      <c r="AE150"/>
      <c r="AF150"/>
      <c r="AG150"/>
    </row>
    <row r="151" spans="17:33" ht="12.75" customHeight="1">
      <c r="Q151" s="668"/>
      <c r="R151" s="993"/>
      <c r="S151" s="994"/>
      <c r="T151" s="995"/>
      <c r="U151" s="950"/>
      <c r="V151" s="939"/>
      <c r="W151" s="941"/>
      <c r="X151" s="943"/>
      <c r="Y151" s="361"/>
      <c r="Z151" s="364"/>
      <c r="AA151" s="367"/>
      <c r="AB151"/>
      <c r="AC151"/>
      <c r="AD151"/>
      <c r="AE151"/>
      <c r="AF151"/>
      <c r="AG151"/>
    </row>
    <row r="152" spans="17:33" ht="12.75" customHeight="1">
      <c r="Q152" s="668"/>
      <c r="R152" s="973" t="s">
        <v>554</v>
      </c>
      <c r="S152" s="973"/>
      <c r="T152" s="973"/>
      <c r="U152" s="986"/>
      <c r="V152" s="569">
        <f>X152</f>
        <v>1</v>
      </c>
      <c r="W152" s="570">
        <f>V152</f>
        <v>1</v>
      </c>
      <c r="X152" s="570">
        <f>'Compressor Input Data'!J20</f>
        <v>1</v>
      </c>
      <c r="Y152" s="361"/>
      <c r="Z152" s="364"/>
      <c r="AA152" s="367"/>
      <c r="AB152"/>
      <c r="AC152"/>
      <c r="AD152"/>
      <c r="AE152"/>
      <c r="AF152"/>
      <c r="AG152"/>
    </row>
    <row r="153" spans="17:33" ht="12.75" customHeight="1">
      <c r="Q153" s="668"/>
      <c r="R153" s="983" t="s">
        <v>551</v>
      </c>
      <c r="S153" s="984"/>
      <c r="T153" s="985"/>
      <c r="U153" s="986"/>
      <c r="V153" s="571">
        <f>V147/V146</f>
        <v>8.3333333333333315E-2</v>
      </c>
      <c r="W153" s="571">
        <f>W147/W146</f>
        <v>7.2463768115942018E-2</v>
      </c>
      <c r="X153" s="571">
        <f>X147/X146</f>
        <v>5.9523809523809514E-2</v>
      </c>
      <c r="Y153" s="361"/>
      <c r="Z153" s="364"/>
      <c r="AA153" s="367"/>
      <c r="AB153"/>
      <c r="AC153"/>
      <c r="AD153"/>
      <c r="AE153"/>
      <c r="AF153"/>
      <c r="AG153"/>
    </row>
    <row r="154" spans="17:33" ht="12.75" customHeight="1">
      <c r="Q154" s="668"/>
      <c r="R154" s="973" t="s">
        <v>552</v>
      </c>
      <c r="S154" s="973"/>
      <c r="T154" s="973"/>
      <c r="U154" s="986"/>
      <c r="V154" s="572">
        <f>X154</f>
        <v>0.6</v>
      </c>
      <c r="W154" s="572">
        <f>V154</f>
        <v>0.6</v>
      </c>
      <c r="X154" s="572">
        <f>'Compressor Input Data'!J22</f>
        <v>0.6</v>
      </c>
      <c r="Y154" s="361"/>
      <c r="Z154" s="364"/>
      <c r="AA154" s="367"/>
      <c r="AB154"/>
      <c r="AC154"/>
      <c r="AD154"/>
      <c r="AE154"/>
      <c r="AF154"/>
      <c r="AG154"/>
    </row>
    <row r="155" spans="17:33" ht="12.75" customHeight="1">
      <c r="Q155" s="668"/>
      <c r="R155" s="987"/>
      <c r="S155" s="988"/>
      <c r="T155" s="988"/>
      <c r="U155" s="988"/>
      <c r="V155" s="988"/>
      <c r="W155" s="988"/>
      <c r="X155" s="989"/>
      <c r="Y155" s="364"/>
      <c r="Z155" s="364"/>
      <c r="AA155" s="367"/>
      <c r="AB155"/>
      <c r="AC155"/>
      <c r="AD155"/>
      <c r="AE155"/>
      <c r="AF155"/>
      <c r="AG155"/>
    </row>
    <row r="156" spans="17:33" ht="12.75" customHeight="1">
      <c r="Q156" s="668"/>
      <c r="R156" s="990" t="s">
        <v>468</v>
      </c>
      <c r="S156" s="991"/>
      <c r="T156" s="992"/>
      <c r="U156" s="949" t="s">
        <v>500</v>
      </c>
      <c r="V156" s="938" t="s">
        <v>22</v>
      </c>
      <c r="W156" s="940" t="s">
        <v>579</v>
      </c>
      <c r="X156" s="942" t="s">
        <v>21</v>
      </c>
      <c r="Y156" s="361"/>
      <c r="Z156" s="364"/>
      <c r="AA156" s="367"/>
      <c r="AB156"/>
      <c r="AC156"/>
      <c r="AD156"/>
      <c r="AE156"/>
      <c r="AF156"/>
      <c r="AG156"/>
    </row>
    <row r="157" spans="17:33" ht="12.75" customHeight="1">
      <c r="Q157" s="668"/>
      <c r="R157" s="993"/>
      <c r="S157" s="994"/>
      <c r="T157" s="995"/>
      <c r="U157" s="950"/>
      <c r="V157" s="939"/>
      <c r="W157" s="941"/>
      <c r="X157" s="943"/>
      <c r="Y157" s="361"/>
      <c r="Z157" s="364"/>
      <c r="AA157" s="367"/>
      <c r="AB157"/>
      <c r="AC157"/>
      <c r="AD157"/>
      <c r="AE157"/>
      <c r="AF157"/>
      <c r="AG157"/>
    </row>
    <row r="158" spans="17:33" ht="12.75" customHeight="1">
      <c r="Q158" s="668"/>
      <c r="R158" s="973" t="s">
        <v>554</v>
      </c>
      <c r="S158" s="973"/>
      <c r="T158" s="973"/>
      <c r="U158" s="980"/>
      <c r="V158" s="572">
        <f>X158</f>
        <v>0.5</v>
      </c>
      <c r="W158" s="572">
        <f>V158</f>
        <v>0.5</v>
      </c>
      <c r="X158" s="572">
        <f>'Compressor Input Data'!J25</f>
        <v>0.5</v>
      </c>
      <c r="Y158" s="361"/>
      <c r="Z158" s="364"/>
      <c r="AA158" s="367"/>
      <c r="AB158"/>
      <c r="AC158"/>
      <c r="AD158"/>
      <c r="AE158"/>
      <c r="AF158"/>
      <c r="AG158"/>
    </row>
    <row r="159" spans="17:33" ht="12.75" customHeight="1">
      <c r="Q159" s="668"/>
      <c r="R159" s="983" t="s">
        <v>551</v>
      </c>
      <c r="S159" s="984"/>
      <c r="T159" s="985"/>
      <c r="U159" s="981"/>
      <c r="V159" s="572">
        <f>V152-V153</f>
        <v>0.91666666666666674</v>
      </c>
      <c r="W159" s="572">
        <f>W152-W153</f>
        <v>0.92753623188405798</v>
      </c>
      <c r="X159" s="572">
        <f>X152-X153</f>
        <v>0.94047619047619047</v>
      </c>
      <c r="Y159" s="361"/>
      <c r="Z159" s="364"/>
      <c r="AA159" s="367"/>
      <c r="AB159"/>
      <c r="AC159"/>
      <c r="AD159"/>
      <c r="AE159"/>
      <c r="AF159"/>
      <c r="AG159"/>
    </row>
    <row r="160" spans="17:33" ht="12.75" customHeight="1">
      <c r="Q160" s="668"/>
      <c r="R160" s="973" t="s">
        <v>552</v>
      </c>
      <c r="S160" s="973"/>
      <c r="T160" s="973"/>
      <c r="U160" s="982"/>
      <c r="V160" s="572">
        <f>X160</f>
        <v>0.6</v>
      </c>
      <c r="W160" s="572">
        <f>V160</f>
        <v>0.6</v>
      </c>
      <c r="X160" s="572">
        <f>'Compressor Input Data'!J27</f>
        <v>0.6</v>
      </c>
      <c r="Y160" s="361"/>
      <c r="Z160" s="364"/>
      <c r="AA160" s="367"/>
      <c r="AB160"/>
      <c r="AC160"/>
      <c r="AD160"/>
      <c r="AE160"/>
      <c r="AF160"/>
      <c r="AG160"/>
    </row>
    <row r="161" spans="17:33" ht="12.75" customHeight="1">
      <c r="Q161" s="668"/>
      <c r="R161" s="567"/>
      <c r="S161" s="568"/>
      <c r="T161" s="568"/>
      <c r="U161" s="573"/>
      <c r="V161" s="573"/>
      <c r="W161" s="573"/>
      <c r="X161" s="574"/>
      <c r="Y161" s="364"/>
      <c r="Z161" s="364"/>
      <c r="AA161" s="367"/>
      <c r="AB161"/>
      <c r="AC161"/>
      <c r="AD161"/>
      <c r="AE161"/>
      <c r="AF161"/>
      <c r="AG161"/>
    </row>
    <row r="162" spans="17:33" ht="12.75" customHeight="1">
      <c r="Q162" s="668"/>
      <c r="R162" s="901" t="s">
        <v>471</v>
      </c>
      <c r="S162" s="901"/>
      <c r="T162" s="901"/>
      <c r="U162" s="930" t="s">
        <v>500</v>
      </c>
      <c r="V162" s="928" t="s">
        <v>22</v>
      </c>
      <c r="W162" s="929" t="s">
        <v>579</v>
      </c>
      <c r="X162" s="927" t="s">
        <v>21</v>
      </c>
      <c r="Y162" s="361"/>
      <c r="Z162" s="364"/>
      <c r="AA162" s="367"/>
      <c r="AB162"/>
      <c r="AC162"/>
      <c r="AD162"/>
      <c r="AE162"/>
      <c r="AF162"/>
      <c r="AG162"/>
    </row>
    <row r="163" spans="17:33" ht="12.75" customHeight="1">
      <c r="Q163" s="668"/>
      <c r="R163" s="901"/>
      <c r="S163" s="901"/>
      <c r="T163" s="901"/>
      <c r="U163" s="930"/>
      <c r="V163" s="928"/>
      <c r="W163" s="929"/>
      <c r="X163" s="927"/>
      <c r="Y163" s="361"/>
      <c r="Z163" s="364"/>
      <c r="AA163" s="367"/>
      <c r="AB163"/>
      <c r="AC163"/>
      <c r="AD163"/>
      <c r="AE163"/>
      <c r="AF163"/>
      <c r="AG163"/>
    </row>
    <row r="164" spans="17:33" ht="12.75" customHeight="1">
      <c r="Q164" s="668"/>
      <c r="R164" s="973" t="s">
        <v>472</v>
      </c>
      <c r="S164" s="973"/>
      <c r="T164" s="973"/>
      <c r="U164" s="544">
        <f>$V$224</f>
        <v>938.66666666666674</v>
      </c>
      <c r="V164" s="544">
        <f>($V$145*$V$146*$V$153*$V$152)/$V$154</f>
        <v>75999.999999999985</v>
      </c>
      <c r="W164" s="544">
        <f>($W$145*$W$146*$W$153*$W$152)/$W$154</f>
        <v>66086.956521739121</v>
      </c>
      <c r="X164" s="544">
        <f>($X$145*$X$146*$X$153*$X$152)/$X$154</f>
        <v>54285.714285714275</v>
      </c>
      <c r="Y164" s="361"/>
      <c r="Z164" s="364"/>
      <c r="AA164" s="367"/>
      <c r="AB164"/>
      <c r="AC164"/>
      <c r="AD164"/>
      <c r="AE164"/>
      <c r="AF164"/>
      <c r="AG164"/>
    </row>
    <row r="165" spans="17:33" ht="12.75" customHeight="1">
      <c r="Q165" s="668"/>
      <c r="R165" s="973" t="s">
        <v>473</v>
      </c>
      <c r="S165" s="973"/>
      <c r="T165" s="973"/>
      <c r="U165" s="543"/>
      <c r="V165" s="544">
        <f>($V$145*$V$146*$V$159*$V$158)/$V$160</f>
        <v>418000.00000000006</v>
      </c>
      <c r="W165" s="544">
        <f>($W$145*$W$146*$W$159*$W$158)/$W$160</f>
        <v>422956.52173913049</v>
      </c>
      <c r="X165" s="544">
        <f>($X$145*$X$146*$X$159*$X$158)/$X$160</f>
        <v>428857.14285714284</v>
      </c>
      <c r="Y165" s="361"/>
      <c r="Z165" s="364"/>
      <c r="AA165" s="367"/>
      <c r="AB165"/>
      <c r="AC165"/>
      <c r="AD165"/>
      <c r="AE165"/>
      <c r="AF165"/>
      <c r="AG165"/>
    </row>
    <row r="166" spans="17:33" ht="12.75" customHeight="1">
      <c r="Q166" s="668"/>
      <c r="R166" s="567"/>
      <c r="S166" s="568"/>
      <c r="T166" s="568"/>
      <c r="U166" s="573"/>
      <c r="V166" s="573"/>
      <c r="W166" s="573"/>
      <c r="X166" s="574"/>
      <c r="Y166" s="364"/>
      <c r="Z166" s="364"/>
      <c r="AA166" s="367"/>
      <c r="AB166"/>
      <c r="AC166"/>
      <c r="AD166"/>
      <c r="AE166"/>
      <c r="AF166"/>
      <c r="AG166"/>
    </row>
    <row r="167" spans="17:33" ht="12.75" customHeight="1">
      <c r="Q167" s="668"/>
      <c r="R167" s="901" t="s">
        <v>474</v>
      </c>
      <c r="S167" s="901"/>
      <c r="T167" s="901"/>
      <c r="U167" s="930" t="s">
        <v>500</v>
      </c>
      <c r="V167" s="928" t="s">
        <v>22</v>
      </c>
      <c r="W167" s="929" t="s">
        <v>579</v>
      </c>
      <c r="X167" s="927" t="s">
        <v>21</v>
      </c>
      <c r="Y167" s="361"/>
      <c r="Z167" s="364"/>
      <c r="AA167" s="367"/>
      <c r="AB167"/>
      <c r="AC167"/>
      <c r="AD167"/>
      <c r="AE167"/>
      <c r="AF167"/>
      <c r="AG167"/>
    </row>
    <row r="168" spans="17:33" ht="12.75" customHeight="1">
      <c r="Q168" s="668"/>
      <c r="R168" s="901"/>
      <c r="S168" s="901"/>
      <c r="T168" s="901"/>
      <c r="U168" s="930"/>
      <c r="V168" s="928"/>
      <c r="W168" s="929"/>
      <c r="X168" s="927"/>
      <c r="Y168" s="361"/>
      <c r="Z168" s="364"/>
      <c r="AA168" s="367"/>
      <c r="AB168"/>
      <c r="AC168"/>
      <c r="AD168"/>
      <c r="AE168"/>
      <c r="AF168"/>
      <c r="AG168"/>
    </row>
    <row r="169" spans="17:33" ht="12.75" customHeight="1">
      <c r="Q169" s="668"/>
      <c r="R169" s="973" t="s">
        <v>472</v>
      </c>
      <c r="S169" s="973"/>
      <c r="T169" s="973"/>
      <c r="U169" s="544">
        <f>U164*$V$11</f>
        <v>21589.333333333336</v>
      </c>
      <c r="V169" s="544">
        <f>V164*$V$11</f>
        <v>1747999.9999999998</v>
      </c>
      <c r="W169" s="544">
        <f>W164*$V$11</f>
        <v>1519999.9999999998</v>
      </c>
      <c r="X169" s="544">
        <f>X164*$V$11</f>
        <v>1248571.4285714284</v>
      </c>
      <c r="Y169" s="361"/>
      <c r="Z169" s="364"/>
      <c r="AA169" s="367"/>
      <c r="AB169"/>
      <c r="AC169"/>
      <c r="AD169"/>
      <c r="AE169"/>
      <c r="AF169"/>
      <c r="AG169"/>
    </row>
    <row r="170" spans="17:33" ht="12.75" customHeight="1">
      <c r="Q170" s="668"/>
      <c r="R170" s="973" t="s">
        <v>473</v>
      </c>
      <c r="S170" s="973"/>
      <c r="T170" s="973"/>
      <c r="U170" s="543"/>
      <c r="V170" s="544">
        <f>V165*$V$11</f>
        <v>9614000.0000000019</v>
      </c>
      <c r="W170" s="544">
        <f>W165*$V$11</f>
        <v>9728000.0000000019</v>
      </c>
      <c r="X170" s="544">
        <f>X165*$V$11</f>
        <v>9863714.2857142854</v>
      </c>
      <c r="Y170" s="361"/>
      <c r="Z170" s="364"/>
      <c r="AA170" s="367"/>
      <c r="AB170"/>
      <c r="AC170"/>
      <c r="AD170"/>
      <c r="AE170"/>
      <c r="AF170"/>
      <c r="AG170"/>
    </row>
    <row r="171" spans="17:33" ht="12.75" customHeight="1">
      <c r="Q171" s="668"/>
      <c r="R171" s="567"/>
      <c r="S171" s="568"/>
      <c r="T171" s="568"/>
      <c r="U171" s="573"/>
      <c r="V171" s="573"/>
      <c r="W171" s="573"/>
      <c r="X171" s="574"/>
      <c r="Y171" s="364"/>
      <c r="Z171" s="364"/>
      <c r="AA171" s="367"/>
      <c r="AB171"/>
      <c r="AC171"/>
      <c r="AD171"/>
      <c r="AE171"/>
      <c r="AF171"/>
      <c r="AG171"/>
    </row>
    <row r="172" spans="17:33" ht="12.75" customHeight="1">
      <c r="Q172" s="668"/>
      <c r="R172" s="901" t="s">
        <v>474</v>
      </c>
      <c r="S172" s="901"/>
      <c r="T172" s="901"/>
      <c r="U172" s="930" t="s">
        <v>500</v>
      </c>
      <c r="V172" s="928" t="s">
        <v>22</v>
      </c>
      <c r="W172" s="929" t="s">
        <v>579</v>
      </c>
      <c r="X172" s="927" t="s">
        <v>21</v>
      </c>
      <c r="Y172" s="361"/>
      <c r="Z172" s="364"/>
      <c r="AA172" s="367"/>
      <c r="AB172"/>
      <c r="AC172"/>
      <c r="AD172"/>
      <c r="AE172"/>
      <c r="AF172"/>
      <c r="AG172"/>
    </row>
    <row r="173" spans="17:33" ht="12.75" customHeight="1">
      <c r="Q173" s="668"/>
      <c r="R173" s="901"/>
      <c r="S173" s="901"/>
      <c r="T173" s="901"/>
      <c r="U173" s="930"/>
      <c r="V173" s="928"/>
      <c r="W173" s="929"/>
      <c r="X173" s="927"/>
      <c r="Y173" s="361"/>
      <c r="Z173" s="364"/>
      <c r="AA173" s="367"/>
      <c r="AB173"/>
      <c r="AC173"/>
      <c r="AD173"/>
      <c r="AE173"/>
      <c r="AF173"/>
      <c r="AG173"/>
    </row>
    <row r="174" spans="17:33" ht="12.75" customHeight="1">
      <c r="Q174" s="668"/>
      <c r="R174" s="973" t="s">
        <v>472</v>
      </c>
      <c r="S174" s="973"/>
      <c r="T174" s="973"/>
      <c r="U174" s="544">
        <f>U169*12</f>
        <v>259072.00000000003</v>
      </c>
      <c r="V174" s="544">
        <f>V169*12</f>
        <v>20975999.999999996</v>
      </c>
      <c r="W174" s="544">
        <f>W169*12</f>
        <v>18239999.999999996</v>
      </c>
      <c r="X174" s="544">
        <f>X169*12</f>
        <v>14982857.142857142</v>
      </c>
      <c r="Y174" s="361"/>
      <c r="Z174" s="364"/>
      <c r="AA174" s="367"/>
      <c r="AB174"/>
      <c r="AC174"/>
      <c r="AD174"/>
      <c r="AE174"/>
      <c r="AF174"/>
      <c r="AG174"/>
    </row>
    <row r="175" spans="17:33" ht="12.75" customHeight="1">
      <c r="Q175" s="668"/>
      <c r="R175" s="973" t="s">
        <v>473</v>
      </c>
      <c r="S175" s="973"/>
      <c r="T175" s="973"/>
      <c r="U175" s="543"/>
      <c r="V175" s="544">
        <f>V170*12</f>
        <v>115368000.00000003</v>
      </c>
      <c r="W175" s="544">
        <f>W170*12</f>
        <v>116736000.00000003</v>
      </c>
      <c r="X175" s="544">
        <f>X170*12</f>
        <v>118364571.42857143</v>
      </c>
      <c r="Y175" s="361"/>
      <c r="Z175" s="364"/>
      <c r="AA175" s="367"/>
      <c r="AB175"/>
      <c r="AC175"/>
      <c r="AD175"/>
      <c r="AE175"/>
      <c r="AF175"/>
      <c r="AG175"/>
    </row>
    <row r="176" spans="17:33" ht="12.75" customHeight="1">
      <c r="Q176" s="668"/>
      <c r="R176" s="381"/>
      <c r="S176" s="381"/>
      <c r="T176" s="381"/>
      <c r="U176" s="381"/>
      <c r="V176" s="381"/>
      <c r="W176" s="381"/>
      <c r="X176" s="381"/>
      <c r="Y176" s="364"/>
      <c r="Z176" s="364"/>
      <c r="AA176" s="367"/>
      <c r="AB176"/>
      <c r="AC176"/>
      <c r="AD176"/>
      <c r="AE176"/>
      <c r="AF176"/>
      <c r="AG176"/>
    </row>
    <row r="177" spans="17:33" ht="12.75" customHeight="1">
      <c r="Q177" s="668"/>
      <c r="R177" s="901" t="s">
        <v>433</v>
      </c>
      <c r="S177" s="901"/>
      <c r="T177" s="901"/>
      <c r="U177" s="949" t="s">
        <v>500</v>
      </c>
      <c r="V177" s="938" t="s">
        <v>22</v>
      </c>
      <c r="W177" s="940" t="s">
        <v>579</v>
      </c>
      <c r="X177" s="942" t="s">
        <v>21</v>
      </c>
      <c r="Y177" s="361"/>
      <c r="Z177" s="364"/>
      <c r="AA177" s="367"/>
      <c r="AB177"/>
      <c r="AC177"/>
      <c r="AD177"/>
      <c r="AE177"/>
      <c r="AF177"/>
      <c r="AG177"/>
    </row>
    <row r="178" spans="17:33" ht="12.75" customHeight="1">
      <c r="Q178" s="668"/>
      <c r="R178" s="901"/>
      <c r="S178" s="901"/>
      <c r="T178" s="901"/>
      <c r="U178" s="950"/>
      <c r="V178" s="939"/>
      <c r="W178" s="941"/>
      <c r="X178" s="943"/>
      <c r="Y178" s="361"/>
      <c r="Z178" s="364"/>
      <c r="AA178" s="367"/>
      <c r="AB178"/>
      <c r="AC178"/>
      <c r="AD178"/>
      <c r="AE178"/>
      <c r="AF178"/>
      <c r="AG178"/>
    </row>
    <row r="179" spans="17:33" ht="12.75" customHeight="1">
      <c r="Q179" s="668"/>
      <c r="R179" s="970" t="s">
        <v>459</v>
      </c>
      <c r="S179" s="971"/>
      <c r="T179" s="972"/>
      <c r="U179" s="544">
        <f>U164</f>
        <v>938.66666666666674</v>
      </c>
      <c r="V179" s="544">
        <f>V164+V165</f>
        <v>494000.00000000006</v>
      </c>
      <c r="W179" s="544">
        <f>W164+W165</f>
        <v>489043.47826086963</v>
      </c>
      <c r="X179" s="544">
        <f>X164+X165</f>
        <v>483142.8571428571</v>
      </c>
      <c r="Y179" s="361"/>
      <c r="Z179" s="364"/>
      <c r="AA179" s="367"/>
      <c r="AB179"/>
      <c r="AC179"/>
      <c r="AD179"/>
      <c r="AE179"/>
      <c r="AF179"/>
      <c r="AG179"/>
    </row>
    <row r="180" spans="17:33" ht="12.75" customHeight="1">
      <c r="Q180" s="668"/>
      <c r="R180" s="973" t="s">
        <v>307</v>
      </c>
      <c r="S180" s="973"/>
      <c r="T180" s="973"/>
      <c r="U180" s="544">
        <f>U169</f>
        <v>21589.333333333336</v>
      </c>
      <c r="V180" s="544">
        <f>V169+V170</f>
        <v>11362000.000000002</v>
      </c>
      <c r="W180" s="544">
        <f>W169+W170</f>
        <v>11248000.000000002</v>
      </c>
      <c r="X180" s="544">
        <f>X169+X170</f>
        <v>11112285.714285715</v>
      </c>
      <c r="Y180" s="361"/>
      <c r="Z180" s="364"/>
      <c r="AA180" s="367"/>
      <c r="AB180"/>
      <c r="AC180"/>
      <c r="AD180"/>
      <c r="AE180"/>
      <c r="AF180"/>
      <c r="AG180"/>
    </row>
    <row r="181" spans="17:33" ht="12.75" customHeight="1">
      <c r="Q181" s="668"/>
      <c r="R181" s="973" t="s">
        <v>308</v>
      </c>
      <c r="S181" s="973"/>
      <c r="T181" s="973"/>
      <c r="U181" s="544">
        <f>U174</f>
        <v>259072.00000000003</v>
      </c>
      <c r="V181" s="544">
        <f>V174+V175</f>
        <v>136344000.00000003</v>
      </c>
      <c r="W181" s="544">
        <f>W174+W175</f>
        <v>134976000.00000003</v>
      </c>
      <c r="X181" s="544">
        <f>X174+X175</f>
        <v>133347428.57142857</v>
      </c>
      <c r="Y181" s="361"/>
      <c r="Z181" s="364"/>
      <c r="AA181" s="367"/>
      <c r="AB181"/>
      <c r="AC181"/>
      <c r="AD181"/>
      <c r="AE181"/>
      <c r="AF181"/>
      <c r="AG181"/>
    </row>
    <row r="182" spans="17:33" ht="12.75" customHeight="1">
      <c r="Q182" s="668"/>
      <c r="R182" s="381"/>
      <c r="S182" s="381"/>
      <c r="T182" s="381"/>
      <c r="U182" s="381"/>
      <c r="V182" s="381"/>
      <c r="W182" s="381"/>
      <c r="X182" s="381"/>
      <c r="Y182" s="364"/>
      <c r="Z182" s="364"/>
      <c r="AA182" s="367"/>
      <c r="AB182"/>
      <c r="AC182"/>
      <c r="AD182" t="str">
        <f>R185</f>
        <v>"Fully Loaded" - Drilling Shift</v>
      </c>
      <c r="AE182" t="str">
        <f>R186</f>
        <v>"Un-loaded" - Off Shift</v>
      </c>
      <c r="AF182"/>
      <c r="AG182"/>
    </row>
    <row r="183" spans="17:33" ht="12.75" customHeight="1">
      <c r="Q183" s="668"/>
      <c r="R183" s="901" t="s">
        <v>475</v>
      </c>
      <c r="S183" s="901"/>
      <c r="T183" s="901"/>
      <c r="U183" s="930" t="s">
        <v>500</v>
      </c>
      <c r="V183" s="928" t="s">
        <v>22</v>
      </c>
      <c r="W183" s="929" t="s">
        <v>579</v>
      </c>
      <c r="X183" s="927" t="s">
        <v>21</v>
      </c>
      <c r="Y183" s="361"/>
      <c r="Z183" s="364"/>
      <c r="AA183" s="367"/>
      <c r="AB183" s="716" t="s">
        <v>500</v>
      </c>
      <c r="AC183"/>
      <c r="AD183" s="717">
        <f>U185</f>
        <v>211.20000000000002</v>
      </c>
      <c r="AE183"/>
      <c r="AF183"/>
      <c r="AG183"/>
    </row>
    <row r="184" spans="17:33" ht="12.75" customHeight="1">
      <c r="Q184" s="668"/>
      <c r="R184" s="901"/>
      <c r="S184" s="901"/>
      <c r="T184" s="901"/>
      <c r="U184" s="930"/>
      <c r="V184" s="928"/>
      <c r="W184" s="929"/>
      <c r="X184" s="927"/>
      <c r="Y184" s="361"/>
      <c r="Z184" s="364"/>
      <c r="AA184" s="367"/>
      <c r="AB184" s="716" t="s">
        <v>22</v>
      </c>
      <c r="AC184"/>
      <c r="AD184" s="717">
        <f>V185</f>
        <v>17099.999999999996</v>
      </c>
      <c r="AE184" s="717">
        <f>V186</f>
        <v>94050.000000000015</v>
      </c>
      <c r="AF184"/>
      <c r="AG184"/>
    </row>
    <row r="185" spans="17:33" ht="12.75" customHeight="1">
      <c r="Q185" s="668"/>
      <c r="R185" s="973" t="s">
        <v>472</v>
      </c>
      <c r="S185" s="973"/>
      <c r="T185" s="973"/>
      <c r="U185" s="593">
        <f>$V$224*$U$148</f>
        <v>211.20000000000002</v>
      </c>
      <c r="V185" s="593">
        <f>($V$145*$V$146*$V$153*$V$152*$V$148)/$V$154</f>
        <v>17099.999999999996</v>
      </c>
      <c r="W185" s="593">
        <f>($W$145*$W$146*$W$153*$W$152*$W$148)/$W$154</f>
        <v>14869.565217391304</v>
      </c>
      <c r="X185" s="593">
        <f>($X$145*$X$146*$X$153*$X$152*$X$148)/$X$154</f>
        <v>12214.285714285714</v>
      </c>
      <c r="Y185" s="361"/>
      <c r="Z185" s="364"/>
      <c r="AA185" s="367"/>
      <c r="AB185" s="716" t="s">
        <v>579</v>
      </c>
      <c r="AC185"/>
      <c r="AD185" s="717">
        <f>W185</f>
        <v>14869.565217391304</v>
      </c>
      <c r="AE185" s="717">
        <f>W186</f>
        <v>95165.217391304366</v>
      </c>
      <c r="AF185"/>
      <c r="AG185"/>
    </row>
    <row r="186" spans="17:33" ht="12.75" customHeight="1">
      <c r="Q186" s="668"/>
      <c r="R186" s="973" t="s">
        <v>473</v>
      </c>
      <c r="S186" s="973"/>
      <c r="T186" s="973"/>
      <c r="U186" s="543"/>
      <c r="V186" s="593">
        <f>($V$145*$V$146*$V$159*$V$158*$V$148)/$V$160</f>
        <v>94050.000000000015</v>
      </c>
      <c r="W186" s="593">
        <f>($W$145*$W$146*$W$159*$W$158*$W$148)/$W$160</f>
        <v>95165.217391304366</v>
      </c>
      <c r="X186" s="593">
        <f>($X$145*$X$146*$X$159*$X$158*$X$148)/$X$160</f>
        <v>96492.857142857145</v>
      </c>
      <c r="Y186" s="361"/>
      <c r="Z186" s="364"/>
      <c r="AA186" s="367"/>
      <c r="AB186" s="716" t="s">
        <v>21</v>
      </c>
      <c r="AC186"/>
      <c r="AD186" s="717">
        <f>X185</f>
        <v>12214.285714285714</v>
      </c>
      <c r="AE186" s="717">
        <f>X186</f>
        <v>96492.857142857145</v>
      </c>
      <c r="AF186"/>
      <c r="AG186"/>
    </row>
    <row r="187" spans="17:33" ht="12.75" customHeight="1">
      <c r="Q187" s="668"/>
      <c r="R187" s="381"/>
      <c r="S187" s="381"/>
      <c r="T187" s="381"/>
      <c r="U187" s="381"/>
      <c r="V187" s="381"/>
      <c r="W187" s="381"/>
      <c r="X187" s="381"/>
      <c r="Y187" s="552"/>
      <c r="Z187" s="364"/>
      <c r="AA187" s="367"/>
      <c r="AC187"/>
      <c r="AD187"/>
      <c r="AE187"/>
      <c r="AF187"/>
      <c r="AG187"/>
    </row>
    <row r="188" spans="17:33" ht="12.75" customHeight="1">
      <c r="Q188" s="668"/>
      <c r="R188" s="901" t="s">
        <v>476</v>
      </c>
      <c r="S188" s="901"/>
      <c r="T188" s="901"/>
      <c r="U188" s="930" t="s">
        <v>500</v>
      </c>
      <c r="V188" s="928" t="s">
        <v>22</v>
      </c>
      <c r="W188" s="929" t="s">
        <v>579</v>
      </c>
      <c r="X188" s="927" t="s">
        <v>21</v>
      </c>
      <c r="Y188" s="361"/>
      <c r="Z188" s="364"/>
      <c r="AA188" s="367"/>
      <c r="AB188"/>
      <c r="AC188"/>
      <c r="AD188"/>
      <c r="AE188"/>
      <c r="AF188"/>
      <c r="AG188"/>
    </row>
    <row r="189" spans="17:33" ht="12.75" customHeight="1">
      <c r="Q189" s="668"/>
      <c r="R189" s="901"/>
      <c r="S189" s="901"/>
      <c r="T189" s="901"/>
      <c r="U189" s="930"/>
      <c r="V189" s="928"/>
      <c r="W189" s="929"/>
      <c r="X189" s="927"/>
      <c r="Y189" s="361"/>
      <c r="Z189" s="364"/>
      <c r="AA189" s="367"/>
      <c r="AB189"/>
      <c r="AC189"/>
      <c r="AD189"/>
      <c r="AE189"/>
      <c r="AF189"/>
      <c r="AG189"/>
    </row>
    <row r="190" spans="17:33" ht="12.75" customHeight="1">
      <c r="Q190" s="668"/>
      <c r="R190" s="973" t="s">
        <v>472</v>
      </c>
      <c r="S190" s="973"/>
      <c r="T190" s="973"/>
      <c r="U190" s="593">
        <f>U185*$V$11</f>
        <v>4857.6000000000004</v>
      </c>
      <c r="V190" s="593">
        <f>V185*$V$11</f>
        <v>393299.99999999994</v>
      </c>
      <c r="W190" s="593">
        <f>W185*$V$11</f>
        <v>342000</v>
      </c>
      <c r="X190" s="593">
        <f>X185*$V$11</f>
        <v>280928.57142857142</v>
      </c>
      <c r="Y190" s="361"/>
      <c r="Z190" s="364"/>
      <c r="AA190" s="367"/>
      <c r="AB190"/>
      <c r="AC190"/>
      <c r="AD190"/>
      <c r="AE190"/>
      <c r="AF190"/>
      <c r="AG190"/>
    </row>
    <row r="191" spans="17:33" ht="12.75" customHeight="1">
      <c r="Q191" s="668"/>
      <c r="R191" s="973" t="s">
        <v>473</v>
      </c>
      <c r="S191" s="973"/>
      <c r="T191" s="973"/>
      <c r="U191" s="543"/>
      <c r="V191" s="593">
        <f>V186*$V$11</f>
        <v>2163150.0000000005</v>
      </c>
      <c r="W191" s="593">
        <f>W186*$V$11</f>
        <v>2188800.0000000005</v>
      </c>
      <c r="X191" s="593">
        <f>X186*$V$11</f>
        <v>2219335.7142857146</v>
      </c>
      <c r="Y191" s="361"/>
      <c r="Z191" s="364"/>
      <c r="AA191" s="367"/>
      <c r="AB191"/>
      <c r="AC191"/>
      <c r="AD191"/>
      <c r="AE191"/>
      <c r="AF191"/>
      <c r="AG191"/>
    </row>
    <row r="192" spans="17:33" ht="12.75" customHeight="1">
      <c r="Q192" s="668"/>
      <c r="R192" s="367"/>
      <c r="S192" s="367"/>
      <c r="T192" s="367"/>
      <c r="U192" s="367"/>
      <c r="V192" s="367"/>
      <c r="W192" s="367"/>
      <c r="X192" s="367"/>
      <c r="Y192" s="364"/>
      <c r="Z192" s="364"/>
      <c r="AA192" s="367"/>
      <c r="AB192"/>
      <c r="AC192"/>
      <c r="AD192"/>
      <c r="AE192"/>
      <c r="AF192"/>
      <c r="AG192"/>
    </row>
    <row r="193" spans="17:33" ht="12.75" customHeight="1">
      <c r="Q193" s="668"/>
      <c r="R193" s="901" t="s">
        <v>477</v>
      </c>
      <c r="S193" s="901"/>
      <c r="T193" s="901"/>
      <c r="U193" s="930" t="s">
        <v>500</v>
      </c>
      <c r="V193" s="928" t="s">
        <v>22</v>
      </c>
      <c r="W193" s="929" t="s">
        <v>579</v>
      </c>
      <c r="X193" s="927" t="s">
        <v>21</v>
      </c>
      <c r="Y193" s="361"/>
      <c r="Z193" s="364"/>
      <c r="AA193" s="367"/>
      <c r="AB193"/>
      <c r="AC193"/>
      <c r="AD193"/>
      <c r="AE193"/>
      <c r="AF193"/>
      <c r="AG193"/>
    </row>
    <row r="194" spans="17:33" ht="12.75" customHeight="1">
      <c r="Q194" s="668"/>
      <c r="R194" s="901"/>
      <c r="S194" s="901"/>
      <c r="T194" s="901"/>
      <c r="U194" s="930"/>
      <c r="V194" s="928"/>
      <c r="W194" s="929"/>
      <c r="X194" s="927"/>
      <c r="Y194" s="361"/>
      <c r="Z194" s="364"/>
      <c r="AA194" s="367"/>
      <c r="AB194"/>
      <c r="AC194"/>
      <c r="AD194"/>
      <c r="AE194"/>
      <c r="AF194"/>
      <c r="AG194"/>
    </row>
    <row r="195" spans="17:33" ht="12.75" customHeight="1">
      <c r="Q195" s="668"/>
      <c r="R195" s="973" t="s">
        <v>472</v>
      </c>
      <c r="S195" s="973"/>
      <c r="T195" s="973"/>
      <c r="U195" s="593">
        <f>U190*12</f>
        <v>58291.200000000004</v>
      </c>
      <c r="V195" s="593">
        <f>V190*12</f>
        <v>4719599.9999999991</v>
      </c>
      <c r="W195" s="593">
        <f>W190*12</f>
        <v>4104000</v>
      </c>
      <c r="X195" s="593">
        <f>X190*12</f>
        <v>3371142.8571428573</v>
      </c>
      <c r="Y195" s="361"/>
      <c r="Z195" s="364"/>
      <c r="AA195" s="367"/>
      <c r="AB195"/>
      <c r="AC195"/>
      <c r="AD195"/>
      <c r="AE195"/>
      <c r="AF195"/>
      <c r="AG195"/>
    </row>
    <row r="196" spans="17:33" ht="12.75" customHeight="1">
      <c r="Q196" s="668"/>
      <c r="R196" s="973" t="s">
        <v>473</v>
      </c>
      <c r="S196" s="973"/>
      <c r="T196" s="973"/>
      <c r="U196" s="543"/>
      <c r="V196" s="593">
        <f>V191*12</f>
        <v>25957800.000000007</v>
      </c>
      <c r="W196" s="593">
        <f>W191*12</f>
        <v>26265600.000000007</v>
      </c>
      <c r="X196" s="593">
        <f>X191*12</f>
        <v>26632028.571428575</v>
      </c>
      <c r="Y196" s="361"/>
      <c r="Z196" s="364"/>
      <c r="AA196" s="367"/>
      <c r="AB196"/>
      <c r="AC196"/>
      <c r="AD196"/>
      <c r="AE196"/>
      <c r="AF196"/>
      <c r="AG196"/>
    </row>
    <row r="197" spans="17:33" ht="12.75" customHeight="1">
      <c r="Q197" s="668"/>
      <c r="R197" s="367"/>
      <c r="S197" s="367"/>
      <c r="T197" s="367"/>
      <c r="U197" s="367"/>
      <c r="V197" s="367"/>
      <c r="W197" s="367"/>
      <c r="X197" s="367"/>
      <c r="Y197" s="364"/>
      <c r="Z197" s="364"/>
      <c r="AA197" s="367"/>
      <c r="AB197"/>
      <c r="AC197"/>
      <c r="AD197"/>
      <c r="AE197"/>
      <c r="AF197"/>
      <c r="AG197"/>
    </row>
    <row r="198" spans="17:33" ht="12.75" customHeight="1">
      <c r="Q198" s="668"/>
      <c r="R198" s="901" t="s">
        <v>116</v>
      </c>
      <c r="S198" s="901"/>
      <c r="T198" s="901"/>
      <c r="U198" s="949" t="s">
        <v>500</v>
      </c>
      <c r="V198" s="938" t="s">
        <v>22</v>
      </c>
      <c r="W198" s="940" t="s">
        <v>579</v>
      </c>
      <c r="X198" s="942" t="s">
        <v>21</v>
      </c>
      <c r="Y198" s="361"/>
      <c r="Z198" s="364"/>
      <c r="AA198" s="367"/>
      <c r="AB198"/>
      <c r="AC198"/>
      <c r="AD198"/>
      <c r="AE198"/>
      <c r="AF198"/>
      <c r="AG198"/>
    </row>
    <row r="199" spans="17:33" ht="12.75" customHeight="1">
      <c r="Q199" s="668"/>
      <c r="R199" s="901"/>
      <c r="S199" s="901"/>
      <c r="T199" s="901"/>
      <c r="U199" s="950"/>
      <c r="V199" s="939"/>
      <c r="W199" s="941"/>
      <c r="X199" s="943"/>
      <c r="Y199" s="361"/>
      <c r="Z199" s="364"/>
      <c r="AA199" s="367"/>
      <c r="AB199"/>
      <c r="AC199"/>
      <c r="AD199"/>
      <c r="AE199"/>
      <c r="AF199"/>
      <c r="AG199"/>
    </row>
    <row r="200" spans="17:33" ht="12.75" customHeight="1">
      <c r="Q200" s="668"/>
      <c r="R200" s="970" t="s">
        <v>459</v>
      </c>
      <c r="S200" s="971"/>
      <c r="T200" s="972"/>
      <c r="U200" s="593">
        <f>U185</f>
        <v>211.20000000000002</v>
      </c>
      <c r="V200" s="593">
        <f>V185+V186</f>
        <v>111150.00000000001</v>
      </c>
      <c r="W200" s="593">
        <f>W185+W186</f>
        <v>110034.78260869568</v>
      </c>
      <c r="X200" s="593">
        <f>X185+X186</f>
        <v>108707.14285714286</v>
      </c>
      <c r="Y200" s="361"/>
      <c r="Z200" s="364"/>
      <c r="AA200" s="367"/>
      <c r="AB200"/>
      <c r="AC200"/>
      <c r="AD200"/>
      <c r="AE200"/>
      <c r="AF200"/>
      <c r="AG200"/>
    </row>
    <row r="201" spans="17:33" ht="12.75" customHeight="1">
      <c r="Q201" s="668"/>
      <c r="R201" s="973" t="s">
        <v>307</v>
      </c>
      <c r="S201" s="973"/>
      <c r="T201" s="973"/>
      <c r="U201" s="593">
        <f>U190</f>
        <v>4857.6000000000004</v>
      </c>
      <c r="V201" s="593">
        <f>V190+V191</f>
        <v>2556450.0000000005</v>
      </c>
      <c r="W201" s="593">
        <f>W190+W191</f>
        <v>2530800.0000000005</v>
      </c>
      <c r="X201" s="593">
        <f>X190+X191</f>
        <v>2500264.2857142859</v>
      </c>
      <c r="Y201" s="361"/>
      <c r="Z201" s="364"/>
      <c r="AA201" s="367"/>
      <c r="AB201"/>
      <c r="AC201"/>
      <c r="AD201"/>
      <c r="AE201"/>
      <c r="AF201"/>
      <c r="AG201"/>
    </row>
    <row r="202" spans="17:33" ht="12.75" customHeight="1">
      <c r="Q202" s="668"/>
      <c r="R202" s="973" t="s">
        <v>308</v>
      </c>
      <c r="S202" s="973"/>
      <c r="T202" s="973"/>
      <c r="U202" s="593">
        <f>U195</f>
        <v>58291.200000000004</v>
      </c>
      <c r="V202" s="593">
        <f>V195+V196</f>
        <v>30677400.000000007</v>
      </c>
      <c r="W202" s="593">
        <f>W195+W196</f>
        <v>30369600.000000007</v>
      </c>
      <c r="X202" s="593">
        <f>X195+X196</f>
        <v>30003171.428571433</v>
      </c>
      <c r="Y202" s="361"/>
      <c r="Z202" s="364"/>
      <c r="AA202" s="367"/>
      <c r="AB202"/>
      <c r="AC202"/>
      <c r="AD202"/>
      <c r="AE202"/>
      <c r="AF202"/>
      <c r="AG202"/>
    </row>
    <row r="203" spans="17:33" ht="12.75" customHeight="1">
      <c r="Q203" s="668"/>
      <c r="R203" s="575"/>
      <c r="S203" s="575"/>
      <c r="T203" s="575"/>
      <c r="U203" s="382"/>
      <c r="V203" s="382"/>
      <c r="W203" s="382"/>
      <c r="X203" s="382"/>
      <c r="Y203" s="364"/>
      <c r="Z203" s="364"/>
      <c r="AA203" s="367"/>
      <c r="AB203"/>
      <c r="AC203"/>
      <c r="AD203"/>
      <c r="AE203"/>
      <c r="AF203"/>
      <c r="AG203"/>
    </row>
    <row r="204" spans="17:33" ht="12.75" customHeight="1">
      <c r="Q204" s="668"/>
      <c r="R204" s="974" t="s">
        <v>775</v>
      </c>
      <c r="S204" s="974"/>
      <c r="T204" s="974"/>
      <c r="U204" s="974"/>
      <c r="V204" s="974"/>
      <c r="W204" s="974"/>
      <c r="X204" s="974"/>
      <c r="Y204" s="974"/>
      <c r="Z204" s="364"/>
      <c r="AA204" s="367"/>
      <c r="AB204"/>
      <c r="AC204"/>
      <c r="AD204"/>
      <c r="AE204"/>
      <c r="AF204"/>
      <c r="AG204"/>
    </row>
    <row r="205" spans="17:33" ht="12.75" customHeight="1">
      <c r="Q205" s="668"/>
      <c r="R205" s="974"/>
      <c r="S205" s="974"/>
      <c r="T205" s="974"/>
      <c r="U205" s="974"/>
      <c r="V205" s="974"/>
      <c r="W205" s="974"/>
      <c r="X205" s="974"/>
      <c r="Y205" s="974"/>
      <c r="Z205" s="576"/>
      <c r="AA205" s="367"/>
      <c r="AB205"/>
      <c r="AC205"/>
      <c r="AD205"/>
      <c r="AE205"/>
      <c r="AF205"/>
      <c r="AG205"/>
    </row>
    <row r="206" spans="17:33" ht="12.75" customHeight="1">
      <c r="Q206" s="668"/>
      <c r="R206" s="974"/>
      <c r="S206" s="974"/>
      <c r="T206" s="974"/>
      <c r="U206" s="974"/>
      <c r="V206" s="974"/>
      <c r="W206" s="974"/>
      <c r="X206" s="974"/>
      <c r="Y206" s="974"/>
      <c r="Z206" s="576"/>
      <c r="AA206" s="367"/>
      <c r="AB206"/>
      <c r="AC206"/>
      <c r="AD206"/>
      <c r="AE206"/>
      <c r="AF206"/>
      <c r="AG206"/>
    </row>
    <row r="207" spans="17:33" ht="12.75" customHeight="1">
      <c r="Q207" s="668"/>
      <c r="R207" s="974"/>
      <c r="S207" s="974"/>
      <c r="T207" s="974"/>
      <c r="U207" s="974"/>
      <c r="V207" s="974"/>
      <c r="W207" s="974"/>
      <c r="X207" s="974"/>
      <c r="Y207" s="974"/>
      <c r="Z207" s="576"/>
      <c r="AA207" s="367"/>
      <c r="AB207"/>
      <c r="AC207"/>
      <c r="AD207"/>
      <c r="AE207"/>
      <c r="AF207"/>
      <c r="AG207"/>
    </row>
    <row r="208" spans="17:33" ht="12.75" customHeight="1">
      <c r="Q208" s="668"/>
      <c r="R208" s="974"/>
      <c r="S208" s="974"/>
      <c r="T208" s="974"/>
      <c r="U208" s="974"/>
      <c r="V208" s="974"/>
      <c r="W208" s="974"/>
      <c r="X208" s="974"/>
      <c r="Y208" s="974"/>
      <c r="Z208" s="576"/>
      <c r="AA208" s="367"/>
      <c r="AB208"/>
      <c r="AC208"/>
      <c r="AD208"/>
      <c r="AE208"/>
      <c r="AF208"/>
      <c r="AG208"/>
    </row>
    <row r="209" spans="17:33" ht="12.75" customHeight="1">
      <c r="Q209" s="668"/>
      <c r="R209" s="364"/>
      <c r="S209" s="375"/>
      <c r="T209" s="375"/>
      <c r="U209" s="577"/>
      <c r="V209" s="577"/>
      <c r="W209" s="577"/>
      <c r="X209" s="577"/>
      <c r="Y209" s="551"/>
      <c r="Z209" s="363"/>
      <c r="AA209" s="367"/>
      <c r="AB209"/>
      <c r="AC209"/>
      <c r="AD209"/>
      <c r="AE209"/>
      <c r="AF209"/>
      <c r="AG209"/>
    </row>
    <row r="210" spans="17:33" ht="12.75" customHeight="1">
      <c r="Q210" s="668"/>
      <c r="R210" s="975" t="s">
        <v>667</v>
      </c>
      <c r="S210" s="976"/>
      <c r="T210" s="976"/>
      <c r="U210" s="976"/>
      <c r="V210" s="976"/>
      <c r="W210" s="976"/>
      <c r="X210" s="979">
        <f>10*V25</f>
        <v>76800</v>
      </c>
      <c r="Y210" s="935" t="s">
        <v>668</v>
      </c>
      <c r="Z210" s="364"/>
      <c r="AA210" s="367"/>
      <c r="AB210"/>
      <c r="AC210"/>
      <c r="AD210"/>
      <c r="AE210"/>
      <c r="AF210"/>
      <c r="AG210"/>
    </row>
    <row r="211" spans="17:33" ht="12.75" customHeight="1">
      <c r="Q211" s="668"/>
      <c r="R211" s="977"/>
      <c r="S211" s="978"/>
      <c r="T211" s="978"/>
      <c r="U211" s="978"/>
      <c r="V211" s="978"/>
      <c r="W211" s="978"/>
      <c r="X211" s="979"/>
      <c r="Y211" s="935"/>
      <c r="Z211" s="364"/>
      <c r="AA211" s="367"/>
      <c r="AB211"/>
      <c r="AC211"/>
      <c r="AD211"/>
      <c r="AE211"/>
      <c r="AF211"/>
      <c r="AG211"/>
    </row>
    <row r="212" spans="17:33" ht="12.75" customHeight="1">
      <c r="Q212" s="668"/>
      <c r="R212" s="578"/>
      <c r="S212" s="578"/>
      <c r="T212" s="578"/>
      <c r="U212" s="578"/>
      <c r="V212" s="578"/>
      <c r="W212" s="578"/>
      <c r="X212" s="578"/>
      <c r="Y212" s="579"/>
      <c r="Z212" s="551"/>
      <c r="AA212" s="367"/>
      <c r="AB212"/>
      <c r="AC212"/>
      <c r="AD212"/>
      <c r="AE212"/>
      <c r="AF212"/>
      <c r="AG212"/>
    </row>
    <row r="213" spans="17:33" ht="12.75" customHeight="1">
      <c r="Q213" s="668"/>
      <c r="R213" s="937" t="s">
        <v>678</v>
      </c>
      <c r="S213" s="937"/>
      <c r="T213" s="937"/>
      <c r="U213" s="937"/>
      <c r="V213" s="949" t="s">
        <v>500</v>
      </c>
      <c r="W213" s="938" t="s">
        <v>22</v>
      </c>
      <c r="X213" s="940" t="s">
        <v>579</v>
      </c>
      <c r="Y213" s="942" t="s">
        <v>21</v>
      </c>
      <c r="Z213" s="361"/>
      <c r="AA213" s="367"/>
      <c r="AB213"/>
      <c r="AC213"/>
      <c r="AD213"/>
      <c r="AE213"/>
      <c r="AF213"/>
      <c r="AG213"/>
    </row>
    <row r="214" spans="17:33" ht="12.75" customHeight="1">
      <c r="Q214" s="668"/>
      <c r="R214" s="937"/>
      <c r="S214" s="937"/>
      <c r="T214" s="937"/>
      <c r="U214" s="937"/>
      <c r="V214" s="950"/>
      <c r="W214" s="939"/>
      <c r="X214" s="941"/>
      <c r="Y214" s="943"/>
      <c r="Z214" s="361"/>
      <c r="AA214" s="367"/>
      <c r="AB214"/>
      <c r="AC214"/>
      <c r="AD214"/>
      <c r="AE214"/>
      <c r="AF214"/>
      <c r="AG214"/>
    </row>
    <row r="215" spans="17:33" ht="12.75" customHeight="1">
      <c r="Q215" s="668"/>
      <c r="R215" s="968" t="s">
        <v>533</v>
      </c>
      <c r="S215" s="968"/>
      <c r="T215" s="968"/>
      <c r="U215" s="968"/>
      <c r="V215" s="580">
        <v>0.107</v>
      </c>
      <c r="W215" s="581">
        <f>VLOOKUP($V$5,'Lookup Energy kWhm'!$B$8:$E$208,3)</f>
        <v>0.13</v>
      </c>
      <c r="X215" s="581">
        <f>VLOOKUP($V$5,'Lookup Energy kWhm'!$B$8:$E$208,4)</f>
        <v>0.14799999999999999</v>
      </c>
      <c r="Y215" s="581">
        <f>VLOOKUP($V$5,'Lookup Energy kWhm'!$B$8:$E$208,2)</f>
        <v>0.1</v>
      </c>
      <c r="Z215" s="361"/>
      <c r="AA215" s="367"/>
      <c r="AB215"/>
      <c r="AC215"/>
      <c r="AD215"/>
      <c r="AE215"/>
      <c r="AF215"/>
      <c r="AG215"/>
    </row>
    <row r="216" spans="17:33" ht="12.75" customHeight="1">
      <c r="Q216" s="668"/>
      <c r="R216" s="969" t="s">
        <v>31</v>
      </c>
      <c r="S216" s="969"/>
      <c r="T216" s="969"/>
      <c r="U216" s="969"/>
      <c r="V216" s="556">
        <f t="shared" ref="V216:W219" si="2">X216</f>
        <v>1.2</v>
      </c>
      <c r="W216" s="556">
        <f t="shared" si="2"/>
        <v>1.2</v>
      </c>
      <c r="X216" s="556">
        <f>W216</f>
        <v>1.2</v>
      </c>
      <c r="Y216" s="556">
        <f>V20</f>
        <v>1.2</v>
      </c>
      <c r="Z216" s="361"/>
      <c r="AA216" s="367"/>
      <c r="AB216"/>
      <c r="AC216"/>
      <c r="AD216"/>
      <c r="AE216"/>
      <c r="AF216"/>
      <c r="AG216"/>
    </row>
    <row r="217" spans="17:33" ht="12.75" customHeight="1">
      <c r="Q217" s="668"/>
      <c r="R217" s="969" t="s">
        <v>314</v>
      </c>
      <c r="S217" s="969"/>
      <c r="T217" s="969"/>
      <c r="U217" s="969"/>
      <c r="V217" s="556">
        <f t="shared" si="2"/>
        <v>160</v>
      </c>
      <c r="W217" s="556">
        <f t="shared" si="2"/>
        <v>160</v>
      </c>
      <c r="X217" s="556">
        <f>W217</f>
        <v>160</v>
      </c>
      <c r="Y217" s="556">
        <f>V19</f>
        <v>160</v>
      </c>
      <c r="Z217" s="361"/>
      <c r="AA217" s="367"/>
      <c r="AB217"/>
      <c r="AC217"/>
      <c r="AD217"/>
      <c r="AE217"/>
      <c r="AF217"/>
      <c r="AG217"/>
    </row>
    <row r="218" spans="17:33" ht="12.75" customHeight="1">
      <c r="Q218" s="668"/>
      <c r="R218" s="969" t="s">
        <v>20</v>
      </c>
      <c r="S218" s="969"/>
      <c r="T218" s="969"/>
      <c r="U218" s="969"/>
      <c r="V218" s="556">
        <f t="shared" si="2"/>
        <v>40</v>
      </c>
      <c r="W218" s="556">
        <f t="shared" si="2"/>
        <v>40</v>
      </c>
      <c r="X218" s="556">
        <f>W218</f>
        <v>40</v>
      </c>
      <c r="Y218" s="556">
        <f>V22</f>
        <v>40</v>
      </c>
      <c r="Z218" s="361"/>
      <c r="AA218" s="367"/>
      <c r="AB218"/>
      <c r="AC218"/>
      <c r="AD218"/>
      <c r="AE218"/>
      <c r="AF218"/>
      <c r="AG218"/>
    </row>
    <row r="219" spans="17:33" ht="12.75" customHeight="1">
      <c r="Q219" s="668"/>
      <c r="R219" s="969" t="s">
        <v>310</v>
      </c>
      <c r="S219" s="969"/>
      <c r="T219" s="969"/>
      <c r="U219" s="969"/>
      <c r="V219" s="556">
        <f t="shared" si="2"/>
        <v>160</v>
      </c>
      <c r="W219" s="556">
        <f t="shared" si="2"/>
        <v>160</v>
      </c>
      <c r="X219" s="556">
        <f>W219</f>
        <v>160</v>
      </c>
      <c r="Y219" s="556">
        <f>V23</f>
        <v>160</v>
      </c>
      <c r="Z219" s="361"/>
      <c r="AA219" s="367"/>
      <c r="AB219"/>
      <c r="AC219"/>
      <c r="AD219"/>
      <c r="AE219"/>
      <c r="AF219"/>
      <c r="AG219"/>
    </row>
    <row r="220" spans="17:33" ht="12.75" customHeight="1">
      <c r="Q220" s="668"/>
      <c r="R220" s="968" t="s">
        <v>543</v>
      </c>
      <c r="S220" s="968"/>
      <c r="T220" s="968"/>
      <c r="U220" s="968"/>
      <c r="V220" s="582">
        <f>V215*V216*V217*V218</f>
        <v>821.75999999999988</v>
      </c>
      <c r="W220" s="582">
        <f>W215*W216*W217*W218</f>
        <v>998.40000000000009</v>
      </c>
      <c r="X220" s="582">
        <f>X215*X216*X217*X218</f>
        <v>1136.6399999999999</v>
      </c>
      <c r="Y220" s="582">
        <f>Y215*Y216*Y217*Y218</f>
        <v>768</v>
      </c>
      <c r="Z220" s="361"/>
      <c r="AA220" s="367"/>
      <c r="AB220"/>
      <c r="AC220"/>
      <c r="AD220"/>
      <c r="AE220"/>
      <c r="AF220"/>
      <c r="AG220"/>
    </row>
    <row r="221" spans="17:33" ht="12.75" customHeight="1">
      <c r="Q221" s="668"/>
      <c r="R221" s="968" t="s">
        <v>542</v>
      </c>
      <c r="S221" s="968"/>
      <c r="T221" s="968"/>
      <c r="U221" s="968"/>
      <c r="V221" s="583">
        <f>V220/V219</f>
        <v>5.1359999999999992</v>
      </c>
      <c r="W221" s="583">
        <f>W220/W219</f>
        <v>6.24</v>
      </c>
      <c r="X221" s="583">
        <f>X220/X219</f>
        <v>7.1039999999999992</v>
      </c>
      <c r="Y221" s="583">
        <f>Y220/Y219</f>
        <v>4.8</v>
      </c>
      <c r="Z221" s="361"/>
      <c r="AA221" s="367"/>
      <c r="AB221"/>
      <c r="AC221"/>
      <c r="AD221"/>
      <c r="AE221"/>
      <c r="AF221"/>
      <c r="AG221"/>
    </row>
    <row r="222" spans="17:33" ht="12.75" customHeight="1">
      <c r="Q222" s="668"/>
      <c r="R222" s="968" t="s">
        <v>538</v>
      </c>
      <c r="S222" s="968"/>
      <c r="T222" s="968"/>
      <c r="U222" s="968"/>
      <c r="V222" s="537">
        <f>U62</f>
        <v>2.6666666666666665</v>
      </c>
      <c r="W222" s="537">
        <f>V62</f>
        <v>1.9999999999999996</v>
      </c>
      <c r="X222" s="537">
        <f>W62</f>
        <v>1.7391304347826084</v>
      </c>
      <c r="Y222" s="537">
        <f>X62</f>
        <v>1.4285714285714284</v>
      </c>
      <c r="Z222" s="361"/>
      <c r="AA222" s="367"/>
      <c r="AB222"/>
      <c r="AC222"/>
      <c r="AD222"/>
      <c r="AE222"/>
      <c r="AF222"/>
      <c r="AG222"/>
    </row>
    <row r="223" spans="17:33" ht="12.75" customHeight="1">
      <c r="Q223" s="668"/>
      <c r="R223" s="968" t="s">
        <v>546</v>
      </c>
      <c r="S223" s="968"/>
      <c r="T223" s="968"/>
      <c r="U223" s="968"/>
      <c r="V223" s="584">
        <f>2.2*V222</f>
        <v>5.8666666666666671</v>
      </c>
      <c r="W223" s="584">
        <f>W222/W215</f>
        <v>15.384615384615381</v>
      </c>
      <c r="X223" s="584">
        <f>X222/X215</f>
        <v>11.750881316098706</v>
      </c>
      <c r="Y223" s="584">
        <f>Y222/Y215</f>
        <v>14.285714285714283</v>
      </c>
      <c r="Z223" s="361"/>
      <c r="AA223" s="367"/>
      <c r="AB223"/>
      <c r="AC223"/>
      <c r="AD223"/>
      <c r="AE223"/>
      <c r="AF223"/>
      <c r="AG223"/>
    </row>
    <row r="224" spans="17:33" ht="12.75" customHeight="1">
      <c r="Q224" s="668"/>
      <c r="R224" s="968" t="s">
        <v>544</v>
      </c>
      <c r="S224" s="968"/>
      <c r="T224" s="968"/>
      <c r="U224" s="968"/>
      <c r="V224" s="582">
        <f>V219*V223</f>
        <v>938.66666666666674</v>
      </c>
      <c r="W224" s="582">
        <f>W219*W223</f>
        <v>2461.538461538461</v>
      </c>
      <c r="X224" s="582">
        <f>X219*X223</f>
        <v>1880.141010575793</v>
      </c>
      <c r="Y224" s="674">
        <f>Y219*Y223</f>
        <v>2285.7142857142853</v>
      </c>
      <c r="Z224" s="361"/>
      <c r="AA224" s="367"/>
      <c r="AB224"/>
      <c r="AC224"/>
      <c r="AD224"/>
      <c r="AE224"/>
      <c r="AF224"/>
      <c r="AG224"/>
    </row>
    <row r="225" spans="17:33" ht="12.75" customHeight="1">
      <c r="Q225" s="668"/>
      <c r="R225" s="969" t="s">
        <v>535</v>
      </c>
      <c r="S225" s="969"/>
      <c r="T225" s="969"/>
      <c r="U225" s="969"/>
      <c r="V225" s="556">
        <f>V217/V222</f>
        <v>60</v>
      </c>
      <c r="W225" s="556">
        <f>W217/W222</f>
        <v>80.000000000000014</v>
      </c>
      <c r="X225" s="556">
        <f>X217/X222</f>
        <v>92.000000000000014</v>
      </c>
      <c r="Y225" s="556">
        <f>Y217/Y222</f>
        <v>112.00000000000001</v>
      </c>
      <c r="Z225" s="361"/>
      <c r="AA225" s="367"/>
      <c r="AB225"/>
      <c r="AC225"/>
      <c r="AD225"/>
      <c r="AE225"/>
      <c r="AF225"/>
      <c r="AG225"/>
    </row>
    <row r="226" spans="17:33" ht="12.75" customHeight="1">
      <c r="Q226" s="668"/>
      <c r="R226" s="969" t="s">
        <v>536</v>
      </c>
      <c r="S226" s="969"/>
      <c r="T226" s="969"/>
      <c r="U226" s="969"/>
      <c r="V226" s="675">
        <f>V216*V225</f>
        <v>72</v>
      </c>
      <c r="W226" s="675">
        <f>W216*W225</f>
        <v>96.000000000000014</v>
      </c>
      <c r="X226" s="675">
        <f>X216*X225</f>
        <v>110.40000000000002</v>
      </c>
      <c r="Y226" s="675">
        <f>Y216*Y225</f>
        <v>134.4</v>
      </c>
      <c r="Z226" s="361"/>
      <c r="AA226" s="367"/>
      <c r="AB226"/>
      <c r="AC226"/>
      <c r="AD226"/>
      <c r="AE226"/>
      <c r="AF226"/>
      <c r="AG226"/>
    </row>
    <row r="227" spans="17:33" ht="12.75" customHeight="1">
      <c r="Q227" s="668"/>
      <c r="R227" s="968" t="s">
        <v>534</v>
      </c>
      <c r="S227" s="968"/>
      <c r="T227" s="968"/>
      <c r="U227" s="968"/>
      <c r="V227" s="583">
        <f>U56</f>
        <v>4</v>
      </c>
      <c r="W227" s="583">
        <f>V56</f>
        <v>2.9999999999999996</v>
      </c>
      <c r="X227" s="583">
        <f>W56</f>
        <v>2.6086956521739126</v>
      </c>
      <c r="Y227" s="583">
        <f>X56</f>
        <v>2.1428571428571428</v>
      </c>
      <c r="Z227" s="361"/>
      <c r="AA227" s="367"/>
      <c r="AB227"/>
      <c r="AC227"/>
      <c r="AD227"/>
      <c r="AE227"/>
      <c r="AF227"/>
      <c r="AG227"/>
    </row>
    <row r="228" spans="17:33" ht="12.75" customHeight="1">
      <c r="Q228" s="668"/>
      <c r="R228" s="968" t="s">
        <v>537</v>
      </c>
      <c r="S228" s="968"/>
      <c r="T228" s="968"/>
      <c r="U228" s="968"/>
      <c r="V228" s="584">
        <f>V225*V227</f>
        <v>240</v>
      </c>
      <c r="W228" s="584">
        <f>W225*W227</f>
        <v>240</v>
      </c>
      <c r="X228" s="584">
        <f>X225*X227</f>
        <v>240</v>
      </c>
      <c r="Y228" s="584">
        <f>Y225*Y227</f>
        <v>240.00000000000003</v>
      </c>
      <c r="Z228" s="361"/>
      <c r="AA228" s="367"/>
      <c r="AB228"/>
      <c r="AC228"/>
      <c r="AD228"/>
      <c r="AE228"/>
      <c r="AF228"/>
      <c r="AG228"/>
    </row>
    <row r="229" spans="17:33" ht="12.75" customHeight="1">
      <c r="Q229" s="668"/>
      <c r="R229" s="968" t="s">
        <v>545</v>
      </c>
      <c r="S229" s="968"/>
      <c r="T229" s="968"/>
      <c r="U229" s="968"/>
      <c r="V229" s="585">
        <f>V221/V223</f>
        <v>0.87545454545454526</v>
      </c>
      <c r="W229" s="585">
        <f>W221/W223</f>
        <v>0.40560000000000007</v>
      </c>
      <c r="X229" s="585">
        <f>X221/X223</f>
        <v>0.60455040000000004</v>
      </c>
      <c r="Y229" s="585">
        <f>Y221/Y223</f>
        <v>0.33600000000000008</v>
      </c>
      <c r="Z229" s="361"/>
      <c r="AA229" s="367"/>
      <c r="AB229"/>
      <c r="AC229"/>
      <c r="AD229"/>
      <c r="AE229"/>
      <c r="AF229"/>
      <c r="AG229"/>
    </row>
    <row r="230" spans="17:33" ht="12.75" customHeight="1">
      <c r="Q230" s="668"/>
      <c r="R230" s="540" t="s">
        <v>547</v>
      </c>
      <c r="S230" s="540"/>
      <c r="T230" s="540"/>
      <c r="U230" s="540"/>
      <c r="V230" s="585"/>
      <c r="W230" s="586">
        <f>10*W217*W216*W218</f>
        <v>76800</v>
      </c>
      <c r="X230" s="586">
        <f>10*X217*X216*X218</f>
        <v>76800</v>
      </c>
      <c r="Y230" s="586">
        <f>10*Y217*Y216*Y218</f>
        <v>76800</v>
      </c>
      <c r="Z230" s="361"/>
      <c r="AA230" s="367"/>
      <c r="AB230"/>
      <c r="AC230"/>
      <c r="AD230"/>
      <c r="AE230"/>
      <c r="AF230"/>
      <c r="AG230"/>
    </row>
    <row r="231" spans="17:33" ht="12.75" customHeight="1">
      <c r="Q231" s="668"/>
      <c r="R231" s="968" t="s">
        <v>548</v>
      </c>
      <c r="S231" s="968"/>
      <c r="T231" s="968"/>
      <c r="U231" s="968"/>
      <c r="V231" s="585">
        <f>V229</f>
        <v>0.87545454545454526</v>
      </c>
      <c r="W231" s="585">
        <f>W220/W230</f>
        <v>1.3000000000000001E-2</v>
      </c>
      <c r="X231" s="585">
        <f>X220/X230</f>
        <v>1.4799999999999999E-2</v>
      </c>
      <c r="Y231" s="585">
        <f>Y220/Y230</f>
        <v>0.01</v>
      </c>
      <c r="Z231" s="361"/>
      <c r="AA231" s="367"/>
      <c r="AB231"/>
      <c r="AC231"/>
      <c r="AD231"/>
      <c r="AE231"/>
      <c r="AF231"/>
      <c r="AG231"/>
    </row>
    <row r="232" spans="17:33" ht="12.75" customHeight="1">
      <c r="Q232" s="668"/>
      <c r="R232" s="587"/>
      <c r="S232" s="587"/>
      <c r="T232" s="587"/>
      <c r="U232" s="587"/>
      <c r="V232" s="588"/>
      <c r="W232" s="588"/>
      <c r="X232" s="588"/>
      <c r="Y232" s="588"/>
      <c r="Z232" s="589"/>
      <c r="AA232" s="367"/>
      <c r="AB232"/>
      <c r="AC232"/>
      <c r="AD232"/>
      <c r="AE232"/>
      <c r="AF232"/>
      <c r="AG232"/>
    </row>
    <row r="233" spans="17:33" ht="12.75" customHeight="1">
      <c r="Q233" s="668"/>
      <c r="R233" s="587"/>
      <c r="S233" s="587"/>
      <c r="T233" s="587"/>
      <c r="U233" s="587"/>
      <c r="V233" s="676"/>
      <c r="W233" s="676"/>
      <c r="X233" s="676"/>
      <c r="Y233" s="588"/>
      <c r="Z233" s="364"/>
      <c r="AA233" s="367"/>
      <c r="AB233"/>
      <c r="AC233"/>
      <c r="AD233"/>
      <c r="AE233"/>
      <c r="AF233"/>
      <c r="AG233"/>
    </row>
    <row r="234" spans="17:33" ht="12.75" customHeight="1">
      <c r="Q234" s="668" t="s">
        <v>240</v>
      </c>
      <c r="R234" s="364" t="s">
        <v>241</v>
      </c>
      <c r="S234" s="364"/>
      <c r="T234" s="364"/>
      <c r="U234" s="364"/>
      <c r="V234" s="364"/>
      <c r="W234" s="364"/>
      <c r="X234" s="364"/>
      <c r="Y234" s="364"/>
      <c r="Z234" s="364"/>
      <c r="AA234" s="367"/>
      <c r="AB234"/>
      <c r="AC234"/>
      <c r="AD234"/>
      <c r="AE234"/>
      <c r="AF234"/>
      <c r="AG234"/>
    </row>
    <row r="235" spans="17:33" ht="12.75" customHeight="1">
      <c r="Q235" s="364"/>
      <c r="R235" s="962" t="s">
        <v>301</v>
      </c>
      <c r="S235" s="963"/>
      <c r="T235" s="964"/>
      <c r="U235" s="949" t="s">
        <v>500</v>
      </c>
      <c r="V235" s="938" t="s">
        <v>22</v>
      </c>
      <c r="W235" s="940" t="s">
        <v>579</v>
      </c>
      <c r="X235" s="942" t="s">
        <v>21</v>
      </c>
      <c r="Y235" s="361"/>
      <c r="Z235" s="364"/>
      <c r="AA235" s="367"/>
      <c r="AB235"/>
      <c r="AC235"/>
      <c r="AD235"/>
      <c r="AE235"/>
      <c r="AF235"/>
      <c r="AG235"/>
    </row>
    <row r="236" spans="17:33" ht="12.75" customHeight="1">
      <c r="Q236" s="364"/>
      <c r="R236" s="965"/>
      <c r="S236" s="966"/>
      <c r="T236" s="967"/>
      <c r="U236" s="950"/>
      <c r="V236" s="939"/>
      <c r="W236" s="941"/>
      <c r="X236" s="943"/>
      <c r="Y236" s="361"/>
      <c r="Z236" s="364"/>
      <c r="AA236" s="367"/>
      <c r="AB236"/>
      <c r="AC236"/>
      <c r="AD236"/>
      <c r="AE236"/>
      <c r="AF236"/>
      <c r="AG236"/>
    </row>
    <row r="237" spans="17:33" ht="12.75" customHeight="1">
      <c r="Q237" s="364"/>
      <c r="R237" s="931" t="s">
        <v>662</v>
      </c>
      <c r="S237" s="931"/>
      <c r="T237" s="931"/>
      <c r="U237" s="901" t="s">
        <v>427</v>
      </c>
      <c r="V237" s="562">
        <f>VLOOKUP($V$5,'Lookup Air Consumption'!$B$8:$E$208,3)</f>
        <v>38</v>
      </c>
      <c r="W237" s="562">
        <f>VLOOKUP($V$5,'Lookup Air Consumption'!$B$8:$E$208,4)</f>
        <v>50</v>
      </c>
      <c r="X237" s="562">
        <f>VLOOKUP($V$5,'Lookup Air Consumption'!$B$8:$E$208,2)</f>
        <v>41</v>
      </c>
      <c r="Y237" s="361"/>
      <c r="Z237" s="364"/>
      <c r="AA237" s="367"/>
      <c r="AB237"/>
      <c r="AC237"/>
      <c r="AD237"/>
      <c r="AE237"/>
      <c r="AF237"/>
      <c r="AG237"/>
    </row>
    <row r="238" spans="17:33" ht="12.75" customHeight="1">
      <c r="Q238" s="364"/>
      <c r="R238" s="931" t="s">
        <v>663</v>
      </c>
      <c r="S238" s="931"/>
      <c r="T238" s="931"/>
      <c r="U238" s="901"/>
      <c r="V238" s="590">
        <f>V237/1000</f>
        <v>3.7999999999999999E-2</v>
      </c>
      <c r="W238" s="590">
        <f>W237/1000</f>
        <v>0.05</v>
      </c>
      <c r="X238" s="590">
        <f>X237/1000</f>
        <v>4.1000000000000002E-2</v>
      </c>
      <c r="Y238" s="361"/>
      <c r="Z238" s="364"/>
      <c r="AA238" s="367"/>
      <c r="AB238"/>
      <c r="AC238"/>
      <c r="AD238"/>
      <c r="AE238"/>
      <c r="AF238"/>
      <c r="AG238"/>
    </row>
    <row r="239" spans="17:33" ht="12.75" customHeight="1">
      <c r="Q239" s="364"/>
      <c r="R239" s="931" t="s">
        <v>664</v>
      </c>
      <c r="S239" s="931"/>
      <c r="T239" s="931"/>
      <c r="U239" s="901"/>
      <c r="V239" s="560">
        <f>V238*35.31467</f>
        <v>1.3419574599999999</v>
      </c>
      <c r="W239" s="560">
        <f>W238*35.31467</f>
        <v>1.7657335000000001</v>
      </c>
      <c r="X239" s="560">
        <f>X238*35.31467</f>
        <v>1.4479014700000001</v>
      </c>
      <c r="Y239" s="361"/>
      <c r="Z239" s="364"/>
      <c r="AA239" s="367"/>
      <c r="AB239"/>
      <c r="AC239"/>
      <c r="AD239"/>
      <c r="AE239"/>
      <c r="AF239"/>
      <c r="AG239"/>
    </row>
    <row r="240" spans="17:33" ht="12.75" customHeight="1">
      <c r="Q240" s="360"/>
      <c r="R240" s="551"/>
      <c r="S240" s="551"/>
      <c r="T240" s="551"/>
      <c r="U240" s="591"/>
      <c r="V240" s="551"/>
      <c r="W240" s="551"/>
      <c r="X240" s="551"/>
      <c r="Y240" s="361"/>
      <c r="Z240" s="364"/>
      <c r="AA240" s="367"/>
      <c r="AB240"/>
      <c r="AC240"/>
      <c r="AD240"/>
      <c r="AE240"/>
      <c r="AF240"/>
      <c r="AG240"/>
    </row>
    <row r="241" spans="17:33" ht="12.75" customHeight="1">
      <c r="Q241" s="360"/>
      <c r="R241" s="962" t="s">
        <v>302</v>
      </c>
      <c r="S241" s="963"/>
      <c r="T241" s="964"/>
      <c r="U241" s="949" t="s">
        <v>500</v>
      </c>
      <c r="V241" s="938" t="s">
        <v>22</v>
      </c>
      <c r="W241" s="940" t="s">
        <v>579</v>
      </c>
      <c r="X241" s="942" t="s">
        <v>21</v>
      </c>
      <c r="Y241" s="361"/>
      <c r="Z241" s="364"/>
      <c r="AA241" s="367"/>
      <c r="AB241"/>
      <c r="AC241"/>
      <c r="AD241"/>
      <c r="AE241"/>
      <c r="AF241"/>
      <c r="AG241"/>
    </row>
    <row r="242" spans="17:33" ht="12.75" customHeight="1">
      <c r="Q242" s="360"/>
      <c r="R242" s="965"/>
      <c r="S242" s="966"/>
      <c r="T242" s="967"/>
      <c r="U242" s="950"/>
      <c r="V242" s="939"/>
      <c r="W242" s="941"/>
      <c r="X242" s="943"/>
      <c r="Y242" s="361"/>
      <c r="Z242" s="364"/>
      <c r="AA242" s="367"/>
      <c r="AB242"/>
      <c r="AC242"/>
      <c r="AD242"/>
      <c r="AE242"/>
      <c r="AF242"/>
      <c r="AG242"/>
    </row>
    <row r="243" spans="17:33" ht="12.75" customHeight="1">
      <c r="Q243" s="360"/>
      <c r="R243" s="931" t="s">
        <v>662</v>
      </c>
      <c r="S243" s="931"/>
      <c r="T243" s="931"/>
      <c r="U243" s="901" t="s">
        <v>427</v>
      </c>
      <c r="V243" s="549">
        <f t="shared" ref="V243:W245" si="3">V237*$V$23</f>
        <v>6080</v>
      </c>
      <c r="W243" s="549">
        <f t="shared" si="3"/>
        <v>8000</v>
      </c>
      <c r="X243" s="549">
        <f>X237*$V$23</f>
        <v>6560</v>
      </c>
      <c r="Y243" s="361"/>
      <c r="Z243" s="364"/>
      <c r="AA243" s="367"/>
      <c r="AB243"/>
      <c r="AC243"/>
      <c r="AD243"/>
      <c r="AE243"/>
      <c r="AF243"/>
      <c r="AG243"/>
    </row>
    <row r="244" spans="17:33" ht="12.75" customHeight="1">
      <c r="Q244" s="360"/>
      <c r="R244" s="931" t="s">
        <v>663</v>
      </c>
      <c r="S244" s="931"/>
      <c r="T244" s="931"/>
      <c r="U244" s="901"/>
      <c r="V244" s="560">
        <f t="shared" si="3"/>
        <v>6.08</v>
      </c>
      <c r="W244" s="560">
        <f t="shared" si="3"/>
        <v>8</v>
      </c>
      <c r="X244" s="560">
        <f>X238*$V$23</f>
        <v>6.5600000000000005</v>
      </c>
      <c r="Y244" s="361"/>
      <c r="Z244" s="364"/>
      <c r="AA244" s="367"/>
      <c r="AB244"/>
      <c r="AC244"/>
      <c r="AD244"/>
      <c r="AE244"/>
      <c r="AF244"/>
      <c r="AG244"/>
    </row>
    <row r="245" spans="17:33" ht="12.75" customHeight="1">
      <c r="Q245" s="360"/>
      <c r="R245" s="931" t="s">
        <v>664</v>
      </c>
      <c r="S245" s="931"/>
      <c r="T245" s="931"/>
      <c r="U245" s="901"/>
      <c r="V245" s="560">
        <f t="shared" si="3"/>
        <v>214.71319359999998</v>
      </c>
      <c r="W245" s="560">
        <f t="shared" si="3"/>
        <v>282.51736</v>
      </c>
      <c r="X245" s="560">
        <f>X239*$V$23</f>
        <v>231.66423520000001</v>
      </c>
      <c r="Y245" s="361"/>
      <c r="Z245" s="364"/>
      <c r="AA245" s="367"/>
      <c r="AB245"/>
      <c r="AC245"/>
      <c r="AD245"/>
      <c r="AE245"/>
      <c r="AF245"/>
      <c r="AG245"/>
    </row>
    <row r="246" spans="17:33" ht="12.75" customHeight="1">
      <c r="Q246" s="360"/>
      <c r="R246" s="364"/>
      <c r="S246" s="364"/>
      <c r="T246" s="364"/>
      <c r="U246" s="364"/>
      <c r="V246" s="555"/>
      <c r="W246" s="555"/>
      <c r="X246" s="555"/>
      <c r="Y246" s="361"/>
      <c r="Z246" s="364"/>
      <c r="AA246" s="367"/>
      <c r="AB246"/>
      <c r="AC246"/>
      <c r="AD246"/>
      <c r="AE246"/>
      <c r="AF246"/>
      <c r="AG246"/>
    </row>
    <row r="247" spans="17:33" ht="12.75" customHeight="1">
      <c r="Q247" s="360"/>
      <c r="R247" s="962" t="s">
        <v>303</v>
      </c>
      <c r="S247" s="963"/>
      <c r="T247" s="964"/>
      <c r="U247" s="949" t="s">
        <v>500</v>
      </c>
      <c r="V247" s="938" t="s">
        <v>22</v>
      </c>
      <c r="W247" s="940" t="s">
        <v>579</v>
      </c>
      <c r="X247" s="942" t="s">
        <v>21</v>
      </c>
      <c r="Y247" s="361"/>
      <c r="Z247" s="364"/>
      <c r="AA247" s="367"/>
      <c r="AB247"/>
      <c r="AC247"/>
      <c r="AD247"/>
      <c r="AE247"/>
      <c r="AF247"/>
      <c r="AG247"/>
    </row>
    <row r="248" spans="17:33" ht="12.75" customHeight="1">
      <c r="Q248" s="360"/>
      <c r="R248" s="965"/>
      <c r="S248" s="966"/>
      <c r="T248" s="967"/>
      <c r="U248" s="950"/>
      <c r="V248" s="939"/>
      <c r="W248" s="941"/>
      <c r="X248" s="943"/>
      <c r="Y248" s="361"/>
      <c r="Z248" s="364"/>
      <c r="AA248" s="367"/>
      <c r="AB248"/>
      <c r="AC248"/>
      <c r="AD248"/>
      <c r="AE248"/>
      <c r="AF248"/>
      <c r="AG248"/>
    </row>
    <row r="249" spans="17:33" ht="12.75" customHeight="1">
      <c r="Q249" s="563"/>
      <c r="R249" s="951" t="s">
        <v>517</v>
      </c>
      <c r="S249" s="951"/>
      <c r="T249" s="951"/>
      <c r="U249" s="901" t="s">
        <v>427</v>
      </c>
      <c r="V249" s="549">
        <f t="shared" ref="V249:X251" si="4">($V$25/$X$51)*60*V237</f>
        <v>31268571.428571429</v>
      </c>
      <c r="W249" s="549">
        <f t="shared" si="4"/>
        <v>41142857.142857142</v>
      </c>
      <c r="X249" s="549">
        <f t="shared" si="4"/>
        <v>33737142.857142858</v>
      </c>
      <c r="Y249" s="361"/>
      <c r="Z249" s="364"/>
      <c r="AA249" s="367"/>
      <c r="AB249"/>
      <c r="AC249"/>
      <c r="AD249"/>
      <c r="AE249"/>
      <c r="AF249"/>
      <c r="AG249"/>
    </row>
    <row r="250" spans="17:33" ht="12.75" customHeight="1">
      <c r="Q250" s="364"/>
      <c r="R250" s="951" t="s">
        <v>666</v>
      </c>
      <c r="S250" s="951"/>
      <c r="T250" s="951"/>
      <c r="U250" s="901"/>
      <c r="V250" s="549">
        <f t="shared" si="4"/>
        <v>31268.571428571428</v>
      </c>
      <c r="W250" s="549">
        <f t="shared" si="4"/>
        <v>41142.857142857145</v>
      </c>
      <c r="X250" s="549">
        <f t="shared" si="4"/>
        <v>33737.142857142855</v>
      </c>
      <c r="Y250" s="361"/>
      <c r="Z250" s="364"/>
      <c r="AA250" s="367"/>
      <c r="AB250"/>
      <c r="AC250"/>
      <c r="AD250"/>
      <c r="AE250"/>
      <c r="AF250"/>
      <c r="AG250"/>
    </row>
    <row r="251" spans="17:33" ht="12.75" customHeight="1">
      <c r="Q251" s="364"/>
      <c r="R251" s="951" t="s">
        <v>583</v>
      </c>
      <c r="S251" s="951"/>
      <c r="T251" s="951"/>
      <c r="U251" s="901"/>
      <c r="V251" s="549">
        <f t="shared" si="4"/>
        <v>1104239.2813714284</v>
      </c>
      <c r="W251" s="549">
        <f t="shared" si="4"/>
        <v>1452946.422857143</v>
      </c>
      <c r="X251" s="549">
        <f t="shared" si="4"/>
        <v>1191416.0667428572</v>
      </c>
      <c r="Y251" s="361"/>
      <c r="Z251" s="364"/>
      <c r="AA251" s="367"/>
      <c r="AB251"/>
      <c r="AC251"/>
      <c r="AD251"/>
      <c r="AE251"/>
      <c r="AF251"/>
      <c r="AG251"/>
    </row>
    <row r="252" spans="17:33" ht="12.75" customHeight="1">
      <c r="Q252" s="364"/>
      <c r="R252" s="364"/>
      <c r="S252" s="364"/>
      <c r="T252" s="364"/>
      <c r="U252" s="364"/>
      <c r="V252" s="364"/>
      <c r="W252" s="364"/>
      <c r="X252" s="364"/>
      <c r="Y252" s="361"/>
      <c r="Z252" s="364"/>
      <c r="AA252" s="367"/>
      <c r="AB252"/>
      <c r="AC252"/>
      <c r="AD252"/>
      <c r="AE252"/>
      <c r="AF252"/>
      <c r="AG252"/>
    </row>
    <row r="253" spans="17:33" ht="12.75" customHeight="1">
      <c r="Q253" s="668" t="s">
        <v>753</v>
      </c>
      <c r="R253" s="364" t="s">
        <v>300</v>
      </c>
      <c r="S253" s="364"/>
      <c r="T253" s="364"/>
      <c r="U253" s="364"/>
      <c r="V253" s="364"/>
      <c r="W253" s="364"/>
      <c r="X253" s="364"/>
      <c r="Y253" s="361"/>
      <c r="Z253" s="364"/>
      <c r="AA253" s="367"/>
      <c r="AB253"/>
      <c r="AC253"/>
      <c r="AD253"/>
      <c r="AE253"/>
      <c r="AF253"/>
      <c r="AG253"/>
    </row>
    <row r="254" spans="17:33" ht="12.75" customHeight="1">
      <c r="Q254" s="364"/>
      <c r="R254" s="957" t="s">
        <v>669</v>
      </c>
      <c r="S254" s="958"/>
      <c r="T254" s="959"/>
      <c r="U254" s="949" t="s">
        <v>500</v>
      </c>
      <c r="V254" s="938" t="s">
        <v>22</v>
      </c>
      <c r="W254" s="940" t="s">
        <v>579</v>
      </c>
      <c r="X254" s="942" t="s">
        <v>21</v>
      </c>
      <c r="Y254" s="361"/>
      <c r="Z254" s="364"/>
      <c r="AA254" s="367"/>
      <c r="AB254"/>
      <c r="AC254"/>
      <c r="AD254"/>
      <c r="AE254"/>
      <c r="AF254"/>
      <c r="AG254"/>
    </row>
    <row r="255" spans="17:33" ht="12.75" customHeight="1">
      <c r="Q255" s="364"/>
      <c r="R255" s="960"/>
      <c r="S255" s="961"/>
      <c r="T255" s="899"/>
      <c r="U255" s="950"/>
      <c r="V255" s="939"/>
      <c r="W255" s="941"/>
      <c r="X255" s="943"/>
      <c r="Y255" s="361"/>
      <c r="Z255" s="364"/>
      <c r="AA255" s="367"/>
      <c r="AB255"/>
      <c r="AC255"/>
      <c r="AD255"/>
      <c r="AE255"/>
      <c r="AF255"/>
      <c r="AG255"/>
    </row>
    <row r="256" spans="17:33" ht="12.75" customHeight="1">
      <c r="Q256" s="364"/>
      <c r="R256" s="541" t="s">
        <v>80</v>
      </c>
      <c r="S256" s="559"/>
      <c r="T256" s="559"/>
      <c r="U256" s="543">
        <v>6.5</v>
      </c>
      <c r="V256" s="669">
        <f>VLOOKUP($V$5,'Lookup Water Flow'!$B$8:$E$208,3)</f>
        <v>6.9</v>
      </c>
      <c r="W256" s="669">
        <f>VLOOKUP($V$5,'Lookup Water Flow'!$B$8:$E$208,4)</f>
        <v>12.1</v>
      </c>
      <c r="X256" s="669">
        <f>VLOOKUP($V$5,'Lookup Water Flow'!$B$8:$E$208,2)</f>
        <v>12.6</v>
      </c>
      <c r="Y256" s="361"/>
      <c r="Z256" s="364"/>
      <c r="AA256" s="367"/>
      <c r="AB256"/>
      <c r="AC256"/>
      <c r="AD256"/>
      <c r="AE256"/>
      <c r="AF256"/>
      <c r="AG256"/>
    </row>
    <row r="257" spans="17:33" ht="12.75" customHeight="1">
      <c r="Q257" s="364"/>
      <c r="R257" s="951" t="s">
        <v>81</v>
      </c>
      <c r="S257" s="951"/>
      <c r="T257" s="951"/>
      <c r="U257" s="677">
        <f>U256*V23</f>
        <v>1040</v>
      </c>
      <c r="V257" s="678">
        <f>V256*$V$23</f>
        <v>1104</v>
      </c>
      <c r="W257" s="678">
        <f>W256*$V$23</f>
        <v>1936</v>
      </c>
      <c r="X257" s="678">
        <f>X256*$V$23</f>
        <v>2016</v>
      </c>
      <c r="Y257" s="361"/>
      <c r="Z257" s="364"/>
      <c r="AA257" s="367"/>
      <c r="AB257"/>
      <c r="AC257"/>
      <c r="AD257"/>
      <c r="AE257"/>
      <c r="AF257"/>
      <c r="AG257"/>
    </row>
    <row r="258" spans="17:33" ht="12.75" customHeight="1">
      <c r="Q258" s="364"/>
      <c r="R258" s="592" t="s">
        <v>670</v>
      </c>
      <c r="S258" s="559"/>
      <c r="T258" s="559"/>
      <c r="U258" s="549">
        <f>(U256*U56*V24)+(24*2*V24)</f>
        <v>473600</v>
      </c>
      <c r="V258" s="679">
        <f>V256*$X$56*$V$24</f>
        <v>94628.571428571435</v>
      </c>
      <c r="W258" s="679">
        <f>W256*$X$56*$V$24</f>
        <v>165942.85714285713</v>
      </c>
      <c r="X258" s="679">
        <f>X256*$X$56*$V$24</f>
        <v>172800</v>
      </c>
      <c r="Y258" s="361"/>
      <c r="Z258" s="364"/>
      <c r="AA258" s="367"/>
      <c r="AB258"/>
      <c r="AC258"/>
      <c r="AD258"/>
      <c r="AE258"/>
      <c r="AF258"/>
      <c r="AG258"/>
    </row>
    <row r="259" spans="17:33" ht="12.75" customHeight="1">
      <c r="Q259" s="364"/>
      <c r="R259" s="364"/>
      <c r="S259" s="364"/>
      <c r="T259" s="364"/>
      <c r="U259" s="364"/>
      <c r="V259" s="364"/>
      <c r="W259" s="364"/>
      <c r="X259" s="364"/>
      <c r="Y259" s="364"/>
      <c r="Z259" s="364"/>
      <c r="AA259" s="367"/>
      <c r="AB259"/>
      <c r="AC259"/>
      <c r="AD259"/>
      <c r="AE259"/>
      <c r="AF259"/>
      <c r="AG259"/>
    </row>
    <row r="260" spans="17:33" ht="12.75" customHeight="1">
      <c r="Q260" s="680" t="s">
        <v>754</v>
      </c>
      <c r="R260" s="952" t="s">
        <v>309</v>
      </c>
      <c r="S260" s="952"/>
      <c r="T260" s="952"/>
      <c r="U260" s="952"/>
      <c r="V260" s="952"/>
      <c r="W260" s="952"/>
      <c r="X260" s="952"/>
      <c r="Y260" s="952"/>
      <c r="Z260" s="360"/>
      <c r="AA260" s="367"/>
      <c r="AB260"/>
      <c r="AC260"/>
      <c r="AD260"/>
      <c r="AE260"/>
      <c r="AF260"/>
      <c r="AG260"/>
    </row>
    <row r="261" spans="17:33" ht="12.75" customHeight="1">
      <c r="Q261" s="364"/>
      <c r="R261" s="364"/>
      <c r="S261" s="364"/>
      <c r="T261" s="364"/>
      <c r="U261" s="364"/>
      <c r="V261" s="364"/>
      <c r="W261" s="364"/>
      <c r="X261" s="364"/>
      <c r="Y261" s="364"/>
      <c r="Z261" s="364"/>
      <c r="AA261" s="367"/>
      <c r="AB261"/>
      <c r="AC261"/>
      <c r="AD261"/>
      <c r="AE261"/>
      <c r="AF261"/>
      <c r="AG261"/>
    </row>
    <row r="262" spans="17:33" ht="12.75" customHeight="1">
      <c r="Q262" s="668" t="s">
        <v>755</v>
      </c>
      <c r="R262" s="364" t="s">
        <v>239</v>
      </c>
      <c r="S262" s="364"/>
      <c r="T262" s="364"/>
      <c r="U262" s="364"/>
      <c r="V262" s="364"/>
      <c r="W262" s="364"/>
      <c r="X262" s="364"/>
      <c r="Y262" s="364"/>
      <c r="Z262" s="364"/>
      <c r="AA262" s="367"/>
      <c r="AB262"/>
      <c r="AC262"/>
      <c r="AD262"/>
      <c r="AE262"/>
      <c r="AF262"/>
      <c r="AG262"/>
    </row>
    <row r="263" spans="17:33" ht="12.75" customHeight="1">
      <c r="Q263" s="364"/>
      <c r="R263" s="364"/>
      <c r="S263" s="364"/>
      <c r="T263" s="364"/>
      <c r="U263" s="364"/>
      <c r="V263" s="364"/>
      <c r="W263" s="364"/>
      <c r="X263" s="364"/>
      <c r="Y263" s="364"/>
      <c r="Z263" s="364"/>
      <c r="AA263" s="367"/>
      <c r="AB263"/>
      <c r="AC263"/>
      <c r="AD263"/>
      <c r="AE263"/>
      <c r="AF263"/>
      <c r="AG263"/>
    </row>
    <row r="264" spans="17:33" ht="12.75" customHeight="1">
      <c r="Q264" s="364"/>
      <c r="R264" s="953" t="s">
        <v>676</v>
      </c>
      <c r="S264" s="954"/>
      <c r="T264" s="561" t="s">
        <v>320</v>
      </c>
      <c r="U264" s="935" t="s">
        <v>318</v>
      </c>
      <c r="V264" s="935"/>
      <c r="W264" s="681">
        <f>'Compressor Input Data'!G7</f>
        <v>0.19</v>
      </c>
      <c r="X264" s="594"/>
      <c r="Y264" s="595"/>
      <c r="Z264" s="363"/>
      <c r="AA264" s="367"/>
      <c r="AB264"/>
      <c r="AC264"/>
      <c r="AD264"/>
      <c r="AE264"/>
      <c r="AF264"/>
      <c r="AG264"/>
    </row>
    <row r="265" spans="17:33" ht="12.75" customHeight="1">
      <c r="Q265" s="364"/>
      <c r="R265" s="955"/>
      <c r="S265" s="956"/>
      <c r="T265" s="561" t="s">
        <v>321</v>
      </c>
      <c r="U265" s="935" t="s">
        <v>319</v>
      </c>
      <c r="V265" s="935"/>
      <c r="W265" s="681">
        <f>'Compressor Input Data'!G8</f>
        <v>0.33</v>
      </c>
      <c r="X265" s="594"/>
      <c r="Y265" s="595"/>
      <c r="Z265" s="595"/>
      <c r="AA265" s="367"/>
      <c r="AB265"/>
      <c r="AC265"/>
      <c r="AD265"/>
      <c r="AE265"/>
      <c r="AF265"/>
      <c r="AG265"/>
    </row>
    <row r="266" spans="17:33" ht="12.75" customHeight="1">
      <c r="Q266" s="364"/>
      <c r="R266" s="363"/>
      <c r="S266" s="363"/>
      <c r="T266" s="577"/>
      <c r="U266" s="577"/>
      <c r="V266" s="596"/>
      <c r="W266" s="363"/>
      <c r="X266" s="363"/>
      <c r="Y266" s="363"/>
      <c r="Z266" s="363"/>
      <c r="AA266" s="367"/>
      <c r="AB266"/>
      <c r="AC266"/>
      <c r="AD266"/>
      <c r="AE266"/>
      <c r="AF266"/>
      <c r="AG266"/>
    </row>
    <row r="267" spans="17:33" ht="12.75" customHeight="1">
      <c r="Q267" s="364"/>
      <c r="R267" s="935" t="s">
        <v>675</v>
      </c>
      <c r="S267" s="935"/>
      <c r="T267" s="935"/>
      <c r="U267" s="949" t="s">
        <v>500</v>
      </c>
      <c r="V267" s="938" t="s">
        <v>22</v>
      </c>
      <c r="W267" s="940" t="s">
        <v>579</v>
      </c>
      <c r="X267" s="942" t="s">
        <v>21</v>
      </c>
      <c r="Y267" s="361"/>
      <c r="Z267" s="364"/>
      <c r="AA267" s="367"/>
      <c r="AB267"/>
      <c r="AC267"/>
      <c r="AD267"/>
      <c r="AE267"/>
      <c r="AF267"/>
      <c r="AG267"/>
    </row>
    <row r="268" spans="17:33" ht="12.75" customHeight="1">
      <c r="Q268" s="364"/>
      <c r="R268" s="944" t="s">
        <v>320</v>
      </c>
      <c r="S268" s="947"/>
      <c r="T268" s="948"/>
      <c r="U268" s="950"/>
      <c r="V268" s="939"/>
      <c r="W268" s="941"/>
      <c r="X268" s="943"/>
      <c r="Y268" s="361"/>
      <c r="Z268" s="364"/>
      <c r="AA268" s="367"/>
      <c r="AB268"/>
      <c r="AC268"/>
      <c r="AD268"/>
      <c r="AE268"/>
      <c r="AF268"/>
      <c r="AG268"/>
    </row>
    <row r="269" spans="17:33" ht="12.75" customHeight="1">
      <c r="Q269" s="364"/>
      <c r="R269" s="945"/>
      <c r="S269" s="935" t="s">
        <v>306</v>
      </c>
      <c r="T269" s="935"/>
      <c r="U269" s="599">
        <f>U164*$W$264</f>
        <v>178.34666666666669</v>
      </c>
      <c r="V269" s="599">
        <f>V164*$W$264</f>
        <v>14439.999999999998</v>
      </c>
      <c r="W269" s="599">
        <f>W164*$W$264</f>
        <v>12556.521739130432</v>
      </c>
      <c r="X269" s="599">
        <f>X164*$W$264</f>
        <v>10314.285714285712</v>
      </c>
      <c r="Y269" s="361"/>
      <c r="Z269" s="364"/>
      <c r="AA269" s="367"/>
      <c r="AB269"/>
      <c r="AC269"/>
      <c r="AD269"/>
      <c r="AE269"/>
      <c r="AF269"/>
      <c r="AG269"/>
    </row>
    <row r="270" spans="17:33" ht="12.75" customHeight="1">
      <c r="Q270" s="364"/>
      <c r="R270" s="945"/>
      <c r="S270" s="935" t="s">
        <v>307</v>
      </c>
      <c r="T270" s="935"/>
      <c r="U270" s="599">
        <f>U269*$V$11</f>
        <v>4101.9733333333343</v>
      </c>
      <c r="V270" s="599">
        <f>V269*$V$11</f>
        <v>332119.99999999994</v>
      </c>
      <c r="W270" s="599">
        <f>W269*$V$11</f>
        <v>288799.99999999994</v>
      </c>
      <c r="X270" s="599">
        <f>X269*$V$11</f>
        <v>237228.57142857136</v>
      </c>
      <c r="Y270" s="361"/>
      <c r="Z270" s="364"/>
      <c r="AA270" s="367"/>
      <c r="AB270"/>
      <c r="AC270"/>
      <c r="AD270"/>
      <c r="AE270"/>
      <c r="AF270"/>
      <c r="AG270"/>
    </row>
    <row r="271" spans="17:33" ht="12.75" customHeight="1">
      <c r="Q271" s="364"/>
      <c r="R271" s="946"/>
      <c r="S271" s="935" t="s">
        <v>308</v>
      </c>
      <c r="T271" s="935"/>
      <c r="U271" s="599">
        <f>U270*9</f>
        <v>36917.760000000009</v>
      </c>
      <c r="V271" s="599">
        <f>V270*9</f>
        <v>2989079.9999999995</v>
      </c>
      <c r="W271" s="599">
        <f>W270*9</f>
        <v>2599199.9999999995</v>
      </c>
      <c r="X271" s="599">
        <f>X270*9</f>
        <v>2135057.1428571423</v>
      </c>
      <c r="Y271" s="361"/>
      <c r="Z271" s="364"/>
      <c r="AA271" s="367"/>
      <c r="AB271"/>
      <c r="AC271"/>
      <c r="AD271"/>
      <c r="AE271"/>
      <c r="AF271"/>
      <c r="AG271"/>
    </row>
    <row r="272" spans="17:33" ht="12.75" customHeight="1">
      <c r="Q272" s="597"/>
      <c r="R272" s="937"/>
      <c r="S272" s="937"/>
      <c r="T272" s="937"/>
      <c r="U272" s="937"/>
      <c r="V272" s="937"/>
      <c r="W272" s="937"/>
      <c r="X272" s="937"/>
      <c r="Y272" s="364"/>
      <c r="Z272" s="364"/>
      <c r="AA272" s="367"/>
      <c r="AB272"/>
      <c r="AC272"/>
      <c r="AD272"/>
      <c r="AE272"/>
      <c r="AF272"/>
      <c r="AG272"/>
    </row>
    <row r="273" spans="17:33" ht="12.75" customHeight="1">
      <c r="Q273" s="597"/>
      <c r="R273" s="935" t="s">
        <v>675</v>
      </c>
      <c r="S273" s="935"/>
      <c r="T273" s="935"/>
      <c r="U273" s="930" t="s">
        <v>500</v>
      </c>
      <c r="V273" s="928" t="s">
        <v>22</v>
      </c>
      <c r="W273" s="929" t="s">
        <v>579</v>
      </c>
      <c r="X273" s="927" t="s">
        <v>21</v>
      </c>
      <c r="Y273" s="361"/>
      <c r="Z273" s="364"/>
      <c r="AA273" s="367"/>
      <c r="AB273"/>
      <c r="AC273"/>
      <c r="AD273"/>
      <c r="AE273"/>
      <c r="AF273"/>
      <c r="AG273"/>
    </row>
    <row r="274" spans="17:33" ht="12.75" customHeight="1">
      <c r="Q274" s="597"/>
      <c r="R274" s="937" t="s">
        <v>321</v>
      </c>
      <c r="S274" s="937"/>
      <c r="T274" s="937"/>
      <c r="U274" s="930"/>
      <c r="V274" s="928"/>
      <c r="W274" s="929"/>
      <c r="X274" s="927"/>
      <c r="Y274" s="361"/>
      <c r="Z274" s="364"/>
      <c r="AA274" s="367"/>
      <c r="AB274"/>
      <c r="AC274"/>
      <c r="AD274"/>
      <c r="AE274"/>
      <c r="AF274"/>
      <c r="AG274"/>
    </row>
    <row r="275" spans="17:33" ht="12.75" customHeight="1">
      <c r="Q275" s="364"/>
      <c r="R275" s="937"/>
      <c r="S275" s="935" t="s">
        <v>306</v>
      </c>
      <c r="T275" s="935"/>
      <c r="U275" s="599">
        <f>U164*$W$265</f>
        <v>309.76000000000005</v>
      </c>
      <c r="V275" s="599">
        <f>V164*$W$265</f>
        <v>25079.999999999996</v>
      </c>
      <c r="W275" s="599">
        <f>W164*$W$265</f>
        <v>21808.695652173912</v>
      </c>
      <c r="X275" s="599">
        <f>X164*$W$265</f>
        <v>17914.28571428571</v>
      </c>
      <c r="Y275" s="361"/>
      <c r="Z275" s="364"/>
      <c r="AA275" s="367"/>
      <c r="AB275"/>
      <c r="AC275"/>
      <c r="AD275"/>
      <c r="AE275"/>
      <c r="AF275"/>
      <c r="AG275"/>
    </row>
    <row r="276" spans="17:33" ht="12.75" customHeight="1">
      <c r="Q276" s="597"/>
      <c r="R276" s="937"/>
      <c r="S276" s="935" t="s">
        <v>307</v>
      </c>
      <c r="T276" s="935"/>
      <c r="U276" s="599">
        <f>U275*$V$11</f>
        <v>7124.4800000000014</v>
      </c>
      <c r="V276" s="599">
        <f>V275*$V$11</f>
        <v>576839.99999999988</v>
      </c>
      <c r="W276" s="599">
        <f>W275*$V$11</f>
        <v>501600</v>
      </c>
      <c r="X276" s="599">
        <f>X275*$V$11</f>
        <v>412028.57142857136</v>
      </c>
      <c r="Y276" s="361"/>
      <c r="Z276" s="364"/>
      <c r="AA276" s="367"/>
      <c r="AB276"/>
      <c r="AC276"/>
      <c r="AD276"/>
      <c r="AE276"/>
      <c r="AF276"/>
      <c r="AG276"/>
    </row>
    <row r="277" spans="17:33" ht="12.75" customHeight="1">
      <c r="Q277" s="364"/>
      <c r="R277" s="937"/>
      <c r="S277" s="935" t="s">
        <v>308</v>
      </c>
      <c r="T277" s="935"/>
      <c r="U277" s="599">
        <f>U276*3</f>
        <v>21373.440000000002</v>
      </c>
      <c r="V277" s="599">
        <f>V276*3</f>
        <v>1730519.9999999995</v>
      </c>
      <c r="W277" s="599">
        <f>W276*3</f>
        <v>1504800</v>
      </c>
      <c r="X277" s="599">
        <f>X276*3</f>
        <v>1236085.7142857141</v>
      </c>
      <c r="Y277" s="361"/>
      <c r="Z277" s="364"/>
      <c r="AA277" s="367"/>
      <c r="AB277"/>
      <c r="AC277"/>
      <c r="AD277"/>
      <c r="AE277"/>
      <c r="AF277"/>
      <c r="AG277"/>
    </row>
    <row r="278" spans="17:33" ht="12.75" customHeight="1">
      <c r="Q278" s="364"/>
      <c r="R278" s="937"/>
      <c r="S278" s="937"/>
      <c r="T278" s="937"/>
      <c r="U278" s="937"/>
      <c r="V278" s="937"/>
      <c r="W278" s="937"/>
      <c r="X278" s="937"/>
      <c r="Y278" s="364"/>
      <c r="Z278" s="364"/>
      <c r="AA278" s="367"/>
      <c r="AB278"/>
      <c r="AC278"/>
      <c r="AD278"/>
      <c r="AE278"/>
      <c r="AF278"/>
      <c r="AG278"/>
    </row>
    <row r="279" spans="17:33" ht="12.75" customHeight="1">
      <c r="Q279" s="364"/>
      <c r="R279" s="935" t="s">
        <v>675</v>
      </c>
      <c r="S279" s="935"/>
      <c r="T279" s="935"/>
      <c r="U279" s="930" t="s">
        <v>500</v>
      </c>
      <c r="V279" s="928" t="s">
        <v>22</v>
      </c>
      <c r="W279" s="929" t="s">
        <v>579</v>
      </c>
      <c r="X279" s="927" t="s">
        <v>21</v>
      </c>
      <c r="Y279" s="361"/>
      <c r="Z279" s="364"/>
      <c r="AA279" s="367"/>
      <c r="AB279"/>
      <c r="AC279"/>
      <c r="AD279"/>
      <c r="AE279"/>
      <c r="AF279"/>
      <c r="AG279"/>
    </row>
    <row r="280" spans="17:33" ht="12.75" customHeight="1">
      <c r="Q280" s="364"/>
      <c r="R280" s="937" t="s">
        <v>322</v>
      </c>
      <c r="S280" s="937"/>
      <c r="T280" s="937"/>
      <c r="U280" s="930"/>
      <c r="V280" s="928"/>
      <c r="W280" s="929"/>
      <c r="X280" s="927"/>
      <c r="Y280" s="361"/>
      <c r="Z280" s="364"/>
      <c r="AA280" s="367"/>
      <c r="AB280"/>
      <c r="AC280"/>
      <c r="AD280"/>
      <c r="AE280"/>
      <c r="AF280"/>
      <c r="AG280"/>
    </row>
    <row r="281" spans="17:33" ht="12.75" customHeight="1">
      <c r="Q281" s="364"/>
      <c r="R281" s="937"/>
      <c r="S281" s="935" t="s">
        <v>306</v>
      </c>
      <c r="T281" s="935"/>
      <c r="U281" s="599">
        <f>U282/$V$11</f>
        <v>211.20000000000005</v>
      </c>
      <c r="V281" s="599">
        <f>V282/$V$11</f>
        <v>17099.999999999996</v>
      </c>
      <c r="W281" s="599">
        <f>W282/$V$11</f>
        <v>14869.565217391302</v>
      </c>
      <c r="X281" s="599">
        <f>X282/$V$11</f>
        <v>12214.285714285712</v>
      </c>
      <c r="Y281" s="361"/>
      <c r="Z281" s="364"/>
      <c r="AA281" s="367"/>
      <c r="AB281"/>
      <c r="AC281"/>
      <c r="AD281"/>
      <c r="AE281"/>
      <c r="AF281"/>
      <c r="AG281"/>
    </row>
    <row r="282" spans="17:33" ht="12.75" customHeight="1">
      <c r="Q282" s="364"/>
      <c r="R282" s="937"/>
      <c r="S282" s="935" t="s">
        <v>307</v>
      </c>
      <c r="T282" s="935"/>
      <c r="U282" s="599">
        <f>U283/12</f>
        <v>4857.6000000000013</v>
      </c>
      <c r="V282" s="599">
        <f>V283/12</f>
        <v>393299.99999999994</v>
      </c>
      <c r="W282" s="599">
        <f>W283/12</f>
        <v>341999.99999999994</v>
      </c>
      <c r="X282" s="599">
        <f>X283/12</f>
        <v>280928.57142857136</v>
      </c>
      <c r="Y282" s="361"/>
      <c r="Z282" s="364"/>
      <c r="AA282" s="367"/>
      <c r="AB282"/>
      <c r="AC282"/>
      <c r="AD282"/>
      <c r="AE282"/>
      <c r="AF282"/>
      <c r="AG282"/>
    </row>
    <row r="283" spans="17:33" ht="12.75" customHeight="1">
      <c r="Q283" s="364"/>
      <c r="R283" s="937"/>
      <c r="S283" s="935" t="s">
        <v>308</v>
      </c>
      <c r="T283" s="935"/>
      <c r="U283" s="599">
        <f>U271+U277</f>
        <v>58291.200000000012</v>
      </c>
      <c r="V283" s="599">
        <f>V271+V277</f>
        <v>4719599.9999999991</v>
      </c>
      <c r="W283" s="599">
        <f>W271+W277</f>
        <v>4103999.9999999995</v>
      </c>
      <c r="X283" s="599">
        <f>X271+X277</f>
        <v>3371142.8571428563</v>
      </c>
      <c r="Y283" s="361"/>
      <c r="Z283" s="364"/>
      <c r="AA283" s="367"/>
      <c r="AB283"/>
      <c r="AC283"/>
      <c r="AD283"/>
      <c r="AE283"/>
      <c r="AF283"/>
      <c r="AG283"/>
    </row>
    <row r="284" spans="17:33" ht="12.75" customHeight="1">
      <c r="Q284" s="364"/>
      <c r="R284" s="363"/>
      <c r="S284" s="363"/>
      <c r="T284" s="577"/>
      <c r="U284" s="577"/>
      <c r="V284" s="596"/>
      <c r="W284" s="363"/>
      <c r="X284" s="363"/>
      <c r="Y284" s="363"/>
      <c r="Z284" s="363"/>
      <c r="AA284" s="367"/>
      <c r="AB284"/>
      <c r="AC284"/>
      <c r="AD284"/>
      <c r="AE284"/>
      <c r="AF284"/>
      <c r="AG284"/>
    </row>
    <row r="285" spans="17:33" ht="12.75" customHeight="1">
      <c r="Q285" s="668" t="s">
        <v>756</v>
      </c>
      <c r="R285" s="363" t="s">
        <v>758</v>
      </c>
      <c r="S285" s="363"/>
      <c r="T285" s="577"/>
      <c r="U285" s="577"/>
      <c r="V285" s="596"/>
      <c r="W285" s="363"/>
      <c r="X285" s="363"/>
      <c r="Y285" s="363"/>
      <c r="Z285" s="363"/>
      <c r="AA285" s="367"/>
      <c r="AB285"/>
      <c r="AC285"/>
      <c r="AD285"/>
      <c r="AE285"/>
      <c r="AF285"/>
      <c r="AG285"/>
    </row>
    <row r="286" spans="17:33" ht="12.75" customHeight="1">
      <c r="Q286" s="364"/>
      <c r="R286" s="935" t="s">
        <v>678</v>
      </c>
      <c r="S286" s="935"/>
      <c r="T286" s="935"/>
      <c r="U286" s="935"/>
      <c r="V286" s="936" t="s">
        <v>500</v>
      </c>
      <c r="W286" s="936" t="s">
        <v>22</v>
      </c>
      <c r="X286" s="936" t="s">
        <v>579</v>
      </c>
      <c r="Y286" s="936" t="s">
        <v>21</v>
      </c>
      <c r="Z286" s="361"/>
      <c r="AA286" s="367"/>
      <c r="AB286"/>
      <c r="AC286"/>
      <c r="AD286"/>
      <c r="AE286"/>
      <c r="AF286"/>
      <c r="AG286"/>
    </row>
    <row r="287" spans="17:33" ht="12.75" customHeight="1">
      <c r="Q287" s="364"/>
      <c r="R287" s="935"/>
      <c r="S287" s="935"/>
      <c r="T287" s="935"/>
      <c r="U287" s="935"/>
      <c r="V287" s="936"/>
      <c r="W287" s="936"/>
      <c r="X287" s="936"/>
      <c r="Y287" s="936"/>
      <c r="Z287" s="361"/>
      <c r="AA287" s="367"/>
      <c r="AB287"/>
      <c r="AC287"/>
      <c r="AD287"/>
      <c r="AE287"/>
      <c r="AF287"/>
      <c r="AG287"/>
    </row>
    <row r="288" spans="17:33" ht="12.75" customHeight="1">
      <c r="Q288" s="364"/>
      <c r="R288" s="931" t="s">
        <v>35</v>
      </c>
      <c r="S288" s="931"/>
      <c r="T288" s="931"/>
      <c r="U288" s="931"/>
      <c r="V288" s="599">
        <f>AVERAGE(U196:W196)*5%</f>
        <v>1305585.0000000005</v>
      </c>
      <c r="W288" s="599">
        <f>V202*5%</f>
        <v>1533870.0000000005</v>
      </c>
      <c r="X288" s="599">
        <f>W202*5%</f>
        <v>1518480.0000000005</v>
      </c>
      <c r="Y288" s="599">
        <f>X202*5%</f>
        <v>1500158.5714285718</v>
      </c>
      <c r="Z288" s="361"/>
      <c r="AA288" s="367"/>
      <c r="AB288"/>
      <c r="AC288"/>
      <c r="AD288"/>
      <c r="AE288"/>
      <c r="AF288"/>
      <c r="AG288"/>
    </row>
    <row r="289" spans="17:33" ht="12.75" customHeight="1">
      <c r="Q289" s="364"/>
      <c r="R289" s="931" t="s">
        <v>481</v>
      </c>
      <c r="S289" s="931"/>
      <c r="T289" s="931"/>
      <c r="U289" s="931"/>
      <c r="V289" s="600" t="s">
        <v>479</v>
      </c>
      <c r="W289" s="599">
        <f>Y289</f>
        <v>1059840</v>
      </c>
      <c r="X289" s="600" t="s">
        <v>479</v>
      </c>
      <c r="Y289" s="599">
        <f>Consumables!E23*12</f>
        <v>1059840</v>
      </c>
      <c r="Z289" s="361"/>
      <c r="AA289" s="367"/>
      <c r="AB289"/>
      <c r="AC289"/>
      <c r="AD289"/>
      <c r="AE289"/>
      <c r="AF289"/>
      <c r="AG289"/>
    </row>
    <row r="290" spans="17:33" ht="12.75" customHeight="1">
      <c r="Q290" s="364"/>
      <c r="R290" s="931" t="s">
        <v>311</v>
      </c>
      <c r="S290" s="931"/>
      <c r="T290" s="931"/>
      <c r="U290" s="931"/>
      <c r="V290" s="600" t="s">
        <v>557</v>
      </c>
      <c r="W290" s="599">
        <f>Y290</f>
        <v>416000</v>
      </c>
      <c r="X290" s="599">
        <f>W290</f>
        <v>416000</v>
      </c>
      <c r="Y290" s="599">
        <f>Consumables!E21*12</f>
        <v>416000</v>
      </c>
      <c r="Z290" s="361"/>
      <c r="AA290" s="367"/>
      <c r="AB290"/>
      <c r="AC290"/>
      <c r="AD290"/>
      <c r="AE290"/>
      <c r="AF290"/>
      <c r="AG290"/>
    </row>
    <row r="291" spans="17:33" ht="12.75" customHeight="1">
      <c r="Q291" s="364"/>
      <c r="R291" s="931" t="s">
        <v>480</v>
      </c>
      <c r="S291" s="931"/>
      <c r="T291" s="931"/>
      <c r="U291" s="931"/>
      <c r="V291" s="599">
        <f>Consumables!H21*12</f>
        <v>3865001.2800000003</v>
      </c>
      <c r="W291" s="599">
        <v>0</v>
      </c>
      <c r="X291" s="599">
        <v>0</v>
      </c>
      <c r="Y291" s="599">
        <v>0</v>
      </c>
      <c r="Z291" s="361"/>
      <c r="AA291" s="367"/>
      <c r="AB291"/>
      <c r="AC291"/>
      <c r="AD291"/>
      <c r="AE291"/>
      <c r="AF291"/>
      <c r="AG291"/>
    </row>
    <row r="292" spans="17:33" ht="12.75" customHeight="1">
      <c r="Q292" s="364"/>
      <c r="R292" s="931" t="s">
        <v>312</v>
      </c>
      <c r="S292" s="931"/>
      <c r="T292" s="931"/>
      <c r="U292" s="931"/>
      <c r="V292" s="599">
        <f>Consumables!H20*12</f>
        <v>2691993.6000000001</v>
      </c>
      <c r="W292" s="599">
        <f>Y292</f>
        <v>2331648.0000000005</v>
      </c>
      <c r="X292" s="599">
        <f>W292</f>
        <v>2331648.0000000005</v>
      </c>
      <c r="Y292" s="599">
        <f>Consumables!E20*12</f>
        <v>2331648.0000000005</v>
      </c>
      <c r="Z292" s="361"/>
      <c r="AA292" s="367"/>
      <c r="AB292"/>
      <c r="AC292"/>
      <c r="AD292"/>
      <c r="AE292"/>
      <c r="AF292"/>
      <c r="AG292"/>
    </row>
    <row r="293" spans="17:33" ht="12.75" customHeight="1">
      <c r="Q293" s="364"/>
      <c r="R293" s="931" t="s">
        <v>313</v>
      </c>
      <c r="S293" s="931"/>
      <c r="T293" s="931"/>
      <c r="U293" s="931"/>
      <c r="V293" s="599">
        <f>Consumables!H19*12</f>
        <v>1674547.2000000002</v>
      </c>
      <c r="W293" s="599">
        <f>Y293</f>
        <v>1398988.8</v>
      </c>
      <c r="X293" s="599">
        <f>W293</f>
        <v>1398988.8</v>
      </c>
      <c r="Y293" s="599">
        <f>Consumables!E19*12</f>
        <v>1398988.8</v>
      </c>
      <c r="Z293" s="361"/>
      <c r="AA293" s="367"/>
      <c r="AB293"/>
      <c r="AC293"/>
      <c r="AD293"/>
      <c r="AE293"/>
      <c r="AF293"/>
      <c r="AG293"/>
    </row>
    <row r="294" spans="17:33" ht="12.75" customHeight="1">
      <c r="Q294" s="364"/>
      <c r="R294" s="931" t="s">
        <v>190</v>
      </c>
      <c r="S294" s="931"/>
      <c r="T294" s="931"/>
      <c r="U294" s="931"/>
      <c r="V294" s="599">
        <f>Consumables!H22*12</f>
        <v>8294400</v>
      </c>
      <c r="W294" s="599">
        <v>0</v>
      </c>
      <c r="X294" s="599">
        <v>0</v>
      </c>
      <c r="Y294" s="599">
        <v>0</v>
      </c>
      <c r="Z294" s="361"/>
      <c r="AA294" s="367"/>
      <c r="AB294"/>
      <c r="AC294"/>
      <c r="AD294"/>
      <c r="AE294"/>
      <c r="AF294"/>
      <c r="AG294"/>
    </row>
    <row r="295" spans="17:33" ht="12.75" customHeight="1">
      <c r="Q295" s="364"/>
      <c r="R295" s="931" t="s">
        <v>482</v>
      </c>
      <c r="S295" s="931"/>
      <c r="T295" s="931"/>
      <c r="U295" s="931"/>
      <c r="V295" s="599">
        <v>0</v>
      </c>
      <c r="W295" s="599">
        <f>Y295</f>
        <v>199600.00000000003</v>
      </c>
      <c r="X295" s="599">
        <f>W295</f>
        <v>199600.00000000003</v>
      </c>
      <c r="Y295" s="599">
        <f>Consumables!E25*12</f>
        <v>199600.00000000003</v>
      </c>
      <c r="Z295" s="361"/>
      <c r="AA295" s="367"/>
      <c r="AB295"/>
      <c r="AC295"/>
      <c r="AD295"/>
      <c r="AE295"/>
      <c r="AF295"/>
      <c r="AG295"/>
    </row>
    <row r="296" spans="17:33" ht="12.75" customHeight="1">
      <c r="Q296" s="364"/>
      <c r="R296" s="931" t="s">
        <v>483</v>
      </c>
      <c r="S296" s="931"/>
      <c r="T296" s="931"/>
      <c r="U296" s="931"/>
      <c r="V296" s="599">
        <v>0</v>
      </c>
      <c r="W296" s="599">
        <f>Y296</f>
        <v>40600</v>
      </c>
      <c r="X296" s="599">
        <f>W296</f>
        <v>40600</v>
      </c>
      <c r="Y296" s="599">
        <f>Consumables!E24*12</f>
        <v>40600</v>
      </c>
      <c r="Z296" s="361"/>
      <c r="AA296" s="367"/>
      <c r="AB296"/>
      <c r="AC296"/>
      <c r="AD296"/>
      <c r="AE296"/>
      <c r="AF296"/>
      <c r="AG296"/>
    </row>
    <row r="297" spans="17:33" ht="12.75" customHeight="1">
      <c r="Q297" s="364"/>
      <c r="R297" s="931" t="s">
        <v>478</v>
      </c>
      <c r="S297" s="931"/>
      <c r="T297" s="931"/>
      <c r="U297" s="931"/>
      <c r="V297" s="599">
        <f>U283</f>
        <v>58291.200000000012</v>
      </c>
      <c r="W297" s="599">
        <f>V283</f>
        <v>4719599.9999999991</v>
      </c>
      <c r="X297" s="599">
        <f>W283</f>
        <v>4103999.9999999995</v>
      </c>
      <c r="Y297" s="599">
        <f>X283</f>
        <v>3371142.8571428563</v>
      </c>
      <c r="Z297" s="361"/>
      <c r="AA297" s="367"/>
      <c r="AB297"/>
      <c r="AC297"/>
      <c r="AD297"/>
      <c r="AE297"/>
      <c r="AF297"/>
      <c r="AG297"/>
    </row>
    <row r="298" spans="17:33" ht="12.75" customHeight="1">
      <c r="Q298" s="364"/>
      <c r="R298" s="931" t="s">
        <v>484</v>
      </c>
      <c r="S298" s="931"/>
      <c r="T298" s="931"/>
      <c r="U298" s="931"/>
      <c r="V298" s="599">
        <f>'NIHL Compenation Cost'!AD21</f>
        <v>1715167.5</v>
      </c>
      <c r="W298" s="599">
        <f>'NIHL Compenation Cost'!Z21</f>
        <v>989115.00000000012</v>
      </c>
      <c r="X298" s="599">
        <f>'NIHL Compenation Cost'!AB21</f>
        <v>1087325</v>
      </c>
      <c r="Y298" s="599">
        <f>'NIHL Compenation Cost'!X21</f>
        <v>596275</v>
      </c>
      <c r="Z298" s="361"/>
      <c r="AA298" s="367"/>
      <c r="AB298"/>
      <c r="AC298"/>
      <c r="AD298"/>
      <c r="AE298"/>
      <c r="AF298"/>
      <c r="AG298"/>
    </row>
    <row r="299" spans="17:33" ht="12.75" customHeight="1">
      <c r="Q299" s="364"/>
      <c r="R299" s="932" t="s">
        <v>677</v>
      </c>
      <c r="S299" s="932"/>
      <c r="T299" s="932"/>
      <c r="U299" s="932"/>
      <c r="V299" s="599">
        <f>SUM(V288:V298)</f>
        <v>19604985.780000001</v>
      </c>
      <c r="W299" s="599">
        <f>SUM(W288:W298)</f>
        <v>12689261.800000001</v>
      </c>
      <c r="X299" s="599">
        <f>SUM(X288:X298)</f>
        <v>11096641.800000001</v>
      </c>
      <c r="Y299" s="599">
        <f>SUM(Y288:Y298)</f>
        <v>10914253.22857143</v>
      </c>
      <c r="Z299" s="361"/>
      <c r="AA299" s="367"/>
      <c r="AB299"/>
      <c r="AC299"/>
      <c r="AD299"/>
      <c r="AE299"/>
      <c r="AF299"/>
      <c r="AG299"/>
    </row>
    <row r="300" spans="17:33" ht="12.75" customHeight="1">
      <c r="Q300" s="364"/>
      <c r="R300" s="591"/>
      <c r="S300" s="591"/>
      <c r="T300" s="591"/>
      <c r="U300" s="591"/>
      <c r="V300" s="718"/>
      <c r="W300" s="718"/>
      <c r="X300" s="718"/>
      <c r="Y300" s="718"/>
      <c r="Z300" s="361"/>
      <c r="AA300" s="367"/>
      <c r="AB300"/>
      <c r="AC300"/>
      <c r="AD300"/>
      <c r="AE300"/>
      <c r="AF300"/>
      <c r="AG300"/>
    </row>
    <row r="301" spans="17:33" ht="12.75" customHeight="1">
      <c r="Q301" s="364"/>
      <c r="R301" s="591"/>
      <c r="S301" s="591"/>
      <c r="T301" s="933" t="s">
        <v>812</v>
      </c>
      <c r="U301" s="933"/>
      <c r="V301" s="718">
        <f>V299-V294</f>
        <v>11310585.780000001</v>
      </c>
      <c r="W301" s="718">
        <f>W299-W294</f>
        <v>12689261.800000001</v>
      </c>
      <c r="X301" s="718">
        <f>X299-X294</f>
        <v>11096641.800000001</v>
      </c>
      <c r="Y301" s="718">
        <f>Y299-Y294</f>
        <v>10914253.22857143</v>
      </c>
      <c r="Z301" s="361"/>
      <c r="AA301" s="367"/>
      <c r="AB301"/>
      <c r="AC301"/>
      <c r="AD301"/>
      <c r="AE301"/>
      <c r="AF301"/>
      <c r="AG301"/>
    </row>
    <row r="302" spans="17:33" ht="12.75" customHeight="1">
      <c r="Q302" s="364"/>
      <c r="R302" s="364"/>
      <c r="S302" s="364"/>
      <c r="T302" s="934" t="s">
        <v>350</v>
      </c>
      <c r="U302" s="934"/>
      <c r="V302" s="682">
        <f>V294</f>
        <v>8294400</v>
      </c>
      <c r="W302" s="682"/>
      <c r="X302" s="682"/>
      <c r="Y302" s="682"/>
      <c r="Z302" s="364"/>
      <c r="AA302" s="367"/>
      <c r="AB302"/>
      <c r="AC302"/>
      <c r="AD302"/>
      <c r="AE302"/>
      <c r="AF302"/>
      <c r="AG302"/>
    </row>
    <row r="303" spans="17:33" ht="12.75" customHeight="1">
      <c r="Q303" s="364">
        <v>10.3</v>
      </c>
      <c r="R303" s="363"/>
      <c r="S303" s="364"/>
      <c r="T303" s="364"/>
      <c r="U303" s="364"/>
      <c r="V303" s="682"/>
      <c r="W303" s="364"/>
      <c r="X303" s="362"/>
      <c r="Y303" s="682"/>
      <c r="Z303" s="364"/>
      <c r="AA303" s="367"/>
      <c r="AB303"/>
      <c r="AC303"/>
      <c r="AD303"/>
      <c r="AE303"/>
      <c r="AF303"/>
      <c r="AG303"/>
    </row>
    <row r="304" spans="17:33" ht="12.75" customHeight="1">
      <c r="Q304" s="364"/>
      <c r="R304" s="364"/>
      <c r="S304" s="364"/>
      <c r="T304" s="364"/>
      <c r="U304" s="364"/>
      <c r="V304" s="364"/>
      <c r="W304" s="364"/>
      <c r="X304" s="364"/>
      <c r="Y304" s="364"/>
      <c r="Z304" s="364"/>
      <c r="AA304" s="367"/>
      <c r="AB304"/>
      <c r="AC304"/>
      <c r="AD304"/>
      <c r="AE304"/>
      <c r="AF304"/>
      <c r="AG304"/>
    </row>
    <row r="305" spans="17:33" ht="12.75" customHeight="1">
      <c r="Q305" s="364"/>
      <c r="R305" s="935" t="s">
        <v>195</v>
      </c>
      <c r="S305" s="935"/>
      <c r="T305" s="935"/>
      <c r="U305" s="935"/>
      <c r="V305" s="935"/>
      <c r="W305" s="375"/>
      <c r="X305" s="683"/>
      <c r="Y305" s="375"/>
      <c r="Z305" s="375"/>
      <c r="AA305" s="367"/>
      <c r="AB305"/>
      <c r="AC305"/>
      <c r="AD305"/>
      <c r="AE305"/>
      <c r="AF305"/>
      <c r="AG305"/>
    </row>
    <row r="306" spans="17:33" ht="12.75" customHeight="1">
      <c r="Q306" s="364"/>
      <c r="R306" s="926" t="s">
        <v>509</v>
      </c>
      <c r="S306" s="927" t="s">
        <v>21</v>
      </c>
      <c r="T306" s="928" t="s">
        <v>22</v>
      </c>
      <c r="U306" s="929" t="s">
        <v>579</v>
      </c>
      <c r="V306" s="930" t="s">
        <v>500</v>
      </c>
      <c r="W306" s="363"/>
      <c r="X306" s="684"/>
      <c r="Y306" s="363"/>
      <c r="Z306" s="364"/>
      <c r="AA306" s="367"/>
      <c r="AB306"/>
      <c r="AC306"/>
      <c r="AD306"/>
      <c r="AE306"/>
      <c r="AF306"/>
      <c r="AG306"/>
    </row>
    <row r="307" spans="17:33" ht="12.75" customHeight="1">
      <c r="Q307" s="364"/>
      <c r="R307" s="926"/>
      <c r="S307" s="927"/>
      <c r="T307" s="928"/>
      <c r="U307" s="929"/>
      <c r="V307" s="930"/>
      <c r="W307" s="363"/>
      <c r="X307" s="684"/>
      <c r="Y307" s="363"/>
      <c r="Z307" s="364"/>
      <c r="AA307" s="367"/>
      <c r="AB307"/>
      <c r="AC307"/>
      <c r="AD307"/>
      <c r="AE307"/>
      <c r="AF307"/>
      <c r="AG307"/>
    </row>
    <row r="308" spans="17:33" ht="12.75" customHeight="1">
      <c r="Q308" s="364"/>
      <c r="R308" s="667" t="s">
        <v>204</v>
      </c>
      <c r="S308" s="667" t="s">
        <v>846</v>
      </c>
      <c r="T308" s="667" t="s">
        <v>846</v>
      </c>
      <c r="U308" s="667" t="s">
        <v>846</v>
      </c>
      <c r="V308" s="667" t="s">
        <v>846</v>
      </c>
      <c r="W308" s="363"/>
      <c r="X308" s="363"/>
      <c r="Y308" s="363"/>
      <c r="Z308" s="364"/>
      <c r="AA308" s="367"/>
      <c r="AB308"/>
      <c r="AC308"/>
      <c r="AD308"/>
      <c r="AE308"/>
      <c r="AF308"/>
      <c r="AG308"/>
    </row>
    <row r="309" spans="17:33" ht="12.75" customHeight="1">
      <c r="Q309" s="364"/>
      <c r="R309" s="600">
        <v>1</v>
      </c>
      <c r="S309" s="369">
        <f>$X$69</f>
        <v>116</v>
      </c>
      <c r="T309" s="584">
        <f>$V$69</f>
        <v>108</v>
      </c>
      <c r="U309" s="685">
        <f>$W$69</f>
        <v>109</v>
      </c>
      <c r="V309" s="369">
        <f>$U$69</f>
        <v>102</v>
      </c>
      <c r="W309" s="363"/>
      <c r="X309" s="363"/>
      <c r="Y309" s="363"/>
      <c r="Z309" s="364"/>
      <c r="AA309" s="367"/>
      <c r="AB309"/>
      <c r="AC309"/>
      <c r="AD309"/>
      <c r="AE309"/>
      <c r="AF309"/>
      <c r="AG309"/>
    </row>
    <row r="310" spans="17:33" ht="12.75" customHeight="1">
      <c r="Q310" s="364"/>
      <c r="R310" s="600">
        <v>2</v>
      </c>
      <c r="S310" s="584">
        <f>(LOG((10^(S309/10))+(10^(S309/10))))*10</f>
        <v>119.01029995663983</v>
      </c>
      <c r="T310" s="584">
        <f>(LOG((10^(T309/10))+(10^(T309/10))))*10</f>
        <v>111.01029995663981</v>
      </c>
      <c r="U310" s="584">
        <f>(LOG((10^(U309/10))+(10^(U309/10))))*10</f>
        <v>112.01029995663981</v>
      </c>
      <c r="V310" s="584">
        <f>(LOG((10^(V309/10))+(10^(V309/10))))*10</f>
        <v>105.01029995663983</v>
      </c>
      <c r="W310" s="363"/>
      <c r="X310" s="363"/>
      <c r="Y310" s="363"/>
      <c r="Z310" s="364"/>
      <c r="AA310" s="367"/>
      <c r="AB310"/>
      <c r="AC310"/>
      <c r="AD310"/>
      <c r="AE310"/>
      <c r="AF310"/>
      <c r="AG310"/>
    </row>
    <row r="311" spans="17:33" ht="12.75" customHeight="1">
      <c r="Q311" s="597"/>
      <c r="R311" s="600">
        <v>3</v>
      </c>
      <c r="S311" s="584">
        <f>(LOG((10^(S309/10))+(10^(S309/10))+(10^(S309/10)))*10)</f>
        <v>120.77121254719664</v>
      </c>
      <c r="T311" s="584">
        <f>(LOG((10^(T309/10))+(10^(T309/10))+(10^(T309/10)))*10)</f>
        <v>112.77121254719663</v>
      </c>
      <c r="U311" s="584">
        <f>(LOG((10^(U309/10))+(10^(U309/10))+(10^(U309/10)))*10)</f>
        <v>113.77121254719663</v>
      </c>
      <c r="V311" s="584">
        <f>(LOG((10^(V309/10))+(10^(V309/10))+(10^(V309/10)))*10)</f>
        <v>106.77121254719664</v>
      </c>
      <c r="W311" s="363"/>
      <c r="X311" s="363"/>
      <c r="Y311" s="363"/>
      <c r="Z311" s="364"/>
      <c r="AA311" s="367"/>
      <c r="AB311"/>
      <c r="AC311"/>
      <c r="AD311"/>
      <c r="AE311"/>
      <c r="AF311"/>
      <c r="AG311"/>
    </row>
    <row r="312" spans="17:33" ht="12.75" customHeight="1">
      <c r="Q312" s="364"/>
      <c r="R312" s="600">
        <v>4</v>
      </c>
      <c r="S312" s="584">
        <f>(LOG((10^(S309/10))+(10^(S309/10))+(10^(S309/10))+(10^(S309/10))))*10</f>
        <v>122.02059991327964</v>
      </c>
      <c r="T312" s="584">
        <f>(LOG((10^(T309/10))+(10^(T309/10))+(10^(T309/10))+(10^(T309/10))))*10</f>
        <v>114.02059991327963</v>
      </c>
      <c r="U312" s="584">
        <f>(LOG((10^(U309/10))+(10^(U309/10))+(10^(U309/10))+(10^(U309/10))))*10</f>
        <v>115.02059991327963</v>
      </c>
      <c r="V312" s="584">
        <f>(LOG((10^(V309/10))+(10^(V309/10))+(10^(V309/10))+(10^(V309/10))))*10</f>
        <v>108.02059991327964</v>
      </c>
      <c r="W312" s="363"/>
      <c r="X312" s="363"/>
      <c r="Y312" s="363"/>
      <c r="Z312" s="364"/>
      <c r="AA312" s="367"/>
      <c r="AB312"/>
      <c r="AC312"/>
      <c r="AD312"/>
      <c r="AE312"/>
      <c r="AF312"/>
      <c r="AG312"/>
    </row>
    <row r="313" spans="17:33" ht="12.75" customHeight="1">
      <c r="Q313" s="364"/>
      <c r="R313" s="600">
        <v>5</v>
      </c>
      <c r="S313" s="584">
        <f>(LOG((10^(S309/10))+(10^(S309/10))+(10^(S309/10))+(10^(S309/10))+(10^(S309/10))))*10</f>
        <v>122.9897000433602</v>
      </c>
      <c r="T313" s="584">
        <f>(LOG((10^(T309/10))+(10^(T309/10))+(10^(T309/10))+(10^(T309/10))+(10^(T309/10))))*10</f>
        <v>114.98970004336019</v>
      </c>
      <c r="U313" s="584">
        <f>(LOG((10^(U309/10))+(10^(U309/10))+(10^(U309/10))+(10^(U309/10))+(10^(U309/10))))*10</f>
        <v>115.98970004336019</v>
      </c>
      <c r="V313" s="584">
        <f>(LOG((10^(V309/10))+(10^(V309/10))+(10^(V309/10))+(10^(V309/10))+(10^(V309/10))))*10</f>
        <v>108.9897000433602</v>
      </c>
      <c r="W313" s="363"/>
      <c r="X313" s="363"/>
      <c r="Y313" s="363"/>
      <c r="Z313" s="364"/>
      <c r="AA313" s="367"/>
      <c r="AB313"/>
      <c r="AC313"/>
      <c r="AD313"/>
      <c r="AE313"/>
      <c r="AF313"/>
      <c r="AG313"/>
    </row>
    <row r="314" spans="17:33" ht="12.75" customHeight="1">
      <c r="Q314" s="364"/>
      <c r="R314" s="600">
        <v>6</v>
      </c>
      <c r="S314" s="584">
        <f>(LOG((10^(S309/10))+(10^(S309/10))+(10^(S309/10))+(10^(S309/10))+(10^(S309/10))+(10^(S309/10)))*10)</f>
        <v>123.78151250383645</v>
      </c>
      <c r="T314" s="584">
        <f>(LOG((10^(T309/10))+(10^(T309/10))+(10^(T309/10))+(10^(T309/10))+(10^(T309/10))+(10^(T309/10)))*10)</f>
        <v>115.78151250383644</v>
      </c>
      <c r="U314" s="584">
        <f>(LOG((10^(U309/10))+(10^(U309/10))+(10^(U309/10))+(10^(U309/10))+(10^(U309/10))+(10^(U309/10)))*10)</f>
        <v>116.78151250383644</v>
      </c>
      <c r="V314" s="584">
        <f>(LOG((10^(V309/10))+(10^(V309/10))+(10^(V309/10))+(10^(V309/10))+(10^(V309/10))+(10^(V309/10)))*10)</f>
        <v>109.78151250383645</v>
      </c>
      <c r="W314" s="363"/>
      <c r="X314" s="363"/>
      <c r="Y314" s="363"/>
      <c r="Z314" s="364"/>
      <c r="AA314" s="367"/>
      <c r="AB314"/>
      <c r="AC314"/>
      <c r="AD314"/>
      <c r="AE314"/>
      <c r="AF314"/>
      <c r="AG314"/>
    </row>
    <row r="315" spans="17:33" ht="12.75" customHeight="1" thickBot="1">
      <c r="Q315" s="364"/>
      <c r="R315" s="364"/>
      <c r="S315" s="364"/>
      <c r="T315" s="364"/>
      <c r="U315" s="364"/>
      <c r="V315" s="364"/>
      <c r="W315" s="364"/>
      <c r="X315" s="364"/>
      <c r="Y315" s="364"/>
      <c r="Z315" s="364"/>
      <c r="AA315" s="367"/>
      <c r="AB315"/>
      <c r="AC315"/>
      <c r="AD315"/>
      <c r="AE315"/>
      <c r="AF315"/>
      <c r="AG315"/>
    </row>
    <row r="316" spans="17:33" ht="12.75" customHeight="1" thickTop="1">
      <c r="Q316" s="364"/>
      <c r="R316" s="916" t="s">
        <v>428</v>
      </c>
      <c r="S316" s="917"/>
      <c r="T316" s="917"/>
      <c r="U316" s="917"/>
      <c r="V316" s="917"/>
      <c r="W316" s="918"/>
      <c r="X316" s="364"/>
      <c r="Y316" s="364"/>
      <c r="Z316" s="364"/>
      <c r="AA316" s="367"/>
      <c r="AB316"/>
      <c r="AC316"/>
      <c r="AD316"/>
      <c r="AE316"/>
      <c r="AF316"/>
      <c r="AG316"/>
    </row>
    <row r="317" spans="17:33" ht="12.75" customHeight="1">
      <c r="Q317" s="364"/>
      <c r="R317" s="919"/>
      <c r="S317" s="920"/>
      <c r="T317" s="920"/>
      <c r="U317" s="920"/>
      <c r="V317" s="920"/>
      <c r="W317" s="921"/>
      <c r="X317" s="364"/>
      <c r="Y317" s="364"/>
      <c r="Z317" s="364"/>
      <c r="AA317" s="367"/>
      <c r="AB317"/>
      <c r="AC317"/>
      <c r="AD317"/>
      <c r="AE317"/>
      <c r="AF317"/>
      <c r="AG317"/>
    </row>
    <row r="318" spans="17:33" ht="12.75" customHeight="1" thickBot="1">
      <c r="Q318" s="364"/>
      <c r="R318" s="922"/>
      <c r="S318" s="923"/>
      <c r="T318" s="923"/>
      <c r="U318" s="923"/>
      <c r="V318" s="923"/>
      <c r="W318" s="924"/>
      <c r="X318" s="364"/>
      <c r="Y318" s="364"/>
      <c r="Z318" s="364"/>
      <c r="AA318" s="367"/>
      <c r="AB318"/>
      <c r="AC318"/>
      <c r="AD318"/>
      <c r="AE318"/>
      <c r="AF318"/>
      <c r="AG318"/>
    </row>
    <row r="319" spans="17:33" ht="12.75" customHeight="1" thickTop="1">
      <c r="Q319" s="364"/>
      <c r="R319" s="925" t="str">
        <f>S306</f>
        <v>Seco S215</v>
      </c>
      <c r="S319" s="925"/>
      <c r="T319" s="925"/>
      <c r="U319" s="925"/>
      <c r="V319" s="925"/>
      <c r="W319" s="925"/>
      <c r="X319" s="364"/>
      <c r="Y319" s="364"/>
      <c r="Z319" s="364"/>
      <c r="AA319" s="367"/>
      <c r="AB319"/>
      <c r="AC319"/>
      <c r="AD319"/>
      <c r="AE319"/>
      <c r="AF319"/>
      <c r="AG319"/>
    </row>
    <row r="320" spans="17:33" ht="12.75" customHeight="1" thickBot="1">
      <c r="Q320" s="364"/>
      <c r="R320" s="910" t="s">
        <v>205</v>
      </c>
      <c r="S320" s="911"/>
      <c r="T320" s="911"/>
      <c r="U320" s="911"/>
      <c r="V320" s="911"/>
      <c r="W320" s="912"/>
      <c r="X320" s="364"/>
      <c r="Y320" s="364"/>
      <c r="Z320" s="364"/>
      <c r="AA320" s="367"/>
      <c r="AB320"/>
      <c r="AC320"/>
      <c r="AD320"/>
      <c r="AE320"/>
      <c r="AF320"/>
      <c r="AG320"/>
    </row>
    <row r="321" spans="17:33" ht="12.75" customHeight="1" thickBot="1">
      <c r="Q321" s="364"/>
      <c r="R321" s="686" t="s">
        <v>59</v>
      </c>
      <c r="S321" s="577"/>
      <c r="T321" s="687"/>
      <c r="U321" s="687"/>
      <c r="V321" s="687"/>
      <c r="W321" s="688"/>
      <c r="X321" s="364"/>
      <c r="Y321" s="364"/>
      <c r="Z321" s="364"/>
      <c r="AA321" s="367"/>
      <c r="AB321"/>
      <c r="AC321"/>
      <c r="AD321"/>
      <c r="AE321"/>
      <c r="AF321"/>
      <c r="AG321"/>
    </row>
    <row r="322" spans="17:33" ht="12.75" customHeight="1">
      <c r="Q322" s="364"/>
      <c r="R322" s="895" t="s">
        <v>845</v>
      </c>
      <c r="S322" s="896"/>
      <c r="T322" s="900" t="s">
        <v>835</v>
      </c>
      <c r="U322" s="900" t="s">
        <v>836</v>
      </c>
      <c r="V322" s="900" t="s">
        <v>837</v>
      </c>
      <c r="W322" s="902" t="s">
        <v>838</v>
      </c>
      <c r="X322" s="364"/>
      <c r="Y322" s="364"/>
      <c r="Z322" s="364"/>
      <c r="AA322" s="367"/>
      <c r="AB322"/>
      <c r="AC322"/>
      <c r="AD322"/>
      <c r="AE322"/>
      <c r="AF322"/>
      <c r="AG322"/>
    </row>
    <row r="323" spans="17:33" ht="12.75" customHeight="1">
      <c r="Q323" s="364"/>
      <c r="R323" s="892"/>
      <c r="S323" s="897"/>
      <c r="T323" s="904"/>
      <c r="U323" s="904"/>
      <c r="V323" s="904"/>
      <c r="W323" s="905"/>
      <c r="X323" s="364"/>
      <c r="Y323" s="364"/>
      <c r="Z323" s="364"/>
      <c r="AA323" s="367"/>
      <c r="AB323"/>
      <c r="AC323"/>
      <c r="AD323"/>
      <c r="AE323"/>
      <c r="AF323"/>
      <c r="AG323"/>
    </row>
    <row r="324" spans="17:33" ht="12.75" customHeight="1">
      <c r="Q324" s="364"/>
      <c r="R324" s="892"/>
      <c r="S324" s="897"/>
      <c r="T324" s="901"/>
      <c r="U324" s="901"/>
      <c r="V324" s="901"/>
      <c r="W324" s="903"/>
      <c r="X324" s="364"/>
      <c r="Y324" s="364"/>
      <c r="Z324" s="364"/>
      <c r="AA324" s="367"/>
      <c r="AB324"/>
      <c r="AC324"/>
      <c r="AD324"/>
      <c r="AE324"/>
      <c r="AF324"/>
      <c r="AG324"/>
    </row>
    <row r="325" spans="17:33" ht="12.75" customHeight="1">
      <c r="Q325" s="364"/>
      <c r="R325" s="892"/>
      <c r="S325" s="897"/>
      <c r="T325" s="689">
        <f>X69</f>
        <v>116</v>
      </c>
      <c r="U325" s="560">
        <f>X62</f>
        <v>1.4285714285714284</v>
      </c>
      <c r="V325" s="690">
        <f>IF(T325&gt;0,W325*U325," ")</f>
        <v>22857.142857142855</v>
      </c>
      <c r="W325" s="691">
        <f>IF(T325&gt;0,(VLOOKUP(T325,'Lookup Ready-reckoner'!$B$5:$E$1207,4))," ")</f>
        <v>16000</v>
      </c>
      <c r="X325" s="364"/>
      <c r="Y325" s="364"/>
      <c r="Z325" s="364"/>
      <c r="AA325" s="367"/>
      <c r="AB325"/>
      <c r="AC325"/>
      <c r="AD325"/>
      <c r="AE325"/>
      <c r="AF325"/>
      <c r="AG325"/>
    </row>
    <row r="326" spans="17:33" ht="12.75" customHeight="1">
      <c r="Q326" s="364"/>
      <c r="R326" s="898"/>
      <c r="S326" s="899"/>
      <c r="T326" s="447"/>
      <c r="U326" s="560"/>
      <c r="V326" s="690" t="str">
        <f>IF(T326&gt;0,W326*U326," ")</f>
        <v xml:space="preserve"> </v>
      </c>
      <c r="W326" s="691" t="str">
        <f>IF(T326&gt;0,(VLOOKUP(T326,'Lookup Ready-reckoner'!$B$5:$E$1007,4))," ")</f>
        <v xml:space="preserve"> </v>
      </c>
      <c r="X326" s="364"/>
      <c r="Y326" s="364"/>
      <c r="Z326" s="364"/>
      <c r="AA326" s="367"/>
      <c r="AB326"/>
      <c r="AC326"/>
      <c r="AD326"/>
      <c r="AE326"/>
      <c r="AF326"/>
      <c r="AG326"/>
    </row>
    <row r="327" spans="17:33" ht="12.75" customHeight="1" thickBot="1">
      <c r="Q327" s="364"/>
      <c r="R327" s="692" t="s">
        <v>839</v>
      </c>
      <c r="S327" s="693"/>
      <c r="T327" s="693"/>
      <c r="U327" s="694">
        <f>IF(T325&gt;0,(VLOOKUP(V327,'Lookup Ready-reckoner'!$L$5:$M$1207,2))," ")</f>
        <v>108.5</v>
      </c>
      <c r="V327" s="695">
        <f>IF(U325&gt;0,(SUM(V325:V326))," ")</f>
        <v>22857.142857142855</v>
      </c>
      <c r="W327" s="696"/>
      <c r="X327" s="364"/>
      <c r="Y327" s="364"/>
      <c r="Z327" s="364"/>
      <c r="AA327" s="367"/>
      <c r="AB327"/>
      <c r="AC327"/>
      <c r="AD327"/>
      <c r="AE327"/>
      <c r="AF327"/>
      <c r="AG327"/>
    </row>
    <row r="328" spans="17:33" ht="12.75" customHeight="1" thickBot="1">
      <c r="Q328" s="364"/>
      <c r="R328" s="892"/>
      <c r="S328" s="893"/>
      <c r="T328" s="893"/>
      <c r="U328" s="893"/>
      <c r="V328" s="893"/>
      <c r="W328" s="894"/>
      <c r="X328" s="364"/>
      <c r="Y328" s="364"/>
      <c r="Z328" s="364"/>
      <c r="AA328" s="367"/>
      <c r="AB328"/>
      <c r="AC328"/>
      <c r="AD328"/>
      <c r="AE328"/>
      <c r="AF328"/>
      <c r="AG328"/>
    </row>
    <row r="329" spans="17:33" ht="12.75" customHeight="1">
      <c r="Q329" s="364"/>
      <c r="R329" s="895" t="s">
        <v>886</v>
      </c>
      <c r="S329" s="896"/>
      <c r="T329" s="900" t="s">
        <v>835</v>
      </c>
      <c r="U329" s="900" t="s">
        <v>836</v>
      </c>
      <c r="V329" s="900" t="s">
        <v>837</v>
      </c>
      <c r="W329" s="902" t="s">
        <v>838</v>
      </c>
      <c r="X329" s="364"/>
      <c r="Y329" s="364"/>
      <c r="Z329" s="364"/>
      <c r="AA329" s="367"/>
      <c r="AB329"/>
      <c r="AC329"/>
      <c r="AD329"/>
      <c r="AE329"/>
      <c r="AF329"/>
      <c r="AG329"/>
    </row>
    <row r="330" spans="17:33" ht="12.75" customHeight="1">
      <c r="Q330" s="364"/>
      <c r="R330" s="892"/>
      <c r="S330" s="897"/>
      <c r="T330" s="901"/>
      <c r="U330" s="901"/>
      <c r="V330" s="901"/>
      <c r="W330" s="903"/>
      <c r="X330" s="364"/>
      <c r="Y330" s="364"/>
      <c r="Z330" s="364"/>
      <c r="AA330" s="367"/>
      <c r="AB330"/>
      <c r="AC330"/>
      <c r="AD330"/>
      <c r="AE330"/>
      <c r="AF330"/>
      <c r="AG330"/>
    </row>
    <row r="331" spans="17:33" ht="12.75" customHeight="1">
      <c r="Q331" s="364"/>
      <c r="R331" s="892"/>
      <c r="S331" s="897"/>
      <c r="T331" s="689">
        <f>T325*(1-0.0178*2)</f>
        <v>111.8704</v>
      </c>
      <c r="U331" s="560">
        <f>U325</f>
        <v>1.4285714285714284</v>
      </c>
      <c r="V331" s="690">
        <f>IF(T331&gt;0,W331*U331," ")</f>
        <v>8842.8571428571413</v>
      </c>
      <c r="W331" s="691">
        <f>IF(T331&gt;0,(VLOOKUP(T331,'Lookup Ready-reckoner'!$B$5:$E$1207,4))," ")</f>
        <v>6190</v>
      </c>
      <c r="X331" s="364"/>
      <c r="Y331" s="364"/>
      <c r="Z331" s="364"/>
      <c r="AA331" s="367"/>
      <c r="AB331"/>
      <c r="AC331"/>
      <c r="AD331"/>
      <c r="AE331"/>
      <c r="AF331"/>
      <c r="AG331"/>
    </row>
    <row r="332" spans="17:33" ht="12.75" customHeight="1">
      <c r="Q332" s="364"/>
      <c r="R332" s="898"/>
      <c r="S332" s="899"/>
      <c r="T332" s="447"/>
      <c r="U332" s="560"/>
      <c r="V332" s="690" t="str">
        <f>IF(T332&gt;0,W332*U332," ")</f>
        <v xml:space="preserve"> </v>
      </c>
      <c r="W332" s="691" t="str">
        <f>IF(T332&gt;0,(VLOOKUP(T332,'Lookup Ready-reckoner'!$B$5:$E$1007,4))," ")</f>
        <v xml:space="preserve"> </v>
      </c>
      <c r="X332" s="364"/>
      <c r="Y332" s="364"/>
      <c r="Z332" s="364"/>
      <c r="AA332" s="367"/>
      <c r="AB332"/>
      <c r="AC332"/>
      <c r="AD332"/>
      <c r="AE332"/>
      <c r="AF332"/>
      <c r="AG332"/>
    </row>
    <row r="333" spans="17:33" ht="12.75" customHeight="1" thickBot="1">
      <c r="Q333" s="364"/>
      <c r="R333" s="692" t="s">
        <v>839</v>
      </c>
      <c r="S333" s="693"/>
      <c r="T333" s="693"/>
      <c r="U333" s="694">
        <f>IF(T331&gt;0,(VLOOKUP(V333,'Lookup Ready-reckoner'!$L$5:$M$1207,2))," ")</f>
        <v>104.4</v>
      </c>
      <c r="V333" s="695">
        <f>IF(U331&gt;0,(SUM(V331:V332))," ")</f>
        <v>8842.8571428571413</v>
      </c>
      <c r="W333" s="696"/>
      <c r="X333" s="364"/>
      <c r="Y333" s="364"/>
      <c r="Z333" s="364"/>
      <c r="AA333" s="367"/>
      <c r="AB333"/>
      <c r="AC333"/>
      <c r="AD333"/>
      <c r="AE333"/>
      <c r="AF333"/>
      <c r="AG333"/>
    </row>
    <row r="334" spans="17:33" ht="12.75" customHeight="1">
      <c r="Q334" s="364"/>
      <c r="R334" s="697"/>
      <c r="S334" s="687"/>
      <c r="T334" s="687"/>
      <c r="U334" s="372"/>
      <c r="V334" s="374"/>
      <c r="W334" s="688"/>
      <c r="X334" s="364"/>
      <c r="Y334" s="364"/>
      <c r="Z334" s="364"/>
      <c r="AA334" s="367"/>
      <c r="AB334"/>
      <c r="AC334"/>
      <c r="AD334"/>
      <c r="AE334"/>
      <c r="AF334"/>
      <c r="AG334"/>
    </row>
    <row r="335" spans="17:33" ht="12.75" customHeight="1" thickBot="1">
      <c r="Q335" s="364"/>
      <c r="R335" s="686" t="s">
        <v>60</v>
      </c>
      <c r="S335" s="577"/>
      <c r="T335" s="577"/>
      <c r="U335" s="577"/>
      <c r="V335" s="577"/>
      <c r="W335" s="698"/>
      <c r="X335" s="364"/>
      <c r="Y335" s="364"/>
      <c r="Z335" s="364"/>
      <c r="AA335" s="367"/>
      <c r="AB335"/>
      <c r="AC335"/>
      <c r="AD335"/>
      <c r="AE335"/>
      <c r="AF335"/>
      <c r="AG335"/>
    </row>
    <row r="336" spans="17:33" ht="12.75" customHeight="1">
      <c r="Q336" s="364"/>
      <c r="R336" s="895" t="s">
        <v>845</v>
      </c>
      <c r="S336" s="896"/>
      <c r="T336" s="900" t="s">
        <v>835</v>
      </c>
      <c r="U336" s="900" t="s">
        <v>836</v>
      </c>
      <c r="V336" s="900" t="s">
        <v>837</v>
      </c>
      <c r="W336" s="902" t="s">
        <v>838</v>
      </c>
      <c r="X336" s="364"/>
      <c r="Y336" s="364"/>
      <c r="Z336" s="364"/>
      <c r="AA336" s="367"/>
      <c r="AB336"/>
      <c r="AC336"/>
      <c r="AD336"/>
      <c r="AE336"/>
      <c r="AF336"/>
      <c r="AG336"/>
    </row>
    <row r="337" spans="17:33" ht="12.75" customHeight="1">
      <c r="Q337" s="364"/>
      <c r="R337" s="892"/>
      <c r="S337" s="897"/>
      <c r="T337" s="901"/>
      <c r="U337" s="901"/>
      <c r="V337" s="901"/>
      <c r="W337" s="903"/>
      <c r="X337" s="364"/>
      <c r="Y337" s="364"/>
      <c r="Z337" s="364"/>
      <c r="AA337" s="367"/>
      <c r="AB337"/>
      <c r="AC337"/>
      <c r="AD337"/>
      <c r="AE337"/>
      <c r="AF337"/>
      <c r="AG337"/>
    </row>
    <row r="338" spans="17:33" ht="12.75" customHeight="1">
      <c r="Q338" s="364"/>
      <c r="R338" s="892"/>
      <c r="S338" s="897"/>
      <c r="T338" s="689">
        <f>T325-PPE!$I$15</f>
        <v>103</v>
      </c>
      <c r="U338" s="560">
        <f>U331</f>
        <v>1.4285714285714284</v>
      </c>
      <c r="V338" s="690">
        <f>IF(T338&gt;0,W338*U338," ")</f>
        <v>1142.8571428571427</v>
      </c>
      <c r="W338" s="691">
        <f>IF(T338&gt;0,(VLOOKUP(T338,'Lookup Ready-reckoner'!$B$5:$E$1207,4))," ")</f>
        <v>800</v>
      </c>
      <c r="X338" s="364"/>
      <c r="Y338" s="364"/>
      <c r="Z338" s="364"/>
      <c r="AA338" s="367"/>
      <c r="AB338"/>
      <c r="AC338"/>
      <c r="AD338"/>
      <c r="AE338"/>
      <c r="AF338"/>
      <c r="AG338"/>
    </row>
    <row r="339" spans="17:33" ht="12.75" customHeight="1">
      <c r="Q339" s="364"/>
      <c r="R339" s="898"/>
      <c r="S339" s="899"/>
      <c r="T339" s="447"/>
      <c r="U339" s="560"/>
      <c r="V339" s="690" t="str">
        <f>IF(T339&gt;0,W339*U339," ")</f>
        <v xml:space="preserve"> </v>
      </c>
      <c r="W339" s="691" t="str">
        <f>IF(T339&gt;0,(VLOOKUP(T339,'Lookup Ready-reckoner'!$B$5:$E$1007,4))," ")</f>
        <v xml:space="preserve"> </v>
      </c>
      <c r="X339" s="364"/>
      <c r="Y339" s="364"/>
      <c r="Z339" s="364"/>
      <c r="AA339" s="367"/>
      <c r="AB339"/>
      <c r="AC339"/>
      <c r="AD339"/>
      <c r="AE339"/>
      <c r="AF339"/>
      <c r="AG339"/>
    </row>
    <row r="340" spans="17:33" ht="12.75" customHeight="1" thickBot="1">
      <c r="Q340" s="364"/>
      <c r="R340" s="699" t="s">
        <v>839</v>
      </c>
      <c r="S340" s="693"/>
      <c r="T340" s="693"/>
      <c r="U340" s="694">
        <f>IF(T338&gt;0,(VLOOKUP(V340,'Lookup Ready-reckoner'!$L$5:$M$1207,2))," ")</f>
        <v>95.55</v>
      </c>
      <c r="V340" s="695">
        <f>IF(U338&gt;0,(SUM(V338:V339))," ")</f>
        <v>1142.8571428571427</v>
      </c>
      <c r="W340" s="696"/>
      <c r="X340" s="364"/>
      <c r="Y340" s="364"/>
      <c r="Z340" s="364"/>
      <c r="AA340" s="367"/>
      <c r="AB340"/>
      <c r="AC340"/>
      <c r="AD340"/>
      <c r="AE340"/>
      <c r="AF340"/>
      <c r="AG340"/>
    </row>
    <row r="341" spans="17:33" ht="12.75" customHeight="1" thickBot="1">
      <c r="Q341" s="364"/>
      <c r="R341" s="892"/>
      <c r="S341" s="893"/>
      <c r="T341" s="893"/>
      <c r="U341" s="893"/>
      <c r="V341" s="893"/>
      <c r="W341" s="894"/>
      <c r="X341" s="364"/>
      <c r="Y341" s="364"/>
      <c r="Z341" s="364"/>
      <c r="AA341" s="367"/>
      <c r="AB341"/>
      <c r="AC341"/>
      <c r="AD341"/>
      <c r="AE341"/>
      <c r="AF341"/>
      <c r="AG341"/>
    </row>
    <row r="342" spans="17:33" ht="12.75" customHeight="1">
      <c r="Q342" s="364"/>
      <c r="R342" s="895" t="s">
        <v>886</v>
      </c>
      <c r="S342" s="896"/>
      <c r="T342" s="900" t="s">
        <v>835</v>
      </c>
      <c r="U342" s="900" t="s">
        <v>836</v>
      </c>
      <c r="V342" s="900" t="s">
        <v>837</v>
      </c>
      <c r="W342" s="902" t="s">
        <v>838</v>
      </c>
      <c r="X342" s="364"/>
      <c r="Y342" s="364"/>
      <c r="Z342" s="364"/>
      <c r="AA342" s="367"/>
      <c r="AB342"/>
      <c r="AC342"/>
      <c r="AD342"/>
      <c r="AE342"/>
      <c r="AF342"/>
      <c r="AG342"/>
    </row>
    <row r="343" spans="17:33" ht="12.75" customHeight="1">
      <c r="Q343" s="364"/>
      <c r="R343" s="892"/>
      <c r="S343" s="897"/>
      <c r="T343" s="901"/>
      <c r="U343" s="901"/>
      <c r="V343" s="901"/>
      <c r="W343" s="903"/>
      <c r="X343" s="364"/>
      <c r="Y343" s="364"/>
      <c r="Z343" s="364"/>
      <c r="AA343" s="367"/>
      <c r="AB343"/>
      <c r="AC343"/>
      <c r="AD343"/>
      <c r="AE343"/>
      <c r="AF343"/>
      <c r="AG343"/>
    </row>
    <row r="344" spans="17:33" ht="12.75" customHeight="1">
      <c r="Q344" s="364"/>
      <c r="R344" s="892"/>
      <c r="S344" s="897"/>
      <c r="T344" s="689">
        <f>T331-PPE!$I$15</f>
        <v>98.870400000000004</v>
      </c>
      <c r="U344" s="560">
        <f>U338</f>
        <v>1.4285714285714284</v>
      </c>
      <c r="V344" s="690">
        <f>IF(T344&gt;0,W344*U344," ")</f>
        <v>433.03571428571422</v>
      </c>
      <c r="W344" s="691">
        <f>IF(T344&gt;0,(VLOOKUP(T344,'Lookup Ready-reckoner'!$B$5:$E$1207,4))," ")</f>
        <v>303.125</v>
      </c>
      <c r="X344" s="364"/>
      <c r="Y344" s="364"/>
      <c r="Z344" s="364"/>
      <c r="AA344" s="367"/>
      <c r="AB344"/>
      <c r="AC344"/>
      <c r="AD344"/>
      <c r="AE344"/>
      <c r="AF344"/>
      <c r="AG344"/>
    </row>
    <row r="345" spans="17:33" ht="12.75" customHeight="1">
      <c r="Q345" s="364"/>
      <c r="R345" s="898"/>
      <c r="S345" s="899"/>
      <c r="T345" s="447"/>
      <c r="U345" s="560"/>
      <c r="V345" s="690" t="str">
        <f>IF(T345&gt;0,W345*U345," ")</f>
        <v xml:space="preserve"> </v>
      </c>
      <c r="W345" s="691" t="str">
        <f>IF(T345&gt;0,(VLOOKUP(T345,'Lookup Ready-reckoner'!$B$5:$E$1007,4))," ")</f>
        <v xml:space="preserve"> </v>
      </c>
      <c r="X345" s="364"/>
      <c r="Y345" s="364"/>
      <c r="Z345" s="364"/>
      <c r="AA345" s="367"/>
      <c r="AB345"/>
      <c r="AC345"/>
      <c r="AD345"/>
      <c r="AE345"/>
      <c r="AF345"/>
      <c r="AG345"/>
    </row>
    <row r="346" spans="17:33" ht="12.75" customHeight="1" thickBot="1">
      <c r="Q346" s="364"/>
      <c r="R346" s="692" t="s">
        <v>839</v>
      </c>
      <c r="S346" s="693"/>
      <c r="T346" s="693"/>
      <c r="U346" s="694">
        <f>IF(T344&gt;0,(VLOOKUP(V346,'Lookup Ready-reckoner'!$L$5:$M$1207,2))," ")</f>
        <v>91.3</v>
      </c>
      <c r="V346" s="695">
        <f>IF(U344&gt;0,(SUM(V344:V345))," ")</f>
        <v>433.03571428571422</v>
      </c>
      <c r="W346" s="696"/>
      <c r="X346" s="364"/>
      <c r="Y346" s="364"/>
      <c r="Z346" s="364"/>
      <c r="AA346" s="367"/>
      <c r="AB346"/>
      <c r="AC346"/>
      <c r="AD346"/>
      <c r="AE346"/>
      <c r="AF346"/>
      <c r="AG346"/>
    </row>
    <row r="347" spans="17:33" ht="12.75" customHeight="1">
      <c r="Q347" s="364"/>
      <c r="R347" s="363"/>
      <c r="S347" s="363"/>
      <c r="T347" s="363"/>
      <c r="U347" s="363"/>
      <c r="V347" s="363"/>
      <c r="W347" s="363"/>
      <c r="X347" s="364"/>
      <c r="Y347" s="364"/>
      <c r="Z347" s="364"/>
      <c r="AA347" s="367"/>
      <c r="AB347"/>
      <c r="AC347"/>
      <c r="AD347"/>
      <c r="AE347"/>
      <c r="AF347"/>
      <c r="AG347"/>
    </row>
    <row r="348" spans="17:33" ht="12.75" customHeight="1" thickBot="1">
      <c r="Q348" s="364"/>
      <c r="R348" s="915" t="str">
        <f>T306</f>
        <v>Seco S215 Muffled</v>
      </c>
      <c r="S348" s="915"/>
      <c r="T348" s="915"/>
      <c r="U348" s="915"/>
      <c r="V348" s="915"/>
      <c r="W348" s="915"/>
      <c r="X348" s="364"/>
      <c r="Y348" s="363"/>
      <c r="Z348" s="363"/>
      <c r="AA348" s="367"/>
      <c r="AB348"/>
      <c r="AC348"/>
      <c r="AD348"/>
      <c r="AE348"/>
      <c r="AF348"/>
      <c r="AG348"/>
    </row>
    <row r="349" spans="17:33" ht="12.75" customHeight="1" thickBot="1">
      <c r="Q349" s="364"/>
      <c r="R349" s="906" t="s">
        <v>205</v>
      </c>
      <c r="S349" s="907"/>
      <c r="T349" s="907"/>
      <c r="U349" s="907"/>
      <c r="V349" s="907"/>
      <c r="W349" s="908"/>
      <c r="X349" s="364"/>
      <c r="Y349" s="363"/>
      <c r="Z349" s="363"/>
      <c r="AA349" s="367"/>
      <c r="AB349"/>
      <c r="AC349"/>
      <c r="AD349"/>
      <c r="AE349"/>
      <c r="AF349"/>
      <c r="AG349"/>
    </row>
    <row r="350" spans="17:33" ht="12.75" customHeight="1" thickBot="1">
      <c r="Q350" s="364"/>
      <c r="R350" s="686" t="s">
        <v>59</v>
      </c>
      <c r="S350" s="577"/>
      <c r="T350" s="687"/>
      <c r="U350" s="687"/>
      <c r="V350" s="687"/>
      <c r="W350" s="688"/>
      <c r="X350" s="364"/>
      <c r="Y350" s="363"/>
      <c r="Z350" s="363"/>
      <c r="AA350" s="367"/>
      <c r="AB350"/>
      <c r="AC350"/>
      <c r="AD350"/>
      <c r="AE350"/>
      <c r="AF350"/>
      <c r="AG350"/>
    </row>
    <row r="351" spans="17:33" ht="12.75" customHeight="1">
      <c r="Q351" s="364"/>
      <c r="R351" s="895" t="s">
        <v>845</v>
      </c>
      <c r="S351" s="896"/>
      <c r="T351" s="900" t="s">
        <v>835</v>
      </c>
      <c r="U351" s="900" t="s">
        <v>836</v>
      </c>
      <c r="V351" s="900" t="s">
        <v>837</v>
      </c>
      <c r="W351" s="902" t="s">
        <v>838</v>
      </c>
      <c r="X351" s="364"/>
      <c r="Y351" s="363"/>
      <c r="Z351" s="363"/>
      <c r="AA351" s="367"/>
      <c r="AB351"/>
      <c r="AC351"/>
      <c r="AD351"/>
      <c r="AE351"/>
      <c r="AF351"/>
      <c r="AG351"/>
    </row>
    <row r="352" spans="17:33" ht="12.75" customHeight="1">
      <c r="Q352" s="364"/>
      <c r="R352" s="892"/>
      <c r="S352" s="897"/>
      <c r="T352" s="904"/>
      <c r="U352" s="904"/>
      <c r="V352" s="904"/>
      <c r="W352" s="905"/>
      <c r="X352" s="364"/>
      <c r="Y352" s="363"/>
      <c r="Z352" s="363"/>
      <c r="AA352" s="367"/>
      <c r="AB352"/>
      <c r="AC352"/>
      <c r="AD352"/>
      <c r="AE352"/>
      <c r="AF352"/>
      <c r="AG352"/>
    </row>
    <row r="353" spans="17:33" ht="12.75" customHeight="1">
      <c r="Q353" s="364"/>
      <c r="R353" s="892"/>
      <c r="S353" s="897"/>
      <c r="T353" s="901"/>
      <c r="U353" s="901"/>
      <c r="V353" s="901"/>
      <c r="W353" s="903"/>
      <c r="X353" s="364"/>
      <c r="Y353" s="363"/>
      <c r="Z353" s="363"/>
      <c r="AA353" s="367"/>
      <c r="AB353"/>
      <c r="AC353"/>
      <c r="AD353"/>
      <c r="AE353"/>
      <c r="AF353"/>
      <c r="AG353"/>
    </row>
    <row r="354" spans="17:33" ht="12.75" customHeight="1">
      <c r="Q354" s="364"/>
      <c r="R354" s="892"/>
      <c r="S354" s="897"/>
      <c r="T354" s="700">
        <f>V69</f>
        <v>108</v>
      </c>
      <c r="U354" s="560">
        <f>V62</f>
        <v>1.9999999999999996</v>
      </c>
      <c r="V354" s="690">
        <f>IF(T354&gt;0,W354*U354," ")</f>
        <v>4999.9999999999991</v>
      </c>
      <c r="W354" s="691">
        <f>IF(T354&gt;0,(VLOOKUP(T354,'Lookup Ready-reckoner'!$B$5:$E$1207,4))," ")</f>
        <v>2500</v>
      </c>
      <c r="X354" s="364"/>
      <c r="Y354" s="363"/>
      <c r="Z354" s="363"/>
      <c r="AA354" s="367"/>
      <c r="AB354"/>
      <c r="AC354"/>
      <c r="AD354"/>
      <c r="AE354"/>
      <c r="AF354"/>
      <c r="AG354"/>
    </row>
    <row r="355" spans="17:33" ht="12.75" customHeight="1">
      <c r="Q355" s="364"/>
      <c r="R355" s="898"/>
      <c r="S355" s="899"/>
      <c r="T355" s="447"/>
      <c r="U355" s="560"/>
      <c r="V355" s="690" t="str">
        <f>IF(T355&gt;0,W355*U355," ")</f>
        <v xml:space="preserve"> </v>
      </c>
      <c r="W355" s="691" t="str">
        <f>IF(T355&gt;0,(VLOOKUP(T355,'Lookup Ready-reckoner'!$B$5:$E$1007,4))," ")</f>
        <v xml:space="preserve"> </v>
      </c>
      <c r="X355" s="364"/>
      <c r="Y355" s="363"/>
      <c r="Z355" s="363"/>
      <c r="AA355" s="367"/>
      <c r="AB355"/>
      <c r="AC355"/>
      <c r="AD355"/>
      <c r="AE355"/>
      <c r="AF355"/>
      <c r="AG355"/>
    </row>
    <row r="356" spans="17:33" ht="12.75" customHeight="1" thickBot="1">
      <c r="Q356" s="364"/>
      <c r="R356" s="699" t="s">
        <v>839</v>
      </c>
      <c r="S356" s="693"/>
      <c r="T356" s="693"/>
      <c r="U356" s="701">
        <f>IF(T354&gt;0,(VLOOKUP(V356,'Lookup Ready-reckoner'!$L$5:$M$1207,2))," ")</f>
        <v>101.95</v>
      </c>
      <c r="V356" s="695">
        <f>IF(U354&gt;0,(SUM(V354:V355))," ")</f>
        <v>4999.9999999999991</v>
      </c>
      <c r="W356" s="696"/>
      <c r="X356" s="364"/>
      <c r="Y356" s="363"/>
      <c r="Z356" s="363"/>
      <c r="AA356" s="367"/>
      <c r="AB356"/>
      <c r="AC356"/>
      <c r="AD356"/>
      <c r="AE356"/>
      <c r="AF356"/>
      <c r="AG356"/>
    </row>
    <row r="357" spans="17:33" ht="12.75" customHeight="1" thickBot="1">
      <c r="Q357" s="364"/>
      <c r="R357" s="892"/>
      <c r="S357" s="893"/>
      <c r="T357" s="893"/>
      <c r="U357" s="893"/>
      <c r="V357" s="893"/>
      <c r="W357" s="894"/>
      <c r="X357" s="364"/>
      <c r="Y357" s="363"/>
      <c r="Z357" s="363"/>
      <c r="AA357" s="367"/>
      <c r="AB357"/>
      <c r="AC357"/>
      <c r="AD357"/>
      <c r="AE357"/>
      <c r="AF357"/>
      <c r="AG357"/>
    </row>
    <row r="358" spans="17:33" ht="12.75" customHeight="1">
      <c r="Q358" s="364"/>
      <c r="R358" s="895" t="s">
        <v>886</v>
      </c>
      <c r="S358" s="896"/>
      <c r="T358" s="900" t="s">
        <v>835</v>
      </c>
      <c r="U358" s="900" t="s">
        <v>836</v>
      </c>
      <c r="V358" s="900" t="s">
        <v>837</v>
      </c>
      <c r="W358" s="902" t="s">
        <v>838</v>
      </c>
      <c r="X358" s="364"/>
      <c r="Y358" s="363"/>
      <c r="Z358" s="363"/>
      <c r="AA358" s="367"/>
      <c r="AB358"/>
      <c r="AC358"/>
      <c r="AD358"/>
      <c r="AE358"/>
      <c r="AF358"/>
      <c r="AG358"/>
    </row>
    <row r="359" spans="17:33" ht="12.75" customHeight="1">
      <c r="Q359" s="364"/>
      <c r="R359" s="892"/>
      <c r="S359" s="897"/>
      <c r="T359" s="901"/>
      <c r="U359" s="901"/>
      <c r="V359" s="901"/>
      <c r="W359" s="903"/>
      <c r="X359" s="364"/>
      <c r="Y359" s="363"/>
      <c r="Z359" s="363"/>
      <c r="AA359" s="367"/>
      <c r="AB359"/>
      <c r="AC359"/>
      <c r="AD359"/>
      <c r="AE359"/>
      <c r="AF359"/>
      <c r="AG359"/>
    </row>
    <row r="360" spans="17:33" ht="12.75" customHeight="1">
      <c r="Q360" s="364"/>
      <c r="R360" s="892"/>
      <c r="S360" s="897"/>
      <c r="T360" s="700">
        <f>T354*(1-0.0178*2)</f>
        <v>104.15520000000001</v>
      </c>
      <c r="U360" s="560">
        <f>U354</f>
        <v>1.9999999999999996</v>
      </c>
      <c r="V360" s="690">
        <f>IF(T360&gt;0,W360*U360," ")</f>
        <v>2074.9999999999995</v>
      </c>
      <c r="W360" s="691">
        <f>IF(T360&gt;0,(VLOOKUP(T360,'Lookup Ready-reckoner'!$B$5:$E$1207,4))," ")</f>
        <v>1037.5</v>
      </c>
      <c r="X360" s="364"/>
      <c r="Y360" s="363"/>
      <c r="Z360" s="363"/>
      <c r="AA360" s="367"/>
      <c r="AB360"/>
      <c r="AC360"/>
      <c r="AD360"/>
      <c r="AE360"/>
      <c r="AF360"/>
      <c r="AG360"/>
    </row>
    <row r="361" spans="17:33" ht="12.75" customHeight="1">
      <c r="Q361" s="364"/>
      <c r="R361" s="898"/>
      <c r="S361" s="899"/>
      <c r="T361" s="447"/>
      <c r="U361" s="560"/>
      <c r="V361" s="690" t="str">
        <f>IF(T361&gt;0,W361*U361," ")</f>
        <v xml:space="preserve"> </v>
      </c>
      <c r="W361" s="691" t="str">
        <f>IF(T361&gt;0,(VLOOKUP(T361,'Lookup Ready-reckoner'!$B$5:$E$1007,4))," ")</f>
        <v xml:space="preserve"> </v>
      </c>
      <c r="X361" s="364"/>
      <c r="Y361" s="363"/>
      <c r="Z361" s="363"/>
      <c r="AA361" s="367"/>
      <c r="AB361"/>
      <c r="AC361"/>
      <c r="AD361"/>
      <c r="AE361"/>
      <c r="AF361"/>
      <c r="AG361"/>
    </row>
    <row r="362" spans="17:33" ht="12.75" customHeight="1" thickBot="1">
      <c r="Q362" s="364"/>
      <c r="R362" s="692" t="s">
        <v>839</v>
      </c>
      <c r="S362" s="693"/>
      <c r="T362" s="693"/>
      <c r="U362" s="701">
        <f>IF(T360&gt;0,(VLOOKUP(V362,'Lookup Ready-reckoner'!$L$5:$M$1207,2))," ")</f>
        <v>98.1</v>
      </c>
      <c r="V362" s="695">
        <f>IF(U360&gt;0,(SUM(V360:V361))," ")</f>
        <v>2074.9999999999995</v>
      </c>
      <c r="W362" s="696"/>
      <c r="X362" s="364"/>
      <c r="Y362" s="363"/>
      <c r="Z362" s="363"/>
      <c r="AA362" s="367"/>
      <c r="AB362"/>
      <c r="AC362"/>
      <c r="AD362"/>
      <c r="AE362"/>
      <c r="AF362"/>
      <c r="AG362"/>
    </row>
    <row r="363" spans="17:33" ht="12.75" customHeight="1">
      <c r="Q363" s="364"/>
      <c r="R363" s="697"/>
      <c r="S363" s="687"/>
      <c r="T363" s="687"/>
      <c r="U363" s="372"/>
      <c r="V363" s="374"/>
      <c r="W363" s="688"/>
      <c r="X363" s="364"/>
      <c r="Y363" s="363"/>
      <c r="Z363" s="363"/>
      <c r="AA363" s="367"/>
      <c r="AB363"/>
      <c r="AC363"/>
      <c r="AD363"/>
      <c r="AE363"/>
      <c r="AF363"/>
      <c r="AG363"/>
    </row>
    <row r="364" spans="17:33" ht="12.75" customHeight="1" thickBot="1">
      <c r="Q364" s="364"/>
      <c r="R364" s="686" t="s">
        <v>60</v>
      </c>
      <c r="S364" s="577"/>
      <c r="T364" s="577"/>
      <c r="U364" s="577"/>
      <c r="V364" s="577"/>
      <c r="W364" s="698"/>
      <c r="X364" s="364"/>
      <c r="Y364" s="363"/>
      <c r="Z364" s="363"/>
      <c r="AA364" s="367"/>
      <c r="AB364"/>
      <c r="AC364"/>
      <c r="AD364"/>
      <c r="AE364"/>
      <c r="AF364"/>
      <c r="AG364"/>
    </row>
    <row r="365" spans="17:33" ht="12.75" customHeight="1">
      <c r="Q365" s="364"/>
      <c r="R365" s="895" t="s">
        <v>845</v>
      </c>
      <c r="S365" s="896"/>
      <c r="T365" s="900" t="s">
        <v>835</v>
      </c>
      <c r="U365" s="900" t="s">
        <v>836</v>
      </c>
      <c r="V365" s="900" t="s">
        <v>837</v>
      </c>
      <c r="W365" s="902" t="s">
        <v>838</v>
      </c>
      <c r="X365" s="364"/>
      <c r="Y365" s="363"/>
      <c r="Z365" s="363"/>
      <c r="AA365" s="367"/>
      <c r="AB365"/>
      <c r="AC365"/>
      <c r="AD365"/>
      <c r="AE365"/>
      <c r="AF365"/>
      <c r="AG365"/>
    </row>
    <row r="366" spans="17:33" ht="12.75" customHeight="1">
      <c r="Q366" s="364"/>
      <c r="R366" s="892"/>
      <c r="S366" s="897"/>
      <c r="T366" s="901"/>
      <c r="U366" s="901"/>
      <c r="V366" s="901"/>
      <c r="W366" s="903"/>
      <c r="X366" s="364"/>
      <c r="Y366" s="363"/>
      <c r="Z366" s="363"/>
      <c r="AA366" s="367"/>
      <c r="AB366"/>
      <c r="AC366"/>
      <c r="AD366"/>
      <c r="AE366"/>
      <c r="AF366"/>
      <c r="AG366"/>
    </row>
    <row r="367" spans="17:33" ht="12.75" customHeight="1">
      <c r="Q367" s="364"/>
      <c r="R367" s="892"/>
      <c r="S367" s="897"/>
      <c r="T367" s="700">
        <f>T354-PPE!$I$15</f>
        <v>95</v>
      </c>
      <c r="U367" s="560">
        <f>U360</f>
        <v>1.9999999999999996</v>
      </c>
      <c r="V367" s="690">
        <f>IF(T367&gt;0,W367*U367," ")</f>
        <v>249.99999999999994</v>
      </c>
      <c r="W367" s="691">
        <f>IF(T367&gt;0,(VLOOKUP(T367,'Lookup Ready-reckoner'!$B$5:$E$1207,4))," ")</f>
        <v>125</v>
      </c>
      <c r="X367" s="364"/>
      <c r="Y367" s="363"/>
      <c r="Z367" s="363"/>
      <c r="AA367" s="367"/>
      <c r="AB367"/>
      <c r="AC367"/>
      <c r="AD367"/>
      <c r="AE367"/>
      <c r="AF367"/>
      <c r="AG367"/>
    </row>
    <row r="368" spans="17:33" ht="12.75" customHeight="1">
      <c r="Q368" s="364"/>
      <c r="R368" s="898"/>
      <c r="S368" s="899"/>
      <c r="T368" s="447"/>
      <c r="U368" s="560"/>
      <c r="V368" s="690" t="str">
        <f>IF(T368&gt;0,W368*U368," ")</f>
        <v xml:space="preserve"> </v>
      </c>
      <c r="W368" s="691" t="str">
        <f>IF(T368&gt;0,(VLOOKUP(T368,'Lookup Ready-reckoner'!$B$5:$E$1007,4))," ")</f>
        <v xml:space="preserve"> </v>
      </c>
      <c r="X368" s="364"/>
      <c r="Y368" s="363"/>
      <c r="Z368" s="363"/>
      <c r="AA368" s="367"/>
      <c r="AB368"/>
      <c r="AC368"/>
      <c r="AD368"/>
      <c r="AE368"/>
      <c r="AF368"/>
      <c r="AG368"/>
    </row>
    <row r="369" spans="17:33" ht="12.75" customHeight="1" thickBot="1">
      <c r="Q369" s="364"/>
      <c r="R369" s="692" t="s">
        <v>839</v>
      </c>
      <c r="S369" s="693"/>
      <c r="T369" s="693"/>
      <c r="U369" s="701">
        <f>IF(T367&gt;0,(VLOOKUP(V369,'Lookup Ready-reckoner'!$L$5:$M$1207,2))," ")</f>
        <v>88.95</v>
      </c>
      <c r="V369" s="695">
        <f>IF(U367&gt;0,(SUM(V367:V368))," ")</f>
        <v>249.99999999999994</v>
      </c>
      <c r="W369" s="696"/>
      <c r="X369" s="364"/>
      <c r="Y369" s="363"/>
      <c r="Z369" s="363"/>
      <c r="AA369" s="367"/>
      <c r="AB369"/>
      <c r="AC369"/>
      <c r="AD369"/>
      <c r="AE369"/>
      <c r="AF369"/>
      <c r="AG369"/>
    </row>
    <row r="370" spans="17:33" ht="12.75" customHeight="1" thickBot="1">
      <c r="Q370" s="364"/>
      <c r="R370" s="892"/>
      <c r="S370" s="893"/>
      <c r="T370" s="893"/>
      <c r="U370" s="893"/>
      <c r="V370" s="893"/>
      <c r="W370" s="894"/>
      <c r="X370" s="364"/>
      <c r="Y370" s="363"/>
      <c r="Z370" s="363"/>
      <c r="AA370" s="367"/>
      <c r="AB370"/>
      <c r="AC370"/>
      <c r="AD370"/>
      <c r="AE370"/>
      <c r="AF370"/>
      <c r="AG370"/>
    </row>
    <row r="371" spans="17:33" ht="12.75" customHeight="1">
      <c r="Q371" s="364"/>
      <c r="R371" s="895" t="s">
        <v>886</v>
      </c>
      <c r="S371" s="896"/>
      <c r="T371" s="900" t="s">
        <v>835</v>
      </c>
      <c r="U371" s="900" t="s">
        <v>836</v>
      </c>
      <c r="V371" s="900" t="s">
        <v>837</v>
      </c>
      <c r="W371" s="902" t="s">
        <v>838</v>
      </c>
      <c r="X371" s="364"/>
      <c r="Y371" s="363"/>
      <c r="Z371" s="363"/>
      <c r="AA371" s="367"/>
      <c r="AB371"/>
      <c r="AC371"/>
      <c r="AD371"/>
      <c r="AE371"/>
      <c r="AF371"/>
      <c r="AG371"/>
    </row>
    <row r="372" spans="17:33" ht="12.75" customHeight="1">
      <c r="Q372" s="364"/>
      <c r="R372" s="892"/>
      <c r="S372" s="897"/>
      <c r="T372" s="901"/>
      <c r="U372" s="901"/>
      <c r="V372" s="901"/>
      <c r="W372" s="903"/>
      <c r="X372" s="364"/>
      <c r="Y372" s="363"/>
      <c r="Z372" s="363"/>
      <c r="AA372" s="367"/>
      <c r="AB372"/>
      <c r="AC372"/>
      <c r="AD372"/>
      <c r="AE372"/>
      <c r="AF372"/>
      <c r="AG372"/>
    </row>
    <row r="373" spans="17:33" ht="12.75" customHeight="1">
      <c r="Q373" s="364"/>
      <c r="R373" s="892"/>
      <c r="S373" s="897"/>
      <c r="T373" s="700">
        <f>T360-PPE!$I$15</f>
        <v>91.155200000000008</v>
      </c>
      <c r="U373" s="560">
        <f>U367</f>
        <v>1.9999999999999996</v>
      </c>
      <c r="V373" s="690">
        <f>IF(T373&gt;0,W373*U373," ")</f>
        <v>103.74999999999997</v>
      </c>
      <c r="W373" s="691">
        <f>IF(T373&gt;0,(VLOOKUP(T373,'Lookup Ready-reckoner'!$B$5:$E$1207,4))," ")</f>
        <v>51.875</v>
      </c>
      <c r="X373" s="364"/>
      <c r="Y373" s="363"/>
      <c r="Z373" s="363"/>
      <c r="AA373" s="367"/>
      <c r="AB373"/>
      <c r="AC373"/>
      <c r="AD373"/>
      <c r="AE373"/>
      <c r="AF373"/>
      <c r="AG373"/>
    </row>
    <row r="374" spans="17:33" ht="12.75" customHeight="1">
      <c r="Q374" s="364"/>
      <c r="R374" s="898"/>
      <c r="S374" s="899"/>
      <c r="T374" s="447"/>
      <c r="U374" s="560"/>
      <c r="V374" s="690" t="str">
        <f>IF(T374&gt;0,W374*U374," ")</f>
        <v xml:space="preserve"> </v>
      </c>
      <c r="W374" s="691" t="str">
        <f>IF(T374&gt;0,(VLOOKUP(T374,'Lookup Ready-reckoner'!$B$5:$E$1007,4))," ")</f>
        <v xml:space="preserve"> </v>
      </c>
      <c r="X374" s="364"/>
      <c r="Y374" s="363"/>
      <c r="Z374" s="363"/>
      <c r="AA374" s="367"/>
      <c r="AB374"/>
      <c r="AC374"/>
      <c r="AD374"/>
      <c r="AE374"/>
      <c r="AF374"/>
      <c r="AG374"/>
    </row>
    <row r="375" spans="17:33" ht="12.75" customHeight="1" thickBot="1">
      <c r="Q375" s="364"/>
      <c r="R375" s="692" t="s">
        <v>839</v>
      </c>
      <c r="S375" s="693"/>
      <c r="T375" s="693"/>
      <c r="U375" s="701">
        <f>IF(T373&gt;0,(VLOOKUP(V375,'Lookup Ready-reckoner'!$L$5:$M$1207,2))," ")</f>
        <v>85.1</v>
      </c>
      <c r="V375" s="695">
        <f>IF(U373&gt;0,(SUM(V373:V374))," ")</f>
        <v>103.74999999999997</v>
      </c>
      <c r="W375" s="696"/>
      <c r="X375" s="364"/>
      <c r="Y375" s="363"/>
      <c r="Z375" s="363"/>
      <c r="AA375" s="367"/>
      <c r="AB375"/>
      <c r="AC375"/>
      <c r="AD375"/>
      <c r="AE375"/>
      <c r="AF375"/>
      <c r="AG375"/>
    </row>
    <row r="376" spans="17:33" ht="12.75" customHeight="1">
      <c r="Q376" s="364"/>
      <c r="R376" s="363"/>
      <c r="S376" s="363"/>
      <c r="T376" s="363"/>
      <c r="U376" s="363"/>
      <c r="V376" s="363"/>
      <c r="W376" s="363"/>
      <c r="X376" s="364"/>
      <c r="Y376" s="364"/>
      <c r="Z376" s="364"/>
      <c r="AA376" s="367"/>
      <c r="AB376"/>
      <c r="AC376"/>
      <c r="AD376"/>
      <c r="AE376"/>
      <c r="AF376"/>
      <c r="AG376"/>
    </row>
    <row r="377" spans="17:33" ht="12.75" customHeight="1">
      <c r="Q377" s="364"/>
      <c r="R377" s="913" t="str">
        <f>U306</f>
        <v>Sulzer ADDS</v>
      </c>
      <c r="S377" s="914"/>
      <c r="T377" s="914"/>
      <c r="U377" s="914"/>
      <c r="V377" s="914"/>
      <c r="W377" s="914"/>
      <c r="X377" s="364"/>
      <c r="Y377" s="363"/>
      <c r="Z377" s="363"/>
      <c r="AA377" s="367"/>
      <c r="AB377"/>
      <c r="AC377"/>
      <c r="AD377"/>
      <c r="AE377"/>
      <c r="AF377"/>
      <c r="AG377"/>
    </row>
    <row r="378" spans="17:33" ht="12.75" customHeight="1" thickBot="1">
      <c r="Q378" s="364"/>
      <c r="R378" s="910" t="s">
        <v>205</v>
      </c>
      <c r="S378" s="911"/>
      <c r="T378" s="911"/>
      <c r="U378" s="911"/>
      <c r="V378" s="911"/>
      <c r="W378" s="912"/>
      <c r="X378" s="364"/>
      <c r="Y378" s="363"/>
      <c r="Z378" s="363"/>
      <c r="AA378" s="367"/>
      <c r="AB378"/>
      <c r="AC378"/>
      <c r="AD378"/>
      <c r="AE378"/>
      <c r="AF378"/>
      <c r="AG378"/>
    </row>
    <row r="379" spans="17:33" ht="12.75" customHeight="1" thickBot="1">
      <c r="Q379" s="364"/>
      <c r="R379" s="686" t="s">
        <v>59</v>
      </c>
      <c r="S379" s="577"/>
      <c r="T379" s="687"/>
      <c r="U379" s="687"/>
      <c r="V379" s="687"/>
      <c r="W379" s="688"/>
      <c r="X379" s="364"/>
      <c r="Y379" s="363"/>
      <c r="Z379" s="363"/>
      <c r="AA379" s="367"/>
      <c r="AB379"/>
      <c r="AC379"/>
      <c r="AD379"/>
      <c r="AE379"/>
      <c r="AF379"/>
      <c r="AG379"/>
    </row>
    <row r="380" spans="17:33" ht="12.75" customHeight="1">
      <c r="Q380" s="364"/>
      <c r="R380" s="895" t="s">
        <v>845</v>
      </c>
      <c r="S380" s="896"/>
      <c r="T380" s="900" t="s">
        <v>835</v>
      </c>
      <c r="U380" s="900" t="s">
        <v>836</v>
      </c>
      <c r="V380" s="900" t="s">
        <v>837</v>
      </c>
      <c r="W380" s="902" t="s">
        <v>838</v>
      </c>
      <c r="X380" s="364"/>
      <c r="Y380" s="363"/>
      <c r="Z380" s="363"/>
      <c r="AA380" s="367"/>
      <c r="AB380"/>
      <c r="AC380"/>
      <c r="AD380"/>
      <c r="AE380"/>
      <c r="AF380"/>
      <c r="AG380"/>
    </row>
    <row r="381" spans="17:33" ht="12.75" customHeight="1">
      <c r="Q381" s="364"/>
      <c r="R381" s="892"/>
      <c r="S381" s="897"/>
      <c r="T381" s="904"/>
      <c r="U381" s="904"/>
      <c r="V381" s="904"/>
      <c r="W381" s="905"/>
      <c r="X381" s="364"/>
      <c r="Y381" s="363"/>
      <c r="Z381" s="363"/>
      <c r="AA381" s="367"/>
      <c r="AB381"/>
      <c r="AC381"/>
      <c r="AD381"/>
      <c r="AE381"/>
      <c r="AF381"/>
      <c r="AG381"/>
    </row>
    <row r="382" spans="17:33" ht="12.75" customHeight="1">
      <c r="Q382" s="364"/>
      <c r="R382" s="892"/>
      <c r="S382" s="897"/>
      <c r="T382" s="901"/>
      <c r="U382" s="901"/>
      <c r="V382" s="901"/>
      <c r="W382" s="903"/>
      <c r="X382" s="364"/>
      <c r="Y382" s="363"/>
      <c r="Z382" s="363"/>
      <c r="AA382" s="367"/>
      <c r="AB382"/>
      <c r="AC382"/>
      <c r="AD382"/>
      <c r="AE382"/>
      <c r="AF382"/>
      <c r="AG382"/>
    </row>
    <row r="383" spans="17:33" ht="12.75" customHeight="1">
      <c r="Q383" s="364"/>
      <c r="R383" s="892"/>
      <c r="S383" s="897"/>
      <c r="T383" s="702">
        <f>W69</f>
        <v>109</v>
      </c>
      <c r="U383" s="560">
        <f>W62</f>
        <v>1.7391304347826084</v>
      </c>
      <c r="V383" s="690">
        <f>IF(T383&gt;0,W383*U383," ")</f>
        <v>5565.2173913043471</v>
      </c>
      <c r="W383" s="691">
        <f>IF(T383&gt;0,(VLOOKUP(T383,'Lookup Ready-reckoner'!$B$5:$E$1207,4))," ")</f>
        <v>3200</v>
      </c>
      <c r="X383" s="364"/>
      <c r="Y383" s="363"/>
      <c r="Z383" s="363"/>
      <c r="AA383" s="367"/>
      <c r="AB383"/>
      <c r="AC383"/>
      <c r="AD383"/>
      <c r="AE383"/>
      <c r="AF383"/>
      <c r="AG383"/>
    </row>
    <row r="384" spans="17:33" ht="12.75" customHeight="1">
      <c r="Q384" s="364"/>
      <c r="R384" s="898"/>
      <c r="S384" s="899"/>
      <c r="T384" s="447"/>
      <c r="U384" s="560"/>
      <c r="V384" s="690" t="str">
        <f>IF(T384&gt;0,W384*U384," ")</f>
        <v xml:space="preserve"> </v>
      </c>
      <c r="W384" s="691" t="str">
        <f>IF(T384&gt;0,(VLOOKUP(T384,'Lookup Ready-reckoner'!$B$5:$E$1007,4))," ")</f>
        <v xml:space="preserve"> </v>
      </c>
      <c r="X384" s="364"/>
      <c r="Y384" s="363"/>
      <c r="Z384" s="363"/>
      <c r="AA384" s="367"/>
      <c r="AB384"/>
      <c r="AC384"/>
      <c r="AD384"/>
      <c r="AE384"/>
      <c r="AF384"/>
      <c r="AG384"/>
    </row>
    <row r="385" spans="17:33" ht="12.75" customHeight="1" thickBot="1">
      <c r="Q385" s="364"/>
      <c r="R385" s="692" t="s">
        <v>839</v>
      </c>
      <c r="S385" s="693"/>
      <c r="T385" s="693"/>
      <c r="U385" s="703">
        <f>IF(T383&gt;0,(VLOOKUP(V385,'Lookup Ready-reckoner'!$L$5:$M$1207,2))," ")</f>
        <v>102.4</v>
      </c>
      <c r="V385" s="695">
        <f>IF(U383&gt;0,(SUM(V383:V384))," ")</f>
        <v>5565.2173913043471</v>
      </c>
      <c r="W385" s="696"/>
      <c r="X385" s="364"/>
      <c r="Y385" s="363"/>
      <c r="Z385" s="363"/>
      <c r="AA385" s="367"/>
      <c r="AB385"/>
      <c r="AC385"/>
      <c r="AD385"/>
      <c r="AE385"/>
      <c r="AF385"/>
      <c r="AG385"/>
    </row>
    <row r="386" spans="17:33" ht="12.75" customHeight="1" thickBot="1">
      <c r="Q386" s="364"/>
      <c r="R386" s="892"/>
      <c r="S386" s="893"/>
      <c r="T386" s="893"/>
      <c r="U386" s="893"/>
      <c r="V386" s="893"/>
      <c r="W386" s="894"/>
      <c r="X386" s="364"/>
      <c r="Y386" s="363"/>
      <c r="Z386" s="363"/>
      <c r="AA386" s="367"/>
      <c r="AB386"/>
      <c r="AC386"/>
      <c r="AD386"/>
      <c r="AE386"/>
      <c r="AF386"/>
      <c r="AG386"/>
    </row>
    <row r="387" spans="17:33" ht="12.75" customHeight="1">
      <c r="Q387" s="364"/>
      <c r="R387" s="895" t="s">
        <v>886</v>
      </c>
      <c r="S387" s="896"/>
      <c r="T387" s="900" t="s">
        <v>835</v>
      </c>
      <c r="U387" s="900" t="s">
        <v>836</v>
      </c>
      <c r="V387" s="900" t="s">
        <v>837</v>
      </c>
      <c r="W387" s="902" t="s">
        <v>838</v>
      </c>
      <c r="X387" s="364"/>
      <c r="Y387" s="363"/>
      <c r="Z387" s="363"/>
      <c r="AA387" s="367"/>
      <c r="AB387"/>
      <c r="AC387"/>
      <c r="AD387"/>
      <c r="AE387"/>
      <c r="AF387"/>
      <c r="AG387"/>
    </row>
    <row r="388" spans="17:33" ht="12.75" customHeight="1">
      <c r="Q388" s="364"/>
      <c r="R388" s="892"/>
      <c r="S388" s="897"/>
      <c r="T388" s="901"/>
      <c r="U388" s="901"/>
      <c r="V388" s="901"/>
      <c r="W388" s="903"/>
      <c r="X388" s="364"/>
      <c r="Y388" s="363"/>
      <c r="Z388" s="363"/>
      <c r="AA388" s="367"/>
      <c r="AB388"/>
      <c r="AC388"/>
      <c r="AD388"/>
      <c r="AE388"/>
      <c r="AF388"/>
      <c r="AG388"/>
    </row>
    <row r="389" spans="17:33" ht="12.75" customHeight="1">
      <c r="Q389" s="364"/>
      <c r="R389" s="892"/>
      <c r="S389" s="897"/>
      <c r="T389" s="702">
        <f>T383*(1-0.0178*2)</f>
        <v>105.11960000000001</v>
      </c>
      <c r="U389" s="560">
        <f>U383</f>
        <v>1.7391304347826084</v>
      </c>
      <c r="V389" s="690">
        <f>IF(T389&gt;0,W389*U389," ")</f>
        <v>2234.782608695652</v>
      </c>
      <c r="W389" s="691">
        <f>IF(T389&gt;0,(VLOOKUP(T389,'Lookup Ready-reckoner'!$B$5:$E$1207,4))," ")</f>
        <v>1285</v>
      </c>
      <c r="X389" s="364"/>
      <c r="Y389" s="363"/>
      <c r="Z389" s="363"/>
      <c r="AA389" s="367"/>
      <c r="AB389"/>
      <c r="AC389"/>
      <c r="AD389"/>
      <c r="AE389"/>
      <c r="AF389"/>
      <c r="AG389"/>
    </row>
    <row r="390" spans="17:33" ht="12.75" customHeight="1">
      <c r="Q390" s="364"/>
      <c r="R390" s="898"/>
      <c r="S390" s="899"/>
      <c r="T390" s="447"/>
      <c r="U390" s="560"/>
      <c r="V390" s="690" t="str">
        <f>IF(T390&gt;0,W390*U390," ")</f>
        <v xml:space="preserve"> </v>
      </c>
      <c r="W390" s="691" t="str">
        <f>IF(T390&gt;0,(VLOOKUP(T390,'Lookup Ready-reckoner'!$B$5:$E$1007,4))," ")</f>
        <v xml:space="preserve"> </v>
      </c>
      <c r="X390" s="364"/>
      <c r="Y390" s="363"/>
      <c r="Z390" s="363"/>
      <c r="AA390" s="367"/>
      <c r="AB390"/>
      <c r="AC390"/>
      <c r="AD390"/>
      <c r="AE390"/>
      <c r="AF390"/>
      <c r="AG390"/>
    </row>
    <row r="391" spans="17:33" ht="12.75" customHeight="1" thickBot="1">
      <c r="Q391" s="364"/>
      <c r="R391" s="692" t="s">
        <v>839</v>
      </c>
      <c r="S391" s="693"/>
      <c r="T391" s="693"/>
      <c r="U391" s="703">
        <f>IF(T389&gt;0,(VLOOKUP(V391,'Lookup Ready-reckoner'!$L$5:$M$1207,2))," ")</f>
        <v>98.45</v>
      </c>
      <c r="V391" s="695">
        <f>IF(U389&gt;0,(SUM(V389:V390))," ")</f>
        <v>2234.782608695652</v>
      </c>
      <c r="W391" s="696"/>
      <c r="X391" s="364"/>
      <c r="Y391" s="363"/>
      <c r="Z391" s="363"/>
      <c r="AA391" s="367"/>
      <c r="AB391"/>
      <c r="AC391"/>
      <c r="AD391"/>
      <c r="AE391"/>
      <c r="AF391"/>
      <c r="AG391"/>
    </row>
    <row r="392" spans="17:33" ht="12.75" customHeight="1">
      <c r="Q392" s="364"/>
      <c r="R392" s="697"/>
      <c r="S392" s="687"/>
      <c r="T392" s="687"/>
      <c r="U392" s="372"/>
      <c r="V392" s="374"/>
      <c r="W392" s="688"/>
      <c r="X392" s="364"/>
      <c r="Y392" s="363"/>
      <c r="Z392" s="363"/>
      <c r="AA392" s="367"/>
      <c r="AB392"/>
      <c r="AC392"/>
      <c r="AD392"/>
      <c r="AE392"/>
      <c r="AF392"/>
      <c r="AG392"/>
    </row>
    <row r="393" spans="17:33" ht="12.75" customHeight="1" thickBot="1">
      <c r="Q393" s="364"/>
      <c r="R393" s="686" t="s">
        <v>60</v>
      </c>
      <c r="S393" s="577"/>
      <c r="T393" s="577"/>
      <c r="U393" s="577"/>
      <c r="V393" s="577"/>
      <c r="W393" s="698"/>
      <c r="X393" s="364"/>
      <c r="Y393" s="363"/>
      <c r="Z393" s="363"/>
      <c r="AA393" s="367"/>
      <c r="AB393"/>
      <c r="AC393"/>
      <c r="AD393"/>
      <c r="AE393"/>
      <c r="AF393"/>
      <c r="AG393"/>
    </row>
    <row r="394" spans="17:33" ht="12.75" customHeight="1">
      <c r="Q394" s="364"/>
      <c r="R394" s="895" t="s">
        <v>845</v>
      </c>
      <c r="S394" s="896"/>
      <c r="T394" s="900" t="s">
        <v>835</v>
      </c>
      <c r="U394" s="900" t="s">
        <v>836</v>
      </c>
      <c r="V394" s="900" t="s">
        <v>837</v>
      </c>
      <c r="W394" s="902" t="s">
        <v>838</v>
      </c>
      <c r="X394" s="364"/>
      <c r="Y394" s="363"/>
      <c r="Z394" s="363"/>
      <c r="AA394" s="367"/>
      <c r="AB394"/>
      <c r="AC394"/>
      <c r="AD394"/>
      <c r="AE394"/>
      <c r="AF394"/>
      <c r="AG394"/>
    </row>
    <row r="395" spans="17:33" ht="12.75" customHeight="1">
      <c r="Q395" s="364"/>
      <c r="R395" s="892"/>
      <c r="S395" s="897"/>
      <c r="T395" s="901"/>
      <c r="U395" s="901"/>
      <c r="V395" s="901"/>
      <c r="W395" s="903"/>
      <c r="X395" s="364"/>
      <c r="Y395" s="363"/>
      <c r="Z395" s="363"/>
      <c r="AA395" s="367"/>
      <c r="AB395"/>
      <c r="AC395"/>
      <c r="AD395"/>
      <c r="AE395"/>
      <c r="AF395"/>
      <c r="AG395"/>
    </row>
    <row r="396" spans="17:33" ht="12.75" customHeight="1">
      <c r="Q396" s="364"/>
      <c r="R396" s="892"/>
      <c r="S396" s="897"/>
      <c r="T396" s="702">
        <f>T383-PPE!$I$15</f>
        <v>96</v>
      </c>
      <c r="U396" s="560">
        <f>U389</f>
        <v>1.7391304347826084</v>
      </c>
      <c r="V396" s="690">
        <f>IF(T396&gt;0,W396*U396," ")</f>
        <v>271.73913043478257</v>
      </c>
      <c r="W396" s="691">
        <f>IF(T396&gt;0,(VLOOKUP(T396,'Lookup Ready-reckoner'!$B$5:$E$1207,4))," ")</f>
        <v>156.25</v>
      </c>
      <c r="X396" s="364"/>
      <c r="Y396" s="363"/>
      <c r="Z396" s="363"/>
      <c r="AA396" s="367"/>
      <c r="AB396"/>
      <c r="AC396"/>
      <c r="AD396"/>
      <c r="AE396"/>
      <c r="AF396"/>
      <c r="AG396"/>
    </row>
    <row r="397" spans="17:33" ht="12.75" customHeight="1">
      <c r="Q397" s="364"/>
      <c r="R397" s="898"/>
      <c r="S397" s="899"/>
      <c r="T397" s="447"/>
      <c r="U397" s="560"/>
      <c r="V397" s="690" t="str">
        <f>IF(T397&gt;0,W397*U397," ")</f>
        <v xml:space="preserve"> </v>
      </c>
      <c r="W397" s="691" t="str">
        <f>IF(T397&gt;0,(VLOOKUP(T397,'Lookup Ready-reckoner'!$B$5:$E$1007,4))," ")</f>
        <v xml:space="preserve"> </v>
      </c>
      <c r="X397" s="364"/>
      <c r="Y397" s="363"/>
      <c r="Z397" s="363"/>
      <c r="AA397" s="367"/>
      <c r="AB397"/>
      <c r="AC397"/>
      <c r="AD397"/>
      <c r="AE397"/>
      <c r="AF397"/>
      <c r="AG397"/>
    </row>
    <row r="398" spans="17:33" ht="12.75" customHeight="1" thickBot="1">
      <c r="Q398" s="364"/>
      <c r="R398" s="692" t="s">
        <v>839</v>
      </c>
      <c r="S398" s="693"/>
      <c r="T398" s="693"/>
      <c r="U398" s="703">
        <f>IF(T396&gt;0,(VLOOKUP(V398,'Lookup Ready-reckoner'!$L$5:$M$1207,2))," ")</f>
        <v>89.3</v>
      </c>
      <c r="V398" s="695">
        <f>IF(U396&gt;0,(SUM(V396:V397))," ")</f>
        <v>271.73913043478257</v>
      </c>
      <c r="W398" s="696"/>
      <c r="X398" s="364"/>
      <c r="Y398" s="363"/>
      <c r="Z398" s="363"/>
      <c r="AA398" s="367"/>
      <c r="AB398"/>
      <c r="AC398"/>
      <c r="AD398"/>
      <c r="AE398"/>
      <c r="AF398"/>
      <c r="AG398"/>
    </row>
    <row r="399" spans="17:33" ht="12.75" customHeight="1" thickBot="1">
      <c r="Q399" s="364"/>
      <c r="R399" s="892"/>
      <c r="S399" s="893"/>
      <c r="T399" s="893"/>
      <c r="U399" s="893"/>
      <c r="V399" s="893"/>
      <c r="W399" s="894"/>
      <c r="X399" s="364"/>
      <c r="Y399" s="363"/>
      <c r="Z399" s="363"/>
      <c r="AA399" s="367"/>
      <c r="AB399"/>
      <c r="AC399"/>
      <c r="AD399"/>
      <c r="AE399"/>
      <c r="AF399"/>
      <c r="AG399"/>
    </row>
    <row r="400" spans="17:33" ht="12.75" customHeight="1">
      <c r="Q400" s="364"/>
      <c r="R400" s="895" t="s">
        <v>886</v>
      </c>
      <c r="S400" s="896"/>
      <c r="T400" s="900" t="s">
        <v>835</v>
      </c>
      <c r="U400" s="900" t="s">
        <v>836</v>
      </c>
      <c r="V400" s="900" t="s">
        <v>837</v>
      </c>
      <c r="W400" s="902" t="s">
        <v>838</v>
      </c>
      <c r="X400" s="364"/>
      <c r="Y400" s="363"/>
      <c r="Z400" s="363"/>
      <c r="AA400" s="367"/>
      <c r="AB400"/>
      <c r="AC400"/>
      <c r="AD400"/>
      <c r="AE400"/>
      <c r="AF400"/>
      <c r="AG400"/>
    </row>
    <row r="401" spans="17:33" ht="12.75" customHeight="1">
      <c r="Q401" s="364"/>
      <c r="R401" s="892"/>
      <c r="S401" s="897"/>
      <c r="T401" s="901"/>
      <c r="U401" s="901"/>
      <c r="V401" s="901"/>
      <c r="W401" s="903"/>
      <c r="X401" s="364"/>
      <c r="Y401" s="363"/>
      <c r="Z401" s="363"/>
      <c r="AA401" s="367"/>
      <c r="AB401"/>
      <c r="AC401"/>
      <c r="AD401"/>
      <c r="AE401"/>
      <c r="AF401"/>
      <c r="AG401"/>
    </row>
    <row r="402" spans="17:33" ht="12.75" customHeight="1">
      <c r="Q402" s="364"/>
      <c r="R402" s="892"/>
      <c r="S402" s="897"/>
      <c r="T402" s="702">
        <f>T389-PPE!$I$15</f>
        <v>92.119600000000005</v>
      </c>
      <c r="U402" s="560">
        <f>U396</f>
        <v>1.7391304347826084</v>
      </c>
      <c r="V402" s="690">
        <f>IF(T402&gt;0,W402*U402," ")</f>
        <v>111.52173913043477</v>
      </c>
      <c r="W402" s="691">
        <f>IF(T402&gt;0,(VLOOKUP(T402,'Lookup Ready-reckoner'!$B$5:$E$1207,4))," ")</f>
        <v>64.125</v>
      </c>
      <c r="X402" s="364"/>
      <c r="Y402" s="363"/>
      <c r="Z402" s="363"/>
      <c r="AA402" s="367"/>
      <c r="AB402"/>
      <c r="AC402"/>
      <c r="AD402"/>
      <c r="AE402"/>
      <c r="AF402"/>
      <c r="AG402"/>
    </row>
    <row r="403" spans="17:33" ht="12.75" customHeight="1">
      <c r="Q403" s="364"/>
      <c r="R403" s="898"/>
      <c r="S403" s="899"/>
      <c r="T403" s="447"/>
      <c r="U403" s="560"/>
      <c r="V403" s="690" t="str">
        <f>IF(T403&gt;0,W403*U403," ")</f>
        <v xml:space="preserve"> </v>
      </c>
      <c r="W403" s="691" t="str">
        <f>IF(T403&gt;0,(VLOOKUP(T403,'Lookup Ready-reckoner'!$B$5:$E$1007,4))," ")</f>
        <v xml:space="preserve"> </v>
      </c>
      <c r="X403" s="364"/>
      <c r="Y403" s="363"/>
      <c r="Z403" s="363"/>
      <c r="AA403" s="367"/>
      <c r="AB403"/>
      <c r="AC403"/>
      <c r="AD403"/>
      <c r="AE403"/>
      <c r="AF403"/>
      <c r="AG403"/>
    </row>
    <row r="404" spans="17:33" ht="12.75" customHeight="1" thickBot="1">
      <c r="Q404" s="364"/>
      <c r="R404" s="692" t="s">
        <v>839</v>
      </c>
      <c r="S404" s="693"/>
      <c r="T404" s="693"/>
      <c r="U404" s="703">
        <f>IF(T402&gt;0,(VLOOKUP(V404,'Lookup Ready-reckoner'!$L$5:$M$1207,2))," ")</f>
        <v>85.45</v>
      </c>
      <c r="V404" s="695">
        <f>IF(U402&gt;0,(SUM(V402:V403))," ")</f>
        <v>111.52173913043477</v>
      </c>
      <c r="W404" s="696"/>
      <c r="X404" s="364"/>
      <c r="Y404" s="363"/>
      <c r="Z404" s="363"/>
      <c r="AA404" s="367"/>
      <c r="AB404"/>
      <c r="AC404"/>
      <c r="AD404"/>
      <c r="AE404"/>
      <c r="AF404"/>
      <c r="AG404"/>
    </row>
    <row r="405" spans="17:33" ht="12.75" customHeight="1">
      <c r="Q405" s="364"/>
      <c r="R405" s="363"/>
      <c r="S405" s="363"/>
      <c r="T405" s="363"/>
      <c r="U405" s="363"/>
      <c r="V405" s="363"/>
      <c r="W405" s="363"/>
      <c r="X405" s="364"/>
      <c r="Y405" s="364"/>
      <c r="Z405" s="364"/>
      <c r="AA405" s="367"/>
      <c r="AB405"/>
      <c r="AC405"/>
      <c r="AD405"/>
      <c r="AE405"/>
      <c r="AF405"/>
      <c r="AG405"/>
    </row>
    <row r="406" spans="17:33" ht="12.75" customHeight="1">
      <c r="Q406" s="364"/>
      <c r="R406" s="909" t="str">
        <f>V306</f>
        <v xml:space="preserve">Hilti TE MD20 </v>
      </c>
      <c r="S406" s="909"/>
      <c r="T406" s="909"/>
      <c r="U406" s="909"/>
      <c r="V406" s="909"/>
      <c r="W406" s="909"/>
      <c r="X406" s="364"/>
      <c r="Y406" s="364"/>
      <c r="Z406" s="364"/>
      <c r="AA406" s="367"/>
      <c r="AB406"/>
      <c r="AC406"/>
      <c r="AD406"/>
      <c r="AE406"/>
      <c r="AF406"/>
      <c r="AG406"/>
    </row>
    <row r="407" spans="17:33" ht="12.75" customHeight="1" thickBot="1">
      <c r="Q407" s="364"/>
      <c r="R407" s="910" t="s">
        <v>205</v>
      </c>
      <c r="S407" s="911"/>
      <c r="T407" s="911"/>
      <c r="U407" s="911"/>
      <c r="V407" s="911"/>
      <c r="W407" s="912"/>
      <c r="X407" s="364"/>
      <c r="Y407" s="364"/>
      <c r="Z407" s="364"/>
      <c r="AA407" s="367"/>
      <c r="AB407"/>
      <c r="AC407"/>
      <c r="AD407"/>
      <c r="AE407"/>
      <c r="AF407"/>
      <c r="AG407"/>
    </row>
    <row r="408" spans="17:33" ht="12.75" customHeight="1" thickBot="1">
      <c r="Q408" s="364"/>
      <c r="R408" s="686" t="s">
        <v>59</v>
      </c>
      <c r="S408" s="577"/>
      <c r="T408" s="687"/>
      <c r="U408" s="687"/>
      <c r="V408" s="687"/>
      <c r="W408" s="688"/>
      <c r="X408" s="364"/>
      <c r="Y408" s="364"/>
      <c r="Z408" s="364"/>
      <c r="AA408" s="367"/>
      <c r="AB408"/>
      <c r="AC408"/>
      <c r="AD408"/>
      <c r="AE408"/>
      <c r="AF408"/>
      <c r="AG408"/>
    </row>
    <row r="409" spans="17:33" ht="12.75" customHeight="1">
      <c r="Q409" s="364"/>
      <c r="R409" s="895" t="s">
        <v>845</v>
      </c>
      <c r="S409" s="896"/>
      <c r="T409" s="900" t="s">
        <v>835</v>
      </c>
      <c r="U409" s="900" t="s">
        <v>836</v>
      </c>
      <c r="V409" s="900" t="s">
        <v>837</v>
      </c>
      <c r="W409" s="902" t="s">
        <v>838</v>
      </c>
      <c r="X409" s="364"/>
      <c r="Y409" s="364"/>
      <c r="Z409" s="364"/>
      <c r="AA409" s="367"/>
      <c r="AB409"/>
      <c r="AC409"/>
      <c r="AD409"/>
      <c r="AE409"/>
      <c r="AF409"/>
      <c r="AG409"/>
    </row>
    <row r="410" spans="17:33" ht="12.75" customHeight="1">
      <c r="Q410" s="364"/>
      <c r="R410" s="892"/>
      <c r="S410" s="897"/>
      <c r="T410" s="904"/>
      <c r="U410" s="904"/>
      <c r="V410" s="904"/>
      <c r="W410" s="905"/>
      <c r="X410" s="364"/>
      <c r="Y410" s="364"/>
      <c r="Z410" s="364"/>
      <c r="AA410" s="367"/>
      <c r="AB410"/>
      <c r="AC410"/>
      <c r="AD410"/>
      <c r="AE410"/>
      <c r="AF410"/>
      <c r="AG410"/>
    </row>
    <row r="411" spans="17:33" ht="12.75" customHeight="1">
      <c r="Q411" s="364"/>
      <c r="R411" s="892"/>
      <c r="S411" s="897"/>
      <c r="T411" s="901"/>
      <c r="U411" s="901"/>
      <c r="V411" s="901"/>
      <c r="W411" s="903"/>
      <c r="X411" s="364"/>
      <c r="Y411" s="364"/>
      <c r="Z411" s="364"/>
      <c r="AA411" s="367"/>
      <c r="AB411"/>
      <c r="AC411"/>
      <c r="AD411"/>
      <c r="AE411"/>
      <c r="AF411"/>
      <c r="AG411"/>
    </row>
    <row r="412" spans="17:33" ht="12.75" customHeight="1">
      <c r="Q412" s="364"/>
      <c r="R412" s="892"/>
      <c r="S412" s="897"/>
      <c r="T412" s="704">
        <f>U69</f>
        <v>102</v>
      </c>
      <c r="U412" s="560">
        <f>U62</f>
        <v>2.6666666666666665</v>
      </c>
      <c r="V412" s="690">
        <f>IF(T412&gt;0,W412*U412," ")</f>
        <v>1666.6666666666665</v>
      </c>
      <c r="W412" s="691">
        <f>IF(T412&gt;0,(VLOOKUP(T412,'Lookup Ready-reckoner'!$B$5:$E$1207,4))," ")</f>
        <v>625</v>
      </c>
      <c r="X412" s="364"/>
      <c r="Y412" s="364"/>
      <c r="Z412" s="364"/>
      <c r="AA412" s="367"/>
      <c r="AB412"/>
      <c r="AC412"/>
      <c r="AD412"/>
      <c r="AE412"/>
      <c r="AF412"/>
      <c r="AG412"/>
    </row>
    <row r="413" spans="17:33" ht="12.75" customHeight="1">
      <c r="Q413" s="364"/>
      <c r="R413" s="898"/>
      <c r="S413" s="899"/>
      <c r="T413" s="447"/>
      <c r="U413" s="560"/>
      <c r="V413" s="690" t="str">
        <f>IF(T413&gt;0,W413*U413," ")</f>
        <v xml:space="preserve"> </v>
      </c>
      <c r="W413" s="691" t="str">
        <f>IF(T413&gt;0,(VLOOKUP(T413,'Lookup Ready-reckoner'!$B$5:$E$1007,4))," ")</f>
        <v xml:space="preserve"> </v>
      </c>
      <c r="X413" s="364"/>
      <c r="Y413" s="364"/>
      <c r="Z413" s="364"/>
      <c r="AA413" s="367"/>
      <c r="AB413"/>
      <c r="AC413"/>
      <c r="AD413"/>
      <c r="AE413"/>
      <c r="AF413"/>
      <c r="AG413"/>
    </row>
    <row r="414" spans="17:33" ht="12.75" customHeight="1" thickBot="1">
      <c r="Q414" s="364"/>
      <c r="R414" s="692" t="s">
        <v>839</v>
      </c>
      <c r="S414" s="693"/>
      <c r="T414" s="693"/>
      <c r="U414" s="705">
        <f>IF(T412&gt;0,(VLOOKUP(V414,'Lookup Ready-reckoner'!$L$5:$M$1207,2))," ")</f>
        <v>97.15</v>
      </c>
      <c r="V414" s="695">
        <f>IF(U412&gt;0,(SUM(V412:V413))," ")</f>
        <v>1666.6666666666665</v>
      </c>
      <c r="W414" s="696"/>
      <c r="X414" s="364"/>
      <c r="Y414" s="364"/>
      <c r="Z414" s="364"/>
      <c r="AA414" s="367"/>
      <c r="AB414"/>
      <c r="AC414"/>
      <c r="AD414"/>
      <c r="AE414"/>
      <c r="AF414"/>
      <c r="AG414"/>
    </row>
    <row r="415" spans="17:33" ht="12.75" customHeight="1" thickBot="1">
      <c r="Q415" s="364"/>
      <c r="R415" s="906"/>
      <c r="S415" s="907"/>
      <c r="T415" s="907"/>
      <c r="U415" s="907"/>
      <c r="V415" s="907"/>
      <c r="W415" s="908"/>
      <c r="X415" s="364"/>
      <c r="Y415" s="364"/>
      <c r="Z415" s="364"/>
      <c r="AA415" s="367"/>
      <c r="AB415"/>
      <c r="AC415"/>
      <c r="AD415"/>
      <c r="AE415"/>
      <c r="AF415"/>
      <c r="AG415"/>
    </row>
    <row r="416" spans="17:33" ht="12.75" customHeight="1">
      <c r="Q416" s="364"/>
      <c r="R416" s="895" t="s">
        <v>886</v>
      </c>
      <c r="S416" s="896"/>
      <c r="T416" s="900" t="s">
        <v>835</v>
      </c>
      <c r="U416" s="900" t="s">
        <v>836</v>
      </c>
      <c r="V416" s="900" t="s">
        <v>837</v>
      </c>
      <c r="W416" s="902" t="s">
        <v>838</v>
      </c>
      <c r="X416" s="364"/>
      <c r="Y416" s="364"/>
      <c r="Z416" s="364"/>
      <c r="AA416" s="367"/>
      <c r="AB416"/>
      <c r="AC416"/>
      <c r="AD416"/>
      <c r="AE416"/>
      <c r="AF416"/>
      <c r="AG416"/>
    </row>
    <row r="417" spans="17:33" ht="12.75" customHeight="1">
      <c r="Q417" s="364"/>
      <c r="R417" s="892"/>
      <c r="S417" s="897"/>
      <c r="T417" s="901"/>
      <c r="U417" s="901"/>
      <c r="V417" s="901"/>
      <c r="W417" s="903"/>
      <c r="X417" s="364"/>
      <c r="Y417" s="364"/>
      <c r="Z417" s="364"/>
      <c r="AA417" s="367"/>
      <c r="AB417"/>
      <c r="AC417"/>
      <c r="AD417"/>
      <c r="AE417"/>
      <c r="AF417"/>
      <c r="AG417"/>
    </row>
    <row r="418" spans="17:33" ht="12.75" customHeight="1">
      <c r="Q418" s="364"/>
      <c r="R418" s="892"/>
      <c r="S418" s="897"/>
      <c r="T418" s="704">
        <f>T412*(1-0.0178*2)</f>
        <v>98.368800000000007</v>
      </c>
      <c r="U418" s="560">
        <f>U412</f>
        <v>2.6666666666666665</v>
      </c>
      <c r="V418" s="690">
        <f>IF(T418&gt;0,W418*U418," ")</f>
        <v>725</v>
      </c>
      <c r="W418" s="691">
        <f>IF(T418&gt;0,(VLOOKUP(T418,'Lookup Ready-reckoner'!$B$5:$E$1207,4))," ")</f>
        <v>271.875</v>
      </c>
      <c r="X418" s="364"/>
      <c r="Y418" s="364"/>
      <c r="Z418" s="364"/>
      <c r="AA418" s="367"/>
      <c r="AB418"/>
      <c r="AC418"/>
      <c r="AD418"/>
      <c r="AE418"/>
      <c r="AF418"/>
      <c r="AG418"/>
    </row>
    <row r="419" spans="17:33" ht="12.75" customHeight="1">
      <c r="Q419" s="364"/>
      <c r="R419" s="898"/>
      <c r="S419" s="899"/>
      <c r="T419" s="447"/>
      <c r="U419" s="560"/>
      <c r="V419" s="690" t="str">
        <f>IF(T419&gt;0,W419*U419," ")</f>
        <v xml:space="preserve"> </v>
      </c>
      <c r="W419" s="691" t="str">
        <f>IF(T419&gt;0,(VLOOKUP(T419,'Lookup Ready-reckoner'!$B$5:$E$1007,4))," ")</f>
        <v xml:space="preserve"> </v>
      </c>
      <c r="X419" s="364"/>
      <c r="Y419" s="364"/>
      <c r="Z419" s="364"/>
      <c r="AA419" s="367"/>
      <c r="AB419"/>
      <c r="AC419"/>
      <c r="AD419"/>
      <c r="AE419"/>
      <c r="AF419"/>
      <c r="AG419"/>
    </row>
    <row r="420" spans="17:33" ht="12.75" customHeight="1" thickBot="1">
      <c r="Q420" s="364"/>
      <c r="R420" s="692" t="s">
        <v>839</v>
      </c>
      <c r="S420" s="693"/>
      <c r="T420" s="693"/>
      <c r="U420" s="705">
        <f>IF(T418&gt;0,(VLOOKUP(V420,'Lookup Ready-reckoner'!$L$5:$M$1207,2))," ")</f>
        <v>93.55</v>
      </c>
      <c r="V420" s="695">
        <f>IF(U418&gt;0,(SUM(V418:V419))," ")</f>
        <v>725</v>
      </c>
      <c r="W420" s="696"/>
      <c r="X420" s="364"/>
      <c r="Y420" s="364"/>
      <c r="Z420" s="364"/>
      <c r="AA420" s="367"/>
      <c r="AB420"/>
      <c r="AC420"/>
      <c r="AD420"/>
      <c r="AE420"/>
      <c r="AF420"/>
      <c r="AG420"/>
    </row>
    <row r="421" spans="17:33" ht="12.75" customHeight="1">
      <c r="Q421" s="364"/>
      <c r="R421" s="697"/>
      <c r="S421" s="687"/>
      <c r="T421" s="687"/>
      <c r="U421" s="372"/>
      <c r="V421" s="374"/>
      <c r="W421" s="688"/>
      <c r="X421" s="364"/>
      <c r="Y421" s="364"/>
      <c r="Z421" s="364"/>
      <c r="AA421" s="367"/>
      <c r="AB421"/>
      <c r="AC421"/>
      <c r="AD421"/>
      <c r="AE421"/>
      <c r="AF421"/>
      <c r="AG421"/>
    </row>
    <row r="422" spans="17:33" ht="12.75" customHeight="1" thickBot="1">
      <c r="Q422" s="364"/>
      <c r="R422" s="686" t="s">
        <v>60</v>
      </c>
      <c r="S422" s="577"/>
      <c r="T422" s="577"/>
      <c r="U422" s="577"/>
      <c r="V422" s="577"/>
      <c r="W422" s="698"/>
      <c r="X422" s="364"/>
      <c r="Y422" s="364"/>
      <c r="Z422" s="364"/>
      <c r="AA422" s="367"/>
      <c r="AB422"/>
      <c r="AC422"/>
      <c r="AD422"/>
      <c r="AE422"/>
      <c r="AF422"/>
      <c r="AG422"/>
    </row>
    <row r="423" spans="17:33" ht="12.75" customHeight="1">
      <c r="Q423" s="364"/>
      <c r="R423" s="895" t="s">
        <v>845</v>
      </c>
      <c r="S423" s="896"/>
      <c r="T423" s="900" t="s">
        <v>835</v>
      </c>
      <c r="U423" s="900" t="s">
        <v>836</v>
      </c>
      <c r="V423" s="900" t="s">
        <v>837</v>
      </c>
      <c r="W423" s="902" t="s">
        <v>838</v>
      </c>
      <c r="X423" s="364"/>
      <c r="Y423" s="364"/>
      <c r="Z423" s="364"/>
      <c r="AA423" s="367"/>
      <c r="AB423"/>
      <c r="AC423"/>
      <c r="AD423"/>
      <c r="AE423"/>
      <c r="AF423"/>
      <c r="AG423"/>
    </row>
    <row r="424" spans="17:33" ht="12.75" customHeight="1">
      <c r="Q424" s="364"/>
      <c r="R424" s="892"/>
      <c r="S424" s="897"/>
      <c r="T424" s="901"/>
      <c r="U424" s="901"/>
      <c r="V424" s="901"/>
      <c r="W424" s="903"/>
      <c r="X424" s="364"/>
      <c r="Y424" s="364"/>
      <c r="Z424" s="364"/>
      <c r="AA424" s="367"/>
      <c r="AB424"/>
      <c r="AC424"/>
      <c r="AD424"/>
      <c r="AE424"/>
      <c r="AF424"/>
      <c r="AG424"/>
    </row>
    <row r="425" spans="17:33" ht="12.75" customHeight="1">
      <c r="Q425" s="364"/>
      <c r="R425" s="892"/>
      <c r="S425" s="897"/>
      <c r="T425" s="704">
        <f>T412-PPE!$I$15</f>
        <v>89</v>
      </c>
      <c r="U425" s="560">
        <f>U418</f>
        <v>2.6666666666666665</v>
      </c>
      <c r="V425" s="690">
        <f>IF(T425&gt;0,W425*U425," ")</f>
        <v>83.333333333333329</v>
      </c>
      <c r="W425" s="691">
        <f>IF(T425&gt;0,(VLOOKUP(T425,'Lookup Ready-reckoner'!$B$5:$E$1207,4))," ")</f>
        <v>31.25</v>
      </c>
      <c r="X425" s="364"/>
      <c r="Y425" s="364"/>
      <c r="Z425" s="364"/>
      <c r="AA425" s="367"/>
      <c r="AB425"/>
      <c r="AC425"/>
      <c r="AD425"/>
      <c r="AE425"/>
      <c r="AF425"/>
      <c r="AG425"/>
    </row>
    <row r="426" spans="17:33" ht="12.75" customHeight="1">
      <c r="Q426" s="364"/>
      <c r="R426" s="898"/>
      <c r="S426" s="899"/>
      <c r="T426" s="447"/>
      <c r="U426" s="560"/>
      <c r="V426" s="690" t="str">
        <f>IF(T426&gt;0,W426*U426," ")</f>
        <v xml:space="preserve"> </v>
      </c>
      <c r="W426" s="691" t="str">
        <f>IF(T426&gt;0,(VLOOKUP(T426,'Lookup Ready-reckoner'!$B$5:$E$1007,4))," ")</f>
        <v xml:space="preserve"> </v>
      </c>
      <c r="X426" s="364"/>
      <c r="Y426" s="364"/>
      <c r="Z426" s="364"/>
      <c r="AA426" s="367"/>
      <c r="AB426"/>
      <c r="AC426"/>
      <c r="AD426"/>
      <c r="AE426"/>
      <c r="AF426"/>
      <c r="AG426"/>
    </row>
    <row r="427" spans="17:33" ht="12.75" customHeight="1" thickBot="1">
      <c r="Q427" s="364"/>
      <c r="R427" s="692" t="s">
        <v>839</v>
      </c>
      <c r="S427" s="693"/>
      <c r="T427" s="693"/>
      <c r="U427" s="705">
        <f>IF(T425&gt;0,(VLOOKUP(V427,'Lookup Ready-reckoner'!$L$5:$M$1207,2))," ")</f>
        <v>84.15</v>
      </c>
      <c r="V427" s="695">
        <f>IF(U425&gt;0,(SUM(V425:V426))," ")</f>
        <v>83.333333333333329</v>
      </c>
      <c r="W427" s="696"/>
      <c r="X427" s="364"/>
      <c r="Y427" s="364"/>
      <c r="Z427" s="364"/>
      <c r="AA427" s="367"/>
      <c r="AB427"/>
      <c r="AC427"/>
      <c r="AD427"/>
      <c r="AE427"/>
      <c r="AF427"/>
      <c r="AG427"/>
    </row>
    <row r="428" spans="17:33" ht="12.75" customHeight="1" thickBot="1">
      <c r="Q428" s="364"/>
      <c r="R428" s="892"/>
      <c r="S428" s="893"/>
      <c r="T428" s="893"/>
      <c r="U428" s="893"/>
      <c r="V428" s="893"/>
      <c r="W428" s="894"/>
      <c r="X428" s="364"/>
      <c r="Y428" s="364"/>
      <c r="Z428" s="364"/>
      <c r="AA428" s="367"/>
      <c r="AB428"/>
      <c r="AC428"/>
      <c r="AD428"/>
      <c r="AE428"/>
      <c r="AF428"/>
      <c r="AG428"/>
    </row>
    <row r="429" spans="17:33" ht="12.75" customHeight="1">
      <c r="Q429" s="364"/>
      <c r="R429" s="895" t="s">
        <v>886</v>
      </c>
      <c r="S429" s="896"/>
      <c r="T429" s="900" t="s">
        <v>835</v>
      </c>
      <c r="U429" s="900" t="s">
        <v>836</v>
      </c>
      <c r="V429" s="900" t="s">
        <v>837</v>
      </c>
      <c r="W429" s="902" t="s">
        <v>838</v>
      </c>
      <c r="X429" s="364"/>
      <c r="Y429" s="364"/>
      <c r="Z429" s="364"/>
      <c r="AA429" s="367"/>
      <c r="AB429"/>
      <c r="AC429"/>
      <c r="AD429"/>
      <c r="AE429"/>
      <c r="AF429"/>
      <c r="AG429"/>
    </row>
    <row r="430" spans="17:33" ht="12.75" customHeight="1">
      <c r="Q430" s="364"/>
      <c r="R430" s="892"/>
      <c r="S430" s="897"/>
      <c r="T430" s="901"/>
      <c r="U430" s="901"/>
      <c r="V430" s="901"/>
      <c r="W430" s="903"/>
      <c r="X430" s="364"/>
      <c r="Y430" s="364"/>
      <c r="Z430" s="364"/>
      <c r="AA430" s="367"/>
      <c r="AB430"/>
      <c r="AC430"/>
      <c r="AD430"/>
      <c r="AE430"/>
      <c r="AF430"/>
      <c r="AG430"/>
    </row>
    <row r="431" spans="17:33" ht="12.75" customHeight="1">
      <c r="Q431" s="364"/>
      <c r="R431" s="892"/>
      <c r="S431" s="897"/>
      <c r="T431" s="704">
        <f>T418-PPE!$I$15</f>
        <v>85.368800000000007</v>
      </c>
      <c r="U431" s="560">
        <f>U425</f>
        <v>2.6666666666666665</v>
      </c>
      <c r="V431" s="690">
        <f>IF(T431&gt;0,W431*U431," ")</f>
        <v>36.25</v>
      </c>
      <c r="W431" s="691">
        <f>IF(T431&gt;0,(VLOOKUP(T431,'Lookup Ready-reckoner'!$B$5:$E$1207,4))," ")</f>
        <v>13.59375</v>
      </c>
      <c r="X431" s="364"/>
      <c r="Y431" s="364"/>
      <c r="Z431" s="364"/>
      <c r="AA431" s="367"/>
      <c r="AB431"/>
      <c r="AC431"/>
      <c r="AD431"/>
      <c r="AE431"/>
      <c r="AF431"/>
      <c r="AG431"/>
    </row>
    <row r="432" spans="17:33" ht="12.75" customHeight="1">
      <c r="Q432" s="364"/>
      <c r="R432" s="898"/>
      <c r="S432" s="899"/>
      <c r="T432" s="447"/>
      <c r="U432" s="560"/>
      <c r="V432" s="690" t="str">
        <f>IF(T432&gt;0,W432*U432," ")</f>
        <v xml:space="preserve"> </v>
      </c>
      <c r="W432" s="691" t="str">
        <f>IF(T432&gt;0,(VLOOKUP(T432,'Lookup Ready-reckoner'!$B$5:$E$1007,4))," ")</f>
        <v xml:space="preserve"> </v>
      </c>
      <c r="X432" s="364"/>
      <c r="Y432" s="364"/>
      <c r="Z432" s="364"/>
      <c r="AA432" s="367"/>
      <c r="AB432"/>
      <c r="AC432"/>
      <c r="AD432"/>
      <c r="AE432"/>
      <c r="AF432"/>
      <c r="AG432"/>
    </row>
    <row r="433" spans="17:33" ht="12.75" customHeight="1" thickBot="1">
      <c r="Q433" s="364"/>
      <c r="R433" s="692" t="s">
        <v>839</v>
      </c>
      <c r="S433" s="693"/>
      <c r="T433" s="693"/>
      <c r="U433" s="705">
        <f>IF(T431&gt;0,(VLOOKUP(V433,'Lookup Ready-reckoner'!$L$5:$M$1207,2))," ")</f>
        <v>80.5</v>
      </c>
      <c r="V433" s="695">
        <f>IF(U431&gt;0,(SUM(V431:V432))," ")</f>
        <v>36.25</v>
      </c>
      <c r="W433" s="696"/>
      <c r="X433" s="364"/>
      <c r="Y433" s="364"/>
      <c r="Z433" s="364"/>
      <c r="AA433" s="367"/>
      <c r="AB433"/>
      <c r="AC433"/>
      <c r="AD433"/>
      <c r="AE433"/>
      <c r="AF433"/>
      <c r="AG433"/>
    </row>
    <row r="434" spans="17:33" ht="12.75" customHeight="1" thickBot="1">
      <c r="Q434" s="364"/>
      <c r="R434" s="364"/>
      <c r="S434" s="364"/>
      <c r="T434" s="364"/>
      <c r="U434" s="364"/>
      <c r="V434" s="364"/>
      <c r="W434" s="364"/>
      <c r="X434" s="364"/>
      <c r="Y434" s="364"/>
      <c r="Z434" s="364"/>
      <c r="AA434" s="367"/>
      <c r="AB434"/>
      <c r="AC434"/>
      <c r="AD434"/>
      <c r="AE434"/>
      <c r="AF434"/>
      <c r="AG434"/>
    </row>
    <row r="435" spans="17:33" ht="12.75" customHeight="1" thickTop="1">
      <c r="Q435" s="364"/>
      <c r="R435" s="916" t="s">
        <v>429</v>
      </c>
      <c r="S435" s="917"/>
      <c r="T435" s="917"/>
      <c r="U435" s="917"/>
      <c r="V435" s="917"/>
      <c r="W435" s="918"/>
      <c r="X435" s="364"/>
      <c r="Y435" s="364"/>
      <c r="Z435" s="364"/>
      <c r="AA435" s="367"/>
      <c r="AB435"/>
      <c r="AC435"/>
      <c r="AD435"/>
      <c r="AE435"/>
      <c r="AF435"/>
      <c r="AG435"/>
    </row>
    <row r="436" spans="17:33" ht="12.75" customHeight="1">
      <c r="Q436" s="364"/>
      <c r="R436" s="919"/>
      <c r="S436" s="920"/>
      <c r="T436" s="920"/>
      <c r="U436" s="920"/>
      <c r="V436" s="920"/>
      <c r="W436" s="921"/>
      <c r="X436" s="364"/>
      <c r="Y436" s="364"/>
      <c r="Z436" s="364"/>
      <c r="AA436" s="367"/>
      <c r="AB436"/>
      <c r="AC436"/>
      <c r="AD436"/>
      <c r="AE436"/>
      <c r="AF436"/>
      <c r="AG436"/>
    </row>
    <row r="437" spans="17:33" ht="12.75" customHeight="1" thickBot="1">
      <c r="Q437" s="364"/>
      <c r="R437" s="922"/>
      <c r="S437" s="923"/>
      <c r="T437" s="923"/>
      <c r="U437" s="923"/>
      <c r="V437" s="923"/>
      <c r="W437" s="924"/>
      <c r="X437" s="364"/>
      <c r="Y437" s="364"/>
      <c r="Z437" s="364"/>
      <c r="AA437" s="367"/>
      <c r="AB437"/>
      <c r="AC437"/>
      <c r="AD437"/>
      <c r="AE437"/>
      <c r="AF437"/>
      <c r="AG437"/>
    </row>
    <row r="438" spans="17:33" ht="12.75" customHeight="1" thickTop="1">
      <c r="Q438" s="364"/>
      <c r="R438" s="925" t="str">
        <f>R319</f>
        <v>Seco S215</v>
      </c>
      <c r="S438" s="925"/>
      <c r="T438" s="925"/>
      <c r="U438" s="925"/>
      <c r="V438" s="925"/>
      <c r="W438" s="925"/>
      <c r="X438" s="364"/>
      <c r="Y438" s="364"/>
      <c r="Z438" s="364"/>
      <c r="AA438" s="367"/>
      <c r="AB438"/>
      <c r="AC438"/>
      <c r="AD438"/>
      <c r="AE438"/>
      <c r="AF438"/>
      <c r="AG438"/>
    </row>
    <row r="439" spans="17:33" ht="12.75" customHeight="1" thickBot="1">
      <c r="Q439" s="364"/>
      <c r="R439" s="910" t="s">
        <v>205</v>
      </c>
      <c r="S439" s="911"/>
      <c r="T439" s="911"/>
      <c r="U439" s="911"/>
      <c r="V439" s="911"/>
      <c r="W439" s="912"/>
      <c r="X439" s="364"/>
      <c r="Y439" s="364"/>
      <c r="Z439" s="364"/>
      <c r="AA439" s="367"/>
      <c r="AB439"/>
      <c r="AC439"/>
      <c r="AD439"/>
      <c r="AE439"/>
      <c r="AF439"/>
      <c r="AG439"/>
    </row>
    <row r="440" spans="17:33" ht="12.75" customHeight="1" thickBot="1">
      <c r="Q440" s="364"/>
      <c r="R440" s="686" t="s">
        <v>59</v>
      </c>
      <c r="S440" s="577"/>
      <c r="T440" s="687"/>
      <c r="U440" s="687"/>
      <c r="V440" s="687"/>
      <c r="W440" s="688"/>
      <c r="X440" s="364"/>
      <c r="Y440" s="364"/>
      <c r="Z440" s="364"/>
      <c r="AA440" s="367"/>
      <c r="AB440"/>
      <c r="AC440"/>
      <c r="AD440"/>
      <c r="AE440"/>
      <c r="AF440"/>
      <c r="AG440"/>
    </row>
    <row r="441" spans="17:33" ht="12.75" customHeight="1">
      <c r="Q441" s="364"/>
      <c r="R441" s="895" t="s">
        <v>845</v>
      </c>
      <c r="S441" s="896"/>
      <c r="T441" s="900" t="s">
        <v>835</v>
      </c>
      <c r="U441" s="900" t="s">
        <v>836</v>
      </c>
      <c r="V441" s="900" t="s">
        <v>837</v>
      </c>
      <c r="W441" s="902" t="s">
        <v>838</v>
      </c>
      <c r="X441" s="364"/>
      <c r="Y441" s="364"/>
      <c r="Z441" s="364"/>
      <c r="AA441" s="367"/>
      <c r="AB441"/>
      <c r="AC441"/>
      <c r="AD441"/>
      <c r="AE441"/>
      <c r="AF441"/>
      <c r="AG441"/>
    </row>
    <row r="442" spans="17:33" ht="12.75" customHeight="1">
      <c r="Q442" s="364"/>
      <c r="R442" s="892"/>
      <c r="S442" s="897"/>
      <c r="T442" s="904"/>
      <c r="U442" s="904"/>
      <c r="V442" s="904"/>
      <c r="W442" s="905"/>
      <c r="X442" s="364"/>
      <c r="Y442" s="364"/>
      <c r="Z442" s="364"/>
      <c r="AA442" s="367"/>
      <c r="AB442"/>
      <c r="AC442"/>
      <c r="AD442"/>
      <c r="AE442"/>
      <c r="AF442"/>
      <c r="AG442"/>
    </row>
    <row r="443" spans="17:33" ht="12.75" customHeight="1">
      <c r="Q443" s="364"/>
      <c r="R443" s="892"/>
      <c r="S443" s="897"/>
      <c r="T443" s="901"/>
      <c r="U443" s="901"/>
      <c r="V443" s="901"/>
      <c r="W443" s="903"/>
      <c r="X443" s="364"/>
      <c r="Y443" s="364"/>
      <c r="Z443" s="364"/>
      <c r="AA443" s="367"/>
      <c r="AB443"/>
      <c r="AC443"/>
      <c r="AD443"/>
      <c r="AE443"/>
      <c r="AF443"/>
      <c r="AG443"/>
    </row>
    <row r="444" spans="17:33" ht="12.75" customHeight="1">
      <c r="Q444" s="364"/>
      <c r="R444" s="892"/>
      <c r="S444" s="897"/>
      <c r="T444" s="689">
        <f>X76</f>
        <v>122.02059991327964</v>
      </c>
      <c r="U444" s="560">
        <f>X62</f>
        <v>1.4285714285714284</v>
      </c>
      <c r="V444" s="690">
        <f>IF(T444&gt;0,W444*U444," ")</f>
        <v>79999.999999999985</v>
      </c>
      <c r="W444" s="691">
        <f>IF(T444&gt;0,(VLOOKUP(T444,'Lookup Ready-reckoner'!$B$5:$E$1207,4))," ")</f>
        <v>56000</v>
      </c>
      <c r="X444" s="364"/>
      <c r="Y444" s="364"/>
      <c r="Z444" s="364"/>
      <c r="AA444" s="367"/>
      <c r="AB444"/>
      <c r="AC444"/>
      <c r="AD444"/>
      <c r="AE444"/>
      <c r="AF444"/>
      <c r="AG444"/>
    </row>
    <row r="445" spans="17:33" ht="12.75" customHeight="1">
      <c r="Q445" s="364"/>
      <c r="R445" s="898"/>
      <c r="S445" s="899"/>
      <c r="T445" s="447"/>
      <c r="U445" s="560"/>
      <c r="V445" s="690" t="str">
        <f>IF(T445&gt;0,W445*U445," ")</f>
        <v xml:space="preserve"> </v>
      </c>
      <c r="W445" s="691" t="str">
        <f>IF(T445&gt;0,(VLOOKUP(T445,'Lookup Ready-reckoner'!$B$5:$E$1007,4))," ")</f>
        <v xml:space="preserve"> </v>
      </c>
      <c r="X445" s="364"/>
      <c r="Y445" s="364"/>
      <c r="Z445" s="364"/>
      <c r="AA445" s="367"/>
      <c r="AB445"/>
      <c r="AC445"/>
      <c r="AD445"/>
      <c r="AE445"/>
      <c r="AF445"/>
      <c r="AG445"/>
    </row>
    <row r="446" spans="17:33" ht="12.75" customHeight="1" thickBot="1">
      <c r="Q446" s="364"/>
      <c r="R446" s="692" t="s">
        <v>839</v>
      </c>
      <c r="S446" s="693"/>
      <c r="T446" s="693"/>
      <c r="U446" s="694">
        <f>IF(T444&gt;0,(VLOOKUP(V446,'Lookup Ready-reckoner'!$L$5:$M$1207,2))," ")</f>
        <v>113.95</v>
      </c>
      <c r="V446" s="695">
        <f>IF(U444&gt;0,(SUM(V444:V445))," ")</f>
        <v>79999.999999999985</v>
      </c>
      <c r="W446" s="696"/>
      <c r="X446" s="364"/>
      <c r="Y446" s="364"/>
      <c r="Z446" s="364"/>
      <c r="AA446" s="367"/>
      <c r="AB446"/>
      <c r="AC446"/>
      <c r="AD446"/>
      <c r="AE446"/>
      <c r="AF446"/>
      <c r="AG446"/>
    </row>
    <row r="447" spans="17:33" ht="12.75" customHeight="1" thickBot="1">
      <c r="Q447" s="364"/>
      <c r="R447" s="892"/>
      <c r="S447" s="893"/>
      <c r="T447" s="893"/>
      <c r="U447" s="893"/>
      <c r="V447" s="893"/>
      <c r="W447" s="894"/>
      <c r="X447" s="364"/>
      <c r="Y447" s="364"/>
      <c r="Z447" s="364"/>
      <c r="AA447" s="367"/>
      <c r="AB447"/>
      <c r="AC447"/>
      <c r="AD447"/>
      <c r="AE447"/>
      <c r="AF447"/>
      <c r="AG447"/>
    </row>
    <row r="448" spans="17:33" ht="12.75" customHeight="1">
      <c r="Q448" s="364"/>
      <c r="R448" s="895" t="s">
        <v>886</v>
      </c>
      <c r="S448" s="896"/>
      <c r="T448" s="900" t="s">
        <v>835</v>
      </c>
      <c r="U448" s="900" t="s">
        <v>836</v>
      </c>
      <c r="V448" s="900" t="s">
        <v>837</v>
      </c>
      <c r="W448" s="902" t="s">
        <v>838</v>
      </c>
      <c r="X448" s="364"/>
      <c r="Y448" s="364"/>
      <c r="Z448" s="364"/>
      <c r="AA448" s="367"/>
      <c r="AB448"/>
      <c r="AC448"/>
      <c r="AD448"/>
      <c r="AE448"/>
      <c r="AF448"/>
      <c r="AG448"/>
    </row>
    <row r="449" spans="17:33" ht="12.75" customHeight="1">
      <c r="Q449" s="364"/>
      <c r="R449" s="892"/>
      <c r="S449" s="897"/>
      <c r="T449" s="901"/>
      <c r="U449" s="901"/>
      <c r="V449" s="901"/>
      <c r="W449" s="903"/>
      <c r="X449" s="364"/>
      <c r="Y449" s="364"/>
      <c r="Z449" s="364"/>
      <c r="AA449" s="367"/>
      <c r="AB449"/>
      <c r="AC449"/>
      <c r="AD449"/>
      <c r="AE449"/>
      <c r="AF449"/>
      <c r="AG449"/>
    </row>
    <row r="450" spans="17:33" ht="12.75" customHeight="1">
      <c r="Q450" s="364"/>
      <c r="R450" s="892"/>
      <c r="S450" s="897"/>
      <c r="T450" s="689">
        <f>T444*(1-0.0178*2)</f>
        <v>117.67666655636688</v>
      </c>
      <c r="U450" s="560">
        <f>U444</f>
        <v>1.4285714285714284</v>
      </c>
      <c r="V450" s="690">
        <f>IF(T450&gt;0,W450*U450," ")</f>
        <v>33771.428571428565</v>
      </c>
      <c r="W450" s="691">
        <f>IF(T450&gt;0,(VLOOKUP(T450,'Lookup Ready-reckoner'!$B$5:$E$1207,4))," ")</f>
        <v>23640</v>
      </c>
      <c r="X450" s="364"/>
      <c r="Y450" s="364"/>
      <c r="Z450" s="364"/>
      <c r="AA450" s="367"/>
      <c r="AB450"/>
      <c r="AC450"/>
      <c r="AD450"/>
      <c r="AE450"/>
      <c r="AF450"/>
      <c r="AG450"/>
    </row>
    <row r="451" spans="17:33" ht="12.75" customHeight="1">
      <c r="Q451" s="364"/>
      <c r="R451" s="898"/>
      <c r="S451" s="899"/>
      <c r="T451" s="447"/>
      <c r="U451" s="560"/>
      <c r="V451" s="690" t="str">
        <f>IF(T451&gt;0,W451*U451," ")</f>
        <v xml:space="preserve"> </v>
      </c>
      <c r="W451" s="691" t="str">
        <f>IF(T451&gt;0,(VLOOKUP(T451,'Lookup Ready-reckoner'!$B$5:$E$1007,4))," ")</f>
        <v xml:space="preserve"> </v>
      </c>
      <c r="X451" s="364"/>
      <c r="Y451" s="364"/>
      <c r="Z451" s="364"/>
      <c r="AA451" s="367"/>
      <c r="AB451"/>
      <c r="AC451"/>
      <c r="AD451"/>
      <c r="AE451"/>
      <c r="AF451"/>
      <c r="AG451"/>
    </row>
    <row r="452" spans="17:33" ht="12.75" customHeight="1" thickBot="1">
      <c r="Q452" s="364"/>
      <c r="R452" s="692" t="s">
        <v>839</v>
      </c>
      <c r="S452" s="693"/>
      <c r="T452" s="693"/>
      <c r="U452" s="694">
        <f>IF(T450&gt;0,(VLOOKUP(V452,'Lookup Ready-reckoner'!$L$5:$M$1207,2))," ")</f>
        <v>110.2</v>
      </c>
      <c r="V452" s="695">
        <f>IF(U450&gt;0,(SUM(V450:V451))," ")</f>
        <v>33771.428571428565</v>
      </c>
      <c r="W452" s="696"/>
      <c r="X452" s="364"/>
      <c r="Y452" s="364"/>
      <c r="Z452" s="364"/>
      <c r="AA452" s="367"/>
      <c r="AB452"/>
      <c r="AC452"/>
      <c r="AD452"/>
      <c r="AE452"/>
      <c r="AF452"/>
      <c r="AG452"/>
    </row>
    <row r="453" spans="17:33" ht="12.75" customHeight="1">
      <c r="Q453" s="364"/>
      <c r="R453" s="697"/>
      <c r="S453" s="687"/>
      <c r="T453" s="687"/>
      <c r="U453" s="372"/>
      <c r="V453" s="374"/>
      <c r="W453" s="688"/>
      <c r="X453" s="364"/>
      <c r="Y453" s="364"/>
      <c r="Z453" s="364"/>
      <c r="AA453" s="367"/>
      <c r="AB453"/>
      <c r="AC453"/>
      <c r="AD453"/>
      <c r="AE453"/>
      <c r="AF453"/>
      <c r="AG453"/>
    </row>
    <row r="454" spans="17:33" ht="12.75" customHeight="1" thickBot="1">
      <c r="Q454" s="364"/>
      <c r="R454" s="686" t="s">
        <v>60</v>
      </c>
      <c r="S454" s="577"/>
      <c r="T454" s="577"/>
      <c r="U454" s="577"/>
      <c r="V454" s="577"/>
      <c r="W454" s="698"/>
      <c r="X454" s="364"/>
      <c r="Y454" s="364"/>
      <c r="Z454" s="364"/>
      <c r="AA454" s="367"/>
      <c r="AB454"/>
      <c r="AC454"/>
      <c r="AD454"/>
      <c r="AE454"/>
      <c r="AF454"/>
      <c r="AG454"/>
    </row>
    <row r="455" spans="17:33" ht="12.75" customHeight="1">
      <c r="Q455" s="364"/>
      <c r="R455" s="895" t="s">
        <v>845</v>
      </c>
      <c r="S455" s="896"/>
      <c r="T455" s="900" t="s">
        <v>835</v>
      </c>
      <c r="U455" s="900" t="s">
        <v>836</v>
      </c>
      <c r="V455" s="900" t="s">
        <v>837</v>
      </c>
      <c r="W455" s="902" t="s">
        <v>838</v>
      </c>
      <c r="X455" s="364"/>
      <c r="Y455" s="364"/>
      <c r="Z455" s="364"/>
      <c r="AA455" s="367"/>
      <c r="AB455"/>
      <c r="AC455"/>
      <c r="AD455"/>
      <c r="AE455"/>
      <c r="AF455"/>
      <c r="AG455"/>
    </row>
    <row r="456" spans="17:33" ht="12.75" customHeight="1">
      <c r="Q456" s="364"/>
      <c r="R456" s="892"/>
      <c r="S456" s="897"/>
      <c r="T456" s="901"/>
      <c r="U456" s="901"/>
      <c r="V456" s="901"/>
      <c r="W456" s="903"/>
      <c r="X456" s="364"/>
      <c r="Y456" s="364"/>
      <c r="Z456" s="364"/>
      <c r="AA456" s="367"/>
      <c r="AB456"/>
      <c r="AC456"/>
      <c r="AD456"/>
      <c r="AE456"/>
      <c r="AF456"/>
      <c r="AG456"/>
    </row>
    <row r="457" spans="17:33" ht="12.75" customHeight="1">
      <c r="Q457" s="364"/>
      <c r="R457" s="892"/>
      <c r="S457" s="897"/>
      <c r="T457" s="689">
        <f>T444-PPE!$I$15</f>
        <v>109.02059991327964</v>
      </c>
      <c r="U457" s="560">
        <f>U450</f>
        <v>1.4285714285714284</v>
      </c>
      <c r="V457" s="690">
        <f>IF(T457&gt;0,W457*U457," ")</f>
        <v>4571.4285714285706</v>
      </c>
      <c r="W457" s="691">
        <f>IF(T457&gt;0,(VLOOKUP(T457,'Lookup Ready-reckoner'!$B$5:$E$1207,4))," ")</f>
        <v>3200</v>
      </c>
      <c r="X457" s="364"/>
      <c r="Y457" s="364"/>
      <c r="Z457" s="364"/>
      <c r="AA457" s="367"/>
      <c r="AB457"/>
      <c r="AC457"/>
      <c r="AD457"/>
      <c r="AE457"/>
      <c r="AF457"/>
      <c r="AG457"/>
    </row>
    <row r="458" spans="17:33" ht="12.75" customHeight="1">
      <c r="Q458" s="364"/>
      <c r="R458" s="898"/>
      <c r="S458" s="899"/>
      <c r="T458" s="447"/>
      <c r="U458" s="560"/>
      <c r="V458" s="690" t="str">
        <f>IF(T458&gt;0,W458*U458," ")</f>
        <v xml:space="preserve"> </v>
      </c>
      <c r="W458" s="691" t="str">
        <f>IF(T458&gt;0,(VLOOKUP(T458,'Lookup Ready-reckoner'!$B$5:$E$1007,4))," ")</f>
        <v xml:space="preserve"> </v>
      </c>
      <c r="X458" s="364"/>
      <c r="Y458" s="364"/>
      <c r="Z458" s="364"/>
      <c r="AA458" s="367"/>
      <c r="AB458"/>
      <c r="AC458"/>
      <c r="AD458"/>
      <c r="AE458"/>
      <c r="AF458"/>
      <c r="AG458"/>
    </row>
    <row r="459" spans="17:33" ht="12.75" customHeight="1" thickBot="1">
      <c r="Q459" s="364"/>
      <c r="R459" s="699" t="s">
        <v>839</v>
      </c>
      <c r="S459" s="693"/>
      <c r="T459" s="693"/>
      <c r="U459" s="694">
        <f>IF(T457&gt;0,(VLOOKUP(V459,'Lookup Ready-reckoner'!$L$5:$M$1207,2))," ")</f>
        <v>101.55</v>
      </c>
      <c r="V459" s="695">
        <f>IF(U457&gt;0,(SUM(V457:V458))," ")</f>
        <v>4571.4285714285706</v>
      </c>
      <c r="W459" s="696"/>
      <c r="X459" s="364"/>
      <c r="Y459" s="364"/>
      <c r="Z459" s="364"/>
      <c r="AA459" s="367"/>
      <c r="AB459"/>
      <c r="AC459"/>
      <c r="AD459"/>
      <c r="AE459"/>
      <c r="AF459"/>
      <c r="AG459"/>
    </row>
    <row r="460" spans="17:33" ht="12.75" customHeight="1" thickBot="1">
      <c r="Q460" s="364"/>
      <c r="R460" s="892"/>
      <c r="S460" s="893"/>
      <c r="T460" s="893"/>
      <c r="U460" s="893"/>
      <c r="V460" s="893"/>
      <c r="W460" s="894"/>
      <c r="X460" s="364"/>
      <c r="Y460" s="364"/>
      <c r="Z460" s="364"/>
      <c r="AA460" s="367"/>
      <c r="AB460"/>
      <c r="AC460"/>
      <c r="AD460"/>
      <c r="AE460"/>
      <c r="AF460"/>
      <c r="AG460"/>
    </row>
    <row r="461" spans="17:33" ht="12.75" customHeight="1">
      <c r="Q461" s="364"/>
      <c r="R461" s="895" t="s">
        <v>886</v>
      </c>
      <c r="S461" s="896"/>
      <c r="T461" s="900" t="s">
        <v>835</v>
      </c>
      <c r="U461" s="900" t="s">
        <v>836</v>
      </c>
      <c r="V461" s="900" t="s">
        <v>837</v>
      </c>
      <c r="W461" s="902" t="s">
        <v>838</v>
      </c>
      <c r="X461" s="364"/>
      <c r="Y461" s="364"/>
      <c r="Z461" s="364"/>
      <c r="AA461" s="367"/>
      <c r="AB461"/>
      <c r="AC461"/>
      <c r="AD461"/>
      <c r="AE461"/>
      <c r="AF461"/>
      <c r="AG461"/>
    </row>
    <row r="462" spans="17:33" ht="12.75" customHeight="1">
      <c r="Q462" s="364"/>
      <c r="R462" s="892"/>
      <c r="S462" s="897"/>
      <c r="T462" s="901"/>
      <c r="U462" s="901"/>
      <c r="V462" s="901"/>
      <c r="W462" s="903"/>
      <c r="X462" s="364"/>
      <c r="Y462" s="364"/>
      <c r="Z462" s="364"/>
      <c r="AA462" s="367"/>
      <c r="AB462"/>
      <c r="AC462"/>
      <c r="AD462"/>
      <c r="AE462"/>
      <c r="AF462"/>
      <c r="AG462"/>
    </row>
    <row r="463" spans="17:33" ht="12.75" customHeight="1">
      <c r="Q463" s="364"/>
      <c r="R463" s="892"/>
      <c r="S463" s="897"/>
      <c r="T463" s="689">
        <f>T450-PPE!$I$15</f>
        <v>104.67666655636688</v>
      </c>
      <c r="U463" s="560">
        <f>U457</f>
        <v>1.4285714285714284</v>
      </c>
      <c r="V463" s="690">
        <f>IF(T463&gt;0,W463*U463," ")</f>
        <v>1660.7142857142856</v>
      </c>
      <c r="W463" s="691">
        <f>IF(T463&gt;0,(VLOOKUP(T463,'Lookup Ready-reckoner'!$B$5:$E$1207,4))," ")</f>
        <v>1162.5</v>
      </c>
      <c r="X463" s="364"/>
      <c r="Y463" s="364"/>
      <c r="Z463" s="364"/>
      <c r="AA463" s="367"/>
      <c r="AB463"/>
      <c r="AC463"/>
      <c r="AD463"/>
      <c r="AE463"/>
      <c r="AF463"/>
      <c r="AG463"/>
    </row>
    <row r="464" spans="17:33" ht="12.75" customHeight="1">
      <c r="Q464" s="364"/>
      <c r="R464" s="898"/>
      <c r="S464" s="899"/>
      <c r="T464" s="447"/>
      <c r="U464" s="560"/>
      <c r="V464" s="690" t="str">
        <f>IF(T464&gt;0,W464*U464," ")</f>
        <v xml:space="preserve"> </v>
      </c>
      <c r="W464" s="691" t="str">
        <f>IF(T464&gt;0,(VLOOKUP(T464,'Lookup Ready-reckoner'!$B$5:$E$1007,4))," ")</f>
        <v xml:space="preserve"> </v>
      </c>
      <c r="X464" s="364"/>
      <c r="Y464" s="364"/>
      <c r="Z464" s="364"/>
      <c r="AA464" s="367"/>
      <c r="AB464"/>
      <c r="AC464"/>
      <c r="AD464"/>
      <c r="AE464"/>
      <c r="AF464"/>
      <c r="AG464"/>
    </row>
    <row r="465" spans="17:33" ht="12.75" customHeight="1" thickBot="1">
      <c r="Q465" s="364"/>
      <c r="R465" s="692" t="s">
        <v>839</v>
      </c>
      <c r="S465" s="693"/>
      <c r="T465" s="693"/>
      <c r="U465" s="694">
        <f>IF(T463&gt;0,(VLOOKUP(V465,'Lookup Ready-reckoner'!$L$5:$M$1207,2))," ")</f>
        <v>97.15</v>
      </c>
      <c r="V465" s="695">
        <f>IF(U463&gt;0,(SUM(V463:V464))," ")</f>
        <v>1660.7142857142856</v>
      </c>
      <c r="W465" s="696"/>
      <c r="X465" s="364"/>
      <c r="Y465" s="364"/>
      <c r="Z465" s="364"/>
      <c r="AA465" s="367"/>
      <c r="AB465"/>
      <c r="AC465"/>
      <c r="AD465"/>
      <c r="AE465"/>
      <c r="AF465"/>
      <c r="AG465"/>
    </row>
    <row r="466" spans="17:33" ht="12.75" customHeight="1">
      <c r="Q466" s="364"/>
      <c r="R466" s="363"/>
      <c r="S466" s="363"/>
      <c r="T466" s="363"/>
      <c r="U466" s="363"/>
      <c r="V466" s="363"/>
      <c r="W466" s="363"/>
      <c r="X466" s="364"/>
      <c r="Y466" s="364"/>
      <c r="Z466" s="364"/>
      <c r="AA466" s="367"/>
      <c r="AB466"/>
      <c r="AC466"/>
      <c r="AD466"/>
      <c r="AE466"/>
      <c r="AF466"/>
      <c r="AG466"/>
    </row>
    <row r="467" spans="17:33" ht="12.75" customHeight="1" thickBot="1">
      <c r="Q467" s="364"/>
      <c r="R467" s="915" t="str">
        <f>R348</f>
        <v>Seco S215 Muffled</v>
      </c>
      <c r="S467" s="915"/>
      <c r="T467" s="915"/>
      <c r="U467" s="915"/>
      <c r="V467" s="915"/>
      <c r="W467" s="915"/>
      <c r="X467" s="364"/>
      <c r="Y467" s="364"/>
      <c r="Z467" s="364"/>
      <c r="AA467" s="367"/>
      <c r="AB467"/>
      <c r="AC467"/>
      <c r="AD467"/>
      <c r="AE467"/>
      <c r="AF467"/>
      <c r="AG467"/>
    </row>
    <row r="468" spans="17:33" ht="12.75" customHeight="1" thickBot="1">
      <c r="Q468" s="364"/>
      <c r="R468" s="906" t="s">
        <v>205</v>
      </c>
      <c r="S468" s="907"/>
      <c r="T468" s="907"/>
      <c r="U468" s="907"/>
      <c r="V468" s="907"/>
      <c r="W468" s="908"/>
      <c r="X468" s="364"/>
      <c r="Y468" s="364"/>
      <c r="Z468" s="364"/>
      <c r="AA468" s="367"/>
      <c r="AB468"/>
      <c r="AC468"/>
      <c r="AD468"/>
      <c r="AE468"/>
      <c r="AF468"/>
      <c r="AG468"/>
    </row>
    <row r="469" spans="17:33" ht="12.75" customHeight="1" thickBot="1">
      <c r="Q469" s="364"/>
      <c r="R469" s="686" t="s">
        <v>59</v>
      </c>
      <c r="S469" s="577"/>
      <c r="T469" s="687"/>
      <c r="U469" s="687"/>
      <c r="V469" s="687"/>
      <c r="W469" s="688"/>
      <c r="X469" s="364"/>
      <c r="Y469" s="364"/>
      <c r="Z469" s="364"/>
      <c r="AA469" s="367"/>
      <c r="AB469"/>
      <c r="AC469"/>
      <c r="AD469"/>
      <c r="AE469"/>
      <c r="AF469"/>
      <c r="AG469"/>
    </row>
    <row r="470" spans="17:33" ht="12.75" customHeight="1">
      <c r="Q470" s="364"/>
      <c r="R470" s="895" t="s">
        <v>845</v>
      </c>
      <c r="S470" s="896"/>
      <c r="T470" s="900" t="s">
        <v>835</v>
      </c>
      <c r="U470" s="900" t="s">
        <v>836</v>
      </c>
      <c r="V470" s="900" t="s">
        <v>837</v>
      </c>
      <c r="W470" s="902" t="s">
        <v>838</v>
      </c>
      <c r="X470" s="364"/>
      <c r="Y470" s="364"/>
      <c r="Z470" s="364"/>
      <c r="AA470" s="367"/>
      <c r="AB470"/>
      <c r="AC470"/>
      <c r="AD470"/>
      <c r="AE470"/>
      <c r="AF470"/>
      <c r="AG470"/>
    </row>
    <row r="471" spans="17:33" ht="12.75" customHeight="1">
      <c r="Q471" s="364"/>
      <c r="R471" s="892"/>
      <c r="S471" s="897"/>
      <c r="T471" s="904"/>
      <c r="U471" s="904"/>
      <c r="V471" s="904"/>
      <c r="W471" s="905"/>
      <c r="X471" s="364"/>
      <c r="Y471" s="364"/>
      <c r="Z471" s="364"/>
      <c r="AA471" s="367"/>
      <c r="AB471"/>
      <c r="AC471"/>
      <c r="AD471"/>
      <c r="AE471"/>
      <c r="AF471"/>
      <c r="AG471"/>
    </row>
    <row r="472" spans="17:33" ht="12.75" customHeight="1">
      <c r="Q472" s="364"/>
      <c r="R472" s="892"/>
      <c r="S472" s="897"/>
      <c r="T472" s="901"/>
      <c r="U472" s="901"/>
      <c r="V472" s="901"/>
      <c r="W472" s="903"/>
      <c r="X472" s="364"/>
      <c r="Y472" s="364"/>
      <c r="Z472" s="364"/>
      <c r="AA472" s="367"/>
      <c r="AB472"/>
      <c r="AC472"/>
      <c r="AD472"/>
      <c r="AE472"/>
      <c r="AF472"/>
      <c r="AG472"/>
    </row>
    <row r="473" spans="17:33" ht="12.75" customHeight="1">
      <c r="Q473" s="364"/>
      <c r="R473" s="892"/>
      <c r="S473" s="897"/>
      <c r="T473" s="700">
        <f>V76</f>
        <v>114.02059991327963</v>
      </c>
      <c r="U473" s="560">
        <f>V62</f>
        <v>1.9999999999999996</v>
      </c>
      <c r="V473" s="690">
        <f>IF(T473&gt;0,W473*U473," ")</f>
        <v>19999.999999999996</v>
      </c>
      <c r="W473" s="691">
        <f>IF(T473&gt;0,(VLOOKUP(T473,'Lookup Ready-reckoner'!$B$5:$E$1207,4))," ")</f>
        <v>10000</v>
      </c>
      <c r="X473" s="364"/>
      <c r="Y473" s="364"/>
      <c r="Z473" s="364"/>
      <c r="AA473" s="367"/>
      <c r="AB473"/>
      <c r="AC473"/>
      <c r="AD473"/>
      <c r="AE473"/>
      <c r="AF473"/>
      <c r="AG473"/>
    </row>
    <row r="474" spans="17:33" ht="12.75" customHeight="1">
      <c r="Q474" s="364"/>
      <c r="R474" s="898"/>
      <c r="S474" s="899"/>
      <c r="T474" s="447"/>
      <c r="U474" s="560"/>
      <c r="V474" s="690" t="str">
        <f>IF(T474&gt;0,W474*U474," ")</f>
        <v xml:space="preserve"> </v>
      </c>
      <c r="W474" s="691" t="str">
        <f>IF(T474&gt;0,(VLOOKUP(T474,'Lookup Ready-reckoner'!$B$5:$E$1007,4))," ")</f>
        <v xml:space="preserve"> </v>
      </c>
      <c r="X474" s="364"/>
      <c r="Y474" s="364"/>
      <c r="Z474" s="364"/>
      <c r="AA474" s="367"/>
      <c r="AB474"/>
      <c r="AC474"/>
      <c r="AD474"/>
      <c r="AE474"/>
      <c r="AF474"/>
      <c r="AG474"/>
    </row>
    <row r="475" spans="17:33" ht="12.75" customHeight="1" thickBot="1">
      <c r="Q475" s="364"/>
      <c r="R475" s="699" t="s">
        <v>839</v>
      </c>
      <c r="S475" s="693"/>
      <c r="T475" s="693"/>
      <c r="U475" s="701">
        <f>IF(T473&gt;0,(VLOOKUP(V475,'Lookup Ready-reckoner'!$L$5:$M$1207,2))," ")</f>
        <v>107.95</v>
      </c>
      <c r="V475" s="695">
        <f>IF(U473&gt;0,(SUM(V473:V474))," ")</f>
        <v>19999.999999999996</v>
      </c>
      <c r="W475" s="696"/>
      <c r="X475" s="364"/>
      <c r="Y475" s="364"/>
      <c r="Z475" s="364"/>
      <c r="AA475" s="367"/>
      <c r="AB475"/>
      <c r="AC475"/>
      <c r="AD475"/>
      <c r="AE475"/>
      <c r="AF475"/>
      <c r="AG475"/>
    </row>
    <row r="476" spans="17:33" ht="12.75" customHeight="1" thickBot="1">
      <c r="Q476" s="364"/>
      <c r="R476" s="892"/>
      <c r="S476" s="893"/>
      <c r="T476" s="893"/>
      <c r="U476" s="893"/>
      <c r="V476" s="893"/>
      <c r="W476" s="894"/>
      <c r="X476" s="364"/>
      <c r="Y476" s="364"/>
      <c r="Z476" s="364"/>
      <c r="AA476" s="367"/>
      <c r="AB476"/>
      <c r="AC476"/>
      <c r="AD476"/>
      <c r="AE476"/>
      <c r="AF476"/>
      <c r="AG476"/>
    </row>
    <row r="477" spans="17:33" ht="12.75" customHeight="1">
      <c r="Q477" s="364"/>
      <c r="R477" s="895" t="s">
        <v>886</v>
      </c>
      <c r="S477" s="896"/>
      <c r="T477" s="900" t="s">
        <v>835</v>
      </c>
      <c r="U477" s="900" t="s">
        <v>836</v>
      </c>
      <c r="V477" s="900" t="s">
        <v>837</v>
      </c>
      <c r="W477" s="902" t="s">
        <v>838</v>
      </c>
      <c r="X477" s="364"/>
      <c r="Y477" s="364"/>
      <c r="Z477" s="364"/>
      <c r="AA477" s="367"/>
      <c r="AB477"/>
      <c r="AC477"/>
      <c r="AD477"/>
      <c r="AE477"/>
      <c r="AF477"/>
      <c r="AG477"/>
    </row>
    <row r="478" spans="17:33" ht="12.75" customHeight="1">
      <c r="Q478" s="364"/>
      <c r="R478" s="892"/>
      <c r="S478" s="897"/>
      <c r="T478" s="901"/>
      <c r="U478" s="901"/>
      <c r="V478" s="901"/>
      <c r="W478" s="903"/>
      <c r="X478" s="364"/>
      <c r="Y478" s="364"/>
      <c r="Z478" s="364"/>
      <c r="AA478" s="367"/>
      <c r="AB478"/>
      <c r="AC478"/>
      <c r="AD478"/>
      <c r="AE478"/>
      <c r="AF478"/>
      <c r="AG478"/>
    </row>
    <row r="479" spans="17:33" ht="12.75" customHeight="1">
      <c r="Q479" s="364"/>
      <c r="R479" s="892"/>
      <c r="S479" s="897"/>
      <c r="T479" s="700">
        <f>T473*(1-0.0178*2)</f>
        <v>109.96146655636687</v>
      </c>
      <c r="U479" s="560">
        <f>U473</f>
        <v>1.9999999999999996</v>
      </c>
      <c r="V479" s="690">
        <f>IF(T479&gt;0,W479*U479," ")</f>
        <v>7919.9999999999982</v>
      </c>
      <c r="W479" s="691">
        <f>IF(T479&gt;0,(VLOOKUP(T479,'Lookup Ready-reckoner'!$B$5:$E$1207,4))," ")</f>
        <v>3960</v>
      </c>
      <c r="X479" s="364"/>
      <c r="Y479" s="364"/>
      <c r="Z479" s="364"/>
      <c r="AA479" s="367"/>
      <c r="AB479"/>
      <c r="AC479"/>
      <c r="AD479"/>
      <c r="AE479"/>
      <c r="AF479"/>
      <c r="AG479"/>
    </row>
    <row r="480" spans="17:33" ht="12.75" customHeight="1">
      <c r="Q480" s="364"/>
      <c r="R480" s="898"/>
      <c r="S480" s="899"/>
      <c r="T480" s="447"/>
      <c r="U480" s="560"/>
      <c r="V480" s="690" t="str">
        <f>IF(T480&gt;0,W480*U480," ")</f>
        <v xml:space="preserve"> </v>
      </c>
      <c r="W480" s="691" t="str">
        <f>IF(T480&gt;0,(VLOOKUP(T480,'Lookup Ready-reckoner'!$B$5:$E$1007,4))," ")</f>
        <v xml:space="preserve"> </v>
      </c>
      <c r="X480" s="364"/>
      <c r="Y480" s="364"/>
      <c r="Z480" s="364"/>
      <c r="AA480" s="367"/>
      <c r="AB480"/>
      <c r="AC480"/>
      <c r="AD480"/>
      <c r="AE480"/>
      <c r="AF480"/>
      <c r="AG480"/>
    </row>
    <row r="481" spans="17:33" ht="12.75" customHeight="1" thickBot="1">
      <c r="Q481" s="364"/>
      <c r="R481" s="692" t="s">
        <v>839</v>
      </c>
      <c r="S481" s="693"/>
      <c r="T481" s="693"/>
      <c r="U481" s="701">
        <f>IF(T479&gt;0,(VLOOKUP(V481,'Lookup Ready-reckoner'!$L$5:$M$1207,2))," ")</f>
        <v>103.9</v>
      </c>
      <c r="V481" s="695">
        <f>IF(U479&gt;0,(SUM(V479:V480))," ")</f>
        <v>7919.9999999999982</v>
      </c>
      <c r="W481" s="696"/>
      <c r="X481" s="364"/>
      <c r="Y481" s="364"/>
      <c r="Z481" s="364"/>
      <c r="AA481" s="367"/>
      <c r="AB481"/>
      <c r="AC481"/>
      <c r="AD481"/>
      <c r="AE481"/>
      <c r="AF481"/>
      <c r="AG481"/>
    </row>
    <row r="482" spans="17:33" ht="12.75" customHeight="1">
      <c r="Q482" s="364"/>
      <c r="R482" s="697"/>
      <c r="S482" s="687"/>
      <c r="T482" s="687"/>
      <c r="U482" s="372"/>
      <c r="V482" s="374"/>
      <c r="W482" s="688"/>
      <c r="X482" s="364"/>
      <c r="Y482" s="364"/>
      <c r="Z482" s="364"/>
      <c r="AA482" s="367"/>
      <c r="AB482"/>
      <c r="AC482"/>
      <c r="AD482"/>
      <c r="AE482"/>
      <c r="AF482"/>
      <c r="AG482"/>
    </row>
    <row r="483" spans="17:33" ht="12.75" customHeight="1" thickBot="1">
      <c r="Q483" s="364"/>
      <c r="R483" s="686" t="s">
        <v>60</v>
      </c>
      <c r="S483" s="577"/>
      <c r="T483" s="577"/>
      <c r="U483" s="577"/>
      <c r="V483" s="577"/>
      <c r="W483" s="698"/>
      <c r="X483" s="364"/>
      <c r="Y483" s="364"/>
      <c r="Z483" s="364"/>
      <c r="AA483" s="367"/>
      <c r="AB483"/>
      <c r="AC483"/>
      <c r="AD483"/>
      <c r="AE483"/>
      <c r="AF483"/>
      <c r="AG483"/>
    </row>
    <row r="484" spans="17:33" ht="12.75" customHeight="1">
      <c r="Q484" s="364"/>
      <c r="R484" s="895" t="s">
        <v>845</v>
      </c>
      <c r="S484" s="896"/>
      <c r="T484" s="900" t="s">
        <v>835</v>
      </c>
      <c r="U484" s="900" t="s">
        <v>836</v>
      </c>
      <c r="V484" s="900" t="s">
        <v>837</v>
      </c>
      <c r="W484" s="902" t="s">
        <v>838</v>
      </c>
      <c r="X484" s="364"/>
      <c r="Y484" s="364"/>
      <c r="Z484" s="364"/>
      <c r="AA484" s="367"/>
      <c r="AB484"/>
      <c r="AC484"/>
      <c r="AD484"/>
      <c r="AE484"/>
      <c r="AF484"/>
      <c r="AG484"/>
    </row>
    <row r="485" spans="17:33" ht="12.75" customHeight="1">
      <c r="Q485" s="364"/>
      <c r="R485" s="892"/>
      <c r="S485" s="897"/>
      <c r="T485" s="901"/>
      <c r="U485" s="901"/>
      <c r="V485" s="901"/>
      <c r="W485" s="903"/>
      <c r="X485" s="364"/>
      <c r="Y485" s="364"/>
      <c r="Z485" s="364"/>
      <c r="AA485" s="367"/>
      <c r="AB485"/>
      <c r="AC485"/>
      <c r="AD485"/>
      <c r="AE485"/>
      <c r="AF485"/>
      <c r="AG485"/>
    </row>
    <row r="486" spans="17:33" ht="12.75" customHeight="1">
      <c r="Q486" s="364"/>
      <c r="R486" s="892"/>
      <c r="S486" s="897"/>
      <c r="T486" s="700">
        <f>T473-PPE!$I$15</f>
        <v>101.02059991327963</v>
      </c>
      <c r="U486" s="560">
        <f>U479</f>
        <v>1.9999999999999996</v>
      </c>
      <c r="V486" s="690">
        <f>IF(T486&gt;0,W486*U486," ")</f>
        <v>999.99999999999977</v>
      </c>
      <c r="W486" s="691">
        <f>IF(T486&gt;0,(VLOOKUP(T486,'Lookup Ready-reckoner'!$B$5:$E$1207,4))," ")</f>
        <v>500</v>
      </c>
      <c r="X486" s="364"/>
      <c r="Y486" s="364"/>
      <c r="Z486" s="364"/>
      <c r="AA486" s="367"/>
      <c r="AB486"/>
      <c r="AC486"/>
      <c r="AD486"/>
      <c r="AE486"/>
      <c r="AF486"/>
      <c r="AG486"/>
    </row>
    <row r="487" spans="17:33" ht="12.75" customHeight="1">
      <c r="Q487" s="364"/>
      <c r="R487" s="898"/>
      <c r="S487" s="899"/>
      <c r="T487" s="447"/>
      <c r="U487" s="560"/>
      <c r="V487" s="690" t="str">
        <f>IF(T487&gt;0,W487*U487," ")</f>
        <v xml:space="preserve"> </v>
      </c>
      <c r="W487" s="691" t="str">
        <f>IF(T487&gt;0,(VLOOKUP(T487,'Lookup Ready-reckoner'!$B$5:$E$1007,4))," ")</f>
        <v xml:space="preserve"> </v>
      </c>
      <c r="X487" s="364"/>
      <c r="Y487" s="364"/>
      <c r="Z487" s="364"/>
      <c r="AA487" s="367"/>
      <c r="AB487"/>
      <c r="AC487"/>
      <c r="AD487"/>
      <c r="AE487"/>
      <c r="AF487"/>
      <c r="AG487"/>
    </row>
    <row r="488" spans="17:33" ht="12.75" customHeight="1" thickBot="1">
      <c r="Q488" s="364"/>
      <c r="R488" s="692" t="s">
        <v>839</v>
      </c>
      <c r="S488" s="693"/>
      <c r="T488" s="693"/>
      <c r="U488" s="701">
        <f>IF(T486&gt;0,(VLOOKUP(V488,'Lookup Ready-reckoner'!$L$5:$M$1207,2))," ")</f>
        <v>94.95</v>
      </c>
      <c r="V488" s="695">
        <f>IF(U486&gt;0,(SUM(V486:V487))," ")</f>
        <v>999.99999999999977</v>
      </c>
      <c r="W488" s="696"/>
      <c r="X488" s="364"/>
      <c r="Y488" s="364"/>
      <c r="Z488" s="364"/>
      <c r="AA488" s="367"/>
      <c r="AB488"/>
      <c r="AC488"/>
      <c r="AD488"/>
      <c r="AE488"/>
      <c r="AF488"/>
      <c r="AG488"/>
    </row>
    <row r="489" spans="17:33" ht="12.75" customHeight="1" thickBot="1">
      <c r="Q489" s="364"/>
      <c r="R489" s="892"/>
      <c r="S489" s="893"/>
      <c r="T489" s="893"/>
      <c r="U489" s="893"/>
      <c r="V489" s="893"/>
      <c r="W489" s="894"/>
      <c r="X489" s="364"/>
      <c r="Y489" s="364"/>
      <c r="Z489" s="364"/>
      <c r="AA489" s="367"/>
      <c r="AB489"/>
      <c r="AC489"/>
      <c r="AD489"/>
      <c r="AE489"/>
      <c r="AF489"/>
      <c r="AG489"/>
    </row>
    <row r="490" spans="17:33" ht="12.75" customHeight="1">
      <c r="Q490" s="364"/>
      <c r="R490" s="895" t="s">
        <v>886</v>
      </c>
      <c r="S490" s="896"/>
      <c r="T490" s="900" t="s">
        <v>835</v>
      </c>
      <c r="U490" s="900" t="s">
        <v>836</v>
      </c>
      <c r="V490" s="900" t="s">
        <v>837</v>
      </c>
      <c r="W490" s="902" t="s">
        <v>838</v>
      </c>
      <c r="X490" s="364"/>
      <c r="Y490" s="364"/>
      <c r="Z490" s="364"/>
      <c r="AA490" s="367"/>
      <c r="AB490"/>
      <c r="AC490"/>
      <c r="AD490"/>
      <c r="AE490"/>
      <c r="AF490"/>
      <c r="AG490"/>
    </row>
    <row r="491" spans="17:33" ht="12.75" customHeight="1">
      <c r="Q491" s="364"/>
      <c r="R491" s="892"/>
      <c r="S491" s="897"/>
      <c r="T491" s="901"/>
      <c r="U491" s="901"/>
      <c r="V491" s="901"/>
      <c r="W491" s="903"/>
      <c r="X491" s="364"/>
      <c r="Y491" s="364"/>
      <c r="Z491" s="364"/>
      <c r="AA491" s="367"/>
      <c r="AB491"/>
      <c r="AC491"/>
      <c r="AD491"/>
      <c r="AE491"/>
      <c r="AF491"/>
      <c r="AG491"/>
    </row>
    <row r="492" spans="17:33" ht="12.75" customHeight="1">
      <c r="Q492" s="364"/>
      <c r="R492" s="892"/>
      <c r="S492" s="897"/>
      <c r="T492" s="700">
        <f>T479-PPE!$I$15</f>
        <v>96.961466556366872</v>
      </c>
      <c r="U492" s="560">
        <f>U486</f>
        <v>1.9999999999999996</v>
      </c>
      <c r="V492" s="690">
        <f>IF(T492&gt;0,W492*U492," ")</f>
        <v>395.62499999999989</v>
      </c>
      <c r="W492" s="691">
        <f>IF(T492&gt;0,(VLOOKUP(T492,'Lookup Ready-reckoner'!$B$5:$E$1207,4))," ")</f>
        <v>197.8125</v>
      </c>
      <c r="X492" s="364"/>
      <c r="Y492" s="364"/>
      <c r="Z492" s="364"/>
      <c r="AA492" s="367"/>
      <c r="AB492"/>
      <c r="AC492"/>
      <c r="AD492"/>
      <c r="AE492"/>
      <c r="AF492"/>
      <c r="AG492"/>
    </row>
    <row r="493" spans="17:33" ht="12.75" customHeight="1">
      <c r="Q493" s="364"/>
      <c r="R493" s="898"/>
      <c r="S493" s="899"/>
      <c r="T493" s="447"/>
      <c r="U493" s="560"/>
      <c r="V493" s="690" t="str">
        <f>IF(T493&gt;0,W493*U493," ")</f>
        <v xml:space="preserve"> </v>
      </c>
      <c r="W493" s="691" t="str">
        <f>IF(T493&gt;0,(VLOOKUP(T493,'Lookup Ready-reckoner'!$B$5:$E$1007,4))," ")</f>
        <v xml:space="preserve"> </v>
      </c>
      <c r="X493" s="364"/>
      <c r="Y493" s="364"/>
      <c r="Z493" s="364"/>
      <c r="AA493" s="367"/>
      <c r="AB493"/>
      <c r="AC493"/>
      <c r="AD493"/>
      <c r="AE493"/>
      <c r="AF493"/>
      <c r="AG493"/>
    </row>
    <row r="494" spans="17:33" ht="12.75" customHeight="1" thickBot="1">
      <c r="Q494" s="364"/>
      <c r="R494" s="692" t="s">
        <v>839</v>
      </c>
      <c r="S494" s="693"/>
      <c r="T494" s="693"/>
      <c r="U494" s="701">
        <f>IF(T492&gt;0,(VLOOKUP(V494,'Lookup Ready-reckoner'!$L$5:$M$1207,2))," ")</f>
        <v>90.9</v>
      </c>
      <c r="V494" s="695">
        <f>IF(U492&gt;0,(SUM(V492:V493))," ")</f>
        <v>395.62499999999989</v>
      </c>
      <c r="W494" s="696"/>
      <c r="X494" s="364"/>
      <c r="Y494" s="364"/>
      <c r="Z494" s="364"/>
      <c r="AA494" s="367"/>
      <c r="AB494"/>
      <c r="AC494"/>
      <c r="AD494"/>
      <c r="AE494"/>
      <c r="AF494"/>
      <c r="AG494"/>
    </row>
    <row r="495" spans="17:33" ht="12.75" customHeight="1">
      <c r="Q495" s="364"/>
      <c r="R495" s="363"/>
      <c r="S495" s="363"/>
      <c r="T495" s="363"/>
      <c r="U495" s="363"/>
      <c r="V495" s="363"/>
      <c r="W495" s="363"/>
      <c r="X495" s="364"/>
      <c r="Y495" s="364"/>
      <c r="Z495" s="364"/>
      <c r="AA495" s="367"/>
      <c r="AB495"/>
      <c r="AC495"/>
      <c r="AD495"/>
      <c r="AE495"/>
      <c r="AF495"/>
      <c r="AG495"/>
    </row>
    <row r="496" spans="17:33" ht="12.75" customHeight="1">
      <c r="Q496" s="364"/>
      <c r="R496" s="913" t="str">
        <f>R377</f>
        <v>Sulzer ADDS</v>
      </c>
      <c r="S496" s="914"/>
      <c r="T496" s="914"/>
      <c r="U496" s="914"/>
      <c r="V496" s="914"/>
      <c r="W496" s="914"/>
      <c r="X496" s="364"/>
      <c r="Y496" s="364"/>
      <c r="Z496" s="364"/>
      <c r="AA496" s="367"/>
      <c r="AB496"/>
      <c r="AC496"/>
      <c r="AD496"/>
      <c r="AE496"/>
      <c r="AF496"/>
      <c r="AG496"/>
    </row>
    <row r="497" spans="17:33" ht="12.75" customHeight="1" thickBot="1">
      <c r="Q497" s="364"/>
      <c r="R497" s="910" t="s">
        <v>205</v>
      </c>
      <c r="S497" s="911"/>
      <c r="T497" s="911"/>
      <c r="U497" s="911"/>
      <c r="V497" s="911"/>
      <c r="W497" s="912"/>
      <c r="X497" s="364"/>
      <c r="Y497" s="364"/>
      <c r="Z497" s="364"/>
      <c r="AA497" s="367"/>
      <c r="AB497"/>
      <c r="AC497"/>
      <c r="AD497"/>
      <c r="AE497"/>
      <c r="AF497"/>
      <c r="AG497"/>
    </row>
    <row r="498" spans="17:33" ht="12.75" customHeight="1" thickBot="1">
      <c r="Q498" s="364"/>
      <c r="R498" s="686" t="s">
        <v>59</v>
      </c>
      <c r="S498" s="577"/>
      <c r="T498" s="687"/>
      <c r="U498" s="687"/>
      <c r="V498" s="687"/>
      <c r="W498" s="688"/>
      <c r="X498" s="364"/>
      <c r="Y498" s="364"/>
      <c r="Z498" s="364"/>
      <c r="AA498" s="367"/>
      <c r="AB498"/>
      <c r="AC498"/>
      <c r="AD498"/>
      <c r="AE498"/>
      <c r="AF498"/>
      <c r="AG498"/>
    </row>
    <row r="499" spans="17:33" ht="12.75" customHeight="1">
      <c r="Q499" s="364"/>
      <c r="R499" s="895" t="s">
        <v>845</v>
      </c>
      <c r="S499" s="896"/>
      <c r="T499" s="900" t="s">
        <v>835</v>
      </c>
      <c r="U499" s="900" t="s">
        <v>836</v>
      </c>
      <c r="V499" s="900" t="s">
        <v>837</v>
      </c>
      <c r="W499" s="902" t="s">
        <v>838</v>
      </c>
      <c r="X499" s="364"/>
      <c r="Y499" s="364"/>
      <c r="Z499" s="364"/>
      <c r="AA499" s="367"/>
      <c r="AB499"/>
      <c r="AC499"/>
      <c r="AD499"/>
      <c r="AE499"/>
      <c r="AF499"/>
      <c r="AG499"/>
    </row>
    <row r="500" spans="17:33" ht="12.75" customHeight="1">
      <c r="Q500" s="364"/>
      <c r="R500" s="892"/>
      <c r="S500" s="897"/>
      <c r="T500" s="904"/>
      <c r="U500" s="904"/>
      <c r="V500" s="904"/>
      <c r="W500" s="905"/>
      <c r="X500" s="364"/>
      <c r="Y500" s="364"/>
      <c r="Z500" s="364"/>
      <c r="AA500" s="367"/>
      <c r="AB500"/>
      <c r="AC500"/>
      <c r="AD500"/>
      <c r="AE500"/>
      <c r="AF500"/>
      <c r="AG500"/>
    </row>
    <row r="501" spans="17:33" ht="12.75" customHeight="1">
      <c r="Q501" s="364"/>
      <c r="R501" s="892"/>
      <c r="S501" s="897"/>
      <c r="T501" s="901"/>
      <c r="U501" s="901"/>
      <c r="V501" s="901"/>
      <c r="W501" s="903"/>
      <c r="X501" s="364"/>
      <c r="Y501" s="364"/>
      <c r="Z501" s="364"/>
      <c r="AA501" s="367"/>
      <c r="AB501"/>
      <c r="AC501"/>
      <c r="AD501"/>
      <c r="AE501"/>
      <c r="AF501"/>
      <c r="AG501"/>
    </row>
    <row r="502" spans="17:33" ht="12.75" customHeight="1">
      <c r="Q502" s="364"/>
      <c r="R502" s="892"/>
      <c r="S502" s="897"/>
      <c r="T502" s="702">
        <f>W76</f>
        <v>115.02059991327963</v>
      </c>
      <c r="U502" s="560">
        <f>W62</f>
        <v>1.7391304347826084</v>
      </c>
      <c r="V502" s="690">
        <f>IF(T502&gt;0,W502*U502," ")</f>
        <v>22260.869565217388</v>
      </c>
      <c r="W502" s="691">
        <f>IF(T502&gt;0,(VLOOKUP(T502,'Lookup Ready-reckoner'!$B$5:$E$1207,4))," ")</f>
        <v>12800</v>
      </c>
      <c r="X502" s="364"/>
      <c r="Y502" s="364"/>
      <c r="Z502" s="364"/>
      <c r="AA502" s="367"/>
      <c r="AB502"/>
      <c r="AC502"/>
      <c r="AD502"/>
      <c r="AE502"/>
      <c r="AF502"/>
      <c r="AG502"/>
    </row>
    <row r="503" spans="17:33" ht="12.75" customHeight="1">
      <c r="Q503" s="364"/>
      <c r="R503" s="898"/>
      <c r="S503" s="899"/>
      <c r="T503" s="447"/>
      <c r="U503" s="560"/>
      <c r="V503" s="690" t="str">
        <f>IF(T503&gt;0,W503*U503," ")</f>
        <v xml:space="preserve"> </v>
      </c>
      <c r="W503" s="691" t="str">
        <f>IF(T503&gt;0,(VLOOKUP(T503,'Lookup Ready-reckoner'!$B$5:$E$1007,4))," ")</f>
        <v xml:space="preserve"> </v>
      </c>
      <c r="X503" s="364"/>
      <c r="Y503" s="364"/>
      <c r="Z503" s="364"/>
      <c r="AA503" s="367"/>
      <c r="AB503"/>
      <c r="AC503"/>
      <c r="AD503"/>
      <c r="AE503"/>
      <c r="AF503"/>
      <c r="AG503"/>
    </row>
    <row r="504" spans="17:33" ht="12.75" customHeight="1" thickBot="1">
      <c r="Q504" s="364"/>
      <c r="R504" s="692" t="s">
        <v>839</v>
      </c>
      <c r="S504" s="693"/>
      <c r="T504" s="693"/>
      <c r="U504" s="703">
        <f>IF(T502&gt;0,(VLOOKUP(V504,'Lookup Ready-reckoner'!$L$5:$M$1207,2))," ")</f>
        <v>108.4</v>
      </c>
      <c r="V504" s="695">
        <f>IF(U502&gt;0,(SUM(V502:V503))," ")</f>
        <v>22260.869565217388</v>
      </c>
      <c r="W504" s="696"/>
      <c r="X504" s="364"/>
      <c r="Y504" s="364"/>
      <c r="Z504" s="364"/>
      <c r="AA504" s="367"/>
      <c r="AB504"/>
      <c r="AC504"/>
      <c r="AD504"/>
      <c r="AE504"/>
      <c r="AF504"/>
      <c r="AG504"/>
    </row>
    <row r="505" spans="17:33" ht="12.75" customHeight="1" thickBot="1">
      <c r="Q505" s="364"/>
      <c r="R505" s="892"/>
      <c r="S505" s="893"/>
      <c r="T505" s="893"/>
      <c r="U505" s="893"/>
      <c r="V505" s="893"/>
      <c r="W505" s="894"/>
      <c r="X505" s="364"/>
      <c r="Y505" s="364"/>
      <c r="Z505" s="364"/>
      <c r="AA505" s="367"/>
      <c r="AB505"/>
      <c r="AC505"/>
      <c r="AD505"/>
      <c r="AE505"/>
      <c r="AF505"/>
      <c r="AG505"/>
    </row>
    <row r="506" spans="17:33" ht="12.75" customHeight="1">
      <c r="Q506" s="364"/>
      <c r="R506" s="895" t="s">
        <v>886</v>
      </c>
      <c r="S506" s="896"/>
      <c r="T506" s="900" t="s">
        <v>835</v>
      </c>
      <c r="U506" s="900" t="s">
        <v>836</v>
      </c>
      <c r="V506" s="900" t="s">
        <v>837</v>
      </c>
      <c r="W506" s="902" t="s">
        <v>838</v>
      </c>
      <c r="X506" s="364"/>
      <c r="Y506" s="364"/>
      <c r="Z506" s="364"/>
      <c r="AA506" s="367"/>
      <c r="AB506"/>
      <c r="AC506"/>
      <c r="AD506"/>
      <c r="AE506"/>
      <c r="AF506"/>
      <c r="AG506"/>
    </row>
    <row r="507" spans="17:33" ht="12.75" customHeight="1">
      <c r="Q507" s="364"/>
      <c r="R507" s="892"/>
      <c r="S507" s="897"/>
      <c r="T507" s="901"/>
      <c r="U507" s="901"/>
      <c r="V507" s="901"/>
      <c r="W507" s="903"/>
      <c r="X507" s="364"/>
      <c r="Y507" s="364"/>
      <c r="Z507" s="364"/>
      <c r="AA507" s="367"/>
      <c r="AB507"/>
      <c r="AC507"/>
      <c r="AD507"/>
      <c r="AE507"/>
      <c r="AF507"/>
      <c r="AG507"/>
    </row>
    <row r="508" spans="17:33" ht="12.75" customHeight="1">
      <c r="Q508" s="364"/>
      <c r="R508" s="892"/>
      <c r="S508" s="897"/>
      <c r="T508" s="702">
        <f>T502*(1-0.0178*2)</f>
        <v>110.92586655636687</v>
      </c>
      <c r="U508" s="560">
        <f>U502</f>
        <v>1.7391304347826084</v>
      </c>
      <c r="V508" s="690">
        <f>IF(T508&gt;0,W508*U508," ")</f>
        <v>8521.7391304347821</v>
      </c>
      <c r="W508" s="691">
        <f>IF(T508&gt;0,(VLOOKUP(T508,'Lookup Ready-reckoner'!$B$5:$E$1207,4))," ")</f>
        <v>4900</v>
      </c>
      <c r="X508" s="364"/>
      <c r="Y508" s="364"/>
      <c r="Z508" s="364"/>
      <c r="AA508" s="367"/>
      <c r="AB508"/>
      <c r="AC508"/>
      <c r="AD508"/>
      <c r="AE508"/>
      <c r="AF508"/>
      <c r="AG508"/>
    </row>
    <row r="509" spans="17:33" ht="12.75" customHeight="1">
      <c r="Q509" s="364"/>
      <c r="R509" s="898"/>
      <c r="S509" s="899"/>
      <c r="T509" s="447"/>
      <c r="U509" s="560"/>
      <c r="V509" s="690" t="str">
        <f>IF(T509&gt;0,W509*U509," ")</f>
        <v xml:space="preserve"> </v>
      </c>
      <c r="W509" s="691" t="str">
        <f>IF(T509&gt;0,(VLOOKUP(T509,'Lookup Ready-reckoner'!$B$5:$E$1007,4))," ")</f>
        <v xml:space="preserve"> </v>
      </c>
      <c r="X509" s="364"/>
      <c r="Y509" s="364"/>
      <c r="Z509" s="364"/>
      <c r="AA509" s="367"/>
      <c r="AB509"/>
      <c r="AC509"/>
      <c r="AD509"/>
      <c r="AE509"/>
      <c r="AF509"/>
      <c r="AG509"/>
    </row>
    <row r="510" spans="17:33" ht="12.75" customHeight="1" thickBot="1">
      <c r="Q510" s="364"/>
      <c r="R510" s="692" t="s">
        <v>839</v>
      </c>
      <c r="S510" s="693"/>
      <c r="T510" s="693"/>
      <c r="U510" s="703">
        <f>IF(T508&gt;0,(VLOOKUP(V510,'Lookup Ready-reckoner'!$L$5:$M$1207,2))," ")</f>
        <v>104.25</v>
      </c>
      <c r="V510" s="695">
        <f>IF(U508&gt;0,(SUM(V508:V509))," ")</f>
        <v>8521.7391304347821</v>
      </c>
      <c r="W510" s="696"/>
      <c r="X510" s="364"/>
      <c r="Y510" s="364"/>
      <c r="Z510" s="364"/>
      <c r="AA510" s="367"/>
      <c r="AB510"/>
      <c r="AC510"/>
      <c r="AD510"/>
      <c r="AE510"/>
      <c r="AF510"/>
      <c r="AG510"/>
    </row>
    <row r="511" spans="17:33" ht="12.75" customHeight="1">
      <c r="Q511" s="364"/>
      <c r="R511" s="697"/>
      <c r="S511" s="687"/>
      <c r="T511" s="687"/>
      <c r="U511" s="372"/>
      <c r="V511" s="374"/>
      <c r="W511" s="688"/>
      <c r="X511" s="364"/>
      <c r="Y511" s="364"/>
      <c r="Z511" s="364"/>
      <c r="AA511" s="367"/>
      <c r="AB511"/>
      <c r="AC511"/>
      <c r="AD511"/>
      <c r="AE511"/>
      <c r="AF511"/>
      <c r="AG511"/>
    </row>
    <row r="512" spans="17:33" ht="12.75" customHeight="1" thickBot="1">
      <c r="Q512" s="364"/>
      <c r="R512" s="686" t="s">
        <v>60</v>
      </c>
      <c r="S512" s="577"/>
      <c r="T512" s="577"/>
      <c r="U512" s="577"/>
      <c r="V512" s="577"/>
      <c r="W512" s="698"/>
      <c r="X512" s="364"/>
      <c r="Y512" s="364"/>
      <c r="Z512" s="364"/>
      <c r="AA512" s="367"/>
      <c r="AB512"/>
      <c r="AC512"/>
      <c r="AD512"/>
      <c r="AE512"/>
      <c r="AF512"/>
      <c r="AG512"/>
    </row>
    <row r="513" spans="17:33" ht="12.75" customHeight="1">
      <c r="Q513" s="364"/>
      <c r="R513" s="895" t="s">
        <v>845</v>
      </c>
      <c r="S513" s="896"/>
      <c r="T513" s="900" t="s">
        <v>835</v>
      </c>
      <c r="U513" s="900" t="s">
        <v>836</v>
      </c>
      <c r="V513" s="900" t="s">
        <v>837</v>
      </c>
      <c r="W513" s="902" t="s">
        <v>838</v>
      </c>
      <c r="X513" s="364"/>
      <c r="Y513" s="364"/>
      <c r="Z513" s="364"/>
      <c r="AA513" s="367"/>
      <c r="AB513"/>
      <c r="AC513"/>
      <c r="AD513"/>
      <c r="AE513"/>
      <c r="AF513"/>
      <c r="AG513"/>
    </row>
    <row r="514" spans="17:33" ht="12.75" customHeight="1">
      <c r="Q514" s="364"/>
      <c r="R514" s="892"/>
      <c r="S514" s="897"/>
      <c r="T514" s="901"/>
      <c r="U514" s="901"/>
      <c r="V514" s="901"/>
      <c r="W514" s="903"/>
      <c r="X514" s="364"/>
      <c r="Y514" s="364"/>
      <c r="Z514" s="364"/>
      <c r="AA514" s="367"/>
      <c r="AB514"/>
      <c r="AC514"/>
      <c r="AD514"/>
      <c r="AE514"/>
      <c r="AF514"/>
      <c r="AG514"/>
    </row>
    <row r="515" spans="17:33" ht="12.75" customHeight="1">
      <c r="Q515" s="364"/>
      <c r="R515" s="892"/>
      <c r="S515" s="897"/>
      <c r="T515" s="702">
        <f>T502-PPE!$I$15</f>
        <v>102.02059991327963</v>
      </c>
      <c r="U515" s="560">
        <f>U508</f>
        <v>1.7391304347826084</v>
      </c>
      <c r="V515" s="690">
        <f>IF(T515&gt;0,W515*U515," ")</f>
        <v>1086.9565217391303</v>
      </c>
      <c r="W515" s="691">
        <f>IF(T515&gt;0,(VLOOKUP(T515,'Lookup Ready-reckoner'!$B$5:$E$1207,4))," ")</f>
        <v>625</v>
      </c>
      <c r="X515" s="364"/>
      <c r="Y515" s="364"/>
      <c r="Z515" s="364"/>
      <c r="AA515" s="367"/>
      <c r="AB515"/>
      <c r="AC515"/>
      <c r="AD515"/>
      <c r="AE515"/>
      <c r="AF515"/>
      <c r="AG515"/>
    </row>
    <row r="516" spans="17:33" ht="12.75" customHeight="1">
      <c r="Q516" s="364"/>
      <c r="R516" s="898"/>
      <c r="S516" s="899"/>
      <c r="T516" s="447"/>
      <c r="U516" s="560"/>
      <c r="V516" s="690" t="str">
        <f>IF(T516&gt;0,W516*U516," ")</f>
        <v xml:space="preserve"> </v>
      </c>
      <c r="W516" s="691" t="str">
        <f>IF(T516&gt;0,(VLOOKUP(T516,'Lookup Ready-reckoner'!$B$5:$E$1007,4))," ")</f>
        <v xml:space="preserve"> </v>
      </c>
      <c r="X516" s="364"/>
      <c r="Y516" s="364"/>
      <c r="Z516" s="364"/>
      <c r="AA516" s="367"/>
      <c r="AB516"/>
      <c r="AC516"/>
      <c r="AD516"/>
      <c r="AE516"/>
      <c r="AF516"/>
      <c r="AG516"/>
    </row>
    <row r="517" spans="17:33" ht="12.75" customHeight="1" thickBot="1">
      <c r="Q517" s="364"/>
      <c r="R517" s="692" t="s">
        <v>839</v>
      </c>
      <c r="S517" s="693"/>
      <c r="T517" s="693"/>
      <c r="U517" s="703">
        <f>IF(T515&gt;0,(VLOOKUP(V517,'Lookup Ready-reckoner'!$L$5:$M$1207,2))," ")</f>
        <v>95.3</v>
      </c>
      <c r="V517" s="695">
        <f>IF(U515&gt;0,(SUM(V515:V516))," ")</f>
        <v>1086.9565217391303</v>
      </c>
      <c r="W517" s="696"/>
      <c r="X517" s="364"/>
      <c r="Y517" s="364"/>
      <c r="Z517" s="364"/>
      <c r="AA517" s="367"/>
      <c r="AB517"/>
      <c r="AC517"/>
      <c r="AD517"/>
      <c r="AE517"/>
      <c r="AF517"/>
      <c r="AG517"/>
    </row>
    <row r="518" spans="17:33" ht="12.75" customHeight="1" thickBot="1">
      <c r="Q518" s="364"/>
      <c r="R518" s="892"/>
      <c r="S518" s="893"/>
      <c r="T518" s="893"/>
      <c r="U518" s="893"/>
      <c r="V518" s="893"/>
      <c r="W518" s="894"/>
      <c r="X518" s="364"/>
      <c r="Y518" s="364"/>
      <c r="Z518" s="364"/>
      <c r="AA518" s="367"/>
      <c r="AB518"/>
      <c r="AC518"/>
      <c r="AD518"/>
      <c r="AE518"/>
      <c r="AF518"/>
      <c r="AG518"/>
    </row>
    <row r="519" spans="17:33" ht="12.75" customHeight="1">
      <c r="Q519" s="364"/>
      <c r="R519" s="895" t="s">
        <v>886</v>
      </c>
      <c r="S519" s="896"/>
      <c r="T519" s="900" t="s">
        <v>835</v>
      </c>
      <c r="U519" s="900" t="s">
        <v>836</v>
      </c>
      <c r="V519" s="900" t="s">
        <v>837</v>
      </c>
      <c r="W519" s="902" t="s">
        <v>838</v>
      </c>
      <c r="X519" s="364"/>
      <c r="Y519" s="364"/>
      <c r="Z519" s="364"/>
      <c r="AA519" s="367"/>
      <c r="AB519"/>
      <c r="AC519"/>
      <c r="AD519"/>
      <c r="AE519"/>
      <c r="AF519"/>
      <c r="AG519"/>
    </row>
    <row r="520" spans="17:33" ht="12.75" customHeight="1">
      <c r="Q520" s="364"/>
      <c r="R520" s="892"/>
      <c r="S520" s="897"/>
      <c r="T520" s="901"/>
      <c r="U520" s="901"/>
      <c r="V520" s="901"/>
      <c r="W520" s="903"/>
      <c r="X520" s="364"/>
      <c r="Y520" s="364"/>
      <c r="Z520" s="364"/>
      <c r="AA520" s="367"/>
      <c r="AB520"/>
      <c r="AC520"/>
      <c r="AD520"/>
      <c r="AE520"/>
      <c r="AF520"/>
      <c r="AG520"/>
    </row>
    <row r="521" spans="17:33" ht="12.75" customHeight="1">
      <c r="Q521" s="364"/>
      <c r="R521" s="892"/>
      <c r="S521" s="897"/>
      <c r="T521" s="702">
        <f>T508-PPE!$I$15</f>
        <v>97.92586655636687</v>
      </c>
      <c r="U521" s="560">
        <f>U515</f>
        <v>1.7391304347826084</v>
      </c>
      <c r="V521" s="690">
        <f>IF(T521&gt;0,W521*U521," ")</f>
        <v>426.08695652173907</v>
      </c>
      <c r="W521" s="691">
        <f>IF(T521&gt;0,(VLOOKUP(T521,'Lookup Ready-reckoner'!$B$5:$E$1207,4))," ")</f>
        <v>245</v>
      </c>
      <c r="X521" s="364"/>
      <c r="Y521" s="364"/>
      <c r="Z521" s="364"/>
      <c r="AA521" s="367"/>
      <c r="AB521"/>
      <c r="AC521"/>
      <c r="AD521"/>
      <c r="AE521"/>
      <c r="AF521"/>
      <c r="AG521"/>
    </row>
    <row r="522" spans="17:33" ht="12.75" customHeight="1">
      <c r="Q522" s="364"/>
      <c r="R522" s="898"/>
      <c r="S522" s="899"/>
      <c r="T522" s="447"/>
      <c r="U522" s="560"/>
      <c r="V522" s="690" t="str">
        <f>IF(T522&gt;0,W522*U522," ")</f>
        <v xml:space="preserve"> </v>
      </c>
      <c r="W522" s="691" t="str">
        <f>IF(T522&gt;0,(VLOOKUP(T522,'Lookup Ready-reckoner'!$B$5:$E$1007,4))," ")</f>
        <v xml:space="preserve"> </v>
      </c>
      <c r="X522" s="364"/>
      <c r="Y522" s="364"/>
      <c r="Z522" s="364"/>
      <c r="AA522" s="367"/>
      <c r="AB522"/>
      <c r="AC522"/>
      <c r="AD522"/>
      <c r="AE522"/>
      <c r="AF522"/>
      <c r="AG522"/>
    </row>
    <row r="523" spans="17:33" ht="12.75" customHeight="1" thickBot="1">
      <c r="Q523" s="364"/>
      <c r="R523" s="692" t="s">
        <v>839</v>
      </c>
      <c r="S523" s="693"/>
      <c r="T523" s="693"/>
      <c r="U523" s="703">
        <f>IF(T521&gt;0,(VLOOKUP(V523,'Lookup Ready-reckoner'!$L$5:$M$1207,2))," ")</f>
        <v>91.25</v>
      </c>
      <c r="V523" s="695">
        <f>IF(U521&gt;0,(SUM(V521:V522))," ")</f>
        <v>426.08695652173907</v>
      </c>
      <c r="W523" s="696"/>
      <c r="X523" s="364"/>
      <c r="Y523" s="364"/>
      <c r="Z523" s="364"/>
      <c r="AA523" s="367"/>
      <c r="AB523"/>
      <c r="AC523"/>
      <c r="AD523"/>
      <c r="AE523"/>
      <c r="AF523"/>
      <c r="AG523"/>
    </row>
    <row r="524" spans="17:33" ht="12.75" customHeight="1">
      <c r="Q524" s="364"/>
      <c r="R524" s="363"/>
      <c r="S524" s="363"/>
      <c r="T524" s="363"/>
      <c r="U524" s="363"/>
      <c r="V524" s="363"/>
      <c r="W524" s="363"/>
      <c r="X524" s="364"/>
      <c r="Y524" s="364"/>
      <c r="Z524" s="364"/>
      <c r="AA524" s="367"/>
      <c r="AB524"/>
      <c r="AC524"/>
      <c r="AD524"/>
      <c r="AE524"/>
      <c r="AF524"/>
      <c r="AG524"/>
    </row>
    <row r="525" spans="17:33" ht="12.75" customHeight="1">
      <c r="Q525" s="364"/>
      <c r="R525" s="909" t="str">
        <f>R406</f>
        <v xml:space="preserve">Hilti TE MD20 </v>
      </c>
      <c r="S525" s="909"/>
      <c r="T525" s="909"/>
      <c r="U525" s="909"/>
      <c r="V525" s="909"/>
      <c r="W525" s="909"/>
      <c r="X525" s="364"/>
      <c r="Y525" s="364"/>
      <c r="Z525" s="364"/>
      <c r="AA525" s="367"/>
      <c r="AB525"/>
      <c r="AC525"/>
      <c r="AD525"/>
      <c r="AE525"/>
      <c r="AF525"/>
      <c r="AG525"/>
    </row>
    <row r="526" spans="17:33" ht="12.75" customHeight="1" thickBot="1">
      <c r="Q526" s="364"/>
      <c r="R526" s="910" t="s">
        <v>205</v>
      </c>
      <c r="S526" s="911"/>
      <c r="T526" s="911"/>
      <c r="U526" s="911"/>
      <c r="V526" s="911"/>
      <c r="W526" s="912"/>
      <c r="X526" s="364"/>
      <c r="Y526" s="364"/>
      <c r="Z526" s="364"/>
      <c r="AA526" s="367"/>
      <c r="AB526"/>
      <c r="AC526"/>
      <c r="AD526"/>
      <c r="AE526"/>
      <c r="AF526"/>
      <c r="AG526"/>
    </row>
    <row r="527" spans="17:33" ht="12.75" customHeight="1" thickBot="1">
      <c r="Q527" s="364"/>
      <c r="R527" s="686" t="s">
        <v>59</v>
      </c>
      <c r="S527" s="577"/>
      <c r="T527" s="687"/>
      <c r="U527" s="687"/>
      <c r="V527" s="687"/>
      <c r="W527" s="688"/>
      <c r="X527" s="364"/>
      <c r="Y527" s="364"/>
      <c r="Z527" s="364"/>
      <c r="AA527" s="367"/>
      <c r="AB527"/>
      <c r="AC527"/>
      <c r="AD527"/>
      <c r="AE527"/>
      <c r="AF527"/>
      <c r="AG527"/>
    </row>
    <row r="528" spans="17:33" ht="12.75" customHeight="1">
      <c r="Q528" s="364"/>
      <c r="R528" s="895" t="s">
        <v>845</v>
      </c>
      <c r="S528" s="896"/>
      <c r="T528" s="900" t="s">
        <v>835</v>
      </c>
      <c r="U528" s="900" t="s">
        <v>836</v>
      </c>
      <c r="V528" s="900" t="s">
        <v>837</v>
      </c>
      <c r="W528" s="902" t="s">
        <v>838</v>
      </c>
      <c r="X528" s="364"/>
      <c r="Y528" s="364"/>
      <c r="Z528" s="364"/>
      <c r="AA528" s="367"/>
      <c r="AB528"/>
      <c r="AC528"/>
      <c r="AD528"/>
      <c r="AE528"/>
      <c r="AF528"/>
      <c r="AG528"/>
    </row>
    <row r="529" spans="17:33" ht="12.75" customHeight="1">
      <c r="Q529" s="364"/>
      <c r="R529" s="892"/>
      <c r="S529" s="897"/>
      <c r="T529" s="904"/>
      <c r="U529" s="904"/>
      <c r="V529" s="904"/>
      <c r="W529" s="905"/>
      <c r="X529" s="364"/>
      <c r="Y529" s="364"/>
      <c r="Z529" s="364"/>
      <c r="AA529" s="367"/>
      <c r="AB529"/>
      <c r="AC529"/>
      <c r="AD529"/>
      <c r="AE529"/>
      <c r="AF529"/>
      <c r="AG529"/>
    </row>
    <row r="530" spans="17:33" ht="12.75" customHeight="1">
      <c r="Q530" s="364"/>
      <c r="R530" s="892"/>
      <c r="S530" s="897"/>
      <c r="T530" s="901"/>
      <c r="U530" s="901"/>
      <c r="V530" s="901"/>
      <c r="W530" s="903"/>
      <c r="X530" s="364"/>
      <c r="Y530" s="364"/>
      <c r="Z530" s="364"/>
      <c r="AA530" s="367"/>
      <c r="AB530"/>
      <c r="AC530"/>
      <c r="AD530"/>
      <c r="AE530"/>
      <c r="AF530"/>
      <c r="AG530"/>
    </row>
    <row r="531" spans="17:33" ht="12.75" customHeight="1">
      <c r="Q531" s="364"/>
      <c r="R531" s="892"/>
      <c r="S531" s="897"/>
      <c r="T531" s="704">
        <f>U76</f>
        <v>108.02059991327964</v>
      </c>
      <c r="U531" s="560">
        <f>U62</f>
        <v>2.6666666666666665</v>
      </c>
      <c r="V531" s="690">
        <f>IF(T531&gt;0,W531*U531," ")</f>
        <v>6666.6666666666661</v>
      </c>
      <c r="W531" s="691">
        <f>IF(T531&gt;0,(VLOOKUP(T531,'Lookup Ready-reckoner'!$B$5:$E$1207,4))," ")</f>
        <v>2500</v>
      </c>
      <c r="X531" s="364"/>
      <c r="Y531" s="364"/>
      <c r="Z531" s="364"/>
      <c r="AA531" s="367"/>
      <c r="AB531"/>
      <c r="AC531"/>
      <c r="AD531"/>
      <c r="AE531"/>
      <c r="AF531"/>
      <c r="AG531"/>
    </row>
    <row r="532" spans="17:33" ht="12.75" customHeight="1">
      <c r="Q532" s="364"/>
      <c r="R532" s="898"/>
      <c r="S532" s="899"/>
      <c r="T532" s="447"/>
      <c r="U532" s="560"/>
      <c r="V532" s="690" t="str">
        <f>IF(T532&gt;0,W532*U532," ")</f>
        <v xml:space="preserve"> </v>
      </c>
      <c r="W532" s="691" t="str">
        <f>IF(T532&gt;0,(VLOOKUP(T532,'Lookup Ready-reckoner'!$B$5:$E$1007,4))," ")</f>
        <v xml:space="preserve"> </v>
      </c>
      <c r="X532" s="364"/>
      <c r="Y532" s="364"/>
      <c r="Z532" s="364"/>
      <c r="AA532" s="367"/>
      <c r="AB532"/>
      <c r="AC532"/>
      <c r="AD532"/>
      <c r="AE532"/>
      <c r="AF532"/>
      <c r="AG532"/>
    </row>
    <row r="533" spans="17:33" ht="12.75" customHeight="1" thickBot="1">
      <c r="Q533" s="364"/>
      <c r="R533" s="692" t="s">
        <v>839</v>
      </c>
      <c r="S533" s="693"/>
      <c r="T533" s="693"/>
      <c r="U533" s="705">
        <f>IF(T531&gt;0,(VLOOKUP(V533,'Lookup Ready-reckoner'!$L$5:$M$1207,2))," ")</f>
        <v>103.15</v>
      </c>
      <c r="V533" s="695">
        <f>IF(U531&gt;0,(SUM(V531:V532))," ")</f>
        <v>6666.6666666666661</v>
      </c>
      <c r="W533" s="696"/>
      <c r="X533" s="364"/>
      <c r="Y533" s="364"/>
      <c r="Z533" s="364"/>
      <c r="AA533" s="367"/>
      <c r="AB533"/>
      <c r="AC533"/>
      <c r="AD533"/>
      <c r="AE533"/>
      <c r="AF533"/>
      <c r="AG533"/>
    </row>
    <row r="534" spans="17:33" ht="12.75" customHeight="1" thickBot="1">
      <c r="Q534" s="364"/>
      <c r="R534" s="906"/>
      <c r="S534" s="907"/>
      <c r="T534" s="907"/>
      <c r="U534" s="907"/>
      <c r="V534" s="907"/>
      <c r="W534" s="908"/>
      <c r="X534" s="364"/>
      <c r="Y534" s="364"/>
      <c r="Z534" s="364"/>
      <c r="AA534" s="367"/>
      <c r="AB534"/>
      <c r="AC534"/>
      <c r="AD534"/>
      <c r="AE534"/>
      <c r="AF534"/>
      <c r="AG534"/>
    </row>
    <row r="535" spans="17:33" ht="12.75" customHeight="1">
      <c r="Q535" s="364"/>
      <c r="R535" s="895" t="s">
        <v>886</v>
      </c>
      <c r="S535" s="896"/>
      <c r="T535" s="900" t="s">
        <v>835</v>
      </c>
      <c r="U535" s="900" t="s">
        <v>836</v>
      </c>
      <c r="V535" s="900" t="s">
        <v>837</v>
      </c>
      <c r="W535" s="902" t="s">
        <v>838</v>
      </c>
      <c r="X535" s="364"/>
      <c r="Y535" s="364"/>
      <c r="Z535" s="364"/>
      <c r="AA535" s="367"/>
      <c r="AB535"/>
      <c r="AC535"/>
      <c r="AD535"/>
      <c r="AE535"/>
      <c r="AF535"/>
      <c r="AG535"/>
    </row>
    <row r="536" spans="17:33" ht="12.75" customHeight="1">
      <c r="Q536" s="364"/>
      <c r="R536" s="892"/>
      <c r="S536" s="897"/>
      <c r="T536" s="901"/>
      <c r="U536" s="901"/>
      <c r="V536" s="901"/>
      <c r="W536" s="903"/>
      <c r="X536" s="364"/>
      <c r="Y536" s="364"/>
      <c r="Z536" s="364"/>
      <c r="AA536" s="367"/>
      <c r="AB536"/>
      <c r="AC536"/>
      <c r="AD536"/>
      <c r="AE536"/>
      <c r="AF536"/>
      <c r="AG536"/>
    </row>
    <row r="537" spans="17:33" ht="12.75" customHeight="1">
      <c r="Q537" s="364"/>
      <c r="R537" s="892"/>
      <c r="S537" s="897"/>
      <c r="T537" s="704">
        <f>T531*(1-0.0178*2)</f>
        <v>104.17506655636689</v>
      </c>
      <c r="U537" s="560">
        <f>U531</f>
        <v>2.6666666666666665</v>
      </c>
      <c r="V537" s="690">
        <f>IF(T537&gt;0,W537*U537," ")</f>
        <v>2766.6666666666665</v>
      </c>
      <c r="W537" s="691">
        <f>IF(T537&gt;0,(VLOOKUP(T537,'Lookup Ready-reckoner'!$B$5:$E$1207,4))," ")</f>
        <v>1037.5</v>
      </c>
      <c r="X537" s="364"/>
      <c r="Y537" s="364"/>
      <c r="Z537" s="364"/>
      <c r="AA537" s="367"/>
      <c r="AB537"/>
      <c r="AC537"/>
      <c r="AD537"/>
      <c r="AE537"/>
      <c r="AF537"/>
      <c r="AG537"/>
    </row>
    <row r="538" spans="17:33" ht="12.75" customHeight="1">
      <c r="Q538" s="364"/>
      <c r="R538" s="898"/>
      <c r="S538" s="899"/>
      <c r="T538" s="447"/>
      <c r="U538" s="560"/>
      <c r="V538" s="690" t="str">
        <f>IF(T538&gt;0,W538*U538," ")</f>
        <v xml:space="preserve"> </v>
      </c>
      <c r="W538" s="691" t="str">
        <f>IF(T538&gt;0,(VLOOKUP(T538,'Lookup Ready-reckoner'!$B$5:$E$1007,4))," ")</f>
        <v xml:space="preserve"> </v>
      </c>
      <c r="X538" s="364"/>
      <c r="Y538" s="364"/>
      <c r="Z538" s="364"/>
      <c r="AA538" s="367"/>
      <c r="AB538"/>
      <c r="AC538"/>
      <c r="AD538"/>
      <c r="AE538"/>
      <c r="AF538"/>
      <c r="AG538"/>
    </row>
    <row r="539" spans="17:33" ht="12.75" customHeight="1" thickBot="1">
      <c r="Q539" s="364"/>
      <c r="R539" s="692" t="s">
        <v>839</v>
      </c>
      <c r="S539" s="693"/>
      <c r="T539" s="693"/>
      <c r="U539" s="705">
        <f>IF(T537&gt;0,(VLOOKUP(V539,'Lookup Ready-reckoner'!$L$5:$M$1207,2))," ")</f>
        <v>99.35</v>
      </c>
      <c r="V539" s="695">
        <f>IF(U537&gt;0,(SUM(V537:V538))," ")</f>
        <v>2766.6666666666665</v>
      </c>
      <c r="W539" s="696"/>
      <c r="X539" s="364"/>
      <c r="Y539" s="364"/>
      <c r="Z539" s="364"/>
      <c r="AA539" s="367"/>
      <c r="AB539"/>
      <c r="AC539"/>
      <c r="AD539"/>
      <c r="AE539"/>
      <c r="AF539"/>
      <c r="AG539"/>
    </row>
    <row r="540" spans="17:33" ht="12.75" customHeight="1">
      <c r="Q540" s="364"/>
      <c r="R540" s="697"/>
      <c r="S540" s="687"/>
      <c r="T540" s="687"/>
      <c r="U540" s="372"/>
      <c r="V540" s="374"/>
      <c r="W540" s="688"/>
      <c r="X540" s="364"/>
      <c r="Y540" s="364"/>
      <c r="Z540" s="364"/>
      <c r="AA540" s="367"/>
      <c r="AB540"/>
      <c r="AC540"/>
      <c r="AD540"/>
      <c r="AE540"/>
      <c r="AF540"/>
      <c r="AG540"/>
    </row>
    <row r="541" spans="17:33" ht="12.75" customHeight="1" thickBot="1">
      <c r="Q541" s="364"/>
      <c r="R541" s="686" t="s">
        <v>60</v>
      </c>
      <c r="S541" s="577"/>
      <c r="T541" s="577"/>
      <c r="U541" s="577"/>
      <c r="V541" s="577"/>
      <c r="W541" s="698"/>
      <c r="X541" s="364"/>
      <c r="Y541" s="364"/>
      <c r="Z541" s="364"/>
      <c r="AA541" s="367"/>
      <c r="AB541"/>
      <c r="AC541"/>
      <c r="AD541"/>
      <c r="AE541"/>
      <c r="AF541"/>
      <c r="AG541"/>
    </row>
    <row r="542" spans="17:33" ht="12.75" customHeight="1">
      <c r="Q542" s="364"/>
      <c r="R542" s="895" t="s">
        <v>845</v>
      </c>
      <c r="S542" s="896"/>
      <c r="T542" s="900" t="s">
        <v>835</v>
      </c>
      <c r="U542" s="900" t="s">
        <v>836</v>
      </c>
      <c r="V542" s="900" t="s">
        <v>837</v>
      </c>
      <c r="W542" s="902" t="s">
        <v>838</v>
      </c>
      <c r="X542" s="364"/>
      <c r="Y542" s="364"/>
      <c r="Z542" s="364"/>
      <c r="AA542" s="367"/>
      <c r="AB542"/>
      <c r="AC542"/>
      <c r="AD542"/>
      <c r="AE542"/>
      <c r="AF542"/>
      <c r="AG542"/>
    </row>
    <row r="543" spans="17:33" ht="12.75" customHeight="1">
      <c r="Q543" s="364"/>
      <c r="R543" s="892"/>
      <c r="S543" s="897"/>
      <c r="T543" s="901"/>
      <c r="U543" s="901"/>
      <c r="V543" s="901"/>
      <c r="W543" s="903"/>
      <c r="X543" s="364"/>
      <c r="Y543" s="364"/>
      <c r="Z543" s="364"/>
      <c r="AA543" s="367"/>
      <c r="AB543"/>
      <c r="AC543"/>
      <c r="AD543"/>
      <c r="AE543"/>
      <c r="AF543"/>
      <c r="AG543"/>
    </row>
    <row r="544" spans="17:33" ht="12.75" customHeight="1">
      <c r="Q544" s="364"/>
      <c r="R544" s="892"/>
      <c r="S544" s="897"/>
      <c r="T544" s="704">
        <f>T531-PPE!$I$15</f>
        <v>95.020599913279639</v>
      </c>
      <c r="U544" s="560">
        <f>U537</f>
        <v>2.6666666666666665</v>
      </c>
      <c r="V544" s="690">
        <f>IF(T544&gt;0,W544*U544," ")</f>
        <v>333.33333333333331</v>
      </c>
      <c r="W544" s="691">
        <f>IF(T544&gt;0,(VLOOKUP(T544,'Lookup Ready-reckoner'!$B$5:$E$1207,4))," ")</f>
        <v>125</v>
      </c>
      <c r="X544" s="364"/>
      <c r="Y544" s="364"/>
      <c r="Z544" s="364"/>
      <c r="AA544" s="367"/>
      <c r="AB544"/>
      <c r="AC544"/>
      <c r="AD544"/>
      <c r="AE544"/>
      <c r="AF544"/>
      <c r="AG544"/>
    </row>
    <row r="545" spans="17:33" ht="12.75" customHeight="1">
      <c r="Q545" s="364"/>
      <c r="R545" s="898"/>
      <c r="S545" s="899"/>
      <c r="T545" s="447"/>
      <c r="U545" s="560"/>
      <c r="V545" s="690" t="str">
        <f>IF(T545&gt;0,W545*U545," ")</f>
        <v xml:space="preserve"> </v>
      </c>
      <c r="W545" s="691" t="str">
        <f>IF(T545&gt;0,(VLOOKUP(T545,'Lookup Ready-reckoner'!$B$5:$E$1007,4))," ")</f>
        <v xml:space="preserve"> </v>
      </c>
      <c r="X545" s="364"/>
      <c r="Y545" s="364"/>
      <c r="Z545" s="364"/>
      <c r="AA545" s="367"/>
      <c r="AB545"/>
      <c r="AC545"/>
      <c r="AD545"/>
      <c r="AE545"/>
      <c r="AF545"/>
      <c r="AG545"/>
    </row>
    <row r="546" spans="17:33" ht="12.75" customHeight="1" thickBot="1">
      <c r="Q546" s="364"/>
      <c r="R546" s="692" t="s">
        <v>839</v>
      </c>
      <c r="S546" s="693"/>
      <c r="T546" s="693"/>
      <c r="U546" s="705">
        <f>IF(T544&gt;0,(VLOOKUP(V546,'Lookup Ready-reckoner'!$L$5:$M$1207,2))," ")</f>
        <v>90.15</v>
      </c>
      <c r="V546" s="695">
        <f>IF(U544&gt;0,(SUM(V544:V545))," ")</f>
        <v>333.33333333333331</v>
      </c>
      <c r="W546" s="696"/>
      <c r="X546" s="364"/>
      <c r="Y546" s="364"/>
      <c r="Z546" s="364"/>
      <c r="AA546" s="367"/>
      <c r="AB546"/>
      <c r="AC546"/>
      <c r="AD546"/>
      <c r="AE546"/>
      <c r="AF546"/>
      <c r="AG546"/>
    </row>
    <row r="547" spans="17:33" ht="12.75" customHeight="1" thickBot="1">
      <c r="Q547" s="364"/>
      <c r="R547" s="892"/>
      <c r="S547" s="893"/>
      <c r="T547" s="893"/>
      <c r="U547" s="893"/>
      <c r="V547" s="893"/>
      <c r="W547" s="894"/>
      <c r="X547" s="364"/>
      <c r="Y547" s="364"/>
      <c r="Z547" s="364"/>
      <c r="AA547" s="367"/>
      <c r="AB547"/>
      <c r="AC547"/>
      <c r="AD547"/>
      <c r="AE547"/>
      <c r="AF547"/>
      <c r="AG547"/>
    </row>
    <row r="548" spans="17:33" ht="12.75" customHeight="1">
      <c r="Q548" s="364"/>
      <c r="R548" s="895" t="s">
        <v>886</v>
      </c>
      <c r="S548" s="896"/>
      <c r="T548" s="900" t="s">
        <v>835</v>
      </c>
      <c r="U548" s="900" t="s">
        <v>836</v>
      </c>
      <c r="V548" s="900" t="s">
        <v>837</v>
      </c>
      <c r="W548" s="902" t="s">
        <v>838</v>
      </c>
      <c r="X548" s="364"/>
      <c r="Y548" s="364"/>
      <c r="Z548" s="364"/>
      <c r="AA548" s="367"/>
      <c r="AB548"/>
      <c r="AC548"/>
      <c r="AD548"/>
      <c r="AE548"/>
      <c r="AF548"/>
      <c r="AG548"/>
    </row>
    <row r="549" spans="17:33" ht="12.75" customHeight="1">
      <c r="Q549" s="364"/>
      <c r="R549" s="892"/>
      <c r="S549" s="897"/>
      <c r="T549" s="901"/>
      <c r="U549" s="901"/>
      <c r="V549" s="901"/>
      <c r="W549" s="903"/>
      <c r="X549" s="364"/>
      <c r="Y549" s="364"/>
      <c r="Z549" s="364"/>
      <c r="AA549" s="367"/>
      <c r="AB549"/>
      <c r="AC549"/>
      <c r="AD549"/>
      <c r="AE549"/>
      <c r="AF549"/>
      <c r="AG549"/>
    </row>
    <row r="550" spans="17:33" ht="12.75" customHeight="1">
      <c r="Q550" s="364"/>
      <c r="R550" s="892"/>
      <c r="S550" s="897"/>
      <c r="T550" s="704">
        <f>T537-PPE!$I$15</f>
        <v>91.175066556366886</v>
      </c>
      <c r="U550" s="560">
        <f>U544</f>
        <v>2.6666666666666665</v>
      </c>
      <c r="V550" s="690">
        <f>IF(T550&gt;0,W550*U550," ")</f>
        <v>138.33333333333331</v>
      </c>
      <c r="W550" s="691">
        <f>IF(T550&gt;0,(VLOOKUP(T550,'Lookup Ready-reckoner'!$B$5:$E$1207,4))," ")</f>
        <v>51.875</v>
      </c>
      <c r="X550" s="364"/>
      <c r="Y550" s="364"/>
      <c r="Z550" s="364"/>
      <c r="AA550" s="367"/>
      <c r="AB550"/>
      <c r="AC550"/>
      <c r="AD550"/>
      <c r="AE550"/>
      <c r="AF550"/>
      <c r="AG550"/>
    </row>
    <row r="551" spans="17:33" ht="12.75" customHeight="1">
      <c r="Q551" s="364"/>
      <c r="R551" s="898"/>
      <c r="S551" s="899"/>
      <c r="T551" s="447"/>
      <c r="U551" s="560"/>
      <c r="V551" s="690" t="str">
        <f>IF(T551&gt;0,W551*U551," ")</f>
        <v xml:space="preserve"> </v>
      </c>
      <c r="W551" s="691" t="str">
        <f>IF(T551&gt;0,(VLOOKUP(T551,'Lookup Ready-reckoner'!$B$5:$E$1007,4))," ")</f>
        <v xml:space="preserve"> </v>
      </c>
      <c r="X551" s="364"/>
      <c r="Y551" s="364"/>
      <c r="Z551" s="364"/>
      <c r="AA551" s="367"/>
      <c r="AB551"/>
      <c r="AC551"/>
      <c r="AD551"/>
      <c r="AE551"/>
      <c r="AF551"/>
      <c r="AG551"/>
    </row>
    <row r="552" spans="17:33" ht="12.75" customHeight="1" thickBot="1">
      <c r="Q552" s="364"/>
      <c r="R552" s="692" t="s">
        <v>839</v>
      </c>
      <c r="S552" s="693"/>
      <c r="T552" s="693"/>
      <c r="U552" s="705">
        <f>IF(T550&gt;0,(VLOOKUP(V552,'Lookup Ready-reckoner'!$L$5:$M$1207,2))," ")</f>
        <v>86.35</v>
      </c>
      <c r="V552" s="695">
        <f>IF(U550&gt;0,(SUM(V550:V551))," ")</f>
        <v>138.33333333333331</v>
      </c>
      <c r="W552" s="696"/>
      <c r="X552" s="364"/>
      <c r="Y552" s="364"/>
      <c r="Z552" s="364"/>
      <c r="AA552" s="367"/>
      <c r="AB552"/>
      <c r="AC552"/>
      <c r="AD552"/>
      <c r="AE552"/>
      <c r="AF552"/>
      <c r="AG552"/>
    </row>
    <row r="553" spans="17:33" ht="12.75" customHeight="1">
      <c r="Q553" s="364"/>
      <c r="R553" s="364"/>
      <c r="S553" s="364"/>
      <c r="T553" s="364"/>
      <c r="U553" s="364"/>
      <c r="V553" s="364"/>
      <c r="W553" s="364"/>
      <c r="X553" s="364"/>
      <c r="Y553" s="364"/>
      <c r="Z553" s="364"/>
      <c r="AA553" s="367"/>
      <c r="AB553"/>
      <c r="AC553"/>
      <c r="AD553"/>
      <c r="AE553"/>
      <c r="AF553"/>
      <c r="AG553"/>
    </row>
    <row r="554" spans="17:33" ht="12.75" customHeight="1">
      <c r="Q554" s="23"/>
      <c r="R554" s="23"/>
      <c r="S554" s="23"/>
      <c r="T554" s="23"/>
      <c r="U554" s="23"/>
      <c r="V554" s="23"/>
      <c r="W554" s="23"/>
      <c r="X554" s="23"/>
      <c r="Y554" s="23"/>
      <c r="Z554" s="23"/>
      <c r="AA554"/>
      <c r="AB554"/>
      <c r="AC554"/>
      <c r="AD554"/>
      <c r="AE554"/>
      <c r="AF554"/>
      <c r="AG554"/>
    </row>
    <row r="555" spans="17:33" ht="12.75" customHeight="1">
      <c r="Q555" s="23"/>
      <c r="R555" s="23"/>
      <c r="S555" s="23"/>
      <c r="T555" s="23"/>
      <c r="U555" s="23"/>
      <c r="V555" s="23"/>
      <c r="W555" s="23"/>
      <c r="X555" s="23"/>
      <c r="Y555" s="23"/>
      <c r="Z555" s="23"/>
      <c r="AA555"/>
      <c r="AB555"/>
      <c r="AC555"/>
      <c r="AD555"/>
      <c r="AE555"/>
      <c r="AF555"/>
      <c r="AG555"/>
    </row>
    <row r="556" spans="17:33" ht="12.75" customHeight="1">
      <c r="Q556" s="23"/>
      <c r="R556" s="23"/>
      <c r="S556" s="23"/>
      <c r="T556" s="23"/>
      <c r="U556" s="23"/>
      <c r="V556" s="23"/>
      <c r="W556" s="23"/>
      <c r="X556" s="23"/>
      <c r="Y556" s="23"/>
      <c r="Z556" s="23"/>
      <c r="AA556"/>
      <c r="AB556"/>
      <c r="AC556"/>
      <c r="AD556"/>
      <c r="AE556"/>
      <c r="AF556"/>
      <c r="AG556"/>
    </row>
    <row r="557" spans="17:33" ht="12.75" customHeight="1">
      <c r="Q557" s="23"/>
      <c r="R557" s="23"/>
      <c r="S557" s="23"/>
      <c r="T557" s="23"/>
      <c r="U557" s="23"/>
      <c r="V557" s="23"/>
      <c r="W557" s="23"/>
      <c r="X557" s="23"/>
      <c r="Y557" s="23"/>
      <c r="Z557" s="23"/>
      <c r="AA557"/>
      <c r="AB557"/>
      <c r="AC557"/>
      <c r="AD557"/>
      <c r="AE557"/>
      <c r="AF557"/>
      <c r="AG557"/>
    </row>
    <row r="558" spans="17:33" ht="12.75" customHeight="1">
      <c r="Q558" s="23"/>
      <c r="R558" s="23"/>
      <c r="S558" s="23"/>
      <c r="T558" s="23"/>
      <c r="U558" s="23"/>
      <c r="V558" s="23"/>
      <c r="W558" s="23"/>
      <c r="X558" s="23"/>
      <c r="Y558" s="23"/>
      <c r="Z558" s="23"/>
      <c r="AA558"/>
      <c r="AB558"/>
      <c r="AC558"/>
      <c r="AD558"/>
      <c r="AE558"/>
      <c r="AF558"/>
      <c r="AG558"/>
    </row>
    <row r="559" spans="17:33" ht="12.75" customHeight="1">
      <c r="Q559" s="23"/>
      <c r="R559" s="23"/>
      <c r="S559" s="23"/>
      <c r="T559" s="23"/>
      <c r="U559" s="23"/>
      <c r="V559" s="23"/>
      <c r="W559" s="23"/>
      <c r="X559" s="23"/>
      <c r="Y559" s="23"/>
      <c r="Z559" s="23"/>
      <c r="AA559"/>
      <c r="AB559"/>
      <c r="AC559"/>
      <c r="AD559"/>
      <c r="AE559"/>
      <c r="AF559"/>
      <c r="AG559"/>
    </row>
    <row r="560" spans="17:33" ht="12.75" customHeight="1">
      <c r="Q560" s="23"/>
      <c r="R560" s="23"/>
      <c r="S560" s="23"/>
      <c r="T560" s="23"/>
      <c r="U560" s="23"/>
      <c r="V560" s="23"/>
      <c r="W560" s="23"/>
      <c r="X560" s="23"/>
      <c r="Y560" s="23"/>
      <c r="Z560" s="23"/>
      <c r="AA560"/>
      <c r="AB560"/>
      <c r="AC560"/>
      <c r="AD560"/>
      <c r="AE560"/>
      <c r="AF560"/>
      <c r="AG560"/>
    </row>
    <row r="561" spans="17:33" ht="12.75" customHeight="1">
      <c r="Q561" s="23"/>
      <c r="R561" s="23"/>
      <c r="S561" s="23"/>
      <c r="T561" s="23"/>
      <c r="U561" s="23"/>
      <c r="V561" s="23"/>
      <c r="W561" s="23"/>
      <c r="X561" s="23"/>
      <c r="Y561" s="23"/>
      <c r="Z561" s="23"/>
      <c r="AA561"/>
      <c r="AB561"/>
      <c r="AC561"/>
      <c r="AD561"/>
      <c r="AE561"/>
      <c r="AF561"/>
      <c r="AG561"/>
    </row>
    <row r="562" spans="17:33" ht="12.75" customHeight="1">
      <c r="Q562" s="23"/>
      <c r="R562" s="23"/>
      <c r="S562" s="23"/>
      <c r="T562" s="23"/>
      <c r="U562" s="23"/>
      <c r="V562" s="23"/>
      <c r="W562" s="23"/>
      <c r="X562" s="23"/>
      <c r="Y562" s="23"/>
      <c r="Z562" s="23"/>
      <c r="AA562"/>
      <c r="AB562"/>
      <c r="AC562"/>
      <c r="AD562"/>
      <c r="AE562"/>
      <c r="AF562"/>
      <c r="AG562"/>
    </row>
    <row r="563" spans="17:33" ht="12.75" customHeight="1">
      <c r="Q563" s="23"/>
      <c r="R563" s="23"/>
      <c r="S563" s="23"/>
      <c r="T563" s="23"/>
      <c r="U563" s="23"/>
      <c r="V563" s="23"/>
      <c r="W563" s="23"/>
      <c r="X563" s="23"/>
      <c r="Y563" s="23"/>
      <c r="Z563" s="23"/>
      <c r="AA563"/>
      <c r="AB563"/>
      <c r="AC563"/>
      <c r="AD563"/>
      <c r="AE563"/>
      <c r="AF563"/>
      <c r="AG563"/>
    </row>
    <row r="564" spans="17:33" ht="12.75" customHeight="1">
      <c r="Q564" s="23"/>
      <c r="R564" s="23"/>
      <c r="S564" s="23"/>
      <c r="T564" s="23"/>
      <c r="U564" s="23"/>
      <c r="V564" s="23"/>
      <c r="W564" s="23"/>
      <c r="X564" s="23"/>
      <c r="Y564" s="23"/>
      <c r="Z564" s="23"/>
      <c r="AA564"/>
      <c r="AB564"/>
      <c r="AC564"/>
      <c r="AD564"/>
      <c r="AE564"/>
      <c r="AF564"/>
      <c r="AG564"/>
    </row>
    <row r="565" spans="17:33" ht="12.75" customHeight="1">
      <c r="Q565" s="23"/>
      <c r="R565" s="23"/>
      <c r="S565" s="23"/>
      <c r="T565" s="23"/>
      <c r="U565" s="23"/>
      <c r="V565" s="23"/>
      <c r="W565" s="23"/>
      <c r="X565" s="23"/>
      <c r="Y565" s="23"/>
      <c r="Z565" s="23"/>
      <c r="AA565"/>
      <c r="AB565"/>
      <c r="AC565"/>
      <c r="AD565"/>
      <c r="AE565"/>
      <c r="AF565"/>
      <c r="AG565"/>
    </row>
    <row r="566" spans="17:33" ht="12.75" customHeight="1">
      <c r="Q566" s="23"/>
      <c r="R566" s="23"/>
      <c r="S566" s="23"/>
      <c r="T566" s="23"/>
      <c r="U566" s="23"/>
      <c r="V566" s="23"/>
      <c r="W566" s="23"/>
      <c r="X566" s="23"/>
      <c r="Y566" s="23"/>
      <c r="Z566" s="23"/>
      <c r="AA566"/>
      <c r="AB566"/>
      <c r="AC566"/>
      <c r="AD566"/>
      <c r="AE566"/>
      <c r="AF566"/>
      <c r="AG566"/>
    </row>
    <row r="567" spans="17:33" ht="12.75" customHeight="1">
      <c r="Q567" s="23"/>
      <c r="R567" s="23"/>
      <c r="S567" s="23"/>
      <c r="T567" s="23"/>
      <c r="U567" s="23"/>
      <c r="V567" s="23"/>
      <c r="W567" s="23"/>
      <c r="X567" s="23"/>
      <c r="Y567" s="23"/>
      <c r="Z567" s="23"/>
      <c r="AA567"/>
      <c r="AB567"/>
      <c r="AC567"/>
      <c r="AD567"/>
      <c r="AE567"/>
      <c r="AF567"/>
      <c r="AG567"/>
    </row>
    <row r="568" spans="17:33" ht="12.75" customHeight="1">
      <c r="Q568" s="23"/>
      <c r="R568" s="23"/>
      <c r="S568" s="23"/>
      <c r="T568" s="23"/>
      <c r="U568" s="23"/>
      <c r="V568" s="23"/>
      <c r="W568" s="23"/>
      <c r="X568" s="23"/>
      <c r="Y568" s="23"/>
      <c r="Z568" s="23"/>
      <c r="AA568"/>
      <c r="AB568"/>
      <c r="AC568"/>
      <c r="AD568"/>
      <c r="AE568"/>
      <c r="AF568"/>
      <c r="AG568"/>
    </row>
    <row r="569" spans="17:33" ht="12.75" customHeight="1">
      <c r="Q569" s="23"/>
      <c r="R569" s="23"/>
      <c r="S569" s="23"/>
      <c r="T569" s="23"/>
      <c r="U569" s="23"/>
      <c r="V569" s="23"/>
      <c r="W569" s="23"/>
      <c r="X569" s="23"/>
      <c r="Y569" s="23"/>
      <c r="Z569" s="23"/>
      <c r="AA569"/>
      <c r="AB569"/>
      <c r="AC569"/>
      <c r="AD569"/>
      <c r="AE569"/>
      <c r="AF569"/>
      <c r="AG569"/>
    </row>
    <row r="570" spans="17:33" ht="12.75" customHeight="1">
      <c r="Q570" s="23"/>
      <c r="R570" s="23"/>
      <c r="S570" s="23"/>
      <c r="T570" s="23"/>
      <c r="U570" s="23"/>
      <c r="V570" s="23"/>
      <c r="W570" s="23"/>
      <c r="X570" s="23"/>
      <c r="Y570" s="23"/>
      <c r="Z570" s="23"/>
      <c r="AA570"/>
      <c r="AB570"/>
      <c r="AC570"/>
      <c r="AD570"/>
      <c r="AE570"/>
      <c r="AF570"/>
      <c r="AG570"/>
    </row>
    <row r="571" spans="17:33" ht="12.75" customHeight="1">
      <c r="Q571" s="23"/>
      <c r="R571" s="23"/>
      <c r="S571" s="23"/>
      <c r="T571" s="23"/>
      <c r="U571" s="23"/>
      <c r="V571" s="23"/>
      <c r="W571" s="23"/>
      <c r="X571" s="23"/>
      <c r="Y571" s="23"/>
      <c r="Z571" s="23"/>
      <c r="AA571"/>
      <c r="AB571"/>
      <c r="AC571"/>
      <c r="AD571"/>
      <c r="AE571"/>
      <c r="AF571"/>
      <c r="AG571"/>
    </row>
    <row r="572" spans="17:33" ht="12.75" customHeight="1">
      <c r="Q572" s="23"/>
      <c r="R572" s="23"/>
      <c r="S572" s="23"/>
      <c r="T572" s="23"/>
      <c r="U572" s="23"/>
      <c r="V572" s="23"/>
      <c r="W572" s="23"/>
      <c r="X572" s="23"/>
      <c r="Y572" s="23"/>
      <c r="Z572" s="23"/>
      <c r="AA572"/>
      <c r="AB572"/>
      <c r="AC572"/>
      <c r="AD572"/>
      <c r="AE572"/>
      <c r="AF572"/>
      <c r="AG572"/>
    </row>
    <row r="573" spans="17:33" ht="12.75" customHeight="1">
      <c r="Q573" s="23"/>
      <c r="R573" s="23"/>
      <c r="S573" s="23"/>
      <c r="T573" s="23"/>
      <c r="U573" s="23"/>
      <c r="V573" s="23"/>
      <c r="W573" s="23"/>
      <c r="X573" s="23"/>
      <c r="Y573" s="23"/>
      <c r="Z573" s="23"/>
      <c r="AA573"/>
      <c r="AB573"/>
      <c r="AC573"/>
      <c r="AD573"/>
      <c r="AE573"/>
      <c r="AF573"/>
      <c r="AG573"/>
    </row>
    <row r="574" spans="17:33" ht="12.75" customHeight="1">
      <c r="Q574" s="23"/>
      <c r="R574" s="23"/>
      <c r="S574" s="23"/>
      <c r="T574" s="23"/>
      <c r="U574" s="23"/>
      <c r="V574" s="23"/>
      <c r="W574" s="23"/>
      <c r="X574" s="23"/>
      <c r="Y574" s="23"/>
      <c r="Z574" s="23"/>
      <c r="AA574"/>
      <c r="AB574"/>
      <c r="AC574"/>
      <c r="AD574"/>
      <c r="AE574"/>
      <c r="AF574"/>
      <c r="AG574"/>
    </row>
    <row r="575" spans="17:33" ht="12.75" customHeight="1">
      <c r="Q575" s="23"/>
      <c r="R575" s="23"/>
      <c r="S575" s="23"/>
      <c r="T575" s="23"/>
      <c r="U575" s="23"/>
      <c r="V575" s="23"/>
      <c r="W575" s="23"/>
      <c r="X575" s="23"/>
      <c r="Y575" s="23"/>
      <c r="Z575" s="23"/>
      <c r="AA575"/>
      <c r="AB575"/>
      <c r="AC575"/>
      <c r="AD575"/>
      <c r="AE575"/>
      <c r="AF575"/>
      <c r="AG575"/>
    </row>
    <row r="576" spans="17:33" ht="12.75" customHeight="1">
      <c r="Q576" s="23"/>
      <c r="R576" s="23"/>
      <c r="S576" s="23"/>
      <c r="T576" s="23"/>
      <c r="U576" s="23"/>
      <c r="V576" s="23"/>
      <c r="W576" s="23"/>
      <c r="X576" s="23"/>
      <c r="Y576" s="23"/>
      <c r="Z576" s="23"/>
      <c r="AA576"/>
      <c r="AB576"/>
      <c r="AC576"/>
      <c r="AD576"/>
      <c r="AE576"/>
      <c r="AF576"/>
      <c r="AG576"/>
    </row>
    <row r="577" spans="17:33" ht="12.75" customHeight="1">
      <c r="Q577" s="23"/>
      <c r="R577" s="23"/>
      <c r="S577" s="23"/>
      <c r="T577" s="23"/>
      <c r="U577" s="23"/>
      <c r="V577" s="23"/>
      <c r="W577" s="23"/>
      <c r="X577" s="23"/>
      <c r="Y577" s="23"/>
      <c r="Z577" s="23"/>
      <c r="AA577"/>
      <c r="AB577"/>
      <c r="AC577"/>
      <c r="AD577"/>
      <c r="AE577"/>
      <c r="AF577"/>
      <c r="AG577"/>
    </row>
    <row r="578" spans="17:33" ht="12.75" customHeight="1">
      <c r="Q578" s="23"/>
      <c r="R578" s="23"/>
      <c r="S578" s="23"/>
      <c r="T578" s="23"/>
      <c r="U578" s="23"/>
      <c r="V578" s="23"/>
      <c r="W578" s="23"/>
      <c r="X578" s="23"/>
      <c r="Y578" s="23"/>
      <c r="Z578" s="23"/>
      <c r="AA578"/>
      <c r="AB578"/>
      <c r="AC578"/>
      <c r="AD578"/>
      <c r="AE578"/>
      <c r="AF578"/>
      <c r="AG578"/>
    </row>
    <row r="579" spans="17:33" ht="12.75" customHeight="1">
      <c r="Q579" s="23"/>
      <c r="R579" s="23"/>
      <c r="S579" s="23"/>
      <c r="T579" s="23"/>
      <c r="U579" s="23"/>
      <c r="V579" s="23"/>
      <c r="W579" s="23"/>
      <c r="X579" s="23"/>
      <c r="Y579" s="23"/>
      <c r="Z579" s="23"/>
      <c r="AA579"/>
      <c r="AB579"/>
      <c r="AC579"/>
      <c r="AD579"/>
      <c r="AE579"/>
      <c r="AF579"/>
      <c r="AG579"/>
    </row>
    <row r="580" spans="17:33" ht="12.75" customHeight="1">
      <c r="Q580" s="23"/>
      <c r="R580" s="23"/>
      <c r="S580" s="23"/>
      <c r="T580" s="23"/>
      <c r="U580" s="23"/>
      <c r="V580" s="23"/>
      <c r="W580" s="23"/>
      <c r="X580" s="23"/>
      <c r="Y580" s="23"/>
      <c r="Z580" s="23"/>
      <c r="AA580"/>
      <c r="AB580"/>
      <c r="AC580"/>
      <c r="AD580"/>
      <c r="AE580"/>
      <c r="AF580"/>
      <c r="AG580"/>
    </row>
    <row r="581" spans="17:33" ht="12.75" customHeight="1">
      <c r="Q581" s="23"/>
      <c r="R581" s="23"/>
      <c r="S581" s="23"/>
      <c r="T581" s="23"/>
      <c r="U581" s="23"/>
      <c r="V581" s="23"/>
      <c r="W581" s="23"/>
      <c r="X581" s="23"/>
      <c r="Y581" s="23"/>
      <c r="Z581" s="23"/>
      <c r="AA581"/>
      <c r="AB581"/>
      <c r="AC581"/>
      <c r="AD581"/>
      <c r="AE581"/>
      <c r="AF581"/>
      <c r="AG581"/>
    </row>
    <row r="582" spans="17:33" ht="12.75" customHeight="1">
      <c r="Q582" s="23"/>
      <c r="R582" s="23"/>
      <c r="S582" s="23"/>
      <c r="T582" s="23"/>
      <c r="U582" s="23"/>
      <c r="V582" s="23"/>
      <c r="W582" s="23"/>
      <c r="X582" s="23"/>
      <c r="Y582" s="23"/>
      <c r="Z582" s="23"/>
      <c r="AA582"/>
      <c r="AB582"/>
      <c r="AC582"/>
      <c r="AD582"/>
      <c r="AE582"/>
      <c r="AF582"/>
      <c r="AG582"/>
    </row>
    <row r="583" spans="17:33" ht="12.75" customHeight="1">
      <c r="Q583" s="23"/>
      <c r="R583" s="23"/>
      <c r="S583" s="23"/>
      <c r="T583" s="23"/>
      <c r="U583" s="23"/>
      <c r="V583" s="23"/>
      <c r="W583" s="23"/>
      <c r="X583" s="23"/>
      <c r="Y583" s="23"/>
      <c r="Z583" s="23"/>
      <c r="AA583"/>
      <c r="AB583"/>
      <c r="AC583"/>
      <c r="AD583"/>
      <c r="AE583"/>
      <c r="AF583"/>
      <c r="AG583"/>
    </row>
    <row r="584" spans="17:33" ht="12.75" customHeight="1">
      <c r="Q584" s="23"/>
      <c r="R584" s="23"/>
      <c r="S584" s="23"/>
      <c r="T584" s="23"/>
      <c r="U584" s="23"/>
      <c r="V584" s="23"/>
      <c r="W584" s="23"/>
      <c r="X584" s="23"/>
      <c r="Y584" s="23"/>
      <c r="Z584" s="23"/>
      <c r="AA584"/>
      <c r="AB584"/>
      <c r="AC584"/>
      <c r="AD584"/>
      <c r="AE584"/>
      <c r="AF584"/>
      <c r="AG584"/>
    </row>
    <row r="585" spans="17:33" ht="12.75" customHeight="1">
      <c r="Q585" s="23"/>
      <c r="R585" s="23"/>
      <c r="S585" s="23"/>
      <c r="T585" s="23"/>
      <c r="U585" s="23"/>
      <c r="V585" s="23"/>
      <c r="W585" s="23"/>
      <c r="X585" s="23"/>
      <c r="Y585" s="23"/>
      <c r="Z585" s="23"/>
      <c r="AA585"/>
      <c r="AB585"/>
      <c r="AC585"/>
      <c r="AD585"/>
      <c r="AE585"/>
      <c r="AF585"/>
      <c r="AG585"/>
    </row>
    <row r="586" spans="17:33" ht="12.75" customHeight="1">
      <c r="Q586" s="23"/>
      <c r="R586" s="23"/>
      <c r="S586" s="23"/>
      <c r="T586" s="23"/>
      <c r="U586" s="23"/>
      <c r="V586" s="23"/>
      <c r="W586" s="23"/>
      <c r="X586" s="23"/>
      <c r="Y586" s="23"/>
      <c r="Z586" s="23"/>
      <c r="AA586"/>
      <c r="AB586"/>
      <c r="AC586"/>
      <c r="AD586"/>
      <c r="AE586"/>
      <c r="AF586"/>
      <c r="AG586"/>
    </row>
    <row r="587" spans="17:33" ht="12.75" customHeight="1">
      <c r="Q587"/>
      <c r="R587"/>
      <c r="S587"/>
      <c r="T587"/>
      <c r="U587"/>
      <c r="V587"/>
      <c r="W587"/>
      <c r="X587"/>
      <c r="Y587"/>
      <c r="Z587"/>
      <c r="AA587"/>
      <c r="AB587"/>
      <c r="AC587"/>
      <c r="AD587"/>
      <c r="AE587"/>
      <c r="AF587"/>
      <c r="AG587"/>
    </row>
    <row r="588" spans="17:33" ht="12.75" customHeight="1">
      <c r="Q588"/>
      <c r="R588"/>
      <c r="S588"/>
      <c r="T588"/>
      <c r="U588"/>
      <c r="V588"/>
      <c r="W588"/>
      <c r="X588"/>
      <c r="Y588"/>
      <c r="Z588"/>
      <c r="AA588"/>
      <c r="AB588"/>
      <c r="AC588"/>
      <c r="AD588"/>
      <c r="AE588"/>
      <c r="AF588"/>
      <c r="AG588"/>
    </row>
    <row r="589" spans="17:33" ht="12.75" customHeight="1">
      <c r="Q589"/>
      <c r="R589"/>
      <c r="S589"/>
      <c r="T589"/>
      <c r="U589"/>
      <c r="V589"/>
      <c r="W589"/>
      <c r="X589"/>
      <c r="Y589"/>
      <c r="Z589"/>
      <c r="AA589"/>
      <c r="AB589"/>
      <c r="AC589"/>
      <c r="AD589"/>
      <c r="AE589"/>
      <c r="AF589"/>
      <c r="AG589"/>
    </row>
    <row r="590" spans="17:33" ht="12.75" customHeight="1">
      <c r="Q590"/>
      <c r="R590"/>
      <c r="S590"/>
      <c r="T590"/>
      <c r="U590"/>
      <c r="V590"/>
      <c r="W590"/>
      <c r="X590"/>
      <c r="Y590"/>
      <c r="Z590"/>
      <c r="AA590"/>
      <c r="AB590"/>
      <c r="AC590"/>
      <c r="AD590"/>
      <c r="AE590"/>
      <c r="AF590"/>
      <c r="AG590"/>
    </row>
    <row r="591" spans="17:33" ht="12.75" customHeight="1">
      <c r="Q591"/>
      <c r="R591"/>
      <c r="S591"/>
      <c r="T591"/>
      <c r="U591"/>
      <c r="V591"/>
      <c r="W591"/>
      <c r="X591"/>
      <c r="Y591"/>
      <c r="Z591"/>
      <c r="AA591"/>
      <c r="AB591"/>
      <c r="AC591"/>
      <c r="AD591"/>
      <c r="AE591"/>
      <c r="AF591"/>
      <c r="AG591"/>
    </row>
    <row r="592" spans="17:33" ht="12.75" customHeight="1">
      <c r="Q592"/>
      <c r="R592"/>
      <c r="S592"/>
      <c r="T592"/>
      <c r="U592"/>
      <c r="V592"/>
      <c r="W592"/>
      <c r="X592"/>
      <c r="Y592"/>
      <c r="Z592"/>
      <c r="AA592"/>
      <c r="AB592"/>
      <c r="AC592"/>
      <c r="AD592"/>
      <c r="AE592"/>
      <c r="AF592"/>
      <c r="AG592"/>
    </row>
    <row r="593" spans="17:33" ht="12.75" customHeight="1">
      <c r="Q593"/>
      <c r="R593"/>
      <c r="S593"/>
      <c r="T593"/>
      <c r="U593"/>
      <c r="V593"/>
      <c r="W593"/>
      <c r="X593"/>
      <c r="Y593"/>
      <c r="Z593"/>
      <c r="AA593"/>
      <c r="AB593"/>
      <c r="AC593"/>
      <c r="AD593"/>
      <c r="AE593"/>
      <c r="AF593"/>
      <c r="AG593"/>
    </row>
    <row r="594" spans="17:33" ht="12.75" customHeight="1">
      <c r="Q594"/>
      <c r="R594"/>
      <c r="S594"/>
      <c r="T594"/>
      <c r="U594"/>
      <c r="V594"/>
      <c r="W594"/>
      <c r="X594"/>
      <c r="Y594"/>
      <c r="Z594"/>
      <c r="AA594"/>
      <c r="AB594"/>
      <c r="AC594"/>
      <c r="AD594"/>
      <c r="AE594"/>
      <c r="AF594"/>
      <c r="AG594"/>
    </row>
    <row r="595" spans="17:33" ht="12.75" customHeight="1">
      <c r="Q595"/>
      <c r="R595"/>
      <c r="S595"/>
      <c r="T595"/>
      <c r="U595"/>
      <c r="V595"/>
      <c r="W595"/>
      <c r="X595"/>
      <c r="Y595"/>
      <c r="Z595"/>
      <c r="AA595"/>
      <c r="AB595"/>
      <c r="AC595"/>
      <c r="AD595"/>
      <c r="AE595"/>
      <c r="AF595"/>
      <c r="AG595"/>
    </row>
    <row r="596" spans="17:33" ht="12.75" customHeight="1">
      <c r="Q596"/>
      <c r="R596"/>
      <c r="S596"/>
      <c r="T596"/>
      <c r="U596"/>
      <c r="V596"/>
      <c r="W596"/>
      <c r="X596"/>
      <c r="Y596"/>
      <c r="Z596"/>
      <c r="AA596"/>
      <c r="AB596"/>
      <c r="AC596"/>
      <c r="AD596"/>
      <c r="AE596"/>
      <c r="AF596"/>
      <c r="AG596"/>
    </row>
    <row r="597" spans="17:33" ht="12.75" customHeight="1">
      <c r="Q597"/>
      <c r="R597"/>
      <c r="S597"/>
      <c r="T597"/>
      <c r="U597"/>
      <c r="V597"/>
      <c r="W597"/>
      <c r="X597"/>
      <c r="Y597"/>
      <c r="Z597"/>
      <c r="AA597"/>
      <c r="AB597"/>
      <c r="AC597"/>
      <c r="AD597"/>
      <c r="AE597"/>
      <c r="AF597"/>
      <c r="AG597"/>
    </row>
    <row r="598" spans="17:33" ht="12.75" customHeight="1">
      <c r="Q598"/>
      <c r="R598"/>
      <c r="S598"/>
      <c r="T598"/>
      <c r="U598"/>
      <c r="V598"/>
      <c r="W598"/>
      <c r="X598"/>
      <c r="Y598"/>
      <c r="Z598"/>
      <c r="AA598"/>
      <c r="AB598"/>
      <c r="AC598"/>
      <c r="AD598"/>
      <c r="AE598"/>
      <c r="AF598"/>
      <c r="AG598"/>
    </row>
    <row r="599" spans="17:33" ht="12.75" customHeight="1">
      <c r="Q599"/>
      <c r="R599"/>
      <c r="S599"/>
      <c r="T599"/>
      <c r="U599"/>
      <c r="V599"/>
      <c r="W599"/>
      <c r="X599"/>
      <c r="Y599"/>
      <c r="Z599"/>
      <c r="AA599"/>
      <c r="AB599"/>
      <c r="AC599"/>
      <c r="AD599"/>
      <c r="AE599"/>
      <c r="AF599"/>
      <c r="AG599"/>
    </row>
    <row r="600" spans="17:33" ht="12.75" customHeight="1">
      <c r="Q600"/>
      <c r="R600"/>
      <c r="S600"/>
      <c r="T600"/>
      <c r="U600"/>
      <c r="V600"/>
      <c r="W600"/>
      <c r="X600"/>
      <c r="Y600"/>
      <c r="Z600"/>
      <c r="AA600"/>
      <c r="AB600"/>
      <c r="AC600"/>
      <c r="AD600"/>
      <c r="AE600"/>
      <c r="AF600"/>
      <c r="AG600"/>
    </row>
    <row r="601" spans="17:33" ht="12.75" customHeight="1">
      <c r="Q601"/>
      <c r="R601"/>
      <c r="S601"/>
      <c r="T601"/>
      <c r="U601"/>
      <c r="V601"/>
      <c r="W601"/>
      <c r="X601"/>
      <c r="Y601"/>
      <c r="Z601"/>
      <c r="AA601"/>
      <c r="AB601"/>
      <c r="AC601"/>
      <c r="AD601"/>
      <c r="AE601"/>
      <c r="AF601"/>
      <c r="AG601"/>
    </row>
    <row r="602" spans="17:33" ht="12.75" customHeight="1">
      <c r="Q602"/>
      <c r="R602"/>
      <c r="S602"/>
      <c r="T602"/>
      <c r="U602"/>
      <c r="V602"/>
      <c r="W602"/>
      <c r="X602"/>
      <c r="Y602"/>
      <c r="Z602"/>
      <c r="AA602"/>
      <c r="AB602"/>
      <c r="AC602"/>
      <c r="AD602"/>
      <c r="AE602"/>
      <c r="AF602"/>
      <c r="AG602"/>
    </row>
    <row r="603" spans="17:33" ht="12.75" customHeight="1">
      <c r="Q603"/>
      <c r="R603"/>
      <c r="S603"/>
      <c r="T603"/>
      <c r="U603"/>
      <c r="V603"/>
      <c r="W603"/>
      <c r="X603"/>
      <c r="Y603"/>
      <c r="Z603"/>
      <c r="AA603"/>
      <c r="AB603"/>
      <c r="AC603"/>
      <c r="AD603"/>
      <c r="AE603"/>
      <c r="AF603"/>
      <c r="AG603"/>
    </row>
    <row r="604" spans="17:33" ht="12.75" customHeight="1">
      <c r="Q604"/>
      <c r="R604"/>
      <c r="S604"/>
      <c r="T604"/>
      <c r="U604"/>
      <c r="V604"/>
      <c r="W604"/>
      <c r="X604"/>
      <c r="Y604"/>
      <c r="Z604"/>
      <c r="AA604"/>
      <c r="AB604"/>
      <c r="AC604"/>
      <c r="AD604"/>
      <c r="AE604"/>
      <c r="AF604"/>
      <c r="AG604"/>
    </row>
    <row r="605" spans="17:33" ht="12.75" customHeight="1">
      <c r="Q605"/>
      <c r="R605"/>
      <c r="S605"/>
      <c r="T605"/>
      <c r="U605"/>
      <c r="V605"/>
      <c r="W605"/>
      <c r="X605"/>
      <c r="Y605"/>
      <c r="Z605"/>
      <c r="AA605"/>
      <c r="AB605"/>
      <c r="AC605"/>
      <c r="AD605"/>
      <c r="AE605"/>
      <c r="AF605"/>
      <c r="AG605"/>
    </row>
    <row r="606" spans="17:33" ht="12.75" customHeight="1">
      <c r="Q606"/>
      <c r="R606"/>
      <c r="S606"/>
      <c r="T606"/>
      <c r="U606"/>
      <c r="V606"/>
      <c r="W606"/>
      <c r="X606"/>
      <c r="Y606"/>
      <c r="Z606"/>
      <c r="AA606"/>
      <c r="AB606"/>
      <c r="AC606"/>
      <c r="AD606"/>
      <c r="AE606"/>
      <c r="AF606"/>
      <c r="AG606"/>
    </row>
    <row r="607" spans="17:33" ht="12.75" customHeight="1">
      <c r="Q607"/>
      <c r="R607"/>
      <c r="S607"/>
      <c r="T607"/>
      <c r="U607"/>
      <c r="V607"/>
      <c r="W607"/>
      <c r="X607"/>
      <c r="Y607"/>
      <c r="Z607"/>
      <c r="AA607"/>
      <c r="AB607"/>
      <c r="AC607"/>
      <c r="AD607"/>
      <c r="AE607"/>
      <c r="AF607"/>
      <c r="AG607"/>
    </row>
    <row r="608" spans="17:33" ht="12.75" customHeight="1">
      <c r="Q608"/>
      <c r="R608"/>
      <c r="S608"/>
      <c r="T608"/>
      <c r="U608"/>
      <c r="V608"/>
      <c r="W608"/>
      <c r="X608"/>
      <c r="Y608"/>
      <c r="Z608"/>
      <c r="AA608"/>
      <c r="AB608"/>
      <c r="AC608"/>
      <c r="AD608"/>
      <c r="AE608"/>
      <c r="AF608"/>
      <c r="AG608"/>
    </row>
    <row r="609" spans="17:33" ht="12.75" customHeight="1">
      <c r="Q609"/>
      <c r="R609"/>
      <c r="S609"/>
      <c r="T609"/>
      <c r="U609"/>
      <c r="V609"/>
      <c r="W609"/>
      <c r="X609"/>
      <c r="Y609"/>
      <c r="Z609"/>
      <c r="AA609"/>
      <c r="AB609"/>
      <c r="AC609"/>
      <c r="AD609"/>
      <c r="AE609"/>
      <c r="AF609"/>
      <c r="AG609"/>
    </row>
    <row r="610" spans="17:33" ht="12.75" customHeight="1">
      <c r="Q610"/>
      <c r="R610"/>
      <c r="S610"/>
      <c r="T610"/>
      <c r="U610"/>
      <c r="V610"/>
      <c r="W610"/>
      <c r="X610"/>
      <c r="Y610"/>
      <c r="Z610"/>
      <c r="AA610"/>
      <c r="AB610"/>
      <c r="AC610"/>
      <c r="AD610"/>
      <c r="AE610"/>
      <c r="AF610"/>
      <c r="AG610"/>
    </row>
    <row r="611" spans="17:33" ht="12.75" customHeight="1">
      <c r="Q611"/>
      <c r="R611"/>
      <c r="S611"/>
      <c r="T611"/>
      <c r="U611"/>
      <c r="V611"/>
      <c r="W611"/>
      <c r="X611"/>
      <c r="Y611"/>
      <c r="Z611"/>
      <c r="AA611"/>
      <c r="AB611"/>
      <c r="AC611"/>
      <c r="AD611"/>
      <c r="AE611"/>
      <c r="AF611"/>
      <c r="AG611"/>
    </row>
    <row r="612" spans="17:33" ht="12.75" customHeight="1">
      <c r="Q612"/>
      <c r="R612"/>
      <c r="S612"/>
      <c r="T612"/>
      <c r="U612"/>
      <c r="V612"/>
      <c r="W612"/>
      <c r="X612"/>
      <c r="Y612"/>
      <c r="Z612"/>
      <c r="AA612"/>
      <c r="AB612"/>
      <c r="AC612"/>
      <c r="AD612"/>
      <c r="AE612"/>
      <c r="AF612"/>
      <c r="AG612"/>
    </row>
    <row r="613" spans="17:33" ht="12.75" customHeight="1">
      <c r="Q613"/>
      <c r="R613"/>
      <c r="S613"/>
      <c r="T613"/>
      <c r="U613"/>
      <c r="V613"/>
      <c r="W613"/>
      <c r="X613"/>
      <c r="Y613"/>
      <c r="Z613"/>
      <c r="AA613"/>
      <c r="AB613"/>
      <c r="AC613"/>
      <c r="AD613"/>
      <c r="AE613"/>
      <c r="AF613"/>
      <c r="AG613"/>
    </row>
    <row r="614" spans="17:33" ht="12.75" customHeight="1">
      <c r="Q614"/>
      <c r="R614"/>
      <c r="S614"/>
      <c r="T614"/>
      <c r="U614"/>
      <c r="V614"/>
      <c r="W614"/>
      <c r="X614"/>
      <c r="Y614"/>
      <c r="Z614"/>
      <c r="AA614"/>
      <c r="AB614"/>
      <c r="AC614"/>
      <c r="AD614"/>
      <c r="AE614"/>
      <c r="AF614"/>
      <c r="AG614"/>
    </row>
    <row r="615" spans="17:33" ht="12.75" customHeight="1">
      <c r="Q615"/>
      <c r="R615"/>
      <c r="S615"/>
      <c r="T615"/>
      <c r="U615"/>
      <c r="V615"/>
      <c r="W615"/>
      <c r="X615"/>
      <c r="Y615"/>
      <c r="Z615"/>
      <c r="AA615"/>
      <c r="AB615"/>
      <c r="AC615"/>
      <c r="AD615"/>
      <c r="AE615"/>
      <c r="AF615"/>
      <c r="AG615"/>
    </row>
    <row r="616" spans="17:33" ht="12.75" customHeight="1">
      <c r="Q616"/>
      <c r="R616"/>
      <c r="S616"/>
      <c r="T616"/>
      <c r="U616"/>
      <c r="V616"/>
      <c r="W616"/>
      <c r="X616"/>
      <c r="Y616"/>
      <c r="Z616"/>
      <c r="AA616"/>
      <c r="AB616"/>
      <c r="AC616"/>
      <c r="AD616"/>
      <c r="AE616"/>
      <c r="AF616"/>
      <c r="AG616"/>
    </row>
    <row r="617" spans="17:33" ht="12.75" customHeight="1">
      <c r="Q617"/>
      <c r="R617"/>
      <c r="S617"/>
      <c r="T617"/>
      <c r="U617"/>
      <c r="V617"/>
      <c r="W617"/>
      <c r="X617"/>
      <c r="Y617"/>
      <c r="Z617"/>
      <c r="AA617"/>
      <c r="AB617"/>
      <c r="AC617"/>
      <c r="AD617"/>
      <c r="AE617"/>
      <c r="AF617"/>
      <c r="AG617"/>
    </row>
    <row r="618" spans="17:33" ht="12.75" customHeight="1">
      <c r="Q618"/>
      <c r="R618"/>
      <c r="S618"/>
      <c r="T618"/>
      <c r="U618"/>
      <c r="V618"/>
      <c r="W618"/>
      <c r="X618"/>
      <c r="Y618"/>
      <c r="Z618"/>
      <c r="AA618"/>
      <c r="AB618"/>
      <c r="AC618"/>
      <c r="AD618"/>
      <c r="AE618"/>
      <c r="AF618"/>
      <c r="AG618"/>
    </row>
    <row r="619" spans="17:33" ht="12.75" customHeight="1">
      <c r="Q619"/>
      <c r="R619"/>
      <c r="S619"/>
      <c r="T619"/>
      <c r="U619"/>
      <c r="V619"/>
      <c r="W619"/>
      <c r="X619"/>
      <c r="Y619"/>
      <c r="Z619"/>
      <c r="AA619"/>
      <c r="AB619"/>
      <c r="AC619"/>
      <c r="AD619"/>
      <c r="AE619"/>
      <c r="AF619"/>
      <c r="AG619"/>
    </row>
    <row r="620" spans="17:33" ht="12.75" customHeight="1">
      <c r="Q620"/>
      <c r="R620"/>
      <c r="S620"/>
      <c r="T620"/>
      <c r="U620"/>
      <c r="V620"/>
      <c r="W620"/>
      <c r="X620"/>
      <c r="Y620"/>
      <c r="Z620"/>
      <c r="AA620"/>
      <c r="AB620"/>
      <c r="AC620"/>
      <c r="AD620"/>
      <c r="AE620"/>
      <c r="AF620"/>
      <c r="AG620"/>
    </row>
    <row r="621" spans="17:33" ht="12.75" customHeight="1">
      <c r="Q621"/>
      <c r="R621"/>
      <c r="S621"/>
      <c r="T621"/>
      <c r="U621"/>
      <c r="V621"/>
      <c r="W621"/>
      <c r="X621"/>
      <c r="Y621"/>
      <c r="Z621"/>
      <c r="AA621"/>
      <c r="AB621"/>
      <c r="AC621"/>
      <c r="AD621"/>
      <c r="AE621"/>
      <c r="AF621"/>
      <c r="AG621"/>
    </row>
    <row r="622" spans="17:33" ht="12.75" customHeight="1">
      <c r="Q622"/>
      <c r="R622"/>
      <c r="S622"/>
      <c r="T622"/>
      <c r="U622"/>
      <c r="V622"/>
      <c r="W622"/>
      <c r="X622"/>
      <c r="Y622"/>
      <c r="Z622"/>
      <c r="AA622"/>
      <c r="AB622"/>
      <c r="AC622"/>
      <c r="AD622"/>
      <c r="AE622"/>
      <c r="AF622"/>
      <c r="AG622"/>
    </row>
    <row r="623" spans="17:33" ht="12.75" customHeight="1">
      <c r="Q623"/>
      <c r="R623"/>
      <c r="S623"/>
      <c r="T623"/>
      <c r="U623"/>
      <c r="V623"/>
      <c r="W623"/>
      <c r="X623"/>
      <c r="Y623"/>
      <c r="Z623"/>
      <c r="AA623"/>
      <c r="AB623"/>
      <c r="AC623"/>
      <c r="AD623"/>
      <c r="AE623"/>
      <c r="AF623"/>
      <c r="AG623"/>
    </row>
    <row r="624" spans="17:33" ht="12.75" customHeight="1">
      <c r="Q624"/>
      <c r="R624"/>
      <c r="S624"/>
      <c r="T624"/>
      <c r="U624"/>
      <c r="V624"/>
      <c r="W624"/>
      <c r="X624"/>
      <c r="Y624"/>
      <c r="Z624"/>
      <c r="AA624"/>
      <c r="AB624"/>
      <c r="AC624"/>
      <c r="AD624"/>
      <c r="AE624"/>
      <c r="AF624"/>
      <c r="AG624"/>
    </row>
    <row r="625" spans="17:33" ht="12.75" customHeight="1">
      <c r="Q625"/>
      <c r="R625"/>
      <c r="S625"/>
      <c r="T625"/>
      <c r="U625"/>
      <c r="V625"/>
      <c r="W625"/>
      <c r="X625"/>
      <c r="Y625"/>
      <c r="Z625"/>
      <c r="AA625"/>
      <c r="AB625"/>
      <c r="AC625"/>
      <c r="AD625"/>
      <c r="AE625"/>
      <c r="AF625"/>
      <c r="AG625"/>
    </row>
    <row r="626" spans="17:33" ht="12.75" customHeight="1">
      <c r="Q626"/>
      <c r="R626"/>
      <c r="S626"/>
      <c r="T626"/>
      <c r="U626"/>
      <c r="V626"/>
      <c r="W626"/>
      <c r="X626"/>
      <c r="Y626"/>
      <c r="Z626"/>
      <c r="AA626"/>
      <c r="AB626"/>
      <c r="AC626"/>
      <c r="AD626"/>
      <c r="AE626"/>
      <c r="AF626"/>
      <c r="AG626"/>
    </row>
    <row r="627" spans="17:33" ht="12.75" customHeight="1">
      <c r="Q627"/>
      <c r="R627"/>
      <c r="S627"/>
      <c r="T627"/>
      <c r="U627"/>
      <c r="V627"/>
      <c r="W627"/>
      <c r="X627"/>
      <c r="Y627"/>
      <c r="Z627"/>
      <c r="AA627"/>
      <c r="AB627"/>
      <c r="AC627"/>
      <c r="AD627"/>
      <c r="AE627"/>
      <c r="AF627"/>
      <c r="AG627"/>
    </row>
    <row r="628" spans="17:33" ht="12.75" customHeight="1">
      <c r="Q628"/>
      <c r="R628"/>
      <c r="S628"/>
      <c r="T628"/>
      <c r="U628"/>
      <c r="V628"/>
      <c r="W628"/>
      <c r="X628"/>
      <c r="Y628"/>
      <c r="Z628"/>
      <c r="AA628"/>
      <c r="AB628"/>
      <c r="AC628"/>
      <c r="AD628"/>
      <c r="AE628"/>
      <c r="AF628"/>
      <c r="AG628"/>
    </row>
    <row r="629" spans="17:33" ht="12.75" customHeight="1">
      <c r="Q629"/>
      <c r="R629"/>
      <c r="S629"/>
      <c r="T629"/>
      <c r="U629"/>
      <c r="V629"/>
      <c r="W629"/>
      <c r="X629"/>
      <c r="Y629"/>
      <c r="Z629"/>
      <c r="AA629"/>
      <c r="AB629"/>
      <c r="AC629"/>
      <c r="AD629"/>
      <c r="AE629"/>
      <c r="AF629"/>
      <c r="AG629"/>
    </row>
    <row r="630" spans="17:33" ht="12.75" customHeight="1">
      <c r="Q630"/>
      <c r="R630"/>
      <c r="S630"/>
      <c r="T630"/>
      <c r="U630"/>
      <c r="V630"/>
      <c r="W630"/>
      <c r="X630"/>
      <c r="Y630"/>
      <c r="Z630"/>
      <c r="AA630"/>
      <c r="AB630"/>
      <c r="AC630"/>
      <c r="AD630"/>
      <c r="AE630"/>
      <c r="AF630"/>
      <c r="AG630"/>
    </row>
    <row r="631" spans="17:33" ht="12.75" customHeight="1">
      <c r="Q631"/>
      <c r="R631"/>
      <c r="S631"/>
      <c r="T631"/>
      <c r="U631"/>
      <c r="V631"/>
      <c r="W631"/>
      <c r="X631"/>
      <c r="Y631"/>
      <c r="Z631"/>
      <c r="AA631"/>
      <c r="AB631"/>
      <c r="AC631"/>
      <c r="AD631"/>
      <c r="AE631"/>
      <c r="AF631"/>
      <c r="AG631"/>
    </row>
    <row r="632" spans="17:33" ht="12.75" customHeight="1">
      <c r="Q632"/>
      <c r="R632"/>
      <c r="S632"/>
      <c r="T632"/>
      <c r="U632"/>
      <c r="V632"/>
      <c r="W632"/>
      <c r="X632"/>
      <c r="Y632"/>
      <c r="Z632"/>
      <c r="AA632"/>
      <c r="AB632"/>
      <c r="AC632"/>
      <c r="AD632"/>
      <c r="AE632"/>
      <c r="AF632"/>
      <c r="AG632"/>
    </row>
    <row r="633" spans="17:33" ht="12.75" customHeight="1">
      <c r="Q633"/>
      <c r="R633"/>
      <c r="S633"/>
      <c r="T633"/>
      <c r="U633"/>
      <c r="V633"/>
      <c r="W633"/>
      <c r="X633"/>
      <c r="Y633"/>
      <c r="Z633"/>
      <c r="AA633"/>
      <c r="AB633"/>
      <c r="AC633"/>
      <c r="AD633"/>
      <c r="AE633"/>
      <c r="AF633"/>
      <c r="AG633"/>
    </row>
    <row r="634" spans="17:33" ht="12.75" customHeight="1">
      <c r="Q634"/>
      <c r="R634"/>
      <c r="S634"/>
      <c r="T634"/>
      <c r="U634"/>
      <c r="V634"/>
      <c r="W634"/>
      <c r="X634"/>
      <c r="Y634"/>
      <c r="Z634"/>
      <c r="AA634"/>
      <c r="AB634"/>
      <c r="AC634"/>
      <c r="AD634"/>
      <c r="AE634"/>
      <c r="AF634"/>
      <c r="AG634"/>
    </row>
    <row r="635" spans="17:33" ht="12.75" customHeight="1">
      <c r="Q635"/>
      <c r="R635"/>
      <c r="S635"/>
      <c r="T635"/>
      <c r="U635"/>
      <c r="V635"/>
      <c r="W635"/>
      <c r="X635"/>
      <c r="Y635"/>
      <c r="Z635"/>
      <c r="AA635"/>
      <c r="AB635"/>
      <c r="AC635"/>
      <c r="AD635"/>
      <c r="AE635"/>
      <c r="AF635"/>
      <c r="AG635"/>
    </row>
    <row r="636" spans="17:33" ht="12.75" customHeight="1">
      <c r="Q636"/>
      <c r="R636"/>
      <c r="S636"/>
      <c r="T636"/>
      <c r="U636"/>
      <c r="V636"/>
      <c r="W636"/>
      <c r="X636"/>
      <c r="Y636"/>
      <c r="Z636"/>
      <c r="AA636"/>
      <c r="AB636"/>
      <c r="AC636"/>
      <c r="AD636"/>
      <c r="AE636"/>
      <c r="AF636"/>
      <c r="AG636"/>
    </row>
    <row r="637" spans="17:33" ht="12.75" customHeight="1">
      <c r="Q637"/>
      <c r="R637"/>
      <c r="S637"/>
      <c r="T637"/>
      <c r="U637"/>
      <c r="V637"/>
      <c r="W637"/>
      <c r="X637"/>
      <c r="Y637"/>
      <c r="Z637"/>
      <c r="AA637"/>
      <c r="AB637"/>
      <c r="AC637"/>
      <c r="AD637"/>
      <c r="AE637"/>
      <c r="AF637"/>
      <c r="AG637"/>
    </row>
    <row r="638" spans="17:33" ht="12.75" customHeight="1">
      <c r="Q638"/>
      <c r="R638"/>
      <c r="S638"/>
      <c r="T638"/>
      <c r="U638"/>
      <c r="V638"/>
      <c r="W638"/>
      <c r="X638"/>
      <c r="Y638"/>
      <c r="Z638"/>
      <c r="AA638"/>
      <c r="AB638"/>
      <c r="AC638"/>
      <c r="AD638"/>
      <c r="AE638"/>
      <c r="AF638"/>
      <c r="AG638"/>
    </row>
    <row r="639" spans="17:33" ht="12.75" customHeight="1">
      <c r="Q639"/>
      <c r="R639"/>
      <c r="S639"/>
      <c r="T639"/>
      <c r="U639"/>
      <c r="V639"/>
      <c r="W639"/>
      <c r="X639"/>
      <c r="Y639"/>
      <c r="Z639"/>
      <c r="AA639"/>
      <c r="AB639"/>
      <c r="AC639"/>
      <c r="AD639"/>
      <c r="AE639"/>
      <c r="AF639"/>
      <c r="AG639"/>
    </row>
    <row r="640" spans="17:33" ht="12.75" customHeight="1">
      <c r="Q640"/>
      <c r="R640"/>
      <c r="S640"/>
      <c r="T640"/>
      <c r="U640"/>
      <c r="V640"/>
      <c r="W640"/>
      <c r="X640"/>
      <c r="Y640"/>
      <c r="Z640"/>
      <c r="AA640"/>
      <c r="AB640"/>
      <c r="AC640"/>
      <c r="AD640"/>
      <c r="AE640"/>
      <c r="AF640"/>
      <c r="AG640"/>
    </row>
    <row r="641" spans="17:33" ht="12.75" customHeight="1">
      <c r="Q641"/>
      <c r="R641"/>
      <c r="S641"/>
      <c r="T641"/>
      <c r="U641"/>
      <c r="V641"/>
      <c r="W641"/>
      <c r="X641"/>
      <c r="Y641"/>
      <c r="Z641"/>
      <c r="AA641"/>
      <c r="AB641"/>
      <c r="AC641"/>
      <c r="AD641"/>
      <c r="AE641"/>
      <c r="AF641"/>
      <c r="AG641"/>
    </row>
    <row r="642" spans="17:33" ht="12.75" customHeight="1">
      <c r="Q642"/>
      <c r="R642"/>
      <c r="S642"/>
      <c r="T642"/>
      <c r="U642"/>
      <c r="V642"/>
      <c r="W642"/>
      <c r="X642"/>
      <c r="Y642"/>
      <c r="Z642"/>
      <c r="AA642"/>
      <c r="AB642"/>
      <c r="AC642"/>
      <c r="AD642"/>
      <c r="AE642"/>
      <c r="AF642"/>
      <c r="AG642"/>
    </row>
    <row r="643" spans="17:33" ht="12.75" customHeight="1">
      <c r="Q643"/>
      <c r="R643"/>
      <c r="S643"/>
      <c r="T643"/>
      <c r="U643"/>
      <c r="V643"/>
      <c r="W643"/>
      <c r="X643"/>
      <c r="Y643"/>
      <c r="Z643"/>
      <c r="AA643"/>
      <c r="AB643"/>
      <c r="AC643"/>
      <c r="AD643"/>
      <c r="AE643"/>
      <c r="AF643"/>
      <c r="AG643"/>
    </row>
    <row r="644" spans="17:33" ht="12.75" customHeight="1">
      <c r="Q644"/>
      <c r="R644"/>
      <c r="S644"/>
      <c r="T644"/>
      <c r="U644"/>
      <c r="V644"/>
      <c r="W644"/>
      <c r="X644"/>
      <c r="Y644"/>
      <c r="Z644"/>
      <c r="AA644"/>
      <c r="AB644"/>
      <c r="AC644"/>
      <c r="AD644"/>
      <c r="AE644"/>
      <c r="AF644"/>
      <c r="AG644"/>
    </row>
    <row r="645" spans="17:33" ht="12.75" customHeight="1">
      <c r="Q645"/>
      <c r="R645"/>
      <c r="S645"/>
      <c r="T645"/>
      <c r="U645"/>
      <c r="V645"/>
      <c r="W645"/>
      <c r="X645"/>
      <c r="Y645"/>
      <c r="Z645"/>
      <c r="AA645"/>
      <c r="AB645"/>
      <c r="AC645"/>
      <c r="AD645"/>
      <c r="AE645"/>
      <c r="AF645"/>
      <c r="AG645"/>
    </row>
    <row r="646" spans="17:33" ht="12.75" customHeight="1">
      <c r="Q646"/>
      <c r="R646"/>
      <c r="S646"/>
      <c r="T646"/>
      <c r="U646"/>
      <c r="V646"/>
      <c r="W646"/>
      <c r="X646"/>
      <c r="Y646"/>
      <c r="Z646"/>
      <c r="AA646"/>
      <c r="AB646"/>
      <c r="AC646"/>
      <c r="AD646"/>
      <c r="AE646"/>
      <c r="AF646"/>
      <c r="AG646"/>
    </row>
    <row r="647" spans="17:33" ht="12.75" customHeight="1">
      <c r="Q647"/>
      <c r="R647"/>
      <c r="S647"/>
      <c r="T647"/>
      <c r="U647"/>
      <c r="V647"/>
      <c r="W647"/>
      <c r="X647"/>
      <c r="Y647"/>
      <c r="Z647"/>
      <c r="AA647"/>
      <c r="AB647"/>
      <c r="AC647"/>
      <c r="AD647"/>
      <c r="AE647"/>
      <c r="AF647"/>
      <c r="AG647"/>
    </row>
    <row r="648" spans="17:33" ht="12.75" customHeight="1">
      <c r="Q648"/>
      <c r="R648"/>
      <c r="S648"/>
      <c r="T648"/>
      <c r="U648"/>
      <c r="V648"/>
      <c r="W648"/>
      <c r="X648"/>
      <c r="Y648"/>
      <c r="Z648"/>
      <c r="AA648"/>
      <c r="AB648"/>
      <c r="AC648"/>
      <c r="AD648"/>
      <c r="AE648"/>
      <c r="AF648"/>
      <c r="AG648"/>
    </row>
    <row r="649" spans="17:33" ht="12.75" customHeight="1">
      <c r="Q649"/>
      <c r="R649"/>
      <c r="S649"/>
      <c r="T649"/>
      <c r="U649"/>
      <c r="V649"/>
      <c r="W649"/>
      <c r="X649"/>
      <c r="Y649"/>
      <c r="Z649"/>
      <c r="AA649"/>
      <c r="AB649"/>
      <c r="AC649"/>
      <c r="AD649"/>
      <c r="AE649"/>
      <c r="AF649"/>
      <c r="AG649"/>
    </row>
    <row r="650" spans="17:33" ht="12.75" customHeight="1">
      <c r="Q650"/>
      <c r="R650"/>
      <c r="S650"/>
      <c r="T650"/>
      <c r="U650"/>
      <c r="V650"/>
      <c r="W650"/>
      <c r="X650"/>
      <c r="Y650"/>
      <c r="Z650"/>
      <c r="AA650"/>
      <c r="AB650"/>
      <c r="AC650"/>
      <c r="AD650"/>
      <c r="AE650"/>
      <c r="AF650"/>
      <c r="AG650"/>
    </row>
    <row r="651" spans="17:33" ht="12.75" customHeight="1">
      <c r="Q651"/>
      <c r="R651"/>
      <c r="S651"/>
      <c r="T651"/>
      <c r="U651"/>
      <c r="V651"/>
      <c r="W651"/>
      <c r="X651"/>
      <c r="Y651"/>
      <c r="Z651"/>
      <c r="AA651"/>
      <c r="AB651"/>
      <c r="AC651"/>
      <c r="AD651"/>
      <c r="AE651"/>
      <c r="AF651"/>
      <c r="AG651"/>
    </row>
    <row r="652" spans="17:33" ht="12.75" customHeight="1">
      <c r="Q652"/>
      <c r="R652"/>
      <c r="S652"/>
      <c r="T652"/>
      <c r="U652"/>
      <c r="V652"/>
      <c r="W652"/>
      <c r="X652"/>
      <c r="Y652"/>
      <c r="Z652"/>
      <c r="AA652"/>
      <c r="AB652"/>
      <c r="AC652"/>
      <c r="AD652"/>
      <c r="AE652"/>
      <c r="AF652"/>
      <c r="AG652"/>
    </row>
    <row r="653" spans="17:33" ht="12.75" customHeight="1">
      <c r="Q653"/>
      <c r="R653"/>
      <c r="S653"/>
      <c r="T653"/>
      <c r="U653"/>
      <c r="V653"/>
      <c r="W653"/>
      <c r="X653"/>
      <c r="Y653"/>
      <c r="Z653"/>
      <c r="AA653"/>
      <c r="AB653"/>
      <c r="AC653"/>
      <c r="AD653"/>
      <c r="AE653"/>
      <c r="AF653"/>
      <c r="AG653"/>
    </row>
    <row r="654" spans="17:33" ht="12.75" customHeight="1">
      <c r="Q654"/>
      <c r="R654"/>
      <c r="S654"/>
      <c r="T654"/>
      <c r="U654"/>
      <c r="V654"/>
      <c r="W654"/>
      <c r="X654"/>
      <c r="Y654"/>
      <c r="Z654"/>
      <c r="AA654"/>
      <c r="AB654"/>
      <c r="AC654"/>
      <c r="AD654"/>
      <c r="AE654"/>
      <c r="AF654"/>
      <c r="AG654"/>
    </row>
    <row r="655" spans="17:33" ht="12.75" customHeight="1">
      <c r="Q655"/>
      <c r="R655"/>
      <c r="S655"/>
      <c r="T655"/>
      <c r="U655"/>
      <c r="V655"/>
      <c r="W655"/>
      <c r="X655"/>
      <c r="Y655"/>
      <c r="Z655"/>
      <c r="AA655"/>
      <c r="AB655"/>
      <c r="AC655"/>
      <c r="AD655"/>
      <c r="AE655"/>
      <c r="AF655"/>
      <c r="AG655"/>
    </row>
    <row r="656" spans="17:33" ht="12.75" customHeight="1">
      <c r="Q656"/>
      <c r="R656"/>
      <c r="S656"/>
      <c r="T656"/>
      <c r="U656"/>
      <c r="V656"/>
      <c r="W656"/>
      <c r="X656"/>
      <c r="Y656"/>
      <c r="Z656"/>
      <c r="AA656"/>
      <c r="AB656"/>
      <c r="AC656"/>
      <c r="AD656"/>
      <c r="AE656"/>
      <c r="AF656"/>
      <c r="AG656"/>
    </row>
    <row r="657" spans="17:33" ht="12.75" customHeight="1">
      <c r="Q657"/>
      <c r="R657"/>
      <c r="S657"/>
      <c r="T657"/>
      <c r="U657"/>
      <c r="V657"/>
      <c r="W657"/>
      <c r="X657"/>
      <c r="Y657"/>
      <c r="Z657"/>
      <c r="AA657"/>
      <c r="AB657"/>
      <c r="AC657"/>
      <c r="AD657"/>
      <c r="AE657"/>
      <c r="AF657"/>
      <c r="AG657"/>
    </row>
    <row r="658" spans="17:33" ht="12.75" customHeight="1">
      <c r="Q658"/>
      <c r="R658"/>
      <c r="S658"/>
      <c r="T658"/>
      <c r="U658"/>
      <c r="V658"/>
      <c r="W658"/>
      <c r="X658"/>
      <c r="Y658"/>
      <c r="Z658"/>
      <c r="AA658"/>
      <c r="AB658"/>
      <c r="AC658"/>
      <c r="AD658"/>
      <c r="AE658"/>
      <c r="AF658"/>
      <c r="AG658"/>
    </row>
    <row r="659" spans="17:33" ht="12.75" customHeight="1">
      <c r="Q659"/>
      <c r="R659"/>
      <c r="S659"/>
      <c r="T659"/>
      <c r="U659"/>
      <c r="V659"/>
      <c r="W659"/>
      <c r="X659"/>
      <c r="Y659"/>
      <c r="Z659"/>
      <c r="AA659"/>
      <c r="AB659"/>
      <c r="AC659"/>
      <c r="AD659"/>
      <c r="AE659"/>
      <c r="AF659"/>
      <c r="AG659"/>
    </row>
    <row r="660" spans="17:33" ht="12.75" customHeight="1">
      <c r="Q660"/>
      <c r="R660"/>
      <c r="S660"/>
      <c r="T660"/>
      <c r="U660"/>
      <c r="V660"/>
      <c r="W660"/>
      <c r="X660"/>
      <c r="Y660"/>
      <c r="Z660"/>
      <c r="AA660"/>
      <c r="AB660"/>
      <c r="AC660"/>
      <c r="AD660"/>
      <c r="AE660"/>
      <c r="AF660"/>
      <c r="AG660"/>
    </row>
    <row r="661" spans="17:33" ht="12.75" customHeight="1">
      <c r="Q661"/>
      <c r="R661"/>
      <c r="S661"/>
      <c r="T661"/>
      <c r="U661"/>
      <c r="V661"/>
      <c r="W661"/>
      <c r="X661"/>
      <c r="Y661"/>
      <c r="Z661"/>
      <c r="AA661"/>
      <c r="AB661"/>
      <c r="AC661"/>
      <c r="AD661"/>
      <c r="AE661"/>
      <c r="AF661"/>
      <c r="AG661"/>
    </row>
    <row r="662" spans="17:33" ht="12.75" customHeight="1">
      <c r="Q662"/>
      <c r="R662"/>
      <c r="S662"/>
      <c r="T662"/>
      <c r="U662"/>
      <c r="V662"/>
      <c r="W662"/>
      <c r="X662"/>
      <c r="Y662"/>
      <c r="Z662"/>
      <c r="AA662"/>
      <c r="AB662"/>
      <c r="AC662"/>
      <c r="AD662"/>
      <c r="AE662"/>
      <c r="AF662"/>
      <c r="AG662"/>
    </row>
    <row r="663" spans="17:33" ht="12.75" customHeight="1">
      <c r="Q663"/>
      <c r="R663"/>
      <c r="S663"/>
      <c r="T663"/>
      <c r="U663"/>
      <c r="V663"/>
      <c r="W663"/>
      <c r="X663"/>
      <c r="Y663"/>
      <c r="Z663"/>
      <c r="AA663"/>
      <c r="AB663"/>
      <c r="AC663"/>
      <c r="AD663"/>
      <c r="AE663"/>
      <c r="AF663"/>
      <c r="AG663"/>
    </row>
    <row r="664" spans="17:33" ht="12.75" customHeight="1">
      <c r="Q664"/>
      <c r="R664"/>
      <c r="S664"/>
      <c r="T664"/>
      <c r="U664"/>
      <c r="V664"/>
      <c r="W664"/>
      <c r="X664"/>
      <c r="Y664"/>
      <c r="Z664"/>
      <c r="AA664"/>
      <c r="AB664"/>
      <c r="AC664"/>
      <c r="AD664"/>
      <c r="AE664"/>
      <c r="AF664"/>
      <c r="AG664"/>
    </row>
    <row r="665" spans="17:33" ht="12.75" customHeight="1">
      <c r="Q665"/>
      <c r="R665"/>
      <c r="S665"/>
      <c r="T665"/>
      <c r="U665"/>
      <c r="V665"/>
      <c r="W665"/>
      <c r="X665"/>
      <c r="Y665"/>
      <c r="Z665"/>
      <c r="AA665"/>
      <c r="AB665"/>
      <c r="AC665"/>
      <c r="AD665"/>
      <c r="AE665"/>
      <c r="AF665"/>
      <c r="AG665"/>
    </row>
    <row r="666" spans="17:33" ht="12.75" customHeight="1">
      <c r="Q666"/>
      <c r="R666"/>
      <c r="S666"/>
      <c r="T666"/>
      <c r="U666"/>
      <c r="V666"/>
      <c r="W666"/>
      <c r="X666"/>
      <c r="Y666"/>
      <c r="Z666"/>
      <c r="AA666"/>
      <c r="AB666"/>
      <c r="AC666"/>
      <c r="AD666"/>
      <c r="AE666"/>
      <c r="AF666"/>
      <c r="AG666"/>
    </row>
    <row r="667" spans="17:33" ht="12.75" customHeight="1">
      <c r="Q667"/>
      <c r="R667"/>
      <c r="S667"/>
      <c r="T667"/>
      <c r="U667"/>
      <c r="V667"/>
      <c r="W667"/>
      <c r="X667"/>
      <c r="Y667"/>
      <c r="Z667"/>
      <c r="AA667"/>
      <c r="AB667"/>
      <c r="AC667"/>
      <c r="AD667"/>
      <c r="AE667"/>
      <c r="AF667"/>
      <c r="AG667"/>
    </row>
    <row r="668" spans="17:33" ht="12.75" customHeight="1">
      <c r="Q668"/>
      <c r="R668"/>
      <c r="S668"/>
      <c r="T668"/>
      <c r="U668"/>
      <c r="V668"/>
      <c r="W668"/>
      <c r="X668"/>
      <c r="Y668"/>
      <c r="Z668"/>
      <c r="AA668"/>
      <c r="AB668"/>
      <c r="AC668"/>
      <c r="AD668"/>
      <c r="AE668"/>
      <c r="AF668"/>
      <c r="AG668"/>
    </row>
    <row r="669" spans="17:33" ht="12.75" customHeight="1">
      <c r="Q669"/>
      <c r="R669"/>
      <c r="S669"/>
      <c r="T669"/>
      <c r="U669"/>
      <c r="V669"/>
      <c r="W669"/>
      <c r="X669"/>
      <c r="Y669"/>
      <c r="Z669"/>
      <c r="AA669"/>
      <c r="AB669"/>
      <c r="AC669"/>
      <c r="AD669"/>
      <c r="AE669"/>
      <c r="AF669"/>
      <c r="AG669"/>
    </row>
    <row r="670" spans="17:33" ht="12.75" customHeight="1">
      <c r="Q670"/>
      <c r="R670"/>
      <c r="S670"/>
      <c r="T670"/>
      <c r="U670"/>
      <c r="V670"/>
      <c r="W670"/>
      <c r="X670"/>
      <c r="Y670"/>
      <c r="Z670"/>
      <c r="AA670"/>
      <c r="AB670"/>
      <c r="AC670"/>
      <c r="AD670"/>
      <c r="AE670"/>
      <c r="AF670"/>
      <c r="AG670"/>
    </row>
    <row r="671" spans="17:33" ht="12.75" customHeight="1">
      <c r="Q671"/>
      <c r="R671"/>
      <c r="S671"/>
      <c r="T671"/>
      <c r="U671"/>
      <c r="V671"/>
      <c r="W671"/>
      <c r="X671"/>
      <c r="Y671"/>
      <c r="Z671"/>
      <c r="AA671"/>
      <c r="AB671"/>
      <c r="AC671"/>
      <c r="AD671"/>
      <c r="AE671"/>
      <c r="AF671"/>
      <c r="AG671"/>
    </row>
    <row r="672" spans="17:33" ht="12.75" customHeight="1">
      <c r="Q672"/>
      <c r="R672"/>
      <c r="S672"/>
      <c r="T672"/>
      <c r="U672"/>
      <c r="V672"/>
      <c r="W672"/>
      <c r="X672"/>
      <c r="Y672"/>
      <c r="Z672"/>
      <c r="AA672"/>
      <c r="AB672"/>
      <c r="AC672"/>
      <c r="AD672"/>
      <c r="AE672"/>
      <c r="AF672"/>
      <c r="AG672"/>
    </row>
    <row r="673" spans="17:33" ht="12.75" customHeight="1">
      <c r="Q673"/>
      <c r="R673"/>
      <c r="S673"/>
      <c r="T673"/>
      <c r="U673"/>
      <c r="V673"/>
      <c r="W673"/>
      <c r="X673"/>
      <c r="Y673"/>
      <c r="Z673"/>
      <c r="AA673"/>
      <c r="AB673"/>
      <c r="AC673"/>
      <c r="AD673"/>
      <c r="AE673"/>
      <c r="AF673"/>
      <c r="AG673"/>
    </row>
    <row r="674" spans="17:33" ht="12.75" customHeight="1">
      <c r="Q674"/>
      <c r="R674"/>
      <c r="S674"/>
      <c r="T674"/>
      <c r="U674"/>
      <c r="V674"/>
      <c r="W674"/>
      <c r="X674"/>
      <c r="Y674"/>
      <c r="Z674"/>
      <c r="AA674"/>
      <c r="AB674"/>
      <c r="AC674"/>
      <c r="AD674"/>
      <c r="AE674"/>
      <c r="AF674"/>
      <c r="AG674"/>
    </row>
    <row r="675" spans="17:33" ht="12.75" customHeight="1">
      <c r="Q675"/>
      <c r="R675"/>
      <c r="S675"/>
      <c r="T675"/>
      <c r="U675"/>
      <c r="V675"/>
      <c r="W675"/>
      <c r="X675"/>
      <c r="Y675"/>
      <c r="Z675"/>
      <c r="AA675"/>
      <c r="AB675"/>
      <c r="AC675"/>
      <c r="AD675"/>
      <c r="AE675"/>
      <c r="AF675"/>
      <c r="AG675"/>
    </row>
    <row r="676" spans="17:33" ht="12.75" customHeight="1">
      <c r="Q676"/>
      <c r="R676"/>
      <c r="S676"/>
      <c r="T676"/>
      <c r="U676"/>
      <c r="V676"/>
      <c r="W676"/>
      <c r="X676"/>
      <c r="Y676"/>
      <c r="Z676"/>
      <c r="AA676"/>
      <c r="AB676"/>
      <c r="AC676"/>
      <c r="AD676"/>
      <c r="AE676"/>
      <c r="AF676"/>
      <c r="AG676"/>
    </row>
    <row r="677" spans="17:33" ht="12.75" customHeight="1">
      <c r="Q677"/>
      <c r="R677"/>
      <c r="S677"/>
      <c r="T677"/>
      <c r="U677"/>
      <c r="V677"/>
      <c r="W677"/>
      <c r="X677"/>
      <c r="Y677"/>
      <c r="Z677"/>
      <c r="AA677"/>
      <c r="AB677"/>
      <c r="AC677"/>
      <c r="AD677"/>
      <c r="AE677"/>
      <c r="AF677"/>
      <c r="AG677"/>
    </row>
    <row r="678" spans="17:33" ht="12.75" customHeight="1">
      <c r="Q678"/>
      <c r="R678"/>
      <c r="S678"/>
      <c r="T678"/>
      <c r="U678"/>
      <c r="V678"/>
      <c r="W678"/>
      <c r="X678"/>
      <c r="Y678"/>
      <c r="Z678"/>
      <c r="AA678"/>
      <c r="AB678"/>
      <c r="AC678"/>
      <c r="AD678"/>
      <c r="AE678"/>
      <c r="AF678"/>
      <c r="AG678"/>
    </row>
    <row r="679" spans="17:33" ht="12.75" customHeight="1">
      <c r="Q679"/>
      <c r="R679"/>
      <c r="S679"/>
      <c r="T679"/>
      <c r="U679"/>
      <c r="V679"/>
      <c r="W679"/>
      <c r="X679"/>
      <c r="Y679"/>
      <c r="Z679"/>
      <c r="AA679"/>
      <c r="AB679"/>
      <c r="AC679"/>
      <c r="AD679"/>
      <c r="AE679"/>
      <c r="AF679"/>
      <c r="AG679"/>
    </row>
    <row r="680" spans="17:33" ht="12.75" customHeight="1">
      <c r="Q680"/>
      <c r="R680"/>
      <c r="S680"/>
      <c r="T680"/>
      <c r="U680"/>
      <c r="V680"/>
      <c r="W680"/>
      <c r="X680"/>
      <c r="Y680"/>
      <c r="Z680"/>
      <c r="AA680"/>
      <c r="AB680"/>
      <c r="AC680"/>
      <c r="AD680"/>
      <c r="AE680"/>
      <c r="AF680"/>
      <c r="AG680"/>
    </row>
    <row r="681" spans="17:33" ht="12.75" customHeight="1">
      <c r="Q681"/>
      <c r="R681"/>
      <c r="S681"/>
      <c r="T681"/>
      <c r="U681"/>
      <c r="V681"/>
      <c r="W681"/>
      <c r="X681"/>
      <c r="Y681"/>
      <c r="Z681"/>
      <c r="AA681"/>
      <c r="AB681"/>
      <c r="AC681"/>
      <c r="AD681"/>
      <c r="AE681"/>
      <c r="AF681"/>
      <c r="AG681"/>
    </row>
    <row r="682" spans="17:33" ht="12.75" customHeight="1">
      <c r="Q682"/>
      <c r="R682"/>
      <c r="S682"/>
      <c r="T682"/>
      <c r="U682"/>
      <c r="V682"/>
      <c r="W682"/>
      <c r="X682"/>
      <c r="Y682"/>
      <c r="Z682"/>
      <c r="AA682"/>
      <c r="AB682"/>
      <c r="AC682"/>
      <c r="AD682"/>
      <c r="AE682"/>
      <c r="AF682"/>
      <c r="AG682"/>
    </row>
    <row r="683" spans="17:33" ht="12.75" customHeight="1">
      <c r="Q683"/>
      <c r="R683"/>
      <c r="S683"/>
      <c r="T683"/>
      <c r="U683"/>
      <c r="V683"/>
      <c r="W683"/>
      <c r="X683"/>
      <c r="Y683"/>
      <c r="Z683"/>
      <c r="AA683"/>
      <c r="AB683"/>
      <c r="AC683"/>
      <c r="AD683"/>
      <c r="AE683"/>
      <c r="AF683"/>
      <c r="AG683"/>
    </row>
    <row r="684" spans="17:33" ht="12.75" customHeight="1">
      <c r="Q684"/>
      <c r="R684"/>
      <c r="S684"/>
      <c r="T684"/>
      <c r="U684"/>
      <c r="V684"/>
      <c r="W684"/>
      <c r="X684"/>
      <c r="Y684"/>
      <c r="Z684"/>
      <c r="AA684"/>
      <c r="AB684"/>
      <c r="AC684"/>
      <c r="AD684"/>
      <c r="AE684"/>
      <c r="AF684"/>
      <c r="AG684"/>
    </row>
    <row r="685" spans="17:33" ht="12.75" customHeight="1">
      <c r="Q685"/>
      <c r="R685"/>
      <c r="S685"/>
      <c r="T685"/>
      <c r="U685"/>
      <c r="V685"/>
      <c r="W685"/>
      <c r="X685"/>
      <c r="Y685"/>
      <c r="Z685"/>
      <c r="AA685"/>
      <c r="AB685"/>
      <c r="AC685"/>
      <c r="AD685"/>
      <c r="AE685"/>
      <c r="AF685"/>
      <c r="AG685"/>
    </row>
    <row r="686" spans="17:33" ht="12.75" customHeight="1">
      <c r="Q686"/>
      <c r="R686"/>
      <c r="S686"/>
      <c r="T686"/>
      <c r="U686"/>
      <c r="V686"/>
      <c r="W686"/>
      <c r="X686"/>
      <c r="Y686"/>
      <c r="Z686"/>
      <c r="AA686"/>
      <c r="AB686"/>
      <c r="AC686"/>
      <c r="AD686"/>
      <c r="AE686"/>
      <c r="AF686"/>
      <c r="AG686"/>
    </row>
    <row r="687" spans="17:33" ht="12.75" customHeight="1">
      <c r="Q687"/>
      <c r="R687"/>
      <c r="S687"/>
      <c r="T687"/>
      <c r="U687"/>
      <c r="V687"/>
      <c r="W687"/>
      <c r="X687"/>
      <c r="Y687"/>
      <c r="Z687"/>
      <c r="AA687"/>
      <c r="AB687"/>
      <c r="AC687"/>
      <c r="AD687"/>
      <c r="AE687"/>
      <c r="AF687"/>
      <c r="AG687"/>
    </row>
    <row r="688" spans="17:33" ht="12.75" customHeight="1">
      <c r="Q688"/>
      <c r="R688"/>
      <c r="S688"/>
      <c r="T688"/>
      <c r="U688"/>
      <c r="V688"/>
      <c r="W688"/>
      <c r="X688"/>
      <c r="Y688"/>
      <c r="Z688"/>
      <c r="AA688"/>
      <c r="AB688"/>
      <c r="AC688"/>
      <c r="AD688"/>
      <c r="AE688"/>
      <c r="AF688"/>
      <c r="AG688"/>
    </row>
    <row r="689" spans="17:33" ht="12.75" customHeight="1">
      <c r="Q689"/>
      <c r="R689"/>
      <c r="S689"/>
      <c r="T689"/>
      <c r="U689"/>
      <c r="V689"/>
      <c r="W689"/>
      <c r="X689"/>
      <c r="Y689"/>
      <c r="Z689"/>
      <c r="AA689"/>
      <c r="AB689"/>
      <c r="AC689"/>
      <c r="AD689"/>
      <c r="AE689"/>
      <c r="AF689"/>
      <c r="AG689"/>
    </row>
    <row r="690" spans="17:33" ht="12.75" customHeight="1">
      <c r="Q690"/>
      <c r="R690"/>
      <c r="S690"/>
      <c r="T690"/>
      <c r="U690"/>
      <c r="V690"/>
      <c r="W690"/>
      <c r="X690"/>
      <c r="Y690"/>
      <c r="Z690"/>
      <c r="AA690"/>
      <c r="AB690"/>
      <c r="AC690"/>
      <c r="AD690"/>
      <c r="AE690"/>
      <c r="AF690"/>
      <c r="AG690"/>
    </row>
    <row r="691" spans="17:33" ht="12.75" customHeight="1">
      <c r="Q691"/>
      <c r="R691"/>
      <c r="S691"/>
      <c r="T691"/>
      <c r="U691"/>
      <c r="V691"/>
      <c r="W691"/>
      <c r="X691"/>
      <c r="Y691"/>
      <c r="Z691"/>
      <c r="AA691"/>
      <c r="AB691"/>
      <c r="AC691"/>
      <c r="AD691"/>
      <c r="AE691"/>
      <c r="AF691"/>
      <c r="AG691"/>
    </row>
    <row r="692" spans="17:33" ht="12.75" customHeight="1">
      <c r="Q692"/>
      <c r="R692"/>
      <c r="S692"/>
      <c r="T692"/>
      <c r="U692"/>
      <c r="V692"/>
      <c r="W692"/>
      <c r="X692"/>
      <c r="Y692"/>
      <c r="Z692"/>
      <c r="AA692"/>
      <c r="AB692"/>
      <c r="AC692"/>
      <c r="AD692"/>
      <c r="AE692"/>
      <c r="AF692"/>
      <c r="AG692"/>
    </row>
    <row r="693" spans="17:33" ht="12.75" customHeight="1">
      <c r="Q693"/>
      <c r="R693"/>
      <c r="S693"/>
      <c r="T693"/>
      <c r="U693"/>
      <c r="V693"/>
      <c r="W693"/>
      <c r="X693"/>
      <c r="Y693"/>
      <c r="Z693"/>
      <c r="AA693"/>
      <c r="AB693"/>
      <c r="AC693"/>
      <c r="AD693"/>
      <c r="AE693"/>
      <c r="AF693"/>
      <c r="AG693"/>
    </row>
    <row r="694" spans="17:33" ht="12.75" customHeight="1">
      <c r="Q694"/>
      <c r="R694"/>
      <c r="S694"/>
      <c r="T694"/>
      <c r="U694"/>
      <c r="V694"/>
      <c r="W694"/>
      <c r="X694"/>
      <c r="Y694"/>
      <c r="Z694"/>
      <c r="AA694"/>
      <c r="AB694"/>
      <c r="AC694"/>
      <c r="AD694"/>
      <c r="AE694"/>
      <c r="AF694"/>
      <c r="AG694"/>
    </row>
    <row r="695" spans="17:33">
      <c r="Q695"/>
      <c r="R695"/>
      <c r="S695"/>
      <c r="T695"/>
      <c r="U695"/>
      <c r="V695"/>
      <c r="W695"/>
      <c r="X695"/>
      <c r="Y695"/>
      <c r="Z695"/>
      <c r="AA695"/>
      <c r="AB695"/>
      <c r="AC695"/>
      <c r="AD695"/>
      <c r="AE695"/>
      <c r="AF695"/>
      <c r="AG695"/>
    </row>
    <row r="696" spans="17:33">
      <c r="Q696"/>
      <c r="R696"/>
      <c r="S696"/>
      <c r="T696"/>
      <c r="U696"/>
      <c r="V696"/>
      <c r="W696"/>
      <c r="X696"/>
      <c r="Y696"/>
      <c r="Z696"/>
      <c r="AA696"/>
      <c r="AB696"/>
      <c r="AC696"/>
      <c r="AD696"/>
      <c r="AE696"/>
      <c r="AF696"/>
      <c r="AG696"/>
    </row>
    <row r="697" spans="17:33">
      <c r="Q697"/>
      <c r="R697"/>
      <c r="S697"/>
      <c r="T697"/>
      <c r="U697"/>
      <c r="V697"/>
      <c r="W697"/>
      <c r="X697"/>
      <c r="Y697"/>
      <c r="Z697"/>
      <c r="AA697"/>
      <c r="AB697"/>
      <c r="AC697"/>
      <c r="AD697"/>
      <c r="AE697"/>
      <c r="AF697"/>
      <c r="AG697"/>
    </row>
    <row r="698" spans="17:33">
      <c r="Q698"/>
      <c r="R698"/>
      <c r="S698"/>
      <c r="T698"/>
      <c r="U698"/>
      <c r="V698"/>
      <c r="W698"/>
      <c r="X698"/>
      <c r="Y698"/>
      <c r="Z698"/>
      <c r="AA698"/>
      <c r="AB698"/>
      <c r="AC698"/>
      <c r="AD698"/>
      <c r="AE698"/>
      <c r="AF698"/>
      <c r="AG698"/>
    </row>
    <row r="699" spans="17:33">
      <c r="Q699"/>
      <c r="R699"/>
      <c r="S699"/>
      <c r="T699"/>
      <c r="U699"/>
      <c r="V699"/>
      <c r="W699"/>
      <c r="X699"/>
      <c r="Y699"/>
      <c r="Z699"/>
      <c r="AA699"/>
      <c r="AB699"/>
      <c r="AC699"/>
      <c r="AD699"/>
      <c r="AE699"/>
      <c r="AF699"/>
      <c r="AG699"/>
    </row>
    <row r="700" spans="17:33">
      <c r="Q700"/>
      <c r="R700"/>
      <c r="S700"/>
      <c r="T700"/>
      <c r="U700"/>
      <c r="V700"/>
      <c r="W700"/>
      <c r="X700"/>
      <c r="Y700"/>
      <c r="Z700"/>
      <c r="AA700"/>
      <c r="AB700"/>
      <c r="AC700"/>
      <c r="AD700"/>
      <c r="AE700"/>
      <c r="AF700"/>
      <c r="AG700"/>
    </row>
    <row r="701" spans="17:33">
      <c r="Q701"/>
      <c r="R701"/>
      <c r="S701"/>
      <c r="T701"/>
      <c r="U701"/>
      <c r="V701"/>
      <c r="W701"/>
      <c r="X701"/>
      <c r="Y701"/>
      <c r="Z701"/>
      <c r="AA701"/>
      <c r="AB701"/>
      <c r="AC701"/>
      <c r="AD701"/>
      <c r="AE701"/>
      <c r="AF701"/>
      <c r="AG701"/>
    </row>
    <row r="702" spans="17:33">
      <c r="Q702"/>
      <c r="R702"/>
      <c r="S702"/>
      <c r="T702"/>
      <c r="U702"/>
      <c r="V702"/>
      <c r="W702"/>
      <c r="X702"/>
      <c r="Y702"/>
      <c r="Z702"/>
      <c r="AA702"/>
      <c r="AB702"/>
      <c r="AC702"/>
      <c r="AD702"/>
      <c r="AE702"/>
      <c r="AF702"/>
      <c r="AG702"/>
    </row>
    <row r="703" spans="17:33">
      <c r="Q703"/>
      <c r="R703"/>
      <c r="S703"/>
      <c r="T703"/>
      <c r="U703"/>
      <c r="V703"/>
      <c r="W703"/>
      <c r="X703"/>
      <c r="Y703"/>
      <c r="Z703"/>
      <c r="AA703"/>
      <c r="AB703"/>
      <c r="AC703"/>
      <c r="AD703"/>
      <c r="AE703"/>
      <c r="AF703"/>
      <c r="AG703"/>
    </row>
    <row r="704" spans="17:33">
      <c r="Q704"/>
      <c r="R704"/>
      <c r="S704"/>
      <c r="T704"/>
      <c r="U704"/>
      <c r="V704"/>
      <c r="W704"/>
      <c r="X704"/>
      <c r="Y704"/>
      <c r="Z704"/>
      <c r="AA704"/>
      <c r="AB704"/>
      <c r="AC704"/>
      <c r="AD704"/>
      <c r="AE704"/>
      <c r="AF704"/>
      <c r="AG704"/>
    </row>
    <row r="705" spans="17:33">
      <c r="Q705"/>
      <c r="R705"/>
      <c r="S705"/>
      <c r="T705"/>
      <c r="U705"/>
      <c r="V705"/>
      <c r="W705"/>
      <c r="X705"/>
      <c r="Y705"/>
      <c r="Z705"/>
      <c r="AA705"/>
      <c r="AB705"/>
      <c r="AC705"/>
      <c r="AD705"/>
      <c r="AE705"/>
      <c r="AF705"/>
      <c r="AG705"/>
    </row>
    <row r="706" spans="17:33">
      <c r="Q706"/>
      <c r="R706"/>
      <c r="S706"/>
      <c r="T706"/>
      <c r="U706"/>
      <c r="V706"/>
      <c r="W706"/>
      <c r="X706"/>
      <c r="Y706"/>
      <c r="Z706"/>
      <c r="AA706"/>
      <c r="AB706"/>
      <c r="AC706"/>
      <c r="AD706"/>
      <c r="AE706"/>
      <c r="AF706"/>
      <c r="AG706"/>
    </row>
    <row r="707" spans="17:33">
      <c r="Q707"/>
      <c r="R707"/>
      <c r="S707"/>
      <c r="T707"/>
      <c r="U707"/>
      <c r="V707"/>
      <c r="W707"/>
      <c r="X707"/>
      <c r="Y707"/>
      <c r="Z707"/>
      <c r="AA707"/>
      <c r="AB707"/>
      <c r="AC707"/>
      <c r="AD707"/>
      <c r="AE707"/>
      <c r="AF707"/>
      <c r="AG707"/>
    </row>
    <row r="708" spans="17:33">
      <c r="Q708"/>
      <c r="R708"/>
      <c r="S708"/>
      <c r="T708"/>
      <c r="U708"/>
      <c r="V708"/>
      <c r="W708"/>
      <c r="X708"/>
      <c r="Y708"/>
      <c r="Z708"/>
      <c r="AA708"/>
      <c r="AB708"/>
      <c r="AC708"/>
      <c r="AD708"/>
      <c r="AE708"/>
      <c r="AF708"/>
      <c r="AG708"/>
    </row>
    <row r="709" spans="17:33">
      <c r="Q709"/>
      <c r="R709"/>
      <c r="S709"/>
      <c r="T709"/>
      <c r="U709"/>
      <c r="V709"/>
      <c r="W709"/>
      <c r="X709"/>
      <c r="Y709"/>
      <c r="Z709"/>
      <c r="AA709"/>
      <c r="AB709"/>
      <c r="AC709"/>
      <c r="AD709"/>
      <c r="AE709"/>
      <c r="AF709"/>
      <c r="AG709"/>
    </row>
    <row r="710" spans="17:33">
      <c r="Q710"/>
      <c r="R710"/>
      <c r="S710"/>
      <c r="T710"/>
      <c r="U710"/>
      <c r="V710"/>
      <c r="W710"/>
      <c r="X710"/>
      <c r="Y710"/>
      <c r="Z710"/>
      <c r="AA710"/>
      <c r="AB710"/>
      <c r="AC710"/>
      <c r="AD710"/>
      <c r="AE710"/>
      <c r="AF710"/>
      <c r="AG710"/>
    </row>
    <row r="711" spans="17:33">
      <c r="Q711"/>
      <c r="R711"/>
      <c r="S711"/>
      <c r="T711"/>
      <c r="U711"/>
      <c r="V711"/>
      <c r="W711"/>
      <c r="X711"/>
      <c r="Y711"/>
      <c r="Z711"/>
      <c r="AA711"/>
      <c r="AB711"/>
      <c r="AC711"/>
      <c r="AD711"/>
      <c r="AE711"/>
      <c r="AF711"/>
      <c r="AG711"/>
    </row>
    <row r="712" spans="17:33">
      <c r="Q712"/>
      <c r="R712"/>
      <c r="S712"/>
      <c r="T712"/>
      <c r="U712"/>
      <c r="V712"/>
      <c r="W712"/>
      <c r="X712"/>
      <c r="Y712"/>
      <c r="Z712"/>
      <c r="AA712"/>
      <c r="AB712"/>
      <c r="AC712"/>
      <c r="AD712"/>
      <c r="AE712"/>
      <c r="AF712"/>
      <c r="AG712"/>
    </row>
    <row r="713" spans="17:33">
      <c r="Q713"/>
      <c r="R713"/>
      <c r="S713"/>
      <c r="T713"/>
      <c r="U713"/>
      <c r="V713"/>
      <c r="W713"/>
      <c r="X713"/>
      <c r="Y713"/>
      <c r="Z713"/>
      <c r="AA713"/>
      <c r="AB713"/>
      <c r="AC713"/>
      <c r="AD713"/>
      <c r="AE713"/>
      <c r="AF713"/>
      <c r="AG713"/>
    </row>
    <row r="714" spans="17:33">
      <c r="Q714"/>
      <c r="R714"/>
      <c r="S714"/>
      <c r="T714"/>
      <c r="U714"/>
      <c r="V714"/>
      <c r="W714"/>
      <c r="X714"/>
      <c r="Y714"/>
      <c r="Z714"/>
      <c r="AA714"/>
      <c r="AB714"/>
      <c r="AC714"/>
      <c r="AD714"/>
      <c r="AE714"/>
      <c r="AF714"/>
      <c r="AG714"/>
    </row>
    <row r="715" spans="17:33">
      <c r="Q715"/>
      <c r="R715"/>
      <c r="S715"/>
      <c r="T715"/>
      <c r="U715"/>
      <c r="V715"/>
      <c r="W715"/>
      <c r="X715"/>
      <c r="Y715"/>
      <c r="Z715"/>
      <c r="AA715"/>
      <c r="AB715"/>
      <c r="AC715"/>
      <c r="AD715"/>
      <c r="AE715"/>
      <c r="AF715"/>
      <c r="AG715"/>
    </row>
    <row r="716" spans="17:33">
      <c r="Q716"/>
      <c r="R716"/>
      <c r="S716"/>
      <c r="T716"/>
      <c r="U716"/>
      <c r="V716"/>
      <c r="W716"/>
      <c r="X716"/>
      <c r="Y716"/>
      <c r="Z716"/>
      <c r="AA716"/>
      <c r="AB716"/>
      <c r="AC716"/>
      <c r="AD716"/>
      <c r="AE716"/>
      <c r="AF716"/>
      <c r="AG716"/>
    </row>
    <row r="717" spans="17:33">
      <c r="Q717"/>
      <c r="R717"/>
      <c r="S717"/>
      <c r="T717"/>
      <c r="U717"/>
      <c r="V717"/>
      <c r="W717"/>
      <c r="X717"/>
      <c r="Y717"/>
      <c r="Z717"/>
      <c r="AA717"/>
      <c r="AB717"/>
      <c r="AC717"/>
      <c r="AD717"/>
      <c r="AE717"/>
      <c r="AF717"/>
      <c r="AG717"/>
    </row>
    <row r="718" spans="17:33">
      <c r="Q718"/>
      <c r="R718"/>
      <c r="S718"/>
      <c r="T718"/>
      <c r="U718"/>
      <c r="V718"/>
      <c r="W718"/>
      <c r="X718"/>
      <c r="Y718"/>
      <c r="Z718"/>
      <c r="AA718"/>
      <c r="AB718"/>
      <c r="AC718"/>
      <c r="AD718"/>
      <c r="AE718"/>
      <c r="AF718"/>
      <c r="AG718"/>
    </row>
    <row r="719" spans="17:33">
      <c r="Q719"/>
      <c r="R719"/>
      <c r="S719"/>
      <c r="T719"/>
      <c r="U719"/>
      <c r="V719"/>
      <c r="W719"/>
      <c r="X719"/>
      <c r="Y719"/>
      <c r="Z719"/>
      <c r="AA719"/>
      <c r="AB719"/>
      <c r="AC719"/>
      <c r="AD719"/>
      <c r="AE719"/>
      <c r="AF719"/>
      <c r="AG719"/>
    </row>
    <row r="720" spans="17:33">
      <c r="Q720"/>
      <c r="R720"/>
      <c r="S720"/>
      <c r="T720"/>
      <c r="U720"/>
      <c r="V720"/>
      <c r="W720"/>
      <c r="X720"/>
      <c r="Y720"/>
      <c r="Z720"/>
      <c r="AA720"/>
      <c r="AB720"/>
      <c r="AC720"/>
      <c r="AD720"/>
      <c r="AE720"/>
      <c r="AF720"/>
      <c r="AG720"/>
    </row>
    <row r="721" spans="17:33">
      <c r="Q721"/>
      <c r="R721"/>
      <c r="S721"/>
      <c r="T721"/>
      <c r="U721"/>
      <c r="V721"/>
      <c r="W721"/>
      <c r="X721"/>
      <c r="Y721"/>
      <c r="Z721"/>
      <c r="AA721"/>
      <c r="AB721"/>
      <c r="AC721"/>
      <c r="AD721"/>
      <c r="AE721"/>
      <c r="AF721"/>
      <c r="AG721"/>
    </row>
    <row r="722" spans="17:33">
      <c r="Q722"/>
      <c r="R722"/>
      <c r="S722"/>
      <c r="T722"/>
      <c r="U722"/>
      <c r="V722"/>
      <c r="W722"/>
      <c r="X722"/>
      <c r="Y722"/>
      <c r="Z722"/>
      <c r="AA722"/>
      <c r="AB722"/>
      <c r="AC722"/>
      <c r="AD722"/>
      <c r="AE722"/>
      <c r="AF722"/>
      <c r="AG722"/>
    </row>
    <row r="723" spans="17:33">
      <c r="Q723"/>
      <c r="R723"/>
      <c r="S723"/>
      <c r="T723"/>
      <c r="U723"/>
      <c r="V723"/>
      <c r="W723"/>
      <c r="X723"/>
      <c r="Y723"/>
      <c r="Z723"/>
      <c r="AA723"/>
      <c r="AB723"/>
      <c r="AC723"/>
      <c r="AD723"/>
      <c r="AE723"/>
      <c r="AF723"/>
      <c r="AG723"/>
    </row>
    <row r="724" spans="17:33">
      <c r="Q724"/>
      <c r="R724"/>
      <c r="S724"/>
      <c r="T724"/>
      <c r="U724"/>
      <c r="V724"/>
      <c r="W724"/>
      <c r="X724"/>
      <c r="Y724"/>
      <c r="Z724"/>
      <c r="AA724"/>
      <c r="AB724"/>
      <c r="AC724"/>
      <c r="AD724"/>
      <c r="AE724"/>
      <c r="AF724"/>
      <c r="AG724"/>
    </row>
    <row r="725" spans="17:33">
      <c r="Q725"/>
      <c r="R725"/>
      <c r="S725"/>
      <c r="T725"/>
      <c r="U725"/>
      <c r="V725"/>
      <c r="W725"/>
      <c r="X725"/>
      <c r="Y725"/>
      <c r="Z725"/>
      <c r="AA725"/>
      <c r="AB725"/>
      <c r="AC725"/>
      <c r="AD725"/>
      <c r="AE725"/>
      <c r="AF725"/>
      <c r="AG725"/>
    </row>
    <row r="726" spans="17:33">
      <c r="Q726"/>
      <c r="R726"/>
      <c r="S726"/>
      <c r="T726"/>
      <c r="U726"/>
      <c r="V726"/>
      <c r="W726"/>
      <c r="X726"/>
      <c r="Y726"/>
      <c r="Z726"/>
      <c r="AA726"/>
      <c r="AB726"/>
      <c r="AC726"/>
      <c r="AD726"/>
      <c r="AE726"/>
      <c r="AF726"/>
      <c r="AG726"/>
    </row>
    <row r="727" spans="17:33">
      <c r="Q727"/>
      <c r="R727"/>
      <c r="S727"/>
      <c r="T727"/>
      <c r="U727"/>
      <c r="V727"/>
      <c r="W727"/>
      <c r="X727"/>
      <c r="Y727"/>
      <c r="Z727"/>
      <c r="AA727"/>
      <c r="AB727"/>
      <c r="AC727"/>
      <c r="AD727"/>
      <c r="AE727"/>
      <c r="AF727"/>
      <c r="AG727"/>
    </row>
    <row r="728" spans="17:33">
      <c r="Q728"/>
      <c r="R728"/>
      <c r="S728"/>
      <c r="T728"/>
      <c r="U728"/>
      <c r="V728"/>
      <c r="W728"/>
      <c r="X728"/>
      <c r="Y728"/>
      <c r="Z728"/>
      <c r="AA728"/>
      <c r="AB728"/>
      <c r="AC728"/>
      <c r="AD728"/>
      <c r="AE728"/>
      <c r="AF728"/>
      <c r="AG728"/>
    </row>
    <row r="729" spans="17:33">
      <c r="Q729"/>
      <c r="R729"/>
      <c r="S729"/>
      <c r="T729"/>
      <c r="U729"/>
      <c r="V729"/>
      <c r="W729"/>
      <c r="X729"/>
      <c r="Y729"/>
      <c r="Z729"/>
      <c r="AA729"/>
      <c r="AB729"/>
      <c r="AC729"/>
      <c r="AD729"/>
      <c r="AE729"/>
      <c r="AF729"/>
      <c r="AG729"/>
    </row>
    <row r="730" spans="17:33">
      <c r="Q730"/>
      <c r="R730"/>
      <c r="S730"/>
      <c r="T730"/>
      <c r="U730"/>
      <c r="V730"/>
      <c r="W730"/>
      <c r="X730"/>
      <c r="Y730"/>
      <c r="Z730"/>
      <c r="AA730"/>
      <c r="AB730"/>
      <c r="AC730"/>
      <c r="AD730"/>
      <c r="AE730"/>
      <c r="AF730"/>
      <c r="AG730"/>
    </row>
    <row r="731" spans="17:33">
      <c r="Q731"/>
      <c r="R731"/>
      <c r="S731"/>
      <c r="T731"/>
      <c r="U731"/>
      <c r="V731"/>
      <c r="W731"/>
      <c r="X731"/>
      <c r="Y731"/>
      <c r="Z731"/>
      <c r="AA731"/>
      <c r="AB731"/>
      <c r="AC731"/>
      <c r="AD731"/>
      <c r="AE731"/>
      <c r="AF731"/>
      <c r="AG731"/>
    </row>
    <row r="732" spans="17:33">
      <c r="Q732"/>
      <c r="R732"/>
      <c r="S732"/>
      <c r="T732"/>
      <c r="U732"/>
      <c r="V732"/>
      <c r="W732"/>
      <c r="X732"/>
      <c r="Y732"/>
      <c r="Z732"/>
      <c r="AA732"/>
      <c r="AB732"/>
      <c r="AC732"/>
      <c r="AD732"/>
      <c r="AE732"/>
      <c r="AF732"/>
      <c r="AG732"/>
    </row>
    <row r="733" spans="17:33">
      <c r="Q733"/>
      <c r="R733"/>
      <c r="S733"/>
      <c r="T733"/>
      <c r="U733"/>
      <c r="V733"/>
      <c r="W733"/>
      <c r="X733"/>
      <c r="Y733"/>
      <c r="Z733"/>
      <c r="AA733"/>
      <c r="AB733"/>
      <c r="AC733"/>
      <c r="AD733"/>
      <c r="AE733"/>
      <c r="AF733"/>
      <c r="AG733"/>
    </row>
    <row r="734" spans="17:33">
      <c r="Q734"/>
      <c r="R734"/>
      <c r="S734"/>
      <c r="T734"/>
      <c r="U734"/>
      <c r="V734"/>
      <c r="W734"/>
      <c r="X734"/>
      <c r="Y734"/>
      <c r="Z734"/>
      <c r="AA734"/>
      <c r="AB734"/>
      <c r="AC734"/>
      <c r="AD734"/>
      <c r="AE734"/>
      <c r="AF734"/>
      <c r="AG734"/>
    </row>
    <row r="735" spans="17:33">
      <c r="Q735"/>
      <c r="R735"/>
      <c r="S735"/>
      <c r="T735"/>
      <c r="U735"/>
      <c r="V735"/>
      <c r="W735"/>
      <c r="X735"/>
      <c r="Y735"/>
      <c r="Z735"/>
      <c r="AA735"/>
      <c r="AB735"/>
      <c r="AC735"/>
      <c r="AD735"/>
      <c r="AE735"/>
      <c r="AF735"/>
      <c r="AG735"/>
    </row>
    <row r="736" spans="17:33">
      <c r="Q736"/>
      <c r="R736"/>
      <c r="S736"/>
      <c r="T736"/>
      <c r="U736"/>
      <c r="V736"/>
      <c r="W736"/>
      <c r="X736"/>
      <c r="Y736"/>
      <c r="Z736"/>
      <c r="AA736"/>
      <c r="AB736"/>
      <c r="AC736"/>
      <c r="AD736"/>
      <c r="AE736"/>
      <c r="AF736"/>
      <c r="AG736"/>
    </row>
    <row r="737" spans="17:33">
      <c r="Q737"/>
      <c r="R737"/>
      <c r="S737"/>
      <c r="T737"/>
      <c r="U737"/>
      <c r="V737"/>
      <c r="W737"/>
      <c r="X737"/>
      <c r="Y737"/>
      <c r="Z737"/>
      <c r="AA737"/>
      <c r="AB737"/>
      <c r="AC737"/>
      <c r="AD737"/>
      <c r="AE737"/>
      <c r="AF737"/>
      <c r="AG737"/>
    </row>
    <row r="738" spans="17:33">
      <c r="Q738"/>
      <c r="R738"/>
      <c r="S738"/>
      <c r="T738"/>
      <c r="U738"/>
      <c r="V738"/>
      <c r="W738"/>
      <c r="X738"/>
      <c r="Y738"/>
      <c r="Z738"/>
      <c r="AA738"/>
      <c r="AB738"/>
      <c r="AC738"/>
      <c r="AD738"/>
      <c r="AE738"/>
      <c r="AF738"/>
      <c r="AG738"/>
    </row>
    <row r="739" spans="17:33">
      <c r="Q739"/>
      <c r="R739"/>
      <c r="S739"/>
      <c r="T739"/>
      <c r="U739"/>
      <c r="V739"/>
      <c r="W739"/>
      <c r="X739"/>
      <c r="Y739"/>
      <c r="Z739"/>
      <c r="AA739"/>
      <c r="AB739"/>
      <c r="AC739"/>
      <c r="AD739"/>
      <c r="AE739"/>
      <c r="AF739"/>
      <c r="AG739"/>
    </row>
    <row r="740" spans="17:33">
      <c r="Q740"/>
      <c r="R740"/>
      <c r="S740"/>
      <c r="T740"/>
      <c r="U740"/>
      <c r="V740"/>
      <c r="W740"/>
      <c r="X740"/>
      <c r="Y740"/>
      <c r="Z740"/>
      <c r="AA740"/>
      <c r="AB740"/>
      <c r="AC740"/>
      <c r="AD740"/>
      <c r="AE740"/>
      <c r="AF740"/>
      <c r="AG740"/>
    </row>
    <row r="741" spans="17:33">
      <c r="Q741" s="23"/>
      <c r="R741" s="1"/>
      <c r="S741" s="1"/>
      <c r="T741" s="1"/>
      <c r="U741" s="1"/>
      <c r="V741" s="1"/>
      <c r="W741" s="1"/>
      <c r="X741" s="1"/>
      <c r="Y741" s="1"/>
      <c r="Z741" s="1"/>
    </row>
    <row r="742" spans="17:33">
      <c r="Q742" s="23"/>
      <c r="R742" s="1"/>
      <c r="S742" s="1"/>
      <c r="T742" s="1"/>
      <c r="U742" s="1"/>
      <c r="V742" s="1"/>
      <c r="W742" s="1"/>
      <c r="X742" s="1"/>
      <c r="Y742" s="1"/>
      <c r="Z742" s="1"/>
    </row>
    <row r="743" spans="17:33">
      <c r="Q743" s="23"/>
      <c r="R743" s="1"/>
      <c r="S743" s="1"/>
      <c r="T743" s="1"/>
      <c r="U743" s="1"/>
      <c r="V743" s="1"/>
      <c r="W743" s="1"/>
      <c r="X743" s="1"/>
      <c r="Y743" s="1"/>
      <c r="Z743" s="1"/>
    </row>
    <row r="744" spans="17:33">
      <c r="Q744" s="23"/>
      <c r="R744" s="1"/>
      <c r="S744" s="1"/>
      <c r="T744" s="1"/>
      <c r="U744" s="1"/>
      <c r="V744" s="1"/>
      <c r="W744" s="1"/>
      <c r="X744" s="1"/>
      <c r="Y744" s="1"/>
      <c r="Z744" s="1"/>
    </row>
    <row r="745" spans="17:33">
      <c r="Q745" s="23"/>
      <c r="R745" s="1"/>
      <c r="S745" s="1"/>
      <c r="T745" s="1"/>
      <c r="U745" s="1"/>
      <c r="V745" s="1"/>
      <c r="W745" s="1"/>
      <c r="X745" s="1"/>
      <c r="Y745" s="1"/>
      <c r="Z745" s="1"/>
    </row>
    <row r="746" spans="17:33">
      <c r="Q746" s="23"/>
      <c r="R746" s="1"/>
      <c r="S746" s="1"/>
      <c r="T746" s="1"/>
      <c r="U746" s="1"/>
      <c r="V746" s="1"/>
      <c r="W746" s="1"/>
      <c r="X746" s="1"/>
      <c r="Y746" s="1"/>
      <c r="Z746" s="1"/>
    </row>
    <row r="747" spans="17:33">
      <c r="Q747" s="23"/>
      <c r="R747" s="1"/>
      <c r="S747" s="1"/>
      <c r="T747" s="1"/>
      <c r="U747" s="1"/>
      <c r="V747" s="1"/>
      <c r="W747" s="1"/>
      <c r="X747" s="1"/>
      <c r="Y747" s="1"/>
      <c r="Z747" s="1"/>
    </row>
    <row r="748" spans="17:33">
      <c r="Q748" s="23"/>
      <c r="R748" s="1"/>
      <c r="S748" s="1"/>
      <c r="T748" s="1"/>
      <c r="U748" s="1"/>
      <c r="V748" s="1"/>
      <c r="W748" s="1"/>
      <c r="X748" s="1"/>
      <c r="Y748" s="1"/>
      <c r="Z748" s="1"/>
    </row>
    <row r="749" spans="17:33">
      <c r="Q749" s="23"/>
      <c r="R749" s="1"/>
      <c r="S749" s="1"/>
      <c r="T749" s="1"/>
      <c r="U749" s="1"/>
      <c r="V749" s="1"/>
      <c r="W749" s="1"/>
      <c r="X749" s="1"/>
      <c r="Y749" s="1"/>
      <c r="Z749" s="1"/>
    </row>
    <row r="750" spans="17:33">
      <c r="Q750" s="23"/>
      <c r="R750" s="1"/>
      <c r="S750" s="1"/>
      <c r="T750" s="1"/>
      <c r="U750" s="1"/>
      <c r="V750" s="1"/>
      <c r="W750" s="1"/>
      <c r="X750" s="1"/>
      <c r="Y750" s="1"/>
      <c r="Z750" s="1"/>
    </row>
    <row r="751" spans="17:33">
      <c r="Q751" s="23"/>
      <c r="R751" s="1"/>
      <c r="S751" s="1"/>
      <c r="T751" s="1"/>
      <c r="U751" s="1"/>
      <c r="V751" s="1"/>
      <c r="W751" s="1"/>
      <c r="X751" s="1"/>
      <c r="Y751" s="1"/>
      <c r="Z751" s="1"/>
    </row>
    <row r="752" spans="17:33">
      <c r="Q752" s="23"/>
      <c r="R752" s="1"/>
      <c r="S752" s="1"/>
      <c r="T752" s="1"/>
      <c r="U752" s="1"/>
      <c r="V752" s="1"/>
      <c r="W752" s="1"/>
      <c r="X752" s="1"/>
      <c r="Y752" s="1"/>
      <c r="Z752" s="1"/>
    </row>
    <row r="753" spans="17:26">
      <c r="Q753" s="23"/>
      <c r="R753" s="1"/>
      <c r="S753" s="1"/>
      <c r="T753" s="1"/>
      <c r="U753" s="1"/>
      <c r="V753" s="1"/>
      <c r="W753" s="1"/>
      <c r="X753" s="1"/>
      <c r="Y753" s="1"/>
      <c r="Z753" s="1"/>
    </row>
    <row r="754" spans="17:26">
      <c r="Q754" s="23"/>
      <c r="R754" s="1"/>
      <c r="S754" s="1"/>
      <c r="T754" s="1"/>
      <c r="U754" s="1"/>
      <c r="V754" s="1"/>
      <c r="W754" s="1"/>
      <c r="X754" s="1"/>
      <c r="Y754" s="1"/>
      <c r="Z754" s="1"/>
    </row>
    <row r="755" spans="17:26">
      <c r="Q755" s="23"/>
      <c r="R755" s="1"/>
      <c r="S755" s="1"/>
      <c r="T755" s="1"/>
      <c r="U755" s="1"/>
      <c r="V755" s="1"/>
      <c r="W755" s="1"/>
      <c r="X755" s="1"/>
      <c r="Y755" s="1"/>
      <c r="Z755" s="1"/>
    </row>
    <row r="756" spans="17:26">
      <c r="Q756" s="23"/>
      <c r="R756" s="1"/>
      <c r="S756" s="1"/>
      <c r="T756" s="1"/>
      <c r="U756" s="1"/>
      <c r="V756" s="1"/>
      <c r="W756" s="1"/>
      <c r="X756" s="1"/>
      <c r="Y756" s="1"/>
      <c r="Z756" s="1"/>
    </row>
    <row r="757" spans="17:26">
      <c r="Q757" s="23"/>
      <c r="R757" s="1"/>
      <c r="S757" s="1"/>
      <c r="T757" s="1"/>
      <c r="U757" s="1"/>
      <c r="V757" s="1"/>
      <c r="W757" s="1"/>
      <c r="X757" s="1"/>
      <c r="Y757" s="1"/>
      <c r="Z757" s="1"/>
    </row>
    <row r="758" spans="17:26">
      <c r="Q758" s="23"/>
      <c r="R758" s="1"/>
      <c r="S758" s="1"/>
      <c r="T758" s="1"/>
      <c r="U758" s="1"/>
      <c r="V758" s="1"/>
      <c r="W758" s="1"/>
      <c r="X758" s="1"/>
      <c r="Y758" s="1"/>
      <c r="Z758" s="1"/>
    </row>
    <row r="759" spans="17:26">
      <c r="Q759" s="23"/>
      <c r="R759" s="1"/>
      <c r="S759" s="1"/>
      <c r="T759" s="1"/>
      <c r="U759" s="1"/>
      <c r="V759" s="1"/>
      <c r="W759" s="1"/>
      <c r="X759" s="1"/>
      <c r="Y759" s="1"/>
      <c r="Z759" s="1"/>
    </row>
    <row r="760" spans="17:26">
      <c r="Q760" s="23"/>
      <c r="R760" s="1"/>
      <c r="S760" s="1"/>
      <c r="T760" s="1"/>
      <c r="U760" s="1"/>
      <c r="V760" s="1"/>
      <c r="W760" s="1"/>
      <c r="X760" s="1"/>
      <c r="Y760" s="1"/>
      <c r="Z760" s="1"/>
    </row>
    <row r="761" spans="17:26">
      <c r="Q761" s="23"/>
      <c r="R761" s="1"/>
      <c r="S761" s="1"/>
      <c r="T761" s="1"/>
      <c r="U761" s="1"/>
      <c r="V761" s="1"/>
      <c r="W761" s="1"/>
      <c r="X761" s="1"/>
      <c r="Y761" s="1"/>
      <c r="Z761" s="1"/>
    </row>
    <row r="762" spans="17:26">
      <c r="Q762" s="23"/>
      <c r="R762" s="1"/>
      <c r="S762" s="1"/>
      <c r="T762" s="1"/>
      <c r="U762" s="1"/>
      <c r="V762" s="1"/>
      <c r="W762" s="1"/>
      <c r="X762" s="1"/>
      <c r="Y762" s="1"/>
      <c r="Z762" s="1"/>
    </row>
    <row r="763" spans="17:26">
      <c r="Q763" s="23"/>
      <c r="R763" s="1"/>
      <c r="S763" s="1"/>
      <c r="T763" s="1"/>
      <c r="U763" s="1"/>
      <c r="V763" s="1"/>
      <c r="W763" s="1"/>
      <c r="X763" s="1"/>
      <c r="Y763" s="1"/>
      <c r="Z763" s="1"/>
    </row>
    <row r="764" spans="17:26">
      <c r="Q764" s="23"/>
      <c r="R764" s="1"/>
      <c r="S764" s="1"/>
      <c r="T764" s="1"/>
      <c r="U764" s="1"/>
      <c r="V764" s="1"/>
      <c r="W764" s="1"/>
      <c r="X764" s="1"/>
      <c r="Y764" s="1"/>
      <c r="Z764" s="1"/>
    </row>
    <row r="765" spans="17:26">
      <c r="Q765" s="23"/>
      <c r="R765" s="1"/>
      <c r="S765" s="1"/>
      <c r="T765" s="1"/>
      <c r="U765" s="1"/>
      <c r="V765" s="1"/>
      <c r="W765" s="1"/>
      <c r="X765" s="1"/>
      <c r="Y765" s="1"/>
      <c r="Z765" s="1"/>
    </row>
    <row r="766" spans="17:26">
      <c r="Q766" s="23"/>
      <c r="R766" s="1"/>
      <c r="S766" s="1"/>
      <c r="T766" s="1"/>
      <c r="U766" s="1"/>
      <c r="V766" s="1"/>
      <c r="W766" s="1"/>
      <c r="X766" s="1"/>
      <c r="Y766" s="1"/>
      <c r="Z766" s="1"/>
    </row>
    <row r="767" spans="17:26">
      <c r="Q767" s="23"/>
      <c r="R767" s="1"/>
      <c r="S767" s="1"/>
      <c r="T767" s="1"/>
      <c r="U767" s="1"/>
      <c r="V767" s="1"/>
      <c r="W767" s="1"/>
      <c r="X767" s="1"/>
      <c r="Y767" s="1"/>
      <c r="Z767" s="1"/>
    </row>
    <row r="768" spans="17:26">
      <c r="Q768" s="23"/>
      <c r="R768" s="1"/>
      <c r="S768" s="1"/>
      <c r="T768" s="1"/>
      <c r="U768" s="1"/>
      <c r="V768" s="1"/>
      <c r="W768" s="1"/>
      <c r="X768" s="1"/>
      <c r="Y768" s="1"/>
      <c r="Z768" s="1"/>
    </row>
    <row r="769" spans="17:26">
      <c r="Q769" s="23"/>
      <c r="R769" s="1"/>
      <c r="S769" s="1"/>
      <c r="T769" s="1"/>
      <c r="U769" s="1"/>
      <c r="V769" s="1"/>
      <c r="W769" s="1"/>
      <c r="X769" s="1"/>
      <c r="Y769" s="1"/>
      <c r="Z769" s="1"/>
    </row>
    <row r="770" spans="17:26">
      <c r="Q770" s="23"/>
      <c r="R770" s="1"/>
      <c r="S770" s="1"/>
      <c r="T770" s="1"/>
      <c r="U770" s="1"/>
      <c r="V770" s="1"/>
      <c r="W770" s="1"/>
      <c r="X770" s="1"/>
      <c r="Y770" s="1"/>
      <c r="Z770" s="1"/>
    </row>
    <row r="771" spans="17:26">
      <c r="Q771" s="23"/>
      <c r="R771" s="1"/>
      <c r="S771" s="1"/>
      <c r="T771" s="1"/>
      <c r="U771" s="1"/>
      <c r="V771" s="1"/>
      <c r="W771" s="1"/>
      <c r="X771" s="1"/>
      <c r="Y771" s="1"/>
      <c r="Z771" s="1"/>
    </row>
    <row r="772" spans="17:26">
      <c r="Q772" s="23"/>
      <c r="R772" s="1"/>
      <c r="S772" s="1"/>
      <c r="T772" s="1"/>
      <c r="U772" s="1"/>
      <c r="V772" s="1"/>
      <c r="W772" s="1"/>
      <c r="X772" s="1"/>
      <c r="Y772" s="1"/>
      <c r="Z772" s="1"/>
    </row>
    <row r="773" spans="17:26">
      <c r="Q773" s="23"/>
      <c r="R773" s="1"/>
      <c r="S773" s="1"/>
      <c r="T773" s="1"/>
      <c r="U773" s="1"/>
      <c r="V773" s="1"/>
      <c r="W773" s="1"/>
      <c r="X773" s="1"/>
      <c r="Y773" s="1"/>
      <c r="Z773" s="1"/>
    </row>
    <row r="774" spans="17:26">
      <c r="Q774" s="23"/>
      <c r="R774" s="1"/>
      <c r="S774" s="1"/>
      <c r="T774" s="1"/>
      <c r="U774" s="1"/>
      <c r="V774" s="1"/>
      <c r="W774" s="1"/>
      <c r="X774" s="1"/>
      <c r="Y774" s="1"/>
      <c r="Z774" s="1"/>
    </row>
    <row r="775" spans="17:26">
      <c r="Q775" s="23"/>
      <c r="R775" s="1"/>
      <c r="S775" s="1"/>
      <c r="T775" s="1"/>
      <c r="U775" s="1"/>
      <c r="V775" s="1"/>
      <c r="W775" s="1"/>
      <c r="X775" s="1"/>
      <c r="Y775" s="1"/>
      <c r="Z775" s="1"/>
    </row>
    <row r="776" spans="17:26">
      <c r="Q776" s="23"/>
      <c r="R776" s="1"/>
      <c r="S776" s="1"/>
      <c r="T776" s="1"/>
      <c r="U776" s="1"/>
      <c r="V776" s="1"/>
      <c r="W776" s="1"/>
      <c r="X776" s="1"/>
      <c r="Y776" s="1"/>
      <c r="Z776" s="1"/>
    </row>
    <row r="777" spans="17:26">
      <c r="Q777" s="23"/>
      <c r="R777" s="1"/>
      <c r="S777" s="1"/>
      <c r="T777" s="1"/>
      <c r="U777" s="1"/>
      <c r="V777" s="1"/>
      <c r="W777" s="1"/>
      <c r="X777" s="1"/>
      <c r="Y777" s="1"/>
      <c r="Z777" s="1"/>
    </row>
    <row r="778" spans="17:26">
      <c r="Q778" s="23"/>
      <c r="R778" s="1"/>
      <c r="S778" s="1"/>
      <c r="T778" s="1"/>
      <c r="U778" s="1"/>
      <c r="V778" s="1"/>
      <c r="W778" s="1"/>
      <c r="X778" s="1"/>
      <c r="Y778" s="1"/>
      <c r="Z778" s="1"/>
    </row>
    <row r="779" spans="17:26">
      <c r="Q779" s="23"/>
      <c r="R779" s="1"/>
      <c r="S779" s="1"/>
      <c r="T779" s="1"/>
      <c r="U779" s="1"/>
      <c r="V779" s="1"/>
      <c r="W779" s="1"/>
      <c r="X779" s="1"/>
      <c r="Y779" s="1"/>
      <c r="Z779" s="1"/>
    </row>
    <row r="780" spans="17:26">
      <c r="Q780" s="23"/>
      <c r="R780" s="1"/>
      <c r="S780" s="1"/>
      <c r="T780" s="1"/>
      <c r="U780" s="1"/>
      <c r="V780" s="1"/>
      <c r="W780" s="1"/>
      <c r="X780" s="1"/>
      <c r="Y780" s="1"/>
      <c r="Z780" s="1"/>
    </row>
    <row r="781" spans="17:26">
      <c r="Q781" s="23"/>
      <c r="R781" s="1"/>
      <c r="S781" s="1"/>
      <c r="T781" s="1"/>
      <c r="U781" s="1"/>
      <c r="V781" s="1"/>
      <c r="W781" s="1"/>
      <c r="X781" s="1"/>
      <c r="Y781" s="1"/>
      <c r="Z781" s="1"/>
    </row>
    <row r="782" spans="17:26">
      <c r="Q782" s="23"/>
      <c r="R782" s="1"/>
      <c r="S782" s="1"/>
      <c r="T782" s="1"/>
      <c r="U782" s="1"/>
      <c r="V782" s="1"/>
      <c r="W782" s="1"/>
      <c r="X782" s="1"/>
      <c r="Y782" s="1"/>
      <c r="Z782" s="1"/>
    </row>
    <row r="783" spans="17:26">
      <c r="Q783" s="23"/>
      <c r="R783" s="1"/>
      <c r="S783" s="1"/>
      <c r="T783" s="1"/>
      <c r="U783" s="1"/>
      <c r="V783" s="1"/>
      <c r="W783" s="1"/>
      <c r="X783" s="1"/>
      <c r="Y783" s="1"/>
      <c r="Z783" s="1"/>
    </row>
    <row r="784" spans="17:26">
      <c r="Q784" s="23"/>
      <c r="R784" s="1"/>
      <c r="S784" s="1"/>
      <c r="T784" s="1"/>
      <c r="U784" s="1"/>
      <c r="V784" s="1"/>
      <c r="W784" s="1"/>
      <c r="X784" s="1"/>
      <c r="Y784" s="1"/>
      <c r="Z784" s="1"/>
    </row>
    <row r="785" spans="17:26">
      <c r="Q785" s="23"/>
      <c r="R785" s="1"/>
      <c r="S785" s="1"/>
      <c r="T785" s="1"/>
      <c r="U785" s="1"/>
      <c r="V785" s="1"/>
      <c r="W785" s="1"/>
      <c r="X785" s="1"/>
      <c r="Y785" s="1"/>
      <c r="Z785" s="1"/>
    </row>
    <row r="786" spans="17:26">
      <c r="Q786" s="23"/>
      <c r="R786" s="1"/>
      <c r="S786" s="1"/>
      <c r="T786" s="1"/>
      <c r="U786" s="1"/>
      <c r="V786" s="1"/>
      <c r="W786" s="1"/>
      <c r="X786" s="1"/>
      <c r="Y786" s="1"/>
      <c r="Z786" s="1"/>
    </row>
    <row r="787" spans="17:26">
      <c r="Q787" s="23"/>
      <c r="R787" s="1"/>
      <c r="S787" s="1"/>
      <c r="T787" s="1"/>
      <c r="U787" s="1"/>
      <c r="V787" s="1"/>
      <c r="W787" s="1"/>
      <c r="X787" s="1"/>
      <c r="Y787" s="1"/>
      <c r="Z787" s="1"/>
    </row>
    <row r="788" spans="17:26">
      <c r="Q788" s="23"/>
      <c r="R788" s="1"/>
      <c r="S788" s="1"/>
      <c r="T788" s="1"/>
      <c r="U788" s="1"/>
      <c r="V788" s="1"/>
      <c r="W788" s="1"/>
      <c r="X788" s="1"/>
      <c r="Y788" s="1"/>
      <c r="Z788" s="1"/>
    </row>
    <row r="789" spans="17:26">
      <c r="Q789" s="23"/>
      <c r="R789" s="1"/>
      <c r="S789" s="1"/>
      <c r="T789" s="1"/>
      <c r="U789" s="1"/>
      <c r="V789" s="1"/>
      <c r="W789" s="1"/>
      <c r="X789" s="1"/>
      <c r="Y789" s="1"/>
      <c r="Z789" s="1"/>
    </row>
    <row r="790" spans="17:26">
      <c r="Q790" s="23"/>
      <c r="R790" s="1"/>
      <c r="S790" s="1"/>
      <c r="T790" s="1"/>
      <c r="U790" s="1"/>
      <c r="V790" s="1"/>
      <c r="W790" s="1"/>
      <c r="X790" s="1"/>
      <c r="Y790" s="1"/>
      <c r="Z790" s="1"/>
    </row>
    <row r="791" spans="17:26">
      <c r="Q791" s="23"/>
      <c r="R791" s="1"/>
      <c r="S791" s="1"/>
      <c r="T791" s="1"/>
      <c r="U791" s="1"/>
      <c r="V791" s="1"/>
      <c r="W791" s="1"/>
      <c r="X791" s="1"/>
      <c r="Y791" s="1"/>
      <c r="Z791" s="1"/>
    </row>
    <row r="792" spans="17:26">
      <c r="Q792" s="23"/>
      <c r="R792" s="1"/>
      <c r="S792" s="1"/>
      <c r="T792" s="1"/>
      <c r="U792" s="1"/>
      <c r="V792" s="1"/>
      <c r="W792" s="1"/>
      <c r="X792" s="1"/>
      <c r="Y792" s="1"/>
      <c r="Z792" s="1"/>
    </row>
    <row r="793" spans="17:26">
      <c r="Q793" s="23"/>
      <c r="R793" s="1"/>
      <c r="S793" s="1"/>
      <c r="T793" s="1"/>
      <c r="U793" s="1"/>
      <c r="V793" s="1"/>
      <c r="W793" s="1"/>
      <c r="X793" s="1"/>
      <c r="Y793" s="1"/>
      <c r="Z793" s="1"/>
    </row>
    <row r="794" spans="17:26">
      <c r="Q794" s="23"/>
      <c r="R794" s="1"/>
      <c r="S794" s="1"/>
      <c r="T794" s="1"/>
      <c r="U794" s="1"/>
      <c r="V794" s="1"/>
      <c r="W794" s="1"/>
      <c r="X794" s="1"/>
      <c r="Y794" s="1"/>
      <c r="Z794" s="1"/>
    </row>
    <row r="795" spans="17:26">
      <c r="Q795" s="23"/>
      <c r="R795" s="1"/>
      <c r="S795" s="1"/>
      <c r="T795" s="1"/>
      <c r="U795" s="1"/>
      <c r="V795" s="1"/>
      <c r="W795" s="1"/>
      <c r="X795" s="1"/>
      <c r="Y795" s="1"/>
      <c r="Z795" s="1"/>
    </row>
    <row r="796" spans="17:26">
      <c r="Q796" s="23"/>
      <c r="R796" s="1"/>
      <c r="S796" s="1"/>
      <c r="T796" s="1"/>
      <c r="U796" s="1"/>
      <c r="V796" s="1"/>
      <c r="W796" s="1"/>
      <c r="X796" s="1"/>
      <c r="Y796" s="1"/>
      <c r="Z796" s="1"/>
    </row>
    <row r="797" spans="17:26">
      <c r="Q797" s="23"/>
      <c r="R797" s="1"/>
      <c r="S797" s="1"/>
      <c r="T797" s="1"/>
      <c r="U797" s="1"/>
      <c r="V797" s="1"/>
      <c r="W797" s="1"/>
      <c r="X797" s="1"/>
      <c r="Y797" s="1"/>
      <c r="Z797" s="1"/>
    </row>
    <row r="798" spans="17:26">
      <c r="Q798" s="23"/>
      <c r="R798" s="1"/>
      <c r="S798" s="1"/>
      <c r="T798" s="1"/>
      <c r="U798" s="1"/>
      <c r="V798" s="1"/>
      <c r="W798" s="1"/>
      <c r="X798" s="1"/>
      <c r="Y798" s="1"/>
      <c r="Z798" s="1"/>
    </row>
    <row r="799" spans="17:26">
      <c r="Q799" s="23"/>
      <c r="R799" s="1"/>
      <c r="S799" s="1"/>
      <c r="T799" s="1"/>
      <c r="U799" s="1"/>
      <c r="V799" s="1"/>
      <c r="W799" s="1"/>
      <c r="X799" s="1"/>
      <c r="Y799" s="1"/>
      <c r="Z799" s="1"/>
    </row>
    <row r="800" spans="17:26">
      <c r="Q800" s="23"/>
      <c r="R800" s="1"/>
      <c r="S800" s="1"/>
      <c r="T800" s="1"/>
      <c r="U800" s="1"/>
      <c r="V800" s="1"/>
      <c r="W800" s="1"/>
      <c r="X800" s="1"/>
      <c r="Y800" s="1"/>
      <c r="Z800" s="1"/>
    </row>
    <row r="801" spans="17:26">
      <c r="Q801" s="23"/>
      <c r="R801" s="1"/>
      <c r="S801" s="1"/>
      <c r="T801" s="1"/>
      <c r="U801" s="1"/>
      <c r="V801" s="1"/>
      <c r="W801" s="1"/>
      <c r="X801" s="1"/>
      <c r="Y801" s="1"/>
      <c r="Z801" s="1"/>
    </row>
    <row r="802" spans="17:26">
      <c r="Q802" s="23"/>
      <c r="R802" s="1"/>
      <c r="S802" s="1"/>
      <c r="T802" s="1"/>
      <c r="U802" s="1"/>
      <c r="V802" s="1"/>
      <c r="W802" s="1"/>
      <c r="X802" s="1"/>
      <c r="Y802" s="1"/>
      <c r="Z802" s="1"/>
    </row>
    <row r="803" spans="17:26">
      <c r="Q803" s="23"/>
      <c r="R803" s="1"/>
      <c r="S803" s="1"/>
      <c r="T803" s="1"/>
      <c r="U803" s="1"/>
      <c r="V803" s="1"/>
      <c r="W803" s="1"/>
      <c r="X803" s="1"/>
      <c r="Y803" s="1"/>
      <c r="Z803" s="1"/>
    </row>
    <row r="804" spans="17:26">
      <c r="Q804" s="23"/>
      <c r="R804" s="1"/>
      <c r="S804" s="1"/>
      <c r="T804" s="1"/>
      <c r="U804" s="1"/>
      <c r="V804" s="1"/>
      <c r="W804" s="1"/>
      <c r="X804" s="1"/>
      <c r="Y804" s="1"/>
      <c r="Z804" s="1"/>
    </row>
    <row r="805" spans="17:26">
      <c r="Q805" s="23"/>
      <c r="R805" s="1"/>
      <c r="S805" s="1"/>
      <c r="T805" s="1"/>
      <c r="U805" s="1"/>
      <c r="V805" s="1"/>
      <c r="W805" s="1"/>
      <c r="X805" s="1"/>
      <c r="Y805" s="1"/>
      <c r="Z805" s="1"/>
    </row>
    <row r="806" spans="17:26">
      <c r="Q806" s="23"/>
      <c r="R806" s="1"/>
      <c r="S806" s="1"/>
      <c r="T806" s="1"/>
      <c r="U806" s="1"/>
      <c r="V806" s="1"/>
      <c r="W806" s="1"/>
      <c r="X806" s="1"/>
      <c r="Y806" s="1"/>
      <c r="Z806" s="1"/>
    </row>
    <row r="807" spans="17:26">
      <c r="Q807" s="23"/>
      <c r="R807" s="1"/>
      <c r="S807" s="1"/>
      <c r="T807" s="1"/>
      <c r="U807" s="1"/>
      <c r="V807" s="1"/>
      <c r="W807" s="1"/>
      <c r="X807" s="1"/>
      <c r="Y807" s="1"/>
      <c r="Z807" s="1"/>
    </row>
    <row r="808" spans="17:26">
      <c r="Q808" s="23"/>
      <c r="R808" s="1"/>
      <c r="S808" s="1"/>
      <c r="T808" s="1"/>
      <c r="U808" s="1"/>
      <c r="V808" s="1"/>
      <c r="W808" s="1"/>
      <c r="X808" s="1"/>
      <c r="Y808" s="1"/>
      <c r="Z808" s="1"/>
    </row>
    <row r="809" spans="17:26">
      <c r="Q809" s="23"/>
      <c r="R809" s="1"/>
      <c r="S809" s="1"/>
      <c r="T809" s="1"/>
      <c r="U809" s="1"/>
      <c r="V809" s="1"/>
      <c r="W809" s="1"/>
      <c r="X809" s="1"/>
      <c r="Y809" s="1"/>
      <c r="Z809" s="1"/>
    </row>
    <row r="810" spans="17:26">
      <c r="Q810" s="23"/>
      <c r="R810" s="1"/>
      <c r="S810" s="1"/>
      <c r="T810" s="1"/>
      <c r="U810" s="1"/>
      <c r="V810" s="1"/>
      <c r="W810" s="1"/>
      <c r="X810" s="1"/>
      <c r="Y810" s="1"/>
      <c r="Z810" s="1"/>
    </row>
    <row r="811" spans="17:26">
      <c r="Q811" s="23"/>
      <c r="R811" s="1"/>
      <c r="S811" s="1"/>
      <c r="T811" s="1"/>
      <c r="U811" s="1"/>
      <c r="V811" s="1"/>
      <c r="W811" s="1"/>
      <c r="X811" s="1"/>
      <c r="Y811" s="1"/>
      <c r="Z811" s="1"/>
    </row>
    <row r="812" spans="17:26">
      <c r="Q812" s="23"/>
      <c r="R812" s="1"/>
      <c r="S812" s="1"/>
      <c r="T812" s="1"/>
      <c r="U812" s="1"/>
      <c r="V812" s="1"/>
      <c r="W812" s="1"/>
      <c r="X812" s="1"/>
      <c r="Y812" s="1"/>
      <c r="Z812" s="1"/>
    </row>
    <row r="813" spans="17:26">
      <c r="Q813" s="23"/>
      <c r="R813" s="1"/>
      <c r="S813" s="1"/>
      <c r="T813" s="1"/>
      <c r="U813" s="1"/>
      <c r="V813" s="1"/>
      <c r="W813" s="1"/>
      <c r="X813" s="1"/>
      <c r="Y813" s="1"/>
      <c r="Z813" s="1"/>
    </row>
    <row r="814" spans="17:26">
      <c r="Q814" s="23"/>
      <c r="R814" s="1"/>
      <c r="S814" s="1"/>
      <c r="T814" s="1"/>
      <c r="U814" s="1"/>
      <c r="V814" s="1"/>
      <c r="W814" s="1"/>
      <c r="X814" s="1"/>
      <c r="Y814" s="1"/>
      <c r="Z814" s="1"/>
    </row>
    <row r="815" spans="17:26">
      <c r="Q815" s="23"/>
      <c r="R815" s="1"/>
      <c r="S815" s="1"/>
      <c r="T815" s="1"/>
      <c r="U815" s="1"/>
      <c r="V815" s="1"/>
      <c r="W815" s="1"/>
      <c r="X815" s="1"/>
      <c r="Y815" s="1"/>
      <c r="Z815" s="1"/>
    </row>
    <row r="816" spans="17:26">
      <c r="Q816" s="23"/>
      <c r="R816" s="1"/>
      <c r="S816" s="1"/>
      <c r="T816" s="1"/>
      <c r="U816" s="1"/>
      <c r="V816" s="1"/>
      <c r="W816" s="1"/>
      <c r="X816" s="1"/>
      <c r="Y816" s="1"/>
      <c r="Z816" s="1"/>
    </row>
    <row r="817" spans="17:26">
      <c r="Q817" s="23"/>
      <c r="R817" s="1"/>
      <c r="S817" s="1"/>
      <c r="T817" s="1"/>
      <c r="U817" s="1"/>
      <c r="V817" s="1"/>
      <c r="W817" s="1"/>
      <c r="X817" s="1"/>
      <c r="Y817" s="1"/>
      <c r="Z817" s="1"/>
    </row>
    <row r="818" spans="17:26">
      <c r="Q818" s="23"/>
      <c r="R818" s="1"/>
      <c r="S818" s="1"/>
      <c r="T818" s="1"/>
      <c r="U818" s="1"/>
      <c r="V818" s="1"/>
      <c r="W818" s="1"/>
      <c r="X818" s="1"/>
      <c r="Y818" s="1"/>
      <c r="Z818" s="1"/>
    </row>
    <row r="819" spans="17:26">
      <c r="Q819" s="23"/>
      <c r="R819" s="1"/>
      <c r="S819" s="1"/>
      <c r="T819" s="1"/>
      <c r="U819" s="1"/>
      <c r="V819" s="1"/>
      <c r="W819" s="1"/>
      <c r="X819" s="1"/>
      <c r="Y819" s="1"/>
      <c r="Z819" s="1"/>
    </row>
    <row r="820" spans="17:26">
      <c r="Q820" s="23"/>
      <c r="R820" s="1"/>
      <c r="S820" s="1"/>
      <c r="T820" s="1"/>
      <c r="U820" s="1"/>
      <c r="V820" s="1"/>
      <c r="W820" s="1"/>
      <c r="X820" s="1"/>
      <c r="Y820" s="1"/>
      <c r="Z820" s="1"/>
    </row>
    <row r="821" spans="17:26">
      <c r="Q821" s="23"/>
      <c r="R821" s="1"/>
      <c r="S821" s="1"/>
      <c r="T821" s="1"/>
      <c r="U821" s="1"/>
      <c r="V821" s="1"/>
      <c r="W821" s="1"/>
      <c r="X821" s="1"/>
      <c r="Y821" s="1"/>
      <c r="Z821" s="1"/>
    </row>
    <row r="822" spans="17:26">
      <c r="Q822" s="23"/>
      <c r="R822" s="1"/>
      <c r="S822" s="1"/>
      <c r="T822" s="1"/>
      <c r="U822" s="1"/>
      <c r="V822" s="1"/>
      <c r="W822" s="1"/>
      <c r="X822" s="1"/>
      <c r="Y822" s="1"/>
      <c r="Z822" s="1"/>
    </row>
    <row r="823" spans="17:26">
      <c r="Q823" s="23"/>
      <c r="R823" s="1"/>
      <c r="S823" s="1"/>
      <c r="T823" s="1"/>
      <c r="U823" s="1"/>
      <c r="V823" s="1"/>
      <c r="W823" s="1"/>
      <c r="X823" s="1"/>
      <c r="Y823" s="1"/>
      <c r="Z823" s="1"/>
    </row>
    <row r="824" spans="17:26">
      <c r="Q824" s="23"/>
      <c r="R824" s="1"/>
      <c r="S824" s="1"/>
      <c r="T824" s="1"/>
      <c r="U824" s="1"/>
      <c r="V824" s="1"/>
      <c r="W824" s="1"/>
      <c r="X824" s="1"/>
      <c r="Y824" s="1"/>
      <c r="Z824" s="1"/>
    </row>
    <row r="825" spans="17:26">
      <c r="Q825" s="23"/>
      <c r="R825" s="1"/>
      <c r="S825" s="1"/>
      <c r="T825" s="1"/>
      <c r="U825" s="1"/>
      <c r="V825" s="1"/>
      <c r="W825" s="1"/>
      <c r="X825" s="1"/>
      <c r="Y825" s="1"/>
      <c r="Z825" s="1"/>
    </row>
    <row r="826" spans="17:26">
      <c r="Q826" s="23"/>
      <c r="R826" s="1"/>
      <c r="S826" s="1"/>
      <c r="T826" s="1"/>
      <c r="U826" s="1"/>
      <c r="V826" s="1"/>
      <c r="W826" s="1"/>
      <c r="X826" s="1"/>
      <c r="Y826" s="1"/>
      <c r="Z826" s="1"/>
    </row>
    <row r="827" spans="17:26">
      <c r="Q827" s="23"/>
      <c r="R827" s="1"/>
      <c r="S827" s="1"/>
      <c r="T827" s="1"/>
      <c r="U827" s="1"/>
      <c r="V827" s="1"/>
      <c r="W827" s="1"/>
      <c r="X827" s="1"/>
      <c r="Y827" s="1"/>
      <c r="Z827" s="1"/>
    </row>
    <row r="828" spans="17:26">
      <c r="Q828" s="23"/>
      <c r="R828" s="1"/>
      <c r="S828" s="1"/>
      <c r="T828" s="1"/>
      <c r="U828" s="1"/>
      <c r="V828" s="1"/>
      <c r="W828" s="1"/>
      <c r="X828" s="1"/>
      <c r="Y828" s="1"/>
      <c r="Z828" s="1"/>
    </row>
    <row r="829" spans="17:26">
      <c r="Q829" s="23"/>
      <c r="R829" s="1"/>
      <c r="S829" s="1"/>
      <c r="T829" s="1"/>
      <c r="U829" s="1"/>
      <c r="V829" s="1"/>
      <c r="W829" s="1"/>
      <c r="X829" s="1"/>
      <c r="Y829" s="1"/>
      <c r="Z829" s="1"/>
    </row>
    <row r="830" spans="17:26">
      <c r="Q830" s="23"/>
      <c r="R830" s="1"/>
      <c r="S830" s="1"/>
      <c r="T830" s="1"/>
      <c r="U830" s="1"/>
      <c r="V830" s="1"/>
      <c r="W830" s="1"/>
      <c r="X830" s="1"/>
      <c r="Y830" s="1"/>
      <c r="Z830" s="1"/>
    </row>
    <row r="831" spans="17:26">
      <c r="Q831" s="23"/>
      <c r="R831" s="1"/>
      <c r="S831" s="1"/>
      <c r="T831" s="1"/>
      <c r="U831" s="1"/>
      <c r="V831" s="1"/>
      <c r="W831" s="1"/>
      <c r="X831" s="1"/>
      <c r="Y831" s="1"/>
      <c r="Z831" s="1"/>
    </row>
    <row r="832" spans="17:26">
      <c r="Q832" s="23"/>
      <c r="R832" s="1"/>
      <c r="S832" s="1"/>
      <c r="T832" s="1"/>
      <c r="U832" s="1"/>
      <c r="V832" s="1"/>
      <c r="W832" s="1"/>
      <c r="X832" s="1"/>
      <c r="Y832" s="1"/>
      <c r="Z832" s="1"/>
    </row>
    <row r="833" spans="17:26">
      <c r="Q833" s="23"/>
      <c r="R833" s="1"/>
      <c r="S833" s="1"/>
      <c r="T833" s="1"/>
      <c r="U833" s="1"/>
      <c r="V833" s="1"/>
      <c r="W833" s="1"/>
      <c r="X833" s="1"/>
      <c r="Y833" s="1"/>
      <c r="Z833" s="1"/>
    </row>
    <row r="834" spans="17:26">
      <c r="Q834" s="23"/>
      <c r="R834" s="1"/>
      <c r="S834" s="1"/>
      <c r="T834" s="1"/>
      <c r="U834" s="1"/>
      <c r="V834" s="1"/>
      <c r="W834" s="1"/>
      <c r="X834" s="1"/>
      <c r="Y834" s="1"/>
      <c r="Z834" s="1"/>
    </row>
    <row r="835" spans="17:26">
      <c r="Q835" s="23"/>
      <c r="R835" s="1"/>
      <c r="S835" s="1"/>
      <c r="T835" s="1"/>
      <c r="U835" s="1"/>
      <c r="V835" s="1"/>
      <c r="W835" s="1"/>
      <c r="X835" s="1"/>
      <c r="Y835" s="1"/>
      <c r="Z835" s="1"/>
    </row>
    <row r="836" spans="17:26">
      <c r="Q836" s="23"/>
      <c r="R836" s="1"/>
      <c r="S836" s="1"/>
      <c r="T836" s="1"/>
      <c r="U836" s="1"/>
      <c r="V836" s="1"/>
      <c r="W836" s="1"/>
      <c r="X836" s="1"/>
      <c r="Y836" s="1"/>
      <c r="Z836" s="1"/>
    </row>
    <row r="837" spans="17:26">
      <c r="Q837" s="23"/>
      <c r="R837" s="1"/>
      <c r="S837" s="1"/>
      <c r="T837" s="1"/>
      <c r="U837" s="1"/>
      <c r="V837" s="1"/>
      <c r="W837" s="1"/>
      <c r="X837" s="1"/>
      <c r="Y837" s="1"/>
      <c r="Z837" s="1"/>
    </row>
    <row r="838" spans="17:26">
      <c r="Q838" s="23"/>
      <c r="R838" s="1"/>
      <c r="S838" s="1"/>
      <c r="T838" s="1"/>
      <c r="U838" s="1"/>
      <c r="V838" s="1"/>
      <c r="W838" s="1"/>
      <c r="X838" s="1"/>
      <c r="Y838" s="1"/>
      <c r="Z838" s="1"/>
    </row>
    <row r="839" spans="17:26">
      <c r="Q839" s="23"/>
      <c r="R839" s="1"/>
      <c r="S839" s="1"/>
      <c r="T839" s="1"/>
      <c r="U839" s="1"/>
      <c r="V839" s="1"/>
      <c r="W839" s="1"/>
      <c r="X839" s="1"/>
      <c r="Y839" s="1"/>
      <c r="Z839" s="1"/>
    </row>
    <row r="840" spans="17:26">
      <c r="Q840" s="23"/>
      <c r="R840" s="1"/>
      <c r="S840" s="1"/>
      <c r="T840" s="1"/>
      <c r="U840" s="1"/>
      <c r="V840" s="1"/>
      <c r="W840" s="1"/>
      <c r="X840" s="1"/>
      <c r="Y840" s="1"/>
      <c r="Z840" s="1"/>
    </row>
    <row r="841" spans="17:26">
      <c r="Q841" s="23"/>
      <c r="R841" s="1"/>
      <c r="S841" s="1"/>
      <c r="T841" s="1"/>
      <c r="U841" s="1"/>
      <c r="V841" s="1"/>
      <c r="W841" s="1"/>
      <c r="X841" s="1"/>
      <c r="Y841" s="1"/>
      <c r="Z841" s="1"/>
    </row>
    <row r="842" spans="17:26">
      <c r="Q842" s="23"/>
      <c r="R842" s="1"/>
      <c r="S842" s="1"/>
      <c r="T842" s="1"/>
      <c r="U842" s="1"/>
      <c r="V842" s="1"/>
      <c r="W842" s="1"/>
      <c r="X842" s="1"/>
      <c r="Y842" s="1"/>
      <c r="Z842" s="1"/>
    </row>
    <row r="843" spans="17:26">
      <c r="Q843" s="23"/>
      <c r="R843" s="1"/>
      <c r="S843" s="1"/>
      <c r="T843" s="1"/>
      <c r="U843" s="1"/>
      <c r="V843" s="1"/>
      <c r="W843" s="1"/>
      <c r="X843" s="1"/>
      <c r="Y843" s="1"/>
      <c r="Z843" s="1"/>
    </row>
    <row r="844" spans="17:26">
      <c r="Q844" s="23"/>
      <c r="R844" s="1"/>
      <c r="S844" s="1"/>
      <c r="T844" s="1"/>
      <c r="U844" s="1"/>
      <c r="V844" s="1"/>
      <c r="W844" s="1"/>
      <c r="X844" s="1"/>
      <c r="Y844" s="1"/>
      <c r="Z844" s="1"/>
    </row>
    <row r="845" spans="17:26">
      <c r="Q845" s="23"/>
      <c r="R845" s="1"/>
      <c r="S845" s="1"/>
      <c r="T845" s="1"/>
      <c r="U845" s="1"/>
      <c r="V845" s="1"/>
      <c r="W845" s="1"/>
      <c r="X845" s="1"/>
      <c r="Y845" s="1"/>
      <c r="Z845" s="1"/>
    </row>
    <row r="846" spans="17:26">
      <c r="Q846" s="23"/>
      <c r="R846" s="1"/>
      <c r="S846" s="1"/>
      <c r="T846" s="1"/>
      <c r="U846" s="1"/>
      <c r="V846" s="1"/>
      <c r="W846" s="1"/>
      <c r="X846" s="1"/>
      <c r="Y846" s="1"/>
      <c r="Z846" s="1"/>
    </row>
    <row r="847" spans="17:26">
      <c r="Q847" s="23"/>
      <c r="R847" s="1"/>
      <c r="S847" s="1"/>
      <c r="T847" s="1"/>
      <c r="U847" s="1"/>
      <c r="V847" s="1"/>
      <c r="W847" s="1"/>
      <c r="X847" s="1"/>
      <c r="Y847" s="1"/>
      <c r="Z847" s="1"/>
    </row>
    <row r="848" spans="17:26">
      <c r="Q848" s="23"/>
      <c r="R848" s="1"/>
      <c r="S848" s="1"/>
      <c r="T848" s="1"/>
      <c r="U848" s="1"/>
      <c r="V848" s="1"/>
      <c r="W848" s="1"/>
      <c r="X848" s="1"/>
      <c r="Y848" s="1"/>
      <c r="Z848" s="1"/>
    </row>
    <row r="849" spans="17:26">
      <c r="Q849" s="23"/>
      <c r="R849" s="1"/>
      <c r="S849" s="1"/>
      <c r="T849" s="1"/>
      <c r="U849" s="1"/>
      <c r="V849" s="1"/>
      <c r="W849" s="1"/>
      <c r="X849" s="1"/>
      <c r="Y849" s="1"/>
      <c r="Z849" s="1"/>
    </row>
    <row r="850" spans="17:26">
      <c r="Q850" s="23"/>
      <c r="R850" s="1"/>
      <c r="S850" s="1"/>
      <c r="T850" s="1"/>
      <c r="U850" s="1"/>
      <c r="V850" s="1"/>
      <c r="W850" s="1"/>
      <c r="X850" s="1"/>
      <c r="Y850" s="1"/>
      <c r="Z850" s="1"/>
    </row>
    <row r="851" spans="17:26">
      <c r="Q851" s="23"/>
      <c r="R851" s="1"/>
      <c r="S851" s="1"/>
      <c r="T851" s="1"/>
      <c r="U851" s="1"/>
      <c r="V851" s="1"/>
      <c r="W851" s="1"/>
      <c r="X851" s="1"/>
      <c r="Y851" s="1"/>
      <c r="Z851" s="1"/>
    </row>
    <row r="852" spans="17:26">
      <c r="Q852" s="23"/>
      <c r="R852" s="1"/>
      <c r="S852" s="1"/>
      <c r="T852" s="1"/>
      <c r="U852" s="1"/>
      <c r="V852" s="1"/>
      <c r="W852" s="1"/>
      <c r="X852" s="1"/>
      <c r="Y852" s="1"/>
      <c r="Z852" s="1"/>
    </row>
    <row r="853" spans="17:26">
      <c r="Q853" s="23"/>
      <c r="R853" s="1"/>
      <c r="S853" s="1"/>
      <c r="T853" s="1"/>
      <c r="U853" s="1"/>
      <c r="V853" s="1"/>
      <c r="W853" s="1"/>
      <c r="X853" s="1"/>
      <c r="Y853" s="1"/>
      <c r="Z853" s="1"/>
    </row>
    <row r="854" spans="17:26">
      <c r="Q854" s="23"/>
      <c r="R854" s="1"/>
      <c r="S854" s="1"/>
      <c r="T854" s="1"/>
      <c r="U854" s="1"/>
      <c r="V854" s="1"/>
      <c r="W854" s="1"/>
      <c r="X854" s="1"/>
      <c r="Y854" s="1"/>
      <c r="Z854" s="1"/>
    </row>
    <row r="855" spans="17:26">
      <c r="Q855" s="23"/>
      <c r="R855" s="1"/>
      <c r="S855" s="1"/>
      <c r="T855" s="1"/>
      <c r="U855" s="1"/>
      <c r="V855" s="1"/>
      <c r="W855" s="1"/>
      <c r="X855" s="1"/>
      <c r="Y855" s="1"/>
      <c r="Z855" s="1"/>
    </row>
    <row r="856" spans="17:26">
      <c r="Q856" s="23"/>
      <c r="R856" s="1"/>
      <c r="S856" s="1"/>
      <c r="T856" s="1"/>
      <c r="U856" s="1"/>
      <c r="V856" s="1"/>
      <c r="W856" s="1"/>
      <c r="X856" s="1"/>
      <c r="Y856" s="1"/>
      <c r="Z856" s="1"/>
    </row>
    <row r="857" spans="17:26">
      <c r="Q857" s="23"/>
      <c r="R857" s="1"/>
      <c r="S857" s="1"/>
      <c r="T857" s="1"/>
      <c r="U857" s="1"/>
      <c r="V857" s="1"/>
      <c r="W857" s="1"/>
      <c r="X857" s="1"/>
      <c r="Y857" s="1"/>
      <c r="Z857" s="1"/>
    </row>
    <row r="858" spans="17:26">
      <c r="Q858" s="23"/>
      <c r="R858" s="1"/>
      <c r="S858" s="1"/>
      <c r="T858" s="1"/>
      <c r="U858" s="1"/>
      <c r="V858" s="1"/>
      <c r="W858" s="1"/>
      <c r="X858" s="1"/>
      <c r="Y858" s="1"/>
      <c r="Z858" s="1"/>
    </row>
    <row r="859" spans="17:26">
      <c r="Q859" s="23"/>
      <c r="R859" s="1"/>
      <c r="S859" s="1"/>
      <c r="T859" s="1"/>
      <c r="U859" s="1"/>
      <c r="V859" s="1"/>
      <c r="W859" s="1"/>
      <c r="X859" s="1"/>
      <c r="Y859" s="1"/>
      <c r="Z859" s="1"/>
    </row>
    <row r="860" spans="17:26">
      <c r="Q860" s="23"/>
      <c r="R860" s="1"/>
      <c r="S860" s="1"/>
      <c r="T860" s="1"/>
      <c r="U860" s="1"/>
      <c r="V860" s="1"/>
      <c r="W860" s="1"/>
      <c r="X860" s="1"/>
      <c r="Y860" s="1"/>
      <c r="Z860" s="1"/>
    </row>
    <row r="861" spans="17:26">
      <c r="Q861" s="23"/>
      <c r="R861" s="1"/>
      <c r="S861" s="1"/>
      <c r="T861" s="1"/>
      <c r="U861" s="1"/>
      <c r="V861" s="1"/>
      <c r="W861" s="1"/>
      <c r="X861" s="1"/>
      <c r="Y861" s="1"/>
      <c r="Z861" s="1"/>
    </row>
    <row r="862" spans="17:26">
      <c r="Q862" s="23"/>
      <c r="R862" s="1"/>
      <c r="S862" s="1"/>
      <c r="T862" s="1"/>
      <c r="U862" s="1"/>
      <c r="V862" s="1"/>
      <c r="W862" s="1"/>
      <c r="X862" s="1"/>
      <c r="Y862" s="1"/>
      <c r="Z862" s="1"/>
    </row>
    <row r="863" spans="17:26">
      <c r="Q863" s="23"/>
      <c r="R863" s="1"/>
      <c r="S863" s="1"/>
      <c r="T863" s="1"/>
      <c r="U863" s="1"/>
      <c r="V863" s="1"/>
      <c r="W863" s="1"/>
      <c r="X863" s="1"/>
      <c r="Y863" s="1"/>
      <c r="Z863" s="1"/>
    </row>
    <row r="864" spans="17:26">
      <c r="Q864" s="23"/>
      <c r="R864" s="1"/>
      <c r="S864" s="1"/>
      <c r="T864" s="1"/>
      <c r="U864" s="1"/>
      <c r="V864" s="1"/>
      <c r="W864" s="1"/>
      <c r="X864" s="1"/>
      <c r="Y864" s="1"/>
      <c r="Z864" s="1"/>
    </row>
    <row r="865" spans="17:26">
      <c r="Q865" s="23"/>
      <c r="R865" s="1"/>
      <c r="S865" s="1"/>
      <c r="T865" s="1"/>
      <c r="U865" s="1"/>
      <c r="V865" s="1"/>
      <c r="W865" s="1"/>
      <c r="X865" s="1"/>
      <c r="Y865" s="1"/>
      <c r="Z865" s="1"/>
    </row>
    <row r="866" spans="17:26">
      <c r="Q866" s="23"/>
      <c r="R866" s="1"/>
      <c r="S866" s="1"/>
      <c r="T866" s="1"/>
      <c r="U866" s="1"/>
      <c r="V866" s="1"/>
      <c r="W866" s="1"/>
      <c r="X866" s="1"/>
      <c r="Y866" s="1"/>
      <c r="Z866" s="1"/>
    </row>
    <row r="867" spans="17:26">
      <c r="Q867" s="23"/>
      <c r="R867" s="1"/>
      <c r="S867" s="1"/>
      <c r="T867" s="1"/>
      <c r="U867" s="1"/>
      <c r="V867" s="1"/>
      <c r="W867" s="1"/>
      <c r="X867" s="1"/>
      <c r="Y867" s="1"/>
      <c r="Z867" s="1"/>
    </row>
    <row r="868" spans="17:26">
      <c r="Q868" s="23"/>
      <c r="R868" s="1"/>
      <c r="S868" s="1"/>
      <c r="T868" s="1"/>
      <c r="U868" s="1"/>
      <c r="V868" s="1"/>
      <c r="W868" s="1"/>
      <c r="X868" s="1"/>
      <c r="Y868" s="1"/>
      <c r="Z868" s="1"/>
    </row>
    <row r="869" spans="17:26">
      <c r="Q869" s="23"/>
      <c r="R869" s="1"/>
      <c r="S869" s="1"/>
      <c r="T869" s="1"/>
      <c r="U869" s="1"/>
      <c r="V869" s="1"/>
      <c r="W869" s="1"/>
      <c r="X869" s="1"/>
      <c r="Y869" s="1"/>
      <c r="Z869" s="1"/>
    </row>
    <row r="870" spans="17:26">
      <c r="Q870" s="23"/>
      <c r="R870" s="1"/>
      <c r="S870" s="1"/>
      <c r="T870" s="1"/>
      <c r="U870" s="1"/>
      <c r="V870" s="1"/>
      <c r="W870" s="1"/>
      <c r="X870" s="1"/>
      <c r="Y870" s="1"/>
      <c r="Z870" s="1"/>
    </row>
    <row r="871" spans="17:26">
      <c r="Q871" s="23"/>
      <c r="R871" s="1"/>
      <c r="S871" s="1"/>
      <c r="T871" s="1"/>
      <c r="U871" s="1"/>
      <c r="V871" s="1"/>
      <c r="W871" s="1"/>
      <c r="X871" s="1"/>
      <c r="Y871" s="1"/>
      <c r="Z871" s="1"/>
    </row>
    <row r="872" spans="17:26">
      <c r="Q872" s="23"/>
      <c r="R872" s="1"/>
      <c r="S872" s="1"/>
      <c r="T872" s="1"/>
      <c r="U872" s="1"/>
      <c r="V872" s="1"/>
      <c r="W872" s="1"/>
      <c r="X872" s="1"/>
      <c r="Y872" s="1"/>
      <c r="Z872" s="1"/>
    </row>
    <row r="873" spans="17:26">
      <c r="Q873" s="23"/>
      <c r="R873" s="1"/>
      <c r="S873" s="1"/>
      <c r="T873" s="1"/>
      <c r="U873" s="1"/>
      <c r="V873" s="1"/>
      <c r="W873" s="1"/>
      <c r="X873" s="1"/>
      <c r="Y873" s="1"/>
      <c r="Z873" s="1"/>
    </row>
    <row r="874" spans="17:26">
      <c r="Q874" s="23"/>
      <c r="R874" s="1"/>
      <c r="S874" s="1"/>
      <c r="T874" s="1"/>
      <c r="U874" s="1"/>
      <c r="V874" s="1"/>
      <c r="W874" s="1"/>
      <c r="X874" s="1"/>
      <c r="Y874" s="1"/>
      <c r="Z874" s="1"/>
    </row>
    <row r="875" spans="17:26">
      <c r="Q875" s="23"/>
      <c r="R875" s="1"/>
      <c r="S875" s="1"/>
      <c r="T875" s="1"/>
      <c r="U875" s="1"/>
      <c r="V875" s="1"/>
      <c r="W875" s="1"/>
      <c r="X875" s="1"/>
      <c r="Y875" s="1"/>
      <c r="Z875" s="1"/>
    </row>
    <row r="876" spans="17:26">
      <c r="Q876" s="23"/>
      <c r="R876" s="1"/>
      <c r="S876" s="1"/>
      <c r="T876" s="1"/>
      <c r="U876" s="1"/>
      <c r="V876" s="1"/>
      <c r="W876" s="1"/>
      <c r="X876" s="1"/>
      <c r="Y876" s="1"/>
      <c r="Z876" s="1"/>
    </row>
    <row r="877" spans="17:26">
      <c r="Q877" s="23"/>
      <c r="R877" s="1"/>
      <c r="S877" s="1"/>
      <c r="T877" s="1"/>
      <c r="U877" s="1"/>
      <c r="V877" s="1"/>
      <c r="W877" s="1"/>
      <c r="X877" s="1"/>
      <c r="Y877" s="1"/>
      <c r="Z877" s="1"/>
    </row>
    <row r="878" spans="17:26">
      <c r="Q878" s="23"/>
      <c r="R878" s="1"/>
      <c r="S878" s="1"/>
      <c r="T878" s="1"/>
      <c r="U878" s="1"/>
      <c r="V878" s="1"/>
      <c r="W878" s="1"/>
      <c r="X878" s="1"/>
      <c r="Y878" s="1"/>
      <c r="Z878" s="1"/>
    </row>
    <row r="879" spans="17:26">
      <c r="Q879" s="23"/>
      <c r="R879" s="1"/>
      <c r="S879" s="1"/>
      <c r="T879" s="1"/>
      <c r="U879" s="1"/>
      <c r="V879" s="1"/>
      <c r="W879" s="1"/>
      <c r="X879" s="1"/>
      <c r="Y879" s="1"/>
      <c r="Z879" s="1"/>
    </row>
    <row r="880" spans="17:26">
      <c r="Q880" s="23"/>
      <c r="R880" s="1"/>
      <c r="S880" s="1"/>
      <c r="T880" s="1"/>
      <c r="U880" s="1"/>
      <c r="V880" s="1"/>
      <c r="W880" s="1"/>
      <c r="X880" s="1"/>
      <c r="Y880" s="1"/>
      <c r="Z880" s="1"/>
    </row>
    <row r="881" spans="17:26">
      <c r="Q881" s="23"/>
      <c r="R881" s="1"/>
      <c r="S881" s="1"/>
      <c r="T881" s="1"/>
      <c r="U881" s="1"/>
      <c r="V881" s="1"/>
      <c r="W881" s="1"/>
      <c r="X881" s="1"/>
      <c r="Y881" s="1"/>
      <c r="Z881" s="1"/>
    </row>
    <row r="882" spans="17:26">
      <c r="Q882" s="23"/>
      <c r="R882" s="1"/>
      <c r="S882" s="1"/>
      <c r="T882" s="1"/>
      <c r="U882" s="1"/>
      <c r="V882" s="1"/>
      <c r="W882" s="1"/>
      <c r="X882" s="1"/>
      <c r="Y882" s="1"/>
      <c r="Z882" s="1"/>
    </row>
    <row r="883" spans="17:26">
      <c r="Q883" s="23"/>
      <c r="R883" s="1"/>
      <c r="S883" s="1"/>
      <c r="T883" s="1"/>
      <c r="U883" s="1"/>
      <c r="V883" s="1"/>
      <c r="W883" s="1"/>
      <c r="X883" s="1"/>
      <c r="Y883" s="1"/>
      <c r="Z883" s="1"/>
    </row>
    <row r="884" spans="17:26">
      <c r="Q884" s="23"/>
      <c r="R884" s="1"/>
      <c r="S884" s="1"/>
      <c r="T884" s="1"/>
      <c r="U884" s="1"/>
      <c r="V884" s="1"/>
      <c r="W884" s="1"/>
      <c r="X884" s="1"/>
      <c r="Y884" s="1"/>
      <c r="Z884" s="1"/>
    </row>
    <row r="885" spans="17:26">
      <c r="Q885" s="23"/>
      <c r="R885" s="1"/>
      <c r="S885" s="1"/>
      <c r="T885" s="1"/>
      <c r="U885" s="1"/>
      <c r="V885" s="1"/>
      <c r="W885" s="1"/>
      <c r="X885" s="1"/>
      <c r="Y885" s="1"/>
      <c r="Z885" s="1"/>
    </row>
    <row r="886" spans="17:26">
      <c r="Q886" s="23"/>
      <c r="R886" s="1"/>
      <c r="S886" s="1"/>
      <c r="T886" s="1"/>
      <c r="U886" s="1"/>
      <c r="V886" s="1"/>
      <c r="W886" s="1"/>
      <c r="X886" s="1"/>
      <c r="Y886" s="1"/>
      <c r="Z886" s="1"/>
    </row>
    <row r="887" spans="17:26">
      <c r="Q887" s="23"/>
      <c r="R887" s="1"/>
      <c r="S887" s="1"/>
      <c r="T887" s="1"/>
      <c r="U887" s="1"/>
      <c r="V887" s="1"/>
      <c r="W887" s="1"/>
      <c r="X887" s="1"/>
      <c r="Y887" s="1"/>
      <c r="Z887" s="1"/>
    </row>
    <row r="888" spans="17:26">
      <c r="Q888" s="23"/>
      <c r="R888" s="1"/>
      <c r="S888" s="1"/>
      <c r="T888" s="1"/>
      <c r="U888" s="1"/>
      <c r="V888" s="1"/>
      <c r="W888" s="1"/>
      <c r="X888" s="1"/>
      <c r="Y888" s="1"/>
      <c r="Z888" s="1"/>
    </row>
    <row r="889" spans="17:26">
      <c r="Q889" s="23"/>
      <c r="R889" s="1"/>
      <c r="S889" s="1"/>
      <c r="T889" s="1"/>
      <c r="U889" s="1"/>
      <c r="V889" s="1"/>
      <c r="W889" s="1"/>
      <c r="X889" s="1"/>
      <c r="Y889" s="1"/>
      <c r="Z889" s="1"/>
    </row>
    <row r="890" spans="17:26">
      <c r="Q890" s="23"/>
      <c r="R890" s="1"/>
      <c r="S890" s="1"/>
      <c r="T890" s="1"/>
      <c r="U890" s="1"/>
      <c r="V890" s="1"/>
      <c r="W890" s="1"/>
      <c r="X890" s="1"/>
      <c r="Y890" s="1"/>
      <c r="Z890" s="1"/>
    </row>
    <row r="891" spans="17:26">
      <c r="Q891" s="23"/>
      <c r="R891" s="1"/>
      <c r="S891" s="1"/>
      <c r="T891" s="1"/>
      <c r="U891" s="1"/>
      <c r="V891" s="1"/>
      <c r="W891" s="1"/>
      <c r="X891" s="1"/>
      <c r="Y891" s="1"/>
      <c r="Z891" s="1"/>
    </row>
    <row r="892" spans="17:26">
      <c r="Q892" s="23"/>
      <c r="R892" s="1"/>
      <c r="S892" s="1"/>
      <c r="T892" s="1"/>
      <c r="U892" s="1"/>
      <c r="V892" s="1"/>
      <c r="W892" s="1"/>
      <c r="X892" s="1"/>
      <c r="Y892" s="1"/>
      <c r="Z892" s="1"/>
    </row>
    <row r="893" spans="17:26">
      <c r="Q893" s="23"/>
      <c r="R893" s="1"/>
      <c r="S893" s="1"/>
      <c r="T893" s="1"/>
      <c r="U893" s="1"/>
      <c r="V893" s="1"/>
      <c r="W893" s="1"/>
      <c r="X893" s="1"/>
      <c r="Y893" s="1"/>
      <c r="Z893" s="1"/>
    </row>
    <row r="894" spans="17:26">
      <c r="Q894" s="23"/>
      <c r="R894" s="1"/>
      <c r="S894" s="1"/>
      <c r="T894" s="1"/>
      <c r="U894" s="1"/>
      <c r="V894" s="1"/>
      <c r="W894" s="1"/>
      <c r="X894" s="1"/>
      <c r="Y894" s="1"/>
      <c r="Z894" s="1"/>
    </row>
    <row r="895" spans="17:26">
      <c r="Q895" s="23"/>
      <c r="R895" s="1"/>
      <c r="S895" s="1"/>
      <c r="T895" s="1"/>
      <c r="U895" s="1"/>
      <c r="V895" s="1"/>
      <c r="W895" s="1"/>
      <c r="X895" s="1"/>
      <c r="Y895" s="1"/>
      <c r="Z895" s="1"/>
    </row>
    <row r="896" spans="17:26">
      <c r="Q896" s="23"/>
      <c r="R896" s="1"/>
      <c r="S896" s="1"/>
      <c r="T896" s="1"/>
      <c r="U896" s="1"/>
      <c r="V896" s="1"/>
      <c r="W896" s="1"/>
      <c r="X896" s="1"/>
      <c r="Y896" s="1"/>
      <c r="Z896" s="1"/>
    </row>
    <row r="897" spans="17:26">
      <c r="Q897" s="23"/>
      <c r="R897" s="1"/>
      <c r="S897" s="1"/>
      <c r="T897" s="1"/>
      <c r="U897" s="1"/>
      <c r="V897" s="1"/>
      <c r="W897" s="1"/>
      <c r="X897" s="1"/>
      <c r="Y897" s="1"/>
      <c r="Z897" s="1"/>
    </row>
    <row r="898" spans="17:26">
      <c r="Q898" s="23"/>
      <c r="R898" s="1"/>
      <c r="S898" s="1"/>
      <c r="T898" s="1"/>
      <c r="U898" s="1"/>
      <c r="V898" s="1"/>
      <c r="W898" s="1"/>
      <c r="X898" s="1"/>
      <c r="Y898" s="1"/>
      <c r="Z898" s="1"/>
    </row>
    <row r="899" spans="17:26">
      <c r="Q899" s="23"/>
      <c r="R899" s="1"/>
      <c r="S899" s="1"/>
      <c r="T899" s="1"/>
      <c r="U899" s="1"/>
      <c r="V899" s="1"/>
      <c r="W899" s="1"/>
      <c r="X899" s="1"/>
      <c r="Y899" s="1"/>
      <c r="Z899" s="1"/>
    </row>
    <row r="900" spans="17:26">
      <c r="Q900" s="23"/>
      <c r="R900" s="1"/>
      <c r="S900" s="1"/>
      <c r="T900" s="1"/>
      <c r="U900" s="1"/>
      <c r="V900" s="1"/>
      <c r="W900" s="1"/>
      <c r="X900" s="1"/>
      <c r="Y900" s="1"/>
      <c r="Z900" s="1"/>
    </row>
    <row r="901" spans="17:26">
      <c r="Q901" s="23"/>
      <c r="R901" s="1"/>
      <c r="S901" s="1"/>
      <c r="T901" s="1"/>
      <c r="U901" s="1"/>
      <c r="V901" s="1"/>
      <c r="W901" s="1"/>
      <c r="X901" s="1"/>
      <c r="Y901" s="1"/>
      <c r="Z901" s="1"/>
    </row>
    <row r="902" spans="17:26">
      <c r="Q902" s="23"/>
      <c r="R902" s="1"/>
      <c r="S902" s="1"/>
      <c r="T902" s="1"/>
      <c r="U902" s="1"/>
      <c r="V902" s="1"/>
      <c r="W902" s="1"/>
      <c r="X902" s="1"/>
      <c r="Y902" s="1"/>
      <c r="Z902" s="1"/>
    </row>
    <row r="903" spans="17:26">
      <c r="Q903" s="23"/>
      <c r="R903" s="1"/>
      <c r="S903" s="1"/>
      <c r="T903" s="1"/>
      <c r="U903" s="1"/>
      <c r="V903" s="1"/>
      <c r="W903" s="1"/>
      <c r="X903" s="1"/>
      <c r="Y903" s="1"/>
      <c r="Z903" s="1"/>
    </row>
    <row r="904" spans="17:26">
      <c r="Q904" s="1"/>
      <c r="R904" s="1"/>
      <c r="S904" s="1"/>
      <c r="T904" s="1"/>
      <c r="U904" s="1"/>
      <c r="V904" s="1"/>
      <c r="W904" s="1"/>
      <c r="X904" s="1"/>
      <c r="Y904" s="1"/>
      <c r="Z904" s="1"/>
    </row>
    <row r="905" spans="17:26">
      <c r="Q905" s="1"/>
      <c r="R905" s="1"/>
      <c r="S905" s="1"/>
      <c r="T905" s="1"/>
      <c r="U905" s="1"/>
      <c r="V905" s="1"/>
      <c r="W905" s="1"/>
      <c r="X905" s="1"/>
      <c r="Y905" s="1"/>
      <c r="Z905" s="1"/>
    </row>
    <row r="906" spans="17:26">
      <c r="Q906" s="1"/>
      <c r="R906" s="1"/>
      <c r="S906" s="1"/>
      <c r="T906" s="1"/>
      <c r="U906" s="1"/>
      <c r="V906" s="1"/>
      <c r="W906" s="1"/>
      <c r="X906" s="1"/>
      <c r="Y906" s="1"/>
      <c r="Z906" s="1"/>
    </row>
    <row r="907" spans="17:26">
      <c r="Q907" s="1"/>
      <c r="R907" s="1"/>
      <c r="S907" s="1"/>
      <c r="T907" s="1"/>
      <c r="U907" s="1"/>
      <c r="V907" s="1"/>
      <c r="W907" s="1"/>
      <c r="X907" s="1"/>
      <c r="Y907" s="1"/>
      <c r="Z907" s="1"/>
    </row>
    <row r="908" spans="17:26">
      <c r="Q908" s="1"/>
      <c r="R908" s="1"/>
      <c r="S908" s="1"/>
      <c r="T908" s="1"/>
      <c r="U908" s="1"/>
      <c r="V908" s="1"/>
      <c r="W908" s="1"/>
      <c r="X908" s="1"/>
      <c r="Y908" s="1"/>
      <c r="Z908" s="1"/>
    </row>
    <row r="909" spans="17:26">
      <c r="Q909" s="1"/>
      <c r="R909" s="1"/>
      <c r="S909" s="1"/>
      <c r="T909" s="1"/>
      <c r="U909" s="1"/>
      <c r="V909" s="1"/>
      <c r="W909" s="1"/>
      <c r="X909" s="1"/>
      <c r="Y909" s="1"/>
      <c r="Z909" s="1"/>
    </row>
    <row r="910" spans="17:26">
      <c r="Q910" s="1"/>
      <c r="R910" s="1"/>
      <c r="S910" s="1"/>
      <c r="T910" s="1"/>
      <c r="U910" s="1"/>
      <c r="V910" s="1"/>
      <c r="W910" s="1"/>
      <c r="X910" s="1"/>
      <c r="Y910" s="1"/>
      <c r="Z910" s="1"/>
    </row>
    <row r="911" spans="17:26">
      <c r="Q911" s="1"/>
      <c r="R911" s="1"/>
      <c r="S911" s="1"/>
      <c r="T911" s="1"/>
      <c r="U911" s="1"/>
      <c r="V911" s="1"/>
      <c r="W911" s="1"/>
      <c r="X911" s="1"/>
      <c r="Y911" s="1"/>
      <c r="Z911" s="1"/>
    </row>
    <row r="912" spans="17:26">
      <c r="Q912" s="1"/>
      <c r="R912" s="1"/>
      <c r="S912" s="1"/>
      <c r="T912" s="1"/>
      <c r="U912" s="1"/>
      <c r="V912" s="1"/>
      <c r="W912" s="1"/>
      <c r="X912" s="1"/>
      <c r="Y912" s="1"/>
      <c r="Z912" s="1"/>
    </row>
  </sheetData>
  <mergeCells count="540">
    <mergeCell ref="T542:T543"/>
    <mergeCell ref="U542:U543"/>
    <mergeCell ref="R547:W547"/>
    <mergeCell ref="R548:S551"/>
    <mergeCell ref="T548:T549"/>
    <mergeCell ref="U548:U549"/>
    <mergeCell ref="V548:V549"/>
    <mergeCell ref="W548:W549"/>
    <mergeCell ref="W528:W530"/>
    <mergeCell ref="V542:V543"/>
    <mergeCell ref="R534:W534"/>
    <mergeCell ref="R535:S538"/>
    <mergeCell ref="T535:T536"/>
    <mergeCell ref="U535:U536"/>
    <mergeCell ref="V535:V536"/>
    <mergeCell ref="W535:W536"/>
    <mergeCell ref="W542:W543"/>
    <mergeCell ref="R542:S545"/>
    <mergeCell ref="R528:S532"/>
    <mergeCell ref="T528:T530"/>
    <mergeCell ref="U528:U530"/>
    <mergeCell ref="V528:V530"/>
    <mergeCell ref="T513:T514"/>
    <mergeCell ref="U513:U514"/>
    <mergeCell ref="R525:W525"/>
    <mergeCell ref="R526:W526"/>
    <mergeCell ref="R518:W518"/>
    <mergeCell ref="R519:S522"/>
    <mergeCell ref="T519:T520"/>
    <mergeCell ref="U519:U520"/>
    <mergeCell ref="V519:V520"/>
    <mergeCell ref="W519:W520"/>
    <mergeCell ref="W499:W501"/>
    <mergeCell ref="V513:V514"/>
    <mergeCell ref="R505:W505"/>
    <mergeCell ref="R506:S509"/>
    <mergeCell ref="T506:T507"/>
    <mergeCell ref="U506:U507"/>
    <mergeCell ref="V506:V507"/>
    <mergeCell ref="W506:W507"/>
    <mergeCell ref="W513:W514"/>
    <mergeCell ref="R513:S516"/>
    <mergeCell ref="R499:S503"/>
    <mergeCell ref="T499:T501"/>
    <mergeCell ref="U499:U501"/>
    <mergeCell ref="V499:V501"/>
    <mergeCell ref="T484:T485"/>
    <mergeCell ref="U484:U485"/>
    <mergeCell ref="R496:W496"/>
    <mergeCell ref="R497:W497"/>
    <mergeCell ref="R489:W489"/>
    <mergeCell ref="R490:S493"/>
    <mergeCell ref="T490:T491"/>
    <mergeCell ref="U490:U491"/>
    <mergeCell ref="V490:V491"/>
    <mergeCell ref="W490:W491"/>
    <mergeCell ref="W470:W472"/>
    <mergeCell ref="V484:V485"/>
    <mergeCell ref="R476:W476"/>
    <mergeCell ref="R477:S480"/>
    <mergeCell ref="T477:T478"/>
    <mergeCell ref="U477:U478"/>
    <mergeCell ref="V477:V478"/>
    <mergeCell ref="W477:W478"/>
    <mergeCell ref="W484:W485"/>
    <mergeCell ref="R484:S487"/>
    <mergeCell ref="R470:S474"/>
    <mergeCell ref="T470:T472"/>
    <mergeCell ref="U470:U472"/>
    <mergeCell ref="V470:V472"/>
    <mergeCell ref="T455:T456"/>
    <mergeCell ref="U455:U456"/>
    <mergeCell ref="R467:W467"/>
    <mergeCell ref="R468:W468"/>
    <mergeCell ref="R460:W460"/>
    <mergeCell ref="R461:S464"/>
    <mergeCell ref="T461:T462"/>
    <mergeCell ref="U461:U462"/>
    <mergeCell ref="V461:V462"/>
    <mergeCell ref="W461:W462"/>
    <mergeCell ref="W441:W443"/>
    <mergeCell ref="V455:V456"/>
    <mergeCell ref="R447:W447"/>
    <mergeCell ref="R448:S451"/>
    <mergeCell ref="T448:T449"/>
    <mergeCell ref="U448:U449"/>
    <mergeCell ref="V448:V449"/>
    <mergeCell ref="W448:W449"/>
    <mergeCell ref="W455:W456"/>
    <mergeCell ref="R455:S458"/>
    <mergeCell ref="R441:S445"/>
    <mergeCell ref="T441:T443"/>
    <mergeCell ref="U441:U443"/>
    <mergeCell ref="V441:V443"/>
    <mergeCell ref="U423:U424"/>
    <mergeCell ref="R435:W437"/>
    <mergeCell ref="R438:W438"/>
    <mergeCell ref="R439:W439"/>
    <mergeCell ref="R428:W428"/>
    <mergeCell ref="R429:S432"/>
    <mergeCell ref="T429:T430"/>
    <mergeCell ref="U429:U430"/>
    <mergeCell ref="V429:V430"/>
    <mergeCell ref="W429:W430"/>
    <mergeCell ref="V423:V424"/>
    <mergeCell ref="R415:W415"/>
    <mergeCell ref="R416:S419"/>
    <mergeCell ref="T416:T417"/>
    <mergeCell ref="U416:U417"/>
    <mergeCell ref="V416:V417"/>
    <mergeCell ref="W416:W417"/>
    <mergeCell ref="W423:W424"/>
    <mergeCell ref="R423:S426"/>
    <mergeCell ref="T423:T424"/>
    <mergeCell ref="U394:U395"/>
    <mergeCell ref="R406:W406"/>
    <mergeCell ref="R407:W407"/>
    <mergeCell ref="R409:S413"/>
    <mergeCell ref="T409:T411"/>
    <mergeCell ref="U409:U411"/>
    <mergeCell ref="V409:V411"/>
    <mergeCell ref="W409:W411"/>
    <mergeCell ref="R399:W399"/>
    <mergeCell ref="R400:S403"/>
    <mergeCell ref="T400:T401"/>
    <mergeCell ref="U400:U401"/>
    <mergeCell ref="V400:V401"/>
    <mergeCell ref="W400:W401"/>
    <mergeCell ref="V394:V395"/>
    <mergeCell ref="R386:W386"/>
    <mergeCell ref="R387:S390"/>
    <mergeCell ref="T387:T388"/>
    <mergeCell ref="U387:U388"/>
    <mergeCell ref="V387:V388"/>
    <mergeCell ref="W387:W388"/>
    <mergeCell ref="W394:W395"/>
    <mergeCell ref="R394:S397"/>
    <mergeCell ref="T394:T395"/>
    <mergeCell ref="U365:U366"/>
    <mergeCell ref="R377:W377"/>
    <mergeCell ref="R378:W378"/>
    <mergeCell ref="R380:S384"/>
    <mergeCell ref="T380:T382"/>
    <mergeCell ref="U380:U382"/>
    <mergeCell ref="V380:V382"/>
    <mergeCell ref="W380:W382"/>
    <mergeCell ref="R370:W370"/>
    <mergeCell ref="R371:S374"/>
    <mergeCell ref="T371:T372"/>
    <mergeCell ref="U371:U372"/>
    <mergeCell ref="V371:V372"/>
    <mergeCell ref="W371:W372"/>
    <mergeCell ref="V365:V366"/>
    <mergeCell ref="R357:W357"/>
    <mergeCell ref="R358:S361"/>
    <mergeCell ref="T358:T359"/>
    <mergeCell ref="U358:U359"/>
    <mergeCell ref="V358:V359"/>
    <mergeCell ref="W358:W359"/>
    <mergeCell ref="W365:W366"/>
    <mergeCell ref="R365:S368"/>
    <mergeCell ref="T365:T366"/>
    <mergeCell ref="U336:U337"/>
    <mergeCell ref="R348:W348"/>
    <mergeCell ref="R349:W349"/>
    <mergeCell ref="R351:S355"/>
    <mergeCell ref="T351:T353"/>
    <mergeCell ref="U351:U353"/>
    <mergeCell ref="V351:V353"/>
    <mergeCell ref="W351:W353"/>
    <mergeCell ref="R341:W341"/>
    <mergeCell ref="R342:S345"/>
    <mergeCell ref="T342:T343"/>
    <mergeCell ref="U342:U343"/>
    <mergeCell ref="V342:V343"/>
    <mergeCell ref="W342:W343"/>
    <mergeCell ref="V336:V337"/>
    <mergeCell ref="R328:W328"/>
    <mergeCell ref="R329:S332"/>
    <mergeCell ref="T329:T330"/>
    <mergeCell ref="U329:U330"/>
    <mergeCell ref="V329:V330"/>
    <mergeCell ref="W329:W330"/>
    <mergeCell ref="W336:W337"/>
    <mergeCell ref="R336:S339"/>
    <mergeCell ref="T336:T337"/>
    <mergeCell ref="R316:W318"/>
    <mergeCell ref="R319:W319"/>
    <mergeCell ref="R320:W320"/>
    <mergeCell ref="R322:S326"/>
    <mergeCell ref="T322:T324"/>
    <mergeCell ref="U322:U324"/>
    <mergeCell ref="V322:V324"/>
    <mergeCell ref="W322:W324"/>
    <mergeCell ref="T302:U302"/>
    <mergeCell ref="R305:V305"/>
    <mergeCell ref="R306:R307"/>
    <mergeCell ref="S306:S307"/>
    <mergeCell ref="T306:T307"/>
    <mergeCell ref="U306:U307"/>
    <mergeCell ref="V306:V307"/>
    <mergeCell ref="R297:U297"/>
    <mergeCell ref="R298:U298"/>
    <mergeCell ref="R299:U299"/>
    <mergeCell ref="T301:U301"/>
    <mergeCell ref="R293:U293"/>
    <mergeCell ref="R294:U294"/>
    <mergeCell ref="R295:U295"/>
    <mergeCell ref="R296:U296"/>
    <mergeCell ref="R289:U289"/>
    <mergeCell ref="R290:U290"/>
    <mergeCell ref="R291:U291"/>
    <mergeCell ref="R292:U292"/>
    <mergeCell ref="W286:W287"/>
    <mergeCell ref="X286:X287"/>
    <mergeCell ref="Y286:Y287"/>
    <mergeCell ref="R288:U288"/>
    <mergeCell ref="S282:T282"/>
    <mergeCell ref="S283:T283"/>
    <mergeCell ref="R286:U287"/>
    <mergeCell ref="V286:V287"/>
    <mergeCell ref="S277:T277"/>
    <mergeCell ref="R278:X278"/>
    <mergeCell ref="R279:T279"/>
    <mergeCell ref="U279:U280"/>
    <mergeCell ref="V279:V280"/>
    <mergeCell ref="W279:W280"/>
    <mergeCell ref="X279:X280"/>
    <mergeCell ref="R280:R283"/>
    <mergeCell ref="S280:T280"/>
    <mergeCell ref="S281:T281"/>
    <mergeCell ref="R272:X272"/>
    <mergeCell ref="R273:T273"/>
    <mergeCell ref="U273:U274"/>
    <mergeCell ref="V273:V274"/>
    <mergeCell ref="W273:W274"/>
    <mergeCell ref="X273:X274"/>
    <mergeCell ref="R274:R277"/>
    <mergeCell ref="S274:T274"/>
    <mergeCell ref="S275:T275"/>
    <mergeCell ref="S276:T276"/>
    <mergeCell ref="X267:X268"/>
    <mergeCell ref="R268:R271"/>
    <mergeCell ref="S268:T268"/>
    <mergeCell ref="S269:T269"/>
    <mergeCell ref="S270:T270"/>
    <mergeCell ref="S271:T271"/>
    <mergeCell ref="R267:T267"/>
    <mergeCell ref="U267:U268"/>
    <mergeCell ref="V267:V268"/>
    <mergeCell ref="W267:W268"/>
    <mergeCell ref="X254:X255"/>
    <mergeCell ref="R257:T257"/>
    <mergeCell ref="R260:Y260"/>
    <mergeCell ref="R264:S265"/>
    <mergeCell ref="U264:V264"/>
    <mergeCell ref="U265:V265"/>
    <mergeCell ref="R254:T255"/>
    <mergeCell ref="U254:U255"/>
    <mergeCell ref="V254:V255"/>
    <mergeCell ref="W254:W255"/>
    <mergeCell ref="X247:X248"/>
    <mergeCell ref="R249:T249"/>
    <mergeCell ref="U249:U251"/>
    <mergeCell ref="R250:T250"/>
    <mergeCell ref="R251:T251"/>
    <mergeCell ref="R247:T248"/>
    <mergeCell ref="U247:U248"/>
    <mergeCell ref="V247:V248"/>
    <mergeCell ref="W247:W248"/>
    <mergeCell ref="X241:X242"/>
    <mergeCell ref="R243:T243"/>
    <mergeCell ref="U243:U245"/>
    <mergeCell ref="R244:T244"/>
    <mergeCell ref="R245:T245"/>
    <mergeCell ref="R241:T242"/>
    <mergeCell ref="U241:U242"/>
    <mergeCell ref="V241:V242"/>
    <mergeCell ref="W241:W242"/>
    <mergeCell ref="W235:W236"/>
    <mergeCell ref="X235:X236"/>
    <mergeCell ref="R237:T237"/>
    <mergeCell ref="U237:U239"/>
    <mergeCell ref="R238:T238"/>
    <mergeCell ref="R239:T239"/>
    <mergeCell ref="R231:U231"/>
    <mergeCell ref="R235:T236"/>
    <mergeCell ref="U235:U236"/>
    <mergeCell ref="V235:V236"/>
    <mergeCell ref="R226:U226"/>
    <mergeCell ref="R227:U227"/>
    <mergeCell ref="R228:U228"/>
    <mergeCell ref="R229:U229"/>
    <mergeCell ref="R222:U222"/>
    <mergeCell ref="R223:U223"/>
    <mergeCell ref="R224:U224"/>
    <mergeCell ref="R225:U225"/>
    <mergeCell ref="R218:U218"/>
    <mergeCell ref="R219:U219"/>
    <mergeCell ref="R220:U220"/>
    <mergeCell ref="R221:U221"/>
    <mergeCell ref="Y213:Y214"/>
    <mergeCell ref="R215:U215"/>
    <mergeCell ref="R216:U216"/>
    <mergeCell ref="R217:U217"/>
    <mergeCell ref="R213:U214"/>
    <mergeCell ref="V213:V214"/>
    <mergeCell ref="W213:W214"/>
    <mergeCell ref="X213:X214"/>
    <mergeCell ref="R201:T201"/>
    <mergeCell ref="R202:T202"/>
    <mergeCell ref="R204:Y208"/>
    <mergeCell ref="R210:W211"/>
    <mergeCell ref="X210:X211"/>
    <mergeCell ref="Y210:Y211"/>
    <mergeCell ref="V198:V199"/>
    <mergeCell ref="W198:W199"/>
    <mergeCell ref="X198:X199"/>
    <mergeCell ref="R200:T200"/>
    <mergeCell ref="R195:T195"/>
    <mergeCell ref="R196:T196"/>
    <mergeCell ref="R198:T199"/>
    <mergeCell ref="U198:U199"/>
    <mergeCell ref="V193:V194"/>
    <mergeCell ref="W193:W194"/>
    <mergeCell ref="X193:X194"/>
    <mergeCell ref="R188:T189"/>
    <mergeCell ref="U188:U189"/>
    <mergeCell ref="R190:T190"/>
    <mergeCell ref="R191:T191"/>
    <mergeCell ref="R193:T194"/>
    <mergeCell ref="U193:U194"/>
    <mergeCell ref="V188:V189"/>
    <mergeCell ref="W188:W189"/>
    <mergeCell ref="W183:W184"/>
    <mergeCell ref="X183:X184"/>
    <mergeCell ref="X188:X189"/>
    <mergeCell ref="R185:T185"/>
    <mergeCell ref="R186:T186"/>
    <mergeCell ref="R181:T181"/>
    <mergeCell ref="R183:T184"/>
    <mergeCell ref="U183:U184"/>
    <mergeCell ref="V183:V184"/>
    <mergeCell ref="W177:W178"/>
    <mergeCell ref="X177:X178"/>
    <mergeCell ref="U177:U178"/>
    <mergeCell ref="V177:V178"/>
    <mergeCell ref="R179:T179"/>
    <mergeCell ref="R180:T180"/>
    <mergeCell ref="R175:T175"/>
    <mergeCell ref="R177:T178"/>
    <mergeCell ref="V172:V173"/>
    <mergeCell ref="W172:W173"/>
    <mergeCell ref="X172:X173"/>
    <mergeCell ref="R174:T174"/>
    <mergeCell ref="R169:T169"/>
    <mergeCell ref="R170:T170"/>
    <mergeCell ref="R172:T173"/>
    <mergeCell ref="U172:U173"/>
    <mergeCell ref="X162:X163"/>
    <mergeCell ref="R164:T164"/>
    <mergeCell ref="R165:T165"/>
    <mergeCell ref="R167:T168"/>
    <mergeCell ref="U167:U168"/>
    <mergeCell ref="V167:V168"/>
    <mergeCell ref="W167:W168"/>
    <mergeCell ref="X167:X168"/>
    <mergeCell ref="R162:T163"/>
    <mergeCell ref="U162:U163"/>
    <mergeCell ref="V162:V163"/>
    <mergeCell ref="W162:W163"/>
    <mergeCell ref="R158:T158"/>
    <mergeCell ref="U158:U160"/>
    <mergeCell ref="R159:T159"/>
    <mergeCell ref="R160:T160"/>
    <mergeCell ref="R155:X155"/>
    <mergeCell ref="R156:T157"/>
    <mergeCell ref="U156:U157"/>
    <mergeCell ref="V156:V157"/>
    <mergeCell ref="W156:W157"/>
    <mergeCell ref="X156:X157"/>
    <mergeCell ref="R152:T152"/>
    <mergeCell ref="U152:U154"/>
    <mergeCell ref="R153:T153"/>
    <mergeCell ref="R154:T154"/>
    <mergeCell ref="R147:T147"/>
    <mergeCell ref="R148:T148"/>
    <mergeCell ref="R149:X149"/>
    <mergeCell ref="R150:T151"/>
    <mergeCell ref="U150:U151"/>
    <mergeCell ref="V150:V151"/>
    <mergeCell ref="W150:W151"/>
    <mergeCell ref="X150:X151"/>
    <mergeCell ref="X143:X144"/>
    <mergeCell ref="R145:T145"/>
    <mergeCell ref="U145:U146"/>
    <mergeCell ref="R146:T146"/>
    <mergeCell ref="R143:T144"/>
    <mergeCell ref="U143:U144"/>
    <mergeCell ref="V143:V144"/>
    <mergeCell ref="W143:W144"/>
    <mergeCell ref="R134:T134"/>
    <mergeCell ref="R135:T135"/>
    <mergeCell ref="R137:Y137"/>
    <mergeCell ref="R142:W142"/>
    <mergeCell ref="X126:X127"/>
    <mergeCell ref="R128:T128"/>
    <mergeCell ref="R130:Y130"/>
    <mergeCell ref="R132:T133"/>
    <mergeCell ref="U132:U133"/>
    <mergeCell ref="V132:V133"/>
    <mergeCell ref="W132:W133"/>
    <mergeCell ref="X132:X133"/>
    <mergeCell ref="R126:T127"/>
    <mergeCell ref="U126:U127"/>
    <mergeCell ref="V126:V127"/>
    <mergeCell ref="W126:W127"/>
    <mergeCell ref="X118:X119"/>
    <mergeCell ref="R120:T120"/>
    <mergeCell ref="R121:T121"/>
    <mergeCell ref="R123:Y123"/>
    <mergeCell ref="R118:T119"/>
    <mergeCell ref="U118:U119"/>
    <mergeCell ref="V118:V119"/>
    <mergeCell ref="W118:W119"/>
    <mergeCell ref="W112:W113"/>
    <mergeCell ref="X112:X113"/>
    <mergeCell ref="R114:T114"/>
    <mergeCell ref="R115:T115"/>
    <mergeCell ref="R109:T109"/>
    <mergeCell ref="R112:T113"/>
    <mergeCell ref="U112:U113"/>
    <mergeCell ref="V112:V113"/>
    <mergeCell ref="V106:V107"/>
    <mergeCell ref="W106:W107"/>
    <mergeCell ref="X106:X107"/>
    <mergeCell ref="R108:T108"/>
    <mergeCell ref="R102:T102"/>
    <mergeCell ref="R103:T103"/>
    <mergeCell ref="R106:T107"/>
    <mergeCell ref="U106:U107"/>
    <mergeCell ref="R96:Y96"/>
    <mergeCell ref="R100:T101"/>
    <mergeCell ref="U100:U101"/>
    <mergeCell ref="V100:V101"/>
    <mergeCell ref="W100:W101"/>
    <mergeCell ref="X100:X101"/>
    <mergeCell ref="X90:X91"/>
    <mergeCell ref="R92:T92"/>
    <mergeCell ref="R93:T93"/>
    <mergeCell ref="R94:T94"/>
    <mergeCell ref="R90:T91"/>
    <mergeCell ref="U90:U91"/>
    <mergeCell ref="V90:V91"/>
    <mergeCell ref="W90:W91"/>
    <mergeCell ref="X83:X84"/>
    <mergeCell ref="R85:T85"/>
    <mergeCell ref="R86:T86"/>
    <mergeCell ref="R87:T87"/>
    <mergeCell ref="R83:T84"/>
    <mergeCell ref="U83:U84"/>
    <mergeCell ref="V83:V84"/>
    <mergeCell ref="W83:W84"/>
    <mergeCell ref="R76:T76"/>
    <mergeCell ref="R77:T77"/>
    <mergeCell ref="R78:T78"/>
    <mergeCell ref="R80:Y80"/>
    <mergeCell ref="U74:U75"/>
    <mergeCell ref="V74:V75"/>
    <mergeCell ref="W74:W75"/>
    <mergeCell ref="X74:X75"/>
    <mergeCell ref="R69:T69"/>
    <mergeCell ref="R70:T70"/>
    <mergeCell ref="R71:T71"/>
    <mergeCell ref="R74:T75"/>
    <mergeCell ref="R61:T61"/>
    <mergeCell ref="R62:T62"/>
    <mergeCell ref="R64:Y64"/>
    <mergeCell ref="R67:T68"/>
    <mergeCell ref="U67:U68"/>
    <mergeCell ref="V67:V68"/>
    <mergeCell ref="W67:W68"/>
    <mergeCell ref="X67:X68"/>
    <mergeCell ref="W54:W55"/>
    <mergeCell ref="X54:X55"/>
    <mergeCell ref="R56:T56"/>
    <mergeCell ref="R59:T60"/>
    <mergeCell ref="U59:U60"/>
    <mergeCell ref="V59:V60"/>
    <mergeCell ref="W59:W60"/>
    <mergeCell ref="X59:X60"/>
    <mergeCell ref="R51:T51"/>
    <mergeCell ref="R54:T55"/>
    <mergeCell ref="U54:U55"/>
    <mergeCell ref="V54:V55"/>
    <mergeCell ref="R43:T43"/>
    <mergeCell ref="R44:T44"/>
    <mergeCell ref="R46:Y46"/>
    <mergeCell ref="R49:T50"/>
    <mergeCell ref="U49:U50"/>
    <mergeCell ref="V49:V50"/>
    <mergeCell ref="W49:W50"/>
    <mergeCell ref="X49:X50"/>
    <mergeCell ref="W39:W40"/>
    <mergeCell ref="X39:X40"/>
    <mergeCell ref="R41:T41"/>
    <mergeCell ref="R42:T42"/>
    <mergeCell ref="R36:T36"/>
    <mergeCell ref="R39:T40"/>
    <mergeCell ref="U39:U40"/>
    <mergeCell ref="V39:V40"/>
    <mergeCell ref="X31:X32"/>
    <mergeCell ref="R33:T33"/>
    <mergeCell ref="R34:T34"/>
    <mergeCell ref="R35:T35"/>
    <mergeCell ref="R31:T32"/>
    <mergeCell ref="U31:U32"/>
    <mergeCell ref="V31:V32"/>
    <mergeCell ref="W31:W32"/>
    <mergeCell ref="R24:U24"/>
    <mergeCell ref="R25:U25"/>
    <mergeCell ref="R26:U26"/>
    <mergeCell ref="R28:Y28"/>
    <mergeCell ref="R20:U20"/>
    <mergeCell ref="R21:U21"/>
    <mergeCell ref="R22:U22"/>
    <mergeCell ref="R23:U23"/>
    <mergeCell ref="R14:U14"/>
    <mergeCell ref="R15:U15"/>
    <mergeCell ref="R16:U16"/>
    <mergeCell ref="R19:U19"/>
    <mergeCell ref="R10:U10"/>
    <mergeCell ref="R11:U11"/>
    <mergeCell ref="R12:U12"/>
    <mergeCell ref="R13:U13"/>
    <mergeCell ref="B2:K3"/>
    <mergeCell ref="R2:Y3"/>
    <mergeCell ref="R5:U5"/>
    <mergeCell ref="R7:Y7"/>
    <mergeCell ref="B5:D5"/>
  </mergeCells>
  <phoneticPr fontId="0" type="noConversion"/>
  <conditionalFormatting sqref="U108:X109">
    <cfRule type="cellIs" dxfId="189" priority="1" stopIfTrue="1" operator="equal">
      <formula>"yes"</formula>
    </cfRule>
    <cfRule type="cellIs" dxfId="188" priority="2" stopIfTrue="1" operator="equal">
      <formula>"no"</formula>
    </cfRule>
  </conditionalFormatting>
  <conditionalFormatting sqref="X254:X255 X106:X107 X247:X248 X49:X50 X235:X236 X54:X55 X67:X68 X74:X75 X100:X101 X112:X113 X118:X119 X132:X133 X279:X280 X126:X127 X241:X242 X59:X60 Y286:Y287 S306:S307 X143:X144 X183:X184 X177:X178 X267:X268 X273:X274 Y213:Y214 X83 X90 X156:X157 X150:X151 X198:X199 X162:X163 X167:X168 X172:X173 X188:X189 X193:X194 AB186">
    <cfRule type="cellIs" dxfId="187" priority="3" stopIfTrue="1" operator="equal">
      <formula>$U$31</formula>
    </cfRule>
    <cfRule type="cellIs" dxfId="186" priority="4" stopIfTrue="1" operator="equal">
      <formula>$W$31</formula>
    </cfRule>
    <cfRule type="cellIs" dxfId="185" priority="5" stopIfTrue="1" operator="equal">
      <formula>$Y$31</formula>
    </cfRule>
  </conditionalFormatting>
  <conditionalFormatting sqref="R36 R44">
    <cfRule type="cellIs" dxfId="184" priority="6" stopIfTrue="1" operator="equal">
      <formula>$AI$31</formula>
    </cfRule>
    <cfRule type="cellIs" dxfId="183" priority="7" stopIfTrue="1" operator="equal">
      <formula>$AK$31</formula>
    </cfRule>
    <cfRule type="cellIs" dxfId="182" priority="8" stopIfTrue="1" operator="equal">
      <formula>$AM$31</formula>
    </cfRule>
  </conditionalFormatting>
  <conditionalFormatting sqref="V106:V107 V247:V248 V49:V50 V241:V242 V54:V55 V59:V60 V67:V68 V74:V75 W286:W287 V100:V101 V112:V113 V118:V119 V126:V127 V132:V133 V279:V280 V235:V236 V254:V255 T306:T307 V143:V144 V183:V184 V177:V178 V267:V268 V273:V274 W213:W214 V83 V90 V156:V157 V150:V151 V198:V199 V162:V163 V167:V168 V172:V173 V188:V189 V193:V194 AB184">
    <cfRule type="cellIs" dxfId="181" priority="9" stopIfTrue="1" operator="equal">
      <formula>$R$6</formula>
    </cfRule>
    <cfRule type="cellIs" dxfId="180" priority="10" stopIfTrue="1" operator="equal">
      <formula>$V$33</formula>
    </cfRule>
    <cfRule type="cellIs" dxfId="179" priority="11" stopIfTrue="1" operator="equal">
      <formula>$R$8</formula>
    </cfRule>
  </conditionalFormatting>
  <conditionalFormatting sqref="W106:W107 W126:W127 W247:W248 W49:W50 W241:W242 W54:W55 W59:W60 W67:W68 W74:W75 X286:X287 W100:W101 W112:W113 W118:W119 W132:W133 W279:W280 W235:W236 W254:W255 U306:U307 W143:W144 W183:W184 W177:W178 W267:W268 W273:W274 X213:X214 W83 W90 W156:W157 W150:W151 W198:W199 W162:W163 W167:W168 W172:W173 W188:W189 W193:W194 AB185">
    <cfRule type="cellIs" dxfId="178" priority="12" stopIfTrue="1" operator="equal">
      <formula>$R$6</formula>
    </cfRule>
    <cfRule type="cellIs" dxfId="177" priority="13" stopIfTrue="1" operator="equal">
      <formula>$R$7</formula>
    </cfRule>
    <cfRule type="cellIs" dxfId="176" priority="14" stopIfTrue="1" operator="equal">
      <formula>$W$33</formula>
    </cfRule>
  </conditionalFormatting>
  <conditionalFormatting sqref="R34 R42">
    <cfRule type="cellIs" dxfId="175" priority="15" stopIfTrue="1" operator="equal">
      <formula>$AF$6</formula>
    </cfRule>
    <cfRule type="cellIs" dxfId="174" priority="16" stopIfTrue="1" operator="equal">
      <formula>$AJ$33</formula>
    </cfRule>
    <cfRule type="cellIs" dxfId="173" priority="17" stopIfTrue="1" operator="equal">
      <formula>$AF$8</formula>
    </cfRule>
  </conditionalFormatting>
  <conditionalFormatting sqref="R35 R43">
    <cfRule type="cellIs" dxfId="172" priority="18" stopIfTrue="1" operator="equal">
      <formula>$AF$6</formula>
    </cfRule>
    <cfRule type="cellIs" dxfId="171" priority="19" stopIfTrue="1" operator="equal">
      <formula>$AF$7</formula>
    </cfRule>
    <cfRule type="cellIs" dxfId="170" priority="20" stopIfTrue="1" operator="equal">
      <formula>$AK$33</formula>
    </cfRule>
  </conditionalFormatting>
  <pageMargins left="0" right="0" top="0.59055118110236227" bottom="0.39370078740157483" header="0.51181102362204722" footer="0.51181102362204722"/>
  <pageSetup paperSize="9" scale="96" fitToHeight="6" orientation="portrait" r:id="rId1"/>
  <headerFooter alignWithMargins="0"/>
  <drawing r:id="rId2"/>
  <legacyDrawing r:id="rId3"/>
</worksheet>
</file>

<file path=xl/worksheets/sheet36.xml><?xml version="1.0" encoding="utf-8"?>
<worksheet xmlns="http://schemas.openxmlformats.org/spreadsheetml/2006/main" xmlns:r="http://schemas.openxmlformats.org/officeDocument/2006/relationships">
  <sheetPr codeName="Sheet79">
    <pageSetUpPr fitToPage="1"/>
  </sheetPr>
  <dimension ref="A1:AJ913"/>
  <sheetViews>
    <sheetView showRowColHeaders="0" workbookViewId="0">
      <selection activeCell="B2" sqref="B2:K3"/>
    </sheetView>
  </sheetViews>
  <sheetFormatPr defaultRowHeight="12.75"/>
  <cols>
    <col min="1" max="11" width="11.7109375" style="1" customWidth="1"/>
    <col min="12" max="16" width="10.7109375" style="1" customWidth="1"/>
    <col min="17" max="17" width="4.7109375" style="20" customWidth="1"/>
    <col min="18" max="20" width="10.7109375" style="18" customWidth="1"/>
    <col min="21" max="23" width="11.7109375" style="18" customWidth="1"/>
    <col min="24" max="26" width="10.7109375" style="18" customWidth="1"/>
    <col min="27" max="27" width="10.7109375" style="1" customWidth="1"/>
    <col min="28" max="30" width="8.7109375" style="1" customWidth="1"/>
    <col min="31" max="35" width="13.7109375" style="1" customWidth="1"/>
    <col min="36" max="37" width="10.7109375" style="1" customWidth="1"/>
    <col min="38" max="54" width="10.28515625" style="1" customWidth="1"/>
    <col min="55" max="110" width="10.7109375" style="1" customWidth="1"/>
    <col min="111" max="16384" width="9.140625" style="1"/>
  </cols>
  <sheetData>
    <row r="1" spans="1:27" ht="6" customHeight="1" thickBot="1">
      <c r="A1" s="121"/>
      <c r="B1" s="121"/>
      <c r="C1" s="121"/>
      <c r="D1" s="121"/>
      <c r="E1" s="121"/>
      <c r="F1" s="121"/>
      <c r="G1" s="121"/>
      <c r="H1" s="121"/>
      <c r="I1" s="121"/>
      <c r="J1" s="121"/>
      <c r="K1" s="121"/>
      <c r="L1" s="121"/>
      <c r="M1" s="121"/>
      <c r="N1" s="121"/>
      <c r="O1" s="121"/>
      <c r="P1" s="121"/>
      <c r="Q1" s="360"/>
      <c r="R1" s="361"/>
      <c r="S1" s="361"/>
      <c r="T1" s="361"/>
      <c r="U1" s="361"/>
      <c r="V1" s="361"/>
      <c r="W1" s="361"/>
      <c r="X1" s="361"/>
      <c r="Y1" s="361"/>
      <c r="Z1" s="361"/>
      <c r="AA1" s="362"/>
    </row>
    <row r="2" spans="1:27" ht="12.75" customHeight="1" thickTop="1">
      <c r="A2" s="121"/>
      <c r="B2" s="753" t="s">
        <v>738</v>
      </c>
      <c r="C2" s="754"/>
      <c r="D2" s="754"/>
      <c r="E2" s="754"/>
      <c r="F2" s="754"/>
      <c r="G2" s="754"/>
      <c r="H2" s="754"/>
      <c r="I2" s="754"/>
      <c r="J2" s="754"/>
      <c r="K2" s="755"/>
      <c r="L2" s="121"/>
      <c r="M2" s="121"/>
      <c r="N2" s="121"/>
      <c r="O2" s="121"/>
      <c r="P2" s="121"/>
      <c r="Q2" s="363"/>
      <c r="R2" s="1024" t="s">
        <v>396</v>
      </c>
      <c r="S2" s="1025"/>
      <c r="T2" s="1025"/>
      <c r="U2" s="1025"/>
      <c r="V2" s="1025"/>
      <c r="W2" s="1025"/>
      <c r="X2" s="1025"/>
      <c r="Y2" s="1026"/>
      <c r="Z2" s="362"/>
      <c r="AA2" s="362"/>
    </row>
    <row r="3" spans="1:27" ht="12.75" customHeight="1" thickBot="1">
      <c r="A3" s="121"/>
      <c r="B3" s="756"/>
      <c r="C3" s="757"/>
      <c r="D3" s="757"/>
      <c r="E3" s="757"/>
      <c r="F3" s="757"/>
      <c r="G3" s="757"/>
      <c r="H3" s="757"/>
      <c r="I3" s="757"/>
      <c r="J3" s="757"/>
      <c r="K3" s="758"/>
      <c r="L3" s="121"/>
      <c r="M3" s="121"/>
      <c r="N3" s="121"/>
      <c r="O3" s="121"/>
      <c r="P3" s="121"/>
      <c r="Q3" s="363"/>
      <c r="R3" s="1027"/>
      <c r="S3" s="1028"/>
      <c r="T3" s="1028"/>
      <c r="U3" s="1028"/>
      <c r="V3" s="1028"/>
      <c r="W3" s="1028"/>
      <c r="X3" s="1028"/>
      <c r="Y3" s="1029"/>
      <c r="Z3" s="362"/>
      <c r="AA3" s="362"/>
    </row>
    <row r="4" spans="1:27" ht="12.75" customHeight="1" thickTop="1">
      <c r="A4" s="121"/>
      <c r="B4" s="121"/>
      <c r="C4" s="121"/>
      <c r="D4" s="121"/>
      <c r="E4" s="121"/>
      <c r="F4" s="121"/>
      <c r="G4" s="121"/>
      <c r="H4" s="121"/>
      <c r="I4" s="121"/>
      <c r="J4" s="121"/>
      <c r="K4" s="121"/>
      <c r="L4" s="121"/>
      <c r="M4" s="121"/>
      <c r="N4" s="121"/>
      <c r="O4" s="121"/>
      <c r="P4" s="121"/>
      <c r="Q4" s="363"/>
      <c r="R4" s="361"/>
      <c r="S4" s="361"/>
      <c r="T4" s="361"/>
      <c r="U4" s="361"/>
      <c r="V4" s="361"/>
      <c r="W4" s="361"/>
      <c r="X4" s="361"/>
      <c r="Y4" s="361"/>
      <c r="Z4" s="361"/>
      <c r="AA4" s="362"/>
    </row>
    <row r="5" spans="1:27" ht="12.75" customHeight="1">
      <c r="A5" s="121"/>
      <c r="B5" s="828" t="s">
        <v>581</v>
      </c>
      <c r="C5" s="829"/>
      <c r="D5" s="830"/>
      <c r="E5" s="460">
        <v>450</v>
      </c>
      <c r="F5" s="461">
        <f>+E5</f>
        <v>450</v>
      </c>
      <c r="G5" s="121"/>
      <c r="H5" s="121"/>
      <c r="I5" s="121"/>
      <c r="J5" s="121"/>
      <c r="K5" s="121"/>
      <c r="L5" s="121"/>
      <c r="M5" s="121"/>
      <c r="N5" s="121"/>
      <c r="O5" s="121"/>
      <c r="P5" s="121"/>
      <c r="Q5" s="360"/>
      <c r="R5" s="951" t="s">
        <v>868</v>
      </c>
      <c r="S5" s="951"/>
      <c r="T5" s="951"/>
      <c r="U5" s="951"/>
      <c r="V5" s="447">
        <f>F5</f>
        <v>450</v>
      </c>
      <c r="W5" s="362"/>
      <c r="X5" s="362"/>
      <c r="Y5" s="362"/>
      <c r="Z5" s="362"/>
      <c r="AA5" s="362"/>
    </row>
    <row r="6" spans="1:27" ht="12.75" customHeight="1">
      <c r="A6" s="121"/>
      <c r="B6" s="121"/>
      <c r="C6" s="121"/>
      <c r="D6" s="121"/>
      <c r="E6" s="121"/>
      <c r="F6" s="121"/>
      <c r="G6" s="121"/>
      <c r="H6" s="121"/>
      <c r="I6" s="121"/>
      <c r="J6" s="121"/>
      <c r="K6" s="121"/>
      <c r="L6" s="121"/>
      <c r="M6" s="121"/>
      <c r="N6" s="121"/>
      <c r="O6" s="121"/>
      <c r="P6" s="121"/>
      <c r="Q6" s="360"/>
      <c r="R6" s="362"/>
      <c r="S6" s="362"/>
      <c r="T6" s="362"/>
      <c r="U6" s="362"/>
      <c r="V6" s="361"/>
      <c r="W6" s="361"/>
      <c r="X6" s="361"/>
      <c r="Y6" s="361"/>
      <c r="Z6" s="361"/>
      <c r="AA6" s="362"/>
    </row>
    <row r="7" spans="1:27" ht="12.75" customHeight="1">
      <c r="A7" s="121"/>
      <c r="B7" s="121"/>
      <c r="C7" s="121"/>
      <c r="D7" s="121"/>
      <c r="E7" s="121"/>
      <c r="F7" s="121"/>
      <c r="G7" s="121"/>
      <c r="H7" s="121"/>
      <c r="I7" s="121"/>
      <c r="J7" s="121"/>
      <c r="K7" s="121"/>
      <c r="L7" s="121"/>
      <c r="M7" s="121"/>
      <c r="N7" s="121"/>
      <c r="O7" s="121"/>
      <c r="P7" s="121"/>
      <c r="Q7" s="385">
        <v>1</v>
      </c>
      <c r="R7" s="1008" t="s">
        <v>24</v>
      </c>
      <c r="S7" s="1008"/>
      <c r="T7" s="1008"/>
      <c r="U7" s="1008"/>
      <c r="V7" s="1008"/>
      <c r="W7" s="1008"/>
      <c r="X7" s="1008"/>
      <c r="Y7" s="1008"/>
      <c r="Z7" s="536"/>
      <c r="AA7" s="362"/>
    </row>
    <row r="8" spans="1:27" ht="12.75" customHeight="1">
      <c r="A8" s="121"/>
      <c r="B8" s="121"/>
      <c r="C8" s="121"/>
      <c r="D8" s="121"/>
      <c r="E8" s="121"/>
      <c r="F8" s="121"/>
      <c r="G8" s="121"/>
      <c r="H8" s="121"/>
      <c r="I8" s="121"/>
      <c r="J8" s="121"/>
      <c r="K8" s="121"/>
      <c r="L8" s="121"/>
      <c r="M8" s="121"/>
      <c r="N8" s="121"/>
      <c r="O8" s="121"/>
      <c r="P8" s="121"/>
      <c r="Q8" s="386"/>
      <c r="R8" s="361"/>
      <c r="S8" s="361"/>
      <c r="T8" s="361"/>
      <c r="U8" s="361"/>
      <c r="V8" s="361"/>
      <c r="W8" s="361"/>
      <c r="X8" s="361"/>
      <c r="Y8" s="361"/>
      <c r="Z8" s="361"/>
      <c r="AA8" s="362"/>
    </row>
    <row r="9" spans="1:27" ht="12.75" customHeight="1">
      <c r="A9" s="121"/>
      <c r="B9" s="121"/>
      <c r="C9" s="121"/>
      <c r="D9" s="121"/>
      <c r="E9" s="121"/>
      <c r="F9" s="121"/>
      <c r="G9" s="121"/>
      <c r="H9" s="121"/>
      <c r="I9" s="121"/>
      <c r="J9" s="121"/>
      <c r="K9" s="121"/>
      <c r="L9" s="121"/>
      <c r="M9" s="121"/>
      <c r="N9" s="121"/>
      <c r="O9" s="121"/>
      <c r="P9" s="121"/>
      <c r="Q9" s="360">
        <v>1.1000000000000001</v>
      </c>
      <c r="R9" s="364" t="s">
        <v>586</v>
      </c>
      <c r="S9" s="363"/>
      <c r="T9" s="363"/>
      <c r="U9" s="363"/>
      <c r="V9" s="363"/>
      <c r="W9" s="363"/>
      <c r="X9" s="363"/>
      <c r="Y9" s="363"/>
      <c r="Z9" s="363"/>
      <c r="AA9" s="362"/>
    </row>
    <row r="10" spans="1:27" ht="12.75" customHeight="1">
      <c r="A10" s="121"/>
      <c r="B10" s="121"/>
      <c r="C10" s="121"/>
      <c r="D10" s="121"/>
      <c r="E10" s="121"/>
      <c r="F10" s="121"/>
      <c r="G10" s="121"/>
      <c r="H10" s="121"/>
      <c r="I10" s="121"/>
      <c r="J10" s="121"/>
      <c r="K10" s="121"/>
      <c r="L10" s="121"/>
      <c r="M10" s="121"/>
      <c r="N10" s="121"/>
      <c r="O10" s="121"/>
      <c r="P10" s="121"/>
      <c r="Q10" s="360"/>
      <c r="R10" s="969" t="s">
        <v>25</v>
      </c>
      <c r="S10" s="969"/>
      <c r="T10" s="969"/>
      <c r="U10" s="969"/>
      <c r="V10" s="447">
        <f>'Prod Parameters'!$F$8</f>
        <v>23</v>
      </c>
      <c r="W10" s="363"/>
      <c r="X10" s="363"/>
      <c r="Y10" s="363"/>
      <c r="Z10" s="363"/>
      <c r="AA10" s="362"/>
    </row>
    <row r="11" spans="1:27" ht="12.75" customHeight="1">
      <c r="A11" s="121"/>
      <c r="B11" s="121"/>
      <c r="C11" s="121"/>
      <c r="D11" s="121"/>
      <c r="E11" s="121"/>
      <c r="F11" s="121"/>
      <c r="G11" s="114"/>
      <c r="H11" s="114"/>
      <c r="I11" s="114"/>
      <c r="J11" s="114"/>
      <c r="K11" s="114"/>
      <c r="L11" s="121"/>
      <c r="M11" s="121"/>
      <c r="N11" s="121"/>
      <c r="O11" s="121"/>
      <c r="P11" s="121"/>
      <c r="Q11" s="360"/>
      <c r="R11" s="969" t="s">
        <v>325</v>
      </c>
      <c r="S11" s="969"/>
      <c r="T11" s="969"/>
      <c r="U11" s="969"/>
      <c r="V11" s="447">
        <f>'Prod Parameters'!$F$9</f>
        <v>23</v>
      </c>
      <c r="W11" s="363"/>
      <c r="X11" s="363"/>
      <c r="Y11" s="363"/>
      <c r="Z11" s="363"/>
      <c r="AA11" s="362"/>
    </row>
    <row r="12" spans="1:27" ht="12.75" customHeight="1">
      <c r="A12" s="121"/>
      <c r="B12" s="121"/>
      <c r="C12" s="121"/>
      <c r="D12" s="121"/>
      <c r="E12" s="121"/>
      <c r="F12" s="121"/>
      <c r="G12" s="114"/>
      <c r="H12" s="114"/>
      <c r="I12" s="114"/>
      <c r="J12" s="114"/>
      <c r="K12" s="114"/>
      <c r="L12" s="121"/>
      <c r="M12" s="121"/>
      <c r="N12" s="121"/>
      <c r="O12" s="121"/>
      <c r="P12" s="121"/>
      <c r="Q12" s="360"/>
      <c r="R12" s="1021" t="s">
        <v>26</v>
      </c>
      <c r="S12" s="1022"/>
      <c r="T12" s="1022"/>
      <c r="U12" s="1023"/>
      <c r="V12" s="447">
        <f>'Prod Parameters'!$F$10</f>
        <v>6</v>
      </c>
      <c r="W12" s="363"/>
      <c r="X12" s="363"/>
      <c r="Y12" s="363"/>
      <c r="Z12" s="363"/>
      <c r="AA12" s="362"/>
    </row>
    <row r="13" spans="1:27" ht="12.75" customHeight="1">
      <c r="A13" s="121"/>
      <c r="B13" s="121"/>
      <c r="C13" s="121"/>
      <c r="D13" s="121"/>
      <c r="E13" s="121"/>
      <c r="F13" s="121"/>
      <c r="G13" s="114"/>
      <c r="H13" s="114"/>
      <c r="I13" s="114"/>
      <c r="J13" s="114"/>
      <c r="K13" s="114"/>
      <c r="L13" s="121"/>
      <c r="M13" s="121"/>
      <c r="N13" s="121"/>
      <c r="O13" s="121"/>
      <c r="P13" s="121"/>
      <c r="Q13" s="360"/>
      <c r="R13" s="969" t="s">
        <v>27</v>
      </c>
      <c r="S13" s="969"/>
      <c r="T13" s="969"/>
      <c r="U13" s="969"/>
      <c r="V13" s="447">
        <f>'Prod Parameters'!$F$11</f>
        <v>52</v>
      </c>
      <c r="W13" s="363"/>
      <c r="X13" s="363"/>
      <c r="Y13" s="363"/>
      <c r="Z13" s="363"/>
      <c r="AA13" s="362"/>
    </row>
    <row r="14" spans="1:27" ht="12.75" customHeight="1">
      <c r="A14" s="121"/>
      <c r="B14" s="121"/>
      <c r="C14" s="121"/>
      <c r="D14" s="121"/>
      <c r="E14" s="121"/>
      <c r="F14" s="121"/>
      <c r="G14" s="114"/>
      <c r="H14" s="114"/>
      <c r="I14" s="114"/>
      <c r="J14" s="114"/>
      <c r="K14" s="114"/>
      <c r="L14" s="121"/>
      <c r="M14" s="121"/>
      <c r="N14" s="121"/>
      <c r="O14" s="121"/>
      <c r="P14" s="121"/>
      <c r="Q14" s="360"/>
      <c r="R14" s="969" t="s">
        <v>28</v>
      </c>
      <c r="S14" s="969"/>
      <c r="T14" s="969"/>
      <c r="U14" s="969"/>
      <c r="V14" s="447">
        <f>'Prod Parameters'!$F$12</f>
        <v>260</v>
      </c>
      <c r="W14" s="363"/>
      <c r="X14" s="363"/>
      <c r="Y14" s="363"/>
      <c r="Z14" s="363"/>
      <c r="AA14" s="362"/>
    </row>
    <row r="15" spans="1:27" ht="12.75" customHeight="1">
      <c r="A15" s="121"/>
      <c r="B15" s="121"/>
      <c r="C15" s="121"/>
      <c r="D15" s="121"/>
      <c r="E15" s="121"/>
      <c r="F15" s="121"/>
      <c r="G15" s="114"/>
      <c r="H15" s="114"/>
      <c r="I15" s="114"/>
      <c r="J15" s="114"/>
      <c r="K15" s="114"/>
      <c r="L15" s="121"/>
      <c r="M15" s="121"/>
      <c r="N15" s="121"/>
      <c r="O15" s="121"/>
      <c r="P15" s="121"/>
      <c r="Q15" s="360"/>
      <c r="R15" s="969" t="s">
        <v>29</v>
      </c>
      <c r="S15" s="969"/>
      <c r="T15" s="969"/>
      <c r="U15" s="969"/>
      <c r="V15" s="447">
        <f>'Prod Parameters'!$F$13</f>
        <v>30</v>
      </c>
      <c r="W15" s="363"/>
      <c r="X15" s="363"/>
      <c r="Y15" s="363"/>
      <c r="Z15" s="363"/>
      <c r="AA15" s="362"/>
    </row>
    <row r="16" spans="1:27" ht="12.75" customHeight="1">
      <c r="A16" s="121"/>
      <c r="B16" s="121"/>
      <c r="C16" s="121"/>
      <c r="D16" s="121"/>
      <c r="E16" s="121"/>
      <c r="F16" s="121"/>
      <c r="G16" s="114"/>
      <c r="H16" s="114"/>
      <c r="I16" s="114"/>
      <c r="J16" s="114"/>
      <c r="K16" s="114"/>
      <c r="L16" s="121"/>
      <c r="M16" s="121"/>
      <c r="N16" s="121"/>
      <c r="O16" s="121"/>
      <c r="P16" s="121"/>
      <c r="Q16" s="360"/>
      <c r="R16" s="968" t="s">
        <v>30</v>
      </c>
      <c r="S16" s="968"/>
      <c r="T16" s="968"/>
      <c r="U16" s="968"/>
      <c r="V16" s="447">
        <f>'Prod Parameters'!$F$14</f>
        <v>230</v>
      </c>
      <c r="W16" s="363"/>
      <c r="X16" s="363"/>
      <c r="Y16" s="363"/>
      <c r="Z16" s="363"/>
      <c r="AA16" s="362"/>
    </row>
    <row r="17" spans="1:31" ht="12.75" customHeight="1">
      <c r="A17" s="121"/>
      <c r="B17" s="121"/>
      <c r="C17" s="121"/>
      <c r="D17" s="121"/>
      <c r="E17" s="121"/>
      <c r="F17" s="121"/>
      <c r="G17" s="121"/>
      <c r="H17" s="121"/>
      <c r="I17" s="121"/>
      <c r="J17" s="121"/>
      <c r="K17" s="121"/>
      <c r="L17" s="121"/>
      <c r="M17" s="121"/>
      <c r="N17" s="121"/>
      <c r="O17" s="121"/>
      <c r="P17" s="121"/>
      <c r="Q17" s="360"/>
      <c r="R17" s="363"/>
      <c r="S17" s="363"/>
      <c r="T17" s="363"/>
      <c r="U17" s="363"/>
      <c r="V17" s="363"/>
      <c r="W17" s="363"/>
      <c r="X17" s="363"/>
      <c r="Y17" s="363"/>
      <c r="Z17" s="363"/>
      <c r="AA17" s="367"/>
      <c r="AB17"/>
      <c r="AC17"/>
      <c r="AD17"/>
      <c r="AE17"/>
    </row>
    <row r="18" spans="1:31" ht="12.75" customHeight="1">
      <c r="A18" s="121"/>
      <c r="B18" s="121"/>
      <c r="C18" s="121"/>
      <c r="D18" s="121"/>
      <c r="E18" s="121"/>
      <c r="F18" s="121"/>
      <c r="G18" s="121"/>
      <c r="H18" s="121"/>
      <c r="I18" s="121"/>
      <c r="J18" s="121"/>
      <c r="K18" s="121"/>
      <c r="L18" s="121"/>
      <c r="M18" s="121"/>
      <c r="N18" s="121"/>
      <c r="O18" s="121"/>
      <c r="P18" s="121"/>
      <c r="Q18" s="360">
        <v>1.2</v>
      </c>
      <c r="R18" s="364" t="s">
        <v>19</v>
      </c>
      <c r="S18" s="363"/>
      <c r="T18" s="363"/>
      <c r="U18" s="363"/>
      <c r="V18" s="363"/>
      <c r="W18" s="363"/>
      <c r="X18" s="363"/>
      <c r="Y18" s="363"/>
      <c r="Z18" s="363"/>
      <c r="AA18" s="367"/>
      <c r="AB18"/>
      <c r="AC18"/>
      <c r="AD18"/>
      <c r="AE18"/>
    </row>
    <row r="19" spans="1:31" ht="12.75" customHeight="1">
      <c r="A19" s="121"/>
      <c r="B19" s="121"/>
      <c r="C19" s="121"/>
      <c r="D19" s="121"/>
      <c r="E19" s="121"/>
      <c r="F19" s="121"/>
      <c r="G19" s="121"/>
      <c r="H19" s="121"/>
      <c r="I19" s="121"/>
      <c r="J19" s="121"/>
      <c r="K19" s="121"/>
      <c r="L19" s="121"/>
      <c r="M19" s="121"/>
      <c r="N19" s="121"/>
      <c r="O19" s="121"/>
      <c r="P19" s="121"/>
      <c r="Q19" s="360"/>
      <c r="R19" s="969" t="s">
        <v>314</v>
      </c>
      <c r="S19" s="969"/>
      <c r="T19" s="969"/>
      <c r="U19" s="969"/>
      <c r="V19" s="447">
        <f>'Prod Parameters'!$F$17</f>
        <v>160</v>
      </c>
      <c r="W19" s="363"/>
      <c r="X19" s="363"/>
      <c r="Y19" s="363"/>
      <c r="Z19" s="363"/>
      <c r="AA19" s="367"/>
      <c r="AB19"/>
      <c r="AC19"/>
      <c r="AD19"/>
      <c r="AE19"/>
    </row>
    <row r="20" spans="1:31" ht="12.75" customHeight="1">
      <c r="A20" s="121"/>
      <c r="B20" s="121"/>
      <c r="C20" s="121"/>
      <c r="D20" s="121"/>
      <c r="E20" s="121"/>
      <c r="F20" s="121"/>
      <c r="G20" s="121"/>
      <c r="H20" s="121"/>
      <c r="I20" s="121"/>
      <c r="J20" s="121"/>
      <c r="K20" s="121"/>
      <c r="L20" s="121"/>
      <c r="M20" s="121"/>
      <c r="N20" s="121"/>
      <c r="O20" s="121"/>
      <c r="P20" s="121"/>
      <c r="Q20" s="360"/>
      <c r="R20" s="969" t="s">
        <v>31</v>
      </c>
      <c r="S20" s="969"/>
      <c r="T20" s="969"/>
      <c r="U20" s="969"/>
      <c r="V20" s="447">
        <f>'Prod Parameters'!$F$18</f>
        <v>1.2</v>
      </c>
      <c r="W20" s="363"/>
      <c r="X20" s="363"/>
      <c r="Y20" s="363"/>
      <c r="Z20" s="363"/>
      <c r="AA20" s="367"/>
      <c r="AB20"/>
      <c r="AC20"/>
      <c r="AD20"/>
      <c r="AE20"/>
    </row>
    <row r="21" spans="1:31" ht="12.75" customHeight="1">
      <c r="A21" s="121"/>
      <c r="B21" s="121"/>
      <c r="C21" s="121"/>
      <c r="D21" s="121"/>
      <c r="E21" s="121"/>
      <c r="F21" s="121"/>
      <c r="G21" s="121"/>
      <c r="H21" s="121"/>
      <c r="I21" s="121"/>
      <c r="J21" s="121"/>
      <c r="K21" s="121"/>
      <c r="L21" s="121"/>
      <c r="M21" s="121"/>
      <c r="N21" s="121"/>
      <c r="O21" s="121"/>
      <c r="P21" s="121"/>
      <c r="Q21" s="360"/>
      <c r="R21" s="969" t="s">
        <v>199</v>
      </c>
      <c r="S21" s="969"/>
      <c r="T21" s="969"/>
      <c r="U21" s="969"/>
      <c r="V21" s="447">
        <f>'Prod Parameters'!$F$19</f>
        <v>4</v>
      </c>
      <c r="W21" s="363"/>
      <c r="X21" s="363"/>
      <c r="Y21" s="363"/>
      <c r="Z21" s="363"/>
      <c r="AA21" s="367"/>
      <c r="AB21"/>
      <c r="AC21"/>
      <c r="AD21"/>
      <c r="AE21"/>
    </row>
    <row r="22" spans="1:31" ht="12.75" customHeight="1">
      <c r="A22" s="121"/>
      <c r="B22" s="121"/>
      <c r="C22" s="121"/>
      <c r="D22" s="121"/>
      <c r="E22" s="121"/>
      <c r="F22" s="121"/>
      <c r="G22" s="121"/>
      <c r="H22" s="121"/>
      <c r="I22" s="121"/>
      <c r="J22" s="121"/>
      <c r="K22" s="121"/>
      <c r="L22" s="121"/>
      <c r="M22" s="121"/>
      <c r="N22" s="121"/>
      <c r="O22" s="121"/>
      <c r="P22" s="121"/>
      <c r="Q22" s="360"/>
      <c r="R22" s="969" t="s">
        <v>20</v>
      </c>
      <c r="S22" s="969"/>
      <c r="T22" s="969"/>
      <c r="U22" s="969"/>
      <c r="V22" s="447">
        <f>'Prod Parameters'!$F$20</f>
        <v>40</v>
      </c>
      <c r="W22" s="363"/>
      <c r="X22" s="363"/>
      <c r="Y22" s="363"/>
      <c r="Z22" s="363"/>
      <c r="AA22" s="367"/>
      <c r="AB22"/>
      <c r="AC22"/>
      <c r="AD22"/>
      <c r="AE22"/>
    </row>
    <row r="23" spans="1:31" ht="12.75" customHeight="1">
      <c r="A23" s="121"/>
      <c r="B23" s="121"/>
      <c r="C23" s="121"/>
      <c r="D23" s="121"/>
      <c r="E23" s="121"/>
      <c r="F23" s="121"/>
      <c r="G23" s="121"/>
      <c r="H23" s="121"/>
      <c r="I23" s="121"/>
      <c r="J23" s="121"/>
      <c r="K23" s="121"/>
      <c r="L23" s="121"/>
      <c r="M23" s="121"/>
      <c r="N23" s="121"/>
      <c r="O23" s="121"/>
      <c r="P23" s="121"/>
      <c r="Q23" s="360"/>
      <c r="R23" s="969" t="s">
        <v>310</v>
      </c>
      <c r="S23" s="969"/>
      <c r="T23" s="969"/>
      <c r="U23" s="969"/>
      <c r="V23" s="447">
        <f>'Prod Parameters'!$F$21</f>
        <v>160</v>
      </c>
      <c r="W23" s="363"/>
      <c r="X23" s="363"/>
      <c r="Y23" s="363"/>
      <c r="Z23" s="363"/>
      <c r="AA23" s="367"/>
      <c r="AB23"/>
      <c r="AC23"/>
      <c r="AD23"/>
      <c r="AE23"/>
    </row>
    <row r="24" spans="1:31" ht="12.75" customHeight="1">
      <c r="A24" s="121"/>
      <c r="B24" s="121"/>
      <c r="C24" s="121"/>
      <c r="D24" s="121"/>
      <c r="E24" s="121"/>
      <c r="F24" s="121"/>
      <c r="G24" s="121"/>
      <c r="H24" s="121"/>
      <c r="I24" s="121"/>
      <c r="J24" s="121"/>
      <c r="K24" s="121"/>
      <c r="L24" s="121"/>
      <c r="M24" s="121"/>
      <c r="N24" s="121"/>
      <c r="O24" s="121"/>
      <c r="P24" s="121"/>
      <c r="Q24" s="360"/>
      <c r="R24" s="969" t="s">
        <v>315</v>
      </c>
      <c r="S24" s="969"/>
      <c r="T24" s="969"/>
      <c r="U24" s="969"/>
      <c r="V24" s="549">
        <f>'Prod Parameters'!$F$22</f>
        <v>6400</v>
      </c>
      <c r="W24" s="363"/>
      <c r="X24" s="363"/>
      <c r="Y24" s="363"/>
      <c r="Z24" s="363"/>
      <c r="AA24" s="367"/>
      <c r="AB24"/>
      <c r="AC24"/>
      <c r="AD24"/>
      <c r="AE24"/>
    </row>
    <row r="25" spans="1:31" ht="12.75" customHeight="1">
      <c r="A25" s="121"/>
      <c r="B25" s="121"/>
      <c r="C25" s="121"/>
      <c r="D25" s="121"/>
      <c r="E25" s="121"/>
      <c r="F25" s="121"/>
      <c r="G25" s="121"/>
      <c r="H25" s="121"/>
      <c r="I25" s="121"/>
      <c r="J25" s="121"/>
      <c r="K25" s="121"/>
      <c r="L25" s="121"/>
      <c r="M25" s="121"/>
      <c r="N25" s="121"/>
      <c r="O25" s="121"/>
      <c r="P25" s="121"/>
      <c r="Q25" s="360"/>
      <c r="R25" s="969" t="s">
        <v>187</v>
      </c>
      <c r="S25" s="969"/>
      <c r="T25" s="969"/>
      <c r="U25" s="969"/>
      <c r="V25" s="549">
        <f>'Prod Parameters'!$F$23</f>
        <v>7680</v>
      </c>
      <c r="W25" s="363"/>
      <c r="X25" s="363"/>
      <c r="Y25" s="363"/>
      <c r="Z25" s="363"/>
      <c r="AA25" s="367"/>
      <c r="AB25"/>
      <c r="AC25"/>
      <c r="AD25"/>
      <c r="AE25"/>
    </row>
    <row r="26" spans="1:31" ht="12.75" customHeight="1">
      <c r="A26" s="121"/>
      <c r="B26" s="121"/>
      <c r="C26" s="121"/>
      <c r="D26" s="121"/>
      <c r="E26" s="121"/>
      <c r="F26" s="121"/>
      <c r="G26" s="121"/>
      <c r="H26" s="121"/>
      <c r="I26" s="121"/>
      <c r="J26" s="121"/>
      <c r="K26" s="121"/>
      <c r="L26" s="121"/>
      <c r="M26" s="121"/>
      <c r="N26" s="121"/>
      <c r="O26" s="121"/>
      <c r="P26" s="121"/>
      <c r="Q26" s="360"/>
      <c r="R26" s="969" t="s">
        <v>200</v>
      </c>
      <c r="S26" s="969"/>
      <c r="T26" s="969"/>
      <c r="U26" s="969"/>
      <c r="V26" s="549">
        <f>'Prod Parameters'!$F$24</f>
        <v>176640</v>
      </c>
      <c r="W26" s="363"/>
      <c r="X26" s="363"/>
      <c r="Y26" s="363"/>
      <c r="Z26" s="363"/>
      <c r="AA26" s="367"/>
      <c r="AB26"/>
      <c r="AC26"/>
      <c r="AD26"/>
      <c r="AE26"/>
    </row>
    <row r="27" spans="1:31" ht="12.75" customHeight="1">
      <c r="A27" s="121"/>
      <c r="B27" s="121"/>
      <c r="C27" s="121"/>
      <c r="D27" s="121"/>
      <c r="E27" s="121"/>
      <c r="F27" s="121"/>
      <c r="G27" s="121"/>
      <c r="H27" s="121"/>
      <c r="I27" s="121"/>
      <c r="J27" s="121"/>
      <c r="K27" s="121"/>
      <c r="L27" s="121"/>
      <c r="M27" s="121"/>
      <c r="N27" s="121"/>
      <c r="O27" s="121"/>
      <c r="P27" s="121"/>
      <c r="Q27" s="360"/>
      <c r="R27" s="363"/>
      <c r="S27" s="363"/>
      <c r="T27" s="363"/>
      <c r="U27" s="363"/>
      <c r="V27" s="363"/>
      <c r="W27" s="363"/>
      <c r="X27" s="363"/>
      <c r="Y27" s="363"/>
      <c r="Z27" s="363"/>
      <c r="AA27" s="367"/>
      <c r="AB27"/>
      <c r="AC27"/>
      <c r="AD27"/>
      <c r="AE27"/>
    </row>
    <row r="28" spans="1:31" ht="12.75" customHeight="1">
      <c r="A28" s="121"/>
      <c r="B28" s="121"/>
      <c r="C28" s="121"/>
      <c r="D28" s="121"/>
      <c r="E28" s="121"/>
      <c r="F28" s="121"/>
      <c r="G28" s="121"/>
      <c r="H28" s="121"/>
      <c r="I28" s="121"/>
      <c r="J28" s="121"/>
      <c r="K28" s="121"/>
      <c r="L28" s="121"/>
      <c r="M28" s="121"/>
      <c r="N28" s="121"/>
      <c r="O28" s="121"/>
      <c r="P28" s="121"/>
      <c r="Q28" s="385" t="s">
        <v>33</v>
      </c>
      <c r="R28" s="1008" t="s">
        <v>821</v>
      </c>
      <c r="S28" s="1008"/>
      <c r="T28" s="1008"/>
      <c r="U28" s="1008"/>
      <c r="V28" s="1008"/>
      <c r="W28" s="1008"/>
      <c r="X28" s="1008"/>
      <c r="Y28" s="1008"/>
      <c r="Z28" s="536"/>
      <c r="AA28" s="367"/>
      <c r="AB28"/>
      <c r="AC28"/>
      <c r="AD28"/>
      <c r="AE28"/>
    </row>
    <row r="29" spans="1:31" ht="12.75" customHeight="1">
      <c r="A29" s="121"/>
      <c r="B29" s="121"/>
      <c r="C29" s="121"/>
      <c r="D29" s="121"/>
      <c r="E29" s="121"/>
      <c r="F29" s="121"/>
      <c r="G29" s="121"/>
      <c r="H29" s="121"/>
      <c r="I29" s="121"/>
      <c r="J29" s="121"/>
      <c r="K29" s="121"/>
      <c r="L29" s="121"/>
      <c r="M29" s="121"/>
      <c r="N29" s="121"/>
      <c r="O29" s="121"/>
      <c r="P29" s="121"/>
      <c r="Q29" s="546"/>
      <c r="R29" s="363"/>
      <c r="S29" s="363"/>
      <c r="T29" s="363"/>
      <c r="U29" s="363"/>
      <c r="V29" s="363"/>
      <c r="W29" s="363"/>
      <c r="X29" s="363"/>
      <c r="Y29" s="363"/>
      <c r="Z29" s="363"/>
      <c r="AA29" s="367"/>
      <c r="AB29"/>
      <c r="AC29"/>
      <c r="AD29"/>
      <c r="AE29"/>
    </row>
    <row r="30" spans="1:31" ht="12.75" customHeight="1">
      <c r="A30" s="121"/>
      <c r="B30" s="121"/>
      <c r="C30" s="121"/>
      <c r="D30" s="121"/>
      <c r="E30" s="121"/>
      <c r="F30" s="121"/>
      <c r="G30" s="121"/>
      <c r="H30" s="121"/>
      <c r="I30" s="121"/>
      <c r="J30" s="121"/>
      <c r="K30" s="121"/>
      <c r="L30" s="121"/>
      <c r="M30" s="121"/>
      <c r="N30" s="121"/>
      <c r="O30" s="121"/>
      <c r="P30" s="121"/>
      <c r="Q30" s="546">
        <v>2.1</v>
      </c>
      <c r="R30" s="363" t="s">
        <v>831</v>
      </c>
      <c r="S30" s="363"/>
      <c r="T30" s="363"/>
      <c r="U30" s="550"/>
      <c r="V30" s="550"/>
      <c r="W30" s="550"/>
      <c r="X30" s="550"/>
      <c r="Y30" s="551"/>
      <c r="Z30" s="551"/>
      <c r="AA30" s="367"/>
      <c r="AB30"/>
      <c r="AC30"/>
      <c r="AD30"/>
      <c r="AE30"/>
    </row>
    <row r="31" spans="1:31" ht="12.75" customHeight="1">
      <c r="A31" s="121"/>
      <c r="B31" s="121"/>
      <c r="C31" s="121"/>
      <c r="D31" s="121"/>
      <c r="E31" s="121"/>
      <c r="F31" s="121"/>
      <c r="G31" s="121"/>
      <c r="H31" s="121"/>
      <c r="I31" s="121"/>
      <c r="J31" s="121"/>
      <c r="K31" s="121"/>
      <c r="L31" s="121"/>
      <c r="M31" s="121"/>
      <c r="N31" s="121"/>
      <c r="O31" s="121"/>
      <c r="P31" s="121"/>
      <c r="Q31" s="546"/>
      <c r="R31" s="998" t="s">
        <v>77</v>
      </c>
      <c r="S31" s="999"/>
      <c r="T31" s="1000"/>
      <c r="U31" s="1019" t="s">
        <v>824</v>
      </c>
      <c r="V31" s="1019" t="s">
        <v>828</v>
      </c>
      <c r="W31" s="1019" t="s">
        <v>826</v>
      </c>
      <c r="X31" s="1019" t="s">
        <v>23</v>
      </c>
      <c r="Y31" s="552"/>
      <c r="Z31" s="552"/>
      <c r="AA31" s="367"/>
      <c r="AB31"/>
      <c r="AC31"/>
      <c r="AD31"/>
      <c r="AE31"/>
    </row>
    <row r="32" spans="1:31" ht="12.75" customHeight="1">
      <c r="A32" s="114"/>
      <c r="B32" s="114"/>
      <c r="C32" s="114"/>
      <c r="D32" s="114"/>
      <c r="E32" s="114"/>
      <c r="F32" s="114"/>
      <c r="G32" s="114"/>
      <c r="H32" s="114"/>
      <c r="I32" s="114"/>
      <c r="J32" s="114"/>
      <c r="K32" s="114"/>
      <c r="L32" s="121"/>
      <c r="M32" s="121"/>
      <c r="N32" s="121"/>
      <c r="O32" s="121"/>
      <c r="P32" s="121"/>
      <c r="Q32" s="546"/>
      <c r="R32" s="1001"/>
      <c r="S32" s="1002"/>
      <c r="T32" s="1003"/>
      <c r="U32" s="1019"/>
      <c r="V32" s="1019"/>
      <c r="W32" s="1019"/>
      <c r="X32" s="1019"/>
      <c r="Y32" s="364"/>
      <c r="Z32" s="364"/>
      <c r="AA32" s="367"/>
      <c r="AB32"/>
      <c r="AC32"/>
      <c r="AD32"/>
      <c r="AE32"/>
    </row>
    <row r="33" spans="1:31" ht="12.75" customHeight="1">
      <c r="A33" s="121"/>
      <c r="B33" s="121"/>
      <c r="C33" s="121"/>
      <c r="D33" s="121"/>
      <c r="E33" s="121"/>
      <c r="F33" s="121"/>
      <c r="G33" s="121"/>
      <c r="H33" s="121"/>
      <c r="I33" s="121"/>
      <c r="J33" s="121"/>
      <c r="K33" s="121"/>
      <c r="L33" s="121"/>
      <c r="M33" s="121"/>
      <c r="N33" s="121"/>
      <c r="O33" s="121"/>
      <c r="P33" s="121"/>
      <c r="Q33" s="546"/>
      <c r="R33" s="1020" t="s">
        <v>500</v>
      </c>
      <c r="S33" s="1020"/>
      <c r="T33" s="1020"/>
      <c r="U33" s="369">
        <v>23.9</v>
      </c>
      <c r="V33" s="369">
        <f>'Lookup Properties'!$C$7</f>
        <v>15.4</v>
      </c>
      <c r="W33" s="369">
        <f>'Lookup Properties'!$D$7</f>
        <v>4.8</v>
      </c>
      <c r="X33" s="553">
        <f>SUM(U33:W33)</f>
        <v>44.099999999999994</v>
      </c>
      <c r="Y33" s="364"/>
      <c r="Z33" s="364"/>
      <c r="AA33" s="367"/>
      <c r="AB33"/>
      <c r="AC33"/>
      <c r="AD33"/>
      <c r="AE33"/>
    </row>
    <row r="34" spans="1:31" ht="12.75" customHeight="1">
      <c r="A34" s="121"/>
      <c r="B34" s="121"/>
      <c r="C34" s="121"/>
      <c r="D34" s="121"/>
      <c r="E34" s="121"/>
      <c r="F34" s="121"/>
      <c r="G34" s="121"/>
      <c r="H34" s="121"/>
      <c r="I34" s="121"/>
      <c r="J34" s="121"/>
      <c r="K34" s="121"/>
      <c r="L34" s="121"/>
      <c r="M34" s="121"/>
      <c r="N34" s="121"/>
      <c r="O34" s="121"/>
      <c r="P34" s="121"/>
      <c r="Q34" s="546"/>
      <c r="R34" s="1017" t="s">
        <v>22</v>
      </c>
      <c r="S34" s="1017"/>
      <c r="T34" s="1017"/>
      <c r="U34" s="369">
        <f>'Lookup Properties'!$B$5</f>
        <v>22.35</v>
      </c>
      <c r="V34" s="369">
        <f>'Lookup Properties'!$C$5</f>
        <v>17.399999999999999</v>
      </c>
      <c r="W34" s="369">
        <f>'Lookup Properties'!$D$5</f>
        <v>5</v>
      </c>
      <c r="X34" s="553">
        <f>SUM(U34:W34)</f>
        <v>44.75</v>
      </c>
      <c r="Y34" s="364"/>
      <c r="Z34" s="364"/>
      <c r="AA34" s="367"/>
      <c r="AB34"/>
      <c r="AC34"/>
      <c r="AD34"/>
      <c r="AE34"/>
    </row>
    <row r="35" spans="1:31" ht="12.75" customHeight="1">
      <c r="A35" s="121"/>
      <c r="B35" s="121"/>
      <c r="C35" s="121"/>
      <c r="D35" s="121"/>
      <c r="E35" s="121"/>
      <c r="F35" s="121"/>
      <c r="G35" s="121"/>
      <c r="H35" s="121"/>
      <c r="I35" s="121"/>
      <c r="J35" s="121"/>
      <c r="K35" s="121"/>
      <c r="L35" s="121"/>
      <c r="M35" s="121"/>
      <c r="N35" s="121"/>
      <c r="O35" s="121"/>
      <c r="P35" s="121"/>
      <c r="Q35" s="546"/>
      <c r="R35" s="1018" t="s">
        <v>579</v>
      </c>
      <c r="S35" s="1018"/>
      <c r="T35" s="1018"/>
      <c r="U35" s="369">
        <f>'Lookup Properties'!$B$6</f>
        <v>22.15</v>
      </c>
      <c r="V35" s="369">
        <f>'Lookup Properties'!$C$6</f>
        <v>18.149999999999999</v>
      </c>
      <c r="W35" s="369">
        <f>'Lookup Properties'!$D$6</f>
        <v>5</v>
      </c>
      <c r="X35" s="553">
        <f>SUM(U35:W35)</f>
        <v>45.3</v>
      </c>
      <c r="Y35" s="364"/>
      <c r="Z35" s="364"/>
      <c r="AA35" s="367"/>
      <c r="AB35"/>
      <c r="AC35"/>
      <c r="AD35"/>
      <c r="AE35"/>
    </row>
    <row r="36" spans="1:31" ht="12.75" customHeight="1">
      <c r="A36" s="121"/>
      <c r="B36" s="121"/>
      <c r="C36" s="121"/>
      <c r="D36" s="121"/>
      <c r="E36" s="121"/>
      <c r="F36" s="121"/>
      <c r="G36" s="121"/>
      <c r="H36" s="121"/>
      <c r="I36" s="121"/>
      <c r="J36" s="121"/>
      <c r="K36" s="121"/>
      <c r="L36" s="121"/>
      <c r="M36" s="121"/>
      <c r="N36" s="121"/>
      <c r="O36" s="121"/>
      <c r="P36" s="121"/>
      <c r="Q36" s="546"/>
      <c r="R36" s="1016" t="s">
        <v>21</v>
      </c>
      <c r="S36" s="1016"/>
      <c r="T36" s="1016"/>
      <c r="U36" s="369">
        <f>'Lookup Properties'!$B$4</f>
        <v>21.25</v>
      </c>
      <c r="V36" s="369">
        <f>'Lookup Properties'!$C$4</f>
        <v>17.399999999999999</v>
      </c>
      <c r="W36" s="369">
        <f>'Lookup Properties'!$D$4</f>
        <v>5</v>
      </c>
      <c r="X36" s="553">
        <f>SUM(U36:W36)</f>
        <v>43.65</v>
      </c>
      <c r="Y36" s="364"/>
      <c r="Z36" s="364"/>
      <c r="AA36" s="367"/>
      <c r="AB36"/>
      <c r="AC36"/>
      <c r="AD36"/>
      <c r="AE36"/>
    </row>
    <row r="37" spans="1:31" ht="12.75" customHeight="1">
      <c r="A37" s="121"/>
      <c r="B37" s="121"/>
      <c r="C37" s="121"/>
      <c r="D37" s="121"/>
      <c r="E37" s="121"/>
      <c r="F37" s="121"/>
      <c r="G37" s="121"/>
      <c r="H37" s="121"/>
      <c r="I37" s="121"/>
      <c r="J37" s="121"/>
      <c r="K37" s="121"/>
      <c r="L37" s="121"/>
      <c r="M37" s="121"/>
      <c r="N37" s="121"/>
      <c r="O37" s="121"/>
      <c r="P37" s="121"/>
      <c r="Q37" s="364"/>
      <c r="R37" s="364"/>
      <c r="S37" s="364"/>
      <c r="T37" s="364"/>
      <c r="U37" s="555"/>
      <c r="V37" s="555"/>
      <c r="W37" s="555"/>
      <c r="X37" s="555"/>
      <c r="Y37" s="555"/>
      <c r="Z37" s="364"/>
      <c r="AA37" s="367"/>
      <c r="AB37"/>
      <c r="AC37"/>
      <c r="AD37"/>
      <c r="AE37"/>
    </row>
    <row r="38" spans="1:31" ht="12.75" customHeight="1">
      <c r="A38" s="121"/>
      <c r="B38" s="121"/>
      <c r="C38" s="121"/>
      <c r="D38" s="121"/>
      <c r="E38" s="121"/>
      <c r="F38" s="121"/>
      <c r="G38" s="121"/>
      <c r="H38" s="121"/>
      <c r="I38" s="121"/>
      <c r="J38" s="121"/>
      <c r="K38" s="121"/>
      <c r="L38" s="121"/>
      <c r="M38" s="121"/>
      <c r="N38" s="121"/>
      <c r="O38" s="121"/>
      <c r="P38" s="121"/>
      <c r="Q38" s="360">
        <v>2.2000000000000002</v>
      </c>
      <c r="R38" s="363" t="s">
        <v>832</v>
      </c>
      <c r="S38" s="363"/>
      <c r="T38" s="363"/>
      <c r="U38" s="363"/>
      <c r="V38" s="363"/>
      <c r="W38" s="363"/>
      <c r="X38" s="363"/>
      <c r="Y38" s="363"/>
      <c r="Z38" s="364"/>
      <c r="AA38" s="367"/>
      <c r="AB38"/>
      <c r="AC38"/>
      <c r="AD38"/>
      <c r="AE38"/>
    </row>
    <row r="39" spans="1:31" ht="12.75" customHeight="1">
      <c r="A39" s="121"/>
      <c r="B39" s="121"/>
      <c r="C39" s="121"/>
      <c r="D39" s="121"/>
      <c r="E39" s="121"/>
      <c r="F39" s="121"/>
      <c r="G39" s="121"/>
      <c r="H39" s="121"/>
      <c r="I39" s="121"/>
      <c r="J39" s="121"/>
      <c r="K39" s="121"/>
      <c r="L39" s="121"/>
      <c r="M39" s="121"/>
      <c r="N39" s="121"/>
      <c r="O39" s="121"/>
      <c r="P39" s="121"/>
      <c r="Q39" s="360"/>
      <c r="R39" s="998" t="s">
        <v>77</v>
      </c>
      <c r="S39" s="999"/>
      <c r="T39" s="1000"/>
      <c r="U39" s="1019" t="s">
        <v>824</v>
      </c>
      <c r="V39" s="1019" t="s">
        <v>828</v>
      </c>
      <c r="W39" s="1019" t="s">
        <v>826</v>
      </c>
      <c r="X39" s="1019" t="s">
        <v>23</v>
      </c>
      <c r="Y39" s="364"/>
      <c r="Z39" s="364"/>
      <c r="AA39" s="367"/>
      <c r="AB39"/>
      <c r="AC39"/>
      <c r="AD39"/>
      <c r="AE39"/>
    </row>
    <row r="40" spans="1:31" ht="12.75" customHeight="1">
      <c r="A40" s="121"/>
      <c r="B40" s="121"/>
      <c r="C40" s="121"/>
      <c r="D40" s="121"/>
      <c r="E40" s="121"/>
      <c r="F40" s="121"/>
      <c r="G40" s="121"/>
      <c r="H40" s="121"/>
      <c r="I40" s="121"/>
      <c r="J40" s="121"/>
      <c r="K40" s="121"/>
      <c r="L40" s="121"/>
      <c r="M40" s="121"/>
      <c r="N40" s="121"/>
      <c r="O40" s="121"/>
      <c r="P40" s="121"/>
      <c r="Q40" s="360"/>
      <c r="R40" s="1001"/>
      <c r="S40" s="1002"/>
      <c r="T40" s="1003"/>
      <c r="U40" s="1019"/>
      <c r="V40" s="1019"/>
      <c r="W40" s="1019"/>
      <c r="X40" s="1019"/>
      <c r="Y40" s="364"/>
      <c r="Z40" s="364"/>
      <c r="AA40" s="367"/>
      <c r="AB40"/>
      <c r="AC40"/>
      <c r="AD40"/>
      <c r="AE40"/>
    </row>
    <row r="41" spans="1:31" ht="12.75" customHeight="1">
      <c r="A41" s="121"/>
      <c r="B41" s="121"/>
      <c r="C41" s="121"/>
      <c r="D41" s="121"/>
      <c r="E41" s="121"/>
      <c r="F41" s="121"/>
      <c r="G41" s="121"/>
      <c r="H41" s="121"/>
      <c r="I41" s="121"/>
      <c r="J41" s="121"/>
      <c r="K41" s="121"/>
      <c r="L41" s="121"/>
      <c r="M41" s="121"/>
      <c r="N41" s="121"/>
      <c r="O41" s="121"/>
      <c r="P41" s="121"/>
      <c r="Q41" s="360"/>
      <c r="R41" s="1020" t="s">
        <v>500</v>
      </c>
      <c r="S41" s="1020"/>
      <c r="T41" s="1020"/>
      <c r="U41" s="556">
        <f>'Lookup Properties'!$B$13</f>
        <v>0.74</v>
      </c>
      <c r="V41" s="556">
        <f>'Lookup Properties'!$C$13</f>
        <v>0.78</v>
      </c>
      <c r="W41" s="556">
        <f>'Lookup Properties'!$D$13</f>
        <v>1.26</v>
      </c>
      <c r="X41" s="553">
        <f>SUM(U41:W41)</f>
        <v>2.7800000000000002</v>
      </c>
      <c r="Y41" s="364"/>
      <c r="Z41" s="364"/>
      <c r="AA41" s="367"/>
      <c r="AB41"/>
      <c r="AC41"/>
      <c r="AD41"/>
      <c r="AE41"/>
    </row>
    <row r="42" spans="1:31" ht="12.75" customHeight="1">
      <c r="A42" s="121"/>
      <c r="B42" s="121"/>
      <c r="C42" s="121"/>
      <c r="D42" s="121"/>
      <c r="E42" s="121"/>
      <c r="F42" s="121"/>
      <c r="G42" s="121"/>
      <c r="H42" s="121"/>
      <c r="I42" s="121"/>
      <c r="J42" s="121"/>
      <c r="K42" s="121"/>
      <c r="L42" s="121"/>
      <c r="M42" s="121"/>
      <c r="N42" s="121"/>
      <c r="O42" s="121"/>
      <c r="P42" s="121"/>
      <c r="Q42" s="360"/>
      <c r="R42" s="1017" t="s">
        <v>22</v>
      </c>
      <c r="S42" s="1017"/>
      <c r="T42" s="1017"/>
      <c r="U42" s="557">
        <f>'Lookup Properties'!$B$11</f>
        <v>0.71499999999999997</v>
      </c>
      <c r="V42" s="557">
        <f>'Lookup Properties'!$C$11</f>
        <v>1.03</v>
      </c>
      <c r="W42" s="557">
        <f>'Lookup Properties'!$D$11</f>
        <v>1.29</v>
      </c>
      <c r="X42" s="553">
        <f>SUM(U42:W42)</f>
        <v>3.0350000000000001</v>
      </c>
      <c r="Y42" s="364"/>
      <c r="Z42" s="364"/>
      <c r="AA42" s="367"/>
      <c r="AB42"/>
      <c r="AC42"/>
      <c r="AD42"/>
      <c r="AE42"/>
    </row>
    <row r="43" spans="1:31" ht="12.75" customHeight="1">
      <c r="A43" s="121"/>
      <c r="B43" s="121"/>
      <c r="C43" s="121"/>
      <c r="D43" s="121"/>
      <c r="E43" s="121"/>
      <c r="F43" s="121"/>
      <c r="G43" s="121"/>
      <c r="H43" s="121"/>
      <c r="I43" s="121"/>
      <c r="J43" s="121"/>
      <c r="K43" s="121"/>
      <c r="L43" s="121"/>
      <c r="M43" s="121"/>
      <c r="N43" s="121"/>
      <c r="O43" s="121"/>
      <c r="P43" s="121"/>
      <c r="Q43" s="360"/>
      <c r="R43" s="1018" t="s">
        <v>579</v>
      </c>
      <c r="S43" s="1018"/>
      <c r="T43" s="1018"/>
      <c r="U43" s="557">
        <f>'Lookup Properties'!$B$12</f>
        <v>0.755</v>
      </c>
      <c r="V43" s="557">
        <f>'Lookup Properties'!$C$12</f>
        <v>1.07</v>
      </c>
      <c r="W43" s="557">
        <f>'Lookup Properties'!$D$12</f>
        <v>1.2949999999999999</v>
      </c>
      <c r="X43" s="553">
        <f>SUM(U43:W43)</f>
        <v>3.12</v>
      </c>
      <c r="Y43" s="364"/>
      <c r="Z43" s="364"/>
      <c r="AA43" s="367"/>
      <c r="AB43"/>
      <c r="AC43"/>
      <c r="AD43"/>
      <c r="AE43"/>
    </row>
    <row r="44" spans="1:31" ht="12.75" customHeight="1">
      <c r="A44" s="121"/>
      <c r="B44" s="121"/>
      <c r="C44" s="121"/>
      <c r="D44" s="121"/>
      <c r="E44" s="121"/>
      <c r="F44" s="121"/>
      <c r="G44" s="121"/>
      <c r="H44" s="121"/>
      <c r="I44" s="121"/>
      <c r="J44" s="121"/>
      <c r="K44" s="121"/>
      <c r="L44" s="121"/>
      <c r="M44" s="121"/>
      <c r="N44" s="121"/>
      <c r="O44" s="121"/>
      <c r="P44" s="121"/>
      <c r="Q44" s="360"/>
      <c r="R44" s="1016" t="s">
        <v>21</v>
      </c>
      <c r="S44" s="1016"/>
      <c r="T44" s="1016"/>
      <c r="U44" s="557">
        <f>'Lookup Properties'!$B$10</f>
        <v>0.71</v>
      </c>
      <c r="V44" s="557">
        <f>'Lookup Properties'!$C$10</f>
        <v>1.03</v>
      </c>
      <c r="W44" s="557">
        <f>'Lookup Properties'!$D$10</f>
        <v>1.29</v>
      </c>
      <c r="X44" s="553">
        <f>SUM(U44:W44)</f>
        <v>3.0300000000000002</v>
      </c>
      <c r="Y44" s="364"/>
      <c r="Z44" s="364"/>
      <c r="AA44" s="367"/>
      <c r="AB44"/>
      <c r="AC44"/>
      <c r="AD44"/>
      <c r="AE44"/>
    </row>
    <row r="45" spans="1:31" ht="12.75" customHeight="1">
      <c r="A45" s="121"/>
      <c r="B45" s="121"/>
      <c r="C45" s="121"/>
      <c r="D45" s="121"/>
      <c r="E45" s="121"/>
      <c r="F45" s="121"/>
      <c r="G45" s="121"/>
      <c r="H45" s="121"/>
      <c r="I45" s="121"/>
      <c r="J45" s="121"/>
      <c r="K45" s="121"/>
      <c r="L45" s="121"/>
      <c r="M45" s="121"/>
      <c r="N45" s="121"/>
      <c r="O45" s="121"/>
      <c r="P45" s="121"/>
      <c r="Q45" s="364"/>
      <c r="R45" s="364"/>
      <c r="S45" s="364"/>
      <c r="T45" s="364"/>
      <c r="U45" s="555"/>
      <c r="V45" s="555"/>
      <c r="W45" s="555"/>
      <c r="X45" s="555"/>
      <c r="Y45" s="555"/>
      <c r="Z45" s="364"/>
      <c r="AA45" s="367"/>
      <c r="AB45"/>
      <c r="AC45"/>
      <c r="AD45"/>
      <c r="AE45"/>
    </row>
    <row r="46" spans="1:31" ht="12.75" customHeight="1">
      <c r="A46" s="121"/>
      <c r="B46" s="121"/>
      <c r="C46" s="121"/>
      <c r="D46" s="121"/>
      <c r="E46" s="121"/>
      <c r="F46" s="121"/>
      <c r="G46" s="121"/>
      <c r="H46" s="121"/>
      <c r="I46" s="121"/>
      <c r="J46" s="121"/>
      <c r="K46" s="121"/>
      <c r="L46" s="121"/>
      <c r="M46" s="121"/>
      <c r="N46" s="121"/>
      <c r="O46" s="121"/>
      <c r="P46" s="121"/>
      <c r="Q46" s="387" t="s">
        <v>817</v>
      </c>
      <c r="R46" s="1015" t="s">
        <v>206</v>
      </c>
      <c r="S46" s="1015"/>
      <c r="T46" s="1015"/>
      <c r="U46" s="1015"/>
      <c r="V46" s="1015"/>
      <c r="W46" s="1015"/>
      <c r="X46" s="1015"/>
      <c r="Y46" s="1015"/>
      <c r="Z46" s="536"/>
      <c r="AA46" s="367"/>
      <c r="AB46"/>
      <c r="AC46"/>
      <c r="AD46"/>
      <c r="AE46"/>
    </row>
    <row r="47" spans="1:31" ht="12.75" customHeight="1">
      <c r="A47" s="121"/>
      <c r="B47" s="121"/>
      <c r="C47" s="121"/>
      <c r="D47" s="121"/>
      <c r="E47" s="121"/>
      <c r="F47" s="121"/>
      <c r="G47" s="121"/>
      <c r="H47" s="121"/>
      <c r="I47" s="121"/>
      <c r="J47" s="121"/>
      <c r="K47" s="121"/>
      <c r="L47" s="121"/>
      <c r="M47" s="121"/>
      <c r="N47" s="121"/>
      <c r="O47" s="121"/>
      <c r="P47" s="121"/>
      <c r="Q47" s="668"/>
      <c r="R47" s="364"/>
      <c r="S47" s="364"/>
      <c r="T47" s="364"/>
      <c r="U47" s="555"/>
      <c r="V47" s="555"/>
      <c r="W47" s="555"/>
      <c r="X47" s="555"/>
      <c r="Y47" s="555"/>
      <c r="Z47" s="364"/>
      <c r="AA47" s="367"/>
      <c r="AB47"/>
      <c r="AC47"/>
      <c r="AD47"/>
      <c r="AE47"/>
    </row>
    <row r="48" spans="1:31" ht="12.75" customHeight="1">
      <c r="A48" s="121"/>
      <c r="B48" s="121"/>
      <c r="C48" s="121"/>
      <c r="D48" s="121"/>
      <c r="E48" s="121"/>
      <c r="F48" s="121"/>
      <c r="G48" s="121"/>
      <c r="H48" s="121"/>
      <c r="I48" s="121"/>
      <c r="J48" s="121"/>
      <c r="K48" s="121"/>
      <c r="L48" s="121"/>
      <c r="M48" s="121"/>
      <c r="N48" s="121"/>
      <c r="O48" s="121"/>
      <c r="P48" s="121"/>
      <c r="Q48" s="668" t="s">
        <v>196</v>
      </c>
      <c r="R48" s="364" t="s">
        <v>207</v>
      </c>
      <c r="S48" s="364"/>
      <c r="T48" s="364"/>
      <c r="U48" s="555"/>
      <c r="V48" s="555"/>
      <c r="W48" s="555"/>
      <c r="X48" s="555"/>
      <c r="Y48" s="555"/>
      <c r="Z48" s="364"/>
      <c r="AA48" s="367"/>
      <c r="AB48"/>
      <c r="AC48"/>
      <c r="AD48"/>
      <c r="AE48"/>
    </row>
    <row r="49" spans="1:35" ht="12.75" customHeight="1">
      <c r="A49" s="121"/>
      <c r="B49" s="121"/>
      <c r="C49" s="121"/>
      <c r="D49" s="121"/>
      <c r="E49" s="121"/>
      <c r="F49" s="121"/>
      <c r="G49" s="121"/>
      <c r="H49" s="121"/>
      <c r="I49" s="121"/>
      <c r="J49" s="121"/>
      <c r="K49" s="121"/>
      <c r="L49" s="121"/>
      <c r="M49" s="121"/>
      <c r="N49" s="121"/>
      <c r="O49" s="121"/>
      <c r="P49" s="121"/>
      <c r="Q49" s="364"/>
      <c r="R49" s="962" t="s">
        <v>678</v>
      </c>
      <c r="S49" s="963"/>
      <c r="T49" s="964"/>
      <c r="U49" s="949" t="s">
        <v>500</v>
      </c>
      <c r="V49" s="938" t="s">
        <v>22</v>
      </c>
      <c r="W49" s="940" t="s">
        <v>579</v>
      </c>
      <c r="X49" s="942" t="s">
        <v>21</v>
      </c>
      <c r="Y49" s="361"/>
      <c r="Z49" s="364"/>
      <c r="AA49" s="367"/>
      <c r="AB49"/>
      <c r="AC49"/>
      <c r="AD49"/>
      <c r="AE49"/>
    </row>
    <row r="50" spans="1:35" ht="12.75" customHeight="1">
      <c r="A50" s="121"/>
      <c r="B50" s="121"/>
      <c r="C50" s="121"/>
      <c r="D50" s="121"/>
      <c r="E50" s="121"/>
      <c r="F50" s="121"/>
      <c r="G50" s="121"/>
      <c r="H50" s="121"/>
      <c r="I50" s="121"/>
      <c r="J50" s="121"/>
      <c r="K50" s="121"/>
      <c r="L50" s="121"/>
      <c r="M50" s="121"/>
      <c r="N50" s="121"/>
      <c r="O50" s="121"/>
      <c r="P50" s="121"/>
      <c r="Q50" s="364"/>
      <c r="R50" s="965"/>
      <c r="S50" s="966"/>
      <c r="T50" s="967"/>
      <c r="U50" s="950"/>
      <c r="V50" s="939"/>
      <c r="W50" s="941"/>
      <c r="X50" s="943"/>
      <c r="Y50" s="361"/>
      <c r="Z50" s="364"/>
      <c r="AA50" s="367"/>
      <c r="AB50"/>
      <c r="AC50"/>
      <c r="AD50"/>
      <c r="AE50"/>
    </row>
    <row r="51" spans="1:35" ht="12.75" customHeight="1">
      <c r="A51" s="121"/>
      <c r="B51" s="121"/>
      <c r="C51" s="121"/>
      <c r="D51" s="121"/>
      <c r="E51" s="121"/>
      <c r="F51" s="121"/>
      <c r="G51" s="121"/>
      <c r="H51" s="121"/>
      <c r="I51" s="121"/>
      <c r="J51" s="121"/>
      <c r="K51" s="121"/>
      <c r="L51" s="121"/>
      <c r="M51" s="121"/>
      <c r="N51" s="121"/>
      <c r="O51" s="121"/>
      <c r="P51" s="121"/>
      <c r="Q51" s="364"/>
      <c r="R51" s="969" t="s">
        <v>210</v>
      </c>
      <c r="S51" s="969"/>
      <c r="T51" s="969"/>
      <c r="U51" s="560">
        <v>0.3</v>
      </c>
      <c r="V51" s="537">
        <f>VLOOKUP($V$5,'Lookup Penetration Rate'!$B$8:$E$208,3)</f>
        <v>0.4</v>
      </c>
      <c r="W51" s="537">
        <f>VLOOKUP($V$5,'Lookup Penetration Rate'!$B$8:$E$208,4)</f>
        <v>0.46</v>
      </c>
      <c r="X51" s="537">
        <f>VLOOKUP($V$5,'Lookup Penetration Rate'!$B$8:$E$208,2)</f>
        <v>0.56000000000000005</v>
      </c>
      <c r="Y51" s="361"/>
      <c r="Z51" s="364"/>
      <c r="AA51" s="367"/>
      <c r="AB51"/>
      <c r="AC51"/>
      <c r="AD51"/>
      <c r="AE51"/>
    </row>
    <row r="52" spans="1:35" ht="12.75" customHeight="1">
      <c r="A52" s="121"/>
      <c r="B52" s="121"/>
      <c r="C52" s="121"/>
      <c r="D52" s="121"/>
      <c r="E52" s="121"/>
      <c r="F52" s="121"/>
      <c r="G52" s="121"/>
      <c r="H52" s="121"/>
      <c r="I52" s="121"/>
      <c r="J52" s="121"/>
      <c r="K52" s="121"/>
      <c r="L52" s="121"/>
      <c r="M52" s="121"/>
      <c r="N52" s="121"/>
      <c r="O52" s="121"/>
      <c r="P52" s="121"/>
      <c r="Q52" s="364"/>
      <c r="R52" s="364"/>
      <c r="S52" s="364"/>
      <c r="T52" s="364"/>
      <c r="U52" s="555"/>
      <c r="V52" s="555"/>
      <c r="W52" s="555"/>
      <c r="X52" s="555"/>
      <c r="Y52" s="555"/>
      <c r="Z52" s="364"/>
      <c r="AA52" s="367"/>
      <c r="AB52"/>
      <c r="AC52"/>
      <c r="AD52"/>
      <c r="AE52"/>
    </row>
    <row r="53" spans="1:35" ht="12.75" customHeight="1">
      <c r="A53" s="121"/>
      <c r="B53" s="121"/>
      <c r="C53" s="121"/>
      <c r="D53" s="121"/>
      <c r="E53" s="121"/>
      <c r="F53" s="121"/>
      <c r="G53" s="121"/>
      <c r="H53" s="121"/>
      <c r="I53" s="121"/>
      <c r="J53" s="121"/>
      <c r="K53" s="121"/>
      <c r="L53" s="121"/>
      <c r="M53" s="121"/>
      <c r="N53" s="121"/>
      <c r="O53" s="121"/>
      <c r="P53" s="121"/>
      <c r="Q53" s="668" t="s">
        <v>197</v>
      </c>
      <c r="R53" s="364" t="s">
        <v>208</v>
      </c>
      <c r="S53" s="364"/>
      <c r="T53" s="364"/>
      <c r="U53" s="555"/>
      <c r="V53" s="555"/>
      <c r="W53" s="555"/>
      <c r="X53" s="555"/>
      <c r="Y53" s="555"/>
      <c r="Z53" s="364"/>
      <c r="AA53" s="367"/>
      <c r="AB53"/>
      <c r="AC53"/>
      <c r="AD53"/>
      <c r="AE53"/>
    </row>
    <row r="54" spans="1:35" ht="12.75" customHeight="1">
      <c r="A54" s="121"/>
      <c r="B54" s="121"/>
      <c r="C54" s="121"/>
      <c r="D54" s="121"/>
      <c r="E54" s="121"/>
      <c r="F54" s="121"/>
      <c r="G54" s="121"/>
      <c r="H54" s="121"/>
      <c r="I54" s="121"/>
      <c r="J54" s="121"/>
      <c r="K54" s="121"/>
      <c r="L54" s="121"/>
      <c r="M54" s="121"/>
      <c r="N54" s="121"/>
      <c r="O54" s="121"/>
      <c r="P54" s="121"/>
      <c r="Q54" s="668"/>
      <c r="R54" s="962" t="s">
        <v>678</v>
      </c>
      <c r="S54" s="963"/>
      <c r="T54" s="964"/>
      <c r="U54" s="949" t="s">
        <v>500</v>
      </c>
      <c r="V54" s="938" t="s">
        <v>22</v>
      </c>
      <c r="W54" s="940" t="s">
        <v>579</v>
      </c>
      <c r="X54" s="942" t="s">
        <v>21</v>
      </c>
      <c r="Y54" s="361"/>
      <c r="Z54" s="364"/>
      <c r="AA54" s="367"/>
      <c r="AB54"/>
      <c r="AC54"/>
      <c r="AD54"/>
      <c r="AE54"/>
    </row>
    <row r="55" spans="1:35" ht="12.75" customHeight="1">
      <c r="A55" s="121"/>
      <c r="B55" s="121"/>
      <c r="C55" s="121"/>
      <c r="D55" s="121"/>
      <c r="E55" s="121"/>
      <c r="F55" s="121"/>
      <c r="G55" s="121"/>
      <c r="H55" s="121"/>
      <c r="I55" s="121"/>
      <c r="J55" s="121"/>
      <c r="K55" s="121"/>
      <c r="L55" s="121"/>
      <c r="M55" s="121"/>
      <c r="N55" s="121"/>
      <c r="O55" s="121"/>
      <c r="P55" s="121"/>
      <c r="Q55" s="668"/>
      <c r="R55" s="965"/>
      <c r="S55" s="966"/>
      <c r="T55" s="967"/>
      <c r="U55" s="950"/>
      <c r="V55" s="939"/>
      <c r="W55" s="941"/>
      <c r="X55" s="943"/>
      <c r="Y55" s="361"/>
      <c r="Z55" s="364"/>
      <c r="AA55" s="367"/>
      <c r="AB55"/>
      <c r="AC55"/>
      <c r="AD55"/>
      <c r="AE55"/>
    </row>
    <row r="56" spans="1:35" ht="12.75" customHeight="1">
      <c r="A56" s="121"/>
      <c r="B56" s="121"/>
      <c r="C56" s="121"/>
      <c r="D56" s="121"/>
      <c r="E56" s="121"/>
      <c r="F56" s="121"/>
      <c r="G56" s="121"/>
      <c r="H56" s="121"/>
      <c r="I56" s="121"/>
      <c r="J56" s="121"/>
      <c r="K56" s="121"/>
      <c r="L56" s="121"/>
      <c r="M56" s="121"/>
      <c r="N56" s="121"/>
      <c r="O56" s="121"/>
      <c r="P56" s="121"/>
      <c r="Q56" s="668"/>
      <c r="R56" s="969" t="s">
        <v>209</v>
      </c>
      <c r="S56" s="969"/>
      <c r="T56" s="969"/>
      <c r="U56" s="560">
        <f>$V$20/U51</f>
        <v>4</v>
      </c>
      <c r="V56" s="669">
        <f>$V$20/V51</f>
        <v>2.9999999999999996</v>
      </c>
      <c r="W56" s="669">
        <f>$V$20/W51</f>
        <v>2.6086956521739126</v>
      </c>
      <c r="X56" s="669">
        <f>$V$20/X51</f>
        <v>2.1428571428571428</v>
      </c>
      <c r="Y56" s="361"/>
      <c r="Z56" s="364"/>
      <c r="AA56" s="367"/>
      <c r="AB56"/>
      <c r="AC56"/>
      <c r="AD56"/>
      <c r="AE56"/>
    </row>
    <row r="57" spans="1:35" ht="12.75" customHeight="1">
      <c r="A57" s="121"/>
      <c r="B57" s="121"/>
      <c r="C57" s="121"/>
      <c r="D57" s="121"/>
      <c r="E57" s="121"/>
      <c r="F57" s="121"/>
      <c r="G57" s="121"/>
      <c r="H57" s="121"/>
      <c r="I57" s="121"/>
      <c r="J57" s="121"/>
      <c r="K57" s="121"/>
      <c r="L57" s="121"/>
      <c r="M57" s="121"/>
      <c r="N57" s="121"/>
      <c r="O57" s="121"/>
      <c r="P57" s="121"/>
      <c r="Q57" s="364"/>
      <c r="R57" s="364"/>
      <c r="S57" s="364"/>
      <c r="T57" s="364"/>
      <c r="U57" s="555"/>
      <c r="V57" s="555"/>
      <c r="W57" s="555"/>
      <c r="X57" s="555"/>
      <c r="Y57" s="555"/>
      <c r="Z57" s="364"/>
      <c r="AA57" s="367"/>
      <c r="AB57"/>
      <c r="AC57"/>
      <c r="AD57"/>
      <c r="AE57"/>
    </row>
    <row r="58" spans="1:35" ht="12.75" customHeight="1">
      <c r="A58" s="121"/>
      <c r="B58" s="121"/>
      <c r="C58" s="121"/>
      <c r="D58" s="121"/>
      <c r="E58" s="121"/>
      <c r="F58" s="121"/>
      <c r="G58" s="121"/>
      <c r="H58" s="121"/>
      <c r="I58" s="121"/>
      <c r="J58" s="121"/>
      <c r="K58" s="121"/>
      <c r="L58" s="121"/>
      <c r="M58" s="121"/>
      <c r="N58" s="121"/>
      <c r="O58" s="121"/>
      <c r="P58" s="121"/>
      <c r="Q58" s="563">
        <v>3.3</v>
      </c>
      <c r="R58" s="363" t="s">
        <v>211</v>
      </c>
      <c r="S58" s="363"/>
      <c r="T58" s="363"/>
      <c r="U58" s="363"/>
      <c r="V58" s="363"/>
      <c r="W58" s="363"/>
      <c r="X58" s="363"/>
      <c r="Y58" s="363"/>
      <c r="Z58" s="364"/>
      <c r="AA58" s="367"/>
      <c r="AB58"/>
      <c r="AC58"/>
      <c r="AD58"/>
      <c r="AE58"/>
    </row>
    <row r="59" spans="1:35" ht="12.75" customHeight="1">
      <c r="A59" s="121"/>
      <c r="B59" s="121"/>
      <c r="C59" s="121"/>
      <c r="D59" s="121"/>
      <c r="E59" s="121"/>
      <c r="F59" s="121"/>
      <c r="G59" s="121"/>
      <c r="H59" s="121"/>
      <c r="I59" s="121"/>
      <c r="J59" s="121"/>
      <c r="K59" s="121"/>
      <c r="L59" s="121"/>
      <c r="M59" s="121"/>
      <c r="N59" s="121"/>
      <c r="O59" s="121"/>
      <c r="P59" s="121"/>
      <c r="Q59" s="563"/>
      <c r="R59" s="962" t="s">
        <v>678</v>
      </c>
      <c r="S59" s="963"/>
      <c r="T59" s="964"/>
      <c r="U59" s="949" t="s">
        <v>500</v>
      </c>
      <c r="V59" s="938" t="s">
        <v>22</v>
      </c>
      <c r="W59" s="940" t="s">
        <v>579</v>
      </c>
      <c r="X59" s="942" t="s">
        <v>21</v>
      </c>
      <c r="Y59" s="361"/>
      <c r="Z59" s="364"/>
      <c r="AA59" s="367"/>
      <c r="AB59"/>
      <c r="AC59"/>
      <c r="AD59"/>
      <c r="AE59"/>
    </row>
    <row r="60" spans="1:35" ht="12.75" customHeight="1">
      <c r="A60" s="121"/>
      <c r="B60" s="121"/>
      <c r="C60" s="121"/>
      <c r="D60" s="121"/>
      <c r="E60" s="121"/>
      <c r="F60" s="121"/>
      <c r="G60" s="121"/>
      <c r="H60" s="121"/>
      <c r="I60" s="121"/>
      <c r="J60" s="121"/>
      <c r="K60" s="121"/>
      <c r="L60" s="121"/>
      <c r="M60" s="121"/>
      <c r="N60" s="121"/>
      <c r="O60" s="121"/>
      <c r="P60" s="121"/>
      <c r="Q60" s="563"/>
      <c r="R60" s="965"/>
      <c r="S60" s="966"/>
      <c r="T60" s="967"/>
      <c r="U60" s="950"/>
      <c r="V60" s="939"/>
      <c r="W60" s="941"/>
      <c r="X60" s="943"/>
      <c r="Y60" s="361"/>
      <c r="Z60" s="364"/>
      <c r="AA60" s="367"/>
      <c r="AB60"/>
      <c r="AC60"/>
      <c r="AD60"/>
      <c r="AE60"/>
    </row>
    <row r="61" spans="1:35" ht="12.75" customHeight="1">
      <c r="A61" s="121"/>
      <c r="B61" s="121"/>
      <c r="C61" s="121"/>
      <c r="D61" s="121"/>
      <c r="E61" s="121"/>
      <c r="F61" s="121"/>
      <c r="G61" s="121"/>
      <c r="H61" s="121"/>
      <c r="I61" s="121"/>
      <c r="J61" s="121"/>
      <c r="K61" s="121"/>
      <c r="L61" s="121"/>
      <c r="M61" s="121"/>
      <c r="N61" s="121"/>
      <c r="O61" s="121"/>
      <c r="P61" s="121"/>
      <c r="Q61" s="563"/>
      <c r="R61" s="969" t="s">
        <v>209</v>
      </c>
      <c r="S61" s="969"/>
      <c r="T61" s="969"/>
      <c r="U61" s="562">
        <f>(U56*$V$24)/$V$23</f>
        <v>160</v>
      </c>
      <c r="V61" s="670">
        <f>(V56*$V$24)/$V$23</f>
        <v>119.99999999999997</v>
      </c>
      <c r="W61" s="670">
        <f>(W56*$V$24)/$V$23</f>
        <v>104.3478260869565</v>
      </c>
      <c r="X61" s="670">
        <f>(X56*$V$24)/$V$23</f>
        <v>85.714285714285708</v>
      </c>
      <c r="Y61" s="361"/>
      <c r="Z61" s="364"/>
      <c r="AA61" s="367"/>
      <c r="AB61"/>
      <c r="AC61"/>
      <c r="AD61"/>
      <c r="AE61"/>
    </row>
    <row r="62" spans="1:35" ht="12.75" customHeight="1">
      <c r="A62" s="121"/>
      <c r="B62" s="121"/>
      <c r="C62" s="121"/>
      <c r="D62" s="121"/>
      <c r="E62" s="121"/>
      <c r="F62" s="121"/>
      <c r="G62" s="121"/>
      <c r="H62" s="121"/>
      <c r="I62" s="121"/>
      <c r="J62" s="121"/>
      <c r="K62" s="121"/>
      <c r="L62" s="121"/>
      <c r="M62" s="121"/>
      <c r="N62" s="121"/>
      <c r="O62" s="121"/>
      <c r="P62" s="121"/>
      <c r="Q62" s="563"/>
      <c r="R62" s="931" t="s">
        <v>212</v>
      </c>
      <c r="S62" s="931"/>
      <c r="T62" s="931"/>
      <c r="U62" s="537">
        <f>U61/60</f>
        <v>2.6666666666666665</v>
      </c>
      <c r="V62" s="557">
        <f>V61/60</f>
        <v>1.9999999999999996</v>
      </c>
      <c r="W62" s="557">
        <f>W61/60</f>
        <v>1.7391304347826084</v>
      </c>
      <c r="X62" s="557">
        <f>X61/60</f>
        <v>1.4285714285714284</v>
      </c>
      <c r="Y62" s="361"/>
      <c r="Z62" s="364"/>
      <c r="AA62" s="367"/>
      <c r="AB62"/>
      <c r="AC62"/>
      <c r="AD62"/>
      <c r="AE62"/>
    </row>
    <row r="63" spans="1:35" ht="12.75" customHeight="1">
      <c r="A63" s="121"/>
      <c r="B63" s="121"/>
      <c r="C63" s="121"/>
      <c r="D63" s="121"/>
      <c r="E63" s="121"/>
      <c r="F63" s="121"/>
      <c r="G63" s="121"/>
      <c r="H63" s="121"/>
      <c r="I63" s="121"/>
      <c r="J63" s="121"/>
      <c r="K63" s="121"/>
      <c r="L63" s="121"/>
      <c r="M63" s="121"/>
      <c r="N63" s="121"/>
      <c r="O63" s="121"/>
      <c r="P63" s="121"/>
      <c r="Q63" s="563"/>
      <c r="R63" s="363"/>
      <c r="S63" s="363"/>
      <c r="T63" s="363"/>
      <c r="U63" s="363"/>
      <c r="V63" s="363"/>
      <c r="W63" s="363"/>
      <c r="X63" s="363"/>
      <c r="Y63" s="363"/>
      <c r="Z63" s="364"/>
      <c r="AA63" s="367"/>
      <c r="AB63"/>
      <c r="AC63"/>
      <c r="AD63"/>
      <c r="AE63"/>
    </row>
    <row r="64" spans="1:35" ht="12.75" customHeight="1">
      <c r="A64" s="121"/>
      <c r="B64" s="121"/>
      <c r="C64" s="121"/>
      <c r="D64" s="121"/>
      <c r="E64" s="121"/>
      <c r="F64" s="121"/>
      <c r="G64" s="121"/>
      <c r="H64" s="121"/>
      <c r="I64" s="121"/>
      <c r="J64" s="121"/>
      <c r="K64" s="121"/>
      <c r="L64" s="121"/>
      <c r="M64" s="121"/>
      <c r="N64" s="121"/>
      <c r="O64" s="121"/>
      <c r="P64" s="121"/>
      <c r="Q64" s="388" t="s">
        <v>295</v>
      </c>
      <c r="R64" s="1015" t="s">
        <v>216</v>
      </c>
      <c r="S64" s="1015"/>
      <c r="T64" s="1015"/>
      <c r="U64" s="1015"/>
      <c r="V64" s="1015"/>
      <c r="W64" s="1015"/>
      <c r="X64" s="1015"/>
      <c r="Y64" s="1015"/>
      <c r="Z64" s="536"/>
      <c r="AA64" s="367"/>
      <c r="AB64"/>
      <c r="AC64"/>
      <c r="AD64"/>
      <c r="AE64"/>
      <c r="AF64" s="23"/>
      <c r="AG64" s="23"/>
      <c r="AH64" s="23"/>
      <c r="AI64" s="23"/>
    </row>
    <row r="65" spans="1:36" ht="12.75" customHeight="1">
      <c r="A65" s="121"/>
      <c r="B65" s="121"/>
      <c r="C65" s="121"/>
      <c r="D65" s="121"/>
      <c r="E65" s="121"/>
      <c r="F65" s="121"/>
      <c r="G65" s="121"/>
      <c r="H65" s="121"/>
      <c r="I65" s="121"/>
      <c r="J65" s="121"/>
      <c r="K65" s="121"/>
      <c r="L65" s="121"/>
      <c r="M65" s="121"/>
      <c r="N65" s="121"/>
      <c r="O65" s="121"/>
      <c r="P65" s="121"/>
      <c r="Q65" s="563"/>
      <c r="R65" s="363"/>
      <c r="S65" s="363"/>
      <c r="T65" s="363"/>
      <c r="U65" s="363"/>
      <c r="V65" s="363"/>
      <c r="W65" s="363"/>
      <c r="X65" s="363"/>
      <c r="Y65" s="363"/>
      <c r="Z65" s="364"/>
      <c r="AA65" s="367"/>
      <c r="AB65"/>
      <c r="AC65"/>
      <c r="AD65"/>
      <c r="AE65"/>
      <c r="AJ65" s="17"/>
    </row>
    <row r="66" spans="1:36" ht="12.75" customHeight="1">
      <c r="A66" s="121"/>
      <c r="B66" s="121"/>
      <c r="C66" s="121"/>
      <c r="D66" s="121"/>
      <c r="E66" s="121"/>
      <c r="F66" s="121"/>
      <c r="G66" s="121"/>
      <c r="H66" s="121"/>
      <c r="I66" s="121"/>
      <c r="J66" s="121"/>
      <c r="K66" s="121"/>
      <c r="L66" s="121"/>
      <c r="M66" s="121"/>
      <c r="N66" s="121"/>
      <c r="O66" s="121"/>
      <c r="P66" s="121"/>
      <c r="Q66" s="360" t="s">
        <v>502</v>
      </c>
      <c r="R66" s="364" t="s">
        <v>527</v>
      </c>
      <c r="S66" s="364"/>
      <c r="T66" s="364"/>
      <c r="U66" s="555"/>
      <c r="V66" s="555"/>
      <c r="W66" s="555"/>
      <c r="X66" s="555"/>
      <c r="Y66" s="555"/>
      <c r="Z66" s="364"/>
      <c r="AA66" s="367"/>
      <c r="AB66"/>
      <c r="AC66"/>
      <c r="AD66"/>
      <c r="AE66"/>
      <c r="AJ66" s="17"/>
    </row>
    <row r="67" spans="1:36" ht="12.75" customHeight="1">
      <c r="A67" s="121"/>
      <c r="B67" s="121"/>
      <c r="C67" s="121"/>
      <c r="D67" s="121"/>
      <c r="E67" s="121"/>
      <c r="F67" s="121"/>
      <c r="G67" s="121"/>
      <c r="H67" s="121"/>
      <c r="I67" s="121"/>
      <c r="J67" s="121"/>
      <c r="K67" s="121"/>
      <c r="L67" s="121"/>
      <c r="M67" s="121"/>
      <c r="N67" s="121"/>
      <c r="O67" s="121"/>
      <c r="P67" s="121"/>
      <c r="Q67" s="360"/>
      <c r="R67" s="962" t="s">
        <v>678</v>
      </c>
      <c r="S67" s="963"/>
      <c r="T67" s="964"/>
      <c r="U67" s="949" t="s">
        <v>500</v>
      </c>
      <c r="V67" s="938" t="s">
        <v>22</v>
      </c>
      <c r="W67" s="940" t="s">
        <v>579</v>
      </c>
      <c r="X67" s="942" t="s">
        <v>21</v>
      </c>
      <c r="Y67" s="361"/>
      <c r="Z67" s="364"/>
      <c r="AA67" s="367"/>
      <c r="AB67"/>
      <c r="AC67"/>
      <c r="AD67"/>
      <c r="AE67"/>
      <c r="AJ67" s="17"/>
    </row>
    <row r="68" spans="1:36" ht="12.75" customHeight="1">
      <c r="A68" s="121"/>
      <c r="B68" s="121"/>
      <c r="C68" s="121"/>
      <c r="D68" s="121"/>
      <c r="E68" s="121"/>
      <c r="F68" s="121"/>
      <c r="G68" s="121"/>
      <c r="H68" s="121"/>
      <c r="I68" s="121"/>
      <c r="J68" s="121"/>
      <c r="K68" s="121"/>
      <c r="L68" s="121"/>
      <c r="M68" s="121"/>
      <c r="N68" s="121"/>
      <c r="O68" s="121"/>
      <c r="P68" s="121"/>
      <c r="Q68" s="360"/>
      <c r="R68" s="965"/>
      <c r="S68" s="966"/>
      <c r="T68" s="967"/>
      <c r="U68" s="950"/>
      <c r="V68" s="939"/>
      <c r="W68" s="941"/>
      <c r="X68" s="943"/>
      <c r="Y68" s="361"/>
      <c r="Z68" s="364"/>
      <c r="AA68" s="367"/>
      <c r="AB68"/>
      <c r="AC68"/>
      <c r="AD68"/>
      <c r="AE68"/>
      <c r="AJ68" s="32"/>
    </row>
    <row r="69" spans="1:36" ht="12.75" customHeight="1">
      <c r="A69" s="121"/>
      <c r="B69" s="121"/>
      <c r="C69" s="121"/>
      <c r="D69" s="121"/>
      <c r="E69" s="121"/>
      <c r="F69" s="121"/>
      <c r="G69" s="121"/>
      <c r="H69" s="121"/>
      <c r="I69" s="121"/>
      <c r="J69" s="121"/>
      <c r="K69" s="121"/>
      <c r="L69" s="121"/>
      <c r="M69" s="121"/>
      <c r="N69" s="121"/>
      <c r="O69" s="121"/>
      <c r="P69" s="121"/>
      <c r="Q69" s="360"/>
      <c r="R69" s="969" t="s">
        <v>63</v>
      </c>
      <c r="S69" s="969"/>
      <c r="T69" s="969"/>
      <c r="U69" s="369">
        <v>102</v>
      </c>
      <c r="V69" s="369">
        <f>VLOOKUP($V$5,'Lookup dBA'!$B$8:$E$208,3)</f>
        <v>108</v>
      </c>
      <c r="W69" s="369">
        <f>VLOOKUP($V$5,'Lookup dBA'!$B$8:$E$208,4)</f>
        <v>109</v>
      </c>
      <c r="X69" s="369">
        <f>VLOOKUP($V$5,'Lookup dBA'!$B$8:$E$208,2)</f>
        <v>116</v>
      </c>
      <c r="Y69" s="361"/>
      <c r="Z69" s="364"/>
      <c r="AA69" s="367"/>
      <c r="AB69"/>
      <c r="AC69"/>
      <c r="AD69"/>
      <c r="AE69"/>
      <c r="AJ69" s="32"/>
    </row>
    <row r="70" spans="1:36" ht="12.75" customHeight="1">
      <c r="A70" s="121"/>
      <c r="B70" s="121"/>
      <c r="C70" s="121"/>
      <c r="D70" s="121"/>
      <c r="E70" s="121"/>
      <c r="F70" s="121"/>
      <c r="G70" s="121"/>
      <c r="H70" s="121"/>
      <c r="I70" s="121"/>
      <c r="J70" s="121"/>
      <c r="K70" s="121"/>
      <c r="L70" s="121"/>
      <c r="M70" s="121"/>
      <c r="N70" s="121"/>
      <c r="O70" s="121"/>
      <c r="P70" s="121"/>
      <c r="Q70" s="360"/>
      <c r="R70" s="969" t="s">
        <v>64</v>
      </c>
      <c r="S70" s="969"/>
      <c r="T70" s="969"/>
      <c r="U70" s="369">
        <f>U69-PPE!$I$15</f>
        <v>89</v>
      </c>
      <c r="V70" s="369">
        <f>V69-PPE!$I$15</f>
        <v>95</v>
      </c>
      <c r="W70" s="369">
        <f>W69-PPE!$I$15</f>
        <v>96</v>
      </c>
      <c r="X70" s="369">
        <f>X69-PPE!$I$15</f>
        <v>103</v>
      </c>
      <c r="Y70" s="361"/>
      <c r="Z70" s="364"/>
      <c r="AA70" s="367"/>
      <c r="AB70"/>
      <c r="AC70"/>
      <c r="AD70"/>
      <c r="AE70"/>
      <c r="AJ70" s="32"/>
    </row>
    <row r="71" spans="1:36" ht="12.75" customHeight="1">
      <c r="A71" s="121"/>
      <c r="B71" s="121"/>
      <c r="C71" s="121"/>
      <c r="D71" s="121"/>
      <c r="E71" s="121"/>
      <c r="F71" s="121"/>
      <c r="G71" s="121"/>
      <c r="H71" s="121"/>
      <c r="I71" s="121"/>
      <c r="J71" s="121"/>
      <c r="K71" s="121"/>
      <c r="L71" s="121"/>
      <c r="M71" s="121"/>
      <c r="N71" s="121"/>
      <c r="O71" s="121"/>
      <c r="P71" s="121"/>
      <c r="Q71" s="360"/>
      <c r="R71" s="969" t="s">
        <v>529</v>
      </c>
      <c r="S71" s="969"/>
      <c r="T71" s="969"/>
      <c r="U71" s="369">
        <v>110</v>
      </c>
      <c r="V71" s="369">
        <v>110</v>
      </c>
      <c r="W71" s="369">
        <v>110</v>
      </c>
      <c r="X71" s="369">
        <v>110</v>
      </c>
      <c r="Y71" s="361"/>
      <c r="Z71" s="364"/>
      <c r="AA71" s="367"/>
      <c r="AB71"/>
      <c r="AC71"/>
      <c r="AD71"/>
      <c r="AE71"/>
      <c r="AJ71" s="17"/>
    </row>
    <row r="72" spans="1:36" ht="12.75" customHeight="1">
      <c r="A72" s="121"/>
      <c r="B72" s="121"/>
      <c r="C72" s="121"/>
      <c r="D72" s="121"/>
      <c r="E72" s="121"/>
      <c r="F72" s="121"/>
      <c r="G72" s="121"/>
      <c r="H72" s="121"/>
      <c r="I72" s="121"/>
      <c r="J72" s="121"/>
      <c r="K72" s="121"/>
      <c r="L72" s="121"/>
      <c r="M72" s="121"/>
      <c r="N72" s="121"/>
      <c r="O72" s="121"/>
      <c r="P72" s="121"/>
      <c r="Q72" s="360"/>
      <c r="R72" s="363"/>
      <c r="S72" s="363"/>
      <c r="T72" s="363"/>
      <c r="U72" s="363"/>
      <c r="V72" s="363"/>
      <c r="W72" s="363"/>
      <c r="X72" s="363"/>
      <c r="Y72" s="555"/>
      <c r="Z72" s="364"/>
      <c r="AA72" s="367"/>
      <c r="AB72"/>
      <c r="AC72"/>
      <c r="AD72"/>
      <c r="AE72"/>
      <c r="AJ72" s="17"/>
    </row>
    <row r="73" spans="1:36" ht="12.75" customHeight="1">
      <c r="A73" s="121"/>
      <c r="B73" s="121"/>
      <c r="C73" s="121"/>
      <c r="D73" s="121"/>
      <c r="E73" s="121"/>
      <c r="F73" s="121"/>
      <c r="G73" s="121"/>
      <c r="H73" s="121"/>
      <c r="I73" s="121"/>
      <c r="J73" s="121"/>
      <c r="K73" s="121"/>
      <c r="L73" s="121"/>
      <c r="M73" s="121"/>
      <c r="N73" s="121"/>
      <c r="O73" s="121"/>
      <c r="P73" s="121"/>
      <c r="Q73" s="360" t="s">
        <v>503</v>
      </c>
      <c r="R73" s="364" t="s">
        <v>528</v>
      </c>
      <c r="S73" s="364"/>
      <c r="T73" s="364"/>
      <c r="U73" s="555"/>
      <c r="V73" s="555"/>
      <c r="W73" s="555"/>
      <c r="X73" s="555"/>
      <c r="Y73" s="555"/>
      <c r="Z73" s="364"/>
      <c r="AA73" s="367"/>
      <c r="AB73"/>
      <c r="AC73"/>
      <c r="AD73"/>
      <c r="AE73"/>
      <c r="AJ73" s="17"/>
    </row>
    <row r="74" spans="1:36" ht="12.75" customHeight="1">
      <c r="A74" s="121"/>
      <c r="B74" s="121"/>
      <c r="C74" s="121"/>
      <c r="D74" s="121"/>
      <c r="E74" s="121"/>
      <c r="F74" s="121"/>
      <c r="G74" s="121"/>
      <c r="H74" s="121"/>
      <c r="I74" s="121"/>
      <c r="J74" s="121"/>
      <c r="K74" s="121"/>
      <c r="L74" s="121"/>
      <c r="M74" s="121"/>
      <c r="N74" s="121"/>
      <c r="O74" s="121"/>
      <c r="P74" s="121"/>
      <c r="Q74" s="360"/>
      <c r="R74" s="935" t="s">
        <v>678</v>
      </c>
      <c r="S74" s="935"/>
      <c r="T74" s="935"/>
      <c r="U74" s="930" t="s">
        <v>500</v>
      </c>
      <c r="V74" s="928" t="s">
        <v>22</v>
      </c>
      <c r="W74" s="929" t="s">
        <v>579</v>
      </c>
      <c r="X74" s="927" t="s">
        <v>21</v>
      </c>
      <c r="Y74" s="361"/>
      <c r="Z74" s="364"/>
      <c r="AA74" s="367"/>
      <c r="AB74"/>
      <c r="AC74"/>
      <c r="AD74"/>
      <c r="AE74"/>
      <c r="AJ74" s="17"/>
    </row>
    <row r="75" spans="1:36" ht="12.75" customHeight="1">
      <c r="A75" s="121"/>
      <c r="B75" s="121"/>
      <c r="C75" s="121"/>
      <c r="D75" s="121"/>
      <c r="E75" s="121"/>
      <c r="F75" s="121"/>
      <c r="G75" s="121"/>
      <c r="H75" s="121"/>
      <c r="I75" s="121"/>
      <c r="J75" s="121"/>
      <c r="K75" s="121"/>
      <c r="L75" s="121"/>
      <c r="M75" s="121"/>
      <c r="N75" s="121"/>
      <c r="O75" s="121"/>
      <c r="P75" s="121"/>
      <c r="Q75" s="360"/>
      <c r="R75" s="935"/>
      <c r="S75" s="935"/>
      <c r="T75" s="935"/>
      <c r="U75" s="930"/>
      <c r="V75" s="928"/>
      <c r="W75" s="929"/>
      <c r="X75" s="927"/>
      <c r="Y75" s="361"/>
      <c r="Z75" s="364"/>
      <c r="AA75" s="367"/>
      <c r="AB75"/>
      <c r="AC75"/>
      <c r="AD75"/>
      <c r="AE75"/>
      <c r="AJ75" s="17"/>
    </row>
    <row r="76" spans="1:36" ht="12.75" customHeight="1">
      <c r="Q76" s="360"/>
      <c r="R76" s="969" t="s">
        <v>63</v>
      </c>
      <c r="S76" s="969"/>
      <c r="T76" s="969"/>
      <c r="U76" s="369">
        <f>VLOOKUP($V$21,$R$309:$Z$314,5)</f>
        <v>108.02059991327964</v>
      </c>
      <c r="V76" s="369">
        <f>VLOOKUP($V$21,$R$309:$Z$314,3)</f>
        <v>114.02059991327963</v>
      </c>
      <c r="W76" s="369">
        <f>VLOOKUP($V$21,$R$309:$Z$314,4)</f>
        <v>115.02059991327963</v>
      </c>
      <c r="X76" s="369">
        <f>VLOOKUP($V$21,$R$309:$Z$314,2)</f>
        <v>122.02059991327964</v>
      </c>
      <c r="Y76" s="361"/>
      <c r="Z76" s="364"/>
      <c r="AA76" s="367"/>
      <c r="AB76"/>
      <c r="AC76"/>
      <c r="AD76"/>
      <c r="AE76"/>
      <c r="AJ76" s="17"/>
    </row>
    <row r="77" spans="1:36" ht="12.75" customHeight="1">
      <c r="Q77" s="360"/>
      <c r="R77" s="969" t="s">
        <v>64</v>
      </c>
      <c r="S77" s="969"/>
      <c r="T77" s="969"/>
      <c r="U77" s="369">
        <f>U76-PPE!$I$15</f>
        <v>95.020599913279639</v>
      </c>
      <c r="V77" s="369">
        <f>V76-PPE!$I$15</f>
        <v>101.02059991327963</v>
      </c>
      <c r="W77" s="369">
        <f>W76-PPE!$I$15</f>
        <v>102.02059991327963</v>
      </c>
      <c r="X77" s="369">
        <f>X76-PPE!$I$15</f>
        <v>109.02059991327964</v>
      </c>
      <c r="Y77" s="361"/>
      <c r="Z77" s="364"/>
      <c r="AA77" s="367"/>
      <c r="AB77"/>
      <c r="AC77"/>
      <c r="AD77"/>
      <c r="AE77"/>
      <c r="AJ77" s="17"/>
    </row>
    <row r="78" spans="1:36" ht="12.75" customHeight="1">
      <c r="Q78" s="360"/>
      <c r="R78" s="969" t="s">
        <v>529</v>
      </c>
      <c r="S78" s="969"/>
      <c r="T78" s="969"/>
      <c r="U78" s="369">
        <v>110</v>
      </c>
      <c r="V78" s="369">
        <v>110</v>
      </c>
      <c r="W78" s="369">
        <v>110</v>
      </c>
      <c r="X78" s="369">
        <v>110</v>
      </c>
      <c r="Y78" s="361"/>
      <c r="Z78" s="364"/>
      <c r="AA78" s="367"/>
      <c r="AB78"/>
      <c r="AC78"/>
      <c r="AD78"/>
      <c r="AE78"/>
      <c r="AJ78" s="17"/>
    </row>
    <row r="79" spans="1:36" ht="12.75" customHeight="1">
      <c r="Q79" s="360"/>
      <c r="R79" s="364"/>
      <c r="S79" s="364"/>
      <c r="T79" s="364"/>
      <c r="U79" s="555"/>
      <c r="V79" s="555"/>
      <c r="W79" s="555"/>
      <c r="X79" s="555"/>
      <c r="Y79" s="555"/>
      <c r="Z79" s="364"/>
      <c r="AA79" s="367"/>
      <c r="AB79"/>
      <c r="AC79"/>
      <c r="AD79"/>
      <c r="AE79"/>
      <c r="AJ79" s="43"/>
    </row>
    <row r="80" spans="1:36" ht="12.75" customHeight="1">
      <c r="Q80" s="385" t="s">
        <v>305</v>
      </c>
      <c r="R80" s="1008" t="s">
        <v>218</v>
      </c>
      <c r="S80" s="1008"/>
      <c r="T80" s="1008"/>
      <c r="U80" s="1008"/>
      <c r="V80" s="1008"/>
      <c r="W80" s="1008"/>
      <c r="X80" s="1008"/>
      <c r="Y80" s="1008"/>
      <c r="Z80" s="536"/>
      <c r="AA80" s="367"/>
      <c r="AB80"/>
      <c r="AC80"/>
      <c r="AD80"/>
      <c r="AE80"/>
      <c r="AJ80" s="43"/>
    </row>
    <row r="81" spans="17:36" ht="12.75" customHeight="1">
      <c r="Q81" s="546"/>
      <c r="R81" s="363"/>
      <c r="S81" s="363"/>
      <c r="T81" s="363"/>
      <c r="U81" s="363"/>
      <c r="V81" s="363"/>
      <c r="W81" s="363"/>
      <c r="X81" s="363"/>
      <c r="Y81" s="363"/>
      <c r="Z81" s="364"/>
      <c r="AA81" s="367"/>
      <c r="AB81"/>
      <c r="AC81"/>
      <c r="AD81"/>
      <c r="AE81"/>
      <c r="AJ81" s="43"/>
    </row>
    <row r="82" spans="17:36" ht="12.75" customHeight="1">
      <c r="Q82" s="546"/>
      <c r="R82" s="363" t="s">
        <v>436</v>
      </c>
      <c r="S82" s="363"/>
      <c r="T82" s="363"/>
      <c r="U82" s="363"/>
      <c r="V82" s="363"/>
      <c r="W82" s="363"/>
      <c r="X82" s="363"/>
      <c r="Y82" s="363"/>
      <c r="Z82" s="364"/>
      <c r="AA82" s="367"/>
      <c r="AB82"/>
      <c r="AC82"/>
      <c r="AD82"/>
      <c r="AE82"/>
    </row>
    <row r="83" spans="17:36" ht="12.75" customHeight="1">
      <c r="Q83" s="360"/>
      <c r="R83" s="935" t="s">
        <v>678</v>
      </c>
      <c r="S83" s="935"/>
      <c r="T83" s="935"/>
      <c r="U83" s="949" t="s">
        <v>500</v>
      </c>
      <c r="V83" s="1011" t="s">
        <v>22</v>
      </c>
      <c r="W83" s="1013" t="s">
        <v>579</v>
      </c>
      <c r="X83" s="1009" t="s">
        <v>21</v>
      </c>
      <c r="Y83" s="361"/>
      <c r="Z83" s="364"/>
      <c r="AA83" s="367"/>
      <c r="AB83"/>
      <c r="AC83"/>
      <c r="AD83"/>
      <c r="AE83"/>
    </row>
    <row r="84" spans="17:36" ht="12.75" customHeight="1">
      <c r="Q84" s="360"/>
      <c r="R84" s="935"/>
      <c r="S84" s="935"/>
      <c r="T84" s="935"/>
      <c r="U84" s="950"/>
      <c r="V84" s="1012"/>
      <c r="W84" s="1014"/>
      <c r="X84" s="1010"/>
      <c r="Y84" s="361"/>
      <c r="Z84" s="364"/>
      <c r="AA84" s="367"/>
      <c r="AB84"/>
      <c r="AC84"/>
      <c r="AD84"/>
      <c r="AE84"/>
    </row>
    <row r="85" spans="17:36" ht="12.75" customHeight="1">
      <c r="Q85" s="360"/>
      <c r="R85" s="969" t="s">
        <v>63</v>
      </c>
      <c r="S85" s="969"/>
      <c r="T85" s="969"/>
      <c r="U85" s="369">
        <f>U414</f>
        <v>97.15</v>
      </c>
      <c r="V85" s="369">
        <f>U356</f>
        <v>101.95</v>
      </c>
      <c r="W85" s="369">
        <f>U385</f>
        <v>102.4</v>
      </c>
      <c r="X85" s="369">
        <f>U327</f>
        <v>108.5</v>
      </c>
      <c r="Y85" s="361"/>
      <c r="Z85" s="364"/>
      <c r="AA85" s="367"/>
      <c r="AB85"/>
      <c r="AC85"/>
      <c r="AD85"/>
      <c r="AE85"/>
    </row>
    <row r="86" spans="17:36" ht="12.75" customHeight="1">
      <c r="Q86" s="360"/>
      <c r="R86" s="969" t="s">
        <v>64</v>
      </c>
      <c r="S86" s="969"/>
      <c r="T86" s="969"/>
      <c r="U86" s="369">
        <f>U427</f>
        <v>84.15</v>
      </c>
      <c r="V86" s="369">
        <f>U369</f>
        <v>88.95</v>
      </c>
      <c r="W86" s="369">
        <f>U398</f>
        <v>89.3</v>
      </c>
      <c r="X86" s="369">
        <f>U340</f>
        <v>95.55</v>
      </c>
      <c r="Y86" s="361"/>
      <c r="Z86" s="364"/>
      <c r="AA86" s="367"/>
      <c r="AB86"/>
      <c r="AC86"/>
      <c r="AD86"/>
      <c r="AE86"/>
    </row>
    <row r="87" spans="17:36" ht="12.75" customHeight="1">
      <c r="Q87" s="360"/>
      <c r="R87" s="969" t="s">
        <v>530</v>
      </c>
      <c r="S87" s="969"/>
      <c r="T87" s="969"/>
      <c r="U87" s="369">
        <v>85</v>
      </c>
      <c r="V87" s="369">
        <v>85</v>
      </c>
      <c r="W87" s="369">
        <v>85</v>
      </c>
      <c r="X87" s="369">
        <v>85</v>
      </c>
      <c r="Y87" s="361"/>
      <c r="Z87" s="364"/>
      <c r="AA87" s="367"/>
      <c r="AB87"/>
      <c r="AC87"/>
      <c r="AD87"/>
      <c r="AE87"/>
    </row>
    <row r="88" spans="17:36" ht="12.75" customHeight="1">
      <c r="Q88" s="360"/>
      <c r="R88" s="363"/>
      <c r="S88" s="363"/>
      <c r="T88" s="363"/>
      <c r="U88" s="363"/>
      <c r="V88" s="363"/>
      <c r="W88" s="363"/>
      <c r="X88" s="363"/>
      <c r="Y88" s="363"/>
      <c r="Z88" s="364"/>
      <c r="AA88" s="367"/>
      <c r="AB88"/>
      <c r="AC88"/>
      <c r="AD88"/>
      <c r="AE88"/>
    </row>
    <row r="89" spans="17:36" ht="12.75" customHeight="1">
      <c r="Q89" s="360"/>
      <c r="R89" s="363" t="s">
        <v>437</v>
      </c>
      <c r="S89" s="363"/>
      <c r="T89" s="363"/>
      <c r="U89" s="363"/>
      <c r="V89" s="363"/>
      <c r="W89" s="363"/>
      <c r="X89" s="363"/>
      <c r="Y89" s="363"/>
      <c r="Z89" s="364"/>
      <c r="AA89" s="367"/>
      <c r="AB89"/>
      <c r="AC89"/>
      <c r="AD89"/>
      <c r="AE89"/>
    </row>
    <row r="90" spans="17:36" ht="12.75" customHeight="1">
      <c r="Q90" s="360"/>
      <c r="R90" s="935" t="s">
        <v>678</v>
      </c>
      <c r="S90" s="935"/>
      <c r="T90" s="935"/>
      <c r="U90" s="949" t="s">
        <v>500</v>
      </c>
      <c r="V90" s="1011" t="s">
        <v>22</v>
      </c>
      <c r="W90" s="1013" t="s">
        <v>579</v>
      </c>
      <c r="X90" s="1009" t="s">
        <v>21</v>
      </c>
      <c r="Y90" s="361"/>
      <c r="Z90" s="364"/>
      <c r="AA90" s="367"/>
      <c r="AB90"/>
      <c r="AC90"/>
      <c r="AD90"/>
      <c r="AE90"/>
    </row>
    <row r="91" spans="17:36" ht="12.75" customHeight="1">
      <c r="Q91" s="360"/>
      <c r="R91" s="935"/>
      <c r="S91" s="935"/>
      <c r="T91" s="935"/>
      <c r="U91" s="950"/>
      <c r="V91" s="1012"/>
      <c r="W91" s="1014"/>
      <c r="X91" s="1010"/>
      <c r="Y91" s="361"/>
      <c r="Z91" s="364"/>
      <c r="AA91" s="367"/>
      <c r="AB91"/>
      <c r="AC91"/>
      <c r="AD91"/>
      <c r="AE91"/>
    </row>
    <row r="92" spans="17:36" ht="12.75" customHeight="1">
      <c r="Q92" s="360"/>
      <c r="R92" s="969" t="s">
        <v>63</v>
      </c>
      <c r="S92" s="969"/>
      <c r="T92" s="969"/>
      <c r="U92" s="369">
        <f>U533</f>
        <v>103.15</v>
      </c>
      <c r="V92" s="369">
        <f>U475</f>
        <v>107.95</v>
      </c>
      <c r="W92" s="369">
        <f>U504</f>
        <v>108.4</v>
      </c>
      <c r="X92" s="369">
        <f>U446</f>
        <v>113.95</v>
      </c>
      <c r="Y92" s="361"/>
      <c r="Z92" s="364"/>
      <c r="AA92" s="367"/>
      <c r="AB92"/>
      <c r="AC92"/>
      <c r="AD92"/>
      <c r="AE92"/>
    </row>
    <row r="93" spans="17:36" ht="12.75" customHeight="1">
      <c r="Q93" s="360"/>
      <c r="R93" s="969" t="s">
        <v>64</v>
      </c>
      <c r="S93" s="969"/>
      <c r="T93" s="969"/>
      <c r="U93" s="369">
        <f>U546</f>
        <v>90.15</v>
      </c>
      <c r="V93" s="369">
        <f>U488</f>
        <v>94.95</v>
      </c>
      <c r="W93" s="369">
        <f>U517</f>
        <v>95.3</v>
      </c>
      <c r="X93" s="369">
        <f>U459</f>
        <v>101.55</v>
      </c>
      <c r="Y93" s="361"/>
      <c r="Z93" s="364"/>
      <c r="AA93" s="367"/>
      <c r="AB93"/>
      <c r="AC93"/>
      <c r="AD93"/>
      <c r="AE93"/>
    </row>
    <row r="94" spans="17:36" ht="12.75" customHeight="1">
      <c r="Q94" s="360"/>
      <c r="R94" s="969" t="s">
        <v>530</v>
      </c>
      <c r="S94" s="969"/>
      <c r="T94" s="969"/>
      <c r="U94" s="369">
        <v>85</v>
      </c>
      <c r="V94" s="369">
        <v>85</v>
      </c>
      <c r="W94" s="369">
        <v>85</v>
      </c>
      <c r="X94" s="369">
        <v>85</v>
      </c>
      <c r="Y94" s="361"/>
      <c r="Z94" s="364"/>
      <c r="AA94" s="367"/>
      <c r="AB94"/>
      <c r="AC94"/>
      <c r="AD94"/>
      <c r="AE94"/>
    </row>
    <row r="95" spans="17:36" s="133" customFormat="1" ht="12.75" customHeight="1">
      <c r="Q95" s="360"/>
      <c r="R95" s="363"/>
      <c r="S95" s="363"/>
      <c r="T95" s="363"/>
      <c r="U95" s="363"/>
      <c r="V95" s="363"/>
      <c r="W95" s="363"/>
      <c r="X95" s="363"/>
      <c r="Y95" s="363"/>
      <c r="Z95" s="364"/>
      <c r="AA95" s="367"/>
      <c r="AB95"/>
      <c r="AC95"/>
      <c r="AD95"/>
      <c r="AE95"/>
    </row>
    <row r="96" spans="17:36" ht="12.75" customHeight="1">
      <c r="Q96" s="385" t="s">
        <v>222</v>
      </c>
      <c r="R96" s="1008" t="s">
        <v>504</v>
      </c>
      <c r="S96" s="1008"/>
      <c r="T96" s="1008"/>
      <c r="U96" s="1008"/>
      <c r="V96" s="1008"/>
      <c r="W96" s="1008"/>
      <c r="X96" s="1008"/>
      <c r="Y96" s="1008"/>
      <c r="Z96" s="547"/>
      <c r="AA96" s="367"/>
      <c r="AB96"/>
      <c r="AC96"/>
      <c r="AD96"/>
      <c r="AE96"/>
    </row>
    <row r="97" spans="17:31" ht="12.75" customHeight="1">
      <c r="Q97" s="360"/>
      <c r="R97" s="363"/>
      <c r="S97" s="363"/>
      <c r="T97" s="363"/>
      <c r="U97" s="363"/>
      <c r="V97" s="363"/>
      <c r="W97" s="363"/>
      <c r="X97" s="363"/>
      <c r="Y97" s="363"/>
      <c r="Z97" s="364"/>
      <c r="AA97" s="367"/>
      <c r="AB97"/>
      <c r="AC97"/>
      <c r="AD97"/>
      <c r="AE97"/>
    </row>
    <row r="98" spans="17:31" ht="12.75" customHeight="1">
      <c r="Q98" s="360" t="s">
        <v>505</v>
      </c>
      <c r="R98" s="363" t="s">
        <v>514</v>
      </c>
      <c r="S98" s="363"/>
      <c r="T98" s="363"/>
      <c r="U98" s="363"/>
      <c r="V98" s="363"/>
      <c r="W98" s="363"/>
      <c r="X98" s="363"/>
      <c r="Y98" s="363"/>
      <c r="Z98" s="364"/>
      <c r="AA98" s="367"/>
      <c r="AB98"/>
      <c r="AC98"/>
      <c r="AD98"/>
      <c r="AE98"/>
    </row>
    <row r="99" spans="17:31" ht="12.75" customHeight="1">
      <c r="Q99" s="360"/>
      <c r="R99" s="363" t="s">
        <v>512</v>
      </c>
      <c r="S99" s="363"/>
      <c r="T99" s="363"/>
      <c r="U99" s="363"/>
      <c r="V99" s="363"/>
      <c r="W99" s="363"/>
      <c r="X99" s="363"/>
      <c r="Y99" s="363"/>
      <c r="Z99" s="364"/>
      <c r="AA99" s="367"/>
      <c r="AB99"/>
      <c r="AC99"/>
      <c r="AD99"/>
      <c r="AE99"/>
    </row>
    <row r="100" spans="17:31" ht="12.75" customHeight="1">
      <c r="Q100" s="360"/>
      <c r="R100" s="998" t="s">
        <v>191</v>
      </c>
      <c r="S100" s="999"/>
      <c r="T100" s="1000"/>
      <c r="U100" s="949" t="s">
        <v>500</v>
      </c>
      <c r="V100" s="938" t="s">
        <v>22</v>
      </c>
      <c r="W100" s="940" t="s">
        <v>579</v>
      </c>
      <c r="X100" s="942" t="s">
        <v>21</v>
      </c>
      <c r="Y100" s="361"/>
      <c r="Z100" s="364"/>
      <c r="AA100" s="367"/>
      <c r="AB100"/>
      <c r="AC100"/>
      <c r="AD100"/>
      <c r="AE100"/>
    </row>
    <row r="101" spans="17:31" ht="12.75" customHeight="1">
      <c r="Q101" s="360"/>
      <c r="R101" s="1001"/>
      <c r="S101" s="1002"/>
      <c r="T101" s="1003"/>
      <c r="U101" s="950"/>
      <c r="V101" s="939"/>
      <c r="W101" s="941"/>
      <c r="X101" s="943"/>
      <c r="Y101" s="361"/>
      <c r="Z101" s="364"/>
      <c r="AA101" s="367"/>
      <c r="AB101"/>
      <c r="AC101"/>
      <c r="AD101"/>
      <c r="AE101"/>
    </row>
    <row r="102" spans="17:31" ht="12.75" customHeight="1">
      <c r="Q102" s="360"/>
      <c r="R102" s="969" t="s">
        <v>63</v>
      </c>
      <c r="S102" s="969"/>
      <c r="T102" s="969"/>
      <c r="U102" s="537">
        <f>VLOOKUP(U69,'Lookup Exposure Time'!$B$12:$C$732,2)</f>
        <v>10</v>
      </c>
      <c r="V102" s="537">
        <f>VLOOKUP(V69,'Lookup Exposure Time'!$B$12:$C$732,2)</f>
        <v>2.5</v>
      </c>
      <c r="W102" s="537">
        <f>VLOOKUP(W69,'Lookup Exposure Time'!$B$12:$C$732,2)</f>
        <v>1.875</v>
      </c>
      <c r="X102" s="537">
        <f>VLOOKUP(X69,'Lookup Exposure Time'!$B$12:$C$732,2)</f>
        <v>0.39061999999999986</v>
      </c>
      <c r="Y102" s="361"/>
      <c r="Z102" s="364"/>
      <c r="AA102" s="367"/>
      <c r="AB102"/>
      <c r="AC102"/>
      <c r="AD102"/>
      <c r="AE102"/>
    </row>
    <row r="103" spans="17:31" ht="12.75" customHeight="1">
      <c r="Q103" s="360"/>
      <c r="R103" s="969" t="s">
        <v>64</v>
      </c>
      <c r="S103" s="969"/>
      <c r="T103" s="969"/>
      <c r="U103" s="537">
        <f>VLOOKUP(U70,'Lookup Exposure Time'!$B$12:$C$732,2)</f>
        <v>200</v>
      </c>
      <c r="V103" s="537">
        <f>VLOOKUP(V70,'Lookup Exposure Time'!$B$12:$C$732,2)</f>
        <v>50</v>
      </c>
      <c r="W103" s="537">
        <f>VLOOKUP(W70,'Lookup Exposure Time'!$B$12:$C$732,2)</f>
        <v>40</v>
      </c>
      <c r="X103" s="537">
        <f>VLOOKUP(X70,'Lookup Exposure Time'!$B$12:$C$732,2)</f>
        <v>7.5</v>
      </c>
      <c r="Y103" s="361"/>
      <c r="Z103" s="364"/>
      <c r="AA103" s="367"/>
      <c r="AB103"/>
      <c r="AC103"/>
      <c r="AD103"/>
      <c r="AE103"/>
    </row>
    <row r="104" spans="17:31" ht="12.75" customHeight="1">
      <c r="Q104" s="360"/>
      <c r="R104" s="364"/>
      <c r="S104" s="364"/>
      <c r="T104" s="364"/>
      <c r="U104" s="364"/>
      <c r="V104" s="364"/>
      <c r="W104" s="364"/>
      <c r="X104" s="364"/>
      <c r="Y104" s="363"/>
      <c r="Z104" s="364"/>
      <c r="AA104" s="367"/>
      <c r="AB104"/>
      <c r="AC104"/>
      <c r="AD104"/>
      <c r="AE104"/>
    </row>
    <row r="105" spans="17:31" ht="12.75" customHeight="1">
      <c r="Q105" s="360" t="s">
        <v>507</v>
      </c>
      <c r="R105" s="363" t="s">
        <v>513</v>
      </c>
      <c r="S105" s="363"/>
      <c r="T105" s="363"/>
      <c r="U105" s="363"/>
      <c r="V105" s="363"/>
      <c r="W105" s="363"/>
      <c r="X105" s="363"/>
      <c r="Y105" s="363"/>
      <c r="Z105" s="364"/>
      <c r="AA105" s="367"/>
      <c r="AB105"/>
      <c r="AC105"/>
      <c r="AD105"/>
      <c r="AE105"/>
    </row>
    <row r="106" spans="17:31" ht="12.75" customHeight="1">
      <c r="Q106" s="360"/>
      <c r="R106" s="998" t="s">
        <v>191</v>
      </c>
      <c r="S106" s="999"/>
      <c r="T106" s="1000"/>
      <c r="U106" s="949" t="s">
        <v>500</v>
      </c>
      <c r="V106" s="938" t="s">
        <v>22</v>
      </c>
      <c r="W106" s="940" t="s">
        <v>579</v>
      </c>
      <c r="X106" s="942" t="s">
        <v>21</v>
      </c>
      <c r="Y106" s="361"/>
      <c r="Z106" s="364"/>
      <c r="AA106" s="367"/>
      <c r="AB106"/>
      <c r="AC106"/>
      <c r="AD106"/>
      <c r="AE106"/>
    </row>
    <row r="107" spans="17:31" ht="12.75" customHeight="1">
      <c r="Q107" s="360"/>
      <c r="R107" s="1001"/>
      <c r="S107" s="1002"/>
      <c r="T107" s="1003"/>
      <c r="U107" s="950"/>
      <c r="V107" s="939"/>
      <c r="W107" s="941"/>
      <c r="X107" s="943"/>
      <c r="Y107" s="361"/>
      <c r="Z107" s="364"/>
      <c r="AA107" s="367"/>
      <c r="AB107"/>
      <c r="AC107"/>
      <c r="AD107"/>
      <c r="AE107"/>
    </row>
    <row r="108" spans="17:31" ht="12.75" customHeight="1">
      <c r="Q108" s="360"/>
      <c r="R108" s="969" t="s">
        <v>63</v>
      </c>
      <c r="S108" s="969"/>
      <c r="T108" s="969"/>
      <c r="U108" s="671">
        <f>VLOOKUP(U76,'Lookup Exposure Time'!$B$12:$C$732,2)</f>
        <v>2.5</v>
      </c>
      <c r="V108" s="671">
        <f>VLOOKUP(V76,'Lookup Exposure Time'!$B$12:$C$732,2)</f>
        <v>0.625</v>
      </c>
      <c r="W108" s="671">
        <f>VLOOKUP(W76,'Lookup Exposure Time'!$B$12:$C$732,2)</f>
        <v>0.46875</v>
      </c>
      <c r="X108" s="671">
        <f>VLOOKUP(X76,'Lookup Exposure Time'!$B$12:$C$732,2)</f>
        <v>9.765625E-2</v>
      </c>
      <c r="Y108" s="361"/>
      <c r="Z108" s="364"/>
      <c r="AA108" s="367"/>
      <c r="AB108"/>
      <c r="AC108"/>
      <c r="AD108"/>
      <c r="AE108"/>
    </row>
    <row r="109" spans="17:31" ht="12.75" customHeight="1">
      <c r="Q109" s="360"/>
      <c r="R109" s="969" t="s">
        <v>64</v>
      </c>
      <c r="S109" s="969"/>
      <c r="T109" s="969"/>
      <c r="U109" s="557">
        <f>VLOOKUP(U77,'Lookup Exposure Time'!$B$12:$C$732,2)</f>
        <v>50</v>
      </c>
      <c r="V109" s="557">
        <f>VLOOKUP(V77,'Lookup Exposure Time'!$B$12:$C$732,2)</f>
        <v>12.5</v>
      </c>
      <c r="W109" s="557">
        <f>VLOOKUP(W77,'Lookup Exposure Time'!$B$12:$C$732,2)</f>
        <v>10</v>
      </c>
      <c r="X109" s="557">
        <f>VLOOKUP(X77,'Lookup Exposure Time'!$B$12:$C$732,2)</f>
        <v>1.875</v>
      </c>
      <c r="Y109" s="361"/>
      <c r="Z109" s="364"/>
      <c r="AA109" s="367"/>
      <c r="AB109"/>
      <c r="AC109"/>
      <c r="AD109"/>
      <c r="AE109"/>
    </row>
    <row r="110" spans="17:31" ht="12.75" customHeight="1">
      <c r="Q110" s="360"/>
      <c r="R110" s="363"/>
      <c r="S110" s="363"/>
      <c r="T110" s="363"/>
      <c r="U110" s="363"/>
      <c r="V110" s="363"/>
      <c r="W110" s="363"/>
      <c r="X110" s="363"/>
      <c r="Y110" s="363"/>
      <c r="Z110" s="364"/>
      <c r="AA110" s="367"/>
      <c r="AB110"/>
      <c r="AC110"/>
      <c r="AD110"/>
      <c r="AE110"/>
    </row>
    <row r="111" spans="17:31" ht="12.75" customHeight="1">
      <c r="Q111" s="360" t="s">
        <v>508</v>
      </c>
      <c r="R111" s="363" t="s">
        <v>531</v>
      </c>
      <c r="S111" s="363"/>
      <c r="T111" s="363"/>
      <c r="U111" s="363"/>
      <c r="V111" s="363"/>
      <c r="W111" s="363"/>
      <c r="X111" s="363"/>
      <c r="Y111" s="363"/>
      <c r="Z111" s="364"/>
      <c r="AA111" s="367"/>
      <c r="AB111"/>
      <c r="AC111"/>
      <c r="AD111"/>
      <c r="AE111"/>
    </row>
    <row r="112" spans="17:31" ht="12.75" customHeight="1">
      <c r="Q112" s="360"/>
      <c r="R112" s="998" t="s">
        <v>191</v>
      </c>
      <c r="S112" s="999"/>
      <c r="T112" s="1000"/>
      <c r="U112" s="949" t="s">
        <v>500</v>
      </c>
      <c r="V112" s="938" t="s">
        <v>22</v>
      </c>
      <c r="W112" s="940" t="s">
        <v>579</v>
      </c>
      <c r="X112" s="942" t="s">
        <v>21</v>
      </c>
      <c r="Y112" s="361"/>
      <c r="Z112" s="364"/>
      <c r="AA112" s="367"/>
      <c r="AB112"/>
      <c r="AC112"/>
      <c r="AD112"/>
      <c r="AE112"/>
    </row>
    <row r="113" spans="17:31" ht="12.75" customHeight="1">
      <c r="Q113" s="360"/>
      <c r="R113" s="1001"/>
      <c r="S113" s="1002"/>
      <c r="T113" s="1003"/>
      <c r="U113" s="950"/>
      <c r="V113" s="939"/>
      <c r="W113" s="941"/>
      <c r="X113" s="943"/>
      <c r="Y113" s="361"/>
      <c r="Z113" s="364"/>
      <c r="AA113" s="367"/>
      <c r="AB113"/>
      <c r="AC113"/>
      <c r="AD113"/>
      <c r="AE113"/>
    </row>
    <row r="114" spans="17:31" ht="12.75" customHeight="1">
      <c r="Q114" s="360"/>
      <c r="R114" s="969" t="s">
        <v>63</v>
      </c>
      <c r="S114" s="969"/>
      <c r="T114" s="969"/>
      <c r="U114" s="537">
        <f t="shared" ref="U114:X115" si="0">U102/60</f>
        <v>0.16666666666666666</v>
      </c>
      <c r="V114" s="537">
        <f t="shared" si="0"/>
        <v>4.1666666666666664E-2</v>
      </c>
      <c r="W114" s="537">
        <f t="shared" si="0"/>
        <v>3.125E-2</v>
      </c>
      <c r="X114" s="537">
        <f t="shared" si="0"/>
        <v>6.5103333333333306E-3</v>
      </c>
      <c r="Y114" s="361"/>
      <c r="Z114" s="364"/>
      <c r="AA114" s="367"/>
      <c r="AB114"/>
      <c r="AC114"/>
      <c r="AD114"/>
      <c r="AE114"/>
    </row>
    <row r="115" spans="17:31" ht="12.75" customHeight="1">
      <c r="Q115" s="360"/>
      <c r="R115" s="969" t="s">
        <v>64</v>
      </c>
      <c r="S115" s="969"/>
      <c r="T115" s="969"/>
      <c r="U115" s="537">
        <f t="shared" si="0"/>
        <v>3.3333333333333335</v>
      </c>
      <c r="V115" s="537">
        <f t="shared" si="0"/>
        <v>0.83333333333333337</v>
      </c>
      <c r="W115" s="537">
        <f t="shared" si="0"/>
        <v>0.66666666666666663</v>
      </c>
      <c r="X115" s="537">
        <f t="shared" si="0"/>
        <v>0.125</v>
      </c>
      <c r="Y115" s="361"/>
      <c r="Z115" s="364"/>
      <c r="AA115" s="367"/>
      <c r="AB115"/>
      <c r="AC115"/>
      <c r="AD115"/>
      <c r="AE115"/>
    </row>
    <row r="116" spans="17:31" ht="12.75" customHeight="1">
      <c r="Q116" s="360"/>
      <c r="R116" s="364"/>
      <c r="S116" s="364"/>
      <c r="T116" s="364"/>
      <c r="U116" s="364"/>
      <c r="V116" s="364"/>
      <c r="W116" s="364"/>
      <c r="X116" s="364"/>
      <c r="Y116" s="363"/>
      <c r="Z116" s="364"/>
      <c r="AA116" s="367"/>
      <c r="AB116"/>
      <c r="AC116"/>
      <c r="AD116"/>
      <c r="AE116"/>
    </row>
    <row r="117" spans="17:31" ht="12.75" customHeight="1">
      <c r="Q117" s="360" t="s">
        <v>506</v>
      </c>
      <c r="R117" s="363" t="s">
        <v>532</v>
      </c>
      <c r="S117" s="363"/>
      <c r="T117" s="363"/>
      <c r="U117" s="363"/>
      <c r="V117" s="363"/>
      <c r="W117" s="363"/>
      <c r="X117" s="363"/>
      <c r="Y117" s="363"/>
      <c r="Z117" s="364"/>
      <c r="AA117" s="367"/>
      <c r="AB117"/>
      <c r="AC117"/>
      <c r="AD117"/>
      <c r="AE117"/>
    </row>
    <row r="118" spans="17:31" ht="12.75" customHeight="1">
      <c r="Q118" s="360"/>
      <c r="R118" s="998" t="s">
        <v>191</v>
      </c>
      <c r="S118" s="999"/>
      <c r="T118" s="1000"/>
      <c r="U118" s="949" t="s">
        <v>500</v>
      </c>
      <c r="V118" s="938" t="s">
        <v>22</v>
      </c>
      <c r="W118" s="940" t="s">
        <v>579</v>
      </c>
      <c r="X118" s="942" t="s">
        <v>21</v>
      </c>
      <c r="Y118" s="361"/>
      <c r="Z118" s="364"/>
      <c r="AA118" s="367"/>
      <c r="AB118"/>
      <c r="AC118"/>
      <c r="AD118"/>
      <c r="AE118"/>
    </row>
    <row r="119" spans="17:31" ht="12.75" customHeight="1">
      <c r="Q119" s="360"/>
      <c r="R119" s="1001"/>
      <c r="S119" s="1002"/>
      <c r="T119" s="1003"/>
      <c r="U119" s="950"/>
      <c r="V119" s="939"/>
      <c r="W119" s="941"/>
      <c r="X119" s="943"/>
      <c r="Y119" s="361"/>
      <c r="Z119" s="364"/>
      <c r="AA119" s="367"/>
      <c r="AB119"/>
      <c r="AC119"/>
      <c r="AD119"/>
      <c r="AE119"/>
    </row>
    <row r="120" spans="17:31" ht="12.75" customHeight="1">
      <c r="Q120" s="360"/>
      <c r="R120" s="969" t="s">
        <v>63</v>
      </c>
      <c r="S120" s="969"/>
      <c r="T120" s="969"/>
      <c r="U120" s="537">
        <f t="shared" ref="U120:X121" si="1">U108/60</f>
        <v>4.1666666666666664E-2</v>
      </c>
      <c r="V120" s="537">
        <f t="shared" si="1"/>
        <v>1.0416666666666666E-2</v>
      </c>
      <c r="W120" s="537">
        <f t="shared" si="1"/>
        <v>7.8125E-3</v>
      </c>
      <c r="X120" s="537">
        <f t="shared" si="1"/>
        <v>1.6276041666666667E-3</v>
      </c>
      <c r="Y120" s="361"/>
      <c r="Z120" s="364"/>
      <c r="AA120" s="367"/>
      <c r="AB120"/>
      <c r="AC120"/>
      <c r="AD120"/>
      <c r="AE120"/>
    </row>
    <row r="121" spans="17:31" ht="12.75" customHeight="1">
      <c r="Q121" s="360"/>
      <c r="R121" s="969" t="s">
        <v>64</v>
      </c>
      <c r="S121" s="969"/>
      <c r="T121" s="969"/>
      <c r="U121" s="537">
        <f t="shared" si="1"/>
        <v>0.83333333333333337</v>
      </c>
      <c r="V121" s="537">
        <f t="shared" si="1"/>
        <v>0.20833333333333334</v>
      </c>
      <c r="W121" s="537">
        <f t="shared" si="1"/>
        <v>0.16666666666666666</v>
      </c>
      <c r="X121" s="537">
        <f t="shared" si="1"/>
        <v>3.125E-2</v>
      </c>
      <c r="Y121" s="361"/>
      <c r="Z121" s="364"/>
      <c r="AA121" s="367"/>
      <c r="AB121"/>
      <c r="AC121"/>
      <c r="AD121"/>
      <c r="AE121"/>
    </row>
    <row r="122" spans="17:31" ht="12.75" customHeight="1">
      <c r="Q122" s="360"/>
      <c r="R122" s="363"/>
      <c r="S122" s="363"/>
      <c r="T122" s="363"/>
      <c r="U122" s="363"/>
      <c r="V122" s="363"/>
      <c r="W122" s="363"/>
      <c r="X122" s="363"/>
      <c r="Y122" s="363"/>
      <c r="Z122" s="364"/>
      <c r="AA122" s="367"/>
      <c r="AB122"/>
      <c r="AC122"/>
      <c r="AD122"/>
      <c r="AE122"/>
    </row>
    <row r="123" spans="17:31" ht="12.75" customHeight="1">
      <c r="Q123" s="546" t="s">
        <v>231</v>
      </c>
      <c r="R123" s="952" t="s">
        <v>232</v>
      </c>
      <c r="S123" s="952"/>
      <c r="T123" s="952"/>
      <c r="U123" s="952"/>
      <c r="V123" s="952"/>
      <c r="W123" s="952"/>
      <c r="X123" s="952"/>
      <c r="Y123" s="952"/>
      <c r="Z123" s="360"/>
      <c r="AA123" s="367"/>
      <c r="AB123"/>
      <c r="AC123"/>
      <c r="AD123"/>
      <c r="AE123"/>
    </row>
    <row r="124" spans="17:31" ht="12.75" customHeight="1">
      <c r="Q124" s="546"/>
      <c r="R124" s="360"/>
      <c r="S124" s="360"/>
      <c r="T124" s="360"/>
      <c r="U124" s="360"/>
      <c r="V124" s="360"/>
      <c r="W124" s="360"/>
      <c r="X124" s="360"/>
      <c r="Y124" s="360"/>
      <c r="Z124" s="360"/>
      <c r="AA124" s="367"/>
      <c r="AB124"/>
      <c r="AC124"/>
      <c r="AD124"/>
      <c r="AE124"/>
    </row>
    <row r="125" spans="17:31" ht="12.75" customHeight="1">
      <c r="Q125" s="546"/>
      <c r="R125" s="363" t="s">
        <v>233</v>
      </c>
      <c r="S125" s="363"/>
      <c r="T125" s="363"/>
      <c r="U125" s="363"/>
      <c r="V125" s="363"/>
      <c r="W125" s="363"/>
      <c r="X125" s="363"/>
      <c r="Y125" s="363"/>
      <c r="Z125" s="364"/>
      <c r="AA125" s="367"/>
      <c r="AB125"/>
      <c r="AC125"/>
      <c r="AD125"/>
      <c r="AE125"/>
    </row>
    <row r="126" spans="17:31" ht="12.75" customHeight="1">
      <c r="Q126" s="360"/>
      <c r="R126" s="998" t="s">
        <v>678</v>
      </c>
      <c r="S126" s="999"/>
      <c r="T126" s="1000"/>
      <c r="U126" s="949" t="s">
        <v>470</v>
      </c>
      <c r="V126" s="938" t="s">
        <v>22</v>
      </c>
      <c r="W126" s="940" t="s">
        <v>579</v>
      </c>
      <c r="X126" s="942" t="s">
        <v>21</v>
      </c>
      <c r="Y126" s="361"/>
      <c r="Z126" s="364"/>
      <c r="AA126" s="367"/>
      <c r="AB126"/>
      <c r="AC126"/>
      <c r="AD126"/>
      <c r="AE126"/>
    </row>
    <row r="127" spans="17:31" ht="12.75" customHeight="1">
      <c r="Q127" s="360"/>
      <c r="R127" s="1001"/>
      <c r="S127" s="1002"/>
      <c r="T127" s="1003"/>
      <c r="U127" s="950"/>
      <c r="V127" s="939"/>
      <c r="W127" s="941"/>
      <c r="X127" s="943"/>
      <c r="Y127" s="361"/>
      <c r="Z127" s="364"/>
      <c r="AA127" s="367"/>
      <c r="AB127"/>
      <c r="AC127"/>
      <c r="AD127"/>
      <c r="AE127"/>
    </row>
    <row r="128" spans="17:31" ht="12.75" customHeight="1">
      <c r="Q128" s="360"/>
      <c r="R128" s="969" t="s">
        <v>234</v>
      </c>
      <c r="S128" s="969"/>
      <c r="T128" s="969"/>
      <c r="U128" s="672">
        <v>8.3000000000000007</v>
      </c>
      <c r="V128" s="672">
        <f>VLOOKUP($V$5,'Lookup Vibration'!$B$8:$F$208,3)</f>
        <v>18.049999999999951</v>
      </c>
      <c r="W128" s="672">
        <f>VLOOKUP($V$5,'Lookup Vibration'!$B$8:$F$208,4)</f>
        <v>19.950000000000074</v>
      </c>
      <c r="X128" s="672">
        <f>VLOOKUP($V$5,'Lookup Vibration'!$B$8:$F$208,2)</f>
        <v>18.049999999999951</v>
      </c>
      <c r="Y128" s="361"/>
      <c r="Z128" s="364"/>
      <c r="AA128" s="367"/>
      <c r="AB128"/>
      <c r="AC128"/>
      <c r="AD128"/>
      <c r="AE128"/>
    </row>
    <row r="129" spans="17:31" ht="12.75" customHeight="1">
      <c r="Q129" s="360"/>
      <c r="R129" s="363"/>
      <c r="S129" s="363"/>
      <c r="T129" s="363"/>
      <c r="U129" s="363"/>
      <c r="V129" s="363"/>
      <c r="W129" s="363"/>
      <c r="X129" s="363"/>
      <c r="Y129" s="363"/>
      <c r="Z129" s="364"/>
      <c r="AA129" s="367"/>
      <c r="AB129"/>
      <c r="AC129"/>
      <c r="AD129"/>
      <c r="AE129"/>
    </row>
    <row r="130" spans="17:31" ht="12.75" customHeight="1">
      <c r="Q130" s="546" t="s">
        <v>235</v>
      </c>
      <c r="R130" s="952" t="s">
        <v>34</v>
      </c>
      <c r="S130" s="952"/>
      <c r="T130" s="952"/>
      <c r="U130" s="952"/>
      <c r="V130" s="952"/>
      <c r="W130" s="952"/>
      <c r="X130" s="952"/>
      <c r="Y130" s="952"/>
      <c r="Z130" s="360"/>
      <c r="AA130" s="367"/>
      <c r="AB130"/>
      <c r="AC130"/>
      <c r="AD130"/>
      <c r="AE130"/>
    </row>
    <row r="131" spans="17:31" ht="12.75" customHeight="1">
      <c r="Q131" s="546"/>
      <c r="R131" s="363"/>
      <c r="S131" s="363"/>
      <c r="T131" s="363"/>
      <c r="U131" s="363"/>
      <c r="V131" s="363"/>
      <c r="W131" s="363"/>
      <c r="X131" s="363"/>
      <c r="Y131" s="363"/>
      <c r="Z131" s="364"/>
      <c r="AA131" s="367"/>
      <c r="AB131"/>
      <c r="AC131"/>
      <c r="AD131"/>
      <c r="AE131"/>
    </row>
    <row r="132" spans="17:31" ht="12.75" customHeight="1">
      <c r="Q132" s="360"/>
      <c r="R132" s="998" t="s">
        <v>678</v>
      </c>
      <c r="S132" s="999"/>
      <c r="T132" s="1000"/>
      <c r="U132" s="949" t="s">
        <v>500</v>
      </c>
      <c r="V132" s="938" t="s">
        <v>22</v>
      </c>
      <c r="W132" s="940" t="s">
        <v>579</v>
      </c>
      <c r="X132" s="942" t="s">
        <v>21</v>
      </c>
      <c r="Y132" s="361"/>
      <c r="Z132" s="364"/>
      <c r="AA132" s="367"/>
      <c r="AB132"/>
      <c r="AC132"/>
      <c r="AD132"/>
      <c r="AE132"/>
    </row>
    <row r="133" spans="17:31" ht="12.75" customHeight="1">
      <c r="Q133" s="360"/>
      <c r="R133" s="1001"/>
      <c r="S133" s="1002"/>
      <c r="T133" s="1003"/>
      <c r="U133" s="950"/>
      <c r="V133" s="939"/>
      <c r="W133" s="941"/>
      <c r="X133" s="943"/>
      <c r="Y133" s="361"/>
      <c r="Z133" s="364"/>
      <c r="AA133" s="367"/>
      <c r="AB133"/>
      <c r="AC133"/>
      <c r="AD133"/>
      <c r="AE133"/>
    </row>
    <row r="134" spans="17:31" ht="12.75" customHeight="1">
      <c r="Q134" s="360"/>
      <c r="R134" s="1004" t="s">
        <v>298</v>
      </c>
      <c r="S134" s="1004"/>
      <c r="T134" s="1004"/>
      <c r="U134" s="673" t="s">
        <v>819</v>
      </c>
      <c r="V134" s="673" t="s">
        <v>818</v>
      </c>
      <c r="W134" s="673" t="s">
        <v>819</v>
      </c>
      <c r="X134" s="673" t="s">
        <v>818</v>
      </c>
      <c r="Y134" s="361"/>
      <c r="Z134" s="364"/>
      <c r="AA134" s="367"/>
      <c r="AB134"/>
      <c r="AC134"/>
      <c r="AD134"/>
      <c r="AE134"/>
    </row>
    <row r="135" spans="17:31" ht="12.75" customHeight="1">
      <c r="Q135" s="360"/>
      <c r="R135" s="931" t="s">
        <v>299</v>
      </c>
      <c r="S135" s="931"/>
      <c r="T135" s="931"/>
      <c r="U135" s="673" t="s">
        <v>297</v>
      </c>
      <c r="V135" s="673" t="s">
        <v>296</v>
      </c>
      <c r="W135" s="673" t="s">
        <v>296</v>
      </c>
      <c r="X135" s="673" t="s">
        <v>296</v>
      </c>
      <c r="Y135" s="361"/>
      <c r="Z135" s="364"/>
      <c r="AA135" s="367"/>
      <c r="AB135"/>
      <c r="AC135"/>
      <c r="AD135"/>
      <c r="AE135"/>
    </row>
    <row r="136" spans="17:31" ht="12.75" customHeight="1">
      <c r="Q136" s="360"/>
      <c r="R136" s="363"/>
      <c r="S136" s="363"/>
      <c r="T136" s="363"/>
      <c r="U136" s="363"/>
      <c r="V136" s="363"/>
      <c r="W136" s="363"/>
      <c r="X136" s="363"/>
      <c r="Y136" s="363"/>
      <c r="Z136" s="363"/>
      <c r="AA136" s="367"/>
      <c r="AB136"/>
      <c r="AC136"/>
      <c r="AD136"/>
      <c r="AE136"/>
    </row>
    <row r="137" spans="17:31" ht="12.75" customHeight="1">
      <c r="Q137" s="546" t="s">
        <v>236</v>
      </c>
      <c r="R137" s="952" t="s">
        <v>237</v>
      </c>
      <c r="S137" s="952"/>
      <c r="T137" s="952"/>
      <c r="U137" s="952"/>
      <c r="V137" s="952"/>
      <c r="W137" s="952"/>
      <c r="X137" s="952"/>
      <c r="Y137" s="952"/>
      <c r="Z137" s="360"/>
      <c r="AA137" s="367"/>
      <c r="AB137"/>
      <c r="AC137"/>
      <c r="AD137"/>
      <c r="AE137"/>
    </row>
    <row r="138" spans="17:31" ht="12.75" customHeight="1">
      <c r="Q138" s="360"/>
      <c r="R138" s="363"/>
      <c r="S138" s="363"/>
      <c r="T138" s="363"/>
      <c r="U138" s="363"/>
      <c r="V138" s="363"/>
      <c r="W138" s="363"/>
      <c r="X138" s="363"/>
      <c r="Y138" s="363"/>
      <c r="Z138" s="363"/>
      <c r="AA138" s="367"/>
      <c r="AB138"/>
      <c r="AC138"/>
      <c r="AD138"/>
      <c r="AE138"/>
    </row>
    <row r="139" spans="17:31" ht="12.75" customHeight="1">
      <c r="Q139" s="668" t="s">
        <v>238</v>
      </c>
      <c r="R139" s="364" t="s">
        <v>239</v>
      </c>
      <c r="S139" s="364"/>
      <c r="T139" s="364"/>
      <c r="U139" s="364"/>
      <c r="V139" s="364"/>
      <c r="W139" s="364"/>
      <c r="X139" s="364"/>
      <c r="Y139" s="364"/>
      <c r="Z139" s="364"/>
      <c r="AA139" s="367"/>
      <c r="AB139"/>
      <c r="AC139"/>
      <c r="AD139"/>
      <c r="AE139"/>
    </row>
    <row r="140" spans="17:31" ht="12.75" customHeight="1">
      <c r="Q140" s="668"/>
      <c r="R140" s="364" t="s">
        <v>469</v>
      </c>
      <c r="S140" s="364"/>
      <c r="T140" s="364"/>
      <c r="U140" s="364"/>
      <c r="V140" s="364"/>
      <c r="W140" s="364"/>
      <c r="X140" s="364"/>
      <c r="Y140" s="364"/>
      <c r="Z140" s="364"/>
      <c r="AA140" s="367"/>
      <c r="AB140"/>
      <c r="AC140"/>
      <c r="AD140"/>
      <c r="AE140"/>
    </row>
    <row r="141" spans="17:31" ht="12.75" customHeight="1">
      <c r="Q141" s="668"/>
      <c r="R141" s="364"/>
      <c r="S141" s="364"/>
      <c r="T141" s="364"/>
      <c r="U141" s="364"/>
      <c r="V141" s="364"/>
      <c r="W141" s="364"/>
      <c r="X141" s="364"/>
      <c r="Y141" s="364"/>
      <c r="Z141" s="364"/>
      <c r="AA141" s="367"/>
      <c r="AB141"/>
      <c r="AC141"/>
      <c r="AD141"/>
      <c r="AE141"/>
    </row>
    <row r="142" spans="17:31" ht="12.75" customHeight="1">
      <c r="Q142" s="668"/>
      <c r="R142" s="1005" t="s">
        <v>734</v>
      </c>
      <c r="S142" s="1006"/>
      <c r="T142" s="1006"/>
      <c r="U142" s="1006"/>
      <c r="V142" s="1006"/>
      <c r="W142" s="1007"/>
      <c r="X142" s="351">
        <f>'Compressor Input Data'!G5</f>
        <v>22800</v>
      </c>
      <c r="Y142" s="364"/>
      <c r="Z142" s="364"/>
      <c r="AA142" s="367"/>
      <c r="AB142"/>
      <c r="AC142"/>
      <c r="AD142"/>
      <c r="AE142"/>
    </row>
    <row r="143" spans="17:31" ht="12.75" customHeight="1">
      <c r="Q143" s="668"/>
      <c r="R143" s="990" t="s">
        <v>430</v>
      </c>
      <c r="S143" s="991"/>
      <c r="T143" s="992"/>
      <c r="U143" s="949" t="s">
        <v>500</v>
      </c>
      <c r="V143" s="938" t="s">
        <v>22</v>
      </c>
      <c r="W143" s="940" t="s">
        <v>579</v>
      </c>
      <c r="X143" s="942" t="s">
        <v>21</v>
      </c>
      <c r="Y143" s="361"/>
      <c r="Z143" s="364"/>
      <c r="AA143" s="367"/>
      <c r="AB143"/>
      <c r="AC143"/>
      <c r="AD143"/>
      <c r="AE143"/>
    </row>
    <row r="144" spans="17:31" ht="12.75" customHeight="1">
      <c r="Q144" s="668"/>
      <c r="R144" s="993"/>
      <c r="S144" s="994"/>
      <c r="T144" s="995"/>
      <c r="U144" s="950"/>
      <c r="V144" s="939"/>
      <c r="W144" s="941"/>
      <c r="X144" s="943"/>
      <c r="Y144" s="361"/>
      <c r="Z144" s="364"/>
      <c r="AA144" s="367"/>
      <c r="AB144"/>
      <c r="AC144"/>
      <c r="AD144"/>
      <c r="AE144"/>
    </row>
    <row r="145" spans="17:31" ht="12.75" customHeight="1">
      <c r="Q145" s="668"/>
      <c r="R145" s="973" t="s">
        <v>555</v>
      </c>
      <c r="S145" s="973"/>
      <c r="T145" s="973"/>
      <c r="U145" s="996"/>
      <c r="V145" s="544">
        <f>X145</f>
        <v>22800</v>
      </c>
      <c r="W145" s="544">
        <f>X145</f>
        <v>22800</v>
      </c>
      <c r="X145" s="544">
        <f>X142</f>
        <v>22800</v>
      </c>
      <c r="Y145" s="361"/>
      <c r="Z145" s="364"/>
      <c r="AA145" s="367"/>
      <c r="AB145"/>
      <c r="AC145"/>
      <c r="AD145"/>
      <c r="AE145"/>
    </row>
    <row r="146" spans="17:31" ht="12.75" customHeight="1">
      <c r="Q146" s="668"/>
      <c r="R146" s="973" t="s">
        <v>549</v>
      </c>
      <c r="S146" s="973"/>
      <c r="T146" s="973"/>
      <c r="U146" s="997"/>
      <c r="V146" s="544">
        <f>X146</f>
        <v>24</v>
      </c>
      <c r="W146" s="544">
        <f>V146</f>
        <v>24</v>
      </c>
      <c r="X146" s="544">
        <f>'Compressor Input Data'!J15</f>
        <v>24</v>
      </c>
      <c r="Y146" s="361"/>
      <c r="Z146" s="364"/>
      <c r="AA146" s="367"/>
      <c r="AB146"/>
      <c r="AC146"/>
      <c r="AD146"/>
      <c r="AE146"/>
    </row>
    <row r="147" spans="17:31" ht="12.75" customHeight="1">
      <c r="Q147" s="668"/>
      <c r="R147" s="970" t="s">
        <v>556</v>
      </c>
      <c r="S147" s="971"/>
      <c r="T147" s="972"/>
      <c r="U147" s="566">
        <f>U62</f>
        <v>2.6666666666666665</v>
      </c>
      <c r="V147" s="566">
        <f>V62</f>
        <v>1.9999999999999996</v>
      </c>
      <c r="W147" s="566">
        <f>W62</f>
        <v>1.7391304347826084</v>
      </c>
      <c r="X147" s="566">
        <f>X62</f>
        <v>1.4285714285714284</v>
      </c>
      <c r="Y147" s="361"/>
      <c r="Z147" s="364"/>
      <c r="AA147" s="367"/>
      <c r="AB147"/>
      <c r="AC147"/>
      <c r="AD147"/>
      <c r="AE147"/>
    </row>
    <row r="148" spans="17:31" ht="12.75" customHeight="1">
      <c r="Q148" s="668"/>
      <c r="R148" s="973" t="s">
        <v>575</v>
      </c>
      <c r="S148" s="973"/>
      <c r="T148" s="973"/>
      <c r="U148" s="531">
        <f>W148</f>
        <v>0.22500000000000001</v>
      </c>
      <c r="V148" s="531">
        <f>X148</f>
        <v>0.22500000000000001</v>
      </c>
      <c r="W148" s="531">
        <f>V148</f>
        <v>0.22500000000000001</v>
      </c>
      <c r="X148" s="531">
        <f>'Compressor Input Data'!J17</f>
        <v>0.22500000000000001</v>
      </c>
      <c r="Y148" s="361"/>
      <c r="Z148" s="364"/>
      <c r="AA148" s="367"/>
      <c r="AB148"/>
      <c r="AC148"/>
      <c r="AD148"/>
      <c r="AE148"/>
    </row>
    <row r="149" spans="17:31" ht="12.75" customHeight="1">
      <c r="Q149" s="668"/>
      <c r="R149" s="987"/>
      <c r="S149" s="988"/>
      <c r="T149" s="988"/>
      <c r="U149" s="988"/>
      <c r="V149" s="988"/>
      <c r="W149" s="988"/>
      <c r="X149" s="989"/>
      <c r="Y149" s="364"/>
      <c r="Z149" s="364"/>
      <c r="AA149" s="367"/>
      <c r="AB149"/>
      <c r="AC149"/>
      <c r="AD149"/>
      <c r="AE149"/>
    </row>
    <row r="150" spans="17:31" ht="12.75" customHeight="1">
      <c r="Q150" s="668"/>
      <c r="R150" s="990" t="s">
        <v>467</v>
      </c>
      <c r="S150" s="991"/>
      <c r="T150" s="992"/>
      <c r="U150" s="949" t="s">
        <v>500</v>
      </c>
      <c r="V150" s="938" t="s">
        <v>22</v>
      </c>
      <c r="W150" s="940" t="s">
        <v>579</v>
      </c>
      <c r="X150" s="942" t="s">
        <v>21</v>
      </c>
      <c r="Y150" s="361"/>
      <c r="Z150" s="364"/>
      <c r="AA150" s="367"/>
      <c r="AB150"/>
      <c r="AC150"/>
      <c r="AD150"/>
      <c r="AE150"/>
    </row>
    <row r="151" spans="17:31" ht="12.75" customHeight="1">
      <c r="Q151" s="668"/>
      <c r="R151" s="993"/>
      <c r="S151" s="994"/>
      <c r="T151" s="995"/>
      <c r="U151" s="950"/>
      <c r="V151" s="939"/>
      <c r="W151" s="941"/>
      <c r="X151" s="943"/>
      <c r="Y151" s="361"/>
      <c r="Z151" s="364"/>
      <c r="AA151" s="367"/>
      <c r="AB151"/>
      <c r="AC151"/>
      <c r="AD151"/>
      <c r="AE151"/>
    </row>
    <row r="152" spans="17:31" ht="12.75" customHeight="1">
      <c r="Q152" s="668"/>
      <c r="R152" s="973" t="s">
        <v>554</v>
      </c>
      <c r="S152" s="973"/>
      <c r="T152" s="973"/>
      <c r="U152" s="986"/>
      <c r="V152" s="569">
        <f>X152</f>
        <v>1</v>
      </c>
      <c r="W152" s="570">
        <f>V152</f>
        <v>1</v>
      </c>
      <c r="X152" s="570">
        <f>'Compressor Input Data'!J20</f>
        <v>1</v>
      </c>
      <c r="Y152" s="361"/>
      <c r="Z152" s="364"/>
      <c r="AA152" s="367"/>
      <c r="AB152"/>
      <c r="AC152"/>
      <c r="AD152"/>
      <c r="AE152"/>
    </row>
    <row r="153" spans="17:31" ht="12.75" customHeight="1">
      <c r="Q153" s="668"/>
      <c r="R153" s="983" t="s">
        <v>551</v>
      </c>
      <c r="S153" s="984"/>
      <c r="T153" s="985"/>
      <c r="U153" s="986"/>
      <c r="V153" s="571">
        <f>V147/V146</f>
        <v>8.3333333333333315E-2</v>
      </c>
      <c r="W153" s="571">
        <f>W147/W146</f>
        <v>7.2463768115942018E-2</v>
      </c>
      <c r="X153" s="571">
        <f>X147/X146</f>
        <v>5.9523809523809514E-2</v>
      </c>
      <c r="Y153" s="361"/>
      <c r="Z153" s="364"/>
      <c r="AA153" s="367"/>
      <c r="AB153"/>
      <c r="AC153"/>
      <c r="AD153"/>
      <c r="AE153"/>
    </row>
    <row r="154" spans="17:31" ht="12.75" customHeight="1">
      <c r="Q154" s="668"/>
      <c r="R154" s="973" t="s">
        <v>552</v>
      </c>
      <c r="S154" s="973"/>
      <c r="T154" s="973"/>
      <c r="U154" s="986"/>
      <c r="V154" s="572">
        <f>X154</f>
        <v>0.6</v>
      </c>
      <c r="W154" s="572">
        <f>V154</f>
        <v>0.6</v>
      </c>
      <c r="X154" s="572">
        <f>'Compressor Input Data'!J22</f>
        <v>0.6</v>
      </c>
      <c r="Y154" s="361"/>
      <c r="Z154" s="364"/>
      <c r="AA154" s="367"/>
      <c r="AB154"/>
      <c r="AC154"/>
      <c r="AD154"/>
      <c r="AE154"/>
    </row>
    <row r="155" spans="17:31" ht="12.75" customHeight="1">
      <c r="Q155" s="668"/>
      <c r="R155" s="987"/>
      <c r="S155" s="988"/>
      <c r="T155" s="988"/>
      <c r="U155" s="988"/>
      <c r="V155" s="988"/>
      <c r="W155" s="988"/>
      <c r="X155" s="989"/>
      <c r="Y155" s="364"/>
      <c r="Z155" s="364"/>
      <c r="AA155" s="367"/>
      <c r="AB155"/>
      <c r="AC155"/>
      <c r="AD155"/>
      <c r="AE155"/>
    </row>
    <row r="156" spans="17:31" ht="12.75" customHeight="1">
      <c r="Q156" s="668"/>
      <c r="R156" s="990" t="s">
        <v>468</v>
      </c>
      <c r="S156" s="991"/>
      <c r="T156" s="992"/>
      <c r="U156" s="949" t="s">
        <v>500</v>
      </c>
      <c r="V156" s="938" t="s">
        <v>22</v>
      </c>
      <c r="W156" s="940" t="s">
        <v>579</v>
      </c>
      <c r="X156" s="942" t="s">
        <v>21</v>
      </c>
      <c r="Y156" s="361"/>
      <c r="Z156" s="364"/>
      <c r="AA156" s="367"/>
      <c r="AB156"/>
      <c r="AC156"/>
      <c r="AD156"/>
      <c r="AE156"/>
    </row>
    <row r="157" spans="17:31" ht="12.75" customHeight="1">
      <c r="Q157" s="668"/>
      <c r="R157" s="993"/>
      <c r="S157" s="994"/>
      <c r="T157" s="995"/>
      <c r="U157" s="950"/>
      <c r="V157" s="939"/>
      <c r="W157" s="941"/>
      <c r="X157" s="943"/>
      <c r="Y157" s="361"/>
      <c r="Z157" s="364"/>
      <c r="AA157" s="367"/>
      <c r="AB157"/>
      <c r="AC157"/>
      <c r="AD157"/>
      <c r="AE157"/>
    </row>
    <row r="158" spans="17:31" ht="12.75" customHeight="1">
      <c r="Q158" s="668"/>
      <c r="R158" s="973" t="s">
        <v>554</v>
      </c>
      <c r="S158" s="973"/>
      <c r="T158" s="973"/>
      <c r="U158" s="980"/>
      <c r="V158" s="572">
        <f>X158</f>
        <v>0.5</v>
      </c>
      <c r="W158" s="572">
        <f>V158</f>
        <v>0.5</v>
      </c>
      <c r="X158" s="572">
        <f>'Compressor Input Data'!J25</f>
        <v>0.5</v>
      </c>
      <c r="Y158" s="361"/>
      <c r="Z158" s="364"/>
      <c r="AA158" s="367"/>
      <c r="AB158"/>
      <c r="AC158"/>
      <c r="AD158"/>
      <c r="AE158"/>
    </row>
    <row r="159" spans="17:31" ht="12.75" customHeight="1">
      <c r="Q159" s="668"/>
      <c r="R159" s="983" t="s">
        <v>551</v>
      </c>
      <c r="S159" s="984"/>
      <c r="T159" s="985"/>
      <c r="U159" s="981"/>
      <c r="V159" s="572">
        <f>V152-V153</f>
        <v>0.91666666666666674</v>
      </c>
      <c r="W159" s="572">
        <f>W152-W153</f>
        <v>0.92753623188405798</v>
      </c>
      <c r="X159" s="572">
        <f>X152-X153</f>
        <v>0.94047619047619047</v>
      </c>
      <c r="Y159" s="361"/>
      <c r="Z159" s="364"/>
      <c r="AA159" s="367"/>
      <c r="AB159"/>
      <c r="AC159"/>
      <c r="AD159"/>
      <c r="AE159"/>
    </row>
    <row r="160" spans="17:31" ht="12.75" customHeight="1">
      <c r="Q160" s="668"/>
      <c r="R160" s="973" t="s">
        <v>552</v>
      </c>
      <c r="S160" s="973"/>
      <c r="T160" s="973"/>
      <c r="U160" s="982"/>
      <c r="V160" s="572">
        <f>X160</f>
        <v>0.6</v>
      </c>
      <c r="W160" s="572">
        <f>V160</f>
        <v>0.6</v>
      </c>
      <c r="X160" s="572">
        <f>'Compressor Input Data'!J27</f>
        <v>0.6</v>
      </c>
      <c r="Y160" s="361"/>
      <c r="Z160" s="364"/>
      <c r="AA160" s="367"/>
      <c r="AB160"/>
      <c r="AC160"/>
      <c r="AD160"/>
      <c r="AE160"/>
    </row>
    <row r="161" spans="17:31" ht="12.75" customHeight="1">
      <c r="Q161" s="668"/>
      <c r="R161" s="567"/>
      <c r="S161" s="568"/>
      <c r="T161" s="568"/>
      <c r="U161" s="573"/>
      <c r="V161" s="573"/>
      <c r="W161" s="573"/>
      <c r="X161" s="574"/>
      <c r="Y161" s="364"/>
      <c r="Z161" s="364"/>
      <c r="AA161" s="367"/>
      <c r="AB161"/>
      <c r="AC161"/>
      <c r="AD161"/>
      <c r="AE161"/>
    </row>
    <row r="162" spans="17:31" ht="12.75" customHeight="1">
      <c r="Q162" s="668"/>
      <c r="R162" s="901" t="s">
        <v>471</v>
      </c>
      <c r="S162" s="901"/>
      <c r="T162" s="901"/>
      <c r="U162" s="930" t="s">
        <v>500</v>
      </c>
      <c r="V162" s="928" t="s">
        <v>22</v>
      </c>
      <c r="W162" s="929" t="s">
        <v>579</v>
      </c>
      <c r="X162" s="927" t="s">
        <v>21</v>
      </c>
      <c r="Y162" s="361"/>
      <c r="Z162" s="364"/>
      <c r="AA162" s="367"/>
      <c r="AB162"/>
      <c r="AC162"/>
      <c r="AD162"/>
      <c r="AE162"/>
    </row>
    <row r="163" spans="17:31" ht="12.75" customHeight="1">
      <c r="Q163" s="668"/>
      <c r="R163" s="901"/>
      <c r="S163" s="901"/>
      <c r="T163" s="901"/>
      <c r="U163" s="930"/>
      <c r="V163" s="928"/>
      <c r="W163" s="929"/>
      <c r="X163" s="927"/>
      <c r="Y163" s="361"/>
      <c r="Z163" s="364"/>
      <c r="AA163" s="367"/>
      <c r="AB163"/>
      <c r="AC163"/>
      <c r="AD163"/>
      <c r="AE163"/>
    </row>
    <row r="164" spans="17:31" ht="12.75" customHeight="1">
      <c r="Q164" s="668"/>
      <c r="R164" s="973" t="s">
        <v>472</v>
      </c>
      <c r="S164" s="973"/>
      <c r="T164" s="973"/>
      <c r="U164" s="544">
        <f>$V$224</f>
        <v>938.66666666666674</v>
      </c>
      <c r="V164" s="544">
        <f>($V$145*$V$146*$V$153*$V$152)/$V$154</f>
        <v>75999.999999999985</v>
      </c>
      <c r="W164" s="544">
        <f>($W$145*$W$146*$W$153*$W$152)/$W$154</f>
        <v>66086.956521739121</v>
      </c>
      <c r="X164" s="544">
        <f>($X$145*$X$146*$X$153*$X$152)/$X$154</f>
        <v>54285.714285714275</v>
      </c>
      <c r="Y164" s="361"/>
      <c r="Z164" s="364"/>
      <c r="AA164" s="367"/>
      <c r="AB164"/>
      <c r="AC164"/>
      <c r="AD164"/>
      <c r="AE164"/>
    </row>
    <row r="165" spans="17:31" ht="12.75" customHeight="1">
      <c r="Q165" s="668"/>
      <c r="R165" s="973" t="s">
        <v>473</v>
      </c>
      <c r="S165" s="973"/>
      <c r="T165" s="973"/>
      <c r="U165" s="543"/>
      <c r="V165" s="544">
        <f>($V$145*$V$146*$V$159*$V$158)/$V$160</f>
        <v>418000.00000000006</v>
      </c>
      <c r="W165" s="544">
        <f>($W$145*$W$146*$W$159*$W$158)/$W$160</f>
        <v>422956.52173913049</v>
      </c>
      <c r="X165" s="544">
        <f>($X$145*$X$146*$X$159*$X$158)/$X$160</f>
        <v>428857.14285714284</v>
      </c>
      <c r="Y165" s="361"/>
      <c r="Z165" s="364"/>
      <c r="AA165" s="367"/>
      <c r="AB165"/>
      <c r="AC165"/>
      <c r="AD165"/>
      <c r="AE165"/>
    </row>
    <row r="166" spans="17:31" ht="12.75" customHeight="1">
      <c r="Q166" s="668"/>
      <c r="R166" s="567"/>
      <c r="S166" s="568"/>
      <c r="T166" s="568"/>
      <c r="U166" s="573"/>
      <c r="V166" s="573"/>
      <c r="W166" s="573"/>
      <c r="X166" s="574"/>
      <c r="Y166" s="364"/>
      <c r="Z166" s="364"/>
      <c r="AA166" s="367"/>
      <c r="AB166"/>
      <c r="AC166"/>
      <c r="AD166"/>
      <c r="AE166"/>
    </row>
    <row r="167" spans="17:31" ht="12.75" customHeight="1">
      <c r="Q167" s="668"/>
      <c r="R167" s="901" t="s">
        <v>474</v>
      </c>
      <c r="S167" s="901"/>
      <c r="T167" s="901"/>
      <c r="U167" s="930" t="s">
        <v>500</v>
      </c>
      <c r="V167" s="928" t="s">
        <v>22</v>
      </c>
      <c r="W167" s="929" t="s">
        <v>579</v>
      </c>
      <c r="X167" s="927" t="s">
        <v>21</v>
      </c>
      <c r="Y167" s="361"/>
      <c r="Z167" s="364"/>
      <c r="AA167" s="367"/>
      <c r="AB167"/>
      <c r="AC167"/>
      <c r="AD167"/>
      <c r="AE167"/>
    </row>
    <row r="168" spans="17:31" ht="12.75" customHeight="1">
      <c r="Q168" s="668"/>
      <c r="R168" s="901"/>
      <c r="S168" s="901"/>
      <c r="T168" s="901"/>
      <c r="U168" s="930"/>
      <c r="V168" s="928"/>
      <c r="W168" s="929"/>
      <c r="X168" s="927"/>
      <c r="Y168" s="361"/>
      <c r="Z168" s="364"/>
      <c r="AA168" s="367"/>
      <c r="AB168"/>
      <c r="AC168"/>
      <c r="AD168"/>
      <c r="AE168"/>
    </row>
    <row r="169" spans="17:31" ht="12.75" customHeight="1">
      <c r="Q169" s="668"/>
      <c r="R169" s="973" t="s">
        <v>472</v>
      </c>
      <c r="S169" s="973"/>
      <c r="T169" s="973"/>
      <c r="U169" s="544">
        <f>U164*$V$11</f>
        <v>21589.333333333336</v>
      </c>
      <c r="V169" s="544">
        <f>V164*$V$11</f>
        <v>1747999.9999999998</v>
      </c>
      <c r="W169" s="544">
        <f>W164*$V$11</f>
        <v>1519999.9999999998</v>
      </c>
      <c r="X169" s="544">
        <f>X164*$V$11</f>
        <v>1248571.4285714284</v>
      </c>
      <c r="Y169" s="361"/>
      <c r="Z169" s="364"/>
      <c r="AA169" s="367"/>
      <c r="AB169"/>
      <c r="AC169"/>
      <c r="AD169"/>
      <c r="AE169"/>
    </row>
    <row r="170" spans="17:31" ht="12.75" customHeight="1">
      <c r="Q170" s="668"/>
      <c r="R170" s="973" t="s">
        <v>473</v>
      </c>
      <c r="S170" s="973"/>
      <c r="T170" s="973"/>
      <c r="U170" s="543"/>
      <c r="V170" s="544">
        <f>V165*$V$11</f>
        <v>9614000.0000000019</v>
      </c>
      <c r="W170" s="544">
        <f>W165*$V$11</f>
        <v>9728000.0000000019</v>
      </c>
      <c r="X170" s="544">
        <f>X165*$V$11</f>
        <v>9863714.2857142854</v>
      </c>
      <c r="Y170" s="361"/>
      <c r="Z170" s="364"/>
      <c r="AA170" s="367"/>
      <c r="AB170"/>
      <c r="AC170"/>
      <c r="AD170"/>
      <c r="AE170"/>
    </row>
    <row r="171" spans="17:31" ht="12.75" customHeight="1">
      <c r="Q171" s="668"/>
      <c r="R171" s="567"/>
      <c r="S171" s="568"/>
      <c r="T171" s="568"/>
      <c r="U171" s="573"/>
      <c r="V171" s="573"/>
      <c r="W171" s="573"/>
      <c r="X171" s="574"/>
      <c r="Y171" s="364"/>
      <c r="Z171" s="364"/>
      <c r="AA171" s="367"/>
      <c r="AB171"/>
      <c r="AC171"/>
      <c r="AD171"/>
      <c r="AE171"/>
    </row>
    <row r="172" spans="17:31" ht="12.75" customHeight="1">
      <c r="Q172" s="668"/>
      <c r="R172" s="901" t="s">
        <v>474</v>
      </c>
      <c r="S172" s="901"/>
      <c r="T172" s="901"/>
      <c r="U172" s="930" t="s">
        <v>500</v>
      </c>
      <c r="V172" s="928" t="s">
        <v>22</v>
      </c>
      <c r="W172" s="929" t="s">
        <v>579</v>
      </c>
      <c r="X172" s="927" t="s">
        <v>21</v>
      </c>
      <c r="Y172" s="361"/>
      <c r="Z172" s="364"/>
      <c r="AA172" s="367"/>
      <c r="AB172"/>
      <c r="AC172"/>
      <c r="AD172"/>
      <c r="AE172"/>
    </row>
    <row r="173" spans="17:31" ht="12.75" customHeight="1">
      <c r="Q173" s="668"/>
      <c r="R173" s="901"/>
      <c r="S173" s="901"/>
      <c r="T173" s="901"/>
      <c r="U173" s="930"/>
      <c r="V173" s="928"/>
      <c r="W173" s="929"/>
      <c r="X173" s="927"/>
      <c r="Y173" s="361"/>
      <c r="Z173" s="364"/>
      <c r="AA173" s="367"/>
      <c r="AB173"/>
      <c r="AC173"/>
      <c r="AD173"/>
      <c r="AE173"/>
    </row>
    <row r="174" spans="17:31" ht="12.75" customHeight="1">
      <c r="Q174" s="668"/>
      <c r="R174" s="973" t="s">
        <v>472</v>
      </c>
      <c r="S174" s="973"/>
      <c r="T174" s="973"/>
      <c r="U174" s="544">
        <f>U169*12</f>
        <v>259072.00000000003</v>
      </c>
      <c r="V174" s="544">
        <f>V169*12</f>
        <v>20975999.999999996</v>
      </c>
      <c r="W174" s="544">
        <f>W169*12</f>
        <v>18239999.999999996</v>
      </c>
      <c r="X174" s="544">
        <f>X169*12</f>
        <v>14982857.142857142</v>
      </c>
      <c r="Y174" s="361"/>
      <c r="Z174" s="364"/>
      <c r="AA174" s="367"/>
      <c r="AB174"/>
      <c r="AC174"/>
      <c r="AD174"/>
      <c r="AE174"/>
    </row>
    <row r="175" spans="17:31" ht="12.75" customHeight="1">
      <c r="Q175" s="668"/>
      <c r="R175" s="973" t="s">
        <v>473</v>
      </c>
      <c r="S175" s="973"/>
      <c r="T175" s="973"/>
      <c r="U175" s="543"/>
      <c r="V175" s="544">
        <f>V170*12</f>
        <v>115368000.00000003</v>
      </c>
      <c r="W175" s="544">
        <f>W170*12</f>
        <v>116736000.00000003</v>
      </c>
      <c r="X175" s="544">
        <f>X170*12</f>
        <v>118364571.42857143</v>
      </c>
      <c r="Y175" s="361"/>
      <c r="Z175" s="364"/>
      <c r="AA175" s="367"/>
      <c r="AB175"/>
      <c r="AC175"/>
      <c r="AD175"/>
      <c r="AE175"/>
    </row>
    <row r="176" spans="17:31" ht="12.75" customHeight="1">
      <c r="Q176" s="668"/>
      <c r="R176" s="381"/>
      <c r="S176" s="381"/>
      <c r="T176" s="381"/>
      <c r="U176" s="381"/>
      <c r="V176" s="381"/>
      <c r="W176" s="381"/>
      <c r="X176" s="381"/>
      <c r="Y176" s="364"/>
      <c r="Z176" s="364"/>
      <c r="AA176" s="367"/>
      <c r="AB176"/>
      <c r="AC176"/>
      <c r="AD176"/>
      <c r="AE176"/>
    </row>
    <row r="177" spans="17:31" ht="12.75" customHeight="1">
      <c r="Q177" s="668"/>
      <c r="R177" s="901" t="s">
        <v>433</v>
      </c>
      <c r="S177" s="901"/>
      <c r="T177" s="901"/>
      <c r="U177" s="949" t="s">
        <v>500</v>
      </c>
      <c r="V177" s="938" t="s">
        <v>22</v>
      </c>
      <c r="W177" s="940" t="s">
        <v>579</v>
      </c>
      <c r="X177" s="942" t="s">
        <v>21</v>
      </c>
      <c r="Y177" s="361"/>
      <c r="Z177" s="364"/>
      <c r="AA177" s="367"/>
      <c r="AB177"/>
      <c r="AC177"/>
      <c r="AD177"/>
      <c r="AE177"/>
    </row>
    <row r="178" spans="17:31" ht="12.75" customHeight="1">
      <c r="Q178" s="668"/>
      <c r="R178" s="901"/>
      <c r="S178" s="901"/>
      <c r="T178" s="901"/>
      <c r="U178" s="950"/>
      <c r="V178" s="939"/>
      <c r="W178" s="941"/>
      <c r="X178" s="943"/>
      <c r="Y178" s="361"/>
      <c r="Z178" s="364"/>
      <c r="AA178" s="367"/>
      <c r="AB178"/>
      <c r="AC178"/>
      <c r="AD178"/>
      <c r="AE178"/>
    </row>
    <row r="179" spans="17:31" ht="12.75" customHeight="1">
      <c r="Q179" s="668"/>
      <c r="R179" s="970" t="s">
        <v>459</v>
      </c>
      <c r="S179" s="971"/>
      <c r="T179" s="972"/>
      <c r="U179" s="544">
        <f>U164</f>
        <v>938.66666666666674</v>
      </c>
      <c r="V179" s="544">
        <f>V164+V165</f>
        <v>494000.00000000006</v>
      </c>
      <c r="W179" s="544">
        <f>W164+W165</f>
        <v>489043.47826086963</v>
      </c>
      <c r="X179" s="544">
        <f>X164+X165</f>
        <v>483142.8571428571</v>
      </c>
      <c r="Y179" s="361"/>
      <c r="Z179" s="364"/>
      <c r="AA179" s="367"/>
      <c r="AB179"/>
      <c r="AC179"/>
      <c r="AD179"/>
      <c r="AE179"/>
    </row>
    <row r="180" spans="17:31" ht="12.75" customHeight="1">
      <c r="Q180" s="668"/>
      <c r="R180" s="973" t="s">
        <v>307</v>
      </c>
      <c r="S180" s="973"/>
      <c r="T180" s="973"/>
      <c r="U180" s="544">
        <f>U169</f>
        <v>21589.333333333336</v>
      </c>
      <c r="V180" s="544">
        <f>V169+V170</f>
        <v>11362000.000000002</v>
      </c>
      <c r="W180" s="544">
        <f>W169+W170</f>
        <v>11248000.000000002</v>
      </c>
      <c r="X180" s="544">
        <f>X169+X170</f>
        <v>11112285.714285715</v>
      </c>
      <c r="Y180" s="361"/>
      <c r="Z180" s="364"/>
      <c r="AA180" s="367"/>
      <c r="AB180"/>
      <c r="AC180"/>
      <c r="AD180"/>
      <c r="AE180"/>
    </row>
    <row r="181" spans="17:31" ht="12.75" customHeight="1">
      <c r="Q181" s="668"/>
      <c r="R181" s="973" t="s">
        <v>308</v>
      </c>
      <c r="S181" s="973"/>
      <c r="T181" s="973"/>
      <c r="U181" s="544">
        <f>U174</f>
        <v>259072.00000000003</v>
      </c>
      <c r="V181" s="544">
        <f>V174+V175</f>
        <v>136344000.00000003</v>
      </c>
      <c r="W181" s="544">
        <f>W174+W175</f>
        <v>134976000.00000003</v>
      </c>
      <c r="X181" s="544">
        <f>X174+X175</f>
        <v>133347428.57142857</v>
      </c>
      <c r="Y181" s="361"/>
      <c r="Z181" s="364"/>
      <c r="AA181" s="367"/>
      <c r="AB181"/>
      <c r="AC181"/>
      <c r="AD181"/>
      <c r="AE181"/>
    </row>
    <row r="182" spans="17:31" ht="12.75" customHeight="1">
      <c r="Q182" s="668"/>
      <c r="R182" s="381"/>
      <c r="S182" s="381"/>
      <c r="T182" s="381"/>
      <c r="U182" s="381"/>
      <c r="V182" s="381"/>
      <c r="W182" s="381"/>
      <c r="X182" s="381"/>
      <c r="Y182" s="364"/>
      <c r="Z182" s="364"/>
      <c r="AA182" s="367"/>
      <c r="AB182"/>
      <c r="AC182"/>
      <c r="AD182" t="str">
        <f>R185</f>
        <v>"Fully Loaded" - Drilling Shift</v>
      </c>
      <c r="AE182" t="str">
        <f>R186</f>
        <v>"Un-loaded" - Off Shift</v>
      </c>
    </row>
    <row r="183" spans="17:31" ht="12.75" customHeight="1">
      <c r="Q183" s="668"/>
      <c r="R183" s="901" t="s">
        <v>475</v>
      </c>
      <c r="S183" s="901"/>
      <c r="T183" s="901"/>
      <c r="U183" s="930" t="s">
        <v>500</v>
      </c>
      <c r="V183" s="928" t="s">
        <v>22</v>
      </c>
      <c r="W183" s="929" t="s">
        <v>579</v>
      </c>
      <c r="X183" s="927" t="s">
        <v>21</v>
      </c>
      <c r="Y183" s="361"/>
      <c r="Z183" s="364"/>
      <c r="AA183" s="367"/>
      <c r="AB183" s="716" t="s">
        <v>500</v>
      </c>
      <c r="AC183"/>
      <c r="AD183" s="717">
        <f>U185</f>
        <v>211.20000000000002</v>
      </c>
      <c r="AE183"/>
    </row>
    <row r="184" spans="17:31" ht="12.75" customHeight="1">
      <c r="Q184" s="668"/>
      <c r="R184" s="901"/>
      <c r="S184" s="901"/>
      <c r="T184" s="901"/>
      <c r="U184" s="930"/>
      <c r="V184" s="928"/>
      <c r="W184" s="929"/>
      <c r="X184" s="927"/>
      <c r="Y184" s="361"/>
      <c r="Z184" s="364"/>
      <c r="AA184" s="367"/>
      <c r="AB184" s="716" t="s">
        <v>22</v>
      </c>
      <c r="AC184"/>
      <c r="AD184" s="717">
        <f>V185</f>
        <v>17099.999999999996</v>
      </c>
      <c r="AE184" s="717">
        <f>V186</f>
        <v>94050.000000000015</v>
      </c>
    </row>
    <row r="185" spans="17:31" ht="12.75" customHeight="1">
      <c r="Q185" s="668"/>
      <c r="R185" s="973" t="s">
        <v>472</v>
      </c>
      <c r="S185" s="973"/>
      <c r="T185" s="973"/>
      <c r="U185" s="593">
        <f>$V$224*$U$148</f>
        <v>211.20000000000002</v>
      </c>
      <c r="V185" s="593">
        <f>($V$145*$V$146*$V$153*$V$152*$V$148)/$V$154</f>
        <v>17099.999999999996</v>
      </c>
      <c r="W185" s="593">
        <f>($W$145*$W$146*$W$153*$W$152*$W$148)/$W$154</f>
        <v>14869.565217391304</v>
      </c>
      <c r="X185" s="593">
        <f>($X$145*$X$146*$X$153*$X$152*$X$148)/$X$154</f>
        <v>12214.285714285714</v>
      </c>
      <c r="Y185" s="361"/>
      <c r="Z185" s="364"/>
      <c r="AA185" s="367"/>
      <c r="AB185" s="716" t="s">
        <v>579</v>
      </c>
      <c r="AC185"/>
      <c r="AD185" s="717">
        <f>W185</f>
        <v>14869.565217391304</v>
      </c>
      <c r="AE185" s="717">
        <f>W186</f>
        <v>95165.217391304366</v>
      </c>
    </row>
    <row r="186" spans="17:31" ht="12.75" customHeight="1">
      <c r="Q186" s="668"/>
      <c r="R186" s="973" t="s">
        <v>473</v>
      </c>
      <c r="S186" s="973"/>
      <c r="T186" s="973"/>
      <c r="U186" s="543"/>
      <c r="V186" s="593">
        <f>($V$145*$V$146*$V$159*$V$158*$V$148)/$V$160</f>
        <v>94050.000000000015</v>
      </c>
      <c r="W186" s="593">
        <f>($W$145*$W$146*$W$159*$W$158*$W$148)/$W$160</f>
        <v>95165.217391304366</v>
      </c>
      <c r="X186" s="593">
        <f>($X$145*$X$146*$X$159*$X$158*$X$148)/$X$160</f>
        <v>96492.857142857145</v>
      </c>
      <c r="Y186" s="361"/>
      <c r="Z186" s="364"/>
      <c r="AA186" s="367"/>
      <c r="AB186" s="716" t="s">
        <v>21</v>
      </c>
      <c r="AC186"/>
      <c r="AD186" s="717">
        <f>X185</f>
        <v>12214.285714285714</v>
      </c>
      <c r="AE186" s="717">
        <f>X186</f>
        <v>96492.857142857145</v>
      </c>
    </row>
    <row r="187" spans="17:31" ht="12.75" customHeight="1">
      <c r="Q187" s="668"/>
      <c r="R187" s="381"/>
      <c r="S187" s="381"/>
      <c r="T187" s="381"/>
      <c r="U187" s="381"/>
      <c r="V187" s="381"/>
      <c r="W187" s="381"/>
      <c r="X187" s="381"/>
      <c r="Y187" s="552"/>
      <c r="Z187" s="364"/>
      <c r="AA187" s="367"/>
      <c r="AC187"/>
      <c r="AD187"/>
      <c r="AE187"/>
    </row>
    <row r="188" spans="17:31" ht="12.75" customHeight="1">
      <c r="Q188" s="668"/>
      <c r="R188" s="901" t="s">
        <v>476</v>
      </c>
      <c r="S188" s="901"/>
      <c r="T188" s="901"/>
      <c r="U188" s="930" t="s">
        <v>500</v>
      </c>
      <c r="V188" s="928" t="s">
        <v>22</v>
      </c>
      <c r="W188" s="929" t="s">
        <v>579</v>
      </c>
      <c r="X188" s="927" t="s">
        <v>21</v>
      </c>
      <c r="Y188" s="361"/>
      <c r="Z188" s="364"/>
      <c r="AA188" s="367"/>
      <c r="AB188"/>
      <c r="AC188"/>
      <c r="AD188"/>
      <c r="AE188"/>
    </row>
    <row r="189" spans="17:31" ht="12.75" customHeight="1">
      <c r="Q189" s="668"/>
      <c r="R189" s="901"/>
      <c r="S189" s="901"/>
      <c r="T189" s="901"/>
      <c r="U189" s="930"/>
      <c r="V189" s="928"/>
      <c r="W189" s="929"/>
      <c r="X189" s="927"/>
      <c r="Y189" s="361"/>
      <c r="Z189" s="364"/>
      <c r="AA189" s="367"/>
      <c r="AB189"/>
      <c r="AC189"/>
      <c r="AD189"/>
      <c r="AE189"/>
    </row>
    <row r="190" spans="17:31" ht="12.75" customHeight="1">
      <c r="Q190" s="668"/>
      <c r="R190" s="973" t="s">
        <v>472</v>
      </c>
      <c r="S190" s="973"/>
      <c r="T190" s="973"/>
      <c r="U190" s="593">
        <f>U185*$V$11</f>
        <v>4857.6000000000004</v>
      </c>
      <c r="V190" s="593">
        <f>V185*$V$11</f>
        <v>393299.99999999994</v>
      </c>
      <c r="W190" s="593">
        <f>W185*$V$11</f>
        <v>342000</v>
      </c>
      <c r="X190" s="593">
        <f>X185*$V$11</f>
        <v>280928.57142857142</v>
      </c>
      <c r="Y190" s="361"/>
      <c r="Z190" s="364"/>
      <c r="AA190" s="367"/>
      <c r="AB190"/>
      <c r="AC190"/>
      <c r="AD190"/>
      <c r="AE190"/>
    </row>
    <row r="191" spans="17:31" ht="12.75" customHeight="1">
      <c r="Q191" s="668"/>
      <c r="R191" s="973" t="s">
        <v>473</v>
      </c>
      <c r="S191" s="973"/>
      <c r="T191" s="973"/>
      <c r="U191" s="543"/>
      <c r="V191" s="593">
        <f>V186*$V$11</f>
        <v>2163150.0000000005</v>
      </c>
      <c r="W191" s="593">
        <f>W186*$V$11</f>
        <v>2188800.0000000005</v>
      </c>
      <c r="X191" s="593">
        <f>X186*$V$11</f>
        <v>2219335.7142857146</v>
      </c>
      <c r="Y191" s="361"/>
      <c r="Z191" s="364"/>
      <c r="AA191" s="367"/>
      <c r="AB191"/>
      <c r="AC191"/>
      <c r="AD191"/>
      <c r="AE191"/>
    </row>
    <row r="192" spans="17:31" ht="12.75" customHeight="1">
      <c r="Q192" s="668"/>
      <c r="R192" s="367"/>
      <c r="S192" s="367"/>
      <c r="T192" s="367"/>
      <c r="U192" s="367"/>
      <c r="V192" s="367"/>
      <c r="W192" s="367"/>
      <c r="X192" s="367"/>
      <c r="Y192" s="364"/>
      <c r="Z192" s="364"/>
      <c r="AA192" s="367"/>
      <c r="AB192"/>
      <c r="AC192"/>
      <c r="AD192"/>
      <c r="AE192"/>
    </row>
    <row r="193" spans="17:31" ht="12.75" customHeight="1">
      <c r="Q193" s="668"/>
      <c r="R193" s="901" t="s">
        <v>477</v>
      </c>
      <c r="S193" s="901"/>
      <c r="T193" s="901"/>
      <c r="U193" s="930" t="s">
        <v>500</v>
      </c>
      <c r="V193" s="928" t="s">
        <v>22</v>
      </c>
      <c r="W193" s="929" t="s">
        <v>579</v>
      </c>
      <c r="X193" s="927" t="s">
        <v>21</v>
      </c>
      <c r="Y193" s="361"/>
      <c r="Z193" s="364"/>
      <c r="AA193" s="367"/>
      <c r="AB193"/>
      <c r="AC193"/>
      <c r="AD193"/>
      <c r="AE193"/>
    </row>
    <row r="194" spans="17:31" ht="12.75" customHeight="1">
      <c r="Q194" s="668"/>
      <c r="R194" s="901"/>
      <c r="S194" s="901"/>
      <c r="T194" s="901"/>
      <c r="U194" s="930"/>
      <c r="V194" s="928"/>
      <c r="W194" s="929"/>
      <c r="X194" s="927"/>
      <c r="Y194" s="361"/>
      <c r="Z194" s="364"/>
      <c r="AA194" s="367"/>
      <c r="AB194"/>
      <c r="AC194"/>
      <c r="AD194"/>
      <c r="AE194"/>
    </row>
    <row r="195" spans="17:31" ht="12.75" customHeight="1">
      <c r="Q195" s="668"/>
      <c r="R195" s="973" t="s">
        <v>472</v>
      </c>
      <c r="S195" s="973"/>
      <c r="T195" s="973"/>
      <c r="U195" s="593">
        <f>U190*12</f>
        <v>58291.200000000004</v>
      </c>
      <c r="V195" s="593">
        <f>V190*12</f>
        <v>4719599.9999999991</v>
      </c>
      <c r="W195" s="593">
        <f>W190*12</f>
        <v>4104000</v>
      </c>
      <c r="X195" s="593">
        <f>X190*12</f>
        <v>3371142.8571428573</v>
      </c>
      <c r="Y195" s="361"/>
      <c r="Z195" s="364"/>
      <c r="AA195" s="367"/>
      <c r="AB195"/>
      <c r="AC195"/>
      <c r="AD195"/>
      <c r="AE195"/>
    </row>
    <row r="196" spans="17:31" ht="12.75" customHeight="1">
      <c r="Q196" s="668"/>
      <c r="R196" s="973" t="s">
        <v>473</v>
      </c>
      <c r="S196" s="973"/>
      <c r="T196" s="973"/>
      <c r="U196" s="543"/>
      <c r="V196" s="593">
        <f>V191*12</f>
        <v>25957800.000000007</v>
      </c>
      <c r="W196" s="593">
        <f>W191*12</f>
        <v>26265600.000000007</v>
      </c>
      <c r="X196" s="593">
        <f>X191*12</f>
        <v>26632028.571428575</v>
      </c>
      <c r="Y196" s="361"/>
      <c r="Z196" s="364"/>
      <c r="AA196" s="367"/>
      <c r="AB196"/>
      <c r="AC196"/>
      <c r="AD196"/>
      <c r="AE196"/>
    </row>
    <row r="197" spans="17:31" ht="12.75" customHeight="1">
      <c r="Q197" s="668"/>
      <c r="R197" s="367"/>
      <c r="S197" s="367"/>
      <c r="T197" s="367"/>
      <c r="U197" s="367"/>
      <c r="V197" s="367"/>
      <c r="W197" s="367"/>
      <c r="X197" s="367"/>
      <c r="Y197" s="364"/>
      <c r="Z197" s="364"/>
      <c r="AA197" s="367"/>
      <c r="AB197"/>
      <c r="AC197"/>
      <c r="AD197"/>
      <c r="AE197"/>
    </row>
    <row r="198" spans="17:31" ht="12.75" customHeight="1">
      <c r="Q198" s="668"/>
      <c r="R198" s="901" t="s">
        <v>116</v>
      </c>
      <c r="S198" s="901"/>
      <c r="T198" s="901"/>
      <c r="U198" s="949" t="s">
        <v>500</v>
      </c>
      <c r="V198" s="938" t="s">
        <v>22</v>
      </c>
      <c r="W198" s="940" t="s">
        <v>579</v>
      </c>
      <c r="X198" s="942" t="s">
        <v>21</v>
      </c>
      <c r="Y198" s="361"/>
      <c r="Z198" s="364"/>
      <c r="AA198" s="367"/>
      <c r="AB198"/>
      <c r="AC198"/>
      <c r="AD198"/>
      <c r="AE198"/>
    </row>
    <row r="199" spans="17:31" ht="12.75" customHeight="1">
      <c r="Q199" s="668"/>
      <c r="R199" s="901"/>
      <c r="S199" s="901"/>
      <c r="T199" s="901"/>
      <c r="U199" s="950"/>
      <c r="V199" s="939"/>
      <c r="W199" s="941"/>
      <c r="X199" s="943"/>
      <c r="Y199" s="361"/>
      <c r="Z199" s="364"/>
      <c r="AA199" s="367"/>
      <c r="AB199"/>
      <c r="AC199"/>
      <c r="AD199"/>
      <c r="AE199"/>
    </row>
    <row r="200" spans="17:31" ht="12.75" customHeight="1">
      <c r="Q200" s="668"/>
      <c r="R200" s="970" t="s">
        <v>459</v>
      </c>
      <c r="S200" s="971"/>
      <c r="T200" s="972"/>
      <c r="U200" s="593">
        <f>U185</f>
        <v>211.20000000000002</v>
      </c>
      <c r="V200" s="593">
        <f>V185+V186</f>
        <v>111150.00000000001</v>
      </c>
      <c r="W200" s="593">
        <f>W185+W186</f>
        <v>110034.78260869568</v>
      </c>
      <c r="X200" s="593">
        <f>X185+X186</f>
        <v>108707.14285714286</v>
      </c>
      <c r="Y200" s="361"/>
      <c r="Z200" s="364"/>
      <c r="AA200" s="367"/>
      <c r="AB200"/>
      <c r="AC200"/>
      <c r="AD200"/>
      <c r="AE200"/>
    </row>
    <row r="201" spans="17:31" ht="12.75" customHeight="1">
      <c r="Q201" s="668"/>
      <c r="R201" s="973" t="s">
        <v>307</v>
      </c>
      <c r="S201" s="973"/>
      <c r="T201" s="973"/>
      <c r="U201" s="593">
        <f>U190</f>
        <v>4857.6000000000004</v>
      </c>
      <c r="V201" s="593">
        <f>V190+V191</f>
        <v>2556450.0000000005</v>
      </c>
      <c r="W201" s="593">
        <f>W190+W191</f>
        <v>2530800.0000000005</v>
      </c>
      <c r="X201" s="593">
        <f>X190+X191</f>
        <v>2500264.2857142859</v>
      </c>
      <c r="Y201" s="361"/>
      <c r="Z201" s="364"/>
      <c r="AA201" s="367"/>
      <c r="AB201"/>
      <c r="AC201"/>
      <c r="AD201"/>
      <c r="AE201"/>
    </row>
    <row r="202" spans="17:31" ht="12.75" customHeight="1">
      <c r="Q202" s="668"/>
      <c r="R202" s="973" t="s">
        <v>308</v>
      </c>
      <c r="S202" s="973"/>
      <c r="T202" s="973"/>
      <c r="U202" s="593">
        <f>U195</f>
        <v>58291.200000000004</v>
      </c>
      <c r="V202" s="593">
        <f>V195+V196</f>
        <v>30677400.000000007</v>
      </c>
      <c r="W202" s="593">
        <f>W195+W196</f>
        <v>30369600.000000007</v>
      </c>
      <c r="X202" s="593">
        <f>X195+X196</f>
        <v>30003171.428571433</v>
      </c>
      <c r="Y202" s="361"/>
      <c r="Z202" s="364"/>
      <c r="AA202" s="367"/>
      <c r="AB202"/>
      <c r="AC202"/>
      <c r="AD202"/>
      <c r="AE202"/>
    </row>
    <row r="203" spans="17:31" ht="12.75" customHeight="1">
      <c r="Q203" s="668"/>
      <c r="R203" s="575"/>
      <c r="S203" s="575"/>
      <c r="T203" s="575"/>
      <c r="U203" s="382"/>
      <c r="V203" s="382"/>
      <c r="W203" s="382"/>
      <c r="X203" s="382"/>
      <c r="Y203" s="364"/>
      <c r="Z203" s="364"/>
      <c r="AA203" s="367"/>
      <c r="AB203"/>
      <c r="AC203"/>
      <c r="AD203"/>
      <c r="AE203"/>
    </row>
    <row r="204" spans="17:31" ht="12.75" customHeight="1">
      <c r="Q204" s="668"/>
      <c r="R204" s="974" t="s">
        <v>775</v>
      </c>
      <c r="S204" s="974"/>
      <c r="T204" s="974"/>
      <c r="U204" s="974"/>
      <c r="V204" s="974"/>
      <c r="W204" s="974"/>
      <c r="X204" s="974"/>
      <c r="Y204" s="974"/>
      <c r="Z204" s="364"/>
      <c r="AA204" s="367"/>
      <c r="AB204"/>
      <c r="AC204"/>
      <c r="AD204"/>
      <c r="AE204"/>
    </row>
    <row r="205" spans="17:31" ht="12.75" customHeight="1">
      <c r="Q205" s="668"/>
      <c r="R205" s="974"/>
      <c r="S205" s="974"/>
      <c r="T205" s="974"/>
      <c r="U205" s="974"/>
      <c r="V205" s="974"/>
      <c r="W205" s="974"/>
      <c r="X205" s="974"/>
      <c r="Y205" s="974"/>
      <c r="Z205" s="576"/>
      <c r="AA205" s="367"/>
      <c r="AB205"/>
      <c r="AC205"/>
      <c r="AD205"/>
      <c r="AE205"/>
    </row>
    <row r="206" spans="17:31" ht="12.75" customHeight="1">
      <c r="Q206" s="668"/>
      <c r="R206" s="974"/>
      <c r="S206" s="974"/>
      <c r="T206" s="974"/>
      <c r="U206" s="974"/>
      <c r="V206" s="974"/>
      <c r="W206" s="974"/>
      <c r="X206" s="974"/>
      <c r="Y206" s="974"/>
      <c r="Z206" s="576"/>
      <c r="AA206" s="367"/>
      <c r="AB206"/>
      <c r="AC206"/>
      <c r="AD206"/>
      <c r="AE206"/>
    </row>
    <row r="207" spans="17:31" ht="12.75" customHeight="1">
      <c r="Q207" s="668"/>
      <c r="R207" s="974"/>
      <c r="S207" s="974"/>
      <c r="T207" s="974"/>
      <c r="U207" s="974"/>
      <c r="V207" s="974"/>
      <c r="W207" s="974"/>
      <c r="X207" s="974"/>
      <c r="Y207" s="974"/>
      <c r="Z207" s="576"/>
      <c r="AA207" s="367"/>
      <c r="AB207"/>
      <c r="AC207"/>
      <c r="AD207"/>
      <c r="AE207"/>
    </row>
    <row r="208" spans="17:31" ht="12.75" customHeight="1">
      <c r="Q208" s="668"/>
      <c r="R208" s="974"/>
      <c r="S208" s="974"/>
      <c r="T208" s="974"/>
      <c r="U208" s="974"/>
      <c r="V208" s="974"/>
      <c r="W208" s="974"/>
      <c r="X208" s="974"/>
      <c r="Y208" s="974"/>
      <c r="Z208" s="576"/>
      <c r="AA208" s="367"/>
      <c r="AB208"/>
      <c r="AC208"/>
      <c r="AD208"/>
      <c r="AE208"/>
    </row>
    <row r="209" spans="17:31" ht="12.75" customHeight="1">
      <c r="Q209" s="668"/>
      <c r="R209" s="364"/>
      <c r="S209" s="375"/>
      <c r="T209" s="375"/>
      <c r="U209" s="577"/>
      <c r="V209" s="577"/>
      <c r="W209" s="577"/>
      <c r="X209" s="577"/>
      <c r="Y209" s="551"/>
      <c r="Z209" s="363"/>
      <c r="AA209" s="367"/>
      <c r="AB209"/>
      <c r="AC209"/>
      <c r="AD209"/>
      <c r="AE209"/>
    </row>
    <row r="210" spans="17:31" ht="12.75" customHeight="1">
      <c r="Q210" s="668"/>
      <c r="R210" s="975" t="s">
        <v>667</v>
      </c>
      <c r="S210" s="976"/>
      <c r="T210" s="976"/>
      <c r="U210" s="976"/>
      <c r="V210" s="976"/>
      <c r="W210" s="976"/>
      <c r="X210" s="979">
        <f>10*V25</f>
        <v>76800</v>
      </c>
      <c r="Y210" s="935" t="s">
        <v>668</v>
      </c>
      <c r="Z210" s="364"/>
      <c r="AA210" s="367"/>
      <c r="AB210"/>
      <c r="AC210"/>
      <c r="AD210"/>
      <c r="AE210"/>
    </row>
    <row r="211" spans="17:31" ht="12.75" customHeight="1">
      <c r="Q211" s="668"/>
      <c r="R211" s="977"/>
      <c r="S211" s="978"/>
      <c r="T211" s="978"/>
      <c r="U211" s="978"/>
      <c r="V211" s="978"/>
      <c r="W211" s="978"/>
      <c r="X211" s="979"/>
      <c r="Y211" s="935"/>
      <c r="Z211" s="364"/>
      <c r="AA211" s="367"/>
      <c r="AB211"/>
      <c r="AC211"/>
      <c r="AD211"/>
      <c r="AE211"/>
    </row>
    <row r="212" spans="17:31" ht="12.75" customHeight="1">
      <c r="Q212" s="668"/>
      <c r="R212" s="578"/>
      <c r="S212" s="578"/>
      <c r="T212" s="578"/>
      <c r="U212" s="578"/>
      <c r="V212" s="578"/>
      <c r="W212" s="578"/>
      <c r="X212" s="578"/>
      <c r="Y212" s="579"/>
      <c r="Z212" s="551"/>
      <c r="AA212" s="367"/>
      <c r="AB212"/>
      <c r="AC212"/>
      <c r="AD212"/>
      <c r="AE212"/>
    </row>
    <row r="213" spans="17:31" ht="12.75" customHeight="1">
      <c r="Q213" s="668"/>
      <c r="R213" s="937" t="s">
        <v>678</v>
      </c>
      <c r="S213" s="937"/>
      <c r="T213" s="937"/>
      <c r="U213" s="937"/>
      <c r="V213" s="949" t="s">
        <v>500</v>
      </c>
      <c r="W213" s="938" t="s">
        <v>22</v>
      </c>
      <c r="X213" s="940" t="s">
        <v>579</v>
      </c>
      <c r="Y213" s="942" t="s">
        <v>21</v>
      </c>
      <c r="Z213" s="361"/>
      <c r="AA213" s="367"/>
      <c r="AB213"/>
      <c r="AC213"/>
      <c r="AD213"/>
      <c r="AE213"/>
    </row>
    <row r="214" spans="17:31" ht="12.75" customHeight="1">
      <c r="Q214" s="668"/>
      <c r="R214" s="937"/>
      <c r="S214" s="937"/>
      <c r="T214" s="937"/>
      <c r="U214" s="937"/>
      <c r="V214" s="950"/>
      <c r="W214" s="939"/>
      <c r="X214" s="941"/>
      <c r="Y214" s="943"/>
      <c r="Z214" s="361"/>
      <c r="AA214" s="367"/>
      <c r="AB214"/>
      <c r="AC214"/>
      <c r="AD214"/>
      <c r="AE214"/>
    </row>
    <row r="215" spans="17:31" ht="12.75" customHeight="1">
      <c r="Q215" s="668"/>
      <c r="R215" s="968" t="s">
        <v>533</v>
      </c>
      <c r="S215" s="968"/>
      <c r="T215" s="968"/>
      <c r="U215" s="968"/>
      <c r="V215" s="580">
        <v>0.107</v>
      </c>
      <c r="W215" s="581">
        <f>VLOOKUP($V$5,'Lookup Energy kWhm'!$B$8:$E$208,3)</f>
        <v>0.13</v>
      </c>
      <c r="X215" s="581">
        <f>VLOOKUP($V$5,'Lookup Energy kWhm'!$B$8:$E$208,4)</f>
        <v>0.14799999999999999</v>
      </c>
      <c r="Y215" s="581">
        <f>VLOOKUP($V$5,'Lookup Energy kWhm'!$B$8:$E$208,2)</f>
        <v>0.1</v>
      </c>
      <c r="Z215" s="361"/>
      <c r="AA215" s="367"/>
      <c r="AB215"/>
      <c r="AC215"/>
      <c r="AD215"/>
      <c r="AE215"/>
    </row>
    <row r="216" spans="17:31" ht="12.75" customHeight="1">
      <c r="Q216" s="668"/>
      <c r="R216" s="969" t="s">
        <v>31</v>
      </c>
      <c r="S216" s="969"/>
      <c r="T216" s="969"/>
      <c r="U216" s="969"/>
      <c r="V216" s="556">
        <f t="shared" ref="V216:W219" si="2">X216</f>
        <v>1.2</v>
      </c>
      <c r="W216" s="556">
        <f t="shared" si="2"/>
        <v>1.2</v>
      </c>
      <c r="X216" s="556">
        <f>W216</f>
        <v>1.2</v>
      </c>
      <c r="Y216" s="556">
        <f>V20</f>
        <v>1.2</v>
      </c>
      <c r="Z216" s="361"/>
      <c r="AA216" s="367"/>
      <c r="AB216"/>
      <c r="AC216"/>
      <c r="AD216"/>
      <c r="AE216"/>
    </row>
    <row r="217" spans="17:31" ht="12.75" customHeight="1">
      <c r="Q217" s="668"/>
      <c r="R217" s="969" t="s">
        <v>314</v>
      </c>
      <c r="S217" s="969"/>
      <c r="T217" s="969"/>
      <c r="U217" s="969"/>
      <c r="V217" s="556">
        <f t="shared" si="2"/>
        <v>160</v>
      </c>
      <c r="W217" s="556">
        <f t="shared" si="2"/>
        <v>160</v>
      </c>
      <c r="X217" s="556">
        <f>W217</f>
        <v>160</v>
      </c>
      <c r="Y217" s="556">
        <f>V19</f>
        <v>160</v>
      </c>
      <c r="Z217" s="361"/>
      <c r="AA217" s="367"/>
      <c r="AB217"/>
      <c r="AC217"/>
      <c r="AD217"/>
      <c r="AE217"/>
    </row>
    <row r="218" spans="17:31" ht="12.75" customHeight="1">
      <c r="Q218" s="668"/>
      <c r="R218" s="969" t="s">
        <v>20</v>
      </c>
      <c r="S218" s="969"/>
      <c r="T218" s="969"/>
      <c r="U218" s="969"/>
      <c r="V218" s="556">
        <f t="shared" si="2"/>
        <v>40</v>
      </c>
      <c r="W218" s="556">
        <f t="shared" si="2"/>
        <v>40</v>
      </c>
      <c r="X218" s="556">
        <f>W218</f>
        <v>40</v>
      </c>
      <c r="Y218" s="556">
        <f>V22</f>
        <v>40</v>
      </c>
      <c r="Z218" s="361"/>
      <c r="AA218" s="367"/>
      <c r="AB218"/>
      <c r="AC218"/>
      <c r="AD218"/>
      <c r="AE218"/>
    </row>
    <row r="219" spans="17:31" ht="12.75" customHeight="1">
      <c r="Q219" s="668"/>
      <c r="R219" s="969" t="s">
        <v>310</v>
      </c>
      <c r="S219" s="969"/>
      <c r="T219" s="969"/>
      <c r="U219" s="969"/>
      <c r="V219" s="556">
        <f t="shared" si="2"/>
        <v>160</v>
      </c>
      <c r="W219" s="556">
        <f t="shared" si="2"/>
        <v>160</v>
      </c>
      <c r="X219" s="556">
        <f>W219</f>
        <v>160</v>
      </c>
      <c r="Y219" s="556">
        <f>V23</f>
        <v>160</v>
      </c>
      <c r="Z219" s="361"/>
      <c r="AA219" s="367"/>
      <c r="AB219"/>
      <c r="AC219"/>
      <c r="AD219"/>
      <c r="AE219"/>
    </row>
    <row r="220" spans="17:31" ht="12.75" customHeight="1">
      <c r="Q220" s="668"/>
      <c r="R220" s="968" t="s">
        <v>543</v>
      </c>
      <c r="S220" s="968"/>
      <c r="T220" s="968"/>
      <c r="U220" s="968"/>
      <c r="V220" s="582">
        <f>V215*V216*V217*V218</f>
        <v>821.75999999999988</v>
      </c>
      <c r="W220" s="582">
        <f>W215*W216*W217*W218</f>
        <v>998.40000000000009</v>
      </c>
      <c r="X220" s="582">
        <f>X215*X216*X217*X218</f>
        <v>1136.6399999999999</v>
      </c>
      <c r="Y220" s="582">
        <f>Y215*Y216*Y217*Y218</f>
        <v>768</v>
      </c>
      <c r="Z220" s="361"/>
      <c r="AA220" s="367"/>
      <c r="AB220"/>
      <c r="AC220"/>
      <c r="AD220"/>
      <c r="AE220"/>
    </row>
    <row r="221" spans="17:31" ht="12.75" customHeight="1">
      <c r="Q221" s="668"/>
      <c r="R221" s="968" t="s">
        <v>542</v>
      </c>
      <c r="S221" s="968"/>
      <c r="T221" s="968"/>
      <c r="U221" s="968"/>
      <c r="V221" s="583">
        <f>V220/V219</f>
        <v>5.1359999999999992</v>
      </c>
      <c r="W221" s="583">
        <f>W220/W219</f>
        <v>6.24</v>
      </c>
      <c r="X221" s="583">
        <f>X220/X219</f>
        <v>7.1039999999999992</v>
      </c>
      <c r="Y221" s="583">
        <f>Y220/Y219</f>
        <v>4.8</v>
      </c>
      <c r="Z221" s="361"/>
      <c r="AA221" s="367"/>
      <c r="AB221"/>
      <c r="AC221"/>
      <c r="AD221"/>
      <c r="AE221"/>
    </row>
    <row r="222" spans="17:31" ht="12.75" customHeight="1">
      <c r="Q222" s="668"/>
      <c r="R222" s="968" t="s">
        <v>538</v>
      </c>
      <c r="S222" s="968"/>
      <c r="T222" s="968"/>
      <c r="U222" s="968"/>
      <c r="V222" s="537">
        <f>U62</f>
        <v>2.6666666666666665</v>
      </c>
      <c r="W222" s="537">
        <f>V62</f>
        <v>1.9999999999999996</v>
      </c>
      <c r="X222" s="537">
        <f>W62</f>
        <v>1.7391304347826084</v>
      </c>
      <c r="Y222" s="537">
        <f>X62</f>
        <v>1.4285714285714284</v>
      </c>
      <c r="Z222" s="361"/>
      <c r="AA222" s="367"/>
      <c r="AB222"/>
      <c r="AC222"/>
      <c r="AD222"/>
      <c r="AE222"/>
    </row>
    <row r="223" spans="17:31" ht="12.75" customHeight="1">
      <c r="Q223" s="668"/>
      <c r="R223" s="968" t="s">
        <v>546</v>
      </c>
      <c r="S223" s="968"/>
      <c r="T223" s="968"/>
      <c r="U223" s="968"/>
      <c r="V223" s="584">
        <f>2.2*V222</f>
        <v>5.8666666666666671</v>
      </c>
      <c r="W223" s="584">
        <f>W222/W215</f>
        <v>15.384615384615381</v>
      </c>
      <c r="X223" s="584">
        <f>X222/X215</f>
        <v>11.750881316098706</v>
      </c>
      <c r="Y223" s="584">
        <f>Y222/Y215</f>
        <v>14.285714285714283</v>
      </c>
      <c r="Z223" s="361"/>
      <c r="AA223" s="367"/>
      <c r="AB223"/>
      <c r="AC223"/>
      <c r="AD223"/>
      <c r="AE223"/>
    </row>
    <row r="224" spans="17:31" ht="12.75" customHeight="1">
      <c r="Q224" s="668"/>
      <c r="R224" s="968" t="s">
        <v>544</v>
      </c>
      <c r="S224" s="968"/>
      <c r="T224" s="968"/>
      <c r="U224" s="968"/>
      <c r="V224" s="582">
        <f>V219*V223</f>
        <v>938.66666666666674</v>
      </c>
      <c r="W224" s="582">
        <f>W219*W223</f>
        <v>2461.538461538461</v>
      </c>
      <c r="X224" s="582">
        <f>X219*X223</f>
        <v>1880.141010575793</v>
      </c>
      <c r="Y224" s="674">
        <f>Y219*Y223</f>
        <v>2285.7142857142853</v>
      </c>
      <c r="Z224" s="361"/>
      <c r="AA224" s="367"/>
      <c r="AB224"/>
      <c r="AC224"/>
      <c r="AD224"/>
      <c r="AE224"/>
    </row>
    <row r="225" spans="17:31" ht="12.75" customHeight="1">
      <c r="Q225" s="668"/>
      <c r="R225" s="969" t="s">
        <v>535</v>
      </c>
      <c r="S225" s="969"/>
      <c r="T225" s="969"/>
      <c r="U225" s="969"/>
      <c r="V225" s="556">
        <f>V217/V222</f>
        <v>60</v>
      </c>
      <c r="W225" s="556">
        <f>W217/W222</f>
        <v>80.000000000000014</v>
      </c>
      <c r="X225" s="556">
        <f>X217/X222</f>
        <v>92.000000000000014</v>
      </c>
      <c r="Y225" s="556">
        <f>Y217/Y222</f>
        <v>112.00000000000001</v>
      </c>
      <c r="Z225" s="361"/>
      <c r="AA225" s="367"/>
      <c r="AB225"/>
      <c r="AC225"/>
      <c r="AD225"/>
      <c r="AE225"/>
    </row>
    <row r="226" spans="17:31" ht="12.75" customHeight="1">
      <c r="Q226" s="668"/>
      <c r="R226" s="969" t="s">
        <v>536</v>
      </c>
      <c r="S226" s="969"/>
      <c r="T226" s="969"/>
      <c r="U226" s="969"/>
      <c r="V226" s="675">
        <f>V216*V225</f>
        <v>72</v>
      </c>
      <c r="W226" s="675">
        <f>W216*W225</f>
        <v>96.000000000000014</v>
      </c>
      <c r="X226" s="675">
        <f>X216*X225</f>
        <v>110.40000000000002</v>
      </c>
      <c r="Y226" s="675">
        <f>Y216*Y225</f>
        <v>134.4</v>
      </c>
      <c r="Z226" s="361"/>
      <c r="AA226" s="367"/>
      <c r="AB226"/>
      <c r="AC226"/>
      <c r="AD226"/>
      <c r="AE226"/>
    </row>
    <row r="227" spans="17:31" ht="12.75" customHeight="1">
      <c r="Q227" s="668"/>
      <c r="R227" s="968" t="s">
        <v>534</v>
      </c>
      <c r="S227" s="968"/>
      <c r="T227" s="968"/>
      <c r="U227" s="968"/>
      <c r="V227" s="583">
        <f>U56</f>
        <v>4</v>
      </c>
      <c r="W227" s="583">
        <f>V56</f>
        <v>2.9999999999999996</v>
      </c>
      <c r="X227" s="583">
        <f>W56</f>
        <v>2.6086956521739126</v>
      </c>
      <c r="Y227" s="583">
        <f>X56</f>
        <v>2.1428571428571428</v>
      </c>
      <c r="Z227" s="361"/>
      <c r="AA227" s="367"/>
      <c r="AB227"/>
      <c r="AC227"/>
      <c r="AD227"/>
      <c r="AE227"/>
    </row>
    <row r="228" spans="17:31" ht="12.75" customHeight="1">
      <c r="Q228" s="668"/>
      <c r="R228" s="968" t="s">
        <v>537</v>
      </c>
      <c r="S228" s="968"/>
      <c r="T228" s="968"/>
      <c r="U228" s="968"/>
      <c r="V228" s="584">
        <f>V225*V227</f>
        <v>240</v>
      </c>
      <c r="W228" s="584">
        <f>W225*W227</f>
        <v>240</v>
      </c>
      <c r="X228" s="584">
        <f>X225*X227</f>
        <v>240</v>
      </c>
      <c r="Y228" s="584">
        <f>Y225*Y227</f>
        <v>240.00000000000003</v>
      </c>
      <c r="Z228" s="361"/>
      <c r="AA228" s="367"/>
      <c r="AB228"/>
      <c r="AC228"/>
      <c r="AD228"/>
      <c r="AE228"/>
    </row>
    <row r="229" spans="17:31" ht="12.75" customHeight="1">
      <c r="Q229" s="668"/>
      <c r="R229" s="968" t="s">
        <v>545</v>
      </c>
      <c r="S229" s="968"/>
      <c r="T229" s="968"/>
      <c r="U229" s="968"/>
      <c r="V229" s="585">
        <f>V221/V223</f>
        <v>0.87545454545454526</v>
      </c>
      <c r="W229" s="585">
        <f>W221/W223</f>
        <v>0.40560000000000007</v>
      </c>
      <c r="X229" s="585">
        <f>X221/X223</f>
        <v>0.60455040000000004</v>
      </c>
      <c r="Y229" s="585">
        <f>Y221/Y223</f>
        <v>0.33600000000000008</v>
      </c>
      <c r="Z229" s="361"/>
      <c r="AA229" s="367"/>
      <c r="AB229"/>
      <c r="AC229"/>
      <c r="AD229"/>
      <c r="AE229"/>
    </row>
    <row r="230" spans="17:31" ht="12.75" customHeight="1">
      <c r="Q230" s="668"/>
      <c r="R230" s="540" t="s">
        <v>547</v>
      </c>
      <c r="S230" s="540"/>
      <c r="T230" s="540"/>
      <c r="U230" s="540"/>
      <c r="V230" s="585"/>
      <c r="W230" s="586">
        <f>10*W217*W216*W218</f>
        <v>76800</v>
      </c>
      <c r="X230" s="586">
        <f>10*X217*X216*X218</f>
        <v>76800</v>
      </c>
      <c r="Y230" s="586">
        <f>10*Y217*Y216*Y218</f>
        <v>76800</v>
      </c>
      <c r="Z230" s="361"/>
      <c r="AA230" s="367"/>
      <c r="AB230"/>
      <c r="AC230"/>
      <c r="AD230"/>
      <c r="AE230"/>
    </row>
    <row r="231" spans="17:31" ht="12.75" customHeight="1">
      <c r="Q231" s="668"/>
      <c r="R231" s="968" t="s">
        <v>548</v>
      </c>
      <c r="S231" s="968"/>
      <c r="T231" s="968"/>
      <c r="U231" s="968"/>
      <c r="V231" s="585">
        <f>V229</f>
        <v>0.87545454545454526</v>
      </c>
      <c r="W231" s="585">
        <f>W220/W230</f>
        <v>1.3000000000000001E-2</v>
      </c>
      <c r="X231" s="585">
        <f>X220/X230</f>
        <v>1.4799999999999999E-2</v>
      </c>
      <c r="Y231" s="585">
        <f>Y220/Y230</f>
        <v>0.01</v>
      </c>
      <c r="Z231" s="361"/>
      <c r="AA231" s="367"/>
      <c r="AB231"/>
      <c r="AC231"/>
      <c r="AD231"/>
      <c r="AE231"/>
    </row>
    <row r="232" spans="17:31" ht="12.75" customHeight="1">
      <c r="Q232" s="668"/>
      <c r="R232" s="587"/>
      <c r="S232" s="587"/>
      <c r="T232" s="587"/>
      <c r="U232" s="587"/>
      <c r="V232" s="588"/>
      <c r="W232" s="588"/>
      <c r="X232" s="588"/>
      <c r="Y232" s="588"/>
      <c r="Z232" s="589"/>
      <c r="AA232" s="367"/>
      <c r="AB232"/>
      <c r="AC232"/>
      <c r="AD232"/>
      <c r="AE232"/>
    </row>
    <row r="233" spans="17:31" ht="12.75" customHeight="1">
      <c r="Q233" s="668"/>
      <c r="R233" s="587"/>
      <c r="S233" s="587"/>
      <c r="T233" s="587"/>
      <c r="U233" s="587"/>
      <c r="V233" s="676"/>
      <c r="W233" s="676"/>
      <c r="X233" s="676"/>
      <c r="Y233" s="588"/>
      <c r="Z233" s="364"/>
      <c r="AA233" s="367"/>
      <c r="AB233"/>
      <c r="AC233"/>
      <c r="AD233"/>
      <c r="AE233"/>
    </row>
    <row r="234" spans="17:31" ht="12.75" customHeight="1">
      <c r="Q234" s="668" t="s">
        <v>240</v>
      </c>
      <c r="R234" s="364" t="s">
        <v>241</v>
      </c>
      <c r="S234" s="364"/>
      <c r="T234" s="364"/>
      <c r="U234" s="364"/>
      <c r="V234" s="364"/>
      <c r="W234" s="364"/>
      <c r="X234" s="364"/>
      <c r="Y234" s="364"/>
      <c r="Z234" s="364"/>
      <c r="AA234" s="367"/>
      <c r="AB234"/>
      <c r="AC234"/>
      <c r="AD234"/>
      <c r="AE234"/>
    </row>
    <row r="235" spans="17:31" ht="12.75" customHeight="1">
      <c r="Q235" s="364"/>
      <c r="R235" s="962" t="s">
        <v>301</v>
      </c>
      <c r="S235" s="963"/>
      <c r="T235" s="964"/>
      <c r="U235" s="949" t="s">
        <v>500</v>
      </c>
      <c r="V235" s="938" t="s">
        <v>22</v>
      </c>
      <c r="W235" s="940" t="s">
        <v>579</v>
      </c>
      <c r="X235" s="942" t="s">
        <v>21</v>
      </c>
      <c r="Y235" s="361"/>
      <c r="Z235" s="364"/>
      <c r="AA235" s="367"/>
      <c r="AB235"/>
      <c r="AC235"/>
      <c r="AD235"/>
      <c r="AE235"/>
    </row>
    <row r="236" spans="17:31" ht="12.75" customHeight="1">
      <c r="Q236" s="364"/>
      <c r="R236" s="965"/>
      <c r="S236" s="966"/>
      <c r="T236" s="967"/>
      <c r="U236" s="950"/>
      <c r="V236" s="939"/>
      <c r="W236" s="941"/>
      <c r="X236" s="943"/>
      <c r="Y236" s="361"/>
      <c r="Z236" s="364"/>
      <c r="AA236" s="367"/>
      <c r="AB236"/>
      <c r="AC236"/>
      <c r="AD236"/>
      <c r="AE236"/>
    </row>
    <row r="237" spans="17:31" ht="12.75" customHeight="1">
      <c r="Q237" s="364"/>
      <c r="R237" s="931" t="s">
        <v>662</v>
      </c>
      <c r="S237" s="931"/>
      <c r="T237" s="931"/>
      <c r="U237" s="901" t="s">
        <v>427</v>
      </c>
      <c r="V237" s="562">
        <f>VLOOKUP($V$5,'Lookup Air Consumption'!$B$8:$E$208,3)</f>
        <v>38</v>
      </c>
      <c r="W237" s="562">
        <f>VLOOKUP($V$5,'Lookup Air Consumption'!$B$8:$E$208,4)</f>
        <v>50</v>
      </c>
      <c r="X237" s="562">
        <f>VLOOKUP($V$5,'Lookup Air Consumption'!$B$8:$E$208,2)</f>
        <v>41</v>
      </c>
      <c r="Y237" s="361"/>
      <c r="Z237" s="364"/>
      <c r="AA237" s="367"/>
      <c r="AB237"/>
      <c r="AC237"/>
      <c r="AD237"/>
      <c r="AE237"/>
    </row>
    <row r="238" spans="17:31" ht="12.75" customHeight="1">
      <c r="Q238" s="364"/>
      <c r="R238" s="931" t="s">
        <v>663</v>
      </c>
      <c r="S238" s="931"/>
      <c r="T238" s="931"/>
      <c r="U238" s="901"/>
      <c r="V238" s="590">
        <f>V237/1000</f>
        <v>3.7999999999999999E-2</v>
      </c>
      <c r="W238" s="590">
        <f>W237/1000</f>
        <v>0.05</v>
      </c>
      <c r="X238" s="590">
        <f>X237/1000</f>
        <v>4.1000000000000002E-2</v>
      </c>
      <c r="Y238" s="361"/>
      <c r="Z238" s="364"/>
      <c r="AA238" s="367"/>
      <c r="AB238"/>
      <c r="AC238"/>
      <c r="AD238"/>
      <c r="AE238"/>
    </row>
    <row r="239" spans="17:31" ht="12.75" customHeight="1">
      <c r="Q239" s="364"/>
      <c r="R239" s="931" t="s">
        <v>664</v>
      </c>
      <c r="S239" s="931"/>
      <c r="T239" s="931"/>
      <c r="U239" s="901"/>
      <c r="V239" s="560">
        <f>V238*35.31467</f>
        <v>1.3419574599999999</v>
      </c>
      <c r="W239" s="560">
        <f>W238*35.31467</f>
        <v>1.7657335000000001</v>
      </c>
      <c r="X239" s="560">
        <f>X238*35.31467</f>
        <v>1.4479014700000001</v>
      </c>
      <c r="Y239" s="361"/>
      <c r="Z239" s="364"/>
      <c r="AA239" s="367"/>
      <c r="AB239"/>
      <c r="AC239"/>
      <c r="AD239"/>
      <c r="AE239"/>
    </row>
    <row r="240" spans="17:31" ht="12.75" customHeight="1">
      <c r="Q240" s="360"/>
      <c r="R240" s="551"/>
      <c r="S240" s="551"/>
      <c r="T240" s="551"/>
      <c r="U240" s="591"/>
      <c r="V240" s="551"/>
      <c r="W240" s="551"/>
      <c r="X240" s="551"/>
      <c r="Y240" s="361"/>
      <c r="Z240" s="364"/>
      <c r="AA240" s="367"/>
      <c r="AB240"/>
      <c r="AC240"/>
      <c r="AD240"/>
      <c r="AE240"/>
    </row>
    <row r="241" spans="17:31" ht="12.75" customHeight="1">
      <c r="Q241" s="360"/>
      <c r="R241" s="962" t="s">
        <v>302</v>
      </c>
      <c r="S241" s="963"/>
      <c r="T241" s="964"/>
      <c r="U241" s="949" t="s">
        <v>500</v>
      </c>
      <c r="V241" s="938" t="s">
        <v>22</v>
      </c>
      <c r="W241" s="940" t="s">
        <v>579</v>
      </c>
      <c r="X241" s="942" t="s">
        <v>21</v>
      </c>
      <c r="Y241" s="361"/>
      <c r="Z241" s="364"/>
      <c r="AA241" s="367"/>
      <c r="AB241"/>
      <c r="AC241"/>
      <c r="AD241"/>
      <c r="AE241"/>
    </row>
    <row r="242" spans="17:31" ht="12.75" customHeight="1">
      <c r="Q242" s="360"/>
      <c r="R242" s="965"/>
      <c r="S242" s="966"/>
      <c r="T242" s="967"/>
      <c r="U242" s="950"/>
      <c r="V242" s="939"/>
      <c r="W242" s="941"/>
      <c r="X242" s="943"/>
      <c r="Y242" s="361"/>
      <c r="Z242" s="364"/>
      <c r="AA242" s="367"/>
      <c r="AB242"/>
      <c r="AC242"/>
      <c r="AD242"/>
      <c r="AE242"/>
    </row>
    <row r="243" spans="17:31" ht="12.75" customHeight="1">
      <c r="Q243" s="360"/>
      <c r="R243" s="931" t="s">
        <v>662</v>
      </c>
      <c r="S243" s="931"/>
      <c r="T243" s="931"/>
      <c r="U243" s="901" t="s">
        <v>427</v>
      </c>
      <c r="V243" s="549">
        <f t="shared" ref="V243:W245" si="3">V237*$V$23</f>
        <v>6080</v>
      </c>
      <c r="W243" s="549">
        <f t="shared" si="3"/>
        <v>8000</v>
      </c>
      <c r="X243" s="549">
        <f>X237*$V$23</f>
        <v>6560</v>
      </c>
      <c r="Y243" s="361"/>
      <c r="Z243" s="364"/>
      <c r="AA243" s="367"/>
      <c r="AB243"/>
      <c r="AC243"/>
      <c r="AD243"/>
      <c r="AE243"/>
    </row>
    <row r="244" spans="17:31" ht="12.75" customHeight="1">
      <c r="Q244" s="360"/>
      <c r="R244" s="931" t="s">
        <v>663</v>
      </c>
      <c r="S244" s="931"/>
      <c r="T244" s="931"/>
      <c r="U244" s="901"/>
      <c r="V244" s="560">
        <f t="shared" si="3"/>
        <v>6.08</v>
      </c>
      <c r="W244" s="560">
        <f t="shared" si="3"/>
        <v>8</v>
      </c>
      <c r="X244" s="560">
        <f>X238*$V$23</f>
        <v>6.5600000000000005</v>
      </c>
      <c r="Y244" s="361"/>
      <c r="Z244" s="364"/>
      <c r="AA244" s="367"/>
      <c r="AB244"/>
      <c r="AC244"/>
      <c r="AD244"/>
      <c r="AE244"/>
    </row>
    <row r="245" spans="17:31" ht="12.75" customHeight="1">
      <c r="Q245" s="360"/>
      <c r="R245" s="931" t="s">
        <v>664</v>
      </c>
      <c r="S245" s="931"/>
      <c r="T245" s="931"/>
      <c r="U245" s="901"/>
      <c r="V245" s="560">
        <f t="shared" si="3"/>
        <v>214.71319359999998</v>
      </c>
      <c r="W245" s="560">
        <f t="shared" si="3"/>
        <v>282.51736</v>
      </c>
      <c r="X245" s="560">
        <f>X239*$V$23</f>
        <v>231.66423520000001</v>
      </c>
      <c r="Y245" s="361"/>
      <c r="Z245" s="364"/>
      <c r="AA245" s="367"/>
      <c r="AB245"/>
      <c r="AC245"/>
      <c r="AD245"/>
      <c r="AE245"/>
    </row>
    <row r="246" spans="17:31" ht="12.75" customHeight="1">
      <c r="Q246" s="360"/>
      <c r="R246" s="364"/>
      <c r="S246" s="364"/>
      <c r="T246" s="364"/>
      <c r="U246" s="364"/>
      <c r="V246" s="555"/>
      <c r="W246" s="555"/>
      <c r="X246" s="555"/>
      <c r="Y246" s="361"/>
      <c r="Z246" s="364"/>
      <c r="AA246" s="367"/>
      <c r="AB246"/>
      <c r="AC246"/>
      <c r="AD246"/>
      <c r="AE246"/>
    </row>
    <row r="247" spans="17:31" ht="12.75" customHeight="1">
      <c r="Q247" s="360"/>
      <c r="R247" s="962" t="s">
        <v>303</v>
      </c>
      <c r="S247" s="963"/>
      <c r="T247" s="964"/>
      <c r="U247" s="949" t="s">
        <v>500</v>
      </c>
      <c r="V247" s="938" t="s">
        <v>22</v>
      </c>
      <c r="W247" s="940" t="s">
        <v>579</v>
      </c>
      <c r="X247" s="942" t="s">
        <v>21</v>
      </c>
      <c r="Y247" s="361"/>
      <c r="Z247" s="364"/>
      <c r="AA247" s="367"/>
      <c r="AB247"/>
      <c r="AC247"/>
      <c r="AD247"/>
      <c r="AE247"/>
    </row>
    <row r="248" spans="17:31" ht="12.75" customHeight="1">
      <c r="Q248" s="360"/>
      <c r="R248" s="965"/>
      <c r="S248" s="966"/>
      <c r="T248" s="967"/>
      <c r="U248" s="950"/>
      <c r="V248" s="939"/>
      <c r="W248" s="941"/>
      <c r="X248" s="943"/>
      <c r="Y248" s="361"/>
      <c r="Z248" s="364"/>
      <c r="AA248" s="367"/>
      <c r="AB248"/>
      <c r="AC248"/>
      <c r="AD248"/>
      <c r="AE248"/>
    </row>
    <row r="249" spans="17:31" ht="12.75" customHeight="1">
      <c r="Q249" s="563"/>
      <c r="R249" s="951" t="s">
        <v>517</v>
      </c>
      <c r="S249" s="951"/>
      <c r="T249" s="951"/>
      <c r="U249" s="901" t="s">
        <v>427</v>
      </c>
      <c r="V249" s="549">
        <f t="shared" ref="V249:X251" si="4">($V$25/$X$51)*60*V237</f>
        <v>31268571.428571429</v>
      </c>
      <c r="W249" s="549">
        <f t="shared" si="4"/>
        <v>41142857.142857142</v>
      </c>
      <c r="X249" s="549">
        <f t="shared" si="4"/>
        <v>33737142.857142858</v>
      </c>
      <c r="Y249" s="361"/>
      <c r="Z249" s="364"/>
      <c r="AA249" s="367"/>
      <c r="AB249"/>
      <c r="AC249"/>
      <c r="AD249"/>
      <c r="AE249"/>
    </row>
    <row r="250" spans="17:31" ht="12.75" customHeight="1">
      <c r="Q250" s="364"/>
      <c r="R250" s="951" t="s">
        <v>666</v>
      </c>
      <c r="S250" s="951"/>
      <c r="T250" s="951"/>
      <c r="U250" s="901"/>
      <c r="V250" s="549">
        <f t="shared" si="4"/>
        <v>31268.571428571428</v>
      </c>
      <c r="W250" s="549">
        <f t="shared" si="4"/>
        <v>41142.857142857145</v>
      </c>
      <c r="X250" s="549">
        <f t="shared" si="4"/>
        <v>33737.142857142855</v>
      </c>
      <c r="Y250" s="361"/>
      <c r="Z250" s="364"/>
      <c r="AA250" s="367"/>
      <c r="AB250"/>
      <c r="AC250"/>
      <c r="AD250"/>
      <c r="AE250"/>
    </row>
    <row r="251" spans="17:31" ht="12.75" customHeight="1">
      <c r="Q251" s="364"/>
      <c r="R251" s="951" t="s">
        <v>583</v>
      </c>
      <c r="S251" s="951"/>
      <c r="T251" s="951"/>
      <c r="U251" s="901"/>
      <c r="V251" s="549">
        <f t="shared" si="4"/>
        <v>1104239.2813714284</v>
      </c>
      <c r="W251" s="549">
        <f t="shared" si="4"/>
        <v>1452946.422857143</v>
      </c>
      <c r="X251" s="549">
        <f t="shared" si="4"/>
        <v>1191416.0667428572</v>
      </c>
      <c r="Y251" s="361"/>
      <c r="Z251" s="364"/>
      <c r="AA251" s="367"/>
      <c r="AB251"/>
      <c r="AC251"/>
      <c r="AD251"/>
      <c r="AE251"/>
    </row>
    <row r="252" spans="17:31" ht="12.75" customHeight="1">
      <c r="Q252" s="364"/>
      <c r="R252" s="364"/>
      <c r="S252" s="364"/>
      <c r="T252" s="364"/>
      <c r="U252" s="364"/>
      <c r="V252" s="364"/>
      <c r="W252" s="364"/>
      <c r="X252" s="364"/>
      <c r="Y252" s="361"/>
      <c r="Z252" s="364"/>
      <c r="AA252" s="367"/>
      <c r="AB252"/>
      <c r="AC252"/>
      <c r="AD252"/>
      <c r="AE252"/>
    </row>
    <row r="253" spans="17:31" ht="12.75" customHeight="1">
      <c r="Q253" s="668" t="s">
        <v>753</v>
      </c>
      <c r="R253" s="364" t="s">
        <v>300</v>
      </c>
      <c r="S253" s="364"/>
      <c r="T253" s="364"/>
      <c r="U253" s="364"/>
      <c r="V253" s="364"/>
      <c r="W253" s="364"/>
      <c r="X253" s="364"/>
      <c r="Y253" s="361"/>
      <c r="Z253" s="364"/>
      <c r="AA253" s="367"/>
      <c r="AB253"/>
      <c r="AC253"/>
      <c r="AD253"/>
      <c r="AE253"/>
    </row>
    <row r="254" spans="17:31" ht="12.75" customHeight="1">
      <c r="Q254" s="364"/>
      <c r="R254" s="957" t="s">
        <v>669</v>
      </c>
      <c r="S254" s="958"/>
      <c r="T254" s="959"/>
      <c r="U254" s="949" t="s">
        <v>500</v>
      </c>
      <c r="V254" s="938" t="s">
        <v>22</v>
      </c>
      <c r="W254" s="940" t="s">
        <v>579</v>
      </c>
      <c r="X254" s="942" t="s">
        <v>21</v>
      </c>
      <c r="Y254" s="361"/>
      <c r="Z254" s="364"/>
      <c r="AA254" s="367"/>
      <c r="AB254"/>
      <c r="AC254"/>
      <c r="AD254"/>
      <c r="AE254"/>
    </row>
    <row r="255" spans="17:31" ht="12.75" customHeight="1">
      <c r="Q255" s="364"/>
      <c r="R255" s="960"/>
      <c r="S255" s="961"/>
      <c r="T255" s="899"/>
      <c r="U255" s="950"/>
      <c r="V255" s="939"/>
      <c r="W255" s="941"/>
      <c r="X255" s="943"/>
      <c r="Y255" s="361"/>
      <c r="Z255" s="364"/>
      <c r="AA255" s="367"/>
      <c r="AB255"/>
      <c r="AC255"/>
      <c r="AD255"/>
      <c r="AE255"/>
    </row>
    <row r="256" spans="17:31" ht="12.75" customHeight="1">
      <c r="Q256" s="364"/>
      <c r="R256" s="541" t="s">
        <v>80</v>
      </c>
      <c r="S256" s="559"/>
      <c r="T256" s="559"/>
      <c r="U256" s="543">
        <v>6.5</v>
      </c>
      <c r="V256" s="669">
        <f>VLOOKUP($V$5,'Lookup Water Flow'!$B$8:$E$208,3)</f>
        <v>6.9</v>
      </c>
      <c r="W256" s="669">
        <f>VLOOKUP($V$5,'Lookup Water Flow'!$B$8:$E$208,4)</f>
        <v>12.1</v>
      </c>
      <c r="X256" s="669">
        <f>VLOOKUP($V$5,'Lookup Water Flow'!$B$8:$E$208,2)</f>
        <v>12.6</v>
      </c>
      <c r="Y256" s="361"/>
      <c r="Z256" s="364"/>
      <c r="AA256" s="367"/>
      <c r="AB256"/>
      <c r="AC256"/>
      <c r="AD256"/>
      <c r="AE256"/>
    </row>
    <row r="257" spans="17:31" ht="12.75" customHeight="1">
      <c r="Q257" s="364"/>
      <c r="R257" s="951" t="s">
        <v>81</v>
      </c>
      <c r="S257" s="951"/>
      <c r="T257" s="951"/>
      <c r="U257" s="677">
        <f>U256*V23</f>
        <v>1040</v>
      </c>
      <c r="V257" s="678">
        <f>V256*$V$23</f>
        <v>1104</v>
      </c>
      <c r="W257" s="678">
        <f>W256*$V$23</f>
        <v>1936</v>
      </c>
      <c r="X257" s="678">
        <f>X256*$V$23</f>
        <v>2016</v>
      </c>
      <c r="Y257" s="361"/>
      <c r="Z257" s="364"/>
      <c r="AA257" s="367"/>
      <c r="AB257"/>
      <c r="AC257"/>
      <c r="AD257"/>
      <c r="AE257"/>
    </row>
    <row r="258" spans="17:31" ht="12.75" customHeight="1">
      <c r="Q258" s="364"/>
      <c r="R258" s="592" t="s">
        <v>670</v>
      </c>
      <c r="S258" s="559"/>
      <c r="T258" s="559"/>
      <c r="U258" s="549">
        <f>(U256*U56*V24)+(24*2*V24)</f>
        <v>473600</v>
      </c>
      <c r="V258" s="679">
        <f>V256*$X$56*$V$24</f>
        <v>94628.571428571435</v>
      </c>
      <c r="W258" s="679">
        <f>W256*$X$56*$V$24</f>
        <v>165942.85714285713</v>
      </c>
      <c r="X258" s="679">
        <f>X256*$X$56*$V$24</f>
        <v>172800</v>
      </c>
      <c r="Y258" s="361"/>
      <c r="Z258" s="364"/>
      <c r="AA258" s="367"/>
      <c r="AB258"/>
      <c r="AC258"/>
      <c r="AD258"/>
      <c r="AE258"/>
    </row>
    <row r="259" spans="17:31" ht="12.75" customHeight="1">
      <c r="Q259" s="364"/>
      <c r="R259" s="364"/>
      <c r="S259" s="364"/>
      <c r="T259" s="364"/>
      <c r="U259" s="364"/>
      <c r="V259" s="364"/>
      <c r="W259" s="364"/>
      <c r="X259" s="364"/>
      <c r="Y259" s="364"/>
      <c r="Z259" s="364"/>
      <c r="AA259" s="367"/>
      <c r="AB259"/>
      <c r="AC259"/>
      <c r="AD259"/>
      <c r="AE259"/>
    </row>
    <row r="260" spans="17:31" ht="12.75" customHeight="1">
      <c r="Q260" s="680" t="s">
        <v>754</v>
      </c>
      <c r="R260" s="952" t="s">
        <v>309</v>
      </c>
      <c r="S260" s="952"/>
      <c r="T260" s="952"/>
      <c r="U260" s="952"/>
      <c r="V260" s="952"/>
      <c r="W260" s="952"/>
      <c r="X260" s="952"/>
      <c r="Y260" s="952"/>
      <c r="Z260" s="360"/>
      <c r="AA260" s="367"/>
      <c r="AB260"/>
      <c r="AC260"/>
      <c r="AD260"/>
      <c r="AE260"/>
    </row>
    <row r="261" spans="17:31" ht="12.75" customHeight="1">
      <c r="Q261" s="364"/>
      <c r="R261" s="364"/>
      <c r="S261" s="364"/>
      <c r="T261" s="364"/>
      <c r="U261" s="364"/>
      <c r="V261" s="364"/>
      <c r="W261" s="364"/>
      <c r="X261" s="364"/>
      <c r="Y261" s="364"/>
      <c r="Z261" s="364"/>
      <c r="AA261" s="367"/>
      <c r="AB261"/>
      <c r="AC261"/>
      <c r="AD261"/>
      <c r="AE261"/>
    </row>
    <row r="262" spans="17:31" ht="12.75" customHeight="1">
      <c r="Q262" s="668" t="s">
        <v>755</v>
      </c>
      <c r="R262" s="364" t="s">
        <v>239</v>
      </c>
      <c r="S262" s="364"/>
      <c r="T262" s="364"/>
      <c r="U262" s="364"/>
      <c r="V262" s="364"/>
      <c r="W262" s="364"/>
      <c r="X262" s="364"/>
      <c r="Y262" s="364"/>
      <c r="Z262" s="364"/>
      <c r="AA262" s="367"/>
      <c r="AB262"/>
      <c r="AC262"/>
      <c r="AD262"/>
      <c r="AE262"/>
    </row>
    <row r="263" spans="17:31" ht="12.75" customHeight="1">
      <c r="Q263" s="364"/>
      <c r="R263" s="364"/>
      <c r="S263" s="364"/>
      <c r="T263" s="364"/>
      <c r="U263" s="364"/>
      <c r="V263" s="364"/>
      <c r="W263" s="364"/>
      <c r="X263" s="364"/>
      <c r="Y263" s="364"/>
      <c r="Z263" s="364"/>
      <c r="AA263" s="367"/>
      <c r="AB263"/>
      <c r="AC263"/>
      <c r="AD263"/>
      <c r="AE263"/>
    </row>
    <row r="264" spans="17:31" ht="12.75" customHeight="1">
      <c r="Q264" s="364"/>
      <c r="R264" s="953" t="s">
        <v>676</v>
      </c>
      <c r="S264" s="954"/>
      <c r="T264" s="561" t="s">
        <v>320</v>
      </c>
      <c r="U264" s="935" t="s">
        <v>318</v>
      </c>
      <c r="V264" s="935"/>
      <c r="W264" s="681">
        <f>'Compressor Input Data'!G7</f>
        <v>0.19</v>
      </c>
      <c r="X264" s="594"/>
      <c r="Y264" s="595"/>
      <c r="Z264" s="363"/>
      <c r="AA264" s="367"/>
      <c r="AB264"/>
      <c r="AC264"/>
      <c r="AD264"/>
      <c r="AE264"/>
    </row>
    <row r="265" spans="17:31" ht="12.75" customHeight="1">
      <c r="Q265" s="364"/>
      <c r="R265" s="955"/>
      <c r="S265" s="956"/>
      <c r="T265" s="561" t="s">
        <v>321</v>
      </c>
      <c r="U265" s="935" t="s">
        <v>319</v>
      </c>
      <c r="V265" s="935"/>
      <c r="W265" s="681">
        <f>'Compressor Input Data'!G8</f>
        <v>0.33</v>
      </c>
      <c r="X265" s="594"/>
      <c r="Y265" s="595"/>
      <c r="Z265" s="595"/>
      <c r="AA265" s="367"/>
      <c r="AB265"/>
      <c r="AC265"/>
      <c r="AD265"/>
      <c r="AE265"/>
    </row>
    <row r="266" spans="17:31" ht="12.75" customHeight="1">
      <c r="Q266" s="364"/>
      <c r="R266" s="363"/>
      <c r="S266" s="363"/>
      <c r="T266" s="577"/>
      <c r="U266" s="577"/>
      <c r="V266" s="596"/>
      <c r="W266" s="363"/>
      <c r="X266" s="363"/>
      <c r="Y266" s="363"/>
      <c r="Z266" s="363"/>
      <c r="AA266" s="367"/>
      <c r="AB266"/>
      <c r="AC266"/>
      <c r="AD266"/>
      <c r="AE266"/>
    </row>
    <row r="267" spans="17:31" ht="12.75" customHeight="1">
      <c r="Q267" s="364"/>
      <c r="R267" s="935" t="s">
        <v>675</v>
      </c>
      <c r="S267" s="935"/>
      <c r="T267" s="935"/>
      <c r="U267" s="949" t="s">
        <v>500</v>
      </c>
      <c r="V267" s="938" t="s">
        <v>22</v>
      </c>
      <c r="W267" s="940" t="s">
        <v>579</v>
      </c>
      <c r="X267" s="942" t="s">
        <v>21</v>
      </c>
      <c r="Y267" s="361"/>
      <c r="Z267" s="364"/>
      <c r="AA267" s="367"/>
      <c r="AB267"/>
      <c r="AC267"/>
      <c r="AD267"/>
      <c r="AE267"/>
    </row>
    <row r="268" spans="17:31" ht="12.75" customHeight="1">
      <c r="Q268" s="364"/>
      <c r="R268" s="944" t="s">
        <v>320</v>
      </c>
      <c r="S268" s="947"/>
      <c r="T268" s="948"/>
      <c r="U268" s="950"/>
      <c r="V268" s="939"/>
      <c r="W268" s="941"/>
      <c r="X268" s="943"/>
      <c r="Y268" s="361"/>
      <c r="Z268" s="364"/>
      <c r="AA268" s="367"/>
      <c r="AB268"/>
      <c r="AC268"/>
      <c r="AD268"/>
      <c r="AE268"/>
    </row>
    <row r="269" spans="17:31" ht="12.75" customHeight="1">
      <c r="Q269" s="364"/>
      <c r="R269" s="945"/>
      <c r="S269" s="935" t="s">
        <v>306</v>
      </c>
      <c r="T269" s="935"/>
      <c r="U269" s="599">
        <f>U164*$W$264</f>
        <v>178.34666666666669</v>
      </c>
      <c r="V269" s="599">
        <f>V164*$W$264</f>
        <v>14439.999999999998</v>
      </c>
      <c r="W269" s="599">
        <f>W164*$W$264</f>
        <v>12556.521739130432</v>
      </c>
      <c r="X269" s="599">
        <f>X164*$W$264</f>
        <v>10314.285714285712</v>
      </c>
      <c r="Y269" s="361"/>
      <c r="Z269" s="364"/>
      <c r="AA269" s="367"/>
      <c r="AB269"/>
      <c r="AC269"/>
      <c r="AD269"/>
      <c r="AE269"/>
    </row>
    <row r="270" spans="17:31" ht="12.75" customHeight="1">
      <c r="Q270" s="364"/>
      <c r="R270" s="945"/>
      <c r="S270" s="935" t="s">
        <v>307</v>
      </c>
      <c r="T270" s="935"/>
      <c r="U270" s="599">
        <f>U269*$V$11</f>
        <v>4101.9733333333343</v>
      </c>
      <c r="V270" s="599">
        <f>V269*$V$11</f>
        <v>332119.99999999994</v>
      </c>
      <c r="W270" s="599">
        <f>W269*$V$11</f>
        <v>288799.99999999994</v>
      </c>
      <c r="X270" s="599">
        <f>X269*$V$11</f>
        <v>237228.57142857136</v>
      </c>
      <c r="Y270" s="361"/>
      <c r="Z270" s="364"/>
      <c r="AA270" s="367"/>
      <c r="AB270"/>
      <c r="AC270"/>
      <c r="AD270"/>
      <c r="AE270"/>
    </row>
    <row r="271" spans="17:31" ht="12.75" customHeight="1">
      <c r="Q271" s="364"/>
      <c r="R271" s="946"/>
      <c r="S271" s="935" t="s">
        <v>308</v>
      </c>
      <c r="T271" s="935"/>
      <c r="U271" s="599">
        <f>U270*9</f>
        <v>36917.760000000009</v>
      </c>
      <c r="V271" s="599">
        <f>V270*9</f>
        <v>2989079.9999999995</v>
      </c>
      <c r="W271" s="599">
        <f>W270*9</f>
        <v>2599199.9999999995</v>
      </c>
      <c r="X271" s="599">
        <f>X270*9</f>
        <v>2135057.1428571423</v>
      </c>
      <c r="Y271" s="361"/>
      <c r="Z271" s="364"/>
      <c r="AA271" s="367"/>
      <c r="AB271"/>
      <c r="AC271"/>
      <c r="AD271"/>
      <c r="AE271"/>
    </row>
    <row r="272" spans="17:31" ht="12.75" customHeight="1">
      <c r="Q272" s="597"/>
      <c r="R272" s="937"/>
      <c r="S272" s="937"/>
      <c r="T272" s="937"/>
      <c r="U272" s="937"/>
      <c r="V272" s="937"/>
      <c r="W272" s="937"/>
      <c r="X272" s="937"/>
      <c r="Y272" s="364"/>
      <c r="Z272" s="364"/>
      <c r="AA272" s="367"/>
      <c r="AB272"/>
      <c r="AC272"/>
      <c r="AD272"/>
      <c r="AE272"/>
    </row>
    <row r="273" spans="17:31" ht="12.75" customHeight="1">
      <c r="Q273" s="597"/>
      <c r="R273" s="935" t="s">
        <v>675</v>
      </c>
      <c r="S273" s="935"/>
      <c r="T273" s="935"/>
      <c r="U273" s="930" t="s">
        <v>500</v>
      </c>
      <c r="V273" s="928" t="s">
        <v>22</v>
      </c>
      <c r="W273" s="929" t="s">
        <v>579</v>
      </c>
      <c r="X273" s="927" t="s">
        <v>21</v>
      </c>
      <c r="Y273" s="361"/>
      <c r="Z273" s="364"/>
      <c r="AA273" s="367"/>
      <c r="AB273"/>
      <c r="AC273"/>
      <c r="AD273"/>
      <c r="AE273"/>
    </row>
    <row r="274" spans="17:31" ht="12.75" customHeight="1">
      <c r="Q274" s="597"/>
      <c r="R274" s="937" t="s">
        <v>321</v>
      </c>
      <c r="S274" s="937"/>
      <c r="T274" s="937"/>
      <c r="U274" s="930"/>
      <c r="V274" s="928"/>
      <c r="W274" s="929"/>
      <c r="X274" s="927"/>
      <c r="Y274" s="361"/>
      <c r="Z274" s="364"/>
      <c r="AA274" s="367"/>
      <c r="AB274"/>
      <c r="AC274"/>
      <c r="AD274"/>
      <c r="AE274"/>
    </row>
    <row r="275" spans="17:31" ht="12.75" customHeight="1">
      <c r="Q275" s="364"/>
      <c r="R275" s="937"/>
      <c r="S275" s="935" t="s">
        <v>306</v>
      </c>
      <c r="T275" s="935"/>
      <c r="U275" s="599">
        <f>U164*$W$265</f>
        <v>309.76000000000005</v>
      </c>
      <c r="V275" s="599">
        <f>V164*$W$265</f>
        <v>25079.999999999996</v>
      </c>
      <c r="W275" s="599">
        <f>W164*$W$265</f>
        <v>21808.695652173912</v>
      </c>
      <c r="X275" s="599">
        <f>X164*$W$265</f>
        <v>17914.28571428571</v>
      </c>
      <c r="Y275" s="361"/>
      <c r="Z275" s="364"/>
      <c r="AA275" s="367"/>
      <c r="AB275"/>
      <c r="AC275"/>
      <c r="AD275"/>
      <c r="AE275"/>
    </row>
    <row r="276" spans="17:31" ht="12.75" customHeight="1">
      <c r="Q276" s="597"/>
      <c r="R276" s="937"/>
      <c r="S276" s="935" t="s">
        <v>307</v>
      </c>
      <c r="T276" s="935"/>
      <c r="U276" s="599">
        <f>U275*$V$11</f>
        <v>7124.4800000000014</v>
      </c>
      <c r="V276" s="599">
        <f>V275*$V$11</f>
        <v>576839.99999999988</v>
      </c>
      <c r="W276" s="599">
        <f>W275*$V$11</f>
        <v>501600</v>
      </c>
      <c r="X276" s="599">
        <f>X275*$V$11</f>
        <v>412028.57142857136</v>
      </c>
      <c r="Y276" s="361"/>
      <c r="Z276" s="364"/>
      <c r="AA276" s="367"/>
      <c r="AB276"/>
      <c r="AC276"/>
      <c r="AD276"/>
      <c r="AE276"/>
    </row>
    <row r="277" spans="17:31" ht="12.75" customHeight="1">
      <c r="Q277" s="364"/>
      <c r="R277" s="937"/>
      <c r="S277" s="935" t="s">
        <v>308</v>
      </c>
      <c r="T277" s="935"/>
      <c r="U277" s="599">
        <f>U276*3</f>
        <v>21373.440000000002</v>
      </c>
      <c r="V277" s="599">
        <f>V276*3</f>
        <v>1730519.9999999995</v>
      </c>
      <c r="W277" s="599">
        <f>W276*3</f>
        <v>1504800</v>
      </c>
      <c r="X277" s="599">
        <f>X276*3</f>
        <v>1236085.7142857141</v>
      </c>
      <c r="Y277" s="361"/>
      <c r="Z277" s="364"/>
      <c r="AA277" s="367"/>
      <c r="AB277"/>
      <c r="AC277"/>
      <c r="AD277"/>
      <c r="AE277"/>
    </row>
    <row r="278" spans="17:31" ht="12.75" customHeight="1">
      <c r="Q278" s="364"/>
      <c r="R278" s="937"/>
      <c r="S278" s="937"/>
      <c r="T278" s="937"/>
      <c r="U278" s="937"/>
      <c r="V278" s="937"/>
      <c r="W278" s="937"/>
      <c r="X278" s="937"/>
      <c r="Y278" s="364"/>
      <c r="Z278" s="364"/>
      <c r="AA278" s="367"/>
      <c r="AB278"/>
      <c r="AC278"/>
      <c r="AD278"/>
      <c r="AE278"/>
    </row>
    <row r="279" spans="17:31" ht="12.75" customHeight="1">
      <c r="Q279" s="364"/>
      <c r="R279" s="935" t="s">
        <v>675</v>
      </c>
      <c r="S279" s="935"/>
      <c r="T279" s="935"/>
      <c r="U279" s="930" t="s">
        <v>500</v>
      </c>
      <c r="V279" s="928" t="s">
        <v>22</v>
      </c>
      <c r="W279" s="929" t="s">
        <v>579</v>
      </c>
      <c r="X279" s="927" t="s">
        <v>21</v>
      </c>
      <c r="Y279" s="361"/>
      <c r="Z279" s="364"/>
      <c r="AA279" s="367"/>
      <c r="AB279"/>
      <c r="AC279"/>
      <c r="AD279"/>
      <c r="AE279"/>
    </row>
    <row r="280" spans="17:31" ht="12.75" customHeight="1">
      <c r="Q280" s="364"/>
      <c r="R280" s="937" t="s">
        <v>322</v>
      </c>
      <c r="S280" s="937"/>
      <c r="T280" s="937"/>
      <c r="U280" s="930"/>
      <c r="V280" s="928"/>
      <c r="W280" s="929"/>
      <c r="X280" s="927"/>
      <c r="Y280" s="361"/>
      <c r="Z280" s="364"/>
      <c r="AA280" s="367"/>
      <c r="AB280"/>
      <c r="AC280"/>
      <c r="AD280"/>
      <c r="AE280"/>
    </row>
    <row r="281" spans="17:31" ht="12.75" customHeight="1">
      <c r="Q281" s="364"/>
      <c r="R281" s="937"/>
      <c r="S281" s="935" t="s">
        <v>306</v>
      </c>
      <c r="T281" s="935"/>
      <c r="U281" s="599">
        <f>U282/$V$11</f>
        <v>211.20000000000005</v>
      </c>
      <c r="V281" s="599">
        <f>V282/$V$11</f>
        <v>17099.999999999996</v>
      </c>
      <c r="W281" s="599">
        <f>W282/$V$11</f>
        <v>14869.565217391302</v>
      </c>
      <c r="X281" s="599">
        <f>X282/$V$11</f>
        <v>12214.285714285712</v>
      </c>
      <c r="Y281" s="361"/>
      <c r="Z281" s="364"/>
      <c r="AA281" s="367"/>
      <c r="AB281"/>
      <c r="AC281"/>
      <c r="AD281"/>
      <c r="AE281"/>
    </row>
    <row r="282" spans="17:31" ht="12.75" customHeight="1">
      <c r="Q282" s="364"/>
      <c r="R282" s="937"/>
      <c r="S282" s="935" t="s">
        <v>307</v>
      </c>
      <c r="T282" s="935"/>
      <c r="U282" s="599">
        <f>U283/12</f>
        <v>4857.6000000000013</v>
      </c>
      <c r="V282" s="599">
        <f>V283/12</f>
        <v>393299.99999999994</v>
      </c>
      <c r="W282" s="599">
        <f>W283/12</f>
        <v>341999.99999999994</v>
      </c>
      <c r="X282" s="599">
        <f>X283/12</f>
        <v>280928.57142857136</v>
      </c>
      <c r="Y282" s="361"/>
      <c r="Z282" s="364"/>
      <c r="AA282" s="367"/>
      <c r="AB282"/>
      <c r="AC282"/>
      <c r="AD282"/>
      <c r="AE282"/>
    </row>
    <row r="283" spans="17:31" ht="12.75" customHeight="1">
      <c r="Q283" s="364"/>
      <c r="R283" s="937"/>
      <c r="S283" s="935" t="s">
        <v>308</v>
      </c>
      <c r="T283" s="935"/>
      <c r="U283" s="599">
        <f>U271+U277</f>
        <v>58291.200000000012</v>
      </c>
      <c r="V283" s="599">
        <f>V271+V277</f>
        <v>4719599.9999999991</v>
      </c>
      <c r="W283" s="599">
        <f>W271+W277</f>
        <v>4103999.9999999995</v>
      </c>
      <c r="X283" s="599">
        <f>X271+X277</f>
        <v>3371142.8571428563</v>
      </c>
      <c r="Y283" s="361"/>
      <c r="Z283" s="364"/>
      <c r="AA283" s="367"/>
      <c r="AB283"/>
      <c r="AC283"/>
      <c r="AD283"/>
      <c r="AE283"/>
    </row>
    <row r="284" spans="17:31" ht="12.75" customHeight="1">
      <c r="Q284" s="364"/>
      <c r="R284" s="363"/>
      <c r="S284" s="363"/>
      <c r="T284" s="577"/>
      <c r="U284" s="577"/>
      <c r="V284" s="596"/>
      <c r="W284" s="363"/>
      <c r="X284" s="363"/>
      <c r="Y284" s="363"/>
      <c r="Z284" s="363"/>
      <c r="AA284" s="367"/>
      <c r="AB284"/>
      <c r="AC284"/>
      <c r="AD284"/>
      <c r="AE284"/>
    </row>
    <row r="285" spans="17:31" ht="12.75" customHeight="1">
      <c r="Q285" s="668" t="s">
        <v>756</v>
      </c>
      <c r="R285" s="363" t="s">
        <v>758</v>
      </c>
      <c r="S285" s="363"/>
      <c r="T285" s="577"/>
      <c r="U285" s="577"/>
      <c r="V285" s="596"/>
      <c r="W285" s="363"/>
      <c r="X285" s="363"/>
      <c r="Y285" s="363"/>
      <c r="Z285" s="363"/>
      <c r="AA285" s="367"/>
      <c r="AB285"/>
      <c r="AC285"/>
      <c r="AD285"/>
      <c r="AE285"/>
    </row>
    <row r="286" spans="17:31" ht="12.75" customHeight="1">
      <c r="Q286" s="364"/>
      <c r="R286" s="935" t="s">
        <v>678</v>
      </c>
      <c r="S286" s="935"/>
      <c r="T286" s="935"/>
      <c r="U286" s="935"/>
      <c r="V286" s="936" t="s">
        <v>500</v>
      </c>
      <c r="W286" s="936" t="s">
        <v>22</v>
      </c>
      <c r="X286" s="936" t="s">
        <v>579</v>
      </c>
      <c r="Y286" s="936" t="s">
        <v>21</v>
      </c>
      <c r="Z286" s="361"/>
      <c r="AA286" s="367"/>
      <c r="AB286"/>
      <c r="AC286"/>
      <c r="AD286"/>
      <c r="AE286"/>
    </row>
    <row r="287" spans="17:31" ht="12.75" customHeight="1">
      <c r="Q287" s="364"/>
      <c r="R287" s="935"/>
      <c r="S287" s="935"/>
      <c r="T287" s="935"/>
      <c r="U287" s="935"/>
      <c r="V287" s="936"/>
      <c r="W287" s="936"/>
      <c r="X287" s="936"/>
      <c r="Y287" s="936"/>
      <c r="Z287" s="361"/>
      <c r="AA287" s="367"/>
      <c r="AB287"/>
      <c r="AC287"/>
      <c r="AD287"/>
      <c r="AE287"/>
    </row>
    <row r="288" spans="17:31" ht="12.75" customHeight="1">
      <c r="Q288" s="364"/>
      <c r="R288" s="931" t="s">
        <v>35</v>
      </c>
      <c r="S288" s="931"/>
      <c r="T288" s="931"/>
      <c r="U288" s="931"/>
      <c r="V288" s="599">
        <f>AVERAGE(U196:W196)*5%</f>
        <v>1305585.0000000005</v>
      </c>
      <c r="W288" s="599">
        <f>V202*5%</f>
        <v>1533870.0000000005</v>
      </c>
      <c r="X288" s="599">
        <f>W202*5%</f>
        <v>1518480.0000000005</v>
      </c>
      <c r="Y288" s="599">
        <f>X202*5%</f>
        <v>1500158.5714285718</v>
      </c>
      <c r="Z288" s="361"/>
      <c r="AA288" s="367"/>
      <c r="AB288"/>
      <c r="AC288"/>
      <c r="AD288"/>
      <c r="AE288"/>
    </row>
    <row r="289" spans="17:31" ht="12.75" customHeight="1">
      <c r="Q289" s="364"/>
      <c r="R289" s="931" t="s">
        <v>481</v>
      </c>
      <c r="S289" s="931"/>
      <c r="T289" s="931"/>
      <c r="U289" s="931"/>
      <c r="V289" s="600" t="s">
        <v>479</v>
      </c>
      <c r="W289" s="599">
        <f>Y289</f>
        <v>1059840</v>
      </c>
      <c r="X289" s="600" t="s">
        <v>479</v>
      </c>
      <c r="Y289" s="599">
        <f>Consumables!E23*12</f>
        <v>1059840</v>
      </c>
      <c r="Z289" s="361"/>
      <c r="AA289" s="367"/>
      <c r="AB289"/>
      <c r="AC289"/>
      <c r="AD289"/>
      <c r="AE289"/>
    </row>
    <row r="290" spans="17:31" ht="12.75" customHeight="1">
      <c r="Q290" s="364"/>
      <c r="R290" s="931" t="s">
        <v>311</v>
      </c>
      <c r="S290" s="931"/>
      <c r="T290" s="931"/>
      <c r="U290" s="931"/>
      <c r="V290" s="600" t="s">
        <v>557</v>
      </c>
      <c r="W290" s="599">
        <f>Y290</f>
        <v>416000</v>
      </c>
      <c r="X290" s="599">
        <f>W290</f>
        <v>416000</v>
      </c>
      <c r="Y290" s="599">
        <f>Consumables!E21*12</f>
        <v>416000</v>
      </c>
      <c r="Z290" s="361"/>
      <c r="AA290" s="367"/>
      <c r="AB290"/>
      <c r="AC290"/>
      <c r="AD290"/>
      <c r="AE290"/>
    </row>
    <row r="291" spans="17:31" ht="12.75" customHeight="1">
      <c r="Q291" s="364"/>
      <c r="R291" s="931" t="s">
        <v>480</v>
      </c>
      <c r="S291" s="931"/>
      <c r="T291" s="931"/>
      <c r="U291" s="931"/>
      <c r="V291" s="599">
        <f>Consumables!H21*12</f>
        <v>3865001.2800000003</v>
      </c>
      <c r="W291" s="599">
        <v>0</v>
      </c>
      <c r="X291" s="599">
        <v>0</v>
      </c>
      <c r="Y291" s="599">
        <v>0</v>
      </c>
      <c r="Z291" s="361"/>
      <c r="AA291" s="367"/>
      <c r="AB291"/>
      <c r="AC291"/>
      <c r="AD291"/>
      <c r="AE291"/>
    </row>
    <row r="292" spans="17:31" ht="12.75" customHeight="1">
      <c r="Q292" s="364"/>
      <c r="R292" s="931" t="s">
        <v>312</v>
      </c>
      <c r="S292" s="931"/>
      <c r="T292" s="931"/>
      <c r="U292" s="931"/>
      <c r="V292" s="599">
        <f>Consumables!H20*12</f>
        <v>2691993.6000000001</v>
      </c>
      <c r="W292" s="599">
        <f>Y292</f>
        <v>2331648.0000000005</v>
      </c>
      <c r="X292" s="599">
        <f>W292</f>
        <v>2331648.0000000005</v>
      </c>
      <c r="Y292" s="599">
        <f>Consumables!E20*12</f>
        <v>2331648.0000000005</v>
      </c>
      <c r="Z292" s="361"/>
      <c r="AA292" s="367"/>
      <c r="AB292"/>
      <c r="AC292"/>
      <c r="AD292"/>
      <c r="AE292"/>
    </row>
    <row r="293" spans="17:31" ht="12.75" customHeight="1">
      <c r="Q293" s="364"/>
      <c r="R293" s="931" t="s">
        <v>313</v>
      </c>
      <c r="S293" s="931"/>
      <c r="T293" s="931"/>
      <c r="U293" s="931"/>
      <c r="V293" s="599">
        <f>Consumables!H19*12</f>
        <v>1674547.2000000002</v>
      </c>
      <c r="W293" s="599">
        <f>Y293</f>
        <v>1398988.8</v>
      </c>
      <c r="X293" s="599">
        <f>W293</f>
        <v>1398988.8</v>
      </c>
      <c r="Y293" s="599">
        <f>Consumables!E19*12</f>
        <v>1398988.8</v>
      </c>
      <c r="Z293" s="361"/>
      <c r="AA293" s="367"/>
      <c r="AB293"/>
      <c r="AC293"/>
      <c r="AD293"/>
      <c r="AE293"/>
    </row>
    <row r="294" spans="17:31" ht="12.75" customHeight="1">
      <c r="Q294" s="364"/>
      <c r="R294" s="931" t="s">
        <v>190</v>
      </c>
      <c r="S294" s="931"/>
      <c r="T294" s="931"/>
      <c r="U294" s="931"/>
      <c r="V294" s="599">
        <f>Consumables!H22*12</f>
        <v>8294400</v>
      </c>
      <c r="W294" s="599">
        <v>0</v>
      </c>
      <c r="X294" s="599">
        <v>0</v>
      </c>
      <c r="Y294" s="599">
        <v>0</v>
      </c>
      <c r="Z294" s="361"/>
      <c r="AA294" s="367"/>
      <c r="AB294"/>
      <c r="AC294"/>
      <c r="AD294"/>
      <c r="AE294"/>
    </row>
    <row r="295" spans="17:31" ht="12.75" customHeight="1">
      <c r="Q295" s="364"/>
      <c r="R295" s="931" t="s">
        <v>482</v>
      </c>
      <c r="S295" s="931"/>
      <c r="T295" s="931"/>
      <c r="U295" s="931"/>
      <c r="V295" s="599">
        <v>0</v>
      </c>
      <c r="W295" s="599">
        <f>Y295</f>
        <v>199600.00000000003</v>
      </c>
      <c r="X295" s="599">
        <f>W295</f>
        <v>199600.00000000003</v>
      </c>
      <c r="Y295" s="599">
        <f>Consumables!E25*12</f>
        <v>199600.00000000003</v>
      </c>
      <c r="Z295" s="361"/>
      <c r="AA295" s="367"/>
      <c r="AB295"/>
      <c r="AC295"/>
      <c r="AD295"/>
      <c r="AE295"/>
    </row>
    <row r="296" spans="17:31" ht="12.75" customHeight="1">
      <c r="Q296" s="364"/>
      <c r="R296" s="931" t="s">
        <v>483</v>
      </c>
      <c r="S296" s="931"/>
      <c r="T296" s="931"/>
      <c r="U296" s="931"/>
      <c r="V296" s="599">
        <v>0</v>
      </c>
      <c r="W296" s="599">
        <f>Y296</f>
        <v>40600</v>
      </c>
      <c r="X296" s="599">
        <f>W296</f>
        <v>40600</v>
      </c>
      <c r="Y296" s="599">
        <f>Consumables!E24*12</f>
        <v>40600</v>
      </c>
      <c r="Z296" s="361"/>
      <c r="AA296" s="367"/>
      <c r="AB296"/>
      <c r="AC296"/>
      <c r="AD296"/>
      <c r="AE296"/>
    </row>
    <row r="297" spans="17:31" ht="12.75" customHeight="1">
      <c r="Q297" s="364"/>
      <c r="R297" s="931" t="s">
        <v>478</v>
      </c>
      <c r="S297" s="931"/>
      <c r="T297" s="931"/>
      <c r="U297" s="931"/>
      <c r="V297" s="599">
        <f>U283</f>
        <v>58291.200000000012</v>
      </c>
      <c r="W297" s="599">
        <f>V283</f>
        <v>4719599.9999999991</v>
      </c>
      <c r="X297" s="599">
        <f>W283</f>
        <v>4103999.9999999995</v>
      </c>
      <c r="Y297" s="599">
        <f>X283</f>
        <v>3371142.8571428563</v>
      </c>
      <c r="Z297" s="361"/>
      <c r="AA297" s="367"/>
      <c r="AB297"/>
      <c r="AC297"/>
      <c r="AD297"/>
      <c r="AE297"/>
    </row>
    <row r="298" spans="17:31" ht="12.75" customHeight="1">
      <c r="Q298" s="364"/>
      <c r="R298" s="931" t="s">
        <v>484</v>
      </c>
      <c r="S298" s="931"/>
      <c r="T298" s="931"/>
      <c r="U298" s="931"/>
      <c r="V298" s="599">
        <f>'NIHL Compenation Cost'!AD21</f>
        <v>1715167.5</v>
      </c>
      <c r="W298" s="599">
        <f>'NIHL Compenation Cost'!Z21</f>
        <v>989115.00000000012</v>
      </c>
      <c r="X298" s="599">
        <f>'NIHL Compenation Cost'!AB21</f>
        <v>1087325</v>
      </c>
      <c r="Y298" s="599">
        <f>'NIHL Compenation Cost'!X21</f>
        <v>596275</v>
      </c>
      <c r="Z298" s="361"/>
      <c r="AA298" s="367"/>
      <c r="AB298"/>
      <c r="AC298"/>
      <c r="AD298"/>
      <c r="AE298"/>
    </row>
    <row r="299" spans="17:31" ht="12.75" customHeight="1">
      <c r="Q299" s="364"/>
      <c r="R299" s="932" t="s">
        <v>677</v>
      </c>
      <c r="S299" s="932"/>
      <c r="T299" s="932"/>
      <c r="U299" s="932"/>
      <c r="V299" s="599">
        <f>SUM(V288:V298)</f>
        <v>19604985.780000001</v>
      </c>
      <c r="W299" s="599">
        <f>SUM(W288:W298)</f>
        <v>12689261.800000001</v>
      </c>
      <c r="X299" s="599">
        <f>SUM(X288:X298)</f>
        <v>11096641.800000001</v>
      </c>
      <c r="Y299" s="599">
        <f>SUM(Y288:Y298)</f>
        <v>10914253.22857143</v>
      </c>
      <c r="Z299" s="361"/>
      <c r="AA299" s="367"/>
      <c r="AB299"/>
      <c r="AC299"/>
      <c r="AD299"/>
      <c r="AE299"/>
    </row>
    <row r="300" spans="17:31" ht="12.75" customHeight="1">
      <c r="Q300" s="364"/>
      <c r="R300" s="591"/>
      <c r="S300" s="591"/>
      <c r="T300" s="591"/>
      <c r="U300" s="591"/>
      <c r="V300" s="718"/>
      <c r="W300" s="718"/>
      <c r="X300" s="718"/>
      <c r="Y300" s="718"/>
      <c r="Z300" s="361"/>
      <c r="AA300" s="367"/>
      <c r="AB300"/>
      <c r="AC300"/>
      <c r="AD300"/>
      <c r="AE300"/>
    </row>
    <row r="301" spans="17:31" ht="12.75" customHeight="1">
      <c r="Q301" s="364"/>
      <c r="R301" s="591"/>
      <c r="S301" s="591"/>
      <c r="T301" s="933" t="s">
        <v>812</v>
      </c>
      <c r="U301" s="933"/>
      <c r="V301" s="718">
        <f>V299-V294</f>
        <v>11310585.780000001</v>
      </c>
      <c r="W301" s="718">
        <f>W299-W294</f>
        <v>12689261.800000001</v>
      </c>
      <c r="X301" s="718">
        <f>X299-X294</f>
        <v>11096641.800000001</v>
      </c>
      <c r="Y301" s="718">
        <f>Y299-Y294</f>
        <v>10914253.22857143</v>
      </c>
      <c r="Z301" s="361"/>
      <c r="AA301" s="367"/>
      <c r="AB301"/>
      <c r="AC301"/>
      <c r="AD301"/>
      <c r="AE301"/>
    </row>
    <row r="302" spans="17:31" ht="12.75" customHeight="1">
      <c r="Q302" s="364"/>
      <c r="R302" s="364"/>
      <c r="S302" s="364"/>
      <c r="T302" s="934" t="s">
        <v>350</v>
      </c>
      <c r="U302" s="934"/>
      <c r="V302" s="682">
        <f>V294</f>
        <v>8294400</v>
      </c>
      <c r="W302" s="682"/>
      <c r="X302" s="682"/>
      <c r="Y302" s="682"/>
      <c r="Z302" s="364"/>
      <c r="AA302" s="367"/>
      <c r="AB302"/>
      <c r="AC302"/>
      <c r="AD302"/>
      <c r="AE302"/>
    </row>
    <row r="303" spans="17:31" ht="12.75" customHeight="1">
      <c r="Q303" s="364">
        <v>10.3</v>
      </c>
      <c r="R303" s="363"/>
      <c r="S303" s="364"/>
      <c r="T303" s="364"/>
      <c r="U303" s="364"/>
      <c r="V303" s="682"/>
      <c r="W303" s="364"/>
      <c r="X303" s="362"/>
      <c r="Y303" s="682"/>
      <c r="Z303" s="364"/>
      <c r="AA303" s="367"/>
      <c r="AB303"/>
      <c r="AC303"/>
      <c r="AD303"/>
      <c r="AE303"/>
    </row>
    <row r="304" spans="17:31" ht="12.75" customHeight="1">
      <c r="Q304" s="364"/>
      <c r="R304" s="364"/>
      <c r="S304" s="364"/>
      <c r="T304" s="364"/>
      <c r="U304" s="364"/>
      <c r="V304" s="364"/>
      <c r="W304" s="364"/>
      <c r="X304" s="364"/>
      <c r="Y304" s="364"/>
      <c r="Z304" s="364"/>
      <c r="AA304" s="367"/>
      <c r="AB304"/>
      <c r="AC304"/>
      <c r="AD304"/>
      <c r="AE304"/>
    </row>
    <row r="305" spans="17:31" ht="12.75" customHeight="1">
      <c r="Q305" s="364"/>
      <c r="R305" s="935" t="s">
        <v>195</v>
      </c>
      <c r="S305" s="935"/>
      <c r="T305" s="935"/>
      <c r="U305" s="935"/>
      <c r="V305" s="935"/>
      <c r="W305" s="375"/>
      <c r="X305" s="683"/>
      <c r="Y305" s="375"/>
      <c r="Z305" s="375"/>
      <c r="AA305" s="367"/>
      <c r="AB305"/>
      <c r="AC305"/>
      <c r="AD305"/>
      <c r="AE305"/>
    </row>
    <row r="306" spans="17:31" ht="12.75" customHeight="1">
      <c r="Q306" s="364"/>
      <c r="R306" s="926" t="s">
        <v>509</v>
      </c>
      <c r="S306" s="927" t="s">
        <v>21</v>
      </c>
      <c r="T306" s="928" t="s">
        <v>22</v>
      </c>
      <c r="U306" s="929" t="s">
        <v>579</v>
      </c>
      <c r="V306" s="930" t="s">
        <v>500</v>
      </c>
      <c r="W306" s="363"/>
      <c r="X306" s="684"/>
      <c r="Y306" s="363"/>
      <c r="Z306" s="364"/>
      <c r="AA306" s="367"/>
      <c r="AB306"/>
      <c r="AC306"/>
      <c r="AD306"/>
      <c r="AE306"/>
    </row>
    <row r="307" spans="17:31" ht="12.75" customHeight="1">
      <c r="Q307" s="364"/>
      <c r="R307" s="926"/>
      <c r="S307" s="927"/>
      <c r="T307" s="928"/>
      <c r="U307" s="929"/>
      <c r="V307" s="930"/>
      <c r="W307" s="363"/>
      <c r="X307" s="684"/>
      <c r="Y307" s="363"/>
      <c r="Z307" s="364"/>
      <c r="AA307" s="367"/>
      <c r="AB307"/>
      <c r="AC307"/>
      <c r="AD307"/>
      <c r="AE307"/>
    </row>
    <row r="308" spans="17:31" ht="12.75" customHeight="1">
      <c r="Q308" s="364"/>
      <c r="R308" s="667" t="s">
        <v>204</v>
      </c>
      <c r="S308" s="667" t="s">
        <v>846</v>
      </c>
      <c r="T308" s="667" t="s">
        <v>846</v>
      </c>
      <c r="U308" s="667" t="s">
        <v>846</v>
      </c>
      <c r="V308" s="667" t="s">
        <v>846</v>
      </c>
      <c r="W308" s="363"/>
      <c r="X308" s="363"/>
      <c r="Y308" s="363"/>
      <c r="Z308" s="364"/>
      <c r="AA308" s="367"/>
      <c r="AB308"/>
      <c r="AC308"/>
      <c r="AD308"/>
      <c r="AE308"/>
    </row>
    <row r="309" spans="17:31" ht="12.75" customHeight="1">
      <c r="Q309" s="364"/>
      <c r="R309" s="600">
        <v>1</v>
      </c>
      <c r="S309" s="369">
        <f>$X$69</f>
        <v>116</v>
      </c>
      <c r="T309" s="584">
        <f>$V$69</f>
        <v>108</v>
      </c>
      <c r="U309" s="685">
        <f>$W$69</f>
        <v>109</v>
      </c>
      <c r="V309" s="369">
        <f>$U$69</f>
        <v>102</v>
      </c>
      <c r="W309" s="363"/>
      <c r="X309" s="363"/>
      <c r="Y309" s="363"/>
      <c r="Z309" s="364"/>
      <c r="AA309" s="367"/>
      <c r="AB309"/>
      <c r="AC309"/>
      <c r="AD309"/>
      <c r="AE309"/>
    </row>
    <row r="310" spans="17:31" ht="12.75" customHeight="1">
      <c r="Q310" s="364"/>
      <c r="R310" s="600">
        <v>2</v>
      </c>
      <c r="S310" s="584">
        <f>(LOG((10^(S309/10))+(10^(S309/10))))*10</f>
        <v>119.01029995663983</v>
      </c>
      <c r="T310" s="584">
        <f>(LOG((10^(T309/10))+(10^(T309/10))))*10</f>
        <v>111.01029995663981</v>
      </c>
      <c r="U310" s="584">
        <f>(LOG((10^(U309/10))+(10^(U309/10))))*10</f>
        <v>112.01029995663981</v>
      </c>
      <c r="V310" s="584">
        <f>(LOG((10^(V309/10))+(10^(V309/10))))*10</f>
        <v>105.01029995663983</v>
      </c>
      <c r="W310" s="363"/>
      <c r="X310" s="363"/>
      <c r="Y310" s="363"/>
      <c r="Z310" s="364"/>
      <c r="AA310" s="367"/>
      <c r="AB310"/>
      <c r="AC310"/>
      <c r="AD310"/>
      <c r="AE310"/>
    </row>
    <row r="311" spans="17:31" ht="12.75" customHeight="1">
      <c r="Q311" s="597"/>
      <c r="R311" s="600">
        <v>3</v>
      </c>
      <c r="S311" s="584">
        <f>(LOG((10^(S309/10))+(10^(S309/10))+(10^(S309/10)))*10)</f>
        <v>120.77121254719664</v>
      </c>
      <c r="T311" s="584">
        <f>(LOG((10^(T309/10))+(10^(T309/10))+(10^(T309/10)))*10)</f>
        <v>112.77121254719663</v>
      </c>
      <c r="U311" s="584">
        <f>(LOG((10^(U309/10))+(10^(U309/10))+(10^(U309/10)))*10)</f>
        <v>113.77121254719663</v>
      </c>
      <c r="V311" s="584">
        <f>(LOG((10^(V309/10))+(10^(V309/10))+(10^(V309/10)))*10)</f>
        <v>106.77121254719664</v>
      </c>
      <c r="W311" s="363"/>
      <c r="X311" s="363"/>
      <c r="Y311" s="363"/>
      <c r="Z311" s="364"/>
      <c r="AA311" s="367"/>
      <c r="AB311"/>
      <c r="AC311"/>
      <c r="AD311"/>
      <c r="AE311"/>
    </row>
    <row r="312" spans="17:31" ht="12.75" customHeight="1">
      <c r="Q312" s="364"/>
      <c r="R312" s="600">
        <v>4</v>
      </c>
      <c r="S312" s="584">
        <f>(LOG((10^(S309/10))+(10^(S309/10))+(10^(S309/10))+(10^(S309/10))))*10</f>
        <v>122.02059991327964</v>
      </c>
      <c r="T312" s="584">
        <f>(LOG((10^(T309/10))+(10^(T309/10))+(10^(T309/10))+(10^(T309/10))))*10</f>
        <v>114.02059991327963</v>
      </c>
      <c r="U312" s="584">
        <f>(LOG((10^(U309/10))+(10^(U309/10))+(10^(U309/10))+(10^(U309/10))))*10</f>
        <v>115.02059991327963</v>
      </c>
      <c r="V312" s="584">
        <f>(LOG((10^(V309/10))+(10^(V309/10))+(10^(V309/10))+(10^(V309/10))))*10</f>
        <v>108.02059991327964</v>
      </c>
      <c r="W312" s="363"/>
      <c r="X312" s="363"/>
      <c r="Y312" s="363"/>
      <c r="Z312" s="364"/>
      <c r="AA312" s="367"/>
      <c r="AB312"/>
      <c r="AC312"/>
      <c r="AD312"/>
      <c r="AE312"/>
    </row>
    <row r="313" spans="17:31" ht="12.75" customHeight="1">
      <c r="Q313" s="364"/>
      <c r="R313" s="600">
        <v>5</v>
      </c>
      <c r="S313" s="584">
        <f>(LOG((10^(S309/10))+(10^(S309/10))+(10^(S309/10))+(10^(S309/10))+(10^(S309/10))))*10</f>
        <v>122.9897000433602</v>
      </c>
      <c r="T313" s="584">
        <f>(LOG((10^(T309/10))+(10^(T309/10))+(10^(T309/10))+(10^(T309/10))+(10^(T309/10))))*10</f>
        <v>114.98970004336019</v>
      </c>
      <c r="U313" s="584">
        <f>(LOG((10^(U309/10))+(10^(U309/10))+(10^(U309/10))+(10^(U309/10))+(10^(U309/10))))*10</f>
        <v>115.98970004336019</v>
      </c>
      <c r="V313" s="584">
        <f>(LOG((10^(V309/10))+(10^(V309/10))+(10^(V309/10))+(10^(V309/10))+(10^(V309/10))))*10</f>
        <v>108.9897000433602</v>
      </c>
      <c r="W313" s="363"/>
      <c r="X313" s="363"/>
      <c r="Y313" s="363"/>
      <c r="Z313" s="364"/>
      <c r="AA313" s="367"/>
      <c r="AB313"/>
      <c r="AC313"/>
      <c r="AD313"/>
      <c r="AE313"/>
    </row>
    <row r="314" spans="17:31" ht="12.75" customHeight="1">
      <c r="Q314" s="364"/>
      <c r="R314" s="600">
        <v>6</v>
      </c>
      <c r="S314" s="584">
        <f>(LOG((10^(S309/10))+(10^(S309/10))+(10^(S309/10))+(10^(S309/10))+(10^(S309/10))+(10^(S309/10)))*10)</f>
        <v>123.78151250383645</v>
      </c>
      <c r="T314" s="584">
        <f>(LOG((10^(T309/10))+(10^(T309/10))+(10^(T309/10))+(10^(T309/10))+(10^(T309/10))+(10^(T309/10)))*10)</f>
        <v>115.78151250383644</v>
      </c>
      <c r="U314" s="584">
        <f>(LOG((10^(U309/10))+(10^(U309/10))+(10^(U309/10))+(10^(U309/10))+(10^(U309/10))+(10^(U309/10)))*10)</f>
        <v>116.78151250383644</v>
      </c>
      <c r="V314" s="584">
        <f>(LOG((10^(V309/10))+(10^(V309/10))+(10^(V309/10))+(10^(V309/10))+(10^(V309/10))+(10^(V309/10)))*10)</f>
        <v>109.78151250383645</v>
      </c>
      <c r="W314" s="363"/>
      <c r="X314" s="363"/>
      <c r="Y314" s="363"/>
      <c r="Z314" s="364"/>
      <c r="AA314" s="367"/>
      <c r="AB314"/>
      <c r="AC314"/>
      <c r="AD314"/>
      <c r="AE314"/>
    </row>
    <row r="315" spans="17:31" ht="12.75" customHeight="1" thickBot="1">
      <c r="Q315" s="364"/>
      <c r="R315" s="364"/>
      <c r="S315" s="364"/>
      <c r="T315" s="364"/>
      <c r="U315" s="364"/>
      <c r="V315" s="364"/>
      <c r="W315" s="364"/>
      <c r="X315" s="364"/>
      <c r="Y315" s="364"/>
      <c r="Z315" s="364"/>
      <c r="AA315" s="367"/>
      <c r="AB315"/>
      <c r="AC315"/>
      <c r="AD315"/>
      <c r="AE315"/>
    </row>
    <row r="316" spans="17:31" ht="12.75" customHeight="1" thickTop="1">
      <c r="Q316" s="364"/>
      <c r="R316" s="916" t="s">
        <v>428</v>
      </c>
      <c r="S316" s="917"/>
      <c r="T316" s="917"/>
      <c r="U316" s="917"/>
      <c r="V316" s="917"/>
      <c r="W316" s="918"/>
      <c r="X316" s="364"/>
      <c r="Y316" s="364"/>
      <c r="Z316" s="364"/>
      <c r="AA316" s="367"/>
      <c r="AB316"/>
      <c r="AC316"/>
      <c r="AD316"/>
      <c r="AE316"/>
    </row>
    <row r="317" spans="17:31" ht="12.75" customHeight="1">
      <c r="Q317" s="364"/>
      <c r="R317" s="919"/>
      <c r="S317" s="920"/>
      <c r="T317" s="920"/>
      <c r="U317" s="920"/>
      <c r="V317" s="920"/>
      <c r="W317" s="921"/>
      <c r="X317" s="364"/>
      <c r="Y317" s="364"/>
      <c r="Z317" s="364"/>
      <c r="AA317" s="367"/>
      <c r="AB317"/>
      <c r="AC317"/>
      <c r="AD317"/>
      <c r="AE317"/>
    </row>
    <row r="318" spans="17:31" ht="12.75" customHeight="1" thickBot="1">
      <c r="Q318" s="364"/>
      <c r="R318" s="922"/>
      <c r="S318" s="923"/>
      <c r="T318" s="923"/>
      <c r="U318" s="923"/>
      <c r="V318" s="923"/>
      <c r="W318" s="924"/>
      <c r="X318" s="364"/>
      <c r="Y318" s="364"/>
      <c r="Z318" s="364"/>
      <c r="AA318" s="367"/>
      <c r="AB318"/>
      <c r="AC318"/>
      <c r="AD318"/>
      <c r="AE318"/>
    </row>
    <row r="319" spans="17:31" ht="12.75" customHeight="1" thickTop="1">
      <c r="Q319" s="364"/>
      <c r="R319" s="925" t="str">
        <f>S306</f>
        <v>Seco S215</v>
      </c>
      <c r="S319" s="925"/>
      <c r="T319" s="925"/>
      <c r="U319" s="925"/>
      <c r="V319" s="925"/>
      <c r="W319" s="925"/>
      <c r="X319" s="364"/>
      <c r="Y319" s="364"/>
      <c r="Z319" s="364"/>
      <c r="AA319" s="367"/>
      <c r="AB319"/>
      <c r="AC319"/>
      <c r="AD319"/>
      <c r="AE319"/>
    </row>
    <row r="320" spans="17:31" ht="12.75" customHeight="1" thickBot="1">
      <c r="Q320" s="364"/>
      <c r="R320" s="910" t="s">
        <v>205</v>
      </c>
      <c r="S320" s="911"/>
      <c r="T320" s="911"/>
      <c r="U320" s="911"/>
      <c r="V320" s="911"/>
      <c r="W320" s="912"/>
      <c r="X320" s="364"/>
      <c r="Y320" s="364"/>
      <c r="Z320" s="364"/>
      <c r="AA320" s="367"/>
      <c r="AB320"/>
      <c r="AC320"/>
      <c r="AD320"/>
      <c r="AE320"/>
    </row>
    <row r="321" spans="17:31" ht="12.75" customHeight="1" thickBot="1">
      <c r="Q321" s="364"/>
      <c r="R321" s="686" t="s">
        <v>59</v>
      </c>
      <c r="S321" s="577"/>
      <c r="T321" s="687"/>
      <c r="U321" s="687"/>
      <c r="V321" s="687"/>
      <c r="W321" s="688"/>
      <c r="X321" s="364"/>
      <c r="Y321" s="364"/>
      <c r="Z321" s="364"/>
      <c r="AA321" s="367"/>
      <c r="AB321"/>
      <c r="AC321"/>
      <c r="AD321"/>
      <c r="AE321"/>
    </row>
    <row r="322" spans="17:31" ht="12.75" customHeight="1">
      <c r="Q322" s="364"/>
      <c r="R322" s="895" t="s">
        <v>845</v>
      </c>
      <c r="S322" s="896"/>
      <c r="T322" s="900" t="s">
        <v>835</v>
      </c>
      <c r="U322" s="900" t="s">
        <v>836</v>
      </c>
      <c r="V322" s="900" t="s">
        <v>837</v>
      </c>
      <c r="W322" s="902" t="s">
        <v>838</v>
      </c>
      <c r="X322" s="364"/>
      <c r="Y322" s="364"/>
      <c r="Z322" s="364"/>
      <c r="AA322" s="367"/>
      <c r="AB322"/>
      <c r="AC322"/>
      <c r="AD322"/>
      <c r="AE322"/>
    </row>
    <row r="323" spans="17:31" ht="12.75" customHeight="1">
      <c r="Q323" s="364"/>
      <c r="R323" s="892"/>
      <c r="S323" s="897"/>
      <c r="T323" s="904"/>
      <c r="U323" s="904"/>
      <c r="V323" s="904"/>
      <c r="W323" s="905"/>
      <c r="X323" s="364"/>
      <c r="Y323" s="364"/>
      <c r="Z323" s="364"/>
      <c r="AA323" s="367"/>
      <c r="AB323"/>
      <c r="AC323"/>
      <c r="AD323"/>
      <c r="AE323"/>
    </row>
    <row r="324" spans="17:31" ht="12.75" customHeight="1">
      <c r="Q324" s="364"/>
      <c r="R324" s="892"/>
      <c r="S324" s="897"/>
      <c r="T324" s="901"/>
      <c r="U324" s="901"/>
      <c r="V324" s="901"/>
      <c r="W324" s="903"/>
      <c r="X324" s="364"/>
      <c r="Y324" s="364"/>
      <c r="Z324" s="364"/>
      <c r="AA324" s="367"/>
      <c r="AB324"/>
      <c r="AC324"/>
      <c r="AD324"/>
      <c r="AE324"/>
    </row>
    <row r="325" spans="17:31" ht="12.75" customHeight="1">
      <c r="Q325" s="364"/>
      <c r="R325" s="892"/>
      <c r="S325" s="897"/>
      <c r="T325" s="689">
        <f>X69</f>
        <v>116</v>
      </c>
      <c r="U325" s="560">
        <f>X62</f>
        <v>1.4285714285714284</v>
      </c>
      <c r="V325" s="690">
        <f>IF(T325&gt;0,W325*U325," ")</f>
        <v>22857.142857142855</v>
      </c>
      <c r="W325" s="691">
        <f>IF(T325&gt;0,(VLOOKUP(T325,'Lookup Ready-reckoner'!$B$5:$E$1207,4))," ")</f>
        <v>16000</v>
      </c>
      <c r="X325" s="364"/>
      <c r="Y325" s="364"/>
      <c r="Z325" s="364"/>
      <c r="AA325" s="367"/>
      <c r="AB325"/>
      <c r="AC325"/>
      <c r="AD325"/>
      <c r="AE325"/>
    </row>
    <row r="326" spans="17:31" ht="12.75" customHeight="1">
      <c r="Q326" s="364"/>
      <c r="R326" s="898"/>
      <c r="S326" s="899"/>
      <c r="T326" s="447"/>
      <c r="U326" s="560"/>
      <c r="V326" s="690" t="str">
        <f>IF(T326&gt;0,W326*U326," ")</f>
        <v xml:space="preserve"> </v>
      </c>
      <c r="W326" s="691" t="str">
        <f>IF(T326&gt;0,(VLOOKUP(T326,'Lookup Ready-reckoner'!$B$5:$E$1007,4))," ")</f>
        <v xml:space="preserve"> </v>
      </c>
      <c r="X326" s="364"/>
      <c r="Y326" s="364"/>
      <c r="Z326" s="364"/>
      <c r="AA326" s="367"/>
      <c r="AB326"/>
      <c r="AC326"/>
      <c r="AD326"/>
      <c r="AE326"/>
    </row>
    <row r="327" spans="17:31" ht="12.75" customHeight="1" thickBot="1">
      <c r="Q327" s="364"/>
      <c r="R327" s="692" t="s">
        <v>839</v>
      </c>
      <c r="S327" s="693"/>
      <c r="T327" s="693"/>
      <c r="U327" s="694">
        <f>IF(T325&gt;0,(VLOOKUP(V327,'Lookup Ready-reckoner'!$L$5:$M$1207,2))," ")</f>
        <v>108.5</v>
      </c>
      <c r="V327" s="695">
        <f>IF(U325&gt;0,(SUM(V325:V326))," ")</f>
        <v>22857.142857142855</v>
      </c>
      <c r="W327" s="696"/>
      <c r="X327" s="364"/>
      <c r="Y327" s="364"/>
      <c r="Z327" s="364"/>
      <c r="AA327" s="367"/>
      <c r="AB327"/>
      <c r="AC327"/>
      <c r="AD327"/>
      <c r="AE327"/>
    </row>
    <row r="328" spans="17:31" ht="12.75" customHeight="1" thickBot="1">
      <c r="Q328" s="364"/>
      <c r="R328" s="892"/>
      <c r="S328" s="893"/>
      <c r="T328" s="893"/>
      <c r="U328" s="893"/>
      <c r="V328" s="893"/>
      <c r="W328" s="894"/>
      <c r="X328" s="364"/>
      <c r="Y328" s="364"/>
      <c r="Z328" s="364"/>
      <c r="AA328" s="367"/>
      <c r="AB328"/>
      <c r="AC328"/>
      <c r="AD328"/>
      <c r="AE328"/>
    </row>
    <row r="329" spans="17:31" ht="12.75" customHeight="1">
      <c r="Q329" s="364"/>
      <c r="R329" s="895" t="s">
        <v>886</v>
      </c>
      <c r="S329" s="896"/>
      <c r="T329" s="900" t="s">
        <v>835</v>
      </c>
      <c r="U329" s="900" t="s">
        <v>836</v>
      </c>
      <c r="V329" s="900" t="s">
        <v>837</v>
      </c>
      <c r="W329" s="902" t="s">
        <v>838</v>
      </c>
      <c r="X329" s="364"/>
      <c r="Y329" s="364"/>
      <c r="Z329" s="364"/>
      <c r="AA329" s="367"/>
      <c r="AB329"/>
      <c r="AC329"/>
      <c r="AD329"/>
      <c r="AE329"/>
    </row>
    <row r="330" spans="17:31" ht="12.75" customHeight="1">
      <c r="Q330" s="364"/>
      <c r="R330" s="892"/>
      <c r="S330" s="897"/>
      <c r="T330" s="901"/>
      <c r="U330" s="901"/>
      <c r="V330" s="901"/>
      <c r="W330" s="903"/>
      <c r="X330" s="364"/>
      <c r="Y330" s="364"/>
      <c r="Z330" s="364"/>
      <c r="AA330" s="367"/>
      <c r="AB330"/>
      <c r="AC330"/>
      <c r="AD330"/>
      <c r="AE330"/>
    </row>
    <row r="331" spans="17:31" ht="12.75" customHeight="1">
      <c r="Q331" s="364"/>
      <c r="R331" s="892"/>
      <c r="S331" s="897"/>
      <c r="T331" s="689">
        <f>T325*(1-0.0178*2)</f>
        <v>111.8704</v>
      </c>
      <c r="U331" s="560">
        <f>U325</f>
        <v>1.4285714285714284</v>
      </c>
      <c r="V331" s="690">
        <f>IF(T331&gt;0,W331*U331," ")</f>
        <v>8842.8571428571413</v>
      </c>
      <c r="W331" s="691">
        <f>IF(T331&gt;0,(VLOOKUP(T331,'Lookup Ready-reckoner'!$B$5:$E$1207,4))," ")</f>
        <v>6190</v>
      </c>
      <c r="X331" s="364"/>
      <c r="Y331" s="364"/>
      <c r="Z331" s="364"/>
      <c r="AA331" s="367"/>
      <c r="AB331"/>
      <c r="AC331"/>
      <c r="AD331"/>
      <c r="AE331"/>
    </row>
    <row r="332" spans="17:31" ht="12.75" customHeight="1">
      <c r="Q332" s="364"/>
      <c r="R332" s="898"/>
      <c r="S332" s="899"/>
      <c r="T332" s="447"/>
      <c r="U332" s="560"/>
      <c r="V332" s="690" t="str">
        <f>IF(T332&gt;0,W332*U332," ")</f>
        <v xml:space="preserve"> </v>
      </c>
      <c r="W332" s="691" t="str">
        <f>IF(T332&gt;0,(VLOOKUP(T332,'Lookup Ready-reckoner'!$B$5:$E$1007,4))," ")</f>
        <v xml:space="preserve"> </v>
      </c>
      <c r="X332" s="364"/>
      <c r="Y332" s="364"/>
      <c r="Z332" s="364"/>
      <c r="AA332" s="367"/>
      <c r="AB332"/>
      <c r="AC332"/>
      <c r="AD332"/>
      <c r="AE332"/>
    </row>
    <row r="333" spans="17:31" ht="12.75" customHeight="1" thickBot="1">
      <c r="Q333" s="364"/>
      <c r="R333" s="692" t="s">
        <v>839</v>
      </c>
      <c r="S333" s="693"/>
      <c r="T333" s="693"/>
      <c r="U333" s="694">
        <f>IF(T331&gt;0,(VLOOKUP(V333,'Lookup Ready-reckoner'!$L$5:$M$1207,2))," ")</f>
        <v>104.4</v>
      </c>
      <c r="V333" s="695">
        <f>IF(U331&gt;0,(SUM(V331:V332))," ")</f>
        <v>8842.8571428571413</v>
      </c>
      <c r="W333" s="696"/>
      <c r="X333" s="364"/>
      <c r="Y333" s="364"/>
      <c r="Z333" s="364"/>
      <c r="AA333" s="367"/>
      <c r="AB333"/>
      <c r="AC333"/>
      <c r="AD333"/>
      <c r="AE333"/>
    </row>
    <row r="334" spans="17:31" ht="12.75" customHeight="1">
      <c r="Q334" s="364"/>
      <c r="R334" s="697"/>
      <c r="S334" s="687"/>
      <c r="T334" s="687"/>
      <c r="U334" s="372"/>
      <c r="V334" s="374"/>
      <c r="W334" s="688"/>
      <c r="X334" s="364"/>
      <c r="Y334" s="364"/>
      <c r="Z334" s="364"/>
      <c r="AA334" s="367"/>
      <c r="AB334"/>
      <c r="AC334"/>
      <c r="AD334"/>
      <c r="AE334"/>
    </row>
    <row r="335" spans="17:31" ht="12.75" customHeight="1" thickBot="1">
      <c r="Q335" s="364"/>
      <c r="R335" s="686" t="s">
        <v>60</v>
      </c>
      <c r="S335" s="577"/>
      <c r="T335" s="577"/>
      <c r="U335" s="577"/>
      <c r="V335" s="577"/>
      <c r="W335" s="698"/>
      <c r="X335" s="364"/>
      <c r="Y335" s="364"/>
      <c r="Z335" s="364"/>
      <c r="AA335" s="367"/>
      <c r="AB335"/>
      <c r="AC335"/>
      <c r="AD335"/>
      <c r="AE335"/>
    </row>
    <row r="336" spans="17:31" ht="12.75" customHeight="1">
      <c r="Q336" s="364"/>
      <c r="R336" s="895" t="s">
        <v>845</v>
      </c>
      <c r="S336" s="896"/>
      <c r="T336" s="900" t="s">
        <v>835</v>
      </c>
      <c r="U336" s="900" t="s">
        <v>836</v>
      </c>
      <c r="V336" s="900" t="s">
        <v>837</v>
      </c>
      <c r="W336" s="902" t="s">
        <v>838</v>
      </c>
      <c r="X336" s="364"/>
      <c r="Y336" s="364"/>
      <c r="Z336" s="364"/>
      <c r="AA336" s="367"/>
      <c r="AB336"/>
      <c r="AC336"/>
      <c r="AD336"/>
      <c r="AE336"/>
    </row>
    <row r="337" spans="17:31" ht="12.75" customHeight="1">
      <c r="Q337" s="364"/>
      <c r="R337" s="892"/>
      <c r="S337" s="897"/>
      <c r="T337" s="901"/>
      <c r="U337" s="901"/>
      <c r="V337" s="901"/>
      <c r="W337" s="903"/>
      <c r="X337" s="364"/>
      <c r="Y337" s="364"/>
      <c r="Z337" s="364"/>
      <c r="AA337" s="367"/>
      <c r="AB337"/>
      <c r="AC337"/>
      <c r="AD337"/>
      <c r="AE337"/>
    </row>
    <row r="338" spans="17:31" ht="12.75" customHeight="1">
      <c r="Q338" s="364"/>
      <c r="R338" s="892"/>
      <c r="S338" s="897"/>
      <c r="T338" s="689">
        <f>T325-PPE!$I$15</f>
        <v>103</v>
      </c>
      <c r="U338" s="560">
        <f>U331</f>
        <v>1.4285714285714284</v>
      </c>
      <c r="V338" s="690">
        <f>IF(T338&gt;0,W338*U338," ")</f>
        <v>1142.8571428571427</v>
      </c>
      <c r="W338" s="691">
        <f>IF(T338&gt;0,(VLOOKUP(T338,'Lookup Ready-reckoner'!$B$5:$E$1207,4))," ")</f>
        <v>800</v>
      </c>
      <c r="X338" s="364"/>
      <c r="Y338" s="364"/>
      <c r="Z338" s="364"/>
      <c r="AA338" s="367"/>
      <c r="AB338"/>
      <c r="AC338"/>
      <c r="AD338"/>
      <c r="AE338"/>
    </row>
    <row r="339" spans="17:31" ht="12.75" customHeight="1">
      <c r="Q339" s="364"/>
      <c r="R339" s="898"/>
      <c r="S339" s="899"/>
      <c r="T339" s="447"/>
      <c r="U339" s="560"/>
      <c r="V339" s="690" t="str">
        <f>IF(T339&gt;0,W339*U339," ")</f>
        <v xml:space="preserve"> </v>
      </c>
      <c r="W339" s="691" t="str">
        <f>IF(T339&gt;0,(VLOOKUP(T339,'Lookup Ready-reckoner'!$B$5:$E$1007,4))," ")</f>
        <v xml:space="preserve"> </v>
      </c>
      <c r="X339" s="364"/>
      <c r="Y339" s="364"/>
      <c r="Z339" s="364"/>
      <c r="AA339" s="367"/>
      <c r="AB339"/>
      <c r="AC339"/>
      <c r="AD339"/>
      <c r="AE339"/>
    </row>
    <row r="340" spans="17:31" ht="12.75" customHeight="1" thickBot="1">
      <c r="Q340" s="364"/>
      <c r="R340" s="699" t="s">
        <v>839</v>
      </c>
      <c r="S340" s="693"/>
      <c r="T340" s="693"/>
      <c r="U340" s="694">
        <f>IF(T338&gt;0,(VLOOKUP(V340,'Lookup Ready-reckoner'!$L$5:$M$1207,2))," ")</f>
        <v>95.55</v>
      </c>
      <c r="V340" s="695">
        <f>IF(U338&gt;0,(SUM(V338:V339))," ")</f>
        <v>1142.8571428571427</v>
      </c>
      <c r="W340" s="696"/>
      <c r="X340" s="364"/>
      <c r="Y340" s="364"/>
      <c r="Z340" s="364"/>
      <c r="AA340" s="367"/>
      <c r="AB340"/>
      <c r="AC340"/>
      <c r="AD340"/>
      <c r="AE340"/>
    </row>
    <row r="341" spans="17:31" ht="12.75" customHeight="1" thickBot="1">
      <c r="Q341" s="364"/>
      <c r="R341" s="892"/>
      <c r="S341" s="893"/>
      <c r="T341" s="893"/>
      <c r="U341" s="893"/>
      <c r="V341" s="893"/>
      <c r="W341" s="894"/>
      <c r="X341" s="364"/>
      <c r="Y341" s="364"/>
      <c r="Z341" s="364"/>
      <c r="AA341" s="367"/>
      <c r="AB341"/>
      <c r="AC341"/>
      <c r="AD341"/>
      <c r="AE341"/>
    </row>
    <row r="342" spans="17:31" ht="12.75" customHeight="1">
      <c r="Q342" s="364"/>
      <c r="R342" s="895" t="s">
        <v>886</v>
      </c>
      <c r="S342" s="896"/>
      <c r="T342" s="900" t="s">
        <v>835</v>
      </c>
      <c r="U342" s="900" t="s">
        <v>836</v>
      </c>
      <c r="V342" s="900" t="s">
        <v>837</v>
      </c>
      <c r="W342" s="902" t="s">
        <v>838</v>
      </c>
      <c r="X342" s="364"/>
      <c r="Y342" s="364"/>
      <c r="Z342" s="364"/>
      <c r="AA342" s="367"/>
      <c r="AB342"/>
      <c r="AC342"/>
      <c r="AD342"/>
      <c r="AE342"/>
    </row>
    <row r="343" spans="17:31" ht="12.75" customHeight="1">
      <c r="Q343" s="364"/>
      <c r="R343" s="892"/>
      <c r="S343" s="897"/>
      <c r="T343" s="901"/>
      <c r="U343" s="901"/>
      <c r="V343" s="901"/>
      <c r="W343" s="903"/>
      <c r="X343" s="364"/>
      <c r="Y343" s="364"/>
      <c r="Z343" s="364"/>
      <c r="AA343" s="367"/>
      <c r="AB343"/>
      <c r="AC343"/>
      <c r="AD343"/>
      <c r="AE343"/>
    </row>
    <row r="344" spans="17:31" ht="12.75" customHeight="1">
      <c r="Q344" s="364"/>
      <c r="R344" s="892"/>
      <c r="S344" s="897"/>
      <c r="T344" s="689">
        <f>T331-PPE!$I$15</f>
        <v>98.870400000000004</v>
      </c>
      <c r="U344" s="560">
        <f>U338</f>
        <v>1.4285714285714284</v>
      </c>
      <c r="V344" s="690">
        <f>IF(T344&gt;0,W344*U344," ")</f>
        <v>433.03571428571422</v>
      </c>
      <c r="W344" s="691">
        <f>IF(T344&gt;0,(VLOOKUP(T344,'Lookup Ready-reckoner'!$B$5:$E$1207,4))," ")</f>
        <v>303.125</v>
      </c>
      <c r="X344" s="364"/>
      <c r="Y344" s="364"/>
      <c r="Z344" s="364"/>
      <c r="AA344" s="367"/>
      <c r="AB344"/>
      <c r="AC344"/>
      <c r="AD344"/>
      <c r="AE344"/>
    </row>
    <row r="345" spans="17:31" ht="12.75" customHeight="1">
      <c r="Q345" s="364"/>
      <c r="R345" s="898"/>
      <c r="S345" s="899"/>
      <c r="T345" s="447"/>
      <c r="U345" s="560"/>
      <c r="V345" s="690" t="str">
        <f>IF(T345&gt;0,W345*U345," ")</f>
        <v xml:space="preserve"> </v>
      </c>
      <c r="W345" s="691" t="str">
        <f>IF(T345&gt;0,(VLOOKUP(T345,'Lookup Ready-reckoner'!$B$5:$E$1007,4))," ")</f>
        <v xml:space="preserve"> </v>
      </c>
      <c r="X345" s="364"/>
      <c r="Y345" s="364"/>
      <c r="Z345" s="364"/>
      <c r="AA345" s="367"/>
      <c r="AB345"/>
      <c r="AC345"/>
      <c r="AD345"/>
      <c r="AE345"/>
    </row>
    <row r="346" spans="17:31" ht="12.75" customHeight="1" thickBot="1">
      <c r="Q346" s="364"/>
      <c r="R346" s="692" t="s">
        <v>839</v>
      </c>
      <c r="S346" s="693"/>
      <c r="T346" s="693"/>
      <c r="U346" s="694">
        <f>IF(T344&gt;0,(VLOOKUP(V346,'Lookup Ready-reckoner'!$L$5:$M$1207,2))," ")</f>
        <v>91.3</v>
      </c>
      <c r="V346" s="695">
        <f>IF(U344&gt;0,(SUM(V344:V345))," ")</f>
        <v>433.03571428571422</v>
      </c>
      <c r="W346" s="696"/>
      <c r="X346" s="364"/>
      <c r="Y346" s="364"/>
      <c r="Z346" s="364"/>
      <c r="AA346" s="367"/>
      <c r="AB346"/>
      <c r="AC346"/>
      <c r="AD346"/>
      <c r="AE346"/>
    </row>
    <row r="347" spans="17:31" ht="12.75" customHeight="1">
      <c r="Q347" s="364"/>
      <c r="R347" s="363"/>
      <c r="S347" s="363"/>
      <c r="T347" s="363"/>
      <c r="U347" s="363"/>
      <c r="V347" s="363"/>
      <c r="W347" s="363"/>
      <c r="X347" s="364"/>
      <c r="Y347" s="364"/>
      <c r="Z347" s="364"/>
      <c r="AA347" s="367"/>
      <c r="AB347"/>
      <c r="AC347"/>
      <c r="AD347"/>
      <c r="AE347"/>
    </row>
    <row r="348" spans="17:31" ht="12.75" customHeight="1" thickBot="1">
      <c r="Q348" s="364"/>
      <c r="R348" s="915" t="str">
        <f>T306</f>
        <v>Seco S215 Muffled</v>
      </c>
      <c r="S348" s="915"/>
      <c r="T348" s="915"/>
      <c r="U348" s="915"/>
      <c r="V348" s="915"/>
      <c r="W348" s="915"/>
      <c r="X348" s="364"/>
      <c r="Y348" s="363"/>
      <c r="Z348" s="363"/>
      <c r="AA348" s="367"/>
      <c r="AB348"/>
      <c r="AC348"/>
      <c r="AD348"/>
      <c r="AE348"/>
    </row>
    <row r="349" spans="17:31" ht="12.75" customHeight="1" thickBot="1">
      <c r="Q349" s="364"/>
      <c r="R349" s="906" t="s">
        <v>205</v>
      </c>
      <c r="S349" s="907"/>
      <c r="T349" s="907"/>
      <c r="U349" s="907"/>
      <c r="V349" s="907"/>
      <c r="W349" s="908"/>
      <c r="X349" s="364"/>
      <c r="Y349" s="363"/>
      <c r="Z349" s="363"/>
      <c r="AA349" s="367"/>
      <c r="AB349"/>
      <c r="AC349"/>
      <c r="AD349"/>
      <c r="AE349"/>
    </row>
    <row r="350" spans="17:31" ht="12.75" customHeight="1" thickBot="1">
      <c r="Q350" s="364"/>
      <c r="R350" s="686" t="s">
        <v>59</v>
      </c>
      <c r="S350" s="577"/>
      <c r="T350" s="687"/>
      <c r="U350" s="687"/>
      <c r="V350" s="687"/>
      <c r="W350" s="688"/>
      <c r="X350" s="364"/>
      <c r="Y350" s="363"/>
      <c r="Z350" s="363"/>
      <c r="AA350" s="367"/>
      <c r="AB350"/>
      <c r="AC350"/>
      <c r="AD350"/>
      <c r="AE350"/>
    </row>
    <row r="351" spans="17:31" ht="12.75" customHeight="1">
      <c r="Q351" s="364"/>
      <c r="R351" s="895" t="s">
        <v>845</v>
      </c>
      <c r="S351" s="896"/>
      <c r="T351" s="900" t="s">
        <v>835</v>
      </c>
      <c r="U351" s="900" t="s">
        <v>836</v>
      </c>
      <c r="V351" s="900" t="s">
        <v>837</v>
      </c>
      <c r="W351" s="902" t="s">
        <v>838</v>
      </c>
      <c r="X351" s="364"/>
      <c r="Y351" s="363"/>
      <c r="Z351" s="363"/>
      <c r="AA351" s="367"/>
      <c r="AB351"/>
      <c r="AC351"/>
      <c r="AD351"/>
      <c r="AE351"/>
    </row>
    <row r="352" spans="17:31" ht="12.75" customHeight="1">
      <c r="Q352" s="364"/>
      <c r="R352" s="892"/>
      <c r="S352" s="897"/>
      <c r="T352" s="904"/>
      <c r="U352" s="904"/>
      <c r="V352" s="904"/>
      <c r="W352" s="905"/>
      <c r="X352" s="364"/>
      <c r="Y352" s="363"/>
      <c r="Z352" s="363"/>
      <c r="AA352" s="367"/>
      <c r="AB352"/>
      <c r="AC352"/>
      <c r="AD352"/>
      <c r="AE352"/>
    </row>
    <row r="353" spans="17:31" ht="12.75" customHeight="1">
      <c r="Q353" s="364"/>
      <c r="R353" s="892"/>
      <c r="S353" s="897"/>
      <c r="T353" s="901"/>
      <c r="U353" s="901"/>
      <c r="V353" s="901"/>
      <c r="W353" s="903"/>
      <c r="X353" s="364"/>
      <c r="Y353" s="363"/>
      <c r="Z353" s="363"/>
      <c r="AA353" s="367"/>
      <c r="AB353"/>
      <c r="AC353"/>
      <c r="AD353"/>
      <c r="AE353"/>
    </row>
    <row r="354" spans="17:31" ht="12.75" customHeight="1">
      <c r="Q354" s="364"/>
      <c r="R354" s="892"/>
      <c r="S354" s="897"/>
      <c r="T354" s="700">
        <f>V69</f>
        <v>108</v>
      </c>
      <c r="U354" s="560">
        <f>V62</f>
        <v>1.9999999999999996</v>
      </c>
      <c r="V354" s="690">
        <f>IF(T354&gt;0,W354*U354," ")</f>
        <v>4999.9999999999991</v>
      </c>
      <c r="W354" s="691">
        <f>IF(T354&gt;0,(VLOOKUP(T354,'Lookup Ready-reckoner'!$B$5:$E$1207,4))," ")</f>
        <v>2500</v>
      </c>
      <c r="X354" s="364"/>
      <c r="Y354" s="363"/>
      <c r="Z354" s="363"/>
      <c r="AA354" s="367"/>
      <c r="AB354"/>
      <c r="AC354"/>
      <c r="AD354"/>
      <c r="AE354"/>
    </row>
    <row r="355" spans="17:31" ht="12.75" customHeight="1">
      <c r="Q355" s="364"/>
      <c r="R355" s="898"/>
      <c r="S355" s="899"/>
      <c r="T355" s="447"/>
      <c r="U355" s="560"/>
      <c r="V355" s="690" t="str">
        <f>IF(T355&gt;0,W355*U355," ")</f>
        <v xml:space="preserve"> </v>
      </c>
      <c r="W355" s="691" t="str">
        <f>IF(T355&gt;0,(VLOOKUP(T355,'Lookup Ready-reckoner'!$B$5:$E$1007,4))," ")</f>
        <v xml:space="preserve"> </v>
      </c>
      <c r="X355" s="364"/>
      <c r="Y355" s="363"/>
      <c r="Z355" s="363"/>
      <c r="AA355" s="367"/>
      <c r="AB355"/>
      <c r="AC355"/>
      <c r="AD355"/>
      <c r="AE355"/>
    </row>
    <row r="356" spans="17:31" ht="12.75" customHeight="1" thickBot="1">
      <c r="Q356" s="364"/>
      <c r="R356" s="699" t="s">
        <v>839</v>
      </c>
      <c r="S356" s="693"/>
      <c r="T356" s="693"/>
      <c r="U356" s="701">
        <f>IF(T354&gt;0,(VLOOKUP(V356,'Lookup Ready-reckoner'!$L$5:$M$1207,2))," ")</f>
        <v>101.95</v>
      </c>
      <c r="V356" s="695">
        <f>IF(U354&gt;0,(SUM(V354:V355))," ")</f>
        <v>4999.9999999999991</v>
      </c>
      <c r="W356" s="696"/>
      <c r="X356" s="364"/>
      <c r="Y356" s="363"/>
      <c r="Z356" s="363"/>
      <c r="AA356" s="367"/>
      <c r="AB356"/>
      <c r="AC356"/>
      <c r="AD356"/>
      <c r="AE356"/>
    </row>
    <row r="357" spans="17:31" ht="12.75" customHeight="1" thickBot="1">
      <c r="Q357" s="364"/>
      <c r="R357" s="892"/>
      <c r="S357" s="893"/>
      <c r="T357" s="893"/>
      <c r="U357" s="893"/>
      <c r="V357" s="893"/>
      <c r="W357" s="894"/>
      <c r="X357" s="364"/>
      <c r="Y357" s="363"/>
      <c r="Z357" s="363"/>
      <c r="AA357" s="367"/>
      <c r="AB357"/>
      <c r="AC357"/>
      <c r="AD357"/>
      <c r="AE357"/>
    </row>
    <row r="358" spans="17:31" ht="12.75" customHeight="1">
      <c r="Q358" s="364"/>
      <c r="R358" s="895" t="s">
        <v>886</v>
      </c>
      <c r="S358" s="896"/>
      <c r="T358" s="900" t="s">
        <v>835</v>
      </c>
      <c r="U358" s="900" t="s">
        <v>836</v>
      </c>
      <c r="V358" s="900" t="s">
        <v>837</v>
      </c>
      <c r="W358" s="902" t="s">
        <v>838</v>
      </c>
      <c r="X358" s="364"/>
      <c r="Y358" s="363"/>
      <c r="Z358" s="363"/>
      <c r="AA358" s="367"/>
      <c r="AB358"/>
      <c r="AC358"/>
      <c r="AD358"/>
      <c r="AE358"/>
    </row>
    <row r="359" spans="17:31" ht="12.75" customHeight="1">
      <c r="Q359" s="364"/>
      <c r="R359" s="892"/>
      <c r="S359" s="897"/>
      <c r="T359" s="901"/>
      <c r="U359" s="901"/>
      <c r="V359" s="901"/>
      <c r="W359" s="903"/>
      <c r="X359" s="364"/>
      <c r="Y359" s="363"/>
      <c r="Z359" s="363"/>
      <c r="AA359" s="367"/>
      <c r="AB359"/>
      <c r="AC359"/>
      <c r="AD359"/>
      <c r="AE359"/>
    </row>
    <row r="360" spans="17:31" ht="12.75" customHeight="1">
      <c r="Q360" s="364"/>
      <c r="R360" s="892"/>
      <c r="S360" s="897"/>
      <c r="T360" s="700">
        <f>T354*(1-0.0178*2)</f>
        <v>104.15520000000001</v>
      </c>
      <c r="U360" s="560">
        <f>U354</f>
        <v>1.9999999999999996</v>
      </c>
      <c r="V360" s="690">
        <f>IF(T360&gt;0,W360*U360," ")</f>
        <v>2074.9999999999995</v>
      </c>
      <c r="W360" s="691">
        <f>IF(T360&gt;0,(VLOOKUP(T360,'Lookup Ready-reckoner'!$B$5:$E$1207,4))," ")</f>
        <v>1037.5</v>
      </c>
      <c r="X360" s="364"/>
      <c r="Y360" s="363"/>
      <c r="Z360" s="363"/>
      <c r="AA360" s="367"/>
      <c r="AB360"/>
      <c r="AC360"/>
      <c r="AD360"/>
      <c r="AE360"/>
    </row>
    <row r="361" spans="17:31" ht="12.75" customHeight="1">
      <c r="Q361" s="364"/>
      <c r="R361" s="898"/>
      <c r="S361" s="899"/>
      <c r="T361" s="447"/>
      <c r="U361" s="560"/>
      <c r="V361" s="690" t="str">
        <f>IF(T361&gt;0,W361*U361," ")</f>
        <v xml:space="preserve"> </v>
      </c>
      <c r="W361" s="691" t="str">
        <f>IF(T361&gt;0,(VLOOKUP(T361,'Lookup Ready-reckoner'!$B$5:$E$1007,4))," ")</f>
        <v xml:space="preserve"> </v>
      </c>
      <c r="X361" s="364"/>
      <c r="Y361" s="363"/>
      <c r="Z361" s="363"/>
      <c r="AA361" s="367"/>
      <c r="AB361"/>
      <c r="AC361"/>
      <c r="AD361"/>
      <c r="AE361"/>
    </row>
    <row r="362" spans="17:31" ht="12.75" customHeight="1" thickBot="1">
      <c r="Q362" s="364"/>
      <c r="R362" s="692" t="s">
        <v>839</v>
      </c>
      <c r="S362" s="693"/>
      <c r="T362" s="693"/>
      <c r="U362" s="701">
        <f>IF(T360&gt;0,(VLOOKUP(V362,'Lookup Ready-reckoner'!$L$5:$M$1207,2))," ")</f>
        <v>98.1</v>
      </c>
      <c r="V362" s="695">
        <f>IF(U360&gt;0,(SUM(V360:V361))," ")</f>
        <v>2074.9999999999995</v>
      </c>
      <c r="W362" s="696"/>
      <c r="X362" s="364"/>
      <c r="Y362" s="363"/>
      <c r="Z362" s="363"/>
      <c r="AA362" s="367"/>
      <c r="AB362"/>
      <c r="AC362"/>
      <c r="AD362"/>
      <c r="AE362"/>
    </row>
    <row r="363" spans="17:31" ht="12.75" customHeight="1">
      <c r="Q363" s="364"/>
      <c r="R363" s="697"/>
      <c r="S363" s="687"/>
      <c r="T363" s="687"/>
      <c r="U363" s="372"/>
      <c r="V363" s="374"/>
      <c r="W363" s="688"/>
      <c r="X363" s="364"/>
      <c r="Y363" s="363"/>
      <c r="Z363" s="363"/>
      <c r="AA363" s="367"/>
      <c r="AB363"/>
      <c r="AC363"/>
      <c r="AD363"/>
      <c r="AE363"/>
    </row>
    <row r="364" spans="17:31" ht="12.75" customHeight="1" thickBot="1">
      <c r="Q364" s="364"/>
      <c r="R364" s="686" t="s">
        <v>60</v>
      </c>
      <c r="S364" s="577"/>
      <c r="T364" s="577"/>
      <c r="U364" s="577"/>
      <c r="V364" s="577"/>
      <c r="W364" s="698"/>
      <c r="X364" s="364"/>
      <c r="Y364" s="363"/>
      <c r="Z364" s="363"/>
      <c r="AA364" s="367"/>
      <c r="AB364"/>
      <c r="AC364"/>
      <c r="AD364"/>
      <c r="AE364"/>
    </row>
    <row r="365" spans="17:31" ht="12.75" customHeight="1">
      <c r="Q365" s="364"/>
      <c r="R365" s="895" t="s">
        <v>845</v>
      </c>
      <c r="S365" s="896"/>
      <c r="T365" s="900" t="s">
        <v>835</v>
      </c>
      <c r="U365" s="900" t="s">
        <v>836</v>
      </c>
      <c r="V365" s="900" t="s">
        <v>837</v>
      </c>
      <c r="W365" s="902" t="s">
        <v>838</v>
      </c>
      <c r="X365" s="364"/>
      <c r="Y365" s="363"/>
      <c r="Z365" s="363"/>
      <c r="AA365" s="367"/>
      <c r="AB365"/>
      <c r="AC365"/>
      <c r="AD365"/>
      <c r="AE365"/>
    </row>
    <row r="366" spans="17:31" ht="12.75" customHeight="1">
      <c r="Q366" s="364"/>
      <c r="R366" s="892"/>
      <c r="S366" s="897"/>
      <c r="T366" s="901"/>
      <c r="U366" s="901"/>
      <c r="V366" s="901"/>
      <c r="W366" s="903"/>
      <c r="X366" s="364"/>
      <c r="Y366" s="363"/>
      <c r="Z366" s="363"/>
      <c r="AA366" s="367"/>
      <c r="AB366"/>
      <c r="AC366"/>
      <c r="AD366"/>
      <c r="AE366"/>
    </row>
    <row r="367" spans="17:31" ht="12.75" customHeight="1">
      <c r="Q367" s="364"/>
      <c r="R367" s="892"/>
      <c r="S367" s="897"/>
      <c r="T367" s="700">
        <f>T354-PPE!$I$15</f>
        <v>95</v>
      </c>
      <c r="U367" s="560">
        <f>U360</f>
        <v>1.9999999999999996</v>
      </c>
      <c r="V367" s="690">
        <f>IF(T367&gt;0,W367*U367," ")</f>
        <v>249.99999999999994</v>
      </c>
      <c r="W367" s="691">
        <f>IF(T367&gt;0,(VLOOKUP(T367,'Lookup Ready-reckoner'!$B$5:$E$1207,4))," ")</f>
        <v>125</v>
      </c>
      <c r="X367" s="364"/>
      <c r="Y367" s="363"/>
      <c r="Z367" s="363"/>
      <c r="AA367" s="367"/>
      <c r="AB367"/>
      <c r="AC367"/>
      <c r="AD367"/>
      <c r="AE367"/>
    </row>
    <row r="368" spans="17:31" ht="12.75" customHeight="1">
      <c r="Q368" s="364"/>
      <c r="R368" s="898"/>
      <c r="S368" s="899"/>
      <c r="T368" s="447"/>
      <c r="U368" s="560"/>
      <c r="V368" s="690" t="str">
        <f>IF(T368&gt;0,W368*U368," ")</f>
        <v xml:space="preserve"> </v>
      </c>
      <c r="W368" s="691" t="str">
        <f>IF(T368&gt;0,(VLOOKUP(T368,'Lookup Ready-reckoner'!$B$5:$E$1007,4))," ")</f>
        <v xml:space="preserve"> </v>
      </c>
      <c r="X368" s="364"/>
      <c r="Y368" s="363"/>
      <c r="Z368" s="363"/>
      <c r="AA368" s="367"/>
      <c r="AB368"/>
      <c r="AC368"/>
      <c r="AD368"/>
      <c r="AE368"/>
    </row>
    <row r="369" spans="17:31" ht="12.75" customHeight="1" thickBot="1">
      <c r="Q369" s="364"/>
      <c r="R369" s="692" t="s">
        <v>839</v>
      </c>
      <c r="S369" s="693"/>
      <c r="T369" s="693"/>
      <c r="U369" s="701">
        <f>IF(T367&gt;0,(VLOOKUP(V369,'Lookup Ready-reckoner'!$L$5:$M$1207,2))," ")</f>
        <v>88.95</v>
      </c>
      <c r="V369" s="695">
        <f>IF(U367&gt;0,(SUM(V367:V368))," ")</f>
        <v>249.99999999999994</v>
      </c>
      <c r="W369" s="696"/>
      <c r="X369" s="364"/>
      <c r="Y369" s="363"/>
      <c r="Z369" s="363"/>
      <c r="AA369" s="367"/>
      <c r="AB369"/>
      <c r="AC369"/>
      <c r="AD369"/>
      <c r="AE369"/>
    </row>
    <row r="370" spans="17:31" ht="12.75" customHeight="1" thickBot="1">
      <c r="Q370" s="364"/>
      <c r="R370" s="892"/>
      <c r="S370" s="893"/>
      <c r="T370" s="893"/>
      <c r="U370" s="893"/>
      <c r="V370" s="893"/>
      <c r="W370" s="894"/>
      <c r="X370" s="364"/>
      <c r="Y370" s="363"/>
      <c r="Z370" s="363"/>
      <c r="AA370" s="367"/>
      <c r="AB370"/>
      <c r="AC370"/>
      <c r="AD370"/>
      <c r="AE370"/>
    </row>
    <row r="371" spans="17:31" ht="12.75" customHeight="1">
      <c r="Q371" s="364"/>
      <c r="R371" s="895" t="s">
        <v>886</v>
      </c>
      <c r="S371" s="896"/>
      <c r="T371" s="900" t="s">
        <v>835</v>
      </c>
      <c r="U371" s="900" t="s">
        <v>836</v>
      </c>
      <c r="V371" s="900" t="s">
        <v>837</v>
      </c>
      <c r="W371" s="902" t="s">
        <v>838</v>
      </c>
      <c r="X371" s="364"/>
      <c r="Y371" s="363"/>
      <c r="Z371" s="363"/>
      <c r="AA371" s="367"/>
      <c r="AB371"/>
      <c r="AC371"/>
      <c r="AD371"/>
      <c r="AE371"/>
    </row>
    <row r="372" spans="17:31" ht="12.75" customHeight="1">
      <c r="Q372" s="364"/>
      <c r="R372" s="892"/>
      <c r="S372" s="897"/>
      <c r="T372" s="901"/>
      <c r="U372" s="901"/>
      <c r="V372" s="901"/>
      <c r="W372" s="903"/>
      <c r="X372" s="364"/>
      <c r="Y372" s="363"/>
      <c r="Z372" s="363"/>
      <c r="AA372" s="367"/>
      <c r="AB372"/>
      <c r="AC372"/>
      <c r="AD372"/>
      <c r="AE372"/>
    </row>
    <row r="373" spans="17:31" ht="12.75" customHeight="1">
      <c r="Q373" s="364"/>
      <c r="R373" s="892"/>
      <c r="S373" s="897"/>
      <c r="T373" s="700">
        <f>T360-PPE!$I$15</f>
        <v>91.155200000000008</v>
      </c>
      <c r="U373" s="560">
        <f>U367</f>
        <v>1.9999999999999996</v>
      </c>
      <c r="V373" s="690">
        <f>IF(T373&gt;0,W373*U373," ")</f>
        <v>103.74999999999997</v>
      </c>
      <c r="W373" s="691">
        <f>IF(T373&gt;0,(VLOOKUP(T373,'Lookup Ready-reckoner'!$B$5:$E$1207,4))," ")</f>
        <v>51.875</v>
      </c>
      <c r="X373" s="364"/>
      <c r="Y373" s="363"/>
      <c r="Z373" s="363"/>
      <c r="AA373" s="367"/>
      <c r="AB373"/>
      <c r="AC373"/>
      <c r="AD373"/>
      <c r="AE373"/>
    </row>
    <row r="374" spans="17:31" ht="12.75" customHeight="1">
      <c r="Q374" s="364"/>
      <c r="R374" s="898"/>
      <c r="S374" s="899"/>
      <c r="T374" s="447"/>
      <c r="U374" s="560"/>
      <c r="V374" s="690" t="str">
        <f>IF(T374&gt;0,W374*U374," ")</f>
        <v xml:space="preserve"> </v>
      </c>
      <c r="W374" s="691" t="str">
        <f>IF(T374&gt;0,(VLOOKUP(T374,'Lookup Ready-reckoner'!$B$5:$E$1007,4))," ")</f>
        <v xml:space="preserve"> </v>
      </c>
      <c r="X374" s="364"/>
      <c r="Y374" s="363"/>
      <c r="Z374" s="363"/>
      <c r="AA374" s="367"/>
      <c r="AB374"/>
      <c r="AC374"/>
      <c r="AD374"/>
      <c r="AE374"/>
    </row>
    <row r="375" spans="17:31" ht="12.75" customHeight="1" thickBot="1">
      <c r="Q375" s="364"/>
      <c r="R375" s="692" t="s">
        <v>839</v>
      </c>
      <c r="S375" s="693"/>
      <c r="T375" s="693"/>
      <c r="U375" s="701">
        <f>IF(T373&gt;0,(VLOOKUP(V375,'Lookup Ready-reckoner'!$L$5:$M$1207,2))," ")</f>
        <v>85.1</v>
      </c>
      <c r="V375" s="695">
        <f>IF(U373&gt;0,(SUM(V373:V374))," ")</f>
        <v>103.74999999999997</v>
      </c>
      <c r="W375" s="696"/>
      <c r="X375" s="364"/>
      <c r="Y375" s="363"/>
      <c r="Z375" s="363"/>
      <c r="AA375" s="367"/>
      <c r="AB375"/>
      <c r="AC375"/>
      <c r="AD375"/>
      <c r="AE375"/>
    </row>
    <row r="376" spans="17:31" ht="12.75" customHeight="1">
      <c r="Q376" s="364"/>
      <c r="R376" s="363"/>
      <c r="S376" s="363"/>
      <c r="T376" s="363"/>
      <c r="U376" s="363"/>
      <c r="V376" s="363"/>
      <c r="W376" s="363"/>
      <c r="X376" s="364"/>
      <c r="Y376" s="364"/>
      <c r="Z376" s="364"/>
      <c r="AA376" s="367"/>
      <c r="AB376"/>
      <c r="AC376"/>
      <c r="AD376"/>
      <c r="AE376"/>
    </row>
    <row r="377" spans="17:31" ht="12.75" customHeight="1">
      <c r="Q377" s="364"/>
      <c r="R377" s="913" t="str">
        <f>U306</f>
        <v>Sulzer ADDS</v>
      </c>
      <c r="S377" s="914"/>
      <c r="T377" s="914"/>
      <c r="U377" s="914"/>
      <c r="V377" s="914"/>
      <c r="W377" s="914"/>
      <c r="X377" s="364"/>
      <c r="Y377" s="363"/>
      <c r="Z377" s="363"/>
      <c r="AA377" s="367"/>
      <c r="AB377"/>
      <c r="AC377"/>
      <c r="AD377"/>
      <c r="AE377"/>
    </row>
    <row r="378" spans="17:31" ht="12.75" customHeight="1" thickBot="1">
      <c r="Q378" s="364"/>
      <c r="R378" s="910" t="s">
        <v>205</v>
      </c>
      <c r="S378" s="911"/>
      <c r="T378" s="911"/>
      <c r="U378" s="911"/>
      <c r="V378" s="911"/>
      <c r="W378" s="912"/>
      <c r="X378" s="364"/>
      <c r="Y378" s="363"/>
      <c r="Z378" s="363"/>
      <c r="AA378" s="367"/>
      <c r="AB378"/>
      <c r="AC378"/>
      <c r="AD378"/>
      <c r="AE378"/>
    </row>
    <row r="379" spans="17:31" ht="12.75" customHeight="1" thickBot="1">
      <c r="Q379" s="364"/>
      <c r="R379" s="686" t="s">
        <v>59</v>
      </c>
      <c r="S379" s="577"/>
      <c r="T379" s="687"/>
      <c r="U379" s="687"/>
      <c r="V379" s="687"/>
      <c r="W379" s="688"/>
      <c r="X379" s="364"/>
      <c r="Y379" s="363"/>
      <c r="Z379" s="363"/>
      <c r="AA379" s="367"/>
      <c r="AB379"/>
      <c r="AC379"/>
      <c r="AD379"/>
      <c r="AE379"/>
    </row>
    <row r="380" spans="17:31" ht="12.75" customHeight="1">
      <c r="Q380" s="364"/>
      <c r="R380" s="895" t="s">
        <v>845</v>
      </c>
      <c r="S380" s="896"/>
      <c r="T380" s="900" t="s">
        <v>835</v>
      </c>
      <c r="U380" s="900" t="s">
        <v>836</v>
      </c>
      <c r="V380" s="900" t="s">
        <v>837</v>
      </c>
      <c r="W380" s="902" t="s">
        <v>838</v>
      </c>
      <c r="X380" s="364"/>
      <c r="Y380" s="363"/>
      <c r="Z380" s="363"/>
      <c r="AA380" s="367"/>
      <c r="AB380"/>
      <c r="AC380"/>
      <c r="AD380"/>
      <c r="AE380"/>
    </row>
    <row r="381" spans="17:31" ht="12.75" customHeight="1">
      <c r="Q381" s="364"/>
      <c r="R381" s="892"/>
      <c r="S381" s="897"/>
      <c r="T381" s="904"/>
      <c r="U381" s="904"/>
      <c r="V381" s="904"/>
      <c r="W381" s="905"/>
      <c r="X381" s="364"/>
      <c r="Y381" s="363"/>
      <c r="Z381" s="363"/>
      <c r="AA381" s="367"/>
      <c r="AB381"/>
      <c r="AC381"/>
      <c r="AD381"/>
      <c r="AE381"/>
    </row>
    <row r="382" spans="17:31" ht="12.75" customHeight="1">
      <c r="Q382" s="364"/>
      <c r="R382" s="892"/>
      <c r="S382" s="897"/>
      <c r="T382" s="901"/>
      <c r="U382" s="901"/>
      <c r="V382" s="901"/>
      <c r="W382" s="903"/>
      <c r="X382" s="364"/>
      <c r="Y382" s="363"/>
      <c r="Z382" s="363"/>
      <c r="AA382" s="367"/>
      <c r="AB382"/>
      <c r="AC382"/>
      <c r="AD382"/>
      <c r="AE382"/>
    </row>
    <row r="383" spans="17:31" ht="12.75" customHeight="1">
      <c r="Q383" s="364"/>
      <c r="R383" s="892"/>
      <c r="S383" s="897"/>
      <c r="T383" s="702">
        <f>W69</f>
        <v>109</v>
      </c>
      <c r="U383" s="560">
        <f>W62</f>
        <v>1.7391304347826084</v>
      </c>
      <c r="V383" s="690">
        <f>IF(T383&gt;0,W383*U383," ")</f>
        <v>5565.2173913043471</v>
      </c>
      <c r="W383" s="691">
        <f>IF(T383&gt;0,(VLOOKUP(T383,'Lookup Ready-reckoner'!$B$5:$E$1207,4))," ")</f>
        <v>3200</v>
      </c>
      <c r="X383" s="364"/>
      <c r="Y383" s="363"/>
      <c r="Z383" s="363"/>
      <c r="AA383" s="367"/>
      <c r="AB383"/>
      <c r="AC383"/>
      <c r="AD383"/>
      <c r="AE383"/>
    </row>
    <row r="384" spans="17:31" ht="12.75" customHeight="1">
      <c r="Q384" s="364"/>
      <c r="R384" s="898"/>
      <c r="S384" s="899"/>
      <c r="T384" s="447"/>
      <c r="U384" s="560"/>
      <c r="V384" s="690" t="str">
        <f>IF(T384&gt;0,W384*U384," ")</f>
        <v xml:space="preserve"> </v>
      </c>
      <c r="W384" s="691" t="str">
        <f>IF(T384&gt;0,(VLOOKUP(T384,'Lookup Ready-reckoner'!$B$5:$E$1007,4))," ")</f>
        <v xml:space="preserve"> </v>
      </c>
      <c r="X384" s="364"/>
      <c r="Y384" s="363"/>
      <c r="Z384" s="363"/>
      <c r="AA384" s="367"/>
      <c r="AB384"/>
      <c r="AC384"/>
      <c r="AD384"/>
      <c r="AE384"/>
    </row>
    <row r="385" spans="17:31" ht="12.75" customHeight="1" thickBot="1">
      <c r="Q385" s="364"/>
      <c r="R385" s="692" t="s">
        <v>839</v>
      </c>
      <c r="S385" s="693"/>
      <c r="T385" s="693"/>
      <c r="U385" s="703">
        <f>IF(T383&gt;0,(VLOOKUP(V385,'Lookup Ready-reckoner'!$L$5:$M$1207,2))," ")</f>
        <v>102.4</v>
      </c>
      <c r="V385" s="695">
        <f>IF(U383&gt;0,(SUM(V383:V384))," ")</f>
        <v>5565.2173913043471</v>
      </c>
      <c r="W385" s="696"/>
      <c r="X385" s="364"/>
      <c r="Y385" s="363"/>
      <c r="Z385" s="363"/>
      <c r="AA385" s="367"/>
      <c r="AB385"/>
      <c r="AC385"/>
      <c r="AD385"/>
      <c r="AE385"/>
    </row>
    <row r="386" spans="17:31" ht="12.75" customHeight="1" thickBot="1">
      <c r="Q386" s="364"/>
      <c r="R386" s="892"/>
      <c r="S386" s="893"/>
      <c r="T386" s="893"/>
      <c r="U386" s="893"/>
      <c r="V386" s="893"/>
      <c r="W386" s="894"/>
      <c r="X386" s="364"/>
      <c r="Y386" s="363"/>
      <c r="Z386" s="363"/>
      <c r="AA386" s="367"/>
      <c r="AB386"/>
      <c r="AC386"/>
      <c r="AD386"/>
      <c r="AE386"/>
    </row>
    <row r="387" spans="17:31" ht="12.75" customHeight="1">
      <c r="Q387" s="364"/>
      <c r="R387" s="895" t="s">
        <v>886</v>
      </c>
      <c r="S387" s="896"/>
      <c r="T387" s="900" t="s">
        <v>835</v>
      </c>
      <c r="U387" s="900" t="s">
        <v>836</v>
      </c>
      <c r="V387" s="900" t="s">
        <v>837</v>
      </c>
      <c r="W387" s="902" t="s">
        <v>838</v>
      </c>
      <c r="X387" s="364"/>
      <c r="Y387" s="363"/>
      <c r="Z387" s="363"/>
      <c r="AA387" s="367"/>
      <c r="AB387"/>
      <c r="AC387"/>
      <c r="AD387"/>
      <c r="AE387"/>
    </row>
    <row r="388" spans="17:31" ht="12.75" customHeight="1">
      <c r="Q388" s="364"/>
      <c r="R388" s="892"/>
      <c r="S388" s="897"/>
      <c r="T388" s="901"/>
      <c r="U388" s="901"/>
      <c r="V388" s="901"/>
      <c r="W388" s="903"/>
      <c r="X388" s="364"/>
      <c r="Y388" s="363"/>
      <c r="Z388" s="363"/>
      <c r="AA388" s="367"/>
      <c r="AB388"/>
      <c r="AC388"/>
      <c r="AD388"/>
      <c r="AE388"/>
    </row>
    <row r="389" spans="17:31" ht="12.75" customHeight="1">
      <c r="Q389" s="364"/>
      <c r="R389" s="892"/>
      <c r="S389" s="897"/>
      <c r="T389" s="702">
        <f>T383*(1-0.0178*2)</f>
        <v>105.11960000000001</v>
      </c>
      <c r="U389" s="560">
        <f>U383</f>
        <v>1.7391304347826084</v>
      </c>
      <c r="V389" s="690">
        <f>IF(T389&gt;0,W389*U389," ")</f>
        <v>2234.782608695652</v>
      </c>
      <c r="W389" s="691">
        <f>IF(T389&gt;0,(VLOOKUP(T389,'Lookup Ready-reckoner'!$B$5:$E$1207,4))," ")</f>
        <v>1285</v>
      </c>
      <c r="X389" s="364"/>
      <c r="Y389" s="363"/>
      <c r="Z389" s="363"/>
      <c r="AA389" s="367"/>
      <c r="AB389"/>
      <c r="AC389"/>
      <c r="AD389"/>
      <c r="AE389"/>
    </row>
    <row r="390" spans="17:31" ht="12.75" customHeight="1">
      <c r="Q390" s="364"/>
      <c r="R390" s="898"/>
      <c r="S390" s="899"/>
      <c r="T390" s="447"/>
      <c r="U390" s="560"/>
      <c r="V390" s="690" t="str">
        <f>IF(T390&gt;0,W390*U390," ")</f>
        <v xml:space="preserve"> </v>
      </c>
      <c r="W390" s="691" t="str">
        <f>IF(T390&gt;0,(VLOOKUP(T390,'Lookup Ready-reckoner'!$B$5:$E$1007,4))," ")</f>
        <v xml:space="preserve"> </v>
      </c>
      <c r="X390" s="364"/>
      <c r="Y390" s="363"/>
      <c r="Z390" s="363"/>
      <c r="AA390" s="367"/>
      <c r="AB390"/>
      <c r="AC390"/>
      <c r="AD390"/>
      <c r="AE390"/>
    </row>
    <row r="391" spans="17:31" ht="12.75" customHeight="1" thickBot="1">
      <c r="Q391" s="364"/>
      <c r="R391" s="692" t="s">
        <v>839</v>
      </c>
      <c r="S391" s="693"/>
      <c r="T391" s="693"/>
      <c r="U391" s="703">
        <f>IF(T389&gt;0,(VLOOKUP(V391,'Lookup Ready-reckoner'!$L$5:$M$1207,2))," ")</f>
        <v>98.45</v>
      </c>
      <c r="V391" s="695">
        <f>IF(U389&gt;0,(SUM(V389:V390))," ")</f>
        <v>2234.782608695652</v>
      </c>
      <c r="W391" s="696"/>
      <c r="X391" s="364"/>
      <c r="Y391" s="363"/>
      <c r="Z391" s="363"/>
      <c r="AA391" s="367"/>
      <c r="AB391"/>
      <c r="AC391"/>
      <c r="AD391"/>
      <c r="AE391"/>
    </row>
    <row r="392" spans="17:31" ht="12.75" customHeight="1">
      <c r="Q392" s="364"/>
      <c r="R392" s="697"/>
      <c r="S392" s="687"/>
      <c r="T392" s="687"/>
      <c r="U392" s="372"/>
      <c r="V392" s="374"/>
      <c r="W392" s="688"/>
      <c r="X392" s="364"/>
      <c r="Y392" s="363"/>
      <c r="Z392" s="363"/>
      <c r="AA392" s="367"/>
      <c r="AB392"/>
      <c r="AC392"/>
      <c r="AD392"/>
      <c r="AE392"/>
    </row>
    <row r="393" spans="17:31" ht="12.75" customHeight="1" thickBot="1">
      <c r="Q393" s="364"/>
      <c r="R393" s="686" t="s">
        <v>60</v>
      </c>
      <c r="S393" s="577"/>
      <c r="T393" s="577"/>
      <c r="U393" s="577"/>
      <c r="V393" s="577"/>
      <c r="W393" s="698"/>
      <c r="X393" s="364"/>
      <c r="Y393" s="363"/>
      <c r="Z393" s="363"/>
      <c r="AA393" s="367"/>
      <c r="AB393"/>
      <c r="AC393"/>
      <c r="AD393"/>
      <c r="AE393"/>
    </row>
    <row r="394" spans="17:31" ht="12.75" customHeight="1">
      <c r="Q394" s="364"/>
      <c r="R394" s="895" t="s">
        <v>845</v>
      </c>
      <c r="S394" s="896"/>
      <c r="T394" s="900" t="s">
        <v>835</v>
      </c>
      <c r="U394" s="900" t="s">
        <v>836</v>
      </c>
      <c r="V394" s="900" t="s">
        <v>837</v>
      </c>
      <c r="W394" s="902" t="s">
        <v>838</v>
      </c>
      <c r="X394" s="364"/>
      <c r="Y394" s="363"/>
      <c r="Z394" s="363"/>
      <c r="AA394" s="367"/>
      <c r="AB394"/>
      <c r="AC394"/>
      <c r="AD394"/>
      <c r="AE394"/>
    </row>
    <row r="395" spans="17:31" ht="12.75" customHeight="1">
      <c r="Q395" s="364"/>
      <c r="R395" s="892"/>
      <c r="S395" s="897"/>
      <c r="T395" s="901"/>
      <c r="U395" s="901"/>
      <c r="V395" s="901"/>
      <c r="W395" s="903"/>
      <c r="X395" s="364"/>
      <c r="Y395" s="363"/>
      <c r="Z395" s="363"/>
      <c r="AA395" s="367"/>
      <c r="AB395"/>
      <c r="AC395"/>
      <c r="AD395"/>
      <c r="AE395"/>
    </row>
    <row r="396" spans="17:31" ht="12.75" customHeight="1">
      <c r="Q396" s="364"/>
      <c r="R396" s="892"/>
      <c r="S396" s="897"/>
      <c r="T396" s="702">
        <f>T383-PPE!$I$15</f>
        <v>96</v>
      </c>
      <c r="U396" s="560">
        <f>U389</f>
        <v>1.7391304347826084</v>
      </c>
      <c r="V396" s="690">
        <f>IF(T396&gt;0,W396*U396," ")</f>
        <v>271.73913043478257</v>
      </c>
      <c r="W396" s="691">
        <f>IF(T396&gt;0,(VLOOKUP(T396,'Lookup Ready-reckoner'!$B$5:$E$1207,4))," ")</f>
        <v>156.25</v>
      </c>
      <c r="X396" s="364"/>
      <c r="Y396" s="363"/>
      <c r="Z396" s="363"/>
      <c r="AA396" s="367"/>
      <c r="AB396"/>
      <c r="AC396"/>
      <c r="AD396"/>
      <c r="AE396"/>
    </row>
    <row r="397" spans="17:31" ht="12.75" customHeight="1">
      <c r="Q397" s="364"/>
      <c r="R397" s="898"/>
      <c r="S397" s="899"/>
      <c r="T397" s="447"/>
      <c r="U397" s="560"/>
      <c r="V397" s="690" t="str">
        <f>IF(T397&gt;0,W397*U397," ")</f>
        <v xml:space="preserve"> </v>
      </c>
      <c r="W397" s="691" t="str">
        <f>IF(T397&gt;0,(VLOOKUP(T397,'Lookup Ready-reckoner'!$B$5:$E$1007,4))," ")</f>
        <v xml:space="preserve"> </v>
      </c>
      <c r="X397" s="364"/>
      <c r="Y397" s="363"/>
      <c r="Z397" s="363"/>
      <c r="AA397" s="367"/>
      <c r="AB397"/>
      <c r="AC397"/>
      <c r="AD397"/>
      <c r="AE397"/>
    </row>
    <row r="398" spans="17:31" ht="12.75" customHeight="1" thickBot="1">
      <c r="Q398" s="364"/>
      <c r="R398" s="692" t="s">
        <v>839</v>
      </c>
      <c r="S398" s="693"/>
      <c r="T398" s="693"/>
      <c r="U398" s="703">
        <f>IF(T396&gt;0,(VLOOKUP(V398,'Lookup Ready-reckoner'!$L$5:$M$1207,2))," ")</f>
        <v>89.3</v>
      </c>
      <c r="V398" s="695">
        <f>IF(U396&gt;0,(SUM(V396:V397))," ")</f>
        <v>271.73913043478257</v>
      </c>
      <c r="W398" s="696"/>
      <c r="X398" s="364"/>
      <c r="Y398" s="363"/>
      <c r="Z398" s="363"/>
      <c r="AA398" s="367"/>
      <c r="AB398"/>
      <c r="AC398"/>
      <c r="AD398"/>
      <c r="AE398"/>
    </row>
    <row r="399" spans="17:31" ht="12.75" customHeight="1" thickBot="1">
      <c r="Q399" s="364"/>
      <c r="R399" s="892"/>
      <c r="S399" s="893"/>
      <c r="T399" s="893"/>
      <c r="U399" s="893"/>
      <c r="V399" s="893"/>
      <c r="W399" s="894"/>
      <c r="X399" s="364"/>
      <c r="Y399" s="363"/>
      <c r="Z399" s="363"/>
      <c r="AA399" s="367"/>
      <c r="AB399"/>
      <c r="AC399"/>
      <c r="AD399"/>
      <c r="AE399"/>
    </row>
    <row r="400" spans="17:31" ht="12.75" customHeight="1">
      <c r="Q400" s="364"/>
      <c r="R400" s="895" t="s">
        <v>886</v>
      </c>
      <c r="S400" s="896"/>
      <c r="T400" s="900" t="s">
        <v>835</v>
      </c>
      <c r="U400" s="900" t="s">
        <v>836</v>
      </c>
      <c r="V400" s="900" t="s">
        <v>837</v>
      </c>
      <c r="W400" s="902" t="s">
        <v>838</v>
      </c>
      <c r="X400" s="364"/>
      <c r="Y400" s="363"/>
      <c r="Z400" s="363"/>
      <c r="AA400" s="367"/>
      <c r="AB400"/>
      <c r="AC400"/>
      <c r="AD400"/>
      <c r="AE400"/>
    </row>
    <row r="401" spans="17:31" ht="12.75" customHeight="1">
      <c r="Q401" s="364"/>
      <c r="R401" s="892"/>
      <c r="S401" s="897"/>
      <c r="T401" s="901"/>
      <c r="U401" s="901"/>
      <c r="V401" s="901"/>
      <c r="W401" s="903"/>
      <c r="X401" s="364"/>
      <c r="Y401" s="363"/>
      <c r="Z401" s="363"/>
      <c r="AA401" s="367"/>
      <c r="AB401"/>
      <c r="AC401"/>
      <c r="AD401"/>
      <c r="AE401"/>
    </row>
    <row r="402" spans="17:31" ht="12.75" customHeight="1">
      <c r="Q402" s="364"/>
      <c r="R402" s="892"/>
      <c r="S402" s="897"/>
      <c r="T402" s="702">
        <f>T389-PPE!$I$15</f>
        <v>92.119600000000005</v>
      </c>
      <c r="U402" s="560">
        <f>U396</f>
        <v>1.7391304347826084</v>
      </c>
      <c r="V402" s="690">
        <f>IF(T402&gt;0,W402*U402," ")</f>
        <v>111.52173913043477</v>
      </c>
      <c r="W402" s="691">
        <f>IF(T402&gt;0,(VLOOKUP(T402,'Lookup Ready-reckoner'!$B$5:$E$1207,4))," ")</f>
        <v>64.125</v>
      </c>
      <c r="X402" s="364"/>
      <c r="Y402" s="363"/>
      <c r="Z402" s="363"/>
      <c r="AA402" s="367"/>
      <c r="AB402"/>
      <c r="AC402"/>
      <c r="AD402"/>
      <c r="AE402"/>
    </row>
    <row r="403" spans="17:31" ht="12.75" customHeight="1">
      <c r="Q403" s="364"/>
      <c r="R403" s="898"/>
      <c r="S403" s="899"/>
      <c r="T403" s="447"/>
      <c r="U403" s="560"/>
      <c r="V403" s="690" t="str">
        <f>IF(T403&gt;0,W403*U403," ")</f>
        <v xml:space="preserve"> </v>
      </c>
      <c r="W403" s="691" t="str">
        <f>IF(T403&gt;0,(VLOOKUP(T403,'Lookup Ready-reckoner'!$B$5:$E$1007,4))," ")</f>
        <v xml:space="preserve"> </v>
      </c>
      <c r="X403" s="364"/>
      <c r="Y403" s="363"/>
      <c r="Z403" s="363"/>
      <c r="AA403" s="367"/>
      <c r="AB403"/>
      <c r="AC403"/>
      <c r="AD403"/>
      <c r="AE403"/>
    </row>
    <row r="404" spans="17:31" ht="12.75" customHeight="1" thickBot="1">
      <c r="Q404" s="364"/>
      <c r="R404" s="692" t="s">
        <v>839</v>
      </c>
      <c r="S404" s="693"/>
      <c r="T404" s="693"/>
      <c r="U404" s="703">
        <f>IF(T402&gt;0,(VLOOKUP(V404,'Lookup Ready-reckoner'!$L$5:$M$1207,2))," ")</f>
        <v>85.45</v>
      </c>
      <c r="V404" s="695">
        <f>IF(U402&gt;0,(SUM(V402:V403))," ")</f>
        <v>111.52173913043477</v>
      </c>
      <c r="W404" s="696"/>
      <c r="X404" s="364"/>
      <c r="Y404" s="363"/>
      <c r="Z404" s="363"/>
      <c r="AA404" s="367"/>
      <c r="AB404"/>
      <c r="AC404"/>
      <c r="AD404"/>
      <c r="AE404"/>
    </row>
    <row r="405" spans="17:31" ht="12.75" customHeight="1">
      <c r="Q405" s="364"/>
      <c r="R405" s="363"/>
      <c r="S405" s="363"/>
      <c r="T405" s="363"/>
      <c r="U405" s="363"/>
      <c r="V405" s="363"/>
      <c r="W405" s="363"/>
      <c r="X405" s="364"/>
      <c r="Y405" s="364"/>
      <c r="Z405" s="364"/>
      <c r="AA405" s="367"/>
      <c r="AB405"/>
      <c r="AC405"/>
      <c r="AD405"/>
      <c r="AE405"/>
    </row>
    <row r="406" spans="17:31" ht="12.75" customHeight="1">
      <c r="Q406" s="364"/>
      <c r="R406" s="909" t="str">
        <f>V306</f>
        <v xml:space="preserve">Hilti TE MD20 </v>
      </c>
      <c r="S406" s="909"/>
      <c r="T406" s="909"/>
      <c r="U406" s="909"/>
      <c r="V406" s="909"/>
      <c r="W406" s="909"/>
      <c r="X406" s="364"/>
      <c r="Y406" s="364"/>
      <c r="Z406" s="364"/>
      <c r="AA406" s="367"/>
      <c r="AB406"/>
      <c r="AC406"/>
      <c r="AD406"/>
      <c r="AE406"/>
    </row>
    <row r="407" spans="17:31" ht="12.75" customHeight="1" thickBot="1">
      <c r="Q407" s="364"/>
      <c r="R407" s="910" t="s">
        <v>205</v>
      </c>
      <c r="S407" s="911"/>
      <c r="T407" s="911"/>
      <c r="U407" s="911"/>
      <c r="V407" s="911"/>
      <c r="W407" s="912"/>
      <c r="X407" s="364"/>
      <c r="Y407" s="364"/>
      <c r="Z407" s="364"/>
      <c r="AA407" s="367"/>
      <c r="AB407"/>
      <c r="AC407"/>
      <c r="AD407"/>
      <c r="AE407"/>
    </row>
    <row r="408" spans="17:31" ht="12.75" customHeight="1" thickBot="1">
      <c r="Q408" s="364"/>
      <c r="R408" s="686" t="s">
        <v>59</v>
      </c>
      <c r="S408" s="577"/>
      <c r="T408" s="687"/>
      <c r="U408" s="687"/>
      <c r="V408" s="687"/>
      <c r="W408" s="688"/>
      <c r="X408" s="364"/>
      <c r="Y408" s="364"/>
      <c r="Z408" s="364"/>
      <c r="AA408" s="367"/>
      <c r="AB408"/>
      <c r="AC408"/>
      <c r="AD408"/>
      <c r="AE408"/>
    </row>
    <row r="409" spans="17:31" ht="12.75" customHeight="1">
      <c r="Q409" s="364"/>
      <c r="R409" s="895" t="s">
        <v>845</v>
      </c>
      <c r="S409" s="896"/>
      <c r="T409" s="900" t="s">
        <v>835</v>
      </c>
      <c r="U409" s="900" t="s">
        <v>836</v>
      </c>
      <c r="V409" s="900" t="s">
        <v>837</v>
      </c>
      <c r="W409" s="902" t="s">
        <v>838</v>
      </c>
      <c r="X409" s="364"/>
      <c r="Y409" s="364"/>
      <c r="Z409" s="364"/>
      <c r="AA409" s="367"/>
      <c r="AB409"/>
      <c r="AC409"/>
      <c r="AD409"/>
      <c r="AE409"/>
    </row>
    <row r="410" spans="17:31" ht="12.75" customHeight="1">
      <c r="Q410" s="364"/>
      <c r="R410" s="892"/>
      <c r="S410" s="897"/>
      <c r="T410" s="904"/>
      <c r="U410" s="904"/>
      <c r="V410" s="904"/>
      <c r="W410" s="905"/>
      <c r="X410" s="364"/>
      <c r="Y410" s="364"/>
      <c r="Z410" s="364"/>
      <c r="AA410" s="367"/>
      <c r="AB410"/>
      <c r="AC410"/>
      <c r="AD410"/>
      <c r="AE410"/>
    </row>
    <row r="411" spans="17:31" ht="12.75" customHeight="1">
      <c r="Q411" s="364"/>
      <c r="R411" s="892"/>
      <c r="S411" s="897"/>
      <c r="T411" s="901"/>
      <c r="U411" s="901"/>
      <c r="V411" s="901"/>
      <c r="W411" s="903"/>
      <c r="X411" s="364"/>
      <c r="Y411" s="364"/>
      <c r="Z411" s="364"/>
      <c r="AA411" s="367"/>
      <c r="AB411"/>
      <c r="AC411"/>
      <c r="AD411"/>
      <c r="AE411"/>
    </row>
    <row r="412" spans="17:31" ht="12.75" customHeight="1">
      <c r="Q412" s="364"/>
      <c r="R412" s="892"/>
      <c r="S412" s="897"/>
      <c r="T412" s="704">
        <f>U69</f>
        <v>102</v>
      </c>
      <c r="U412" s="560">
        <f>U62</f>
        <v>2.6666666666666665</v>
      </c>
      <c r="V412" s="690">
        <f>IF(T412&gt;0,W412*U412," ")</f>
        <v>1666.6666666666665</v>
      </c>
      <c r="W412" s="691">
        <f>IF(T412&gt;0,(VLOOKUP(T412,'Lookup Ready-reckoner'!$B$5:$E$1207,4))," ")</f>
        <v>625</v>
      </c>
      <c r="X412" s="364"/>
      <c r="Y412" s="364"/>
      <c r="Z412" s="364"/>
      <c r="AA412" s="367"/>
      <c r="AB412"/>
      <c r="AC412"/>
      <c r="AD412"/>
      <c r="AE412"/>
    </row>
    <row r="413" spans="17:31" ht="12.75" customHeight="1">
      <c r="Q413" s="364"/>
      <c r="R413" s="898"/>
      <c r="S413" s="899"/>
      <c r="T413" s="447"/>
      <c r="U413" s="560"/>
      <c r="V413" s="690" t="str">
        <f>IF(T413&gt;0,W413*U413," ")</f>
        <v xml:space="preserve"> </v>
      </c>
      <c r="W413" s="691" t="str">
        <f>IF(T413&gt;0,(VLOOKUP(T413,'Lookup Ready-reckoner'!$B$5:$E$1007,4))," ")</f>
        <v xml:space="preserve"> </v>
      </c>
      <c r="X413" s="364"/>
      <c r="Y413" s="364"/>
      <c r="Z413" s="364"/>
      <c r="AA413" s="367"/>
      <c r="AB413"/>
      <c r="AC413"/>
      <c r="AD413"/>
      <c r="AE413"/>
    </row>
    <row r="414" spans="17:31" ht="12.75" customHeight="1" thickBot="1">
      <c r="Q414" s="364"/>
      <c r="R414" s="692" t="s">
        <v>839</v>
      </c>
      <c r="S414" s="693"/>
      <c r="T414" s="693"/>
      <c r="U414" s="705">
        <f>IF(T412&gt;0,(VLOOKUP(V414,'Lookup Ready-reckoner'!$L$5:$M$1207,2))," ")</f>
        <v>97.15</v>
      </c>
      <c r="V414" s="695">
        <f>IF(U412&gt;0,(SUM(V412:V413))," ")</f>
        <v>1666.6666666666665</v>
      </c>
      <c r="W414" s="696"/>
      <c r="X414" s="364"/>
      <c r="Y414" s="364"/>
      <c r="Z414" s="364"/>
      <c r="AA414" s="367"/>
      <c r="AB414"/>
      <c r="AC414"/>
      <c r="AD414"/>
      <c r="AE414"/>
    </row>
    <row r="415" spans="17:31" ht="12.75" customHeight="1" thickBot="1">
      <c r="Q415" s="364"/>
      <c r="R415" s="906"/>
      <c r="S415" s="907"/>
      <c r="T415" s="907"/>
      <c r="U415" s="907"/>
      <c r="V415" s="907"/>
      <c r="W415" s="908"/>
      <c r="X415" s="364"/>
      <c r="Y415" s="364"/>
      <c r="Z415" s="364"/>
      <c r="AA415" s="367"/>
      <c r="AB415"/>
      <c r="AC415"/>
      <c r="AD415"/>
      <c r="AE415"/>
    </row>
    <row r="416" spans="17:31" ht="12.75" customHeight="1">
      <c r="Q416" s="364"/>
      <c r="R416" s="895" t="s">
        <v>886</v>
      </c>
      <c r="S416" s="896"/>
      <c r="T416" s="900" t="s">
        <v>835</v>
      </c>
      <c r="U416" s="900" t="s">
        <v>836</v>
      </c>
      <c r="V416" s="900" t="s">
        <v>837</v>
      </c>
      <c r="W416" s="902" t="s">
        <v>838</v>
      </c>
      <c r="X416" s="364"/>
      <c r="Y416" s="364"/>
      <c r="Z416" s="364"/>
      <c r="AA416" s="367"/>
      <c r="AB416"/>
      <c r="AC416"/>
      <c r="AD416"/>
      <c r="AE416"/>
    </row>
    <row r="417" spans="17:31" ht="12.75" customHeight="1">
      <c r="Q417" s="364"/>
      <c r="R417" s="892"/>
      <c r="S417" s="897"/>
      <c r="T417" s="901"/>
      <c r="U417" s="901"/>
      <c r="V417" s="901"/>
      <c r="W417" s="903"/>
      <c r="X417" s="364"/>
      <c r="Y417" s="364"/>
      <c r="Z417" s="364"/>
      <c r="AA417" s="367"/>
      <c r="AB417"/>
      <c r="AC417"/>
      <c r="AD417"/>
      <c r="AE417"/>
    </row>
    <row r="418" spans="17:31" ht="12.75" customHeight="1">
      <c r="Q418" s="364"/>
      <c r="R418" s="892"/>
      <c r="S418" s="897"/>
      <c r="T418" s="704">
        <f>T412*(1-0.0178*2)</f>
        <v>98.368800000000007</v>
      </c>
      <c r="U418" s="560">
        <f>U412</f>
        <v>2.6666666666666665</v>
      </c>
      <c r="V418" s="690">
        <f>IF(T418&gt;0,W418*U418," ")</f>
        <v>725</v>
      </c>
      <c r="W418" s="691">
        <f>IF(T418&gt;0,(VLOOKUP(T418,'Lookup Ready-reckoner'!$B$5:$E$1207,4))," ")</f>
        <v>271.875</v>
      </c>
      <c r="X418" s="364"/>
      <c r="Y418" s="364"/>
      <c r="Z418" s="364"/>
      <c r="AA418" s="367"/>
      <c r="AB418"/>
      <c r="AC418"/>
      <c r="AD418"/>
      <c r="AE418"/>
    </row>
    <row r="419" spans="17:31" ht="12.75" customHeight="1">
      <c r="Q419" s="364"/>
      <c r="R419" s="898"/>
      <c r="S419" s="899"/>
      <c r="T419" s="447"/>
      <c r="U419" s="560"/>
      <c r="V419" s="690" t="str">
        <f>IF(T419&gt;0,W419*U419," ")</f>
        <v xml:space="preserve"> </v>
      </c>
      <c r="W419" s="691" t="str">
        <f>IF(T419&gt;0,(VLOOKUP(T419,'Lookup Ready-reckoner'!$B$5:$E$1007,4))," ")</f>
        <v xml:space="preserve"> </v>
      </c>
      <c r="X419" s="364"/>
      <c r="Y419" s="364"/>
      <c r="Z419" s="364"/>
      <c r="AA419" s="367"/>
      <c r="AB419"/>
      <c r="AC419"/>
      <c r="AD419"/>
      <c r="AE419"/>
    </row>
    <row r="420" spans="17:31" ht="12.75" customHeight="1" thickBot="1">
      <c r="Q420" s="364"/>
      <c r="R420" s="692" t="s">
        <v>839</v>
      </c>
      <c r="S420" s="693"/>
      <c r="T420" s="693"/>
      <c r="U420" s="705">
        <f>IF(T418&gt;0,(VLOOKUP(V420,'Lookup Ready-reckoner'!$L$5:$M$1207,2))," ")</f>
        <v>93.55</v>
      </c>
      <c r="V420" s="695">
        <f>IF(U418&gt;0,(SUM(V418:V419))," ")</f>
        <v>725</v>
      </c>
      <c r="W420" s="696"/>
      <c r="X420" s="364"/>
      <c r="Y420" s="364"/>
      <c r="Z420" s="364"/>
      <c r="AA420" s="367"/>
      <c r="AB420"/>
      <c r="AC420"/>
      <c r="AD420"/>
      <c r="AE420"/>
    </row>
    <row r="421" spans="17:31" ht="12.75" customHeight="1">
      <c r="Q421" s="364"/>
      <c r="R421" s="697"/>
      <c r="S421" s="687"/>
      <c r="T421" s="687"/>
      <c r="U421" s="372"/>
      <c r="V421" s="374"/>
      <c r="W421" s="688"/>
      <c r="X421" s="364"/>
      <c r="Y421" s="364"/>
      <c r="Z421" s="364"/>
      <c r="AA421" s="367"/>
      <c r="AB421"/>
      <c r="AC421"/>
      <c r="AD421"/>
      <c r="AE421"/>
    </row>
    <row r="422" spans="17:31" ht="12.75" customHeight="1" thickBot="1">
      <c r="Q422" s="364"/>
      <c r="R422" s="686" t="s">
        <v>60</v>
      </c>
      <c r="S422" s="577"/>
      <c r="T422" s="577"/>
      <c r="U422" s="577"/>
      <c r="V422" s="577"/>
      <c r="W422" s="698"/>
      <c r="X422" s="364"/>
      <c r="Y422" s="364"/>
      <c r="Z422" s="364"/>
      <c r="AA422" s="367"/>
      <c r="AB422"/>
      <c r="AC422"/>
      <c r="AD422"/>
      <c r="AE422"/>
    </row>
    <row r="423" spans="17:31" ht="12.75" customHeight="1">
      <c r="Q423" s="364"/>
      <c r="R423" s="895" t="s">
        <v>845</v>
      </c>
      <c r="S423" s="896"/>
      <c r="T423" s="900" t="s">
        <v>835</v>
      </c>
      <c r="U423" s="900" t="s">
        <v>836</v>
      </c>
      <c r="V423" s="900" t="s">
        <v>837</v>
      </c>
      <c r="W423" s="902" t="s">
        <v>838</v>
      </c>
      <c r="X423" s="364"/>
      <c r="Y423" s="364"/>
      <c r="Z423" s="364"/>
      <c r="AA423" s="367"/>
      <c r="AB423"/>
      <c r="AC423"/>
      <c r="AD423"/>
      <c r="AE423"/>
    </row>
    <row r="424" spans="17:31" ht="12.75" customHeight="1">
      <c r="Q424" s="364"/>
      <c r="R424" s="892"/>
      <c r="S424" s="897"/>
      <c r="T424" s="901"/>
      <c r="U424" s="901"/>
      <c r="V424" s="901"/>
      <c r="W424" s="903"/>
      <c r="X424" s="364"/>
      <c r="Y424" s="364"/>
      <c r="Z424" s="364"/>
      <c r="AA424" s="367"/>
      <c r="AB424"/>
      <c r="AC424"/>
      <c r="AD424"/>
      <c r="AE424"/>
    </row>
    <row r="425" spans="17:31" ht="12.75" customHeight="1">
      <c r="Q425" s="364"/>
      <c r="R425" s="892"/>
      <c r="S425" s="897"/>
      <c r="T425" s="704">
        <f>T412-PPE!$I$15</f>
        <v>89</v>
      </c>
      <c r="U425" s="560">
        <f>U418</f>
        <v>2.6666666666666665</v>
      </c>
      <c r="V425" s="690">
        <f>IF(T425&gt;0,W425*U425," ")</f>
        <v>83.333333333333329</v>
      </c>
      <c r="W425" s="691">
        <f>IF(T425&gt;0,(VLOOKUP(T425,'Lookup Ready-reckoner'!$B$5:$E$1207,4))," ")</f>
        <v>31.25</v>
      </c>
      <c r="X425" s="364"/>
      <c r="Y425" s="364"/>
      <c r="Z425" s="364"/>
      <c r="AA425" s="367"/>
      <c r="AB425"/>
      <c r="AC425"/>
      <c r="AD425"/>
      <c r="AE425"/>
    </row>
    <row r="426" spans="17:31" ht="12.75" customHeight="1">
      <c r="Q426" s="364"/>
      <c r="R426" s="898"/>
      <c r="S426" s="899"/>
      <c r="T426" s="447"/>
      <c r="U426" s="560"/>
      <c r="V426" s="690" t="str">
        <f>IF(T426&gt;0,W426*U426," ")</f>
        <v xml:space="preserve"> </v>
      </c>
      <c r="W426" s="691" t="str">
        <f>IF(T426&gt;0,(VLOOKUP(T426,'Lookup Ready-reckoner'!$B$5:$E$1007,4))," ")</f>
        <v xml:space="preserve"> </v>
      </c>
      <c r="X426" s="364"/>
      <c r="Y426" s="364"/>
      <c r="Z426" s="364"/>
      <c r="AA426" s="367"/>
      <c r="AB426"/>
      <c r="AC426"/>
      <c r="AD426"/>
      <c r="AE426"/>
    </row>
    <row r="427" spans="17:31" ht="12.75" customHeight="1" thickBot="1">
      <c r="Q427" s="364"/>
      <c r="R427" s="692" t="s">
        <v>839</v>
      </c>
      <c r="S427" s="693"/>
      <c r="T427" s="693"/>
      <c r="U427" s="705">
        <f>IF(T425&gt;0,(VLOOKUP(V427,'Lookup Ready-reckoner'!$L$5:$M$1207,2))," ")</f>
        <v>84.15</v>
      </c>
      <c r="V427" s="695">
        <f>IF(U425&gt;0,(SUM(V425:V426))," ")</f>
        <v>83.333333333333329</v>
      </c>
      <c r="W427" s="696"/>
      <c r="X427" s="364"/>
      <c r="Y427" s="364"/>
      <c r="Z427" s="364"/>
      <c r="AA427" s="367"/>
      <c r="AB427"/>
      <c r="AC427"/>
      <c r="AD427"/>
      <c r="AE427"/>
    </row>
    <row r="428" spans="17:31" ht="12.75" customHeight="1" thickBot="1">
      <c r="Q428" s="364"/>
      <c r="R428" s="892"/>
      <c r="S428" s="893"/>
      <c r="T428" s="893"/>
      <c r="U428" s="893"/>
      <c r="V428" s="893"/>
      <c r="W428" s="894"/>
      <c r="X428" s="364"/>
      <c r="Y428" s="364"/>
      <c r="Z428" s="364"/>
      <c r="AA428" s="367"/>
      <c r="AB428"/>
      <c r="AC428"/>
      <c r="AD428"/>
      <c r="AE428"/>
    </row>
    <row r="429" spans="17:31" ht="12.75" customHeight="1">
      <c r="Q429" s="364"/>
      <c r="R429" s="895" t="s">
        <v>886</v>
      </c>
      <c r="S429" s="896"/>
      <c r="T429" s="900" t="s">
        <v>835</v>
      </c>
      <c r="U429" s="900" t="s">
        <v>836</v>
      </c>
      <c r="V429" s="900" t="s">
        <v>837</v>
      </c>
      <c r="W429" s="902" t="s">
        <v>838</v>
      </c>
      <c r="X429" s="364"/>
      <c r="Y429" s="364"/>
      <c r="Z429" s="364"/>
      <c r="AA429" s="367"/>
      <c r="AB429"/>
      <c r="AC429"/>
      <c r="AD429"/>
      <c r="AE429"/>
    </row>
    <row r="430" spans="17:31" ht="12.75" customHeight="1">
      <c r="Q430" s="364"/>
      <c r="R430" s="892"/>
      <c r="S430" s="897"/>
      <c r="T430" s="901"/>
      <c r="U430" s="901"/>
      <c r="V430" s="901"/>
      <c r="W430" s="903"/>
      <c r="X430" s="364"/>
      <c r="Y430" s="364"/>
      <c r="Z430" s="364"/>
      <c r="AA430" s="367"/>
      <c r="AB430"/>
      <c r="AC430"/>
      <c r="AD430"/>
      <c r="AE430"/>
    </row>
    <row r="431" spans="17:31" ht="12.75" customHeight="1">
      <c r="Q431" s="364"/>
      <c r="R431" s="892"/>
      <c r="S431" s="897"/>
      <c r="T431" s="704">
        <f>T418-PPE!$I$15</f>
        <v>85.368800000000007</v>
      </c>
      <c r="U431" s="560">
        <f>U425</f>
        <v>2.6666666666666665</v>
      </c>
      <c r="V431" s="690">
        <f>IF(T431&gt;0,W431*U431," ")</f>
        <v>36.25</v>
      </c>
      <c r="W431" s="691">
        <f>IF(T431&gt;0,(VLOOKUP(T431,'Lookup Ready-reckoner'!$B$5:$E$1207,4))," ")</f>
        <v>13.59375</v>
      </c>
      <c r="X431" s="364"/>
      <c r="Y431" s="364"/>
      <c r="Z431" s="364"/>
      <c r="AA431" s="367"/>
      <c r="AB431"/>
      <c r="AC431"/>
      <c r="AD431"/>
      <c r="AE431"/>
    </row>
    <row r="432" spans="17:31" ht="12.75" customHeight="1">
      <c r="Q432" s="364"/>
      <c r="R432" s="898"/>
      <c r="S432" s="899"/>
      <c r="T432" s="447"/>
      <c r="U432" s="560"/>
      <c r="V432" s="690" t="str">
        <f>IF(T432&gt;0,W432*U432," ")</f>
        <v xml:space="preserve"> </v>
      </c>
      <c r="W432" s="691" t="str">
        <f>IF(T432&gt;0,(VLOOKUP(T432,'Lookup Ready-reckoner'!$B$5:$E$1007,4))," ")</f>
        <v xml:space="preserve"> </v>
      </c>
      <c r="X432" s="364"/>
      <c r="Y432" s="364"/>
      <c r="Z432" s="364"/>
      <c r="AA432" s="367"/>
      <c r="AB432"/>
      <c r="AC432"/>
      <c r="AD432"/>
      <c r="AE432"/>
    </row>
    <row r="433" spans="17:31" ht="12.75" customHeight="1" thickBot="1">
      <c r="Q433" s="364"/>
      <c r="R433" s="692" t="s">
        <v>839</v>
      </c>
      <c r="S433" s="693"/>
      <c r="T433" s="693"/>
      <c r="U433" s="705">
        <f>IF(T431&gt;0,(VLOOKUP(V433,'Lookup Ready-reckoner'!$L$5:$M$1207,2))," ")</f>
        <v>80.5</v>
      </c>
      <c r="V433" s="695">
        <f>IF(U431&gt;0,(SUM(V431:V432))," ")</f>
        <v>36.25</v>
      </c>
      <c r="W433" s="696"/>
      <c r="X433" s="364"/>
      <c r="Y433" s="364"/>
      <c r="Z433" s="364"/>
      <c r="AA433" s="367"/>
      <c r="AB433"/>
      <c r="AC433"/>
      <c r="AD433"/>
      <c r="AE433"/>
    </row>
    <row r="434" spans="17:31" ht="12.75" customHeight="1" thickBot="1">
      <c r="Q434" s="364"/>
      <c r="R434" s="364"/>
      <c r="S434" s="364"/>
      <c r="T434" s="364"/>
      <c r="U434" s="364"/>
      <c r="V434" s="364"/>
      <c r="W434" s="364"/>
      <c r="X434" s="364"/>
      <c r="Y434" s="364"/>
      <c r="Z434" s="364"/>
      <c r="AA434" s="367"/>
      <c r="AB434"/>
      <c r="AC434"/>
      <c r="AD434"/>
      <c r="AE434"/>
    </row>
    <row r="435" spans="17:31" ht="12.75" customHeight="1" thickTop="1">
      <c r="Q435" s="364"/>
      <c r="R435" s="916" t="s">
        <v>429</v>
      </c>
      <c r="S435" s="917"/>
      <c r="T435" s="917"/>
      <c r="U435" s="917"/>
      <c r="V435" s="917"/>
      <c r="W435" s="918"/>
      <c r="X435" s="364"/>
      <c r="Y435" s="364"/>
      <c r="Z435" s="364"/>
      <c r="AA435" s="367"/>
      <c r="AB435"/>
      <c r="AC435"/>
      <c r="AD435"/>
      <c r="AE435"/>
    </row>
    <row r="436" spans="17:31" ht="12.75" customHeight="1">
      <c r="Q436" s="364"/>
      <c r="R436" s="919"/>
      <c r="S436" s="920"/>
      <c r="T436" s="920"/>
      <c r="U436" s="920"/>
      <c r="V436" s="920"/>
      <c r="W436" s="921"/>
      <c r="X436" s="364"/>
      <c r="Y436" s="364"/>
      <c r="Z436" s="364"/>
      <c r="AA436" s="367"/>
      <c r="AB436"/>
      <c r="AC436"/>
      <c r="AD436"/>
      <c r="AE436"/>
    </row>
    <row r="437" spans="17:31" ht="12.75" customHeight="1" thickBot="1">
      <c r="Q437" s="364"/>
      <c r="R437" s="922"/>
      <c r="S437" s="923"/>
      <c r="T437" s="923"/>
      <c r="U437" s="923"/>
      <c r="V437" s="923"/>
      <c r="W437" s="924"/>
      <c r="X437" s="364"/>
      <c r="Y437" s="364"/>
      <c r="Z437" s="364"/>
      <c r="AA437" s="367"/>
      <c r="AB437"/>
      <c r="AC437"/>
      <c r="AD437"/>
      <c r="AE437"/>
    </row>
    <row r="438" spans="17:31" ht="12.75" customHeight="1" thickTop="1">
      <c r="Q438" s="364"/>
      <c r="R438" s="925" t="str">
        <f>R319</f>
        <v>Seco S215</v>
      </c>
      <c r="S438" s="925"/>
      <c r="T438" s="925"/>
      <c r="U438" s="925"/>
      <c r="V438" s="925"/>
      <c r="W438" s="925"/>
      <c r="X438" s="364"/>
      <c r="Y438" s="364"/>
      <c r="Z438" s="364"/>
      <c r="AA438" s="367"/>
      <c r="AB438"/>
      <c r="AC438"/>
      <c r="AD438"/>
      <c r="AE438"/>
    </row>
    <row r="439" spans="17:31" ht="12.75" customHeight="1" thickBot="1">
      <c r="Q439" s="364"/>
      <c r="R439" s="910" t="s">
        <v>205</v>
      </c>
      <c r="S439" s="911"/>
      <c r="T439" s="911"/>
      <c r="U439" s="911"/>
      <c r="V439" s="911"/>
      <c r="W439" s="912"/>
      <c r="X439" s="364"/>
      <c r="Y439" s="364"/>
      <c r="Z439" s="364"/>
      <c r="AA439" s="367"/>
      <c r="AB439"/>
      <c r="AC439"/>
      <c r="AD439"/>
      <c r="AE439"/>
    </row>
    <row r="440" spans="17:31" ht="12.75" customHeight="1" thickBot="1">
      <c r="Q440" s="364"/>
      <c r="R440" s="686" t="s">
        <v>59</v>
      </c>
      <c r="S440" s="577"/>
      <c r="T440" s="687"/>
      <c r="U440" s="687"/>
      <c r="V440" s="687"/>
      <c r="W440" s="688"/>
      <c r="X440" s="364"/>
      <c r="Y440" s="364"/>
      <c r="Z440" s="364"/>
      <c r="AA440" s="367"/>
      <c r="AB440"/>
      <c r="AC440"/>
      <c r="AD440"/>
      <c r="AE440"/>
    </row>
    <row r="441" spans="17:31" ht="12.75" customHeight="1">
      <c r="Q441" s="364"/>
      <c r="R441" s="895" t="s">
        <v>845</v>
      </c>
      <c r="S441" s="896"/>
      <c r="T441" s="900" t="s">
        <v>835</v>
      </c>
      <c r="U441" s="900" t="s">
        <v>836</v>
      </c>
      <c r="V441" s="900" t="s">
        <v>837</v>
      </c>
      <c r="W441" s="902" t="s">
        <v>838</v>
      </c>
      <c r="X441" s="364"/>
      <c r="Y441" s="364"/>
      <c r="Z441" s="364"/>
      <c r="AA441" s="367"/>
      <c r="AB441"/>
      <c r="AC441"/>
      <c r="AD441"/>
      <c r="AE441"/>
    </row>
    <row r="442" spans="17:31" ht="12.75" customHeight="1">
      <c r="Q442" s="364"/>
      <c r="R442" s="892"/>
      <c r="S442" s="897"/>
      <c r="T442" s="904"/>
      <c r="U442" s="904"/>
      <c r="V442" s="904"/>
      <c r="W442" s="905"/>
      <c r="X442" s="364"/>
      <c r="Y442" s="364"/>
      <c r="Z442" s="364"/>
      <c r="AA442" s="367"/>
      <c r="AB442"/>
      <c r="AC442"/>
      <c r="AD442"/>
      <c r="AE442"/>
    </row>
    <row r="443" spans="17:31" ht="12.75" customHeight="1">
      <c r="Q443" s="364"/>
      <c r="R443" s="892"/>
      <c r="S443" s="897"/>
      <c r="T443" s="901"/>
      <c r="U443" s="901"/>
      <c r="V443" s="901"/>
      <c r="W443" s="903"/>
      <c r="X443" s="364"/>
      <c r="Y443" s="364"/>
      <c r="Z443" s="364"/>
      <c r="AA443" s="367"/>
      <c r="AB443"/>
      <c r="AC443"/>
      <c r="AD443"/>
      <c r="AE443"/>
    </row>
    <row r="444" spans="17:31" ht="12.75" customHeight="1">
      <c r="Q444" s="364"/>
      <c r="R444" s="892"/>
      <c r="S444" s="897"/>
      <c r="T444" s="689">
        <f>X76</f>
        <v>122.02059991327964</v>
      </c>
      <c r="U444" s="560">
        <f>X62</f>
        <v>1.4285714285714284</v>
      </c>
      <c r="V444" s="690">
        <f>IF(T444&gt;0,W444*U444," ")</f>
        <v>79999.999999999985</v>
      </c>
      <c r="W444" s="691">
        <f>IF(T444&gt;0,(VLOOKUP(T444,'Lookup Ready-reckoner'!$B$5:$E$1207,4))," ")</f>
        <v>56000</v>
      </c>
      <c r="X444" s="364"/>
      <c r="Y444" s="364"/>
      <c r="Z444" s="364"/>
      <c r="AA444" s="367"/>
      <c r="AB444"/>
      <c r="AC444"/>
      <c r="AD444"/>
      <c r="AE444"/>
    </row>
    <row r="445" spans="17:31" ht="12.75" customHeight="1">
      <c r="Q445" s="364"/>
      <c r="R445" s="898"/>
      <c r="S445" s="899"/>
      <c r="T445" s="447"/>
      <c r="U445" s="560"/>
      <c r="V445" s="690" t="str">
        <f>IF(T445&gt;0,W445*U445," ")</f>
        <v xml:space="preserve"> </v>
      </c>
      <c r="W445" s="691" t="str">
        <f>IF(T445&gt;0,(VLOOKUP(T445,'Lookup Ready-reckoner'!$B$5:$E$1007,4))," ")</f>
        <v xml:space="preserve"> </v>
      </c>
      <c r="X445" s="364"/>
      <c r="Y445" s="364"/>
      <c r="Z445" s="364"/>
      <c r="AA445" s="367"/>
      <c r="AB445"/>
      <c r="AC445"/>
      <c r="AD445"/>
      <c r="AE445"/>
    </row>
    <row r="446" spans="17:31" ht="12.75" customHeight="1" thickBot="1">
      <c r="Q446" s="364"/>
      <c r="R446" s="692" t="s">
        <v>839</v>
      </c>
      <c r="S446" s="693"/>
      <c r="T446" s="693"/>
      <c r="U446" s="694">
        <f>IF(T444&gt;0,(VLOOKUP(V446,'Lookup Ready-reckoner'!$L$5:$M$1207,2))," ")</f>
        <v>113.95</v>
      </c>
      <c r="V446" s="695">
        <f>IF(U444&gt;0,(SUM(V444:V445))," ")</f>
        <v>79999.999999999985</v>
      </c>
      <c r="W446" s="696"/>
      <c r="X446" s="364"/>
      <c r="Y446" s="364"/>
      <c r="Z446" s="364"/>
      <c r="AA446" s="367"/>
      <c r="AB446"/>
      <c r="AC446"/>
      <c r="AD446"/>
      <c r="AE446"/>
    </row>
    <row r="447" spans="17:31" ht="12.75" customHeight="1" thickBot="1">
      <c r="Q447" s="364"/>
      <c r="R447" s="892"/>
      <c r="S447" s="893"/>
      <c r="T447" s="893"/>
      <c r="U447" s="893"/>
      <c r="V447" s="893"/>
      <c r="W447" s="894"/>
      <c r="X447" s="364"/>
      <c r="Y447" s="364"/>
      <c r="Z447" s="364"/>
      <c r="AA447" s="367"/>
      <c r="AB447"/>
      <c r="AC447"/>
      <c r="AD447"/>
      <c r="AE447"/>
    </row>
    <row r="448" spans="17:31" ht="12.75" customHeight="1">
      <c r="Q448" s="364"/>
      <c r="R448" s="895" t="s">
        <v>886</v>
      </c>
      <c r="S448" s="896"/>
      <c r="T448" s="900" t="s">
        <v>835</v>
      </c>
      <c r="U448" s="900" t="s">
        <v>836</v>
      </c>
      <c r="V448" s="900" t="s">
        <v>837</v>
      </c>
      <c r="W448" s="902" t="s">
        <v>838</v>
      </c>
      <c r="X448" s="364"/>
      <c r="Y448" s="364"/>
      <c r="Z448" s="364"/>
      <c r="AA448" s="367"/>
      <c r="AB448"/>
      <c r="AC448"/>
      <c r="AD448"/>
      <c r="AE448"/>
    </row>
    <row r="449" spans="17:31" ht="12.75" customHeight="1">
      <c r="Q449" s="364"/>
      <c r="R449" s="892"/>
      <c r="S449" s="897"/>
      <c r="T449" s="901"/>
      <c r="U449" s="901"/>
      <c r="V449" s="901"/>
      <c r="W449" s="903"/>
      <c r="X449" s="364"/>
      <c r="Y449" s="364"/>
      <c r="Z449" s="364"/>
      <c r="AA449" s="367"/>
      <c r="AB449"/>
      <c r="AC449"/>
      <c r="AD449"/>
      <c r="AE449"/>
    </row>
    <row r="450" spans="17:31" ht="12.75" customHeight="1">
      <c r="Q450" s="364"/>
      <c r="R450" s="892"/>
      <c r="S450" s="897"/>
      <c r="T450" s="689">
        <f>T444*(1-0.0178*2)</f>
        <v>117.67666655636688</v>
      </c>
      <c r="U450" s="560">
        <f>U444</f>
        <v>1.4285714285714284</v>
      </c>
      <c r="V450" s="690">
        <f>IF(T450&gt;0,W450*U450," ")</f>
        <v>33771.428571428565</v>
      </c>
      <c r="W450" s="691">
        <f>IF(T450&gt;0,(VLOOKUP(T450,'Lookup Ready-reckoner'!$B$5:$E$1207,4))," ")</f>
        <v>23640</v>
      </c>
      <c r="X450" s="364"/>
      <c r="Y450" s="364"/>
      <c r="Z450" s="364"/>
      <c r="AA450" s="367"/>
      <c r="AB450"/>
      <c r="AC450"/>
      <c r="AD450"/>
      <c r="AE450"/>
    </row>
    <row r="451" spans="17:31" ht="12.75" customHeight="1">
      <c r="Q451" s="364"/>
      <c r="R451" s="898"/>
      <c r="S451" s="899"/>
      <c r="T451" s="447"/>
      <c r="U451" s="560"/>
      <c r="V451" s="690" t="str">
        <f>IF(T451&gt;0,W451*U451," ")</f>
        <v xml:space="preserve"> </v>
      </c>
      <c r="W451" s="691" t="str">
        <f>IF(T451&gt;0,(VLOOKUP(T451,'Lookup Ready-reckoner'!$B$5:$E$1007,4))," ")</f>
        <v xml:space="preserve"> </v>
      </c>
      <c r="X451" s="364"/>
      <c r="Y451" s="364"/>
      <c r="Z451" s="364"/>
      <c r="AA451" s="367"/>
      <c r="AB451"/>
      <c r="AC451"/>
      <c r="AD451"/>
      <c r="AE451"/>
    </row>
    <row r="452" spans="17:31" ht="12.75" customHeight="1" thickBot="1">
      <c r="Q452" s="364"/>
      <c r="R452" s="692" t="s">
        <v>839</v>
      </c>
      <c r="S452" s="693"/>
      <c r="T452" s="693"/>
      <c r="U452" s="694">
        <f>IF(T450&gt;0,(VLOOKUP(V452,'Lookup Ready-reckoner'!$L$5:$M$1207,2))," ")</f>
        <v>110.2</v>
      </c>
      <c r="V452" s="695">
        <f>IF(U450&gt;0,(SUM(V450:V451))," ")</f>
        <v>33771.428571428565</v>
      </c>
      <c r="W452" s="696"/>
      <c r="X452" s="364"/>
      <c r="Y452" s="364"/>
      <c r="Z452" s="364"/>
      <c r="AA452" s="367"/>
      <c r="AB452"/>
      <c r="AC452"/>
      <c r="AD452"/>
      <c r="AE452"/>
    </row>
    <row r="453" spans="17:31" ht="12.75" customHeight="1">
      <c r="Q453" s="364"/>
      <c r="R453" s="697"/>
      <c r="S453" s="687"/>
      <c r="T453" s="687"/>
      <c r="U453" s="372"/>
      <c r="V453" s="374"/>
      <c r="W453" s="688"/>
      <c r="X453" s="364"/>
      <c r="Y453" s="364"/>
      <c r="Z453" s="364"/>
      <c r="AA453" s="367"/>
      <c r="AB453"/>
      <c r="AC453"/>
      <c r="AD453"/>
      <c r="AE453"/>
    </row>
    <row r="454" spans="17:31" ht="12.75" customHeight="1" thickBot="1">
      <c r="Q454" s="364"/>
      <c r="R454" s="686" t="s">
        <v>60</v>
      </c>
      <c r="S454" s="577"/>
      <c r="T454" s="577"/>
      <c r="U454" s="577"/>
      <c r="V454" s="577"/>
      <c r="W454" s="698"/>
      <c r="X454" s="364"/>
      <c r="Y454" s="364"/>
      <c r="Z454" s="364"/>
      <c r="AA454" s="367"/>
      <c r="AB454"/>
      <c r="AC454"/>
      <c r="AD454"/>
      <c r="AE454"/>
    </row>
    <row r="455" spans="17:31" ht="12.75" customHeight="1">
      <c r="Q455" s="364"/>
      <c r="R455" s="895" t="s">
        <v>845</v>
      </c>
      <c r="S455" s="896"/>
      <c r="T455" s="900" t="s">
        <v>835</v>
      </c>
      <c r="U455" s="900" t="s">
        <v>836</v>
      </c>
      <c r="V455" s="900" t="s">
        <v>837</v>
      </c>
      <c r="W455" s="902" t="s">
        <v>838</v>
      </c>
      <c r="X455" s="364"/>
      <c r="Y455" s="364"/>
      <c r="Z455" s="364"/>
      <c r="AA455" s="367"/>
      <c r="AB455"/>
      <c r="AC455"/>
      <c r="AD455"/>
      <c r="AE455"/>
    </row>
    <row r="456" spans="17:31" ht="12.75" customHeight="1">
      <c r="Q456" s="364"/>
      <c r="R456" s="892"/>
      <c r="S456" s="897"/>
      <c r="T456" s="901"/>
      <c r="U456" s="901"/>
      <c r="V456" s="901"/>
      <c r="W456" s="903"/>
      <c r="X456" s="364"/>
      <c r="Y456" s="364"/>
      <c r="Z456" s="364"/>
      <c r="AA456" s="367"/>
      <c r="AB456"/>
      <c r="AC456"/>
      <c r="AD456"/>
      <c r="AE456"/>
    </row>
    <row r="457" spans="17:31" ht="12.75" customHeight="1">
      <c r="Q457" s="364"/>
      <c r="R457" s="892"/>
      <c r="S457" s="897"/>
      <c r="T457" s="689">
        <f>T444-PPE!$I$15</f>
        <v>109.02059991327964</v>
      </c>
      <c r="U457" s="560">
        <f>U450</f>
        <v>1.4285714285714284</v>
      </c>
      <c r="V457" s="690">
        <f>IF(T457&gt;0,W457*U457," ")</f>
        <v>4571.4285714285706</v>
      </c>
      <c r="W457" s="691">
        <f>IF(T457&gt;0,(VLOOKUP(T457,'Lookup Ready-reckoner'!$B$5:$E$1207,4))," ")</f>
        <v>3200</v>
      </c>
      <c r="X457" s="364"/>
      <c r="Y457" s="364"/>
      <c r="Z457" s="364"/>
      <c r="AA457" s="367"/>
      <c r="AB457"/>
      <c r="AC457"/>
      <c r="AD457"/>
      <c r="AE457"/>
    </row>
    <row r="458" spans="17:31" ht="12.75" customHeight="1">
      <c r="Q458" s="364"/>
      <c r="R458" s="898"/>
      <c r="S458" s="899"/>
      <c r="T458" s="447"/>
      <c r="U458" s="560"/>
      <c r="V458" s="690" t="str">
        <f>IF(T458&gt;0,W458*U458," ")</f>
        <v xml:space="preserve"> </v>
      </c>
      <c r="W458" s="691" t="str">
        <f>IF(T458&gt;0,(VLOOKUP(T458,'Lookup Ready-reckoner'!$B$5:$E$1007,4))," ")</f>
        <v xml:space="preserve"> </v>
      </c>
      <c r="X458" s="364"/>
      <c r="Y458" s="364"/>
      <c r="Z458" s="364"/>
      <c r="AA458" s="367"/>
      <c r="AB458"/>
      <c r="AC458"/>
      <c r="AD458"/>
      <c r="AE458"/>
    </row>
    <row r="459" spans="17:31" ht="12.75" customHeight="1" thickBot="1">
      <c r="Q459" s="364"/>
      <c r="R459" s="699" t="s">
        <v>839</v>
      </c>
      <c r="S459" s="693"/>
      <c r="T459" s="693"/>
      <c r="U459" s="694">
        <f>IF(T457&gt;0,(VLOOKUP(V459,'Lookup Ready-reckoner'!$L$5:$M$1207,2))," ")</f>
        <v>101.55</v>
      </c>
      <c r="V459" s="695">
        <f>IF(U457&gt;0,(SUM(V457:V458))," ")</f>
        <v>4571.4285714285706</v>
      </c>
      <c r="W459" s="696"/>
      <c r="X459" s="364"/>
      <c r="Y459" s="364"/>
      <c r="Z459" s="364"/>
      <c r="AA459" s="367"/>
      <c r="AB459"/>
      <c r="AC459"/>
      <c r="AD459"/>
      <c r="AE459"/>
    </row>
    <row r="460" spans="17:31" ht="12.75" customHeight="1" thickBot="1">
      <c r="Q460" s="364"/>
      <c r="R460" s="892"/>
      <c r="S460" s="893"/>
      <c r="T460" s="893"/>
      <c r="U460" s="893"/>
      <c r="V460" s="893"/>
      <c r="W460" s="894"/>
      <c r="X460" s="364"/>
      <c r="Y460" s="364"/>
      <c r="Z460" s="364"/>
      <c r="AA460" s="367"/>
      <c r="AB460"/>
      <c r="AC460"/>
      <c r="AD460"/>
      <c r="AE460"/>
    </row>
    <row r="461" spans="17:31" ht="12.75" customHeight="1">
      <c r="Q461" s="364"/>
      <c r="R461" s="895" t="s">
        <v>886</v>
      </c>
      <c r="S461" s="896"/>
      <c r="T461" s="900" t="s">
        <v>835</v>
      </c>
      <c r="U461" s="900" t="s">
        <v>836</v>
      </c>
      <c r="V461" s="900" t="s">
        <v>837</v>
      </c>
      <c r="W461" s="902" t="s">
        <v>838</v>
      </c>
      <c r="X461" s="364"/>
      <c r="Y461" s="364"/>
      <c r="Z461" s="364"/>
      <c r="AA461" s="367"/>
      <c r="AB461"/>
      <c r="AC461"/>
      <c r="AD461"/>
      <c r="AE461"/>
    </row>
    <row r="462" spans="17:31" ht="12.75" customHeight="1">
      <c r="Q462" s="364"/>
      <c r="R462" s="892"/>
      <c r="S462" s="897"/>
      <c r="T462" s="901"/>
      <c r="U462" s="901"/>
      <c r="V462" s="901"/>
      <c r="W462" s="903"/>
      <c r="X462" s="364"/>
      <c r="Y462" s="364"/>
      <c r="Z462" s="364"/>
      <c r="AA462" s="367"/>
      <c r="AB462"/>
      <c r="AC462"/>
      <c r="AD462"/>
      <c r="AE462"/>
    </row>
    <row r="463" spans="17:31" ht="12.75" customHeight="1">
      <c r="Q463" s="364"/>
      <c r="R463" s="892"/>
      <c r="S463" s="897"/>
      <c r="T463" s="689">
        <f>T450-PPE!$I$15</f>
        <v>104.67666655636688</v>
      </c>
      <c r="U463" s="560">
        <f>U457</f>
        <v>1.4285714285714284</v>
      </c>
      <c r="V463" s="690">
        <f>IF(T463&gt;0,W463*U463," ")</f>
        <v>1660.7142857142856</v>
      </c>
      <c r="W463" s="691">
        <f>IF(T463&gt;0,(VLOOKUP(T463,'Lookup Ready-reckoner'!$B$5:$E$1207,4))," ")</f>
        <v>1162.5</v>
      </c>
      <c r="X463" s="364"/>
      <c r="Y463" s="364"/>
      <c r="Z463" s="364"/>
      <c r="AA463" s="367"/>
      <c r="AB463"/>
      <c r="AC463"/>
      <c r="AD463"/>
      <c r="AE463"/>
    </row>
    <row r="464" spans="17:31" ht="12.75" customHeight="1">
      <c r="Q464" s="364"/>
      <c r="R464" s="898"/>
      <c r="S464" s="899"/>
      <c r="T464" s="447"/>
      <c r="U464" s="560"/>
      <c r="V464" s="690" t="str">
        <f>IF(T464&gt;0,W464*U464," ")</f>
        <v xml:space="preserve"> </v>
      </c>
      <c r="W464" s="691" t="str">
        <f>IF(T464&gt;0,(VLOOKUP(T464,'Lookup Ready-reckoner'!$B$5:$E$1007,4))," ")</f>
        <v xml:space="preserve"> </v>
      </c>
      <c r="X464" s="364"/>
      <c r="Y464" s="364"/>
      <c r="Z464" s="364"/>
      <c r="AA464" s="367"/>
      <c r="AB464"/>
      <c r="AC464"/>
      <c r="AD464"/>
      <c r="AE464"/>
    </row>
    <row r="465" spans="17:31" ht="12.75" customHeight="1" thickBot="1">
      <c r="Q465" s="364"/>
      <c r="R465" s="692" t="s">
        <v>839</v>
      </c>
      <c r="S465" s="693"/>
      <c r="T465" s="693"/>
      <c r="U465" s="694">
        <f>IF(T463&gt;0,(VLOOKUP(V465,'Lookup Ready-reckoner'!$L$5:$M$1207,2))," ")</f>
        <v>97.15</v>
      </c>
      <c r="V465" s="695">
        <f>IF(U463&gt;0,(SUM(V463:V464))," ")</f>
        <v>1660.7142857142856</v>
      </c>
      <c r="W465" s="696"/>
      <c r="X465" s="364"/>
      <c r="Y465" s="364"/>
      <c r="Z465" s="364"/>
      <c r="AA465" s="367"/>
      <c r="AB465"/>
      <c r="AC465"/>
      <c r="AD465"/>
      <c r="AE465"/>
    </row>
    <row r="466" spans="17:31" ht="12.75" customHeight="1">
      <c r="Q466" s="364"/>
      <c r="R466" s="363"/>
      <c r="S466" s="363"/>
      <c r="T466" s="363"/>
      <c r="U466" s="363"/>
      <c r="V466" s="363"/>
      <c r="W466" s="363"/>
      <c r="X466" s="364"/>
      <c r="Y466" s="364"/>
      <c r="Z466" s="364"/>
      <c r="AA466" s="367"/>
      <c r="AB466"/>
      <c r="AC466"/>
      <c r="AD466"/>
      <c r="AE466"/>
    </row>
    <row r="467" spans="17:31" ht="12.75" customHeight="1" thickBot="1">
      <c r="Q467" s="364"/>
      <c r="R467" s="915" t="str">
        <f>R348</f>
        <v>Seco S215 Muffled</v>
      </c>
      <c r="S467" s="915"/>
      <c r="T467" s="915"/>
      <c r="U467" s="915"/>
      <c r="V467" s="915"/>
      <c r="W467" s="915"/>
      <c r="X467" s="364"/>
      <c r="Y467" s="364"/>
      <c r="Z467" s="364"/>
      <c r="AA467" s="367"/>
      <c r="AB467"/>
      <c r="AC467"/>
      <c r="AD467"/>
      <c r="AE467"/>
    </row>
    <row r="468" spans="17:31" ht="12.75" customHeight="1" thickBot="1">
      <c r="Q468" s="364"/>
      <c r="R468" s="906" t="s">
        <v>205</v>
      </c>
      <c r="S468" s="907"/>
      <c r="T468" s="907"/>
      <c r="U468" s="907"/>
      <c r="V468" s="907"/>
      <c r="W468" s="908"/>
      <c r="X468" s="364"/>
      <c r="Y468" s="364"/>
      <c r="Z468" s="364"/>
      <c r="AA468" s="367"/>
      <c r="AB468"/>
      <c r="AC468"/>
      <c r="AD468"/>
      <c r="AE468"/>
    </row>
    <row r="469" spans="17:31" ht="12.75" customHeight="1" thickBot="1">
      <c r="Q469" s="364"/>
      <c r="R469" s="686" t="s">
        <v>59</v>
      </c>
      <c r="S469" s="577"/>
      <c r="T469" s="687"/>
      <c r="U469" s="687"/>
      <c r="V469" s="687"/>
      <c r="W469" s="688"/>
      <c r="X469" s="364"/>
      <c r="Y469" s="364"/>
      <c r="Z469" s="364"/>
      <c r="AA469" s="367"/>
      <c r="AB469"/>
      <c r="AC469"/>
      <c r="AD469"/>
      <c r="AE469"/>
    </row>
    <row r="470" spans="17:31" ht="12.75" customHeight="1">
      <c r="Q470" s="364"/>
      <c r="R470" s="895" t="s">
        <v>845</v>
      </c>
      <c r="S470" s="896"/>
      <c r="T470" s="900" t="s">
        <v>835</v>
      </c>
      <c r="U470" s="900" t="s">
        <v>836</v>
      </c>
      <c r="V470" s="900" t="s">
        <v>837</v>
      </c>
      <c r="W470" s="902" t="s">
        <v>838</v>
      </c>
      <c r="X470" s="364"/>
      <c r="Y470" s="364"/>
      <c r="Z470" s="364"/>
      <c r="AA470" s="367"/>
      <c r="AB470"/>
      <c r="AC470"/>
      <c r="AD470"/>
      <c r="AE470"/>
    </row>
    <row r="471" spans="17:31" ht="12.75" customHeight="1">
      <c r="Q471" s="364"/>
      <c r="R471" s="892"/>
      <c r="S471" s="897"/>
      <c r="T471" s="904"/>
      <c r="U471" s="904"/>
      <c r="V471" s="904"/>
      <c r="W471" s="905"/>
      <c r="X471" s="364"/>
      <c r="Y471" s="364"/>
      <c r="Z471" s="364"/>
      <c r="AA471" s="367"/>
      <c r="AB471"/>
      <c r="AC471"/>
      <c r="AD471"/>
      <c r="AE471"/>
    </row>
    <row r="472" spans="17:31" ht="12.75" customHeight="1">
      <c r="Q472" s="364"/>
      <c r="R472" s="892"/>
      <c r="S472" s="897"/>
      <c r="T472" s="901"/>
      <c r="U472" s="901"/>
      <c r="V472" s="901"/>
      <c r="W472" s="903"/>
      <c r="X472" s="364"/>
      <c r="Y472" s="364"/>
      <c r="Z472" s="364"/>
      <c r="AA472" s="367"/>
      <c r="AB472"/>
      <c r="AC472"/>
      <c r="AD472"/>
      <c r="AE472"/>
    </row>
    <row r="473" spans="17:31" ht="12.75" customHeight="1">
      <c r="Q473" s="364"/>
      <c r="R473" s="892"/>
      <c r="S473" s="897"/>
      <c r="T473" s="700">
        <f>V76</f>
        <v>114.02059991327963</v>
      </c>
      <c r="U473" s="560">
        <f>V62</f>
        <v>1.9999999999999996</v>
      </c>
      <c r="V473" s="690">
        <f>IF(T473&gt;0,W473*U473," ")</f>
        <v>19999.999999999996</v>
      </c>
      <c r="W473" s="691">
        <f>IF(T473&gt;0,(VLOOKUP(T473,'Lookup Ready-reckoner'!$B$5:$E$1207,4))," ")</f>
        <v>10000</v>
      </c>
      <c r="X473" s="364"/>
      <c r="Y473" s="364"/>
      <c r="Z473" s="364"/>
      <c r="AA473" s="367"/>
      <c r="AB473"/>
      <c r="AC473"/>
      <c r="AD473"/>
      <c r="AE473"/>
    </row>
    <row r="474" spans="17:31" ht="12.75" customHeight="1">
      <c r="Q474" s="364"/>
      <c r="R474" s="898"/>
      <c r="S474" s="899"/>
      <c r="T474" s="447"/>
      <c r="U474" s="560"/>
      <c r="V474" s="690" t="str">
        <f>IF(T474&gt;0,W474*U474," ")</f>
        <v xml:space="preserve"> </v>
      </c>
      <c r="W474" s="691" t="str">
        <f>IF(T474&gt;0,(VLOOKUP(T474,'Lookup Ready-reckoner'!$B$5:$E$1007,4))," ")</f>
        <v xml:space="preserve"> </v>
      </c>
      <c r="X474" s="364"/>
      <c r="Y474" s="364"/>
      <c r="Z474" s="364"/>
      <c r="AA474" s="367"/>
      <c r="AB474"/>
      <c r="AC474"/>
      <c r="AD474"/>
      <c r="AE474"/>
    </row>
    <row r="475" spans="17:31" ht="12.75" customHeight="1" thickBot="1">
      <c r="Q475" s="364"/>
      <c r="R475" s="699" t="s">
        <v>839</v>
      </c>
      <c r="S475" s="693"/>
      <c r="T475" s="693"/>
      <c r="U475" s="701">
        <f>IF(T473&gt;0,(VLOOKUP(V475,'Lookup Ready-reckoner'!$L$5:$M$1207,2))," ")</f>
        <v>107.95</v>
      </c>
      <c r="V475" s="695">
        <f>IF(U473&gt;0,(SUM(V473:V474))," ")</f>
        <v>19999.999999999996</v>
      </c>
      <c r="W475" s="696"/>
      <c r="X475" s="364"/>
      <c r="Y475" s="364"/>
      <c r="Z475" s="364"/>
      <c r="AA475" s="367"/>
      <c r="AB475"/>
      <c r="AC475"/>
      <c r="AD475"/>
      <c r="AE475"/>
    </row>
    <row r="476" spans="17:31" ht="12.75" customHeight="1" thickBot="1">
      <c r="Q476" s="364"/>
      <c r="R476" s="892"/>
      <c r="S476" s="893"/>
      <c r="T476" s="893"/>
      <c r="U476" s="893"/>
      <c r="V476" s="893"/>
      <c r="W476" s="894"/>
      <c r="X476" s="364"/>
      <c r="Y476" s="364"/>
      <c r="Z476" s="364"/>
      <c r="AA476" s="367"/>
      <c r="AB476"/>
      <c r="AC476"/>
      <c r="AD476"/>
      <c r="AE476"/>
    </row>
    <row r="477" spans="17:31" ht="12.75" customHeight="1">
      <c r="Q477" s="364"/>
      <c r="R477" s="895" t="s">
        <v>886</v>
      </c>
      <c r="S477" s="896"/>
      <c r="T477" s="900" t="s">
        <v>835</v>
      </c>
      <c r="U477" s="900" t="s">
        <v>836</v>
      </c>
      <c r="V477" s="900" t="s">
        <v>837</v>
      </c>
      <c r="W477" s="902" t="s">
        <v>838</v>
      </c>
      <c r="X477" s="364"/>
      <c r="Y477" s="364"/>
      <c r="Z477" s="364"/>
      <c r="AA477" s="367"/>
      <c r="AB477"/>
      <c r="AC477"/>
      <c r="AD477"/>
      <c r="AE477"/>
    </row>
    <row r="478" spans="17:31" ht="12.75" customHeight="1">
      <c r="Q478" s="364"/>
      <c r="R478" s="892"/>
      <c r="S478" s="897"/>
      <c r="T478" s="901"/>
      <c r="U478" s="901"/>
      <c r="V478" s="901"/>
      <c r="W478" s="903"/>
      <c r="X478" s="364"/>
      <c r="Y478" s="364"/>
      <c r="Z478" s="364"/>
      <c r="AA478" s="367"/>
      <c r="AB478"/>
      <c r="AC478"/>
      <c r="AD478"/>
      <c r="AE478"/>
    </row>
    <row r="479" spans="17:31" ht="12.75" customHeight="1">
      <c r="Q479" s="364"/>
      <c r="R479" s="892"/>
      <c r="S479" s="897"/>
      <c r="T479" s="700">
        <f>T473*(1-0.0178*2)</f>
        <v>109.96146655636687</v>
      </c>
      <c r="U479" s="560">
        <f>U473</f>
        <v>1.9999999999999996</v>
      </c>
      <c r="V479" s="690">
        <f>IF(T479&gt;0,W479*U479," ")</f>
        <v>7919.9999999999982</v>
      </c>
      <c r="W479" s="691">
        <f>IF(T479&gt;0,(VLOOKUP(T479,'Lookup Ready-reckoner'!$B$5:$E$1207,4))," ")</f>
        <v>3960</v>
      </c>
      <c r="X479" s="364"/>
      <c r="Y479" s="364"/>
      <c r="Z479" s="364"/>
      <c r="AA479" s="367"/>
      <c r="AB479"/>
      <c r="AC479"/>
      <c r="AD479"/>
      <c r="AE479"/>
    </row>
    <row r="480" spans="17:31" ht="12.75" customHeight="1">
      <c r="Q480" s="364"/>
      <c r="R480" s="898"/>
      <c r="S480" s="899"/>
      <c r="T480" s="447"/>
      <c r="U480" s="560"/>
      <c r="V480" s="690" t="str">
        <f>IF(T480&gt;0,W480*U480," ")</f>
        <v xml:space="preserve"> </v>
      </c>
      <c r="W480" s="691" t="str">
        <f>IF(T480&gt;0,(VLOOKUP(T480,'Lookup Ready-reckoner'!$B$5:$E$1007,4))," ")</f>
        <v xml:space="preserve"> </v>
      </c>
      <c r="X480" s="364"/>
      <c r="Y480" s="364"/>
      <c r="Z480" s="364"/>
      <c r="AA480" s="367"/>
      <c r="AB480"/>
      <c r="AC480"/>
      <c r="AD480"/>
      <c r="AE480"/>
    </row>
    <row r="481" spans="17:31" ht="12.75" customHeight="1" thickBot="1">
      <c r="Q481" s="364"/>
      <c r="R481" s="692" t="s">
        <v>839</v>
      </c>
      <c r="S481" s="693"/>
      <c r="T481" s="693"/>
      <c r="U481" s="701">
        <f>IF(T479&gt;0,(VLOOKUP(V481,'Lookup Ready-reckoner'!$L$5:$M$1207,2))," ")</f>
        <v>103.9</v>
      </c>
      <c r="V481" s="695">
        <f>IF(U479&gt;0,(SUM(V479:V480))," ")</f>
        <v>7919.9999999999982</v>
      </c>
      <c r="W481" s="696"/>
      <c r="X481" s="364"/>
      <c r="Y481" s="364"/>
      <c r="Z481" s="364"/>
      <c r="AA481" s="367"/>
      <c r="AB481"/>
      <c r="AC481"/>
      <c r="AD481"/>
      <c r="AE481"/>
    </row>
    <row r="482" spans="17:31" ht="12.75" customHeight="1">
      <c r="Q482" s="364"/>
      <c r="R482" s="697"/>
      <c r="S482" s="687"/>
      <c r="T482" s="687"/>
      <c r="U482" s="372"/>
      <c r="V482" s="374"/>
      <c r="W482" s="688"/>
      <c r="X482" s="364"/>
      <c r="Y482" s="364"/>
      <c r="Z482" s="364"/>
      <c r="AA482" s="367"/>
      <c r="AB482"/>
      <c r="AC482"/>
      <c r="AD482"/>
      <c r="AE482"/>
    </row>
    <row r="483" spans="17:31" ht="12.75" customHeight="1" thickBot="1">
      <c r="Q483" s="364"/>
      <c r="R483" s="686" t="s">
        <v>60</v>
      </c>
      <c r="S483" s="577"/>
      <c r="T483" s="577"/>
      <c r="U483" s="577"/>
      <c r="V483" s="577"/>
      <c r="W483" s="698"/>
      <c r="X483" s="364"/>
      <c r="Y483" s="364"/>
      <c r="Z483" s="364"/>
      <c r="AA483" s="367"/>
      <c r="AB483"/>
      <c r="AC483"/>
      <c r="AD483"/>
      <c r="AE483"/>
    </row>
    <row r="484" spans="17:31" ht="12.75" customHeight="1">
      <c r="Q484" s="364"/>
      <c r="R484" s="895" t="s">
        <v>845</v>
      </c>
      <c r="S484" s="896"/>
      <c r="T484" s="900" t="s">
        <v>835</v>
      </c>
      <c r="U484" s="900" t="s">
        <v>836</v>
      </c>
      <c r="V484" s="900" t="s">
        <v>837</v>
      </c>
      <c r="W484" s="902" t="s">
        <v>838</v>
      </c>
      <c r="X484" s="364"/>
      <c r="Y484" s="364"/>
      <c r="Z484" s="364"/>
      <c r="AA484" s="367"/>
      <c r="AB484"/>
      <c r="AC484"/>
      <c r="AD484"/>
      <c r="AE484"/>
    </row>
    <row r="485" spans="17:31" ht="12.75" customHeight="1">
      <c r="Q485" s="364"/>
      <c r="R485" s="892"/>
      <c r="S485" s="897"/>
      <c r="T485" s="901"/>
      <c r="U485" s="901"/>
      <c r="V485" s="901"/>
      <c r="W485" s="903"/>
      <c r="X485" s="364"/>
      <c r="Y485" s="364"/>
      <c r="Z485" s="364"/>
      <c r="AA485" s="367"/>
      <c r="AB485"/>
      <c r="AC485"/>
      <c r="AD485"/>
      <c r="AE485"/>
    </row>
    <row r="486" spans="17:31" ht="12.75" customHeight="1">
      <c r="Q486" s="364"/>
      <c r="R486" s="892"/>
      <c r="S486" s="897"/>
      <c r="T486" s="700">
        <f>T473-PPE!$I$15</f>
        <v>101.02059991327963</v>
      </c>
      <c r="U486" s="560">
        <f>U479</f>
        <v>1.9999999999999996</v>
      </c>
      <c r="V486" s="690">
        <f>IF(T486&gt;0,W486*U486," ")</f>
        <v>999.99999999999977</v>
      </c>
      <c r="W486" s="691">
        <f>IF(T486&gt;0,(VLOOKUP(T486,'Lookup Ready-reckoner'!$B$5:$E$1207,4))," ")</f>
        <v>500</v>
      </c>
      <c r="X486" s="364"/>
      <c r="Y486" s="364"/>
      <c r="Z486" s="364"/>
      <c r="AA486" s="367"/>
      <c r="AB486"/>
      <c r="AC486"/>
      <c r="AD486"/>
      <c r="AE486"/>
    </row>
    <row r="487" spans="17:31" ht="12.75" customHeight="1">
      <c r="Q487" s="364"/>
      <c r="R487" s="898"/>
      <c r="S487" s="899"/>
      <c r="T487" s="447"/>
      <c r="U487" s="560"/>
      <c r="V487" s="690" t="str">
        <f>IF(T487&gt;0,W487*U487," ")</f>
        <v xml:space="preserve"> </v>
      </c>
      <c r="W487" s="691" t="str">
        <f>IF(T487&gt;0,(VLOOKUP(T487,'Lookup Ready-reckoner'!$B$5:$E$1007,4))," ")</f>
        <v xml:space="preserve"> </v>
      </c>
      <c r="X487" s="364"/>
      <c r="Y487" s="364"/>
      <c r="Z487" s="364"/>
      <c r="AA487" s="367"/>
      <c r="AB487"/>
      <c r="AC487"/>
      <c r="AD487"/>
      <c r="AE487"/>
    </row>
    <row r="488" spans="17:31" ht="12.75" customHeight="1" thickBot="1">
      <c r="Q488" s="364"/>
      <c r="R488" s="692" t="s">
        <v>839</v>
      </c>
      <c r="S488" s="693"/>
      <c r="T488" s="693"/>
      <c r="U488" s="701">
        <f>IF(T486&gt;0,(VLOOKUP(V488,'Lookup Ready-reckoner'!$L$5:$M$1207,2))," ")</f>
        <v>94.95</v>
      </c>
      <c r="V488" s="695">
        <f>IF(U486&gt;0,(SUM(V486:V487))," ")</f>
        <v>999.99999999999977</v>
      </c>
      <c r="W488" s="696"/>
      <c r="X488" s="364"/>
      <c r="Y488" s="364"/>
      <c r="Z488" s="364"/>
      <c r="AA488" s="367"/>
      <c r="AB488"/>
      <c r="AC488"/>
      <c r="AD488"/>
      <c r="AE488"/>
    </row>
    <row r="489" spans="17:31" ht="12.75" customHeight="1" thickBot="1">
      <c r="Q489" s="364"/>
      <c r="R489" s="892"/>
      <c r="S489" s="893"/>
      <c r="T489" s="893"/>
      <c r="U489" s="893"/>
      <c r="V489" s="893"/>
      <c r="W489" s="894"/>
      <c r="X489" s="364"/>
      <c r="Y489" s="364"/>
      <c r="Z489" s="364"/>
      <c r="AA489" s="367"/>
      <c r="AB489"/>
      <c r="AC489"/>
      <c r="AD489"/>
      <c r="AE489"/>
    </row>
    <row r="490" spans="17:31" ht="12.75" customHeight="1">
      <c r="Q490" s="364"/>
      <c r="R490" s="895" t="s">
        <v>886</v>
      </c>
      <c r="S490" s="896"/>
      <c r="T490" s="900" t="s">
        <v>835</v>
      </c>
      <c r="U490" s="900" t="s">
        <v>836</v>
      </c>
      <c r="V490" s="900" t="s">
        <v>837</v>
      </c>
      <c r="W490" s="902" t="s">
        <v>838</v>
      </c>
      <c r="X490" s="364"/>
      <c r="Y490" s="364"/>
      <c r="Z490" s="364"/>
      <c r="AA490" s="367"/>
      <c r="AB490"/>
      <c r="AC490"/>
      <c r="AD490"/>
      <c r="AE490"/>
    </row>
    <row r="491" spans="17:31" ht="12.75" customHeight="1">
      <c r="Q491" s="364"/>
      <c r="R491" s="892"/>
      <c r="S491" s="897"/>
      <c r="T491" s="901"/>
      <c r="U491" s="901"/>
      <c r="V491" s="901"/>
      <c r="W491" s="903"/>
      <c r="X491" s="364"/>
      <c r="Y491" s="364"/>
      <c r="Z491" s="364"/>
      <c r="AA491" s="367"/>
      <c r="AB491"/>
      <c r="AC491"/>
      <c r="AD491"/>
      <c r="AE491"/>
    </row>
    <row r="492" spans="17:31" ht="12.75" customHeight="1">
      <c r="Q492" s="364"/>
      <c r="R492" s="892"/>
      <c r="S492" s="897"/>
      <c r="T492" s="700">
        <f>T479-PPE!$I$15</f>
        <v>96.961466556366872</v>
      </c>
      <c r="U492" s="560">
        <f>U486</f>
        <v>1.9999999999999996</v>
      </c>
      <c r="V492" s="690">
        <f>IF(T492&gt;0,W492*U492," ")</f>
        <v>395.62499999999989</v>
      </c>
      <c r="W492" s="691">
        <f>IF(T492&gt;0,(VLOOKUP(T492,'Lookup Ready-reckoner'!$B$5:$E$1207,4))," ")</f>
        <v>197.8125</v>
      </c>
      <c r="X492" s="364"/>
      <c r="Y492" s="364"/>
      <c r="Z492" s="364"/>
      <c r="AA492" s="367"/>
      <c r="AB492"/>
      <c r="AC492"/>
      <c r="AD492"/>
      <c r="AE492"/>
    </row>
    <row r="493" spans="17:31" ht="12.75" customHeight="1">
      <c r="Q493" s="364"/>
      <c r="R493" s="898"/>
      <c r="S493" s="899"/>
      <c r="T493" s="447"/>
      <c r="U493" s="560"/>
      <c r="V493" s="690" t="str">
        <f>IF(T493&gt;0,W493*U493," ")</f>
        <v xml:space="preserve"> </v>
      </c>
      <c r="W493" s="691" t="str">
        <f>IF(T493&gt;0,(VLOOKUP(T493,'Lookup Ready-reckoner'!$B$5:$E$1007,4))," ")</f>
        <v xml:space="preserve"> </v>
      </c>
      <c r="X493" s="364"/>
      <c r="Y493" s="364"/>
      <c r="Z493" s="364"/>
      <c r="AA493" s="367"/>
      <c r="AB493"/>
      <c r="AC493"/>
      <c r="AD493"/>
      <c r="AE493"/>
    </row>
    <row r="494" spans="17:31" ht="12.75" customHeight="1" thickBot="1">
      <c r="Q494" s="364"/>
      <c r="R494" s="692" t="s">
        <v>839</v>
      </c>
      <c r="S494" s="693"/>
      <c r="T494" s="693"/>
      <c r="U494" s="701">
        <f>IF(T492&gt;0,(VLOOKUP(V494,'Lookup Ready-reckoner'!$L$5:$M$1207,2))," ")</f>
        <v>90.9</v>
      </c>
      <c r="V494" s="695">
        <f>IF(U492&gt;0,(SUM(V492:V493))," ")</f>
        <v>395.62499999999989</v>
      </c>
      <c r="W494" s="696"/>
      <c r="X494" s="364"/>
      <c r="Y494" s="364"/>
      <c r="Z494" s="364"/>
      <c r="AA494" s="367"/>
      <c r="AB494"/>
      <c r="AC494"/>
      <c r="AD494"/>
      <c r="AE494"/>
    </row>
    <row r="495" spans="17:31" ht="12.75" customHeight="1">
      <c r="Q495" s="364"/>
      <c r="R495" s="363"/>
      <c r="S495" s="363"/>
      <c r="T495" s="363"/>
      <c r="U495" s="363"/>
      <c r="V495" s="363"/>
      <c r="W495" s="363"/>
      <c r="X495" s="364"/>
      <c r="Y495" s="364"/>
      <c r="Z495" s="364"/>
      <c r="AA495" s="367"/>
      <c r="AB495"/>
      <c r="AC495"/>
      <c r="AD495"/>
      <c r="AE495"/>
    </row>
    <row r="496" spans="17:31" ht="12.75" customHeight="1">
      <c r="Q496" s="364"/>
      <c r="R496" s="913" t="str">
        <f>R377</f>
        <v>Sulzer ADDS</v>
      </c>
      <c r="S496" s="914"/>
      <c r="T496" s="914"/>
      <c r="U496" s="914"/>
      <c r="V496" s="914"/>
      <c r="W496" s="914"/>
      <c r="X496" s="364"/>
      <c r="Y496" s="364"/>
      <c r="Z496" s="364"/>
      <c r="AA496" s="367"/>
      <c r="AB496"/>
      <c r="AC496"/>
      <c r="AD496"/>
      <c r="AE496"/>
    </row>
    <row r="497" spans="17:31" ht="12.75" customHeight="1" thickBot="1">
      <c r="Q497" s="364"/>
      <c r="R497" s="910" t="s">
        <v>205</v>
      </c>
      <c r="S497" s="911"/>
      <c r="T497" s="911"/>
      <c r="U497" s="911"/>
      <c r="V497" s="911"/>
      <c r="W497" s="912"/>
      <c r="X497" s="364"/>
      <c r="Y497" s="364"/>
      <c r="Z497" s="364"/>
      <c r="AA497" s="367"/>
      <c r="AB497"/>
      <c r="AC497"/>
      <c r="AD497"/>
      <c r="AE497"/>
    </row>
    <row r="498" spans="17:31" ht="12.75" customHeight="1" thickBot="1">
      <c r="Q498" s="364"/>
      <c r="R498" s="686" t="s">
        <v>59</v>
      </c>
      <c r="S498" s="577"/>
      <c r="T498" s="687"/>
      <c r="U498" s="687"/>
      <c r="V498" s="687"/>
      <c r="W498" s="688"/>
      <c r="X498" s="364"/>
      <c r="Y498" s="364"/>
      <c r="Z498" s="364"/>
      <c r="AA498" s="367"/>
      <c r="AB498"/>
      <c r="AC498"/>
      <c r="AD498"/>
      <c r="AE498"/>
    </row>
    <row r="499" spans="17:31" ht="12.75" customHeight="1">
      <c r="Q499" s="364"/>
      <c r="R499" s="895" t="s">
        <v>845</v>
      </c>
      <c r="S499" s="896"/>
      <c r="T499" s="900" t="s">
        <v>835</v>
      </c>
      <c r="U499" s="900" t="s">
        <v>836</v>
      </c>
      <c r="V499" s="900" t="s">
        <v>837</v>
      </c>
      <c r="W499" s="902" t="s">
        <v>838</v>
      </c>
      <c r="X499" s="364"/>
      <c r="Y499" s="364"/>
      <c r="Z499" s="364"/>
      <c r="AA499" s="367"/>
      <c r="AB499"/>
      <c r="AC499"/>
      <c r="AD499"/>
      <c r="AE499"/>
    </row>
    <row r="500" spans="17:31" ht="12.75" customHeight="1">
      <c r="Q500" s="364"/>
      <c r="R500" s="892"/>
      <c r="S500" s="897"/>
      <c r="T500" s="904"/>
      <c r="U500" s="904"/>
      <c r="V500" s="904"/>
      <c r="W500" s="905"/>
      <c r="X500" s="364"/>
      <c r="Y500" s="364"/>
      <c r="Z500" s="364"/>
      <c r="AA500" s="367"/>
      <c r="AB500"/>
      <c r="AC500"/>
      <c r="AD500"/>
      <c r="AE500"/>
    </row>
    <row r="501" spans="17:31" ht="12.75" customHeight="1">
      <c r="Q501" s="364"/>
      <c r="R501" s="892"/>
      <c r="S501" s="897"/>
      <c r="T501" s="901"/>
      <c r="U501" s="901"/>
      <c r="V501" s="901"/>
      <c r="W501" s="903"/>
      <c r="X501" s="364"/>
      <c r="Y501" s="364"/>
      <c r="Z501" s="364"/>
      <c r="AA501" s="367"/>
      <c r="AB501"/>
      <c r="AC501"/>
      <c r="AD501"/>
      <c r="AE501"/>
    </row>
    <row r="502" spans="17:31" ht="12.75" customHeight="1">
      <c r="Q502" s="364"/>
      <c r="R502" s="892"/>
      <c r="S502" s="897"/>
      <c r="T502" s="702">
        <f>W76</f>
        <v>115.02059991327963</v>
      </c>
      <c r="U502" s="560">
        <f>W62</f>
        <v>1.7391304347826084</v>
      </c>
      <c r="V502" s="690">
        <f>IF(T502&gt;0,W502*U502," ")</f>
        <v>22260.869565217388</v>
      </c>
      <c r="W502" s="691">
        <f>IF(T502&gt;0,(VLOOKUP(T502,'Lookup Ready-reckoner'!$B$5:$E$1207,4))," ")</f>
        <v>12800</v>
      </c>
      <c r="X502" s="364"/>
      <c r="Y502" s="364"/>
      <c r="Z502" s="364"/>
      <c r="AA502" s="367"/>
      <c r="AB502"/>
      <c r="AC502"/>
      <c r="AD502"/>
      <c r="AE502"/>
    </row>
    <row r="503" spans="17:31" ht="12.75" customHeight="1">
      <c r="Q503" s="364"/>
      <c r="R503" s="898"/>
      <c r="S503" s="899"/>
      <c r="T503" s="447"/>
      <c r="U503" s="560"/>
      <c r="V503" s="690" t="str">
        <f>IF(T503&gt;0,W503*U503," ")</f>
        <v xml:space="preserve"> </v>
      </c>
      <c r="W503" s="691" t="str">
        <f>IF(T503&gt;0,(VLOOKUP(T503,'Lookup Ready-reckoner'!$B$5:$E$1007,4))," ")</f>
        <v xml:space="preserve"> </v>
      </c>
      <c r="X503" s="364"/>
      <c r="Y503" s="364"/>
      <c r="Z503" s="364"/>
      <c r="AA503" s="367"/>
      <c r="AB503"/>
      <c r="AC503"/>
      <c r="AD503"/>
      <c r="AE503"/>
    </row>
    <row r="504" spans="17:31" ht="12.75" customHeight="1" thickBot="1">
      <c r="Q504" s="364"/>
      <c r="R504" s="692" t="s">
        <v>839</v>
      </c>
      <c r="S504" s="693"/>
      <c r="T504" s="693"/>
      <c r="U504" s="703">
        <f>IF(T502&gt;0,(VLOOKUP(V504,'Lookup Ready-reckoner'!$L$5:$M$1207,2))," ")</f>
        <v>108.4</v>
      </c>
      <c r="V504" s="695">
        <f>IF(U502&gt;0,(SUM(V502:V503))," ")</f>
        <v>22260.869565217388</v>
      </c>
      <c r="W504" s="696"/>
      <c r="X504" s="364"/>
      <c r="Y504" s="364"/>
      <c r="Z504" s="364"/>
      <c r="AA504" s="367"/>
      <c r="AB504"/>
      <c r="AC504"/>
      <c r="AD504"/>
      <c r="AE504"/>
    </row>
    <row r="505" spans="17:31" ht="12.75" customHeight="1" thickBot="1">
      <c r="Q505" s="364"/>
      <c r="R505" s="892"/>
      <c r="S505" s="893"/>
      <c r="T505" s="893"/>
      <c r="U505" s="893"/>
      <c r="V505" s="893"/>
      <c r="W505" s="894"/>
      <c r="X505" s="364"/>
      <c r="Y505" s="364"/>
      <c r="Z505" s="364"/>
      <c r="AA505" s="367"/>
      <c r="AB505"/>
      <c r="AC505"/>
      <c r="AD505"/>
      <c r="AE505"/>
    </row>
    <row r="506" spans="17:31" ht="12.75" customHeight="1">
      <c r="Q506" s="364"/>
      <c r="R506" s="895" t="s">
        <v>886</v>
      </c>
      <c r="S506" s="896"/>
      <c r="T506" s="900" t="s">
        <v>835</v>
      </c>
      <c r="U506" s="900" t="s">
        <v>836</v>
      </c>
      <c r="V506" s="900" t="s">
        <v>837</v>
      </c>
      <c r="W506" s="902" t="s">
        <v>838</v>
      </c>
      <c r="X506" s="364"/>
      <c r="Y506" s="364"/>
      <c r="Z506" s="364"/>
      <c r="AA506" s="367"/>
      <c r="AB506"/>
      <c r="AC506"/>
      <c r="AD506"/>
      <c r="AE506"/>
    </row>
    <row r="507" spans="17:31" ht="12.75" customHeight="1">
      <c r="Q507" s="364"/>
      <c r="R507" s="892"/>
      <c r="S507" s="897"/>
      <c r="T507" s="901"/>
      <c r="U507" s="901"/>
      <c r="V507" s="901"/>
      <c r="W507" s="903"/>
      <c r="X507" s="364"/>
      <c r="Y507" s="364"/>
      <c r="Z507" s="364"/>
      <c r="AA507" s="367"/>
      <c r="AB507"/>
      <c r="AC507"/>
      <c r="AD507"/>
      <c r="AE507"/>
    </row>
    <row r="508" spans="17:31" ht="12.75" customHeight="1">
      <c r="Q508" s="364"/>
      <c r="R508" s="892"/>
      <c r="S508" s="897"/>
      <c r="T508" s="702">
        <f>T502*(1-0.0178*2)</f>
        <v>110.92586655636687</v>
      </c>
      <c r="U508" s="560">
        <f>U502</f>
        <v>1.7391304347826084</v>
      </c>
      <c r="V508" s="690">
        <f>IF(T508&gt;0,W508*U508," ")</f>
        <v>8521.7391304347821</v>
      </c>
      <c r="W508" s="691">
        <f>IF(T508&gt;0,(VLOOKUP(T508,'Lookup Ready-reckoner'!$B$5:$E$1207,4))," ")</f>
        <v>4900</v>
      </c>
      <c r="X508" s="364"/>
      <c r="Y508" s="364"/>
      <c r="Z508" s="364"/>
      <c r="AA508" s="367"/>
      <c r="AB508"/>
      <c r="AC508"/>
      <c r="AD508"/>
      <c r="AE508"/>
    </row>
    <row r="509" spans="17:31" ht="12.75" customHeight="1">
      <c r="Q509" s="364"/>
      <c r="R509" s="898"/>
      <c r="S509" s="899"/>
      <c r="T509" s="447"/>
      <c r="U509" s="560"/>
      <c r="V509" s="690" t="str">
        <f>IF(T509&gt;0,W509*U509," ")</f>
        <v xml:space="preserve"> </v>
      </c>
      <c r="W509" s="691" t="str">
        <f>IF(T509&gt;0,(VLOOKUP(T509,'Lookup Ready-reckoner'!$B$5:$E$1007,4))," ")</f>
        <v xml:space="preserve"> </v>
      </c>
      <c r="X509" s="364"/>
      <c r="Y509" s="364"/>
      <c r="Z509" s="364"/>
      <c r="AA509" s="367"/>
      <c r="AB509"/>
      <c r="AC509"/>
      <c r="AD509"/>
      <c r="AE509"/>
    </row>
    <row r="510" spans="17:31" ht="12.75" customHeight="1" thickBot="1">
      <c r="Q510" s="364"/>
      <c r="R510" s="692" t="s">
        <v>839</v>
      </c>
      <c r="S510" s="693"/>
      <c r="T510" s="693"/>
      <c r="U510" s="703">
        <f>IF(T508&gt;0,(VLOOKUP(V510,'Lookup Ready-reckoner'!$L$5:$M$1207,2))," ")</f>
        <v>104.25</v>
      </c>
      <c r="V510" s="695">
        <f>IF(U508&gt;0,(SUM(V508:V509))," ")</f>
        <v>8521.7391304347821</v>
      </c>
      <c r="W510" s="696"/>
      <c r="X510" s="364"/>
      <c r="Y510" s="364"/>
      <c r="Z510" s="364"/>
      <c r="AA510" s="367"/>
      <c r="AB510"/>
      <c r="AC510"/>
      <c r="AD510"/>
      <c r="AE510"/>
    </row>
    <row r="511" spans="17:31" ht="12.75" customHeight="1">
      <c r="Q511" s="364"/>
      <c r="R511" s="697"/>
      <c r="S511" s="687"/>
      <c r="T511" s="687"/>
      <c r="U511" s="372"/>
      <c r="V511" s="374"/>
      <c r="W511" s="688"/>
      <c r="X511" s="364"/>
      <c r="Y511" s="364"/>
      <c r="Z511" s="364"/>
      <c r="AA511" s="367"/>
      <c r="AB511"/>
      <c r="AC511"/>
      <c r="AD511"/>
      <c r="AE511"/>
    </row>
    <row r="512" spans="17:31" ht="12.75" customHeight="1" thickBot="1">
      <c r="Q512" s="364"/>
      <c r="R512" s="686" t="s">
        <v>60</v>
      </c>
      <c r="S512" s="577"/>
      <c r="T512" s="577"/>
      <c r="U512" s="577"/>
      <c r="V512" s="577"/>
      <c r="W512" s="698"/>
      <c r="X512" s="364"/>
      <c r="Y512" s="364"/>
      <c r="Z512" s="364"/>
      <c r="AA512" s="367"/>
      <c r="AB512"/>
      <c r="AC512"/>
      <c r="AD512"/>
      <c r="AE512"/>
    </row>
    <row r="513" spans="17:31" ht="12.75" customHeight="1">
      <c r="Q513" s="364"/>
      <c r="R513" s="895" t="s">
        <v>845</v>
      </c>
      <c r="S513" s="896"/>
      <c r="T513" s="900" t="s">
        <v>835</v>
      </c>
      <c r="U513" s="900" t="s">
        <v>836</v>
      </c>
      <c r="V513" s="900" t="s">
        <v>837</v>
      </c>
      <c r="W513" s="902" t="s">
        <v>838</v>
      </c>
      <c r="X513" s="364"/>
      <c r="Y513" s="364"/>
      <c r="Z513" s="364"/>
      <c r="AA513" s="367"/>
      <c r="AB513"/>
      <c r="AC513"/>
      <c r="AD513"/>
      <c r="AE513"/>
    </row>
    <row r="514" spans="17:31" ht="12.75" customHeight="1">
      <c r="Q514" s="364"/>
      <c r="R514" s="892"/>
      <c r="S514" s="897"/>
      <c r="T514" s="901"/>
      <c r="U514" s="901"/>
      <c r="V514" s="901"/>
      <c r="W514" s="903"/>
      <c r="X514" s="364"/>
      <c r="Y514" s="364"/>
      <c r="Z514" s="364"/>
      <c r="AA514" s="367"/>
      <c r="AB514"/>
      <c r="AC514"/>
      <c r="AD514"/>
      <c r="AE514"/>
    </row>
    <row r="515" spans="17:31" ht="12.75" customHeight="1">
      <c r="Q515" s="364"/>
      <c r="R515" s="892"/>
      <c r="S515" s="897"/>
      <c r="T515" s="702">
        <f>T502-PPE!$I$15</f>
        <v>102.02059991327963</v>
      </c>
      <c r="U515" s="560">
        <f>U508</f>
        <v>1.7391304347826084</v>
      </c>
      <c r="V515" s="690">
        <f>IF(T515&gt;0,W515*U515," ")</f>
        <v>1086.9565217391303</v>
      </c>
      <c r="W515" s="691">
        <f>IF(T515&gt;0,(VLOOKUP(T515,'Lookup Ready-reckoner'!$B$5:$E$1207,4))," ")</f>
        <v>625</v>
      </c>
      <c r="X515" s="364"/>
      <c r="Y515" s="364"/>
      <c r="Z515" s="364"/>
      <c r="AA515" s="367"/>
      <c r="AB515"/>
      <c r="AC515"/>
      <c r="AD515"/>
      <c r="AE515"/>
    </row>
    <row r="516" spans="17:31" ht="12.75" customHeight="1">
      <c r="Q516" s="364"/>
      <c r="R516" s="898"/>
      <c r="S516" s="899"/>
      <c r="T516" s="447"/>
      <c r="U516" s="560"/>
      <c r="V516" s="690" t="str">
        <f>IF(T516&gt;0,W516*U516," ")</f>
        <v xml:space="preserve"> </v>
      </c>
      <c r="W516" s="691" t="str">
        <f>IF(T516&gt;0,(VLOOKUP(T516,'Lookup Ready-reckoner'!$B$5:$E$1007,4))," ")</f>
        <v xml:space="preserve"> </v>
      </c>
      <c r="X516" s="364"/>
      <c r="Y516" s="364"/>
      <c r="Z516" s="364"/>
      <c r="AA516" s="367"/>
      <c r="AB516"/>
      <c r="AC516"/>
      <c r="AD516"/>
      <c r="AE516"/>
    </row>
    <row r="517" spans="17:31" ht="12.75" customHeight="1" thickBot="1">
      <c r="Q517" s="364"/>
      <c r="R517" s="692" t="s">
        <v>839</v>
      </c>
      <c r="S517" s="693"/>
      <c r="T517" s="693"/>
      <c r="U517" s="703">
        <f>IF(T515&gt;0,(VLOOKUP(V517,'Lookup Ready-reckoner'!$L$5:$M$1207,2))," ")</f>
        <v>95.3</v>
      </c>
      <c r="V517" s="695">
        <f>IF(U515&gt;0,(SUM(V515:V516))," ")</f>
        <v>1086.9565217391303</v>
      </c>
      <c r="W517" s="696"/>
      <c r="X517" s="364"/>
      <c r="Y517" s="364"/>
      <c r="Z517" s="364"/>
      <c r="AA517" s="367"/>
      <c r="AB517"/>
      <c r="AC517"/>
      <c r="AD517"/>
      <c r="AE517"/>
    </row>
    <row r="518" spans="17:31" ht="12.75" customHeight="1" thickBot="1">
      <c r="Q518" s="364"/>
      <c r="R518" s="892"/>
      <c r="S518" s="893"/>
      <c r="T518" s="893"/>
      <c r="U518" s="893"/>
      <c r="V518" s="893"/>
      <c r="W518" s="894"/>
      <c r="X518" s="364"/>
      <c r="Y518" s="364"/>
      <c r="Z518" s="364"/>
      <c r="AA518" s="367"/>
      <c r="AB518"/>
      <c r="AC518"/>
      <c r="AD518"/>
      <c r="AE518"/>
    </row>
    <row r="519" spans="17:31" ht="12.75" customHeight="1">
      <c r="Q519" s="364"/>
      <c r="R519" s="895" t="s">
        <v>886</v>
      </c>
      <c r="S519" s="896"/>
      <c r="T519" s="900" t="s">
        <v>835</v>
      </c>
      <c r="U519" s="900" t="s">
        <v>836</v>
      </c>
      <c r="V519" s="900" t="s">
        <v>837</v>
      </c>
      <c r="W519" s="902" t="s">
        <v>838</v>
      </c>
      <c r="X519" s="364"/>
      <c r="Y519" s="364"/>
      <c r="Z519" s="364"/>
      <c r="AA519" s="367"/>
      <c r="AB519"/>
      <c r="AC519"/>
      <c r="AD519"/>
      <c r="AE519"/>
    </row>
    <row r="520" spans="17:31" ht="12.75" customHeight="1">
      <c r="Q520" s="364"/>
      <c r="R520" s="892"/>
      <c r="S520" s="897"/>
      <c r="T520" s="901"/>
      <c r="U520" s="901"/>
      <c r="V520" s="901"/>
      <c r="W520" s="903"/>
      <c r="X520" s="364"/>
      <c r="Y520" s="364"/>
      <c r="Z520" s="364"/>
      <c r="AA520" s="367"/>
      <c r="AB520"/>
      <c r="AC520"/>
      <c r="AD520"/>
      <c r="AE520"/>
    </row>
    <row r="521" spans="17:31" ht="12.75" customHeight="1">
      <c r="Q521" s="364"/>
      <c r="R521" s="892"/>
      <c r="S521" s="897"/>
      <c r="T521" s="702">
        <f>T508-PPE!$I$15</f>
        <v>97.92586655636687</v>
      </c>
      <c r="U521" s="560">
        <f>U515</f>
        <v>1.7391304347826084</v>
      </c>
      <c r="V521" s="690">
        <f>IF(T521&gt;0,W521*U521," ")</f>
        <v>426.08695652173907</v>
      </c>
      <c r="W521" s="691">
        <f>IF(T521&gt;0,(VLOOKUP(T521,'Lookup Ready-reckoner'!$B$5:$E$1207,4))," ")</f>
        <v>245</v>
      </c>
      <c r="X521" s="364"/>
      <c r="Y521" s="364"/>
      <c r="Z521" s="364"/>
      <c r="AA521" s="367"/>
      <c r="AB521"/>
      <c r="AC521"/>
      <c r="AD521"/>
      <c r="AE521"/>
    </row>
    <row r="522" spans="17:31" ht="12.75" customHeight="1">
      <c r="Q522" s="364"/>
      <c r="R522" s="898"/>
      <c r="S522" s="899"/>
      <c r="T522" s="447"/>
      <c r="U522" s="560"/>
      <c r="V522" s="690" t="str">
        <f>IF(T522&gt;0,W522*U522," ")</f>
        <v xml:space="preserve"> </v>
      </c>
      <c r="W522" s="691" t="str">
        <f>IF(T522&gt;0,(VLOOKUP(T522,'Lookup Ready-reckoner'!$B$5:$E$1007,4))," ")</f>
        <v xml:space="preserve"> </v>
      </c>
      <c r="X522" s="364"/>
      <c r="Y522" s="364"/>
      <c r="Z522" s="364"/>
      <c r="AA522" s="367"/>
      <c r="AB522"/>
      <c r="AC522"/>
      <c r="AD522"/>
      <c r="AE522"/>
    </row>
    <row r="523" spans="17:31" ht="12.75" customHeight="1" thickBot="1">
      <c r="Q523" s="364"/>
      <c r="R523" s="692" t="s">
        <v>839</v>
      </c>
      <c r="S523" s="693"/>
      <c r="T523" s="693"/>
      <c r="U523" s="703">
        <f>IF(T521&gt;0,(VLOOKUP(V523,'Lookup Ready-reckoner'!$L$5:$M$1207,2))," ")</f>
        <v>91.25</v>
      </c>
      <c r="V523" s="695">
        <f>IF(U521&gt;0,(SUM(V521:V522))," ")</f>
        <v>426.08695652173907</v>
      </c>
      <c r="W523" s="696"/>
      <c r="X523" s="364"/>
      <c r="Y523" s="364"/>
      <c r="Z523" s="364"/>
      <c r="AA523" s="367"/>
      <c r="AB523"/>
      <c r="AC523"/>
      <c r="AD523"/>
      <c r="AE523"/>
    </row>
    <row r="524" spans="17:31" ht="12.75" customHeight="1">
      <c r="Q524" s="364"/>
      <c r="R524" s="363"/>
      <c r="S524" s="363"/>
      <c r="T524" s="363"/>
      <c r="U524" s="363"/>
      <c r="V524" s="363"/>
      <c r="W524" s="363"/>
      <c r="X524" s="364"/>
      <c r="Y524" s="364"/>
      <c r="Z524" s="364"/>
      <c r="AA524" s="367"/>
      <c r="AB524"/>
      <c r="AC524"/>
      <c r="AD524"/>
      <c r="AE524"/>
    </row>
    <row r="525" spans="17:31" ht="12.75" customHeight="1">
      <c r="Q525" s="364"/>
      <c r="R525" s="909" t="str">
        <f>R406</f>
        <v xml:space="preserve">Hilti TE MD20 </v>
      </c>
      <c r="S525" s="909"/>
      <c r="T525" s="909"/>
      <c r="U525" s="909"/>
      <c r="V525" s="909"/>
      <c r="W525" s="909"/>
      <c r="X525" s="364"/>
      <c r="Y525" s="364"/>
      <c r="Z525" s="364"/>
      <c r="AA525" s="367"/>
      <c r="AB525"/>
      <c r="AC525"/>
      <c r="AD525"/>
      <c r="AE525"/>
    </row>
    <row r="526" spans="17:31" ht="12.75" customHeight="1" thickBot="1">
      <c r="Q526" s="364"/>
      <c r="R526" s="910" t="s">
        <v>205</v>
      </c>
      <c r="S526" s="911"/>
      <c r="T526" s="911"/>
      <c r="U526" s="911"/>
      <c r="V526" s="911"/>
      <c r="W526" s="912"/>
      <c r="X526" s="364"/>
      <c r="Y526" s="364"/>
      <c r="Z526" s="364"/>
      <c r="AA526" s="367"/>
      <c r="AB526"/>
      <c r="AC526"/>
      <c r="AD526"/>
      <c r="AE526"/>
    </row>
    <row r="527" spans="17:31" ht="12.75" customHeight="1" thickBot="1">
      <c r="Q527" s="364"/>
      <c r="R527" s="686" t="s">
        <v>59</v>
      </c>
      <c r="S527" s="577"/>
      <c r="T527" s="687"/>
      <c r="U527" s="687"/>
      <c r="V527" s="687"/>
      <c r="W527" s="688"/>
      <c r="X527" s="364"/>
      <c r="Y527" s="364"/>
      <c r="Z527" s="364"/>
      <c r="AA527" s="367"/>
      <c r="AB527"/>
      <c r="AC527"/>
      <c r="AD527"/>
      <c r="AE527"/>
    </row>
    <row r="528" spans="17:31" ht="12.75" customHeight="1">
      <c r="Q528" s="364"/>
      <c r="R528" s="895" t="s">
        <v>845</v>
      </c>
      <c r="S528" s="896"/>
      <c r="T528" s="900" t="s">
        <v>835</v>
      </c>
      <c r="U528" s="900" t="s">
        <v>836</v>
      </c>
      <c r="V528" s="900" t="s">
        <v>837</v>
      </c>
      <c r="W528" s="902" t="s">
        <v>838</v>
      </c>
      <c r="X528" s="364"/>
      <c r="Y528" s="364"/>
      <c r="Z528" s="364"/>
      <c r="AA528" s="367"/>
      <c r="AB528"/>
      <c r="AC528"/>
      <c r="AD528"/>
      <c r="AE528"/>
    </row>
    <row r="529" spans="17:31" ht="12.75" customHeight="1">
      <c r="Q529" s="364"/>
      <c r="R529" s="892"/>
      <c r="S529" s="897"/>
      <c r="T529" s="904"/>
      <c r="U529" s="904"/>
      <c r="V529" s="904"/>
      <c r="W529" s="905"/>
      <c r="X529" s="364"/>
      <c r="Y529" s="364"/>
      <c r="Z529" s="364"/>
      <c r="AA529" s="367"/>
      <c r="AB529"/>
      <c r="AC529"/>
      <c r="AD529"/>
      <c r="AE529"/>
    </row>
    <row r="530" spans="17:31" ht="12.75" customHeight="1">
      <c r="Q530" s="364"/>
      <c r="R530" s="892"/>
      <c r="S530" s="897"/>
      <c r="T530" s="901"/>
      <c r="U530" s="901"/>
      <c r="V530" s="901"/>
      <c r="W530" s="903"/>
      <c r="X530" s="364"/>
      <c r="Y530" s="364"/>
      <c r="Z530" s="364"/>
      <c r="AA530" s="367"/>
      <c r="AB530"/>
      <c r="AC530"/>
      <c r="AD530"/>
      <c r="AE530"/>
    </row>
    <row r="531" spans="17:31" ht="12.75" customHeight="1">
      <c r="Q531" s="364"/>
      <c r="R531" s="892"/>
      <c r="S531" s="897"/>
      <c r="T531" s="704">
        <f>U76</f>
        <v>108.02059991327964</v>
      </c>
      <c r="U531" s="560">
        <f>U62</f>
        <v>2.6666666666666665</v>
      </c>
      <c r="V531" s="690">
        <f>IF(T531&gt;0,W531*U531," ")</f>
        <v>6666.6666666666661</v>
      </c>
      <c r="W531" s="691">
        <f>IF(T531&gt;0,(VLOOKUP(T531,'Lookup Ready-reckoner'!$B$5:$E$1207,4))," ")</f>
        <v>2500</v>
      </c>
      <c r="X531" s="364"/>
      <c r="Y531" s="364"/>
      <c r="Z531" s="364"/>
      <c r="AA531" s="367"/>
      <c r="AB531"/>
      <c r="AC531"/>
      <c r="AD531"/>
      <c r="AE531"/>
    </row>
    <row r="532" spans="17:31" ht="12.75" customHeight="1">
      <c r="Q532" s="364"/>
      <c r="R532" s="898"/>
      <c r="S532" s="899"/>
      <c r="T532" s="447"/>
      <c r="U532" s="560"/>
      <c r="V532" s="690" t="str">
        <f>IF(T532&gt;0,W532*U532," ")</f>
        <v xml:space="preserve"> </v>
      </c>
      <c r="W532" s="691" t="str">
        <f>IF(T532&gt;0,(VLOOKUP(T532,'Lookup Ready-reckoner'!$B$5:$E$1007,4))," ")</f>
        <v xml:space="preserve"> </v>
      </c>
      <c r="X532" s="364"/>
      <c r="Y532" s="364"/>
      <c r="Z532" s="364"/>
      <c r="AA532" s="367"/>
      <c r="AB532"/>
      <c r="AC532"/>
      <c r="AD532"/>
      <c r="AE532"/>
    </row>
    <row r="533" spans="17:31" ht="12.75" customHeight="1" thickBot="1">
      <c r="Q533" s="364"/>
      <c r="R533" s="692" t="s">
        <v>839</v>
      </c>
      <c r="S533" s="693"/>
      <c r="T533" s="693"/>
      <c r="U533" s="705">
        <f>IF(T531&gt;0,(VLOOKUP(V533,'Lookup Ready-reckoner'!$L$5:$M$1207,2))," ")</f>
        <v>103.15</v>
      </c>
      <c r="V533" s="695">
        <f>IF(U531&gt;0,(SUM(V531:V532))," ")</f>
        <v>6666.6666666666661</v>
      </c>
      <c r="W533" s="696"/>
      <c r="X533" s="364"/>
      <c r="Y533" s="364"/>
      <c r="Z533" s="364"/>
      <c r="AA533" s="367"/>
      <c r="AB533"/>
      <c r="AC533"/>
      <c r="AD533"/>
      <c r="AE533"/>
    </row>
    <row r="534" spans="17:31" ht="12.75" customHeight="1" thickBot="1">
      <c r="Q534" s="364"/>
      <c r="R534" s="906"/>
      <c r="S534" s="907"/>
      <c r="T534" s="907"/>
      <c r="U534" s="907"/>
      <c r="V534" s="907"/>
      <c r="W534" s="908"/>
      <c r="X534" s="364"/>
      <c r="Y534" s="364"/>
      <c r="Z534" s="364"/>
      <c r="AA534" s="367"/>
      <c r="AB534"/>
      <c r="AC534"/>
      <c r="AD534"/>
      <c r="AE534"/>
    </row>
    <row r="535" spans="17:31" ht="12.75" customHeight="1">
      <c r="Q535" s="364"/>
      <c r="R535" s="895" t="s">
        <v>886</v>
      </c>
      <c r="S535" s="896"/>
      <c r="T535" s="900" t="s">
        <v>835</v>
      </c>
      <c r="U535" s="900" t="s">
        <v>836</v>
      </c>
      <c r="V535" s="900" t="s">
        <v>837</v>
      </c>
      <c r="W535" s="902" t="s">
        <v>838</v>
      </c>
      <c r="X535" s="364"/>
      <c r="Y535" s="364"/>
      <c r="Z535" s="364"/>
      <c r="AA535" s="367"/>
      <c r="AB535"/>
      <c r="AC535"/>
      <c r="AD535"/>
      <c r="AE535"/>
    </row>
    <row r="536" spans="17:31" ht="12.75" customHeight="1">
      <c r="Q536" s="364"/>
      <c r="R536" s="892"/>
      <c r="S536" s="897"/>
      <c r="T536" s="901"/>
      <c r="U536" s="901"/>
      <c r="V536" s="901"/>
      <c r="W536" s="903"/>
      <c r="X536" s="364"/>
      <c r="Y536" s="364"/>
      <c r="Z536" s="364"/>
      <c r="AA536" s="367"/>
      <c r="AB536"/>
      <c r="AC536"/>
      <c r="AD536"/>
      <c r="AE536"/>
    </row>
    <row r="537" spans="17:31" ht="12.75" customHeight="1">
      <c r="Q537" s="364"/>
      <c r="R537" s="892"/>
      <c r="S537" s="897"/>
      <c r="T537" s="704">
        <f>T531*(1-0.0178*2)</f>
        <v>104.17506655636689</v>
      </c>
      <c r="U537" s="560">
        <f>U531</f>
        <v>2.6666666666666665</v>
      </c>
      <c r="V537" s="690">
        <f>IF(T537&gt;0,W537*U537," ")</f>
        <v>2766.6666666666665</v>
      </c>
      <c r="W537" s="691">
        <f>IF(T537&gt;0,(VLOOKUP(T537,'Lookup Ready-reckoner'!$B$5:$E$1207,4))," ")</f>
        <v>1037.5</v>
      </c>
      <c r="X537" s="364"/>
      <c r="Y537" s="364"/>
      <c r="Z537" s="364"/>
      <c r="AA537" s="367"/>
      <c r="AB537"/>
      <c r="AC537"/>
      <c r="AD537"/>
      <c r="AE537"/>
    </row>
    <row r="538" spans="17:31" ht="12.75" customHeight="1">
      <c r="Q538" s="364"/>
      <c r="R538" s="898"/>
      <c r="S538" s="899"/>
      <c r="T538" s="447"/>
      <c r="U538" s="560"/>
      <c r="V538" s="690" t="str">
        <f>IF(T538&gt;0,W538*U538," ")</f>
        <v xml:space="preserve"> </v>
      </c>
      <c r="W538" s="691" t="str">
        <f>IF(T538&gt;0,(VLOOKUP(T538,'Lookup Ready-reckoner'!$B$5:$E$1007,4))," ")</f>
        <v xml:space="preserve"> </v>
      </c>
      <c r="X538" s="364"/>
      <c r="Y538" s="364"/>
      <c r="Z538" s="364"/>
      <c r="AA538" s="367"/>
      <c r="AB538"/>
      <c r="AC538"/>
      <c r="AD538"/>
      <c r="AE538"/>
    </row>
    <row r="539" spans="17:31" ht="12.75" customHeight="1" thickBot="1">
      <c r="Q539" s="364"/>
      <c r="R539" s="692" t="s">
        <v>839</v>
      </c>
      <c r="S539" s="693"/>
      <c r="T539" s="693"/>
      <c r="U539" s="705">
        <f>IF(T537&gt;0,(VLOOKUP(V539,'Lookup Ready-reckoner'!$L$5:$M$1207,2))," ")</f>
        <v>99.35</v>
      </c>
      <c r="V539" s="695">
        <f>IF(U537&gt;0,(SUM(V537:V538))," ")</f>
        <v>2766.6666666666665</v>
      </c>
      <c r="W539" s="696"/>
      <c r="X539" s="364"/>
      <c r="Y539" s="364"/>
      <c r="Z539" s="364"/>
      <c r="AA539" s="367"/>
      <c r="AB539"/>
      <c r="AC539"/>
      <c r="AD539"/>
      <c r="AE539"/>
    </row>
    <row r="540" spans="17:31" ht="12.75" customHeight="1">
      <c r="Q540" s="364"/>
      <c r="R540" s="697"/>
      <c r="S540" s="687"/>
      <c r="T540" s="687"/>
      <c r="U540" s="372"/>
      <c r="V540" s="374"/>
      <c r="W540" s="688"/>
      <c r="X540" s="364"/>
      <c r="Y540" s="364"/>
      <c r="Z540" s="364"/>
      <c r="AA540" s="367"/>
      <c r="AB540"/>
      <c r="AC540"/>
      <c r="AD540"/>
      <c r="AE540"/>
    </row>
    <row r="541" spans="17:31" ht="12.75" customHeight="1" thickBot="1">
      <c r="Q541" s="364"/>
      <c r="R541" s="686" t="s">
        <v>60</v>
      </c>
      <c r="S541" s="577"/>
      <c r="T541" s="577"/>
      <c r="U541" s="577"/>
      <c r="V541" s="577"/>
      <c r="W541" s="698"/>
      <c r="X541" s="364"/>
      <c r="Y541" s="364"/>
      <c r="Z541" s="364"/>
      <c r="AA541" s="367"/>
      <c r="AB541"/>
      <c r="AC541"/>
      <c r="AD541"/>
      <c r="AE541"/>
    </row>
    <row r="542" spans="17:31" ht="12.75" customHeight="1">
      <c r="Q542" s="364"/>
      <c r="R542" s="895" t="s">
        <v>845</v>
      </c>
      <c r="S542" s="896"/>
      <c r="T542" s="900" t="s">
        <v>835</v>
      </c>
      <c r="U542" s="900" t="s">
        <v>836</v>
      </c>
      <c r="V542" s="900" t="s">
        <v>837</v>
      </c>
      <c r="W542" s="902" t="s">
        <v>838</v>
      </c>
      <c r="X542" s="364"/>
      <c r="Y542" s="364"/>
      <c r="Z542" s="364"/>
      <c r="AA542" s="367"/>
      <c r="AB542"/>
      <c r="AC542"/>
      <c r="AD542"/>
      <c r="AE542"/>
    </row>
    <row r="543" spans="17:31" ht="12.75" customHeight="1">
      <c r="Q543" s="364"/>
      <c r="R543" s="892"/>
      <c r="S543" s="897"/>
      <c r="T543" s="901"/>
      <c r="U543" s="901"/>
      <c r="V543" s="901"/>
      <c r="W543" s="903"/>
      <c r="X543" s="364"/>
      <c r="Y543" s="364"/>
      <c r="Z543" s="364"/>
      <c r="AA543" s="367"/>
      <c r="AB543"/>
      <c r="AC543"/>
      <c r="AD543"/>
      <c r="AE543"/>
    </row>
    <row r="544" spans="17:31" ht="12.75" customHeight="1">
      <c r="Q544" s="364"/>
      <c r="R544" s="892"/>
      <c r="S544" s="897"/>
      <c r="T544" s="704">
        <f>T531-PPE!$I$15</f>
        <v>95.020599913279639</v>
      </c>
      <c r="U544" s="560">
        <f>U537</f>
        <v>2.6666666666666665</v>
      </c>
      <c r="V544" s="690">
        <f>IF(T544&gt;0,W544*U544," ")</f>
        <v>333.33333333333331</v>
      </c>
      <c r="W544" s="691">
        <f>IF(T544&gt;0,(VLOOKUP(T544,'Lookup Ready-reckoner'!$B$5:$E$1207,4))," ")</f>
        <v>125</v>
      </c>
      <c r="X544" s="364"/>
      <c r="Y544" s="364"/>
      <c r="Z544" s="364"/>
      <c r="AA544" s="367"/>
      <c r="AB544"/>
      <c r="AC544"/>
      <c r="AD544"/>
      <c r="AE544"/>
    </row>
    <row r="545" spans="17:31" ht="12.75" customHeight="1">
      <c r="Q545" s="364"/>
      <c r="R545" s="898"/>
      <c r="S545" s="899"/>
      <c r="T545" s="447"/>
      <c r="U545" s="560"/>
      <c r="V545" s="690" t="str">
        <f>IF(T545&gt;0,W545*U545," ")</f>
        <v xml:space="preserve"> </v>
      </c>
      <c r="W545" s="691" t="str">
        <f>IF(T545&gt;0,(VLOOKUP(T545,'Lookup Ready-reckoner'!$B$5:$E$1007,4))," ")</f>
        <v xml:space="preserve"> </v>
      </c>
      <c r="X545" s="364"/>
      <c r="Y545" s="364"/>
      <c r="Z545" s="364"/>
      <c r="AA545" s="367"/>
      <c r="AB545"/>
      <c r="AC545"/>
      <c r="AD545"/>
      <c r="AE545"/>
    </row>
    <row r="546" spans="17:31" ht="12.75" customHeight="1" thickBot="1">
      <c r="Q546" s="364"/>
      <c r="R546" s="692" t="s">
        <v>839</v>
      </c>
      <c r="S546" s="693"/>
      <c r="T546" s="693"/>
      <c r="U546" s="705">
        <f>IF(T544&gt;0,(VLOOKUP(V546,'Lookup Ready-reckoner'!$L$5:$M$1207,2))," ")</f>
        <v>90.15</v>
      </c>
      <c r="V546" s="695">
        <f>IF(U544&gt;0,(SUM(V544:V545))," ")</f>
        <v>333.33333333333331</v>
      </c>
      <c r="W546" s="696"/>
      <c r="X546" s="364"/>
      <c r="Y546" s="364"/>
      <c r="Z546" s="364"/>
      <c r="AA546" s="367"/>
      <c r="AB546"/>
      <c r="AC546"/>
      <c r="AD546"/>
      <c r="AE546"/>
    </row>
    <row r="547" spans="17:31" ht="12.75" customHeight="1" thickBot="1">
      <c r="Q547" s="364"/>
      <c r="R547" s="892"/>
      <c r="S547" s="893"/>
      <c r="T547" s="893"/>
      <c r="U547" s="893"/>
      <c r="V547" s="893"/>
      <c r="W547" s="894"/>
      <c r="X547" s="364"/>
      <c r="Y547" s="364"/>
      <c r="Z547" s="364"/>
      <c r="AA547" s="367"/>
      <c r="AB547"/>
      <c r="AC547"/>
      <c r="AD547"/>
      <c r="AE547"/>
    </row>
    <row r="548" spans="17:31" ht="12.75" customHeight="1">
      <c r="Q548" s="364"/>
      <c r="R548" s="895" t="s">
        <v>886</v>
      </c>
      <c r="S548" s="896"/>
      <c r="T548" s="900" t="s">
        <v>835</v>
      </c>
      <c r="U548" s="900" t="s">
        <v>836</v>
      </c>
      <c r="V548" s="900" t="s">
        <v>837</v>
      </c>
      <c r="W548" s="902" t="s">
        <v>838</v>
      </c>
      <c r="X548" s="364"/>
      <c r="Y548" s="364"/>
      <c r="Z548" s="364"/>
      <c r="AA548" s="367"/>
      <c r="AB548"/>
      <c r="AC548"/>
      <c r="AD548"/>
      <c r="AE548"/>
    </row>
    <row r="549" spans="17:31" ht="12.75" customHeight="1">
      <c r="Q549" s="364"/>
      <c r="R549" s="892"/>
      <c r="S549" s="897"/>
      <c r="T549" s="901"/>
      <c r="U549" s="901"/>
      <c r="V549" s="901"/>
      <c r="W549" s="903"/>
      <c r="X549" s="364"/>
      <c r="Y549" s="364"/>
      <c r="Z549" s="364"/>
      <c r="AA549" s="367"/>
      <c r="AB549"/>
      <c r="AC549"/>
      <c r="AD549"/>
      <c r="AE549"/>
    </row>
    <row r="550" spans="17:31" ht="12.75" customHeight="1">
      <c r="Q550" s="364"/>
      <c r="R550" s="892"/>
      <c r="S550" s="897"/>
      <c r="T550" s="704">
        <f>T537-PPE!$I$15</f>
        <v>91.175066556366886</v>
      </c>
      <c r="U550" s="560">
        <f>U544</f>
        <v>2.6666666666666665</v>
      </c>
      <c r="V550" s="690">
        <f>IF(T550&gt;0,W550*U550," ")</f>
        <v>138.33333333333331</v>
      </c>
      <c r="W550" s="691">
        <f>IF(T550&gt;0,(VLOOKUP(T550,'Lookup Ready-reckoner'!$B$5:$E$1207,4))," ")</f>
        <v>51.875</v>
      </c>
      <c r="X550" s="364"/>
      <c r="Y550" s="364"/>
      <c r="Z550" s="364"/>
      <c r="AA550" s="367"/>
      <c r="AB550"/>
      <c r="AC550"/>
      <c r="AD550"/>
      <c r="AE550"/>
    </row>
    <row r="551" spans="17:31" ht="12.75" customHeight="1">
      <c r="Q551" s="364"/>
      <c r="R551" s="898"/>
      <c r="S551" s="899"/>
      <c r="T551" s="447"/>
      <c r="U551" s="560"/>
      <c r="V551" s="690" t="str">
        <f>IF(T551&gt;0,W551*U551," ")</f>
        <v xml:space="preserve"> </v>
      </c>
      <c r="W551" s="691" t="str">
        <f>IF(T551&gt;0,(VLOOKUP(T551,'Lookup Ready-reckoner'!$B$5:$E$1007,4))," ")</f>
        <v xml:space="preserve"> </v>
      </c>
      <c r="X551" s="364"/>
      <c r="Y551" s="364"/>
      <c r="Z551" s="364"/>
      <c r="AA551" s="367"/>
      <c r="AB551"/>
      <c r="AC551"/>
      <c r="AD551"/>
      <c r="AE551"/>
    </row>
    <row r="552" spans="17:31" ht="12.75" customHeight="1" thickBot="1">
      <c r="Q552" s="364"/>
      <c r="R552" s="692" t="s">
        <v>839</v>
      </c>
      <c r="S552" s="693"/>
      <c r="T552" s="693"/>
      <c r="U552" s="705">
        <f>IF(T550&gt;0,(VLOOKUP(V552,'Lookup Ready-reckoner'!$L$5:$M$1207,2))," ")</f>
        <v>86.35</v>
      </c>
      <c r="V552" s="695">
        <f>IF(U550&gt;0,(SUM(V550:V551))," ")</f>
        <v>138.33333333333331</v>
      </c>
      <c r="W552" s="696"/>
      <c r="X552" s="364"/>
      <c r="Y552" s="364"/>
      <c r="Z552" s="364"/>
      <c r="AA552" s="367"/>
      <c r="AB552"/>
      <c r="AC552"/>
      <c r="AD552"/>
      <c r="AE552"/>
    </row>
    <row r="553" spans="17:31" ht="12.75" customHeight="1">
      <c r="Q553" s="364"/>
      <c r="R553" s="364"/>
      <c r="S553" s="364"/>
      <c r="T553" s="364"/>
      <c r="U553" s="364"/>
      <c r="V553" s="364"/>
      <c r="W553" s="364"/>
      <c r="X553" s="364"/>
      <c r="Y553" s="364"/>
      <c r="Z553" s="364"/>
      <c r="AA553" s="367"/>
      <c r="AB553"/>
      <c r="AC553"/>
      <c r="AD553"/>
      <c r="AE553"/>
    </row>
    <row r="554" spans="17:31" ht="12.75" customHeight="1">
      <c r="Q554" s="23"/>
      <c r="R554" s="23"/>
      <c r="S554" s="23"/>
      <c r="T554" s="23"/>
      <c r="U554" s="23"/>
      <c r="V554" s="23"/>
      <c r="W554" s="23"/>
      <c r="X554" s="23"/>
      <c r="Y554" s="23"/>
      <c r="Z554" s="23"/>
      <c r="AA554"/>
      <c r="AB554"/>
      <c r="AC554"/>
      <c r="AD554"/>
      <c r="AE554"/>
    </row>
    <row r="555" spans="17:31" ht="12.75" customHeight="1">
      <c r="Q555" s="23"/>
      <c r="R555" s="23"/>
      <c r="S555" s="23"/>
      <c r="T555" s="23"/>
      <c r="U555" s="23"/>
      <c r="V555" s="23"/>
      <c r="W555" s="23"/>
      <c r="X555" s="23"/>
      <c r="Y555" s="23"/>
      <c r="Z555" s="23"/>
      <c r="AA555"/>
      <c r="AB555"/>
      <c r="AC555"/>
      <c r="AD555"/>
      <c r="AE555"/>
    </row>
    <row r="556" spans="17:31" ht="12.75" customHeight="1">
      <c r="Q556" s="23"/>
      <c r="R556" s="23"/>
      <c r="S556" s="23"/>
      <c r="T556" s="23"/>
      <c r="U556" s="23"/>
      <c r="V556" s="23"/>
      <c r="W556" s="23"/>
      <c r="X556" s="23"/>
      <c r="Y556" s="23"/>
      <c r="Z556" s="23"/>
      <c r="AA556"/>
      <c r="AB556"/>
      <c r="AC556"/>
      <c r="AD556"/>
      <c r="AE556"/>
    </row>
    <row r="557" spans="17:31" ht="12.75" customHeight="1">
      <c r="Q557" s="23"/>
      <c r="R557" s="23"/>
      <c r="S557" s="23"/>
      <c r="T557" s="23"/>
      <c r="U557" s="23"/>
      <c r="V557" s="23"/>
      <c r="W557" s="23"/>
      <c r="X557" s="23"/>
      <c r="Y557" s="23"/>
      <c r="Z557" s="23"/>
      <c r="AA557"/>
      <c r="AB557"/>
      <c r="AC557"/>
      <c r="AD557"/>
      <c r="AE557"/>
    </row>
    <row r="558" spans="17:31" ht="12.75" customHeight="1">
      <c r="Q558" s="23"/>
      <c r="R558" s="23"/>
      <c r="S558" s="23"/>
      <c r="T558" s="23"/>
      <c r="U558" s="23"/>
      <c r="V558" s="23"/>
      <c r="W558" s="23"/>
      <c r="X558" s="23"/>
      <c r="Y558" s="23"/>
      <c r="Z558" s="23"/>
      <c r="AA558"/>
      <c r="AB558"/>
      <c r="AC558"/>
      <c r="AD558"/>
      <c r="AE558"/>
    </row>
    <row r="559" spans="17:31" ht="12.75" customHeight="1">
      <c r="Q559" s="23"/>
      <c r="R559" s="23"/>
      <c r="S559" s="23"/>
      <c r="T559" s="23"/>
      <c r="U559" s="23"/>
      <c r="V559" s="23"/>
      <c r="W559" s="23"/>
      <c r="X559" s="23"/>
      <c r="Y559" s="23"/>
      <c r="Z559" s="23"/>
      <c r="AA559"/>
      <c r="AB559"/>
      <c r="AC559"/>
      <c r="AD559"/>
      <c r="AE559"/>
    </row>
    <row r="560" spans="17:31" ht="12.75" customHeight="1">
      <c r="Q560" s="23"/>
      <c r="R560" s="23"/>
      <c r="S560" s="23"/>
      <c r="T560" s="23"/>
      <c r="U560" s="23"/>
      <c r="V560" s="23"/>
      <c r="W560" s="23"/>
      <c r="X560" s="23"/>
      <c r="Y560" s="23"/>
      <c r="Z560" s="23"/>
      <c r="AA560"/>
      <c r="AB560"/>
      <c r="AC560"/>
      <c r="AD560"/>
      <c r="AE560"/>
    </row>
    <row r="561" spans="17:31" ht="12.75" customHeight="1">
      <c r="Q561" s="23"/>
      <c r="R561" s="23"/>
      <c r="S561" s="23"/>
      <c r="T561" s="23"/>
      <c r="U561" s="23"/>
      <c r="V561" s="23"/>
      <c r="W561" s="23"/>
      <c r="X561" s="23"/>
      <c r="Y561" s="23"/>
      <c r="Z561" s="23"/>
      <c r="AA561"/>
      <c r="AB561"/>
      <c r="AC561"/>
      <c r="AD561"/>
      <c r="AE561"/>
    </row>
    <row r="562" spans="17:31" ht="12.75" customHeight="1">
      <c r="Q562" s="23"/>
      <c r="R562" s="23"/>
      <c r="S562" s="23"/>
      <c r="T562" s="23"/>
      <c r="U562" s="23"/>
      <c r="V562" s="23"/>
      <c r="W562" s="23"/>
      <c r="X562" s="23"/>
      <c r="Y562" s="23"/>
      <c r="Z562" s="23"/>
      <c r="AA562"/>
      <c r="AB562"/>
      <c r="AC562"/>
      <c r="AD562"/>
      <c r="AE562"/>
    </row>
    <row r="563" spans="17:31" ht="12.75" customHeight="1">
      <c r="Q563" s="23"/>
      <c r="R563" s="23"/>
      <c r="S563" s="23"/>
      <c r="T563" s="23"/>
      <c r="U563" s="23"/>
      <c r="V563" s="23"/>
      <c r="W563" s="23"/>
      <c r="X563" s="23"/>
      <c r="Y563" s="23"/>
      <c r="Z563" s="23"/>
      <c r="AA563"/>
      <c r="AB563"/>
      <c r="AC563"/>
      <c r="AD563"/>
      <c r="AE563"/>
    </row>
    <row r="564" spans="17:31" ht="12.75" customHeight="1">
      <c r="Q564" s="23"/>
      <c r="R564" s="23"/>
      <c r="S564" s="23"/>
      <c r="T564" s="23"/>
      <c r="U564" s="23"/>
      <c r="V564" s="23"/>
      <c r="W564" s="23"/>
      <c r="X564" s="23"/>
      <c r="Y564" s="23"/>
      <c r="Z564" s="23"/>
      <c r="AA564"/>
      <c r="AB564"/>
      <c r="AC564"/>
      <c r="AD564"/>
      <c r="AE564"/>
    </row>
    <row r="565" spans="17:31" ht="12.75" customHeight="1">
      <c r="Q565" s="23"/>
      <c r="R565" s="23"/>
      <c r="S565" s="23"/>
      <c r="T565" s="23"/>
      <c r="U565" s="23"/>
      <c r="V565" s="23"/>
      <c r="W565" s="23"/>
      <c r="X565" s="23"/>
      <c r="Y565" s="23"/>
      <c r="Z565" s="23"/>
      <c r="AA565"/>
      <c r="AB565"/>
      <c r="AC565"/>
      <c r="AD565"/>
      <c r="AE565"/>
    </row>
    <row r="566" spans="17:31" ht="12.75" customHeight="1">
      <c r="Q566" s="23"/>
      <c r="R566" s="23"/>
      <c r="S566" s="23"/>
      <c r="T566" s="23"/>
      <c r="U566" s="23"/>
      <c r="V566" s="23"/>
      <c r="W566" s="23"/>
      <c r="X566" s="23"/>
      <c r="Y566" s="23"/>
      <c r="Z566" s="23"/>
      <c r="AA566"/>
      <c r="AB566"/>
      <c r="AC566"/>
      <c r="AD566"/>
      <c r="AE566"/>
    </row>
    <row r="567" spans="17:31" ht="12.75" customHeight="1">
      <c r="Q567" s="23"/>
      <c r="R567" s="23"/>
      <c r="S567" s="23"/>
      <c r="T567" s="23"/>
      <c r="U567" s="23"/>
      <c r="V567" s="23"/>
      <c r="W567" s="23"/>
      <c r="X567" s="23"/>
      <c r="Y567" s="23"/>
      <c r="Z567" s="23"/>
      <c r="AA567"/>
      <c r="AB567"/>
      <c r="AC567"/>
      <c r="AD567"/>
      <c r="AE567"/>
    </row>
    <row r="568" spans="17:31" ht="12.75" customHeight="1">
      <c r="Q568" s="23"/>
      <c r="R568" s="23"/>
      <c r="S568" s="23"/>
      <c r="T568" s="23"/>
      <c r="U568" s="23"/>
      <c r="V568" s="23"/>
      <c r="W568" s="23"/>
      <c r="X568" s="23"/>
      <c r="Y568" s="23"/>
      <c r="Z568" s="23"/>
      <c r="AA568"/>
      <c r="AB568"/>
      <c r="AC568"/>
      <c r="AD568"/>
      <c r="AE568"/>
    </row>
    <row r="569" spans="17:31" ht="12.75" customHeight="1">
      <c r="Q569" s="23"/>
      <c r="R569" s="23"/>
      <c r="S569" s="23"/>
      <c r="T569" s="23"/>
      <c r="U569" s="23"/>
      <c r="V569" s="23"/>
      <c r="W569" s="23"/>
      <c r="X569" s="23"/>
      <c r="Y569" s="23"/>
      <c r="Z569" s="23"/>
      <c r="AA569"/>
      <c r="AB569"/>
      <c r="AC569"/>
      <c r="AD569"/>
      <c r="AE569"/>
    </row>
    <row r="570" spans="17:31" ht="12.75" customHeight="1">
      <c r="Q570" s="23"/>
      <c r="R570" s="23"/>
      <c r="S570" s="23"/>
      <c r="T570" s="23"/>
      <c r="U570" s="23"/>
      <c r="V570" s="23"/>
      <c r="W570" s="23"/>
      <c r="X570" s="23"/>
      <c r="Y570" s="23"/>
      <c r="Z570" s="23"/>
      <c r="AA570"/>
      <c r="AB570"/>
      <c r="AC570"/>
      <c r="AD570"/>
      <c r="AE570"/>
    </row>
    <row r="571" spans="17:31" ht="12.75" customHeight="1">
      <c r="Q571" s="23"/>
      <c r="R571" s="23"/>
      <c r="S571" s="23"/>
      <c r="T571" s="23"/>
      <c r="U571" s="23"/>
      <c r="V571" s="23"/>
      <c r="W571" s="23"/>
      <c r="X571" s="23"/>
      <c r="Y571" s="23"/>
      <c r="Z571" s="23"/>
      <c r="AA571"/>
      <c r="AB571"/>
      <c r="AC571"/>
      <c r="AD571"/>
      <c r="AE571"/>
    </row>
    <row r="572" spans="17:31" ht="12.75" customHeight="1">
      <c r="Q572" s="23"/>
      <c r="R572" s="1"/>
      <c r="S572" s="1"/>
      <c r="T572" s="1"/>
      <c r="U572" s="1"/>
      <c r="V572" s="1"/>
      <c r="W572" s="1"/>
      <c r="X572" s="1"/>
      <c r="Y572" s="1"/>
      <c r="Z572" s="1"/>
    </row>
    <row r="573" spans="17:31" ht="12.75" customHeight="1">
      <c r="Q573" s="23"/>
      <c r="R573" s="1"/>
      <c r="S573" s="1"/>
      <c r="T573" s="1"/>
      <c r="U573" s="1"/>
      <c r="V573" s="1"/>
      <c r="W573" s="1"/>
      <c r="X573" s="1"/>
      <c r="Y573" s="1"/>
      <c r="Z573" s="1"/>
    </row>
    <row r="574" spans="17:31" ht="12.75" customHeight="1">
      <c r="Q574" s="23"/>
      <c r="R574" s="1"/>
      <c r="S574" s="1"/>
      <c r="T574" s="1"/>
      <c r="U574" s="1"/>
      <c r="V574" s="1"/>
      <c r="W574" s="1"/>
      <c r="X574" s="1"/>
      <c r="Y574" s="1"/>
      <c r="Z574" s="1"/>
    </row>
    <row r="575" spans="17:31" ht="12.75" customHeight="1">
      <c r="Q575" s="23"/>
      <c r="R575" s="1"/>
      <c r="S575" s="1"/>
      <c r="T575" s="1"/>
      <c r="U575" s="1"/>
      <c r="V575" s="1"/>
      <c r="W575" s="1"/>
      <c r="X575" s="1"/>
      <c r="Y575" s="1"/>
      <c r="Z575" s="1"/>
    </row>
    <row r="576" spans="17:31" ht="12.75" customHeight="1">
      <c r="Q576" s="23"/>
      <c r="R576" s="1"/>
      <c r="S576" s="1"/>
      <c r="T576" s="1"/>
      <c r="U576" s="1"/>
      <c r="V576" s="1"/>
      <c r="W576" s="1"/>
      <c r="X576" s="1"/>
      <c r="Y576" s="1"/>
      <c r="Z576" s="1"/>
    </row>
    <row r="577" spans="17:26" ht="12.75" customHeight="1">
      <c r="Q577" s="23"/>
      <c r="R577" s="1"/>
      <c r="S577" s="1"/>
      <c r="T577" s="1"/>
      <c r="U577" s="1"/>
      <c r="V577" s="1"/>
      <c r="W577" s="1"/>
      <c r="X577" s="1"/>
      <c r="Y577" s="1"/>
      <c r="Z577" s="1"/>
    </row>
    <row r="578" spans="17:26" ht="12.75" customHeight="1">
      <c r="Q578" s="23"/>
      <c r="R578" s="1"/>
      <c r="S578" s="1"/>
      <c r="T578" s="1"/>
      <c r="U578" s="1"/>
      <c r="V578" s="1"/>
      <c r="W578" s="1"/>
      <c r="X578" s="1"/>
      <c r="Y578" s="1"/>
      <c r="Z578" s="1"/>
    </row>
    <row r="579" spans="17:26" ht="12.75" customHeight="1">
      <c r="Q579" s="23"/>
      <c r="R579" s="1"/>
      <c r="S579" s="1"/>
      <c r="T579" s="1"/>
      <c r="U579" s="1"/>
      <c r="V579" s="1"/>
      <c r="W579" s="1"/>
      <c r="X579" s="1"/>
      <c r="Y579" s="1"/>
      <c r="Z579" s="1"/>
    </row>
    <row r="580" spans="17:26" ht="12.75" customHeight="1">
      <c r="Q580" s="23"/>
      <c r="R580" s="1"/>
      <c r="S580" s="1"/>
      <c r="T580" s="1"/>
      <c r="U580" s="1"/>
      <c r="V580" s="1"/>
      <c r="W580" s="1"/>
      <c r="X580" s="1"/>
      <c r="Y580" s="1"/>
      <c r="Z580" s="1"/>
    </row>
    <row r="581" spans="17:26" ht="12.75" customHeight="1">
      <c r="Q581" s="23"/>
      <c r="R581" s="1"/>
      <c r="S581" s="1"/>
      <c r="T581" s="1"/>
      <c r="U581" s="1"/>
      <c r="V581" s="1"/>
      <c r="W581" s="1"/>
      <c r="X581" s="1"/>
      <c r="Y581" s="1"/>
      <c r="Z581" s="1"/>
    </row>
    <row r="582" spans="17:26" ht="12.75" customHeight="1">
      <c r="Q582" s="23"/>
      <c r="R582" s="1"/>
      <c r="S582" s="1"/>
      <c r="T582" s="1"/>
      <c r="U582" s="1"/>
      <c r="V582" s="1"/>
      <c r="W582" s="1"/>
      <c r="X582" s="1"/>
      <c r="Y582" s="1"/>
      <c r="Z582" s="1"/>
    </row>
    <row r="583" spans="17:26" ht="12.75" customHeight="1">
      <c r="Q583" s="23"/>
      <c r="R583" s="1"/>
      <c r="S583" s="1"/>
      <c r="T583" s="1"/>
      <c r="U583" s="1"/>
      <c r="V583" s="1"/>
      <c r="W583" s="1"/>
      <c r="X583" s="1"/>
      <c r="Y583" s="1"/>
      <c r="Z583" s="1"/>
    </row>
    <row r="584" spans="17:26" ht="12.75" customHeight="1">
      <c r="Q584" s="23"/>
      <c r="R584" s="1"/>
      <c r="S584" s="1"/>
      <c r="T584" s="1"/>
      <c r="U584" s="1"/>
      <c r="V584" s="1"/>
      <c r="W584" s="1"/>
      <c r="X584" s="1"/>
      <c r="Y584" s="1"/>
      <c r="Z584" s="1"/>
    </row>
    <row r="585" spans="17:26" ht="12.75" customHeight="1">
      <c r="Q585" s="23"/>
      <c r="R585" s="1"/>
      <c r="S585" s="1"/>
      <c r="T585" s="1"/>
      <c r="U585" s="1"/>
      <c r="V585" s="1"/>
      <c r="W585" s="1"/>
      <c r="X585" s="1"/>
      <c r="Y585" s="1"/>
      <c r="Z585" s="1"/>
    </row>
    <row r="586" spans="17:26" ht="12.75" customHeight="1">
      <c r="Q586" s="23"/>
      <c r="R586" s="1"/>
      <c r="S586" s="1"/>
      <c r="T586" s="1"/>
      <c r="U586" s="1"/>
      <c r="V586" s="1"/>
      <c r="W586" s="1"/>
      <c r="X586" s="1"/>
      <c r="Y586" s="1"/>
      <c r="Z586" s="1"/>
    </row>
    <row r="587" spans="17:26" ht="12.75" customHeight="1">
      <c r="Q587" s="23"/>
      <c r="R587" s="1"/>
      <c r="S587" s="1"/>
      <c r="T587" s="1"/>
      <c r="U587" s="1"/>
      <c r="V587" s="1"/>
      <c r="W587" s="1"/>
      <c r="X587" s="1"/>
      <c r="Y587" s="1"/>
      <c r="Z587" s="1"/>
    </row>
    <row r="588" spans="17:26" ht="12.75" customHeight="1">
      <c r="Q588" s="23"/>
      <c r="R588" s="1"/>
      <c r="S588" s="1"/>
      <c r="T588" s="1"/>
      <c r="U588" s="1"/>
      <c r="V588" s="1"/>
      <c r="W588" s="1"/>
      <c r="X588" s="1"/>
      <c r="Y588" s="1"/>
      <c r="Z588" s="1"/>
    </row>
    <row r="589" spans="17:26" ht="12.75" customHeight="1">
      <c r="Q589" s="23"/>
      <c r="R589" s="1"/>
      <c r="S589" s="1"/>
      <c r="T589" s="1"/>
      <c r="U589" s="1"/>
      <c r="V589" s="1"/>
      <c r="W589" s="1"/>
      <c r="X589" s="1"/>
      <c r="Y589" s="1"/>
      <c r="Z589" s="1"/>
    </row>
    <row r="590" spans="17:26" ht="12.75" customHeight="1">
      <c r="Q590" s="23"/>
      <c r="R590" s="1"/>
      <c r="S590" s="1"/>
      <c r="T590" s="1"/>
      <c r="U590" s="1"/>
      <c r="V590" s="1"/>
      <c r="W590" s="1"/>
      <c r="X590" s="1"/>
      <c r="Y590" s="1"/>
      <c r="Z590" s="1"/>
    </row>
    <row r="591" spans="17:26" ht="12.75" customHeight="1">
      <c r="Q591" s="23"/>
      <c r="R591" s="1"/>
      <c r="S591" s="1"/>
      <c r="T591" s="1"/>
      <c r="U591" s="1"/>
      <c r="V591" s="1"/>
      <c r="W591" s="1"/>
      <c r="X591" s="1"/>
      <c r="Y591" s="1"/>
      <c r="Z591" s="1"/>
    </row>
    <row r="592" spans="17:26" ht="12.75" customHeight="1">
      <c r="Q592" s="23"/>
      <c r="R592" s="1"/>
      <c r="S592" s="1"/>
      <c r="T592" s="1"/>
      <c r="U592" s="1"/>
      <c r="V592" s="1"/>
      <c r="W592" s="1"/>
      <c r="X592" s="1"/>
      <c r="Y592" s="1"/>
      <c r="Z592" s="1"/>
    </row>
    <row r="593" spans="17:26" ht="12.75" customHeight="1">
      <c r="Q593" s="23"/>
      <c r="R593" s="1"/>
      <c r="S593" s="1"/>
      <c r="T593" s="1"/>
      <c r="U593" s="1"/>
      <c r="V593" s="1"/>
      <c r="W593" s="1"/>
      <c r="X593" s="1"/>
      <c r="Y593" s="1"/>
      <c r="Z593" s="1"/>
    </row>
    <row r="594" spans="17:26" ht="12.75" customHeight="1">
      <c r="Q594" s="23"/>
      <c r="R594" s="1"/>
      <c r="S594" s="1"/>
      <c r="T594" s="1"/>
      <c r="U594" s="1"/>
      <c r="V594" s="1"/>
      <c r="W594" s="1"/>
      <c r="X594" s="1"/>
      <c r="Y594" s="1"/>
      <c r="Z594" s="1"/>
    </row>
    <row r="595" spans="17:26" ht="12.75" customHeight="1">
      <c r="Q595" s="23"/>
      <c r="R595" s="1"/>
      <c r="S595" s="1"/>
      <c r="T595" s="1"/>
      <c r="U595" s="1"/>
      <c r="V595" s="1"/>
      <c r="W595" s="1"/>
      <c r="X595" s="1"/>
      <c r="Y595" s="1"/>
      <c r="Z595" s="1"/>
    </row>
    <row r="596" spans="17:26" ht="12.75" customHeight="1">
      <c r="Q596" s="23"/>
      <c r="R596" s="1"/>
      <c r="S596" s="1"/>
      <c r="T596" s="1"/>
      <c r="U596" s="1"/>
      <c r="V596" s="1"/>
      <c r="W596" s="1"/>
      <c r="X596" s="1"/>
      <c r="Y596" s="1"/>
      <c r="Z596" s="1"/>
    </row>
    <row r="597" spans="17:26" ht="12.75" customHeight="1">
      <c r="Q597" s="23"/>
      <c r="R597" s="1"/>
      <c r="S597" s="1"/>
      <c r="T597" s="1"/>
      <c r="U597" s="1"/>
      <c r="V597" s="1"/>
      <c r="W597" s="1"/>
      <c r="X597" s="1"/>
      <c r="Y597" s="1"/>
      <c r="Z597" s="1"/>
    </row>
    <row r="598" spans="17:26" ht="12.75" customHeight="1">
      <c r="Q598" s="23"/>
      <c r="R598" s="1"/>
      <c r="S598" s="1"/>
      <c r="T598" s="1"/>
      <c r="U598" s="1"/>
      <c r="V598" s="1"/>
      <c r="W598" s="1"/>
      <c r="X598" s="1"/>
      <c r="Y598" s="1"/>
      <c r="Z598" s="1"/>
    </row>
    <row r="599" spans="17:26" ht="12.75" customHeight="1">
      <c r="Q599" s="23"/>
      <c r="R599" s="1"/>
      <c r="S599" s="1"/>
      <c r="T599" s="1"/>
      <c r="U599" s="1"/>
      <c r="V599" s="1"/>
      <c r="W599" s="1"/>
      <c r="X599" s="1"/>
      <c r="Y599" s="1"/>
      <c r="Z599" s="1"/>
    </row>
    <row r="600" spans="17:26" ht="12.75" customHeight="1">
      <c r="Q600" s="23"/>
      <c r="R600" s="1"/>
      <c r="S600" s="1"/>
      <c r="T600" s="1"/>
      <c r="U600" s="1"/>
      <c r="V600" s="1"/>
      <c r="W600" s="1"/>
      <c r="X600" s="1"/>
      <c r="Y600" s="1"/>
      <c r="Z600" s="1"/>
    </row>
    <row r="601" spans="17:26" ht="12.75" customHeight="1">
      <c r="Q601" s="23"/>
      <c r="R601" s="1"/>
      <c r="S601" s="1"/>
      <c r="T601" s="1"/>
      <c r="U601" s="1"/>
      <c r="V601" s="1"/>
      <c r="W601" s="1"/>
      <c r="X601" s="1"/>
      <c r="Y601" s="1"/>
      <c r="Z601" s="1"/>
    </row>
    <row r="602" spans="17:26" ht="12.75" customHeight="1">
      <c r="Q602" s="23"/>
      <c r="R602" s="1"/>
      <c r="S602" s="1"/>
      <c r="T602" s="1"/>
      <c r="U602" s="1"/>
      <c r="V602" s="1"/>
      <c r="W602" s="1"/>
      <c r="X602" s="1"/>
      <c r="Y602" s="1"/>
      <c r="Z602" s="1"/>
    </row>
    <row r="603" spans="17:26" ht="12.75" customHeight="1">
      <c r="Q603" s="23"/>
      <c r="R603" s="1"/>
      <c r="S603" s="1"/>
      <c r="T603" s="1"/>
      <c r="U603" s="1"/>
      <c r="V603" s="1"/>
      <c r="W603" s="1"/>
      <c r="X603" s="1"/>
      <c r="Y603" s="1"/>
      <c r="Z603" s="1"/>
    </row>
    <row r="604" spans="17:26" ht="12.75" customHeight="1">
      <c r="Q604" s="23"/>
      <c r="R604" s="1"/>
      <c r="S604" s="1"/>
      <c r="T604" s="1"/>
      <c r="U604" s="1"/>
      <c r="V604" s="1"/>
      <c r="W604" s="1"/>
      <c r="X604" s="1"/>
      <c r="Y604" s="1"/>
      <c r="Z604" s="1"/>
    </row>
    <row r="605" spans="17:26" ht="12.75" customHeight="1">
      <c r="Q605" s="23"/>
      <c r="R605" s="1"/>
      <c r="S605" s="1"/>
      <c r="T605" s="1"/>
      <c r="U605" s="1"/>
      <c r="V605" s="1"/>
      <c r="W605" s="1"/>
      <c r="X605" s="1"/>
      <c r="Y605" s="1"/>
      <c r="Z605" s="1"/>
    </row>
    <row r="606" spans="17:26" ht="12.75" customHeight="1">
      <c r="Q606" s="23"/>
      <c r="R606" s="1"/>
      <c r="S606" s="1"/>
      <c r="T606" s="1"/>
      <c r="U606" s="1"/>
      <c r="V606" s="1"/>
      <c r="W606" s="1"/>
      <c r="X606" s="1"/>
      <c r="Y606" s="1"/>
      <c r="Z606" s="1"/>
    </row>
    <row r="607" spans="17:26" ht="12.75" customHeight="1">
      <c r="Q607" s="23"/>
      <c r="R607" s="1"/>
      <c r="S607" s="1"/>
      <c r="T607" s="1"/>
      <c r="U607" s="1"/>
      <c r="V607" s="1"/>
      <c r="W607" s="1"/>
      <c r="X607" s="1"/>
      <c r="Y607" s="1"/>
      <c r="Z607" s="1"/>
    </row>
    <row r="608" spans="17:26" ht="12.75" customHeight="1">
      <c r="Q608" s="23"/>
      <c r="R608" s="1"/>
      <c r="S608" s="1"/>
      <c r="T608" s="1"/>
      <c r="U608" s="1"/>
      <c r="V608" s="1"/>
      <c r="W608" s="1"/>
      <c r="X608" s="1"/>
      <c r="Y608" s="1"/>
      <c r="Z608" s="1"/>
    </row>
    <row r="609" spans="17:26" ht="12.75" customHeight="1">
      <c r="Q609" s="23"/>
      <c r="R609" s="1"/>
      <c r="S609" s="1"/>
      <c r="T609" s="1"/>
      <c r="U609" s="1"/>
      <c r="V609" s="1"/>
      <c r="W609" s="1"/>
      <c r="X609" s="1"/>
      <c r="Y609" s="1"/>
      <c r="Z609" s="1"/>
    </row>
    <row r="610" spans="17:26" ht="12.75" customHeight="1">
      <c r="Q610" s="23"/>
      <c r="R610" s="1"/>
      <c r="S610" s="1"/>
      <c r="T610" s="1"/>
      <c r="U610" s="1"/>
      <c r="V610" s="1"/>
      <c r="W610" s="1"/>
      <c r="X610" s="1"/>
      <c r="Y610" s="1"/>
      <c r="Z610" s="1"/>
    </row>
    <row r="611" spans="17:26" ht="12.75" customHeight="1">
      <c r="Q611" s="23"/>
      <c r="R611" s="1"/>
      <c r="S611" s="1"/>
      <c r="T611" s="1"/>
      <c r="U611" s="1"/>
      <c r="V611" s="1"/>
      <c r="W611" s="1"/>
      <c r="X611" s="1"/>
      <c r="Y611" s="1"/>
      <c r="Z611" s="1"/>
    </row>
    <row r="612" spans="17:26" ht="12.75" customHeight="1">
      <c r="Q612" s="23"/>
      <c r="R612" s="1"/>
      <c r="S612" s="1"/>
      <c r="T612" s="1"/>
      <c r="U612" s="1"/>
      <c r="V612" s="1"/>
      <c r="W612" s="1"/>
      <c r="X612" s="1"/>
      <c r="Y612" s="1"/>
      <c r="Z612" s="1"/>
    </row>
    <row r="613" spans="17:26" ht="12.75" customHeight="1">
      <c r="Q613" s="23"/>
      <c r="R613" s="1"/>
      <c r="S613" s="1"/>
      <c r="T613" s="1"/>
      <c r="U613" s="1"/>
      <c r="V613" s="1"/>
      <c r="W613" s="1"/>
      <c r="X613" s="1"/>
      <c r="Y613" s="1"/>
      <c r="Z613" s="1"/>
    </row>
    <row r="614" spans="17:26" ht="12.75" customHeight="1">
      <c r="Q614" s="23"/>
      <c r="R614" s="1"/>
      <c r="S614" s="1"/>
      <c r="T614" s="1"/>
      <c r="U614" s="1"/>
      <c r="V614" s="1"/>
      <c r="W614" s="1"/>
      <c r="X614" s="1"/>
      <c r="Y614" s="1"/>
      <c r="Z614" s="1"/>
    </row>
    <row r="615" spans="17:26" ht="12.75" customHeight="1">
      <c r="Q615" s="23"/>
      <c r="R615" s="1"/>
      <c r="S615" s="1"/>
      <c r="T615" s="1"/>
      <c r="U615" s="1"/>
      <c r="V615" s="1"/>
      <c r="W615" s="1"/>
      <c r="X615" s="1"/>
      <c r="Y615" s="1"/>
      <c r="Z615" s="1"/>
    </row>
    <row r="616" spans="17:26" ht="12.75" customHeight="1">
      <c r="Q616" s="23"/>
      <c r="R616" s="1"/>
      <c r="S616" s="1"/>
      <c r="T616" s="1"/>
      <c r="U616" s="1"/>
      <c r="V616" s="1"/>
      <c r="W616" s="1"/>
      <c r="X616" s="1"/>
      <c r="Y616" s="1"/>
      <c r="Z616" s="1"/>
    </row>
    <row r="617" spans="17:26" ht="12.75" customHeight="1">
      <c r="Q617" s="23"/>
      <c r="R617" s="1"/>
      <c r="S617" s="1"/>
      <c r="T617" s="1"/>
      <c r="U617" s="1"/>
      <c r="V617" s="1"/>
      <c r="W617" s="1"/>
      <c r="X617" s="1"/>
      <c r="Y617" s="1"/>
      <c r="Z617" s="1"/>
    </row>
    <row r="618" spans="17:26" ht="12.75" customHeight="1">
      <c r="Q618" s="23"/>
      <c r="R618" s="1"/>
      <c r="S618" s="1"/>
      <c r="T618" s="1"/>
      <c r="U618" s="1"/>
      <c r="V618" s="1"/>
      <c r="W618" s="1"/>
      <c r="X618" s="1"/>
      <c r="Y618" s="1"/>
      <c r="Z618" s="1"/>
    </row>
    <row r="619" spans="17:26" ht="12.75" customHeight="1">
      <c r="Q619" s="23"/>
      <c r="R619" s="1"/>
      <c r="S619" s="1"/>
      <c r="T619" s="1"/>
      <c r="U619" s="1"/>
      <c r="V619" s="1"/>
      <c r="W619" s="1"/>
      <c r="X619" s="1"/>
      <c r="Y619" s="1"/>
      <c r="Z619" s="1"/>
    </row>
    <row r="620" spans="17:26" ht="12.75" customHeight="1">
      <c r="Q620" s="23"/>
      <c r="R620" s="1"/>
      <c r="S620" s="1"/>
      <c r="T620" s="1"/>
      <c r="U620" s="1"/>
      <c r="V620" s="1"/>
      <c r="W620" s="1"/>
      <c r="X620" s="1"/>
      <c r="Y620" s="1"/>
      <c r="Z620" s="1"/>
    </row>
    <row r="621" spans="17:26" ht="12.75" customHeight="1">
      <c r="Q621" s="23"/>
      <c r="R621" s="1"/>
      <c r="S621" s="1"/>
      <c r="T621" s="1"/>
      <c r="U621" s="1"/>
      <c r="V621" s="1"/>
      <c r="W621" s="1"/>
      <c r="X621" s="1"/>
      <c r="Y621" s="1"/>
      <c r="Z621" s="1"/>
    </row>
    <row r="622" spans="17:26" ht="12.75" customHeight="1">
      <c r="Q622" s="23"/>
      <c r="R622" s="1"/>
      <c r="S622" s="1"/>
      <c r="T622" s="1"/>
      <c r="U622" s="1"/>
      <c r="V622" s="1"/>
      <c r="W622" s="1"/>
      <c r="X622" s="1"/>
      <c r="Y622" s="1"/>
      <c r="Z622" s="1"/>
    </row>
    <row r="623" spans="17:26" ht="12.75" customHeight="1">
      <c r="Q623" s="23"/>
      <c r="R623" s="1"/>
      <c r="S623" s="1"/>
      <c r="T623" s="1"/>
      <c r="U623" s="1"/>
      <c r="V623" s="1"/>
      <c r="W623" s="1"/>
      <c r="X623" s="1"/>
      <c r="Y623" s="1"/>
      <c r="Z623" s="1"/>
    </row>
    <row r="624" spans="17:26" ht="12.75" customHeight="1">
      <c r="Q624" s="23"/>
      <c r="R624" s="1"/>
      <c r="S624" s="1"/>
      <c r="T624" s="1"/>
      <c r="U624" s="1"/>
      <c r="V624" s="1"/>
      <c r="W624" s="1"/>
      <c r="X624" s="1"/>
      <c r="Y624" s="1"/>
      <c r="Z624" s="1"/>
    </row>
    <row r="625" spans="17:26" ht="12.75" customHeight="1">
      <c r="Q625" s="23"/>
      <c r="R625" s="1"/>
      <c r="S625" s="1"/>
      <c r="T625" s="1"/>
      <c r="U625" s="1"/>
      <c r="V625" s="1"/>
      <c r="W625" s="1"/>
      <c r="X625" s="1"/>
      <c r="Y625" s="1"/>
      <c r="Z625" s="1"/>
    </row>
    <row r="626" spans="17:26" ht="12.75" customHeight="1">
      <c r="Q626" s="23"/>
      <c r="R626" s="1"/>
      <c r="S626" s="1"/>
      <c r="T626" s="1"/>
      <c r="U626" s="1"/>
      <c r="V626" s="1"/>
      <c r="W626" s="1"/>
      <c r="X626" s="1"/>
      <c r="Y626" s="1"/>
      <c r="Z626" s="1"/>
    </row>
    <row r="627" spans="17:26" ht="12.75" customHeight="1">
      <c r="Q627" s="23"/>
      <c r="R627" s="1"/>
      <c r="S627" s="1"/>
      <c r="T627" s="1"/>
      <c r="U627" s="1"/>
      <c r="V627" s="1"/>
      <c r="W627" s="1"/>
      <c r="X627" s="1"/>
      <c r="Y627" s="1"/>
      <c r="Z627" s="1"/>
    </row>
    <row r="628" spans="17:26" ht="12.75" customHeight="1">
      <c r="Q628" s="23"/>
      <c r="R628" s="1"/>
      <c r="S628" s="1"/>
      <c r="T628" s="1"/>
      <c r="U628" s="1"/>
      <c r="V628" s="1"/>
      <c r="W628" s="1"/>
      <c r="X628" s="1"/>
      <c r="Y628" s="1"/>
      <c r="Z628" s="1"/>
    </row>
    <row r="629" spans="17:26" ht="12.75" customHeight="1">
      <c r="Q629" s="23"/>
      <c r="R629" s="1"/>
      <c r="S629" s="1"/>
      <c r="T629" s="1"/>
      <c r="U629" s="1"/>
      <c r="V629" s="1"/>
      <c r="W629" s="1"/>
      <c r="X629" s="1"/>
      <c r="Y629" s="1"/>
      <c r="Z629" s="1"/>
    </row>
    <row r="630" spans="17:26" ht="12.75" customHeight="1">
      <c r="Q630" s="23"/>
      <c r="R630" s="1"/>
      <c r="S630" s="1"/>
      <c r="T630" s="1"/>
      <c r="U630" s="1"/>
      <c r="V630" s="1"/>
      <c r="W630" s="1"/>
      <c r="X630" s="1"/>
      <c r="Y630" s="1"/>
      <c r="Z630" s="1"/>
    </row>
    <row r="631" spans="17:26" ht="12.75" customHeight="1">
      <c r="Q631" s="23"/>
      <c r="R631" s="1"/>
      <c r="S631" s="1"/>
      <c r="T631" s="1"/>
      <c r="U631" s="1"/>
      <c r="V631" s="1"/>
      <c r="W631" s="1"/>
      <c r="X631" s="1"/>
      <c r="Y631" s="1"/>
      <c r="Z631" s="1"/>
    </row>
    <row r="632" spans="17:26" ht="12.75" customHeight="1">
      <c r="Q632" s="23"/>
      <c r="R632" s="1"/>
      <c r="S632" s="1"/>
      <c r="T632" s="1"/>
      <c r="U632" s="1"/>
      <c r="V632" s="1"/>
      <c r="W632" s="1"/>
      <c r="X632" s="1"/>
      <c r="Y632" s="1"/>
      <c r="Z632" s="1"/>
    </row>
    <row r="633" spans="17:26" ht="12.75" customHeight="1">
      <c r="Q633" s="23"/>
      <c r="R633" s="1"/>
      <c r="S633" s="1"/>
      <c r="T633" s="1"/>
      <c r="U633" s="1"/>
      <c r="V633" s="1"/>
      <c r="W633" s="1"/>
      <c r="X633" s="1"/>
      <c r="Y633" s="1"/>
      <c r="Z633" s="1"/>
    </row>
    <row r="634" spans="17:26" ht="12.75" customHeight="1">
      <c r="Q634" s="23"/>
      <c r="R634" s="1"/>
      <c r="S634" s="1"/>
      <c r="T634" s="1"/>
      <c r="U634" s="1"/>
      <c r="V634" s="1"/>
      <c r="W634" s="1"/>
      <c r="X634" s="1"/>
      <c r="Y634" s="1"/>
      <c r="Z634" s="1"/>
    </row>
    <row r="635" spans="17:26" ht="12.75" customHeight="1">
      <c r="Q635" s="23"/>
      <c r="R635" s="1"/>
      <c r="S635" s="1"/>
      <c r="T635" s="1"/>
      <c r="U635" s="1"/>
      <c r="V635" s="1"/>
      <c r="W635" s="1"/>
      <c r="X635" s="1"/>
      <c r="Y635" s="1"/>
      <c r="Z635" s="1"/>
    </row>
    <row r="636" spans="17:26" ht="12.75" customHeight="1">
      <c r="Q636" s="23"/>
      <c r="R636" s="1"/>
      <c r="S636" s="1"/>
      <c r="T636" s="1"/>
      <c r="U636" s="1"/>
      <c r="V636" s="1"/>
      <c r="W636" s="1"/>
      <c r="X636" s="1"/>
      <c r="Y636" s="1"/>
      <c r="Z636" s="1"/>
    </row>
    <row r="637" spans="17:26" ht="12.75" customHeight="1">
      <c r="Q637" s="23"/>
      <c r="R637" s="1"/>
      <c r="S637" s="1"/>
      <c r="T637" s="1"/>
      <c r="U637" s="1"/>
      <c r="V637" s="1"/>
      <c r="W637" s="1"/>
      <c r="X637" s="1"/>
      <c r="Y637" s="1"/>
      <c r="Z637" s="1"/>
    </row>
    <row r="638" spans="17:26" ht="12.75" customHeight="1">
      <c r="Q638" s="23"/>
      <c r="R638" s="1"/>
      <c r="S638" s="1"/>
      <c r="T638" s="1"/>
      <c r="U638" s="1"/>
      <c r="V638" s="1"/>
      <c r="W638" s="1"/>
      <c r="X638" s="1"/>
      <c r="Y638" s="1"/>
      <c r="Z638" s="1"/>
    </row>
    <row r="639" spans="17:26" ht="12.75" customHeight="1">
      <c r="Q639" s="23"/>
      <c r="R639" s="1"/>
      <c r="S639" s="1"/>
      <c r="T639" s="1"/>
      <c r="U639" s="1"/>
      <c r="V639" s="1"/>
      <c r="W639" s="1"/>
      <c r="X639" s="1"/>
      <c r="Y639" s="1"/>
      <c r="Z639" s="1"/>
    </row>
    <row r="640" spans="17:26" ht="12.75" customHeight="1">
      <c r="Q640" s="23"/>
      <c r="R640" s="1"/>
      <c r="S640" s="1"/>
      <c r="T640" s="1"/>
      <c r="U640" s="1"/>
      <c r="V640" s="1"/>
      <c r="W640" s="1"/>
      <c r="X640" s="1"/>
      <c r="Y640" s="1"/>
      <c r="Z640" s="1"/>
    </row>
    <row r="641" spans="17:26" ht="12.75" customHeight="1">
      <c r="Q641" s="23"/>
      <c r="R641" s="1"/>
      <c r="S641" s="1"/>
      <c r="T641" s="1"/>
      <c r="U641" s="1"/>
      <c r="V641" s="1"/>
      <c r="W641" s="1"/>
      <c r="X641" s="1"/>
      <c r="Y641" s="1"/>
      <c r="Z641" s="1"/>
    </row>
    <row r="642" spans="17:26" ht="12.75" customHeight="1">
      <c r="Q642" s="23"/>
      <c r="R642" s="1"/>
      <c r="S642" s="1"/>
      <c r="T642" s="1"/>
      <c r="U642" s="1"/>
      <c r="V642" s="1"/>
      <c r="W642" s="1"/>
      <c r="X642" s="1"/>
      <c r="Y642" s="1"/>
      <c r="Z642" s="1"/>
    </row>
    <row r="643" spans="17:26" ht="12.75" customHeight="1">
      <c r="Q643" s="23"/>
      <c r="R643" s="1"/>
      <c r="S643" s="1"/>
      <c r="T643" s="1"/>
      <c r="U643" s="1"/>
      <c r="V643" s="1"/>
      <c r="W643" s="1"/>
      <c r="X643" s="1"/>
      <c r="Y643" s="1"/>
      <c r="Z643" s="1"/>
    </row>
    <row r="644" spans="17:26" ht="12.75" customHeight="1">
      <c r="Q644" s="23"/>
      <c r="R644" s="1"/>
      <c r="S644" s="1"/>
      <c r="T644" s="1"/>
      <c r="U644" s="1"/>
      <c r="V644" s="1"/>
      <c r="W644" s="1"/>
      <c r="X644" s="1"/>
      <c r="Y644" s="1"/>
      <c r="Z644" s="1"/>
    </row>
    <row r="645" spans="17:26" ht="12.75" customHeight="1">
      <c r="Q645" s="23"/>
      <c r="R645" s="1"/>
      <c r="S645" s="1"/>
      <c r="T645" s="1"/>
      <c r="U645" s="1"/>
      <c r="V645" s="1"/>
      <c r="W645" s="1"/>
      <c r="X645" s="1"/>
      <c r="Y645" s="1"/>
      <c r="Z645" s="1"/>
    </row>
    <row r="646" spans="17:26" ht="12.75" customHeight="1">
      <c r="Q646" s="23"/>
      <c r="R646" s="1"/>
      <c r="S646" s="1"/>
      <c r="T646" s="1"/>
      <c r="U646" s="1"/>
      <c r="V646" s="1"/>
      <c r="W646" s="1"/>
      <c r="X646" s="1"/>
      <c r="Y646" s="1"/>
      <c r="Z646" s="1"/>
    </row>
    <row r="647" spans="17:26" ht="12.75" customHeight="1">
      <c r="Q647" s="23"/>
      <c r="R647" s="1"/>
      <c r="S647" s="1"/>
      <c r="T647" s="1"/>
      <c r="U647" s="1"/>
      <c r="V647" s="1"/>
      <c r="W647" s="1"/>
      <c r="X647" s="1"/>
      <c r="Y647" s="1"/>
      <c r="Z647" s="1"/>
    </row>
    <row r="648" spans="17:26" ht="12.75" customHeight="1">
      <c r="Q648" s="23"/>
      <c r="R648" s="1"/>
      <c r="S648" s="1"/>
      <c r="T648" s="1"/>
      <c r="U648" s="1"/>
      <c r="V648" s="1"/>
      <c r="W648" s="1"/>
      <c r="X648" s="1"/>
      <c r="Y648" s="1"/>
      <c r="Z648" s="1"/>
    </row>
    <row r="649" spans="17:26" ht="12.75" customHeight="1">
      <c r="Q649" s="23"/>
      <c r="R649" s="1"/>
      <c r="S649" s="1"/>
      <c r="T649" s="1"/>
      <c r="U649" s="1"/>
      <c r="V649" s="1"/>
      <c r="W649" s="1"/>
      <c r="X649" s="1"/>
      <c r="Y649" s="1"/>
      <c r="Z649" s="1"/>
    </row>
    <row r="650" spans="17:26" ht="12.75" customHeight="1">
      <c r="Q650" s="23"/>
      <c r="R650" s="1"/>
      <c r="S650" s="1"/>
      <c r="T650" s="1"/>
      <c r="U650" s="1"/>
      <c r="V650" s="1"/>
      <c r="W650" s="1"/>
      <c r="X650" s="1"/>
      <c r="Y650" s="1"/>
      <c r="Z650" s="1"/>
    </row>
    <row r="651" spans="17:26" ht="12.75" customHeight="1">
      <c r="Q651" s="23"/>
      <c r="R651" s="1"/>
      <c r="S651" s="1"/>
      <c r="T651" s="1"/>
      <c r="U651" s="1"/>
      <c r="V651" s="1"/>
      <c r="W651" s="1"/>
      <c r="X651" s="1"/>
      <c r="Y651" s="1"/>
      <c r="Z651" s="1"/>
    </row>
    <row r="652" spans="17:26" ht="12.75" customHeight="1">
      <c r="Q652" s="23"/>
      <c r="R652" s="1"/>
      <c r="S652" s="1"/>
      <c r="T652" s="1"/>
      <c r="U652" s="1"/>
      <c r="V652" s="1"/>
      <c r="W652" s="1"/>
      <c r="X652" s="1"/>
      <c r="Y652" s="1"/>
      <c r="Z652" s="1"/>
    </row>
    <row r="653" spans="17:26" ht="12.75" customHeight="1">
      <c r="Q653" s="23"/>
      <c r="R653" s="1"/>
      <c r="S653" s="1"/>
      <c r="T653" s="1"/>
      <c r="U653" s="1"/>
      <c r="V653" s="1"/>
      <c r="W653" s="1"/>
      <c r="X653" s="1"/>
      <c r="Y653" s="1"/>
      <c r="Z653" s="1"/>
    </row>
    <row r="654" spans="17:26" ht="12.75" customHeight="1">
      <c r="Q654" s="23"/>
      <c r="R654" s="1"/>
      <c r="S654" s="1"/>
      <c r="T654" s="1"/>
      <c r="U654" s="1"/>
      <c r="V654" s="1"/>
      <c r="W654" s="1"/>
      <c r="X654" s="1"/>
      <c r="Y654" s="1"/>
      <c r="Z654" s="1"/>
    </row>
    <row r="655" spans="17:26" ht="12.75" customHeight="1">
      <c r="Q655" s="23"/>
      <c r="R655" s="1"/>
      <c r="S655" s="1"/>
      <c r="T655" s="1"/>
      <c r="U655" s="1"/>
      <c r="V655" s="1"/>
      <c r="W655" s="1"/>
      <c r="X655" s="1"/>
      <c r="Y655" s="1"/>
      <c r="Z655" s="1"/>
    </row>
    <row r="656" spans="17:26" ht="12.75" customHeight="1">
      <c r="Q656" s="23"/>
      <c r="R656" s="1"/>
      <c r="S656" s="1"/>
      <c r="T656" s="1"/>
      <c r="U656" s="1"/>
      <c r="V656" s="1"/>
      <c r="W656" s="1"/>
      <c r="X656" s="1"/>
      <c r="Y656" s="1"/>
      <c r="Z656" s="1"/>
    </row>
    <row r="657" spans="17:26" ht="12.75" customHeight="1">
      <c r="Q657" s="23"/>
      <c r="R657" s="1"/>
      <c r="S657" s="1"/>
      <c r="T657" s="1"/>
      <c r="U657" s="1"/>
      <c r="V657" s="1"/>
      <c r="W657" s="1"/>
      <c r="X657" s="1"/>
      <c r="Y657" s="1"/>
      <c r="Z657" s="1"/>
    </row>
    <row r="658" spans="17:26" ht="12.75" customHeight="1">
      <c r="Q658" s="23"/>
      <c r="R658" s="1"/>
      <c r="S658" s="1"/>
      <c r="T658" s="1"/>
      <c r="U658" s="1"/>
      <c r="V658" s="1"/>
      <c r="W658" s="1"/>
      <c r="X658" s="1"/>
      <c r="Y658" s="1"/>
      <c r="Z658" s="1"/>
    </row>
    <row r="659" spans="17:26" ht="12.75" customHeight="1">
      <c r="Q659" s="23"/>
      <c r="R659" s="1"/>
      <c r="S659" s="1"/>
      <c r="T659" s="1"/>
      <c r="U659" s="1"/>
      <c r="V659" s="1"/>
      <c r="W659" s="1"/>
      <c r="X659" s="1"/>
      <c r="Y659" s="1"/>
      <c r="Z659" s="1"/>
    </row>
    <row r="660" spans="17:26" ht="12.75" customHeight="1">
      <c r="Q660" s="23"/>
      <c r="R660" s="1"/>
      <c r="S660" s="1"/>
      <c r="T660" s="1"/>
      <c r="U660" s="1"/>
      <c r="V660" s="1"/>
      <c r="W660" s="1"/>
      <c r="X660" s="1"/>
      <c r="Y660" s="1"/>
      <c r="Z660" s="1"/>
    </row>
    <row r="661" spans="17:26" ht="12.75" customHeight="1">
      <c r="Q661" s="23"/>
      <c r="R661" s="1"/>
      <c r="S661" s="1"/>
      <c r="T661" s="1"/>
      <c r="U661" s="1"/>
      <c r="V661" s="1"/>
      <c r="W661" s="1"/>
      <c r="X661" s="1"/>
      <c r="Y661" s="1"/>
      <c r="Z661" s="1"/>
    </row>
    <row r="662" spans="17:26" ht="12.75" customHeight="1">
      <c r="Q662" s="23"/>
      <c r="R662" s="1"/>
      <c r="S662" s="1"/>
      <c r="T662" s="1"/>
      <c r="U662" s="1"/>
      <c r="V662" s="1"/>
      <c r="W662" s="1"/>
      <c r="X662" s="1"/>
      <c r="Y662" s="1"/>
      <c r="Z662" s="1"/>
    </row>
    <row r="663" spans="17:26" ht="12.75" customHeight="1">
      <c r="Q663" s="23"/>
      <c r="R663" s="1"/>
      <c r="S663" s="1"/>
      <c r="T663" s="1"/>
      <c r="U663" s="1"/>
      <c r="V663" s="1"/>
      <c r="W663" s="1"/>
      <c r="X663" s="1"/>
      <c r="Y663" s="1"/>
      <c r="Z663" s="1"/>
    </row>
    <row r="664" spans="17:26" ht="12.75" customHeight="1">
      <c r="Q664" s="23"/>
      <c r="R664" s="1"/>
      <c r="S664" s="1"/>
      <c r="T664" s="1"/>
      <c r="U664" s="1"/>
      <c r="V664" s="1"/>
      <c r="W664" s="1"/>
      <c r="X664" s="1"/>
      <c r="Y664" s="1"/>
      <c r="Z664" s="1"/>
    </row>
    <row r="665" spans="17:26" ht="12.75" customHeight="1">
      <c r="Q665" s="23"/>
      <c r="R665" s="1"/>
      <c r="S665" s="1"/>
      <c r="T665" s="1"/>
      <c r="U665" s="1"/>
      <c r="V665" s="1"/>
      <c r="W665" s="1"/>
      <c r="X665" s="1"/>
      <c r="Y665" s="1"/>
      <c r="Z665" s="1"/>
    </row>
    <row r="666" spans="17:26" ht="12.75" customHeight="1">
      <c r="Q666" s="23"/>
      <c r="R666" s="1"/>
      <c r="S666" s="1"/>
      <c r="T666" s="1"/>
      <c r="U666" s="1"/>
      <c r="V666" s="1"/>
      <c r="W666" s="1"/>
      <c r="X666" s="1"/>
      <c r="Y666" s="1"/>
      <c r="Z666" s="1"/>
    </row>
    <row r="667" spans="17:26" ht="12.75" customHeight="1">
      <c r="Q667" s="23"/>
      <c r="R667" s="1"/>
      <c r="S667" s="1"/>
      <c r="T667" s="1"/>
      <c r="U667" s="1"/>
      <c r="V667" s="1"/>
      <c r="W667" s="1"/>
      <c r="X667" s="1"/>
      <c r="Y667" s="1"/>
      <c r="Z667" s="1"/>
    </row>
    <row r="668" spans="17:26" ht="12.75" customHeight="1">
      <c r="Q668" s="23"/>
      <c r="R668" s="1"/>
      <c r="S668" s="1"/>
      <c r="T668" s="1"/>
      <c r="U668" s="1"/>
      <c r="V668" s="1"/>
      <c r="W668" s="1"/>
      <c r="X668" s="1"/>
      <c r="Y668" s="1"/>
      <c r="Z668" s="1"/>
    </row>
    <row r="669" spans="17:26" ht="12.75" customHeight="1">
      <c r="Q669" s="23"/>
      <c r="R669" s="1"/>
      <c r="S669" s="1"/>
      <c r="T669" s="1"/>
      <c r="U669" s="1"/>
      <c r="V669" s="1"/>
      <c r="W669" s="1"/>
      <c r="X669" s="1"/>
      <c r="Y669" s="1"/>
      <c r="Z669" s="1"/>
    </row>
    <row r="670" spans="17:26" ht="12.75" customHeight="1">
      <c r="Q670" s="23"/>
      <c r="R670" s="1"/>
      <c r="S670" s="1"/>
      <c r="T670" s="1"/>
      <c r="U670" s="1"/>
      <c r="V670" s="1"/>
      <c r="W670" s="1"/>
      <c r="X670" s="1"/>
      <c r="Y670" s="1"/>
      <c r="Z670" s="1"/>
    </row>
    <row r="671" spans="17:26" ht="12.75" customHeight="1">
      <c r="Q671" s="23"/>
      <c r="R671" s="1"/>
      <c r="S671" s="1"/>
      <c r="T671" s="1"/>
      <c r="U671" s="1"/>
      <c r="V671" s="1"/>
      <c r="W671" s="1"/>
      <c r="X671" s="1"/>
      <c r="Y671" s="1"/>
      <c r="Z671" s="1"/>
    </row>
    <row r="672" spans="17:26" ht="12.75" customHeight="1">
      <c r="Q672" s="23"/>
      <c r="R672" s="1"/>
      <c r="S672" s="1"/>
      <c r="T672" s="1"/>
      <c r="U672" s="1"/>
      <c r="V672" s="1"/>
      <c r="W672" s="1"/>
      <c r="X672" s="1"/>
      <c r="Y672" s="1"/>
      <c r="Z672" s="1"/>
    </row>
    <row r="673" spans="17:26" ht="12.75" customHeight="1">
      <c r="Q673" s="23"/>
      <c r="R673" s="1"/>
      <c r="S673" s="1"/>
      <c r="T673" s="1"/>
      <c r="U673" s="1"/>
      <c r="V673" s="1"/>
      <c r="W673" s="1"/>
      <c r="X673" s="1"/>
      <c r="Y673" s="1"/>
      <c r="Z673" s="1"/>
    </row>
    <row r="674" spans="17:26" ht="12.75" customHeight="1">
      <c r="Q674" s="23"/>
      <c r="R674" s="1"/>
      <c r="S674" s="1"/>
      <c r="T674" s="1"/>
      <c r="U674" s="1"/>
      <c r="V674" s="1"/>
      <c r="W674" s="1"/>
      <c r="X674" s="1"/>
      <c r="Y674" s="1"/>
      <c r="Z674" s="1"/>
    </row>
    <row r="675" spans="17:26" ht="12.75" customHeight="1">
      <c r="Q675" s="23"/>
      <c r="R675" s="1"/>
      <c r="S675" s="1"/>
      <c r="T675" s="1"/>
      <c r="U675" s="1"/>
      <c r="V675" s="1"/>
      <c r="W675" s="1"/>
      <c r="X675" s="1"/>
      <c r="Y675" s="1"/>
      <c r="Z675" s="1"/>
    </row>
    <row r="676" spans="17:26" ht="12.75" customHeight="1">
      <c r="Q676" s="23"/>
      <c r="R676" s="1"/>
      <c r="S676" s="1"/>
      <c r="T676" s="1"/>
      <c r="U676" s="1"/>
      <c r="V676" s="1"/>
      <c r="W676" s="1"/>
      <c r="X676" s="1"/>
      <c r="Y676" s="1"/>
      <c r="Z676" s="1"/>
    </row>
    <row r="677" spans="17:26" ht="12.75" customHeight="1">
      <c r="Q677" s="23"/>
      <c r="R677" s="1"/>
      <c r="S677" s="1"/>
      <c r="T677" s="1"/>
      <c r="U677" s="1"/>
      <c r="V677" s="1"/>
      <c r="W677" s="1"/>
      <c r="X677" s="1"/>
      <c r="Y677" s="1"/>
      <c r="Z677" s="1"/>
    </row>
    <row r="678" spans="17:26" ht="12.75" customHeight="1">
      <c r="Q678" s="23"/>
      <c r="R678" s="1"/>
      <c r="S678" s="1"/>
      <c r="T678" s="1"/>
      <c r="U678" s="1"/>
      <c r="V678" s="1"/>
      <c r="W678" s="1"/>
      <c r="X678" s="1"/>
      <c r="Y678" s="1"/>
      <c r="Z678" s="1"/>
    </row>
    <row r="679" spans="17:26" ht="12.75" customHeight="1">
      <c r="Q679" s="23"/>
      <c r="R679" s="1"/>
      <c r="S679" s="1"/>
      <c r="T679" s="1"/>
      <c r="U679" s="1"/>
      <c r="V679" s="1"/>
      <c r="W679" s="1"/>
      <c r="X679" s="1"/>
      <c r="Y679" s="1"/>
      <c r="Z679" s="1"/>
    </row>
    <row r="680" spans="17:26" ht="12.75" customHeight="1">
      <c r="Q680" s="23"/>
      <c r="R680" s="1"/>
      <c r="S680" s="1"/>
      <c r="T680" s="1"/>
      <c r="U680" s="1"/>
      <c r="V680" s="1"/>
      <c r="W680" s="1"/>
      <c r="X680" s="1"/>
      <c r="Y680" s="1"/>
      <c r="Z680" s="1"/>
    </row>
    <row r="681" spans="17:26" ht="12.75" customHeight="1">
      <c r="Q681" s="23"/>
      <c r="R681" s="1"/>
      <c r="S681" s="1"/>
      <c r="T681" s="1"/>
      <c r="U681" s="1"/>
      <c r="V681" s="1"/>
      <c r="W681" s="1"/>
      <c r="X681" s="1"/>
      <c r="Y681" s="1"/>
      <c r="Z681" s="1"/>
    </row>
    <row r="682" spans="17:26" ht="12.75" customHeight="1">
      <c r="Q682" s="23"/>
      <c r="R682" s="1"/>
      <c r="S682" s="1"/>
      <c r="T682" s="1"/>
      <c r="U682" s="1"/>
      <c r="V682" s="1"/>
      <c r="W682" s="1"/>
      <c r="X682" s="1"/>
      <c r="Y682" s="1"/>
      <c r="Z682" s="1"/>
    </row>
    <row r="683" spans="17:26" ht="12.75" customHeight="1">
      <c r="Q683" s="23"/>
      <c r="R683" s="1"/>
      <c r="S683" s="1"/>
      <c r="T683" s="1"/>
      <c r="U683" s="1"/>
      <c r="V683" s="1"/>
      <c r="W683" s="1"/>
      <c r="X683" s="1"/>
      <c r="Y683" s="1"/>
      <c r="Z683" s="1"/>
    </row>
    <row r="684" spans="17:26" ht="12.75" customHeight="1">
      <c r="Q684" s="23"/>
      <c r="R684" s="1"/>
      <c r="S684" s="1"/>
      <c r="T684" s="1"/>
      <c r="U684" s="1"/>
      <c r="V684" s="1"/>
      <c r="W684" s="1"/>
      <c r="X684" s="1"/>
      <c r="Y684" s="1"/>
      <c r="Z684" s="1"/>
    </row>
    <row r="685" spans="17:26" ht="12.75" customHeight="1">
      <c r="Q685" s="23"/>
      <c r="R685" s="1"/>
      <c r="S685" s="1"/>
      <c r="T685" s="1"/>
      <c r="U685" s="1"/>
      <c r="V685" s="1"/>
      <c r="W685" s="1"/>
      <c r="X685" s="1"/>
      <c r="Y685" s="1"/>
      <c r="Z685" s="1"/>
    </row>
    <row r="686" spans="17:26" ht="12.75" customHeight="1">
      <c r="Q686" s="23"/>
      <c r="R686" s="1"/>
      <c r="S686" s="1"/>
      <c r="T686" s="1"/>
      <c r="U686" s="1"/>
      <c r="V686" s="1"/>
      <c r="W686" s="1"/>
      <c r="X686" s="1"/>
      <c r="Y686" s="1"/>
      <c r="Z686" s="1"/>
    </row>
    <row r="687" spans="17:26" ht="12.75" customHeight="1">
      <c r="Q687" s="23"/>
      <c r="R687" s="1"/>
      <c r="S687" s="1"/>
      <c r="T687" s="1"/>
      <c r="U687" s="1"/>
      <c r="V687" s="1"/>
      <c r="W687" s="1"/>
      <c r="X687" s="1"/>
      <c r="Y687" s="1"/>
      <c r="Z687" s="1"/>
    </row>
    <row r="688" spans="17:26" ht="12.75" customHeight="1">
      <c r="Q688" s="23"/>
      <c r="R688" s="1"/>
      <c r="S688" s="1"/>
      <c r="T688" s="1"/>
      <c r="U688" s="1"/>
      <c r="V688" s="1"/>
      <c r="W688" s="1"/>
      <c r="X688" s="1"/>
      <c r="Y688" s="1"/>
      <c r="Z688" s="1"/>
    </row>
    <row r="689" spans="17:26" ht="12.75" customHeight="1">
      <c r="Q689" s="23"/>
      <c r="R689" s="1"/>
      <c r="S689" s="1"/>
      <c r="T689" s="1"/>
      <c r="U689" s="1"/>
      <c r="V689" s="1"/>
      <c r="W689" s="1"/>
      <c r="X689" s="1"/>
      <c r="Y689" s="1"/>
      <c r="Z689" s="1"/>
    </row>
    <row r="690" spans="17:26" ht="12.75" customHeight="1">
      <c r="Q690" s="23"/>
      <c r="R690" s="1"/>
      <c r="S690" s="1"/>
      <c r="T690" s="1"/>
      <c r="U690" s="1"/>
      <c r="V690" s="1"/>
      <c r="W690" s="1"/>
      <c r="X690" s="1"/>
      <c r="Y690" s="1"/>
      <c r="Z690" s="1"/>
    </row>
    <row r="691" spans="17:26" ht="12.75" customHeight="1">
      <c r="Q691" s="23"/>
      <c r="R691" s="1"/>
      <c r="S691" s="1"/>
      <c r="T691" s="1"/>
      <c r="U691" s="1"/>
      <c r="V691" s="1"/>
      <c r="W691" s="1"/>
      <c r="X691" s="1"/>
      <c r="Y691" s="1"/>
      <c r="Z691" s="1"/>
    </row>
    <row r="692" spans="17:26" ht="12.75" customHeight="1">
      <c r="Q692" s="23"/>
      <c r="R692" s="1"/>
      <c r="S692" s="1"/>
      <c r="T692" s="1"/>
      <c r="U692" s="1"/>
      <c r="V692" s="1"/>
      <c r="W692" s="1"/>
      <c r="X692" s="1"/>
      <c r="Y692" s="1"/>
      <c r="Z692" s="1"/>
    </row>
    <row r="693" spans="17:26" ht="12.75" customHeight="1">
      <c r="Q693" s="23"/>
      <c r="R693" s="1"/>
      <c r="S693" s="1"/>
      <c r="T693" s="1"/>
      <c r="U693" s="1"/>
      <c r="V693" s="1"/>
      <c r="W693" s="1"/>
      <c r="X693" s="1"/>
      <c r="Y693" s="1"/>
      <c r="Z693" s="1"/>
    </row>
    <row r="694" spans="17:26" ht="12.75" customHeight="1">
      <c r="Q694" s="23"/>
      <c r="R694" s="1"/>
      <c r="S694" s="1"/>
      <c r="T694" s="1"/>
      <c r="U694" s="1"/>
      <c r="V694" s="1"/>
      <c r="W694" s="1"/>
      <c r="X694" s="1"/>
      <c r="Y694" s="1"/>
      <c r="Z694" s="1"/>
    </row>
    <row r="695" spans="17:26" ht="12.75" customHeight="1">
      <c r="Q695" s="23"/>
      <c r="R695" s="1"/>
      <c r="S695" s="1"/>
      <c r="T695" s="1"/>
      <c r="U695" s="1"/>
      <c r="V695" s="1"/>
      <c r="W695" s="1"/>
      <c r="X695" s="1"/>
      <c r="Y695" s="1"/>
      <c r="Z695" s="1"/>
    </row>
    <row r="696" spans="17:26">
      <c r="Q696" s="23"/>
      <c r="R696" s="1"/>
      <c r="S696" s="1"/>
      <c r="T696" s="1"/>
      <c r="U696" s="1"/>
      <c r="V696" s="1"/>
      <c r="W696" s="1"/>
      <c r="X696" s="1"/>
      <c r="Y696" s="1"/>
      <c r="Z696" s="1"/>
    </row>
    <row r="697" spans="17:26">
      <c r="Q697" s="23"/>
      <c r="R697" s="1"/>
      <c r="S697" s="1"/>
      <c r="T697" s="1"/>
      <c r="U697" s="1"/>
      <c r="V697" s="1"/>
      <c r="W697" s="1"/>
      <c r="X697" s="1"/>
      <c r="Y697" s="1"/>
      <c r="Z697" s="1"/>
    </row>
    <row r="698" spans="17:26">
      <c r="Q698" s="23"/>
      <c r="R698" s="1"/>
      <c r="S698" s="1"/>
      <c r="T698" s="1"/>
      <c r="U698" s="1"/>
      <c r="V698" s="1"/>
      <c r="W698" s="1"/>
      <c r="X698" s="1"/>
      <c r="Y698" s="1"/>
      <c r="Z698" s="1"/>
    </row>
    <row r="699" spans="17:26">
      <c r="Q699" s="23"/>
      <c r="R699" s="1"/>
      <c r="S699" s="1"/>
      <c r="T699" s="1"/>
      <c r="U699" s="1"/>
      <c r="V699" s="1"/>
      <c r="W699" s="1"/>
      <c r="X699" s="1"/>
      <c r="Y699" s="1"/>
      <c r="Z699" s="1"/>
    </row>
    <row r="700" spans="17:26">
      <c r="Q700" s="23"/>
      <c r="R700" s="1"/>
      <c r="S700" s="1"/>
      <c r="T700" s="1"/>
      <c r="U700" s="1"/>
      <c r="V700" s="1"/>
      <c r="W700" s="1"/>
      <c r="X700" s="1"/>
      <c r="Y700" s="1"/>
      <c r="Z700" s="1"/>
    </row>
    <row r="701" spans="17:26">
      <c r="Q701" s="23"/>
      <c r="R701" s="1"/>
      <c r="S701" s="1"/>
      <c r="T701" s="1"/>
      <c r="U701" s="1"/>
      <c r="V701" s="1"/>
      <c r="W701" s="1"/>
      <c r="X701" s="1"/>
      <c r="Y701" s="1"/>
      <c r="Z701" s="1"/>
    </row>
    <row r="702" spans="17:26">
      <c r="Q702" s="23"/>
      <c r="R702" s="1"/>
      <c r="S702" s="1"/>
      <c r="T702" s="1"/>
      <c r="U702" s="1"/>
      <c r="V702" s="1"/>
      <c r="W702" s="1"/>
      <c r="X702" s="1"/>
      <c r="Y702" s="1"/>
      <c r="Z702" s="1"/>
    </row>
    <row r="703" spans="17:26">
      <c r="Q703" s="23"/>
      <c r="R703" s="1"/>
      <c r="S703" s="1"/>
      <c r="T703" s="1"/>
      <c r="U703" s="1"/>
      <c r="V703" s="1"/>
      <c r="W703" s="1"/>
      <c r="X703" s="1"/>
      <c r="Y703" s="1"/>
      <c r="Z703" s="1"/>
    </row>
    <row r="704" spans="17:26">
      <c r="Q704" s="23"/>
      <c r="R704" s="1"/>
      <c r="S704" s="1"/>
      <c r="T704" s="1"/>
      <c r="U704" s="1"/>
      <c r="V704" s="1"/>
      <c r="W704" s="1"/>
      <c r="X704" s="1"/>
      <c r="Y704" s="1"/>
      <c r="Z704" s="1"/>
    </row>
    <row r="705" spans="17:26">
      <c r="Q705" s="23"/>
      <c r="R705" s="1"/>
      <c r="S705" s="1"/>
      <c r="T705" s="1"/>
      <c r="U705" s="1"/>
      <c r="V705" s="1"/>
      <c r="W705" s="1"/>
      <c r="X705" s="1"/>
      <c r="Y705" s="1"/>
      <c r="Z705" s="1"/>
    </row>
    <row r="706" spans="17:26">
      <c r="Q706" s="23"/>
      <c r="R706" s="1"/>
      <c r="S706" s="1"/>
      <c r="T706" s="1"/>
      <c r="U706" s="1"/>
      <c r="V706" s="1"/>
      <c r="W706" s="1"/>
      <c r="X706" s="1"/>
      <c r="Y706" s="1"/>
      <c r="Z706" s="1"/>
    </row>
    <row r="707" spans="17:26">
      <c r="Q707" s="23"/>
      <c r="R707" s="1"/>
      <c r="S707" s="1"/>
      <c r="T707" s="1"/>
      <c r="U707" s="1"/>
      <c r="V707" s="1"/>
      <c r="W707" s="1"/>
      <c r="X707" s="1"/>
      <c r="Y707" s="1"/>
      <c r="Z707" s="1"/>
    </row>
    <row r="708" spans="17:26">
      <c r="Q708" s="23"/>
      <c r="R708" s="1"/>
      <c r="S708" s="1"/>
      <c r="T708" s="1"/>
      <c r="U708" s="1"/>
      <c r="V708" s="1"/>
      <c r="W708" s="1"/>
      <c r="X708" s="1"/>
      <c r="Y708" s="1"/>
      <c r="Z708" s="1"/>
    </row>
    <row r="709" spans="17:26">
      <c r="Q709" s="23"/>
      <c r="R709" s="1"/>
      <c r="S709" s="1"/>
      <c r="T709" s="1"/>
      <c r="U709" s="1"/>
      <c r="V709" s="1"/>
      <c r="W709" s="1"/>
      <c r="X709" s="1"/>
      <c r="Y709" s="1"/>
      <c r="Z709" s="1"/>
    </row>
    <row r="710" spans="17:26">
      <c r="Q710" s="23"/>
      <c r="R710" s="1"/>
      <c r="S710" s="1"/>
      <c r="T710" s="1"/>
      <c r="U710" s="1"/>
      <c r="V710" s="1"/>
      <c r="W710" s="1"/>
      <c r="X710" s="1"/>
      <c r="Y710" s="1"/>
      <c r="Z710" s="1"/>
    </row>
    <row r="711" spans="17:26">
      <c r="Q711" s="23"/>
      <c r="R711" s="1"/>
      <c r="S711" s="1"/>
      <c r="T711" s="1"/>
      <c r="U711" s="1"/>
      <c r="V711" s="1"/>
      <c r="W711" s="1"/>
      <c r="X711" s="1"/>
      <c r="Y711" s="1"/>
      <c r="Z711" s="1"/>
    </row>
    <row r="712" spans="17:26">
      <c r="Q712" s="23"/>
      <c r="R712" s="1"/>
      <c r="S712" s="1"/>
      <c r="T712" s="1"/>
      <c r="U712" s="1"/>
      <c r="V712" s="1"/>
      <c r="W712" s="1"/>
      <c r="X712" s="1"/>
      <c r="Y712" s="1"/>
      <c r="Z712" s="1"/>
    </row>
    <row r="713" spans="17:26">
      <c r="Q713" s="23"/>
      <c r="R713" s="1"/>
      <c r="S713" s="1"/>
      <c r="T713" s="1"/>
      <c r="U713" s="1"/>
      <c r="V713" s="1"/>
      <c r="W713" s="1"/>
      <c r="X713" s="1"/>
      <c r="Y713" s="1"/>
      <c r="Z713" s="1"/>
    </row>
    <row r="714" spans="17:26">
      <c r="Q714" s="23"/>
      <c r="R714" s="1"/>
      <c r="S714" s="1"/>
      <c r="T714" s="1"/>
      <c r="U714" s="1"/>
      <c r="V714" s="1"/>
      <c r="W714" s="1"/>
      <c r="X714" s="1"/>
      <c r="Y714" s="1"/>
      <c r="Z714" s="1"/>
    </row>
    <row r="715" spans="17:26">
      <c r="Q715" s="23"/>
      <c r="R715" s="1"/>
      <c r="S715" s="1"/>
      <c r="T715" s="1"/>
      <c r="U715" s="1"/>
      <c r="V715" s="1"/>
      <c r="W715" s="1"/>
      <c r="X715" s="1"/>
      <c r="Y715" s="1"/>
      <c r="Z715" s="1"/>
    </row>
    <row r="716" spans="17:26">
      <c r="Q716" s="23"/>
      <c r="R716" s="1"/>
      <c r="S716" s="1"/>
      <c r="T716" s="1"/>
      <c r="U716" s="1"/>
      <c r="V716" s="1"/>
      <c r="W716" s="1"/>
      <c r="X716" s="1"/>
      <c r="Y716" s="1"/>
      <c r="Z716" s="1"/>
    </row>
    <row r="717" spans="17:26">
      <c r="Q717" s="23"/>
      <c r="R717" s="1"/>
      <c r="S717" s="1"/>
      <c r="T717" s="1"/>
      <c r="U717" s="1"/>
      <c r="V717" s="1"/>
      <c r="W717" s="1"/>
      <c r="X717" s="1"/>
      <c r="Y717" s="1"/>
      <c r="Z717" s="1"/>
    </row>
    <row r="718" spans="17:26">
      <c r="Q718" s="23"/>
      <c r="R718" s="1"/>
      <c r="S718" s="1"/>
      <c r="T718" s="1"/>
      <c r="U718" s="1"/>
      <c r="V718" s="1"/>
      <c r="W718" s="1"/>
      <c r="X718" s="1"/>
      <c r="Y718" s="1"/>
      <c r="Z718" s="1"/>
    </row>
    <row r="719" spans="17:26">
      <c r="Q719" s="23"/>
      <c r="R719" s="1"/>
      <c r="S719" s="1"/>
      <c r="T719" s="1"/>
      <c r="U719" s="1"/>
      <c r="V719" s="1"/>
      <c r="W719" s="1"/>
      <c r="X719" s="1"/>
      <c r="Y719" s="1"/>
      <c r="Z719" s="1"/>
    </row>
    <row r="720" spans="17:26">
      <c r="Q720" s="23"/>
      <c r="R720" s="1"/>
      <c r="S720" s="1"/>
      <c r="T720" s="1"/>
      <c r="U720" s="1"/>
      <c r="V720" s="1"/>
      <c r="W720" s="1"/>
      <c r="X720" s="1"/>
      <c r="Y720" s="1"/>
      <c r="Z720" s="1"/>
    </row>
    <row r="721" spans="17:26">
      <c r="Q721" s="23"/>
      <c r="R721" s="1"/>
      <c r="S721" s="1"/>
      <c r="T721" s="1"/>
      <c r="U721" s="1"/>
      <c r="V721" s="1"/>
      <c r="W721" s="1"/>
      <c r="X721" s="1"/>
      <c r="Y721" s="1"/>
      <c r="Z721" s="1"/>
    </row>
    <row r="722" spans="17:26">
      <c r="Q722" s="23"/>
      <c r="R722" s="1"/>
      <c r="S722" s="1"/>
      <c r="T722" s="1"/>
      <c r="U722" s="1"/>
      <c r="V722" s="1"/>
      <c r="W722" s="1"/>
      <c r="X722" s="1"/>
      <c r="Y722" s="1"/>
      <c r="Z722" s="1"/>
    </row>
    <row r="723" spans="17:26">
      <c r="Q723" s="23"/>
      <c r="R723" s="1"/>
      <c r="S723" s="1"/>
      <c r="T723" s="1"/>
      <c r="U723" s="1"/>
      <c r="V723" s="1"/>
      <c r="W723" s="1"/>
      <c r="X723" s="1"/>
      <c r="Y723" s="1"/>
      <c r="Z723" s="1"/>
    </row>
    <row r="724" spans="17:26">
      <c r="Q724" s="23"/>
      <c r="R724" s="1"/>
      <c r="S724" s="1"/>
      <c r="T724" s="1"/>
      <c r="U724" s="1"/>
      <c r="V724" s="1"/>
      <c r="W724" s="1"/>
      <c r="X724" s="1"/>
      <c r="Y724" s="1"/>
      <c r="Z724" s="1"/>
    </row>
    <row r="725" spans="17:26">
      <c r="Q725" s="23"/>
      <c r="R725" s="1"/>
      <c r="S725" s="1"/>
      <c r="T725" s="1"/>
      <c r="U725" s="1"/>
      <c r="V725" s="1"/>
      <c r="W725" s="1"/>
      <c r="X725" s="1"/>
      <c r="Y725" s="1"/>
      <c r="Z725" s="1"/>
    </row>
    <row r="726" spans="17:26">
      <c r="Q726" s="23"/>
      <c r="R726" s="1"/>
      <c r="S726" s="1"/>
      <c r="T726" s="1"/>
      <c r="U726" s="1"/>
      <c r="V726" s="1"/>
      <c r="W726" s="1"/>
      <c r="X726" s="1"/>
      <c r="Y726" s="1"/>
      <c r="Z726" s="1"/>
    </row>
    <row r="727" spans="17:26">
      <c r="Q727" s="23"/>
      <c r="R727" s="1"/>
      <c r="S727" s="1"/>
      <c r="T727" s="1"/>
      <c r="U727" s="1"/>
      <c r="V727" s="1"/>
      <c r="W727" s="1"/>
      <c r="X727" s="1"/>
      <c r="Y727" s="1"/>
      <c r="Z727" s="1"/>
    </row>
    <row r="728" spans="17:26">
      <c r="Q728" s="23"/>
      <c r="R728" s="1"/>
      <c r="S728" s="1"/>
      <c r="T728" s="1"/>
      <c r="U728" s="1"/>
      <c r="V728" s="1"/>
      <c r="W728" s="1"/>
      <c r="X728" s="1"/>
      <c r="Y728" s="1"/>
      <c r="Z728" s="1"/>
    </row>
    <row r="729" spans="17:26">
      <c r="Q729" s="23"/>
      <c r="R729" s="1"/>
      <c r="S729" s="1"/>
      <c r="T729" s="1"/>
      <c r="U729" s="1"/>
      <c r="V729" s="1"/>
      <c r="W729" s="1"/>
      <c r="X729" s="1"/>
      <c r="Y729" s="1"/>
      <c r="Z729" s="1"/>
    </row>
    <row r="730" spans="17:26">
      <c r="Q730" s="23"/>
      <c r="R730" s="1"/>
      <c r="S730" s="1"/>
      <c r="T730" s="1"/>
      <c r="U730" s="1"/>
      <c r="V730" s="1"/>
      <c r="W730" s="1"/>
      <c r="X730" s="1"/>
      <c r="Y730" s="1"/>
      <c r="Z730" s="1"/>
    </row>
    <row r="731" spans="17:26">
      <c r="Q731" s="23"/>
      <c r="R731" s="1"/>
      <c r="S731" s="1"/>
      <c r="T731" s="1"/>
      <c r="U731" s="1"/>
      <c r="V731" s="1"/>
      <c r="W731" s="1"/>
      <c r="X731" s="1"/>
      <c r="Y731" s="1"/>
      <c r="Z731" s="1"/>
    </row>
    <row r="732" spans="17:26">
      <c r="Q732" s="23"/>
      <c r="R732" s="1"/>
      <c r="S732" s="1"/>
      <c r="T732" s="1"/>
      <c r="U732" s="1"/>
      <c r="V732" s="1"/>
      <c r="W732" s="1"/>
      <c r="X732" s="1"/>
      <c r="Y732" s="1"/>
      <c r="Z732" s="1"/>
    </row>
    <row r="733" spans="17:26">
      <c r="Q733" s="23"/>
      <c r="R733" s="1"/>
      <c r="S733" s="1"/>
      <c r="T733" s="1"/>
      <c r="U733" s="1"/>
      <c r="V733" s="1"/>
      <c r="W733" s="1"/>
      <c r="X733" s="1"/>
      <c r="Y733" s="1"/>
      <c r="Z733" s="1"/>
    </row>
    <row r="734" spans="17:26">
      <c r="Q734" s="23"/>
      <c r="R734" s="1"/>
      <c r="S734" s="1"/>
      <c r="T734" s="1"/>
      <c r="U734" s="1"/>
      <c r="V734" s="1"/>
      <c r="W734" s="1"/>
      <c r="X734" s="1"/>
      <c r="Y734" s="1"/>
      <c r="Z734" s="1"/>
    </row>
    <row r="735" spans="17:26">
      <c r="Q735" s="23"/>
      <c r="R735" s="1"/>
      <c r="S735" s="1"/>
      <c r="T735" s="1"/>
      <c r="U735" s="1"/>
      <c r="V735" s="1"/>
      <c r="W735" s="1"/>
      <c r="X735" s="1"/>
      <c r="Y735" s="1"/>
      <c r="Z735" s="1"/>
    </row>
    <row r="736" spans="17:26">
      <c r="Q736" s="23"/>
      <c r="R736" s="1"/>
      <c r="S736" s="1"/>
      <c r="T736" s="1"/>
      <c r="U736" s="1"/>
      <c r="V736" s="1"/>
      <c r="W736" s="1"/>
      <c r="X736" s="1"/>
      <c r="Y736" s="1"/>
      <c r="Z736" s="1"/>
    </row>
    <row r="737" spans="17:26">
      <c r="Q737" s="23"/>
      <c r="R737" s="1"/>
      <c r="S737" s="1"/>
      <c r="T737" s="1"/>
      <c r="U737" s="1"/>
      <c r="V737" s="1"/>
      <c r="W737" s="1"/>
      <c r="X737" s="1"/>
      <c r="Y737" s="1"/>
      <c r="Z737" s="1"/>
    </row>
    <row r="738" spans="17:26">
      <c r="Q738" s="23"/>
      <c r="R738" s="1"/>
      <c r="S738" s="1"/>
      <c r="T738" s="1"/>
      <c r="U738" s="1"/>
      <c r="V738" s="1"/>
      <c r="W738" s="1"/>
      <c r="X738" s="1"/>
      <c r="Y738" s="1"/>
      <c r="Z738" s="1"/>
    </row>
    <row r="739" spans="17:26">
      <c r="Q739" s="23"/>
      <c r="R739" s="1"/>
      <c r="S739" s="1"/>
      <c r="T739" s="1"/>
      <c r="U739" s="1"/>
      <c r="V739" s="1"/>
      <c r="W739" s="1"/>
      <c r="X739" s="1"/>
      <c r="Y739" s="1"/>
      <c r="Z739" s="1"/>
    </row>
    <row r="740" spans="17:26">
      <c r="Q740" s="23"/>
      <c r="R740" s="1"/>
      <c r="S740" s="1"/>
      <c r="T740" s="1"/>
      <c r="U740" s="1"/>
      <c r="V740" s="1"/>
      <c r="W740" s="1"/>
      <c r="X740" s="1"/>
      <c r="Y740" s="1"/>
      <c r="Z740" s="1"/>
    </row>
    <row r="741" spans="17:26">
      <c r="Q741" s="23"/>
      <c r="R741" s="1"/>
      <c r="S741" s="1"/>
      <c r="T741" s="1"/>
      <c r="U741" s="1"/>
      <c r="V741" s="1"/>
      <c r="W741" s="1"/>
      <c r="X741" s="1"/>
      <c r="Y741" s="1"/>
      <c r="Z741" s="1"/>
    </row>
    <row r="742" spans="17:26">
      <c r="Q742" s="23"/>
      <c r="R742" s="1"/>
      <c r="S742" s="1"/>
      <c r="T742" s="1"/>
      <c r="U742" s="1"/>
      <c r="V742" s="1"/>
      <c r="W742" s="1"/>
      <c r="X742" s="1"/>
      <c r="Y742" s="1"/>
      <c r="Z742" s="1"/>
    </row>
    <row r="743" spans="17:26">
      <c r="Q743" s="23"/>
      <c r="R743" s="1"/>
      <c r="S743" s="1"/>
      <c r="T743" s="1"/>
      <c r="U743" s="1"/>
      <c r="V743" s="1"/>
      <c r="W743" s="1"/>
      <c r="X743" s="1"/>
      <c r="Y743" s="1"/>
      <c r="Z743" s="1"/>
    </row>
    <row r="744" spans="17:26">
      <c r="Q744" s="23"/>
      <c r="R744" s="1"/>
      <c r="S744" s="1"/>
      <c r="T744" s="1"/>
      <c r="U744" s="1"/>
      <c r="V744" s="1"/>
      <c r="W744" s="1"/>
      <c r="X744" s="1"/>
      <c r="Y744" s="1"/>
      <c r="Z744" s="1"/>
    </row>
    <row r="745" spans="17:26">
      <c r="Q745" s="23"/>
      <c r="R745" s="1"/>
      <c r="S745" s="1"/>
      <c r="T745" s="1"/>
      <c r="U745" s="1"/>
      <c r="V745" s="1"/>
      <c r="W745" s="1"/>
      <c r="X745" s="1"/>
      <c r="Y745" s="1"/>
      <c r="Z745" s="1"/>
    </row>
    <row r="746" spans="17:26">
      <c r="Q746" s="23"/>
      <c r="R746" s="1"/>
      <c r="S746" s="1"/>
      <c r="T746" s="1"/>
      <c r="U746" s="1"/>
      <c r="V746" s="1"/>
      <c r="W746" s="1"/>
      <c r="X746" s="1"/>
      <c r="Y746" s="1"/>
      <c r="Z746" s="1"/>
    </row>
    <row r="747" spans="17:26">
      <c r="Q747" s="23"/>
      <c r="R747" s="1"/>
      <c r="S747" s="1"/>
      <c r="T747" s="1"/>
      <c r="U747" s="1"/>
      <c r="V747" s="1"/>
      <c r="W747" s="1"/>
      <c r="X747" s="1"/>
      <c r="Y747" s="1"/>
      <c r="Z747" s="1"/>
    </row>
    <row r="748" spans="17:26">
      <c r="Q748" s="23"/>
      <c r="R748" s="1"/>
      <c r="S748" s="1"/>
      <c r="T748" s="1"/>
      <c r="U748" s="1"/>
      <c r="V748" s="1"/>
      <c r="W748" s="1"/>
      <c r="X748" s="1"/>
      <c r="Y748" s="1"/>
      <c r="Z748" s="1"/>
    </row>
    <row r="749" spans="17:26">
      <c r="Q749" s="23"/>
      <c r="R749" s="1"/>
      <c r="S749" s="1"/>
      <c r="T749" s="1"/>
      <c r="U749" s="1"/>
      <c r="V749" s="1"/>
      <c r="W749" s="1"/>
      <c r="X749" s="1"/>
      <c r="Y749" s="1"/>
      <c r="Z749" s="1"/>
    </row>
    <row r="750" spans="17:26">
      <c r="Q750" s="23"/>
      <c r="R750" s="1"/>
      <c r="S750" s="1"/>
      <c r="T750" s="1"/>
      <c r="U750" s="1"/>
      <c r="V750" s="1"/>
      <c r="W750" s="1"/>
      <c r="X750" s="1"/>
      <c r="Y750" s="1"/>
      <c r="Z750" s="1"/>
    </row>
    <row r="751" spans="17:26">
      <c r="Q751" s="23"/>
      <c r="R751" s="1"/>
      <c r="S751" s="1"/>
      <c r="T751" s="1"/>
      <c r="U751" s="1"/>
      <c r="V751" s="1"/>
      <c r="W751" s="1"/>
      <c r="X751" s="1"/>
      <c r="Y751" s="1"/>
      <c r="Z751" s="1"/>
    </row>
    <row r="752" spans="17:26">
      <c r="Q752" s="23"/>
      <c r="R752" s="1"/>
      <c r="S752" s="1"/>
      <c r="T752" s="1"/>
      <c r="U752" s="1"/>
      <c r="V752" s="1"/>
      <c r="W752" s="1"/>
      <c r="X752" s="1"/>
      <c r="Y752" s="1"/>
      <c r="Z752" s="1"/>
    </row>
    <row r="753" spans="17:26">
      <c r="Q753" s="23"/>
      <c r="R753" s="1"/>
      <c r="S753" s="1"/>
      <c r="T753" s="1"/>
      <c r="U753" s="1"/>
      <c r="V753" s="1"/>
      <c r="W753" s="1"/>
      <c r="X753" s="1"/>
      <c r="Y753" s="1"/>
      <c r="Z753" s="1"/>
    </row>
    <row r="754" spans="17:26">
      <c r="Q754" s="23"/>
      <c r="R754" s="1"/>
      <c r="S754" s="1"/>
      <c r="T754" s="1"/>
      <c r="U754" s="1"/>
      <c r="V754" s="1"/>
      <c r="W754" s="1"/>
      <c r="X754" s="1"/>
      <c r="Y754" s="1"/>
      <c r="Z754" s="1"/>
    </row>
    <row r="755" spans="17:26">
      <c r="Q755" s="23"/>
      <c r="R755" s="1"/>
      <c r="S755" s="1"/>
      <c r="T755" s="1"/>
      <c r="U755" s="1"/>
      <c r="V755" s="1"/>
      <c r="W755" s="1"/>
      <c r="X755" s="1"/>
      <c r="Y755" s="1"/>
      <c r="Z755" s="1"/>
    </row>
    <row r="756" spans="17:26">
      <c r="Q756" s="23"/>
      <c r="R756" s="1"/>
      <c r="S756" s="1"/>
      <c r="T756" s="1"/>
      <c r="U756" s="1"/>
      <c r="V756" s="1"/>
      <c r="W756" s="1"/>
      <c r="X756" s="1"/>
      <c r="Y756" s="1"/>
      <c r="Z756" s="1"/>
    </row>
    <row r="757" spans="17:26">
      <c r="Q757" s="23"/>
      <c r="R757" s="1"/>
      <c r="S757" s="1"/>
      <c r="T757" s="1"/>
      <c r="U757" s="1"/>
      <c r="V757" s="1"/>
      <c r="W757" s="1"/>
      <c r="X757" s="1"/>
      <c r="Y757" s="1"/>
      <c r="Z757" s="1"/>
    </row>
    <row r="758" spans="17:26">
      <c r="Q758" s="23"/>
      <c r="R758" s="1"/>
      <c r="S758" s="1"/>
      <c r="T758" s="1"/>
      <c r="U758" s="1"/>
      <c r="V758" s="1"/>
      <c r="W758" s="1"/>
      <c r="X758" s="1"/>
      <c r="Y758" s="1"/>
      <c r="Z758" s="1"/>
    </row>
    <row r="759" spans="17:26">
      <c r="Q759" s="23"/>
      <c r="R759" s="1"/>
      <c r="S759" s="1"/>
      <c r="T759" s="1"/>
      <c r="U759" s="1"/>
      <c r="V759" s="1"/>
      <c r="W759" s="1"/>
      <c r="X759" s="1"/>
      <c r="Y759" s="1"/>
      <c r="Z759" s="1"/>
    </row>
    <row r="760" spans="17:26">
      <c r="Q760" s="23"/>
      <c r="R760" s="1"/>
      <c r="S760" s="1"/>
      <c r="T760" s="1"/>
      <c r="U760" s="1"/>
      <c r="V760" s="1"/>
      <c r="W760" s="1"/>
      <c r="X760" s="1"/>
      <c r="Y760" s="1"/>
      <c r="Z760" s="1"/>
    </row>
    <row r="761" spans="17:26">
      <c r="Q761" s="23"/>
      <c r="R761" s="1"/>
      <c r="S761" s="1"/>
      <c r="T761" s="1"/>
      <c r="U761" s="1"/>
      <c r="V761" s="1"/>
      <c r="W761" s="1"/>
      <c r="X761" s="1"/>
      <c r="Y761" s="1"/>
      <c r="Z761" s="1"/>
    </row>
    <row r="762" spans="17:26">
      <c r="Q762" s="23"/>
      <c r="R762" s="1"/>
      <c r="S762" s="1"/>
      <c r="T762" s="1"/>
      <c r="U762" s="1"/>
      <c r="V762" s="1"/>
      <c r="W762" s="1"/>
      <c r="X762" s="1"/>
      <c r="Y762" s="1"/>
      <c r="Z762" s="1"/>
    </row>
    <row r="763" spans="17:26">
      <c r="Q763" s="23"/>
      <c r="R763" s="1"/>
      <c r="S763" s="1"/>
      <c r="T763" s="1"/>
      <c r="U763" s="1"/>
      <c r="V763" s="1"/>
      <c r="W763" s="1"/>
      <c r="X763" s="1"/>
      <c r="Y763" s="1"/>
      <c r="Z763" s="1"/>
    </row>
    <row r="764" spans="17:26">
      <c r="Q764" s="23"/>
      <c r="R764" s="1"/>
      <c r="S764" s="1"/>
      <c r="T764" s="1"/>
      <c r="U764" s="1"/>
      <c r="V764" s="1"/>
      <c r="W764" s="1"/>
      <c r="X764" s="1"/>
      <c r="Y764" s="1"/>
      <c r="Z764" s="1"/>
    </row>
    <row r="765" spans="17:26">
      <c r="Q765" s="23"/>
      <c r="R765" s="1"/>
      <c r="S765" s="1"/>
      <c r="T765" s="1"/>
      <c r="U765" s="1"/>
      <c r="V765" s="1"/>
      <c r="W765" s="1"/>
      <c r="X765" s="1"/>
      <c r="Y765" s="1"/>
      <c r="Z765" s="1"/>
    </row>
    <row r="766" spans="17:26">
      <c r="Q766" s="23"/>
      <c r="R766" s="1"/>
      <c r="S766" s="1"/>
      <c r="T766" s="1"/>
      <c r="U766" s="1"/>
      <c r="V766" s="1"/>
      <c r="W766" s="1"/>
      <c r="X766" s="1"/>
      <c r="Y766" s="1"/>
      <c r="Z766" s="1"/>
    </row>
    <row r="767" spans="17:26">
      <c r="Q767" s="23"/>
      <c r="R767" s="1"/>
      <c r="S767" s="1"/>
      <c r="T767" s="1"/>
      <c r="U767" s="1"/>
      <c r="V767" s="1"/>
      <c r="W767" s="1"/>
      <c r="X767" s="1"/>
      <c r="Y767" s="1"/>
      <c r="Z767" s="1"/>
    </row>
    <row r="768" spans="17:26">
      <c r="Q768" s="23"/>
      <c r="R768" s="1"/>
      <c r="S768" s="1"/>
      <c r="T768" s="1"/>
      <c r="U768" s="1"/>
      <c r="V768" s="1"/>
      <c r="W768" s="1"/>
      <c r="X768" s="1"/>
      <c r="Y768" s="1"/>
      <c r="Z768" s="1"/>
    </row>
    <row r="769" spans="17:26">
      <c r="Q769" s="23"/>
      <c r="R769" s="1"/>
      <c r="S769" s="1"/>
      <c r="T769" s="1"/>
      <c r="U769" s="1"/>
      <c r="V769" s="1"/>
      <c r="W769" s="1"/>
      <c r="X769" s="1"/>
      <c r="Y769" s="1"/>
      <c r="Z769" s="1"/>
    </row>
    <row r="770" spans="17:26">
      <c r="Q770" s="23"/>
      <c r="R770" s="1"/>
      <c r="S770" s="1"/>
      <c r="T770" s="1"/>
      <c r="U770" s="1"/>
      <c r="V770" s="1"/>
      <c r="W770" s="1"/>
      <c r="X770" s="1"/>
      <c r="Y770" s="1"/>
      <c r="Z770" s="1"/>
    </row>
    <row r="771" spans="17:26">
      <c r="Q771" s="23"/>
      <c r="R771" s="1"/>
      <c r="S771" s="1"/>
      <c r="T771" s="1"/>
      <c r="U771" s="1"/>
      <c r="V771" s="1"/>
      <c r="W771" s="1"/>
      <c r="X771" s="1"/>
      <c r="Y771" s="1"/>
      <c r="Z771" s="1"/>
    </row>
    <row r="772" spans="17:26">
      <c r="Q772" s="23"/>
      <c r="R772" s="1"/>
      <c r="S772" s="1"/>
      <c r="T772" s="1"/>
      <c r="U772" s="1"/>
      <c r="V772" s="1"/>
      <c r="W772" s="1"/>
      <c r="X772" s="1"/>
      <c r="Y772" s="1"/>
      <c r="Z772" s="1"/>
    </row>
    <row r="773" spans="17:26">
      <c r="Q773" s="23"/>
      <c r="R773" s="1"/>
      <c r="S773" s="1"/>
      <c r="T773" s="1"/>
      <c r="U773" s="1"/>
      <c r="V773" s="1"/>
      <c r="W773" s="1"/>
      <c r="X773" s="1"/>
      <c r="Y773" s="1"/>
      <c r="Z773" s="1"/>
    </row>
    <row r="774" spans="17:26">
      <c r="Q774" s="23"/>
      <c r="R774" s="1"/>
      <c r="S774" s="1"/>
      <c r="T774" s="1"/>
      <c r="U774" s="1"/>
      <c r="V774" s="1"/>
      <c r="W774" s="1"/>
      <c r="X774" s="1"/>
      <c r="Y774" s="1"/>
      <c r="Z774" s="1"/>
    </row>
    <row r="775" spans="17:26">
      <c r="Q775" s="23"/>
      <c r="R775" s="1"/>
      <c r="S775" s="1"/>
      <c r="T775" s="1"/>
      <c r="U775" s="1"/>
      <c r="V775" s="1"/>
      <c r="W775" s="1"/>
      <c r="X775" s="1"/>
      <c r="Y775" s="1"/>
      <c r="Z775" s="1"/>
    </row>
    <row r="776" spans="17:26">
      <c r="Q776" s="23"/>
      <c r="R776" s="1"/>
      <c r="S776" s="1"/>
      <c r="T776" s="1"/>
      <c r="U776" s="1"/>
      <c r="V776" s="1"/>
      <c r="W776" s="1"/>
      <c r="X776" s="1"/>
      <c r="Y776" s="1"/>
      <c r="Z776" s="1"/>
    </row>
    <row r="777" spans="17:26">
      <c r="Q777" s="23"/>
      <c r="R777" s="1"/>
      <c r="S777" s="1"/>
      <c r="T777" s="1"/>
      <c r="U777" s="1"/>
      <c r="V777" s="1"/>
      <c r="W777" s="1"/>
      <c r="X777" s="1"/>
      <c r="Y777" s="1"/>
      <c r="Z777" s="1"/>
    </row>
    <row r="778" spans="17:26">
      <c r="Q778" s="23"/>
      <c r="R778" s="1"/>
      <c r="S778" s="1"/>
      <c r="T778" s="1"/>
      <c r="U778" s="1"/>
      <c r="V778" s="1"/>
      <c r="W778" s="1"/>
      <c r="X778" s="1"/>
      <c r="Y778" s="1"/>
      <c r="Z778" s="1"/>
    </row>
    <row r="779" spans="17:26">
      <c r="Q779" s="23"/>
      <c r="R779" s="1"/>
      <c r="S779" s="1"/>
      <c r="T779" s="1"/>
      <c r="U779" s="1"/>
      <c r="V779" s="1"/>
      <c r="W779" s="1"/>
      <c r="X779" s="1"/>
      <c r="Y779" s="1"/>
      <c r="Z779" s="1"/>
    </row>
    <row r="780" spans="17:26">
      <c r="Q780" s="23"/>
      <c r="R780" s="1"/>
      <c r="S780" s="1"/>
      <c r="T780" s="1"/>
      <c r="U780" s="1"/>
      <c r="V780" s="1"/>
      <c r="W780" s="1"/>
      <c r="X780" s="1"/>
      <c r="Y780" s="1"/>
      <c r="Z780" s="1"/>
    </row>
    <row r="781" spans="17:26">
      <c r="Q781" s="23"/>
      <c r="R781" s="1"/>
      <c r="S781" s="1"/>
      <c r="T781" s="1"/>
      <c r="U781" s="1"/>
      <c r="V781" s="1"/>
      <c r="W781" s="1"/>
      <c r="X781" s="1"/>
      <c r="Y781" s="1"/>
      <c r="Z781" s="1"/>
    </row>
    <row r="782" spans="17:26">
      <c r="Q782" s="23"/>
      <c r="R782" s="1"/>
      <c r="S782" s="1"/>
      <c r="T782" s="1"/>
      <c r="U782" s="1"/>
      <c r="V782" s="1"/>
      <c r="W782" s="1"/>
      <c r="X782" s="1"/>
      <c r="Y782" s="1"/>
      <c r="Z782" s="1"/>
    </row>
    <row r="783" spans="17:26">
      <c r="Q783" s="23"/>
      <c r="R783" s="1"/>
      <c r="S783" s="1"/>
      <c r="T783" s="1"/>
      <c r="U783" s="1"/>
      <c r="V783" s="1"/>
      <c r="W783" s="1"/>
      <c r="X783" s="1"/>
      <c r="Y783" s="1"/>
      <c r="Z783" s="1"/>
    </row>
    <row r="784" spans="17:26">
      <c r="Q784" s="23"/>
      <c r="R784" s="1"/>
      <c r="S784" s="1"/>
      <c r="T784" s="1"/>
      <c r="U784" s="1"/>
      <c r="V784" s="1"/>
      <c r="W784" s="1"/>
      <c r="X784" s="1"/>
      <c r="Y784" s="1"/>
      <c r="Z784" s="1"/>
    </row>
    <row r="785" spans="17:26">
      <c r="Q785" s="23"/>
      <c r="R785" s="1"/>
      <c r="S785" s="1"/>
      <c r="T785" s="1"/>
      <c r="U785" s="1"/>
      <c r="V785" s="1"/>
      <c r="W785" s="1"/>
      <c r="X785" s="1"/>
      <c r="Y785" s="1"/>
      <c r="Z785" s="1"/>
    </row>
    <row r="786" spans="17:26">
      <c r="Q786" s="23"/>
      <c r="R786" s="1"/>
      <c r="S786" s="1"/>
      <c r="T786" s="1"/>
      <c r="U786" s="1"/>
      <c r="V786" s="1"/>
      <c r="W786" s="1"/>
      <c r="X786" s="1"/>
      <c r="Y786" s="1"/>
      <c r="Z786" s="1"/>
    </row>
    <row r="787" spans="17:26">
      <c r="Q787" s="23"/>
      <c r="R787" s="1"/>
      <c r="S787" s="1"/>
      <c r="T787" s="1"/>
      <c r="U787" s="1"/>
      <c r="V787" s="1"/>
      <c r="W787" s="1"/>
      <c r="X787" s="1"/>
      <c r="Y787" s="1"/>
      <c r="Z787" s="1"/>
    </row>
    <row r="788" spans="17:26">
      <c r="Q788" s="23"/>
      <c r="R788" s="1"/>
      <c r="S788" s="1"/>
      <c r="T788" s="1"/>
      <c r="U788" s="1"/>
      <c r="V788" s="1"/>
      <c r="W788" s="1"/>
      <c r="X788" s="1"/>
      <c r="Y788" s="1"/>
      <c r="Z788" s="1"/>
    </row>
    <row r="789" spans="17:26">
      <c r="Q789" s="23"/>
      <c r="R789" s="1"/>
      <c r="S789" s="1"/>
      <c r="T789" s="1"/>
      <c r="U789" s="1"/>
      <c r="V789" s="1"/>
      <c r="W789" s="1"/>
      <c r="X789" s="1"/>
      <c r="Y789" s="1"/>
      <c r="Z789" s="1"/>
    </row>
    <row r="790" spans="17:26">
      <c r="Q790" s="23"/>
      <c r="R790" s="1"/>
      <c r="S790" s="1"/>
      <c r="T790" s="1"/>
      <c r="U790" s="1"/>
      <c r="V790" s="1"/>
      <c r="W790" s="1"/>
      <c r="X790" s="1"/>
      <c r="Y790" s="1"/>
      <c r="Z790" s="1"/>
    </row>
    <row r="791" spans="17:26">
      <c r="Q791" s="23"/>
      <c r="R791" s="1"/>
      <c r="S791" s="1"/>
      <c r="T791" s="1"/>
      <c r="U791" s="1"/>
      <c r="V791" s="1"/>
      <c r="W791" s="1"/>
      <c r="X791" s="1"/>
      <c r="Y791" s="1"/>
      <c r="Z791" s="1"/>
    </row>
    <row r="792" spans="17:26">
      <c r="Q792" s="23"/>
      <c r="R792" s="1"/>
      <c r="S792" s="1"/>
      <c r="T792" s="1"/>
      <c r="U792" s="1"/>
      <c r="V792" s="1"/>
      <c r="W792" s="1"/>
      <c r="X792" s="1"/>
      <c r="Y792" s="1"/>
      <c r="Z792" s="1"/>
    </row>
    <row r="793" spans="17:26">
      <c r="Q793" s="23"/>
      <c r="R793" s="1"/>
      <c r="S793" s="1"/>
      <c r="T793" s="1"/>
      <c r="U793" s="1"/>
      <c r="V793" s="1"/>
      <c r="W793" s="1"/>
      <c r="X793" s="1"/>
      <c r="Y793" s="1"/>
      <c r="Z793" s="1"/>
    </row>
    <row r="794" spans="17:26">
      <c r="Q794" s="23"/>
      <c r="R794" s="1"/>
      <c r="S794" s="1"/>
      <c r="T794" s="1"/>
      <c r="U794" s="1"/>
      <c r="V794" s="1"/>
      <c r="W794" s="1"/>
      <c r="X794" s="1"/>
      <c r="Y794" s="1"/>
      <c r="Z794" s="1"/>
    </row>
    <row r="795" spans="17:26">
      <c r="Q795" s="23"/>
      <c r="R795" s="1"/>
      <c r="S795" s="1"/>
      <c r="T795" s="1"/>
      <c r="U795" s="1"/>
      <c r="V795" s="1"/>
      <c r="W795" s="1"/>
      <c r="X795" s="1"/>
      <c r="Y795" s="1"/>
      <c r="Z795" s="1"/>
    </row>
    <row r="796" spans="17:26">
      <c r="Q796" s="23"/>
      <c r="R796" s="1"/>
      <c r="S796" s="1"/>
      <c r="T796" s="1"/>
      <c r="U796" s="1"/>
      <c r="V796" s="1"/>
      <c r="W796" s="1"/>
      <c r="X796" s="1"/>
      <c r="Y796" s="1"/>
      <c r="Z796" s="1"/>
    </row>
    <row r="797" spans="17:26">
      <c r="Q797" s="23"/>
      <c r="R797" s="1"/>
      <c r="S797" s="1"/>
      <c r="T797" s="1"/>
      <c r="U797" s="1"/>
      <c r="V797" s="1"/>
      <c r="W797" s="1"/>
      <c r="X797" s="1"/>
      <c r="Y797" s="1"/>
      <c r="Z797" s="1"/>
    </row>
    <row r="798" spans="17:26">
      <c r="Q798" s="23"/>
      <c r="R798" s="1"/>
      <c r="S798" s="1"/>
      <c r="T798" s="1"/>
      <c r="U798" s="1"/>
      <c r="V798" s="1"/>
      <c r="W798" s="1"/>
      <c r="X798" s="1"/>
      <c r="Y798" s="1"/>
      <c r="Z798" s="1"/>
    </row>
    <row r="799" spans="17:26">
      <c r="Q799" s="23"/>
      <c r="R799" s="1"/>
      <c r="S799" s="1"/>
      <c r="T799" s="1"/>
      <c r="U799" s="1"/>
      <c r="V799" s="1"/>
      <c r="W799" s="1"/>
      <c r="X799" s="1"/>
      <c r="Y799" s="1"/>
      <c r="Z799" s="1"/>
    </row>
    <row r="800" spans="17:26">
      <c r="Q800" s="23"/>
      <c r="R800" s="1"/>
      <c r="S800" s="1"/>
      <c r="T800" s="1"/>
      <c r="U800" s="1"/>
      <c r="V800" s="1"/>
      <c r="W800" s="1"/>
      <c r="X800" s="1"/>
      <c r="Y800" s="1"/>
      <c r="Z800" s="1"/>
    </row>
    <row r="801" spans="17:26">
      <c r="Q801" s="23"/>
      <c r="R801" s="1"/>
      <c r="S801" s="1"/>
      <c r="T801" s="1"/>
      <c r="U801" s="1"/>
      <c r="V801" s="1"/>
      <c r="W801" s="1"/>
      <c r="X801" s="1"/>
      <c r="Y801" s="1"/>
      <c r="Z801" s="1"/>
    </row>
    <row r="802" spans="17:26">
      <c r="Q802" s="23"/>
      <c r="R802" s="1"/>
      <c r="S802" s="1"/>
      <c r="T802" s="1"/>
      <c r="U802" s="1"/>
      <c r="V802" s="1"/>
      <c r="W802" s="1"/>
      <c r="X802" s="1"/>
      <c r="Y802" s="1"/>
      <c r="Z802" s="1"/>
    </row>
    <row r="803" spans="17:26">
      <c r="Q803" s="23"/>
      <c r="R803" s="1"/>
      <c r="S803" s="1"/>
      <c r="T803" s="1"/>
      <c r="U803" s="1"/>
      <c r="V803" s="1"/>
      <c r="W803" s="1"/>
      <c r="X803" s="1"/>
      <c r="Y803" s="1"/>
      <c r="Z803" s="1"/>
    </row>
    <row r="804" spans="17:26">
      <c r="Q804" s="23"/>
      <c r="R804" s="1"/>
      <c r="S804" s="1"/>
      <c r="T804" s="1"/>
      <c r="U804" s="1"/>
      <c r="V804" s="1"/>
      <c r="W804" s="1"/>
      <c r="X804" s="1"/>
      <c r="Y804" s="1"/>
      <c r="Z804" s="1"/>
    </row>
    <row r="805" spans="17:26">
      <c r="Q805" s="23"/>
      <c r="R805" s="1"/>
      <c r="S805" s="1"/>
      <c r="T805" s="1"/>
      <c r="U805" s="1"/>
      <c r="V805" s="1"/>
      <c r="W805" s="1"/>
      <c r="X805" s="1"/>
      <c r="Y805" s="1"/>
      <c r="Z805" s="1"/>
    </row>
    <row r="806" spans="17:26">
      <c r="Q806" s="23"/>
      <c r="R806" s="1"/>
      <c r="S806" s="1"/>
      <c r="T806" s="1"/>
      <c r="U806" s="1"/>
      <c r="V806" s="1"/>
      <c r="W806" s="1"/>
      <c r="X806" s="1"/>
      <c r="Y806" s="1"/>
      <c r="Z806" s="1"/>
    </row>
    <row r="807" spans="17:26">
      <c r="Q807" s="23"/>
      <c r="R807" s="1"/>
      <c r="S807" s="1"/>
      <c r="T807" s="1"/>
      <c r="U807" s="1"/>
      <c r="V807" s="1"/>
      <c r="W807" s="1"/>
      <c r="X807" s="1"/>
      <c r="Y807" s="1"/>
      <c r="Z807" s="1"/>
    </row>
    <row r="808" spans="17:26">
      <c r="Q808" s="23"/>
      <c r="R808" s="1"/>
      <c r="S808" s="1"/>
      <c r="T808" s="1"/>
      <c r="U808" s="1"/>
      <c r="V808" s="1"/>
      <c r="W808" s="1"/>
      <c r="X808" s="1"/>
      <c r="Y808" s="1"/>
      <c r="Z808" s="1"/>
    </row>
    <row r="809" spans="17:26">
      <c r="Q809" s="23"/>
      <c r="R809" s="1"/>
      <c r="S809" s="1"/>
      <c r="T809" s="1"/>
      <c r="U809" s="1"/>
      <c r="V809" s="1"/>
      <c r="W809" s="1"/>
      <c r="X809" s="1"/>
      <c r="Y809" s="1"/>
      <c r="Z809" s="1"/>
    </row>
    <row r="810" spans="17:26">
      <c r="Q810" s="23"/>
      <c r="R810" s="1"/>
      <c r="S810" s="1"/>
      <c r="T810" s="1"/>
      <c r="U810" s="1"/>
      <c r="V810" s="1"/>
      <c r="W810" s="1"/>
      <c r="X810" s="1"/>
      <c r="Y810" s="1"/>
      <c r="Z810" s="1"/>
    </row>
    <row r="811" spans="17:26">
      <c r="Q811" s="23"/>
      <c r="R811" s="1"/>
      <c r="S811" s="1"/>
      <c r="T811" s="1"/>
      <c r="U811" s="1"/>
      <c r="V811" s="1"/>
      <c r="W811" s="1"/>
      <c r="X811" s="1"/>
      <c r="Y811" s="1"/>
      <c r="Z811" s="1"/>
    </row>
    <row r="812" spans="17:26">
      <c r="Q812" s="23"/>
      <c r="R812" s="1"/>
      <c r="S812" s="1"/>
      <c r="T812" s="1"/>
      <c r="U812" s="1"/>
      <c r="V812" s="1"/>
      <c r="W812" s="1"/>
      <c r="X812" s="1"/>
      <c r="Y812" s="1"/>
      <c r="Z812" s="1"/>
    </row>
    <row r="813" spans="17:26">
      <c r="Q813" s="23"/>
      <c r="R813" s="1"/>
      <c r="S813" s="1"/>
      <c r="T813" s="1"/>
      <c r="U813" s="1"/>
      <c r="V813" s="1"/>
      <c r="W813" s="1"/>
      <c r="X813" s="1"/>
      <c r="Y813" s="1"/>
      <c r="Z813" s="1"/>
    </row>
    <row r="814" spans="17:26">
      <c r="Q814" s="23"/>
      <c r="R814" s="1"/>
      <c r="S814" s="1"/>
      <c r="T814" s="1"/>
      <c r="U814" s="1"/>
      <c r="V814" s="1"/>
      <c r="W814" s="1"/>
      <c r="X814" s="1"/>
      <c r="Y814" s="1"/>
      <c r="Z814" s="1"/>
    </row>
    <row r="815" spans="17:26">
      <c r="Q815" s="23"/>
      <c r="R815" s="1"/>
      <c r="S815" s="1"/>
      <c r="T815" s="1"/>
      <c r="U815" s="1"/>
      <c r="V815" s="1"/>
      <c r="W815" s="1"/>
      <c r="X815" s="1"/>
      <c r="Y815" s="1"/>
      <c r="Z815" s="1"/>
    </row>
    <row r="816" spans="17:26">
      <c r="Q816" s="23"/>
      <c r="R816" s="1"/>
      <c r="S816" s="1"/>
      <c r="T816" s="1"/>
      <c r="U816" s="1"/>
      <c r="V816" s="1"/>
      <c r="W816" s="1"/>
      <c r="X816" s="1"/>
      <c r="Y816" s="1"/>
      <c r="Z816" s="1"/>
    </row>
    <row r="817" spans="17:26">
      <c r="Q817" s="23"/>
      <c r="R817" s="1"/>
      <c r="S817" s="1"/>
      <c r="T817" s="1"/>
      <c r="U817" s="1"/>
      <c r="V817" s="1"/>
      <c r="W817" s="1"/>
      <c r="X817" s="1"/>
      <c r="Y817" s="1"/>
      <c r="Z817" s="1"/>
    </row>
    <row r="818" spans="17:26">
      <c r="Q818" s="23"/>
      <c r="R818" s="1"/>
      <c r="S818" s="1"/>
      <c r="T818" s="1"/>
      <c r="U818" s="1"/>
      <c r="V818" s="1"/>
      <c r="W818" s="1"/>
      <c r="X818" s="1"/>
      <c r="Y818" s="1"/>
      <c r="Z818" s="1"/>
    </row>
    <row r="819" spans="17:26">
      <c r="Q819" s="23"/>
      <c r="R819" s="1"/>
      <c r="S819" s="1"/>
      <c r="T819" s="1"/>
      <c r="U819" s="1"/>
      <c r="V819" s="1"/>
      <c r="W819" s="1"/>
      <c r="X819" s="1"/>
      <c r="Y819" s="1"/>
      <c r="Z819" s="1"/>
    </row>
    <row r="820" spans="17:26">
      <c r="Q820" s="23"/>
      <c r="R820" s="1"/>
      <c r="S820" s="1"/>
      <c r="T820" s="1"/>
      <c r="U820" s="1"/>
      <c r="V820" s="1"/>
      <c r="W820" s="1"/>
      <c r="X820" s="1"/>
      <c r="Y820" s="1"/>
      <c r="Z820" s="1"/>
    </row>
    <row r="821" spans="17:26">
      <c r="Q821" s="23"/>
      <c r="R821" s="1"/>
      <c r="S821" s="1"/>
      <c r="T821" s="1"/>
      <c r="U821" s="1"/>
      <c r="V821" s="1"/>
      <c r="W821" s="1"/>
      <c r="X821" s="1"/>
      <c r="Y821" s="1"/>
      <c r="Z821" s="1"/>
    </row>
    <row r="822" spans="17:26">
      <c r="Q822" s="23"/>
      <c r="R822" s="1"/>
      <c r="S822" s="1"/>
      <c r="T822" s="1"/>
      <c r="U822" s="1"/>
      <c r="V822" s="1"/>
      <c r="W822" s="1"/>
      <c r="X822" s="1"/>
      <c r="Y822" s="1"/>
      <c r="Z822" s="1"/>
    </row>
    <row r="823" spans="17:26">
      <c r="Q823" s="23"/>
      <c r="R823" s="1"/>
      <c r="S823" s="1"/>
      <c r="T823" s="1"/>
      <c r="U823" s="1"/>
      <c r="V823" s="1"/>
      <c r="W823" s="1"/>
      <c r="X823" s="1"/>
      <c r="Y823" s="1"/>
      <c r="Z823" s="1"/>
    </row>
    <row r="824" spans="17:26">
      <c r="Q824" s="23"/>
      <c r="R824" s="1"/>
      <c r="S824" s="1"/>
      <c r="T824" s="1"/>
      <c r="U824" s="1"/>
      <c r="V824" s="1"/>
      <c r="W824" s="1"/>
      <c r="X824" s="1"/>
      <c r="Y824" s="1"/>
      <c r="Z824" s="1"/>
    </row>
    <row r="825" spans="17:26">
      <c r="Q825" s="23"/>
      <c r="R825" s="1"/>
      <c r="S825" s="1"/>
      <c r="T825" s="1"/>
      <c r="U825" s="1"/>
      <c r="V825" s="1"/>
      <c r="W825" s="1"/>
      <c r="X825" s="1"/>
      <c r="Y825" s="1"/>
      <c r="Z825" s="1"/>
    </row>
    <row r="826" spans="17:26">
      <c r="Q826" s="23"/>
      <c r="R826" s="1"/>
      <c r="S826" s="1"/>
      <c r="T826" s="1"/>
      <c r="U826" s="1"/>
      <c r="V826" s="1"/>
      <c r="W826" s="1"/>
      <c r="X826" s="1"/>
      <c r="Y826" s="1"/>
      <c r="Z826" s="1"/>
    </row>
    <row r="827" spans="17:26">
      <c r="Q827" s="23"/>
      <c r="R827" s="1"/>
      <c r="S827" s="1"/>
      <c r="T827" s="1"/>
      <c r="U827" s="1"/>
      <c r="V827" s="1"/>
      <c r="W827" s="1"/>
      <c r="X827" s="1"/>
      <c r="Y827" s="1"/>
      <c r="Z827" s="1"/>
    </row>
    <row r="828" spans="17:26">
      <c r="Q828" s="23"/>
      <c r="R828" s="1"/>
      <c r="S828" s="1"/>
      <c r="T828" s="1"/>
      <c r="U828" s="1"/>
      <c r="V828" s="1"/>
      <c r="W828" s="1"/>
      <c r="X828" s="1"/>
      <c r="Y828" s="1"/>
      <c r="Z828" s="1"/>
    </row>
    <row r="829" spans="17:26">
      <c r="Q829" s="23"/>
      <c r="R829" s="1"/>
      <c r="S829" s="1"/>
      <c r="T829" s="1"/>
      <c r="U829" s="1"/>
      <c r="V829" s="1"/>
      <c r="W829" s="1"/>
      <c r="X829" s="1"/>
      <c r="Y829" s="1"/>
      <c r="Z829" s="1"/>
    </row>
    <row r="830" spans="17:26">
      <c r="Q830" s="23"/>
      <c r="R830" s="1"/>
      <c r="S830" s="1"/>
      <c r="T830" s="1"/>
      <c r="U830" s="1"/>
      <c r="V830" s="1"/>
      <c r="W830" s="1"/>
      <c r="X830" s="1"/>
      <c r="Y830" s="1"/>
      <c r="Z830" s="1"/>
    </row>
    <row r="831" spans="17:26">
      <c r="Q831" s="23"/>
      <c r="R831" s="1"/>
      <c r="S831" s="1"/>
      <c r="T831" s="1"/>
      <c r="U831" s="1"/>
      <c r="V831" s="1"/>
      <c r="W831" s="1"/>
      <c r="X831" s="1"/>
      <c r="Y831" s="1"/>
      <c r="Z831" s="1"/>
    </row>
    <row r="832" spans="17:26">
      <c r="Q832" s="23"/>
      <c r="R832" s="1"/>
      <c r="S832" s="1"/>
      <c r="T832" s="1"/>
      <c r="U832" s="1"/>
      <c r="V832" s="1"/>
      <c r="W832" s="1"/>
      <c r="X832" s="1"/>
      <c r="Y832" s="1"/>
      <c r="Z832" s="1"/>
    </row>
    <row r="833" spans="17:26">
      <c r="Q833" s="23"/>
      <c r="R833" s="1"/>
      <c r="S833" s="1"/>
      <c r="T833" s="1"/>
      <c r="U833" s="1"/>
      <c r="V833" s="1"/>
      <c r="W833" s="1"/>
      <c r="X833" s="1"/>
      <c r="Y833" s="1"/>
      <c r="Z833" s="1"/>
    </row>
    <row r="834" spans="17:26">
      <c r="Q834" s="23"/>
      <c r="R834" s="1"/>
      <c r="S834" s="1"/>
      <c r="T834" s="1"/>
      <c r="U834" s="1"/>
      <c r="V834" s="1"/>
      <c r="W834" s="1"/>
      <c r="X834" s="1"/>
      <c r="Y834" s="1"/>
      <c r="Z834" s="1"/>
    </row>
    <row r="835" spans="17:26">
      <c r="Q835" s="23"/>
      <c r="R835" s="1"/>
      <c r="S835" s="1"/>
      <c r="T835" s="1"/>
      <c r="U835" s="1"/>
      <c r="V835" s="1"/>
      <c r="W835" s="1"/>
      <c r="X835" s="1"/>
      <c r="Y835" s="1"/>
      <c r="Z835" s="1"/>
    </row>
    <row r="836" spans="17:26">
      <c r="Q836" s="23"/>
      <c r="R836" s="1"/>
      <c r="S836" s="1"/>
      <c r="T836" s="1"/>
      <c r="U836" s="1"/>
      <c r="V836" s="1"/>
      <c r="W836" s="1"/>
      <c r="X836" s="1"/>
      <c r="Y836" s="1"/>
      <c r="Z836" s="1"/>
    </row>
    <row r="837" spans="17:26">
      <c r="Q837" s="23"/>
      <c r="R837" s="1"/>
      <c r="S837" s="1"/>
      <c r="T837" s="1"/>
      <c r="U837" s="1"/>
      <c r="V837" s="1"/>
      <c r="W837" s="1"/>
      <c r="X837" s="1"/>
      <c r="Y837" s="1"/>
      <c r="Z837" s="1"/>
    </row>
    <row r="838" spans="17:26">
      <c r="Q838" s="23"/>
      <c r="R838" s="1"/>
      <c r="S838" s="1"/>
      <c r="T838" s="1"/>
      <c r="U838" s="1"/>
      <c r="V838" s="1"/>
      <c r="W838" s="1"/>
      <c r="X838" s="1"/>
      <c r="Y838" s="1"/>
      <c r="Z838" s="1"/>
    </row>
    <row r="839" spans="17:26">
      <c r="Q839" s="23"/>
      <c r="R839" s="1"/>
      <c r="S839" s="1"/>
      <c r="T839" s="1"/>
      <c r="U839" s="1"/>
      <c r="V839" s="1"/>
      <c r="W839" s="1"/>
      <c r="X839" s="1"/>
      <c r="Y839" s="1"/>
      <c r="Z839" s="1"/>
    </row>
    <row r="840" spans="17:26">
      <c r="Q840" s="23"/>
      <c r="R840" s="1"/>
      <c r="S840" s="1"/>
      <c r="T840" s="1"/>
      <c r="U840" s="1"/>
      <c r="V840" s="1"/>
      <c r="W840" s="1"/>
      <c r="X840" s="1"/>
      <c r="Y840" s="1"/>
      <c r="Z840" s="1"/>
    </row>
    <row r="841" spans="17:26">
      <c r="Q841" s="23"/>
      <c r="R841" s="1"/>
      <c r="S841" s="1"/>
      <c r="T841" s="1"/>
      <c r="U841" s="1"/>
      <c r="V841" s="1"/>
      <c r="W841" s="1"/>
      <c r="X841" s="1"/>
      <c r="Y841" s="1"/>
      <c r="Z841" s="1"/>
    </row>
    <row r="842" spans="17:26">
      <c r="Q842" s="23"/>
      <c r="R842" s="1"/>
      <c r="S842" s="1"/>
      <c r="T842" s="1"/>
      <c r="U842" s="1"/>
      <c r="V842" s="1"/>
      <c r="W842" s="1"/>
      <c r="X842" s="1"/>
      <c r="Y842" s="1"/>
      <c r="Z842" s="1"/>
    </row>
    <row r="843" spans="17:26">
      <c r="Q843" s="23"/>
      <c r="R843" s="1"/>
      <c r="S843" s="1"/>
      <c r="T843" s="1"/>
      <c r="U843" s="1"/>
      <c r="V843" s="1"/>
      <c r="W843" s="1"/>
      <c r="X843" s="1"/>
      <c r="Y843" s="1"/>
      <c r="Z843" s="1"/>
    </row>
    <row r="844" spans="17:26">
      <c r="Q844" s="23"/>
      <c r="R844" s="1"/>
      <c r="S844" s="1"/>
      <c r="T844" s="1"/>
      <c r="U844" s="1"/>
      <c r="V844" s="1"/>
      <c r="W844" s="1"/>
      <c r="X844" s="1"/>
      <c r="Y844" s="1"/>
      <c r="Z844" s="1"/>
    </row>
    <row r="845" spans="17:26">
      <c r="Q845" s="23"/>
      <c r="R845" s="1"/>
      <c r="S845" s="1"/>
      <c r="T845" s="1"/>
      <c r="U845" s="1"/>
      <c r="V845" s="1"/>
      <c r="W845" s="1"/>
      <c r="X845" s="1"/>
      <c r="Y845" s="1"/>
      <c r="Z845" s="1"/>
    </row>
    <row r="846" spans="17:26">
      <c r="Q846" s="23"/>
      <c r="R846" s="1"/>
      <c r="S846" s="1"/>
      <c r="T846" s="1"/>
      <c r="U846" s="1"/>
      <c r="V846" s="1"/>
      <c r="W846" s="1"/>
      <c r="X846" s="1"/>
      <c r="Y846" s="1"/>
      <c r="Z846" s="1"/>
    </row>
    <row r="847" spans="17:26">
      <c r="Q847" s="23"/>
      <c r="R847" s="1"/>
      <c r="S847" s="1"/>
      <c r="T847" s="1"/>
      <c r="U847" s="1"/>
      <c r="V847" s="1"/>
      <c r="W847" s="1"/>
      <c r="X847" s="1"/>
      <c r="Y847" s="1"/>
      <c r="Z847" s="1"/>
    </row>
    <row r="848" spans="17:26">
      <c r="Q848" s="23"/>
      <c r="R848" s="1"/>
      <c r="S848" s="1"/>
      <c r="T848" s="1"/>
      <c r="U848" s="1"/>
      <c r="V848" s="1"/>
      <c r="W848" s="1"/>
      <c r="X848" s="1"/>
      <c r="Y848" s="1"/>
      <c r="Z848" s="1"/>
    </row>
    <row r="849" spans="17:26">
      <c r="Q849" s="23"/>
      <c r="R849" s="1"/>
      <c r="S849" s="1"/>
      <c r="T849" s="1"/>
      <c r="U849" s="1"/>
      <c r="V849" s="1"/>
      <c r="W849" s="1"/>
      <c r="X849" s="1"/>
      <c r="Y849" s="1"/>
      <c r="Z849" s="1"/>
    </row>
    <row r="850" spans="17:26">
      <c r="Q850" s="23"/>
      <c r="R850" s="1"/>
      <c r="S850" s="1"/>
      <c r="T850" s="1"/>
      <c r="U850" s="1"/>
      <c r="V850" s="1"/>
      <c r="W850" s="1"/>
      <c r="X850" s="1"/>
      <c r="Y850" s="1"/>
      <c r="Z850" s="1"/>
    </row>
    <row r="851" spans="17:26">
      <c r="Q851" s="23"/>
      <c r="R851" s="1"/>
      <c r="S851" s="1"/>
      <c r="T851" s="1"/>
      <c r="U851" s="1"/>
      <c r="V851" s="1"/>
      <c r="W851" s="1"/>
      <c r="X851" s="1"/>
      <c r="Y851" s="1"/>
      <c r="Z851" s="1"/>
    </row>
    <row r="852" spans="17:26">
      <c r="Q852" s="23"/>
      <c r="R852" s="1"/>
      <c r="S852" s="1"/>
      <c r="T852" s="1"/>
      <c r="U852" s="1"/>
      <c r="V852" s="1"/>
      <c r="W852" s="1"/>
      <c r="X852" s="1"/>
      <c r="Y852" s="1"/>
      <c r="Z852" s="1"/>
    </row>
    <row r="853" spans="17:26">
      <c r="Q853" s="23"/>
      <c r="R853" s="1"/>
      <c r="S853" s="1"/>
      <c r="T853" s="1"/>
      <c r="U853" s="1"/>
      <c r="V853" s="1"/>
      <c r="W853" s="1"/>
      <c r="X853" s="1"/>
      <c r="Y853" s="1"/>
      <c r="Z853" s="1"/>
    </row>
    <row r="854" spans="17:26">
      <c r="Q854" s="23"/>
      <c r="R854" s="1"/>
      <c r="S854" s="1"/>
      <c r="T854" s="1"/>
      <c r="U854" s="1"/>
      <c r="V854" s="1"/>
      <c r="W854" s="1"/>
      <c r="X854" s="1"/>
      <c r="Y854" s="1"/>
      <c r="Z854" s="1"/>
    </row>
    <row r="855" spans="17:26">
      <c r="Q855" s="23"/>
      <c r="R855" s="1"/>
      <c r="S855" s="1"/>
      <c r="T855" s="1"/>
      <c r="U855" s="1"/>
      <c r="V855" s="1"/>
      <c r="W855" s="1"/>
      <c r="X855" s="1"/>
      <c r="Y855" s="1"/>
      <c r="Z855" s="1"/>
    </row>
    <row r="856" spans="17:26">
      <c r="Q856" s="23"/>
      <c r="R856" s="1"/>
      <c r="S856" s="1"/>
      <c r="T856" s="1"/>
      <c r="U856" s="1"/>
      <c r="V856" s="1"/>
      <c r="W856" s="1"/>
      <c r="X856" s="1"/>
      <c r="Y856" s="1"/>
      <c r="Z856" s="1"/>
    </row>
    <row r="857" spans="17:26">
      <c r="Q857" s="23"/>
      <c r="R857" s="1"/>
      <c r="S857" s="1"/>
      <c r="T857" s="1"/>
      <c r="U857" s="1"/>
      <c r="V857" s="1"/>
      <c r="W857" s="1"/>
      <c r="X857" s="1"/>
      <c r="Y857" s="1"/>
      <c r="Z857" s="1"/>
    </row>
    <row r="858" spans="17:26">
      <c r="Q858" s="23"/>
      <c r="R858" s="1"/>
      <c r="S858" s="1"/>
      <c r="T858" s="1"/>
      <c r="U858" s="1"/>
      <c r="V858" s="1"/>
      <c r="W858" s="1"/>
      <c r="X858" s="1"/>
      <c r="Y858" s="1"/>
      <c r="Z858" s="1"/>
    </row>
    <row r="859" spans="17:26">
      <c r="Q859" s="23"/>
      <c r="R859" s="1"/>
      <c r="S859" s="1"/>
      <c r="T859" s="1"/>
      <c r="U859" s="1"/>
      <c r="V859" s="1"/>
      <c r="W859" s="1"/>
      <c r="X859" s="1"/>
      <c r="Y859" s="1"/>
      <c r="Z859" s="1"/>
    </row>
    <row r="860" spans="17:26">
      <c r="Q860" s="23"/>
      <c r="R860" s="1"/>
      <c r="S860" s="1"/>
      <c r="T860" s="1"/>
      <c r="U860" s="1"/>
      <c r="V860" s="1"/>
      <c r="W860" s="1"/>
      <c r="X860" s="1"/>
      <c r="Y860" s="1"/>
      <c r="Z860" s="1"/>
    </row>
    <row r="861" spans="17:26">
      <c r="Q861" s="23"/>
      <c r="R861" s="1"/>
      <c r="S861" s="1"/>
      <c r="T861" s="1"/>
      <c r="U861" s="1"/>
      <c r="V861" s="1"/>
      <c r="W861" s="1"/>
      <c r="X861" s="1"/>
      <c r="Y861" s="1"/>
      <c r="Z861" s="1"/>
    </row>
    <row r="862" spans="17:26">
      <c r="Q862" s="23"/>
      <c r="R862" s="1"/>
      <c r="S862" s="1"/>
      <c r="T862" s="1"/>
      <c r="U862" s="1"/>
      <c r="V862" s="1"/>
      <c r="W862" s="1"/>
      <c r="X862" s="1"/>
      <c r="Y862" s="1"/>
      <c r="Z862" s="1"/>
    </row>
    <row r="863" spans="17:26">
      <c r="Q863" s="23"/>
      <c r="R863" s="1"/>
      <c r="S863" s="1"/>
      <c r="T863" s="1"/>
      <c r="U863" s="1"/>
      <c r="V863" s="1"/>
      <c r="W863" s="1"/>
      <c r="X863" s="1"/>
      <c r="Y863" s="1"/>
      <c r="Z863" s="1"/>
    </row>
    <row r="864" spans="17:26">
      <c r="Q864" s="23"/>
      <c r="R864" s="1"/>
      <c r="S864" s="1"/>
      <c r="T864" s="1"/>
      <c r="U864" s="1"/>
      <c r="V864" s="1"/>
      <c r="W864" s="1"/>
      <c r="X864" s="1"/>
      <c r="Y864" s="1"/>
      <c r="Z864" s="1"/>
    </row>
    <row r="865" spans="17:26">
      <c r="Q865" s="23"/>
      <c r="R865" s="1"/>
      <c r="S865" s="1"/>
      <c r="T865" s="1"/>
      <c r="U865" s="1"/>
      <c r="V865" s="1"/>
      <c r="W865" s="1"/>
      <c r="X865" s="1"/>
      <c r="Y865" s="1"/>
      <c r="Z865" s="1"/>
    </row>
    <row r="866" spans="17:26">
      <c r="Q866" s="23"/>
      <c r="R866" s="1"/>
      <c r="S866" s="1"/>
      <c r="T866" s="1"/>
      <c r="U866" s="1"/>
      <c r="V866" s="1"/>
      <c r="W866" s="1"/>
      <c r="X866" s="1"/>
      <c r="Y866" s="1"/>
      <c r="Z866" s="1"/>
    </row>
    <row r="867" spans="17:26">
      <c r="Q867" s="23"/>
      <c r="R867" s="1"/>
      <c r="S867" s="1"/>
      <c r="T867" s="1"/>
      <c r="U867" s="1"/>
      <c r="V867" s="1"/>
      <c r="W867" s="1"/>
      <c r="X867" s="1"/>
      <c r="Y867" s="1"/>
      <c r="Z867" s="1"/>
    </row>
    <row r="868" spans="17:26">
      <c r="Q868" s="23"/>
      <c r="R868" s="1"/>
      <c r="S868" s="1"/>
      <c r="T868" s="1"/>
      <c r="U868" s="1"/>
      <c r="V868" s="1"/>
      <c r="W868" s="1"/>
      <c r="X868" s="1"/>
      <c r="Y868" s="1"/>
      <c r="Z868" s="1"/>
    </row>
    <row r="869" spans="17:26">
      <c r="Q869" s="23"/>
      <c r="R869" s="1"/>
      <c r="S869" s="1"/>
      <c r="T869" s="1"/>
      <c r="U869" s="1"/>
      <c r="V869" s="1"/>
      <c r="W869" s="1"/>
      <c r="X869" s="1"/>
      <c r="Y869" s="1"/>
      <c r="Z869" s="1"/>
    </row>
    <row r="870" spans="17:26">
      <c r="Q870" s="23"/>
      <c r="R870" s="1"/>
      <c r="S870" s="1"/>
      <c r="T870" s="1"/>
      <c r="U870" s="1"/>
      <c r="V870" s="1"/>
      <c r="W870" s="1"/>
      <c r="X870" s="1"/>
      <c r="Y870" s="1"/>
      <c r="Z870" s="1"/>
    </row>
    <row r="871" spans="17:26">
      <c r="Q871" s="23"/>
      <c r="R871" s="1"/>
      <c r="S871" s="1"/>
      <c r="T871" s="1"/>
      <c r="U871" s="1"/>
      <c r="V871" s="1"/>
      <c r="W871" s="1"/>
      <c r="X871" s="1"/>
      <c r="Y871" s="1"/>
      <c r="Z871" s="1"/>
    </row>
    <row r="872" spans="17:26">
      <c r="Q872" s="23"/>
      <c r="R872" s="1"/>
      <c r="S872" s="1"/>
      <c r="T872" s="1"/>
      <c r="U872" s="1"/>
      <c r="V872" s="1"/>
      <c r="W872" s="1"/>
      <c r="X872" s="1"/>
      <c r="Y872" s="1"/>
      <c r="Z872" s="1"/>
    </row>
    <row r="873" spans="17:26">
      <c r="Q873" s="23"/>
      <c r="R873" s="1"/>
      <c r="S873" s="1"/>
      <c r="T873" s="1"/>
      <c r="U873" s="1"/>
      <c r="V873" s="1"/>
      <c r="W873" s="1"/>
      <c r="X873" s="1"/>
      <c r="Y873" s="1"/>
      <c r="Z873" s="1"/>
    </row>
    <row r="874" spans="17:26">
      <c r="Q874" s="23"/>
      <c r="R874" s="1"/>
      <c r="S874" s="1"/>
      <c r="T874" s="1"/>
      <c r="U874" s="1"/>
      <c r="V874" s="1"/>
      <c r="W874" s="1"/>
      <c r="X874" s="1"/>
      <c r="Y874" s="1"/>
      <c r="Z874" s="1"/>
    </row>
    <row r="875" spans="17:26">
      <c r="Q875" s="23"/>
      <c r="R875" s="1"/>
      <c r="S875" s="1"/>
      <c r="T875" s="1"/>
      <c r="U875" s="1"/>
      <c r="V875" s="1"/>
      <c r="W875" s="1"/>
      <c r="X875" s="1"/>
      <c r="Y875" s="1"/>
      <c r="Z875" s="1"/>
    </row>
    <row r="876" spans="17:26">
      <c r="Q876" s="23"/>
      <c r="R876" s="1"/>
      <c r="S876" s="1"/>
      <c r="T876" s="1"/>
      <c r="U876" s="1"/>
      <c r="V876" s="1"/>
      <c r="W876" s="1"/>
      <c r="X876" s="1"/>
      <c r="Y876" s="1"/>
      <c r="Z876" s="1"/>
    </row>
    <row r="877" spans="17:26">
      <c r="Q877" s="23"/>
      <c r="R877" s="1"/>
      <c r="S877" s="1"/>
      <c r="T877" s="1"/>
      <c r="U877" s="1"/>
      <c r="V877" s="1"/>
      <c r="W877" s="1"/>
      <c r="X877" s="1"/>
      <c r="Y877" s="1"/>
      <c r="Z877" s="1"/>
    </row>
    <row r="878" spans="17:26">
      <c r="Q878" s="23"/>
      <c r="R878" s="1"/>
      <c r="S878" s="1"/>
      <c r="T878" s="1"/>
      <c r="U878" s="1"/>
      <c r="V878" s="1"/>
      <c r="W878" s="1"/>
      <c r="X878" s="1"/>
      <c r="Y878" s="1"/>
      <c r="Z878" s="1"/>
    </row>
    <row r="879" spans="17:26">
      <c r="Q879" s="23"/>
      <c r="R879" s="1"/>
      <c r="S879" s="1"/>
      <c r="T879" s="1"/>
      <c r="U879" s="1"/>
      <c r="V879" s="1"/>
      <c r="W879" s="1"/>
      <c r="X879" s="1"/>
      <c r="Y879" s="1"/>
      <c r="Z879" s="1"/>
    </row>
    <row r="880" spans="17:26">
      <c r="Q880" s="23"/>
      <c r="R880" s="1"/>
      <c r="S880" s="1"/>
      <c r="T880" s="1"/>
      <c r="U880" s="1"/>
      <c r="V880" s="1"/>
      <c r="W880" s="1"/>
      <c r="X880" s="1"/>
      <c r="Y880" s="1"/>
      <c r="Z880" s="1"/>
    </row>
    <row r="881" spans="17:26">
      <c r="Q881" s="23"/>
      <c r="R881" s="1"/>
      <c r="S881" s="1"/>
      <c r="T881" s="1"/>
      <c r="U881" s="1"/>
      <c r="V881" s="1"/>
      <c r="W881" s="1"/>
      <c r="X881" s="1"/>
      <c r="Y881" s="1"/>
      <c r="Z881" s="1"/>
    </row>
    <row r="882" spans="17:26">
      <c r="Q882" s="23"/>
      <c r="R882" s="1"/>
      <c r="S882" s="1"/>
      <c r="T882" s="1"/>
      <c r="U882" s="1"/>
      <c r="V882" s="1"/>
      <c r="W882" s="1"/>
      <c r="X882" s="1"/>
      <c r="Y882" s="1"/>
      <c r="Z882" s="1"/>
    </row>
    <row r="883" spans="17:26">
      <c r="Q883" s="23"/>
      <c r="R883" s="1"/>
      <c r="S883" s="1"/>
      <c r="T883" s="1"/>
      <c r="U883" s="1"/>
      <c r="V883" s="1"/>
      <c r="W883" s="1"/>
      <c r="X883" s="1"/>
      <c r="Y883" s="1"/>
      <c r="Z883" s="1"/>
    </row>
    <row r="884" spans="17:26">
      <c r="Q884" s="23"/>
      <c r="R884" s="1"/>
      <c r="S884" s="1"/>
      <c r="T884" s="1"/>
      <c r="U884" s="1"/>
      <c r="V884" s="1"/>
      <c r="W884" s="1"/>
      <c r="X884" s="1"/>
      <c r="Y884" s="1"/>
      <c r="Z884" s="1"/>
    </row>
    <row r="885" spans="17:26">
      <c r="Q885" s="23"/>
      <c r="R885" s="1"/>
      <c r="S885" s="1"/>
      <c r="T885" s="1"/>
      <c r="U885" s="1"/>
      <c r="V885" s="1"/>
      <c r="W885" s="1"/>
      <c r="X885" s="1"/>
      <c r="Y885" s="1"/>
      <c r="Z885" s="1"/>
    </row>
    <row r="886" spans="17:26">
      <c r="Q886" s="23"/>
      <c r="R886" s="1"/>
      <c r="S886" s="1"/>
      <c r="T886" s="1"/>
      <c r="U886" s="1"/>
      <c r="V886" s="1"/>
      <c r="W886" s="1"/>
      <c r="X886" s="1"/>
      <c r="Y886" s="1"/>
      <c r="Z886" s="1"/>
    </row>
    <row r="887" spans="17:26">
      <c r="Q887" s="23"/>
      <c r="R887" s="1"/>
      <c r="S887" s="1"/>
      <c r="T887" s="1"/>
      <c r="U887" s="1"/>
      <c r="V887" s="1"/>
      <c r="W887" s="1"/>
      <c r="X887" s="1"/>
      <c r="Y887" s="1"/>
      <c r="Z887" s="1"/>
    </row>
    <row r="888" spans="17:26">
      <c r="Q888" s="23"/>
      <c r="R888" s="1"/>
      <c r="S888" s="1"/>
      <c r="T888" s="1"/>
      <c r="U888" s="1"/>
      <c r="V888" s="1"/>
      <c r="W888" s="1"/>
      <c r="X888" s="1"/>
      <c r="Y888" s="1"/>
      <c r="Z888" s="1"/>
    </row>
    <row r="889" spans="17:26">
      <c r="Q889" s="23"/>
      <c r="R889" s="1"/>
      <c r="S889" s="1"/>
      <c r="T889" s="1"/>
      <c r="U889" s="1"/>
      <c r="V889" s="1"/>
      <c r="W889" s="1"/>
      <c r="X889" s="1"/>
      <c r="Y889" s="1"/>
      <c r="Z889" s="1"/>
    </row>
    <row r="890" spans="17:26">
      <c r="Q890" s="23"/>
      <c r="R890" s="1"/>
      <c r="S890" s="1"/>
      <c r="T890" s="1"/>
      <c r="U890" s="1"/>
      <c r="V890" s="1"/>
      <c r="W890" s="1"/>
      <c r="X890" s="1"/>
      <c r="Y890" s="1"/>
      <c r="Z890" s="1"/>
    </row>
    <row r="891" spans="17:26">
      <c r="Q891" s="23"/>
      <c r="R891" s="1"/>
      <c r="S891" s="1"/>
      <c r="T891" s="1"/>
      <c r="U891" s="1"/>
      <c r="V891" s="1"/>
      <c r="W891" s="1"/>
      <c r="X891" s="1"/>
      <c r="Y891" s="1"/>
      <c r="Z891" s="1"/>
    </row>
    <row r="892" spans="17:26">
      <c r="Q892" s="23"/>
      <c r="R892" s="1"/>
      <c r="S892" s="1"/>
      <c r="T892" s="1"/>
      <c r="U892" s="1"/>
      <c r="V892" s="1"/>
      <c r="W892" s="1"/>
      <c r="X892" s="1"/>
      <c r="Y892" s="1"/>
      <c r="Z892" s="1"/>
    </row>
    <row r="893" spans="17:26">
      <c r="Q893" s="23"/>
      <c r="R893" s="1"/>
      <c r="S893" s="1"/>
      <c r="T893" s="1"/>
      <c r="U893" s="1"/>
      <c r="V893" s="1"/>
      <c r="W893" s="1"/>
      <c r="X893" s="1"/>
      <c r="Y893" s="1"/>
      <c r="Z893" s="1"/>
    </row>
    <row r="894" spans="17:26">
      <c r="Q894" s="23"/>
      <c r="R894" s="1"/>
      <c r="S894" s="1"/>
      <c r="T894" s="1"/>
      <c r="U894" s="1"/>
      <c r="V894" s="1"/>
      <c r="W894" s="1"/>
      <c r="X894" s="1"/>
      <c r="Y894" s="1"/>
      <c r="Z894" s="1"/>
    </row>
    <row r="895" spans="17:26">
      <c r="Q895" s="23"/>
      <c r="R895" s="1"/>
      <c r="S895" s="1"/>
      <c r="T895" s="1"/>
      <c r="U895" s="1"/>
      <c r="V895" s="1"/>
      <c r="W895" s="1"/>
      <c r="X895" s="1"/>
      <c r="Y895" s="1"/>
      <c r="Z895" s="1"/>
    </row>
    <row r="896" spans="17:26">
      <c r="Q896" s="23"/>
      <c r="R896" s="1"/>
      <c r="S896" s="1"/>
      <c r="T896" s="1"/>
      <c r="U896" s="1"/>
      <c r="V896" s="1"/>
      <c r="W896" s="1"/>
      <c r="X896" s="1"/>
      <c r="Y896" s="1"/>
      <c r="Z896" s="1"/>
    </row>
    <row r="897" spans="17:26">
      <c r="Q897" s="23"/>
      <c r="R897" s="1"/>
      <c r="S897" s="1"/>
      <c r="T897" s="1"/>
      <c r="U897" s="1"/>
      <c r="V897" s="1"/>
      <c r="W897" s="1"/>
      <c r="X897" s="1"/>
      <c r="Y897" s="1"/>
      <c r="Z897" s="1"/>
    </row>
    <row r="898" spans="17:26">
      <c r="Q898" s="23"/>
      <c r="R898" s="1"/>
      <c r="S898" s="1"/>
      <c r="T898" s="1"/>
      <c r="U898" s="1"/>
      <c r="V898" s="1"/>
      <c r="W898" s="1"/>
      <c r="X898" s="1"/>
      <c r="Y898" s="1"/>
      <c r="Z898" s="1"/>
    </row>
    <row r="899" spans="17:26">
      <c r="Q899" s="23"/>
      <c r="R899" s="1"/>
      <c r="S899" s="1"/>
      <c r="T899" s="1"/>
      <c r="U899" s="1"/>
      <c r="V899" s="1"/>
      <c r="W899" s="1"/>
      <c r="X899" s="1"/>
      <c r="Y899" s="1"/>
      <c r="Z899" s="1"/>
    </row>
    <row r="900" spans="17:26">
      <c r="Q900" s="23"/>
      <c r="R900" s="1"/>
      <c r="S900" s="1"/>
      <c r="T900" s="1"/>
      <c r="U900" s="1"/>
      <c r="V900" s="1"/>
      <c r="W900" s="1"/>
      <c r="X900" s="1"/>
      <c r="Y900" s="1"/>
      <c r="Z900" s="1"/>
    </row>
    <row r="901" spans="17:26">
      <c r="Q901" s="23"/>
      <c r="R901" s="1"/>
      <c r="S901" s="1"/>
      <c r="T901" s="1"/>
      <c r="U901" s="1"/>
      <c r="V901" s="1"/>
      <c r="W901" s="1"/>
      <c r="X901" s="1"/>
      <c r="Y901" s="1"/>
      <c r="Z901" s="1"/>
    </row>
    <row r="902" spans="17:26">
      <c r="Q902" s="23"/>
      <c r="R902" s="1"/>
      <c r="S902" s="1"/>
      <c r="T902" s="1"/>
      <c r="U902" s="1"/>
      <c r="V902" s="1"/>
      <c r="W902" s="1"/>
      <c r="X902" s="1"/>
      <c r="Y902" s="1"/>
      <c r="Z902" s="1"/>
    </row>
    <row r="903" spans="17:26">
      <c r="Q903" s="23"/>
      <c r="R903" s="1"/>
      <c r="S903" s="1"/>
      <c r="T903" s="1"/>
      <c r="U903" s="1"/>
      <c r="V903" s="1"/>
      <c r="W903" s="1"/>
      <c r="X903" s="1"/>
      <c r="Y903" s="1"/>
      <c r="Z903" s="1"/>
    </row>
    <row r="904" spans="17:26">
      <c r="Q904" s="23"/>
      <c r="R904" s="1"/>
      <c r="S904" s="1"/>
      <c r="T904" s="1"/>
      <c r="U904" s="1"/>
      <c r="V904" s="1"/>
      <c r="W904" s="1"/>
      <c r="X904" s="1"/>
      <c r="Y904" s="1"/>
      <c r="Z904" s="1"/>
    </row>
    <row r="905" spans="17:26">
      <c r="Q905" s="1"/>
      <c r="R905" s="1"/>
      <c r="S905" s="1"/>
      <c r="T905" s="1"/>
      <c r="U905" s="1"/>
      <c r="V905" s="1"/>
      <c r="W905" s="1"/>
      <c r="X905" s="1"/>
      <c r="Y905" s="1"/>
      <c r="Z905" s="1"/>
    </row>
    <row r="906" spans="17:26">
      <c r="Q906" s="1"/>
      <c r="R906" s="1"/>
      <c r="S906" s="1"/>
      <c r="T906" s="1"/>
      <c r="U906" s="1"/>
      <c r="V906" s="1"/>
      <c r="W906" s="1"/>
      <c r="X906" s="1"/>
      <c r="Y906" s="1"/>
      <c r="Z906" s="1"/>
    </row>
    <row r="907" spans="17:26">
      <c r="Q907" s="1"/>
      <c r="R907" s="1"/>
      <c r="S907" s="1"/>
      <c r="T907" s="1"/>
      <c r="U907" s="1"/>
      <c r="V907" s="1"/>
      <c r="W907" s="1"/>
      <c r="X907" s="1"/>
      <c r="Y907" s="1"/>
      <c r="Z907" s="1"/>
    </row>
    <row r="908" spans="17:26">
      <c r="Q908" s="1"/>
      <c r="R908" s="1"/>
      <c r="S908" s="1"/>
      <c r="T908" s="1"/>
      <c r="U908" s="1"/>
      <c r="V908" s="1"/>
      <c r="W908" s="1"/>
      <c r="X908" s="1"/>
      <c r="Y908" s="1"/>
      <c r="Z908" s="1"/>
    </row>
    <row r="909" spans="17:26">
      <c r="Q909" s="1"/>
      <c r="R909" s="1"/>
      <c r="S909" s="1"/>
      <c r="T909" s="1"/>
      <c r="U909" s="1"/>
      <c r="V909" s="1"/>
      <c r="W909" s="1"/>
      <c r="X909" s="1"/>
      <c r="Y909" s="1"/>
      <c r="Z909" s="1"/>
    </row>
    <row r="910" spans="17:26">
      <c r="Q910" s="1"/>
      <c r="R910" s="1"/>
      <c r="S910" s="1"/>
      <c r="T910" s="1"/>
      <c r="U910" s="1"/>
      <c r="V910" s="1"/>
      <c r="W910" s="1"/>
      <c r="X910" s="1"/>
      <c r="Y910" s="1"/>
      <c r="Z910" s="1"/>
    </row>
    <row r="911" spans="17:26">
      <c r="Q911" s="1"/>
      <c r="R911" s="1"/>
      <c r="S911" s="1"/>
      <c r="T911" s="1"/>
      <c r="U911" s="1"/>
      <c r="V911" s="1"/>
      <c r="W911" s="1"/>
      <c r="X911" s="1"/>
      <c r="Y911" s="1"/>
      <c r="Z911" s="1"/>
    </row>
    <row r="912" spans="17:26">
      <c r="Q912" s="1"/>
      <c r="R912" s="1"/>
      <c r="S912" s="1"/>
      <c r="T912" s="1"/>
      <c r="U912" s="1"/>
      <c r="V912" s="1"/>
      <c r="W912" s="1"/>
      <c r="X912" s="1"/>
      <c r="Y912" s="1"/>
      <c r="Z912" s="1"/>
    </row>
    <row r="913" spans="17:26">
      <c r="Q913" s="1"/>
      <c r="R913" s="1"/>
      <c r="S913" s="1"/>
      <c r="T913" s="1"/>
      <c r="U913" s="1"/>
      <c r="V913" s="1"/>
      <c r="W913" s="1"/>
      <c r="X913" s="1"/>
      <c r="Y913" s="1"/>
      <c r="Z913" s="1"/>
    </row>
  </sheetData>
  <mergeCells count="540">
    <mergeCell ref="T542:T543"/>
    <mergeCell ref="U542:U543"/>
    <mergeCell ref="R547:W547"/>
    <mergeCell ref="R548:S551"/>
    <mergeCell ref="T548:T549"/>
    <mergeCell ref="U548:U549"/>
    <mergeCell ref="V548:V549"/>
    <mergeCell ref="W548:W549"/>
    <mergeCell ref="W528:W530"/>
    <mergeCell ref="V542:V543"/>
    <mergeCell ref="R534:W534"/>
    <mergeCell ref="R535:S538"/>
    <mergeCell ref="T535:T536"/>
    <mergeCell ref="U535:U536"/>
    <mergeCell ref="V535:V536"/>
    <mergeCell ref="W535:W536"/>
    <mergeCell ref="W542:W543"/>
    <mergeCell ref="R542:S545"/>
    <mergeCell ref="R528:S532"/>
    <mergeCell ref="T528:T530"/>
    <mergeCell ref="U528:U530"/>
    <mergeCell ref="V528:V530"/>
    <mergeCell ref="T513:T514"/>
    <mergeCell ref="U513:U514"/>
    <mergeCell ref="R525:W525"/>
    <mergeCell ref="R526:W526"/>
    <mergeCell ref="R518:W518"/>
    <mergeCell ref="R519:S522"/>
    <mergeCell ref="T519:T520"/>
    <mergeCell ref="U519:U520"/>
    <mergeCell ref="V519:V520"/>
    <mergeCell ref="W519:W520"/>
    <mergeCell ref="W499:W501"/>
    <mergeCell ref="V513:V514"/>
    <mergeCell ref="R505:W505"/>
    <mergeCell ref="R506:S509"/>
    <mergeCell ref="T506:T507"/>
    <mergeCell ref="U506:U507"/>
    <mergeCell ref="V506:V507"/>
    <mergeCell ref="W506:W507"/>
    <mergeCell ref="W513:W514"/>
    <mergeCell ref="R513:S516"/>
    <mergeCell ref="R499:S503"/>
    <mergeCell ref="T499:T501"/>
    <mergeCell ref="U499:U501"/>
    <mergeCell ref="V499:V501"/>
    <mergeCell ref="T484:T485"/>
    <mergeCell ref="U484:U485"/>
    <mergeCell ref="R496:W496"/>
    <mergeCell ref="R497:W497"/>
    <mergeCell ref="R489:W489"/>
    <mergeCell ref="R490:S493"/>
    <mergeCell ref="T490:T491"/>
    <mergeCell ref="U490:U491"/>
    <mergeCell ref="V490:V491"/>
    <mergeCell ref="W490:W491"/>
    <mergeCell ref="W470:W472"/>
    <mergeCell ref="V484:V485"/>
    <mergeCell ref="R476:W476"/>
    <mergeCell ref="R477:S480"/>
    <mergeCell ref="T477:T478"/>
    <mergeCell ref="U477:U478"/>
    <mergeCell ref="V477:V478"/>
    <mergeCell ref="W477:W478"/>
    <mergeCell ref="W484:W485"/>
    <mergeCell ref="R484:S487"/>
    <mergeCell ref="R470:S474"/>
    <mergeCell ref="T470:T472"/>
    <mergeCell ref="U470:U472"/>
    <mergeCell ref="V470:V472"/>
    <mergeCell ref="T455:T456"/>
    <mergeCell ref="U455:U456"/>
    <mergeCell ref="R467:W467"/>
    <mergeCell ref="R468:W468"/>
    <mergeCell ref="R460:W460"/>
    <mergeCell ref="R461:S464"/>
    <mergeCell ref="T461:T462"/>
    <mergeCell ref="U461:U462"/>
    <mergeCell ref="V461:V462"/>
    <mergeCell ref="W461:W462"/>
    <mergeCell ref="W441:W443"/>
    <mergeCell ref="V455:V456"/>
    <mergeCell ref="R447:W447"/>
    <mergeCell ref="R448:S451"/>
    <mergeCell ref="T448:T449"/>
    <mergeCell ref="U448:U449"/>
    <mergeCell ref="V448:V449"/>
    <mergeCell ref="W448:W449"/>
    <mergeCell ref="W455:W456"/>
    <mergeCell ref="R455:S458"/>
    <mergeCell ref="R441:S445"/>
    <mergeCell ref="T441:T443"/>
    <mergeCell ref="U441:U443"/>
    <mergeCell ref="V441:V443"/>
    <mergeCell ref="U423:U424"/>
    <mergeCell ref="R435:W437"/>
    <mergeCell ref="R438:W438"/>
    <mergeCell ref="R439:W439"/>
    <mergeCell ref="R428:W428"/>
    <mergeCell ref="R429:S432"/>
    <mergeCell ref="T429:T430"/>
    <mergeCell ref="U429:U430"/>
    <mergeCell ref="V429:V430"/>
    <mergeCell ref="W429:W430"/>
    <mergeCell ref="V423:V424"/>
    <mergeCell ref="R415:W415"/>
    <mergeCell ref="R416:S419"/>
    <mergeCell ref="T416:T417"/>
    <mergeCell ref="U416:U417"/>
    <mergeCell ref="V416:V417"/>
    <mergeCell ref="W416:W417"/>
    <mergeCell ref="W423:W424"/>
    <mergeCell ref="R423:S426"/>
    <mergeCell ref="T423:T424"/>
    <mergeCell ref="U394:U395"/>
    <mergeCell ref="R406:W406"/>
    <mergeCell ref="R407:W407"/>
    <mergeCell ref="R409:S413"/>
    <mergeCell ref="T409:T411"/>
    <mergeCell ref="U409:U411"/>
    <mergeCell ref="V409:V411"/>
    <mergeCell ref="W409:W411"/>
    <mergeCell ref="R399:W399"/>
    <mergeCell ref="R400:S403"/>
    <mergeCell ref="T400:T401"/>
    <mergeCell ref="U400:U401"/>
    <mergeCell ref="V400:V401"/>
    <mergeCell ref="W400:W401"/>
    <mergeCell ref="V394:V395"/>
    <mergeCell ref="R386:W386"/>
    <mergeCell ref="R387:S390"/>
    <mergeCell ref="T387:T388"/>
    <mergeCell ref="U387:U388"/>
    <mergeCell ref="V387:V388"/>
    <mergeCell ref="W387:W388"/>
    <mergeCell ref="W394:W395"/>
    <mergeCell ref="R394:S397"/>
    <mergeCell ref="T394:T395"/>
    <mergeCell ref="U365:U366"/>
    <mergeCell ref="R377:W377"/>
    <mergeCell ref="R378:W378"/>
    <mergeCell ref="R380:S384"/>
    <mergeCell ref="T380:T382"/>
    <mergeCell ref="U380:U382"/>
    <mergeCell ref="V380:V382"/>
    <mergeCell ref="W380:W382"/>
    <mergeCell ref="R370:W370"/>
    <mergeCell ref="R371:S374"/>
    <mergeCell ref="T371:T372"/>
    <mergeCell ref="U371:U372"/>
    <mergeCell ref="V371:V372"/>
    <mergeCell ref="W371:W372"/>
    <mergeCell ref="V365:V366"/>
    <mergeCell ref="R357:W357"/>
    <mergeCell ref="R358:S361"/>
    <mergeCell ref="T358:T359"/>
    <mergeCell ref="U358:U359"/>
    <mergeCell ref="V358:V359"/>
    <mergeCell ref="W358:W359"/>
    <mergeCell ref="W365:W366"/>
    <mergeCell ref="R365:S368"/>
    <mergeCell ref="T365:T366"/>
    <mergeCell ref="U336:U337"/>
    <mergeCell ref="R348:W348"/>
    <mergeCell ref="R349:W349"/>
    <mergeCell ref="R351:S355"/>
    <mergeCell ref="T351:T353"/>
    <mergeCell ref="U351:U353"/>
    <mergeCell ref="V351:V353"/>
    <mergeCell ref="W351:W353"/>
    <mergeCell ref="R341:W341"/>
    <mergeCell ref="R342:S345"/>
    <mergeCell ref="T342:T343"/>
    <mergeCell ref="U342:U343"/>
    <mergeCell ref="V342:V343"/>
    <mergeCell ref="W342:W343"/>
    <mergeCell ref="V336:V337"/>
    <mergeCell ref="R328:W328"/>
    <mergeCell ref="R329:S332"/>
    <mergeCell ref="T329:T330"/>
    <mergeCell ref="U329:U330"/>
    <mergeCell ref="V329:V330"/>
    <mergeCell ref="W329:W330"/>
    <mergeCell ref="W336:W337"/>
    <mergeCell ref="R336:S339"/>
    <mergeCell ref="T336:T337"/>
    <mergeCell ref="R316:W318"/>
    <mergeCell ref="R319:W319"/>
    <mergeCell ref="R320:W320"/>
    <mergeCell ref="R322:S326"/>
    <mergeCell ref="T322:T324"/>
    <mergeCell ref="U322:U324"/>
    <mergeCell ref="V322:V324"/>
    <mergeCell ref="W322:W324"/>
    <mergeCell ref="T302:U302"/>
    <mergeCell ref="R305:V305"/>
    <mergeCell ref="R306:R307"/>
    <mergeCell ref="S306:S307"/>
    <mergeCell ref="T306:T307"/>
    <mergeCell ref="U306:U307"/>
    <mergeCell ref="V306:V307"/>
    <mergeCell ref="R297:U297"/>
    <mergeCell ref="R298:U298"/>
    <mergeCell ref="R299:U299"/>
    <mergeCell ref="T301:U301"/>
    <mergeCell ref="R293:U293"/>
    <mergeCell ref="R294:U294"/>
    <mergeCell ref="R295:U295"/>
    <mergeCell ref="R296:U296"/>
    <mergeCell ref="R289:U289"/>
    <mergeCell ref="R290:U290"/>
    <mergeCell ref="R291:U291"/>
    <mergeCell ref="R292:U292"/>
    <mergeCell ref="W286:W287"/>
    <mergeCell ref="X286:X287"/>
    <mergeCell ref="Y286:Y287"/>
    <mergeCell ref="R288:U288"/>
    <mergeCell ref="S282:T282"/>
    <mergeCell ref="S283:T283"/>
    <mergeCell ref="R286:U287"/>
    <mergeCell ref="V286:V287"/>
    <mergeCell ref="S277:T277"/>
    <mergeCell ref="R278:X278"/>
    <mergeCell ref="R279:T279"/>
    <mergeCell ref="U279:U280"/>
    <mergeCell ref="V279:V280"/>
    <mergeCell ref="W279:W280"/>
    <mergeCell ref="X279:X280"/>
    <mergeCell ref="R280:R283"/>
    <mergeCell ref="S280:T280"/>
    <mergeCell ref="S281:T281"/>
    <mergeCell ref="R272:X272"/>
    <mergeCell ref="R273:T273"/>
    <mergeCell ref="U273:U274"/>
    <mergeCell ref="V273:V274"/>
    <mergeCell ref="W273:W274"/>
    <mergeCell ref="X273:X274"/>
    <mergeCell ref="R274:R277"/>
    <mergeCell ref="S274:T274"/>
    <mergeCell ref="S275:T275"/>
    <mergeCell ref="S276:T276"/>
    <mergeCell ref="X267:X268"/>
    <mergeCell ref="R268:R271"/>
    <mergeCell ref="S268:T268"/>
    <mergeCell ref="S269:T269"/>
    <mergeCell ref="S270:T270"/>
    <mergeCell ref="S271:T271"/>
    <mergeCell ref="R267:T267"/>
    <mergeCell ref="U267:U268"/>
    <mergeCell ref="V267:V268"/>
    <mergeCell ref="W267:W268"/>
    <mergeCell ref="X254:X255"/>
    <mergeCell ref="R257:T257"/>
    <mergeCell ref="R260:Y260"/>
    <mergeCell ref="R264:S265"/>
    <mergeCell ref="U264:V264"/>
    <mergeCell ref="U265:V265"/>
    <mergeCell ref="R254:T255"/>
    <mergeCell ref="U254:U255"/>
    <mergeCell ref="V254:V255"/>
    <mergeCell ref="W254:W255"/>
    <mergeCell ref="X247:X248"/>
    <mergeCell ref="R249:T249"/>
    <mergeCell ref="U249:U251"/>
    <mergeCell ref="R250:T250"/>
    <mergeCell ref="R251:T251"/>
    <mergeCell ref="R247:T248"/>
    <mergeCell ref="U247:U248"/>
    <mergeCell ref="V247:V248"/>
    <mergeCell ref="W247:W248"/>
    <mergeCell ref="X241:X242"/>
    <mergeCell ref="R243:T243"/>
    <mergeCell ref="U243:U245"/>
    <mergeCell ref="R244:T244"/>
    <mergeCell ref="R245:T245"/>
    <mergeCell ref="R241:T242"/>
    <mergeCell ref="U241:U242"/>
    <mergeCell ref="V241:V242"/>
    <mergeCell ref="W241:W242"/>
    <mergeCell ref="W235:W236"/>
    <mergeCell ref="X235:X236"/>
    <mergeCell ref="R237:T237"/>
    <mergeCell ref="U237:U239"/>
    <mergeCell ref="R238:T238"/>
    <mergeCell ref="R239:T239"/>
    <mergeCell ref="R231:U231"/>
    <mergeCell ref="R235:T236"/>
    <mergeCell ref="U235:U236"/>
    <mergeCell ref="V235:V236"/>
    <mergeCell ref="R226:U226"/>
    <mergeCell ref="R227:U227"/>
    <mergeCell ref="R228:U228"/>
    <mergeCell ref="R229:U229"/>
    <mergeCell ref="R222:U222"/>
    <mergeCell ref="R223:U223"/>
    <mergeCell ref="R224:U224"/>
    <mergeCell ref="R225:U225"/>
    <mergeCell ref="R218:U218"/>
    <mergeCell ref="R219:U219"/>
    <mergeCell ref="R220:U220"/>
    <mergeCell ref="R221:U221"/>
    <mergeCell ref="Y213:Y214"/>
    <mergeCell ref="R215:U215"/>
    <mergeCell ref="R216:U216"/>
    <mergeCell ref="R217:U217"/>
    <mergeCell ref="R213:U214"/>
    <mergeCell ref="V213:V214"/>
    <mergeCell ref="W213:W214"/>
    <mergeCell ref="X213:X214"/>
    <mergeCell ref="R201:T201"/>
    <mergeCell ref="R202:T202"/>
    <mergeCell ref="R204:Y208"/>
    <mergeCell ref="R210:W211"/>
    <mergeCell ref="X210:X211"/>
    <mergeCell ref="Y210:Y211"/>
    <mergeCell ref="V198:V199"/>
    <mergeCell ref="W198:W199"/>
    <mergeCell ref="X198:X199"/>
    <mergeCell ref="R200:T200"/>
    <mergeCell ref="R195:T195"/>
    <mergeCell ref="R196:T196"/>
    <mergeCell ref="R198:T199"/>
    <mergeCell ref="U198:U199"/>
    <mergeCell ref="V193:V194"/>
    <mergeCell ref="W193:W194"/>
    <mergeCell ref="X193:X194"/>
    <mergeCell ref="R188:T189"/>
    <mergeCell ref="U188:U189"/>
    <mergeCell ref="R190:T190"/>
    <mergeCell ref="R191:T191"/>
    <mergeCell ref="R193:T194"/>
    <mergeCell ref="U193:U194"/>
    <mergeCell ref="V188:V189"/>
    <mergeCell ref="W188:W189"/>
    <mergeCell ref="W183:W184"/>
    <mergeCell ref="X183:X184"/>
    <mergeCell ref="X188:X189"/>
    <mergeCell ref="R185:T185"/>
    <mergeCell ref="R186:T186"/>
    <mergeCell ref="R181:T181"/>
    <mergeCell ref="R183:T184"/>
    <mergeCell ref="U183:U184"/>
    <mergeCell ref="V183:V184"/>
    <mergeCell ref="W177:W178"/>
    <mergeCell ref="X177:X178"/>
    <mergeCell ref="U177:U178"/>
    <mergeCell ref="V177:V178"/>
    <mergeCell ref="R179:T179"/>
    <mergeCell ref="R180:T180"/>
    <mergeCell ref="R175:T175"/>
    <mergeCell ref="R177:T178"/>
    <mergeCell ref="V172:V173"/>
    <mergeCell ref="W172:W173"/>
    <mergeCell ref="X172:X173"/>
    <mergeCell ref="R174:T174"/>
    <mergeCell ref="R169:T169"/>
    <mergeCell ref="R170:T170"/>
    <mergeCell ref="R172:T173"/>
    <mergeCell ref="U172:U173"/>
    <mergeCell ref="X162:X163"/>
    <mergeCell ref="R164:T164"/>
    <mergeCell ref="R165:T165"/>
    <mergeCell ref="R167:T168"/>
    <mergeCell ref="U167:U168"/>
    <mergeCell ref="V167:V168"/>
    <mergeCell ref="W167:W168"/>
    <mergeCell ref="X167:X168"/>
    <mergeCell ref="R162:T163"/>
    <mergeCell ref="U162:U163"/>
    <mergeCell ref="V162:V163"/>
    <mergeCell ref="W162:W163"/>
    <mergeCell ref="R158:T158"/>
    <mergeCell ref="U158:U160"/>
    <mergeCell ref="R159:T159"/>
    <mergeCell ref="R160:T160"/>
    <mergeCell ref="R155:X155"/>
    <mergeCell ref="R156:T157"/>
    <mergeCell ref="U156:U157"/>
    <mergeCell ref="V156:V157"/>
    <mergeCell ref="W156:W157"/>
    <mergeCell ref="X156:X157"/>
    <mergeCell ref="R152:T152"/>
    <mergeCell ref="U152:U154"/>
    <mergeCell ref="R153:T153"/>
    <mergeCell ref="R154:T154"/>
    <mergeCell ref="R147:T147"/>
    <mergeCell ref="R148:T148"/>
    <mergeCell ref="R149:X149"/>
    <mergeCell ref="R150:T151"/>
    <mergeCell ref="U150:U151"/>
    <mergeCell ref="V150:V151"/>
    <mergeCell ref="W150:W151"/>
    <mergeCell ref="X150:X151"/>
    <mergeCell ref="X143:X144"/>
    <mergeCell ref="R145:T145"/>
    <mergeCell ref="U145:U146"/>
    <mergeCell ref="R146:T146"/>
    <mergeCell ref="R143:T144"/>
    <mergeCell ref="U143:U144"/>
    <mergeCell ref="V143:V144"/>
    <mergeCell ref="W143:W144"/>
    <mergeCell ref="R134:T134"/>
    <mergeCell ref="R135:T135"/>
    <mergeCell ref="R137:Y137"/>
    <mergeCell ref="R142:W142"/>
    <mergeCell ref="X126:X127"/>
    <mergeCell ref="R128:T128"/>
    <mergeCell ref="R130:Y130"/>
    <mergeCell ref="R132:T133"/>
    <mergeCell ref="U132:U133"/>
    <mergeCell ref="V132:V133"/>
    <mergeCell ref="W132:W133"/>
    <mergeCell ref="X132:X133"/>
    <mergeCell ref="R126:T127"/>
    <mergeCell ref="U126:U127"/>
    <mergeCell ref="V126:V127"/>
    <mergeCell ref="W126:W127"/>
    <mergeCell ref="X118:X119"/>
    <mergeCell ref="R120:T120"/>
    <mergeCell ref="R121:T121"/>
    <mergeCell ref="R123:Y123"/>
    <mergeCell ref="R118:T119"/>
    <mergeCell ref="U118:U119"/>
    <mergeCell ref="V118:V119"/>
    <mergeCell ref="W118:W119"/>
    <mergeCell ref="W112:W113"/>
    <mergeCell ref="X112:X113"/>
    <mergeCell ref="R114:T114"/>
    <mergeCell ref="R115:T115"/>
    <mergeCell ref="R109:T109"/>
    <mergeCell ref="R112:T113"/>
    <mergeCell ref="U112:U113"/>
    <mergeCell ref="V112:V113"/>
    <mergeCell ref="V106:V107"/>
    <mergeCell ref="W106:W107"/>
    <mergeCell ref="X106:X107"/>
    <mergeCell ref="R108:T108"/>
    <mergeCell ref="R102:T102"/>
    <mergeCell ref="R103:T103"/>
    <mergeCell ref="R106:T107"/>
    <mergeCell ref="U106:U107"/>
    <mergeCell ref="R96:Y96"/>
    <mergeCell ref="R100:T101"/>
    <mergeCell ref="U100:U101"/>
    <mergeCell ref="V100:V101"/>
    <mergeCell ref="W100:W101"/>
    <mergeCell ref="X100:X101"/>
    <mergeCell ref="X90:X91"/>
    <mergeCell ref="R92:T92"/>
    <mergeCell ref="R93:T93"/>
    <mergeCell ref="R94:T94"/>
    <mergeCell ref="R90:T91"/>
    <mergeCell ref="U90:U91"/>
    <mergeCell ref="V90:V91"/>
    <mergeCell ref="W90:W91"/>
    <mergeCell ref="X83:X84"/>
    <mergeCell ref="R85:T85"/>
    <mergeCell ref="R86:T86"/>
    <mergeCell ref="R87:T87"/>
    <mergeCell ref="R83:T84"/>
    <mergeCell ref="U83:U84"/>
    <mergeCell ref="V83:V84"/>
    <mergeCell ref="W83:W84"/>
    <mergeCell ref="R76:T76"/>
    <mergeCell ref="R77:T77"/>
    <mergeCell ref="R78:T78"/>
    <mergeCell ref="R80:Y80"/>
    <mergeCell ref="U74:U75"/>
    <mergeCell ref="V74:V75"/>
    <mergeCell ref="W74:W75"/>
    <mergeCell ref="X74:X75"/>
    <mergeCell ref="R69:T69"/>
    <mergeCell ref="R70:T70"/>
    <mergeCell ref="R71:T71"/>
    <mergeCell ref="R74:T75"/>
    <mergeCell ref="R61:T61"/>
    <mergeCell ref="R62:T62"/>
    <mergeCell ref="R64:Y64"/>
    <mergeCell ref="R67:T68"/>
    <mergeCell ref="U67:U68"/>
    <mergeCell ref="V67:V68"/>
    <mergeCell ref="W67:W68"/>
    <mergeCell ref="X67:X68"/>
    <mergeCell ref="W54:W55"/>
    <mergeCell ref="X54:X55"/>
    <mergeCell ref="R56:T56"/>
    <mergeCell ref="R59:T60"/>
    <mergeCell ref="U59:U60"/>
    <mergeCell ref="V59:V60"/>
    <mergeCell ref="W59:W60"/>
    <mergeCell ref="X59:X60"/>
    <mergeCell ref="R51:T51"/>
    <mergeCell ref="R54:T55"/>
    <mergeCell ref="U54:U55"/>
    <mergeCell ref="V54:V55"/>
    <mergeCell ref="R44:T44"/>
    <mergeCell ref="R46:Y46"/>
    <mergeCell ref="R49:T50"/>
    <mergeCell ref="U49:U50"/>
    <mergeCell ref="V49:V50"/>
    <mergeCell ref="W49:W50"/>
    <mergeCell ref="X49:X50"/>
    <mergeCell ref="X39:X40"/>
    <mergeCell ref="R41:T41"/>
    <mergeCell ref="R42:T42"/>
    <mergeCell ref="R43:T43"/>
    <mergeCell ref="R39:T40"/>
    <mergeCell ref="U39:U40"/>
    <mergeCell ref="V39:V40"/>
    <mergeCell ref="W39:W40"/>
    <mergeCell ref="R33:T33"/>
    <mergeCell ref="R34:T34"/>
    <mergeCell ref="R35:T35"/>
    <mergeCell ref="R36:T36"/>
    <mergeCell ref="R28:Y28"/>
    <mergeCell ref="R31:T32"/>
    <mergeCell ref="U31:U32"/>
    <mergeCell ref="V31:V32"/>
    <mergeCell ref="W31:W32"/>
    <mergeCell ref="X31:X32"/>
    <mergeCell ref="R23:U23"/>
    <mergeCell ref="R24:U24"/>
    <mergeCell ref="R25:U25"/>
    <mergeCell ref="R26:U26"/>
    <mergeCell ref="R19:U19"/>
    <mergeCell ref="R20:U20"/>
    <mergeCell ref="R21:U21"/>
    <mergeCell ref="R22:U22"/>
    <mergeCell ref="R15:U15"/>
    <mergeCell ref="R16:U16"/>
    <mergeCell ref="R7:Y7"/>
    <mergeCell ref="R10:U10"/>
    <mergeCell ref="R11:U11"/>
    <mergeCell ref="R12:U12"/>
    <mergeCell ref="B2:K3"/>
    <mergeCell ref="B5:D5"/>
    <mergeCell ref="R2:Y3"/>
    <mergeCell ref="R5:U5"/>
    <mergeCell ref="R13:U13"/>
    <mergeCell ref="R14:U14"/>
  </mergeCells>
  <phoneticPr fontId="0" type="noConversion"/>
  <conditionalFormatting sqref="U108:X109">
    <cfRule type="cellIs" dxfId="169" priority="1" stopIfTrue="1" operator="equal">
      <formula>"yes"</formula>
    </cfRule>
    <cfRule type="cellIs" dxfId="168" priority="2" stopIfTrue="1" operator="equal">
      <formula>"no"</formula>
    </cfRule>
  </conditionalFormatting>
  <conditionalFormatting sqref="X254:X255 X106:X107 X247:X248 X49:X50 X235:X236 X54:X55 X67:X68 X74:X75 X100:X101 X112:X113 X118:X119 X132:X133 X279:X280 X126:X127 X241:X242 X59:X60 Y286:Y287 S306:S307 X143:X144 X183:X184 X177:X178 X267:X268 X273:X274 Y213:Y214 X83 X90 X156:X157 X150:X151 X198:X199 X162:X163 X167:X168 X172:X173 X188:X189 X193:X194 AB186">
    <cfRule type="cellIs" dxfId="167" priority="3" stopIfTrue="1" operator="equal">
      <formula>$U$31</formula>
    </cfRule>
    <cfRule type="cellIs" dxfId="166" priority="4" stopIfTrue="1" operator="equal">
      <formula>$W$31</formula>
    </cfRule>
    <cfRule type="cellIs" dxfId="165" priority="5" stopIfTrue="1" operator="equal">
      <formula>$Y$31</formula>
    </cfRule>
  </conditionalFormatting>
  <conditionalFormatting sqref="R36 R44">
    <cfRule type="cellIs" dxfId="164" priority="6" stopIfTrue="1" operator="equal">
      <formula>$AI$31</formula>
    </cfRule>
    <cfRule type="cellIs" dxfId="163" priority="7" stopIfTrue="1" operator="equal">
      <formula>$AK$31</formula>
    </cfRule>
    <cfRule type="cellIs" dxfId="162" priority="8" stopIfTrue="1" operator="equal">
      <formula>$AM$31</formula>
    </cfRule>
  </conditionalFormatting>
  <conditionalFormatting sqref="V106:V107 V247:V248 V49:V50 V241:V242 V54:V55 V59:V60 V67:V68 V74:V75 W286:W287 V100:V101 V112:V113 V118:V119 V126:V127 V132:V133 V279:V280 V235:V236 V254:V255 T306:T307 V143:V144 V183:V184 V177:V178 V267:V268 V273:V274 W213:W214 V83 V90 V156:V157 V150:V151 V198:V199 V162:V163 V167:V168 V172:V173 V188:V189 V193:V194 AB184">
    <cfRule type="cellIs" dxfId="161" priority="9" stopIfTrue="1" operator="equal">
      <formula>$R$6</formula>
    </cfRule>
    <cfRule type="cellIs" dxfId="160" priority="10" stopIfTrue="1" operator="equal">
      <formula>$V$33</formula>
    </cfRule>
    <cfRule type="cellIs" dxfId="159" priority="11" stopIfTrue="1" operator="equal">
      <formula>$R$8</formula>
    </cfRule>
  </conditionalFormatting>
  <conditionalFormatting sqref="W106:W107 W126:W127 W247:W248 W49:W50 W241:W242 W54:W55 W59:W60 W67:W68 W74:W75 X286:X287 W100:W101 W112:W113 W118:W119 W132:W133 W279:W280 W235:W236 W254:W255 U306:U307 W143:W144 W183:W184 W177:W178 W267:W268 W273:W274 X213:X214 W83 W90 W156:W157 W150:W151 W198:W199 W162:W163 W167:W168 W172:W173 W188:W189 W193:W194 AB185">
    <cfRule type="cellIs" dxfId="158" priority="12" stopIfTrue="1" operator="equal">
      <formula>$R$6</formula>
    </cfRule>
    <cfRule type="cellIs" dxfId="157" priority="13" stopIfTrue="1" operator="equal">
      <formula>$R$7</formula>
    </cfRule>
    <cfRule type="cellIs" dxfId="156" priority="14" stopIfTrue="1" operator="equal">
      <formula>$W$33</formula>
    </cfRule>
  </conditionalFormatting>
  <conditionalFormatting sqref="R34 R42">
    <cfRule type="cellIs" dxfId="155" priority="15" stopIfTrue="1" operator="equal">
      <formula>$AF$6</formula>
    </cfRule>
    <cfRule type="cellIs" dxfId="154" priority="16" stopIfTrue="1" operator="equal">
      <formula>$AJ$33</formula>
    </cfRule>
    <cfRule type="cellIs" dxfId="153" priority="17" stopIfTrue="1" operator="equal">
      <formula>$AF$8</formula>
    </cfRule>
  </conditionalFormatting>
  <conditionalFormatting sqref="R35 R43">
    <cfRule type="cellIs" dxfId="152" priority="18" stopIfTrue="1" operator="equal">
      <formula>$AF$6</formula>
    </cfRule>
    <cfRule type="cellIs" dxfId="151" priority="19" stopIfTrue="1" operator="equal">
      <formula>$AF$7</formula>
    </cfRule>
    <cfRule type="cellIs" dxfId="150" priority="20" stopIfTrue="1" operator="equal">
      <formula>$AK$33</formula>
    </cfRule>
  </conditionalFormatting>
  <pageMargins left="0" right="0" top="0.59055118110236227" bottom="0.39370078740157483" header="0.51181102362204722" footer="0.51181102362204722"/>
  <pageSetup paperSize="9" scale="96" fitToHeight="6" orientation="portrait" r:id="rId1"/>
  <headerFooter alignWithMargins="0"/>
  <drawing r:id="rId2"/>
  <legacyDrawing r:id="rId3"/>
</worksheet>
</file>

<file path=xl/worksheets/sheet37.xml><?xml version="1.0" encoding="utf-8"?>
<worksheet xmlns="http://schemas.openxmlformats.org/spreadsheetml/2006/main" xmlns:r="http://schemas.openxmlformats.org/officeDocument/2006/relationships">
  <sheetPr codeName="Sheet75"/>
  <dimension ref="AI1:BM938"/>
  <sheetViews>
    <sheetView topLeftCell="AN1" workbookViewId="0">
      <selection activeCell="AU586" sqref="AU586"/>
    </sheetView>
  </sheetViews>
  <sheetFormatPr defaultRowHeight="12.75"/>
  <cols>
    <col min="1" max="34" width="9.140625" style="1"/>
    <col min="35" max="35" width="4.7109375" style="20" customWidth="1"/>
    <col min="36" max="43" width="10.7109375" style="18" customWidth="1"/>
    <col min="44" max="44" width="4.7109375" style="18" customWidth="1"/>
    <col min="45" max="45" width="4.7109375" style="1" customWidth="1"/>
    <col min="46" max="48" width="8.7109375" style="1" customWidth="1"/>
    <col min="49" max="53" width="13.7109375" style="1" customWidth="1"/>
    <col min="54" max="55" width="10.7109375" style="1" customWidth="1"/>
    <col min="56" max="72" width="10.28515625" style="1" customWidth="1"/>
    <col min="73" max="128" width="10.7109375" style="1" customWidth="1"/>
    <col min="129" max="16384" width="9.140625" style="1"/>
  </cols>
  <sheetData>
    <row r="1" spans="35:45" ht="6" customHeight="1" thickBot="1">
      <c r="AI1" s="360"/>
      <c r="AJ1" s="361"/>
      <c r="AK1" s="361"/>
      <c r="AL1" s="361"/>
      <c r="AM1" s="361"/>
      <c r="AN1" s="361"/>
      <c r="AO1" s="361"/>
      <c r="AP1" s="361"/>
      <c r="AQ1" s="361"/>
      <c r="AR1" s="361"/>
      <c r="AS1" s="362"/>
    </row>
    <row r="2" spans="35:45" ht="12.75" customHeight="1" thickTop="1">
      <c r="AI2" s="363"/>
      <c r="AJ2" s="1024" t="s">
        <v>396</v>
      </c>
      <c r="AK2" s="1025"/>
      <c r="AL2" s="1025"/>
      <c r="AM2" s="1025"/>
      <c r="AN2" s="1025"/>
      <c r="AO2" s="1025"/>
      <c r="AP2" s="1025"/>
      <c r="AQ2" s="1026"/>
      <c r="AR2" s="362"/>
      <c r="AS2" s="362"/>
    </row>
    <row r="3" spans="35:45" ht="12.75" customHeight="1" thickBot="1">
      <c r="AI3" s="363"/>
      <c r="AJ3" s="1027"/>
      <c r="AK3" s="1028"/>
      <c r="AL3" s="1028"/>
      <c r="AM3" s="1028"/>
      <c r="AN3" s="1028"/>
      <c r="AO3" s="1028"/>
      <c r="AP3" s="1028"/>
      <c r="AQ3" s="1029"/>
      <c r="AR3" s="362"/>
      <c r="AS3" s="362"/>
    </row>
    <row r="4" spans="35:45" ht="12.75" customHeight="1" thickTop="1">
      <c r="AI4" s="363"/>
      <c r="AJ4" s="361"/>
      <c r="AK4" s="361"/>
      <c r="AL4" s="361"/>
      <c r="AM4" s="361"/>
      <c r="AN4" s="361"/>
      <c r="AO4" s="361"/>
      <c r="AP4" s="361"/>
      <c r="AQ4" s="361"/>
      <c r="AR4" s="361"/>
      <c r="AS4" s="362"/>
    </row>
    <row r="5" spans="35:45" ht="12.75" customHeight="1">
      <c r="AI5" s="360"/>
      <c r="AJ5" s="951" t="s">
        <v>868</v>
      </c>
      <c r="AK5" s="951"/>
      <c r="AL5" s="951"/>
      <c r="AM5" s="951"/>
      <c r="AN5" s="447">
        <f>'Prod Parameters'!F5</f>
        <v>450</v>
      </c>
      <c r="AO5" s="362"/>
      <c r="AP5" s="362"/>
      <c r="AQ5" s="362"/>
      <c r="AR5" s="362"/>
      <c r="AS5" s="362"/>
    </row>
    <row r="6" spans="35:45" ht="12.75" customHeight="1">
      <c r="AI6" s="360"/>
      <c r="AJ6" s="362"/>
      <c r="AK6" s="362"/>
      <c r="AL6" s="362"/>
      <c r="AM6" s="362"/>
      <c r="AN6" s="361"/>
      <c r="AO6" s="361"/>
      <c r="AP6" s="361"/>
      <c r="AQ6" s="361"/>
      <c r="AR6" s="361"/>
      <c r="AS6" s="362"/>
    </row>
    <row r="7" spans="35:45" ht="12.75" customHeight="1">
      <c r="AI7" s="360"/>
      <c r="AJ7" s="362"/>
      <c r="AK7" s="362"/>
      <c r="AL7" s="362"/>
      <c r="AM7" s="362"/>
      <c r="AN7" s="361"/>
      <c r="AO7" s="361"/>
      <c r="AP7" s="361"/>
      <c r="AQ7" s="361"/>
      <c r="AR7" s="361"/>
      <c r="AS7" s="362"/>
    </row>
    <row r="8" spans="35:45" ht="12.75" customHeight="1">
      <c r="AI8" s="360"/>
      <c r="AJ8" s="362"/>
      <c r="AK8" s="362"/>
      <c r="AL8" s="362"/>
      <c r="AM8" s="362"/>
      <c r="AN8" s="361"/>
      <c r="AO8" s="361"/>
      <c r="AP8" s="361"/>
      <c r="AQ8" s="361"/>
      <c r="AR8" s="361"/>
      <c r="AS8" s="362"/>
    </row>
    <row r="9" spans="35:45" ht="12.75" customHeight="1">
      <c r="AI9" s="360"/>
      <c r="AJ9" s="362"/>
      <c r="AK9" s="362"/>
      <c r="AL9" s="362"/>
      <c r="AM9" s="362"/>
      <c r="AN9" s="361"/>
      <c r="AO9" s="361"/>
      <c r="AP9" s="361"/>
      <c r="AQ9" s="361"/>
      <c r="AR9" s="361"/>
      <c r="AS9" s="362"/>
    </row>
    <row r="10" spans="35:45" ht="12.75" customHeight="1">
      <c r="AI10" s="360"/>
      <c r="AJ10" s="362"/>
      <c r="AK10" s="362"/>
      <c r="AL10" s="362"/>
      <c r="AM10" s="362"/>
      <c r="AN10" s="361"/>
      <c r="AO10" s="361"/>
      <c r="AP10" s="361"/>
      <c r="AQ10" s="361"/>
      <c r="AR10" s="361"/>
      <c r="AS10" s="362"/>
    </row>
    <row r="11" spans="35:45" ht="12.75" customHeight="1">
      <c r="AI11" s="360"/>
      <c r="AJ11" s="362"/>
      <c r="AK11" s="362"/>
      <c r="AL11" s="362"/>
      <c r="AM11" s="362"/>
      <c r="AN11" s="361"/>
      <c r="AO11" s="361"/>
      <c r="AP11" s="361"/>
      <c r="AQ11" s="361"/>
      <c r="AR11" s="361"/>
      <c r="AS11" s="362"/>
    </row>
    <row r="12" spans="35:45" ht="12.75" customHeight="1">
      <c r="AI12" s="385">
        <v>1</v>
      </c>
      <c r="AJ12" s="1008" t="s">
        <v>24</v>
      </c>
      <c r="AK12" s="1008"/>
      <c r="AL12" s="1008"/>
      <c r="AM12" s="1008"/>
      <c r="AN12" s="1008"/>
      <c r="AO12" s="1008"/>
      <c r="AP12" s="1008"/>
      <c r="AQ12" s="1008"/>
      <c r="AR12" s="536"/>
      <c r="AS12" s="362"/>
    </row>
    <row r="13" spans="35:45" ht="12.75" customHeight="1">
      <c r="AI13" s="386"/>
      <c r="AJ13" s="361"/>
      <c r="AK13" s="361"/>
      <c r="AL13" s="361"/>
      <c r="AM13" s="361"/>
      <c r="AN13" s="361"/>
      <c r="AO13" s="361"/>
      <c r="AP13" s="361"/>
      <c r="AQ13" s="361"/>
      <c r="AR13" s="361"/>
      <c r="AS13" s="362"/>
    </row>
    <row r="14" spans="35:45" ht="12.75" customHeight="1">
      <c r="AI14" s="360">
        <v>1.1000000000000001</v>
      </c>
      <c r="AJ14" s="364" t="s">
        <v>586</v>
      </c>
      <c r="AK14" s="363"/>
      <c r="AL14" s="363"/>
      <c r="AM14" s="363"/>
      <c r="AN14" s="363"/>
      <c r="AO14" s="363"/>
      <c r="AP14" s="363"/>
      <c r="AQ14" s="363"/>
      <c r="AR14" s="363"/>
      <c r="AS14" s="362"/>
    </row>
    <row r="15" spans="35:45" ht="12.75" customHeight="1">
      <c r="AI15" s="360"/>
      <c r="AJ15" s="969" t="s">
        <v>25</v>
      </c>
      <c r="AK15" s="969"/>
      <c r="AL15" s="969"/>
      <c r="AM15" s="969"/>
      <c r="AN15" s="447">
        <f>'Prod Parameters'!$F$8</f>
        <v>23</v>
      </c>
      <c r="AO15" s="363"/>
      <c r="AP15" s="363"/>
      <c r="AQ15" s="363"/>
      <c r="AR15" s="363"/>
      <c r="AS15" s="362"/>
    </row>
    <row r="16" spans="35:45" ht="12.75" customHeight="1">
      <c r="AI16" s="360"/>
      <c r="AJ16" s="969" t="s">
        <v>325</v>
      </c>
      <c r="AK16" s="969"/>
      <c r="AL16" s="969"/>
      <c r="AM16" s="969"/>
      <c r="AN16" s="447">
        <f>'Prod Parameters'!$F$9</f>
        <v>23</v>
      </c>
      <c r="AO16" s="363"/>
      <c r="AP16" s="363"/>
      <c r="AQ16" s="363"/>
      <c r="AR16" s="363"/>
      <c r="AS16" s="362"/>
    </row>
    <row r="17" spans="35:65" ht="12.75" customHeight="1">
      <c r="AI17" s="360"/>
      <c r="AJ17" s="1021" t="s">
        <v>26</v>
      </c>
      <c r="AK17" s="1022"/>
      <c r="AL17" s="1022"/>
      <c r="AM17" s="1023"/>
      <c r="AN17" s="447">
        <f>'Prod Parameters'!$F$10</f>
        <v>6</v>
      </c>
      <c r="AO17" s="363"/>
      <c r="AP17" s="363"/>
      <c r="AQ17" s="363"/>
      <c r="AR17" s="363"/>
      <c r="AS17" s="362"/>
    </row>
    <row r="18" spans="35:65" ht="12.75" customHeight="1">
      <c r="AI18" s="360"/>
      <c r="AJ18" s="969" t="s">
        <v>27</v>
      </c>
      <c r="AK18" s="969"/>
      <c r="AL18" s="969"/>
      <c r="AM18" s="969"/>
      <c r="AN18" s="447">
        <f>'Prod Parameters'!$F$11</f>
        <v>52</v>
      </c>
      <c r="AO18" s="363"/>
      <c r="AP18" s="363"/>
      <c r="AQ18" s="363"/>
      <c r="AR18" s="363"/>
      <c r="AS18" s="362"/>
    </row>
    <row r="19" spans="35:65" ht="12.75" customHeight="1">
      <c r="AI19" s="360"/>
      <c r="AJ19" s="969" t="s">
        <v>28</v>
      </c>
      <c r="AK19" s="969"/>
      <c r="AL19" s="969"/>
      <c r="AM19" s="969"/>
      <c r="AN19" s="447">
        <f>'Prod Parameters'!$F$12</f>
        <v>260</v>
      </c>
      <c r="AO19" s="363"/>
      <c r="AP19" s="363"/>
      <c r="AQ19" s="363"/>
      <c r="AR19" s="363"/>
      <c r="AS19" s="362"/>
    </row>
    <row r="20" spans="35:65" ht="12.75" customHeight="1">
      <c r="AI20" s="360"/>
      <c r="AJ20" s="969" t="s">
        <v>29</v>
      </c>
      <c r="AK20" s="969"/>
      <c r="AL20" s="969"/>
      <c r="AM20" s="969"/>
      <c r="AN20" s="447">
        <f>'Prod Parameters'!$F$13</f>
        <v>30</v>
      </c>
      <c r="AO20" s="363"/>
      <c r="AP20" s="363"/>
      <c r="AQ20" s="363"/>
      <c r="AR20" s="363"/>
      <c r="AS20" s="362"/>
    </row>
    <row r="21" spans="35:65" ht="12.75" customHeight="1">
      <c r="AI21" s="360"/>
      <c r="AJ21" s="968" t="s">
        <v>30</v>
      </c>
      <c r="AK21" s="968"/>
      <c r="AL21" s="968"/>
      <c r="AM21" s="968"/>
      <c r="AN21" s="447">
        <f>'Prod Parameters'!$F$14</f>
        <v>230</v>
      </c>
      <c r="AO21" s="363"/>
      <c r="AP21" s="363"/>
      <c r="AQ21" s="363"/>
      <c r="AR21" s="363"/>
      <c r="AS21" s="362"/>
    </row>
    <row r="22" spans="35:65" ht="12.75" customHeight="1">
      <c r="AI22" s="360"/>
      <c r="AJ22" s="363"/>
      <c r="AK22" s="363"/>
      <c r="AL22" s="363"/>
      <c r="AM22" s="363"/>
      <c r="AN22" s="363"/>
      <c r="AO22" s="363"/>
      <c r="AP22" s="363"/>
      <c r="AQ22" s="363"/>
      <c r="AR22" s="363"/>
      <c r="AS22" s="367"/>
      <c r="AT22"/>
      <c r="AU22"/>
      <c r="AV22"/>
      <c r="AW22"/>
      <c r="AX22"/>
      <c r="AY22"/>
      <c r="AZ22"/>
      <c r="BA22"/>
      <c r="BB22"/>
      <c r="BC22"/>
      <c r="BD22"/>
      <c r="BE22"/>
      <c r="BF22"/>
      <c r="BG22"/>
      <c r="BH22"/>
      <c r="BI22"/>
      <c r="BJ22"/>
      <c r="BK22"/>
      <c r="BL22"/>
      <c r="BM22"/>
    </row>
    <row r="23" spans="35:65" ht="12.75" customHeight="1">
      <c r="AI23" s="360">
        <v>1.2</v>
      </c>
      <c r="AJ23" s="364" t="s">
        <v>19</v>
      </c>
      <c r="AK23" s="363"/>
      <c r="AL23" s="363"/>
      <c r="AM23" s="363"/>
      <c r="AN23" s="363"/>
      <c r="AO23" s="363"/>
      <c r="AP23" s="363"/>
      <c r="AQ23" s="363"/>
      <c r="AR23" s="363"/>
      <c r="AS23" s="367"/>
      <c r="AT23"/>
      <c r="AU23"/>
      <c r="AV23"/>
      <c r="AW23"/>
      <c r="AX23"/>
      <c r="AY23"/>
      <c r="AZ23"/>
      <c r="BA23"/>
      <c r="BB23"/>
      <c r="BC23"/>
      <c r="BD23"/>
      <c r="BE23"/>
      <c r="BF23"/>
      <c r="BG23"/>
      <c r="BH23"/>
      <c r="BI23"/>
      <c r="BJ23"/>
      <c r="BK23"/>
      <c r="BL23"/>
      <c r="BM23"/>
    </row>
    <row r="24" spans="35:65" ht="12.75" customHeight="1">
      <c r="AI24" s="360"/>
      <c r="AJ24" s="969" t="s">
        <v>314</v>
      </c>
      <c r="AK24" s="969"/>
      <c r="AL24" s="969"/>
      <c r="AM24" s="969"/>
      <c r="AN24" s="447">
        <f>'Prod Parameters'!$F$17</f>
        <v>160</v>
      </c>
      <c r="AO24" s="363"/>
      <c r="AP24" s="363"/>
      <c r="AQ24" s="363"/>
      <c r="AR24" s="363"/>
      <c r="AS24" s="367"/>
      <c r="AT24"/>
      <c r="AU24"/>
      <c r="AV24"/>
      <c r="AW24"/>
      <c r="AX24"/>
      <c r="AY24"/>
      <c r="AZ24"/>
      <c r="BA24"/>
      <c r="BB24"/>
      <c r="BC24"/>
      <c r="BD24"/>
      <c r="BE24"/>
      <c r="BF24"/>
      <c r="BG24"/>
      <c r="BH24"/>
      <c r="BI24"/>
      <c r="BJ24"/>
      <c r="BK24"/>
      <c r="BL24"/>
      <c r="BM24"/>
    </row>
    <row r="25" spans="35:65" ht="12.75" customHeight="1">
      <c r="AI25" s="360"/>
      <c r="AJ25" s="969" t="s">
        <v>31</v>
      </c>
      <c r="AK25" s="969"/>
      <c r="AL25" s="969"/>
      <c r="AM25" s="969"/>
      <c r="AN25" s="447">
        <f>'Prod Parameters'!$F$18</f>
        <v>1.2</v>
      </c>
      <c r="AO25" s="363"/>
      <c r="AP25" s="363"/>
      <c r="AQ25" s="363"/>
      <c r="AR25" s="363"/>
      <c r="AS25" s="367"/>
      <c r="AT25"/>
      <c r="AU25"/>
      <c r="AV25"/>
      <c r="AW25"/>
      <c r="AX25"/>
      <c r="AY25"/>
      <c r="AZ25"/>
      <c r="BA25"/>
      <c r="BB25"/>
      <c r="BC25"/>
      <c r="BD25"/>
      <c r="BE25"/>
      <c r="BF25"/>
      <c r="BG25"/>
      <c r="BH25"/>
      <c r="BI25"/>
      <c r="BJ25"/>
      <c r="BK25"/>
      <c r="BL25"/>
      <c r="BM25"/>
    </row>
    <row r="26" spans="35:65" ht="12.75" customHeight="1">
      <c r="AI26" s="360"/>
      <c r="AJ26" s="969" t="s">
        <v>199</v>
      </c>
      <c r="AK26" s="969"/>
      <c r="AL26" s="969"/>
      <c r="AM26" s="969"/>
      <c r="AN26" s="447">
        <f>'Prod Parameters'!$F$19</f>
        <v>4</v>
      </c>
      <c r="AO26" s="363"/>
      <c r="AP26" s="363"/>
      <c r="AQ26" s="363"/>
      <c r="AR26" s="363"/>
      <c r="AS26" s="367"/>
      <c r="AT26"/>
      <c r="AU26"/>
      <c r="AV26"/>
      <c r="AW26"/>
      <c r="AX26"/>
      <c r="AY26"/>
      <c r="AZ26"/>
      <c r="BA26"/>
      <c r="BB26"/>
      <c r="BC26"/>
      <c r="BD26"/>
      <c r="BE26"/>
      <c r="BF26"/>
      <c r="BG26"/>
      <c r="BH26"/>
      <c r="BI26"/>
      <c r="BJ26"/>
      <c r="BK26"/>
      <c r="BL26"/>
      <c r="BM26"/>
    </row>
    <row r="27" spans="35:65" ht="12.75" customHeight="1">
      <c r="AI27" s="360"/>
      <c r="AJ27" s="969" t="s">
        <v>20</v>
      </c>
      <c r="AK27" s="969"/>
      <c r="AL27" s="969"/>
      <c r="AM27" s="969"/>
      <c r="AN27" s="447">
        <f>'Prod Parameters'!$F$20</f>
        <v>40</v>
      </c>
      <c r="AO27" s="363"/>
      <c r="AP27" s="363"/>
      <c r="AQ27" s="363"/>
      <c r="AR27" s="363"/>
      <c r="AS27" s="367"/>
      <c r="AT27"/>
      <c r="AU27"/>
      <c r="AV27"/>
      <c r="AW27"/>
      <c r="AX27"/>
      <c r="AY27"/>
      <c r="AZ27"/>
      <c r="BA27"/>
      <c r="BB27"/>
      <c r="BC27"/>
      <c r="BD27"/>
      <c r="BE27"/>
      <c r="BF27"/>
      <c r="BG27"/>
      <c r="BH27"/>
      <c r="BI27"/>
      <c r="BJ27"/>
      <c r="BK27"/>
      <c r="BL27"/>
      <c r="BM27"/>
    </row>
    <row r="28" spans="35:65" ht="12.75" customHeight="1">
      <c r="AI28" s="360"/>
      <c r="AJ28" s="969" t="s">
        <v>310</v>
      </c>
      <c r="AK28" s="969"/>
      <c r="AL28" s="969"/>
      <c r="AM28" s="969"/>
      <c r="AN28" s="447">
        <f>'Prod Parameters'!$F$21</f>
        <v>160</v>
      </c>
      <c r="AO28" s="363"/>
      <c r="AP28" s="363"/>
      <c r="AQ28" s="363"/>
      <c r="AR28" s="363"/>
      <c r="AS28" s="367"/>
      <c r="AT28"/>
      <c r="AU28"/>
      <c r="AV28"/>
      <c r="AW28"/>
      <c r="AX28"/>
      <c r="AY28"/>
      <c r="AZ28"/>
      <c r="BA28"/>
      <c r="BB28"/>
      <c r="BC28"/>
      <c r="BD28"/>
      <c r="BE28"/>
      <c r="BF28"/>
      <c r="BG28"/>
      <c r="BH28"/>
      <c r="BI28"/>
      <c r="BJ28"/>
      <c r="BK28"/>
      <c r="BL28"/>
      <c r="BM28"/>
    </row>
    <row r="29" spans="35:65" ht="12.75" customHeight="1">
      <c r="AI29" s="360"/>
      <c r="AJ29" s="969" t="s">
        <v>315</v>
      </c>
      <c r="AK29" s="969"/>
      <c r="AL29" s="969"/>
      <c r="AM29" s="969"/>
      <c r="AN29" s="549">
        <f>'Prod Parameters'!$F$22</f>
        <v>6400</v>
      </c>
      <c r="AO29" s="363"/>
      <c r="AP29" s="363"/>
      <c r="AQ29" s="363"/>
      <c r="AR29" s="363"/>
      <c r="AS29" s="367"/>
      <c r="AT29"/>
      <c r="AU29"/>
      <c r="AV29"/>
      <c r="AW29"/>
      <c r="AX29"/>
      <c r="AY29"/>
      <c r="AZ29"/>
      <c r="BA29"/>
      <c r="BB29"/>
      <c r="BC29"/>
      <c r="BD29"/>
      <c r="BE29"/>
      <c r="BF29"/>
      <c r="BG29"/>
      <c r="BH29"/>
      <c r="BI29"/>
      <c r="BJ29"/>
      <c r="BK29"/>
      <c r="BL29"/>
      <c r="BM29"/>
    </row>
    <row r="30" spans="35:65" ht="12.75" customHeight="1">
      <c r="AI30" s="360"/>
      <c r="AJ30" s="969" t="s">
        <v>187</v>
      </c>
      <c r="AK30" s="969"/>
      <c r="AL30" s="969"/>
      <c r="AM30" s="969"/>
      <c r="AN30" s="549">
        <f>'Prod Parameters'!$F$23</f>
        <v>7680</v>
      </c>
      <c r="AO30" s="363"/>
      <c r="AP30" s="363"/>
      <c r="AQ30" s="363"/>
      <c r="AR30" s="363"/>
      <c r="AS30" s="367"/>
      <c r="AT30"/>
      <c r="AU30"/>
      <c r="AV30"/>
      <c r="AW30"/>
      <c r="AX30"/>
      <c r="AY30"/>
      <c r="AZ30"/>
      <c r="BA30"/>
      <c r="BB30"/>
      <c r="BC30"/>
      <c r="BD30"/>
      <c r="BE30"/>
      <c r="BF30"/>
      <c r="BG30"/>
      <c r="BH30"/>
      <c r="BI30"/>
      <c r="BJ30"/>
      <c r="BK30"/>
      <c r="BL30"/>
      <c r="BM30"/>
    </row>
    <row r="31" spans="35:65" ht="12.75" customHeight="1">
      <c r="AI31" s="360"/>
      <c r="AJ31" s="969" t="s">
        <v>200</v>
      </c>
      <c r="AK31" s="969"/>
      <c r="AL31" s="969"/>
      <c r="AM31" s="969"/>
      <c r="AN31" s="549">
        <f>'Prod Parameters'!$F$24</f>
        <v>176640</v>
      </c>
      <c r="AO31" s="363"/>
      <c r="AP31" s="363"/>
      <c r="AQ31" s="363"/>
      <c r="AR31" s="363"/>
      <c r="AS31" s="367"/>
      <c r="AT31"/>
      <c r="AU31"/>
      <c r="AV31"/>
      <c r="AW31"/>
      <c r="AX31"/>
      <c r="AY31"/>
      <c r="AZ31"/>
      <c r="BA31"/>
      <c r="BB31"/>
      <c r="BC31"/>
      <c r="BD31"/>
      <c r="BE31"/>
      <c r="BF31"/>
      <c r="BG31"/>
      <c r="BH31"/>
      <c r="BI31"/>
      <c r="BJ31"/>
      <c r="BK31"/>
      <c r="BL31"/>
      <c r="BM31"/>
    </row>
    <row r="32" spans="35:65" ht="12.75" customHeight="1">
      <c r="AI32" s="360"/>
      <c r="AJ32" s="363"/>
      <c r="AK32" s="363"/>
      <c r="AL32" s="363"/>
      <c r="AM32" s="363"/>
      <c r="AN32" s="363"/>
      <c r="AO32" s="363"/>
      <c r="AP32" s="363"/>
      <c r="AQ32" s="363"/>
      <c r="AR32" s="363"/>
      <c r="AS32" s="367"/>
      <c r="AT32"/>
      <c r="AU32"/>
      <c r="AV32"/>
      <c r="AW32"/>
      <c r="AX32"/>
      <c r="AY32"/>
      <c r="AZ32"/>
      <c r="BA32"/>
      <c r="BB32"/>
      <c r="BC32"/>
      <c r="BD32"/>
      <c r="BE32"/>
      <c r="BF32"/>
      <c r="BG32"/>
      <c r="BH32"/>
      <c r="BI32"/>
      <c r="BJ32"/>
      <c r="BK32"/>
      <c r="BL32"/>
      <c r="BM32"/>
    </row>
    <row r="33" spans="35:65" ht="12.75" customHeight="1">
      <c r="AI33" s="385" t="s">
        <v>33</v>
      </c>
      <c r="AJ33" s="1008" t="s">
        <v>821</v>
      </c>
      <c r="AK33" s="1008"/>
      <c r="AL33" s="1008"/>
      <c r="AM33" s="1008"/>
      <c r="AN33" s="1008"/>
      <c r="AO33" s="1008"/>
      <c r="AP33" s="1008"/>
      <c r="AQ33" s="1008"/>
      <c r="AR33" s="536"/>
      <c r="AS33" s="367"/>
      <c r="AT33"/>
      <c r="AU33"/>
      <c r="AV33"/>
      <c r="AW33"/>
      <c r="AX33"/>
      <c r="AY33"/>
      <c r="AZ33"/>
      <c r="BA33"/>
      <c r="BB33"/>
      <c r="BC33"/>
      <c r="BD33"/>
      <c r="BE33"/>
      <c r="BF33"/>
      <c r="BG33"/>
      <c r="BH33"/>
      <c r="BI33"/>
      <c r="BJ33"/>
      <c r="BK33"/>
      <c r="BL33"/>
      <c r="BM33"/>
    </row>
    <row r="34" spans="35:65" ht="12.75" customHeight="1">
      <c r="AI34" s="546"/>
      <c r="AJ34" s="363"/>
      <c r="AK34" s="363"/>
      <c r="AL34" s="363"/>
      <c r="AM34" s="363"/>
      <c r="AN34" s="363"/>
      <c r="AO34" s="363"/>
      <c r="AP34" s="363"/>
      <c r="AQ34" s="363"/>
      <c r="AR34" s="363"/>
      <c r="AS34" s="367"/>
      <c r="AT34"/>
      <c r="AU34"/>
      <c r="AV34"/>
      <c r="AW34"/>
      <c r="AX34"/>
      <c r="AY34"/>
      <c r="AZ34"/>
      <c r="BA34"/>
      <c r="BB34"/>
      <c r="BC34"/>
      <c r="BD34"/>
      <c r="BE34"/>
      <c r="BF34"/>
      <c r="BG34"/>
      <c r="BH34"/>
      <c r="BI34"/>
      <c r="BJ34"/>
      <c r="BK34"/>
      <c r="BL34"/>
      <c r="BM34"/>
    </row>
    <row r="35" spans="35:65" ht="12.75" customHeight="1">
      <c r="AI35" s="546">
        <v>2.1</v>
      </c>
      <c r="AJ35" s="363" t="s">
        <v>831</v>
      </c>
      <c r="AK35" s="363"/>
      <c r="AL35" s="363"/>
      <c r="AM35" s="550"/>
      <c r="AN35" s="550"/>
      <c r="AO35" s="550"/>
      <c r="AP35" s="550"/>
      <c r="AQ35" s="551"/>
      <c r="AR35" s="551"/>
      <c r="AS35" s="367"/>
      <c r="AT35"/>
      <c r="AU35"/>
      <c r="AV35"/>
      <c r="AW35"/>
      <c r="AX35"/>
      <c r="AY35"/>
      <c r="AZ35"/>
      <c r="BA35"/>
      <c r="BB35"/>
      <c r="BC35"/>
      <c r="BD35"/>
      <c r="BE35"/>
      <c r="BF35"/>
      <c r="BG35"/>
      <c r="BH35"/>
      <c r="BI35"/>
      <c r="BJ35"/>
      <c r="BK35"/>
      <c r="BL35"/>
      <c r="BM35"/>
    </row>
    <row r="36" spans="35:65" ht="12.75" customHeight="1">
      <c r="AI36" s="546"/>
      <c r="AJ36" s="998" t="s">
        <v>77</v>
      </c>
      <c r="AK36" s="999"/>
      <c r="AL36" s="1000"/>
      <c r="AM36" s="1019" t="s">
        <v>824</v>
      </c>
      <c r="AN36" s="1019" t="s">
        <v>828</v>
      </c>
      <c r="AO36" s="1019" t="s">
        <v>826</v>
      </c>
      <c r="AP36" s="1019" t="s">
        <v>23</v>
      </c>
      <c r="AQ36" s="552"/>
      <c r="AR36" s="552"/>
      <c r="AS36" s="367"/>
      <c r="AT36"/>
      <c r="AU36"/>
      <c r="AV36"/>
      <c r="AW36"/>
      <c r="AX36"/>
      <c r="AY36"/>
      <c r="AZ36"/>
      <c r="BA36"/>
      <c r="BB36"/>
      <c r="BC36"/>
      <c r="BD36"/>
      <c r="BE36"/>
      <c r="BF36"/>
      <c r="BG36"/>
      <c r="BH36"/>
      <c r="BI36"/>
      <c r="BJ36"/>
      <c r="BK36"/>
      <c r="BL36"/>
      <c r="BM36"/>
    </row>
    <row r="37" spans="35:65" ht="12.75" customHeight="1">
      <c r="AI37" s="546"/>
      <c r="AJ37" s="1001"/>
      <c r="AK37" s="1002"/>
      <c r="AL37" s="1003"/>
      <c r="AM37" s="1019"/>
      <c r="AN37" s="1019"/>
      <c r="AO37" s="1019"/>
      <c r="AP37" s="1019"/>
      <c r="AQ37" s="364"/>
      <c r="AR37" s="364"/>
      <c r="AS37" s="367"/>
      <c r="AT37"/>
      <c r="AU37"/>
      <c r="AV37"/>
      <c r="AW37"/>
      <c r="AX37"/>
      <c r="AY37"/>
      <c r="AZ37"/>
      <c r="BA37"/>
      <c r="BB37"/>
      <c r="BC37"/>
      <c r="BD37"/>
      <c r="BE37"/>
      <c r="BF37"/>
      <c r="BG37"/>
      <c r="BH37"/>
      <c r="BI37"/>
      <c r="BJ37"/>
      <c r="BK37"/>
      <c r="BL37"/>
      <c r="BM37"/>
    </row>
    <row r="38" spans="35:65" ht="12.75" customHeight="1">
      <c r="AI38" s="546"/>
      <c r="AJ38" s="1020" t="s">
        <v>500</v>
      </c>
      <c r="AK38" s="1020"/>
      <c r="AL38" s="1020"/>
      <c r="AM38" s="369">
        <v>23.9</v>
      </c>
      <c r="AN38" s="369">
        <f>'Lookup Properties'!$C$7</f>
        <v>15.4</v>
      </c>
      <c r="AO38" s="369">
        <f>'Lookup Properties'!$D$7</f>
        <v>4.8</v>
      </c>
      <c r="AP38" s="553">
        <f>SUM(AM38:AO38)</f>
        <v>44.099999999999994</v>
      </c>
      <c r="AQ38" s="364"/>
      <c r="AR38" s="364"/>
      <c r="AS38" s="367"/>
      <c r="AT38"/>
      <c r="AU38"/>
      <c r="AV38"/>
      <c r="AW38"/>
      <c r="AX38"/>
      <c r="AY38"/>
      <c r="AZ38"/>
      <c r="BA38"/>
      <c r="BB38"/>
      <c r="BC38"/>
      <c r="BD38"/>
      <c r="BE38"/>
      <c r="BF38"/>
      <c r="BG38"/>
      <c r="BH38"/>
      <c r="BI38"/>
      <c r="BJ38"/>
      <c r="BK38"/>
      <c r="BL38"/>
      <c r="BM38"/>
    </row>
    <row r="39" spans="35:65" ht="12.75" customHeight="1">
      <c r="AI39" s="546"/>
      <c r="AJ39" s="1017" t="s">
        <v>22</v>
      </c>
      <c r="AK39" s="1017"/>
      <c r="AL39" s="1017"/>
      <c r="AM39" s="369">
        <f>'Lookup Properties'!$B$5</f>
        <v>22.35</v>
      </c>
      <c r="AN39" s="369">
        <f>'Lookup Properties'!$C$5</f>
        <v>17.399999999999999</v>
      </c>
      <c r="AO39" s="369">
        <f>'Lookup Properties'!$D$5</f>
        <v>5</v>
      </c>
      <c r="AP39" s="553">
        <f>SUM(AM39:AO39)</f>
        <v>44.75</v>
      </c>
      <c r="AQ39" s="364"/>
      <c r="AR39" s="364"/>
      <c r="AS39" s="367"/>
      <c r="AT39"/>
      <c r="AU39"/>
      <c r="AV39"/>
      <c r="AW39"/>
      <c r="AX39"/>
      <c r="AY39"/>
      <c r="AZ39"/>
      <c r="BA39"/>
      <c r="BB39"/>
      <c r="BC39"/>
      <c r="BD39"/>
      <c r="BE39"/>
      <c r="BF39"/>
      <c r="BG39"/>
      <c r="BH39"/>
      <c r="BI39"/>
      <c r="BJ39"/>
      <c r="BK39"/>
      <c r="BL39"/>
      <c r="BM39"/>
    </row>
    <row r="40" spans="35:65" ht="12.75" customHeight="1">
      <c r="AI40" s="546"/>
      <c r="AJ40" s="1018" t="s">
        <v>579</v>
      </c>
      <c r="AK40" s="1018"/>
      <c r="AL40" s="1018"/>
      <c r="AM40" s="369">
        <f>'Lookup Properties'!$B$6</f>
        <v>22.15</v>
      </c>
      <c r="AN40" s="369">
        <f>'Lookup Properties'!$C$6</f>
        <v>18.149999999999999</v>
      </c>
      <c r="AO40" s="369">
        <f>'Lookup Properties'!$D$6</f>
        <v>5</v>
      </c>
      <c r="AP40" s="553">
        <f>SUM(AM40:AO40)</f>
        <v>45.3</v>
      </c>
      <c r="AQ40" s="364"/>
      <c r="AR40" s="364"/>
      <c r="AS40" s="367"/>
      <c r="AT40"/>
      <c r="AU40"/>
      <c r="AV40"/>
      <c r="AW40"/>
      <c r="AX40"/>
      <c r="AY40"/>
      <c r="AZ40"/>
      <c r="BA40"/>
      <c r="BB40"/>
      <c r="BC40"/>
      <c r="BD40"/>
      <c r="BE40"/>
      <c r="BF40"/>
      <c r="BG40"/>
      <c r="BH40"/>
      <c r="BI40"/>
      <c r="BJ40"/>
      <c r="BK40"/>
      <c r="BL40"/>
      <c r="BM40"/>
    </row>
    <row r="41" spans="35:65" ht="12.75" customHeight="1">
      <c r="AI41" s="546"/>
      <c r="AJ41" s="1016" t="s">
        <v>21</v>
      </c>
      <c r="AK41" s="1016"/>
      <c r="AL41" s="1016"/>
      <c r="AM41" s="369">
        <f>'Lookup Properties'!$B$4</f>
        <v>21.25</v>
      </c>
      <c r="AN41" s="369">
        <f>'Lookup Properties'!$C$4</f>
        <v>17.399999999999999</v>
      </c>
      <c r="AO41" s="369">
        <f>'Lookup Properties'!$D$4</f>
        <v>5</v>
      </c>
      <c r="AP41" s="553">
        <f>SUM(AM41:AO41)</f>
        <v>43.65</v>
      </c>
      <c r="AQ41" s="364"/>
      <c r="AR41" s="364"/>
      <c r="AS41" s="367"/>
      <c r="AT41"/>
      <c r="AU41"/>
      <c r="AV41"/>
      <c r="AW41"/>
      <c r="AX41"/>
      <c r="AY41"/>
      <c r="AZ41"/>
      <c r="BA41"/>
      <c r="BB41"/>
      <c r="BC41"/>
      <c r="BD41"/>
      <c r="BE41"/>
      <c r="BF41"/>
      <c r="BG41"/>
      <c r="BH41"/>
      <c r="BI41"/>
      <c r="BJ41"/>
      <c r="BK41"/>
      <c r="BL41"/>
      <c r="BM41"/>
    </row>
    <row r="42" spans="35:65" ht="12.75" customHeight="1">
      <c r="AI42" s="364"/>
      <c r="AJ42" s="364"/>
      <c r="AK42" s="364"/>
      <c r="AL42" s="364"/>
      <c r="AM42" s="555"/>
      <c r="AN42" s="555"/>
      <c r="AO42" s="555"/>
      <c r="AP42" s="555"/>
      <c r="AQ42" s="555"/>
      <c r="AR42" s="364"/>
      <c r="AS42" s="367"/>
      <c r="AT42"/>
      <c r="AU42"/>
      <c r="AV42"/>
      <c r="AW42"/>
      <c r="AX42"/>
      <c r="AY42"/>
      <c r="AZ42"/>
      <c r="BA42"/>
      <c r="BB42"/>
      <c r="BC42"/>
      <c r="BD42"/>
      <c r="BE42"/>
      <c r="BF42"/>
      <c r="BG42"/>
      <c r="BH42"/>
      <c r="BI42"/>
      <c r="BJ42"/>
      <c r="BK42"/>
      <c r="BL42"/>
      <c r="BM42"/>
    </row>
    <row r="43" spans="35:65" ht="12.75" customHeight="1">
      <c r="AI43" s="360">
        <v>2.2000000000000002</v>
      </c>
      <c r="AJ43" s="363" t="s">
        <v>832</v>
      </c>
      <c r="AK43" s="363"/>
      <c r="AL43" s="363"/>
      <c r="AM43" s="363"/>
      <c r="AN43" s="363"/>
      <c r="AO43" s="363"/>
      <c r="AP43" s="363"/>
      <c r="AQ43" s="363"/>
      <c r="AR43" s="364"/>
      <c r="AS43" s="367"/>
      <c r="AT43"/>
      <c r="AU43"/>
      <c r="AV43"/>
      <c r="AW43"/>
      <c r="AX43"/>
      <c r="AY43"/>
      <c r="AZ43"/>
      <c r="BA43"/>
      <c r="BB43"/>
      <c r="BC43"/>
      <c r="BD43"/>
      <c r="BE43"/>
      <c r="BF43"/>
      <c r="BG43"/>
      <c r="BH43"/>
      <c r="BI43"/>
      <c r="BJ43"/>
      <c r="BK43"/>
      <c r="BL43"/>
      <c r="BM43"/>
    </row>
    <row r="44" spans="35:65" ht="12.75" customHeight="1">
      <c r="AI44" s="360"/>
      <c r="AJ44" s="998" t="s">
        <v>77</v>
      </c>
      <c r="AK44" s="999"/>
      <c r="AL44" s="1000"/>
      <c r="AM44" s="1019" t="s">
        <v>824</v>
      </c>
      <c r="AN44" s="1019" t="s">
        <v>828</v>
      </c>
      <c r="AO44" s="1019" t="s">
        <v>826</v>
      </c>
      <c r="AP44" s="1019" t="s">
        <v>23</v>
      </c>
      <c r="AQ44" s="364"/>
      <c r="AR44" s="364"/>
      <c r="AS44" s="367"/>
      <c r="AT44"/>
      <c r="AU44"/>
      <c r="AV44"/>
      <c r="AW44"/>
      <c r="AX44"/>
      <c r="AY44"/>
      <c r="AZ44"/>
      <c r="BA44"/>
      <c r="BB44"/>
      <c r="BC44"/>
      <c r="BD44"/>
      <c r="BE44"/>
      <c r="BF44"/>
      <c r="BG44"/>
      <c r="BH44"/>
      <c r="BI44"/>
      <c r="BJ44"/>
      <c r="BK44"/>
      <c r="BL44"/>
      <c r="BM44"/>
    </row>
    <row r="45" spans="35:65" ht="12.75" customHeight="1">
      <c r="AI45" s="360"/>
      <c r="AJ45" s="1001"/>
      <c r="AK45" s="1002"/>
      <c r="AL45" s="1003"/>
      <c r="AM45" s="1019"/>
      <c r="AN45" s="1019"/>
      <c r="AO45" s="1019"/>
      <c r="AP45" s="1019"/>
      <c r="AQ45" s="364"/>
      <c r="AR45" s="364"/>
      <c r="AS45" s="367"/>
      <c r="AT45"/>
      <c r="AU45"/>
      <c r="AV45"/>
      <c r="AW45"/>
      <c r="AX45"/>
      <c r="AY45"/>
      <c r="AZ45"/>
      <c r="BA45"/>
      <c r="BB45"/>
      <c r="BC45"/>
      <c r="BD45"/>
      <c r="BE45"/>
      <c r="BF45"/>
      <c r="BG45"/>
      <c r="BH45"/>
      <c r="BI45"/>
      <c r="BJ45"/>
      <c r="BK45"/>
      <c r="BL45"/>
      <c r="BM45"/>
    </row>
    <row r="46" spans="35:65" ht="12.75" customHeight="1">
      <c r="AI46" s="360"/>
      <c r="AJ46" s="1020" t="s">
        <v>500</v>
      </c>
      <c r="AK46" s="1020"/>
      <c r="AL46" s="1020"/>
      <c r="AM46" s="556">
        <f>'Lookup Properties'!$B$13</f>
        <v>0.74</v>
      </c>
      <c r="AN46" s="556">
        <f>'Lookup Properties'!$C$13</f>
        <v>0.78</v>
      </c>
      <c r="AO46" s="556">
        <f>'Lookup Properties'!$D$13</f>
        <v>1.26</v>
      </c>
      <c r="AP46" s="553">
        <f>SUM(AM46:AO46)</f>
        <v>2.7800000000000002</v>
      </c>
      <c r="AQ46" s="364"/>
      <c r="AR46" s="364"/>
      <c r="AS46" s="367"/>
      <c r="AT46"/>
      <c r="AU46"/>
      <c r="AV46"/>
      <c r="AW46"/>
      <c r="AX46"/>
      <c r="AY46"/>
      <c r="AZ46"/>
      <c r="BA46"/>
      <c r="BB46"/>
      <c r="BC46"/>
      <c r="BD46"/>
      <c r="BE46"/>
      <c r="BF46"/>
      <c r="BG46"/>
      <c r="BH46"/>
      <c r="BI46"/>
      <c r="BJ46"/>
      <c r="BK46"/>
      <c r="BL46"/>
      <c r="BM46"/>
    </row>
    <row r="47" spans="35:65" ht="12.75" customHeight="1">
      <c r="AI47" s="360"/>
      <c r="AJ47" s="1017" t="s">
        <v>22</v>
      </c>
      <c r="AK47" s="1017"/>
      <c r="AL47" s="1017"/>
      <c r="AM47" s="557">
        <f>'Lookup Properties'!$B$11</f>
        <v>0.71499999999999997</v>
      </c>
      <c r="AN47" s="557">
        <f>'Lookup Properties'!$C$11</f>
        <v>1.03</v>
      </c>
      <c r="AO47" s="557">
        <f>'Lookup Properties'!$D$11</f>
        <v>1.29</v>
      </c>
      <c r="AP47" s="553">
        <f>SUM(AM47:AO47)</f>
        <v>3.0350000000000001</v>
      </c>
      <c r="AQ47" s="364"/>
      <c r="AR47" s="364"/>
      <c r="AS47" s="367"/>
      <c r="AT47"/>
      <c r="AU47"/>
      <c r="AV47"/>
      <c r="AW47"/>
      <c r="AX47"/>
      <c r="AY47"/>
      <c r="AZ47"/>
      <c r="BA47"/>
      <c r="BB47"/>
      <c r="BC47"/>
      <c r="BD47"/>
      <c r="BE47"/>
      <c r="BF47"/>
      <c r="BG47"/>
      <c r="BH47"/>
      <c r="BI47"/>
      <c r="BJ47"/>
      <c r="BK47"/>
      <c r="BL47"/>
      <c r="BM47"/>
    </row>
    <row r="48" spans="35:65" ht="12.75" customHeight="1">
      <c r="AI48" s="360"/>
      <c r="AJ48" s="1018" t="s">
        <v>579</v>
      </c>
      <c r="AK48" s="1018"/>
      <c r="AL48" s="1018"/>
      <c r="AM48" s="557">
        <f>'Lookup Properties'!$B$12</f>
        <v>0.755</v>
      </c>
      <c r="AN48" s="557">
        <f>'Lookup Properties'!$C$12</f>
        <v>1.07</v>
      </c>
      <c r="AO48" s="557">
        <f>'Lookup Properties'!$D$12</f>
        <v>1.2949999999999999</v>
      </c>
      <c r="AP48" s="553">
        <f>SUM(AM48:AO48)</f>
        <v>3.12</v>
      </c>
      <c r="AQ48" s="364"/>
      <c r="AR48" s="364"/>
      <c r="AS48" s="367"/>
      <c r="AT48"/>
      <c r="AU48"/>
      <c r="AV48"/>
      <c r="AW48"/>
      <c r="AX48"/>
      <c r="AY48"/>
      <c r="AZ48"/>
      <c r="BA48"/>
      <c r="BB48"/>
      <c r="BC48"/>
      <c r="BD48"/>
      <c r="BE48"/>
      <c r="BF48"/>
      <c r="BG48"/>
      <c r="BH48"/>
      <c r="BI48"/>
      <c r="BJ48"/>
      <c r="BK48"/>
      <c r="BL48"/>
      <c r="BM48"/>
    </row>
    <row r="49" spans="35:65" ht="12.75" customHeight="1">
      <c r="AI49" s="360"/>
      <c r="AJ49" s="1016" t="s">
        <v>21</v>
      </c>
      <c r="AK49" s="1016"/>
      <c r="AL49" s="1016"/>
      <c r="AM49" s="557">
        <f>'Lookup Properties'!$B$10</f>
        <v>0.71</v>
      </c>
      <c r="AN49" s="557">
        <f>'Lookup Properties'!$C$10</f>
        <v>1.03</v>
      </c>
      <c r="AO49" s="557">
        <f>'Lookup Properties'!$D$10</f>
        <v>1.29</v>
      </c>
      <c r="AP49" s="553">
        <f>SUM(AM49:AO49)</f>
        <v>3.0300000000000002</v>
      </c>
      <c r="AQ49" s="364"/>
      <c r="AR49" s="364"/>
      <c r="AS49" s="367"/>
      <c r="AT49"/>
      <c r="AU49"/>
      <c r="AV49"/>
      <c r="AW49"/>
      <c r="AX49"/>
      <c r="AY49"/>
      <c r="AZ49"/>
      <c r="BA49"/>
      <c r="BB49"/>
      <c r="BC49"/>
      <c r="BD49"/>
      <c r="BE49"/>
      <c r="BF49"/>
      <c r="BG49"/>
      <c r="BH49"/>
      <c r="BI49"/>
      <c r="BJ49"/>
      <c r="BK49"/>
      <c r="BL49"/>
      <c r="BM49"/>
    </row>
    <row r="50" spans="35:65" ht="12.75" customHeight="1">
      <c r="AI50" s="364"/>
      <c r="AJ50" s="364"/>
      <c r="AK50" s="364"/>
      <c r="AL50" s="364"/>
      <c r="AM50" s="555"/>
      <c r="AN50" s="555"/>
      <c r="AO50" s="555"/>
      <c r="AP50" s="555"/>
      <c r="AQ50" s="555"/>
      <c r="AR50" s="364"/>
      <c r="AS50" s="367"/>
      <c r="AT50"/>
      <c r="AU50"/>
      <c r="AV50"/>
      <c r="AW50"/>
      <c r="AX50"/>
      <c r="AY50"/>
      <c r="AZ50"/>
      <c r="BA50"/>
      <c r="BB50"/>
      <c r="BC50"/>
      <c r="BD50"/>
      <c r="BE50"/>
      <c r="BF50"/>
      <c r="BG50"/>
      <c r="BH50"/>
      <c r="BI50"/>
      <c r="BJ50"/>
      <c r="BK50"/>
      <c r="BL50"/>
      <c r="BM50"/>
    </row>
    <row r="51" spans="35:65" ht="12.75" customHeight="1">
      <c r="AI51" s="387" t="s">
        <v>817</v>
      </c>
      <c r="AJ51" s="1015" t="s">
        <v>206</v>
      </c>
      <c r="AK51" s="1015"/>
      <c r="AL51" s="1015"/>
      <c r="AM51" s="1015"/>
      <c r="AN51" s="1015"/>
      <c r="AO51" s="1015"/>
      <c r="AP51" s="1015"/>
      <c r="AQ51" s="1015"/>
      <c r="AR51" s="536"/>
      <c r="AS51" s="367"/>
      <c r="AT51"/>
      <c r="AU51"/>
      <c r="AV51"/>
      <c r="AW51"/>
      <c r="AX51"/>
      <c r="AY51"/>
      <c r="AZ51"/>
      <c r="BA51"/>
      <c r="BB51"/>
      <c r="BC51"/>
      <c r="BD51"/>
      <c r="BE51"/>
      <c r="BF51"/>
      <c r="BG51"/>
      <c r="BH51"/>
      <c r="BI51"/>
      <c r="BJ51"/>
      <c r="BK51"/>
      <c r="BL51"/>
      <c r="BM51"/>
    </row>
    <row r="52" spans="35:65" ht="12.75" customHeight="1">
      <c r="AI52" s="668"/>
      <c r="AJ52" s="364"/>
      <c r="AK52" s="364"/>
      <c r="AL52" s="364"/>
      <c r="AM52" s="555"/>
      <c r="AN52" s="555"/>
      <c r="AO52" s="555"/>
      <c r="AP52" s="555"/>
      <c r="AQ52" s="555"/>
      <c r="AR52" s="364"/>
      <c r="AS52" s="367"/>
      <c r="AT52"/>
      <c r="AU52"/>
      <c r="AV52"/>
      <c r="AW52"/>
      <c r="AX52"/>
      <c r="AY52"/>
      <c r="AZ52"/>
      <c r="BA52"/>
      <c r="BB52"/>
      <c r="BC52"/>
      <c r="BD52"/>
      <c r="BE52"/>
      <c r="BF52"/>
      <c r="BG52"/>
      <c r="BH52"/>
      <c r="BI52"/>
      <c r="BJ52"/>
      <c r="BK52"/>
      <c r="BL52"/>
      <c r="BM52"/>
    </row>
    <row r="53" spans="35:65" ht="12.75" customHeight="1">
      <c r="AI53" s="668" t="s">
        <v>196</v>
      </c>
      <c r="AJ53" s="364" t="s">
        <v>207</v>
      </c>
      <c r="AK53" s="364"/>
      <c r="AL53" s="364"/>
      <c r="AM53" s="555"/>
      <c r="AN53" s="555"/>
      <c r="AO53" s="555"/>
      <c r="AP53" s="555"/>
      <c r="AQ53" s="555"/>
      <c r="AR53" s="364"/>
      <c r="AS53" s="367"/>
      <c r="AT53"/>
      <c r="AU53"/>
      <c r="AV53"/>
      <c r="AW53"/>
      <c r="AX53"/>
      <c r="AY53"/>
      <c r="AZ53"/>
      <c r="BA53"/>
      <c r="BB53"/>
      <c r="BC53"/>
      <c r="BD53"/>
      <c r="BE53"/>
      <c r="BF53"/>
      <c r="BG53"/>
      <c r="BH53"/>
      <c r="BI53"/>
      <c r="BJ53"/>
      <c r="BK53"/>
      <c r="BL53"/>
      <c r="BM53"/>
    </row>
    <row r="54" spans="35:65" ht="12.75" customHeight="1">
      <c r="AI54" s="364"/>
      <c r="AJ54" s="962" t="s">
        <v>678</v>
      </c>
      <c r="AK54" s="963"/>
      <c r="AL54" s="964"/>
      <c r="AM54" s="949" t="s">
        <v>500</v>
      </c>
      <c r="AN54" s="938" t="s">
        <v>22</v>
      </c>
      <c r="AO54" s="940" t="s">
        <v>579</v>
      </c>
      <c r="AP54" s="942" t="s">
        <v>21</v>
      </c>
      <c r="AQ54" s="361"/>
      <c r="AR54" s="364"/>
      <c r="AS54" s="367"/>
      <c r="AT54"/>
      <c r="AU54"/>
      <c r="AV54"/>
      <c r="AW54"/>
      <c r="AX54"/>
      <c r="AY54"/>
      <c r="AZ54"/>
      <c r="BA54"/>
      <c r="BB54"/>
      <c r="BC54"/>
      <c r="BD54"/>
      <c r="BE54"/>
      <c r="BF54"/>
      <c r="BG54"/>
      <c r="BH54"/>
      <c r="BI54"/>
      <c r="BJ54"/>
      <c r="BK54"/>
      <c r="BL54"/>
      <c r="BM54"/>
    </row>
    <row r="55" spans="35:65" ht="12.75" customHeight="1">
      <c r="AI55" s="364"/>
      <c r="AJ55" s="965"/>
      <c r="AK55" s="966"/>
      <c r="AL55" s="967"/>
      <c r="AM55" s="950"/>
      <c r="AN55" s="939"/>
      <c r="AO55" s="941"/>
      <c r="AP55" s="943"/>
      <c r="AQ55" s="361"/>
      <c r="AR55" s="364"/>
      <c r="AS55" s="367"/>
      <c r="AT55"/>
      <c r="AU55"/>
      <c r="AV55"/>
      <c r="AW55"/>
      <c r="AX55"/>
      <c r="AY55"/>
      <c r="AZ55"/>
      <c r="BA55"/>
      <c r="BB55"/>
      <c r="BC55"/>
      <c r="BD55"/>
      <c r="BE55"/>
      <c r="BF55"/>
      <c r="BG55"/>
      <c r="BH55"/>
      <c r="BI55"/>
      <c r="BJ55"/>
      <c r="BK55"/>
      <c r="BL55"/>
      <c r="BM55"/>
    </row>
    <row r="56" spans="35:65" ht="12.75" customHeight="1">
      <c r="AI56" s="364"/>
      <c r="AJ56" s="969" t="s">
        <v>210</v>
      </c>
      <c r="AK56" s="969"/>
      <c r="AL56" s="969"/>
      <c r="AM56" s="560">
        <v>0.3</v>
      </c>
      <c r="AN56" s="537">
        <f>VLOOKUP($AN$5,'Lookup Penetration Rate'!$B$8:$E$208,3)</f>
        <v>0.4</v>
      </c>
      <c r="AO56" s="537">
        <f>VLOOKUP($AN$5,'Lookup Penetration Rate'!$B$8:$E$208,4)</f>
        <v>0.46</v>
      </c>
      <c r="AP56" s="537">
        <f>VLOOKUP($AN$5,'Lookup Penetration Rate'!$B$8:$E$208,2)</f>
        <v>0.56000000000000005</v>
      </c>
      <c r="AQ56" s="361"/>
      <c r="AR56" s="364"/>
      <c r="AS56" s="367"/>
      <c r="AT56"/>
      <c r="AU56"/>
      <c r="AV56"/>
      <c r="AW56"/>
      <c r="AX56"/>
      <c r="AY56"/>
      <c r="AZ56"/>
      <c r="BA56"/>
      <c r="BB56"/>
      <c r="BC56"/>
      <c r="BD56"/>
      <c r="BE56"/>
      <c r="BF56"/>
      <c r="BG56"/>
      <c r="BH56"/>
      <c r="BI56"/>
      <c r="BJ56"/>
      <c r="BK56"/>
      <c r="BL56"/>
      <c r="BM56"/>
    </row>
    <row r="57" spans="35:65" ht="12.75" customHeight="1">
      <c r="AI57" s="364"/>
      <c r="AJ57" s="364"/>
      <c r="AK57" s="364"/>
      <c r="AL57" s="364"/>
      <c r="AM57" s="555"/>
      <c r="AN57" s="555"/>
      <c r="AO57" s="555"/>
      <c r="AP57" s="555"/>
      <c r="AQ57" s="555"/>
      <c r="AR57" s="364"/>
      <c r="AS57" s="367"/>
      <c r="AT57"/>
      <c r="AU57"/>
      <c r="AV57"/>
      <c r="AW57"/>
      <c r="AX57"/>
      <c r="AY57"/>
      <c r="AZ57"/>
      <c r="BA57"/>
      <c r="BB57"/>
      <c r="BC57"/>
      <c r="BD57"/>
      <c r="BE57"/>
      <c r="BF57"/>
      <c r="BG57"/>
      <c r="BH57"/>
      <c r="BI57"/>
      <c r="BJ57"/>
      <c r="BK57"/>
      <c r="BL57"/>
      <c r="BM57"/>
    </row>
    <row r="58" spans="35:65" ht="12.75" customHeight="1">
      <c r="AI58" s="668" t="s">
        <v>197</v>
      </c>
      <c r="AJ58" s="364" t="s">
        <v>208</v>
      </c>
      <c r="AK58" s="364"/>
      <c r="AL58" s="364"/>
      <c r="AM58" s="555"/>
      <c r="AN58" s="555"/>
      <c r="AO58" s="555"/>
      <c r="AP58" s="555"/>
      <c r="AQ58" s="555"/>
      <c r="AR58" s="364"/>
      <c r="AS58" s="367"/>
      <c r="AT58"/>
      <c r="AU58"/>
      <c r="AV58"/>
      <c r="AW58"/>
      <c r="AX58"/>
      <c r="AY58"/>
      <c r="AZ58"/>
      <c r="BA58"/>
      <c r="BB58"/>
      <c r="BC58"/>
      <c r="BD58"/>
      <c r="BE58"/>
      <c r="BF58"/>
      <c r="BG58"/>
      <c r="BH58"/>
      <c r="BI58"/>
      <c r="BJ58"/>
      <c r="BK58"/>
      <c r="BL58"/>
      <c r="BM58"/>
    </row>
    <row r="59" spans="35:65" ht="12.75" customHeight="1">
      <c r="AI59" s="668"/>
      <c r="AJ59" s="962" t="s">
        <v>678</v>
      </c>
      <c r="AK59" s="963"/>
      <c r="AL59" s="964"/>
      <c r="AM59" s="949" t="s">
        <v>500</v>
      </c>
      <c r="AN59" s="938" t="s">
        <v>22</v>
      </c>
      <c r="AO59" s="940" t="s">
        <v>579</v>
      </c>
      <c r="AP59" s="942" t="s">
        <v>21</v>
      </c>
      <c r="AQ59" s="361"/>
      <c r="AR59" s="364"/>
      <c r="AS59" s="367"/>
      <c r="AT59"/>
      <c r="AU59"/>
      <c r="AV59"/>
      <c r="AW59"/>
      <c r="AX59"/>
      <c r="AY59"/>
      <c r="AZ59"/>
      <c r="BA59"/>
      <c r="BB59"/>
      <c r="BC59"/>
      <c r="BD59"/>
      <c r="BE59"/>
      <c r="BF59"/>
      <c r="BG59"/>
      <c r="BH59"/>
      <c r="BI59"/>
      <c r="BJ59"/>
      <c r="BK59"/>
      <c r="BL59"/>
      <c r="BM59"/>
    </row>
    <row r="60" spans="35:65" ht="12.75" customHeight="1">
      <c r="AI60" s="668"/>
      <c r="AJ60" s="965"/>
      <c r="AK60" s="966"/>
      <c r="AL60" s="967"/>
      <c r="AM60" s="950"/>
      <c r="AN60" s="939"/>
      <c r="AO60" s="941"/>
      <c r="AP60" s="943"/>
      <c r="AQ60" s="361"/>
      <c r="AR60" s="364"/>
      <c r="AS60" s="367"/>
      <c r="AT60"/>
      <c r="AU60"/>
      <c r="AV60"/>
      <c r="AW60"/>
      <c r="AX60"/>
      <c r="AY60"/>
      <c r="AZ60"/>
      <c r="BA60"/>
      <c r="BB60"/>
      <c r="BC60"/>
      <c r="BD60"/>
      <c r="BE60"/>
      <c r="BF60"/>
      <c r="BG60"/>
      <c r="BH60"/>
      <c r="BI60"/>
      <c r="BJ60"/>
      <c r="BK60"/>
      <c r="BL60"/>
      <c r="BM60"/>
    </row>
    <row r="61" spans="35:65" ht="12.75" customHeight="1">
      <c r="AI61" s="668"/>
      <c r="AJ61" s="969" t="s">
        <v>209</v>
      </c>
      <c r="AK61" s="969"/>
      <c r="AL61" s="969"/>
      <c r="AM61" s="560">
        <f>$AN$25/AM56</f>
        <v>4</v>
      </c>
      <c r="AN61" s="669">
        <f>$AN$25/AN56</f>
        <v>2.9999999999999996</v>
      </c>
      <c r="AO61" s="669">
        <f>$AN$25/AO56</f>
        <v>2.6086956521739126</v>
      </c>
      <c r="AP61" s="669">
        <f>$AN$25/AP56</f>
        <v>2.1428571428571428</v>
      </c>
      <c r="AQ61" s="361"/>
      <c r="AR61" s="364"/>
      <c r="AS61" s="367"/>
      <c r="AT61"/>
      <c r="AU61"/>
      <c r="AV61"/>
      <c r="AW61"/>
      <c r="AX61"/>
      <c r="AY61"/>
      <c r="AZ61"/>
      <c r="BA61"/>
      <c r="BB61"/>
      <c r="BC61"/>
      <c r="BD61"/>
      <c r="BE61"/>
      <c r="BF61"/>
      <c r="BG61"/>
      <c r="BH61"/>
      <c r="BI61"/>
      <c r="BJ61"/>
      <c r="BK61"/>
      <c r="BL61"/>
      <c r="BM61"/>
    </row>
    <row r="62" spans="35:65" ht="12.75" customHeight="1">
      <c r="AI62" s="364"/>
      <c r="AJ62" s="364"/>
      <c r="AK62" s="364"/>
      <c r="AL62" s="364"/>
      <c r="AM62" s="555"/>
      <c r="AN62" s="555"/>
      <c r="AO62" s="555"/>
      <c r="AP62" s="555"/>
      <c r="AQ62" s="555"/>
      <c r="AR62" s="364"/>
      <c r="AS62" s="367"/>
      <c r="AT62"/>
      <c r="AU62"/>
      <c r="AV62"/>
      <c r="AW62"/>
      <c r="AX62"/>
      <c r="AY62"/>
      <c r="AZ62"/>
      <c r="BA62"/>
      <c r="BB62"/>
      <c r="BC62"/>
      <c r="BD62"/>
      <c r="BE62"/>
      <c r="BF62"/>
      <c r="BG62"/>
      <c r="BH62"/>
      <c r="BI62"/>
      <c r="BJ62"/>
      <c r="BK62"/>
      <c r="BL62"/>
      <c r="BM62"/>
    </row>
    <row r="63" spans="35:65" ht="12.75" customHeight="1">
      <c r="AI63" s="563">
        <v>3.3</v>
      </c>
      <c r="AJ63" s="363" t="s">
        <v>211</v>
      </c>
      <c r="AK63" s="363"/>
      <c r="AL63" s="363"/>
      <c r="AM63" s="363"/>
      <c r="AN63" s="363"/>
      <c r="AO63" s="363"/>
      <c r="AP63" s="363"/>
      <c r="AQ63" s="363"/>
      <c r="AR63" s="364"/>
      <c r="AS63" s="367"/>
      <c r="AT63"/>
      <c r="AU63"/>
      <c r="AV63"/>
      <c r="AW63"/>
      <c r="AX63"/>
      <c r="AY63"/>
      <c r="AZ63"/>
      <c r="BA63"/>
      <c r="BB63"/>
      <c r="BC63"/>
      <c r="BD63"/>
      <c r="BE63"/>
      <c r="BF63"/>
      <c r="BG63"/>
      <c r="BH63"/>
      <c r="BI63"/>
      <c r="BJ63"/>
      <c r="BK63"/>
      <c r="BL63"/>
      <c r="BM63"/>
    </row>
    <row r="64" spans="35:65" ht="12.75" customHeight="1">
      <c r="AI64" s="563"/>
      <c r="AJ64" s="962" t="s">
        <v>678</v>
      </c>
      <c r="AK64" s="963"/>
      <c r="AL64" s="964"/>
      <c r="AM64" s="949" t="s">
        <v>500</v>
      </c>
      <c r="AN64" s="938" t="s">
        <v>22</v>
      </c>
      <c r="AO64" s="940" t="s">
        <v>579</v>
      </c>
      <c r="AP64" s="942" t="s">
        <v>21</v>
      </c>
      <c r="AQ64" s="361"/>
      <c r="AR64" s="364"/>
      <c r="AS64" s="367"/>
      <c r="AT64"/>
      <c r="AU64"/>
      <c r="AV64"/>
      <c r="AW64"/>
      <c r="AX64"/>
      <c r="AY64"/>
      <c r="AZ64"/>
      <c r="BA64"/>
      <c r="BB64"/>
      <c r="BC64"/>
      <c r="BD64"/>
      <c r="BE64"/>
      <c r="BF64"/>
      <c r="BG64"/>
      <c r="BH64"/>
      <c r="BI64"/>
      <c r="BJ64"/>
      <c r="BK64"/>
      <c r="BL64"/>
      <c r="BM64"/>
    </row>
    <row r="65" spans="35:65" ht="12.75" customHeight="1">
      <c r="AI65" s="563"/>
      <c r="AJ65" s="965"/>
      <c r="AK65" s="966"/>
      <c r="AL65" s="967"/>
      <c r="AM65" s="950"/>
      <c r="AN65" s="939"/>
      <c r="AO65" s="941"/>
      <c r="AP65" s="943"/>
      <c r="AQ65" s="361"/>
      <c r="AR65" s="364"/>
      <c r="AS65" s="367"/>
      <c r="AT65"/>
      <c r="AU65"/>
      <c r="AV65"/>
      <c r="AW65"/>
      <c r="AX65"/>
      <c r="AY65"/>
      <c r="AZ65"/>
      <c r="BA65"/>
      <c r="BB65"/>
      <c r="BC65"/>
      <c r="BD65"/>
      <c r="BE65"/>
      <c r="BF65"/>
      <c r="BG65"/>
      <c r="BH65"/>
      <c r="BI65"/>
      <c r="BJ65"/>
      <c r="BK65"/>
      <c r="BL65"/>
      <c r="BM65"/>
    </row>
    <row r="66" spans="35:65" ht="12.75" customHeight="1">
      <c r="AI66" s="563"/>
      <c r="AJ66" s="969" t="s">
        <v>209</v>
      </c>
      <c r="AK66" s="969"/>
      <c r="AL66" s="969"/>
      <c r="AM66" s="562">
        <f>(AM61*$AN$29)/$AN$28</f>
        <v>160</v>
      </c>
      <c r="AN66" s="670">
        <f>(AN61*$AN$29)/$AN$28</f>
        <v>119.99999999999997</v>
      </c>
      <c r="AO66" s="670">
        <f>(AO61*$AN$29)/$AN$28</f>
        <v>104.3478260869565</v>
      </c>
      <c r="AP66" s="670">
        <f>(AP61*$AN$29)/$AN$28</f>
        <v>85.714285714285708</v>
      </c>
      <c r="AQ66" s="361"/>
      <c r="AR66" s="364"/>
      <c r="AS66" s="367"/>
      <c r="AT66"/>
      <c r="AU66"/>
      <c r="AV66"/>
      <c r="AW66"/>
      <c r="AX66"/>
      <c r="AY66"/>
      <c r="AZ66"/>
      <c r="BA66"/>
      <c r="BB66"/>
      <c r="BC66"/>
      <c r="BD66"/>
      <c r="BE66"/>
      <c r="BF66"/>
      <c r="BG66"/>
      <c r="BH66"/>
      <c r="BI66"/>
      <c r="BJ66"/>
      <c r="BK66"/>
      <c r="BL66"/>
      <c r="BM66"/>
    </row>
    <row r="67" spans="35:65" ht="12.75" customHeight="1">
      <c r="AI67" s="563"/>
      <c r="AJ67" s="931" t="s">
        <v>212</v>
      </c>
      <c r="AK67" s="931"/>
      <c r="AL67" s="931"/>
      <c r="AM67" s="537">
        <f>AM66/60</f>
        <v>2.6666666666666665</v>
      </c>
      <c r="AN67" s="557">
        <f>AN66/60</f>
        <v>1.9999999999999996</v>
      </c>
      <c r="AO67" s="557">
        <f>AO66/60</f>
        <v>1.7391304347826084</v>
      </c>
      <c r="AP67" s="557">
        <f>AP66/60</f>
        <v>1.4285714285714284</v>
      </c>
      <c r="AQ67" s="361"/>
      <c r="AR67" s="364"/>
      <c r="AS67" s="367"/>
      <c r="AT67"/>
      <c r="AU67"/>
      <c r="AV67"/>
      <c r="AW67"/>
      <c r="AX67"/>
      <c r="AY67"/>
      <c r="AZ67"/>
      <c r="BA67"/>
      <c r="BB67"/>
      <c r="BC67"/>
      <c r="BD67"/>
      <c r="BE67"/>
      <c r="BF67"/>
      <c r="BG67"/>
      <c r="BH67"/>
      <c r="BI67"/>
      <c r="BJ67"/>
      <c r="BK67"/>
      <c r="BL67"/>
      <c r="BM67"/>
    </row>
    <row r="68" spans="35:65" ht="12.75" customHeight="1">
      <c r="AI68" s="563"/>
      <c r="AJ68" s="363"/>
      <c r="AK68" s="363"/>
      <c r="AL68" s="363"/>
      <c r="AM68" s="363"/>
      <c r="AN68" s="363"/>
      <c r="AO68" s="363"/>
      <c r="AP68" s="363"/>
      <c r="AQ68" s="363"/>
      <c r="AR68" s="364"/>
      <c r="AS68" s="367"/>
      <c r="AT68"/>
      <c r="AU68"/>
      <c r="AV68"/>
      <c r="AW68"/>
      <c r="AX68"/>
      <c r="AY68"/>
      <c r="AZ68"/>
      <c r="BA68"/>
      <c r="BB68"/>
      <c r="BC68"/>
      <c r="BD68"/>
      <c r="BE68"/>
      <c r="BF68"/>
      <c r="BG68"/>
      <c r="BH68"/>
      <c r="BI68"/>
      <c r="BJ68"/>
      <c r="BK68"/>
      <c r="BL68"/>
      <c r="BM68"/>
    </row>
    <row r="69" spans="35:65" ht="12.75" customHeight="1">
      <c r="AI69" s="388" t="s">
        <v>295</v>
      </c>
      <c r="AJ69" s="1015" t="s">
        <v>216</v>
      </c>
      <c r="AK69" s="1015"/>
      <c r="AL69" s="1015"/>
      <c r="AM69" s="1015"/>
      <c r="AN69" s="1015"/>
      <c r="AO69" s="1015"/>
      <c r="AP69" s="1015"/>
      <c r="AQ69" s="1015"/>
      <c r="AR69" s="536"/>
      <c r="AS69" s="367"/>
      <c r="AT69"/>
      <c r="AU69"/>
      <c r="AV69"/>
      <c r="AW69"/>
      <c r="AX69"/>
      <c r="AY69"/>
      <c r="AZ69"/>
      <c r="BA69"/>
      <c r="BB69"/>
      <c r="BC69"/>
      <c r="BD69"/>
      <c r="BE69"/>
      <c r="BF69"/>
      <c r="BG69"/>
      <c r="BH69"/>
      <c r="BI69"/>
      <c r="BJ69"/>
      <c r="BK69"/>
      <c r="BL69"/>
      <c r="BM69"/>
    </row>
    <row r="70" spans="35:65" ht="12.75" customHeight="1">
      <c r="AI70" s="563"/>
      <c r="AJ70" s="363"/>
      <c r="AK70" s="363"/>
      <c r="AL70" s="363"/>
      <c r="AM70" s="363"/>
      <c r="AN70" s="363"/>
      <c r="AO70" s="363"/>
      <c r="AP70" s="363"/>
      <c r="AQ70" s="363"/>
      <c r="AR70" s="364"/>
      <c r="AS70" s="367"/>
      <c r="AT70"/>
      <c r="AU70"/>
      <c r="AV70"/>
      <c r="AW70"/>
      <c r="AX70"/>
      <c r="AY70"/>
      <c r="AZ70"/>
      <c r="BA70"/>
      <c r="BB70"/>
      <c r="BC70"/>
      <c r="BD70"/>
      <c r="BE70"/>
      <c r="BF70"/>
      <c r="BG70"/>
      <c r="BH70"/>
      <c r="BI70"/>
      <c r="BJ70"/>
      <c r="BK70"/>
      <c r="BL70"/>
      <c r="BM70"/>
    </row>
    <row r="71" spans="35:65" ht="12.75" customHeight="1">
      <c r="AI71" s="360" t="s">
        <v>502</v>
      </c>
      <c r="AJ71" s="364" t="s">
        <v>527</v>
      </c>
      <c r="AK71" s="364"/>
      <c r="AL71" s="364"/>
      <c r="AM71" s="555"/>
      <c r="AN71" s="555"/>
      <c r="AO71" s="555"/>
      <c r="AP71" s="555"/>
      <c r="AQ71" s="555"/>
      <c r="AR71" s="364"/>
      <c r="AS71" s="367"/>
      <c r="AT71"/>
      <c r="AU71"/>
      <c r="AV71"/>
      <c r="AW71"/>
      <c r="AX71"/>
      <c r="AY71"/>
      <c r="AZ71"/>
      <c r="BA71"/>
      <c r="BB71"/>
      <c r="BC71"/>
      <c r="BD71"/>
      <c r="BE71"/>
      <c r="BF71"/>
      <c r="BG71"/>
      <c r="BH71"/>
      <c r="BI71"/>
      <c r="BJ71"/>
      <c r="BK71"/>
      <c r="BL71"/>
      <c r="BM71"/>
    </row>
    <row r="72" spans="35:65" ht="12.75" customHeight="1">
      <c r="AI72" s="360"/>
      <c r="AJ72" s="962" t="s">
        <v>678</v>
      </c>
      <c r="AK72" s="963"/>
      <c r="AL72" s="964"/>
      <c r="AM72" s="949" t="s">
        <v>500</v>
      </c>
      <c r="AN72" s="938" t="s">
        <v>22</v>
      </c>
      <c r="AO72" s="940" t="s">
        <v>579</v>
      </c>
      <c r="AP72" s="942" t="s">
        <v>21</v>
      </c>
      <c r="AQ72" s="361"/>
      <c r="AR72" s="364"/>
      <c r="AS72" s="367"/>
      <c r="AT72"/>
      <c r="AU72"/>
      <c r="AV72"/>
      <c r="AW72"/>
      <c r="AX72"/>
      <c r="AY72"/>
      <c r="AZ72"/>
      <c r="BA72"/>
      <c r="BB72"/>
      <c r="BC72"/>
      <c r="BD72"/>
      <c r="BE72"/>
      <c r="BF72"/>
      <c r="BG72"/>
      <c r="BH72"/>
      <c r="BI72"/>
      <c r="BJ72"/>
      <c r="BK72"/>
      <c r="BL72"/>
      <c r="BM72"/>
    </row>
    <row r="73" spans="35:65" ht="12.75" customHeight="1">
      <c r="AI73" s="360"/>
      <c r="AJ73" s="965"/>
      <c r="AK73" s="966"/>
      <c r="AL73" s="967"/>
      <c r="AM73" s="950"/>
      <c r="AN73" s="939"/>
      <c r="AO73" s="941"/>
      <c r="AP73" s="943"/>
      <c r="AQ73" s="361"/>
      <c r="AR73" s="364"/>
      <c r="AS73" s="367"/>
      <c r="AT73"/>
      <c r="AU73"/>
      <c r="AV73"/>
      <c r="AW73"/>
      <c r="AX73"/>
      <c r="AY73"/>
      <c r="AZ73"/>
      <c r="BA73"/>
      <c r="BB73"/>
      <c r="BC73"/>
      <c r="BD73"/>
      <c r="BE73"/>
      <c r="BF73"/>
      <c r="BG73"/>
      <c r="BH73"/>
      <c r="BI73"/>
      <c r="BJ73"/>
      <c r="BK73"/>
      <c r="BL73"/>
      <c r="BM73"/>
    </row>
    <row r="74" spans="35:65" ht="12.75" customHeight="1">
      <c r="AI74" s="360"/>
      <c r="AJ74" s="969" t="s">
        <v>63</v>
      </c>
      <c r="AK74" s="969"/>
      <c r="AL74" s="969"/>
      <c r="AM74" s="369">
        <v>102</v>
      </c>
      <c r="AN74" s="369">
        <f>VLOOKUP($AN$5,'Lookup dBA'!$B$8:$E$208,3)</f>
        <v>108</v>
      </c>
      <c r="AO74" s="369">
        <f>VLOOKUP($AN$5,'Lookup dBA'!$B$8:$E$208,4)</f>
        <v>109</v>
      </c>
      <c r="AP74" s="369">
        <f>VLOOKUP($AN$5,'Lookup dBA'!$B$8:$E$208,2)</f>
        <v>116</v>
      </c>
      <c r="AQ74" s="361"/>
      <c r="AR74" s="364"/>
      <c r="AS74" s="367"/>
      <c r="AT74"/>
      <c r="AU74"/>
      <c r="AV74"/>
      <c r="AW74"/>
      <c r="AX74"/>
      <c r="AY74"/>
      <c r="AZ74"/>
      <c r="BA74"/>
      <c r="BB74"/>
      <c r="BC74"/>
      <c r="BD74"/>
      <c r="BE74"/>
      <c r="BF74"/>
      <c r="BG74"/>
      <c r="BH74"/>
      <c r="BI74"/>
      <c r="BJ74"/>
      <c r="BK74"/>
      <c r="BL74"/>
      <c r="BM74"/>
    </row>
    <row r="75" spans="35:65" ht="12.75" customHeight="1">
      <c r="AI75" s="360"/>
      <c r="AJ75" s="969" t="s">
        <v>64</v>
      </c>
      <c r="AK75" s="969"/>
      <c r="AL75" s="969"/>
      <c r="AM75" s="369">
        <f>AM74-PPE!$I$15</f>
        <v>89</v>
      </c>
      <c r="AN75" s="369">
        <f>AN74-PPE!$I$15</f>
        <v>95</v>
      </c>
      <c r="AO75" s="369">
        <f>AO74-PPE!$I$15</f>
        <v>96</v>
      </c>
      <c r="AP75" s="369">
        <f>AP74-PPE!$I$15</f>
        <v>103</v>
      </c>
      <c r="AQ75" s="361"/>
      <c r="AR75" s="364"/>
      <c r="AS75" s="367"/>
      <c r="AT75"/>
      <c r="AU75"/>
      <c r="AV75"/>
      <c r="AW75"/>
      <c r="AX75"/>
      <c r="AY75"/>
      <c r="AZ75"/>
      <c r="BA75"/>
      <c r="BB75"/>
      <c r="BC75"/>
      <c r="BD75"/>
      <c r="BE75"/>
      <c r="BF75"/>
      <c r="BG75"/>
      <c r="BH75"/>
      <c r="BI75"/>
      <c r="BJ75"/>
      <c r="BK75"/>
      <c r="BL75"/>
      <c r="BM75"/>
    </row>
    <row r="76" spans="35:65" ht="12.75" customHeight="1">
      <c r="AI76" s="360"/>
      <c r="AJ76" s="969" t="s">
        <v>529</v>
      </c>
      <c r="AK76" s="969"/>
      <c r="AL76" s="969"/>
      <c r="AM76" s="369">
        <v>110</v>
      </c>
      <c r="AN76" s="369">
        <v>110</v>
      </c>
      <c r="AO76" s="369">
        <v>110</v>
      </c>
      <c r="AP76" s="369">
        <v>110</v>
      </c>
      <c r="AQ76" s="361"/>
      <c r="AR76" s="364"/>
      <c r="AS76" s="367"/>
      <c r="AT76"/>
      <c r="AU76"/>
      <c r="AV76"/>
      <c r="AW76"/>
      <c r="AX76"/>
      <c r="AY76"/>
      <c r="AZ76"/>
      <c r="BA76"/>
      <c r="BB76"/>
      <c r="BC76"/>
      <c r="BD76"/>
      <c r="BE76"/>
      <c r="BF76"/>
      <c r="BG76"/>
      <c r="BH76"/>
      <c r="BI76"/>
      <c r="BJ76"/>
      <c r="BK76"/>
      <c r="BL76"/>
      <c r="BM76"/>
    </row>
    <row r="77" spans="35:65" ht="12.75" customHeight="1">
      <c r="AI77" s="360"/>
      <c r="AJ77" s="363"/>
      <c r="AK77" s="363"/>
      <c r="AL77" s="363"/>
      <c r="AM77" s="363"/>
      <c r="AN77" s="363"/>
      <c r="AO77" s="363"/>
      <c r="AP77" s="363"/>
      <c r="AQ77" s="555"/>
      <c r="AR77" s="364"/>
      <c r="AS77" s="367"/>
      <c r="AT77"/>
      <c r="AU77"/>
      <c r="AV77"/>
      <c r="AW77"/>
      <c r="AX77"/>
      <c r="AY77"/>
      <c r="AZ77"/>
      <c r="BA77"/>
      <c r="BB77"/>
      <c r="BC77"/>
      <c r="BD77"/>
      <c r="BE77"/>
      <c r="BF77"/>
      <c r="BG77"/>
      <c r="BH77"/>
      <c r="BI77"/>
      <c r="BJ77"/>
      <c r="BK77"/>
      <c r="BL77"/>
      <c r="BM77"/>
    </row>
    <row r="78" spans="35:65" ht="12.75" customHeight="1">
      <c r="AI78" s="360" t="s">
        <v>503</v>
      </c>
      <c r="AJ78" s="364" t="s">
        <v>528</v>
      </c>
      <c r="AK78" s="364"/>
      <c r="AL78" s="364"/>
      <c r="AM78" s="555"/>
      <c r="AN78" s="555"/>
      <c r="AO78" s="555"/>
      <c r="AP78" s="555"/>
      <c r="AQ78" s="555"/>
      <c r="AR78" s="364"/>
      <c r="AS78" s="367"/>
      <c r="AT78"/>
      <c r="AU78"/>
      <c r="AV78"/>
      <c r="AW78"/>
      <c r="AX78"/>
      <c r="AY78"/>
      <c r="AZ78"/>
      <c r="BA78"/>
      <c r="BB78"/>
      <c r="BC78"/>
      <c r="BD78"/>
      <c r="BE78"/>
      <c r="BF78"/>
      <c r="BG78"/>
      <c r="BH78"/>
      <c r="BI78"/>
      <c r="BJ78"/>
      <c r="BK78"/>
      <c r="BL78"/>
      <c r="BM78"/>
    </row>
    <row r="79" spans="35:65" ht="12.75" customHeight="1">
      <c r="AI79" s="360"/>
      <c r="AJ79" s="935" t="s">
        <v>678</v>
      </c>
      <c r="AK79" s="935"/>
      <c r="AL79" s="935"/>
      <c r="AM79" s="930" t="s">
        <v>500</v>
      </c>
      <c r="AN79" s="928" t="s">
        <v>22</v>
      </c>
      <c r="AO79" s="929" t="s">
        <v>579</v>
      </c>
      <c r="AP79" s="927" t="s">
        <v>21</v>
      </c>
      <c r="AQ79" s="361"/>
      <c r="AR79" s="364"/>
      <c r="AS79" s="367"/>
      <c r="AT79"/>
      <c r="AU79"/>
      <c r="AV79"/>
      <c r="AW79"/>
      <c r="AX79"/>
      <c r="AY79"/>
      <c r="AZ79"/>
      <c r="BA79"/>
      <c r="BB79"/>
      <c r="BC79"/>
      <c r="BD79"/>
      <c r="BE79"/>
      <c r="BF79"/>
      <c r="BG79"/>
      <c r="BH79"/>
      <c r="BI79"/>
      <c r="BJ79"/>
      <c r="BK79"/>
      <c r="BL79"/>
      <c r="BM79"/>
    </row>
    <row r="80" spans="35:65" ht="12.75" customHeight="1">
      <c r="AI80" s="360"/>
      <c r="AJ80" s="935"/>
      <c r="AK80" s="935"/>
      <c r="AL80" s="935"/>
      <c r="AM80" s="930"/>
      <c r="AN80" s="928"/>
      <c r="AO80" s="929"/>
      <c r="AP80" s="927"/>
      <c r="AQ80" s="361"/>
      <c r="AR80" s="364"/>
      <c r="AS80" s="367"/>
      <c r="AT80"/>
      <c r="AU80"/>
      <c r="AV80"/>
      <c r="AW80"/>
      <c r="AX80"/>
      <c r="AY80"/>
      <c r="AZ80"/>
      <c r="BA80"/>
      <c r="BB80"/>
      <c r="BC80"/>
      <c r="BD80"/>
      <c r="BE80"/>
      <c r="BF80"/>
      <c r="BG80"/>
      <c r="BH80"/>
      <c r="BI80"/>
      <c r="BJ80"/>
      <c r="BK80"/>
      <c r="BL80"/>
      <c r="BM80"/>
    </row>
    <row r="81" spans="35:65" ht="12.75" customHeight="1">
      <c r="AI81" s="360"/>
      <c r="AJ81" s="969" t="s">
        <v>63</v>
      </c>
      <c r="AK81" s="969"/>
      <c r="AL81" s="969"/>
      <c r="AM81" s="369">
        <f>VLOOKUP($AN$26,$AJ$314:$AR$319,5)</f>
        <v>108.02059991327964</v>
      </c>
      <c r="AN81" s="369">
        <f>VLOOKUP($AN$26,$AJ$314:$AR$319,3)</f>
        <v>114.02059991327963</v>
      </c>
      <c r="AO81" s="369">
        <f>VLOOKUP($AN$26,$AJ$314:$AR$319,4)</f>
        <v>115.02059991327963</v>
      </c>
      <c r="AP81" s="369">
        <f>VLOOKUP($AN$26,$AJ$314:$AR$319,2)</f>
        <v>122.02059991327964</v>
      </c>
      <c r="AQ81" s="361"/>
      <c r="AR81" s="364"/>
      <c r="AS81" s="367"/>
      <c r="AT81"/>
      <c r="AU81"/>
      <c r="AV81"/>
      <c r="AW81"/>
      <c r="AX81"/>
      <c r="AY81"/>
      <c r="AZ81"/>
      <c r="BA81"/>
      <c r="BB81"/>
      <c r="BC81"/>
      <c r="BD81"/>
      <c r="BE81"/>
      <c r="BF81"/>
      <c r="BG81"/>
      <c r="BH81"/>
      <c r="BI81"/>
      <c r="BJ81"/>
      <c r="BK81"/>
      <c r="BL81"/>
      <c r="BM81"/>
    </row>
    <row r="82" spans="35:65" ht="12.75" customHeight="1">
      <c r="AI82" s="360"/>
      <c r="AJ82" s="969" t="s">
        <v>64</v>
      </c>
      <c r="AK82" s="969"/>
      <c r="AL82" s="969"/>
      <c r="AM82" s="369">
        <f>AM81-PPE!$I$15</f>
        <v>95.020599913279639</v>
      </c>
      <c r="AN82" s="369">
        <f>AN81-PPE!$I$15</f>
        <v>101.02059991327963</v>
      </c>
      <c r="AO82" s="369">
        <f>AO81-PPE!$I$15</f>
        <v>102.02059991327963</v>
      </c>
      <c r="AP82" s="369">
        <f>AP81-PPE!$I$15</f>
        <v>109.02059991327964</v>
      </c>
      <c r="AQ82" s="361"/>
      <c r="AR82" s="364"/>
      <c r="AS82" s="367"/>
      <c r="AT82"/>
      <c r="AU82"/>
      <c r="AV82"/>
      <c r="AW82"/>
      <c r="AX82"/>
      <c r="AY82"/>
      <c r="AZ82"/>
      <c r="BA82"/>
      <c r="BB82"/>
      <c r="BC82"/>
      <c r="BD82"/>
      <c r="BE82"/>
      <c r="BF82"/>
      <c r="BG82"/>
      <c r="BH82"/>
      <c r="BI82"/>
      <c r="BJ82"/>
      <c r="BK82"/>
      <c r="BL82"/>
      <c r="BM82"/>
    </row>
    <row r="83" spans="35:65" ht="12.75" customHeight="1">
      <c r="AI83" s="360"/>
      <c r="AJ83" s="969" t="s">
        <v>529</v>
      </c>
      <c r="AK83" s="969"/>
      <c r="AL83" s="969"/>
      <c r="AM83" s="369">
        <v>110</v>
      </c>
      <c r="AN83" s="369">
        <v>110</v>
      </c>
      <c r="AO83" s="369">
        <v>110</v>
      </c>
      <c r="AP83" s="369">
        <v>110</v>
      </c>
      <c r="AQ83" s="361"/>
      <c r="AR83" s="364"/>
      <c r="AS83" s="367"/>
      <c r="AT83"/>
      <c r="AU83"/>
      <c r="AV83"/>
      <c r="AW83"/>
      <c r="AX83"/>
      <c r="AY83"/>
      <c r="AZ83"/>
      <c r="BA83"/>
      <c r="BB83"/>
      <c r="BC83"/>
      <c r="BD83"/>
      <c r="BE83"/>
      <c r="BF83"/>
      <c r="BG83"/>
      <c r="BH83"/>
      <c r="BI83"/>
      <c r="BJ83"/>
      <c r="BK83"/>
      <c r="BL83"/>
      <c r="BM83"/>
    </row>
    <row r="84" spans="35:65" ht="12.75" customHeight="1">
      <c r="AI84" s="360"/>
      <c r="AJ84" s="364"/>
      <c r="AK84" s="364"/>
      <c r="AL84" s="364"/>
      <c r="AM84" s="555"/>
      <c r="AN84" s="555"/>
      <c r="AO84" s="555"/>
      <c r="AP84" s="555"/>
      <c r="AQ84" s="555"/>
      <c r="AR84" s="364"/>
      <c r="AS84" s="367"/>
      <c r="AT84"/>
      <c r="AU84"/>
      <c r="AV84"/>
      <c r="AW84"/>
      <c r="AX84"/>
      <c r="AY84"/>
      <c r="AZ84"/>
      <c r="BA84"/>
      <c r="BB84"/>
      <c r="BC84"/>
      <c r="BD84"/>
      <c r="BE84"/>
      <c r="BF84"/>
      <c r="BG84"/>
      <c r="BH84"/>
      <c r="BI84"/>
      <c r="BJ84"/>
      <c r="BK84"/>
      <c r="BL84"/>
      <c r="BM84"/>
    </row>
    <row r="85" spans="35:65" ht="12.75" customHeight="1">
      <c r="AI85" s="385" t="s">
        <v>305</v>
      </c>
      <c r="AJ85" s="1008" t="s">
        <v>218</v>
      </c>
      <c r="AK85" s="1008"/>
      <c r="AL85" s="1008"/>
      <c r="AM85" s="1008"/>
      <c r="AN85" s="1008"/>
      <c r="AO85" s="1008"/>
      <c r="AP85" s="1008"/>
      <c r="AQ85" s="1008"/>
      <c r="AR85" s="536"/>
      <c r="AS85" s="367"/>
      <c r="AT85"/>
      <c r="AU85"/>
      <c r="AV85"/>
      <c r="AW85"/>
      <c r="AX85"/>
      <c r="AY85"/>
      <c r="AZ85"/>
      <c r="BA85"/>
      <c r="BB85"/>
      <c r="BC85"/>
      <c r="BD85"/>
      <c r="BE85"/>
      <c r="BF85"/>
      <c r="BG85"/>
      <c r="BH85"/>
      <c r="BI85"/>
      <c r="BJ85"/>
      <c r="BK85"/>
      <c r="BL85"/>
      <c r="BM85"/>
    </row>
    <row r="86" spans="35:65" ht="12.75" customHeight="1">
      <c r="AI86" s="546"/>
      <c r="AJ86" s="363"/>
      <c r="AK86" s="363"/>
      <c r="AL86" s="363"/>
      <c r="AM86" s="363"/>
      <c r="AN86" s="363"/>
      <c r="AO86" s="363"/>
      <c r="AP86" s="363"/>
      <c r="AQ86" s="363"/>
      <c r="AR86" s="364"/>
      <c r="AS86" s="367"/>
      <c r="AT86"/>
      <c r="AU86"/>
      <c r="AV86"/>
      <c r="AW86"/>
      <c r="AX86"/>
      <c r="AY86"/>
      <c r="AZ86"/>
      <c r="BA86"/>
      <c r="BB86"/>
      <c r="BC86"/>
      <c r="BD86"/>
      <c r="BE86"/>
      <c r="BF86"/>
      <c r="BG86"/>
      <c r="BH86"/>
      <c r="BI86"/>
      <c r="BJ86"/>
      <c r="BK86"/>
      <c r="BL86"/>
      <c r="BM86"/>
    </row>
    <row r="87" spans="35:65" ht="12.75" customHeight="1">
      <c r="AI87" s="546"/>
      <c r="AJ87" s="363" t="s">
        <v>436</v>
      </c>
      <c r="AK87" s="363"/>
      <c r="AL87" s="363"/>
      <c r="AM87" s="363"/>
      <c r="AN87" s="363"/>
      <c r="AO87" s="363"/>
      <c r="AP87" s="363"/>
      <c r="AQ87" s="363"/>
      <c r="AR87" s="364"/>
      <c r="AS87" s="367"/>
      <c r="AT87"/>
      <c r="AU87"/>
      <c r="AV87"/>
      <c r="AW87"/>
      <c r="AX87"/>
      <c r="AY87"/>
      <c r="AZ87"/>
      <c r="BA87"/>
      <c r="BB87"/>
      <c r="BC87"/>
      <c r="BD87"/>
      <c r="BE87"/>
      <c r="BF87"/>
      <c r="BG87"/>
      <c r="BH87"/>
      <c r="BI87"/>
      <c r="BJ87"/>
      <c r="BK87"/>
      <c r="BL87"/>
      <c r="BM87"/>
    </row>
    <row r="88" spans="35:65" ht="12.75" customHeight="1">
      <c r="AI88" s="360"/>
      <c r="AJ88" s="935" t="s">
        <v>678</v>
      </c>
      <c r="AK88" s="935"/>
      <c r="AL88" s="935"/>
      <c r="AM88" s="949" t="s">
        <v>500</v>
      </c>
      <c r="AN88" s="1011" t="s">
        <v>22</v>
      </c>
      <c r="AO88" s="1013" t="s">
        <v>579</v>
      </c>
      <c r="AP88" s="1009" t="s">
        <v>21</v>
      </c>
      <c r="AQ88" s="361"/>
      <c r="AR88" s="364"/>
      <c r="AS88" s="367"/>
      <c r="AT88"/>
      <c r="AU88"/>
      <c r="AV88"/>
      <c r="AW88"/>
      <c r="AX88"/>
      <c r="AY88"/>
      <c r="AZ88"/>
      <c r="BA88"/>
      <c r="BB88"/>
      <c r="BC88"/>
      <c r="BD88"/>
      <c r="BE88"/>
      <c r="BF88"/>
      <c r="BG88"/>
      <c r="BH88"/>
      <c r="BI88"/>
      <c r="BJ88"/>
      <c r="BK88"/>
      <c r="BL88"/>
      <c r="BM88"/>
    </row>
    <row r="89" spans="35:65" ht="12.75" customHeight="1">
      <c r="AI89" s="360"/>
      <c r="AJ89" s="935"/>
      <c r="AK89" s="935"/>
      <c r="AL89" s="935"/>
      <c r="AM89" s="950"/>
      <c r="AN89" s="1012"/>
      <c r="AO89" s="1014"/>
      <c r="AP89" s="1010"/>
      <c r="AQ89" s="361"/>
      <c r="AR89" s="364"/>
      <c r="AS89" s="367"/>
      <c r="AT89"/>
      <c r="AU89"/>
      <c r="AV89"/>
      <c r="AW89"/>
      <c r="AX89"/>
      <c r="AY89"/>
      <c r="AZ89"/>
      <c r="BA89"/>
      <c r="BB89"/>
      <c r="BC89"/>
      <c r="BD89"/>
      <c r="BE89"/>
      <c r="BF89"/>
      <c r="BG89"/>
      <c r="BH89"/>
      <c r="BI89"/>
      <c r="BJ89"/>
      <c r="BK89"/>
      <c r="BL89"/>
      <c r="BM89"/>
    </row>
    <row r="90" spans="35:65" ht="12.75" customHeight="1">
      <c r="AI90" s="360"/>
      <c r="AJ90" s="969" t="s">
        <v>63</v>
      </c>
      <c r="AK90" s="969"/>
      <c r="AL90" s="969"/>
      <c r="AM90" s="369">
        <f>AM419</f>
        <v>97.15</v>
      </c>
      <c r="AN90" s="369">
        <f>AM361</f>
        <v>101.95</v>
      </c>
      <c r="AO90" s="369">
        <f>AM390</f>
        <v>102.4</v>
      </c>
      <c r="AP90" s="369">
        <f>AM332</f>
        <v>108.5</v>
      </c>
      <c r="AQ90" s="361"/>
      <c r="AR90" s="364"/>
      <c r="AS90" s="367"/>
      <c r="AT90"/>
      <c r="AU90"/>
      <c r="AV90"/>
      <c r="AW90"/>
      <c r="AX90"/>
      <c r="AY90"/>
      <c r="AZ90"/>
      <c r="BA90"/>
      <c r="BB90"/>
      <c r="BC90"/>
      <c r="BD90"/>
      <c r="BE90"/>
      <c r="BF90"/>
      <c r="BG90"/>
      <c r="BH90"/>
      <c r="BI90"/>
      <c r="BJ90"/>
      <c r="BK90"/>
      <c r="BL90"/>
      <c r="BM90"/>
    </row>
    <row r="91" spans="35:65" ht="12.75" customHeight="1">
      <c r="AI91" s="360"/>
      <c r="AJ91" s="969" t="s">
        <v>64</v>
      </c>
      <c r="AK91" s="969"/>
      <c r="AL91" s="969"/>
      <c r="AM91" s="369">
        <f>AM432</f>
        <v>84.15</v>
      </c>
      <c r="AN91" s="369">
        <f>AM374</f>
        <v>88.95</v>
      </c>
      <c r="AO91" s="369">
        <f>AM403</f>
        <v>89.3</v>
      </c>
      <c r="AP91" s="369">
        <f>AM345</f>
        <v>95.55</v>
      </c>
      <c r="AQ91" s="361"/>
      <c r="AR91" s="364"/>
      <c r="AS91" s="367"/>
      <c r="AT91"/>
      <c r="AU91"/>
      <c r="AV91"/>
      <c r="AW91"/>
      <c r="AX91"/>
      <c r="AY91"/>
      <c r="AZ91"/>
      <c r="BA91"/>
      <c r="BB91"/>
      <c r="BC91"/>
      <c r="BD91"/>
      <c r="BE91"/>
      <c r="BF91"/>
      <c r="BG91"/>
      <c r="BH91"/>
      <c r="BI91"/>
      <c r="BJ91"/>
      <c r="BK91"/>
      <c r="BL91"/>
      <c r="BM91"/>
    </row>
    <row r="92" spans="35:65" ht="12.75" customHeight="1">
      <c r="AI92" s="360"/>
      <c r="AJ92" s="969" t="s">
        <v>530</v>
      </c>
      <c r="AK92" s="969"/>
      <c r="AL92" s="969"/>
      <c r="AM92" s="369">
        <v>85</v>
      </c>
      <c r="AN92" s="369">
        <v>85</v>
      </c>
      <c r="AO92" s="369">
        <v>85</v>
      </c>
      <c r="AP92" s="369">
        <v>85</v>
      </c>
      <c r="AQ92" s="361"/>
      <c r="AR92" s="364"/>
      <c r="AS92" s="367"/>
      <c r="AT92"/>
      <c r="AU92"/>
      <c r="AV92"/>
      <c r="AW92"/>
      <c r="AX92"/>
      <c r="AY92"/>
      <c r="AZ92"/>
      <c r="BA92"/>
      <c r="BB92"/>
      <c r="BC92"/>
      <c r="BD92"/>
      <c r="BE92"/>
      <c r="BF92"/>
      <c r="BG92"/>
      <c r="BH92"/>
      <c r="BI92"/>
      <c r="BJ92"/>
      <c r="BK92"/>
      <c r="BL92"/>
      <c r="BM92"/>
    </row>
    <row r="93" spans="35:65" ht="12.75" customHeight="1">
      <c r="AI93" s="360"/>
      <c r="AJ93" s="363"/>
      <c r="AK93" s="363"/>
      <c r="AL93" s="363"/>
      <c r="AM93" s="363"/>
      <c r="AN93" s="363"/>
      <c r="AO93" s="363"/>
      <c r="AP93" s="363"/>
      <c r="AQ93" s="363"/>
      <c r="AR93" s="364"/>
      <c r="AS93" s="367"/>
      <c r="AT93"/>
      <c r="AU93"/>
      <c r="AV93"/>
      <c r="AW93"/>
      <c r="AX93"/>
      <c r="AY93"/>
      <c r="AZ93"/>
      <c r="BA93"/>
      <c r="BB93"/>
      <c r="BC93"/>
      <c r="BD93"/>
      <c r="BE93"/>
      <c r="BF93"/>
      <c r="BG93"/>
      <c r="BH93"/>
      <c r="BI93"/>
      <c r="BJ93"/>
      <c r="BK93"/>
      <c r="BL93"/>
      <c r="BM93"/>
    </row>
    <row r="94" spans="35:65" ht="12.75" customHeight="1">
      <c r="AI94" s="360"/>
      <c r="AJ94" s="363" t="s">
        <v>437</v>
      </c>
      <c r="AK94" s="363"/>
      <c r="AL94" s="363"/>
      <c r="AM94" s="363"/>
      <c r="AN94" s="363"/>
      <c r="AO94" s="363"/>
      <c r="AP94" s="363"/>
      <c r="AQ94" s="363"/>
      <c r="AR94" s="364"/>
      <c r="AS94" s="367"/>
      <c r="AT94"/>
      <c r="AU94"/>
      <c r="AV94"/>
      <c r="AW94"/>
      <c r="AX94"/>
      <c r="AY94"/>
      <c r="AZ94"/>
      <c r="BA94"/>
      <c r="BB94"/>
      <c r="BC94"/>
      <c r="BD94"/>
      <c r="BE94"/>
      <c r="BF94"/>
      <c r="BG94"/>
      <c r="BH94"/>
      <c r="BI94"/>
      <c r="BJ94"/>
      <c r="BK94"/>
      <c r="BL94"/>
      <c r="BM94"/>
    </row>
    <row r="95" spans="35:65" ht="12.75" customHeight="1">
      <c r="AI95" s="360"/>
      <c r="AJ95" s="935" t="s">
        <v>678</v>
      </c>
      <c r="AK95" s="935"/>
      <c r="AL95" s="935"/>
      <c r="AM95" s="949" t="s">
        <v>500</v>
      </c>
      <c r="AN95" s="1011" t="s">
        <v>22</v>
      </c>
      <c r="AO95" s="1013" t="s">
        <v>579</v>
      </c>
      <c r="AP95" s="1009" t="s">
        <v>21</v>
      </c>
      <c r="AQ95" s="361"/>
      <c r="AR95" s="364"/>
      <c r="AS95" s="367"/>
      <c r="AT95"/>
      <c r="AU95"/>
      <c r="AV95"/>
      <c r="AW95"/>
      <c r="AX95"/>
      <c r="AY95"/>
      <c r="AZ95"/>
      <c r="BA95"/>
      <c r="BB95"/>
      <c r="BC95"/>
      <c r="BD95"/>
      <c r="BE95"/>
      <c r="BF95"/>
      <c r="BG95"/>
      <c r="BH95"/>
      <c r="BI95"/>
      <c r="BJ95"/>
      <c r="BK95"/>
      <c r="BL95"/>
      <c r="BM95"/>
    </row>
    <row r="96" spans="35:65" ht="12.75" customHeight="1">
      <c r="AI96" s="360"/>
      <c r="AJ96" s="935"/>
      <c r="AK96" s="935"/>
      <c r="AL96" s="935"/>
      <c r="AM96" s="950"/>
      <c r="AN96" s="1012"/>
      <c r="AO96" s="1014"/>
      <c r="AP96" s="1010"/>
      <c r="AQ96" s="361"/>
      <c r="AR96" s="364"/>
      <c r="AS96" s="367"/>
      <c r="AT96"/>
      <c r="AU96"/>
      <c r="AV96"/>
      <c r="AW96"/>
      <c r="AX96"/>
      <c r="AY96"/>
      <c r="AZ96"/>
      <c r="BA96"/>
      <c r="BB96"/>
      <c r="BC96"/>
      <c r="BD96"/>
      <c r="BE96"/>
      <c r="BF96"/>
      <c r="BG96"/>
      <c r="BH96"/>
      <c r="BI96"/>
      <c r="BJ96"/>
      <c r="BK96"/>
      <c r="BL96"/>
      <c r="BM96"/>
    </row>
    <row r="97" spans="35:65" ht="12.75" customHeight="1">
      <c r="AI97" s="360"/>
      <c r="AJ97" s="969" t="s">
        <v>63</v>
      </c>
      <c r="AK97" s="969"/>
      <c r="AL97" s="969"/>
      <c r="AM97" s="369">
        <f>AM538</f>
        <v>103.15</v>
      </c>
      <c r="AN97" s="369">
        <f>AM480</f>
        <v>107.95</v>
      </c>
      <c r="AO97" s="369">
        <f>AM509</f>
        <v>108.4</v>
      </c>
      <c r="AP97" s="369">
        <f>AM451</f>
        <v>113.95</v>
      </c>
      <c r="AQ97" s="361"/>
      <c r="AR97" s="364"/>
      <c r="AS97" s="367"/>
      <c r="AT97"/>
      <c r="AU97"/>
      <c r="AV97"/>
      <c r="AW97"/>
      <c r="AX97"/>
      <c r="AY97"/>
      <c r="AZ97"/>
      <c r="BA97"/>
      <c r="BB97"/>
      <c r="BC97"/>
      <c r="BD97"/>
      <c r="BE97"/>
      <c r="BF97"/>
      <c r="BG97"/>
      <c r="BH97"/>
      <c r="BI97"/>
      <c r="BJ97"/>
      <c r="BK97"/>
      <c r="BL97"/>
      <c r="BM97"/>
    </row>
    <row r="98" spans="35:65" ht="12.75" customHeight="1">
      <c r="AI98" s="360"/>
      <c r="AJ98" s="969" t="s">
        <v>64</v>
      </c>
      <c r="AK98" s="969"/>
      <c r="AL98" s="969"/>
      <c r="AM98" s="369">
        <f>AM551</f>
        <v>90.15</v>
      </c>
      <c r="AN98" s="369">
        <f>AM493</f>
        <v>94.95</v>
      </c>
      <c r="AO98" s="369">
        <f>AM522</f>
        <v>95.3</v>
      </c>
      <c r="AP98" s="369">
        <f>AM464</f>
        <v>101.55</v>
      </c>
      <c r="AQ98" s="361"/>
      <c r="AR98" s="364"/>
      <c r="AS98" s="367"/>
      <c r="AT98"/>
      <c r="AU98"/>
      <c r="AV98"/>
      <c r="AW98"/>
      <c r="AX98"/>
      <c r="AY98"/>
      <c r="AZ98"/>
      <c r="BA98"/>
      <c r="BB98"/>
      <c r="BC98"/>
      <c r="BD98"/>
      <c r="BE98"/>
      <c r="BF98"/>
      <c r="BG98"/>
      <c r="BH98"/>
      <c r="BI98"/>
      <c r="BJ98"/>
      <c r="BK98"/>
      <c r="BL98"/>
      <c r="BM98"/>
    </row>
    <row r="99" spans="35:65" ht="12.75" customHeight="1">
      <c r="AI99" s="360"/>
      <c r="AJ99" s="969" t="s">
        <v>530</v>
      </c>
      <c r="AK99" s="969"/>
      <c r="AL99" s="969"/>
      <c r="AM99" s="369">
        <v>85</v>
      </c>
      <c r="AN99" s="369">
        <v>85</v>
      </c>
      <c r="AO99" s="369">
        <v>85</v>
      </c>
      <c r="AP99" s="369">
        <v>85</v>
      </c>
      <c r="AQ99" s="361"/>
      <c r="AR99" s="364"/>
      <c r="AS99" s="367"/>
      <c r="AT99"/>
      <c r="AU99"/>
      <c r="AV99"/>
      <c r="AW99"/>
      <c r="AX99"/>
      <c r="AY99"/>
      <c r="AZ99"/>
      <c r="BA99"/>
      <c r="BB99"/>
      <c r="BC99"/>
      <c r="BD99"/>
      <c r="BE99"/>
      <c r="BF99"/>
      <c r="BG99"/>
      <c r="BH99"/>
      <c r="BI99"/>
      <c r="BJ99"/>
      <c r="BK99"/>
      <c r="BL99"/>
      <c r="BM99"/>
    </row>
    <row r="100" spans="35:65" ht="12.75" customHeight="1">
      <c r="AI100" s="360"/>
      <c r="AJ100" s="363"/>
      <c r="AK100" s="363"/>
      <c r="AL100" s="363"/>
      <c r="AM100" s="363"/>
      <c r="AN100" s="363"/>
      <c r="AO100" s="363"/>
      <c r="AP100" s="363"/>
      <c r="AQ100" s="363"/>
      <c r="AR100" s="364"/>
      <c r="AS100" s="367"/>
      <c r="AT100"/>
      <c r="AU100"/>
      <c r="AV100"/>
      <c r="AW100"/>
      <c r="AX100"/>
      <c r="AY100"/>
      <c r="AZ100"/>
      <c r="BA100"/>
      <c r="BB100"/>
      <c r="BC100"/>
      <c r="BD100"/>
      <c r="BE100"/>
      <c r="BF100"/>
      <c r="BG100"/>
      <c r="BH100"/>
      <c r="BI100"/>
      <c r="BJ100"/>
      <c r="BK100"/>
      <c r="BL100"/>
      <c r="BM100"/>
    </row>
    <row r="101" spans="35:65" s="133" customFormat="1" ht="12.75" customHeight="1">
      <c r="AI101" s="385" t="s">
        <v>222</v>
      </c>
      <c r="AJ101" s="1008" t="s">
        <v>504</v>
      </c>
      <c r="AK101" s="1008"/>
      <c r="AL101" s="1008"/>
      <c r="AM101" s="1008"/>
      <c r="AN101" s="1008"/>
      <c r="AO101" s="1008"/>
      <c r="AP101" s="1008"/>
      <c r="AQ101" s="1008"/>
      <c r="AR101" s="547"/>
      <c r="AS101" s="367"/>
      <c r="AT101"/>
      <c r="AU101"/>
      <c r="AV101"/>
      <c r="AW101"/>
      <c r="AX101"/>
      <c r="AY101"/>
      <c r="AZ101"/>
      <c r="BA101"/>
      <c r="BB101"/>
      <c r="BC101"/>
      <c r="BD101"/>
      <c r="BE101"/>
      <c r="BF101"/>
      <c r="BG101"/>
      <c r="BH101"/>
      <c r="BI101"/>
      <c r="BJ101"/>
      <c r="BK101"/>
      <c r="BL101"/>
      <c r="BM101"/>
    </row>
    <row r="102" spans="35:65" ht="12.75" customHeight="1">
      <c r="AI102" s="360"/>
      <c r="AJ102" s="363"/>
      <c r="AK102" s="363"/>
      <c r="AL102" s="363"/>
      <c r="AM102" s="363"/>
      <c r="AN102" s="363"/>
      <c r="AO102" s="363"/>
      <c r="AP102" s="363"/>
      <c r="AQ102" s="363"/>
      <c r="AR102" s="364"/>
      <c r="AS102" s="367"/>
      <c r="AT102"/>
      <c r="AU102"/>
      <c r="AV102"/>
      <c r="AW102"/>
      <c r="AX102"/>
      <c r="AY102"/>
      <c r="AZ102"/>
      <c r="BA102"/>
      <c r="BB102"/>
      <c r="BC102"/>
      <c r="BD102"/>
      <c r="BE102"/>
      <c r="BF102"/>
      <c r="BG102"/>
      <c r="BH102"/>
      <c r="BI102"/>
      <c r="BJ102"/>
      <c r="BK102"/>
      <c r="BL102"/>
      <c r="BM102"/>
    </row>
    <row r="103" spans="35:65" ht="12.75" customHeight="1">
      <c r="AI103" s="360" t="s">
        <v>505</v>
      </c>
      <c r="AJ103" s="363" t="s">
        <v>514</v>
      </c>
      <c r="AK103" s="363"/>
      <c r="AL103" s="363"/>
      <c r="AM103" s="363"/>
      <c r="AN103" s="363"/>
      <c r="AO103" s="363"/>
      <c r="AP103" s="363"/>
      <c r="AQ103" s="363"/>
      <c r="AR103" s="364"/>
      <c r="AS103" s="367"/>
      <c r="AT103"/>
      <c r="AU103"/>
      <c r="AV103"/>
      <c r="AW103"/>
      <c r="AX103"/>
      <c r="AY103"/>
      <c r="AZ103"/>
      <c r="BA103"/>
      <c r="BB103"/>
      <c r="BC103"/>
      <c r="BD103"/>
      <c r="BE103"/>
      <c r="BF103"/>
      <c r="BG103"/>
      <c r="BH103"/>
      <c r="BI103"/>
      <c r="BJ103"/>
      <c r="BK103"/>
      <c r="BL103"/>
      <c r="BM103"/>
    </row>
    <row r="104" spans="35:65" ht="12.75" customHeight="1">
      <c r="AI104" s="360"/>
      <c r="AJ104" s="363" t="s">
        <v>512</v>
      </c>
      <c r="AK104" s="363"/>
      <c r="AL104" s="363"/>
      <c r="AM104" s="363"/>
      <c r="AN104" s="363"/>
      <c r="AO104" s="363"/>
      <c r="AP104" s="363"/>
      <c r="AQ104" s="363"/>
      <c r="AR104" s="364"/>
      <c r="AS104" s="367"/>
      <c r="AT104"/>
      <c r="AU104"/>
      <c r="AV104"/>
      <c r="AW104"/>
      <c r="AX104"/>
      <c r="AY104"/>
      <c r="AZ104"/>
      <c r="BA104"/>
      <c r="BB104"/>
      <c r="BC104"/>
      <c r="BD104"/>
      <c r="BE104"/>
      <c r="BF104"/>
      <c r="BG104"/>
      <c r="BH104"/>
      <c r="BI104"/>
      <c r="BJ104"/>
      <c r="BK104"/>
      <c r="BL104"/>
      <c r="BM104"/>
    </row>
    <row r="105" spans="35:65" ht="12.75" customHeight="1">
      <c r="AI105" s="360"/>
      <c r="AJ105" s="998" t="s">
        <v>191</v>
      </c>
      <c r="AK105" s="999"/>
      <c r="AL105" s="1000"/>
      <c r="AM105" s="949" t="s">
        <v>500</v>
      </c>
      <c r="AN105" s="938" t="s">
        <v>22</v>
      </c>
      <c r="AO105" s="940" t="s">
        <v>579</v>
      </c>
      <c r="AP105" s="942" t="s">
        <v>21</v>
      </c>
      <c r="AQ105" s="361"/>
      <c r="AR105" s="364"/>
      <c r="AS105" s="367"/>
      <c r="AT105"/>
      <c r="AU105"/>
      <c r="AV105"/>
      <c r="AW105"/>
      <c r="AX105"/>
      <c r="AY105"/>
      <c r="AZ105"/>
      <c r="BA105"/>
      <c r="BB105"/>
      <c r="BC105"/>
      <c r="BD105"/>
      <c r="BE105"/>
      <c r="BF105"/>
      <c r="BG105"/>
      <c r="BH105"/>
      <c r="BI105"/>
      <c r="BJ105"/>
      <c r="BK105"/>
      <c r="BL105"/>
      <c r="BM105"/>
    </row>
    <row r="106" spans="35:65" ht="12.75" customHeight="1">
      <c r="AI106" s="360"/>
      <c r="AJ106" s="1001"/>
      <c r="AK106" s="1002"/>
      <c r="AL106" s="1003"/>
      <c r="AM106" s="950"/>
      <c r="AN106" s="939"/>
      <c r="AO106" s="941"/>
      <c r="AP106" s="943"/>
      <c r="AQ106" s="361"/>
      <c r="AR106" s="364"/>
      <c r="AS106" s="367"/>
      <c r="AT106"/>
      <c r="AU106"/>
      <c r="AV106"/>
      <c r="AW106"/>
      <c r="AX106"/>
      <c r="AY106"/>
      <c r="AZ106"/>
      <c r="BA106"/>
      <c r="BB106"/>
      <c r="BC106"/>
      <c r="BD106"/>
      <c r="BE106"/>
      <c r="BF106"/>
      <c r="BG106"/>
      <c r="BH106"/>
      <c r="BI106"/>
      <c r="BJ106"/>
      <c r="BK106"/>
      <c r="BL106"/>
      <c r="BM106"/>
    </row>
    <row r="107" spans="35:65" ht="12.75" customHeight="1">
      <c r="AI107" s="360"/>
      <c r="AJ107" s="969" t="s">
        <v>63</v>
      </c>
      <c r="AK107" s="969"/>
      <c r="AL107" s="969"/>
      <c r="AM107" s="537">
        <f>VLOOKUP(AM74,'Lookup Exposure Time'!$B$12:$C$732,2)</f>
        <v>10</v>
      </c>
      <c r="AN107" s="537">
        <f>VLOOKUP(AN74,'Lookup Exposure Time'!$B$12:$C$732,2)</f>
        <v>2.5</v>
      </c>
      <c r="AO107" s="537">
        <f>VLOOKUP(AO74,'Lookup Exposure Time'!$B$12:$C$732,2)</f>
        <v>1.875</v>
      </c>
      <c r="AP107" s="537">
        <f>VLOOKUP(AP74,'Lookup Exposure Time'!$B$12:$C$732,2)</f>
        <v>0.39061999999999986</v>
      </c>
      <c r="AQ107" s="361"/>
      <c r="AR107" s="364"/>
      <c r="AS107" s="367"/>
      <c r="AT107"/>
      <c r="AU107"/>
      <c r="AV107"/>
      <c r="AW107"/>
      <c r="AX107"/>
      <c r="AY107"/>
      <c r="AZ107"/>
      <c r="BA107"/>
      <c r="BB107"/>
      <c r="BC107"/>
      <c r="BD107"/>
      <c r="BE107"/>
      <c r="BF107"/>
      <c r="BG107"/>
      <c r="BH107"/>
      <c r="BI107"/>
      <c r="BJ107"/>
      <c r="BK107"/>
      <c r="BL107"/>
      <c r="BM107"/>
    </row>
    <row r="108" spans="35:65" ht="12.75" customHeight="1">
      <c r="AI108" s="360"/>
      <c r="AJ108" s="969" t="s">
        <v>64</v>
      </c>
      <c r="AK108" s="969"/>
      <c r="AL108" s="969"/>
      <c r="AM108" s="537">
        <f>VLOOKUP(AM75,'Lookup Exposure Time'!$B$12:$C$732,2)</f>
        <v>200</v>
      </c>
      <c r="AN108" s="537">
        <f>VLOOKUP(AN75,'Lookup Exposure Time'!$B$12:$C$732,2)</f>
        <v>50</v>
      </c>
      <c r="AO108" s="537">
        <f>VLOOKUP(AO75,'Lookup Exposure Time'!$B$12:$C$732,2)</f>
        <v>40</v>
      </c>
      <c r="AP108" s="537">
        <f>VLOOKUP(AP75,'Lookup Exposure Time'!$B$12:$C$732,2)</f>
        <v>7.5</v>
      </c>
      <c r="AQ108" s="361"/>
      <c r="AR108" s="364"/>
      <c r="AS108" s="367"/>
      <c r="AT108"/>
      <c r="AU108"/>
      <c r="AV108"/>
      <c r="AW108"/>
      <c r="AX108"/>
      <c r="AY108"/>
      <c r="AZ108"/>
      <c r="BA108"/>
      <c r="BB108"/>
      <c r="BC108"/>
      <c r="BD108"/>
      <c r="BE108"/>
      <c r="BF108"/>
      <c r="BG108"/>
      <c r="BH108"/>
      <c r="BI108"/>
      <c r="BJ108"/>
      <c r="BK108"/>
      <c r="BL108"/>
      <c r="BM108"/>
    </row>
    <row r="109" spans="35:65" ht="12.75" customHeight="1">
      <c r="AI109" s="360"/>
      <c r="AJ109" s="364"/>
      <c r="AK109" s="364"/>
      <c r="AL109" s="364"/>
      <c r="AM109" s="364"/>
      <c r="AN109" s="364"/>
      <c r="AO109" s="364"/>
      <c r="AP109" s="364"/>
      <c r="AQ109" s="363"/>
      <c r="AR109" s="364"/>
      <c r="AS109" s="367"/>
      <c r="AT109"/>
      <c r="AU109"/>
      <c r="AV109"/>
      <c r="AW109"/>
      <c r="AX109"/>
      <c r="AY109"/>
      <c r="AZ109"/>
      <c r="BA109"/>
      <c r="BB109"/>
      <c r="BC109"/>
      <c r="BD109"/>
      <c r="BE109"/>
      <c r="BF109"/>
      <c r="BG109"/>
      <c r="BH109"/>
      <c r="BI109"/>
      <c r="BJ109"/>
      <c r="BK109"/>
      <c r="BL109"/>
      <c r="BM109"/>
    </row>
    <row r="110" spans="35:65" ht="12.75" customHeight="1">
      <c r="AI110" s="360" t="s">
        <v>507</v>
      </c>
      <c r="AJ110" s="363" t="s">
        <v>513</v>
      </c>
      <c r="AK110" s="363"/>
      <c r="AL110" s="363"/>
      <c r="AM110" s="363"/>
      <c r="AN110" s="363"/>
      <c r="AO110" s="363"/>
      <c r="AP110" s="363"/>
      <c r="AQ110" s="363"/>
      <c r="AR110" s="364"/>
      <c r="AS110" s="367"/>
      <c r="AT110"/>
      <c r="AU110"/>
      <c r="AV110"/>
      <c r="AW110"/>
      <c r="AX110"/>
      <c r="AY110"/>
      <c r="AZ110"/>
      <c r="BA110"/>
      <c r="BB110"/>
      <c r="BC110"/>
      <c r="BD110"/>
      <c r="BE110"/>
      <c r="BF110"/>
      <c r="BG110"/>
      <c r="BH110"/>
      <c r="BI110"/>
      <c r="BJ110"/>
      <c r="BK110"/>
      <c r="BL110"/>
      <c r="BM110"/>
    </row>
    <row r="111" spans="35:65" ht="12.75" customHeight="1">
      <c r="AI111" s="360"/>
      <c r="AJ111" s="998" t="s">
        <v>191</v>
      </c>
      <c r="AK111" s="999"/>
      <c r="AL111" s="1000"/>
      <c r="AM111" s="949" t="s">
        <v>500</v>
      </c>
      <c r="AN111" s="938" t="s">
        <v>22</v>
      </c>
      <c r="AO111" s="940" t="s">
        <v>579</v>
      </c>
      <c r="AP111" s="942" t="s">
        <v>21</v>
      </c>
      <c r="AQ111" s="361"/>
      <c r="AR111" s="364"/>
      <c r="AS111" s="367"/>
      <c r="AT111"/>
      <c r="AU111"/>
      <c r="AV111"/>
      <c r="AW111"/>
      <c r="AX111"/>
      <c r="AY111"/>
      <c r="AZ111"/>
      <c r="BA111"/>
      <c r="BB111"/>
      <c r="BC111"/>
      <c r="BD111"/>
      <c r="BE111"/>
      <c r="BF111"/>
      <c r="BG111"/>
      <c r="BH111"/>
      <c r="BI111"/>
      <c r="BJ111"/>
      <c r="BK111"/>
      <c r="BL111"/>
      <c r="BM111"/>
    </row>
    <row r="112" spans="35:65" ht="12.75" customHeight="1">
      <c r="AI112" s="360"/>
      <c r="AJ112" s="1001"/>
      <c r="AK112" s="1002"/>
      <c r="AL112" s="1003"/>
      <c r="AM112" s="950"/>
      <c r="AN112" s="939"/>
      <c r="AO112" s="941"/>
      <c r="AP112" s="943"/>
      <c r="AQ112" s="361"/>
      <c r="AR112" s="364"/>
      <c r="AS112" s="367"/>
      <c r="AT112"/>
      <c r="AU112"/>
      <c r="AV112"/>
      <c r="AW112"/>
      <c r="AX112"/>
      <c r="AY112"/>
      <c r="AZ112"/>
      <c r="BA112"/>
      <c r="BB112"/>
      <c r="BC112"/>
      <c r="BD112"/>
      <c r="BE112"/>
      <c r="BF112"/>
      <c r="BG112"/>
      <c r="BH112"/>
      <c r="BI112"/>
      <c r="BJ112"/>
      <c r="BK112"/>
      <c r="BL112"/>
      <c r="BM112"/>
    </row>
    <row r="113" spans="35:65" ht="12.75" customHeight="1">
      <c r="AI113" s="360"/>
      <c r="AJ113" s="969" t="s">
        <v>63</v>
      </c>
      <c r="AK113" s="969"/>
      <c r="AL113" s="969"/>
      <c r="AM113" s="671">
        <f>VLOOKUP(AM81,'Lookup Exposure Time'!$B$12:$C$732,2)</f>
        <v>2.5</v>
      </c>
      <c r="AN113" s="671">
        <f>VLOOKUP(AN81,'Lookup Exposure Time'!$B$12:$C$732,2)</f>
        <v>0.625</v>
      </c>
      <c r="AO113" s="671">
        <f>VLOOKUP(AO81,'Lookup Exposure Time'!$B$12:$C$732,2)</f>
        <v>0.46875</v>
      </c>
      <c r="AP113" s="671">
        <f>VLOOKUP(AP81,'Lookup Exposure Time'!$B$12:$C$732,2)</f>
        <v>9.765625E-2</v>
      </c>
      <c r="AQ113" s="361"/>
      <c r="AR113" s="364"/>
      <c r="AS113" s="367"/>
      <c r="AT113"/>
      <c r="AU113"/>
      <c r="AV113"/>
      <c r="AW113"/>
      <c r="AX113"/>
      <c r="AY113"/>
      <c r="AZ113"/>
      <c r="BA113"/>
      <c r="BB113"/>
      <c r="BC113"/>
      <c r="BD113"/>
      <c r="BE113"/>
      <c r="BF113"/>
      <c r="BG113"/>
      <c r="BH113"/>
      <c r="BI113"/>
      <c r="BJ113"/>
      <c r="BK113"/>
      <c r="BL113"/>
      <c r="BM113"/>
    </row>
    <row r="114" spans="35:65" ht="12.75" customHeight="1">
      <c r="AI114" s="360"/>
      <c r="AJ114" s="969" t="s">
        <v>64</v>
      </c>
      <c r="AK114" s="969"/>
      <c r="AL114" s="969"/>
      <c r="AM114" s="557">
        <f>VLOOKUP(AM82,'Lookup Exposure Time'!$B$12:$C$732,2)</f>
        <v>50</v>
      </c>
      <c r="AN114" s="557">
        <f>VLOOKUP(AN82,'Lookup Exposure Time'!$B$12:$C$732,2)</f>
        <v>12.5</v>
      </c>
      <c r="AO114" s="557">
        <f>VLOOKUP(AO82,'Lookup Exposure Time'!$B$12:$C$732,2)</f>
        <v>10</v>
      </c>
      <c r="AP114" s="557">
        <f>VLOOKUP(AP82,'Lookup Exposure Time'!$B$12:$C$732,2)</f>
        <v>1.875</v>
      </c>
      <c r="AQ114" s="361"/>
      <c r="AR114" s="364"/>
      <c r="AS114" s="367"/>
      <c r="AT114"/>
      <c r="AU114"/>
      <c r="AV114"/>
      <c r="AW114"/>
      <c r="AX114"/>
      <c r="AY114"/>
      <c r="AZ114"/>
      <c r="BA114"/>
      <c r="BB114"/>
      <c r="BC114"/>
      <c r="BD114"/>
      <c r="BE114"/>
      <c r="BF114"/>
      <c r="BG114"/>
      <c r="BH114"/>
      <c r="BI114"/>
      <c r="BJ114"/>
      <c r="BK114"/>
      <c r="BL114"/>
      <c r="BM114"/>
    </row>
    <row r="115" spans="35:65" ht="12.75" customHeight="1">
      <c r="AI115" s="360"/>
      <c r="AJ115" s="363"/>
      <c r="AK115" s="363"/>
      <c r="AL115" s="363"/>
      <c r="AM115" s="363"/>
      <c r="AN115" s="363"/>
      <c r="AO115" s="363"/>
      <c r="AP115" s="363"/>
      <c r="AQ115" s="363"/>
      <c r="AR115" s="364"/>
      <c r="AS115" s="367"/>
      <c r="AT115"/>
      <c r="AU115"/>
      <c r="AV115"/>
      <c r="AW115"/>
      <c r="AX115"/>
      <c r="AY115"/>
      <c r="AZ115"/>
      <c r="BA115"/>
      <c r="BB115"/>
      <c r="BC115"/>
      <c r="BD115"/>
      <c r="BE115"/>
      <c r="BF115"/>
      <c r="BG115"/>
      <c r="BH115"/>
      <c r="BI115"/>
      <c r="BJ115"/>
      <c r="BK115"/>
      <c r="BL115"/>
      <c r="BM115"/>
    </row>
    <row r="116" spans="35:65" ht="12.75" customHeight="1">
      <c r="AI116" s="360" t="s">
        <v>508</v>
      </c>
      <c r="AJ116" s="363" t="s">
        <v>531</v>
      </c>
      <c r="AK116" s="363"/>
      <c r="AL116" s="363"/>
      <c r="AM116" s="363"/>
      <c r="AN116" s="363"/>
      <c r="AO116" s="363"/>
      <c r="AP116" s="363"/>
      <c r="AQ116" s="363"/>
      <c r="AR116" s="364"/>
      <c r="AS116" s="367"/>
      <c r="AT116"/>
      <c r="AU116"/>
      <c r="AV116"/>
      <c r="AW116"/>
      <c r="AX116"/>
      <c r="AY116"/>
      <c r="AZ116"/>
      <c r="BA116"/>
      <c r="BB116"/>
      <c r="BC116"/>
      <c r="BD116"/>
      <c r="BE116"/>
      <c r="BF116"/>
      <c r="BG116"/>
      <c r="BH116"/>
      <c r="BI116"/>
      <c r="BJ116"/>
      <c r="BK116"/>
      <c r="BL116"/>
      <c r="BM116"/>
    </row>
    <row r="117" spans="35:65" ht="12.75" customHeight="1">
      <c r="AI117" s="360"/>
      <c r="AJ117" s="998" t="s">
        <v>191</v>
      </c>
      <c r="AK117" s="999"/>
      <c r="AL117" s="1000"/>
      <c r="AM117" s="949" t="s">
        <v>500</v>
      </c>
      <c r="AN117" s="938" t="s">
        <v>22</v>
      </c>
      <c r="AO117" s="940" t="s">
        <v>579</v>
      </c>
      <c r="AP117" s="942" t="s">
        <v>21</v>
      </c>
      <c r="AQ117" s="361"/>
      <c r="AR117" s="364"/>
      <c r="AS117" s="367"/>
      <c r="AT117"/>
      <c r="AU117"/>
      <c r="AV117"/>
      <c r="AW117"/>
      <c r="AX117"/>
      <c r="AY117"/>
      <c r="AZ117"/>
      <c r="BA117"/>
      <c r="BB117"/>
      <c r="BC117"/>
      <c r="BD117"/>
      <c r="BE117"/>
      <c r="BF117"/>
      <c r="BG117"/>
      <c r="BH117"/>
      <c r="BI117"/>
      <c r="BJ117"/>
      <c r="BK117"/>
      <c r="BL117"/>
      <c r="BM117"/>
    </row>
    <row r="118" spans="35:65" ht="12.75" customHeight="1">
      <c r="AI118" s="360"/>
      <c r="AJ118" s="1001"/>
      <c r="AK118" s="1002"/>
      <c r="AL118" s="1003"/>
      <c r="AM118" s="950"/>
      <c r="AN118" s="939"/>
      <c r="AO118" s="941"/>
      <c r="AP118" s="943"/>
      <c r="AQ118" s="361"/>
      <c r="AR118" s="364"/>
      <c r="AS118" s="367"/>
      <c r="AT118"/>
      <c r="AU118"/>
      <c r="AV118"/>
      <c r="AW118"/>
      <c r="AX118"/>
      <c r="AY118"/>
      <c r="AZ118"/>
      <c r="BA118"/>
      <c r="BB118"/>
      <c r="BC118"/>
      <c r="BD118"/>
      <c r="BE118"/>
      <c r="BF118"/>
      <c r="BG118"/>
      <c r="BH118"/>
      <c r="BI118"/>
      <c r="BJ118"/>
      <c r="BK118"/>
      <c r="BL118"/>
      <c r="BM118"/>
    </row>
    <row r="119" spans="35:65" ht="12.75" customHeight="1">
      <c r="AI119" s="360"/>
      <c r="AJ119" s="969" t="s">
        <v>63</v>
      </c>
      <c r="AK119" s="969"/>
      <c r="AL119" s="969"/>
      <c r="AM119" s="537">
        <f t="shared" ref="AM119:AP120" si="0">AM107/60</f>
        <v>0.16666666666666666</v>
      </c>
      <c r="AN119" s="537">
        <f t="shared" si="0"/>
        <v>4.1666666666666664E-2</v>
      </c>
      <c r="AO119" s="537">
        <f t="shared" si="0"/>
        <v>3.125E-2</v>
      </c>
      <c r="AP119" s="537">
        <f t="shared" si="0"/>
        <v>6.5103333333333306E-3</v>
      </c>
      <c r="AQ119" s="361"/>
      <c r="AR119" s="364"/>
      <c r="AS119" s="367"/>
      <c r="AT119"/>
      <c r="AU119"/>
      <c r="AV119"/>
      <c r="AW119"/>
      <c r="AX119"/>
      <c r="AY119"/>
      <c r="AZ119"/>
      <c r="BA119"/>
      <c r="BB119"/>
      <c r="BC119"/>
      <c r="BD119"/>
      <c r="BE119"/>
      <c r="BF119"/>
      <c r="BG119"/>
      <c r="BH119"/>
      <c r="BI119"/>
      <c r="BJ119"/>
      <c r="BK119"/>
      <c r="BL119"/>
      <c r="BM119"/>
    </row>
    <row r="120" spans="35:65" ht="12.75" customHeight="1">
      <c r="AI120" s="360"/>
      <c r="AJ120" s="969" t="s">
        <v>64</v>
      </c>
      <c r="AK120" s="969"/>
      <c r="AL120" s="969"/>
      <c r="AM120" s="537">
        <f t="shared" si="0"/>
        <v>3.3333333333333335</v>
      </c>
      <c r="AN120" s="537">
        <f t="shared" si="0"/>
        <v>0.83333333333333337</v>
      </c>
      <c r="AO120" s="537">
        <f t="shared" si="0"/>
        <v>0.66666666666666663</v>
      </c>
      <c r="AP120" s="537">
        <f t="shared" si="0"/>
        <v>0.125</v>
      </c>
      <c r="AQ120" s="361"/>
      <c r="AR120" s="364"/>
      <c r="AS120" s="367"/>
      <c r="AT120"/>
      <c r="AU120"/>
      <c r="AV120"/>
      <c r="AW120"/>
      <c r="AX120"/>
      <c r="AY120"/>
      <c r="AZ120"/>
      <c r="BA120"/>
      <c r="BB120"/>
      <c r="BC120"/>
      <c r="BD120"/>
      <c r="BE120"/>
      <c r="BF120"/>
      <c r="BG120"/>
      <c r="BH120"/>
      <c r="BI120"/>
      <c r="BJ120"/>
      <c r="BK120"/>
      <c r="BL120"/>
      <c r="BM120"/>
    </row>
    <row r="121" spans="35:65" ht="12.75" customHeight="1">
      <c r="AI121" s="360"/>
      <c r="AJ121" s="364"/>
      <c r="AK121" s="364"/>
      <c r="AL121" s="364"/>
      <c r="AM121" s="364"/>
      <c r="AN121" s="364"/>
      <c r="AO121" s="364"/>
      <c r="AP121" s="364"/>
      <c r="AQ121" s="363"/>
      <c r="AR121" s="364"/>
      <c r="AS121" s="367"/>
      <c r="AT121"/>
      <c r="AU121"/>
      <c r="AV121"/>
      <c r="AW121"/>
      <c r="AX121"/>
      <c r="AY121"/>
      <c r="AZ121"/>
      <c r="BA121"/>
      <c r="BB121"/>
      <c r="BC121"/>
      <c r="BD121"/>
      <c r="BE121"/>
      <c r="BF121"/>
      <c r="BG121"/>
      <c r="BH121"/>
      <c r="BI121"/>
      <c r="BJ121"/>
      <c r="BK121"/>
      <c r="BL121"/>
      <c r="BM121"/>
    </row>
    <row r="122" spans="35:65" ht="12.75" customHeight="1">
      <c r="AI122" s="360" t="s">
        <v>506</v>
      </c>
      <c r="AJ122" s="363" t="s">
        <v>532</v>
      </c>
      <c r="AK122" s="363"/>
      <c r="AL122" s="363"/>
      <c r="AM122" s="363"/>
      <c r="AN122" s="363"/>
      <c r="AO122" s="363"/>
      <c r="AP122" s="363"/>
      <c r="AQ122" s="363"/>
      <c r="AR122" s="364"/>
      <c r="AS122" s="367"/>
      <c r="AT122"/>
      <c r="AU122"/>
      <c r="AV122"/>
      <c r="AW122"/>
      <c r="AX122"/>
      <c r="AY122"/>
      <c r="AZ122"/>
      <c r="BA122"/>
      <c r="BB122"/>
      <c r="BC122"/>
      <c r="BD122"/>
      <c r="BE122"/>
      <c r="BF122"/>
      <c r="BG122"/>
      <c r="BH122"/>
      <c r="BI122"/>
      <c r="BJ122"/>
      <c r="BK122"/>
      <c r="BL122"/>
      <c r="BM122"/>
    </row>
    <row r="123" spans="35:65" ht="12.75" customHeight="1">
      <c r="AI123" s="360"/>
      <c r="AJ123" s="998" t="s">
        <v>191</v>
      </c>
      <c r="AK123" s="999"/>
      <c r="AL123" s="1000"/>
      <c r="AM123" s="949" t="s">
        <v>500</v>
      </c>
      <c r="AN123" s="938" t="s">
        <v>22</v>
      </c>
      <c r="AO123" s="940" t="s">
        <v>579</v>
      </c>
      <c r="AP123" s="942" t="s">
        <v>21</v>
      </c>
      <c r="AQ123" s="361"/>
      <c r="AR123" s="364"/>
      <c r="AS123" s="367"/>
      <c r="AT123"/>
      <c r="AU123"/>
      <c r="AV123"/>
      <c r="AW123"/>
      <c r="AX123"/>
      <c r="AY123"/>
      <c r="AZ123"/>
      <c r="BA123"/>
      <c r="BB123"/>
      <c r="BC123"/>
      <c r="BD123"/>
      <c r="BE123"/>
      <c r="BF123"/>
      <c r="BG123"/>
      <c r="BH123"/>
      <c r="BI123"/>
      <c r="BJ123"/>
      <c r="BK123"/>
      <c r="BL123"/>
      <c r="BM123"/>
    </row>
    <row r="124" spans="35:65" ht="12.75" customHeight="1">
      <c r="AI124" s="360"/>
      <c r="AJ124" s="1001"/>
      <c r="AK124" s="1002"/>
      <c r="AL124" s="1003"/>
      <c r="AM124" s="950"/>
      <c r="AN124" s="939"/>
      <c r="AO124" s="941"/>
      <c r="AP124" s="943"/>
      <c r="AQ124" s="361"/>
      <c r="AR124" s="364"/>
      <c r="AS124" s="367"/>
      <c r="AT124"/>
      <c r="AU124"/>
      <c r="AV124"/>
      <c r="AW124"/>
      <c r="AX124"/>
      <c r="AY124"/>
      <c r="AZ124"/>
      <c r="BA124"/>
      <c r="BB124"/>
      <c r="BC124"/>
      <c r="BD124"/>
      <c r="BE124"/>
      <c r="BF124"/>
      <c r="BG124"/>
      <c r="BH124"/>
      <c r="BI124"/>
      <c r="BJ124"/>
      <c r="BK124"/>
      <c r="BL124"/>
      <c r="BM124"/>
    </row>
    <row r="125" spans="35:65" ht="12.75" customHeight="1">
      <c r="AI125" s="360"/>
      <c r="AJ125" s="969" t="s">
        <v>63</v>
      </c>
      <c r="AK125" s="969"/>
      <c r="AL125" s="969"/>
      <c r="AM125" s="537">
        <f t="shared" ref="AM125:AP126" si="1">AM113/60</f>
        <v>4.1666666666666664E-2</v>
      </c>
      <c r="AN125" s="537">
        <f t="shared" si="1"/>
        <v>1.0416666666666666E-2</v>
      </c>
      <c r="AO125" s="537">
        <f t="shared" si="1"/>
        <v>7.8125E-3</v>
      </c>
      <c r="AP125" s="537">
        <f t="shared" si="1"/>
        <v>1.6276041666666667E-3</v>
      </c>
      <c r="AQ125" s="361"/>
      <c r="AR125" s="364"/>
      <c r="AS125" s="367"/>
      <c r="AT125"/>
      <c r="AU125"/>
      <c r="AV125"/>
      <c r="AW125"/>
      <c r="AX125"/>
      <c r="AY125"/>
      <c r="AZ125"/>
      <c r="BA125"/>
      <c r="BB125"/>
      <c r="BC125"/>
      <c r="BD125"/>
      <c r="BE125"/>
      <c r="BF125"/>
      <c r="BG125"/>
      <c r="BH125"/>
      <c r="BI125"/>
      <c r="BJ125"/>
      <c r="BK125"/>
      <c r="BL125"/>
      <c r="BM125"/>
    </row>
    <row r="126" spans="35:65" ht="12.75" customHeight="1">
      <c r="AI126" s="360"/>
      <c r="AJ126" s="969" t="s">
        <v>64</v>
      </c>
      <c r="AK126" s="969"/>
      <c r="AL126" s="969"/>
      <c r="AM126" s="537">
        <f t="shared" si="1"/>
        <v>0.83333333333333337</v>
      </c>
      <c r="AN126" s="537">
        <f t="shared" si="1"/>
        <v>0.20833333333333334</v>
      </c>
      <c r="AO126" s="537">
        <f t="shared" si="1"/>
        <v>0.16666666666666666</v>
      </c>
      <c r="AP126" s="537">
        <f t="shared" si="1"/>
        <v>3.125E-2</v>
      </c>
      <c r="AQ126" s="361"/>
      <c r="AR126" s="364"/>
      <c r="AS126" s="367"/>
      <c r="AT126"/>
      <c r="AU126"/>
      <c r="AV126"/>
      <c r="AW126"/>
      <c r="AX126"/>
      <c r="AY126"/>
      <c r="AZ126"/>
      <c r="BA126"/>
      <c r="BB126"/>
      <c r="BC126"/>
      <c r="BD126"/>
      <c r="BE126"/>
      <c r="BF126"/>
      <c r="BG126"/>
      <c r="BH126"/>
      <c r="BI126"/>
      <c r="BJ126"/>
      <c r="BK126"/>
      <c r="BL126"/>
      <c r="BM126"/>
    </row>
    <row r="127" spans="35:65" ht="12.75" customHeight="1">
      <c r="AI127" s="360"/>
      <c r="AJ127" s="363"/>
      <c r="AK127" s="363"/>
      <c r="AL127" s="363"/>
      <c r="AM127" s="363"/>
      <c r="AN127" s="363"/>
      <c r="AO127" s="363"/>
      <c r="AP127" s="363"/>
      <c r="AQ127" s="363"/>
      <c r="AR127" s="364"/>
      <c r="AS127" s="367"/>
      <c r="AT127"/>
      <c r="AU127"/>
      <c r="AV127"/>
      <c r="AW127"/>
      <c r="AX127"/>
      <c r="AY127"/>
      <c r="AZ127"/>
      <c r="BA127"/>
      <c r="BB127"/>
      <c r="BC127"/>
      <c r="BD127"/>
      <c r="BE127"/>
      <c r="BF127"/>
      <c r="BG127"/>
      <c r="BH127"/>
      <c r="BI127"/>
      <c r="BJ127"/>
      <c r="BK127"/>
      <c r="BL127"/>
      <c r="BM127"/>
    </row>
    <row r="128" spans="35:65" ht="12.75" customHeight="1">
      <c r="AI128" s="546" t="s">
        <v>231</v>
      </c>
      <c r="AJ128" s="952" t="s">
        <v>232</v>
      </c>
      <c r="AK128" s="952"/>
      <c r="AL128" s="952"/>
      <c r="AM128" s="952"/>
      <c r="AN128" s="952"/>
      <c r="AO128" s="952"/>
      <c r="AP128" s="952"/>
      <c r="AQ128" s="952"/>
      <c r="AR128" s="360"/>
      <c r="AS128" s="367"/>
      <c r="AT128"/>
      <c r="AU128"/>
      <c r="AV128"/>
      <c r="AW128"/>
      <c r="AX128"/>
      <c r="AY128"/>
      <c r="AZ128"/>
      <c r="BA128"/>
      <c r="BB128"/>
      <c r="BC128"/>
      <c r="BD128"/>
      <c r="BE128"/>
      <c r="BF128"/>
      <c r="BG128"/>
      <c r="BH128"/>
      <c r="BI128"/>
      <c r="BJ128"/>
      <c r="BK128"/>
      <c r="BL128"/>
      <c r="BM128"/>
    </row>
    <row r="129" spans="35:65" ht="12.75" customHeight="1">
      <c r="AI129" s="546"/>
      <c r="AJ129" s="360"/>
      <c r="AK129" s="360"/>
      <c r="AL129" s="360"/>
      <c r="AM129" s="360"/>
      <c r="AN129" s="360"/>
      <c r="AO129" s="360"/>
      <c r="AP129" s="360"/>
      <c r="AQ129" s="360"/>
      <c r="AR129" s="360"/>
      <c r="AS129" s="367"/>
      <c r="AT129"/>
      <c r="AU129"/>
      <c r="AV129"/>
      <c r="AW129"/>
      <c r="AX129"/>
      <c r="AY129"/>
      <c r="AZ129"/>
      <c r="BA129"/>
      <c r="BB129"/>
      <c r="BC129"/>
      <c r="BD129"/>
      <c r="BE129"/>
      <c r="BF129"/>
      <c r="BG129"/>
      <c r="BH129"/>
      <c r="BI129"/>
      <c r="BJ129"/>
      <c r="BK129"/>
      <c r="BL129"/>
      <c r="BM129"/>
    </row>
    <row r="130" spans="35:65" ht="12.75" customHeight="1">
      <c r="AI130" s="546"/>
      <c r="AJ130" s="363" t="s">
        <v>233</v>
      </c>
      <c r="AK130" s="363"/>
      <c r="AL130" s="363"/>
      <c r="AM130" s="363"/>
      <c r="AN130" s="363"/>
      <c r="AO130" s="363"/>
      <c r="AP130" s="363"/>
      <c r="AQ130" s="363"/>
      <c r="AR130" s="364"/>
      <c r="AS130" s="367"/>
      <c r="AT130"/>
      <c r="AU130"/>
      <c r="AV130"/>
      <c r="AW130"/>
      <c r="AX130"/>
      <c r="AY130"/>
      <c r="AZ130"/>
      <c r="BA130"/>
      <c r="BB130"/>
      <c r="BC130"/>
      <c r="BD130"/>
      <c r="BE130"/>
      <c r="BF130"/>
      <c r="BG130"/>
      <c r="BH130"/>
      <c r="BI130"/>
      <c r="BJ130"/>
      <c r="BK130"/>
      <c r="BL130"/>
      <c r="BM130"/>
    </row>
    <row r="131" spans="35:65" ht="12.75" customHeight="1">
      <c r="AI131" s="360"/>
      <c r="AJ131" s="998" t="s">
        <v>678</v>
      </c>
      <c r="AK131" s="999"/>
      <c r="AL131" s="1000"/>
      <c r="AM131" s="949" t="s">
        <v>470</v>
      </c>
      <c r="AN131" s="938" t="s">
        <v>22</v>
      </c>
      <c r="AO131" s="940" t="s">
        <v>579</v>
      </c>
      <c r="AP131" s="942" t="s">
        <v>21</v>
      </c>
      <c r="AQ131" s="361"/>
      <c r="AR131" s="364"/>
      <c r="AS131" s="367"/>
      <c r="AT131"/>
      <c r="AU131"/>
      <c r="AV131"/>
      <c r="AW131"/>
      <c r="AX131"/>
      <c r="AY131"/>
      <c r="AZ131"/>
      <c r="BA131"/>
      <c r="BB131"/>
      <c r="BC131"/>
      <c r="BD131"/>
      <c r="BE131"/>
      <c r="BF131"/>
      <c r="BG131"/>
      <c r="BH131"/>
      <c r="BI131"/>
      <c r="BJ131"/>
      <c r="BK131"/>
      <c r="BL131"/>
      <c r="BM131"/>
    </row>
    <row r="132" spans="35:65" ht="12.75" customHeight="1">
      <c r="AI132" s="360"/>
      <c r="AJ132" s="1001"/>
      <c r="AK132" s="1002"/>
      <c r="AL132" s="1003"/>
      <c r="AM132" s="950"/>
      <c r="AN132" s="939"/>
      <c r="AO132" s="941"/>
      <c r="AP132" s="943"/>
      <c r="AQ132" s="361"/>
      <c r="AR132" s="364"/>
      <c r="AS132" s="367"/>
      <c r="AT132"/>
      <c r="AU132"/>
      <c r="AV132"/>
      <c r="AW132"/>
      <c r="AX132"/>
      <c r="AY132"/>
      <c r="AZ132"/>
      <c r="BA132"/>
      <c r="BB132"/>
      <c r="BC132"/>
      <c r="BD132"/>
      <c r="BE132"/>
      <c r="BF132"/>
      <c r="BG132"/>
      <c r="BH132"/>
      <c r="BI132"/>
      <c r="BJ132"/>
      <c r="BK132"/>
      <c r="BL132"/>
      <c r="BM132"/>
    </row>
    <row r="133" spans="35:65" ht="12.75" customHeight="1">
      <c r="AI133" s="360"/>
      <c r="AJ133" s="969" t="s">
        <v>234</v>
      </c>
      <c r="AK133" s="969"/>
      <c r="AL133" s="969"/>
      <c r="AM133" s="672">
        <v>8.3000000000000007</v>
      </c>
      <c r="AN133" s="672">
        <f>VLOOKUP($AN$5,'Lookup Vibration'!$B$8:$F$208,3)</f>
        <v>18.049999999999951</v>
      </c>
      <c r="AO133" s="672">
        <f>VLOOKUP($AN$5,'Lookup Vibration'!$B$8:$F$208,4)</f>
        <v>19.950000000000074</v>
      </c>
      <c r="AP133" s="672">
        <f>VLOOKUP($AN$5,'Lookup Vibration'!$B$8:$F$208,2)</f>
        <v>18.049999999999951</v>
      </c>
      <c r="AQ133" s="361"/>
      <c r="AR133" s="364"/>
      <c r="AS133" s="367"/>
      <c r="AT133"/>
      <c r="AU133"/>
      <c r="AV133"/>
      <c r="AW133"/>
      <c r="AX133"/>
      <c r="AY133"/>
      <c r="AZ133"/>
      <c r="BA133"/>
      <c r="BB133"/>
      <c r="BC133"/>
      <c r="BD133"/>
      <c r="BE133"/>
      <c r="BF133"/>
      <c r="BG133"/>
      <c r="BH133"/>
      <c r="BI133"/>
      <c r="BJ133"/>
      <c r="BK133"/>
      <c r="BL133"/>
      <c r="BM133"/>
    </row>
    <row r="134" spans="35:65" ht="12.75" customHeight="1">
      <c r="AI134" s="360"/>
      <c r="AJ134" s="363"/>
      <c r="AK134" s="363"/>
      <c r="AL134" s="363"/>
      <c r="AM134" s="363"/>
      <c r="AN134" s="363"/>
      <c r="AO134" s="363"/>
      <c r="AP134" s="363"/>
      <c r="AQ134" s="363"/>
      <c r="AR134" s="364"/>
      <c r="AS134" s="367"/>
      <c r="AT134"/>
      <c r="AU134"/>
      <c r="AV134"/>
      <c r="AW134"/>
      <c r="AX134"/>
      <c r="AY134"/>
      <c r="AZ134"/>
      <c r="BA134"/>
      <c r="BB134"/>
      <c r="BC134"/>
      <c r="BD134"/>
      <c r="BE134"/>
      <c r="BF134"/>
      <c r="BG134"/>
      <c r="BH134"/>
      <c r="BI134"/>
      <c r="BJ134"/>
      <c r="BK134"/>
      <c r="BL134"/>
      <c r="BM134"/>
    </row>
    <row r="135" spans="35:65" ht="12.75" customHeight="1">
      <c r="AI135" s="546" t="s">
        <v>235</v>
      </c>
      <c r="AJ135" s="952" t="s">
        <v>34</v>
      </c>
      <c r="AK135" s="952"/>
      <c r="AL135" s="952"/>
      <c r="AM135" s="952"/>
      <c r="AN135" s="952"/>
      <c r="AO135" s="952"/>
      <c r="AP135" s="952"/>
      <c r="AQ135" s="952"/>
      <c r="AR135" s="360"/>
      <c r="AS135" s="367"/>
      <c r="AT135"/>
      <c r="AU135"/>
      <c r="AV135"/>
      <c r="AW135"/>
      <c r="AX135"/>
      <c r="AY135"/>
      <c r="AZ135"/>
      <c r="BA135"/>
      <c r="BB135"/>
      <c r="BC135"/>
      <c r="BD135"/>
      <c r="BE135"/>
      <c r="BF135"/>
      <c r="BG135"/>
      <c r="BH135"/>
      <c r="BI135"/>
      <c r="BJ135"/>
      <c r="BK135"/>
      <c r="BL135"/>
      <c r="BM135"/>
    </row>
    <row r="136" spans="35:65" ht="12.75" customHeight="1">
      <c r="AI136" s="546"/>
      <c r="AJ136" s="363"/>
      <c r="AK136" s="363"/>
      <c r="AL136" s="363"/>
      <c r="AM136" s="363"/>
      <c r="AN136" s="363"/>
      <c r="AO136" s="363"/>
      <c r="AP136" s="363"/>
      <c r="AQ136" s="363"/>
      <c r="AR136" s="364"/>
      <c r="AS136" s="367"/>
      <c r="AT136"/>
      <c r="AU136"/>
      <c r="AV136"/>
      <c r="AW136"/>
      <c r="AX136"/>
      <c r="AY136"/>
      <c r="AZ136"/>
      <c r="BA136"/>
      <c r="BB136"/>
      <c r="BC136"/>
      <c r="BD136"/>
      <c r="BE136"/>
      <c r="BF136"/>
      <c r="BG136"/>
      <c r="BH136"/>
      <c r="BI136"/>
      <c r="BJ136"/>
      <c r="BK136"/>
      <c r="BL136"/>
      <c r="BM136"/>
    </row>
    <row r="137" spans="35:65" ht="12.75" customHeight="1">
      <c r="AI137" s="360"/>
      <c r="AJ137" s="998" t="s">
        <v>678</v>
      </c>
      <c r="AK137" s="999"/>
      <c r="AL137" s="1000"/>
      <c r="AM137" s="949" t="s">
        <v>500</v>
      </c>
      <c r="AN137" s="938" t="s">
        <v>22</v>
      </c>
      <c r="AO137" s="940" t="s">
        <v>579</v>
      </c>
      <c r="AP137" s="942" t="s">
        <v>21</v>
      </c>
      <c r="AQ137" s="361"/>
      <c r="AR137" s="364"/>
      <c r="AS137" s="367"/>
      <c r="AT137"/>
      <c r="AU137"/>
      <c r="AV137"/>
      <c r="AW137"/>
      <c r="AX137"/>
      <c r="AY137"/>
      <c r="AZ137"/>
      <c r="BA137"/>
      <c r="BB137"/>
      <c r="BC137"/>
      <c r="BD137"/>
      <c r="BE137"/>
      <c r="BF137"/>
      <c r="BG137"/>
      <c r="BH137"/>
      <c r="BI137"/>
      <c r="BJ137"/>
      <c r="BK137"/>
      <c r="BL137"/>
      <c r="BM137"/>
    </row>
    <row r="138" spans="35:65" ht="12.75" customHeight="1">
      <c r="AI138" s="360"/>
      <c r="AJ138" s="1001"/>
      <c r="AK138" s="1002"/>
      <c r="AL138" s="1003"/>
      <c r="AM138" s="950"/>
      <c r="AN138" s="939"/>
      <c r="AO138" s="941"/>
      <c r="AP138" s="943"/>
      <c r="AQ138" s="361"/>
      <c r="AR138" s="364"/>
      <c r="AS138" s="367"/>
      <c r="AT138"/>
      <c r="AU138"/>
      <c r="AV138"/>
      <c r="AW138"/>
      <c r="AX138"/>
      <c r="AY138"/>
      <c r="AZ138"/>
      <c r="BA138"/>
      <c r="BB138"/>
      <c r="BC138"/>
      <c r="BD138"/>
      <c r="BE138"/>
      <c r="BF138"/>
      <c r="BG138"/>
      <c r="BH138"/>
      <c r="BI138"/>
      <c r="BJ138"/>
      <c r="BK138"/>
      <c r="BL138"/>
      <c r="BM138"/>
    </row>
    <row r="139" spans="35:65" ht="12.75" customHeight="1">
      <c r="AI139" s="360"/>
      <c r="AJ139" s="1004" t="s">
        <v>298</v>
      </c>
      <c r="AK139" s="1004"/>
      <c r="AL139" s="1004"/>
      <c r="AM139" s="673" t="s">
        <v>819</v>
      </c>
      <c r="AN139" s="673" t="s">
        <v>818</v>
      </c>
      <c r="AO139" s="673" t="s">
        <v>819</v>
      </c>
      <c r="AP139" s="673" t="s">
        <v>818</v>
      </c>
      <c r="AQ139" s="361"/>
      <c r="AR139" s="364"/>
      <c r="AS139" s="367"/>
      <c r="AT139"/>
      <c r="AU139"/>
      <c r="AV139"/>
      <c r="AW139"/>
      <c r="AX139"/>
      <c r="AY139"/>
      <c r="AZ139"/>
      <c r="BA139"/>
      <c r="BB139"/>
      <c r="BC139"/>
      <c r="BD139"/>
      <c r="BE139"/>
      <c r="BF139"/>
      <c r="BG139"/>
      <c r="BH139"/>
      <c r="BI139"/>
      <c r="BJ139"/>
      <c r="BK139"/>
      <c r="BL139"/>
      <c r="BM139"/>
    </row>
    <row r="140" spans="35:65" ht="12.75" customHeight="1">
      <c r="AI140" s="360"/>
      <c r="AJ140" s="931" t="s">
        <v>299</v>
      </c>
      <c r="AK140" s="931"/>
      <c r="AL140" s="931"/>
      <c r="AM140" s="673" t="s">
        <v>297</v>
      </c>
      <c r="AN140" s="673" t="s">
        <v>296</v>
      </c>
      <c r="AO140" s="673" t="s">
        <v>296</v>
      </c>
      <c r="AP140" s="673" t="s">
        <v>296</v>
      </c>
      <c r="AQ140" s="361"/>
      <c r="AR140" s="364"/>
      <c r="AS140" s="367"/>
      <c r="AT140"/>
      <c r="AU140"/>
      <c r="AV140"/>
      <c r="AW140"/>
      <c r="AX140"/>
      <c r="AY140"/>
      <c r="AZ140"/>
      <c r="BA140"/>
      <c r="BB140"/>
      <c r="BC140"/>
      <c r="BD140"/>
      <c r="BE140"/>
      <c r="BF140"/>
      <c r="BG140"/>
      <c r="BH140"/>
      <c r="BI140"/>
      <c r="BJ140"/>
      <c r="BK140"/>
      <c r="BL140"/>
      <c r="BM140"/>
    </row>
    <row r="141" spans="35:65" ht="12.75" customHeight="1">
      <c r="AI141" s="360"/>
      <c r="AJ141" s="363"/>
      <c r="AK141" s="363"/>
      <c r="AL141" s="363"/>
      <c r="AM141" s="363"/>
      <c r="AN141" s="363"/>
      <c r="AO141" s="363"/>
      <c r="AP141" s="363"/>
      <c r="AQ141" s="363"/>
      <c r="AR141" s="363"/>
      <c r="AS141" s="367"/>
      <c r="AT141"/>
      <c r="AU141"/>
      <c r="AV141"/>
      <c r="AW141"/>
      <c r="AX141"/>
      <c r="AY141"/>
      <c r="AZ141"/>
      <c r="BA141"/>
      <c r="BB141"/>
      <c r="BC141"/>
      <c r="BD141"/>
      <c r="BE141"/>
      <c r="BF141"/>
      <c r="BG141"/>
      <c r="BH141"/>
      <c r="BI141"/>
      <c r="BJ141"/>
      <c r="BK141"/>
      <c r="BL141"/>
      <c r="BM141"/>
    </row>
    <row r="142" spans="35:65" ht="12.75" customHeight="1">
      <c r="AI142" s="546" t="s">
        <v>236</v>
      </c>
      <c r="AJ142" s="952" t="s">
        <v>237</v>
      </c>
      <c r="AK142" s="952"/>
      <c r="AL142" s="952"/>
      <c r="AM142" s="952"/>
      <c r="AN142" s="952"/>
      <c r="AO142" s="952"/>
      <c r="AP142" s="952"/>
      <c r="AQ142" s="952"/>
      <c r="AR142" s="360"/>
      <c r="AS142" s="367"/>
      <c r="AT142"/>
      <c r="AU142"/>
      <c r="AV142"/>
      <c r="AW142"/>
      <c r="AX142"/>
      <c r="AY142"/>
      <c r="AZ142"/>
      <c r="BA142"/>
      <c r="BB142"/>
      <c r="BC142"/>
      <c r="BD142"/>
      <c r="BE142"/>
      <c r="BF142"/>
      <c r="BG142"/>
      <c r="BH142"/>
      <c r="BI142"/>
      <c r="BJ142"/>
      <c r="BK142"/>
      <c r="BL142"/>
      <c r="BM142"/>
    </row>
    <row r="143" spans="35:65" ht="12.75" customHeight="1">
      <c r="AI143" s="360"/>
      <c r="AJ143" s="363"/>
      <c r="AK143" s="363"/>
      <c r="AL143" s="363"/>
      <c r="AM143" s="363"/>
      <c r="AN143" s="363"/>
      <c r="AO143" s="363"/>
      <c r="AP143" s="363"/>
      <c r="AQ143" s="363"/>
      <c r="AR143" s="363"/>
      <c r="AS143" s="367"/>
      <c r="AT143"/>
      <c r="AU143"/>
      <c r="AV143"/>
      <c r="AW143"/>
      <c r="AX143"/>
      <c r="AY143"/>
      <c r="AZ143"/>
      <c r="BA143"/>
      <c r="BB143"/>
      <c r="BC143"/>
      <c r="BD143"/>
      <c r="BE143"/>
      <c r="BF143"/>
      <c r="BG143"/>
      <c r="BH143"/>
      <c r="BI143"/>
      <c r="BJ143"/>
      <c r="BK143"/>
      <c r="BL143"/>
      <c r="BM143"/>
    </row>
    <row r="144" spans="35:65" ht="12.75" customHeight="1">
      <c r="AI144" s="668" t="s">
        <v>238</v>
      </c>
      <c r="AJ144" s="364" t="s">
        <v>239</v>
      </c>
      <c r="AK144" s="364"/>
      <c r="AL144" s="364"/>
      <c r="AM144" s="364"/>
      <c r="AN144" s="364"/>
      <c r="AO144" s="364"/>
      <c r="AP144" s="364"/>
      <c r="AQ144" s="364"/>
      <c r="AR144" s="364"/>
      <c r="AS144" s="367"/>
      <c r="AT144"/>
      <c r="AU144"/>
      <c r="AV144"/>
      <c r="AW144"/>
      <c r="AX144"/>
      <c r="AY144"/>
      <c r="AZ144"/>
      <c r="BA144"/>
      <c r="BB144"/>
      <c r="BC144"/>
      <c r="BD144"/>
      <c r="BE144"/>
      <c r="BF144"/>
      <c r="BG144"/>
      <c r="BH144"/>
      <c r="BI144"/>
      <c r="BJ144"/>
      <c r="BK144"/>
      <c r="BL144"/>
      <c r="BM144"/>
    </row>
    <row r="145" spans="35:65" ht="12.75" customHeight="1">
      <c r="AI145" s="668"/>
      <c r="AJ145" s="364" t="s">
        <v>469</v>
      </c>
      <c r="AK145" s="364"/>
      <c r="AL145" s="364"/>
      <c r="AM145" s="364"/>
      <c r="AN145" s="364"/>
      <c r="AO145" s="364"/>
      <c r="AP145" s="364"/>
      <c r="AQ145" s="364"/>
      <c r="AR145" s="364"/>
      <c r="AS145" s="367"/>
      <c r="AT145"/>
      <c r="AU145"/>
      <c r="AV145"/>
      <c r="AW145"/>
      <c r="AX145"/>
      <c r="AY145"/>
      <c r="AZ145"/>
      <c r="BA145"/>
      <c r="BB145"/>
      <c r="BC145"/>
      <c r="BD145"/>
      <c r="BE145"/>
      <c r="BF145"/>
      <c r="BG145"/>
      <c r="BH145"/>
      <c r="BI145"/>
      <c r="BJ145"/>
      <c r="BK145"/>
      <c r="BL145"/>
      <c r="BM145"/>
    </row>
    <row r="146" spans="35:65" ht="12.75" customHeight="1">
      <c r="AI146" s="668"/>
      <c r="AJ146" s="364"/>
      <c r="AK146" s="364"/>
      <c r="AL146" s="364"/>
      <c r="AM146" s="364"/>
      <c r="AN146" s="364"/>
      <c r="AO146" s="364"/>
      <c r="AP146" s="364"/>
      <c r="AQ146" s="364"/>
      <c r="AR146" s="364"/>
      <c r="AS146" s="367"/>
      <c r="AT146"/>
      <c r="AU146"/>
      <c r="AV146"/>
      <c r="AW146"/>
      <c r="AX146"/>
      <c r="AY146"/>
      <c r="AZ146"/>
      <c r="BA146"/>
      <c r="BB146"/>
      <c r="BC146"/>
      <c r="BD146"/>
      <c r="BE146"/>
      <c r="BF146"/>
      <c r="BG146"/>
      <c r="BH146"/>
      <c r="BI146"/>
      <c r="BJ146"/>
      <c r="BK146"/>
      <c r="BL146"/>
      <c r="BM146"/>
    </row>
    <row r="147" spans="35:65" ht="12.75" customHeight="1">
      <c r="AI147" s="668"/>
      <c r="AJ147" s="1005" t="s">
        <v>734</v>
      </c>
      <c r="AK147" s="1006"/>
      <c r="AL147" s="1006"/>
      <c r="AM147" s="1006"/>
      <c r="AN147" s="1006"/>
      <c r="AO147" s="1007"/>
      <c r="AP147" s="351">
        <f>'Compressor Input Data'!G5</f>
        <v>22800</v>
      </c>
      <c r="AQ147" s="364"/>
      <c r="AR147" s="364"/>
      <c r="AS147" s="367"/>
      <c r="AT147"/>
      <c r="AU147"/>
      <c r="AV147"/>
      <c r="AW147"/>
      <c r="AX147"/>
      <c r="AY147"/>
      <c r="AZ147"/>
      <c r="BA147"/>
      <c r="BB147"/>
      <c r="BC147"/>
      <c r="BD147"/>
      <c r="BE147"/>
      <c r="BF147"/>
      <c r="BG147"/>
      <c r="BH147"/>
      <c r="BI147"/>
      <c r="BJ147"/>
      <c r="BK147"/>
      <c r="BL147"/>
      <c r="BM147"/>
    </row>
    <row r="148" spans="35:65" ht="12.75" customHeight="1">
      <c r="AI148" s="668"/>
      <c r="AJ148" s="990" t="s">
        <v>430</v>
      </c>
      <c r="AK148" s="991"/>
      <c r="AL148" s="992"/>
      <c r="AM148" s="949" t="s">
        <v>500</v>
      </c>
      <c r="AN148" s="938" t="s">
        <v>22</v>
      </c>
      <c r="AO148" s="940" t="s">
        <v>579</v>
      </c>
      <c r="AP148" s="942" t="s">
        <v>21</v>
      </c>
      <c r="AQ148" s="361"/>
      <c r="AR148" s="364"/>
      <c r="AS148" s="367"/>
      <c r="AT148"/>
      <c r="AU148"/>
      <c r="AV148"/>
      <c r="AW148"/>
      <c r="AX148"/>
      <c r="AY148"/>
      <c r="AZ148"/>
      <c r="BA148"/>
      <c r="BB148"/>
      <c r="BC148"/>
      <c r="BD148"/>
      <c r="BE148"/>
      <c r="BF148"/>
      <c r="BG148"/>
      <c r="BH148"/>
      <c r="BI148"/>
      <c r="BJ148"/>
      <c r="BK148"/>
      <c r="BL148"/>
      <c r="BM148"/>
    </row>
    <row r="149" spans="35:65" ht="12.75" customHeight="1">
      <c r="AI149" s="668"/>
      <c r="AJ149" s="993"/>
      <c r="AK149" s="994"/>
      <c r="AL149" s="995"/>
      <c r="AM149" s="950"/>
      <c r="AN149" s="939"/>
      <c r="AO149" s="941"/>
      <c r="AP149" s="943"/>
      <c r="AQ149" s="361"/>
      <c r="AR149" s="364"/>
      <c r="AS149" s="367"/>
      <c r="AT149"/>
      <c r="AU149"/>
      <c r="AV149"/>
      <c r="AW149"/>
      <c r="AX149"/>
      <c r="AY149"/>
      <c r="AZ149"/>
      <c r="BA149"/>
      <c r="BB149"/>
      <c r="BC149"/>
      <c r="BD149"/>
      <c r="BE149"/>
      <c r="BF149"/>
      <c r="BG149"/>
      <c r="BH149"/>
      <c r="BI149"/>
      <c r="BJ149"/>
      <c r="BK149"/>
      <c r="BL149"/>
      <c r="BM149"/>
    </row>
    <row r="150" spans="35:65" ht="12.75" customHeight="1">
      <c r="AI150" s="668"/>
      <c r="AJ150" s="973" t="s">
        <v>555</v>
      </c>
      <c r="AK150" s="973"/>
      <c r="AL150" s="973"/>
      <c r="AM150" s="996"/>
      <c r="AN150" s="544">
        <f>AP150</f>
        <v>22800</v>
      </c>
      <c r="AO150" s="544">
        <f>AP150</f>
        <v>22800</v>
      </c>
      <c r="AP150" s="544">
        <f>AP147</f>
        <v>22800</v>
      </c>
      <c r="AQ150" s="361"/>
      <c r="AR150" s="364"/>
      <c r="AS150" s="367"/>
      <c r="AT150"/>
      <c r="AU150"/>
      <c r="AV150"/>
      <c r="AW150"/>
      <c r="AX150"/>
      <c r="AY150"/>
      <c r="AZ150"/>
      <c r="BA150"/>
      <c r="BB150"/>
      <c r="BC150"/>
      <c r="BD150"/>
      <c r="BE150"/>
      <c r="BF150"/>
      <c r="BG150"/>
      <c r="BH150"/>
      <c r="BI150"/>
      <c r="BJ150"/>
      <c r="BK150"/>
      <c r="BL150"/>
      <c r="BM150"/>
    </row>
    <row r="151" spans="35:65" ht="12.75" customHeight="1">
      <c r="AI151" s="668"/>
      <c r="AJ151" s="973" t="s">
        <v>549</v>
      </c>
      <c r="AK151" s="973"/>
      <c r="AL151" s="973"/>
      <c r="AM151" s="997"/>
      <c r="AN151" s="544">
        <f>AP151</f>
        <v>24</v>
      </c>
      <c r="AO151" s="544">
        <f>AN151</f>
        <v>24</v>
      </c>
      <c r="AP151" s="544">
        <f>'Compressor Input Data'!J15</f>
        <v>24</v>
      </c>
      <c r="AQ151" s="361"/>
      <c r="AR151" s="364"/>
      <c r="AS151" s="367"/>
      <c r="AT151"/>
      <c r="AU151"/>
      <c r="AV151"/>
      <c r="AW151"/>
      <c r="AX151"/>
      <c r="AY151"/>
      <c r="AZ151"/>
      <c r="BA151"/>
      <c r="BB151"/>
      <c r="BC151"/>
      <c r="BD151"/>
      <c r="BE151"/>
      <c r="BF151"/>
      <c r="BG151"/>
      <c r="BH151"/>
      <c r="BI151"/>
      <c r="BJ151"/>
      <c r="BK151"/>
      <c r="BL151"/>
      <c r="BM151"/>
    </row>
    <row r="152" spans="35:65" ht="12.75" customHeight="1">
      <c r="AI152" s="668"/>
      <c r="AJ152" s="970" t="s">
        <v>556</v>
      </c>
      <c r="AK152" s="971"/>
      <c r="AL152" s="972"/>
      <c r="AM152" s="566">
        <f>AM67</f>
        <v>2.6666666666666665</v>
      </c>
      <c r="AN152" s="566">
        <f>AN67</f>
        <v>1.9999999999999996</v>
      </c>
      <c r="AO152" s="566">
        <f>AO67</f>
        <v>1.7391304347826084</v>
      </c>
      <c r="AP152" s="566">
        <f>AP67</f>
        <v>1.4285714285714284</v>
      </c>
      <c r="AQ152" s="361"/>
      <c r="AR152" s="364"/>
      <c r="AS152" s="367"/>
      <c r="AT152"/>
      <c r="AU152"/>
      <c r="AV152"/>
      <c r="AW152"/>
      <c r="AX152"/>
      <c r="AY152"/>
      <c r="AZ152"/>
      <c r="BA152"/>
      <c r="BB152"/>
      <c r="BC152"/>
      <c r="BD152"/>
      <c r="BE152"/>
      <c r="BF152"/>
      <c r="BG152"/>
      <c r="BH152"/>
      <c r="BI152"/>
      <c r="BJ152"/>
      <c r="BK152"/>
      <c r="BL152"/>
      <c r="BM152"/>
    </row>
    <row r="153" spans="35:65" ht="12.75" customHeight="1">
      <c r="AI153" s="668"/>
      <c r="AJ153" s="973" t="s">
        <v>575</v>
      </c>
      <c r="AK153" s="973"/>
      <c r="AL153" s="973"/>
      <c r="AM153" s="531">
        <f>AO153</f>
        <v>0.22500000000000001</v>
      </c>
      <c r="AN153" s="531">
        <f>AP153</f>
        <v>0.22500000000000001</v>
      </c>
      <c r="AO153" s="531">
        <f>AN153</f>
        <v>0.22500000000000001</v>
      </c>
      <c r="AP153" s="531">
        <f>'Compressor Input Data'!J17</f>
        <v>0.22500000000000001</v>
      </c>
      <c r="AQ153" s="361"/>
      <c r="AR153" s="364"/>
      <c r="AS153" s="367"/>
      <c r="AT153"/>
      <c r="AU153"/>
      <c r="AV153"/>
      <c r="AW153"/>
      <c r="AX153"/>
      <c r="AY153"/>
      <c r="AZ153"/>
      <c r="BA153"/>
      <c r="BB153"/>
      <c r="BC153"/>
      <c r="BD153"/>
      <c r="BE153"/>
      <c r="BF153"/>
      <c r="BG153"/>
      <c r="BH153"/>
      <c r="BI153"/>
      <c r="BJ153"/>
      <c r="BK153"/>
      <c r="BL153"/>
      <c r="BM153"/>
    </row>
    <row r="154" spans="35:65" ht="12.75" customHeight="1">
      <c r="AI154" s="668"/>
      <c r="AJ154" s="987"/>
      <c r="AK154" s="988"/>
      <c r="AL154" s="988"/>
      <c r="AM154" s="988"/>
      <c r="AN154" s="988"/>
      <c r="AO154" s="988"/>
      <c r="AP154" s="989"/>
      <c r="AQ154" s="364"/>
      <c r="AR154" s="364"/>
      <c r="AS154" s="367"/>
      <c r="AT154"/>
      <c r="AU154"/>
      <c r="AV154"/>
      <c r="AW154"/>
      <c r="AX154"/>
      <c r="AY154"/>
      <c r="AZ154"/>
      <c r="BA154"/>
      <c r="BB154"/>
      <c r="BC154"/>
      <c r="BD154"/>
      <c r="BE154"/>
      <c r="BF154"/>
      <c r="BG154"/>
      <c r="BH154"/>
      <c r="BI154"/>
      <c r="BJ154"/>
      <c r="BK154"/>
      <c r="BL154"/>
      <c r="BM154"/>
    </row>
    <row r="155" spans="35:65" ht="12.75" customHeight="1">
      <c r="AI155" s="668"/>
      <c r="AJ155" s="990" t="s">
        <v>467</v>
      </c>
      <c r="AK155" s="991"/>
      <c r="AL155" s="992"/>
      <c r="AM155" s="949" t="s">
        <v>500</v>
      </c>
      <c r="AN155" s="938" t="s">
        <v>22</v>
      </c>
      <c r="AO155" s="940" t="s">
        <v>579</v>
      </c>
      <c r="AP155" s="942" t="s">
        <v>21</v>
      </c>
      <c r="AQ155" s="361"/>
      <c r="AR155" s="364"/>
      <c r="AS155" s="367"/>
      <c r="AT155"/>
      <c r="AU155"/>
      <c r="AV155"/>
      <c r="AW155"/>
      <c r="AX155"/>
      <c r="AY155"/>
      <c r="AZ155"/>
      <c r="BA155"/>
      <c r="BB155"/>
      <c r="BC155"/>
      <c r="BD155"/>
      <c r="BE155"/>
      <c r="BF155"/>
      <c r="BG155"/>
      <c r="BH155"/>
      <c r="BI155"/>
      <c r="BJ155"/>
      <c r="BK155"/>
      <c r="BL155"/>
      <c r="BM155"/>
    </row>
    <row r="156" spans="35:65" ht="12.75" customHeight="1">
      <c r="AI156" s="668"/>
      <c r="AJ156" s="993"/>
      <c r="AK156" s="994"/>
      <c r="AL156" s="995"/>
      <c r="AM156" s="950"/>
      <c r="AN156" s="939"/>
      <c r="AO156" s="941"/>
      <c r="AP156" s="943"/>
      <c r="AQ156" s="361"/>
      <c r="AR156" s="364"/>
      <c r="AS156" s="367"/>
      <c r="AT156"/>
      <c r="AU156"/>
      <c r="AV156"/>
      <c r="AW156"/>
      <c r="AX156"/>
      <c r="AY156"/>
      <c r="AZ156"/>
      <c r="BA156"/>
      <c r="BB156"/>
      <c r="BC156"/>
      <c r="BD156"/>
      <c r="BE156"/>
      <c r="BF156"/>
      <c r="BG156"/>
      <c r="BH156"/>
      <c r="BI156"/>
      <c r="BJ156"/>
      <c r="BK156"/>
      <c r="BL156"/>
      <c r="BM156"/>
    </row>
    <row r="157" spans="35:65" ht="12.75" customHeight="1">
      <c r="AI157" s="668"/>
      <c r="AJ157" s="973" t="s">
        <v>554</v>
      </c>
      <c r="AK157" s="973"/>
      <c r="AL157" s="973"/>
      <c r="AM157" s="986"/>
      <c r="AN157" s="569">
        <f>AP157</f>
        <v>1</v>
      </c>
      <c r="AO157" s="570">
        <f>AN157</f>
        <v>1</v>
      </c>
      <c r="AP157" s="570">
        <f>'Compressor Input Data'!J20</f>
        <v>1</v>
      </c>
      <c r="AQ157" s="361"/>
      <c r="AR157" s="364"/>
      <c r="AS157" s="367"/>
      <c r="AT157"/>
      <c r="AU157"/>
      <c r="AV157"/>
      <c r="AW157"/>
      <c r="AX157"/>
      <c r="AY157"/>
      <c r="AZ157"/>
      <c r="BA157"/>
      <c r="BB157"/>
      <c r="BC157"/>
      <c r="BD157"/>
      <c r="BE157"/>
      <c r="BF157"/>
      <c r="BG157"/>
      <c r="BH157"/>
      <c r="BI157"/>
      <c r="BJ157"/>
      <c r="BK157"/>
      <c r="BL157"/>
      <c r="BM157"/>
    </row>
    <row r="158" spans="35:65" ht="12.75" customHeight="1">
      <c r="AI158" s="668"/>
      <c r="AJ158" s="983" t="s">
        <v>551</v>
      </c>
      <c r="AK158" s="984"/>
      <c r="AL158" s="985"/>
      <c r="AM158" s="986"/>
      <c r="AN158" s="571">
        <f>AN152/AN151</f>
        <v>8.3333333333333315E-2</v>
      </c>
      <c r="AO158" s="571">
        <f>AO152/AO151</f>
        <v>7.2463768115942018E-2</v>
      </c>
      <c r="AP158" s="571">
        <f>AP152/AP151</f>
        <v>5.9523809523809514E-2</v>
      </c>
      <c r="AQ158" s="361"/>
      <c r="AR158" s="364"/>
      <c r="AS158" s="367"/>
      <c r="AT158"/>
      <c r="AU158"/>
      <c r="AV158"/>
      <c r="AW158"/>
      <c r="AX158"/>
      <c r="AY158"/>
      <c r="AZ158"/>
      <c r="BA158"/>
      <c r="BB158"/>
      <c r="BC158"/>
      <c r="BD158"/>
      <c r="BE158"/>
      <c r="BF158"/>
      <c r="BG158"/>
      <c r="BH158"/>
      <c r="BI158"/>
      <c r="BJ158"/>
      <c r="BK158"/>
      <c r="BL158"/>
      <c r="BM158"/>
    </row>
    <row r="159" spans="35:65" ht="12.75" customHeight="1">
      <c r="AI159" s="668"/>
      <c r="AJ159" s="973" t="s">
        <v>552</v>
      </c>
      <c r="AK159" s="973"/>
      <c r="AL159" s="973"/>
      <c r="AM159" s="986"/>
      <c r="AN159" s="572">
        <f>AP159</f>
        <v>0.6</v>
      </c>
      <c r="AO159" s="572">
        <f>AN159</f>
        <v>0.6</v>
      </c>
      <c r="AP159" s="572">
        <f>'Compressor Input Data'!J22</f>
        <v>0.6</v>
      </c>
      <c r="AQ159" s="361"/>
      <c r="AR159" s="364"/>
      <c r="AS159" s="367"/>
      <c r="AT159"/>
      <c r="AU159"/>
      <c r="AV159"/>
      <c r="AW159"/>
      <c r="AX159"/>
      <c r="AY159"/>
      <c r="AZ159"/>
      <c r="BA159"/>
      <c r="BB159"/>
      <c r="BC159"/>
      <c r="BD159"/>
      <c r="BE159"/>
      <c r="BF159"/>
      <c r="BG159"/>
      <c r="BH159"/>
      <c r="BI159"/>
      <c r="BJ159"/>
      <c r="BK159"/>
      <c r="BL159"/>
      <c r="BM159"/>
    </row>
    <row r="160" spans="35:65" ht="12.75" customHeight="1">
      <c r="AI160" s="668"/>
      <c r="AJ160" s="987"/>
      <c r="AK160" s="988"/>
      <c r="AL160" s="988"/>
      <c r="AM160" s="988"/>
      <c r="AN160" s="988"/>
      <c r="AO160" s="988"/>
      <c r="AP160" s="989"/>
      <c r="AQ160" s="364"/>
      <c r="AR160" s="364"/>
      <c r="AS160" s="367"/>
      <c r="AT160"/>
      <c r="AU160"/>
      <c r="AV160"/>
      <c r="AW160"/>
      <c r="AX160"/>
      <c r="AY160"/>
      <c r="AZ160"/>
      <c r="BA160"/>
      <c r="BB160"/>
      <c r="BC160"/>
      <c r="BD160"/>
      <c r="BE160"/>
      <c r="BF160"/>
      <c r="BG160"/>
      <c r="BH160"/>
      <c r="BI160"/>
      <c r="BJ160"/>
      <c r="BK160"/>
      <c r="BL160"/>
      <c r="BM160"/>
    </row>
    <row r="161" spans="35:65" ht="12.75" customHeight="1">
      <c r="AI161" s="668"/>
      <c r="AJ161" s="990" t="s">
        <v>468</v>
      </c>
      <c r="AK161" s="991"/>
      <c r="AL161" s="992"/>
      <c r="AM161" s="949" t="s">
        <v>500</v>
      </c>
      <c r="AN161" s="938" t="s">
        <v>22</v>
      </c>
      <c r="AO161" s="940" t="s">
        <v>579</v>
      </c>
      <c r="AP161" s="942" t="s">
        <v>21</v>
      </c>
      <c r="AQ161" s="361"/>
      <c r="AR161" s="364"/>
      <c r="AS161" s="367"/>
      <c r="AT161"/>
      <c r="AU161"/>
      <c r="AV161"/>
      <c r="AW161"/>
      <c r="AX161"/>
      <c r="AY161"/>
      <c r="AZ161"/>
      <c r="BA161"/>
      <c r="BB161"/>
      <c r="BC161"/>
      <c r="BD161"/>
      <c r="BE161"/>
      <c r="BF161"/>
      <c r="BG161"/>
      <c r="BH161"/>
      <c r="BI161"/>
      <c r="BJ161"/>
      <c r="BK161"/>
      <c r="BL161"/>
      <c r="BM161"/>
    </row>
    <row r="162" spans="35:65" ht="12.75" customHeight="1">
      <c r="AI162" s="668"/>
      <c r="AJ162" s="993"/>
      <c r="AK162" s="994"/>
      <c r="AL162" s="995"/>
      <c r="AM162" s="950"/>
      <c r="AN162" s="939"/>
      <c r="AO162" s="941"/>
      <c r="AP162" s="943"/>
      <c r="AQ162" s="361"/>
      <c r="AR162" s="364"/>
      <c r="AS162" s="367"/>
      <c r="AT162"/>
      <c r="AU162"/>
      <c r="AV162"/>
      <c r="AW162"/>
      <c r="AX162"/>
      <c r="AY162"/>
      <c r="AZ162"/>
      <c r="BA162"/>
      <c r="BB162"/>
      <c r="BC162"/>
      <c r="BD162"/>
      <c r="BE162"/>
      <c r="BF162"/>
      <c r="BG162"/>
      <c r="BH162"/>
      <c r="BI162"/>
      <c r="BJ162"/>
      <c r="BK162"/>
      <c r="BL162"/>
      <c r="BM162"/>
    </row>
    <row r="163" spans="35:65" ht="12.75" customHeight="1">
      <c r="AI163" s="668"/>
      <c r="AJ163" s="973" t="s">
        <v>554</v>
      </c>
      <c r="AK163" s="973"/>
      <c r="AL163" s="973"/>
      <c r="AM163" s="980"/>
      <c r="AN163" s="572">
        <f>AP163</f>
        <v>0.5</v>
      </c>
      <c r="AO163" s="572">
        <f>AN163</f>
        <v>0.5</v>
      </c>
      <c r="AP163" s="572">
        <f>'Compressor Input Data'!J25</f>
        <v>0.5</v>
      </c>
      <c r="AQ163" s="361"/>
      <c r="AR163" s="364"/>
      <c r="AS163" s="367"/>
      <c r="AT163"/>
      <c r="AU163"/>
      <c r="AV163"/>
      <c r="AW163"/>
      <c r="AX163"/>
      <c r="AY163"/>
      <c r="AZ163"/>
      <c r="BA163"/>
      <c r="BB163"/>
      <c r="BC163"/>
      <c r="BD163"/>
      <c r="BE163"/>
      <c r="BF163"/>
      <c r="BG163"/>
      <c r="BH163"/>
      <c r="BI163"/>
      <c r="BJ163"/>
      <c r="BK163"/>
      <c r="BL163"/>
      <c r="BM163"/>
    </row>
    <row r="164" spans="35:65" ht="12.75" customHeight="1">
      <c r="AI164" s="668"/>
      <c r="AJ164" s="983" t="s">
        <v>551</v>
      </c>
      <c r="AK164" s="984"/>
      <c r="AL164" s="985"/>
      <c r="AM164" s="981"/>
      <c r="AN164" s="572">
        <f>AN157-AN158</f>
        <v>0.91666666666666674</v>
      </c>
      <c r="AO164" s="572">
        <f>AO157-AO158</f>
        <v>0.92753623188405798</v>
      </c>
      <c r="AP164" s="572">
        <f>AP157-AP158</f>
        <v>0.94047619047619047</v>
      </c>
      <c r="AQ164" s="361"/>
      <c r="AR164" s="364"/>
      <c r="AS164" s="367"/>
      <c r="AT164"/>
      <c r="AU164"/>
      <c r="AV164"/>
      <c r="AW164"/>
      <c r="AX164"/>
      <c r="AY164"/>
      <c r="AZ164"/>
      <c r="BA164"/>
      <c r="BB164"/>
      <c r="BC164"/>
      <c r="BD164"/>
      <c r="BE164"/>
      <c r="BF164"/>
      <c r="BG164"/>
      <c r="BH164"/>
      <c r="BI164"/>
      <c r="BJ164"/>
      <c r="BK164"/>
      <c r="BL164"/>
      <c r="BM164"/>
    </row>
    <row r="165" spans="35:65" ht="12.75" customHeight="1">
      <c r="AI165" s="668"/>
      <c r="AJ165" s="973" t="s">
        <v>552</v>
      </c>
      <c r="AK165" s="973"/>
      <c r="AL165" s="973"/>
      <c r="AM165" s="982"/>
      <c r="AN165" s="572">
        <f>AP165</f>
        <v>0.6</v>
      </c>
      <c r="AO165" s="572">
        <f>AN165</f>
        <v>0.6</v>
      </c>
      <c r="AP165" s="572">
        <f>'Compressor Input Data'!J27</f>
        <v>0.6</v>
      </c>
      <c r="AQ165" s="361"/>
      <c r="AR165" s="364"/>
      <c r="AS165" s="367"/>
      <c r="AT165"/>
      <c r="AU165"/>
      <c r="AV165"/>
      <c r="AW165"/>
      <c r="AX165"/>
      <c r="AY165"/>
      <c r="AZ165"/>
      <c r="BA165"/>
      <c r="BB165"/>
      <c r="BC165"/>
      <c r="BD165"/>
      <c r="BE165"/>
      <c r="BF165"/>
      <c r="BG165"/>
      <c r="BH165"/>
      <c r="BI165"/>
      <c r="BJ165"/>
      <c r="BK165"/>
      <c r="BL165"/>
      <c r="BM165"/>
    </row>
    <row r="166" spans="35:65" ht="12.75" customHeight="1">
      <c r="AI166" s="668"/>
      <c r="AJ166" s="567"/>
      <c r="AK166" s="568"/>
      <c r="AL166" s="568"/>
      <c r="AM166" s="573"/>
      <c r="AN166" s="573"/>
      <c r="AO166" s="573"/>
      <c r="AP166" s="574"/>
      <c r="AQ166" s="364"/>
      <c r="AR166" s="364"/>
      <c r="AS166" s="367"/>
      <c r="AT166"/>
      <c r="AU166"/>
      <c r="AV166"/>
      <c r="AW166"/>
      <c r="AX166"/>
      <c r="AY166"/>
      <c r="AZ166"/>
      <c r="BA166"/>
      <c r="BB166"/>
      <c r="BC166"/>
      <c r="BD166"/>
      <c r="BE166"/>
      <c r="BF166"/>
      <c r="BG166"/>
      <c r="BH166"/>
      <c r="BI166"/>
      <c r="BJ166"/>
      <c r="BK166"/>
      <c r="BL166"/>
      <c r="BM166"/>
    </row>
    <row r="167" spans="35:65" ht="12.75" customHeight="1">
      <c r="AI167" s="668"/>
      <c r="AJ167" s="901" t="s">
        <v>471</v>
      </c>
      <c r="AK167" s="901"/>
      <c r="AL167" s="901"/>
      <c r="AM167" s="930" t="s">
        <v>500</v>
      </c>
      <c r="AN167" s="928" t="s">
        <v>22</v>
      </c>
      <c r="AO167" s="929" t="s">
        <v>579</v>
      </c>
      <c r="AP167" s="927" t="s">
        <v>21</v>
      </c>
      <c r="AQ167" s="361"/>
      <c r="AR167" s="364"/>
      <c r="AS167" s="367"/>
      <c r="AT167"/>
      <c r="AU167"/>
      <c r="AV167"/>
      <c r="AW167"/>
      <c r="AX167"/>
      <c r="AY167"/>
      <c r="AZ167"/>
      <c r="BA167"/>
      <c r="BB167"/>
      <c r="BC167"/>
      <c r="BD167"/>
      <c r="BE167"/>
      <c r="BF167"/>
      <c r="BG167"/>
      <c r="BH167"/>
      <c r="BI167"/>
      <c r="BJ167"/>
      <c r="BK167"/>
      <c r="BL167"/>
      <c r="BM167"/>
    </row>
    <row r="168" spans="35:65" ht="12.75" customHeight="1">
      <c r="AI168" s="668"/>
      <c r="AJ168" s="901"/>
      <c r="AK168" s="901"/>
      <c r="AL168" s="901"/>
      <c r="AM168" s="930"/>
      <c r="AN168" s="928"/>
      <c r="AO168" s="929"/>
      <c r="AP168" s="927"/>
      <c r="AQ168" s="361"/>
      <c r="AR168" s="364"/>
      <c r="AS168" s="367"/>
      <c r="AT168"/>
      <c r="AU168"/>
      <c r="AV168"/>
      <c r="AW168"/>
      <c r="AX168"/>
      <c r="AY168"/>
      <c r="AZ168"/>
      <c r="BA168"/>
      <c r="BB168"/>
      <c r="BC168"/>
      <c r="BD168"/>
      <c r="BE168"/>
      <c r="BF168"/>
      <c r="BG168"/>
      <c r="BH168"/>
      <c r="BI168"/>
      <c r="BJ168"/>
      <c r="BK168"/>
      <c r="BL168"/>
      <c r="BM168"/>
    </row>
    <row r="169" spans="35:65" ht="12.75" customHeight="1">
      <c r="AI169" s="668"/>
      <c r="AJ169" s="973" t="s">
        <v>472</v>
      </c>
      <c r="AK169" s="973"/>
      <c r="AL169" s="973"/>
      <c r="AM169" s="544">
        <f>$AN$229</f>
        <v>938.66666666666674</v>
      </c>
      <c r="AN169" s="544">
        <f>($AN$150*$AN$151*$AN$158*$AN$157)/$AN$159</f>
        <v>75999.999999999985</v>
      </c>
      <c r="AO169" s="544">
        <f>($AO$150*$AO$151*$AO$158*$AO$157)/$AO$159</f>
        <v>66086.956521739121</v>
      </c>
      <c r="AP169" s="544">
        <f>($AP$150*$AP$151*$AP$158*$AP$157)/$AP$159</f>
        <v>54285.714285714275</v>
      </c>
      <c r="AQ169" s="361"/>
      <c r="AR169" s="364"/>
      <c r="AS169" s="367"/>
      <c r="AT169"/>
      <c r="AU169"/>
      <c r="AV169"/>
      <c r="AW169"/>
      <c r="AX169"/>
      <c r="AY169"/>
      <c r="AZ169"/>
      <c r="BA169"/>
      <c r="BB169"/>
      <c r="BC169"/>
      <c r="BD169"/>
      <c r="BE169"/>
      <c r="BF169"/>
      <c r="BG169"/>
      <c r="BH169"/>
      <c r="BI169"/>
      <c r="BJ169"/>
      <c r="BK169"/>
      <c r="BL169"/>
      <c r="BM169"/>
    </row>
    <row r="170" spans="35:65" ht="12.75" customHeight="1">
      <c r="AI170" s="668"/>
      <c r="AJ170" s="973" t="s">
        <v>473</v>
      </c>
      <c r="AK170" s="973"/>
      <c r="AL170" s="973"/>
      <c r="AM170" s="543"/>
      <c r="AN170" s="544">
        <f>($AN$150*$AN$151*$AN$164*$AN$163)/$AN$165</f>
        <v>418000.00000000006</v>
      </c>
      <c r="AO170" s="544">
        <f>($AO$150*$AO$151*$AO$164*$AO$163)/$AO$165</f>
        <v>422956.52173913049</v>
      </c>
      <c r="AP170" s="544">
        <f>($AP$150*$AP$151*$AP$164*$AP$163)/$AP$165</f>
        <v>428857.14285714284</v>
      </c>
      <c r="AQ170" s="361"/>
      <c r="AR170" s="364"/>
      <c r="AS170" s="367"/>
      <c r="AT170"/>
      <c r="AU170"/>
      <c r="AV170"/>
      <c r="AW170"/>
      <c r="AX170"/>
      <c r="AY170"/>
      <c r="AZ170"/>
      <c r="BA170"/>
      <c r="BB170"/>
      <c r="BC170"/>
      <c r="BD170"/>
      <c r="BE170"/>
      <c r="BF170"/>
      <c r="BG170"/>
      <c r="BH170"/>
      <c r="BI170"/>
      <c r="BJ170"/>
      <c r="BK170"/>
      <c r="BL170"/>
      <c r="BM170"/>
    </row>
    <row r="171" spans="35:65" ht="12.75" customHeight="1">
      <c r="AI171" s="668"/>
      <c r="AJ171" s="567"/>
      <c r="AK171" s="568"/>
      <c r="AL171" s="568"/>
      <c r="AM171" s="573"/>
      <c r="AN171" s="573"/>
      <c r="AO171" s="573"/>
      <c r="AP171" s="574"/>
      <c r="AQ171" s="364"/>
      <c r="AR171" s="364"/>
      <c r="AS171" s="367"/>
      <c r="AT171"/>
      <c r="AU171"/>
      <c r="AV171"/>
      <c r="AW171"/>
      <c r="AX171"/>
      <c r="AY171"/>
      <c r="AZ171"/>
      <c r="BA171"/>
      <c r="BB171"/>
      <c r="BC171"/>
      <c r="BD171"/>
      <c r="BE171"/>
      <c r="BF171"/>
      <c r="BG171"/>
      <c r="BH171"/>
      <c r="BI171"/>
      <c r="BJ171"/>
      <c r="BK171"/>
      <c r="BL171"/>
      <c r="BM171"/>
    </row>
    <row r="172" spans="35:65" ht="12.75" customHeight="1">
      <c r="AI172" s="668"/>
      <c r="AJ172" s="901" t="s">
        <v>474</v>
      </c>
      <c r="AK172" s="901"/>
      <c r="AL172" s="901"/>
      <c r="AM172" s="930" t="s">
        <v>500</v>
      </c>
      <c r="AN172" s="928" t="s">
        <v>22</v>
      </c>
      <c r="AO172" s="929" t="s">
        <v>579</v>
      </c>
      <c r="AP172" s="927" t="s">
        <v>21</v>
      </c>
      <c r="AQ172" s="361"/>
      <c r="AR172" s="364"/>
      <c r="AS172" s="367"/>
      <c r="AT172"/>
      <c r="AU172"/>
      <c r="AV172"/>
      <c r="AW172"/>
      <c r="AX172"/>
      <c r="AY172"/>
      <c r="AZ172"/>
      <c r="BA172"/>
      <c r="BB172"/>
      <c r="BC172"/>
      <c r="BD172"/>
      <c r="BE172"/>
      <c r="BF172"/>
      <c r="BG172"/>
      <c r="BH172"/>
      <c r="BI172"/>
      <c r="BJ172"/>
      <c r="BK172"/>
      <c r="BL172"/>
      <c r="BM172"/>
    </row>
    <row r="173" spans="35:65" ht="12.75" customHeight="1">
      <c r="AI173" s="668"/>
      <c r="AJ173" s="901"/>
      <c r="AK173" s="901"/>
      <c r="AL173" s="901"/>
      <c r="AM173" s="930"/>
      <c r="AN173" s="928"/>
      <c r="AO173" s="929"/>
      <c r="AP173" s="927"/>
      <c r="AQ173" s="361"/>
      <c r="AR173" s="364"/>
      <c r="AS173" s="367"/>
      <c r="AT173"/>
      <c r="AU173"/>
      <c r="AV173"/>
      <c r="AW173"/>
      <c r="AX173"/>
      <c r="AY173"/>
      <c r="AZ173"/>
      <c r="BA173"/>
      <c r="BB173"/>
      <c r="BC173"/>
      <c r="BD173"/>
      <c r="BE173"/>
      <c r="BF173"/>
      <c r="BG173"/>
      <c r="BH173"/>
      <c r="BI173"/>
      <c r="BJ173"/>
      <c r="BK173"/>
      <c r="BL173"/>
      <c r="BM173"/>
    </row>
    <row r="174" spans="35:65" ht="12.75" customHeight="1">
      <c r="AI174" s="668"/>
      <c r="AJ174" s="973" t="s">
        <v>472</v>
      </c>
      <c r="AK174" s="973"/>
      <c r="AL174" s="973"/>
      <c r="AM174" s="544">
        <f>AM169*$AN$16</f>
        <v>21589.333333333336</v>
      </c>
      <c r="AN174" s="544">
        <f>AN169*$AN$16</f>
        <v>1747999.9999999998</v>
      </c>
      <c r="AO174" s="544">
        <f>AO169*$AN$16</f>
        <v>1519999.9999999998</v>
      </c>
      <c r="AP174" s="544">
        <f>AP169*$AN$16</f>
        <v>1248571.4285714284</v>
      </c>
      <c r="AQ174" s="361"/>
      <c r="AR174" s="364"/>
      <c r="AS174" s="367"/>
      <c r="AT174"/>
      <c r="AU174"/>
      <c r="AV174"/>
      <c r="AW174"/>
      <c r="AX174"/>
      <c r="AY174"/>
      <c r="AZ174"/>
      <c r="BA174"/>
      <c r="BB174"/>
      <c r="BC174"/>
      <c r="BD174"/>
      <c r="BE174"/>
      <c r="BF174"/>
      <c r="BG174"/>
      <c r="BH174"/>
      <c r="BI174"/>
      <c r="BJ174"/>
      <c r="BK174"/>
      <c r="BL174"/>
      <c r="BM174"/>
    </row>
    <row r="175" spans="35:65" ht="12.75" customHeight="1">
      <c r="AI175" s="668"/>
      <c r="AJ175" s="973" t="s">
        <v>473</v>
      </c>
      <c r="AK175" s="973"/>
      <c r="AL175" s="973"/>
      <c r="AM175" s="543"/>
      <c r="AN175" s="544">
        <f>AN170*$AN$16</f>
        <v>9614000.0000000019</v>
      </c>
      <c r="AO175" s="544">
        <f>AO170*$AN$16</f>
        <v>9728000.0000000019</v>
      </c>
      <c r="AP175" s="544">
        <f>AP170*$AN$16</f>
        <v>9863714.2857142854</v>
      </c>
      <c r="AQ175" s="361"/>
      <c r="AR175" s="364"/>
      <c r="AS175" s="367"/>
      <c r="AT175"/>
      <c r="AU175"/>
      <c r="AV175"/>
      <c r="AW175"/>
      <c r="AX175"/>
      <c r="AY175"/>
      <c r="AZ175"/>
      <c r="BA175"/>
      <c r="BB175"/>
      <c r="BC175"/>
      <c r="BD175"/>
      <c r="BE175"/>
      <c r="BF175"/>
      <c r="BG175"/>
      <c r="BH175"/>
      <c r="BI175"/>
      <c r="BJ175"/>
      <c r="BK175"/>
      <c r="BL175"/>
      <c r="BM175"/>
    </row>
    <row r="176" spans="35:65" ht="12.75" customHeight="1">
      <c r="AI176" s="668"/>
      <c r="AJ176" s="567"/>
      <c r="AK176" s="568"/>
      <c r="AL176" s="568"/>
      <c r="AM176" s="573"/>
      <c r="AN176" s="573"/>
      <c r="AO176" s="573"/>
      <c r="AP176" s="574"/>
      <c r="AQ176" s="364"/>
      <c r="AR176" s="364"/>
      <c r="AS176" s="367"/>
      <c r="AT176"/>
      <c r="AU176"/>
      <c r="AV176"/>
      <c r="AW176"/>
      <c r="AX176"/>
      <c r="AY176"/>
      <c r="AZ176"/>
      <c r="BA176"/>
      <c r="BB176"/>
      <c r="BC176"/>
      <c r="BD176"/>
      <c r="BE176"/>
      <c r="BF176"/>
      <c r="BG176"/>
      <c r="BH176"/>
      <c r="BI176"/>
      <c r="BJ176"/>
      <c r="BK176"/>
      <c r="BL176"/>
      <c r="BM176"/>
    </row>
    <row r="177" spans="35:65" ht="12.75" customHeight="1">
      <c r="AI177" s="668"/>
      <c r="AJ177" s="901" t="s">
        <v>474</v>
      </c>
      <c r="AK177" s="901"/>
      <c r="AL177" s="901"/>
      <c r="AM177" s="930" t="s">
        <v>500</v>
      </c>
      <c r="AN177" s="928" t="s">
        <v>22</v>
      </c>
      <c r="AO177" s="929" t="s">
        <v>579</v>
      </c>
      <c r="AP177" s="927" t="s">
        <v>21</v>
      </c>
      <c r="AQ177" s="361"/>
      <c r="AR177" s="364"/>
      <c r="AS177" s="367"/>
      <c r="AT177"/>
      <c r="AU177"/>
      <c r="AV177"/>
      <c r="AW177"/>
      <c r="AX177"/>
      <c r="AY177"/>
      <c r="AZ177"/>
      <c r="BA177"/>
      <c r="BB177"/>
      <c r="BC177"/>
      <c r="BD177"/>
      <c r="BE177"/>
      <c r="BF177"/>
      <c r="BG177"/>
      <c r="BH177"/>
      <c r="BI177"/>
      <c r="BJ177"/>
      <c r="BK177"/>
      <c r="BL177"/>
      <c r="BM177"/>
    </row>
    <row r="178" spans="35:65" ht="12.75" customHeight="1">
      <c r="AI178" s="668"/>
      <c r="AJ178" s="901"/>
      <c r="AK178" s="901"/>
      <c r="AL178" s="901"/>
      <c r="AM178" s="930"/>
      <c r="AN178" s="928"/>
      <c r="AO178" s="929"/>
      <c r="AP178" s="927"/>
      <c r="AQ178" s="361"/>
      <c r="AR178" s="364"/>
      <c r="AS178" s="367"/>
      <c r="AT178"/>
      <c r="AU178"/>
      <c r="AV178"/>
      <c r="AW178"/>
      <c r="AX178"/>
      <c r="AY178"/>
      <c r="AZ178"/>
      <c r="BA178"/>
      <c r="BB178"/>
      <c r="BC178"/>
      <c r="BD178"/>
      <c r="BE178"/>
      <c r="BF178"/>
      <c r="BG178"/>
      <c r="BH178"/>
      <c r="BI178"/>
      <c r="BJ178"/>
      <c r="BK178"/>
      <c r="BL178"/>
      <c r="BM178"/>
    </row>
    <row r="179" spans="35:65" ht="12.75" customHeight="1">
      <c r="AI179" s="668"/>
      <c r="AJ179" s="973" t="s">
        <v>472</v>
      </c>
      <c r="AK179" s="973"/>
      <c r="AL179" s="973"/>
      <c r="AM179" s="544">
        <f>AM174*12</f>
        <v>259072.00000000003</v>
      </c>
      <c r="AN179" s="544">
        <f>AN174*12</f>
        <v>20975999.999999996</v>
      </c>
      <c r="AO179" s="544">
        <f>AO174*12</f>
        <v>18239999.999999996</v>
      </c>
      <c r="AP179" s="544">
        <f>AP174*12</f>
        <v>14982857.142857142</v>
      </c>
      <c r="AQ179" s="361"/>
      <c r="AR179" s="364"/>
      <c r="AS179" s="367"/>
      <c r="AT179"/>
      <c r="AU179"/>
      <c r="AV179"/>
      <c r="AW179"/>
      <c r="AX179"/>
      <c r="AY179"/>
      <c r="AZ179"/>
      <c r="BA179"/>
      <c r="BB179"/>
      <c r="BC179"/>
      <c r="BD179"/>
      <c r="BE179"/>
      <c r="BF179"/>
      <c r="BG179"/>
      <c r="BH179"/>
      <c r="BI179"/>
      <c r="BJ179"/>
      <c r="BK179"/>
      <c r="BL179"/>
      <c r="BM179"/>
    </row>
    <row r="180" spans="35:65" ht="12.75" customHeight="1">
      <c r="AI180" s="668"/>
      <c r="AJ180" s="973" t="s">
        <v>473</v>
      </c>
      <c r="AK180" s="973"/>
      <c r="AL180" s="973"/>
      <c r="AM180" s="543"/>
      <c r="AN180" s="544">
        <f>AN175*12</f>
        <v>115368000.00000003</v>
      </c>
      <c r="AO180" s="544">
        <f>AO175*12</f>
        <v>116736000.00000003</v>
      </c>
      <c r="AP180" s="544">
        <f>AP175*12</f>
        <v>118364571.42857143</v>
      </c>
      <c r="AQ180" s="361"/>
      <c r="AR180" s="364"/>
      <c r="AS180" s="367"/>
      <c r="AT180"/>
      <c r="AU180"/>
      <c r="AV180"/>
      <c r="AW180"/>
      <c r="AX180"/>
      <c r="AY180"/>
      <c r="AZ180"/>
      <c r="BA180"/>
      <c r="BB180"/>
      <c r="BC180"/>
      <c r="BD180"/>
      <c r="BE180"/>
      <c r="BF180"/>
      <c r="BG180"/>
      <c r="BH180"/>
      <c r="BI180"/>
      <c r="BJ180"/>
      <c r="BK180"/>
      <c r="BL180"/>
      <c r="BM180"/>
    </row>
    <row r="181" spans="35:65" ht="12.75" customHeight="1">
      <c r="AI181" s="668"/>
      <c r="AJ181" s="381"/>
      <c r="AK181" s="381"/>
      <c r="AL181" s="381"/>
      <c r="AM181" s="381"/>
      <c r="AN181" s="381"/>
      <c r="AO181" s="381"/>
      <c r="AP181" s="381"/>
      <c r="AQ181" s="364"/>
      <c r="AR181" s="364"/>
      <c r="AS181" s="367"/>
      <c r="AT181"/>
      <c r="AU181"/>
      <c r="AV181"/>
      <c r="AW181"/>
      <c r="AX181"/>
      <c r="AY181"/>
      <c r="AZ181"/>
      <c r="BA181"/>
      <c r="BB181"/>
      <c r="BC181"/>
      <c r="BD181"/>
      <c r="BE181"/>
      <c r="BF181"/>
      <c r="BG181"/>
      <c r="BH181"/>
      <c r="BI181"/>
      <c r="BJ181"/>
      <c r="BK181"/>
      <c r="BL181"/>
      <c r="BM181"/>
    </row>
    <row r="182" spans="35:65" ht="12.75" customHeight="1">
      <c r="AI182" s="668"/>
      <c r="AJ182" s="901" t="s">
        <v>433</v>
      </c>
      <c r="AK182" s="901"/>
      <c r="AL182" s="901"/>
      <c r="AM182" s="949" t="s">
        <v>500</v>
      </c>
      <c r="AN182" s="938" t="s">
        <v>22</v>
      </c>
      <c r="AO182" s="940" t="s">
        <v>579</v>
      </c>
      <c r="AP182" s="942" t="s">
        <v>21</v>
      </c>
      <c r="AQ182" s="361"/>
      <c r="AR182" s="364"/>
      <c r="AS182" s="367"/>
      <c r="AT182"/>
      <c r="AU182"/>
      <c r="AV182"/>
      <c r="AW182"/>
      <c r="AX182"/>
      <c r="AY182"/>
      <c r="AZ182"/>
      <c r="BA182"/>
      <c r="BB182"/>
      <c r="BC182"/>
      <c r="BD182"/>
      <c r="BE182"/>
      <c r="BF182"/>
      <c r="BG182"/>
      <c r="BH182"/>
      <c r="BI182"/>
      <c r="BJ182"/>
      <c r="BK182"/>
      <c r="BL182"/>
      <c r="BM182"/>
    </row>
    <row r="183" spans="35:65" ht="12.75" customHeight="1">
      <c r="AI183" s="668"/>
      <c r="AJ183" s="901"/>
      <c r="AK183" s="901"/>
      <c r="AL183" s="901"/>
      <c r="AM183" s="950"/>
      <c r="AN183" s="939"/>
      <c r="AO183" s="941"/>
      <c r="AP183" s="943"/>
      <c r="AQ183" s="361"/>
      <c r="AR183" s="364"/>
      <c r="AS183" s="367"/>
      <c r="AT183"/>
      <c r="AU183"/>
      <c r="AV183"/>
      <c r="AW183"/>
      <c r="AX183"/>
      <c r="AY183"/>
      <c r="AZ183"/>
      <c r="BA183"/>
      <c r="BB183"/>
      <c r="BC183"/>
      <c r="BD183"/>
      <c r="BE183"/>
      <c r="BF183"/>
      <c r="BG183"/>
      <c r="BH183"/>
      <c r="BI183"/>
      <c r="BJ183"/>
      <c r="BK183"/>
      <c r="BL183"/>
      <c r="BM183"/>
    </row>
    <row r="184" spans="35:65" ht="12.75" customHeight="1">
      <c r="AI184" s="668"/>
      <c r="AJ184" s="970" t="s">
        <v>459</v>
      </c>
      <c r="AK184" s="971"/>
      <c r="AL184" s="972"/>
      <c r="AM184" s="544">
        <f>AM169</f>
        <v>938.66666666666674</v>
      </c>
      <c r="AN184" s="544">
        <f>AN169+AN170</f>
        <v>494000.00000000006</v>
      </c>
      <c r="AO184" s="544">
        <f>AO169+AO170</f>
        <v>489043.47826086963</v>
      </c>
      <c r="AP184" s="544">
        <f>AP169+AP170</f>
        <v>483142.8571428571</v>
      </c>
      <c r="AQ184" s="361"/>
      <c r="AR184" s="364"/>
      <c r="AS184" s="367"/>
      <c r="AT184"/>
      <c r="AU184"/>
      <c r="AV184"/>
      <c r="AW184"/>
      <c r="AX184"/>
      <c r="AY184"/>
      <c r="AZ184"/>
      <c r="BA184"/>
      <c r="BB184"/>
      <c r="BC184"/>
      <c r="BD184"/>
      <c r="BE184"/>
      <c r="BF184"/>
      <c r="BG184"/>
      <c r="BH184"/>
      <c r="BI184"/>
      <c r="BJ184"/>
      <c r="BK184"/>
      <c r="BL184"/>
      <c r="BM184"/>
    </row>
    <row r="185" spans="35:65" ht="12.75" customHeight="1">
      <c r="AI185" s="668"/>
      <c r="AJ185" s="973" t="s">
        <v>307</v>
      </c>
      <c r="AK185" s="973"/>
      <c r="AL185" s="973"/>
      <c r="AM185" s="544">
        <f>AM174</f>
        <v>21589.333333333336</v>
      </c>
      <c r="AN185" s="544">
        <f>AN174+AN175</f>
        <v>11362000.000000002</v>
      </c>
      <c r="AO185" s="544">
        <f>AO174+AO175</f>
        <v>11248000.000000002</v>
      </c>
      <c r="AP185" s="544">
        <f>AP174+AP175</f>
        <v>11112285.714285715</v>
      </c>
      <c r="AQ185" s="361"/>
      <c r="AR185" s="364"/>
      <c r="AS185" s="367"/>
      <c r="AT185"/>
      <c r="AU185"/>
      <c r="AV185"/>
      <c r="AW185"/>
      <c r="AX185"/>
      <c r="AY185"/>
      <c r="AZ185"/>
      <c r="BA185"/>
      <c r="BB185"/>
      <c r="BC185"/>
      <c r="BD185"/>
      <c r="BE185"/>
      <c r="BF185"/>
      <c r="BG185"/>
      <c r="BH185"/>
      <c r="BI185"/>
      <c r="BJ185"/>
      <c r="BK185"/>
      <c r="BL185"/>
      <c r="BM185"/>
    </row>
    <row r="186" spans="35:65" ht="12.75" customHeight="1">
      <c r="AI186" s="668"/>
      <c r="AJ186" s="973" t="s">
        <v>308</v>
      </c>
      <c r="AK186" s="973"/>
      <c r="AL186" s="973"/>
      <c r="AM186" s="544">
        <f>AM179</f>
        <v>259072.00000000003</v>
      </c>
      <c r="AN186" s="544">
        <f>AN179+AN180</f>
        <v>136344000.00000003</v>
      </c>
      <c r="AO186" s="544">
        <f>AO179+AO180</f>
        <v>134976000.00000003</v>
      </c>
      <c r="AP186" s="544">
        <f>AP179+AP180</f>
        <v>133347428.57142857</v>
      </c>
      <c r="AQ186" s="361"/>
      <c r="AR186" s="364"/>
      <c r="AS186" s="367"/>
      <c r="AT186"/>
      <c r="AU186"/>
      <c r="AV186"/>
      <c r="AW186"/>
      <c r="AX186"/>
      <c r="AY186"/>
      <c r="AZ186"/>
      <c r="BA186"/>
      <c r="BB186"/>
      <c r="BC186"/>
      <c r="BD186"/>
      <c r="BE186"/>
      <c r="BF186"/>
      <c r="BG186"/>
      <c r="BH186"/>
      <c r="BI186"/>
      <c r="BJ186"/>
      <c r="BK186"/>
      <c r="BL186"/>
      <c r="BM186"/>
    </row>
    <row r="187" spans="35:65" ht="12.75" customHeight="1">
      <c r="AI187" s="668"/>
      <c r="AJ187" s="381"/>
      <c r="AK187" s="381"/>
      <c r="AL187" s="381"/>
      <c r="AM187" s="381"/>
      <c r="AN187" s="381"/>
      <c r="AO187" s="381"/>
      <c r="AP187" s="381"/>
      <c r="AQ187" s="364"/>
      <c r="AR187" s="364"/>
      <c r="AS187" s="367"/>
      <c r="AT187"/>
      <c r="AU187"/>
      <c r="AV187" t="str">
        <f>AJ190</f>
        <v>"Fully Loaded" - Drilling Shift</v>
      </c>
      <c r="AW187" t="str">
        <f>AJ191</f>
        <v>"Un-loaded" - Off Shift</v>
      </c>
      <c r="AX187"/>
      <c r="AY187"/>
      <c r="AZ187"/>
      <c r="BA187"/>
      <c r="BB187"/>
      <c r="BC187"/>
      <c r="BD187"/>
      <c r="BE187"/>
      <c r="BF187"/>
      <c r="BG187"/>
      <c r="BH187"/>
      <c r="BI187"/>
      <c r="BJ187"/>
      <c r="BK187"/>
      <c r="BL187"/>
      <c r="BM187"/>
    </row>
    <row r="188" spans="35:65" ht="12.75" customHeight="1">
      <c r="AI188" s="668"/>
      <c r="AJ188" s="901" t="s">
        <v>475</v>
      </c>
      <c r="AK188" s="901"/>
      <c r="AL188" s="901"/>
      <c r="AM188" s="930" t="s">
        <v>500</v>
      </c>
      <c r="AN188" s="928" t="s">
        <v>22</v>
      </c>
      <c r="AO188" s="929" t="s">
        <v>579</v>
      </c>
      <c r="AP188" s="927" t="s">
        <v>21</v>
      </c>
      <c r="AQ188" s="361"/>
      <c r="AR188" s="364"/>
      <c r="AS188" s="367"/>
      <c r="AT188" s="716" t="s">
        <v>500</v>
      </c>
      <c r="AU188"/>
      <c r="AV188" s="717">
        <f>AM190</f>
        <v>211.20000000000002</v>
      </c>
      <c r="AW188"/>
      <c r="AX188"/>
      <c r="AY188"/>
      <c r="AZ188"/>
      <c r="BA188"/>
      <c r="BB188"/>
      <c r="BC188"/>
      <c r="BD188"/>
      <c r="BE188"/>
      <c r="BF188"/>
      <c r="BG188"/>
      <c r="BH188"/>
      <c r="BI188"/>
      <c r="BJ188"/>
      <c r="BK188"/>
      <c r="BL188"/>
      <c r="BM188"/>
    </row>
    <row r="189" spans="35:65" ht="12.75" customHeight="1">
      <c r="AI189" s="668"/>
      <c r="AJ189" s="901"/>
      <c r="AK189" s="901"/>
      <c r="AL189" s="901"/>
      <c r="AM189" s="930"/>
      <c r="AN189" s="928"/>
      <c r="AO189" s="929"/>
      <c r="AP189" s="927"/>
      <c r="AQ189" s="361"/>
      <c r="AR189" s="364"/>
      <c r="AS189" s="367"/>
      <c r="AT189" s="716" t="s">
        <v>22</v>
      </c>
      <c r="AU189"/>
      <c r="AV189" s="717">
        <f>AN190</f>
        <v>17099.999999999996</v>
      </c>
      <c r="AW189" s="717">
        <f>AN191</f>
        <v>94050.000000000015</v>
      </c>
      <c r="AX189"/>
      <c r="AY189"/>
      <c r="AZ189"/>
      <c r="BA189"/>
      <c r="BB189"/>
      <c r="BC189"/>
      <c r="BD189"/>
      <c r="BE189"/>
      <c r="BF189"/>
      <c r="BG189"/>
      <c r="BH189"/>
      <c r="BI189"/>
      <c r="BJ189"/>
      <c r="BK189"/>
      <c r="BL189"/>
      <c r="BM189"/>
    </row>
    <row r="190" spans="35:65" ht="12.75" customHeight="1">
      <c r="AI190" s="668"/>
      <c r="AJ190" s="973" t="s">
        <v>472</v>
      </c>
      <c r="AK190" s="973"/>
      <c r="AL190" s="973"/>
      <c r="AM190" s="593">
        <f>$AN$229*$AM$153</f>
        <v>211.20000000000002</v>
      </c>
      <c r="AN190" s="593">
        <f>($AN$150*$AN$151*$AN$158*$AN$157*$AN$153)/$AN$159</f>
        <v>17099.999999999996</v>
      </c>
      <c r="AO190" s="593">
        <f>($AO$150*$AO$151*$AO$158*$AO$157*$AO$153)/$AO$159</f>
        <v>14869.565217391304</v>
      </c>
      <c r="AP190" s="593">
        <f>($AP$150*$AP$151*$AP$158*$AP$157*$AP$153)/$AP$159</f>
        <v>12214.285714285714</v>
      </c>
      <c r="AQ190" s="361"/>
      <c r="AR190" s="364"/>
      <c r="AS190" s="367"/>
      <c r="AT190" s="716" t="s">
        <v>579</v>
      </c>
      <c r="AU190"/>
      <c r="AV190" s="717">
        <f>AO190</f>
        <v>14869.565217391304</v>
      </c>
      <c r="AW190" s="717">
        <f>AO191</f>
        <v>95165.217391304366</v>
      </c>
      <c r="AX190"/>
      <c r="AY190"/>
      <c r="AZ190"/>
      <c r="BA190"/>
      <c r="BB190"/>
      <c r="BC190"/>
      <c r="BD190"/>
      <c r="BE190"/>
      <c r="BF190"/>
      <c r="BG190"/>
      <c r="BH190"/>
      <c r="BI190"/>
      <c r="BJ190"/>
      <c r="BK190"/>
      <c r="BL190"/>
      <c r="BM190"/>
    </row>
    <row r="191" spans="35:65" ht="12.75" customHeight="1">
      <c r="AI191" s="668"/>
      <c r="AJ191" s="973" t="s">
        <v>473</v>
      </c>
      <c r="AK191" s="973"/>
      <c r="AL191" s="973"/>
      <c r="AM191" s="543"/>
      <c r="AN191" s="593">
        <f>($AN$150*$AN$151*$AN$164*$AN$163*$AN$153)/$AN$165</f>
        <v>94050.000000000015</v>
      </c>
      <c r="AO191" s="593">
        <f>($AO$150*$AO$151*$AO$164*$AO$163*$AO$153)/$AO$165</f>
        <v>95165.217391304366</v>
      </c>
      <c r="AP191" s="593">
        <f>($AP$150*$AP$151*$AP$164*$AP$163*$AP$153)/$AP$165</f>
        <v>96492.857142857145</v>
      </c>
      <c r="AQ191" s="361"/>
      <c r="AR191" s="364"/>
      <c r="AS191" s="367"/>
      <c r="AT191" s="716" t="s">
        <v>21</v>
      </c>
      <c r="AU191"/>
      <c r="AV191" s="717">
        <f>AP190</f>
        <v>12214.285714285714</v>
      </c>
      <c r="AW191" s="717">
        <f>AP191</f>
        <v>96492.857142857145</v>
      </c>
      <c r="AX191"/>
      <c r="AY191"/>
      <c r="AZ191"/>
      <c r="BA191"/>
      <c r="BB191"/>
      <c r="BC191"/>
      <c r="BD191"/>
      <c r="BE191"/>
      <c r="BF191"/>
      <c r="BG191"/>
      <c r="BH191"/>
      <c r="BI191"/>
      <c r="BJ191"/>
      <c r="BK191"/>
      <c r="BL191"/>
      <c r="BM191"/>
    </row>
    <row r="192" spans="35:65" ht="12.75" customHeight="1">
      <c r="AI192" s="668"/>
      <c r="AJ192" s="381"/>
      <c r="AK192" s="381"/>
      <c r="AL192" s="381"/>
      <c r="AM192" s="381"/>
      <c r="AN192" s="381"/>
      <c r="AO192" s="381"/>
      <c r="AP192" s="381"/>
      <c r="AQ192" s="552"/>
      <c r="AR192" s="364"/>
      <c r="AS192" s="367"/>
      <c r="AU192"/>
      <c r="AV192"/>
      <c r="AW192"/>
      <c r="AX192"/>
      <c r="AY192"/>
      <c r="AZ192"/>
      <c r="BA192"/>
      <c r="BB192"/>
      <c r="BC192"/>
      <c r="BD192"/>
      <c r="BE192"/>
      <c r="BF192"/>
      <c r="BG192"/>
      <c r="BH192"/>
      <c r="BI192"/>
      <c r="BJ192"/>
      <c r="BK192"/>
      <c r="BL192"/>
      <c r="BM192"/>
    </row>
    <row r="193" spans="35:65" ht="12.75" customHeight="1">
      <c r="AI193" s="668"/>
      <c r="AJ193" s="901" t="s">
        <v>476</v>
      </c>
      <c r="AK193" s="901"/>
      <c r="AL193" s="901"/>
      <c r="AM193" s="930" t="s">
        <v>500</v>
      </c>
      <c r="AN193" s="928" t="s">
        <v>22</v>
      </c>
      <c r="AO193" s="929" t="s">
        <v>579</v>
      </c>
      <c r="AP193" s="927" t="s">
        <v>21</v>
      </c>
      <c r="AQ193" s="361"/>
      <c r="AR193" s="364"/>
      <c r="AS193" s="367"/>
      <c r="AT193"/>
      <c r="AU193"/>
      <c r="AV193"/>
      <c r="AW193"/>
      <c r="AX193"/>
      <c r="AY193"/>
      <c r="AZ193"/>
      <c r="BA193"/>
      <c r="BB193"/>
      <c r="BC193"/>
      <c r="BD193"/>
      <c r="BE193"/>
      <c r="BF193"/>
      <c r="BG193"/>
      <c r="BH193"/>
      <c r="BI193"/>
      <c r="BJ193"/>
      <c r="BK193"/>
      <c r="BL193"/>
      <c r="BM193"/>
    </row>
    <row r="194" spans="35:65" ht="12.75" customHeight="1">
      <c r="AI194" s="668"/>
      <c r="AJ194" s="901"/>
      <c r="AK194" s="901"/>
      <c r="AL194" s="901"/>
      <c r="AM194" s="930"/>
      <c r="AN194" s="928"/>
      <c r="AO194" s="929"/>
      <c r="AP194" s="927"/>
      <c r="AQ194" s="361"/>
      <c r="AR194" s="364"/>
      <c r="AS194" s="367"/>
      <c r="AT194"/>
      <c r="AU194"/>
      <c r="AV194"/>
      <c r="AW194"/>
      <c r="AX194"/>
      <c r="AY194"/>
      <c r="AZ194"/>
      <c r="BA194"/>
      <c r="BB194"/>
      <c r="BC194"/>
      <c r="BD194"/>
      <c r="BE194"/>
      <c r="BF194"/>
      <c r="BG194"/>
      <c r="BH194"/>
      <c r="BI194"/>
      <c r="BJ194"/>
      <c r="BK194"/>
      <c r="BL194"/>
      <c r="BM194"/>
    </row>
    <row r="195" spans="35:65" ht="12.75" customHeight="1">
      <c r="AI195" s="668"/>
      <c r="AJ195" s="973" t="s">
        <v>472</v>
      </c>
      <c r="AK195" s="973"/>
      <c r="AL195" s="973"/>
      <c r="AM195" s="593">
        <f>AM190*$AN$16</f>
        <v>4857.6000000000004</v>
      </c>
      <c r="AN195" s="593">
        <f>AN190*$AN$16</f>
        <v>393299.99999999994</v>
      </c>
      <c r="AO195" s="593">
        <f>AO190*$AN$16</f>
        <v>342000</v>
      </c>
      <c r="AP195" s="593">
        <f>AP190*$AN$16</f>
        <v>280928.57142857142</v>
      </c>
      <c r="AQ195" s="361"/>
      <c r="AR195" s="364"/>
      <c r="AS195" s="367"/>
      <c r="AT195"/>
      <c r="AU195"/>
      <c r="AV195"/>
      <c r="AW195"/>
      <c r="AX195"/>
      <c r="AY195"/>
      <c r="AZ195"/>
      <c r="BA195"/>
      <c r="BB195"/>
      <c r="BC195"/>
      <c r="BD195"/>
      <c r="BE195"/>
      <c r="BF195"/>
      <c r="BG195"/>
      <c r="BH195"/>
      <c r="BI195"/>
      <c r="BJ195"/>
      <c r="BK195"/>
      <c r="BL195"/>
      <c r="BM195"/>
    </row>
    <row r="196" spans="35:65" ht="12.75" customHeight="1">
      <c r="AI196" s="668"/>
      <c r="AJ196" s="973" t="s">
        <v>473</v>
      </c>
      <c r="AK196" s="973"/>
      <c r="AL196" s="973"/>
      <c r="AM196" s="543"/>
      <c r="AN196" s="593">
        <f>AN191*$AN$16</f>
        <v>2163150.0000000005</v>
      </c>
      <c r="AO196" s="593">
        <f>AO191*$AN$16</f>
        <v>2188800.0000000005</v>
      </c>
      <c r="AP196" s="593">
        <f>AP191*$AN$16</f>
        <v>2219335.7142857146</v>
      </c>
      <c r="AQ196" s="361"/>
      <c r="AR196" s="364"/>
      <c r="AS196" s="367"/>
      <c r="AT196"/>
      <c r="AU196"/>
      <c r="AV196"/>
      <c r="AW196"/>
      <c r="AX196"/>
      <c r="AY196"/>
      <c r="AZ196"/>
      <c r="BA196"/>
      <c r="BB196"/>
      <c r="BC196"/>
      <c r="BD196"/>
      <c r="BE196"/>
      <c r="BF196"/>
      <c r="BG196"/>
      <c r="BH196"/>
      <c r="BI196"/>
      <c r="BJ196"/>
      <c r="BK196"/>
      <c r="BL196"/>
      <c r="BM196"/>
    </row>
    <row r="197" spans="35:65" ht="12.75" customHeight="1">
      <c r="AI197" s="668"/>
      <c r="AJ197" s="367"/>
      <c r="AK197" s="367"/>
      <c r="AL197" s="367"/>
      <c r="AM197" s="367"/>
      <c r="AN197" s="367"/>
      <c r="AO197" s="367"/>
      <c r="AP197" s="367"/>
      <c r="AQ197" s="364"/>
      <c r="AR197" s="364"/>
      <c r="AS197" s="367"/>
      <c r="AT197"/>
      <c r="AU197"/>
      <c r="AV197"/>
      <c r="AW197"/>
      <c r="AX197"/>
      <c r="AY197"/>
      <c r="AZ197"/>
      <c r="BA197"/>
      <c r="BB197"/>
      <c r="BC197"/>
      <c r="BD197"/>
      <c r="BE197"/>
      <c r="BF197"/>
      <c r="BG197"/>
      <c r="BH197"/>
      <c r="BI197"/>
      <c r="BJ197"/>
      <c r="BK197"/>
      <c r="BL197"/>
      <c r="BM197"/>
    </row>
    <row r="198" spans="35:65" ht="12.75" customHeight="1">
      <c r="AI198" s="668"/>
      <c r="AJ198" s="901" t="s">
        <v>477</v>
      </c>
      <c r="AK198" s="901"/>
      <c r="AL198" s="901"/>
      <c r="AM198" s="930" t="s">
        <v>500</v>
      </c>
      <c r="AN198" s="928" t="s">
        <v>22</v>
      </c>
      <c r="AO198" s="929" t="s">
        <v>579</v>
      </c>
      <c r="AP198" s="927" t="s">
        <v>21</v>
      </c>
      <c r="AQ198" s="361"/>
      <c r="AR198" s="364"/>
      <c r="AS198" s="367"/>
      <c r="AT198"/>
      <c r="AU198"/>
      <c r="AV198"/>
      <c r="AW198"/>
      <c r="AX198"/>
      <c r="AY198"/>
      <c r="AZ198"/>
      <c r="BA198"/>
      <c r="BB198"/>
      <c r="BC198"/>
      <c r="BD198"/>
      <c r="BE198"/>
      <c r="BF198"/>
      <c r="BG198"/>
      <c r="BH198"/>
      <c r="BI198"/>
      <c r="BJ198"/>
      <c r="BK198"/>
      <c r="BL198"/>
      <c r="BM198"/>
    </row>
    <row r="199" spans="35:65" ht="12.75" customHeight="1">
      <c r="AI199" s="668"/>
      <c r="AJ199" s="901"/>
      <c r="AK199" s="901"/>
      <c r="AL199" s="901"/>
      <c r="AM199" s="930"/>
      <c r="AN199" s="928"/>
      <c r="AO199" s="929"/>
      <c r="AP199" s="927"/>
      <c r="AQ199" s="361"/>
      <c r="AR199" s="364"/>
      <c r="AS199" s="367"/>
      <c r="AT199"/>
      <c r="AU199"/>
      <c r="AV199"/>
      <c r="AW199"/>
      <c r="AX199"/>
      <c r="AY199"/>
      <c r="AZ199"/>
      <c r="BA199"/>
      <c r="BB199"/>
      <c r="BC199"/>
      <c r="BD199"/>
      <c r="BE199"/>
      <c r="BF199"/>
      <c r="BG199"/>
      <c r="BH199"/>
      <c r="BI199"/>
      <c r="BJ199"/>
      <c r="BK199"/>
      <c r="BL199"/>
      <c r="BM199"/>
    </row>
    <row r="200" spans="35:65" ht="12.75" customHeight="1">
      <c r="AI200" s="668"/>
      <c r="AJ200" s="973" t="s">
        <v>472</v>
      </c>
      <c r="AK200" s="973"/>
      <c r="AL200" s="973"/>
      <c r="AM200" s="593">
        <f>AM195*12</f>
        <v>58291.200000000004</v>
      </c>
      <c r="AN200" s="593">
        <f>AN195*12</f>
        <v>4719599.9999999991</v>
      </c>
      <c r="AO200" s="593">
        <f>AO195*12</f>
        <v>4104000</v>
      </c>
      <c r="AP200" s="593">
        <f>AP195*12</f>
        <v>3371142.8571428573</v>
      </c>
      <c r="AQ200" s="361"/>
      <c r="AR200" s="364"/>
      <c r="AS200" s="367"/>
      <c r="AT200"/>
      <c r="AU200"/>
      <c r="AV200"/>
      <c r="AW200"/>
      <c r="AX200"/>
      <c r="AY200"/>
      <c r="AZ200"/>
      <c r="BA200"/>
      <c r="BB200"/>
      <c r="BC200"/>
      <c r="BD200"/>
      <c r="BE200"/>
      <c r="BF200"/>
      <c r="BG200"/>
      <c r="BH200"/>
      <c r="BI200"/>
      <c r="BJ200"/>
      <c r="BK200"/>
      <c r="BL200"/>
      <c r="BM200"/>
    </row>
    <row r="201" spans="35:65" ht="12.75" customHeight="1">
      <c r="AI201" s="668"/>
      <c r="AJ201" s="973" t="s">
        <v>473</v>
      </c>
      <c r="AK201" s="973"/>
      <c r="AL201" s="973"/>
      <c r="AM201" s="543"/>
      <c r="AN201" s="593">
        <f>AN196*12</f>
        <v>25957800.000000007</v>
      </c>
      <c r="AO201" s="593">
        <f>AO196*12</f>
        <v>26265600.000000007</v>
      </c>
      <c r="AP201" s="593">
        <f>AP196*12</f>
        <v>26632028.571428575</v>
      </c>
      <c r="AQ201" s="361"/>
      <c r="AR201" s="364"/>
      <c r="AS201" s="367"/>
      <c r="AT201"/>
      <c r="AU201"/>
      <c r="AV201"/>
      <c r="AW201"/>
      <c r="AX201"/>
      <c r="AY201"/>
      <c r="AZ201"/>
      <c r="BA201"/>
      <c r="BB201"/>
      <c r="BC201"/>
      <c r="BD201"/>
      <c r="BE201"/>
      <c r="BF201"/>
      <c r="BG201"/>
      <c r="BH201"/>
      <c r="BI201"/>
      <c r="BJ201"/>
      <c r="BK201"/>
      <c r="BL201"/>
      <c r="BM201"/>
    </row>
    <row r="202" spans="35:65" ht="12.75" customHeight="1">
      <c r="AI202" s="668"/>
      <c r="AJ202" s="367"/>
      <c r="AK202" s="367"/>
      <c r="AL202" s="367"/>
      <c r="AM202" s="367"/>
      <c r="AN202" s="367"/>
      <c r="AO202" s="367"/>
      <c r="AP202" s="367"/>
      <c r="AQ202" s="364"/>
      <c r="AR202" s="364"/>
      <c r="AS202" s="367"/>
      <c r="AT202"/>
      <c r="AU202"/>
      <c r="AV202"/>
      <c r="AW202"/>
      <c r="AX202"/>
      <c r="AY202"/>
      <c r="AZ202"/>
      <c r="BA202"/>
      <c r="BB202"/>
      <c r="BC202"/>
      <c r="BD202"/>
      <c r="BE202"/>
      <c r="BF202"/>
      <c r="BG202"/>
      <c r="BH202"/>
      <c r="BI202"/>
      <c r="BJ202"/>
      <c r="BK202"/>
      <c r="BL202"/>
      <c r="BM202"/>
    </row>
    <row r="203" spans="35:65" ht="12.75" customHeight="1">
      <c r="AI203" s="668"/>
      <c r="AJ203" s="901" t="s">
        <v>116</v>
      </c>
      <c r="AK203" s="901"/>
      <c r="AL203" s="901"/>
      <c r="AM203" s="949" t="s">
        <v>500</v>
      </c>
      <c r="AN203" s="938" t="s">
        <v>22</v>
      </c>
      <c r="AO203" s="940" t="s">
        <v>579</v>
      </c>
      <c r="AP203" s="942" t="s">
        <v>21</v>
      </c>
      <c r="AQ203" s="361"/>
      <c r="AR203" s="364"/>
      <c r="AS203" s="367"/>
      <c r="AT203"/>
      <c r="AU203"/>
      <c r="AV203"/>
      <c r="AW203"/>
      <c r="AX203"/>
      <c r="AY203"/>
      <c r="AZ203"/>
      <c r="BA203"/>
      <c r="BB203"/>
      <c r="BC203"/>
      <c r="BD203"/>
      <c r="BE203"/>
      <c r="BF203"/>
      <c r="BG203"/>
      <c r="BH203"/>
      <c r="BI203"/>
      <c r="BJ203"/>
      <c r="BK203"/>
      <c r="BL203"/>
      <c r="BM203"/>
    </row>
    <row r="204" spans="35:65" ht="12.75" customHeight="1">
      <c r="AI204" s="668"/>
      <c r="AJ204" s="901"/>
      <c r="AK204" s="901"/>
      <c r="AL204" s="901"/>
      <c r="AM204" s="950"/>
      <c r="AN204" s="939"/>
      <c r="AO204" s="941"/>
      <c r="AP204" s="943"/>
      <c r="AQ204" s="361"/>
      <c r="AR204" s="364"/>
      <c r="AS204" s="367"/>
      <c r="AT204"/>
      <c r="AU204"/>
      <c r="AV204"/>
      <c r="AW204"/>
      <c r="AX204"/>
      <c r="AY204"/>
      <c r="AZ204"/>
      <c r="BA204"/>
      <c r="BB204"/>
      <c r="BC204"/>
      <c r="BD204"/>
      <c r="BE204"/>
      <c r="BF204"/>
      <c r="BG204"/>
      <c r="BH204"/>
      <c r="BI204"/>
      <c r="BJ204"/>
      <c r="BK204"/>
      <c r="BL204"/>
      <c r="BM204"/>
    </row>
    <row r="205" spans="35:65" ht="12.75" customHeight="1">
      <c r="AI205" s="668"/>
      <c r="AJ205" s="970" t="s">
        <v>459</v>
      </c>
      <c r="AK205" s="971"/>
      <c r="AL205" s="972"/>
      <c r="AM205" s="593">
        <f>AM190</f>
        <v>211.20000000000002</v>
      </c>
      <c r="AN205" s="593">
        <f>AN190+AN191</f>
        <v>111150.00000000001</v>
      </c>
      <c r="AO205" s="593">
        <f>AO190+AO191</f>
        <v>110034.78260869568</v>
      </c>
      <c r="AP205" s="593">
        <f>AP190+AP191</f>
        <v>108707.14285714286</v>
      </c>
      <c r="AQ205" s="361"/>
      <c r="AR205" s="364"/>
      <c r="AS205" s="367"/>
      <c r="AT205"/>
      <c r="AU205"/>
      <c r="AV205"/>
      <c r="AW205"/>
      <c r="AX205"/>
      <c r="AY205"/>
      <c r="AZ205"/>
      <c r="BA205"/>
      <c r="BB205"/>
      <c r="BC205"/>
      <c r="BD205"/>
      <c r="BE205"/>
      <c r="BF205"/>
      <c r="BG205"/>
      <c r="BH205"/>
      <c r="BI205"/>
      <c r="BJ205"/>
      <c r="BK205"/>
      <c r="BL205"/>
      <c r="BM205"/>
    </row>
    <row r="206" spans="35:65" ht="12.75" customHeight="1">
      <c r="AI206" s="668"/>
      <c r="AJ206" s="973" t="s">
        <v>307</v>
      </c>
      <c r="AK206" s="973"/>
      <c r="AL206" s="973"/>
      <c r="AM206" s="593">
        <f>AM195</f>
        <v>4857.6000000000004</v>
      </c>
      <c r="AN206" s="593">
        <f>AN195+AN196</f>
        <v>2556450.0000000005</v>
      </c>
      <c r="AO206" s="593">
        <f>AO195+AO196</f>
        <v>2530800.0000000005</v>
      </c>
      <c r="AP206" s="593">
        <f>AP195+AP196</f>
        <v>2500264.2857142859</v>
      </c>
      <c r="AQ206" s="361"/>
      <c r="AR206" s="364"/>
      <c r="AS206" s="367"/>
      <c r="AT206"/>
      <c r="AU206"/>
      <c r="AV206"/>
      <c r="AW206"/>
      <c r="AX206"/>
      <c r="AY206"/>
      <c r="AZ206"/>
      <c r="BA206"/>
      <c r="BB206"/>
      <c r="BC206"/>
      <c r="BD206"/>
      <c r="BE206"/>
      <c r="BF206"/>
      <c r="BG206"/>
      <c r="BH206"/>
      <c r="BI206"/>
      <c r="BJ206"/>
      <c r="BK206"/>
      <c r="BL206"/>
      <c r="BM206"/>
    </row>
    <row r="207" spans="35:65" ht="12.75" customHeight="1">
      <c r="AI207" s="668"/>
      <c r="AJ207" s="973" t="s">
        <v>308</v>
      </c>
      <c r="AK207" s="973"/>
      <c r="AL207" s="973"/>
      <c r="AM207" s="593">
        <f>AM200</f>
        <v>58291.200000000004</v>
      </c>
      <c r="AN207" s="593">
        <f>AN200+AN201</f>
        <v>30677400.000000007</v>
      </c>
      <c r="AO207" s="593">
        <f>AO200+AO201</f>
        <v>30369600.000000007</v>
      </c>
      <c r="AP207" s="593">
        <f>AP200+AP201</f>
        <v>30003171.428571433</v>
      </c>
      <c r="AQ207" s="361"/>
      <c r="AR207" s="364"/>
      <c r="AS207" s="367"/>
      <c r="AT207"/>
      <c r="AU207"/>
      <c r="AV207"/>
      <c r="AW207"/>
      <c r="AX207"/>
      <c r="AY207"/>
      <c r="AZ207"/>
      <c r="BA207"/>
      <c r="BB207"/>
      <c r="BC207"/>
      <c r="BD207"/>
      <c r="BE207"/>
      <c r="BF207"/>
      <c r="BG207"/>
      <c r="BH207"/>
      <c r="BI207"/>
      <c r="BJ207"/>
      <c r="BK207"/>
      <c r="BL207"/>
      <c r="BM207"/>
    </row>
    <row r="208" spans="35:65" ht="12.75" customHeight="1">
      <c r="AI208" s="668"/>
      <c r="AJ208" s="575"/>
      <c r="AK208" s="575"/>
      <c r="AL208" s="575"/>
      <c r="AM208" s="382"/>
      <c r="AN208" s="382"/>
      <c r="AO208" s="382"/>
      <c r="AP208" s="382"/>
      <c r="AQ208" s="364"/>
      <c r="AR208" s="364"/>
      <c r="AS208" s="367"/>
      <c r="AT208"/>
      <c r="AU208"/>
      <c r="AV208"/>
      <c r="AW208"/>
      <c r="AX208"/>
      <c r="AY208"/>
      <c r="AZ208"/>
      <c r="BA208"/>
      <c r="BB208"/>
      <c r="BC208"/>
      <c r="BD208"/>
      <c r="BE208"/>
      <c r="BF208"/>
      <c r="BG208"/>
      <c r="BH208"/>
      <c r="BI208"/>
      <c r="BJ208"/>
      <c r="BK208"/>
      <c r="BL208"/>
      <c r="BM208"/>
    </row>
    <row r="209" spans="35:65" ht="12.75" customHeight="1">
      <c r="AI209" s="668"/>
      <c r="AJ209" s="974" t="s">
        <v>501</v>
      </c>
      <c r="AK209" s="974"/>
      <c r="AL209" s="974"/>
      <c r="AM209" s="974"/>
      <c r="AN209" s="974"/>
      <c r="AO209" s="974"/>
      <c r="AP209" s="974"/>
      <c r="AQ209" s="974"/>
      <c r="AR209" s="364"/>
      <c r="AS209" s="367"/>
      <c r="AT209"/>
      <c r="AU209"/>
      <c r="AV209"/>
      <c r="AW209"/>
      <c r="AX209"/>
      <c r="AY209"/>
      <c r="AZ209"/>
      <c r="BA209"/>
      <c r="BB209"/>
      <c r="BC209"/>
      <c r="BD209"/>
      <c r="BE209"/>
      <c r="BF209"/>
      <c r="BG209"/>
      <c r="BH209"/>
      <c r="BI209"/>
      <c r="BJ209"/>
      <c r="BK209"/>
      <c r="BL209"/>
      <c r="BM209"/>
    </row>
    <row r="210" spans="35:65" ht="12.75" customHeight="1">
      <c r="AI210" s="668"/>
      <c r="AJ210" s="974"/>
      <c r="AK210" s="974"/>
      <c r="AL210" s="974"/>
      <c r="AM210" s="974"/>
      <c r="AN210" s="974"/>
      <c r="AO210" s="974"/>
      <c r="AP210" s="974"/>
      <c r="AQ210" s="974"/>
      <c r="AR210" s="576"/>
      <c r="AS210" s="367"/>
      <c r="AT210"/>
      <c r="AU210"/>
      <c r="AV210"/>
      <c r="AW210"/>
      <c r="AX210"/>
      <c r="AY210"/>
      <c r="AZ210"/>
      <c r="BA210"/>
      <c r="BB210"/>
      <c r="BC210"/>
      <c r="BD210"/>
      <c r="BE210"/>
      <c r="BF210"/>
      <c r="BG210"/>
      <c r="BH210"/>
      <c r="BI210"/>
      <c r="BJ210"/>
      <c r="BK210"/>
      <c r="BL210"/>
      <c r="BM210"/>
    </row>
    <row r="211" spans="35:65" ht="12.75" customHeight="1">
      <c r="AI211" s="668"/>
      <c r="AJ211" s="974"/>
      <c r="AK211" s="974"/>
      <c r="AL211" s="974"/>
      <c r="AM211" s="974"/>
      <c r="AN211" s="974"/>
      <c r="AO211" s="974"/>
      <c r="AP211" s="974"/>
      <c r="AQ211" s="974"/>
      <c r="AR211" s="576"/>
      <c r="AS211" s="367"/>
      <c r="AT211"/>
      <c r="AU211"/>
      <c r="AV211"/>
      <c r="AW211"/>
      <c r="AX211"/>
      <c r="AY211"/>
      <c r="AZ211"/>
      <c r="BA211"/>
      <c r="BB211"/>
      <c r="BC211"/>
      <c r="BD211"/>
      <c r="BE211"/>
      <c r="BF211"/>
      <c r="BG211"/>
      <c r="BH211"/>
      <c r="BI211"/>
      <c r="BJ211"/>
      <c r="BK211"/>
      <c r="BL211"/>
      <c r="BM211"/>
    </row>
    <row r="212" spans="35:65" ht="12.75" customHeight="1">
      <c r="AI212" s="668"/>
      <c r="AJ212" s="974"/>
      <c r="AK212" s="974"/>
      <c r="AL212" s="974"/>
      <c r="AM212" s="974"/>
      <c r="AN212" s="974"/>
      <c r="AO212" s="974"/>
      <c r="AP212" s="974"/>
      <c r="AQ212" s="974"/>
      <c r="AR212" s="576"/>
      <c r="AS212" s="367"/>
      <c r="AT212"/>
      <c r="AU212"/>
      <c r="AV212"/>
      <c r="AW212"/>
      <c r="AX212"/>
      <c r="AY212"/>
      <c r="AZ212"/>
      <c r="BA212"/>
      <c r="BB212"/>
      <c r="BC212"/>
      <c r="BD212"/>
      <c r="BE212"/>
      <c r="BF212"/>
      <c r="BG212"/>
      <c r="BH212"/>
      <c r="BI212"/>
      <c r="BJ212"/>
      <c r="BK212"/>
      <c r="BL212"/>
      <c r="BM212"/>
    </row>
    <row r="213" spans="35:65" ht="12.75" customHeight="1">
      <c r="AI213" s="668"/>
      <c r="AJ213" s="974"/>
      <c r="AK213" s="974"/>
      <c r="AL213" s="974"/>
      <c r="AM213" s="974"/>
      <c r="AN213" s="974"/>
      <c r="AO213" s="974"/>
      <c r="AP213" s="974"/>
      <c r="AQ213" s="974"/>
      <c r="AR213" s="576"/>
      <c r="AS213" s="367"/>
      <c r="AT213"/>
      <c r="AU213"/>
      <c r="AV213"/>
      <c r="AW213"/>
      <c r="AX213"/>
      <c r="AY213"/>
      <c r="AZ213"/>
      <c r="BA213"/>
      <c r="BB213"/>
      <c r="BC213"/>
      <c r="BD213"/>
      <c r="BE213"/>
      <c r="BF213"/>
      <c r="BG213"/>
      <c r="BH213"/>
      <c r="BI213"/>
      <c r="BJ213"/>
      <c r="BK213"/>
      <c r="BL213"/>
      <c r="BM213"/>
    </row>
    <row r="214" spans="35:65" ht="12.75" customHeight="1">
      <c r="AI214" s="668"/>
      <c r="AJ214" s="364"/>
      <c r="AK214" s="375"/>
      <c r="AL214" s="375"/>
      <c r="AM214" s="577"/>
      <c r="AN214" s="577"/>
      <c r="AO214" s="577"/>
      <c r="AP214" s="577"/>
      <c r="AQ214" s="551"/>
      <c r="AR214" s="363"/>
      <c r="AS214" s="367"/>
      <c r="AT214"/>
      <c r="AU214"/>
      <c r="AV214"/>
      <c r="AW214"/>
      <c r="AX214"/>
      <c r="AY214"/>
      <c r="AZ214"/>
      <c r="BA214"/>
      <c r="BB214"/>
      <c r="BC214"/>
      <c r="BD214"/>
      <c r="BE214"/>
      <c r="BF214"/>
      <c r="BG214"/>
      <c r="BH214"/>
      <c r="BI214"/>
      <c r="BJ214"/>
      <c r="BK214"/>
      <c r="BL214"/>
      <c r="BM214"/>
    </row>
    <row r="215" spans="35:65" ht="12.75" customHeight="1">
      <c r="AI215" s="668"/>
      <c r="AJ215" s="975" t="s">
        <v>667</v>
      </c>
      <c r="AK215" s="976"/>
      <c r="AL215" s="976"/>
      <c r="AM215" s="976"/>
      <c r="AN215" s="976"/>
      <c r="AO215" s="976"/>
      <c r="AP215" s="979">
        <f>10*AN30</f>
        <v>76800</v>
      </c>
      <c r="AQ215" s="935" t="s">
        <v>668</v>
      </c>
      <c r="AR215" s="364"/>
      <c r="AS215" s="367"/>
      <c r="AT215"/>
      <c r="AU215"/>
      <c r="AV215"/>
      <c r="AW215"/>
      <c r="AX215"/>
      <c r="AY215"/>
      <c r="AZ215"/>
      <c r="BA215"/>
      <c r="BB215"/>
      <c r="BC215"/>
      <c r="BD215"/>
      <c r="BE215"/>
      <c r="BF215"/>
      <c r="BG215"/>
      <c r="BH215"/>
      <c r="BI215"/>
      <c r="BJ215"/>
      <c r="BK215"/>
      <c r="BL215"/>
      <c r="BM215"/>
    </row>
    <row r="216" spans="35:65" ht="12.75" customHeight="1">
      <c r="AI216" s="668"/>
      <c r="AJ216" s="977"/>
      <c r="AK216" s="978"/>
      <c r="AL216" s="978"/>
      <c r="AM216" s="978"/>
      <c r="AN216" s="978"/>
      <c r="AO216" s="978"/>
      <c r="AP216" s="979"/>
      <c r="AQ216" s="935"/>
      <c r="AR216" s="364"/>
      <c r="AS216" s="367"/>
      <c r="AT216"/>
      <c r="AU216"/>
      <c r="AV216"/>
      <c r="AW216"/>
      <c r="AX216"/>
      <c r="AY216"/>
      <c r="AZ216"/>
      <c r="BA216"/>
      <c r="BB216"/>
      <c r="BC216"/>
      <c r="BD216"/>
      <c r="BE216"/>
      <c r="BF216"/>
      <c r="BG216"/>
      <c r="BH216"/>
      <c r="BI216"/>
      <c r="BJ216"/>
      <c r="BK216"/>
      <c r="BL216"/>
      <c r="BM216"/>
    </row>
    <row r="217" spans="35:65" ht="12.75" customHeight="1">
      <c r="AI217" s="668"/>
      <c r="AJ217" s="578"/>
      <c r="AK217" s="578"/>
      <c r="AL217" s="578"/>
      <c r="AM217" s="578"/>
      <c r="AN217" s="578"/>
      <c r="AO217" s="578"/>
      <c r="AP217" s="578"/>
      <c r="AQ217" s="579"/>
      <c r="AR217" s="551"/>
      <c r="AS217" s="367"/>
      <c r="AT217"/>
      <c r="AU217"/>
      <c r="AV217"/>
      <c r="AW217"/>
      <c r="AX217"/>
      <c r="AY217"/>
      <c r="AZ217"/>
      <c r="BA217"/>
      <c r="BB217"/>
      <c r="BC217"/>
      <c r="BD217"/>
      <c r="BE217"/>
      <c r="BF217"/>
      <c r="BG217"/>
      <c r="BH217"/>
      <c r="BI217"/>
      <c r="BJ217"/>
      <c r="BK217"/>
      <c r="BL217"/>
      <c r="BM217"/>
    </row>
    <row r="218" spans="35:65" ht="12.75" customHeight="1">
      <c r="AI218" s="668"/>
      <c r="AJ218" s="937" t="s">
        <v>678</v>
      </c>
      <c r="AK218" s="937"/>
      <c r="AL218" s="937"/>
      <c r="AM218" s="937"/>
      <c r="AN218" s="949" t="s">
        <v>500</v>
      </c>
      <c r="AO218" s="938" t="s">
        <v>22</v>
      </c>
      <c r="AP218" s="940" t="s">
        <v>579</v>
      </c>
      <c r="AQ218" s="942" t="s">
        <v>21</v>
      </c>
      <c r="AR218" s="361"/>
      <c r="AS218" s="367"/>
      <c r="AT218"/>
      <c r="AU218"/>
      <c r="AV218"/>
      <c r="AW218"/>
      <c r="AX218"/>
      <c r="AY218"/>
      <c r="AZ218"/>
      <c r="BA218"/>
      <c r="BB218"/>
      <c r="BC218"/>
      <c r="BD218"/>
      <c r="BE218"/>
      <c r="BF218"/>
      <c r="BG218"/>
      <c r="BH218"/>
      <c r="BI218"/>
      <c r="BJ218"/>
      <c r="BK218"/>
      <c r="BL218"/>
      <c r="BM218"/>
    </row>
    <row r="219" spans="35:65" ht="12.75" customHeight="1">
      <c r="AI219" s="668"/>
      <c r="AJ219" s="937"/>
      <c r="AK219" s="937"/>
      <c r="AL219" s="937"/>
      <c r="AM219" s="937"/>
      <c r="AN219" s="950"/>
      <c r="AO219" s="939"/>
      <c r="AP219" s="941"/>
      <c r="AQ219" s="943"/>
      <c r="AR219" s="361"/>
      <c r="AS219" s="367"/>
      <c r="AT219"/>
      <c r="AU219"/>
      <c r="AV219"/>
      <c r="AW219"/>
      <c r="AX219"/>
      <c r="AY219"/>
      <c r="AZ219"/>
      <c r="BA219"/>
      <c r="BB219"/>
      <c r="BC219"/>
      <c r="BD219"/>
      <c r="BE219"/>
      <c r="BF219"/>
      <c r="BG219"/>
      <c r="BH219"/>
      <c r="BI219"/>
      <c r="BJ219"/>
      <c r="BK219"/>
      <c r="BL219"/>
      <c r="BM219"/>
    </row>
    <row r="220" spans="35:65" ht="12.75" customHeight="1">
      <c r="AI220" s="668"/>
      <c r="AJ220" s="968" t="s">
        <v>533</v>
      </c>
      <c r="AK220" s="968"/>
      <c r="AL220" s="968"/>
      <c r="AM220" s="968"/>
      <c r="AN220" s="580">
        <v>0.107</v>
      </c>
      <c r="AO220" s="581">
        <f>VLOOKUP($AN$5,'Lookup Energy kWhm'!$B$8:$E$208,3)</f>
        <v>0.13</v>
      </c>
      <c r="AP220" s="581">
        <f>VLOOKUP($AN$5,'Lookup Energy kWhm'!$B$8:$E$208,4)</f>
        <v>0.14799999999999999</v>
      </c>
      <c r="AQ220" s="581">
        <f>VLOOKUP($AN$5,'Lookup Energy kWhm'!$B$8:$E$208,2)</f>
        <v>0.1</v>
      </c>
      <c r="AR220" s="361"/>
      <c r="AS220" s="367"/>
      <c r="AT220"/>
      <c r="AU220"/>
      <c r="AV220"/>
      <c r="AW220"/>
      <c r="AX220"/>
      <c r="AY220"/>
      <c r="AZ220"/>
      <c r="BA220"/>
      <c r="BB220"/>
      <c r="BC220"/>
      <c r="BD220"/>
      <c r="BE220"/>
      <c r="BF220"/>
      <c r="BG220"/>
      <c r="BH220"/>
      <c r="BI220"/>
      <c r="BJ220"/>
      <c r="BK220"/>
      <c r="BL220"/>
      <c r="BM220"/>
    </row>
    <row r="221" spans="35:65" ht="12.75" customHeight="1">
      <c r="AI221" s="668"/>
      <c r="AJ221" s="969" t="s">
        <v>31</v>
      </c>
      <c r="AK221" s="969"/>
      <c r="AL221" s="969"/>
      <c r="AM221" s="969"/>
      <c r="AN221" s="556">
        <f t="shared" ref="AN221:AO224" si="2">AP221</f>
        <v>1.2</v>
      </c>
      <c r="AO221" s="556">
        <f t="shared" si="2"/>
        <v>1.2</v>
      </c>
      <c r="AP221" s="556">
        <f>AO221</f>
        <v>1.2</v>
      </c>
      <c r="AQ221" s="556">
        <f>AN25</f>
        <v>1.2</v>
      </c>
      <c r="AR221" s="361"/>
      <c r="AS221" s="367"/>
      <c r="AT221"/>
      <c r="AU221"/>
      <c r="AV221"/>
      <c r="AW221"/>
      <c r="AX221"/>
      <c r="AY221"/>
      <c r="AZ221"/>
      <c r="BA221"/>
      <c r="BB221"/>
      <c r="BC221"/>
      <c r="BD221"/>
      <c r="BE221"/>
      <c r="BF221"/>
      <c r="BG221"/>
      <c r="BH221"/>
      <c r="BI221"/>
      <c r="BJ221"/>
      <c r="BK221"/>
      <c r="BL221"/>
      <c r="BM221"/>
    </row>
    <row r="222" spans="35:65" ht="12.75" customHeight="1">
      <c r="AI222" s="668"/>
      <c r="AJ222" s="969" t="s">
        <v>314</v>
      </c>
      <c r="AK222" s="969"/>
      <c r="AL222" s="969"/>
      <c r="AM222" s="969"/>
      <c r="AN222" s="556">
        <f t="shared" si="2"/>
        <v>160</v>
      </c>
      <c r="AO222" s="556">
        <f t="shared" si="2"/>
        <v>160</v>
      </c>
      <c r="AP222" s="556">
        <f>AO222</f>
        <v>160</v>
      </c>
      <c r="AQ222" s="556">
        <f>AN24</f>
        <v>160</v>
      </c>
      <c r="AR222" s="361"/>
      <c r="AS222" s="367"/>
      <c r="AT222"/>
      <c r="AU222"/>
      <c r="AV222"/>
      <c r="AW222"/>
      <c r="AX222"/>
      <c r="AY222"/>
      <c r="AZ222"/>
      <c r="BA222"/>
      <c r="BB222"/>
      <c r="BC222"/>
      <c r="BD222"/>
      <c r="BE222"/>
      <c r="BF222"/>
      <c r="BG222"/>
      <c r="BH222"/>
      <c r="BI222"/>
      <c r="BJ222"/>
      <c r="BK222"/>
      <c r="BL222"/>
      <c r="BM222"/>
    </row>
    <row r="223" spans="35:65" ht="12.75" customHeight="1">
      <c r="AI223" s="668"/>
      <c r="AJ223" s="969" t="s">
        <v>20</v>
      </c>
      <c r="AK223" s="969"/>
      <c r="AL223" s="969"/>
      <c r="AM223" s="969"/>
      <c r="AN223" s="556">
        <f t="shared" si="2"/>
        <v>40</v>
      </c>
      <c r="AO223" s="556">
        <f t="shared" si="2"/>
        <v>40</v>
      </c>
      <c r="AP223" s="556">
        <f>AO223</f>
        <v>40</v>
      </c>
      <c r="AQ223" s="556">
        <f>AN27</f>
        <v>40</v>
      </c>
      <c r="AR223" s="361"/>
      <c r="AS223" s="367"/>
      <c r="AT223"/>
      <c r="AU223"/>
      <c r="AV223"/>
      <c r="AW223"/>
      <c r="AX223"/>
      <c r="AY223"/>
      <c r="AZ223"/>
      <c r="BA223"/>
      <c r="BB223"/>
      <c r="BC223"/>
      <c r="BD223"/>
      <c r="BE223"/>
      <c r="BF223"/>
      <c r="BG223"/>
      <c r="BH223"/>
      <c r="BI223"/>
      <c r="BJ223"/>
      <c r="BK223"/>
      <c r="BL223"/>
      <c r="BM223"/>
    </row>
    <row r="224" spans="35:65" ht="12.75" customHeight="1">
      <c r="AI224" s="668"/>
      <c r="AJ224" s="969" t="s">
        <v>310</v>
      </c>
      <c r="AK224" s="969"/>
      <c r="AL224" s="969"/>
      <c r="AM224" s="969"/>
      <c r="AN224" s="556">
        <f t="shared" si="2"/>
        <v>160</v>
      </c>
      <c r="AO224" s="556">
        <f t="shared" si="2"/>
        <v>160</v>
      </c>
      <c r="AP224" s="556">
        <f>AO224</f>
        <v>160</v>
      </c>
      <c r="AQ224" s="556">
        <f>AN28</f>
        <v>160</v>
      </c>
      <c r="AR224" s="361"/>
      <c r="AS224" s="367"/>
      <c r="AT224"/>
      <c r="AU224"/>
      <c r="AV224"/>
      <c r="AW224"/>
      <c r="AX224"/>
      <c r="AY224"/>
      <c r="AZ224"/>
      <c r="BA224"/>
      <c r="BB224"/>
      <c r="BC224"/>
      <c r="BD224"/>
      <c r="BE224"/>
      <c r="BF224"/>
      <c r="BG224"/>
      <c r="BH224"/>
      <c r="BI224"/>
      <c r="BJ224"/>
      <c r="BK224"/>
      <c r="BL224"/>
      <c r="BM224"/>
    </row>
    <row r="225" spans="35:65" ht="12.75" customHeight="1">
      <c r="AI225" s="668"/>
      <c r="AJ225" s="968" t="s">
        <v>543</v>
      </c>
      <c r="AK225" s="968"/>
      <c r="AL225" s="968"/>
      <c r="AM225" s="968"/>
      <c r="AN225" s="582">
        <f>AN220*AN221*AN222*AN223</f>
        <v>821.75999999999988</v>
      </c>
      <c r="AO225" s="582">
        <f>AO220*AO221*AO222*AO223</f>
        <v>998.40000000000009</v>
      </c>
      <c r="AP225" s="582">
        <f>AP220*AP221*AP222*AP223</f>
        <v>1136.6399999999999</v>
      </c>
      <c r="AQ225" s="582">
        <f>AQ220*AQ221*AQ222*AQ223</f>
        <v>768</v>
      </c>
      <c r="AR225" s="361"/>
      <c r="AS225" s="367"/>
      <c r="AT225"/>
      <c r="AU225"/>
      <c r="AV225"/>
      <c r="AW225"/>
      <c r="AX225"/>
      <c r="AY225"/>
      <c r="AZ225"/>
      <c r="BA225"/>
      <c r="BB225"/>
      <c r="BC225"/>
      <c r="BD225"/>
      <c r="BE225"/>
      <c r="BF225"/>
      <c r="BG225"/>
      <c r="BH225"/>
      <c r="BI225"/>
      <c r="BJ225"/>
      <c r="BK225"/>
      <c r="BL225"/>
      <c r="BM225"/>
    </row>
    <row r="226" spans="35:65" ht="12.75" customHeight="1">
      <c r="AI226" s="668"/>
      <c r="AJ226" s="968" t="s">
        <v>542</v>
      </c>
      <c r="AK226" s="968"/>
      <c r="AL226" s="968"/>
      <c r="AM226" s="968"/>
      <c r="AN226" s="583">
        <f>AN225/AN224</f>
        <v>5.1359999999999992</v>
      </c>
      <c r="AO226" s="583">
        <f>AO225/AO224</f>
        <v>6.24</v>
      </c>
      <c r="AP226" s="583">
        <f>AP225/AP224</f>
        <v>7.1039999999999992</v>
      </c>
      <c r="AQ226" s="583">
        <f>AQ225/AQ224</f>
        <v>4.8</v>
      </c>
      <c r="AR226" s="361"/>
      <c r="AS226" s="367"/>
      <c r="AT226"/>
      <c r="AU226"/>
      <c r="AV226"/>
      <c r="AW226"/>
      <c r="AX226"/>
      <c r="AY226"/>
      <c r="AZ226"/>
      <c r="BA226"/>
      <c r="BB226"/>
      <c r="BC226"/>
      <c r="BD226"/>
      <c r="BE226"/>
      <c r="BF226"/>
      <c r="BG226"/>
      <c r="BH226"/>
      <c r="BI226"/>
      <c r="BJ226"/>
      <c r="BK226"/>
      <c r="BL226"/>
      <c r="BM226"/>
    </row>
    <row r="227" spans="35:65" ht="12.75" customHeight="1">
      <c r="AI227" s="668"/>
      <c r="AJ227" s="968" t="s">
        <v>538</v>
      </c>
      <c r="AK227" s="968"/>
      <c r="AL227" s="968"/>
      <c r="AM227" s="968"/>
      <c r="AN227" s="537">
        <f>AM67</f>
        <v>2.6666666666666665</v>
      </c>
      <c r="AO227" s="537">
        <f>AN67</f>
        <v>1.9999999999999996</v>
      </c>
      <c r="AP227" s="537">
        <f>AO67</f>
        <v>1.7391304347826084</v>
      </c>
      <c r="AQ227" s="537">
        <f>AP67</f>
        <v>1.4285714285714284</v>
      </c>
      <c r="AR227" s="361"/>
      <c r="AS227" s="367"/>
      <c r="AT227"/>
      <c r="AU227"/>
      <c r="AV227"/>
      <c r="AW227"/>
      <c r="AX227"/>
      <c r="AY227"/>
      <c r="AZ227"/>
      <c r="BA227"/>
      <c r="BB227"/>
      <c r="BC227"/>
      <c r="BD227"/>
      <c r="BE227"/>
      <c r="BF227"/>
      <c r="BG227"/>
      <c r="BH227"/>
      <c r="BI227"/>
      <c r="BJ227"/>
      <c r="BK227"/>
      <c r="BL227"/>
      <c r="BM227"/>
    </row>
    <row r="228" spans="35:65" ht="12.75" customHeight="1">
      <c r="AI228" s="668"/>
      <c r="AJ228" s="968" t="s">
        <v>546</v>
      </c>
      <c r="AK228" s="968"/>
      <c r="AL228" s="968"/>
      <c r="AM228" s="968"/>
      <c r="AN228" s="584">
        <f>2.2*AN227</f>
        <v>5.8666666666666671</v>
      </c>
      <c r="AO228" s="584">
        <f>AO227/AO220</f>
        <v>15.384615384615381</v>
      </c>
      <c r="AP228" s="584">
        <f>AP227/AP220</f>
        <v>11.750881316098706</v>
      </c>
      <c r="AQ228" s="584">
        <f>AQ227/AQ220</f>
        <v>14.285714285714283</v>
      </c>
      <c r="AR228" s="361"/>
      <c r="AS228" s="367"/>
      <c r="AT228"/>
      <c r="AU228"/>
      <c r="AV228"/>
      <c r="AW228"/>
      <c r="AX228"/>
      <c r="AY228"/>
      <c r="AZ228"/>
      <c r="BA228"/>
      <c r="BB228"/>
      <c r="BC228"/>
      <c r="BD228"/>
      <c r="BE228"/>
      <c r="BF228"/>
      <c r="BG228"/>
      <c r="BH228"/>
      <c r="BI228"/>
      <c r="BJ228"/>
      <c r="BK228"/>
      <c r="BL228"/>
      <c r="BM228"/>
    </row>
    <row r="229" spans="35:65" ht="12.75" customHeight="1">
      <c r="AI229" s="668"/>
      <c r="AJ229" s="968" t="s">
        <v>544</v>
      </c>
      <c r="AK229" s="968"/>
      <c r="AL229" s="968"/>
      <c r="AM229" s="968"/>
      <c r="AN229" s="582">
        <f>AN224*AN228</f>
        <v>938.66666666666674</v>
      </c>
      <c r="AO229" s="582">
        <f>AO224*AO228</f>
        <v>2461.538461538461</v>
      </c>
      <c r="AP229" s="582">
        <f>AP224*AP228</f>
        <v>1880.141010575793</v>
      </c>
      <c r="AQ229" s="674">
        <f>AQ224*AQ228</f>
        <v>2285.7142857142853</v>
      </c>
      <c r="AR229" s="361"/>
      <c r="AS229" s="367"/>
      <c r="AT229"/>
      <c r="AU229"/>
      <c r="AV229"/>
      <c r="AW229"/>
      <c r="AX229"/>
      <c r="AY229"/>
      <c r="AZ229"/>
      <c r="BA229"/>
      <c r="BB229"/>
      <c r="BC229"/>
      <c r="BD229"/>
      <c r="BE229"/>
      <c r="BF229"/>
      <c r="BG229"/>
      <c r="BH229"/>
      <c r="BI229"/>
      <c r="BJ229"/>
      <c r="BK229"/>
      <c r="BL229"/>
      <c r="BM229"/>
    </row>
    <row r="230" spans="35:65" ht="12.75" customHeight="1">
      <c r="AI230" s="668"/>
      <c r="AJ230" s="969" t="s">
        <v>535</v>
      </c>
      <c r="AK230" s="969"/>
      <c r="AL230" s="969"/>
      <c r="AM230" s="969"/>
      <c r="AN230" s="556">
        <f>AN222/AN227</f>
        <v>60</v>
      </c>
      <c r="AO230" s="556">
        <f>AO222/AO227</f>
        <v>80.000000000000014</v>
      </c>
      <c r="AP230" s="556">
        <f>AP222/AP227</f>
        <v>92.000000000000014</v>
      </c>
      <c r="AQ230" s="556">
        <f>AQ222/AQ227</f>
        <v>112.00000000000001</v>
      </c>
      <c r="AR230" s="361"/>
      <c r="AS230" s="367"/>
      <c r="AT230"/>
      <c r="AU230"/>
      <c r="AV230"/>
      <c r="AW230"/>
      <c r="AX230"/>
      <c r="AY230"/>
      <c r="AZ230"/>
      <c r="BA230"/>
      <c r="BB230"/>
      <c r="BC230"/>
      <c r="BD230"/>
      <c r="BE230"/>
      <c r="BF230"/>
      <c r="BG230"/>
      <c r="BH230"/>
      <c r="BI230"/>
      <c r="BJ230"/>
      <c r="BK230"/>
      <c r="BL230"/>
      <c r="BM230"/>
    </row>
    <row r="231" spans="35:65" ht="12.75" customHeight="1">
      <c r="AI231" s="668"/>
      <c r="AJ231" s="969" t="s">
        <v>536</v>
      </c>
      <c r="AK231" s="969"/>
      <c r="AL231" s="969"/>
      <c r="AM231" s="969"/>
      <c r="AN231" s="675">
        <f>AN221*AN230</f>
        <v>72</v>
      </c>
      <c r="AO231" s="675">
        <f>AO221*AO230</f>
        <v>96.000000000000014</v>
      </c>
      <c r="AP231" s="675">
        <f>AP221*AP230</f>
        <v>110.40000000000002</v>
      </c>
      <c r="AQ231" s="675">
        <f>AQ221*AQ230</f>
        <v>134.4</v>
      </c>
      <c r="AR231" s="361"/>
      <c r="AS231" s="367"/>
      <c r="AT231"/>
      <c r="AU231"/>
      <c r="AV231"/>
      <c r="AW231"/>
      <c r="AX231"/>
      <c r="AY231"/>
      <c r="AZ231"/>
      <c r="BA231"/>
      <c r="BB231"/>
      <c r="BC231"/>
      <c r="BD231"/>
      <c r="BE231"/>
      <c r="BF231"/>
      <c r="BG231"/>
      <c r="BH231"/>
      <c r="BI231"/>
      <c r="BJ231"/>
      <c r="BK231"/>
      <c r="BL231"/>
      <c r="BM231"/>
    </row>
    <row r="232" spans="35:65" ht="12.75" customHeight="1">
      <c r="AI232" s="668"/>
      <c r="AJ232" s="968" t="s">
        <v>534</v>
      </c>
      <c r="AK232" s="968"/>
      <c r="AL232" s="968"/>
      <c r="AM232" s="968"/>
      <c r="AN232" s="583">
        <f>AM61</f>
        <v>4</v>
      </c>
      <c r="AO232" s="583">
        <f>AN61</f>
        <v>2.9999999999999996</v>
      </c>
      <c r="AP232" s="583">
        <f>AO61</f>
        <v>2.6086956521739126</v>
      </c>
      <c r="AQ232" s="583">
        <f>AP61</f>
        <v>2.1428571428571428</v>
      </c>
      <c r="AR232" s="361"/>
      <c r="AS232" s="367"/>
      <c r="AT232"/>
      <c r="AU232"/>
      <c r="AV232"/>
      <c r="AW232"/>
      <c r="AX232"/>
      <c r="AY232"/>
      <c r="AZ232"/>
      <c r="BA232"/>
      <c r="BB232"/>
      <c r="BC232"/>
      <c r="BD232"/>
      <c r="BE232"/>
      <c r="BF232"/>
      <c r="BG232"/>
      <c r="BH232"/>
      <c r="BI232"/>
      <c r="BJ232"/>
      <c r="BK232"/>
      <c r="BL232"/>
      <c r="BM232"/>
    </row>
    <row r="233" spans="35:65" ht="12.75" customHeight="1">
      <c r="AI233" s="668"/>
      <c r="AJ233" s="968" t="s">
        <v>537</v>
      </c>
      <c r="AK233" s="968"/>
      <c r="AL233" s="968"/>
      <c r="AM233" s="968"/>
      <c r="AN233" s="584">
        <f>AN230*AN232</f>
        <v>240</v>
      </c>
      <c r="AO233" s="584">
        <f>AO230*AO232</f>
        <v>240</v>
      </c>
      <c r="AP233" s="584">
        <f>AP230*AP232</f>
        <v>240</v>
      </c>
      <c r="AQ233" s="584">
        <f>AQ230*AQ232</f>
        <v>240.00000000000003</v>
      </c>
      <c r="AR233" s="361"/>
      <c r="AS233" s="367"/>
      <c r="AT233"/>
      <c r="AU233"/>
      <c r="AV233"/>
      <c r="AW233"/>
      <c r="AX233"/>
      <c r="AY233"/>
      <c r="AZ233"/>
      <c r="BA233"/>
      <c r="BB233"/>
      <c r="BC233"/>
      <c r="BD233"/>
      <c r="BE233"/>
      <c r="BF233"/>
      <c r="BG233"/>
      <c r="BH233"/>
      <c r="BI233"/>
      <c r="BJ233"/>
      <c r="BK233"/>
      <c r="BL233"/>
      <c r="BM233"/>
    </row>
    <row r="234" spans="35:65" ht="12.75" customHeight="1">
      <c r="AI234" s="668"/>
      <c r="AJ234" s="968" t="s">
        <v>545</v>
      </c>
      <c r="AK234" s="968"/>
      <c r="AL234" s="968"/>
      <c r="AM234" s="968"/>
      <c r="AN234" s="585">
        <f>AN226/AN228</f>
        <v>0.87545454545454526</v>
      </c>
      <c r="AO234" s="585">
        <f>AO226/AO228</f>
        <v>0.40560000000000007</v>
      </c>
      <c r="AP234" s="585">
        <f>AP226/AP228</f>
        <v>0.60455040000000004</v>
      </c>
      <c r="AQ234" s="585">
        <f>AQ226/AQ228</f>
        <v>0.33600000000000008</v>
      </c>
      <c r="AR234" s="361"/>
      <c r="AS234" s="367"/>
      <c r="AT234"/>
      <c r="AU234"/>
      <c r="AV234"/>
      <c r="AW234"/>
      <c r="AX234"/>
      <c r="AY234"/>
      <c r="AZ234"/>
      <c r="BA234"/>
      <c r="BB234"/>
      <c r="BC234"/>
      <c r="BD234"/>
      <c r="BE234"/>
      <c r="BF234"/>
      <c r="BG234"/>
      <c r="BH234"/>
      <c r="BI234"/>
      <c r="BJ234"/>
      <c r="BK234"/>
      <c r="BL234"/>
      <c r="BM234"/>
    </row>
    <row r="235" spans="35:65" ht="12.75" customHeight="1">
      <c r="AI235" s="668"/>
      <c r="AJ235" s="540" t="s">
        <v>547</v>
      </c>
      <c r="AK235" s="540"/>
      <c r="AL235" s="540"/>
      <c r="AM235" s="540"/>
      <c r="AN235" s="585"/>
      <c r="AO235" s="586">
        <f>10*AO222*AO221*AO223</f>
        <v>76800</v>
      </c>
      <c r="AP235" s="586">
        <f>10*AP222*AP221*AP223</f>
        <v>76800</v>
      </c>
      <c r="AQ235" s="586">
        <f>10*AQ222*AQ221*AQ223</f>
        <v>76800</v>
      </c>
      <c r="AR235" s="361"/>
      <c r="AS235" s="367"/>
      <c r="AT235"/>
      <c r="AU235"/>
      <c r="AV235"/>
      <c r="AW235"/>
      <c r="AX235"/>
      <c r="AY235"/>
      <c r="AZ235"/>
      <c r="BA235"/>
      <c r="BB235"/>
      <c r="BC235"/>
      <c r="BD235"/>
      <c r="BE235"/>
      <c r="BF235"/>
      <c r="BG235"/>
      <c r="BH235"/>
      <c r="BI235"/>
      <c r="BJ235"/>
      <c r="BK235"/>
      <c r="BL235"/>
      <c r="BM235"/>
    </row>
    <row r="236" spans="35:65" ht="12.75" customHeight="1">
      <c r="AI236" s="668"/>
      <c r="AJ236" s="968" t="s">
        <v>548</v>
      </c>
      <c r="AK236" s="968"/>
      <c r="AL236" s="968"/>
      <c r="AM236" s="968"/>
      <c r="AN236" s="585">
        <f>AN234</f>
        <v>0.87545454545454526</v>
      </c>
      <c r="AO236" s="585">
        <f>AO225/AO235</f>
        <v>1.3000000000000001E-2</v>
      </c>
      <c r="AP236" s="585">
        <f>AP225/AP235</f>
        <v>1.4799999999999999E-2</v>
      </c>
      <c r="AQ236" s="585">
        <f>AQ225/AQ235</f>
        <v>0.01</v>
      </c>
      <c r="AR236" s="361"/>
      <c r="AS236" s="367"/>
      <c r="AT236"/>
      <c r="AU236"/>
      <c r="AV236"/>
      <c r="AW236"/>
      <c r="AX236"/>
      <c r="AY236"/>
      <c r="AZ236"/>
      <c r="BA236"/>
      <c r="BB236"/>
      <c r="BC236"/>
      <c r="BD236"/>
      <c r="BE236"/>
      <c r="BF236"/>
      <c r="BG236"/>
      <c r="BH236"/>
      <c r="BI236"/>
      <c r="BJ236"/>
      <c r="BK236"/>
      <c r="BL236"/>
      <c r="BM236"/>
    </row>
    <row r="237" spans="35:65" ht="12.75" customHeight="1">
      <c r="AI237" s="668"/>
      <c r="AJ237" s="587"/>
      <c r="AK237" s="587"/>
      <c r="AL237" s="587"/>
      <c r="AM237" s="587"/>
      <c r="AN237" s="588"/>
      <c r="AO237" s="588"/>
      <c r="AP237" s="588"/>
      <c r="AQ237" s="588"/>
      <c r="AR237" s="589"/>
      <c r="AS237" s="367"/>
      <c r="AT237"/>
      <c r="AU237"/>
      <c r="AV237"/>
      <c r="AW237"/>
      <c r="AX237"/>
      <c r="AY237"/>
      <c r="AZ237"/>
      <c r="BA237"/>
      <c r="BB237"/>
      <c r="BC237"/>
      <c r="BD237"/>
      <c r="BE237"/>
      <c r="BF237"/>
      <c r="BG237"/>
      <c r="BH237"/>
      <c r="BI237"/>
      <c r="BJ237"/>
      <c r="BK237"/>
      <c r="BL237"/>
      <c r="BM237"/>
    </row>
    <row r="238" spans="35:65" ht="12.75" customHeight="1">
      <c r="AI238" s="668"/>
      <c r="AJ238" s="587"/>
      <c r="AK238" s="587"/>
      <c r="AL238" s="587"/>
      <c r="AM238" s="587"/>
      <c r="AN238" s="676"/>
      <c r="AO238" s="676"/>
      <c r="AP238" s="676"/>
      <c r="AQ238" s="588"/>
      <c r="AR238" s="364"/>
      <c r="AS238" s="367"/>
      <c r="AT238"/>
      <c r="AU238"/>
      <c r="AV238"/>
      <c r="AW238"/>
      <c r="AX238"/>
      <c r="AY238"/>
      <c r="AZ238"/>
      <c r="BA238"/>
      <c r="BB238"/>
      <c r="BC238"/>
      <c r="BD238"/>
      <c r="BE238"/>
      <c r="BF238"/>
      <c r="BG238"/>
      <c r="BH238"/>
      <c r="BI238"/>
      <c r="BJ238"/>
      <c r="BK238"/>
      <c r="BL238"/>
      <c r="BM238"/>
    </row>
    <row r="239" spans="35:65" ht="12.75" customHeight="1">
      <c r="AI239" s="668" t="s">
        <v>240</v>
      </c>
      <c r="AJ239" s="364" t="s">
        <v>241</v>
      </c>
      <c r="AK239" s="364"/>
      <c r="AL239" s="364"/>
      <c r="AM239" s="364"/>
      <c r="AN239" s="364"/>
      <c r="AO239" s="364"/>
      <c r="AP239" s="364"/>
      <c r="AQ239" s="364"/>
      <c r="AR239" s="364"/>
      <c r="AS239" s="367"/>
      <c r="AT239"/>
      <c r="AU239"/>
      <c r="AV239"/>
      <c r="AW239"/>
      <c r="AX239"/>
      <c r="AY239"/>
      <c r="AZ239"/>
      <c r="BA239"/>
      <c r="BB239"/>
      <c r="BC239"/>
      <c r="BD239"/>
      <c r="BE239"/>
      <c r="BF239"/>
      <c r="BG239"/>
      <c r="BH239"/>
      <c r="BI239"/>
      <c r="BJ239"/>
      <c r="BK239"/>
      <c r="BL239"/>
      <c r="BM239"/>
    </row>
    <row r="240" spans="35:65" ht="12.75" customHeight="1">
      <c r="AI240" s="364"/>
      <c r="AJ240" s="962" t="s">
        <v>301</v>
      </c>
      <c r="AK240" s="963"/>
      <c r="AL240" s="964"/>
      <c r="AM240" s="949" t="s">
        <v>500</v>
      </c>
      <c r="AN240" s="938" t="s">
        <v>22</v>
      </c>
      <c r="AO240" s="940" t="s">
        <v>579</v>
      </c>
      <c r="AP240" s="942" t="s">
        <v>21</v>
      </c>
      <c r="AQ240" s="361"/>
      <c r="AR240" s="364"/>
      <c r="AS240" s="367"/>
      <c r="AT240"/>
      <c r="AU240"/>
      <c r="AV240"/>
      <c r="AW240"/>
      <c r="AX240"/>
      <c r="AY240"/>
      <c r="AZ240"/>
      <c r="BA240"/>
      <c r="BB240"/>
      <c r="BC240"/>
      <c r="BD240"/>
      <c r="BE240"/>
      <c r="BF240"/>
      <c r="BG240"/>
      <c r="BH240"/>
      <c r="BI240"/>
      <c r="BJ240"/>
      <c r="BK240"/>
      <c r="BL240"/>
      <c r="BM240"/>
    </row>
    <row r="241" spans="35:65" ht="12.75" customHeight="1">
      <c r="AI241" s="364"/>
      <c r="AJ241" s="965"/>
      <c r="AK241" s="966"/>
      <c r="AL241" s="967"/>
      <c r="AM241" s="950"/>
      <c r="AN241" s="939"/>
      <c r="AO241" s="941"/>
      <c r="AP241" s="943"/>
      <c r="AQ241" s="361"/>
      <c r="AR241" s="364"/>
      <c r="AS241" s="367"/>
      <c r="AT241"/>
      <c r="AU241"/>
      <c r="AV241"/>
      <c r="AW241"/>
      <c r="AX241"/>
      <c r="AY241"/>
      <c r="AZ241"/>
      <c r="BA241"/>
      <c r="BB241"/>
      <c r="BC241"/>
      <c r="BD241"/>
      <c r="BE241"/>
      <c r="BF241"/>
      <c r="BG241"/>
      <c r="BH241"/>
      <c r="BI241"/>
      <c r="BJ241"/>
      <c r="BK241"/>
      <c r="BL241"/>
      <c r="BM241"/>
    </row>
    <row r="242" spans="35:65" ht="12.75" customHeight="1">
      <c r="AI242" s="364"/>
      <c r="AJ242" s="931" t="s">
        <v>662</v>
      </c>
      <c r="AK242" s="931"/>
      <c r="AL242" s="931"/>
      <c r="AM242" s="901" t="s">
        <v>427</v>
      </c>
      <c r="AN242" s="562">
        <f>VLOOKUP($AN$5,'Lookup Air Consumption'!$B$8:$E$208,3)</f>
        <v>38</v>
      </c>
      <c r="AO242" s="562">
        <f>VLOOKUP($AN$5,'Lookup Air Consumption'!$B$8:$E$208,4)</f>
        <v>50</v>
      </c>
      <c r="AP242" s="562">
        <f>VLOOKUP($AN$5,'Lookup Air Consumption'!$B$8:$E$208,2)</f>
        <v>41</v>
      </c>
      <c r="AQ242" s="361"/>
      <c r="AR242" s="364"/>
      <c r="AS242" s="367"/>
      <c r="AT242"/>
      <c r="AU242"/>
      <c r="AV242"/>
      <c r="AW242"/>
      <c r="AX242"/>
      <c r="AY242"/>
      <c r="AZ242"/>
      <c r="BA242"/>
      <c r="BB242"/>
      <c r="BC242"/>
      <c r="BD242"/>
      <c r="BE242"/>
      <c r="BF242"/>
      <c r="BG242"/>
      <c r="BH242"/>
      <c r="BI242"/>
      <c r="BJ242"/>
      <c r="BK242"/>
      <c r="BL242"/>
      <c r="BM242"/>
    </row>
    <row r="243" spans="35:65" ht="12.75" customHeight="1">
      <c r="AI243" s="364"/>
      <c r="AJ243" s="931" t="s">
        <v>663</v>
      </c>
      <c r="AK243" s="931"/>
      <c r="AL243" s="931"/>
      <c r="AM243" s="901"/>
      <c r="AN243" s="590">
        <f>AN242/1000</f>
        <v>3.7999999999999999E-2</v>
      </c>
      <c r="AO243" s="590">
        <f>AO242/1000</f>
        <v>0.05</v>
      </c>
      <c r="AP243" s="590">
        <f>AP242/1000</f>
        <v>4.1000000000000002E-2</v>
      </c>
      <c r="AQ243" s="361"/>
      <c r="AR243" s="364"/>
      <c r="AS243" s="367"/>
      <c r="AT243"/>
      <c r="AU243"/>
      <c r="AV243"/>
      <c r="AW243"/>
      <c r="AX243"/>
      <c r="AY243"/>
      <c r="AZ243"/>
      <c r="BA243"/>
      <c r="BB243"/>
      <c r="BC243"/>
      <c r="BD243"/>
      <c r="BE243"/>
      <c r="BF243"/>
      <c r="BG243"/>
      <c r="BH243"/>
      <c r="BI243"/>
      <c r="BJ243"/>
      <c r="BK243"/>
      <c r="BL243"/>
      <c r="BM243"/>
    </row>
    <row r="244" spans="35:65" ht="12.75" customHeight="1">
      <c r="AI244" s="364"/>
      <c r="AJ244" s="931" t="s">
        <v>664</v>
      </c>
      <c r="AK244" s="931"/>
      <c r="AL244" s="931"/>
      <c r="AM244" s="901"/>
      <c r="AN244" s="560">
        <f>AN243*35.31467</f>
        <v>1.3419574599999999</v>
      </c>
      <c r="AO244" s="560">
        <f>AO243*35.31467</f>
        <v>1.7657335000000001</v>
      </c>
      <c r="AP244" s="560">
        <f>AP243*35.31467</f>
        <v>1.4479014700000001</v>
      </c>
      <c r="AQ244" s="361"/>
      <c r="AR244" s="364"/>
      <c r="AS244" s="367"/>
      <c r="AT244"/>
      <c r="AU244"/>
      <c r="AV244"/>
      <c r="AW244"/>
      <c r="AX244"/>
      <c r="AY244"/>
      <c r="AZ244"/>
      <c r="BA244"/>
      <c r="BB244"/>
      <c r="BC244"/>
      <c r="BD244"/>
      <c r="BE244"/>
      <c r="BF244"/>
      <c r="BG244"/>
      <c r="BH244"/>
      <c r="BI244"/>
      <c r="BJ244"/>
      <c r="BK244"/>
      <c r="BL244"/>
      <c r="BM244"/>
    </row>
    <row r="245" spans="35:65" ht="12.75" customHeight="1">
      <c r="AI245" s="360"/>
      <c r="AJ245" s="551"/>
      <c r="AK245" s="551"/>
      <c r="AL245" s="551"/>
      <c r="AM245" s="591"/>
      <c r="AN245" s="551"/>
      <c r="AO245" s="551"/>
      <c r="AP245" s="551"/>
      <c r="AQ245" s="361"/>
      <c r="AR245" s="364"/>
      <c r="AS245" s="367"/>
      <c r="AT245"/>
      <c r="AU245"/>
      <c r="AV245"/>
      <c r="AW245"/>
      <c r="AX245"/>
      <c r="AY245"/>
      <c r="AZ245"/>
      <c r="BA245"/>
      <c r="BB245"/>
      <c r="BC245"/>
      <c r="BD245"/>
      <c r="BE245"/>
      <c r="BF245"/>
      <c r="BG245"/>
      <c r="BH245"/>
      <c r="BI245"/>
      <c r="BJ245"/>
      <c r="BK245"/>
      <c r="BL245"/>
      <c r="BM245"/>
    </row>
    <row r="246" spans="35:65" ht="12.75" customHeight="1">
      <c r="AI246" s="360"/>
      <c r="AJ246" s="962" t="s">
        <v>302</v>
      </c>
      <c r="AK246" s="963"/>
      <c r="AL246" s="964"/>
      <c r="AM246" s="949" t="s">
        <v>500</v>
      </c>
      <c r="AN246" s="938" t="s">
        <v>22</v>
      </c>
      <c r="AO246" s="940" t="s">
        <v>579</v>
      </c>
      <c r="AP246" s="942" t="s">
        <v>21</v>
      </c>
      <c r="AQ246" s="361"/>
      <c r="AR246" s="364"/>
      <c r="AS246" s="367"/>
      <c r="AT246"/>
      <c r="AU246"/>
      <c r="AV246"/>
      <c r="AW246"/>
      <c r="AX246"/>
      <c r="AY246"/>
      <c r="AZ246"/>
      <c r="BA246"/>
      <c r="BB246"/>
      <c r="BC246"/>
      <c r="BD246"/>
      <c r="BE246"/>
      <c r="BF246"/>
      <c r="BG246"/>
      <c r="BH246"/>
      <c r="BI246"/>
      <c r="BJ246"/>
      <c r="BK246"/>
      <c r="BL246"/>
      <c r="BM246"/>
    </row>
    <row r="247" spans="35:65" ht="12.75" customHeight="1">
      <c r="AI247" s="360"/>
      <c r="AJ247" s="965"/>
      <c r="AK247" s="966"/>
      <c r="AL247" s="967"/>
      <c r="AM247" s="950"/>
      <c r="AN247" s="939"/>
      <c r="AO247" s="941"/>
      <c r="AP247" s="943"/>
      <c r="AQ247" s="361"/>
      <c r="AR247" s="364"/>
      <c r="AS247" s="367"/>
      <c r="AT247"/>
      <c r="AU247"/>
      <c r="AV247"/>
      <c r="AW247"/>
      <c r="AX247"/>
      <c r="AY247"/>
      <c r="AZ247"/>
      <c r="BA247"/>
      <c r="BB247"/>
      <c r="BC247"/>
      <c r="BD247"/>
      <c r="BE247"/>
      <c r="BF247"/>
      <c r="BG247"/>
      <c r="BH247"/>
      <c r="BI247"/>
      <c r="BJ247"/>
      <c r="BK247"/>
      <c r="BL247"/>
      <c r="BM247"/>
    </row>
    <row r="248" spans="35:65" ht="12.75" customHeight="1">
      <c r="AI248" s="360"/>
      <c r="AJ248" s="931" t="s">
        <v>662</v>
      </c>
      <c r="AK248" s="931"/>
      <c r="AL248" s="931"/>
      <c r="AM248" s="901" t="s">
        <v>427</v>
      </c>
      <c r="AN248" s="549">
        <f t="shared" ref="AN248:AP250" si="3">AN242*$AN$28</f>
        <v>6080</v>
      </c>
      <c r="AO248" s="549">
        <f t="shared" si="3"/>
        <v>8000</v>
      </c>
      <c r="AP248" s="549">
        <f t="shared" si="3"/>
        <v>6560</v>
      </c>
      <c r="AQ248" s="361"/>
      <c r="AR248" s="364"/>
      <c r="AS248" s="367"/>
      <c r="AT248"/>
      <c r="AU248"/>
      <c r="AV248"/>
      <c r="AW248"/>
      <c r="AX248"/>
      <c r="AY248"/>
      <c r="AZ248"/>
      <c r="BA248"/>
      <c r="BB248"/>
      <c r="BC248"/>
      <c r="BD248"/>
      <c r="BE248"/>
      <c r="BF248"/>
      <c r="BG248"/>
      <c r="BH248"/>
      <c r="BI248"/>
      <c r="BJ248"/>
      <c r="BK248"/>
      <c r="BL248"/>
      <c r="BM248"/>
    </row>
    <row r="249" spans="35:65" ht="12.75" customHeight="1">
      <c r="AI249" s="360"/>
      <c r="AJ249" s="931" t="s">
        <v>663</v>
      </c>
      <c r="AK249" s="931"/>
      <c r="AL249" s="931"/>
      <c r="AM249" s="901"/>
      <c r="AN249" s="560">
        <f t="shared" si="3"/>
        <v>6.08</v>
      </c>
      <c r="AO249" s="560">
        <f t="shared" si="3"/>
        <v>8</v>
      </c>
      <c r="AP249" s="560">
        <f t="shared" si="3"/>
        <v>6.5600000000000005</v>
      </c>
      <c r="AQ249" s="361"/>
      <c r="AR249" s="364"/>
      <c r="AS249" s="367"/>
      <c r="AT249"/>
      <c r="AU249"/>
      <c r="AV249"/>
      <c r="AW249"/>
      <c r="AX249"/>
      <c r="AY249"/>
      <c r="AZ249"/>
      <c r="BA249"/>
      <c r="BB249"/>
      <c r="BC249"/>
      <c r="BD249"/>
      <c r="BE249"/>
      <c r="BF249"/>
      <c r="BG249"/>
      <c r="BH249"/>
      <c r="BI249"/>
      <c r="BJ249"/>
      <c r="BK249"/>
      <c r="BL249"/>
      <c r="BM249"/>
    </row>
    <row r="250" spans="35:65" ht="12.75" customHeight="1">
      <c r="AI250" s="360"/>
      <c r="AJ250" s="931" t="s">
        <v>664</v>
      </c>
      <c r="AK250" s="931"/>
      <c r="AL250" s="931"/>
      <c r="AM250" s="901"/>
      <c r="AN250" s="560">
        <f t="shared" si="3"/>
        <v>214.71319359999998</v>
      </c>
      <c r="AO250" s="560">
        <f t="shared" si="3"/>
        <v>282.51736</v>
      </c>
      <c r="AP250" s="560">
        <f t="shared" si="3"/>
        <v>231.66423520000001</v>
      </c>
      <c r="AQ250" s="361"/>
      <c r="AR250" s="364"/>
      <c r="AS250" s="367"/>
      <c r="AT250"/>
      <c r="AU250"/>
      <c r="AV250"/>
      <c r="AW250"/>
      <c r="AX250"/>
      <c r="AY250"/>
      <c r="AZ250"/>
      <c r="BA250"/>
      <c r="BB250"/>
      <c r="BC250"/>
      <c r="BD250"/>
      <c r="BE250"/>
      <c r="BF250"/>
      <c r="BG250"/>
      <c r="BH250"/>
      <c r="BI250"/>
      <c r="BJ250"/>
      <c r="BK250"/>
      <c r="BL250"/>
      <c r="BM250"/>
    </row>
    <row r="251" spans="35:65" ht="12.75" customHeight="1">
      <c r="AI251" s="360"/>
      <c r="AJ251" s="364"/>
      <c r="AK251" s="364"/>
      <c r="AL251" s="364"/>
      <c r="AM251" s="364"/>
      <c r="AN251" s="555"/>
      <c r="AO251" s="555"/>
      <c r="AP251" s="555"/>
      <c r="AQ251" s="361"/>
      <c r="AR251" s="364"/>
      <c r="AS251" s="367"/>
      <c r="AT251"/>
      <c r="AU251"/>
      <c r="AV251"/>
      <c r="AW251"/>
      <c r="AX251"/>
      <c r="AY251"/>
      <c r="AZ251"/>
      <c r="BA251"/>
      <c r="BB251"/>
      <c r="BC251"/>
      <c r="BD251"/>
      <c r="BE251"/>
      <c r="BF251"/>
      <c r="BG251"/>
      <c r="BH251"/>
      <c r="BI251"/>
      <c r="BJ251"/>
      <c r="BK251"/>
      <c r="BL251"/>
      <c r="BM251"/>
    </row>
    <row r="252" spans="35:65" ht="12.75" customHeight="1">
      <c r="AI252" s="360"/>
      <c r="AJ252" s="962" t="s">
        <v>303</v>
      </c>
      <c r="AK252" s="963"/>
      <c r="AL252" s="964"/>
      <c r="AM252" s="949" t="s">
        <v>500</v>
      </c>
      <c r="AN252" s="938" t="s">
        <v>22</v>
      </c>
      <c r="AO252" s="940" t="s">
        <v>579</v>
      </c>
      <c r="AP252" s="942" t="s">
        <v>21</v>
      </c>
      <c r="AQ252" s="361"/>
      <c r="AR252" s="364"/>
      <c r="AS252" s="367"/>
      <c r="AT252"/>
      <c r="AU252"/>
      <c r="AV252"/>
      <c r="AW252"/>
      <c r="AX252"/>
      <c r="AY252"/>
      <c r="AZ252"/>
      <c r="BA252"/>
      <c r="BB252"/>
      <c r="BC252"/>
      <c r="BD252"/>
      <c r="BE252"/>
      <c r="BF252"/>
      <c r="BG252"/>
      <c r="BH252"/>
      <c r="BI252"/>
      <c r="BJ252"/>
      <c r="BK252"/>
      <c r="BL252"/>
      <c r="BM252"/>
    </row>
    <row r="253" spans="35:65" ht="12.75" customHeight="1">
      <c r="AI253" s="360"/>
      <c r="AJ253" s="965"/>
      <c r="AK253" s="966"/>
      <c r="AL253" s="967"/>
      <c r="AM253" s="950"/>
      <c r="AN253" s="939"/>
      <c r="AO253" s="941"/>
      <c r="AP253" s="943"/>
      <c r="AQ253" s="361"/>
      <c r="AR253" s="364"/>
      <c r="AS253" s="367"/>
      <c r="AT253"/>
      <c r="AU253"/>
      <c r="AV253"/>
      <c r="AW253"/>
      <c r="AX253"/>
      <c r="AY253"/>
      <c r="AZ253"/>
      <c r="BA253"/>
      <c r="BB253"/>
      <c r="BC253"/>
      <c r="BD253"/>
      <c r="BE253"/>
      <c r="BF253"/>
      <c r="BG253"/>
      <c r="BH253"/>
      <c r="BI253"/>
      <c r="BJ253"/>
      <c r="BK253"/>
      <c r="BL253"/>
      <c r="BM253"/>
    </row>
    <row r="254" spans="35:65" ht="12.75" customHeight="1">
      <c r="AI254" s="563"/>
      <c r="AJ254" s="951" t="s">
        <v>517</v>
      </c>
      <c r="AK254" s="951"/>
      <c r="AL254" s="951"/>
      <c r="AM254" s="901" t="s">
        <v>427</v>
      </c>
      <c r="AN254" s="549">
        <f t="shared" ref="AN254:AP256" si="4">($AN$30/$AP$56)*60*AN242</f>
        <v>31268571.428571429</v>
      </c>
      <c r="AO254" s="549">
        <f t="shared" si="4"/>
        <v>41142857.142857142</v>
      </c>
      <c r="AP254" s="549">
        <f t="shared" si="4"/>
        <v>33737142.857142858</v>
      </c>
      <c r="AQ254" s="361"/>
      <c r="AR254" s="364"/>
      <c r="AS254" s="367"/>
      <c r="AT254"/>
      <c r="AU254"/>
      <c r="AV254"/>
      <c r="AW254"/>
      <c r="AX254"/>
      <c r="AY254"/>
      <c r="AZ254"/>
      <c r="BA254"/>
      <c r="BB254"/>
      <c r="BC254"/>
      <c r="BD254"/>
      <c r="BE254"/>
      <c r="BF254"/>
      <c r="BG254"/>
      <c r="BH254"/>
      <c r="BI254"/>
      <c r="BJ254"/>
      <c r="BK254"/>
      <c r="BL254"/>
      <c r="BM254"/>
    </row>
    <row r="255" spans="35:65" ht="12.75" customHeight="1">
      <c r="AI255" s="364"/>
      <c r="AJ255" s="951" t="s">
        <v>666</v>
      </c>
      <c r="AK255" s="951"/>
      <c r="AL255" s="951"/>
      <c r="AM255" s="901"/>
      <c r="AN255" s="549">
        <f t="shared" si="4"/>
        <v>31268.571428571428</v>
      </c>
      <c r="AO255" s="549">
        <f t="shared" si="4"/>
        <v>41142.857142857145</v>
      </c>
      <c r="AP255" s="549">
        <f t="shared" si="4"/>
        <v>33737.142857142855</v>
      </c>
      <c r="AQ255" s="361"/>
      <c r="AR255" s="364"/>
      <c r="AS255" s="367"/>
      <c r="AT255"/>
      <c r="AU255"/>
      <c r="AV255"/>
      <c r="AW255"/>
      <c r="AX255"/>
      <c r="AY255"/>
      <c r="AZ255"/>
      <c r="BA255"/>
      <c r="BB255"/>
      <c r="BC255"/>
      <c r="BD255"/>
      <c r="BE255"/>
      <c r="BF255"/>
      <c r="BG255"/>
      <c r="BH255"/>
      <c r="BI255"/>
      <c r="BJ255"/>
      <c r="BK255"/>
      <c r="BL255"/>
      <c r="BM255"/>
    </row>
    <row r="256" spans="35:65" ht="12.75" customHeight="1">
      <c r="AI256" s="364"/>
      <c r="AJ256" s="951" t="s">
        <v>583</v>
      </c>
      <c r="AK256" s="951"/>
      <c r="AL256" s="951"/>
      <c r="AM256" s="901"/>
      <c r="AN256" s="549">
        <f t="shared" si="4"/>
        <v>1104239.2813714284</v>
      </c>
      <c r="AO256" s="549">
        <f t="shared" si="4"/>
        <v>1452946.422857143</v>
      </c>
      <c r="AP256" s="549">
        <f t="shared" si="4"/>
        <v>1191416.0667428572</v>
      </c>
      <c r="AQ256" s="361"/>
      <c r="AR256" s="364"/>
      <c r="AS256" s="367"/>
      <c r="AT256"/>
      <c r="AU256"/>
      <c r="AV256"/>
      <c r="AW256"/>
      <c r="AX256"/>
      <c r="AY256"/>
      <c r="AZ256"/>
      <c r="BA256"/>
      <c r="BB256"/>
      <c r="BC256"/>
      <c r="BD256"/>
      <c r="BE256"/>
      <c r="BF256"/>
      <c r="BG256"/>
      <c r="BH256"/>
      <c r="BI256"/>
      <c r="BJ256"/>
      <c r="BK256"/>
      <c r="BL256"/>
      <c r="BM256"/>
    </row>
    <row r="257" spans="35:65" ht="12.75" customHeight="1">
      <c r="AI257" s="364"/>
      <c r="AJ257" s="364"/>
      <c r="AK257" s="364"/>
      <c r="AL257" s="364"/>
      <c r="AM257" s="364"/>
      <c r="AN257" s="364"/>
      <c r="AO257" s="364"/>
      <c r="AP257" s="364"/>
      <c r="AQ257" s="361"/>
      <c r="AR257" s="364"/>
      <c r="AS257" s="367"/>
      <c r="AT257"/>
      <c r="AU257"/>
      <c r="AV257"/>
      <c r="AW257"/>
      <c r="AX257"/>
      <c r="AY257"/>
      <c r="AZ257"/>
      <c r="BA257"/>
      <c r="BB257"/>
      <c r="BC257"/>
      <c r="BD257"/>
      <c r="BE257"/>
      <c r="BF257"/>
      <c r="BG257"/>
      <c r="BH257"/>
      <c r="BI257"/>
      <c r="BJ257"/>
      <c r="BK257"/>
      <c r="BL257"/>
      <c r="BM257"/>
    </row>
    <row r="258" spans="35:65" ht="12.75" customHeight="1">
      <c r="AI258" s="668" t="s">
        <v>753</v>
      </c>
      <c r="AJ258" s="364" t="s">
        <v>300</v>
      </c>
      <c r="AK258" s="364"/>
      <c r="AL258" s="364"/>
      <c r="AM258" s="364"/>
      <c r="AN258" s="364"/>
      <c r="AO258" s="364"/>
      <c r="AP258" s="364"/>
      <c r="AQ258" s="361"/>
      <c r="AR258" s="364"/>
      <c r="AS258" s="367"/>
      <c r="AT258"/>
      <c r="AU258"/>
      <c r="AV258"/>
      <c r="AW258"/>
      <c r="AX258"/>
      <c r="AY258"/>
      <c r="AZ258"/>
      <c r="BA258"/>
      <c r="BB258"/>
      <c r="BC258"/>
      <c r="BD258"/>
      <c r="BE258"/>
      <c r="BF258"/>
      <c r="BG258"/>
      <c r="BH258"/>
      <c r="BI258"/>
      <c r="BJ258"/>
      <c r="BK258"/>
      <c r="BL258"/>
      <c r="BM258"/>
    </row>
    <row r="259" spans="35:65" ht="12.75" customHeight="1">
      <c r="AI259" s="364"/>
      <c r="AJ259" s="957" t="s">
        <v>669</v>
      </c>
      <c r="AK259" s="958"/>
      <c r="AL259" s="959"/>
      <c r="AM259" s="949" t="s">
        <v>500</v>
      </c>
      <c r="AN259" s="938" t="s">
        <v>22</v>
      </c>
      <c r="AO259" s="940" t="s">
        <v>579</v>
      </c>
      <c r="AP259" s="942" t="s">
        <v>21</v>
      </c>
      <c r="AQ259" s="361"/>
      <c r="AR259" s="364"/>
      <c r="AS259" s="367"/>
      <c r="AT259"/>
      <c r="AU259"/>
      <c r="AV259"/>
      <c r="AW259"/>
      <c r="AX259"/>
      <c r="AY259"/>
      <c r="AZ259"/>
      <c r="BA259"/>
      <c r="BB259"/>
      <c r="BC259"/>
      <c r="BD259"/>
      <c r="BE259"/>
      <c r="BF259"/>
      <c r="BG259"/>
      <c r="BH259"/>
      <c r="BI259"/>
      <c r="BJ259"/>
      <c r="BK259"/>
      <c r="BL259"/>
      <c r="BM259"/>
    </row>
    <row r="260" spans="35:65" ht="12.75" customHeight="1">
      <c r="AI260" s="364"/>
      <c r="AJ260" s="960"/>
      <c r="AK260" s="961"/>
      <c r="AL260" s="899"/>
      <c r="AM260" s="950"/>
      <c r="AN260" s="939"/>
      <c r="AO260" s="941"/>
      <c r="AP260" s="943"/>
      <c r="AQ260" s="361"/>
      <c r="AR260" s="364"/>
      <c r="AS260" s="367"/>
      <c r="AT260"/>
      <c r="AU260"/>
      <c r="AV260"/>
      <c r="AW260"/>
      <c r="AX260"/>
      <c r="AY260"/>
      <c r="AZ260"/>
      <c r="BA260"/>
      <c r="BB260"/>
      <c r="BC260"/>
      <c r="BD260"/>
      <c r="BE260"/>
      <c r="BF260"/>
      <c r="BG260"/>
      <c r="BH260"/>
      <c r="BI260"/>
      <c r="BJ260"/>
      <c r="BK260"/>
      <c r="BL260"/>
      <c r="BM260"/>
    </row>
    <row r="261" spans="35:65" ht="12.75" customHeight="1">
      <c r="AI261" s="364"/>
      <c r="AJ261" s="541" t="s">
        <v>80</v>
      </c>
      <c r="AK261" s="559"/>
      <c r="AL261" s="559"/>
      <c r="AM261" s="543">
        <v>6.5</v>
      </c>
      <c r="AN261" s="669">
        <f>VLOOKUP($AN$5,'Lookup Water Flow'!$B$8:$E$208,3)</f>
        <v>6.9</v>
      </c>
      <c r="AO261" s="669">
        <f>VLOOKUP($AN$5,'Lookup Water Flow'!$B$8:$E$208,4)</f>
        <v>12.1</v>
      </c>
      <c r="AP261" s="669">
        <f>VLOOKUP($AN$5,'Lookup Water Flow'!$B$8:$E$208,2)</f>
        <v>12.6</v>
      </c>
      <c r="AQ261" s="361"/>
      <c r="AR261" s="364"/>
      <c r="AS261" s="367"/>
      <c r="AT261"/>
      <c r="AU261"/>
      <c r="AV261"/>
      <c r="AW261"/>
      <c r="AX261"/>
      <c r="AY261"/>
      <c r="AZ261"/>
      <c r="BA261"/>
      <c r="BB261"/>
      <c r="BC261"/>
      <c r="BD261"/>
      <c r="BE261"/>
      <c r="BF261"/>
      <c r="BG261"/>
      <c r="BH261"/>
      <c r="BI261"/>
      <c r="BJ261"/>
      <c r="BK261"/>
      <c r="BL261"/>
      <c r="BM261"/>
    </row>
    <row r="262" spans="35:65" ht="12.75" customHeight="1">
      <c r="AI262" s="364"/>
      <c r="AJ262" s="951" t="s">
        <v>81</v>
      </c>
      <c r="AK262" s="951"/>
      <c r="AL262" s="951"/>
      <c r="AM262" s="677">
        <f>AM261*AN28</f>
        <v>1040</v>
      </c>
      <c r="AN262" s="678">
        <f>AN261*$AN$28</f>
        <v>1104</v>
      </c>
      <c r="AO262" s="678">
        <f>AO261*$AN$28</f>
        <v>1936</v>
      </c>
      <c r="AP262" s="678">
        <f>AP261*$AN$28</f>
        <v>2016</v>
      </c>
      <c r="AQ262" s="361"/>
      <c r="AR262" s="364"/>
      <c r="AS262" s="367"/>
      <c r="AT262"/>
      <c r="AU262"/>
      <c r="AV262"/>
      <c r="AW262"/>
      <c r="AX262"/>
      <c r="AY262"/>
      <c r="AZ262"/>
      <c r="BA262"/>
      <c r="BB262"/>
      <c r="BC262"/>
      <c r="BD262"/>
      <c r="BE262"/>
      <c r="BF262"/>
      <c r="BG262"/>
      <c r="BH262"/>
      <c r="BI262"/>
      <c r="BJ262"/>
      <c r="BK262"/>
      <c r="BL262"/>
      <c r="BM262"/>
    </row>
    <row r="263" spans="35:65" ht="12.75" customHeight="1">
      <c r="AI263" s="364"/>
      <c r="AJ263" s="592" t="s">
        <v>670</v>
      </c>
      <c r="AK263" s="559"/>
      <c r="AL263" s="559"/>
      <c r="AM263" s="549">
        <f>(AM261*AM61*AN29)+(24*2*AN29)</f>
        <v>473600</v>
      </c>
      <c r="AN263" s="679">
        <f>AN261*$AP$61*$AN$29</f>
        <v>94628.571428571435</v>
      </c>
      <c r="AO263" s="679">
        <f>AO261*$AP$61*$AN$29</f>
        <v>165942.85714285713</v>
      </c>
      <c r="AP263" s="679">
        <f>AP261*$AP$61*$AN$29</f>
        <v>172800</v>
      </c>
      <c r="AQ263" s="361"/>
      <c r="AR263" s="364"/>
      <c r="AS263" s="367"/>
      <c r="AT263"/>
      <c r="AU263"/>
      <c r="AV263"/>
      <c r="AW263"/>
      <c r="AX263"/>
      <c r="AY263"/>
      <c r="AZ263"/>
      <c r="BA263"/>
      <c r="BB263"/>
      <c r="BC263"/>
      <c r="BD263"/>
      <c r="BE263"/>
      <c r="BF263"/>
      <c r="BG263"/>
      <c r="BH263"/>
      <c r="BI263"/>
      <c r="BJ263"/>
      <c r="BK263"/>
      <c r="BL263"/>
      <c r="BM263"/>
    </row>
    <row r="264" spans="35:65" ht="12.75" customHeight="1">
      <c r="AI264" s="364"/>
      <c r="AJ264" s="364"/>
      <c r="AK264" s="364"/>
      <c r="AL264" s="364"/>
      <c r="AM264" s="364"/>
      <c r="AN264" s="364"/>
      <c r="AO264" s="364"/>
      <c r="AP264" s="364"/>
      <c r="AQ264" s="364"/>
      <c r="AR264" s="364"/>
      <c r="AS264" s="367"/>
      <c r="AT264"/>
      <c r="AU264"/>
      <c r="AV264"/>
      <c r="AW264"/>
      <c r="AX264"/>
      <c r="AY264"/>
      <c r="AZ264"/>
      <c r="BA264"/>
      <c r="BB264"/>
      <c r="BC264"/>
      <c r="BD264"/>
      <c r="BE264"/>
      <c r="BF264"/>
      <c r="BG264"/>
      <c r="BH264"/>
      <c r="BI264"/>
      <c r="BJ264"/>
      <c r="BK264"/>
      <c r="BL264"/>
      <c r="BM264"/>
    </row>
    <row r="265" spans="35:65" ht="12.75" customHeight="1">
      <c r="AI265" s="680" t="s">
        <v>754</v>
      </c>
      <c r="AJ265" s="952" t="s">
        <v>309</v>
      </c>
      <c r="AK265" s="952"/>
      <c r="AL265" s="952"/>
      <c r="AM265" s="952"/>
      <c r="AN265" s="952"/>
      <c r="AO265" s="952"/>
      <c r="AP265" s="952"/>
      <c r="AQ265" s="952"/>
      <c r="AR265" s="360"/>
      <c r="AS265" s="367"/>
      <c r="AT265"/>
      <c r="AU265"/>
      <c r="AV265"/>
      <c r="AW265"/>
      <c r="AX265"/>
      <c r="AY265"/>
      <c r="AZ265"/>
      <c r="BA265"/>
      <c r="BB265"/>
      <c r="BC265"/>
      <c r="BD265"/>
      <c r="BE265"/>
      <c r="BF265"/>
      <c r="BG265"/>
      <c r="BH265"/>
      <c r="BI265"/>
      <c r="BJ265"/>
      <c r="BK265"/>
      <c r="BL265"/>
      <c r="BM265"/>
    </row>
    <row r="266" spans="35:65" ht="12.75" customHeight="1">
      <c r="AI266" s="364"/>
      <c r="AJ266" s="364"/>
      <c r="AK266" s="364"/>
      <c r="AL266" s="364"/>
      <c r="AM266" s="364"/>
      <c r="AN266" s="364"/>
      <c r="AO266" s="364"/>
      <c r="AP266" s="364"/>
      <c r="AQ266" s="364"/>
      <c r="AR266" s="364"/>
      <c r="AS266" s="367"/>
      <c r="AT266"/>
      <c r="AU266"/>
      <c r="AV266"/>
      <c r="AW266"/>
      <c r="AX266"/>
      <c r="AY266"/>
      <c r="AZ266"/>
      <c r="BA266"/>
      <c r="BB266"/>
      <c r="BC266"/>
      <c r="BD266"/>
      <c r="BE266"/>
      <c r="BF266"/>
      <c r="BG266"/>
      <c r="BH266"/>
      <c r="BI266"/>
      <c r="BJ266"/>
      <c r="BK266"/>
      <c r="BL266"/>
      <c r="BM266"/>
    </row>
    <row r="267" spans="35:65" ht="12.75" customHeight="1">
      <c r="AI267" s="668" t="s">
        <v>755</v>
      </c>
      <c r="AJ267" s="364" t="s">
        <v>239</v>
      </c>
      <c r="AK267" s="364"/>
      <c r="AL267" s="364"/>
      <c r="AM267" s="364"/>
      <c r="AN267" s="364"/>
      <c r="AO267" s="364"/>
      <c r="AP267" s="364"/>
      <c r="AQ267" s="364"/>
      <c r="AR267" s="364"/>
      <c r="AS267" s="367"/>
      <c r="AT267"/>
      <c r="AU267"/>
      <c r="AV267"/>
      <c r="AW267"/>
      <c r="AX267"/>
      <c r="AY267"/>
      <c r="AZ267"/>
      <c r="BA267"/>
      <c r="BB267"/>
      <c r="BC267"/>
      <c r="BD267"/>
      <c r="BE267"/>
      <c r="BF267"/>
      <c r="BG267"/>
      <c r="BH267"/>
      <c r="BI267"/>
      <c r="BJ267"/>
      <c r="BK267"/>
      <c r="BL267"/>
      <c r="BM267"/>
    </row>
    <row r="268" spans="35:65" ht="12.75" customHeight="1">
      <c r="AI268" s="364"/>
      <c r="AJ268" s="364"/>
      <c r="AK268" s="364"/>
      <c r="AL268" s="364"/>
      <c r="AM268" s="364"/>
      <c r="AN268" s="364"/>
      <c r="AO268" s="364"/>
      <c r="AP268" s="364"/>
      <c r="AQ268" s="364"/>
      <c r="AR268" s="364"/>
      <c r="AS268" s="367"/>
      <c r="AT268"/>
      <c r="AU268"/>
      <c r="AV268"/>
      <c r="AW268"/>
      <c r="AX268"/>
      <c r="AY268"/>
      <c r="AZ268"/>
      <c r="BA268"/>
      <c r="BB268"/>
      <c r="BC268"/>
      <c r="BD268"/>
      <c r="BE268"/>
      <c r="BF268"/>
      <c r="BG268"/>
      <c r="BH268"/>
      <c r="BI268"/>
      <c r="BJ268"/>
      <c r="BK268"/>
      <c r="BL268"/>
      <c r="BM268"/>
    </row>
    <row r="269" spans="35:65" ht="12.75" customHeight="1">
      <c r="AI269" s="364"/>
      <c r="AJ269" s="953" t="s">
        <v>676</v>
      </c>
      <c r="AK269" s="954"/>
      <c r="AL269" s="561" t="s">
        <v>320</v>
      </c>
      <c r="AM269" s="935" t="s">
        <v>318</v>
      </c>
      <c r="AN269" s="935"/>
      <c r="AO269" s="681">
        <f>'Compressor Input Data'!G7</f>
        <v>0.19</v>
      </c>
      <c r="AP269" s="594"/>
      <c r="AQ269" s="595"/>
      <c r="AR269" s="363"/>
      <c r="AS269" s="367"/>
      <c r="AT269"/>
      <c r="AU269"/>
      <c r="AV269"/>
      <c r="AW269"/>
      <c r="AX269"/>
      <c r="AY269"/>
      <c r="AZ269"/>
      <c r="BA269"/>
      <c r="BB269"/>
      <c r="BC269"/>
      <c r="BD269"/>
      <c r="BE269"/>
      <c r="BF269"/>
      <c r="BG269"/>
      <c r="BH269"/>
      <c r="BI269"/>
      <c r="BJ269"/>
      <c r="BK269"/>
      <c r="BL269"/>
      <c r="BM269"/>
    </row>
    <row r="270" spans="35:65" ht="12.75" customHeight="1">
      <c r="AI270" s="364"/>
      <c r="AJ270" s="955"/>
      <c r="AK270" s="956"/>
      <c r="AL270" s="561" t="s">
        <v>321</v>
      </c>
      <c r="AM270" s="935" t="s">
        <v>319</v>
      </c>
      <c r="AN270" s="935"/>
      <c r="AO270" s="681">
        <f>'Compressor Input Data'!G8</f>
        <v>0.33</v>
      </c>
      <c r="AP270" s="594"/>
      <c r="AQ270" s="595"/>
      <c r="AR270" s="595"/>
      <c r="AS270" s="367"/>
      <c r="AT270"/>
      <c r="AU270"/>
      <c r="AV270"/>
      <c r="AW270"/>
      <c r="AX270"/>
      <c r="AY270"/>
      <c r="AZ270"/>
      <c r="BA270"/>
      <c r="BB270"/>
      <c r="BC270"/>
      <c r="BD270"/>
      <c r="BE270"/>
      <c r="BF270"/>
      <c r="BG270"/>
      <c r="BH270"/>
      <c r="BI270"/>
      <c r="BJ270"/>
      <c r="BK270"/>
      <c r="BL270"/>
      <c r="BM270"/>
    </row>
    <row r="271" spans="35:65" ht="12.75" customHeight="1">
      <c r="AI271" s="364"/>
      <c r="AJ271" s="363"/>
      <c r="AK271" s="363"/>
      <c r="AL271" s="577"/>
      <c r="AM271" s="577"/>
      <c r="AN271" s="596"/>
      <c r="AO271" s="363"/>
      <c r="AP271" s="363"/>
      <c r="AQ271" s="363"/>
      <c r="AR271" s="363"/>
      <c r="AS271" s="367"/>
      <c r="AT271"/>
      <c r="AU271"/>
      <c r="AV271"/>
      <c r="AW271"/>
      <c r="AX271"/>
      <c r="AY271"/>
      <c r="AZ271"/>
      <c r="BA271"/>
      <c r="BB271"/>
      <c r="BC271"/>
      <c r="BD271"/>
      <c r="BE271"/>
      <c r="BF271"/>
      <c r="BG271"/>
      <c r="BH271"/>
      <c r="BI271"/>
      <c r="BJ271"/>
      <c r="BK271"/>
      <c r="BL271"/>
      <c r="BM271"/>
    </row>
    <row r="272" spans="35:65" ht="12.75" customHeight="1">
      <c r="AI272" s="364"/>
      <c r="AJ272" s="935" t="s">
        <v>675</v>
      </c>
      <c r="AK272" s="935"/>
      <c r="AL272" s="935"/>
      <c r="AM272" s="949" t="s">
        <v>500</v>
      </c>
      <c r="AN272" s="938" t="s">
        <v>22</v>
      </c>
      <c r="AO272" s="940" t="s">
        <v>579</v>
      </c>
      <c r="AP272" s="942" t="s">
        <v>21</v>
      </c>
      <c r="AQ272" s="361"/>
      <c r="AR272" s="364"/>
      <c r="AS272" s="367"/>
      <c r="AT272"/>
      <c r="AU272"/>
      <c r="AV272"/>
      <c r="AW272"/>
      <c r="AX272"/>
      <c r="AY272"/>
      <c r="AZ272"/>
      <c r="BA272"/>
      <c r="BB272"/>
      <c r="BC272"/>
      <c r="BD272"/>
      <c r="BE272"/>
      <c r="BF272"/>
      <c r="BG272"/>
      <c r="BH272"/>
      <c r="BI272"/>
      <c r="BJ272"/>
      <c r="BK272"/>
      <c r="BL272"/>
      <c r="BM272"/>
    </row>
    <row r="273" spans="35:65" ht="12.75" customHeight="1">
      <c r="AI273" s="364"/>
      <c r="AJ273" s="944" t="s">
        <v>320</v>
      </c>
      <c r="AK273" s="947"/>
      <c r="AL273" s="948"/>
      <c r="AM273" s="950"/>
      <c r="AN273" s="939"/>
      <c r="AO273" s="941"/>
      <c r="AP273" s="943"/>
      <c r="AQ273" s="361"/>
      <c r="AR273" s="364"/>
      <c r="AS273" s="367"/>
      <c r="AT273"/>
      <c r="AU273"/>
      <c r="AV273"/>
      <c r="AW273"/>
      <c r="AX273"/>
      <c r="AY273"/>
      <c r="AZ273"/>
      <c r="BA273"/>
      <c r="BB273"/>
      <c r="BC273"/>
      <c r="BD273"/>
      <c r="BE273"/>
      <c r="BF273"/>
      <c r="BG273"/>
      <c r="BH273"/>
      <c r="BI273"/>
      <c r="BJ273"/>
      <c r="BK273"/>
      <c r="BL273"/>
      <c r="BM273"/>
    </row>
    <row r="274" spans="35:65" ht="12.75" customHeight="1">
      <c r="AI274" s="364"/>
      <c r="AJ274" s="945"/>
      <c r="AK274" s="935" t="s">
        <v>306</v>
      </c>
      <c r="AL274" s="935"/>
      <c r="AM274" s="599">
        <f>AM169*$AO$269</f>
        <v>178.34666666666669</v>
      </c>
      <c r="AN274" s="599">
        <f>AN169*$AO$269</f>
        <v>14439.999999999998</v>
      </c>
      <c r="AO274" s="599">
        <f>AO169*$AO$269</f>
        <v>12556.521739130432</v>
      </c>
      <c r="AP274" s="599">
        <f>AP169*$AO$269</f>
        <v>10314.285714285712</v>
      </c>
      <c r="AQ274" s="361"/>
      <c r="AR274" s="364"/>
      <c r="AS274" s="367"/>
      <c r="AT274"/>
      <c r="AU274"/>
      <c r="AV274"/>
      <c r="AW274"/>
      <c r="AX274"/>
      <c r="AY274"/>
      <c r="AZ274"/>
      <c r="BA274"/>
      <c r="BB274"/>
      <c r="BC274"/>
      <c r="BD274"/>
      <c r="BE274"/>
      <c r="BF274"/>
      <c r="BG274"/>
      <c r="BH274"/>
      <c r="BI274"/>
      <c r="BJ274"/>
      <c r="BK274"/>
      <c r="BL274"/>
      <c r="BM274"/>
    </row>
    <row r="275" spans="35:65" ht="12.75" customHeight="1">
      <c r="AI275" s="364"/>
      <c r="AJ275" s="945"/>
      <c r="AK275" s="935" t="s">
        <v>307</v>
      </c>
      <c r="AL275" s="935"/>
      <c r="AM275" s="599">
        <f>AM274*$AN$16</f>
        <v>4101.9733333333343</v>
      </c>
      <c r="AN275" s="599">
        <f>AN274*$AN$16</f>
        <v>332119.99999999994</v>
      </c>
      <c r="AO275" s="599">
        <f>AO274*$AN$16</f>
        <v>288799.99999999994</v>
      </c>
      <c r="AP275" s="599">
        <f>AP274*$AN$16</f>
        <v>237228.57142857136</v>
      </c>
      <c r="AQ275" s="361"/>
      <c r="AR275" s="364"/>
      <c r="AS275" s="367"/>
      <c r="AT275"/>
      <c r="AU275"/>
      <c r="AV275"/>
      <c r="AW275"/>
      <c r="AX275"/>
      <c r="AY275"/>
      <c r="AZ275"/>
      <c r="BA275"/>
      <c r="BB275"/>
      <c r="BC275"/>
      <c r="BD275"/>
      <c r="BE275"/>
      <c r="BF275"/>
      <c r="BG275"/>
      <c r="BH275"/>
      <c r="BI275"/>
      <c r="BJ275"/>
      <c r="BK275"/>
      <c r="BL275"/>
      <c r="BM275"/>
    </row>
    <row r="276" spans="35:65" ht="12.75" customHeight="1">
      <c r="AI276" s="364"/>
      <c r="AJ276" s="946"/>
      <c r="AK276" s="935" t="s">
        <v>308</v>
      </c>
      <c r="AL276" s="935"/>
      <c r="AM276" s="599">
        <f>AM275*9</f>
        <v>36917.760000000009</v>
      </c>
      <c r="AN276" s="599">
        <f>AN275*9</f>
        <v>2989079.9999999995</v>
      </c>
      <c r="AO276" s="599">
        <f>AO275*9</f>
        <v>2599199.9999999995</v>
      </c>
      <c r="AP276" s="599">
        <f>AP275*9</f>
        <v>2135057.1428571423</v>
      </c>
      <c r="AQ276" s="361"/>
      <c r="AR276" s="364"/>
      <c r="AS276" s="367"/>
      <c r="AT276"/>
      <c r="AU276"/>
      <c r="AV276"/>
      <c r="AW276"/>
      <c r="AX276"/>
      <c r="AY276"/>
      <c r="AZ276"/>
      <c r="BA276"/>
      <c r="BB276"/>
      <c r="BC276"/>
      <c r="BD276"/>
      <c r="BE276"/>
      <c r="BF276"/>
      <c r="BG276"/>
      <c r="BH276"/>
      <c r="BI276"/>
      <c r="BJ276"/>
      <c r="BK276"/>
      <c r="BL276"/>
      <c r="BM276"/>
    </row>
    <row r="277" spans="35:65" ht="12.75" customHeight="1">
      <c r="AI277" s="597"/>
      <c r="AJ277" s="937"/>
      <c r="AK277" s="937"/>
      <c r="AL277" s="937"/>
      <c r="AM277" s="937"/>
      <c r="AN277" s="937"/>
      <c r="AO277" s="937"/>
      <c r="AP277" s="937"/>
      <c r="AQ277" s="364"/>
      <c r="AR277" s="364"/>
      <c r="AS277" s="367"/>
      <c r="AT277"/>
      <c r="AU277"/>
      <c r="AV277"/>
      <c r="AW277"/>
      <c r="AX277"/>
      <c r="AY277"/>
      <c r="AZ277"/>
      <c r="BA277"/>
      <c r="BB277"/>
      <c r="BC277"/>
      <c r="BD277"/>
      <c r="BE277"/>
      <c r="BF277"/>
      <c r="BG277"/>
      <c r="BH277"/>
      <c r="BI277"/>
      <c r="BJ277"/>
      <c r="BK277"/>
      <c r="BL277"/>
      <c r="BM277"/>
    </row>
    <row r="278" spans="35:65" ht="12.75" customHeight="1">
      <c r="AI278" s="597"/>
      <c r="AJ278" s="935" t="s">
        <v>675</v>
      </c>
      <c r="AK278" s="935"/>
      <c r="AL278" s="935"/>
      <c r="AM278" s="930" t="s">
        <v>500</v>
      </c>
      <c r="AN278" s="928" t="s">
        <v>22</v>
      </c>
      <c r="AO278" s="929" t="s">
        <v>579</v>
      </c>
      <c r="AP278" s="927" t="s">
        <v>21</v>
      </c>
      <c r="AQ278" s="361"/>
      <c r="AR278" s="364"/>
      <c r="AS278" s="367"/>
      <c r="AT278"/>
      <c r="AU278"/>
      <c r="AV278"/>
      <c r="AW278"/>
      <c r="AX278"/>
      <c r="AY278"/>
      <c r="AZ278"/>
      <c r="BA278"/>
      <c r="BB278"/>
      <c r="BC278"/>
      <c r="BD278"/>
      <c r="BE278"/>
      <c r="BF278"/>
      <c r="BG278"/>
      <c r="BH278"/>
      <c r="BI278"/>
      <c r="BJ278"/>
      <c r="BK278"/>
      <c r="BL278"/>
      <c r="BM278"/>
    </row>
    <row r="279" spans="35:65" ht="12.75" customHeight="1">
      <c r="AI279" s="597"/>
      <c r="AJ279" s="937" t="s">
        <v>321</v>
      </c>
      <c r="AK279" s="937"/>
      <c r="AL279" s="937"/>
      <c r="AM279" s="930"/>
      <c r="AN279" s="928"/>
      <c r="AO279" s="929"/>
      <c r="AP279" s="927"/>
      <c r="AQ279" s="361"/>
      <c r="AR279" s="364"/>
      <c r="AS279" s="367"/>
      <c r="AT279"/>
      <c r="AU279"/>
      <c r="AV279"/>
      <c r="AW279"/>
      <c r="AX279"/>
      <c r="AY279"/>
      <c r="AZ279"/>
      <c r="BA279"/>
      <c r="BB279"/>
      <c r="BC279"/>
      <c r="BD279"/>
      <c r="BE279"/>
      <c r="BF279"/>
      <c r="BG279"/>
      <c r="BH279"/>
      <c r="BI279"/>
      <c r="BJ279"/>
      <c r="BK279"/>
      <c r="BL279"/>
      <c r="BM279"/>
    </row>
    <row r="280" spans="35:65" ht="12.75" customHeight="1">
      <c r="AI280" s="364"/>
      <c r="AJ280" s="937"/>
      <c r="AK280" s="935" t="s">
        <v>306</v>
      </c>
      <c r="AL280" s="935"/>
      <c r="AM280" s="599">
        <f>AM169*$AO$270</f>
        <v>309.76000000000005</v>
      </c>
      <c r="AN280" s="599">
        <f>AN169*$AO$270</f>
        <v>25079.999999999996</v>
      </c>
      <c r="AO280" s="599">
        <f>AO169*$AO$270</f>
        <v>21808.695652173912</v>
      </c>
      <c r="AP280" s="599">
        <f>AP169*$AO$270</f>
        <v>17914.28571428571</v>
      </c>
      <c r="AQ280" s="361"/>
      <c r="AR280" s="364"/>
      <c r="AS280" s="367"/>
      <c r="AT280"/>
      <c r="AU280"/>
      <c r="AV280"/>
      <c r="AW280"/>
      <c r="AX280"/>
      <c r="AY280"/>
      <c r="AZ280"/>
      <c r="BA280"/>
      <c r="BB280"/>
      <c r="BC280"/>
      <c r="BD280"/>
      <c r="BE280"/>
      <c r="BF280"/>
      <c r="BG280"/>
      <c r="BH280"/>
      <c r="BI280"/>
      <c r="BJ280"/>
      <c r="BK280"/>
      <c r="BL280"/>
      <c r="BM280"/>
    </row>
    <row r="281" spans="35:65" ht="12.75" customHeight="1">
      <c r="AI281" s="597"/>
      <c r="AJ281" s="937"/>
      <c r="AK281" s="935" t="s">
        <v>307</v>
      </c>
      <c r="AL281" s="935"/>
      <c r="AM281" s="599">
        <f>AM280*$AN$16</f>
        <v>7124.4800000000014</v>
      </c>
      <c r="AN281" s="599">
        <f>AN280*$AN$16</f>
        <v>576839.99999999988</v>
      </c>
      <c r="AO281" s="599">
        <f>AO280*$AN$16</f>
        <v>501600</v>
      </c>
      <c r="AP281" s="599">
        <f>AP280*$AN$16</f>
        <v>412028.57142857136</v>
      </c>
      <c r="AQ281" s="361"/>
      <c r="AR281" s="364"/>
      <c r="AS281" s="367"/>
      <c r="AT281"/>
      <c r="AU281"/>
      <c r="AV281"/>
      <c r="AW281"/>
      <c r="AX281"/>
      <c r="AY281"/>
      <c r="AZ281"/>
      <c r="BA281"/>
      <c r="BB281"/>
      <c r="BC281"/>
      <c r="BD281"/>
      <c r="BE281"/>
      <c r="BF281"/>
      <c r="BG281"/>
      <c r="BH281"/>
      <c r="BI281"/>
      <c r="BJ281"/>
      <c r="BK281"/>
      <c r="BL281"/>
      <c r="BM281"/>
    </row>
    <row r="282" spans="35:65" ht="12.75" customHeight="1">
      <c r="AI282" s="364"/>
      <c r="AJ282" s="937"/>
      <c r="AK282" s="935" t="s">
        <v>308</v>
      </c>
      <c r="AL282" s="935"/>
      <c r="AM282" s="599">
        <f>AM281*3</f>
        <v>21373.440000000002</v>
      </c>
      <c r="AN282" s="599">
        <f>AN281*3</f>
        <v>1730519.9999999995</v>
      </c>
      <c r="AO282" s="599">
        <f>AO281*3</f>
        <v>1504800</v>
      </c>
      <c r="AP282" s="599">
        <f>AP281*3</f>
        <v>1236085.7142857141</v>
      </c>
      <c r="AQ282" s="361"/>
      <c r="AR282" s="364"/>
      <c r="AS282" s="367"/>
      <c r="AT282"/>
      <c r="AU282"/>
      <c r="AV282"/>
      <c r="AW282"/>
      <c r="AX282"/>
      <c r="AY282"/>
      <c r="AZ282"/>
      <c r="BA282"/>
      <c r="BB282"/>
      <c r="BC282"/>
      <c r="BD282"/>
      <c r="BE282"/>
      <c r="BF282"/>
      <c r="BG282"/>
      <c r="BH282"/>
      <c r="BI282"/>
      <c r="BJ282"/>
      <c r="BK282"/>
      <c r="BL282"/>
      <c r="BM282"/>
    </row>
    <row r="283" spans="35:65" ht="12.75" customHeight="1">
      <c r="AI283" s="364"/>
      <c r="AJ283" s="937"/>
      <c r="AK283" s="937"/>
      <c r="AL283" s="937"/>
      <c r="AM283" s="937"/>
      <c r="AN283" s="937"/>
      <c r="AO283" s="937"/>
      <c r="AP283" s="937"/>
      <c r="AQ283" s="364"/>
      <c r="AR283" s="364"/>
      <c r="AS283" s="367"/>
      <c r="AT283"/>
      <c r="AU283"/>
      <c r="AV283"/>
      <c r="AW283"/>
      <c r="AX283"/>
      <c r="AY283"/>
      <c r="AZ283"/>
      <c r="BA283"/>
      <c r="BB283"/>
      <c r="BC283"/>
      <c r="BD283"/>
      <c r="BE283"/>
      <c r="BF283"/>
      <c r="BG283"/>
      <c r="BH283"/>
      <c r="BI283"/>
      <c r="BJ283"/>
      <c r="BK283"/>
      <c r="BL283"/>
      <c r="BM283"/>
    </row>
    <row r="284" spans="35:65" ht="12.75" customHeight="1">
      <c r="AI284" s="364"/>
      <c r="AJ284" s="935" t="s">
        <v>675</v>
      </c>
      <c r="AK284" s="935"/>
      <c r="AL284" s="935"/>
      <c r="AM284" s="930" t="s">
        <v>500</v>
      </c>
      <c r="AN284" s="928" t="s">
        <v>22</v>
      </c>
      <c r="AO284" s="929" t="s">
        <v>579</v>
      </c>
      <c r="AP284" s="927" t="s">
        <v>21</v>
      </c>
      <c r="AQ284" s="361"/>
      <c r="AR284" s="364"/>
      <c r="AS284" s="367"/>
      <c r="AT284"/>
      <c r="AU284"/>
      <c r="AV284"/>
      <c r="AW284"/>
      <c r="AX284"/>
      <c r="AY284"/>
      <c r="AZ284"/>
      <c r="BA284"/>
      <c r="BB284"/>
      <c r="BC284"/>
      <c r="BD284"/>
      <c r="BE284"/>
      <c r="BF284"/>
      <c r="BG284"/>
      <c r="BH284"/>
      <c r="BI284"/>
      <c r="BJ284"/>
      <c r="BK284"/>
      <c r="BL284"/>
      <c r="BM284"/>
    </row>
    <row r="285" spans="35:65" ht="12.75" customHeight="1">
      <c r="AI285" s="364"/>
      <c r="AJ285" s="937" t="s">
        <v>322</v>
      </c>
      <c r="AK285" s="937"/>
      <c r="AL285" s="937"/>
      <c r="AM285" s="930"/>
      <c r="AN285" s="928"/>
      <c r="AO285" s="929"/>
      <c r="AP285" s="927"/>
      <c r="AQ285" s="361"/>
      <c r="AR285" s="364"/>
      <c r="AS285" s="367"/>
      <c r="AT285"/>
      <c r="AU285"/>
      <c r="AV285"/>
      <c r="AW285"/>
      <c r="AX285"/>
      <c r="AY285"/>
      <c r="AZ285"/>
      <c r="BA285"/>
      <c r="BB285"/>
      <c r="BC285"/>
      <c r="BD285"/>
      <c r="BE285"/>
      <c r="BF285"/>
      <c r="BG285"/>
      <c r="BH285"/>
      <c r="BI285"/>
      <c r="BJ285"/>
      <c r="BK285"/>
      <c r="BL285"/>
      <c r="BM285"/>
    </row>
    <row r="286" spans="35:65" ht="12.75" customHeight="1">
      <c r="AI286" s="364"/>
      <c r="AJ286" s="937"/>
      <c r="AK286" s="935" t="s">
        <v>306</v>
      </c>
      <c r="AL286" s="935"/>
      <c r="AM286" s="599">
        <f>AM287/$AN$16</f>
        <v>211.20000000000005</v>
      </c>
      <c r="AN286" s="599">
        <f>AN287/$AN$16</f>
        <v>17099.999999999996</v>
      </c>
      <c r="AO286" s="599">
        <f>AO287/$AN$16</f>
        <v>14869.565217391302</v>
      </c>
      <c r="AP286" s="599">
        <f>AP287/$AN$16</f>
        <v>12214.285714285712</v>
      </c>
      <c r="AQ286" s="361"/>
      <c r="AR286" s="364"/>
      <c r="AS286" s="367"/>
      <c r="AT286"/>
      <c r="AU286"/>
      <c r="AV286"/>
      <c r="AW286"/>
      <c r="AX286"/>
      <c r="AY286"/>
      <c r="AZ286"/>
      <c r="BA286"/>
      <c r="BB286"/>
      <c r="BC286"/>
      <c r="BD286"/>
      <c r="BE286"/>
      <c r="BF286"/>
      <c r="BG286"/>
      <c r="BH286"/>
      <c r="BI286"/>
      <c r="BJ286"/>
      <c r="BK286"/>
      <c r="BL286"/>
      <c r="BM286"/>
    </row>
    <row r="287" spans="35:65" ht="12.75" customHeight="1">
      <c r="AI287" s="364"/>
      <c r="AJ287" s="937"/>
      <c r="AK287" s="935" t="s">
        <v>307</v>
      </c>
      <c r="AL287" s="935"/>
      <c r="AM287" s="599">
        <f>AM288/12</f>
        <v>4857.6000000000013</v>
      </c>
      <c r="AN287" s="599">
        <f>AN288/12</f>
        <v>393299.99999999994</v>
      </c>
      <c r="AO287" s="599">
        <f>AO288/12</f>
        <v>341999.99999999994</v>
      </c>
      <c r="AP287" s="599">
        <f>AP288/12</f>
        <v>280928.57142857136</v>
      </c>
      <c r="AQ287" s="361"/>
      <c r="AR287" s="364"/>
      <c r="AS287" s="367"/>
      <c r="AT287"/>
      <c r="AU287"/>
      <c r="AV287"/>
      <c r="AW287"/>
      <c r="AX287"/>
      <c r="AY287"/>
      <c r="AZ287"/>
      <c r="BA287"/>
      <c r="BB287"/>
      <c r="BC287"/>
      <c r="BD287"/>
      <c r="BE287"/>
      <c r="BF287"/>
      <c r="BG287"/>
      <c r="BH287"/>
      <c r="BI287"/>
      <c r="BJ287"/>
      <c r="BK287"/>
      <c r="BL287"/>
      <c r="BM287"/>
    </row>
    <row r="288" spans="35:65" ht="12.75" customHeight="1">
      <c r="AI288" s="364"/>
      <c r="AJ288" s="937"/>
      <c r="AK288" s="935" t="s">
        <v>308</v>
      </c>
      <c r="AL288" s="935"/>
      <c r="AM288" s="599">
        <f>AM276+AM282</f>
        <v>58291.200000000012</v>
      </c>
      <c r="AN288" s="599">
        <f>AN276+AN282</f>
        <v>4719599.9999999991</v>
      </c>
      <c r="AO288" s="599">
        <f>AO276+AO282</f>
        <v>4103999.9999999995</v>
      </c>
      <c r="AP288" s="599">
        <f>AP276+AP282</f>
        <v>3371142.8571428563</v>
      </c>
      <c r="AQ288" s="361"/>
      <c r="AR288" s="364"/>
      <c r="AS288" s="367"/>
      <c r="AT288"/>
      <c r="AU288"/>
      <c r="AV288"/>
      <c r="AW288"/>
      <c r="AX288"/>
      <c r="AY288"/>
      <c r="AZ288"/>
      <c r="BA288"/>
      <c r="BB288"/>
      <c r="BC288"/>
      <c r="BD288"/>
      <c r="BE288"/>
      <c r="BF288"/>
      <c r="BG288"/>
      <c r="BH288"/>
      <c r="BI288"/>
      <c r="BJ288"/>
      <c r="BK288"/>
      <c r="BL288"/>
      <c r="BM288"/>
    </row>
    <row r="289" spans="35:65" ht="12.75" customHeight="1">
      <c r="AI289" s="364"/>
      <c r="AJ289" s="363"/>
      <c r="AK289" s="363"/>
      <c r="AL289" s="577"/>
      <c r="AM289" s="577"/>
      <c r="AN289" s="596"/>
      <c r="AO289" s="363"/>
      <c r="AP289" s="363"/>
      <c r="AQ289" s="363"/>
      <c r="AR289" s="363"/>
      <c r="AS289" s="367"/>
      <c r="AT289"/>
      <c r="AU289"/>
      <c r="AV289"/>
      <c r="AW289"/>
      <c r="AX289"/>
      <c r="AY289"/>
      <c r="AZ289"/>
      <c r="BA289"/>
      <c r="BB289"/>
      <c r="BC289"/>
      <c r="BD289"/>
      <c r="BE289"/>
      <c r="BF289"/>
      <c r="BG289"/>
      <c r="BH289"/>
      <c r="BI289"/>
      <c r="BJ289"/>
      <c r="BK289"/>
      <c r="BL289"/>
      <c r="BM289"/>
    </row>
    <row r="290" spans="35:65" ht="12.75" customHeight="1">
      <c r="AI290" s="668" t="s">
        <v>756</v>
      </c>
      <c r="AJ290" s="363" t="s">
        <v>758</v>
      </c>
      <c r="AK290" s="363"/>
      <c r="AL290" s="577"/>
      <c r="AM290" s="577"/>
      <c r="AN290" s="596"/>
      <c r="AO290" s="363"/>
      <c r="AP290" s="363"/>
      <c r="AQ290" s="363"/>
      <c r="AR290" s="363"/>
      <c r="AS290" s="367"/>
      <c r="AT290"/>
      <c r="AU290"/>
      <c r="AV290"/>
      <c r="AW290"/>
      <c r="AX290"/>
      <c r="AY290"/>
      <c r="AZ290"/>
      <c r="BA290"/>
      <c r="BB290"/>
      <c r="BC290"/>
      <c r="BD290"/>
      <c r="BE290"/>
      <c r="BF290"/>
      <c r="BG290"/>
      <c r="BH290"/>
      <c r="BI290"/>
      <c r="BJ290"/>
      <c r="BK290"/>
      <c r="BL290"/>
      <c r="BM290"/>
    </row>
    <row r="291" spans="35:65" ht="12.75" customHeight="1">
      <c r="AI291" s="364"/>
      <c r="AJ291" s="935" t="s">
        <v>678</v>
      </c>
      <c r="AK291" s="935"/>
      <c r="AL291" s="935"/>
      <c r="AM291" s="935"/>
      <c r="AN291" s="936" t="s">
        <v>500</v>
      </c>
      <c r="AO291" s="936" t="s">
        <v>22</v>
      </c>
      <c r="AP291" s="936" t="s">
        <v>579</v>
      </c>
      <c r="AQ291" s="936" t="s">
        <v>21</v>
      </c>
      <c r="AR291" s="361"/>
      <c r="AS291" s="367"/>
      <c r="AT291"/>
      <c r="AU291"/>
      <c r="AV291"/>
      <c r="AW291"/>
      <c r="AX291"/>
      <c r="AY291"/>
      <c r="AZ291"/>
      <c r="BA291"/>
      <c r="BB291"/>
      <c r="BC291"/>
      <c r="BD291"/>
      <c r="BE291"/>
      <c r="BF291"/>
      <c r="BG291"/>
      <c r="BH291"/>
      <c r="BI291"/>
      <c r="BJ291"/>
      <c r="BK291"/>
      <c r="BL291"/>
      <c r="BM291"/>
    </row>
    <row r="292" spans="35:65" ht="12.75" customHeight="1">
      <c r="AI292" s="364"/>
      <c r="AJ292" s="935"/>
      <c r="AK292" s="935"/>
      <c r="AL292" s="935"/>
      <c r="AM292" s="935"/>
      <c r="AN292" s="936"/>
      <c r="AO292" s="936"/>
      <c r="AP292" s="936"/>
      <c r="AQ292" s="936"/>
      <c r="AR292" s="361"/>
      <c r="AS292" s="367"/>
      <c r="AT292"/>
      <c r="AU292"/>
      <c r="AV292"/>
      <c r="AW292"/>
      <c r="AX292"/>
      <c r="AY292"/>
      <c r="AZ292"/>
      <c r="BA292"/>
      <c r="BB292"/>
      <c r="BC292"/>
      <c r="BD292"/>
      <c r="BE292"/>
      <c r="BF292"/>
      <c r="BG292"/>
      <c r="BH292"/>
      <c r="BI292"/>
      <c r="BJ292"/>
      <c r="BK292"/>
      <c r="BL292"/>
      <c r="BM292"/>
    </row>
    <row r="293" spans="35:65" ht="12.75" customHeight="1">
      <c r="AI293" s="364"/>
      <c r="AJ293" s="931" t="s">
        <v>35</v>
      </c>
      <c r="AK293" s="931"/>
      <c r="AL293" s="931"/>
      <c r="AM293" s="931"/>
      <c r="AN293" s="599">
        <f>AVERAGE(AM201:AO201)*5%</f>
        <v>1305585.0000000005</v>
      </c>
      <c r="AO293" s="599">
        <f>AN207*5%</f>
        <v>1533870.0000000005</v>
      </c>
      <c r="AP293" s="599">
        <f>AO207*5%</f>
        <v>1518480.0000000005</v>
      </c>
      <c r="AQ293" s="599">
        <f>AP207*5%</f>
        <v>1500158.5714285718</v>
      </c>
      <c r="AR293" s="361"/>
      <c r="AS293" s="367"/>
      <c r="AT293"/>
      <c r="AU293"/>
      <c r="AV293"/>
      <c r="AW293"/>
      <c r="AX293"/>
      <c r="AY293"/>
      <c r="AZ293"/>
      <c r="BA293"/>
      <c r="BB293"/>
      <c r="BC293"/>
      <c r="BD293"/>
      <c r="BE293"/>
      <c r="BF293"/>
      <c r="BG293"/>
      <c r="BH293"/>
      <c r="BI293"/>
      <c r="BJ293"/>
      <c r="BK293"/>
      <c r="BL293"/>
      <c r="BM293"/>
    </row>
    <row r="294" spans="35:65" ht="12.75" customHeight="1">
      <c r="AI294" s="364"/>
      <c r="AJ294" s="931" t="s">
        <v>481</v>
      </c>
      <c r="AK294" s="931"/>
      <c r="AL294" s="931"/>
      <c r="AM294" s="931"/>
      <c r="AN294" s="600" t="s">
        <v>479</v>
      </c>
      <c r="AO294" s="599">
        <f>AQ294</f>
        <v>1059840</v>
      </c>
      <c r="AP294" s="600" t="s">
        <v>479</v>
      </c>
      <c r="AQ294" s="599">
        <f>Consumables!E23*12</f>
        <v>1059840</v>
      </c>
      <c r="AR294" s="361"/>
      <c r="AS294" s="367"/>
      <c r="AT294"/>
      <c r="AU294"/>
      <c r="AV294"/>
      <c r="AW294"/>
      <c r="AX294"/>
      <c r="AY294"/>
      <c r="AZ294"/>
      <c r="BA294"/>
      <c r="BB294"/>
      <c r="BC294"/>
      <c r="BD294"/>
      <c r="BE294"/>
      <c r="BF294"/>
      <c r="BG294"/>
      <c r="BH294"/>
      <c r="BI294"/>
      <c r="BJ294"/>
      <c r="BK294"/>
      <c r="BL294"/>
      <c r="BM294"/>
    </row>
    <row r="295" spans="35:65" ht="12.75" customHeight="1">
      <c r="AI295" s="364"/>
      <c r="AJ295" s="931" t="s">
        <v>311</v>
      </c>
      <c r="AK295" s="931"/>
      <c r="AL295" s="931"/>
      <c r="AM295" s="931"/>
      <c r="AN295" s="600" t="s">
        <v>557</v>
      </c>
      <c r="AO295" s="599">
        <f>AQ295</f>
        <v>416000</v>
      </c>
      <c r="AP295" s="599">
        <f>AO295</f>
        <v>416000</v>
      </c>
      <c r="AQ295" s="599">
        <f>Consumables!E21*12</f>
        <v>416000</v>
      </c>
      <c r="AR295" s="361"/>
      <c r="AS295" s="367"/>
      <c r="AT295"/>
      <c r="AU295"/>
      <c r="AV295"/>
      <c r="AW295"/>
      <c r="AX295"/>
      <c r="AY295"/>
      <c r="AZ295"/>
      <c r="BA295"/>
      <c r="BB295"/>
      <c r="BC295"/>
      <c r="BD295"/>
      <c r="BE295"/>
      <c r="BF295"/>
      <c r="BG295"/>
      <c r="BH295"/>
      <c r="BI295"/>
      <c r="BJ295"/>
      <c r="BK295"/>
      <c r="BL295"/>
      <c r="BM295"/>
    </row>
    <row r="296" spans="35:65" ht="12.75" customHeight="1">
      <c r="AI296" s="364"/>
      <c r="AJ296" s="931" t="s">
        <v>480</v>
      </c>
      <c r="AK296" s="931"/>
      <c r="AL296" s="931"/>
      <c r="AM296" s="931"/>
      <c r="AN296" s="599">
        <f>Consumables!H21*12</f>
        <v>3865001.2800000003</v>
      </c>
      <c r="AO296" s="599">
        <v>0</v>
      </c>
      <c r="AP296" s="599">
        <v>0</v>
      </c>
      <c r="AQ296" s="599">
        <v>0</v>
      </c>
      <c r="AR296" s="361"/>
      <c r="AS296" s="367"/>
      <c r="AT296"/>
      <c r="AU296"/>
      <c r="AV296"/>
      <c r="AW296"/>
      <c r="AX296"/>
      <c r="AY296"/>
      <c r="AZ296"/>
      <c r="BA296"/>
      <c r="BB296"/>
      <c r="BC296"/>
      <c r="BD296"/>
      <c r="BE296"/>
      <c r="BF296"/>
      <c r="BG296"/>
      <c r="BH296"/>
      <c r="BI296"/>
      <c r="BJ296"/>
      <c r="BK296"/>
      <c r="BL296"/>
      <c r="BM296"/>
    </row>
    <row r="297" spans="35:65" ht="12.75" customHeight="1">
      <c r="AI297" s="364"/>
      <c r="AJ297" s="931" t="s">
        <v>312</v>
      </c>
      <c r="AK297" s="931"/>
      <c r="AL297" s="931"/>
      <c r="AM297" s="931"/>
      <c r="AN297" s="599">
        <f>Consumables!H20*12</f>
        <v>2691993.6000000001</v>
      </c>
      <c r="AO297" s="599">
        <f>AQ297</f>
        <v>2331648.0000000005</v>
      </c>
      <c r="AP297" s="599">
        <f>AO297</f>
        <v>2331648.0000000005</v>
      </c>
      <c r="AQ297" s="599">
        <f>Consumables!E20*12</f>
        <v>2331648.0000000005</v>
      </c>
      <c r="AR297" s="361"/>
      <c r="AS297" s="367"/>
      <c r="AT297"/>
      <c r="AU297"/>
      <c r="AV297"/>
      <c r="AW297"/>
      <c r="AX297"/>
      <c r="AY297"/>
      <c r="AZ297"/>
      <c r="BA297"/>
      <c r="BB297"/>
      <c r="BC297"/>
      <c r="BD297"/>
      <c r="BE297"/>
      <c r="BF297"/>
      <c r="BG297"/>
      <c r="BH297"/>
      <c r="BI297"/>
      <c r="BJ297"/>
      <c r="BK297"/>
      <c r="BL297"/>
      <c r="BM297"/>
    </row>
    <row r="298" spans="35:65" ht="12.75" customHeight="1">
      <c r="AI298" s="364"/>
      <c r="AJ298" s="931" t="s">
        <v>313</v>
      </c>
      <c r="AK298" s="931"/>
      <c r="AL298" s="931"/>
      <c r="AM298" s="931"/>
      <c r="AN298" s="599">
        <f>Consumables!H19*12</f>
        <v>1674547.2000000002</v>
      </c>
      <c r="AO298" s="599">
        <f>AQ298</f>
        <v>1398988.8</v>
      </c>
      <c r="AP298" s="599">
        <f>AO298</f>
        <v>1398988.8</v>
      </c>
      <c r="AQ298" s="599">
        <f>Consumables!E19*12</f>
        <v>1398988.8</v>
      </c>
      <c r="AR298" s="361"/>
      <c r="AS298" s="367"/>
      <c r="AT298"/>
      <c r="AU298"/>
      <c r="AV298"/>
      <c r="AW298"/>
      <c r="AX298"/>
      <c r="AY298"/>
      <c r="AZ298"/>
      <c r="BA298"/>
      <c r="BB298"/>
      <c r="BC298"/>
      <c r="BD298"/>
      <c r="BE298"/>
      <c r="BF298"/>
      <c r="BG298"/>
      <c r="BH298"/>
      <c r="BI298"/>
      <c r="BJ298"/>
      <c r="BK298"/>
      <c r="BL298"/>
      <c r="BM298"/>
    </row>
    <row r="299" spans="35:65" ht="12.75" customHeight="1">
      <c r="AI299" s="364"/>
      <c r="AJ299" s="931" t="s">
        <v>190</v>
      </c>
      <c r="AK299" s="931"/>
      <c r="AL299" s="931"/>
      <c r="AM299" s="931"/>
      <c r="AN299" s="599">
        <f>Consumables!H22*12</f>
        <v>8294400</v>
      </c>
      <c r="AO299" s="599">
        <v>0</v>
      </c>
      <c r="AP299" s="599">
        <v>0</v>
      </c>
      <c r="AQ299" s="599">
        <v>0</v>
      </c>
      <c r="AR299" s="361"/>
      <c r="AS299" s="367"/>
      <c r="AT299"/>
      <c r="AU299"/>
      <c r="AV299"/>
      <c r="AW299"/>
      <c r="AX299"/>
      <c r="AY299"/>
      <c r="AZ299"/>
      <c r="BA299"/>
      <c r="BB299"/>
      <c r="BC299"/>
      <c r="BD299"/>
      <c r="BE299"/>
      <c r="BF299"/>
      <c r="BG299"/>
      <c r="BH299"/>
      <c r="BI299"/>
      <c r="BJ299"/>
      <c r="BK299"/>
      <c r="BL299"/>
      <c r="BM299"/>
    </row>
    <row r="300" spans="35:65" ht="12.75" customHeight="1">
      <c r="AI300" s="364"/>
      <c r="AJ300" s="931" t="s">
        <v>482</v>
      </c>
      <c r="AK300" s="931"/>
      <c r="AL300" s="931"/>
      <c r="AM300" s="931"/>
      <c r="AN300" s="599">
        <v>0</v>
      </c>
      <c r="AO300" s="599">
        <f>AQ300</f>
        <v>199600.00000000003</v>
      </c>
      <c r="AP300" s="599">
        <f>AO300</f>
        <v>199600.00000000003</v>
      </c>
      <c r="AQ300" s="599">
        <f>Consumables!E25*12</f>
        <v>199600.00000000003</v>
      </c>
      <c r="AR300" s="361"/>
      <c r="AS300" s="367"/>
      <c r="AT300"/>
      <c r="AU300"/>
      <c r="AV300"/>
      <c r="AW300"/>
      <c r="AX300"/>
      <c r="AY300"/>
      <c r="AZ300"/>
      <c r="BA300"/>
      <c r="BB300"/>
      <c r="BC300"/>
      <c r="BD300"/>
      <c r="BE300"/>
      <c r="BF300"/>
      <c r="BG300"/>
      <c r="BH300"/>
      <c r="BI300"/>
      <c r="BJ300"/>
      <c r="BK300"/>
      <c r="BL300"/>
      <c r="BM300"/>
    </row>
    <row r="301" spans="35:65" ht="12.75" customHeight="1">
      <c r="AI301" s="364"/>
      <c r="AJ301" s="931" t="s">
        <v>483</v>
      </c>
      <c r="AK301" s="931"/>
      <c r="AL301" s="931"/>
      <c r="AM301" s="931"/>
      <c r="AN301" s="599">
        <v>0</v>
      </c>
      <c r="AO301" s="599">
        <f>AQ301</f>
        <v>40600</v>
      </c>
      <c r="AP301" s="599">
        <f>AO301</f>
        <v>40600</v>
      </c>
      <c r="AQ301" s="599">
        <f>Consumables!E24*12</f>
        <v>40600</v>
      </c>
      <c r="AR301" s="361"/>
      <c r="AS301" s="367"/>
      <c r="AT301"/>
      <c r="AU301"/>
      <c r="AV301"/>
      <c r="AW301"/>
      <c r="AX301"/>
      <c r="AY301"/>
      <c r="AZ301"/>
      <c r="BA301"/>
      <c r="BB301"/>
      <c r="BC301"/>
      <c r="BD301"/>
      <c r="BE301"/>
      <c r="BF301"/>
      <c r="BG301"/>
      <c r="BH301"/>
      <c r="BI301"/>
      <c r="BJ301"/>
      <c r="BK301"/>
      <c r="BL301"/>
      <c r="BM301"/>
    </row>
    <row r="302" spans="35:65" ht="12.75" customHeight="1">
      <c r="AI302" s="364"/>
      <c r="AJ302" s="931" t="s">
        <v>478</v>
      </c>
      <c r="AK302" s="931"/>
      <c r="AL302" s="931"/>
      <c r="AM302" s="931"/>
      <c r="AN302" s="599">
        <f>AM288</f>
        <v>58291.200000000012</v>
      </c>
      <c r="AO302" s="599">
        <f>AN288</f>
        <v>4719599.9999999991</v>
      </c>
      <c r="AP302" s="599">
        <f>AO288</f>
        <v>4103999.9999999995</v>
      </c>
      <c r="AQ302" s="599">
        <f>AP288</f>
        <v>3371142.8571428563</v>
      </c>
      <c r="AR302" s="361"/>
      <c r="AS302" s="367"/>
      <c r="AT302"/>
      <c r="AU302"/>
      <c r="AV302"/>
      <c r="AW302"/>
      <c r="AX302"/>
      <c r="AY302"/>
      <c r="AZ302"/>
      <c r="BA302"/>
      <c r="BB302"/>
      <c r="BC302"/>
      <c r="BD302"/>
      <c r="BE302"/>
      <c r="BF302"/>
      <c r="BG302"/>
      <c r="BH302"/>
      <c r="BI302"/>
      <c r="BJ302"/>
      <c r="BK302"/>
      <c r="BL302"/>
      <c r="BM302"/>
    </row>
    <row r="303" spans="35:65" ht="12.75" customHeight="1">
      <c r="AI303" s="364"/>
      <c r="AJ303" s="931" t="s">
        <v>484</v>
      </c>
      <c r="AK303" s="931"/>
      <c r="AL303" s="931"/>
      <c r="AM303" s="931"/>
      <c r="AN303" s="599">
        <f>'NIHL Compenation Cost'!AD21</f>
        <v>1715167.5</v>
      </c>
      <c r="AO303" s="599">
        <f>'NIHL Compenation Cost'!Z21</f>
        <v>989115.00000000012</v>
      </c>
      <c r="AP303" s="599">
        <f>'NIHL Compenation Cost'!AB21</f>
        <v>1087325</v>
      </c>
      <c r="AQ303" s="599">
        <f>'NIHL Compenation Cost'!X21</f>
        <v>596275</v>
      </c>
      <c r="AR303" s="361"/>
      <c r="AS303" s="367"/>
      <c r="AT303"/>
      <c r="AU303"/>
      <c r="AV303"/>
      <c r="AW303"/>
      <c r="AX303"/>
      <c r="AY303"/>
      <c r="AZ303"/>
      <c r="BA303"/>
      <c r="BB303"/>
      <c r="BC303"/>
      <c r="BD303"/>
      <c r="BE303"/>
      <c r="BF303"/>
      <c r="BG303"/>
      <c r="BH303"/>
      <c r="BI303"/>
      <c r="BJ303"/>
      <c r="BK303"/>
      <c r="BL303"/>
      <c r="BM303"/>
    </row>
    <row r="304" spans="35:65" ht="12.75" customHeight="1">
      <c r="AI304" s="364"/>
      <c r="AJ304" s="932" t="s">
        <v>677</v>
      </c>
      <c r="AK304" s="932"/>
      <c r="AL304" s="932"/>
      <c r="AM304" s="932"/>
      <c r="AN304" s="599">
        <f>SUM(AN293:AN303)</f>
        <v>19604985.780000001</v>
      </c>
      <c r="AO304" s="599">
        <f>SUM(AO293:AO303)</f>
        <v>12689261.800000001</v>
      </c>
      <c r="AP304" s="599">
        <f>SUM(AP293:AP303)</f>
        <v>11096641.800000001</v>
      </c>
      <c r="AQ304" s="599">
        <f>SUM(AQ293:AQ303)</f>
        <v>10914253.22857143</v>
      </c>
      <c r="AR304" s="361"/>
      <c r="AS304" s="367"/>
      <c r="AT304"/>
      <c r="AU304"/>
      <c r="AV304"/>
      <c r="AW304"/>
      <c r="AX304"/>
      <c r="AY304"/>
      <c r="AZ304"/>
      <c r="BA304"/>
      <c r="BB304"/>
      <c r="BC304"/>
      <c r="BD304"/>
      <c r="BE304"/>
      <c r="BF304"/>
      <c r="BG304"/>
      <c r="BH304"/>
      <c r="BI304"/>
      <c r="BJ304"/>
      <c r="BK304"/>
      <c r="BL304"/>
      <c r="BM304"/>
    </row>
    <row r="305" spans="35:65" ht="12.75" customHeight="1">
      <c r="AI305" s="364"/>
      <c r="AJ305" s="591"/>
      <c r="AK305" s="591"/>
      <c r="AL305" s="591"/>
      <c r="AM305" s="591"/>
      <c r="AN305" s="718"/>
      <c r="AO305" s="718"/>
      <c r="AP305" s="718"/>
      <c r="AQ305" s="718"/>
      <c r="AR305" s="361"/>
      <c r="AS305" s="367"/>
      <c r="AT305"/>
      <c r="AU305"/>
      <c r="AV305"/>
      <c r="AW305"/>
      <c r="AX305"/>
      <c r="AY305"/>
      <c r="AZ305"/>
      <c r="BA305"/>
      <c r="BB305"/>
      <c r="BC305"/>
      <c r="BD305"/>
      <c r="BE305"/>
      <c r="BF305"/>
      <c r="BG305"/>
      <c r="BH305"/>
      <c r="BI305"/>
      <c r="BJ305"/>
      <c r="BK305"/>
      <c r="BL305"/>
      <c r="BM305"/>
    </row>
    <row r="306" spans="35:65" ht="12.75" customHeight="1">
      <c r="AI306" s="364"/>
      <c r="AJ306" s="591"/>
      <c r="AK306" s="591"/>
      <c r="AL306" s="933" t="s">
        <v>812</v>
      </c>
      <c r="AM306" s="933"/>
      <c r="AN306" s="718">
        <f>AN304-AN299</f>
        <v>11310585.780000001</v>
      </c>
      <c r="AO306" s="718">
        <f>AO304-AO299</f>
        <v>12689261.800000001</v>
      </c>
      <c r="AP306" s="718">
        <f>AP304-AP299</f>
        <v>11096641.800000001</v>
      </c>
      <c r="AQ306" s="718">
        <f>AQ304-AQ299</f>
        <v>10914253.22857143</v>
      </c>
      <c r="AR306" s="361"/>
      <c r="AS306" s="367"/>
      <c r="AT306"/>
      <c r="AU306"/>
      <c r="AV306"/>
      <c r="AW306"/>
      <c r="AX306"/>
      <c r="AY306"/>
      <c r="AZ306"/>
      <c r="BA306"/>
      <c r="BB306"/>
      <c r="BC306"/>
      <c r="BD306"/>
      <c r="BE306"/>
      <c r="BF306"/>
      <c r="BG306"/>
      <c r="BH306"/>
      <c r="BI306"/>
      <c r="BJ306"/>
      <c r="BK306"/>
      <c r="BL306"/>
      <c r="BM306"/>
    </row>
    <row r="307" spans="35:65" ht="12.75" customHeight="1">
      <c r="AI307" s="364"/>
      <c r="AJ307" s="364"/>
      <c r="AK307" s="364"/>
      <c r="AL307" s="934" t="s">
        <v>350</v>
      </c>
      <c r="AM307" s="934"/>
      <c r="AN307" s="682">
        <f>AN299</f>
        <v>8294400</v>
      </c>
      <c r="AO307" s="682"/>
      <c r="AP307" s="682"/>
      <c r="AQ307" s="682"/>
      <c r="AR307" s="364"/>
      <c r="AS307" s="367"/>
      <c r="AT307"/>
      <c r="AU307"/>
      <c r="AV307"/>
      <c r="AW307"/>
      <c r="AX307"/>
      <c r="AY307"/>
      <c r="AZ307"/>
      <c r="BA307"/>
      <c r="BB307"/>
      <c r="BC307"/>
      <c r="BD307"/>
      <c r="BE307"/>
      <c r="BF307"/>
      <c r="BG307"/>
      <c r="BH307"/>
      <c r="BI307"/>
      <c r="BJ307"/>
      <c r="BK307"/>
      <c r="BL307"/>
      <c r="BM307"/>
    </row>
    <row r="308" spans="35:65" ht="12.75" customHeight="1">
      <c r="AI308" s="364">
        <v>10.3</v>
      </c>
      <c r="AJ308" s="363"/>
      <c r="AK308" s="364"/>
      <c r="AL308" s="364"/>
      <c r="AM308" s="364"/>
      <c r="AN308" s="682"/>
      <c r="AO308" s="364"/>
      <c r="AP308" s="362"/>
      <c r="AQ308" s="682"/>
      <c r="AR308" s="364"/>
      <c r="AS308" s="367"/>
      <c r="AT308"/>
      <c r="AU308"/>
      <c r="AV308"/>
      <c r="AW308"/>
      <c r="AX308"/>
      <c r="AY308"/>
      <c r="AZ308"/>
      <c r="BA308"/>
      <c r="BB308"/>
      <c r="BC308"/>
      <c r="BD308"/>
      <c r="BE308"/>
      <c r="BF308"/>
      <c r="BG308"/>
      <c r="BH308"/>
      <c r="BI308"/>
      <c r="BJ308"/>
      <c r="BK308"/>
      <c r="BL308"/>
      <c r="BM308"/>
    </row>
    <row r="309" spans="35:65" ht="12.75" customHeight="1">
      <c r="AI309" s="364"/>
      <c r="AJ309" s="364"/>
      <c r="AK309" s="364"/>
      <c r="AL309" s="364"/>
      <c r="AM309" s="364"/>
      <c r="AN309" s="364"/>
      <c r="AO309" s="364"/>
      <c r="AP309" s="364"/>
      <c r="AQ309" s="364"/>
      <c r="AR309" s="364"/>
      <c r="AS309" s="367"/>
      <c r="AT309"/>
      <c r="AU309"/>
      <c r="AV309"/>
      <c r="AW309"/>
      <c r="AX309"/>
      <c r="AY309"/>
      <c r="AZ309"/>
      <c r="BA309"/>
      <c r="BB309"/>
      <c r="BC309"/>
      <c r="BD309"/>
      <c r="BE309"/>
      <c r="BF309"/>
      <c r="BG309"/>
      <c r="BH309"/>
      <c r="BI309"/>
      <c r="BJ309"/>
      <c r="BK309"/>
      <c r="BL309"/>
      <c r="BM309"/>
    </row>
    <row r="310" spans="35:65" ht="12.75" customHeight="1">
      <c r="AI310" s="364"/>
      <c r="AJ310" s="935" t="s">
        <v>195</v>
      </c>
      <c r="AK310" s="935"/>
      <c r="AL310" s="935"/>
      <c r="AM310" s="935"/>
      <c r="AN310" s="935"/>
      <c r="AO310" s="375"/>
      <c r="AP310" s="683"/>
      <c r="AQ310" s="375"/>
      <c r="AR310" s="375"/>
      <c r="AS310" s="367"/>
      <c r="AT310"/>
      <c r="AU310"/>
      <c r="AV310"/>
      <c r="AW310"/>
      <c r="AX310"/>
      <c r="AY310"/>
      <c r="AZ310"/>
      <c r="BA310"/>
      <c r="BB310"/>
      <c r="BC310"/>
      <c r="BD310"/>
      <c r="BE310"/>
      <c r="BF310"/>
      <c r="BG310"/>
      <c r="BH310"/>
      <c r="BI310"/>
      <c r="BJ310"/>
      <c r="BK310"/>
      <c r="BL310"/>
      <c r="BM310"/>
    </row>
    <row r="311" spans="35:65" ht="12.75" customHeight="1">
      <c r="AI311" s="364"/>
      <c r="AJ311" s="926" t="s">
        <v>509</v>
      </c>
      <c r="AK311" s="927" t="s">
        <v>21</v>
      </c>
      <c r="AL311" s="928" t="s">
        <v>22</v>
      </c>
      <c r="AM311" s="929" t="s">
        <v>579</v>
      </c>
      <c r="AN311" s="930" t="s">
        <v>500</v>
      </c>
      <c r="AO311" s="363"/>
      <c r="AP311" s="684"/>
      <c r="AQ311" s="363"/>
      <c r="AR311" s="364"/>
      <c r="AS311" s="367"/>
      <c r="AT311"/>
      <c r="AU311"/>
      <c r="AV311"/>
      <c r="AW311"/>
      <c r="AX311"/>
      <c r="AY311"/>
      <c r="AZ311"/>
      <c r="BA311"/>
      <c r="BB311"/>
      <c r="BC311"/>
      <c r="BD311"/>
      <c r="BE311"/>
      <c r="BF311"/>
      <c r="BG311"/>
      <c r="BH311"/>
      <c r="BI311"/>
      <c r="BJ311"/>
      <c r="BK311"/>
      <c r="BL311"/>
      <c r="BM311"/>
    </row>
    <row r="312" spans="35:65" ht="12.75" customHeight="1">
      <c r="AI312" s="364"/>
      <c r="AJ312" s="926"/>
      <c r="AK312" s="927"/>
      <c r="AL312" s="928"/>
      <c r="AM312" s="929"/>
      <c r="AN312" s="930"/>
      <c r="AO312" s="363"/>
      <c r="AP312" s="684"/>
      <c r="AQ312" s="363"/>
      <c r="AR312" s="364"/>
      <c r="AS312" s="367"/>
      <c r="AT312"/>
      <c r="AU312"/>
      <c r="AV312"/>
      <c r="AW312"/>
      <c r="AX312"/>
      <c r="AY312"/>
      <c r="AZ312"/>
      <c r="BA312"/>
      <c r="BB312"/>
      <c r="BC312"/>
      <c r="BD312"/>
      <c r="BE312"/>
      <c r="BF312"/>
      <c r="BG312"/>
      <c r="BH312"/>
      <c r="BI312"/>
      <c r="BJ312"/>
      <c r="BK312"/>
      <c r="BL312"/>
      <c r="BM312"/>
    </row>
    <row r="313" spans="35:65" ht="12.75" customHeight="1">
      <c r="AI313" s="364"/>
      <c r="AJ313" s="667" t="s">
        <v>204</v>
      </c>
      <c r="AK313" s="667" t="s">
        <v>846</v>
      </c>
      <c r="AL313" s="667" t="s">
        <v>846</v>
      </c>
      <c r="AM313" s="667" t="s">
        <v>846</v>
      </c>
      <c r="AN313" s="667" t="s">
        <v>846</v>
      </c>
      <c r="AO313" s="363"/>
      <c r="AP313" s="363"/>
      <c r="AQ313" s="363"/>
      <c r="AR313" s="364"/>
      <c r="AS313" s="367"/>
      <c r="AT313"/>
      <c r="AU313"/>
      <c r="AV313"/>
      <c r="AW313"/>
      <c r="AX313"/>
      <c r="AY313"/>
      <c r="AZ313"/>
      <c r="BA313"/>
      <c r="BB313"/>
      <c r="BC313"/>
      <c r="BD313"/>
      <c r="BE313"/>
      <c r="BF313"/>
      <c r="BG313"/>
      <c r="BH313"/>
      <c r="BI313"/>
      <c r="BJ313"/>
      <c r="BK313"/>
      <c r="BL313"/>
      <c r="BM313"/>
    </row>
    <row r="314" spans="35:65" ht="12.75" customHeight="1">
      <c r="AI314" s="364"/>
      <c r="AJ314" s="600">
        <v>1</v>
      </c>
      <c r="AK314" s="369">
        <f>$AP$74</f>
        <v>116</v>
      </c>
      <c r="AL314" s="584">
        <f>$AN$74</f>
        <v>108</v>
      </c>
      <c r="AM314" s="685">
        <f>$AO$74</f>
        <v>109</v>
      </c>
      <c r="AN314" s="369">
        <f>$AM$74</f>
        <v>102</v>
      </c>
      <c r="AO314" s="363"/>
      <c r="AP314" s="363"/>
      <c r="AQ314" s="363"/>
      <c r="AR314" s="364"/>
      <c r="AS314" s="367"/>
      <c r="AT314"/>
      <c r="AU314"/>
      <c r="AV314"/>
      <c r="AW314"/>
      <c r="AX314"/>
      <c r="AY314"/>
      <c r="AZ314"/>
      <c r="BA314"/>
      <c r="BB314"/>
      <c r="BC314"/>
      <c r="BD314"/>
      <c r="BE314"/>
      <c r="BF314"/>
      <c r="BG314"/>
      <c r="BH314"/>
      <c r="BI314"/>
      <c r="BJ314"/>
      <c r="BK314"/>
      <c r="BL314"/>
      <c r="BM314"/>
    </row>
    <row r="315" spans="35:65" ht="12.75" customHeight="1">
      <c r="AI315" s="364"/>
      <c r="AJ315" s="600">
        <v>2</v>
      </c>
      <c r="AK315" s="584">
        <f>(LOG((10^(AK314/10))+(10^(AK314/10))))*10</f>
        <v>119.01029995663983</v>
      </c>
      <c r="AL315" s="584">
        <f>(LOG((10^(AL314/10))+(10^(AL314/10))))*10</f>
        <v>111.01029995663981</v>
      </c>
      <c r="AM315" s="584">
        <f>(LOG((10^(AM314/10))+(10^(AM314/10))))*10</f>
        <v>112.01029995663981</v>
      </c>
      <c r="AN315" s="584">
        <f>(LOG((10^(AN314/10))+(10^(AN314/10))))*10</f>
        <v>105.01029995663983</v>
      </c>
      <c r="AO315" s="363"/>
      <c r="AP315" s="363"/>
      <c r="AQ315" s="363"/>
      <c r="AR315" s="364"/>
      <c r="AS315" s="367"/>
      <c r="AT315"/>
      <c r="AU315"/>
      <c r="AV315"/>
      <c r="AW315"/>
      <c r="AX315"/>
      <c r="AY315"/>
      <c r="AZ315"/>
      <c r="BA315"/>
      <c r="BB315"/>
      <c r="BC315"/>
      <c r="BD315"/>
      <c r="BE315"/>
      <c r="BF315"/>
      <c r="BG315"/>
      <c r="BH315"/>
      <c r="BI315"/>
      <c r="BJ315"/>
      <c r="BK315"/>
      <c r="BL315"/>
      <c r="BM315"/>
    </row>
    <row r="316" spans="35:65" ht="12.75" customHeight="1">
      <c r="AI316" s="597"/>
      <c r="AJ316" s="600">
        <v>3</v>
      </c>
      <c r="AK316" s="584">
        <f>(LOG((10^(AK314/10))+(10^(AK314/10))+(10^(AK314/10)))*10)</f>
        <v>120.77121254719664</v>
      </c>
      <c r="AL316" s="584">
        <f>(LOG((10^(AL314/10))+(10^(AL314/10))+(10^(AL314/10)))*10)</f>
        <v>112.77121254719663</v>
      </c>
      <c r="AM316" s="584">
        <f>(LOG((10^(AM314/10))+(10^(AM314/10))+(10^(AM314/10)))*10)</f>
        <v>113.77121254719663</v>
      </c>
      <c r="AN316" s="584">
        <f>(LOG((10^(AN314/10))+(10^(AN314/10))+(10^(AN314/10)))*10)</f>
        <v>106.77121254719664</v>
      </c>
      <c r="AO316" s="363"/>
      <c r="AP316" s="363"/>
      <c r="AQ316" s="363"/>
      <c r="AR316" s="364"/>
      <c r="AS316" s="367"/>
      <c r="AT316"/>
      <c r="AU316"/>
      <c r="AV316"/>
      <c r="AW316"/>
      <c r="AX316"/>
      <c r="AY316"/>
      <c r="AZ316"/>
      <c r="BA316"/>
      <c r="BB316"/>
      <c r="BC316"/>
      <c r="BD316"/>
      <c r="BE316"/>
      <c r="BF316"/>
      <c r="BG316"/>
      <c r="BH316"/>
      <c r="BI316"/>
      <c r="BJ316"/>
      <c r="BK316"/>
      <c r="BL316"/>
      <c r="BM316"/>
    </row>
    <row r="317" spans="35:65" ht="12.75" customHeight="1">
      <c r="AI317" s="364"/>
      <c r="AJ317" s="600">
        <v>4</v>
      </c>
      <c r="AK317" s="584">
        <f>(LOG((10^(AK314/10))+(10^(AK314/10))+(10^(AK314/10))+(10^(AK314/10))))*10</f>
        <v>122.02059991327964</v>
      </c>
      <c r="AL317" s="584">
        <f>(LOG((10^(AL314/10))+(10^(AL314/10))+(10^(AL314/10))+(10^(AL314/10))))*10</f>
        <v>114.02059991327963</v>
      </c>
      <c r="AM317" s="584">
        <f>(LOG((10^(AM314/10))+(10^(AM314/10))+(10^(AM314/10))+(10^(AM314/10))))*10</f>
        <v>115.02059991327963</v>
      </c>
      <c r="AN317" s="584">
        <f>(LOG((10^(AN314/10))+(10^(AN314/10))+(10^(AN314/10))+(10^(AN314/10))))*10</f>
        <v>108.02059991327964</v>
      </c>
      <c r="AO317" s="363"/>
      <c r="AP317" s="363"/>
      <c r="AQ317" s="363"/>
      <c r="AR317" s="364"/>
      <c r="AS317" s="367"/>
      <c r="AT317"/>
      <c r="AU317"/>
      <c r="AV317"/>
      <c r="AW317"/>
      <c r="AX317"/>
      <c r="AY317"/>
      <c r="AZ317"/>
      <c r="BA317"/>
      <c r="BB317"/>
      <c r="BC317"/>
      <c r="BD317"/>
      <c r="BE317"/>
      <c r="BF317"/>
      <c r="BG317"/>
      <c r="BH317"/>
      <c r="BI317"/>
      <c r="BJ317"/>
      <c r="BK317"/>
      <c r="BL317"/>
      <c r="BM317"/>
    </row>
    <row r="318" spans="35:65" ht="12.75" customHeight="1">
      <c r="AI318" s="364"/>
      <c r="AJ318" s="600">
        <v>5</v>
      </c>
      <c r="AK318" s="584">
        <f>(LOG((10^(AK314/10))+(10^(AK314/10))+(10^(AK314/10))+(10^(AK314/10))+(10^(AK314/10))))*10</f>
        <v>122.9897000433602</v>
      </c>
      <c r="AL318" s="584">
        <f>(LOG((10^(AL314/10))+(10^(AL314/10))+(10^(AL314/10))+(10^(AL314/10))+(10^(AL314/10))))*10</f>
        <v>114.98970004336019</v>
      </c>
      <c r="AM318" s="584">
        <f>(LOG((10^(AM314/10))+(10^(AM314/10))+(10^(AM314/10))+(10^(AM314/10))+(10^(AM314/10))))*10</f>
        <v>115.98970004336019</v>
      </c>
      <c r="AN318" s="584">
        <f>(LOG((10^(AN314/10))+(10^(AN314/10))+(10^(AN314/10))+(10^(AN314/10))+(10^(AN314/10))))*10</f>
        <v>108.9897000433602</v>
      </c>
      <c r="AO318" s="363"/>
      <c r="AP318" s="363"/>
      <c r="AQ318" s="363"/>
      <c r="AR318" s="364"/>
      <c r="AS318" s="367"/>
      <c r="AT318"/>
      <c r="AU318"/>
      <c r="AV318"/>
      <c r="AW318"/>
      <c r="AX318"/>
      <c r="AY318"/>
      <c r="AZ318"/>
      <c r="BA318"/>
      <c r="BB318"/>
      <c r="BC318"/>
      <c r="BD318"/>
      <c r="BE318"/>
      <c r="BF318"/>
      <c r="BG318"/>
      <c r="BH318"/>
      <c r="BI318"/>
      <c r="BJ318"/>
      <c r="BK318"/>
      <c r="BL318"/>
      <c r="BM318"/>
    </row>
    <row r="319" spans="35:65" ht="12.75" customHeight="1">
      <c r="AI319" s="364"/>
      <c r="AJ319" s="600">
        <v>6</v>
      </c>
      <c r="AK319" s="584">
        <f>(LOG((10^(AK314/10))+(10^(AK314/10))+(10^(AK314/10))+(10^(AK314/10))+(10^(AK314/10))+(10^(AK314/10)))*10)</f>
        <v>123.78151250383645</v>
      </c>
      <c r="AL319" s="584">
        <f>(LOG((10^(AL314/10))+(10^(AL314/10))+(10^(AL314/10))+(10^(AL314/10))+(10^(AL314/10))+(10^(AL314/10)))*10)</f>
        <v>115.78151250383644</v>
      </c>
      <c r="AM319" s="584">
        <f>(LOG((10^(AM314/10))+(10^(AM314/10))+(10^(AM314/10))+(10^(AM314/10))+(10^(AM314/10))+(10^(AM314/10)))*10)</f>
        <v>116.78151250383644</v>
      </c>
      <c r="AN319" s="584">
        <f>(LOG((10^(AN314/10))+(10^(AN314/10))+(10^(AN314/10))+(10^(AN314/10))+(10^(AN314/10))+(10^(AN314/10)))*10)</f>
        <v>109.78151250383645</v>
      </c>
      <c r="AO319" s="363"/>
      <c r="AP319" s="363"/>
      <c r="AQ319" s="363"/>
      <c r="AR319" s="364"/>
      <c r="AS319" s="367"/>
      <c r="AT319"/>
      <c r="AU319"/>
      <c r="AV319"/>
      <c r="AW319"/>
      <c r="AX319"/>
      <c r="AY319"/>
      <c r="AZ319"/>
      <c r="BA319"/>
      <c r="BB319"/>
      <c r="BC319"/>
      <c r="BD319"/>
      <c r="BE319"/>
      <c r="BF319"/>
      <c r="BG319"/>
      <c r="BH319"/>
      <c r="BI319"/>
      <c r="BJ319"/>
      <c r="BK319"/>
      <c r="BL319"/>
      <c r="BM319"/>
    </row>
    <row r="320" spans="35:65" ht="12.75" customHeight="1" thickBot="1">
      <c r="AI320" s="364"/>
      <c r="AJ320" s="364"/>
      <c r="AK320" s="364"/>
      <c r="AL320" s="364"/>
      <c r="AM320" s="364"/>
      <c r="AN320" s="364"/>
      <c r="AO320" s="364"/>
      <c r="AP320" s="364"/>
      <c r="AQ320" s="364"/>
      <c r="AR320" s="364"/>
      <c r="AS320" s="367"/>
      <c r="AT320"/>
      <c r="AU320"/>
      <c r="AV320"/>
      <c r="AW320"/>
      <c r="AX320"/>
      <c r="AY320"/>
      <c r="AZ320"/>
      <c r="BA320"/>
      <c r="BB320"/>
      <c r="BC320"/>
      <c r="BD320"/>
      <c r="BE320"/>
      <c r="BF320"/>
      <c r="BG320"/>
      <c r="BH320"/>
      <c r="BI320"/>
      <c r="BJ320"/>
      <c r="BK320"/>
      <c r="BL320"/>
      <c r="BM320"/>
    </row>
    <row r="321" spans="35:65" ht="12.75" customHeight="1" thickTop="1">
      <c r="AI321" s="364"/>
      <c r="AJ321" s="916" t="s">
        <v>428</v>
      </c>
      <c r="AK321" s="917"/>
      <c r="AL321" s="917"/>
      <c r="AM321" s="917"/>
      <c r="AN321" s="917"/>
      <c r="AO321" s="918"/>
      <c r="AP321" s="364"/>
      <c r="AQ321" s="364"/>
      <c r="AR321" s="364"/>
      <c r="AS321" s="367"/>
      <c r="AT321"/>
      <c r="AU321"/>
      <c r="AV321"/>
      <c r="AW321"/>
      <c r="AX321"/>
      <c r="AY321"/>
      <c r="AZ321"/>
      <c r="BA321"/>
      <c r="BB321"/>
      <c r="BC321"/>
      <c r="BD321"/>
      <c r="BE321"/>
      <c r="BF321"/>
      <c r="BG321"/>
      <c r="BH321"/>
      <c r="BI321"/>
      <c r="BJ321"/>
      <c r="BK321"/>
      <c r="BL321"/>
      <c r="BM321"/>
    </row>
    <row r="322" spans="35:65" ht="12.75" customHeight="1">
      <c r="AI322" s="364"/>
      <c r="AJ322" s="919"/>
      <c r="AK322" s="920"/>
      <c r="AL322" s="920"/>
      <c r="AM322" s="920"/>
      <c r="AN322" s="920"/>
      <c r="AO322" s="921"/>
      <c r="AP322" s="364"/>
      <c r="AQ322" s="364"/>
      <c r="AR322" s="364"/>
      <c r="AS322" s="367"/>
      <c r="AT322"/>
      <c r="AU322"/>
      <c r="AV322"/>
      <c r="AW322"/>
      <c r="AX322"/>
      <c r="AY322"/>
      <c r="AZ322"/>
      <c r="BA322"/>
      <c r="BB322"/>
      <c r="BC322"/>
      <c r="BD322"/>
      <c r="BE322"/>
      <c r="BF322"/>
      <c r="BG322"/>
      <c r="BH322"/>
      <c r="BI322"/>
      <c r="BJ322"/>
      <c r="BK322"/>
      <c r="BL322"/>
      <c r="BM322"/>
    </row>
    <row r="323" spans="35:65" ht="12.75" customHeight="1" thickBot="1">
      <c r="AI323" s="364"/>
      <c r="AJ323" s="922"/>
      <c r="AK323" s="923"/>
      <c r="AL323" s="923"/>
      <c r="AM323" s="923"/>
      <c r="AN323" s="923"/>
      <c r="AO323" s="924"/>
      <c r="AP323" s="364"/>
      <c r="AQ323" s="364"/>
      <c r="AR323" s="364"/>
      <c r="AS323" s="367"/>
      <c r="AT323"/>
      <c r="AU323"/>
      <c r="AV323"/>
      <c r="AW323"/>
      <c r="AX323"/>
      <c r="AY323"/>
      <c r="AZ323"/>
      <c r="BA323"/>
      <c r="BB323"/>
      <c r="BC323"/>
      <c r="BD323"/>
      <c r="BE323"/>
      <c r="BF323"/>
      <c r="BG323"/>
      <c r="BH323"/>
      <c r="BI323"/>
      <c r="BJ323"/>
      <c r="BK323"/>
      <c r="BL323"/>
      <c r="BM323"/>
    </row>
    <row r="324" spans="35:65" ht="12.75" customHeight="1" thickTop="1">
      <c r="AI324" s="364"/>
      <c r="AJ324" s="925" t="str">
        <f>AK311</f>
        <v>Seco S215</v>
      </c>
      <c r="AK324" s="925"/>
      <c r="AL324" s="925"/>
      <c r="AM324" s="925"/>
      <c r="AN324" s="925"/>
      <c r="AO324" s="925"/>
      <c r="AP324" s="364"/>
      <c r="AQ324" s="364"/>
      <c r="AR324" s="364"/>
      <c r="AS324" s="367"/>
      <c r="AT324"/>
      <c r="AU324"/>
      <c r="AV324"/>
      <c r="AW324"/>
      <c r="AX324"/>
      <c r="AY324"/>
      <c r="AZ324"/>
      <c r="BA324"/>
      <c r="BB324"/>
      <c r="BC324"/>
      <c r="BD324"/>
      <c r="BE324"/>
      <c r="BF324"/>
      <c r="BG324"/>
      <c r="BH324"/>
      <c r="BI324"/>
      <c r="BJ324"/>
      <c r="BK324"/>
      <c r="BL324"/>
      <c r="BM324"/>
    </row>
    <row r="325" spans="35:65" ht="12.75" customHeight="1" thickBot="1">
      <c r="AI325" s="364"/>
      <c r="AJ325" s="910" t="s">
        <v>205</v>
      </c>
      <c r="AK325" s="911"/>
      <c r="AL325" s="911"/>
      <c r="AM325" s="911"/>
      <c r="AN325" s="911"/>
      <c r="AO325" s="912"/>
      <c r="AP325" s="364"/>
      <c r="AQ325" s="364"/>
      <c r="AR325" s="364"/>
      <c r="AS325" s="367"/>
      <c r="AT325"/>
      <c r="AU325"/>
      <c r="AV325"/>
      <c r="AW325"/>
      <c r="AX325"/>
      <c r="AY325"/>
      <c r="AZ325"/>
      <c r="BA325"/>
      <c r="BB325"/>
      <c r="BC325"/>
      <c r="BD325"/>
      <c r="BE325"/>
      <c r="BF325"/>
      <c r="BG325"/>
      <c r="BH325"/>
      <c r="BI325"/>
      <c r="BJ325"/>
      <c r="BK325"/>
      <c r="BL325"/>
      <c r="BM325"/>
    </row>
    <row r="326" spans="35:65" ht="12.75" customHeight="1" thickBot="1">
      <c r="AI326" s="364"/>
      <c r="AJ326" s="686" t="s">
        <v>59</v>
      </c>
      <c r="AK326" s="577"/>
      <c r="AL326" s="687"/>
      <c r="AM326" s="687"/>
      <c r="AN326" s="687"/>
      <c r="AO326" s="688"/>
      <c r="AP326" s="364"/>
      <c r="AQ326" s="364"/>
      <c r="AR326" s="364"/>
      <c r="AS326" s="367"/>
      <c r="AT326"/>
      <c r="AU326"/>
      <c r="AV326"/>
      <c r="AW326"/>
      <c r="AX326"/>
      <c r="AY326"/>
      <c r="AZ326"/>
      <c r="BA326"/>
      <c r="BB326"/>
      <c r="BC326"/>
      <c r="BD326"/>
      <c r="BE326"/>
      <c r="BF326"/>
      <c r="BG326"/>
      <c r="BH326"/>
      <c r="BI326"/>
      <c r="BJ326"/>
      <c r="BK326"/>
      <c r="BL326"/>
      <c r="BM326"/>
    </row>
    <row r="327" spans="35:65" ht="12.75" customHeight="1">
      <c r="AI327" s="364"/>
      <c r="AJ327" s="895" t="s">
        <v>845</v>
      </c>
      <c r="AK327" s="896"/>
      <c r="AL327" s="900" t="s">
        <v>835</v>
      </c>
      <c r="AM327" s="900" t="s">
        <v>836</v>
      </c>
      <c r="AN327" s="900" t="s">
        <v>837</v>
      </c>
      <c r="AO327" s="902" t="s">
        <v>838</v>
      </c>
      <c r="AP327" s="364"/>
      <c r="AQ327" s="364"/>
      <c r="AR327" s="364"/>
      <c r="AS327" s="367"/>
      <c r="AT327"/>
      <c r="AU327"/>
      <c r="AV327"/>
      <c r="AW327"/>
      <c r="AX327"/>
      <c r="AY327"/>
      <c r="AZ327"/>
      <c r="BA327"/>
      <c r="BB327"/>
      <c r="BC327"/>
      <c r="BD327"/>
      <c r="BE327"/>
      <c r="BF327"/>
      <c r="BG327"/>
      <c r="BH327"/>
      <c r="BI327"/>
      <c r="BJ327"/>
      <c r="BK327"/>
      <c r="BL327"/>
      <c r="BM327"/>
    </row>
    <row r="328" spans="35:65" ht="12.75" customHeight="1">
      <c r="AI328" s="364"/>
      <c r="AJ328" s="892"/>
      <c r="AK328" s="897"/>
      <c r="AL328" s="904"/>
      <c r="AM328" s="904"/>
      <c r="AN328" s="904"/>
      <c r="AO328" s="905"/>
      <c r="AP328" s="364"/>
      <c r="AQ328" s="364"/>
      <c r="AR328" s="364"/>
      <c r="AS328" s="367"/>
      <c r="AT328"/>
      <c r="AU328"/>
      <c r="AV328"/>
      <c r="AW328"/>
      <c r="AX328"/>
      <c r="AY328"/>
      <c r="AZ328"/>
      <c r="BA328"/>
      <c r="BB328"/>
      <c r="BC328"/>
      <c r="BD328"/>
      <c r="BE328"/>
      <c r="BF328"/>
      <c r="BG328"/>
      <c r="BH328"/>
      <c r="BI328"/>
      <c r="BJ328"/>
      <c r="BK328"/>
      <c r="BL328"/>
      <c r="BM328"/>
    </row>
    <row r="329" spans="35:65" ht="12.75" customHeight="1">
      <c r="AI329" s="364"/>
      <c r="AJ329" s="892"/>
      <c r="AK329" s="897"/>
      <c r="AL329" s="901"/>
      <c r="AM329" s="901"/>
      <c r="AN329" s="901"/>
      <c r="AO329" s="903"/>
      <c r="AP329" s="364"/>
      <c r="AQ329" s="364"/>
      <c r="AR329" s="364"/>
      <c r="AS329" s="367"/>
      <c r="AT329"/>
      <c r="AU329"/>
      <c r="AV329"/>
      <c r="AW329"/>
      <c r="AX329"/>
      <c r="AY329"/>
      <c r="AZ329"/>
      <c r="BA329"/>
      <c r="BB329"/>
      <c r="BC329"/>
      <c r="BD329"/>
      <c r="BE329"/>
      <c r="BF329"/>
      <c r="BG329"/>
      <c r="BH329"/>
      <c r="BI329"/>
      <c r="BJ329"/>
      <c r="BK329"/>
      <c r="BL329"/>
      <c r="BM329"/>
    </row>
    <row r="330" spans="35:65" ht="12.75" customHeight="1">
      <c r="AI330" s="364"/>
      <c r="AJ330" s="892"/>
      <c r="AK330" s="897"/>
      <c r="AL330" s="689">
        <f>AP74</f>
        <v>116</v>
      </c>
      <c r="AM330" s="560">
        <f>AP67</f>
        <v>1.4285714285714284</v>
      </c>
      <c r="AN330" s="690">
        <f>IF(AL330&gt;0,AO330*AM330," ")</f>
        <v>22857.142857142855</v>
      </c>
      <c r="AO330" s="691">
        <f>IF(AL330&gt;0,(VLOOKUP(AL330,'Lookup Ready-reckoner'!$B$5:$E$1207,4))," ")</f>
        <v>16000</v>
      </c>
      <c r="AP330" s="364"/>
      <c r="AQ330" s="364"/>
      <c r="AR330" s="364"/>
      <c r="AS330" s="367"/>
      <c r="AT330"/>
      <c r="AU330"/>
      <c r="AV330"/>
      <c r="AW330"/>
      <c r="AX330"/>
      <c r="AY330"/>
      <c r="AZ330"/>
      <c r="BA330"/>
      <c r="BB330"/>
      <c r="BC330"/>
      <c r="BD330"/>
      <c r="BE330"/>
      <c r="BF330"/>
      <c r="BG330"/>
      <c r="BH330"/>
      <c r="BI330"/>
      <c r="BJ330"/>
      <c r="BK330"/>
      <c r="BL330"/>
      <c r="BM330"/>
    </row>
    <row r="331" spans="35:65" ht="12.75" customHeight="1">
      <c r="AI331" s="364"/>
      <c r="AJ331" s="898"/>
      <c r="AK331" s="899"/>
      <c r="AL331" s="447"/>
      <c r="AM331" s="560"/>
      <c r="AN331" s="690" t="str">
        <f>IF(AL331&gt;0,AO331*AM331," ")</f>
        <v xml:space="preserve"> </v>
      </c>
      <c r="AO331" s="691" t="str">
        <f>IF(AL331&gt;0,(VLOOKUP(AL331,'Lookup Ready-reckoner'!$B$5:$E$1007,4))," ")</f>
        <v xml:space="preserve"> </v>
      </c>
      <c r="AP331" s="364"/>
      <c r="AQ331" s="364"/>
      <c r="AR331" s="364"/>
      <c r="AS331" s="367"/>
      <c r="AT331"/>
      <c r="AU331"/>
      <c r="AV331"/>
      <c r="AW331"/>
      <c r="AX331"/>
      <c r="AY331"/>
      <c r="AZ331"/>
      <c r="BA331"/>
      <c r="BB331"/>
      <c r="BC331"/>
      <c r="BD331"/>
      <c r="BE331"/>
      <c r="BF331"/>
      <c r="BG331"/>
      <c r="BH331"/>
      <c r="BI331"/>
      <c r="BJ331"/>
      <c r="BK331"/>
      <c r="BL331"/>
      <c r="BM331"/>
    </row>
    <row r="332" spans="35:65" ht="12.75" customHeight="1" thickBot="1">
      <c r="AI332" s="364"/>
      <c r="AJ332" s="692" t="s">
        <v>839</v>
      </c>
      <c r="AK332" s="693"/>
      <c r="AL332" s="693"/>
      <c r="AM332" s="694">
        <f>IF(AL330&gt;0,(VLOOKUP(AN332,'Lookup Ready-reckoner'!$L$5:$M$1207,2))," ")</f>
        <v>108.5</v>
      </c>
      <c r="AN332" s="695">
        <f>IF(AM330&gt;0,(SUM(AN330:AN331))," ")</f>
        <v>22857.142857142855</v>
      </c>
      <c r="AO332" s="696"/>
      <c r="AP332" s="364"/>
      <c r="AQ332" s="364"/>
      <c r="AR332" s="364"/>
      <c r="AS332" s="367"/>
      <c r="AT332"/>
      <c r="AU332"/>
      <c r="AV332"/>
      <c r="AW332"/>
      <c r="AX332"/>
      <c r="AY332"/>
      <c r="AZ332"/>
      <c r="BA332"/>
      <c r="BB332"/>
      <c r="BC332"/>
      <c r="BD332"/>
      <c r="BE332"/>
      <c r="BF332"/>
      <c r="BG332"/>
      <c r="BH332"/>
      <c r="BI332"/>
      <c r="BJ332"/>
      <c r="BK332"/>
      <c r="BL332"/>
      <c r="BM332"/>
    </row>
    <row r="333" spans="35:65" ht="12.75" customHeight="1" thickBot="1">
      <c r="AI333" s="364"/>
      <c r="AJ333" s="892"/>
      <c r="AK333" s="893"/>
      <c r="AL333" s="893"/>
      <c r="AM333" s="893"/>
      <c r="AN333" s="893"/>
      <c r="AO333" s="894"/>
      <c r="AP333" s="364"/>
      <c r="AQ333" s="364"/>
      <c r="AR333" s="364"/>
      <c r="AS333" s="367"/>
      <c r="AT333"/>
      <c r="AU333"/>
      <c r="AV333"/>
      <c r="AW333"/>
      <c r="AX333"/>
      <c r="AY333"/>
      <c r="AZ333"/>
      <c r="BA333"/>
      <c r="BB333"/>
      <c r="BC333"/>
      <c r="BD333"/>
      <c r="BE333"/>
      <c r="BF333"/>
      <c r="BG333"/>
      <c r="BH333"/>
      <c r="BI333"/>
      <c r="BJ333"/>
      <c r="BK333"/>
      <c r="BL333"/>
      <c r="BM333"/>
    </row>
    <row r="334" spans="35:65" ht="12.75" customHeight="1">
      <c r="AI334" s="364"/>
      <c r="AJ334" s="895" t="s">
        <v>886</v>
      </c>
      <c r="AK334" s="896"/>
      <c r="AL334" s="900" t="s">
        <v>835</v>
      </c>
      <c r="AM334" s="900" t="s">
        <v>836</v>
      </c>
      <c r="AN334" s="900" t="s">
        <v>837</v>
      </c>
      <c r="AO334" s="902" t="s">
        <v>838</v>
      </c>
      <c r="AP334" s="364"/>
      <c r="AQ334" s="364"/>
      <c r="AR334" s="364"/>
      <c r="AS334" s="367"/>
      <c r="AT334"/>
      <c r="AU334"/>
      <c r="AV334"/>
      <c r="AW334"/>
      <c r="AX334"/>
      <c r="AY334"/>
      <c r="AZ334"/>
      <c r="BA334"/>
      <c r="BB334"/>
      <c r="BC334"/>
      <c r="BD334"/>
      <c r="BE334"/>
      <c r="BF334"/>
      <c r="BG334"/>
      <c r="BH334"/>
      <c r="BI334"/>
      <c r="BJ334"/>
      <c r="BK334"/>
      <c r="BL334"/>
      <c r="BM334"/>
    </row>
    <row r="335" spans="35:65" ht="12.75" customHeight="1">
      <c r="AI335" s="364"/>
      <c r="AJ335" s="892"/>
      <c r="AK335" s="897"/>
      <c r="AL335" s="901"/>
      <c r="AM335" s="901"/>
      <c r="AN335" s="901"/>
      <c r="AO335" s="903"/>
      <c r="AP335" s="364"/>
      <c r="AQ335" s="364"/>
      <c r="AR335" s="364"/>
      <c r="AS335" s="367"/>
      <c r="AT335"/>
      <c r="AU335"/>
      <c r="AV335"/>
      <c r="AW335"/>
      <c r="AX335"/>
      <c r="AY335"/>
      <c r="AZ335"/>
      <c r="BA335"/>
      <c r="BB335"/>
      <c r="BC335"/>
      <c r="BD335"/>
      <c r="BE335"/>
      <c r="BF335"/>
      <c r="BG335"/>
      <c r="BH335"/>
      <c r="BI335"/>
      <c r="BJ335"/>
      <c r="BK335"/>
      <c r="BL335"/>
      <c r="BM335"/>
    </row>
    <row r="336" spans="35:65" ht="12.75" customHeight="1">
      <c r="AI336" s="364"/>
      <c r="AJ336" s="892"/>
      <c r="AK336" s="897"/>
      <c r="AL336" s="689">
        <f>AL330*(1-0.0178*2)</f>
        <v>111.8704</v>
      </c>
      <c r="AM336" s="560">
        <f>AM330</f>
        <v>1.4285714285714284</v>
      </c>
      <c r="AN336" s="690">
        <f>IF(AL336&gt;0,AO336*AM336," ")</f>
        <v>8842.8571428571413</v>
      </c>
      <c r="AO336" s="691">
        <f>IF(AL336&gt;0,(VLOOKUP(AL336,'Lookup Ready-reckoner'!$B$5:$E$1207,4))," ")</f>
        <v>6190</v>
      </c>
      <c r="AP336" s="364"/>
      <c r="AQ336" s="364"/>
      <c r="AR336" s="364"/>
      <c r="AS336" s="367"/>
      <c r="AT336"/>
      <c r="AU336"/>
      <c r="AV336"/>
      <c r="AW336"/>
      <c r="AX336"/>
      <c r="AY336"/>
      <c r="AZ336"/>
      <c r="BA336"/>
      <c r="BB336"/>
      <c r="BC336"/>
      <c r="BD336"/>
      <c r="BE336"/>
      <c r="BF336"/>
      <c r="BG336"/>
      <c r="BH336"/>
      <c r="BI336"/>
      <c r="BJ336"/>
      <c r="BK336"/>
      <c r="BL336"/>
      <c r="BM336"/>
    </row>
    <row r="337" spans="35:65" ht="12.75" customHeight="1">
      <c r="AI337" s="364"/>
      <c r="AJ337" s="898"/>
      <c r="AK337" s="899"/>
      <c r="AL337" s="447"/>
      <c r="AM337" s="560"/>
      <c r="AN337" s="690" t="str">
        <f>IF(AL337&gt;0,AO337*AM337," ")</f>
        <v xml:space="preserve"> </v>
      </c>
      <c r="AO337" s="691" t="str">
        <f>IF(AL337&gt;0,(VLOOKUP(AL337,'Lookup Ready-reckoner'!$B$5:$E$1007,4))," ")</f>
        <v xml:space="preserve"> </v>
      </c>
      <c r="AP337" s="364"/>
      <c r="AQ337" s="364"/>
      <c r="AR337" s="364"/>
      <c r="AS337" s="367"/>
      <c r="AT337"/>
      <c r="AU337"/>
      <c r="AV337"/>
      <c r="AW337"/>
      <c r="AX337"/>
      <c r="AY337"/>
      <c r="AZ337"/>
      <c r="BA337"/>
      <c r="BB337"/>
      <c r="BC337"/>
      <c r="BD337"/>
      <c r="BE337"/>
      <c r="BF337"/>
      <c r="BG337"/>
      <c r="BH337"/>
      <c r="BI337"/>
      <c r="BJ337"/>
      <c r="BK337"/>
      <c r="BL337"/>
      <c r="BM337"/>
    </row>
    <row r="338" spans="35:65" ht="12.75" customHeight="1" thickBot="1">
      <c r="AI338" s="364"/>
      <c r="AJ338" s="692" t="s">
        <v>839</v>
      </c>
      <c r="AK338" s="693"/>
      <c r="AL338" s="693"/>
      <c r="AM338" s="694">
        <f>IF(AL336&gt;0,(VLOOKUP(AN338,'Lookup Ready-reckoner'!$L$5:$M$1207,2))," ")</f>
        <v>104.4</v>
      </c>
      <c r="AN338" s="695">
        <f>IF(AM336&gt;0,(SUM(AN336:AN337))," ")</f>
        <v>8842.8571428571413</v>
      </c>
      <c r="AO338" s="696"/>
      <c r="AP338" s="364"/>
      <c r="AQ338" s="364"/>
      <c r="AR338" s="364"/>
      <c r="AS338" s="367"/>
      <c r="AT338"/>
      <c r="AU338"/>
      <c r="AV338"/>
      <c r="AW338"/>
      <c r="AX338"/>
      <c r="AY338"/>
      <c r="AZ338"/>
      <c r="BA338"/>
      <c r="BB338"/>
      <c r="BC338"/>
      <c r="BD338"/>
      <c r="BE338"/>
      <c r="BF338"/>
      <c r="BG338"/>
      <c r="BH338"/>
      <c r="BI338"/>
      <c r="BJ338"/>
      <c r="BK338"/>
      <c r="BL338"/>
      <c r="BM338"/>
    </row>
    <row r="339" spans="35:65" ht="12.75" customHeight="1">
      <c r="AI339" s="364"/>
      <c r="AJ339" s="697"/>
      <c r="AK339" s="687"/>
      <c r="AL339" s="687"/>
      <c r="AM339" s="372"/>
      <c r="AN339" s="374"/>
      <c r="AO339" s="688"/>
      <c r="AP339" s="364"/>
      <c r="AQ339" s="364"/>
      <c r="AR339" s="364"/>
      <c r="AS339" s="367"/>
      <c r="AT339"/>
      <c r="AU339"/>
      <c r="AV339"/>
      <c r="AW339"/>
      <c r="AX339"/>
      <c r="AY339"/>
      <c r="AZ339"/>
      <c r="BA339"/>
      <c r="BB339"/>
      <c r="BC339"/>
      <c r="BD339"/>
      <c r="BE339"/>
      <c r="BF339"/>
      <c r="BG339"/>
      <c r="BH339"/>
      <c r="BI339"/>
      <c r="BJ339"/>
      <c r="BK339"/>
      <c r="BL339"/>
      <c r="BM339"/>
    </row>
    <row r="340" spans="35:65" ht="12.75" customHeight="1" thickBot="1">
      <c r="AI340" s="364"/>
      <c r="AJ340" s="686" t="s">
        <v>60</v>
      </c>
      <c r="AK340" s="577"/>
      <c r="AL340" s="577"/>
      <c r="AM340" s="577"/>
      <c r="AN340" s="577"/>
      <c r="AO340" s="698"/>
      <c r="AP340" s="364"/>
      <c r="AQ340" s="364"/>
      <c r="AR340" s="364"/>
      <c r="AS340" s="367"/>
      <c r="AT340"/>
      <c r="AU340"/>
      <c r="AV340"/>
      <c r="AW340"/>
      <c r="AX340"/>
      <c r="AY340"/>
      <c r="AZ340"/>
      <c r="BA340"/>
      <c r="BB340"/>
      <c r="BC340"/>
      <c r="BD340"/>
      <c r="BE340"/>
      <c r="BF340"/>
      <c r="BG340"/>
      <c r="BH340"/>
      <c r="BI340"/>
      <c r="BJ340"/>
      <c r="BK340"/>
      <c r="BL340"/>
      <c r="BM340"/>
    </row>
    <row r="341" spans="35:65" ht="12.75" customHeight="1">
      <c r="AI341" s="364"/>
      <c r="AJ341" s="895" t="s">
        <v>845</v>
      </c>
      <c r="AK341" s="896"/>
      <c r="AL341" s="900" t="s">
        <v>835</v>
      </c>
      <c r="AM341" s="900" t="s">
        <v>836</v>
      </c>
      <c r="AN341" s="900" t="s">
        <v>837</v>
      </c>
      <c r="AO341" s="902" t="s">
        <v>838</v>
      </c>
      <c r="AP341" s="364"/>
      <c r="AQ341" s="364"/>
      <c r="AR341" s="364"/>
      <c r="AS341" s="367"/>
      <c r="AT341"/>
      <c r="AU341"/>
      <c r="AV341"/>
      <c r="AW341"/>
      <c r="AX341"/>
      <c r="AY341"/>
      <c r="AZ341"/>
      <c r="BA341"/>
      <c r="BB341"/>
      <c r="BC341"/>
      <c r="BD341"/>
      <c r="BE341"/>
      <c r="BF341"/>
      <c r="BG341"/>
      <c r="BH341"/>
      <c r="BI341"/>
      <c r="BJ341"/>
      <c r="BK341"/>
      <c r="BL341"/>
      <c r="BM341"/>
    </row>
    <row r="342" spans="35:65" ht="12.75" customHeight="1">
      <c r="AI342" s="364"/>
      <c r="AJ342" s="892"/>
      <c r="AK342" s="897"/>
      <c r="AL342" s="901"/>
      <c r="AM342" s="901"/>
      <c r="AN342" s="901"/>
      <c r="AO342" s="903"/>
      <c r="AP342" s="364"/>
      <c r="AQ342" s="364"/>
      <c r="AR342" s="364"/>
      <c r="AS342" s="367"/>
      <c r="AT342"/>
      <c r="AU342"/>
      <c r="AV342"/>
      <c r="AW342"/>
      <c r="AX342"/>
      <c r="AY342"/>
      <c r="AZ342"/>
      <c r="BA342"/>
      <c r="BB342"/>
      <c r="BC342"/>
      <c r="BD342"/>
      <c r="BE342"/>
      <c r="BF342"/>
      <c r="BG342"/>
      <c r="BH342"/>
      <c r="BI342"/>
      <c r="BJ342"/>
      <c r="BK342"/>
      <c r="BL342"/>
      <c r="BM342"/>
    </row>
    <row r="343" spans="35:65" ht="12.75" customHeight="1">
      <c r="AI343" s="364"/>
      <c r="AJ343" s="892"/>
      <c r="AK343" s="897"/>
      <c r="AL343" s="689">
        <f>AL330-PPE!$I$15</f>
        <v>103</v>
      </c>
      <c r="AM343" s="560">
        <f>AM336</f>
        <v>1.4285714285714284</v>
      </c>
      <c r="AN343" s="690">
        <f>IF(AL343&gt;0,AO343*AM343," ")</f>
        <v>1142.8571428571427</v>
      </c>
      <c r="AO343" s="691">
        <f>IF(AL343&gt;0,(VLOOKUP(AL343,'Lookup Ready-reckoner'!$B$5:$E$1207,4))," ")</f>
        <v>800</v>
      </c>
      <c r="AP343" s="364"/>
      <c r="AQ343" s="364"/>
      <c r="AR343" s="364"/>
      <c r="AS343" s="367"/>
      <c r="AT343"/>
      <c r="AU343"/>
      <c r="AV343"/>
      <c r="AW343"/>
      <c r="AX343"/>
      <c r="AY343"/>
      <c r="AZ343"/>
      <c r="BA343"/>
      <c r="BB343"/>
      <c r="BC343"/>
      <c r="BD343"/>
      <c r="BE343"/>
      <c r="BF343"/>
      <c r="BG343"/>
      <c r="BH343"/>
      <c r="BI343"/>
      <c r="BJ343"/>
      <c r="BK343"/>
      <c r="BL343"/>
      <c r="BM343"/>
    </row>
    <row r="344" spans="35:65" ht="12.75" customHeight="1">
      <c r="AI344" s="364"/>
      <c r="AJ344" s="898"/>
      <c r="AK344" s="899"/>
      <c r="AL344" s="447"/>
      <c r="AM344" s="560"/>
      <c r="AN344" s="690" t="str">
        <f>IF(AL344&gt;0,AO344*AM344," ")</f>
        <v xml:space="preserve"> </v>
      </c>
      <c r="AO344" s="691" t="str">
        <f>IF(AL344&gt;0,(VLOOKUP(AL344,'Lookup Ready-reckoner'!$B$5:$E$1007,4))," ")</f>
        <v xml:space="preserve"> </v>
      </c>
      <c r="AP344" s="364"/>
      <c r="AQ344" s="364"/>
      <c r="AR344" s="364"/>
      <c r="AS344" s="367"/>
      <c r="AT344"/>
      <c r="AU344"/>
      <c r="AV344"/>
      <c r="AW344"/>
      <c r="AX344"/>
      <c r="AY344"/>
      <c r="AZ344"/>
      <c r="BA344"/>
      <c r="BB344"/>
      <c r="BC344"/>
      <c r="BD344"/>
      <c r="BE344"/>
      <c r="BF344"/>
      <c r="BG344"/>
      <c r="BH344"/>
      <c r="BI344"/>
      <c r="BJ344"/>
      <c r="BK344"/>
      <c r="BL344"/>
      <c r="BM344"/>
    </row>
    <row r="345" spans="35:65" ht="12.75" customHeight="1" thickBot="1">
      <c r="AI345" s="364"/>
      <c r="AJ345" s="699" t="s">
        <v>839</v>
      </c>
      <c r="AK345" s="693"/>
      <c r="AL345" s="693"/>
      <c r="AM345" s="694">
        <f>IF(AL343&gt;0,(VLOOKUP(AN345,'Lookup Ready-reckoner'!$L$5:$M$1207,2))," ")</f>
        <v>95.55</v>
      </c>
      <c r="AN345" s="695">
        <f>IF(AM343&gt;0,(SUM(AN343:AN344))," ")</f>
        <v>1142.8571428571427</v>
      </c>
      <c r="AO345" s="696"/>
      <c r="AP345" s="364"/>
      <c r="AQ345" s="364"/>
      <c r="AR345" s="364"/>
      <c r="AS345" s="367"/>
      <c r="AT345"/>
      <c r="AU345"/>
      <c r="AV345"/>
      <c r="AW345"/>
      <c r="AX345"/>
      <c r="AY345"/>
      <c r="AZ345"/>
      <c r="BA345"/>
      <c r="BB345"/>
      <c r="BC345"/>
      <c r="BD345"/>
      <c r="BE345"/>
      <c r="BF345"/>
      <c r="BG345"/>
      <c r="BH345"/>
      <c r="BI345"/>
      <c r="BJ345"/>
      <c r="BK345"/>
      <c r="BL345"/>
      <c r="BM345"/>
    </row>
    <row r="346" spans="35:65" ht="12.75" customHeight="1" thickBot="1">
      <c r="AI346" s="364"/>
      <c r="AJ346" s="892"/>
      <c r="AK346" s="893"/>
      <c r="AL346" s="893"/>
      <c r="AM346" s="893"/>
      <c r="AN346" s="893"/>
      <c r="AO346" s="894"/>
      <c r="AP346" s="364"/>
      <c r="AQ346" s="364"/>
      <c r="AR346" s="364"/>
      <c r="AS346" s="367"/>
      <c r="AT346"/>
      <c r="AU346"/>
      <c r="AV346"/>
      <c r="AW346"/>
      <c r="AX346"/>
      <c r="AY346"/>
      <c r="AZ346"/>
      <c r="BA346"/>
      <c r="BB346"/>
      <c r="BC346"/>
      <c r="BD346"/>
      <c r="BE346"/>
      <c r="BF346"/>
      <c r="BG346"/>
      <c r="BH346"/>
      <c r="BI346"/>
      <c r="BJ346"/>
      <c r="BK346"/>
      <c r="BL346"/>
      <c r="BM346"/>
    </row>
    <row r="347" spans="35:65" ht="12.75" customHeight="1">
      <c r="AI347" s="364"/>
      <c r="AJ347" s="895" t="s">
        <v>886</v>
      </c>
      <c r="AK347" s="896"/>
      <c r="AL347" s="900" t="s">
        <v>835</v>
      </c>
      <c r="AM347" s="900" t="s">
        <v>836</v>
      </c>
      <c r="AN347" s="900" t="s">
        <v>837</v>
      </c>
      <c r="AO347" s="902" t="s">
        <v>838</v>
      </c>
      <c r="AP347" s="364"/>
      <c r="AQ347" s="364"/>
      <c r="AR347" s="364"/>
      <c r="AS347" s="367"/>
      <c r="AT347"/>
      <c r="AU347"/>
      <c r="AV347"/>
      <c r="AW347"/>
      <c r="AX347"/>
      <c r="AY347"/>
      <c r="AZ347"/>
      <c r="BA347"/>
      <c r="BB347"/>
      <c r="BC347"/>
      <c r="BD347"/>
      <c r="BE347"/>
      <c r="BF347"/>
      <c r="BG347"/>
      <c r="BH347"/>
      <c r="BI347"/>
      <c r="BJ347"/>
      <c r="BK347"/>
      <c r="BL347"/>
      <c r="BM347"/>
    </row>
    <row r="348" spans="35:65" ht="12.75" customHeight="1">
      <c r="AI348" s="364"/>
      <c r="AJ348" s="892"/>
      <c r="AK348" s="897"/>
      <c r="AL348" s="901"/>
      <c r="AM348" s="901"/>
      <c r="AN348" s="901"/>
      <c r="AO348" s="903"/>
      <c r="AP348" s="364"/>
      <c r="AQ348" s="364"/>
      <c r="AR348" s="364"/>
      <c r="AS348" s="367"/>
      <c r="AT348"/>
      <c r="AU348"/>
      <c r="AV348"/>
      <c r="AW348"/>
      <c r="AX348"/>
      <c r="AY348"/>
      <c r="AZ348"/>
      <c r="BA348"/>
      <c r="BB348"/>
      <c r="BC348"/>
      <c r="BD348"/>
      <c r="BE348"/>
      <c r="BF348"/>
      <c r="BG348"/>
      <c r="BH348"/>
      <c r="BI348"/>
      <c r="BJ348"/>
      <c r="BK348"/>
      <c r="BL348"/>
      <c r="BM348"/>
    </row>
    <row r="349" spans="35:65" ht="12.75" customHeight="1">
      <c r="AI349" s="364"/>
      <c r="AJ349" s="892"/>
      <c r="AK349" s="897"/>
      <c r="AL349" s="689">
        <f>AL336-PPE!$I$15</f>
        <v>98.870400000000004</v>
      </c>
      <c r="AM349" s="560">
        <f>AM343</f>
        <v>1.4285714285714284</v>
      </c>
      <c r="AN349" s="690">
        <f>IF(AL349&gt;0,AO349*AM349," ")</f>
        <v>433.03571428571422</v>
      </c>
      <c r="AO349" s="691">
        <f>IF(AL349&gt;0,(VLOOKUP(AL349,'Lookup Ready-reckoner'!$B$5:$E$1207,4))," ")</f>
        <v>303.125</v>
      </c>
      <c r="AP349" s="364"/>
      <c r="AQ349" s="364"/>
      <c r="AR349" s="364"/>
      <c r="AS349" s="367"/>
      <c r="AT349"/>
      <c r="AU349"/>
      <c r="AV349"/>
      <c r="AW349"/>
      <c r="AX349"/>
      <c r="AY349"/>
      <c r="AZ349"/>
      <c r="BA349"/>
      <c r="BB349"/>
      <c r="BC349"/>
      <c r="BD349"/>
      <c r="BE349"/>
      <c r="BF349"/>
      <c r="BG349"/>
      <c r="BH349"/>
      <c r="BI349"/>
      <c r="BJ349"/>
      <c r="BK349"/>
      <c r="BL349"/>
      <c r="BM349"/>
    </row>
    <row r="350" spans="35:65" ht="12.75" customHeight="1">
      <c r="AI350" s="364"/>
      <c r="AJ350" s="898"/>
      <c r="AK350" s="899"/>
      <c r="AL350" s="447"/>
      <c r="AM350" s="560"/>
      <c r="AN350" s="690" t="str">
        <f>IF(AL350&gt;0,AO350*AM350," ")</f>
        <v xml:space="preserve"> </v>
      </c>
      <c r="AO350" s="691" t="str">
        <f>IF(AL350&gt;0,(VLOOKUP(AL350,'Lookup Ready-reckoner'!$B$5:$E$1007,4))," ")</f>
        <v xml:space="preserve"> </v>
      </c>
      <c r="AP350" s="364"/>
      <c r="AQ350" s="364"/>
      <c r="AR350" s="364"/>
      <c r="AS350" s="367"/>
      <c r="AT350"/>
      <c r="AU350"/>
      <c r="AV350"/>
      <c r="AW350"/>
      <c r="AX350"/>
      <c r="AY350"/>
      <c r="AZ350"/>
      <c r="BA350"/>
      <c r="BB350"/>
      <c r="BC350"/>
      <c r="BD350"/>
      <c r="BE350"/>
      <c r="BF350"/>
      <c r="BG350"/>
      <c r="BH350"/>
      <c r="BI350"/>
      <c r="BJ350"/>
      <c r="BK350"/>
      <c r="BL350"/>
      <c r="BM350"/>
    </row>
    <row r="351" spans="35:65" ht="12.75" customHeight="1" thickBot="1">
      <c r="AI351" s="364"/>
      <c r="AJ351" s="692" t="s">
        <v>839</v>
      </c>
      <c r="AK351" s="693"/>
      <c r="AL351" s="693"/>
      <c r="AM351" s="694">
        <f>IF(AL349&gt;0,(VLOOKUP(AN351,'Lookup Ready-reckoner'!$L$5:$M$1207,2))," ")</f>
        <v>91.3</v>
      </c>
      <c r="AN351" s="695">
        <f>IF(AM349&gt;0,(SUM(AN349:AN350))," ")</f>
        <v>433.03571428571422</v>
      </c>
      <c r="AO351" s="696"/>
      <c r="AP351" s="364"/>
      <c r="AQ351" s="364"/>
      <c r="AR351" s="364"/>
      <c r="AS351" s="367"/>
      <c r="AT351"/>
      <c r="AU351"/>
      <c r="AV351"/>
      <c r="AW351"/>
      <c r="AX351"/>
      <c r="AY351"/>
      <c r="AZ351"/>
      <c r="BA351"/>
      <c r="BB351"/>
      <c r="BC351"/>
      <c r="BD351"/>
      <c r="BE351"/>
      <c r="BF351"/>
      <c r="BG351"/>
      <c r="BH351"/>
      <c r="BI351"/>
      <c r="BJ351"/>
      <c r="BK351"/>
      <c r="BL351"/>
      <c r="BM351"/>
    </row>
    <row r="352" spans="35:65" ht="12.75" customHeight="1">
      <c r="AI352" s="364"/>
      <c r="AJ352" s="363"/>
      <c r="AK352" s="363"/>
      <c r="AL352" s="363"/>
      <c r="AM352" s="363"/>
      <c r="AN352" s="363"/>
      <c r="AO352" s="363"/>
      <c r="AP352" s="364"/>
      <c r="AQ352" s="364"/>
      <c r="AR352" s="364"/>
      <c r="AS352" s="367"/>
      <c r="AT352"/>
      <c r="AU352"/>
      <c r="AV352"/>
      <c r="AW352"/>
      <c r="AX352"/>
      <c r="AY352"/>
      <c r="AZ352"/>
      <c r="BA352"/>
      <c r="BB352"/>
      <c r="BC352"/>
      <c r="BD352"/>
      <c r="BE352"/>
      <c r="BF352"/>
      <c r="BG352"/>
      <c r="BH352"/>
      <c r="BI352"/>
      <c r="BJ352"/>
      <c r="BK352"/>
      <c r="BL352"/>
      <c r="BM352"/>
    </row>
    <row r="353" spans="35:65" ht="12.75" customHeight="1" thickBot="1">
      <c r="AI353" s="364"/>
      <c r="AJ353" s="915" t="str">
        <f>AL311</f>
        <v>Seco S215 Muffled</v>
      </c>
      <c r="AK353" s="915"/>
      <c r="AL353" s="915"/>
      <c r="AM353" s="915"/>
      <c r="AN353" s="915"/>
      <c r="AO353" s="915"/>
      <c r="AP353" s="364"/>
      <c r="AQ353" s="363"/>
      <c r="AR353" s="363"/>
      <c r="AS353" s="367"/>
      <c r="AT353"/>
      <c r="AU353"/>
      <c r="AV353"/>
      <c r="AW353"/>
      <c r="AX353"/>
      <c r="AY353"/>
      <c r="AZ353"/>
      <c r="BA353"/>
      <c r="BB353"/>
      <c r="BC353"/>
      <c r="BD353"/>
      <c r="BE353"/>
      <c r="BF353"/>
      <c r="BG353"/>
      <c r="BH353"/>
      <c r="BI353"/>
      <c r="BJ353"/>
      <c r="BK353"/>
      <c r="BL353"/>
      <c r="BM353"/>
    </row>
    <row r="354" spans="35:65" ht="12.75" customHeight="1" thickBot="1">
      <c r="AI354" s="364"/>
      <c r="AJ354" s="906" t="s">
        <v>205</v>
      </c>
      <c r="AK354" s="907"/>
      <c r="AL354" s="907"/>
      <c r="AM354" s="907"/>
      <c r="AN354" s="907"/>
      <c r="AO354" s="908"/>
      <c r="AP354" s="364"/>
      <c r="AQ354" s="363"/>
      <c r="AR354" s="363"/>
      <c r="AS354" s="367"/>
      <c r="AT354"/>
      <c r="AU354"/>
      <c r="AV354"/>
      <c r="AW354"/>
      <c r="AX354"/>
      <c r="AY354"/>
      <c r="AZ354"/>
      <c r="BA354"/>
      <c r="BB354"/>
      <c r="BC354"/>
      <c r="BD354"/>
      <c r="BE354"/>
      <c r="BF354"/>
      <c r="BG354"/>
      <c r="BH354"/>
      <c r="BI354"/>
      <c r="BJ354"/>
      <c r="BK354"/>
      <c r="BL354"/>
      <c r="BM354"/>
    </row>
    <row r="355" spans="35:65" ht="12.75" customHeight="1" thickBot="1">
      <c r="AI355" s="364"/>
      <c r="AJ355" s="686" t="s">
        <v>59</v>
      </c>
      <c r="AK355" s="577"/>
      <c r="AL355" s="687"/>
      <c r="AM355" s="687"/>
      <c r="AN355" s="687"/>
      <c r="AO355" s="688"/>
      <c r="AP355" s="364"/>
      <c r="AQ355" s="363"/>
      <c r="AR355" s="363"/>
      <c r="AS355" s="367"/>
      <c r="AT355"/>
      <c r="AU355"/>
      <c r="AV355"/>
      <c r="AW355"/>
      <c r="AX355"/>
      <c r="AY355"/>
      <c r="AZ355"/>
      <c r="BA355"/>
      <c r="BB355"/>
      <c r="BC355"/>
      <c r="BD355"/>
      <c r="BE355"/>
      <c r="BF355"/>
      <c r="BG355"/>
      <c r="BH355"/>
      <c r="BI355"/>
      <c r="BJ355"/>
      <c r="BK355"/>
      <c r="BL355"/>
      <c r="BM355"/>
    </row>
    <row r="356" spans="35:65" ht="12.75" customHeight="1">
      <c r="AI356" s="364"/>
      <c r="AJ356" s="895" t="s">
        <v>845</v>
      </c>
      <c r="AK356" s="896"/>
      <c r="AL356" s="900" t="s">
        <v>835</v>
      </c>
      <c r="AM356" s="900" t="s">
        <v>836</v>
      </c>
      <c r="AN356" s="900" t="s">
        <v>837</v>
      </c>
      <c r="AO356" s="902" t="s">
        <v>838</v>
      </c>
      <c r="AP356" s="364"/>
      <c r="AQ356" s="363"/>
      <c r="AR356" s="363"/>
      <c r="AS356" s="367"/>
      <c r="AT356"/>
      <c r="AU356"/>
      <c r="AV356"/>
      <c r="AW356"/>
      <c r="AX356"/>
      <c r="AY356"/>
      <c r="AZ356"/>
      <c r="BA356"/>
      <c r="BB356"/>
      <c r="BC356"/>
      <c r="BD356"/>
      <c r="BE356"/>
      <c r="BF356"/>
      <c r="BG356"/>
      <c r="BH356"/>
      <c r="BI356"/>
      <c r="BJ356"/>
      <c r="BK356"/>
      <c r="BL356"/>
      <c r="BM356"/>
    </row>
    <row r="357" spans="35:65" ht="12.75" customHeight="1">
      <c r="AI357" s="364"/>
      <c r="AJ357" s="892"/>
      <c r="AK357" s="897"/>
      <c r="AL357" s="904"/>
      <c r="AM357" s="904"/>
      <c r="AN357" s="904"/>
      <c r="AO357" s="905"/>
      <c r="AP357" s="364"/>
      <c r="AQ357" s="363"/>
      <c r="AR357" s="363"/>
      <c r="AS357" s="367"/>
      <c r="AT357"/>
      <c r="AU357"/>
      <c r="AV357"/>
      <c r="AW357"/>
      <c r="AX357"/>
      <c r="AY357"/>
      <c r="AZ357"/>
      <c r="BA357"/>
      <c r="BB357"/>
      <c r="BC357"/>
      <c r="BD357"/>
      <c r="BE357"/>
      <c r="BF357"/>
      <c r="BG357"/>
      <c r="BH357"/>
      <c r="BI357"/>
      <c r="BJ357"/>
      <c r="BK357"/>
      <c r="BL357"/>
      <c r="BM357"/>
    </row>
    <row r="358" spans="35:65" ht="12.75" customHeight="1">
      <c r="AI358" s="364"/>
      <c r="AJ358" s="892"/>
      <c r="AK358" s="897"/>
      <c r="AL358" s="901"/>
      <c r="AM358" s="901"/>
      <c r="AN358" s="901"/>
      <c r="AO358" s="903"/>
      <c r="AP358" s="364"/>
      <c r="AQ358" s="363"/>
      <c r="AR358" s="363"/>
      <c r="AS358" s="367"/>
      <c r="AT358"/>
      <c r="AU358"/>
      <c r="AV358"/>
      <c r="AW358"/>
      <c r="AX358"/>
      <c r="AY358"/>
      <c r="AZ358"/>
      <c r="BA358"/>
      <c r="BB358"/>
      <c r="BC358"/>
      <c r="BD358"/>
      <c r="BE358"/>
      <c r="BF358"/>
      <c r="BG358"/>
      <c r="BH358"/>
      <c r="BI358"/>
      <c r="BJ358"/>
      <c r="BK358"/>
      <c r="BL358"/>
      <c r="BM358"/>
    </row>
    <row r="359" spans="35:65" ht="12.75" customHeight="1">
      <c r="AI359" s="364"/>
      <c r="AJ359" s="892"/>
      <c r="AK359" s="897"/>
      <c r="AL359" s="700">
        <f>AN74</f>
        <v>108</v>
      </c>
      <c r="AM359" s="560">
        <f>AN67</f>
        <v>1.9999999999999996</v>
      </c>
      <c r="AN359" s="690">
        <f>IF(AL359&gt;0,AO359*AM359," ")</f>
        <v>4999.9999999999991</v>
      </c>
      <c r="AO359" s="691">
        <f>IF(AL359&gt;0,(VLOOKUP(AL359,'Lookup Ready-reckoner'!$B$5:$E$1207,4))," ")</f>
        <v>2500</v>
      </c>
      <c r="AP359" s="364"/>
      <c r="AQ359" s="363"/>
      <c r="AR359" s="363"/>
      <c r="AS359" s="367"/>
      <c r="AT359"/>
      <c r="AU359"/>
      <c r="AV359"/>
      <c r="AW359"/>
      <c r="AX359"/>
      <c r="AY359"/>
      <c r="AZ359"/>
      <c r="BA359"/>
      <c r="BB359"/>
      <c r="BC359"/>
      <c r="BD359"/>
      <c r="BE359"/>
      <c r="BF359"/>
      <c r="BG359"/>
      <c r="BH359"/>
      <c r="BI359"/>
      <c r="BJ359"/>
      <c r="BK359"/>
      <c r="BL359"/>
      <c r="BM359"/>
    </row>
    <row r="360" spans="35:65" ht="12.75" customHeight="1">
      <c r="AI360" s="364"/>
      <c r="AJ360" s="898"/>
      <c r="AK360" s="899"/>
      <c r="AL360" s="447"/>
      <c r="AM360" s="560"/>
      <c r="AN360" s="690" t="str">
        <f>IF(AL360&gt;0,AO360*AM360," ")</f>
        <v xml:space="preserve"> </v>
      </c>
      <c r="AO360" s="691" t="str">
        <f>IF(AL360&gt;0,(VLOOKUP(AL360,'Lookup Ready-reckoner'!$B$5:$E$1007,4))," ")</f>
        <v xml:space="preserve"> </v>
      </c>
      <c r="AP360" s="364"/>
      <c r="AQ360" s="363"/>
      <c r="AR360" s="363"/>
      <c r="AS360" s="367"/>
      <c r="AT360"/>
      <c r="AU360"/>
      <c r="AV360"/>
      <c r="AW360"/>
      <c r="AX360"/>
      <c r="AY360"/>
      <c r="AZ360"/>
      <c r="BA360"/>
      <c r="BB360"/>
      <c r="BC360"/>
      <c r="BD360"/>
      <c r="BE360"/>
      <c r="BF360"/>
      <c r="BG360"/>
      <c r="BH360"/>
      <c r="BI360"/>
      <c r="BJ360"/>
      <c r="BK360"/>
      <c r="BL360"/>
      <c r="BM360"/>
    </row>
    <row r="361" spans="35:65" ht="12.75" customHeight="1" thickBot="1">
      <c r="AI361" s="364"/>
      <c r="AJ361" s="699" t="s">
        <v>839</v>
      </c>
      <c r="AK361" s="693"/>
      <c r="AL361" s="693"/>
      <c r="AM361" s="701">
        <f>IF(AL359&gt;0,(VLOOKUP(AN361,'Lookup Ready-reckoner'!$L$5:$M$1207,2))," ")</f>
        <v>101.95</v>
      </c>
      <c r="AN361" s="695">
        <f>IF(AM359&gt;0,(SUM(AN359:AN360))," ")</f>
        <v>4999.9999999999991</v>
      </c>
      <c r="AO361" s="696"/>
      <c r="AP361" s="364"/>
      <c r="AQ361" s="363"/>
      <c r="AR361" s="363"/>
      <c r="AS361" s="367"/>
      <c r="AT361"/>
      <c r="AU361"/>
      <c r="AV361"/>
      <c r="AW361"/>
      <c r="AX361"/>
      <c r="AY361"/>
      <c r="AZ361"/>
      <c r="BA361"/>
      <c r="BB361"/>
      <c r="BC361"/>
      <c r="BD361"/>
      <c r="BE361"/>
      <c r="BF361"/>
      <c r="BG361"/>
      <c r="BH361"/>
      <c r="BI361"/>
      <c r="BJ361"/>
      <c r="BK361"/>
      <c r="BL361"/>
      <c r="BM361"/>
    </row>
    <row r="362" spans="35:65" ht="12.75" customHeight="1" thickBot="1">
      <c r="AI362" s="364"/>
      <c r="AJ362" s="892"/>
      <c r="AK362" s="893"/>
      <c r="AL362" s="893"/>
      <c r="AM362" s="893"/>
      <c r="AN362" s="893"/>
      <c r="AO362" s="894"/>
      <c r="AP362" s="364"/>
      <c r="AQ362" s="363"/>
      <c r="AR362" s="363"/>
      <c r="AS362" s="367"/>
      <c r="AT362"/>
      <c r="AU362"/>
      <c r="AV362"/>
      <c r="AW362"/>
      <c r="AX362"/>
      <c r="AY362"/>
      <c r="AZ362"/>
      <c r="BA362"/>
      <c r="BB362"/>
      <c r="BC362"/>
      <c r="BD362"/>
      <c r="BE362"/>
      <c r="BF362"/>
      <c r="BG362"/>
      <c r="BH362"/>
      <c r="BI362"/>
      <c r="BJ362"/>
      <c r="BK362"/>
      <c r="BL362"/>
      <c r="BM362"/>
    </row>
    <row r="363" spans="35:65" ht="12.75" customHeight="1">
      <c r="AI363" s="364"/>
      <c r="AJ363" s="895" t="s">
        <v>886</v>
      </c>
      <c r="AK363" s="896"/>
      <c r="AL363" s="900" t="s">
        <v>835</v>
      </c>
      <c r="AM363" s="900" t="s">
        <v>836</v>
      </c>
      <c r="AN363" s="900" t="s">
        <v>837</v>
      </c>
      <c r="AO363" s="902" t="s">
        <v>838</v>
      </c>
      <c r="AP363" s="364"/>
      <c r="AQ363" s="363"/>
      <c r="AR363" s="363"/>
      <c r="AS363" s="367"/>
      <c r="AT363"/>
      <c r="AU363"/>
      <c r="AV363"/>
      <c r="AW363"/>
      <c r="AX363"/>
      <c r="AY363"/>
      <c r="AZ363"/>
      <c r="BA363"/>
      <c r="BB363"/>
      <c r="BC363"/>
      <c r="BD363"/>
      <c r="BE363"/>
      <c r="BF363"/>
      <c r="BG363"/>
      <c r="BH363"/>
      <c r="BI363"/>
      <c r="BJ363"/>
      <c r="BK363"/>
      <c r="BL363"/>
      <c r="BM363"/>
    </row>
    <row r="364" spans="35:65" ht="12.75" customHeight="1">
      <c r="AI364" s="364"/>
      <c r="AJ364" s="892"/>
      <c r="AK364" s="897"/>
      <c r="AL364" s="901"/>
      <c r="AM364" s="901"/>
      <c r="AN364" s="901"/>
      <c r="AO364" s="903"/>
      <c r="AP364" s="364"/>
      <c r="AQ364" s="363"/>
      <c r="AR364" s="363"/>
      <c r="AS364" s="367"/>
      <c r="AT364"/>
      <c r="AU364"/>
      <c r="AV364"/>
      <c r="AW364"/>
      <c r="AX364"/>
      <c r="AY364"/>
      <c r="AZ364"/>
      <c r="BA364"/>
      <c r="BB364"/>
      <c r="BC364"/>
      <c r="BD364"/>
      <c r="BE364"/>
      <c r="BF364"/>
      <c r="BG364"/>
      <c r="BH364"/>
      <c r="BI364"/>
      <c r="BJ364"/>
      <c r="BK364"/>
      <c r="BL364"/>
      <c r="BM364"/>
    </row>
    <row r="365" spans="35:65" ht="12.75" customHeight="1">
      <c r="AI365" s="364"/>
      <c r="AJ365" s="892"/>
      <c r="AK365" s="897"/>
      <c r="AL365" s="700">
        <f>AL359*(1-0.0178*2)</f>
        <v>104.15520000000001</v>
      </c>
      <c r="AM365" s="560">
        <f>AM359</f>
        <v>1.9999999999999996</v>
      </c>
      <c r="AN365" s="690">
        <f>IF(AL365&gt;0,AO365*AM365," ")</f>
        <v>2074.9999999999995</v>
      </c>
      <c r="AO365" s="691">
        <f>IF(AL365&gt;0,(VLOOKUP(AL365,'Lookup Ready-reckoner'!$B$5:$E$1207,4))," ")</f>
        <v>1037.5</v>
      </c>
      <c r="AP365" s="364"/>
      <c r="AQ365" s="363"/>
      <c r="AR365" s="363"/>
      <c r="AS365" s="367"/>
      <c r="AT365"/>
      <c r="AU365"/>
      <c r="AV365"/>
      <c r="AW365"/>
      <c r="AX365"/>
      <c r="AY365"/>
      <c r="AZ365"/>
      <c r="BA365"/>
      <c r="BB365"/>
      <c r="BC365"/>
      <c r="BD365"/>
      <c r="BE365"/>
      <c r="BF365"/>
      <c r="BG365"/>
      <c r="BH365"/>
      <c r="BI365"/>
      <c r="BJ365"/>
      <c r="BK365"/>
      <c r="BL365"/>
      <c r="BM365"/>
    </row>
    <row r="366" spans="35:65" ht="12.75" customHeight="1">
      <c r="AI366" s="364"/>
      <c r="AJ366" s="898"/>
      <c r="AK366" s="899"/>
      <c r="AL366" s="447"/>
      <c r="AM366" s="560"/>
      <c r="AN366" s="690" t="str">
        <f>IF(AL366&gt;0,AO366*AM366," ")</f>
        <v xml:space="preserve"> </v>
      </c>
      <c r="AO366" s="691" t="str">
        <f>IF(AL366&gt;0,(VLOOKUP(AL366,'Lookup Ready-reckoner'!$B$5:$E$1007,4))," ")</f>
        <v xml:space="preserve"> </v>
      </c>
      <c r="AP366" s="364"/>
      <c r="AQ366" s="363"/>
      <c r="AR366" s="363"/>
      <c r="AS366" s="367"/>
      <c r="AT366"/>
      <c r="AU366"/>
      <c r="AV366"/>
      <c r="AW366"/>
      <c r="AX366"/>
      <c r="AY366"/>
      <c r="AZ366"/>
      <c r="BA366"/>
      <c r="BB366"/>
      <c r="BC366"/>
      <c r="BD366"/>
      <c r="BE366"/>
      <c r="BF366"/>
      <c r="BG366"/>
      <c r="BH366"/>
      <c r="BI366"/>
      <c r="BJ366"/>
      <c r="BK366"/>
      <c r="BL366"/>
      <c r="BM366"/>
    </row>
    <row r="367" spans="35:65" ht="12.75" customHeight="1" thickBot="1">
      <c r="AI367" s="364"/>
      <c r="AJ367" s="692" t="s">
        <v>839</v>
      </c>
      <c r="AK367" s="693"/>
      <c r="AL367" s="693"/>
      <c r="AM367" s="701">
        <f>IF(AL365&gt;0,(VLOOKUP(AN367,'Lookup Ready-reckoner'!$L$5:$M$1207,2))," ")</f>
        <v>98.1</v>
      </c>
      <c r="AN367" s="695">
        <f>IF(AM365&gt;0,(SUM(AN365:AN366))," ")</f>
        <v>2074.9999999999995</v>
      </c>
      <c r="AO367" s="696"/>
      <c r="AP367" s="364"/>
      <c r="AQ367" s="363"/>
      <c r="AR367" s="363"/>
      <c r="AS367" s="367"/>
      <c r="AT367"/>
      <c r="AU367"/>
      <c r="AV367"/>
      <c r="AW367"/>
      <c r="AX367"/>
      <c r="AY367"/>
      <c r="AZ367"/>
      <c r="BA367"/>
      <c r="BB367"/>
      <c r="BC367"/>
      <c r="BD367"/>
      <c r="BE367"/>
      <c r="BF367"/>
      <c r="BG367"/>
      <c r="BH367"/>
      <c r="BI367"/>
      <c r="BJ367"/>
      <c r="BK367"/>
      <c r="BL367"/>
      <c r="BM367"/>
    </row>
    <row r="368" spans="35:65" ht="12.75" customHeight="1">
      <c r="AI368" s="364"/>
      <c r="AJ368" s="697"/>
      <c r="AK368" s="687"/>
      <c r="AL368" s="687"/>
      <c r="AM368" s="372"/>
      <c r="AN368" s="374"/>
      <c r="AO368" s="688"/>
      <c r="AP368" s="364"/>
      <c r="AQ368" s="363"/>
      <c r="AR368" s="363"/>
      <c r="AS368" s="367"/>
      <c r="AT368"/>
      <c r="AU368"/>
      <c r="AV368"/>
      <c r="AW368"/>
      <c r="AX368"/>
      <c r="AY368"/>
      <c r="AZ368"/>
      <c r="BA368"/>
      <c r="BB368"/>
      <c r="BC368"/>
      <c r="BD368"/>
      <c r="BE368"/>
      <c r="BF368"/>
      <c r="BG368"/>
      <c r="BH368"/>
      <c r="BI368"/>
      <c r="BJ368"/>
      <c r="BK368"/>
      <c r="BL368"/>
      <c r="BM368"/>
    </row>
    <row r="369" spans="35:65" ht="12.75" customHeight="1" thickBot="1">
      <c r="AI369" s="364"/>
      <c r="AJ369" s="686" t="s">
        <v>60</v>
      </c>
      <c r="AK369" s="577"/>
      <c r="AL369" s="577"/>
      <c r="AM369" s="577"/>
      <c r="AN369" s="577"/>
      <c r="AO369" s="698"/>
      <c r="AP369" s="364"/>
      <c r="AQ369" s="363"/>
      <c r="AR369" s="363"/>
      <c r="AS369" s="367"/>
      <c r="AT369"/>
      <c r="AU369"/>
      <c r="AV369"/>
      <c r="AW369"/>
      <c r="AX369"/>
      <c r="AY369"/>
      <c r="AZ369"/>
      <c r="BA369"/>
      <c r="BB369"/>
      <c r="BC369"/>
      <c r="BD369"/>
      <c r="BE369"/>
      <c r="BF369"/>
      <c r="BG369"/>
      <c r="BH369"/>
      <c r="BI369"/>
      <c r="BJ369"/>
      <c r="BK369"/>
      <c r="BL369"/>
      <c r="BM369"/>
    </row>
    <row r="370" spans="35:65" ht="12.75" customHeight="1">
      <c r="AI370" s="364"/>
      <c r="AJ370" s="895" t="s">
        <v>845</v>
      </c>
      <c r="AK370" s="896"/>
      <c r="AL370" s="900" t="s">
        <v>835</v>
      </c>
      <c r="AM370" s="900" t="s">
        <v>836</v>
      </c>
      <c r="AN370" s="900" t="s">
        <v>837</v>
      </c>
      <c r="AO370" s="902" t="s">
        <v>838</v>
      </c>
      <c r="AP370" s="364"/>
      <c r="AQ370" s="363"/>
      <c r="AR370" s="363"/>
      <c r="AS370" s="367"/>
      <c r="AT370"/>
      <c r="AU370"/>
      <c r="AV370"/>
      <c r="AW370"/>
      <c r="AX370"/>
      <c r="AY370"/>
      <c r="AZ370"/>
      <c r="BA370"/>
      <c r="BB370"/>
      <c r="BC370"/>
      <c r="BD370"/>
      <c r="BE370"/>
      <c r="BF370"/>
      <c r="BG370"/>
      <c r="BH370"/>
      <c r="BI370"/>
      <c r="BJ370"/>
      <c r="BK370"/>
      <c r="BL370"/>
      <c r="BM370"/>
    </row>
    <row r="371" spans="35:65" ht="12.75" customHeight="1">
      <c r="AI371" s="364"/>
      <c r="AJ371" s="892"/>
      <c r="AK371" s="897"/>
      <c r="AL371" s="901"/>
      <c r="AM371" s="901"/>
      <c r="AN371" s="901"/>
      <c r="AO371" s="903"/>
      <c r="AP371" s="364"/>
      <c r="AQ371" s="363"/>
      <c r="AR371" s="363"/>
      <c r="AS371" s="367"/>
      <c r="AT371"/>
      <c r="AU371"/>
      <c r="AV371"/>
      <c r="AW371"/>
      <c r="AX371"/>
      <c r="AY371"/>
      <c r="AZ371"/>
      <c r="BA371"/>
      <c r="BB371"/>
      <c r="BC371"/>
      <c r="BD371"/>
      <c r="BE371"/>
      <c r="BF371"/>
      <c r="BG371"/>
      <c r="BH371"/>
      <c r="BI371"/>
      <c r="BJ371"/>
      <c r="BK371"/>
      <c r="BL371"/>
      <c r="BM371"/>
    </row>
    <row r="372" spans="35:65" ht="12.75" customHeight="1">
      <c r="AI372" s="364"/>
      <c r="AJ372" s="892"/>
      <c r="AK372" s="897"/>
      <c r="AL372" s="700">
        <f>AL359-PPE!$I$15</f>
        <v>95</v>
      </c>
      <c r="AM372" s="560">
        <f>AM365</f>
        <v>1.9999999999999996</v>
      </c>
      <c r="AN372" s="690">
        <f>IF(AL372&gt;0,AO372*AM372," ")</f>
        <v>249.99999999999994</v>
      </c>
      <c r="AO372" s="691">
        <f>IF(AL372&gt;0,(VLOOKUP(AL372,'Lookup Ready-reckoner'!$B$5:$E$1207,4))," ")</f>
        <v>125</v>
      </c>
      <c r="AP372" s="364"/>
      <c r="AQ372" s="363"/>
      <c r="AR372" s="363"/>
      <c r="AS372" s="367"/>
      <c r="AT372"/>
      <c r="AU372"/>
      <c r="AV372"/>
      <c r="AW372"/>
      <c r="AX372"/>
      <c r="AY372"/>
      <c r="AZ372"/>
      <c r="BA372"/>
      <c r="BB372"/>
      <c r="BC372"/>
      <c r="BD372"/>
      <c r="BE372"/>
      <c r="BF372"/>
      <c r="BG372"/>
      <c r="BH372"/>
      <c r="BI372"/>
      <c r="BJ372"/>
      <c r="BK372"/>
      <c r="BL372"/>
      <c r="BM372"/>
    </row>
    <row r="373" spans="35:65" ht="12.75" customHeight="1">
      <c r="AI373" s="364"/>
      <c r="AJ373" s="898"/>
      <c r="AK373" s="899"/>
      <c r="AL373" s="447"/>
      <c r="AM373" s="560"/>
      <c r="AN373" s="690" t="str">
        <f>IF(AL373&gt;0,AO373*AM373," ")</f>
        <v xml:space="preserve"> </v>
      </c>
      <c r="AO373" s="691" t="str">
        <f>IF(AL373&gt;0,(VLOOKUP(AL373,'Lookup Ready-reckoner'!$B$5:$E$1007,4))," ")</f>
        <v xml:space="preserve"> </v>
      </c>
      <c r="AP373" s="364"/>
      <c r="AQ373" s="363"/>
      <c r="AR373" s="363"/>
      <c r="AS373" s="367"/>
      <c r="AT373"/>
      <c r="AU373"/>
      <c r="AV373"/>
      <c r="AW373"/>
      <c r="AX373"/>
      <c r="AY373"/>
      <c r="AZ373"/>
      <c r="BA373"/>
      <c r="BB373"/>
      <c r="BC373"/>
      <c r="BD373"/>
      <c r="BE373"/>
      <c r="BF373"/>
      <c r="BG373"/>
      <c r="BH373"/>
      <c r="BI373"/>
      <c r="BJ373"/>
      <c r="BK373"/>
      <c r="BL373"/>
      <c r="BM373"/>
    </row>
    <row r="374" spans="35:65" ht="12.75" customHeight="1" thickBot="1">
      <c r="AI374" s="364"/>
      <c r="AJ374" s="692" t="s">
        <v>839</v>
      </c>
      <c r="AK374" s="693"/>
      <c r="AL374" s="693"/>
      <c r="AM374" s="701">
        <f>IF(AL372&gt;0,(VLOOKUP(AN374,'Lookup Ready-reckoner'!$L$5:$M$1207,2))," ")</f>
        <v>88.95</v>
      </c>
      <c r="AN374" s="695">
        <f>IF(AM372&gt;0,(SUM(AN372:AN373))," ")</f>
        <v>249.99999999999994</v>
      </c>
      <c r="AO374" s="696"/>
      <c r="AP374" s="364"/>
      <c r="AQ374" s="363"/>
      <c r="AR374" s="363"/>
      <c r="AS374" s="367"/>
      <c r="AT374"/>
      <c r="AU374"/>
      <c r="AV374"/>
      <c r="AW374"/>
      <c r="AX374"/>
      <c r="AY374"/>
      <c r="AZ374"/>
      <c r="BA374"/>
      <c r="BB374"/>
      <c r="BC374"/>
      <c r="BD374"/>
      <c r="BE374"/>
      <c r="BF374"/>
      <c r="BG374"/>
      <c r="BH374"/>
      <c r="BI374"/>
      <c r="BJ374"/>
      <c r="BK374"/>
      <c r="BL374"/>
      <c r="BM374"/>
    </row>
    <row r="375" spans="35:65" ht="12.75" customHeight="1" thickBot="1">
      <c r="AI375" s="364"/>
      <c r="AJ375" s="892"/>
      <c r="AK375" s="893"/>
      <c r="AL375" s="893"/>
      <c r="AM375" s="893"/>
      <c r="AN375" s="893"/>
      <c r="AO375" s="894"/>
      <c r="AP375" s="364"/>
      <c r="AQ375" s="363"/>
      <c r="AR375" s="363"/>
      <c r="AS375" s="367"/>
      <c r="AT375"/>
      <c r="AU375"/>
      <c r="AV375"/>
      <c r="AW375"/>
      <c r="AX375"/>
      <c r="AY375"/>
      <c r="AZ375"/>
      <c r="BA375"/>
      <c r="BB375"/>
      <c r="BC375"/>
      <c r="BD375"/>
      <c r="BE375"/>
      <c r="BF375"/>
      <c r="BG375"/>
      <c r="BH375"/>
      <c r="BI375"/>
      <c r="BJ375"/>
      <c r="BK375"/>
      <c r="BL375"/>
      <c r="BM375"/>
    </row>
    <row r="376" spans="35:65" ht="12.75" customHeight="1">
      <c r="AI376" s="364"/>
      <c r="AJ376" s="895" t="s">
        <v>886</v>
      </c>
      <c r="AK376" s="896"/>
      <c r="AL376" s="900" t="s">
        <v>835</v>
      </c>
      <c r="AM376" s="900" t="s">
        <v>836</v>
      </c>
      <c r="AN376" s="900" t="s">
        <v>837</v>
      </c>
      <c r="AO376" s="902" t="s">
        <v>838</v>
      </c>
      <c r="AP376" s="364"/>
      <c r="AQ376" s="363"/>
      <c r="AR376" s="363"/>
      <c r="AS376" s="367"/>
      <c r="AT376"/>
      <c r="AU376"/>
      <c r="AV376"/>
      <c r="AW376"/>
      <c r="AX376"/>
      <c r="AY376"/>
      <c r="AZ376"/>
      <c r="BA376"/>
      <c r="BB376"/>
      <c r="BC376"/>
      <c r="BD376"/>
      <c r="BE376"/>
      <c r="BF376"/>
      <c r="BG376"/>
      <c r="BH376"/>
      <c r="BI376"/>
      <c r="BJ376"/>
      <c r="BK376"/>
      <c r="BL376"/>
      <c r="BM376"/>
    </row>
    <row r="377" spans="35:65" ht="12.75" customHeight="1">
      <c r="AI377" s="364"/>
      <c r="AJ377" s="892"/>
      <c r="AK377" s="897"/>
      <c r="AL377" s="901"/>
      <c r="AM377" s="901"/>
      <c r="AN377" s="901"/>
      <c r="AO377" s="903"/>
      <c r="AP377" s="364"/>
      <c r="AQ377" s="363"/>
      <c r="AR377" s="363"/>
      <c r="AS377" s="367"/>
      <c r="AT377"/>
      <c r="AU377"/>
      <c r="AV377"/>
      <c r="AW377"/>
      <c r="AX377"/>
      <c r="AY377"/>
      <c r="AZ377"/>
      <c r="BA377"/>
      <c r="BB377"/>
      <c r="BC377"/>
      <c r="BD377"/>
      <c r="BE377"/>
      <c r="BF377"/>
      <c r="BG377"/>
      <c r="BH377"/>
      <c r="BI377"/>
      <c r="BJ377"/>
      <c r="BK377"/>
      <c r="BL377"/>
      <c r="BM377"/>
    </row>
    <row r="378" spans="35:65" ht="12.75" customHeight="1">
      <c r="AI378" s="364"/>
      <c r="AJ378" s="892"/>
      <c r="AK378" s="897"/>
      <c r="AL378" s="700">
        <f>AL365-PPE!$I$15</f>
        <v>91.155200000000008</v>
      </c>
      <c r="AM378" s="560">
        <f>AM372</f>
        <v>1.9999999999999996</v>
      </c>
      <c r="AN378" s="690">
        <f>IF(AL378&gt;0,AO378*AM378," ")</f>
        <v>103.74999999999997</v>
      </c>
      <c r="AO378" s="691">
        <f>IF(AL378&gt;0,(VLOOKUP(AL378,'Lookup Ready-reckoner'!$B$5:$E$1207,4))," ")</f>
        <v>51.875</v>
      </c>
      <c r="AP378" s="364"/>
      <c r="AQ378" s="363"/>
      <c r="AR378" s="363"/>
      <c r="AS378" s="367"/>
      <c r="AT378"/>
      <c r="AU378"/>
      <c r="AV378"/>
      <c r="AW378"/>
      <c r="AX378"/>
      <c r="AY378"/>
      <c r="AZ378"/>
      <c r="BA378"/>
      <c r="BB378"/>
      <c r="BC378"/>
      <c r="BD378"/>
      <c r="BE378"/>
      <c r="BF378"/>
      <c r="BG378"/>
      <c r="BH378"/>
      <c r="BI378"/>
      <c r="BJ378"/>
      <c r="BK378"/>
      <c r="BL378"/>
      <c r="BM378"/>
    </row>
    <row r="379" spans="35:65" ht="12.75" customHeight="1">
      <c r="AI379" s="364"/>
      <c r="AJ379" s="898"/>
      <c r="AK379" s="899"/>
      <c r="AL379" s="447"/>
      <c r="AM379" s="560"/>
      <c r="AN379" s="690" t="str">
        <f>IF(AL379&gt;0,AO379*AM379," ")</f>
        <v xml:space="preserve"> </v>
      </c>
      <c r="AO379" s="691" t="str">
        <f>IF(AL379&gt;0,(VLOOKUP(AL379,'Lookup Ready-reckoner'!$B$5:$E$1007,4))," ")</f>
        <v xml:space="preserve"> </v>
      </c>
      <c r="AP379" s="364"/>
      <c r="AQ379" s="363"/>
      <c r="AR379" s="363"/>
      <c r="AS379" s="367"/>
      <c r="AT379"/>
      <c r="AU379"/>
      <c r="AV379"/>
      <c r="AW379"/>
      <c r="AX379"/>
      <c r="AY379"/>
      <c r="AZ379"/>
      <c r="BA379"/>
      <c r="BB379"/>
      <c r="BC379"/>
      <c r="BD379"/>
      <c r="BE379"/>
      <c r="BF379"/>
      <c r="BG379"/>
      <c r="BH379"/>
      <c r="BI379"/>
      <c r="BJ379"/>
      <c r="BK379"/>
      <c r="BL379"/>
      <c r="BM379"/>
    </row>
    <row r="380" spans="35:65" ht="12.75" customHeight="1" thickBot="1">
      <c r="AI380" s="364"/>
      <c r="AJ380" s="692" t="s">
        <v>839</v>
      </c>
      <c r="AK380" s="693"/>
      <c r="AL380" s="693"/>
      <c r="AM380" s="701">
        <f>IF(AL378&gt;0,(VLOOKUP(AN380,'Lookup Ready-reckoner'!$L$5:$M$1207,2))," ")</f>
        <v>85.1</v>
      </c>
      <c r="AN380" s="695">
        <f>IF(AM378&gt;0,(SUM(AN378:AN379))," ")</f>
        <v>103.74999999999997</v>
      </c>
      <c r="AO380" s="696"/>
      <c r="AP380" s="364"/>
      <c r="AQ380" s="363"/>
      <c r="AR380" s="363"/>
      <c r="AS380" s="367"/>
      <c r="AT380"/>
      <c r="AU380"/>
      <c r="AV380"/>
      <c r="AW380"/>
      <c r="AX380"/>
      <c r="AY380"/>
      <c r="AZ380"/>
      <c r="BA380"/>
      <c r="BB380"/>
      <c r="BC380"/>
      <c r="BD380"/>
      <c r="BE380"/>
      <c r="BF380"/>
      <c r="BG380"/>
      <c r="BH380"/>
      <c r="BI380"/>
      <c r="BJ380"/>
      <c r="BK380"/>
      <c r="BL380"/>
      <c r="BM380"/>
    </row>
    <row r="381" spans="35:65" ht="12.75" customHeight="1">
      <c r="AI381" s="364"/>
      <c r="AJ381" s="363"/>
      <c r="AK381" s="363"/>
      <c r="AL381" s="363"/>
      <c r="AM381" s="363"/>
      <c r="AN381" s="363"/>
      <c r="AO381" s="363"/>
      <c r="AP381" s="364"/>
      <c r="AQ381" s="364"/>
      <c r="AR381" s="364"/>
      <c r="AS381" s="367"/>
      <c r="AT381"/>
      <c r="AU381"/>
      <c r="AV381"/>
      <c r="AW381"/>
      <c r="AX381"/>
      <c r="AY381"/>
      <c r="AZ381"/>
      <c r="BA381"/>
      <c r="BB381"/>
      <c r="BC381"/>
      <c r="BD381"/>
      <c r="BE381"/>
      <c r="BF381"/>
      <c r="BG381"/>
      <c r="BH381"/>
      <c r="BI381"/>
      <c r="BJ381"/>
      <c r="BK381"/>
      <c r="BL381"/>
      <c r="BM381"/>
    </row>
    <row r="382" spans="35:65" ht="12.75" customHeight="1">
      <c r="AI382" s="364"/>
      <c r="AJ382" s="913" t="str">
        <f>AM311</f>
        <v>Sulzer ADDS</v>
      </c>
      <c r="AK382" s="914"/>
      <c r="AL382" s="914"/>
      <c r="AM382" s="914"/>
      <c r="AN382" s="914"/>
      <c r="AO382" s="914"/>
      <c r="AP382" s="364"/>
      <c r="AQ382" s="363"/>
      <c r="AR382" s="363"/>
      <c r="AS382" s="367"/>
      <c r="AT382"/>
      <c r="AU382"/>
      <c r="AV382"/>
      <c r="AW382"/>
      <c r="AX382"/>
      <c r="AY382"/>
      <c r="AZ382"/>
      <c r="BA382"/>
      <c r="BB382"/>
      <c r="BC382"/>
      <c r="BD382"/>
      <c r="BE382"/>
      <c r="BF382"/>
      <c r="BG382"/>
      <c r="BH382"/>
      <c r="BI382"/>
      <c r="BJ382"/>
      <c r="BK382"/>
      <c r="BL382"/>
      <c r="BM382"/>
    </row>
    <row r="383" spans="35:65" ht="12.75" customHeight="1" thickBot="1">
      <c r="AI383" s="364"/>
      <c r="AJ383" s="910" t="s">
        <v>205</v>
      </c>
      <c r="AK383" s="911"/>
      <c r="AL383" s="911"/>
      <c r="AM383" s="911"/>
      <c r="AN383" s="911"/>
      <c r="AO383" s="912"/>
      <c r="AP383" s="364"/>
      <c r="AQ383" s="363"/>
      <c r="AR383" s="363"/>
      <c r="AS383" s="367"/>
      <c r="AT383"/>
      <c r="AU383"/>
      <c r="AV383"/>
      <c r="AW383"/>
      <c r="AX383"/>
      <c r="AY383"/>
      <c r="AZ383"/>
      <c r="BA383"/>
      <c r="BB383"/>
      <c r="BC383"/>
      <c r="BD383"/>
      <c r="BE383"/>
      <c r="BF383"/>
      <c r="BG383"/>
      <c r="BH383"/>
      <c r="BI383"/>
      <c r="BJ383"/>
      <c r="BK383"/>
      <c r="BL383"/>
      <c r="BM383"/>
    </row>
    <row r="384" spans="35:65" ht="12.75" customHeight="1" thickBot="1">
      <c r="AI384" s="364"/>
      <c r="AJ384" s="686" t="s">
        <v>59</v>
      </c>
      <c r="AK384" s="577"/>
      <c r="AL384" s="687"/>
      <c r="AM384" s="687"/>
      <c r="AN384" s="687"/>
      <c r="AO384" s="688"/>
      <c r="AP384" s="364"/>
      <c r="AQ384" s="363"/>
      <c r="AR384" s="363"/>
      <c r="AS384" s="367"/>
      <c r="AT384"/>
      <c r="AU384"/>
      <c r="AV384"/>
      <c r="AW384"/>
      <c r="AX384"/>
      <c r="AY384"/>
      <c r="AZ384"/>
      <c r="BA384"/>
      <c r="BB384"/>
      <c r="BC384"/>
      <c r="BD384"/>
      <c r="BE384"/>
      <c r="BF384"/>
      <c r="BG384"/>
      <c r="BH384"/>
      <c r="BI384"/>
      <c r="BJ384"/>
      <c r="BK384"/>
      <c r="BL384"/>
      <c r="BM384"/>
    </row>
    <row r="385" spans="35:65" ht="12.75" customHeight="1">
      <c r="AI385" s="364"/>
      <c r="AJ385" s="895" t="s">
        <v>845</v>
      </c>
      <c r="AK385" s="896"/>
      <c r="AL385" s="900" t="s">
        <v>835</v>
      </c>
      <c r="AM385" s="900" t="s">
        <v>836</v>
      </c>
      <c r="AN385" s="900" t="s">
        <v>837</v>
      </c>
      <c r="AO385" s="902" t="s">
        <v>838</v>
      </c>
      <c r="AP385" s="364"/>
      <c r="AQ385" s="363"/>
      <c r="AR385" s="363"/>
      <c r="AS385" s="367"/>
      <c r="AT385"/>
      <c r="AU385"/>
      <c r="AV385"/>
      <c r="AW385"/>
      <c r="AX385"/>
      <c r="AY385"/>
      <c r="AZ385"/>
      <c r="BA385"/>
      <c r="BB385"/>
      <c r="BC385"/>
      <c r="BD385"/>
      <c r="BE385"/>
      <c r="BF385"/>
      <c r="BG385"/>
      <c r="BH385"/>
      <c r="BI385"/>
      <c r="BJ385"/>
      <c r="BK385"/>
      <c r="BL385"/>
      <c r="BM385"/>
    </row>
    <row r="386" spans="35:65" ht="12.75" customHeight="1">
      <c r="AI386" s="364"/>
      <c r="AJ386" s="892"/>
      <c r="AK386" s="897"/>
      <c r="AL386" s="904"/>
      <c r="AM386" s="904"/>
      <c r="AN386" s="904"/>
      <c r="AO386" s="905"/>
      <c r="AP386" s="364"/>
      <c r="AQ386" s="363"/>
      <c r="AR386" s="363"/>
      <c r="AS386" s="367"/>
      <c r="AT386"/>
      <c r="AU386"/>
      <c r="AV386"/>
      <c r="AW386"/>
      <c r="AX386"/>
      <c r="AY386"/>
      <c r="AZ386"/>
      <c r="BA386"/>
      <c r="BB386"/>
      <c r="BC386"/>
      <c r="BD386"/>
      <c r="BE386"/>
      <c r="BF386"/>
      <c r="BG386"/>
      <c r="BH386"/>
      <c r="BI386"/>
      <c r="BJ386"/>
      <c r="BK386"/>
      <c r="BL386"/>
      <c r="BM386"/>
    </row>
    <row r="387" spans="35:65" ht="12.75" customHeight="1">
      <c r="AI387" s="364"/>
      <c r="AJ387" s="892"/>
      <c r="AK387" s="897"/>
      <c r="AL387" s="901"/>
      <c r="AM387" s="901"/>
      <c r="AN387" s="901"/>
      <c r="AO387" s="903"/>
      <c r="AP387" s="364"/>
      <c r="AQ387" s="363"/>
      <c r="AR387" s="363"/>
      <c r="AS387" s="367"/>
      <c r="AT387"/>
      <c r="AU387"/>
      <c r="AV387"/>
      <c r="AW387"/>
      <c r="AX387"/>
      <c r="AY387"/>
      <c r="AZ387"/>
      <c r="BA387"/>
      <c r="BB387"/>
      <c r="BC387"/>
      <c r="BD387"/>
      <c r="BE387"/>
      <c r="BF387"/>
      <c r="BG387"/>
      <c r="BH387"/>
      <c r="BI387"/>
      <c r="BJ387"/>
      <c r="BK387"/>
      <c r="BL387"/>
      <c r="BM387"/>
    </row>
    <row r="388" spans="35:65" ht="12.75" customHeight="1">
      <c r="AI388" s="364"/>
      <c r="AJ388" s="892"/>
      <c r="AK388" s="897"/>
      <c r="AL388" s="702">
        <f>AO74</f>
        <v>109</v>
      </c>
      <c r="AM388" s="560">
        <f>AO67</f>
        <v>1.7391304347826084</v>
      </c>
      <c r="AN388" s="690">
        <f>IF(AL388&gt;0,AO388*AM388," ")</f>
        <v>5565.2173913043471</v>
      </c>
      <c r="AO388" s="691">
        <f>IF(AL388&gt;0,(VLOOKUP(AL388,'Lookup Ready-reckoner'!$B$5:$E$1207,4))," ")</f>
        <v>3200</v>
      </c>
      <c r="AP388" s="364"/>
      <c r="AQ388" s="363"/>
      <c r="AR388" s="363"/>
      <c r="AS388" s="367"/>
      <c r="AT388"/>
      <c r="AU388"/>
      <c r="AV388"/>
      <c r="AW388"/>
      <c r="AX388"/>
      <c r="AY388"/>
      <c r="AZ388"/>
      <c r="BA388"/>
      <c r="BB388"/>
      <c r="BC388"/>
      <c r="BD388"/>
      <c r="BE388"/>
      <c r="BF388"/>
      <c r="BG388"/>
      <c r="BH388"/>
      <c r="BI388"/>
      <c r="BJ388"/>
      <c r="BK388"/>
      <c r="BL388"/>
      <c r="BM388"/>
    </row>
    <row r="389" spans="35:65" ht="12.75" customHeight="1">
      <c r="AI389" s="364"/>
      <c r="AJ389" s="898"/>
      <c r="AK389" s="899"/>
      <c r="AL389" s="447"/>
      <c r="AM389" s="560"/>
      <c r="AN389" s="690" t="str">
        <f>IF(AL389&gt;0,AO389*AM389," ")</f>
        <v xml:space="preserve"> </v>
      </c>
      <c r="AO389" s="691" t="str">
        <f>IF(AL389&gt;0,(VLOOKUP(AL389,'Lookup Ready-reckoner'!$B$5:$E$1007,4))," ")</f>
        <v xml:space="preserve"> </v>
      </c>
      <c r="AP389" s="364"/>
      <c r="AQ389" s="363"/>
      <c r="AR389" s="363"/>
      <c r="AS389" s="367"/>
      <c r="AT389"/>
      <c r="AU389"/>
      <c r="AV389"/>
      <c r="AW389"/>
      <c r="AX389"/>
      <c r="AY389"/>
      <c r="AZ389"/>
      <c r="BA389"/>
      <c r="BB389"/>
      <c r="BC389"/>
      <c r="BD389"/>
      <c r="BE389"/>
      <c r="BF389"/>
      <c r="BG389"/>
      <c r="BH389"/>
      <c r="BI389"/>
      <c r="BJ389"/>
      <c r="BK389"/>
      <c r="BL389"/>
      <c r="BM389"/>
    </row>
    <row r="390" spans="35:65" ht="12.75" customHeight="1" thickBot="1">
      <c r="AI390" s="364"/>
      <c r="AJ390" s="692" t="s">
        <v>839</v>
      </c>
      <c r="AK390" s="693"/>
      <c r="AL390" s="693"/>
      <c r="AM390" s="703">
        <f>IF(AL388&gt;0,(VLOOKUP(AN390,'Lookup Ready-reckoner'!$L$5:$M$1207,2))," ")</f>
        <v>102.4</v>
      </c>
      <c r="AN390" s="695">
        <f>IF(AM388&gt;0,(SUM(AN388:AN389))," ")</f>
        <v>5565.2173913043471</v>
      </c>
      <c r="AO390" s="696"/>
      <c r="AP390" s="364"/>
      <c r="AQ390" s="363"/>
      <c r="AR390" s="363"/>
      <c r="AS390" s="367"/>
      <c r="AT390"/>
      <c r="AU390"/>
      <c r="AV390"/>
      <c r="AW390"/>
      <c r="AX390"/>
      <c r="AY390"/>
      <c r="AZ390"/>
      <c r="BA390"/>
      <c r="BB390"/>
      <c r="BC390"/>
      <c r="BD390"/>
      <c r="BE390"/>
      <c r="BF390"/>
      <c r="BG390"/>
      <c r="BH390"/>
      <c r="BI390"/>
      <c r="BJ390"/>
      <c r="BK390"/>
      <c r="BL390"/>
      <c r="BM390"/>
    </row>
    <row r="391" spans="35:65" ht="12.75" customHeight="1" thickBot="1">
      <c r="AI391" s="364"/>
      <c r="AJ391" s="892"/>
      <c r="AK391" s="893"/>
      <c r="AL391" s="893"/>
      <c r="AM391" s="893"/>
      <c r="AN391" s="893"/>
      <c r="AO391" s="894"/>
      <c r="AP391" s="364"/>
      <c r="AQ391" s="363"/>
      <c r="AR391" s="363"/>
      <c r="AS391" s="367"/>
      <c r="AT391"/>
      <c r="AU391"/>
      <c r="AV391"/>
      <c r="AW391"/>
      <c r="AX391"/>
      <c r="AY391"/>
      <c r="AZ391"/>
      <c r="BA391"/>
      <c r="BB391"/>
      <c r="BC391"/>
      <c r="BD391"/>
      <c r="BE391"/>
      <c r="BF391"/>
      <c r="BG391"/>
      <c r="BH391"/>
      <c r="BI391"/>
      <c r="BJ391"/>
      <c r="BK391"/>
      <c r="BL391"/>
      <c r="BM391"/>
    </row>
    <row r="392" spans="35:65" ht="12.75" customHeight="1">
      <c r="AI392" s="364"/>
      <c r="AJ392" s="895" t="s">
        <v>886</v>
      </c>
      <c r="AK392" s="896"/>
      <c r="AL392" s="900" t="s">
        <v>835</v>
      </c>
      <c r="AM392" s="900" t="s">
        <v>836</v>
      </c>
      <c r="AN392" s="900" t="s">
        <v>837</v>
      </c>
      <c r="AO392" s="902" t="s">
        <v>838</v>
      </c>
      <c r="AP392" s="364"/>
      <c r="AQ392" s="363"/>
      <c r="AR392" s="363"/>
      <c r="AS392" s="367"/>
      <c r="AT392"/>
      <c r="AU392"/>
      <c r="AV392"/>
      <c r="AW392"/>
      <c r="AX392"/>
      <c r="AY392"/>
      <c r="AZ392"/>
      <c r="BA392"/>
      <c r="BB392"/>
      <c r="BC392"/>
      <c r="BD392"/>
      <c r="BE392"/>
      <c r="BF392"/>
      <c r="BG392"/>
      <c r="BH392"/>
      <c r="BI392"/>
      <c r="BJ392"/>
      <c r="BK392"/>
      <c r="BL392"/>
      <c r="BM392"/>
    </row>
    <row r="393" spans="35:65" ht="12.75" customHeight="1">
      <c r="AI393" s="364"/>
      <c r="AJ393" s="892"/>
      <c r="AK393" s="897"/>
      <c r="AL393" s="901"/>
      <c r="AM393" s="901"/>
      <c r="AN393" s="901"/>
      <c r="AO393" s="903"/>
      <c r="AP393" s="364"/>
      <c r="AQ393" s="363"/>
      <c r="AR393" s="363"/>
      <c r="AS393" s="367"/>
      <c r="AT393"/>
      <c r="AU393"/>
      <c r="AV393"/>
      <c r="AW393"/>
      <c r="AX393"/>
      <c r="AY393"/>
      <c r="AZ393"/>
      <c r="BA393"/>
      <c r="BB393"/>
      <c r="BC393"/>
      <c r="BD393"/>
      <c r="BE393"/>
      <c r="BF393"/>
      <c r="BG393"/>
      <c r="BH393"/>
      <c r="BI393"/>
      <c r="BJ393"/>
      <c r="BK393"/>
      <c r="BL393"/>
      <c r="BM393"/>
    </row>
    <row r="394" spans="35:65" ht="12.75" customHeight="1">
      <c r="AI394" s="364"/>
      <c r="AJ394" s="892"/>
      <c r="AK394" s="897"/>
      <c r="AL394" s="702">
        <f>AL388*(1-0.0178*2)</f>
        <v>105.11960000000001</v>
      </c>
      <c r="AM394" s="560">
        <f>AM388</f>
        <v>1.7391304347826084</v>
      </c>
      <c r="AN394" s="690">
        <f>IF(AL394&gt;0,AO394*AM394," ")</f>
        <v>2234.782608695652</v>
      </c>
      <c r="AO394" s="691">
        <f>IF(AL394&gt;0,(VLOOKUP(AL394,'Lookup Ready-reckoner'!$B$5:$E$1207,4))," ")</f>
        <v>1285</v>
      </c>
      <c r="AP394" s="364"/>
      <c r="AQ394" s="363"/>
      <c r="AR394" s="363"/>
      <c r="AS394" s="367"/>
      <c r="AT394"/>
      <c r="AU394"/>
      <c r="AV394"/>
      <c r="AW394"/>
      <c r="AX394"/>
      <c r="AY394"/>
      <c r="AZ394"/>
      <c r="BA394"/>
      <c r="BB394"/>
      <c r="BC394"/>
      <c r="BD394"/>
      <c r="BE394"/>
      <c r="BF394"/>
      <c r="BG394"/>
      <c r="BH394"/>
      <c r="BI394"/>
      <c r="BJ394"/>
      <c r="BK394"/>
      <c r="BL394"/>
      <c r="BM394"/>
    </row>
    <row r="395" spans="35:65" ht="12.75" customHeight="1">
      <c r="AI395" s="364"/>
      <c r="AJ395" s="898"/>
      <c r="AK395" s="899"/>
      <c r="AL395" s="447"/>
      <c r="AM395" s="560"/>
      <c r="AN395" s="690" t="str">
        <f>IF(AL395&gt;0,AO395*AM395," ")</f>
        <v xml:space="preserve"> </v>
      </c>
      <c r="AO395" s="691" t="str">
        <f>IF(AL395&gt;0,(VLOOKUP(AL395,'Lookup Ready-reckoner'!$B$5:$E$1007,4))," ")</f>
        <v xml:space="preserve"> </v>
      </c>
      <c r="AP395" s="364"/>
      <c r="AQ395" s="363"/>
      <c r="AR395" s="363"/>
      <c r="AS395" s="367"/>
      <c r="AT395"/>
      <c r="AU395"/>
      <c r="AV395"/>
      <c r="AW395"/>
      <c r="AX395"/>
      <c r="AY395"/>
      <c r="AZ395"/>
      <c r="BA395"/>
      <c r="BB395"/>
      <c r="BC395"/>
      <c r="BD395"/>
      <c r="BE395"/>
      <c r="BF395"/>
      <c r="BG395"/>
      <c r="BH395"/>
      <c r="BI395"/>
      <c r="BJ395"/>
      <c r="BK395"/>
      <c r="BL395"/>
      <c r="BM395"/>
    </row>
    <row r="396" spans="35:65" ht="12.75" customHeight="1" thickBot="1">
      <c r="AI396" s="364"/>
      <c r="AJ396" s="692" t="s">
        <v>839</v>
      </c>
      <c r="AK396" s="693"/>
      <c r="AL396" s="693"/>
      <c r="AM396" s="703">
        <f>IF(AL394&gt;0,(VLOOKUP(AN396,'Lookup Ready-reckoner'!$L$5:$M$1207,2))," ")</f>
        <v>98.45</v>
      </c>
      <c r="AN396" s="695">
        <f>IF(AM394&gt;0,(SUM(AN394:AN395))," ")</f>
        <v>2234.782608695652</v>
      </c>
      <c r="AO396" s="696"/>
      <c r="AP396" s="364"/>
      <c r="AQ396" s="363"/>
      <c r="AR396" s="363"/>
      <c r="AS396" s="367"/>
      <c r="AT396"/>
      <c r="AU396"/>
      <c r="AV396"/>
      <c r="AW396"/>
      <c r="AX396"/>
      <c r="AY396"/>
      <c r="AZ396"/>
      <c r="BA396"/>
      <c r="BB396"/>
      <c r="BC396"/>
      <c r="BD396"/>
      <c r="BE396"/>
      <c r="BF396"/>
      <c r="BG396"/>
      <c r="BH396"/>
      <c r="BI396"/>
      <c r="BJ396"/>
      <c r="BK396"/>
      <c r="BL396"/>
      <c r="BM396"/>
    </row>
    <row r="397" spans="35:65" ht="12.75" customHeight="1">
      <c r="AI397" s="364"/>
      <c r="AJ397" s="697"/>
      <c r="AK397" s="687"/>
      <c r="AL397" s="687"/>
      <c r="AM397" s="372"/>
      <c r="AN397" s="374"/>
      <c r="AO397" s="688"/>
      <c r="AP397" s="364"/>
      <c r="AQ397" s="363"/>
      <c r="AR397" s="363"/>
      <c r="AS397" s="367"/>
      <c r="AT397"/>
      <c r="AU397"/>
      <c r="AV397"/>
      <c r="AW397"/>
      <c r="AX397"/>
      <c r="AY397"/>
      <c r="AZ397"/>
      <c r="BA397"/>
      <c r="BB397"/>
      <c r="BC397"/>
      <c r="BD397"/>
      <c r="BE397"/>
      <c r="BF397"/>
      <c r="BG397"/>
      <c r="BH397"/>
      <c r="BI397"/>
      <c r="BJ397"/>
      <c r="BK397"/>
      <c r="BL397"/>
      <c r="BM397"/>
    </row>
    <row r="398" spans="35:65" ht="12.75" customHeight="1" thickBot="1">
      <c r="AI398" s="364"/>
      <c r="AJ398" s="686" t="s">
        <v>60</v>
      </c>
      <c r="AK398" s="577"/>
      <c r="AL398" s="577"/>
      <c r="AM398" s="577"/>
      <c r="AN398" s="577"/>
      <c r="AO398" s="698"/>
      <c r="AP398" s="364"/>
      <c r="AQ398" s="363"/>
      <c r="AR398" s="363"/>
      <c r="AS398" s="367"/>
      <c r="AT398"/>
      <c r="AU398"/>
      <c r="AV398"/>
      <c r="AW398"/>
      <c r="AX398"/>
      <c r="AY398"/>
      <c r="AZ398"/>
      <c r="BA398"/>
      <c r="BB398"/>
      <c r="BC398"/>
      <c r="BD398"/>
      <c r="BE398"/>
      <c r="BF398"/>
      <c r="BG398"/>
      <c r="BH398"/>
      <c r="BI398"/>
      <c r="BJ398"/>
      <c r="BK398"/>
      <c r="BL398"/>
      <c r="BM398"/>
    </row>
    <row r="399" spans="35:65" ht="12.75" customHeight="1">
      <c r="AI399" s="364"/>
      <c r="AJ399" s="895" t="s">
        <v>845</v>
      </c>
      <c r="AK399" s="896"/>
      <c r="AL399" s="900" t="s">
        <v>835</v>
      </c>
      <c r="AM399" s="900" t="s">
        <v>836</v>
      </c>
      <c r="AN399" s="900" t="s">
        <v>837</v>
      </c>
      <c r="AO399" s="902" t="s">
        <v>838</v>
      </c>
      <c r="AP399" s="364"/>
      <c r="AQ399" s="363"/>
      <c r="AR399" s="363"/>
      <c r="AS399" s="367"/>
      <c r="AT399"/>
      <c r="AU399"/>
      <c r="AV399"/>
      <c r="AW399"/>
      <c r="AX399"/>
      <c r="AY399"/>
      <c r="AZ399"/>
      <c r="BA399"/>
      <c r="BB399"/>
      <c r="BC399"/>
      <c r="BD399"/>
      <c r="BE399"/>
      <c r="BF399"/>
      <c r="BG399"/>
      <c r="BH399"/>
      <c r="BI399"/>
      <c r="BJ399"/>
      <c r="BK399"/>
      <c r="BL399"/>
      <c r="BM399"/>
    </row>
    <row r="400" spans="35:65" ht="12.75" customHeight="1">
      <c r="AI400" s="364"/>
      <c r="AJ400" s="892"/>
      <c r="AK400" s="897"/>
      <c r="AL400" s="901"/>
      <c r="AM400" s="901"/>
      <c r="AN400" s="901"/>
      <c r="AO400" s="903"/>
      <c r="AP400" s="364"/>
      <c r="AQ400" s="363"/>
      <c r="AR400" s="363"/>
      <c r="AS400" s="367"/>
      <c r="AT400"/>
      <c r="AU400"/>
      <c r="AV400"/>
      <c r="AW400"/>
      <c r="AX400"/>
      <c r="AY400"/>
      <c r="AZ400"/>
      <c r="BA400"/>
      <c r="BB400"/>
      <c r="BC400"/>
      <c r="BD400"/>
      <c r="BE400"/>
      <c r="BF400"/>
      <c r="BG400"/>
      <c r="BH400"/>
      <c r="BI400"/>
      <c r="BJ400"/>
      <c r="BK400"/>
      <c r="BL400"/>
      <c r="BM400"/>
    </row>
    <row r="401" spans="35:65" ht="12.75" customHeight="1">
      <c r="AI401" s="364"/>
      <c r="AJ401" s="892"/>
      <c r="AK401" s="897"/>
      <c r="AL401" s="702">
        <f>AL388-PPE!$I$15</f>
        <v>96</v>
      </c>
      <c r="AM401" s="560">
        <f>AM394</f>
        <v>1.7391304347826084</v>
      </c>
      <c r="AN401" s="690">
        <f>IF(AL401&gt;0,AO401*AM401," ")</f>
        <v>271.73913043478257</v>
      </c>
      <c r="AO401" s="691">
        <f>IF(AL401&gt;0,(VLOOKUP(AL401,'Lookup Ready-reckoner'!$B$5:$E$1207,4))," ")</f>
        <v>156.25</v>
      </c>
      <c r="AP401" s="364"/>
      <c r="AQ401" s="363"/>
      <c r="AR401" s="363"/>
      <c r="AS401" s="367"/>
      <c r="AT401"/>
      <c r="AU401"/>
      <c r="AV401"/>
      <c r="AW401"/>
      <c r="AX401"/>
      <c r="AY401"/>
      <c r="AZ401"/>
      <c r="BA401"/>
      <c r="BB401"/>
      <c r="BC401"/>
      <c r="BD401"/>
      <c r="BE401"/>
      <c r="BF401"/>
      <c r="BG401"/>
      <c r="BH401"/>
      <c r="BI401"/>
      <c r="BJ401"/>
      <c r="BK401"/>
      <c r="BL401"/>
      <c r="BM401"/>
    </row>
    <row r="402" spans="35:65" ht="12.75" customHeight="1">
      <c r="AI402" s="364"/>
      <c r="AJ402" s="898"/>
      <c r="AK402" s="899"/>
      <c r="AL402" s="447"/>
      <c r="AM402" s="560"/>
      <c r="AN402" s="690" t="str">
        <f>IF(AL402&gt;0,AO402*AM402," ")</f>
        <v xml:space="preserve"> </v>
      </c>
      <c r="AO402" s="691" t="str">
        <f>IF(AL402&gt;0,(VLOOKUP(AL402,'Lookup Ready-reckoner'!$B$5:$E$1007,4))," ")</f>
        <v xml:space="preserve"> </v>
      </c>
      <c r="AP402" s="364"/>
      <c r="AQ402" s="363"/>
      <c r="AR402" s="363"/>
      <c r="AS402" s="367"/>
      <c r="AT402"/>
      <c r="AU402"/>
      <c r="AV402"/>
      <c r="AW402"/>
      <c r="AX402"/>
      <c r="AY402"/>
      <c r="AZ402"/>
      <c r="BA402"/>
      <c r="BB402"/>
      <c r="BC402"/>
      <c r="BD402"/>
      <c r="BE402"/>
      <c r="BF402"/>
      <c r="BG402"/>
      <c r="BH402"/>
      <c r="BI402"/>
      <c r="BJ402"/>
      <c r="BK402"/>
      <c r="BL402"/>
      <c r="BM402"/>
    </row>
    <row r="403" spans="35:65" ht="12.75" customHeight="1" thickBot="1">
      <c r="AI403" s="364"/>
      <c r="AJ403" s="692" t="s">
        <v>839</v>
      </c>
      <c r="AK403" s="693"/>
      <c r="AL403" s="693"/>
      <c r="AM403" s="703">
        <f>IF(AL401&gt;0,(VLOOKUP(AN403,'Lookup Ready-reckoner'!$L$5:$M$1207,2))," ")</f>
        <v>89.3</v>
      </c>
      <c r="AN403" s="695">
        <f>IF(AM401&gt;0,(SUM(AN401:AN402))," ")</f>
        <v>271.73913043478257</v>
      </c>
      <c r="AO403" s="696"/>
      <c r="AP403" s="364"/>
      <c r="AQ403" s="363"/>
      <c r="AR403" s="363"/>
      <c r="AS403" s="367"/>
      <c r="AT403"/>
      <c r="AU403"/>
      <c r="AV403"/>
      <c r="AW403"/>
      <c r="AX403"/>
      <c r="AY403"/>
      <c r="AZ403"/>
      <c r="BA403"/>
      <c r="BB403"/>
      <c r="BC403"/>
      <c r="BD403"/>
      <c r="BE403"/>
      <c r="BF403"/>
      <c r="BG403"/>
      <c r="BH403"/>
      <c r="BI403"/>
      <c r="BJ403"/>
      <c r="BK403"/>
      <c r="BL403"/>
      <c r="BM403"/>
    </row>
    <row r="404" spans="35:65" ht="12.75" customHeight="1" thickBot="1">
      <c r="AI404" s="364"/>
      <c r="AJ404" s="892"/>
      <c r="AK404" s="893"/>
      <c r="AL404" s="893"/>
      <c r="AM404" s="893"/>
      <c r="AN404" s="893"/>
      <c r="AO404" s="894"/>
      <c r="AP404" s="364"/>
      <c r="AQ404" s="363"/>
      <c r="AR404" s="363"/>
      <c r="AS404" s="367"/>
      <c r="AT404"/>
      <c r="AU404"/>
      <c r="AV404"/>
      <c r="AW404"/>
      <c r="AX404"/>
      <c r="AY404"/>
      <c r="AZ404"/>
      <c r="BA404"/>
      <c r="BB404"/>
      <c r="BC404"/>
      <c r="BD404"/>
      <c r="BE404"/>
      <c r="BF404"/>
      <c r="BG404"/>
      <c r="BH404"/>
      <c r="BI404"/>
      <c r="BJ404"/>
      <c r="BK404"/>
      <c r="BL404"/>
      <c r="BM404"/>
    </row>
    <row r="405" spans="35:65" ht="12.75" customHeight="1">
      <c r="AI405" s="364"/>
      <c r="AJ405" s="895" t="s">
        <v>886</v>
      </c>
      <c r="AK405" s="896"/>
      <c r="AL405" s="900" t="s">
        <v>835</v>
      </c>
      <c r="AM405" s="900" t="s">
        <v>836</v>
      </c>
      <c r="AN405" s="900" t="s">
        <v>837</v>
      </c>
      <c r="AO405" s="902" t="s">
        <v>838</v>
      </c>
      <c r="AP405" s="364"/>
      <c r="AQ405" s="363"/>
      <c r="AR405" s="363"/>
      <c r="AS405" s="367"/>
      <c r="AT405"/>
      <c r="AU405"/>
      <c r="AV405"/>
      <c r="AW405"/>
      <c r="AX405"/>
      <c r="AY405"/>
      <c r="AZ405"/>
      <c r="BA405"/>
      <c r="BB405"/>
      <c r="BC405"/>
      <c r="BD405"/>
      <c r="BE405"/>
      <c r="BF405"/>
      <c r="BG405"/>
      <c r="BH405"/>
      <c r="BI405"/>
      <c r="BJ405"/>
      <c r="BK405"/>
      <c r="BL405"/>
      <c r="BM405"/>
    </row>
    <row r="406" spans="35:65" ht="12.75" customHeight="1">
      <c r="AI406" s="364"/>
      <c r="AJ406" s="892"/>
      <c r="AK406" s="897"/>
      <c r="AL406" s="901"/>
      <c r="AM406" s="901"/>
      <c r="AN406" s="901"/>
      <c r="AO406" s="903"/>
      <c r="AP406" s="364"/>
      <c r="AQ406" s="363"/>
      <c r="AR406" s="363"/>
      <c r="AS406" s="367"/>
      <c r="AT406"/>
      <c r="AU406"/>
      <c r="AV406"/>
      <c r="AW406"/>
      <c r="AX406"/>
      <c r="AY406"/>
      <c r="AZ406"/>
      <c r="BA406"/>
      <c r="BB406"/>
      <c r="BC406"/>
      <c r="BD406"/>
      <c r="BE406"/>
      <c r="BF406"/>
      <c r="BG406"/>
      <c r="BH406"/>
      <c r="BI406"/>
      <c r="BJ406"/>
      <c r="BK406"/>
      <c r="BL406"/>
      <c r="BM406"/>
    </row>
    <row r="407" spans="35:65" ht="12.75" customHeight="1">
      <c r="AI407" s="364"/>
      <c r="AJ407" s="892"/>
      <c r="AK407" s="897"/>
      <c r="AL407" s="702">
        <f>AL394-PPE!$I$15</f>
        <v>92.119600000000005</v>
      </c>
      <c r="AM407" s="560">
        <f>AM401</f>
        <v>1.7391304347826084</v>
      </c>
      <c r="AN407" s="690">
        <f>IF(AL407&gt;0,AO407*AM407," ")</f>
        <v>111.52173913043477</v>
      </c>
      <c r="AO407" s="691">
        <f>IF(AL407&gt;0,(VLOOKUP(AL407,'Lookup Ready-reckoner'!$B$5:$E$1207,4))," ")</f>
        <v>64.125</v>
      </c>
      <c r="AP407" s="364"/>
      <c r="AQ407" s="363"/>
      <c r="AR407" s="363"/>
      <c r="AS407" s="367"/>
      <c r="AT407"/>
      <c r="AU407"/>
      <c r="AV407"/>
      <c r="AW407"/>
      <c r="AX407"/>
      <c r="AY407"/>
      <c r="AZ407"/>
      <c r="BA407"/>
      <c r="BB407"/>
      <c r="BC407"/>
      <c r="BD407"/>
      <c r="BE407"/>
      <c r="BF407"/>
      <c r="BG407"/>
      <c r="BH407"/>
      <c r="BI407"/>
      <c r="BJ407"/>
      <c r="BK407"/>
      <c r="BL407"/>
      <c r="BM407"/>
    </row>
    <row r="408" spans="35:65" ht="12.75" customHeight="1">
      <c r="AI408" s="364"/>
      <c r="AJ408" s="898"/>
      <c r="AK408" s="899"/>
      <c r="AL408" s="447"/>
      <c r="AM408" s="560"/>
      <c r="AN408" s="690" t="str">
        <f>IF(AL408&gt;0,AO408*AM408," ")</f>
        <v xml:space="preserve"> </v>
      </c>
      <c r="AO408" s="691" t="str">
        <f>IF(AL408&gt;0,(VLOOKUP(AL408,'Lookup Ready-reckoner'!$B$5:$E$1007,4))," ")</f>
        <v xml:space="preserve"> </v>
      </c>
      <c r="AP408" s="364"/>
      <c r="AQ408" s="363"/>
      <c r="AR408" s="363"/>
      <c r="AS408" s="367"/>
      <c r="AT408"/>
      <c r="AU408"/>
      <c r="AV408"/>
      <c r="AW408"/>
      <c r="AX408"/>
      <c r="AY408"/>
      <c r="AZ408"/>
      <c r="BA408"/>
      <c r="BB408"/>
      <c r="BC408"/>
      <c r="BD408"/>
      <c r="BE408"/>
      <c r="BF408"/>
      <c r="BG408"/>
      <c r="BH408"/>
      <c r="BI408"/>
      <c r="BJ408"/>
      <c r="BK408"/>
      <c r="BL408"/>
      <c r="BM408"/>
    </row>
    <row r="409" spans="35:65" ht="12.75" customHeight="1" thickBot="1">
      <c r="AI409" s="364"/>
      <c r="AJ409" s="692" t="s">
        <v>839</v>
      </c>
      <c r="AK409" s="693"/>
      <c r="AL409" s="693"/>
      <c r="AM409" s="703">
        <f>IF(AL407&gt;0,(VLOOKUP(AN409,'Lookup Ready-reckoner'!$L$5:$M$1207,2))," ")</f>
        <v>85.45</v>
      </c>
      <c r="AN409" s="695">
        <f>IF(AM407&gt;0,(SUM(AN407:AN408))," ")</f>
        <v>111.52173913043477</v>
      </c>
      <c r="AO409" s="696"/>
      <c r="AP409" s="364"/>
      <c r="AQ409" s="363"/>
      <c r="AR409" s="363"/>
      <c r="AS409" s="367"/>
      <c r="AT409"/>
      <c r="AU409"/>
      <c r="AV409"/>
      <c r="AW409"/>
      <c r="AX409"/>
      <c r="AY409"/>
      <c r="AZ409"/>
      <c r="BA409"/>
      <c r="BB409"/>
      <c r="BC409"/>
      <c r="BD409"/>
      <c r="BE409"/>
      <c r="BF409"/>
      <c r="BG409"/>
      <c r="BH409"/>
      <c r="BI409"/>
      <c r="BJ409"/>
      <c r="BK409"/>
      <c r="BL409"/>
      <c r="BM409"/>
    </row>
    <row r="410" spans="35:65" ht="12.75" customHeight="1">
      <c r="AI410" s="364"/>
      <c r="AJ410" s="363"/>
      <c r="AK410" s="363"/>
      <c r="AL410" s="363"/>
      <c r="AM410" s="363"/>
      <c r="AN410" s="363"/>
      <c r="AO410" s="363"/>
      <c r="AP410" s="364"/>
      <c r="AQ410" s="364"/>
      <c r="AR410" s="364"/>
      <c r="AS410" s="367"/>
      <c r="AT410"/>
      <c r="AU410"/>
      <c r="AV410"/>
      <c r="AW410"/>
      <c r="AX410"/>
      <c r="AY410"/>
      <c r="AZ410"/>
      <c r="BA410"/>
      <c r="BB410"/>
      <c r="BC410"/>
      <c r="BD410"/>
      <c r="BE410"/>
      <c r="BF410"/>
      <c r="BG410"/>
      <c r="BH410"/>
      <c r="BI410"/>
      <c r="BJ410"/>
      <c r="BK410"/>
      <c r="BL410"/>
      <c r="BM410"/>
    </row>
    <row r="411" spans="35:65" ht="12.75" customHeight="1">
      <c r="AI411" s="364"/>
      <c r="AJ411" s="909" t="str">
        <f>AN311</f>
        <v xml:space="preserve">Hilti TE MD20 </v>
      </c>
      <c r="AK411" s="909"/>
      <c r="AL411" s="909"/>
      <c r="AM411" s="909"/>
      <c r="AN411" s="909"/>
      <c r="AO411" s="909"/>
      <c r="AP411" s="364"/>
      <c r="AQ411" s="364"/>
      <c r="AR411" s="364"/>
      <c r="AS411" s="367"/>
      <c r="AT411"/>
      <c r="AU411"/>
      <c r="AV411"/>
      <c r="AW411"/>
      <c r="AX411"/>
      <c r="AY411"/>
      <c r="AZ411"/>
      <c r="BA411"/>
      <c r="BB411"/>
      <c r="BC411"/>
      <c r="BD411"/>
      <c r="BE411"/>
      <c r="BF411"/>
      <c r="BG411"/>
      <c r="BH411"/>
      <c r="BI411"/>
      <c r="BJ411"/>
      <c r="BK411"/>
      <c r="BL411"/>
      <c r="BM411"/>
    </row>
    <row r="412" spans="35:65" ht="12.75" customHeight="1" thickBot="1">
      <c r="AI412" s="364"/>
      <c r="AJ412" s="910" t="s">
        <v>205</v>
      </c>
      <c r="AK412" s="911"/>
      <c r="AL412" s="911"/>
      <c r="AM412" s="911"/>
      <c r="AN412" s="911"/>
      <c r="AO412" s="912"/>
      <c r="AP412" s="364"/>
      <c r="AQ412" s="364"/>
      <c r="AR412" s="364"/>
      <c r="AS412" s="367"/>
      <c r="AT412"/>
      <c r="AU412"/>
      <c r="AV412"/>
      <c r="AW412"/>
      <c r="AX412"/>
      <c r="AY412"/>
      <c r="AZ412"/>
      <c r="BA412"/>
      <c r="BB412"/>
      <c r="BC412"/>
      <c r="BD412"/>
      <c r="BE412"/>
      <c r="BF412"/>
      <c r="BG412"/>
      <c r="BH412"/>
      <c r="BI412"/>
      <c r="BJ412"/>
      <c r="BK412"/>
      <c r="BL412"/>
      <c r="BM412"/>
    </row>
    <row r="413" spans="35:65" ht="12.75" customHeight="1" thickBot="1">
      <c r="AI413" s="364"/>
      <c r="AJ413" s="686" t="s">
        <v>59</v>
      </c>
      <c r="AK413" s="577"/>
      <c r="AL413" s="687"/>
      <c r="AM413" s="687"/>
      <c r="AN413" s="687"/>
      <c r="AO413" s="688"/>
      <c r="AP413" s="364"/>
      <c r="AQ413" s="364"/>
      <c r="AR413" s="364"/>
      <c r="AS413" s="367"/>
      <c r="AT413"/>
      <c r="AU413"/>
      <c r="AV413"/>
      <c r="AW413"/>
      <c r="AX413"/>
      <c r="AY413"/>
      <c r="AZ413"/>
      <c r="BA413"/>
      <c r="BB413"/>
      <c r="BC413"/>
      <c r="BD413"/>
      <c r="BE413"/>
      <c r="BF413"/>
      <c r="BG413"/>
      <c r="BH413"/>
      <c r="BI413"/>
      <c r="BJ413"/>
      <c r="BK413"/>
      <c r="BL413"/>
      <c r="BM413"/>
    </row>
    <row r="414" spans="35:65" ht="12.75" customHeight="1">
      <c r="AI414" s="364"/>
      <c r="AJ414" s="895" t="s">
        <v>845</v>
      </c>
      <c r="AK414" s="896"/>
      <c r="AL414" s="900" t="s">
        <v>835</v>
      </c>
      <c r="AM414" s="900" t="s">
        <v>836</v>
      </c>
      <c r="AN414" s="900" t="s">
        <v>837</v>
      </c>
      <c r="AO414" s="902" t="s">
        <v>838</v>
      </c>
      <c r="AP414" s="364"/>
      <c r="AQ414" s="364"/>
      <c r="AR414" s="364"/>
      <c r="AS414" s="367"/>
      <c r="AT414"/>
      <c r="AU414"/>
      <c r="AV414"/>
      <c r="AW414"/>
      <c r="AX414"/>
      <c r="AY414"/>
      <c r="AZ414"/>
      <c r="BA414"/>
      <c r="BB414"/>
      <c r="BC414"/>
      <c r="BD414"/>
      <c r="BE414"/>
      <c r="BF414"/>
      <c r="BG414"/>
      <c r="BH414"/>
      <c r="BI414"/>
      <c r="BJ414"/>
      <c r="BK414"/>
      <c r="BL414"/>
      <c r="BM414"/>
    </row>
    <row r="415" spans="35:65" ht="12.75" customHeight="1">
      <c r="AI415" s="364"/>
      <c r="AJ415" s="892"/>
      <c r="AK415" s="897"/>
      <c r="AL415" s="904"/>
      <c r="AM415" s="904"/>
      <c r="AN415" s="904"/>
      <c r="AO415" s="905"/>
      <c r="AP415" s="364"/>
      <c r="AQ415" s="364"/>
      <c r="AR415" s="364"/>
      <c r="AS415" s="367"/>
      <c r="AT415"/>
      <c r="AU415"/>
      <c r="AV415"/>
      <c r="AW415"/>
      <c r="AX415"/>
      <c r="AY415"/>
      <c r="AZ415"/>
      <c r="BA415"/>
      <c r="BB415"/>
      <c r="BC415"/>
      <c r="BD415"/>
      <c r="BE415"/>
      <c r="BF415"/>
      <c r="BG415"/>
      <c r="BH415"/>
      <c r="BI415"/>
      <c r="BJ415"/>
      <c r="BK415"/>
      <c r="BL415"/>
      <c r="BM415"/>
    </row>
    <row r="416" spans="35:65" ht="12.75" customHeight="1">
      <c r="AI416" s="364"/>
      <c r="AJ416" s="892"/>
      <c r="AK416" s="897"/>
      <c r="AL416" s="901"/>
      <c r="AM416" s="901"/>
      <c r="AN416" s="901"/>
      <c r="AO416" s="903"/>
      <c r="AP416" s="364"/>
      <c r="AQ416" s="364"/>
      <c r="AR416" s="364"/>
      <c r="AS416" s="367"/>
      <c r="AT416"/>
      <c r="AU416"/>
      <c r="AV416"/>
      <c r="AW416"/>
      <c r="AX416"/>
      <c r="AY416"/>
      <c r="AZ416"/>
      <c r="BA416"/>
      <c r="BB416"/>
      <c r="BC416"/>
      <c r="BD416"/>
      <c r="BE416"/>
      <c r="BF416"/>
      <c r="BG416"/>
      <c r="BH416"/>
      <c r="BI416"/>
      <c r="BJ416"/>
      <c r="BK416"/>
      <c r="BL416"/>
      <c r="BM416"/>
    </row>
    <row r="417" spans="35:65" ht="12.75" customHeight="1">
      <c r="AI417" s="364"/>
      <c r="AJ417" s="892"/>
      <c r="AK417" s="897"/>
      <c r="AL417" s="704">
        <f>AM74</f>
        <v>102</v>
      </c>
      <c r="AM417" s="560">
        <f>AM67</f>
        <v>2.6666666666666665</v>
      </c>
      <c r="AN417" s="690">
        <f>IF(AL417&gt;0,AO417*AM417," ")</f>
        <v>1666.6666666666665</v>
      </c>
      <c r="AO417" s="691">
        <f>IF(AL417&gt;0,(VLOOKUP(AL417,'Lookup Ready-reckoner'!$B$5:$E$1207,4))," ")</f>
        <v>625</v>
      </c>
      <c r="AP417" s="364"/>
      <c r="AQ417" s="364"/>
      <c r="AR417" s="364"/>
      <c r="AS417" s="367"/>
      <c r="AT417"/>
      <c r="AU417"/>
      <c r="AV417"/>
      <c r="AW417"/>
      <c r="AX417"/>
      <c r="AY417"/>
      <c r="AZ417"/>
      <c r="BA417"/>
      <c r="BB417"/>
      <c r="BC417"/>
      <c r="BD417"/>
      <c r="BE417"/>
      <c r="BF417"/>
      <c r="BG417"/>
      <c r="BH417"/>
      <c r="BI417"/>
      <c r="BJ417"/>
      <c r="BK417"/>
      <c r="BL417"/>
      <c r="BM417"/>
    </row>
    <row r="418" spans="35:65" ht="12.75" customHeight="1">
      <c r="AI418" s="364"/>
      <c r="AJ418" s="898"/>
      <c r="AK418" s="899"/>
      <c r="AL418" s="447"/>
      <c r="AM418" s="560"/>
      <c r="AN418" s="690" t="str">
        <f>IF(AL418&gt;0,AO418*AM418," ")</f>
        <v xml:space="preserve"> </v>
      </c>
      <c r="AO418" s="691" t="str">
        <f>IF(AL418&gt;0,(VLOOKUP(AL418,'Lookup Ready-reckoner'!$B$5:$E$1007,4))," ")</f>
        <v xml:space="preserve"> </v>
      </c>
      <c r="AP418" s="364"/>
      <c r="AQ418" s="364"/>
      <c r="AR418" s="364"/>
      <c r="AS418" s="367"/>
      <c r="AT418"/>
      <c r="AU418"/>
      <c r="AV418"/>
      <c r="AW418"/>
      <c r="AX418"/>
      <c r="AY418"/>
      <c r="AZ418"/>
      <c r="BA418"/>
      <c r="BB418"/>
      <c r="BC418"/>
      <c r="BD418"/>
      <c r="BE418"/>
      <c r="BF418"/>
      <c r="BG418"/>
      <c r="BH418"/>
      <c r="BI418"/>
      <c r="BJ418"/>
      <c r="BK418"/>
      <c r="BL418"/>
      <c r="BM418"/>
    </row>
    <row r="419" spans="35:65" ht="12.75" customHeight="1" thickBot="1">
      <c r="AI419" s="364"/>
      <c r="AJ419" s="692" t="s">
        <v>839</v>
      </c>
      <c r="AK419" s="693"/>
      <c r="AL419" s="693"/>
      <c r="AM419" s="705">
        <f>IF(AL417&gt;0,(VLOOKUP(AN419,'Lookup Ready-reckoner'!$L$5:$M$1207,2))," ")</f>
        <v>97.15</v>
      </c>
      <c r="AN419" s="695">
        <f>IF(AM417&gt;0,(SUM(AN417:AN418))," ")</f>
        <v>1666.6666666666665</v>
      </c>
      <c r="AO419" s="696"/>
      <c r="AP419" s="364"/>
      <c r="AQ419" s="364"/>
      <c r="AR419" s="364"/>
      <c r="AS419" s="367"/>
      <c r="AT419"/>
      <c r="AU419"/>
      <c r="AV419"/>
      <c r="AW419"/>
      <c r="AX419"/>
      <c r="AY419"/>
      <c r="AZ419"/>
      <c r="BA419"/>
      <c r="BB419"/>
      <c r="BC419"/>
      <c r="BD419"/>
      <c r="BE419"/>
      <c r="BF419"/>
      <c r="BG419"/>
      <c r="BH419"/>
      <c r="BI419"/>
      <c r="BJ419"/>
      <c r="BK419"/>
      <c r="BL419"/>
      <c r="BM419"/>
    </row>
    <row r="420" spans="35:65" ht="12.75" customHeight="1" thickBot="1">
      <c r="AI420" s="364"/>
      <c r="AJ420" s="906"/>
      <c r="AK420" s="907"/>
      <c r="AL420" s="907"/>
      <c r="AM420" s="907"/>
      <c r="AN420" s="907"/>
      <c r="AO420" s="908"/>
      <c r="AP420" s="364"/>
      <c r="AQ420" s="364"/>
      <c r="AR420" s="364"/>
      <c r="AS420" s="367"/>
      <c r="AT420"/>
      <c r="AU420"/>
      <c r="AV420"/>
      <c r="AW420"/>
      <c r="AX420"/>
      <c r="AY420"/>
      <c r="AZ420"/>
      <c r="BA420"/>
      <c r="BB420"/>
      <c r="BC420"/>
      <c r="BD420"/>
      <c r="BE420"/>
      <c r="BF420"/>
      <c r="BG420"/>
      <c r="BH420"/>
      <c r="BI420"/>
      <c r="BJ420"/>
      <c r="BK420"/>
      <c r="BL420"/>
      <c r="BM420"/>
    </row>
    <row r="421" spans="35:65" ht="12.75" customHeight="1">
      <c r="AI421" s="364"/>
      <c r="AJ421" s="895" t="s">
        <v>886</v>
      </c>
      <c r="AK421" s="896"/>
      <c r="AL421" s="900" t="s">
        <v>835</v>
      </c>
      <c r="AM421" s="900" t="s">
        <v>836</v>
      </c>
      <c r="AN421" s="900" t="s">
        <v>837</v>
      </c>
      <c r="AO421" s="902" t="s">
        <v>838</v>
      </c>
      <c r="AP421" s="364"/>
      <c r="AQ421" s="364"/>
      <c r="AR421" s="364"/>
      <c r="AS421" s="367"/>
      <c r="AT421"/>
      <c r="AU421"/>
      <c r="AV421"/>
      <c r="AW421"/>
      <c r="AX421"/>
      <c r="AY421"/>
      <c r="AZ421"/>
      <c r="BA421"/>
      <c r="BB421"/>
      <c r="BC421"/>
      <c r="BD421"/>
      <c r="BE421"/>
      <c r="BF421"/>
      <c r="BG421"/>
      <c r="BH421"/>
      <c r="BI421"/>
      <c r="BJ421"/>
      <c r="BK421"/>
      <c r="BL421"/>
      <c r="BM421"/>
    </row>
    <row r="422" spans="35:65" ht="12.75" customHeight="1">
      <c r="AI422" s="364"/>
      <c r="AJ422" s="892"/>
      <c r="AK422" s="897"/>
      <c r="AL422" s="901"/>
      <c r="AM422" s="901"/>
      <c r="AN422" s="901"/>
      <c r="AO422" s="903"/>
      <c r="AP422" s="364"/>
      <c r="AQ422" s="364"/>
      <c r="AR422" s="364"/>
      <c r="AS422" s="367"/>
      <c r="AT422"/>
      <c r="AU422"/>
      <c r="AV422"/>
      <c r="AW422"/>
      <c r="AX422"/>
      <c r="AY422"/>
      <c r="AZ422"/>
      <c r="BA422"/>
      <c r="BB422"/>
      <c r="BC422"/>
      <c r="BD422"/>
      <c r="BE422"/>
      <c r="BF422"/>
      <c r="BG422"/>
      <c r="BH422"/>
      <c r="BI422"/>
      <c r="BJ422"/>
      <c r="BK422"/>
      <c r="BL422"/>
      <c r="BM422"/>
    </row>
    <row r="423" spans="35:65" ht="12.75" customHeight="1">
      <c r="AI423" s="364"/>
      <c r="AJ423" s="892"/>
      <c r="AK423" s="897"/>
      <c r="AL423" s="704">
        <f>AL417*(1-0.0178*2)</f>
        <v>98.368800000000007</v>
      </c>
      <c r="AM423" s="560">
        <f>AM417</f>
        <v>2.6666666666666665</v>
      </c>
      <c r="AN423" s="690">
        <f>IF(AL423&gt;0,AO423*AM423," ")</f>
        <v>725</v>
      </c>
      <c r="AO423" s="691">
        <f>IF(AL423&gt;0,(VLOOKUP(AL423,'Lookup Ready-reckoner'!$B$5:$E$1207,4))," ")</f>
        <v>271.875</v>
      </c>
      <c r="AP423" s="364"/>
      <c r="AQ423" s="364"/>
      <c r="AR423" s="364"/>
      <c r="AS423" s="367"/>
      <c r="AT423"/>
      <c r="AU423"/>
      <c r="AV423"/>
      <c r="AW423"/>
      <c r="AX423"/>
      <c r="AY423"/>
      <c r="AZ423"/>
      <c r="BA423"/>
      <c r="BB423"/>
      <c r="BC423"/>
      <c r="BD423"/>
      <c r="BE423"/>
      <c r="BF423"/>
      <c r="BG423"/>
      <c r="BH423"/>
      <c r="BI423"/>
      <c r="BJ423"/>
      <c r="BK423"/>
      <c r="BL423"/>
      <c r="BM423"/>
    </row>
    <row r="424" spans="35:65" ht="12.75" customHeight="1">
      <c r="AI424" s="364"/>
      <c r="AJ424" s="898"/>
      <c r="AK424" s="899"/>
      <c r="AL424" s="447"/>
      <c r="AM424" s="560"/>
      <c r="AN424" s="690" t="str">
        <f>IF(AL424&gt;0,AO424*AM424," ")</f>
        <v xml:space="preserve"> </v>
      </c>
      <c r="AO424" s="691" t="str">
        <f>IF(AL424&gt;0,(VLOOKUP(AL424,'Lookup Ready-reckoner'!$B$5:$E$1007,4))," ")</f>
        <v xml:space="preserve"> </v>
      </c>
      <c r="AP424" s="364"/>
      <c r="AQ424" s="364"/>
      <c r="AR424" s="364"/>
      <c r="AS424" s="367"/>
      <c r="AT424"/>
      <c r="AU424"/>
      <c r="AV424"/>
      <c r="AW424"/>
      <c r="AX424"/>
      <c r="AY424"/>
      <c r="AZ424"/>
      <c r="BA424"/>
      <c r="BB424"/>
      <c r="BC424"/>
      <c r="BD424"/>
      <c r="BE424"/>
      <c r="BF424"/>
      <c r="BG424"/>
      <c r="BH424"/>
      <c r="BI424"/>
      <c r="BJ424"/>
      <c r="BK424"/>
      <c r="BL424"/>
      <c r="BM424"/>
    </row>
    <row r="425" spans="35:65" ht="12.75" customHeight="1" thickBot="1">
      <c r="AI425" s="364"/>
      <c r="AJ425" s="692" t="s">
        <v>839</v>
      </c>
      <c r="AK425" s="693"/>
      <c r="AL425" s="693"/>
      <c r="AM425" s="705">
        <f>IF(AL423&gt;0,(VLOOKUP(AN425,'Lookup Ready-reckoner'!$L$5:$M$1207,2))," ")</f>
        <v>93.55</v>
      </c>
      <c r="AN425" s="695">
        <f>IF(AM423&gt;0,(SUM(AN423:AN424))," ")</f>
        <v>725</v>
      </c>
      <c r="AO425" s="696"/>
      <c r="AP425" s="364"/>
      <c r="AQ425" s="364"/>
      <c r="AR425" s="364"/>
      <c r="AS425" s="367"/>
      <c r="AT425"/>
      <c r="AU425"/>
      <c r="AV425"/>
      <c r="AW425"/>
      <c r="AX425"/>
      <c r="AY425"/>
      <c r="AZ425"/>
      <c r="BA425"/>
      <c r="BB425"/>
      <c r="BC425"/>
      <c r="BD425"/>
      <c r="BE425"/>
      <c r="BF425"/>
      <c r="BG425"/>
      <c r="BH425"/>
      <c r="BI425"/>
      <c r="BJ425"/>
      <c r="BK425"/>
      <c r="BL425"/>
      <c r="BM425"/>
    </row>
    <row r="426" spans="35:65" ht="12.75" customHeight="1">
      <c r="AI426" s="364"/>
      <c r="AJ426" s="697"/>
      <c r="AK426" s="687"/>
      <c r="AL426" s="687"/>
      <c r="AM426" s="372"/>
      <c r="AN426" s="374"/>
      <c r="AO426" s="688"/>
      <c r="AP426" s="364"/>
      <c r="AQ426" s="364"/>
      <c r="AR426" s="364"/>
      <c r="AS426" s="367"/>
      <c r="AT426"/>
      <c r="AU426"/>
      <c r="AV426"/>
      <c r="AW426"/>
      <c r="AX426"/>
      <c r="AY426"/>
      <c r="AZ426"/>
      <c r="BA426"/>
      <c r="BB426"/>
      <c r="BC426"/>
      <c r="BD426"/>
      <c r="BE426"/>
      <c r="BF426"/>
      <c r="BG426"/>
      <c r="BH426"/>
      <c r="BI426"/>
      <c r="BJ426"/>
      <c r="BK426"/>
      <c r="BL426"/>
      <c r="BM426"/>
    </row>
    <row r="427" spans="35:65" ht="12.75" customHeight="1" thickBot="1">
      <c r="AI427" s="364"/>
      <c r="AJ427" s="686" t="s">
        <v>60</v>
      </c>
      <c r="AK427" s="577"/>
      <c r="AL427" s="577"/>
      <c r="AM427" s="577"/>
      <c r="AN427" s="577"/>
      <c r="AO427" s="698"/>
      <c r="AP427" s="364"/>
      <c r="AQ427" s="364"/>
      <c r="AR427" s="364"/>
      <c r="AS427" s="367"/>
      <c r="AT427"/>
      <c r="AU427"/>
      <c r="AV427"/>
      <c r="AW427"/>
      <c r="AX427"/>
      <c r="AY427"/>
      <c r="AZ427"/>
      <c r="BA427"/>
      <c r="BB427"/>
      <c r="BC427"/>
      <c r="BD427"/>
      <c r="BE427"/>
      <c r="BF427"/>
      <c r="BG427"/>
      <c r="BH427"/>
      <c r="BI427"/>
      <c r="BJ427"/>
      <c r="BK427"/>
      <c r="BL427"/>
      <c r="BM427"/>
    </row>
    <row r="428" spans="35:65" ht="12.75" customHeight="1">
      <c r="AI428" s="364"/>
      <c r="AJ428" s="895" t="s">
        <v>845</v>
      </c>
      <c r="AK428" s="896"/>
      <c r="AL428" s="900" t="s">
        <v>835</v>
      </c>
      <c r="AM428" s="900" t="s">
        <v>836</v>
      </c>
      <c r="AN428" s="900" t="s">
        <v>837</v>
      </c>
      <c r="AO428" s="902" t="s">
        <v>838</v>
      </c>
      <c r="AP428" s="364"/>
      <c r="AQ428" s="364"/>
      <c r="AR428" s="364"/>
      <c r="AS428" s="367"/>
      <c r="AT428"/>
      <c r="AU428"/>
      <c r="AV428"/>
      <c r="AW428"/>
      <c r="AX428"/>
      <c r="AY428"/>
      <c r="AZ428"/>
      <c r="BA428"/>
      <c r="BB428"/>
      <c r="BC428"/>
      <c r="BD428"/>
      <c r="BE428"/>
      <c r="BF428"/>
      <c r="BG428"/>
      <c r="BH428"/>
      <c r="BI428"/>
      <c r="BJ428"/>
      <c r="BK428"/>
      <c r="BL428"/>
      <c r="BM428"/>
    </row>
    <row r="429" spans="35:65" ht="12.75" customHeight="1">
      <c r="AI429" s="364"/>
      <c r="AJ429" s="892"/>
      <c r="AK429" s="897"/>
      <c r="AL429" s="901"/>
      <c r="AM429" s="901"/>
      <c r="AN429" s="901"/>
      <c r="AO429" s="903"/>
      <c r="AP429" s="364"/>
      <c r="AQ429" s="364"/>
      <c r="AR429" s="364"/>
      <c r="AS429" s="367"/>
      <c r="AT429"/>
      <c r="AU429"/>
      <c r="AV429"/>
      <c r="AW429"/>
      <c r="AX429"/>
      <c r="AY429"/>
      <c r="AZ429"/>
      <c r="BA429"/>
      <c r="BB429"/>
      <c r="BC429"/>
      <c r="BD429"/>
      <c r="BE429"/>
      <c r="BF429"/>
      <c r="BG429"/>
      <c r="BH429"/>
      <c r="BI429"/>
      <c r="BJ429"/>
      <c r="BK429"/>
      <c r="BL429"/>
      <c r="BM429"/>
    </row>
    <row r="430" spans="35:65" ht="12.75" customHeight="1">
      <c r="AI430" s="364"/>
      <c r="AJ430" s="892"/>
      <c r="AK430" s="897"/>
      <c r="AL430" s="704">
        <f>AL417-PPE!$I$15</f>
        <v>89</v>
      </c>
      <c r="AM430" s="560">
        <f>AM423</f>
        <v>2.6666666666666665</v>
      </c>
      <c r="AN430" s="690">
        <f>IF(AL430&gt;0,AO430*AM430," ")</f>
        <v>83.333333333333329</v>
      </c>
      <c r="AO430" s="691">
        <f>IF(AL430&gt;0,(VLOOKUP(AL430,'Lookup Ready-reckoner'!$B$5:$E$1207,4))," ")</f>
        <v>31.25</v>
      </c>
      <c r="AP430" s="364"/>
      <c r="AQ430" s="364"/>
      <c r="AR430" s="364"/>
      <c r="AS430" s="367"/>
      <c r="AT430"/>
      <c r="AU430"/>
      <c r="AV430"/>
      <c r="AW430"/>
      <c r="AX430"/>
      <c r="AY430"/>
      <c r="AZ430"/>
      <c r="BA430"/>
      <c r="BB430"/>
      <c r="BC430"/>
      <c r="BD430"/>
      <c r="BE430"/>
      <c r="BF430"/>
      <c r="BG430"/>
      <c r="BH430"/>
      <c r="BI430"/>
      <c r="BJ430"/>
      <c r="BK430"/>
      <c r="BL430"/>
      <c r="BM430"/>
    </row>
    <row r="431" spans="35:65" ht="12.75" customHeight="1">
      <c r="AI431" s="364"/>
      <c r="AJ431" s="898"/>
      <c r="AK431" s="899"/>
      <c r="AL431" s="447"/>
      <c r="AM431" s="560"/>
      <c r="AN431" s="690" t="str">
        <f>IF(AL431&gt;0,AO431*AM431," ")</f>
        <v xml:space="preserve"> </v>
      </c>
      <c r="AO431" s="691" t="str">
        <f>IF(AL431&gt;0,(VLOOKUP(AL431,'Lookup Ready-reckoner'!$B$5:$E$1007,4))," ")</f>
        <v xml:space="preserve"> </v>
      </c>
      <c r="AP431" s="364"/>
      <c r="AQ431" s="364"/>
      <c r="AR431" s="364"/>
      <c r="AS431" s="367"/>
      <c r="AT431"/>
      <c r="AU431"/>
      <c r="AV431"/>
      <c r="AW431"/>
      <c r="AX431"/>
      <c r="AY431"/>
      <c r="AZ431"/>
      <c r="BA431"/>
      <c r="BB431"/>
      <c r="BC431"/>
      <c r="BD431"/>
      <c r="BE431"/>
      <c r="BF431"/>
      <c r="BG431"/>
      <c r="BH431"/>
      <c r="BI431"/>
      <c r="BJ431"/>
      <c r="BK431"/>
      <c r="BL431"/>
      <c r="BM431"/>
    </row>
    <row r="432" spans="35:65" ht="12.75" customHeight="1" thickBot="1">
      <c r="AI432" s="364"/>
      <c r="AJ432" s="692" t="s">
        <v>839</v>
      </c>
      <c r="AK432" s="693"/>
      <c r="AL432" s="693"/>
      <c r="AM432" s="705">
        <f>IF(AL430&gt;0,(VLOOKUP(AN432,'Lookup Ready-reckoner'!$L$5:$M$1207,2))," ")</f>
        <v>84.15</v>
      </c>
      <c r="AN432" s="695">
        <f>IF(AM430&gt;0,(SUM(AN430:AN431))," ")</f>
        <v>83.333333333333329</v>
      </c>
      <c r="AO432" s="696"/>
      <c r="AP432" s="364"/>
      <c r="AQ432" s="364"/>
      <c r="AR432" s="364"/>
      <c r="AS432" s="367"/>
      <c r="AT432"/>
      <c r="AU432"/>
      <c r="AV432"/>
      <c r="AW432"/>
      <c r="AX432"/>
      <c r="AY432"/>
      <c r="AZ432"/>
      <c r="BA432"/>
      <c r="BB432"/>
      <c r="BC432"/>
      <c r="BD432"/>
      <c r="BE432"/>
      <c r="BF432"/>
      <c r="BG432"/>
      <c r="BH432"/>
      <c r="BI432"/>
      <c r="BJ432"/>
      <c r="BK432"/>
      <c r="BL432"/>
      <c r="BM432"/>
    </row>
    <row r="433" spans="35:65" ht="12.75" customHeight="1" thickBot="1">
      <c r="AI433" s="364"/>
      <c r="AJ433" s="892"/>
      <c r="AK433" s="893"/>
      <c r="AL433" s="893"/>
      <c r="AM433" s="893"/>
      <c r="AN433" s="893"/>
      <c r="AO433" s="894"/>
      <c r="AP433" s="364"/>
      <c r="AQ433" s="364"/>
      <c r="AR433" s="364"/>
      <c r="AS433" s="367"/>
      <c r="AT433"/>
      <c r="AU433"/>
      <c r="AV433"/>
      <c r="AW433"/>
      <c r="AX433"/>
      <c r="AY433"/>
      <c r="AZ433"/>
      <c r="BA433"/>
      <c r="BB433"/>
      <c r="BC433"/>
      <c r="BD433"/>
      <c r="BE433"/>
      <c r="BF433"/>
      <c r="BG433"/>
      <c r="BH433"/>
      <c r="BI433"/>
      <c r="BJ433"/>
      <c r="BK433"/>
      <c r="BL433"/>
      <c r="BM433"/>
    </row>
    <row r="434" spans="35:65" ht="12.75" customHeight="1">
      <c r="AI434" s="364"/>
      <c r="AJ434" s="895" t="s">
        <v>886</v>
      </c>
      <c r="AK434" s="896"/>
      <c r="AL434" s="900" t="s">
        <v>835</v>
      </c>
      <c r="AM434" s="900" t="s">
        <v>836</v>
      </c>
      <c r="AN434" s="900" t="s">
        <v>837</v>
      </c>
      <c r="AO434" s="902" t="s">
        <v>838</v>
      </c>
      <c r="AP434" s="364"/>
      <c r="AQ434" s="364"/>
      <c r="AR434" s="364"/>
      <c r="AS434" s="367"/>
      <c r="AT434"/>
      <c r="AU434"/>
      <c r="AV434"/>
      <c r="AW434"/>
      <c r="AX434"/>
      <c r="AY434"/>
      <c r="AZ434"/>
      <c r="BA434"/>
      <c r="BB434"/>
      <c r="BC434"/>
      <c r="BD434"/>
      <c r="BE434"/>
      <c r="BF434"/>
      <c r="BG434"/>
      <c r="BH434"/>
      <c r="BI434"/>
      <c r="BJ434"/>
      <c r="BK434"/>
      <c r="BL434"/>
      <c r="BM434"/>
    </row>
    <row r="435" spans="35:65" ht="12.75" customHeight="1">
      <c r="AI435" s="364"/>
      <c r="AJ435" s="892"/>
      <c r="AK435" s="897"/>
      <c r="AL435" s="901"/>
      <c r="AM435" s="901"/>
      <c r="AN435" s="901"/>
      <c r="AO435" s="903"/>
      <c r="AP435" s="364"/>
      <c r="AQ435" s="364"/>
      <c r="AR435" s="364"/>
      <c r="AS435" s="367"/>
      <c r="AT435"/>
      <c r="AU435"/>
      <c r="AV435"/>
      <c r="AW435"/>
      <c r="AX435"/>
      <c r="AY435"/>
      <c r="AZ435"/>
      <c r="BA435"/>
      <c r="BB435"/>
      <c r="BC435"/>
      <c r="BD435"/>
      <c r="BE435"/>
      <c r="BF435"/>
      <c r="BG435"/>
      <c r="BH435"/>
      <c r="BI435"/>
      <c r="BJ435"/>
      <c r="BK435"/>
      <c r="BL435"/>
      <c r="BM435"/>
    </row>
    <row r="436" spans="35:65" ht="12.75" customHeight="1">
      <c r="AI436" s="364"/>
      <c r="AJ436" s="892"/>
      <c r="AK436" s="897"/>
      <c r="AL436" s="704">
        <f>AL423-PPE!$I$15</f>
        <v>85.368800000000007</v>
      </c>
      <c r="AM436" s="560">
        <f>AM430</f>
        <v>2.6666666666666665</v>
      </c>
      <c r="AN436" s="690">
        <f>IF(AL436&gt;0,AO436*AM436," ")</f>
        <v>36.25</v>
      </c>
      <c r="AO436" s="691">
        <f>IF(AL436&gt;0,(VLOOKUP(AL436,'Lookup Ready-reckoner'!$B$5:$E$1207,4))," ")</f>
        <v>13.59375</v>
      </c>
      <c r="AP436" s="364"/>
      <c r="AQ436" s="364"/>
      <c r="AR436" s="364"/>
      <c r="AS436" s="367"/>
      <c r="AT436"/>
      <c r="AU436"/>
      <c r="AV436"/>
      <c r="AW436"/>
      <c r="AX436"/>
      <c r="AY436"/>
      <c r="AZ436"/>
      <c r="BA436"/>
      <c r="BB436"/>
      <c r="BC436"/>
      <c r="BD436"/>
      <c r="BE436"/>
      <c r="BF436"/>
      <c r="BG436"/>
      <c r="BH436"/>
      <c r="BI436"/>
      <c r="BJ436"/>
      <c r="BK436"/>
      <c r="BL436"/>
      <c r="BM436"/>
    </row>
    <row r="437" spans="35:65" ht="12.75" customHeight="1">
      <c r="AI437" s="364"/>
      <c r="AJ437" s="898"/>
      <c r="AK437" s="899"/>
      <c r="AL437" s="447"/>
      <c r="AM437" s="560"/>
      <c r="AN437" s="690" t="str">
        <f>IF(AL437&gt;0,AO437*AM437," ")</f>
        <v xml:space="preserve"> </v>
      </c>
      <c r="AO437" s="691" t="str">
        <f>IF(AL437&gt;0,(VLOOKUP(AL437,'Lookup Ready-reckoner'!$B$5:$E$1007,4))," ")</f>
        <v xml:space="preserve"> </v>
      </c>
      <c r="AP437" s="364"/>
      <c r="AQ437" s="364"/>
      <c r="AR437" s="364"/>
      <c r="AS437" s="367"/>
      <c r="AT437"/>
      <c r="AU437"/>
      <c r="AV437"/>
      <c r="AW437"/>
      <c r="AX437"/>
      <c r="AY437"/>
      <c r="AZ437"/>
      <c r="BA437"/>
      <c r="BB437"/>
      <c r="BC437"/>
      <c r="BD437"/>
      <c r="BE437"/>
      <c r="BF437"/>
      <c r="BG437"/>
      <c r="BH437"/>
      <c r="BI437"/>
      <c r="BJ437"/>
      <c r="BK437"/>
      <c r="BL437"/>
      <c r="BM437"/>
    </row>
    <row r="438" spans="35:65" ht="12.75" customHeight="1" thickBot="1">
      <c r="AI438" s="364"/>
      <c r="AJ438" s="692" t="s">
        <v>839</v>
      </c>
      <c r="AK438" s="693"/>
      <c r="AL438" s="693"/>
      <c r="AM438" s="705">
        <f>IF(AL436&gt;0,(VLOOKUP(AN438,'Lookup Ready-reckoner'!$L$5:$M$1207,2))," ")</f>
        <v>80.5</v>
      </c>
      <c r="AN438" s="695">
        <f>IF(AM436&gt;0,(SUM(AN436:AN437))," ")</f>
        <v>36.25</v>
      </c>
      <c r="AO438" s="696"/>
      <c r="AP438" s="364"/>
      <c r="AQ438" s="364"/>
      <c r="AR438" s="364"/>
      <c r="AS438" s="367"/>
      <c r="AT438"/>
      <c r="AU438"/>
      <c r="AV438"/>
      <c r="AW438"/>
      <c r="AX438"/>
      <c r="AY438"/>
      <c r="AZ438"/>
      <c r="BA438"/>
      <c r="BB438"/>
      <c r="BC438"/>
      <c r="BD438"/>
      <c r="BE438"/>
      <c r="BF438"/>
      <c r="BG438"/>
      <c r="BH438"/>
      <c r="BI438"/>
      <c r="BJ438"/>
      <c r="BK438"/>
      <c r="BL438"/>
      <c r="BM438"/>
    </row>
    <row r="439" spans="35:65" ht="12.75" customHeight="1" thickBot="1">
      <c r="AI439" s="364"/>
      <c r="AJ439" s="364"/>
      <c r="AK439" s="364"/>
      <c r="AL439" s="364"/>
      <c r="AM439" s="364"/>
      <c r="AN439" s="364"/>
      <c r="AO439" s="364"/>
      <c r="AP439" s="364"/>
      <c r="AQ439" s="364"/>
      <c r="AR439" s="364"/>
      <c r="AS439" s="367"/>
      <c r="AT439"/>
      <c r="AU439"/>
      <c r="AV439"/>
      <c r="AW439"/>
      <c r="AX439"/>
      <c r="AY439"/>
      <c r="AZ439"/>
      <c r="BA439"/>
      <c r="BB439"/>
      <c r="BC439"/>
      <c r="BD439"/>
      <c r="BE439"/>
      <c r="BF439"/>
      <c r="BG439"/>
      <c r="BH439"/>
      <c r="BI439"/>
      <c r="BJ439"/>
      <c r="BK439"/>
      <c r="BL439"/>
      <c r="BM439"/>
    </row>
    <row r="440" spans="35:65" ht="12.75" customHeight="1" thickTop="1">
      <c r="AI440" s="364"/>
      <c r="AJ440" s="916" t="s">
        <v>429</v>
      </c>
      <c r="AK440" s="917"/>
      <c r="AL440" s="917"/>
      <c r="AM440" s="917"/>
      <c r="AN440" s="917"/>
      <c r="AO440" s="918"/>
      <c r="AP440" s="364"/>
      <c r="AQ440" s="364"/>
      <c r="AR440" s="364"/>
      <c r="AS440" s="367"/>
      <c r="AT440"/>
      <c r="AU440"/>
      <c r="AV440"/>
      <c r="AW440"/>
      <c r="AX440"/>
      <c r="AY440"/>
      <c r="AZ440"/>
      <c r="BA440"/>
      <c r="BB440"/>
      <c r="BC440"/>
      <c r="BD440"/>
      <c r="BE440"/>
      <c r="BF440"/>
      <c r="BG440"/>
      <c r="BH440"/>
      <c r="BI440"/>
      <c r="BJ440"/>
      <c r="BK440"/>
      <c r="BL440"/>
      <c r="BM440"/>
    </row>
    <row r="441" spans="35:65" ht="12.75" customHeight="1">
      <c r="AI441" s="364"/>
      <c r="AJ441" s="919"/>
      <c r="AK441" s="920"/>
      <c r="AL441" s="920"/>
      <c r="AM441" s="920"/>
      <c r="AN441" s="920"/>
      <c r="AO441" s="921"/>
      <c r="AP441" s="364"/>
      <c r="AQ441" s="364"/>
      <c r="AR441" s="364"/>
      <c r="AS441" s="367"/>
      <c r="AT441"/>
      <c r="AU441"/>
      <c r="AV441"/>
      <c r="AW441"/>
      <c r="AX441"/>
      <c r="AY441"/>
      <c r="AZ441"/>
      <c r="BA441"/>
      <c r="BB441"/>
      <c r="BC441"/>
      <c r="BD441"/>
      <c r="BE441"/>
      <c r="BF441"/>
      <c r="BG441"/>
      <c r="BH441"/>
      <c r="BI441"/>
      <c r="BJ441"/>
      <c r="BK441"/>
      <c r="BL441"/>
      <c r="BM441"/>
    </row>
    <row r="442" spans="35:65" ht="12.75" customHeight="1" thickBot="1">
      <c r="AI442" s="364"/>
      <c r="AJ442" s="922"/>
      <c r="AK442" s="923"/>
      <c r="AL442" s="923"/>
      <c r="AM442" s="923"/>
      <c r="AN442" s="923"/>
      <c r="AO442" s="924"/>
      <c r="AP442" s="364"/>
      <c r="AQ442" s="364"/>
      <c r="AR442" s="364"/>
      <c r="AS442" s="367"/>
      <c r="AT442"/>
      <c r="AU442"/>
      <c r="AV442"/>
      <c r="AW442"/>
      <c r="AX442"/>
      <c r="AY442"/>
      <c r="AZ442"/>
      <c r="BA442"/>
      <c r="BB442"/>
      <c r="BC442"/>
      <c r="BD442"/>
      <c r="BE442"/>
      <c r="BF442"/>
      <c r="BG442"/>
      <c r="BH442"/>
      <c r="BI442"/>
      <c r="BJ442"/>
      <c r="BK442"/>
      <c r="BL442"/>
      <c r="BM442"/>
    </row>
    <row r="443" spans="35:65" ht="12.75" customHeight="1" thickTop="1">
      <c r="AI443" s="364"/>
      <c r="AJ443" s="925" t="str">
        <f>AJ324</f>
        <v>Seco S215</v>
      </c>
      <c r="AK443" s="925"/>
      <c r="AL443" s="925"/>
      <c r="AM443" s="925"/>
      <c r="AN443" s="925"/>
      <c r="AO443" s="925"/>
      <c r="AP443" s="364"/>
      <c r="AQ443" s="364"/>
      <c r="AR443" s="364"/>
      <c r="AS443" s="367"/>
      <c r="AT443"/>
      <c r="AU443"/>
      <c r="AV443"/>
      <c r="AW443"/>
      <c r="AX443"/>
      <c r="AY443"/>
      <c r="AZ443"/>
      <c r="BA443"/>
      <c r="BB443"/>
      <c r="BC443"/>
      <c r="BD443"/>
      <c r="BE443"/>
      <c r="BF443"/>
      <c r="BG443"/>
      <c r="BH443"/>
      <c r="BI443"/>
      <c r="BJ443"/>
      <c r="BK443"/>
      <c r="BL443"/>
      <c r="BM443"/>
    </row>
    <row r="444" spans="35:65" ht="12.75" customHeight="1" thickBot="1">
      <c r="AI444" s="364"/>
      <c r="AJ444" s="910" t="s">
        <v>205</v>
      </c>
      <c r="AK444" s="911"/>
      <c r="AL444" s="911"/>
      <c r="AM444" s="911"/>
      <c r="AN444" s="911"/>
      <c r="AO444" s="912"/>
      <c r="AP444" s="364"/>
      <c r="AQ444" s="364"/>
      <c r="AR444" s="364"/>
      <c r="AS444" s="367"/>
      <c r="AT444"/>
      <c r="AU444"/>
      <c r="AV444"/>
      <c r="AW444"/>
      <c r="AX444"/>
      <c r="AY444"/>
      <c r="AZ444"/>
      <c r="BA444"/>
      <c r="BB444"/>
      <c r="BC444"/>
      <c r="BD444"/>
      <c r="BE444"/>
      <c r="BF444"/>
      <c r="BG444"/>
      <c r="BH444"/>
      <c r="BI444"/>
      <c r="BJ444"/>
      <c r="BK444"/>
      <c r="BL444"/>
      <c r="BM444"/>
    </row>
    <row r="445" spans="35:65" ht="12.75" customHeight="1" thickBot="1">
      <c r="AI445" s="364"/>
      <c r="AJ445" s="686" t="s">
        <v>59</v>
      </c>
      <c r="AK445" s="577"/>
      <c r="AL445" s="687"/>
      <c r="AM445" s="687"/>
      <c r="AN445" s="687"/>
      <c r="AO445" s="688"/>
      <c r="AP445" s="364"/>
      <c r="AQ445" s="364"/>
      <c r="AR445" s="364"/>
      <c r="AS445" s="367"/>
      <c r="AT445"/>
      <c r="AU445"/>
      <c r="AV445"/>
      <c r="AW445"/>
      <c r="AX445"/>
      <c r="AY445"/>
      <c r="AZ445"/>
      <c r="BA445"/>
      <c r="BB445"/>
      <c r="BC445"/>
      <c r="BD445"/>
      <c r="BE445"/>
      <c r="BF445"/>
      <c r="BG445"/>
      <c r="BH445"/>
      <c r="BI445"/>
      <c r="BJ445"/>
      <c r="BK445"/>
      <c r="BL445"/>
      <c r="BM445"/>
    </row>
    <row r="446" spans="35:65" ht="12.75" customHeight="1">
      <c r="AI446" s="364"/>
      <c r="AJ446" s="895" t="s">
        <v>845</v>
      </c>
      <c r="AK446" s="896"/>
      <c r="AL446" s="900" t="s">
        <v>835</v>
      </c>
      <c r="AM446" s="900" t="s">
        <v>836</v>
      </c>
      <c r="AN446" s="900" t="s">
        <v>837</v>
      </c>
      <c r="AO446" s="902" t="s">
        <v>838</v>
      </c>
      <c r="AP446" s="364"/>
      <c r="AQ446" s="364"/>
      <c r="AR446" s="364"/>
      <c r="AS446" s="367"/>
      <c r="AT446"/>
      <c r="AU446"/>
      <c r="AV446"/>
      <c r="AW446"/>
      <c r="AX446"/>
      <c r="AY446"/>
      <c r="AZ446"/>
      <c r="BA446"/>
      <c r="BB446"/>
      <c r="BC446"/>
      <c r="BD446"/>
      <c r="BE446"/>
      <c r="BF446"/>
      <c r="BG446"/>
      <c r="BH446"/>
      <c r="BI446"/>
      <c r="BJ446"/>
      <c r="BK446"/>
      <c r="BL446"/>
      <c r="BM446"/>
    </row>
    <row r="447" spans="35:65" ht="12.75" customHeight="1">
      <c r="AI447" s="364"/>
      <c r="AJ447" s="892"/>
      <c r="AK447" s="897"/>
      <c r="AL447" s="904"/>
      <c r="AM447" s="904"/>
      <c r="AN447" s="904"/>
      <c r="AO447" s="905"/>
      <c r="AP447" s="364"/>
      <c r="AQ447" s="364"/>
      <c r="AR447" s="364"/>
      <c r="AS447" s="367"/>
      <c r="AT447"/>
      <c r="AU447"/>
      <c r="AV447"/>
      <c r="AW447"/>
      <c r="AX447"/>
      <c r="AY447"/>
      <c r="AZ447"/>
      <c r="BA447"/>
      <c r="BB447"/>
      <c r="BC447"/>
      <c r="BD447"/>
      <c r="BE447"/>
      <c r="BF447"/>
      <c r="BG447"/>
      <c r="BH447"/>
      <c r="BI447"/>
      <c r="BJ447"/>
      <c r="BK447"/>
      <c r="BL447"/>
      <c r="BM447"/>
    </row>
    <row r="448" spans="35:65" ht="12.75" customHeight="1">
      <c r="AI448" s="364"/>
      <c r="AJ448" s="892"/>
      <c r="AK448" s="897"/>
      <c r="AL448" s="901"/>
      <c r="AM448" s="901"/>
      <c r="AN448" s="901"/>
      <c r="AO448" s="903"/>
      <c r="AP448" s="364"/>
      <c r="AQ448" s="364"/>
      <c r="AR448" s="364"/>
      <c r="AS448" s="367"/>
      <c r="AT448"/>
      <c r="AU448"/>
      <c r="AV448"/>
      <c r="AW448"/>
      <c r="AX448"/>
      <c r="AY448"/>
      <c r="AZ448"/>
      <c r="BA448"/>
      <c r="BB448"/>
      <c r="BC448"/>
      <c r="BD448"/>
      <c r="BE448"/>
      <c r="BF448"/>
      <c r="BG448"/>
      <c r="BH448"/>
      <c r="BI448"/>
      <c r="BJ448"/>
      <c r="BK448"/>
      <c r="BL448"/>
      <c r="BM448"/>
    </row>
    <row r="449" spans="35:65" ht="12.75" customHeight="1">
      <c r="AI449" s="364"/>
      <c r="AJ449" s="892"/>
      <c r="AK449" s="897"/>
      <c r="AL449" s="689">
        <f>AP81</f>
        <v>122.02059991327964</v>
      </c>
      <c r="AM449" s="560">
        <f>AP67</f>
        <v>1.4285714285714284</v>
      </c>
      <c r="AN449" s="690">
        <f>IF(AL449&gt;0,AO449*AM449," ")</f>
        <v>79999.999999999985</v>
      </c>
      <c r="AO449" s="691">
        <f>IF(AL449&gt;0,(VLOOKUP(AL449,'Lookup Ready-reckoner'!$B$5:$E$1207,4))," ")</f>
        <v>56000</v>
      </c>
      <c r="AP449" s="364"/>
      <c r="AQ449" s="364"/>
      <c r="AR449" s="364"/>
      <c r="AS449" s="367"/>
      <c r="AT449"/>
      <c r="AU449"/>
      <c r="AV449"/>
      <c r="AW449"/>
      <c r="AX449"/>
      <c r="AY449"/>
      <c r="AZ449"/>
      <c r="BA449"/>
      <c r="BB449"/>
      <c r="BC449"/>
      <c r="BD449"/>
      <c r="BE449"/>
      <c r="BF449"/>
      <c r="BG449"/>
      <c r="BH449"/>
      <c r="BI449"/>
      <c r="BJ449"/>
      <c r="BK449"/>
      <c r="BL449"/>
      <c r="BM449"/>
    </row>
    <row r="450" spans="35:65" ht="12.75" customHeight="1">
      <c r="AI450" s="364"/>
      <c r="AJ450" s="898"/>
      <c r="AK450" s="899"/>
      <c r="AL450" s="447"/>
      <c r="AM450" s="560"/>
      <c r="AN450" s="690" t="str">
        <f>IF(AL450&gt;0,AO450*AM450," ")</f>
        <v xml:space="preserve"> </v>
      </c>
      <c r="AO450" s="691" t="str">
        <f>IF(AL450&gt;0,(VLOOKUP(AL450,'Lookup Ready-reckoner'!$B$5:$E$1007,4))," ")</f>
        <v xml:space="preserve"> </v>
      </c>
      <c r="AP450" s="364"/>
      <c r="AQ450" s="364"/>
      <c r="AR450" s="364"/>
      <c r="AS450" s="367"/>
      <c r="AT450"/>
      <c r="AU450"/>
      <c r="AV450"/>
      <c r="AW450"/>
      <c r="AX450"/>
      <c r="AY450"/>
      <c r="AZ450"/>
      <c r="BA450"/>
      <c r="BB450"/>
      <c r="BC450"/>
      <c r="BD450"/>
      <c r="BE450"/>
      <c r="BF450"/>
      <c r="BG450"/>
      <c r="BH450"/>
      <c r="BI450"/>
      <c r="BJ450"/>
      <c r="BK450"/>
      <c r="BL450"/>
      <c r="BM450"/>
    </row>
    <row r="451" spans="35:65" ht="12.75" customHeight="1" thickBot="1">
      <c r="AI451" s="364"/>
      <c r="AJ451" s="692" t="s">
        <v>839</v>
      </c>
      <c r="AK451" s="693"/>
      <c r="AL451" s="693"/>
      <c r="AM451" s="694">
        <f>IF(AL449&gt;0,(VLOOKUP(AN451,'Lookup Ready-reckoner'!$L$5:$M$1207,2))," ")</f>
        <v>113.95</v>
      </c>
      <c r="AN451" s="695">
        <f>IF(AM449&gt;0,(SUM(AN449:AN450))," ")</f>
        <v>79999.999999999985</v>
      </c>
      <c r="AO451" s="696"/>
      <c r="AP451" s="364"/>
      <c r="AQ451" s="364"/>
      <c r="AR451" s="364"/>
      <c r="AS451" s="367"/>
      <c r="AT451"/>
      <c r="AU451"/>
      <c r="AV451"/>
      <c r="AW451"/>
      <c r="AX451"/>
      <c r="AY451"/>
      <c r="AZ451"/>
      <c r="BA451"/>
      <c r="BB451"/>
      <c r="BC451"/>
      <c r="BD451"/>
      <c r="BE451"/>
      <c r="BF451"/>
      <c r="BG451"/>
      <c r="BH451"/>
      <c r="BI451"/>
      <c r="BJ451"/>
      <c r="BK451"/>
      <c r="BL451"/>
      <c r="BM451"/>
    </row>
    <row r="452" spans="35:65" ht="12.75" customHeight="1" thickBot="1">
      <c r="AI452" s="364"/>
      <c r="AJ452" s="892"/>
      <c r="AK452" s="893"/>
      <c r="AL452" s="893"/>
      <c r="AM452" s="893"/>
      <c r="AN452" s="893"/>
      <c r="AO452" s="894"/>
      <c r="AP452" s="364"/>
      <c r="AQ452" s="364"/>
      <c r="AR452" s="364"/>
      <c r="AS452" s="367"/>
      <c r="AT452"/>
      <c r="AU452"/>
      <c r="AV452"/>
      <c r="AW452"/>
      <c r="AX452"/>
      <c r="AY452"/>
      <c r="AZ452"/>
      <c r="BA452"/>
      <c r="BB452"/>
      <c r="BC452"/>
      <c r="BD452"/>
      <c r="BE452"/>
      <c r="BF452"/>
      <c r="BG452"/>
      <c r="BH452"/>
      <c r="BI452"/>
      <c r="BJ452"/>
      <c r="BK452"/>
      <c r="BL452"/>
      <c r="BM452"/>
    </row>
    <row r="453" spans="35:65" ht="12.75" customHeight="1">
      <c r="AI453" s="364"/>
      <c r="AJ453" s="895" t="s">
        <v>886</v>
      </c>
      <c r="AK453" s="896"/>
      <c r="AL453" s="900" t="s">
        <v>835</v>
      </c>
      <c r="AM453" s="900" t="s">
        <v>836</v>
      </c>
      <c r="AN453" s="900" t="s">
        <v>837</v>
      </c>
      <c r="AO453" s="902" t="s">
        <v>838</v>
      </c>
      <c r="AP453" s="364"/>
      <c r="AQ453" s="364"/>
      <c r="AR453" s="364"/>
      <c r="AS453" s="367"/>
      <c r="AT453"/>
      <c r="AU453"/>
      <c r="AV453"/>
      <c r="AW453"/>
      <c r="AX453"/>
      <c r="AY453"/>
      <c r="AZ453"/>
      <c r="BA453"/>
      <c r="BB453"/>
      <c r="BC453"/>
      <c r="BD453"/>
      <c r="BE453"/>
      <c r="BF453"/>
      <c r="BG453"/>
      <c r="BH453"/>
      <c r="BI453"/>
      <c r="BJ453"/>
      <c r="BK453"/>
      <c r="BL453"/>
      <c r="BM453"/>
    </row>
    <row r="454" spans="35:65" ht="12.75" customHeight="1">
      <c r="AI454" s="364"/>
      <c r="AJ454" s="892"/>
      <c r="AK454" s="897"/>
      <c r="AL454" s="901"/>
      <c r="AM454" s="901"/>
      <c r="AN454" s="901"/>
      <c r="AO454" s="903"/>
      <c r="AP454" s="364"/>
      <c r="AQ454" s="364"/>
      <c r="AR454" s="364"/>
      <c r="AS454" s="367"/>
      <c r="AT454"/>
      <c r="AU454"/>
      <c r="AV454"/>
      <c r="AW454"/>
      <c r="AX454"/>
      <c r="AY454"/>
      <c r="AZ454"/>
      <c r="BA454"/>
      <c r="BB454"/>
      <c r="BC454"/>
      <c r="BD454"/>
      <c r="BE454"/>
      <c r="BF454"/>
      <c r="BG454"/>
      <c r="BH454"/>
      <c r="BI454"/>
      <c r="BJ454"/>
      <c r="BK454"/>
      <c r="BL454"/>
      <c r="BM454"/>
    </row>
    <row r="455" spans="35:65" ht="12.75" customHeight="1">
      <c r="AI455" s="364"/>
      <c r="AJ455" s="892"/>
      <c r="AK455" s="897"/>
      <c r="AL455" s="689">
        <f>AL449*(1-0.0178*2)</f>
        <v>117.67666655636688</v>
      </c>
      <c r="AM455" s="560">
        <f>AM449</f>
        <v>1.4285714285714284</v>
      </c>
      <c r="AN455" s="690">
        <f>IF(AL455&gt;0,AO455*AM455," ")</f>
        <v>33771.428571428565</v>
      </c>
      <c r="AO455" s="691">
        <f>IF(AL455&gt;0,(VLOOKUP(AL455,'Lookup Ready-reckoner'!$B$5:$E$1207,4))," ")</f>
        <v>23640</v>
      </c>
      <c r="AP455" s="364"/>
      <c r="AQ455" s="364"/>
      <c r="AR455" s="364"/>
      <c r="AS455" s="367"/>
      <c r="AT455"/>
      <c r="AU455"/>
      <c r="AV455"/>
      <c r="AW455"/>
      <c r="AX455"/>
      <c r="AY455"/>
      <c r="AZ455"/>
      <c r="BA455"/>
      <c r="BB455"/>
      <c r="BC455"/>
      <c r="BD455"/>
      <c r="BE455"/>
      <c r="BF455"/>
      <c r="BG455"/>
      <c r="BH455"/>
      <c r="BI455"/>
      <c r="BJ455"/>
      <c r="BK455"/>
      <c r="BL455"/>
      <c r="BM455"/>
    </row>
    <row r="456" spans="35:65" ht="12.75" customHeight="1">
      <c r="AI456" s="364"/>
      <c r="AJ456" s="898"/>
      <c r="AK456" s="899"/>
      <c r="AL456" s="447"/>
      <c r="AM456" s="560"/>
      <c r="AN456" s="690" t="str">
        <f>IF(AL456&gt;0,AO456*AM456," ")</f>
        <v xml:space="preserve"> </v>
      </c>
      <c r="AO456" s="691" t="str">
        <f>IF(AL456&gt;0,(VLOOKUP(AL456,'Lookup Ready-reckoner'!$B$5:$E$1007,4))," ")</f>
        <v xml:space="preserve"> </v>
      </c>
      <c r="AP456" s="364"/>
      <c r="AQ456" s="364"/>
      <c r="AR456" s="364"/>
      <c r="AS456" s="367"/>
      <c r="AT456"/>
      <c r="AU456"/>
      <c r="AV456"/>
      <c r="AW456"/>
      <c r="AX456"/>
      <c r="AY456"/>
      <c r="AZ456"/>
      <c r="BA456"/>
      <c r="BB456"/>
      <c r="BC456"/>
      <c r="BD456"/>
      <c r="BE456"/>
      <c r="BF456"/>
      <c r="BG456"/>
      <c r="BH456"/>
      <c r="BI456"/>
      <c r="BJ456"/>
      <c r="BK456"/>
      <c r="BL456"/>
      <c r="BM456"/>
    </row>
    <row r="457" spans="35:65" ht="12.75" customHeight="1" thickBot="1">
      <c r="AI457" s="364"/>
      <c r="AJ457" s="692" t="s">
        <v>839</v>
      </c>
      <c r="AK457" s="693"/>
      <c r="AL457" s="693"/>
      <c r="AM457" s="694">
        <f>IF(AL455&gt;0,(VLOOKUP(AN457,'Lookup Ready-reckoner'!$L$5:$M$1207,2))," ")</f>
        <v>110.2</v>
      </c>
      <c r="AN457" s="695">
        <f>IF(AM455&gt;0,(SUM(AN455:AN456))," ")</f>
        <v>33771.428571428565</v>
      </c>
      <c r="AO457" s="696"/>
      <c r="AP457" s="364"/>
      <c r="AQ457" s="364"/>
      <c r="AR457" s="364"/>
      <c r="AS457" s="367"/>
      <c r="AT457"/>
      <c r="AU457"/>
      <c r="AV457"/>
      <c r="AW457"/>
      <c r="AX457"/>
      <c r="AY457"/>
      <c r="AZ457"/>
      <c r="BA457"/>
      <c r="BB457"/>
      <c r="BC457"/>
      <c r="BD457"/>
      <c r="BE457"/>
      <c r="BF457"/>
      <c r="BG457"/>
      <c r="BH457"/>
      <c r="BI457"/>
      <c r="BJ457"/>
      <c r="BK457"/>
      <c r="BL457"/>
      <c r="BM457"/>
    </row>
    <row r="458" spans="35:65" ht="12.75" customHeight="1">
      <c r="AI458" s="364"/>
      <c r="AJ458" s="697"/>
      <c r="AK458" s="687"/>
      <c r="AL458" s="687"/>
      <c r="AM458" s="372"/>
      <c r="AN458" s="374"/>
      <c r="AO458" s="688"/>
      <c r="AP458" s="364"/>
      <c r="AQ458" s="364"/>
      <c r="AR458" s="364"/>
      <c r="AS458" s="367"/>
      <c r="AT458"/>
      <c r="AU458"/>
      <c r="AV458"/>
      <c r="AW458"/>
      <c r="AX458"/>
      <c r="AY458"/>
      <c r="AZ458"/>
      <c r="BA458"/>
      <c r="BB458"/>
      <c r="BC458"/>
      <c r="BD458"/>
      <c r="BE458"/>
      <c r="BF458"/>
      <c r="BG458"/>
      <c r="BH458"/>
      <c r="BI458"/>
      <c r="BJ458"/>
      <c r="BK458"/>
      <c r="BL458"/>
      <c r="BM458"/>
    </row>
    <row r="459" spans="35:65" ht="12.75" customHeight="1" thickBot="1">
      <c r="AI459" s="364"/>
      <c r="AJ459" s="686" t="s">
        <v>60</v>
      </c>
      <c r="AK459" s="577"/>
      <c r="AL459" s="577"/>
      <c r="AM459" s="577"/>
      <c r="AN459" s="577"/>
      <c r="AO459" s="698"/>
      <c r="AP459" s="364"/>
      <c r="AQ459" s="364"/>
      <c r="AR459" s="364"/>
      <c r="AS459" s="367"/>
      <c r="AT459"/>
      <c r="AU459"/>
      <c r="AV459"/>
      <c r="AW459"/>
      <c r="AX459"/>
      <c r="AY459"/>
      <c r="AZ459"/>
      <c r="BA459"/>
      <c r="BB459"/>
      <c r="BC459"/>
      <c r="BD459"/>
      <c r="BE459"/>
      <c r="BF459"/>
      <c r="BG459"/>
      <c r="BH459"/>
      <c r="BI459"/>
      <c r="BJ459"/>
      <c r="BK459"/>
      <c r="BL459"/>
      <c r="BM459"/>
    </row>
    <row r="460" spans="35:65" ht="12.75" customHeight="1">
      <c r="AI460" s="364"/>
      <c r="AJ460" s="895" t="s">
        <v>845</v>
      </c>
      <c r="AK460" s="896"/>
      <c r="AL460" s="900" t="s">
        <v>835</v>
      </c>
      <c r="AM460" s="900" t="s">
        <v>836</v>
      </c>
      <c r="AN460" s="900" t="s">
        <v>837</v>
      </c>
      <c r="AO460" s="902" t="s">
        <v>838</v>
      </c>
      <c r="AP460" s="364"/>
      <c r="AQ460" s="364"/>
      <c r="AR460" s="364"/>
      <c r="AS460" s="367"/>
      <c r="AT460"/>
      <c r="AU460"/>
      <c r="AV460"/>
      <c r="AW460"/>
      <c r="AX460"/>
      <c r="AY460"/>
      <c r="AZ460"/>
      <c r="BA460"/>
      <c r="BB460"/>
      <c r="BC460"/>
      <c r="BD460"/>
      <c r="BE460"/>
      <c r="BF460"/>
      <c r="BG460"/>
      <c r="BH460"/>
      <c r="BI460"/>
      <c r="BJ460"/>
      <c r="BK460"/>
      <c r="BL460"/>
      <c r="BM460"/>
    </row>
    <row r="461" spans="35:65" ht="12.75" customHeight="1">
      <c r="AI461" s="364"/>
      <c r="AJ461" s="892"/>
      <c r="AK461" s="897"/>
      <c r="AL461" s="901"/>
      <c r="AM461" s="901"/>
      <c r="AN461" s="901"/>
      <c r="AO461" s="903"/>
      <c r="AP461" s="364"/>
      <c r="AQ461" s="364"/>
      <c r="AR461" s="364"/>
      <c r="AS461" s="367"/>
      <c r="AT461"/>
      <c r="AU461"/>
      <c r="AV461"/>
      <c r="AW461"/>
      <c r="AX461"/>
      <c r="AY461"/>
      <c r="AZ461"/>
      <c r="BA461"/>
      <c r="BB461"/>
      <c r="BC461"/>
      <c r="BD461"/>
      <c r="BE461"/>
      <c r="BF461"/>
      <c r="BG461"/>
      <c r="BH461"/>
      <c r="BI461"/>
      <c r="BJ461"/>
      <c r="BK461"/>
      <c r="BL461"/>
      <c r="BM461"/>
    </row>
    <row r="462" spans="35:65" ht="12.75" customHeight="1">
      <c r="AI462" s="364"/>
      <c r="AJ462" s="892"/>
      <c r="AK462" s="897"/>
      <c r="AL462" s="689">
        <f>AL449-PPE!$I$15</f>
        <v>109.02059991327964</v>
      </c>
      <c r="AM462" s="560">
        <f>AM455</f>
        <v>1.4285714285714284</v>
      </c>
      <c r="AN462" s="690">
        <f>IF(AL462&gt;0,AO462*AM462," ")</f>
        <v>4571.4285714285706</v>
      </c>
      <c r="AO462" s="691">
        <f>IF(AL462&gt;0,(VLOOKUP(AL462,'Lookup Ready-reckoner'!$B$5:$E$1207,4))," ")</f>
        <v>3200</v>
      </c>
      <c r="AP462" s="364"/>
      <c r="AQ462" s="364"/>
      <c r="AR462" s="364"/>
      <c r="AS462" s="367"/>
      <c r="AT462"/>
      <c r="AU462"/>
      <c r="AV462"/>
      <c r="AW462"/>
      <c r="AX462"/>
      <c r="AY462"/>
      <c r="AZ462"/>
      <c r="BA462"/>
      <c r="BB462"/>
      <c r="BC462"/>
      <c r="BD462"/>
      <c r="BE462"/>
      <c r="BF462"/>
      <c r="BG462"/>
      <c r="BH462"/>
      <c r="BI462"/>
      <c r="BJ462"/>
      <c r="BK462"/>
      <c r="BL462"/>
      <c r="BM462"/>
    </row>
    <row r="463" spans="35:65" ht="12.75" customHeight="1">
      <c r="AI463" s="364"/>
      <c r="AJ463" s="898"/>
      <c r="AK463" s="899"/>
      <c r="AL463" s="447"/>
      <c r="AM463" s="560"/>
      <c r="AN463" s="690" t="str">
        <f>IF(AL463&gt;0,AO463*AM463," ")</f>
        <v xml:space="preserve"> </v>
      </c>
      <c r="AO463" s="691" t="str">
        <f>IF(AL463&gt;0,(VLOOKUP(AL463,'Lookup Ready-reckoner'!$B$5:$E$1007,4))," ")</f>
        <v xml:space="preserve"> </v>
      </c>
      <c r="AP463" s="364"/>
      <c r="AQ463" s="364"/>
      <c r="AR463" s="364"/>
      <c r="AS463" s="367"/>
      <c r="AT463"/>
      <c r="AU463"/>
      <c r="AV463"/>
      <c r="AW463"/>
      <c r="AX463"/>
      <c r="AY463"/>
      <c r="AZ463"/>
      <c r="BA463"/>
      <c r="BB463"/>
      <c r="BC463"/>
      <c r="BD463"/>
      <c r="BE463"/>
      <c r="BF463"/>
      <c r="BG463"/>
      <c r="BH463"/>
      <c r="BI463"/>
      <c r="BJ463"/>
      <c r="BK463"/>
      <c r="BL463"/>
      <c r="BM463"/>
    </row>
    <row r="464" spans="35:65" ht="12.75" customHeight="1" thickBot="1">
      <c r="AI464" s="364"/>
      <c r="AJ464" s="699" t="s">
        <v>839</v>
      </c>
      <c r="AK464" s="693"/>
      <c r="AL464" s="693"/>
      <c r="AM464" s="694">
        <f>IF(AL462&gt;0,(VLOOKUP(AN464,'Lookup Ready-reckoner'!$L$5:$M$1207,2))," ")</f>
        <v>101.55</v>
      </c>
      <c r="AN464" s="695">
        <f>IF(AM462&gt;0,(SUM(AN462:AN463))," ")</f>
        <v>4571.4285714285706</v>
      </c>
      <c r="AO464" s="696"/>
      <c r="AP464" s="364"/>
      <c r="AQ464" s="364"/>
      <c r="AR464" s="364"/>
      <c r="AS464" s="367"/>
      <c r="AT464"/>
      <c r="AU464"/>
      <c r="AV464"/>
      <c r="AW464"/>
      <c r="AX464"/>
      <c r="AY464"/>
      <c r="AZ464"/>
      <c r="BA464"/>
      <c r="BB464"/>
      <c r="BC464"/>
      <c r="BD464"/>
      <c r="BE464"/>
      <c r="BF464"/>
      <c r="BG464"/>
      <c r="BH464"/>
      <c r="BI464"/>
      <c r="BJ464"/>
      <c r="BK464"/>
      <c r="BL464"/>
      <c r="BM464"/>
    </row>
    <row r="465" spans="35:65" ht="12.75" customHeight="1" thickBot="1">
      <c r="AI465" s="364"/>
      <c r="AJ465" s="892"/>
      <c r="AK465" s="893"/>
      <c r="AL465" s="893"/>
      <c r="AM465" s="893"/>
      <c r="AN465" s="893"/>
      <c r="AO465" s="894"/>
      <c r="AP465" s="364"/>
      <c r="AQ465" s="364"/>
      <c r="AR465" s="364"/>
      <c r="AS465" s="367"/>
      <c r="AT465"/>
      <c r="AU465"/>
      <c r="AV465"/>
      <c r="AW465"/>
      <c r="AX465"/>
      <c r="AY465"/>
      <c r="AZ465"/>
      <c r="BA465"/>
      <c r="BB465"/>
      <c r="BC465"/>
      <c r="BD465"/>
      <c r="BE465"/>
      <c r="BF465"/>
      <c r="BG465"/>
      <c r="BH465"/>
      <c r="BI465"/>
      <c r="BJ465"/>
      <c r="BK465"/>
      <c r="BL465"/>
      <c r="BM465"/>
    </row>
    <row r="466" spans="35:65" ht="12.75" customHeight="1">
      <c r="AI466" s="364"/>
      <c r="AJ466" s="895" t="s">
        <v>886</v>
      </c>
      <c r="AK466" s="896"/>
      <c r="AL466" s="900" t="s">
        <v>835</v>
      </c>
      <c r="AM466" s="900" t="s">
        <v>836</v>
      </c>
      <c r="AN466" s="900" t="s">
        <v>837</v>
      </c>
      <c r="AO466" s="902" t="s">
        <v>838</v>
      </c>
      <c r="AP466" s="364"/>
      <c r="AQ466" s="364"/>
      <c r="AR466" s="364"/>
      <c r="AS466" s="367"/>
      <c r="AT466"/>
      <c r="AU466"/>
      <c r="AV466"/>
      <c r="AW466"/>
      <c r="AX466"/>
      <c r="AY466"/>
      <c r="AZ466"/>
      <c r="BA466"/>
      <c r="BB466"/>
      <c r="BC466"/>
      <c r="BD466"/>
      <c r="BE466"/>
      <c r="BF466"/>
      <c r="BG466"/>
      <c r="BH466"/>
      <c r="BI466"/>
      <c r="BJ466"/>
      <c r="BK466"/>
      <c r="BL466"/>
      <c r="BM466"/>
    </row>
    <row r="467" spans="35:65" ht="12.75" customHeight="1">
      <c r="AI467" s="364"/>
      <c r="AJ467" s="892"/>
      <c r="AK467" s="897"/>
      <c r="AL467" s="901"/>
      <c r="AM467" s="901"/>
      <c r="AN467" s="901"/>
      <c r="AO467" s="903"/>
      <c r="AP467" s="364"/>
      <c r="AQ467" s="364"/>
      <c r="AR467" s="364"/>
      <c r="AS467" s="367"/>
      <c r="AT467"/>
      <c r="AU467"/>
      <c r="AV467"/>
      <c r="AW467"/>
      <c r="AX467"/>
      <c r="AY467"/>
      <c r="AZ467"/>
      <c r="BA467"/>
      <c r="BB467"/>
      <c r="BC467"/>
      <c r="BD467"/>
      <c r="BE467"/>
      <c r="BF467"/>
      <c r="BG467"/>
      <c r="BH467"/>
      <c r="BI467"/>
      <c r="BJ467"/>
      <c r="BK467"/>
      <c r="BL467"/>
      <c r="BM467"/>
    </row>
    <row r="468" spans="35:65" ht="12.75" customHeight="1">
      <c r="AI468" s="364"/>
      <c r="AJ468" s="892"/>
      <c r="AK468" s="897"/>
      <c r="AL468" s="689">
        <f>AL455-PPE!$I$15</f>
        <v>104.67666655636688</v>
      </c>
      <c r="AM468" s="560">
        <f>AM462</f>
        <v>1.4285714285714284</v>
      </c>
      <c r="AN468" s="690">
        <f>IF(AL468&gt;0,AO468*AM468," ")</f>
        <v>1660.7142857142856</v>
      </c>
      <c r="AO468" s="691">
        <f>IF(AL468&gt;0,(VLOOKUP(AL468,'Lookup Ready-reckoner'!$B$5:$E$1207,4))," ")</f>
        <v>1162.5</v>
      </c>
      <c r="AP468" s="364"/>
      <c r="AQ468" s="364"/>
      <c r="AR468" s="364"/>
      <c r="AS468" s="367"/>
      <c r="AT468"/>
      <c r="AU468"/>
      <c r="AV468"/>
      <c r="AW468"/>
      <c r="AX468"/>
      <c r="AY468"/>
      <c r="AZ468"/>
      <c r="BA468"/>
      <c r="BB468"/>
      <c r="BC468"/>
      <c r="BD468"/>
      <c r="BE468"/>
      <c r="BF468"/>
      <c r="BG468"/>
      <c r="BH468"/>
      <c r="BI468"/>
      <c r="BJ468"/>
      <c r="BK468"/>
      <c r="BL468"/>
      <c r="BM468"/>
    </row>
    <row r="469" spans="35:65" ht="12.75" customHeight="1">
      <c r="AI469" s="364"/>
      <c r="AJ469" s="898"/>
      <c r="AK469" s="899"/>
      <c r="AL469" s="447"/>
      <c r="AM469" s="560"/>
      <c r="AN469" s="690" t="str">
        <f>IF(AL469&gt;0,AO469*AM469," ")</f>
        <v xml:space="preserve"> </v>
      </c>
      <c r="AO469" s="691" t="str">
        <f>IF(AL469&gt;0,(VLOOKUP(AL469,'Lookup Ready-reckoner'!$B$5:$E$1007,4))," ")</f>
        <v xml:space="preserve"> </v>
      </c>
      <c r="AP469" s="364"/>
      <c r="AQ469" s="364"/>
      <c r="AR469" s="364"/>
      <c r="AS469" s="367"/>
      <c r="AT469"/>
      <c r="AU469"/>
      <c r="AV469"/>
      <c r="AW469"/>
      <c r="AX469"/>
      <c r="AY469"/>
      <c r="AZ469"/>
      <c r="BA469"/>
      <c r="BB469"/>
      <c r="BC469"/>
      <c r="BD469"/>
      <c r="BE469"/>
      <c r="BF469"/>
      <c r="BG469"/>
      <c r="BH469"/>
      <c r="BI469"/>
      <c r="BJ469"/>
      <c r="BK469"/>
      <c r="BL469"/>
      <c r="BM469"/>
    </row>
    <row r="470" spans="35:65" ht="12.75" customHeight="1" thickBot="1">
      <c r="AI470" s="364"/>
      <c r="AJ470" s="692" t="s">
        <v>839</v>
      </c>
      <c r="AK470" s="693"/>
      <c r="AL470" s="693"/>
      <c r="AM470" s="694">
        <f>IF(AL468&gt;0,(VLOOKUP(AN470,'Lookup Ready-reckoner'!$L$5:$M$1207,2))," ")</f>
        <v>97.15</v>
      </c>
      <c r="AN470" s="695">
        <f>IF(AM468&gt;0,(SUM(AN468:AN469))," ")</f>
        <v>1660.7142857142856</v>
      </c>
      <c r="AO470" s="696"/>
      <c r="AP470" s="364"/>
      <c r="AQ470" s="364"/>
      <c r="AR470" s="364"/>
      <c r="AS470" s="367"/>
      <c r="AT470"/>
      <c r="AU470"/>
      <c r="AV470"/>
      <c r="AW470"/>
      <c r="AX470"/>
      <c r="AY470"/>
      <c r="AZ470"/>
      <c r="BA470"/>
      <c r="BB470"/>
      <c r="BC470"/>
      <c r="BD470"/>
      <c r="BE470"/>
      <c r="BF470"/>
      <c r="BG470"/>
      <c r="BH470"/>
      <c r="BI470"/>
      <c r="BJ470"/>
      <c r="BK470"/>
      <c r="BL470"/>
      <c r="BM470"/>
    </row>
    <row r="471" spans="35:65" ht="12.75" customHeight="1">
      <c r="AI471" s="364"/>
      <c r="AJ471" s="363"/>
      <c r="AK471" s="363"/>
      <c r="AL471" s="363"/>
      <c r="AM471" s="363"/>
      <c r="AN471" s="363"/>
      <c r="AO471" s="363"/>
      <c r="AP471" s="364"/>
      <c r="AQ471" s="364"/>
      <c r="AR471" s="364"/>
      <c r="AS471" s="367"/>
      <c r="AT471"/>
      <c r="AU471"/>
      <c r="AV471"/>
      <c r="AW471"/>
      <c r="AX471"/>
      <c r="AY471"/>
      <c r="AZ471"/>
      <c r="BA471"/>
      <c r="BB471"/>
      <c r="BC471"/>
      <c r="BD471"/>
      <c r="BE471"/>
      <c r="BF471"/>
      <c r="BG471"/>
      <c r="BH471"/>
      <c r="BI471"/>
      <c r="BJ471"/>
      <c r="BK471"/>
      <c r="BL471"/>
      <c r="BM471"/>
    </row>
    <row r="472" spans="35:65" ht="12.75" customHeight="1" thickBot="1">
      <c r="AI472" s="364"/>
      <c r="AJ472" s="915" t="str">
        <f>AJ353</f>
        <v>Seco S215 Muffled</v>
      </c>
      <c r="AK472" s="915"/>
      <c r="AL472" s="915"/>
      <c r="AM472" s="915"/>
      <c r="AN472" s="915"/>
      <c r="AO472" s="915"/>
      <c r="AP472" s="364"/>
      <c r="AQ472" s="364"/>
      <c r="AR472" s="364"/>
      <c r="AS472" s="367"/>
      <c r="AT472"/>
      <c r="AU472"/>
      <c r="AV472"/>
      <c r="AW472"/>
      <c r="AX472"/>
      <c r="AY472"/>
      <c r="AZ472"/>
      <c r="BA472"/>
      <c r="BB472"/>
      <c r="BC472"/>
      <c r="BD472"/>
      <c r="BE472"/>
      <c r="BF472"/>
      <c r="BG472"/>
      <c r="BH472"/>
      <c r="BI472"/>
      <c r="BJ472"/>
      <c r="BK472"/>
      <c r="BL472"/>
      <c r="BM472"/>
    </row>
    <row r="473" spans="35:65" ht="12.75" customHeight="1" thickBot="1">
      <c r="AI473" s="364"/>
      <c r="AJ473" s="906" t="s">
        <v>205</v>
      </c>
      <c r="AK473" s="907"/>
      <c r="AL473" s="907"/>
      <c r="AM473" s="907"/>
      <c r="AN473" s="907"/>
      <c r="AO473" s="908"/>
      <c r="AP473" s="364"/>
      <c r="AQ473" s="364"/>
      <c r="AR473" s="364"/>
      <c r="AS473" s="367"/>
      <c r="AT473"/>
      <c r="AU473"/>
      <c r="AV473"/>
      <c r="AW473"/>
      <c r="AX473"/>
      <c r="AY473"/>
      <c r="AZ473"/>
      <c r="BA473"/>
      <c r="BB473"/>
      <c r="BC473"/>
      <c r="BD473"/>
      <c r="BE473"/>
      <c r="BF473"/>
      <c r="BG473"/>
      <c r="BH473"/>
      <c r="BI473"/>
      <c r="BJ473"/>
      <c r="BK473"/>
      <c r="BL473"/>
      <c r="BM473"/>
    </row>
    <row r="474" spans="35:65" ht="12.75" customHeight="1" thickBot="1">
      <c r="AI474" s="364"/>
      <c r="AJ474" s="686" t="s">
        <v>59</v>
      </c>
      <c r="AK474" s="577"/>
      <c r="AL474" s="687"/>
      <c r="AM474" s="687"/>
      <c r="AN474" s="687"/>
      <c r="AO474" s="688"/>
      <c r="AP474" s="364"/>
      <c r="AQ474" s="364"/>
      <c r="AR474" s="364"/>
      <c r="AS474" s="367"/>
      <c r="AT474"/>
      <c r="AU474"/>
      <c r="AV474"/>
      <c r="AW474"/>
      <c r="AX474"/>
      <c r="AY474"/>
      <c r="AZ474"/>
      <c r="BA474"/>
      <c r="BB474"/>
      <c r="BC474"/>
      <c r="BD474"/>
      <c r="BE474"/>
      <c r="BF474"/>
      <c r="BG474"/>
      <c r="BH474"/>
      <c r="BI474"/>
      <c r="BJ474"/>
      <c r="BK474"/>
      <c r="BL474"/>
      <c r="BM474"/>
    </row>
    <row r="475" spans="35:65" ht="12.75" customHeight="1">
      <c r="AI475" s="364"/>
      <c r="AJ475" s="895" t="s">
        <v>845</v>
      </c>
      <c r="AK475" s="896"/>
      <c r="AL475" s="900" t="s">
        <v>835</v>
      </c>
      <c r="AM475" s="900" t="s">
        <v>836</v>
      </c>
      <c r="AN475" s="900" t="s">
        <v>837</v>
      </c>
      <c r="AO475" s="902" t="s">
        <v>838</v>
      </c>
      <c r="AP475" s="364"/>
      <c r="AQ475" s="364"/>
      <c r="AR475" s="364"/>
      <c r="AS475" s="367"/>
      <c r="AT475"/>
      <c r="AU475"/>
      <c r="AV475"/>
      <c r="AW475"/>
      <c r="AX475"/>
      <c r="AY475"/>
      <c r="AZ475"/>
      <c r="BA475"/>
      <c r="BB475"/>
      <c r="BC475"/>
      <c r="BD475"/>
      <c r="BE475"/>
      <c r="BF475"/>
      <c r="BG475"/>
      <c r="BH475"/>
      <c r="BI475"/>
      <c r="BJ475"/>
      <c r="BK475"/>
      <c r="BL475"/>
      <c r="BM475"/>
    </row>
    <row r="476" spans="35:65" ht="12.75" customHeight="1">
      <c r="AI476" s="364"/>
      <c r="AJ476" s="892"/>
      <c r="AK476" s="897"/>
      <c r="AL476" s="904"/>
      <c r="AM476" s="904"/>
      <c r="AN476" s="904"/>
      <c r="AO476" s="905"/>
      <c r="AP476" s="364"/>
      <c r="AQ476" s="364"/>
      <c r="AR476" s="364"/>
      <c r="AS476" s="367"/>
      <c r="AT476"/>
      <c r="AU476"/>
      <c r="AV476"/>
      <c r="AW476"/>
      <c r="AX476"/>
      <c r="AY476"/>
      <c r="AZ476"/>
      <c r="BA476"/>
      <c r="BB476"/>
      <c r="BC476"/>
      <c r="BD476"/>
      <c r="BE476"/>
      <c r="BF476"/>
      <c r="BG476"/>
      <c r="BH476"/>
      <c r="BI476"/>
      <c r="BJ476"/>
      <c r="BK476"/>
      <c r="BL476"/>
      <c r="BM476"/>
    </row>
    <row r="477" spans="35:65" ht="12.75" customHeight="1">
      <c r="AI477" s="364"/>
      <c r="AJ477" s="892"/>
      <c r="AK477" s="897"/>
      <c r="AL477" s="901"/>
      <c r="AM477" s="901"/>
      <c r="AN477" s="901"/>
      <c r="AO477" s="903"/>
      <c r="AP477" s="364"/>
      <c r="AQ477" s="364"/>
      <c r="AR477" s="364"/>
      <c r="AS477" s="367"/>
      <c r="AT477"/>
      <c r="AU477"/>
      <c r="AV477"/>
      <c r="AW477"/>
      <c r="AX477"/>
      <c r="AY477"/>
      <c r="AZ477"/>
      <c r="BA477"/>
      <c r="BB477"/>
      <c r="BC477"/>
      <c r="BD477"/>
      <c r="BE477"/>
      <c r="BF477"/>
      <c r="BG477"/>
      <c r="BH477"/>
      <c r="BI477"/>
      <c r="BJ477"/>
      <c r="BK477"/>
      <c r="BL477"/>
      <c r="BM477"/>
    </row>
    <row r="478" spans="35:65" ht="12.75" customHeight="1">
      <c r="AI478" s="364"/>
      <c r="AJ478" s="892"/>
      <c r="AK478" s="897"/>
      <c r="AL478" s="700">
        <f>AN81</f>
        <v>114.02059991327963</v>
      </c>
      <c r="AM478" s="560">
        <f>AN67</f>
        <v>1.9999999999999996</v>
      </c>
      <c r="AN478" s="690">
        <f>IF(AL478&gt;0,AO478*AM478," ")</f>
        <v>19999.999999999996</v>
      </c>
      <c r="AO478" s="691">
        <f>IF(AL478&gt;0,(VLOOKUP(AL478,'Lookup Ready-reckoner'!$B$5:$E$1207,4))," ")</f>
        <v>10000</v>
      </c>
      <c r="AP478" s="364"/>
      <c r="AQ478" s="364"/>
      <c r="AR478" s="364"/>
      <c r="AS478" s="367"/>
      <c r="AT478"/>
      <c r="AU478"/>
      <c r="AV478"/>
      <c r="AW478"/>
      <c r="AX478"/>
      <c r="AY478"/>
      <c r="AZ478"/>
      <c r="BA478"/>
      <c r="BB478"/>
      <c r="BC478"/>
      <c r="BD478"/>
      <c r="BE478"/>
      <c r="BF478"/>
      <c r="BG478"/>
      <c r="BH478"/>
      <c r="BI478"/>
      <c r="BJ478"/>
      <c r="BK478"/>
      <c r="BL478"/>
      <c r="BM478"/>
    </row>
    <row r="479" spans="35:65" ht="12.75" customHeight="1">
      <c r="AI479" s="364"/>
      <c r="AJ479" s="898"/>
      <c r="AK479" s="899"/>
      <c r="AL479" s="447"/>
      <c r="AM479" s="560"/>
      <c r="AN479" s="690" t="str">
        <f>IF(AL479&gt;0,AO479*AM479," ")</f>
        <v xml:space="preserve"> </v>
      </c>
      <c r="AO479" s="691" t="str">
        <f>IF(AL479&gt;0,(VLOOKUP(AL479,'Lookup Ready-reckoner'!$B$5:$E$1007,4))," ")</f>
        <v xml:space="preserve"> </v>
      </c>
      <c r="AP479" s="364"/>
      <c r="AQ479" s="364"/>
      <c r="AR479" s="364"/>
      <c r="AS479" s="367"/>
      <c r="AT479"/>
      <c r="AU479"/>
      <c r="AV479"/>
      <c r="AW479"/>
      <c r="AX479"/>
      <c r="AY479"/>
      <c r="AZ479"/>
      <c r="BA479"/>
      <c r="BB479"/>
      <c r="BC479"/>
      <c r="BD479"/>
      <c r="BE479"/>
      <c r="BF479"/>
      <c r="BG479"/>
      <c r="BH479"/>
      <c r="BI479"/>
      <c r="BJ479"/>
      <c r="BK479"/>
      <c r="BL479"/>
      <c r="BM479"/>
    </row>
    <row r="480" spans="35:65" ht="12.75" customHeight="1" thickBot="1">
      <c r="AI480" s="364"/>
      <c r="AJ480" s="699" t="s">
        <v>839</v>
      </c>
      <c r="AK480" s="693"/>
      <c r="AL480" s="693"/>
      <c r="AM480" s="701">
        <f>IF(AL478&gt;0,(VLOOKUP(AN480,'Lookup Ready-reckoner'!$L$5:$M$1207,2))," ")</f>
        <v>107.95</v>
      </c>
      <c r="AN480" s="695">
        <f>IF(AM478&gt;0,(SUM(AN478:AN479))," ")</f>
        <v>19999.999999999996</v>
      </c>
      <c r="AO480" s="696"/>
      <c r="AP480" s="364"/>
      <c r="AQ480" s="364"/>
      <c r="AR480" s="364"/>
      <c r="AS480" s="367"/>
      <c r="AT480"/>
      <c r="AU480"/>
      <c r="AV480"/>
      <c r="AW480"/>
      <c r="AX480"/>
      <c r="AY480"/>
      <c r="AZ480"/>
      <c r="BA480"/>
      <c r="BB480"/>
      <c r="BC480"/>
      <c r="BD480"/>
      <c r="BE480"/>
      <c r="BF480"/>
      <c r="BG480"/>
      <c r="BH480"/>
      <c r="BI480"/>
      <c r="BJ480"/>
      <c r="BK480"/>
      <c r="BL480"/>
      <c r="BM480"/>
    </row>
    <row r="481" spans="35:65" ht="12.75" customHeight="1" thickBot="1">
      <c r="AI481" s="364"/>
      <c r="AJ481" s="892"/>
      <c r="AK481" s="893"/>
      <c r="AL481" s="893"/>
      <c r="AM481" s="893"/>
      <c r="AN481" s="893"/>
      <c r="AO481" s="894"/>
      <c r="AP481" s="364"/>
      <c r="AQ481" s="364"/>
      <c r="AR481" s="364"/>
      <c r="AS481" s="367"/>
      <c r="AT481"/>
      <c r="AU481"/>
      <c r="AV481"/>
      <c r="AW481"/>
      <c r="AX481"/>
      <c r="AY481"/>
      <c r="AZ481"/>
      <c r="BA481"/>
      <c r="BB481"/>
      <c r="BC481"/>
      <c r="BD481"/>
      <c r="BE481"/>
      <c r="BF481"/>
      <c r="BG481"/>
      <c r="BH481"/>
      <c r="BI481"/>
      <c r="BJ481"/>
      <c r="BK481"/>
      <c r="BL481"/>
      <c r="BM481"/>
    </row>
    <row r="482" spans="35:65" ht="12.75" customHeight="1">
      <c r="AI482" s="364"/>
      <c r="AJ482" s="895" t="s">
        <v>886</v>
      </c>
      <c r="AK482" s="896"/>
      <c r="AL482" s="900" t="s">
        <v>835</v>
      </c>
      <c r="AM482" s="900" t="s">
        <v>836</v>
      </c>
      <c r="AN482" s="900" t="s">
        <v>837</v>
      </c>
      <c r="AO482" s="902" t="s">
        <v>838</v>
      </c>
      <c r="AP482" s="364"/>
      <c r="AQ482" s="364"/>
      <c r="AR482" s="364"/>
      <c r="AS482" s="367"/>
      <c r="AT482"/>
      <c r="AU482"/>
      <c r="AV482"/>
      <c r="AW482"/>
      <c r="AX482"/>
      <c r="AY482"/>
      <c r="AZ482"/>
      <c r="BA482"/>
      <c r="BB482"/>
      <c r="BC482"/>
      <c r="BD482"/>
      <c r="BE482"/>
      <c r="BF482"/>
      <c r="BG482"/>
      <c r="BH482"/>
      <c r="BI482"/>
      <c r="BJ482"/>
      <c r="BK482"/>
      <c r="BL482"/>
      <c r="BM482"/>
    </row>
    <row r="483" spans="35:65" ht="12.75" customHeight="1">
      <c r="AI483" s="364"/>
      <c r="AJ483" s="892"/>
      <c r="AK483" s="897"/>
      <c r="AL483" s="901"/>
      <c r="AM483" s="901"/>
      <c r="AN483" s="901"/>
      <c r="AO483" s="903"/>
      <c r="AP483" s="364"/>
      <c r="AQ483" s="364"/>
      <c r="AR483" s="364"/>
      <c r="AS483" s="367"/>
      <c r="AT483"/>
      <c r="AU483"/>
      <c r="AV483"/>
      <c r="AW483"/>
      <c r="AX483"/>
      <c r="AY483"/>
      <c r="AZ483"/>
      <c r="BA483"/>
      <c r="BB483"/>
      <c r="BC483"/>
      <c r="BD483"/>
      <c r="BE483"/>
      <c r="BF483"/>
      <c r="BG483"/>
      <c r="BH483"/>
      <c r="BI483"/>
      <c r="BJ483"/>
      <c r="BK483"/>
      <c r="BL483"/>
      <c r="BM483"/>
    </row>
    <row r="484" spans="35:65" ht="12.75" customHeight="1">
      <c r="AI484" s="364"/>
      <c r="AJ484" s="892"/>
      <c r="AK484" s="897"/>
      <c r="AL484" s="700">
        <f>AL478*(1-0.0178*2)</f>
        <v>109.96146655636687</v>
      </c>
      <c r="AM484" s="560">
        <f>AM478</f>
        <v>1.9999999999999996</v>
      </c>
      <c r="AN484" s="690">
        <f>IF(AL484&gt;0,AO484*AM484," ")</f>
        <v>7919.9999999999982</v>
      </c>
      <c r="AO484" s="691">
        <f>IF(AL484&gt;0,(VLOOKUP(AL484,'Lookup Ready-reckoner'!$B$5:$E$1207,4))," ")</f>
        <v>3960</v>
      </c>
      <c r="AP484" s="364"/>
      <c r="AQ484" s="364"/>
      <c r="AR484" s="364"/>
      <c r="AS484" s="367"/>
      <c r="AT484"/>
      <c r="AU484"/>
      <c r="AV484"/>
      <c r="AW484"/>
      <c r="AX484"/>
      <c r="AY484"/>
      <c r="AZ484"/>
      <c r="BA484"/>
      <c r="BB484"/>
      <c r="BC484"/>
      <c r="BD484"/>
      <c r="BE484"/>
      <c r="BF484"/>
      <c r="BG484"/>
      <c r="BH484"/>
      <c r="BI484"/>
      <c r="BJ484"/>
      <c r="BK484"/>
      <c r="BL484"/>
      <c r="BM484"/>
    </row>
    <row r="485" spans="35:65" ht="12.75" customHeight="1">
      <c r="AI485" s="364"/>
      <c r="AJ485" s="898"/>
      <c r="AK485" s="899"/>
      <c r="AL485" s="447"/>
      <c r="AM485" s="560"/>
      <c r="AN485" s="690" t="str">
        <f>IF(AL485&gt;0,AO485*AM485," ")</f>
        <v xml:space="preserve"> </v>
      </c>
      <c r="AO485" s="691" t="str">
        <f>IF(AL485&gt;0,(VLOOKUP(AL485,'Lookup Ready-reckoner'!$B$5:$E$1007,4))," ")</f>
        <v xml:space="preserve"> </v>
      </c>
      <c r="AP485" s="364"/>
      <c r="AQ485" s="364"/>
      <c r="AR485" s="364"/>
      <c r="AS485" s="367"/>
      <c r="AT485"/>
      <c r="AU485"/>
      <c r="AV485"/>
      <c r="AW485"/>
      <c r="AX485"/>
      <c r="AY485"/>
      <c r="AZ485"/>
      <c r="BA485"/>
      <c r="BB485"/>
      <c r="BC485"/>
      <c r="BD485"/>
      <c r="BE485"/>
      <c r="BF485"/>
      <c r="BG485"/>
      <c r="BH485"/>
      <c r="BI485"/>
      <c r="BJ485"/>
      <c r="BK485"/>
      <c r="BL485"/>
      <c r="BM485"/>
    </row>
    <row r="486" spans="35:65" ht="12.75" customHeight="1" thickBot="1">
      <c r="AI486" s="364"/>
      <c r="AJ486" s="692" t="s">
        <v>839</v>
      </c>
      <c r="AK486" s="693"/>
      <c r="AL486" s="693"/>
      <c r="AM486" s="701">
        <f>IF(AL484&gt;0,(VLOOKUP(AN486,'Lookup Ready-reckoner'!$L$5:$M$1207,2))," ")</f>
        <v>103.9</v>
      </c>
      <c r="AN486" s="695">
        <f>IF(AM484&gt;0,(SUM(AN484:AN485))," ")</f>
        <v>7919.9999999999982</v>
      </c>
      <c r="AO486" s="696"/>
      <c r="AP486" s="364"/>
      <c r="AQ486" s="364"/>
      <c r="AR486" s="364"/>
      <c r="AS486" s="367"/>
      <c r="AT486"/>
      <c r="AU486"/>
      <c r="AV486"/>
      <c r="AW486"/>
      <c r="AX486"/>
      <c r="AY486"/>
      <c r="AZ486"/>
      <c r="BA486"/>
      <c r="BB486"/>
      <c r="BC486"/>
      <c r="BD486"/>
      <c r="BE486"/>
      <c r="BF486"/>
      <c r="BG486"/>
      <c r="BH486"/>
      <c r="BI486"/>
      <c r="BJ486"/>
      <c r="BK486"/>
      <c r="BL486"/>
      <c r="BM486"/>
    </row>
    <row r="487" spans="35:65" ht="12.75" customHeight="1">
      <c r="AI487" s="364"/>
      <c r="AJ487" s="697"/>
      <c r="AK487" s="687"/>
      <c r="AL487" s="687"/>
      <c r="AM487" s="372"/>
      <c r="AN487" s="374"/>
      <c r="AO487" s="688"/>
      <c r="AP487" s="364"/>
      <c r="AQ487" s="364"/>
      <c r="AR487" s="364"/>
      <c r="AS487" s="367"/>
      <c r="AT487"/>
      <c r="AU487"/>
      <c r="AV487"/>
      <c r="AW487"/>
      <c r="AX487"/>
      <c r="AY487"/>
      <c r="AZ487"/>
      <c r="BA487"/>
      <c r="BB487"/>
      <c r="BC487"/>
      <c r="BD487"/>
      <c r="BE487"/>
      <c r="BF487"/>
      <c r="BG487"/>
      <c r="BH487"/>
      <c r="BI487"/>
      <c r="BJ487"/>
      <c r="BK487"/>
      <c r="BL487"/>
      <c r="BM487"/>
    </row>
    <row r="488" spans="35:65" ht="12.75" customHeight="1" thickBot="1">
      <c r="AI488" s="364"/>
      <c r="AJ488" s="686" t="s">
        <v>60</v>
      </c>
      <c r="AK488" s="577"/>
      <c r="AL488" s="577"/>
      <c r="AM488" s="577"/>
      <c r="AN488" s="577"/>
      <c r="AO488" s="698"/>
      <c r="AP488" s="364"/>
      <c r="AQ488" s="364"/>
      <c r="AR488" s="364"/>
      <c r="AS488" s="367"/>
      <c r="AT488"/>
      <c r="AU488"/>
      <c r="AV488"/>
      <c r="AW488"/>
      <c r="AX488"/>
      <c r="AY488"/>
      <c r="AZ488"/>
      <c r="BA488"/>
      <c r="BB488"/>
      <c r="BC488"/>
      <c r="BD488"/>
      <c r="BE488"/>
      <c r="BF488"/>
      <c r="BG488"/>
      <c r="BH488"/>
      <c r="BI488"/>
      <c r="BJ488"/>
      <c r="BK488"/>
      <c r="BL488"/>
      <c r="BM488"/>
    </row>
    <row r="489" spans="35:65" ht="12.75" customHeight="1">
      <c r="AI489" s="364"/>
      <c r="AJ489" s="895" t="s">
        <v>845</v>
      </c>
      <c r="AK489" s="896"/>
      <c r="AL489" s="900" t="s">
        <v>835</v>
      </c>
      <c r="AM489" s="900" t="s">
        <v>836</v>
      </c>
      <c r="AN489" s="900" t="s">
        <v>837</v>
      </c>
      <c r="AO489" s="902" t="s">
        <v>838</v>
      </c>
      <c r="AP489" s="364"/>
      <c r="AQ489" s="364"/>
      <c r="AR489" s="364"/>
      <c r="AS489" s="367"/>
      <c r="AT489"/>
      <c r="AU489"/>
      <c r="AV489"/>
      <c r="AW489"/>
      <c r="AX489"/>
      <c r="AY489"/>
      <c r="AZ489"/>
      <c r="BA489"/>
      <c r="BB489"/>
      <c r="BC489"/>
      <c r="BD489"/>
      <c r="BE489"/>
      <c r="BF489"/>
      <c r="BG489"/>
      <c r="BH489"/>
      <c r="BI489"/>
      <c r="BJ489"/>
      <c r="BK489"/>
      <c r="BL489"/>
      <c r="BM489"/>
    </row>
    <row r="490" spans="35:65" ht="12.75" customHeight="1">
      <c r="AI490" s="364"/>
      <c r="AJ490" s="892"/>
      <c r="AK490" s="897"/>
      <c r="AL490" s="901"/>
      <c r="AM490" s="901"/>
      <c r="AN490" s="901"/>
      <c r="AO490" s="903"/>
      <c r="AP490" s="364"/>
      <c r="AQ490" s="364"/>
      <c r="AR490" s="364"/>
      <c r="AS490" s="367"/>
      <c r="AT490"/>
      <c r="AU490"/>
      <c r="AV490"/>
      <c r="AW490"/>
      <c r="AX490"/>
      <c r="AY490"/>
      <c r="AZ490"/>
      <c r="BA490"/>
      <c r="BB490"/>
      <c r="BC490"/>
      <c r="BD490"/>
      <c r="BE490"/>
      <c r="BF490"/>
      <c r="BG490"/>
      <c r="BH490"/>
      <c r="BI490"/>
      <c r="BJ490"/>
      <c r="BK490"/>
      <c r="BL490"/>
      <c r="BM490"/>
    </row>
    <row r="491" spans="35:65" ht="12.75" customHeight="1">
      <c r="AI491" s="364"/>
      <c r="AJ491" s="892"/>
      <c r="AK491" s="897"/>
      <c r="AL491" s="700">
        <f>AL478-PPE!$I$15</f>
        <v>101.02059991327963</v>
      </c>
      <c r="AM491" s="560">
        <f>AM484</f>
        <v>1.9999999999999996</v>
      </c>
      <c r="AN491" s="690">
        <f>IF(AL491&gt;0,AO491*AM491," ")</f>
        <v>999.99999999999977</v>
      </c>
      <c r="AO491" s="691">
        <f>IF(AL491&gt;0,(VLOOKUP(AL491,'Lookup Ready-reckoner'!$B$5:$E$1207,4))," ")</f>
        <v>500</v>
      </c>
      <c r="AP491" s="364"/>
      <c r="AQ491" s="364"/>
      <c r="AR491" s="364"/>
      <c r="AS491" s="367"/>
      <c r="AT491"/>
      <c r="AU491"/>
      <c r="AV491"/>
      <c r="AW491"/>
      <c r="AX491"/>
      <c r="AY491"/>
      <c r="AZ491"/>
      <c r="BA491"/>
      <c r="BB491"/>
      <c r="BC491"/>
      <c r="BD491"/>
      <c r="BE491"/>
      <c r="BF491"/>
      <c r="BG491"/>
      <c r="BH491"/>
      <c r="BI491"/>
      <c r="BJ491"/>
      <c r="BK491"/>
      <c r="BL491"/>
      <c r="BM491"/>
    </row>
    <row r="492" spans="35:65" ht="12.75" customHeight="1">
      <c r="AI492" s="364"/>
      <c r="AJ492" s="898"/>
      <c r="AK492" s="899"/>
      <c r="AL492" s="447"/>
      <c r="AM492" s="560"/>
      <c r="AN492" s="690" t="str">
        <f>IF(AL492&gt;0,AO492*AM492," ")</f>
        <v xml:space="preserve"> </v>
      </c>
      <c r="AO492" s="691" t="str">
        <f>IF(AL492&gt;0,(VLOOKUP(AL492,'Lookup Ready-reckoner'!$B$5:$E$1007,4))," ")</f>
        <v xml:space="preserve"> </v>
      </c>
      <c r="AP492" s="364"/>
      <c r="AQ492" s="364"/>
      <c r="AR492" s="364"/>
      <c r="AS492" s="367"/>
      <c r="AT492"/>
      <c r="AU492"/>
      <c r="AV492"/>
      <c r="AW492"/>
      <c r="AX492"/>
      <c r="AY492"/>
      <c r="AZ492"/>
      <c r="BA492"/>
      <c r="BB492"/>
      <c r="BC492"/>
      <c r="BD492"/>
      <c r="BE492"/>
      <c r="BF492"/>
      <c r="BG492"/>
      <c r="BH492"/>
      <c r="BI492"/>
      <c r="BJ492"/>
      <c r="BK492"/>
      <c r="BL492"/>
      <c r="BM492"/>
    </row>
    <row r="493" spans="35:65" ht="12.75" customHeight="1" thickBot="1">
      <c r="AI493" s="364"/>
      <c r="AJ493" s="692" t="s">
        <v>839</v>
      </c>
      <c r="AK493" s="693"/>
      <c r="AL493" s="693"/>
      <c r="AM493" s="701">
        <f>IF(AL491&gt;0,(VLOOKUP(AN493,'Lookup Ready-reckoner'!$L$5:$M$1207,2))," ")</f>
        <v>94.95</v>
      </c>
      <c r="AN493" s="695">
        <f>IF(AM491&gt;0,(SUM(AN491:AN492))," ")</f>
        <v>999.99999999999977</v>
      </c>
      <c r="AO493" s="696"/>
      <c r="AP493" s="364"/>
      <c r="AQ493" s="364"/>
      <c r="AR493" s="364"/>
      <c r="AS493" s="367"/>
      <c r="AT493"/>
      <c r="AU493"/>
      <c r="AV493"/>
      <c r="AW493"/>
      <c r="AX493"/>
      <c r="AY493"/>
      <c r="AZ493"/>
      <c r="BA493"/>
      <c r="BB493"/>
      <c r="BC493"/>
      <c r="BD493"/>
      <c r="BE493"/>
      <c r="BF493"/>
      <c r="BG493"/>
      <c r="BH493"/>
      <c r="BI493"/>
      <c r="BJ493"/>
      <c r="BK493"/>
      <c r="BL493"/>
      <c r="BM493"/>
    </row>
    <row r="494" spans="35:65" ht="12.75" customHeight="1" thickBot="1">
      <c r="AI494" s="364"/>
      <c r="AJ494" s="892"/>
      <c r="AK494" s="893"/>
      <c r="AL494" s="893"/>
      <c r="AM494" s="893"/>
      <c r="AN494" s="893"/>
      <c r="AO494" s="894"/>
      <c r="AP494" s="364"/>
      <c r="AQ494" s="364"/>
      <c r="AR494" s="364"/>
      <c r="AS494" s="367"/>
      <c r="AT494"/>
      <c r="AU494"/>
      <c r="AV494"/>
      <c r="AW494"/>
      <c r="AX494"/>
      <c r="AY494"/>
      <c r="AZ494"/>
      <c r="BA494"/>
      <c r="BB494"/>
      <c r="BC494"/>
      <c r="BD494"/>
      <c r="BE494"/>
      <c r="BF494"/>
      <c r="BG494"/>
      <c r="BH494"/>
      <c r="BI494"/>
      <c r="BJ494"/>
      <c r="BK494"/>
      <c r="BL494"/>
      <c r="BM494"/>
    </row>
    <row r="495" spans="35:65" ht="12.75" customHeight="1">
      <c r="AI495" s="364"/>
      <c r="AJ495" s="895" t="s">
        <v>886</v>
      </c>
      <c r="AK495" s="896"/>
      <c r="AL495" s="900" t="s">
        <v>835</v>
      </c>
      <c r="AM495" s="900" t="s">
        <v>836</v>
      </c>
      <c r="AN495" s="900" t="s">
        <v>837</v>
      </c>
      <c r="AO495" s="902" t="s">
        <v>838</v>
      </c>
      <c r="AP495" s="364"/>
      <c r="AQ495" s="364"/>
      <c r="AR495" s="364"/>
      <c r="AS495" s="367"/>
      <c r="AT495"/>
      <c r="AU495"/>
      <c r="AV495"/>
      <c r="AW495"/>
      <c r="AX495"/>
      <c r="AY495"/>
      <c r="AZ495"/>
      <c r="BA495"/>
      <c r="BB495"/>
      <c r="BC495"/>
      <c r="BD495"/>
      <c r="BE495"/>
      <c r="BF495"/>
      <c r="BG495"/>
      <c r="BH495"/>
      <c r="BI495"/>
      <c r="BJ495"/>
      <c r="BK495"/>
      <c r="BL495"/>
      <c r="BM495"/>
    </row>
    <row r="496" spans="35:65" ht="12.75" customHeight="1">
      <c r="AI496" s="364"/>
      <c r="AJ496" s="892"/>
      <c r="AK496" s="897"/>
      <c r="AL496" s="901"/>
      <c r="AM496" s="901"/>
      <c r="AN496" s="901"/>
      <c r="AO496" s="903"/>
      <c r="AP496" s="364"/>
      <c r="AQ496" s="364"/>
      <c r="AR496" s="364"/>
      <c r="AS496" s="367"/>
      <c r="AT496"/>
      <c r="AU496"/>
      <c r="AV496"/>
      <c r="AW496"/>
      <c r="AX496"/>
      <c r="AY496"/>
      <c r="AZ496"/>
      <c r="BA496"/>
      <c r="BB496"/>
      <c r="BC496"/>
      <c r="BD496"/>
      <c r="BE496"/>
      <c r="BF496"/>
      <c r="BG496"/>
      <c r="BH496"/>
      <c r="BI496"/>
      <c r="BJ496"/>
      <c r="BK496"/>
      <c r="BL496"/>
      <c r="BM496"/>
    </row>
    <row r="497" spans="35:65" ht="12.75" customHeight="1">
      <c r="AI497" s="364"/>
      <c r="AJ497" s="892"/>
      <c r="AK497" s="897"/>
      <c r="AL497" s="700">
        <f>AL484-PPE!$I$15</f>
        <v>96.961466556366872</v>
      </c>
      <c r="AM497" s="560">
        <f>AM491</f>
        <v>1.9999999999999996</v>
      </c>
      <c r="AN497" s="690">
        <f>IF(AL497&gt;0,AO497*AM497," ")</f>
        <v>395.62499999999989</v>
      </c>
      <c r="AO497" s="691">
        <f>IF(AL497&gt;0,(VLOOKUP(AL497,'Lookup Ready-reckoner'!$B$5:$E$1207,4))," ")</f>
        <v>197.8125</v>
      </c>
      <c r="AP497" s="364"/>
      <c r="AQ497" s="364"/>
      <c r="AR497" s="364"/>
      <c r="AS497" s="367"/>
      <c r="AT497"/>
      <c r="AU497"/>
      <c r="AV497"/>
      <c r="AW497"/>
      <c r="AX497"/>
      <c r="AY497"/>
      <c r="AZ497"/>
      <c r="BA497"/>
      <c r="BB497"/>
      <c r="BC497"/>
      <c r="BD497"/>
      <c r="BE497"/>
      <c r="BF497"/>
      <c r="BG497"/>
      <c r="BH497"/>
      <c r="BI497"/>
      <c r="BJ497"/>
      <c r="BK497"/>
      <c r="BL497"/>
      <c r="BM497"/>
    </row>
    <row r="498" spans="35:65" ht="12.75" customHeight="1">
      <c r="AI498" s="364"/>
      <c r="AJ498" s="898"/>
      <c r="AK498" s="899"/>
      <c r="AL498" s="447"/>
      <c r="AM498" s="560"/>
      <c r="AN498" s="690" t="str">
        <f>IF(AL498&gt;0,AO498*AM498," ")</f>
        <v xml:space="preserve"> </v>
      </c>
      <c r="AO498" s="691" t="str">
        <f>IF(AL498&gt;0,(VLOOKUP(AL498,'Lookup Ready-reckoner'!$B$5:$E$1007,4))," ")</f>
        <v xml:space="preserve"> </v>
      </c>
      <c r="AP498" s="364"/>
      <c r="AQ498" s="364"/>
      <c r="AR498" s="364"/>
      <c r="AS498" s="367"/>
      <c r="AT498"/>
      <c r="AU498"/>
      <c r="AV498"/>
      <c r="AW498"/>
      <c r="AX498"/>
      <c r="AY498"/>
      <c r="AZ498"/>
      <c r="BA498"/>
      <c r="BB498"/>
      <c r="BC498"/>
      <c r="BD498"/>
      <c r="BE498"/>
      <c r="BF498"/>
      <c r="BG498"/>
      <c r="BH498"/>
      <c r="BI498"/>
      <c r="BJ498"/>
      <c r="BK498"/>
      <c r="BL498"/>
      <c r="BM498"/>
    </row>
    <row r="499" spans="35:65" ht="12.75" customHeight="1" thickBot="1">
      <c r="AI499" s="364"/>
      <c r="AJ499" s="692" t="s">
        <v>839</v>
      </c>
      <c r="AK499" s="693"/>
      <c r="AL499" s="693"/>
      <c r="AM499" s="701">
        <f>IF(AL497&gt;0,(VLOOKUP(AN499,'Lookup Ready-reckoner'!$L$5:$M$1207,2))," ")</f>
        <v>90.9</v>
      </c>
      <c r="AN499" s="695">
        <f>IF(AM497&gt;0,(SUM(AN497:AN498))," ")</f>
        <v>395.62499999999989</v>
      </c>
      <c r="AO499" s="696"/>
      <c r="AP499" s="364"/>
      <c r="AQ499" s="364"/>
      <c r="AR499" s="364"/>
      <c r="AS499" s="367"/>
      <c r="AT499"/>
      <c r="AU499"/>
      <c r="AV499"/>
      <c r="AW499"/>
      <c r="AX499"/>
      <c r="AY499"/>
      <c r="AZ499"/>
      <c r="BA499"/>
      <c r="BB499"/>
      <c r="BC499"/>
      <c r="BD499"/>
      <c r="BE499"/>
      <c r="BF499"/>
      <c r="BG499"/>
      <c r="BH499"/>
      <c r="BI499"/>
      <c r="BJ499"/>
      <c r="BK499"/>
      <c r="BL499"/>
      <c r="BM499"/>
    </row>
    <row r="500" spans="35:65" ht="12.75" customHeight="1">
      <c r="AI500" s="364"/>
      <c r="AJ500" s="363"/>
      <c r="AK500" s="363"/>
      <c r="AL500" s="363"/>
      <c r="AM500" s="363"/>
      <c r="AN500" s="363"/>
      <c r="AO500" s="363"/>
      <c r="AP500" s="364"/>
      <c r="AQ500" s="364"/>
      <c r="AR500" s="364"/>
      <c r="AS500" s="367"/>
      <c r="AT500"/>
      <c r="AU500"/>
      <c r="AV500"/>
      <c r="AW500"/>
      <c r="AX500"/>
      <c r="AY500"/>
      <c r="AZ500"/>
      <c r="BA500"/>
      <c r="BB500"/>
      <c r="BC500"/>
      <c r="BD500"/>
      <c r="BE500"/>
      <c r="BF500"/>
      <c r="BG500"/>
      <c r="BH500"/>
      <c r="BI500"/>
      <c r="BJ500"/>
      <c r="BK500"/>
      <c r="BL500"/>
      <c r="BM500"/>
    </row>
    <row r="501" spans="35:65" ht="12.75" customHeight="1">
      <c r="AI501" s="364"/>
      <c r="AJ501" s="913" t="str">
        <f>AJ382</f>
        <v>Sulzer ADDS</v>
      </c>
      <c r="AK501" s="914"/>
      <c r="AL501" s="914"/>
      <c r="AM501" s="914"/>
      <c r="AN501" s="914"/>
      <c r="AO501" s="914"/>
      <c r="AP501" s="364"/>
      <c r="AQ501" s="364"/>
      <c r="AR501" s="364"/>
      <c r="AS501" s="367"/>
      <c r="AT501"/>
      <c r="AU501"/>
      <c r="AV501"/>
      <c r="AW501"/>
      <c r="AX501"/>
      <c r="AY501"/>
      <c r="AZ501"/>
      <c r="BA501"/>
      <c r="BB501"/>
      <c r="BC501"/>
      <c r="BD501"/>
      <c r="BE501"/>
      <c r="BF501"/>
      <c r="BG501"/>
      <c r="BH501"/>
      <c r="BI501"/>
      <c r="BJ501"/>
      <c r="BK501"/>
      <c r="BL501"/>
      <c r="BM501"/>
    </row>
    <row r="502" spans="35:65" ht="12.75" customHeight="1" thickBot="1">
      <c r="AI502" s="364"/>
      <c r="AJ502" s="910" t="s">
        <v>205</v>
      </c>
      <c r="AK502" s="911"/>
      <c r="AL502" s="911"/>
      <c r="AM502" s="911"/>
      <c r="AN502" s="911"/>
      <c r="AO502" s="912"/>
      <c r="AP502" s="364"/>
      <c r="AQ502" s="364"/>
      <c r="AR502" s="364"/>
      <c r="AS502" s="367"/>
      <c r="AT502"/>
      <c r="AU502"/>
      <c r="AV502"/>
      <c r="AW502"/>
      <c r="AX502"/>
      <c r="AY502"/>
      <c r="AZ502"/>
      <c r="BA502"/>
      <c r="BB502"/>
      <c r="BC502"/>
      <c r="BD502"/>
      <c r="BE502"/>
      <c r="BF502"/>
      <c r="BG502"/>
      <c r="BH502"/>
      <c r="BI502"/>
      <c r="BJ502"/>
      <c r="BK502"/>
      <c r="BL502"/>
      <c r="BM502"/>
    </row>
    <row r="503" spans="35:65" ht="12.75" customHeight="1" thickBot="1">
      <c r="AI503" s="364"/>
      <c r="AJ503" s="686" t="s">
        <v>59</v>
      </c>
      <c r="AK503" s="577"/>
      <c r="AL503" s="687"/>
      <c r="AM503" s="687"/>
      <c r="AN503" s="687"/>
      <c r="AO503" s="688"/>
      <c r="AP503" s="364"/>
      <c r="AQ503" s="364"/>
      <c r="AR503" s="364"/>
      <c r="AS503" s="367"/>
      <c r="AT503"/>
      <c r="AU503"/>
      <c r="AV503"/>
      <c r="AW503"/>
      <c r="AX503"/>
      <c r="AY503"/>
      <c r="AZ503"/>
      <c r="BA503"/>
      <c r="BB503"/>
      <c r="BC503"/>
      <c r="BD503"/>
      <c r="BE503"/>
      <c r="BF503"/>
      <c r="BG503"/>
      <c r="BH503"/>
      <c r="BI503"/>
      <c r="BJ503"/>
      <c r="BK503"/>
      <c r="BL503"/>
      <c r="BM503"/>
    </row>
    <row r="504" spans="35:65" ht="12.75" customHeight="1">
      <c r="AI504" s="364"/>
      <c r="AJ504" s="895" t="s">
        <v>845</v>
      </c>
      <c r="AK504" s="896"/>
      <c r="AL504" s="900" t="s">
        <v>835</v>
      </c>
      <c r="AM504" s="900" t="s">
        <v>836</v>
      </c>
      <c r="AN504" s="900" t="s">
        <v>837</v>
      </c>
      <c r="AO504" s="902" t="s">
        <v>838</v>
      </c>
      <c r="AP504" s="364"/>
      <c r="AQ504" s="364"/>
      <c r="AR504" s="364"/>
      <c r="AS504" s="367"/>
      <c r="AT504"/>
      <c r="AU504"/>
      <c r="AV504"/>
      <c r="AW504"/>
      <c r="AX504"/>
      <c r="AY504"/>
      <c r="AZ504"/>
      <c r="BA504"/>
      <c r="BB504"/>
      <c r="BC504"/>
      <c r="BD504"/>
      <c r="BE504"/>
      <c r="BF504"/>
      <c r="BG504"/>
      <c r="BH504"/>
      <c r="BI504"/>
      <c r="BJ504"/>
      <c r="BK504"/>
      <c r="BL504"/>
      <c r="BM504"/>
    </row>
    <row r="505" spans="35:65" ht="12.75" customHeight="1">
      <c r="AI505" s="364"/>
      <c r="AJ505" s="892"/>
      <c r="AK505" s="897"/>
      <c r="AL505" s="904"/>
      <c r="AM505" s="904"/>
      <c r="AN505" s="904"/>
      <c r="AO505" s="905"/>
      <c r="AP505" s="364"/>
      <c r="AQ505" s="364"/>
      <c r="AR505" s="364"/>
      <c r="AS505" s="367"/>
      <c r="AT505"/>
      <c r="AU505"/>
      <c r="AV505"/>
      <c r="AW505"/>
      <c r="AX505"/>
      <c r="AY505"/>
      <c r="AZ505"/>
      <c r="BA505"/>
      <c r="BB505"/>
      <c r="BC505"/>
      <c r="BD505"/>
      <c r="BE505"/>
      <c r="BF505"/>
      <c r="BG505"/>
      <c r="BH505"/>
      <c r="BI505"/>
      <c r="BJ505"/>
      <c r="BK505"/>
      <c r="BL505"/>
      <c r="BM505"/>
    </row>
    <row r="506" spans="35:65" ht="12.75" customHeight="1">
      <c r="AI506" s="364"/>
      <c r="AJ506" s="892"/>
      <c r="AK506" s="897"/>
      <c r="AL506" s="901"/>
      <c r="AM506" s="901"/>
      <c r="AN506" s="901"/>
      <c r="AO506" s="903"/>
      <c r="AP506" s="364"/>
      <c r="AQ506" s="364"/>
      <c r="AR506" s="364"/>
      <c r="AS506" s="367"/>
      <c r="AT506"/>
      <c r="AU506"/>
      <c r="AV506"/>
      <c r="AW506"/>
      <c r="AX506"/>
      <c r="AY506"/>
      <c r="AZ506"/>
      <c r="BA506"/>
      <c r="BB506"/>
      <c r="BC506"/>
      <c r="BD506"/>
      <c r="BE506"/>
      <c r="BF506"/>
      <c r="BG506"/>
      <c r="BH506"/>
      <c r="BI506"/>
      <c r="BJ506"/>
      <c r="BK506"/>
      <c r="BL506"/>
      <c r="BM506"/>
    </row>
    <row r="507" spans="35:65" ht="12.75" customHeight="1">
      <c r="AI507" s="364"/>
      <c r="AJ507" s="892"/>
      <c r="AK507" s="897"/>
      <c r="AL507" s="702">
        <f>AO81</f>
        <v>115.02059991327963</v>
      </c>
      <c r="AM507" s="560">
        <f>AO67</f>
        <v>1.7391304347826084</v>
      </c>
      <c r="AN507" s="690">
        <f>IF(AL507&gt;0,AO507*AM507," ")</f>
        <v>22260.869565217388</v>
      </c>
      <c r="AO507" s="691">
        <f>IF(AL507&gt;0,(VLOOKUP(AL507,'Lookup Ready-reckoner'!$B$5:$E$1207,4))," ")</f>
        <v>12800</v>
      </c>
      <c r="AP507" s="364"/>
      <c r="AQ507" s="364"/>
      <c r="AR507" s="364"/>
      <c r="AS507" s="367"/>
      <c r="AT507"/>
      <c r="AU507"/>
      <c r="AV507"/>
      <c r="AW507"/>
      <c r="AX507"/>
      <c r="AY507"/>
      <c r="AZ507"/>
      <c r="BA507"/>
      <c r="BB507"/>
      <c r="BC507"/>
      <c r="BD507"/>
      <c r="BE507"/>
      <c r="BF507"/>
      <c r="BG507"/>
      <c r="BH507"/>
      <c r="BI507"/>
      <c r="BJ507"/>
      <c r="BK507"/>
      <c r="BL507"/>
      <c r="BM507"/>
    </row>
    <row r="508" spans="35:65" ht="12.75" customHeight="1">
      <c r="AI508" s="364"/>
      <c r="AJ508" s="898"/>
      <c r="AK508" s="899"/>
      <c r="AL508" s="447"/>
      <c r="AM508" s="560"/>
      <c r="AN508" s="690" t="str">
        <f>IF(AL508&gt;0,AO508*AM508," ")</f>
        <v xml:space="preserve"> </v>
      </c>
      <c r="AO508" s="691" t="str">
        <f>IF(AL508&gt;0,(VLOOKUP(AL508,'Lookup Ready-reckoner'!$B$5:$E$1007,4))," ")</f>
        <v xml:space="preserve"> </v>
      </c>
      <c r="AP508" s="364"/>
      <c r="AQ508" s="364"/>
      <c r="AR508" s="364"/>
      <c r="AS508" s="367"/>
      <c r="AT508"/>
      <c r="AU508"/>
      <c r="AV508"/>
      <c r="AW508"/>
      <c r="AX508"/>
      <c r="AY508"/>
      <c r="AZ508"/>
      <c r="BA508"/>
      <c r="BB508"/>
      <c r="BC508"/>
      <c r="BD508"/>
      <c r="BE508"/>
      <c r="BF508"/>
      <c r="BG508"/>
      <c r="BH508"/>
      <c r="BI508"/>
      <c r="BJ508"/>
      <c r="BK508"/>
      <c r="BL508"/>
      <c r="BM508"/>
    </row>
    <row r="509" spans="35:65" ht="12.75" customHeight="1" thickBot="1">
      <c r="AI509" s="364"/>
      <c r="AJ509" s="692" t="s">
        <v>839</v>
      </c>
      <c r="AK509" s="693"/>
      <c r="AL509" s="693"/>
      <c r="AM509" s="703">
        <f>IF(AL507&gt;0,(VLOOKUP(AN509,'Lookup Ready-reckoner'!$L$5:$M$1207,2))," ")</f>
        <v>108.4</v>
      </c>
      <c r="AN509" s="695">
        <f>IF(AM507&gt;0,(SUM(AN507:AN508))," ")</f>
        <v>22260.869565217388</v>
      </c>
      <c r="AO509" s="696"/>
      <c r="AP509" s="364"/>
      <c r="AQ509" s="364"/>
      <c r="AR509" s="364"/>
      <c r="AS509" s="367"/>
      <c r="AT509"/>
      <c r="AU509"/>
      <c r="AV509"/>
      <c r="AW509"/>
      <c r="AX509"/>
      <c r="AY509"/>
      <c r="AZ509"/>
      <c r="BA509"/>
      <c r="BB509"/>
      <c r="BC509"/>
      <c r="BD509"/>
      <c r="BE509"/>
      <c r="BF509"/>
      <c r="BG509"/>
      <c r="BH509"/>
      <c r="BI509"/>
      <c r="BJ509"/>
      <c r="BK509"/>
      <c r="BL509"/>
      <c r="BM509"/>
    </row>
    <row r="510" spans="35:65" ht="12.75" customHeight="1" thickBot="1">
      <c r="AI510" s="364"/>
      <c r="AJ510" s="892"/>
      <c r="AK510" s="893"/>
      <c r="AL510" s="893"/>
      <c r="AM510" s="893"/>
      <c r="AN510" s="893"/>
      <c r="AO510" s="894"/>
      <c r="AP510" s="364"/>
      <c r="AQ510" s="364"/>
      <c r="AR510" s="364"/>
      <c r="AS510" s="367"/>
      <c r="AT510"/>
      <c r="AU510"/>
      <c r="AV510"/>
      <c r="AW510"/>
      <c r="AX510"/>
      <c r="AY510"/>
      <c r="AZ510"/>
      <c r="BA510"/>
      <c r="BB510"/>
      <c r="BC510"/>
      <c r="BD510"/>
      <c r="BE510"/>
      <c r="BF510"/>
      <c r="BG510"/>
      <c r="BH510"/>
      <c r="BI510"/>
      <c r="BJ510"/>
      <c r="BK510"/>
      <c r="BL510"/>
      <c r="BM510"/>
    </row>
    <row r="511" spans="35:65" ht="12.75" customHeight="1">
      <c r="AI511" s="364"/>
      <c r="AJ511" s="895" t="s">
        <v>886</v>
      </c>
      <c r="AK511" s="896"/>
      <c r="AL511" s="900" t="s">
        <v>835</v>
      </c>
      <c r="AM511" s="900" t="s">
        <v>836</v>
      </c>
      <c r="AN511" s="900" t="s">
        <v>837</v>
      </c>
      <c r="AO511" s="902" t="s">
        <v>838</v>
      </c>
      <c r="AP511" s="364"/>
      <c r="AQ511" s="364"/>
      <c r="AR511" s="364"/>
      <c r="AS511" s="367"/>
      <c r="AT511"/>
      <c r="AU511"/>
      <c r="AV511"/>
      <c r="AW511"/>
      <c r="AX511"/>
      <c r="AY511"/>
      <c r="AZ511"/>
      <c r="BA511"/>
      <c r="BB511"/>
      <c r="BC511"/>
      <c r="BD511"/>
      <c r="BE511"/>
      <c r="BF511"/>
      <c r="BG511"/>
      <c r="BH511"/>
      <c r="BI511"/>
      <c r="BJ511"/>
      <c r="BK511"/>
      <c r="BL511"/>
      <c r="BM511"/>
    </row>
    <row r="512" spans="35:65" ht="12.75" customHeight="1">
      <c r="AI512" s="364"/>
      <c r="AJ512" s="892"/>
      <c r="AK512" s="897"/>
      <c r="AL512" s="901"/>
      <c r="AM512" s="901"/>
      <c r="AN512" s="901"/>
      <c r="AO512" s="903"/>
      <c r="AP512" s="364"/>
      <c r="AQ512" s="364"/>
      <c r="AR512" s="364"/>
      <c r="AS512" s="367"/>
      <c r="AT512"/>
      <c r="AU512"/>
      <c r="AV512"/>
      <c r="AW512"/>
      <c r="AX512"/>
      <c r="AY512"/>
      <c r="AZ512"/>
      <c r="BA512"/>
      <c r="BB512"/>
      <c r="BC512"/>
      <c r="BD512"/>
      <c r="BE512"/>
      <c r="BF512"/>
      <c r="BG512"/>
      <c r="BH512"/>
      <c r="BI512"/>
      <c r="BJ512"/>
      <c r="BK512"/>
      <c r="BL512"/>
      <c r="BM512"/>
    </row>
    <row r="513" spans="35:65" ht="12.75" customHeight="1">
      <c r="AI513" s="364"/>
      <c r="AJ513" s="892"/>
      <c r="AK513" s="897"/>
      <c r="AL513" s="702">
        <f>AL507*(1-0.0178*2)</f>
        <v>110.92586655636687</v>
      </c>
      <c r="AM513" s="560">
        <f>AM507</f>
        <v>1.7391304347826084</v>
      </c>
      <c r="AN513" s="690">
        <f>IF(AL513&gt;0,AO513*AM513," ")</f>
        <v>8521.7391304347821</v>
      </c>
      <c r="AO513" s="691">
        <f>IF(AL513&gt;0,(VLOOKUP(AL513,'Lookup Ready-reckoner'!$B$5:$E$1207,4))," ")</f>
        <v>4900</v>
      </c>
      <c r="AP513" s="364"/>
      <c r="AQ513" s="364"/>
      <c r="AR513" s="364"/>
      <c r="AS513" s="367"/>
      <c r="AT513"/>
      <c r="AU513"/>
      <c r="AV513"/>
      <c r="AW513"/>
      <c r="AX513"/>
      <c r="AY513"/>
      <c r="AZ513"/>
      <c r="BA513"/>
      <c r="BB513"/>
      <c r="BC513"/>
      <c r="BD513"/>
      <c r="BE513"/>
      <c r="BF513"/>
      <c r="BG513"/>
      <c r="BH513"/>
      <c r="BI513"/>
      <c r="BJ513"/>
      <c r="BK513"/>
      <c r="BL513"/>
      <c r="BM513"/>
    </row>
    <row r="514" spans="35:65" ht="12.75" customHeight="1">
      <c r="AI514" s="364"/>
      <c r="AJ514" s="898"/>
      <c r="AK514" s="899"/>
      <c r="AL514" s="447"/>
      <c r="AM514" s="560"/>
      <c r="AN514" s="690" t="str">
        <f>IF(AL514&gt;0,AO514*AM514," ")</f>
        <v xml:space="preserve"> </v>
      </c>
      <c r="AO514" s="691" t="str">
        <f>IF(AL514&gt;0,(VLOOKUP(AL514,'Lookup Ready-reckoner'!$B$5:$E$1007,4))," ")</f>
        <v xml:space="preserve"> </v>
      </c>
      <c r="AP514" s="364"/>
      <c r="AQ514" s="364"/>
      <c r="AR514" s="364"/>
      <c r="AS514" s="367"/>
      <c r="AT514"/>
      <c r="AU514"/>
      <c r="AV514"/>
      <c r="AW514"/>
      <c r="AX514"/>
      <c r="AY514"/>
      <c r="AZ514"/>
      <c r="BA514"/>
      <c r="BB514"/>
      <c r="BC514"/>
      <c r="BD514"/>
      <c r="BE514"/>
      <c r="BF514"/>
      <c r="BG514"/>
      <c r="BH514"/>
      <c r="BI514"/>
      <c r="BJ514"/>
      <c r="BK514"/>
      <c r="BL514"/>
      <c r="BM514"/>
    </row>
    <row r="515" spans="35:65" ht="12.75" customHeight="1" thickBot="1">
      <c r="AI515" s="364"/>
      <c r="AJ515" s="692" t="s">
        <v>839</v>
      </c>
      <c r="AK515" s="693"/>
      <c r="AL515" s="693"/>
      <c r="AM515" s="703">
        <f>IF(AL513&gt;0,(VLOOKUP(AN515,'Lookup Ready-reckoner'!$L$5:$M$1207,2))," ")</f>
        <v>104.25</v>
      </c>
      <c r="AN515" s="695">
        <f>IF(AM513&gt;0,(SUM(AN513:AN514))," ")</f>
        <v>8521.7391304347821</v>
      </c>
      <c r="AO515" s="696"/>
      <c r="AP515" s="364"/>
      <c r="AQ515" s="364"/>
      <c r="AR515" s="364"/>
      <c r="AS515" s="367"/>
      <c r="AT515"/>
      <c r="AU515"/>
      <c r="AV515"/>
      <c r="AW515"/>
      <c r="AX515"/>
      <c r="AY515"/>
      <c r="AZ515"/>
      <c r="BA515"/>
      <c r="BB515"/>
      <c r="BC515"/>
      <c r="BD515"/>
      <c r="BE515"/>
      <c r="BF515"/>
      <c r="BG515"/>
      <c r="BH515"/>
      <c r="BI515"/>
      <c r="BJ515"/>
      <c r="BK515"/>
      <c r="BL515"/>
      <c r="BM515"/>
    </row>
    <row r="516" spans="35:65" ht="12.75" customHeight="1">
      <c r="AI516" s="364"/>
      <c r="AJ516" s="697"/>
      <c r="AK516" s="687"/>
      <c r="AL516" s="687"/>
      <c r="AM516" s="372"/>
      <c r="AN516" s="374"/>
      <c r="AO516" s="688"/>
      <c r="AP516" s="364"/>
      <c r="AQ516" s="364"/>
      <c r="AR516" s="364"/>
      <c r="AS516" s="367"/>
      <c r="AT516"/>
      <c r="AU516"/>
      <c r="AV516"/>
      <c r="AW516"/>
      <c r="AX516"/>
      <c r="AY516"/>
      <c r="AZ516"/>
      <c r="BA516"/>
      <c r="BB516"/>
      <c r="BC516"/>
      <c r="BD516"/>
      <c r="BE516"/>
      <c r="BF516"/>
      <c r="BG516"/>
      <c r="BH516"/>
      <c r="BI516"/>
      <c r="BJ516"/>
      <c r="BK516"/>
      <c r="BL516"/>
      <c r="BM516"/>
    </row>
    <row r="517" spans="35:65" ht="12.75" customHeight="1" thickBot="1">
      <c r="AI517" s="364"/>
      <c r="AJ517" s="686" t="s">
        <v>60</v>
      </c>
      <c r="AK517" s="577"/>
      <c r="AL517" s="577"/>
      <c r="AM517" s="577"/>
      <c r="AN517" s="577"/>
      <c r="AO517" s="698"/>
      <c r="AP517" s="364"/>
      <c r="AQ517" s="364"/>
      <c r="AR517" s="364"/>
      <c r="AS517" s="367"/>
      <c r="AT517"/>
      <c r="AU517"/>
      <c r="AV517"/>
      <c r="AW517"/>
      <c r="AX517"/>
      <c r="AY517"/>
      <c r="AZ517"/>
      <c r="BA517"/>
      <c r="BB517"/>
      <c r="BC517"/>
      <c r="BD517"/>
      <c r="BE517"/>
      <c r="BF517"/>
      <c r="BG517"/>
      <c r="BH517"/>
      <c r="BI517"/>
      <c r="BJ517"/>
      <c r="BK517"/>
      <c r="BL517"/>
      <c r="BM517"/>
    </row>
    <row r="518" spans="35:65" ht="12.75" customHeight="1">
      <c r="AI518" s="364"/>
      <c r="AJ518" s="895" t="s">
        <v>845</v>
      </c>
      <c r="AK518" s="896"/>
      <c r="AL518" s="900" t="s">
        <v>835</v>
      </c>
      <c r="AM518" s="900" t="s">
        <v>836</v>
      </c>
      <c r="AN518" s="900" t="s">
        <v>837</v>
      </c>
      <c r="AO518" s="902" t="s">
        <v>838</v>
      </c>
      <c r="AP518" s="364"/>
      <c r="AQ518" s="364"/>
      <c r="AR518" s="364"/>
      <c r="AS518" s="367"/>
      <c r="AT518"/>
      <c r="AU518"/>
      <c r="AV518"/>
      <c r="AW518"/>
      <c r="AX518"/>
      <c r="AY518"/>
      <c r="AZ518"/>
      <c r="BA518"/>
      <c r="BB518"/>
      <c r="BC518"/>
      <c r="BD518"/>
      <c r="BE518"/>
      <c r="BF518"/>
      <c r="BG518"/>
      <c r="BH518"/>
      <c r="BI518"/>
      <c r="BJ518"/>
      <c r="BK518"/>
      <c r="BL518"/>
      <c r="BM518"/>
    </row>
    <row r="519" spans="35:65" ht="12.75" customHeight="1">
      <c r="AI519" s="364"/>
      <c r="AJ519" s="892"/>
      <c r="AK519" s="897"/>
      <c r="AL519" s="901"/>
      <c r="AM519" s="901"/>
      <c r="AN519" s="901"/>
      <c r="AO519" s="903"/>
      <c r="AP519" s="364"/>
      <c r="AQ519" s="364"/>
      <c r="AR519" s="364"/>
      <c r="AS519" s="367"/>
      <c r="AT519"/>
      <c r="AU519"/>
      <c r="AV519"/>
      <c r="AW519"/>
      <c r="AX519"/>
      <c r="AY519"/>
      <c r="AZ519"/>
      <c r="BA519"/>
      <c r="BB519"/>
      <c r="BC519"/>
      <c r="BD519"/>
      <c r="BE519"/>
      <c r="BF519"/>
      <c r="BG519"/>
      <c r="BH519"/>
      <c r="BI519"/>
      <c r="BJ519"/>
      <c r="BK519"/>
      <c r="BL519"/>
      <c r="BM519"/>
    </row>
    <row r="520" spans="35:65" ht="12.75" customHeight="1">
      <c r="AI520" s="364"/>
      <c r="AJ520" s="892"/>
      <c r="AK520" s="897"/>
      <c r="AL520" s="702">
        <f>AL507-PPE!$I$15</f>
        <v>102.02059991327963</v>
      </c>
      <c r="AM520" s="560">
        <f>AM513</f>
        <v>1.7391304347826084</v>
      </c>
      <c r="AN520" s="690">
        <f>IF(AL520&gt;0,AO520*AM520," ")</f>
        <v>1086.9565217391303</v>
      </c>
      <c r="AO520" s="691">
        <f>IF(AL520&gt;0,(VLOOKUP(AL520,'Lookup Ready-reckoner'!$B$5:$E$1207,4))," ")</f>
        <v>625</v>
      </c>
      <c r="AP520" s="364"/>
      <c r="AQ520" s="364"/>
      <c r="AR520" s="364"/>
      <c r="AS520" s="367"/>
      <c r="AT520"/>
      <c r="AU520"/>
      <c r="AV520"/>
      <c r="AW520"/>
      <c r="AX520"/>
      <c r="AY520"/>
      <c r="AZ520"/>
      <c r="BA520"/>
      <c r="BB520"/>
      <c r="BC520"/>
      <c r="BD520"/>
      <c r="BE520"/>
      <c r="BF520"/>
      <c r="BG520"/>
      <c r="BH520"/>
      <c r="BI520"/>
      <c r="BJ520"/>
      <c r="BK520"/>
      <c r="BL520"/>
      <c r="BM520"/>
    </row>
    <row r="521" spans="35:65" ht="12.75" customHeight="1">
      <c r="AI521" s="364"/>
      <c r="AJ521" s="898"/>
      <c r="AK521" s="899"/>
      <c r="AL521" s="447"/>
      <c r="AM521" s="560"/>
      <c r="AN521" s="690" t="str">
        <f>IF(AL521&gt;0,AO521*AM521," ")</f>
        <v xml:space="preserve"> </v>
      </c>
      <c r="AO521" s="691" t="str">
        <f>IF(AL521&gt;0,(VLOOKUP(AL521,'Lookup Ready-reckoner'!$B$5:$E$1007,4))," ")</f>
        <v xml:space="preserve"> </v>
      </c>
      <c r="AP521" s="364"/>
      <c r="AQ521" s="364"/>
      <c r="AR521" s="364"/>
      <c r="AS521" s="367"/>
      <c r="AT521"/>
      <c r="AU521"/>
      <c r="AV521"/>
      <c r="AW521"/>
      <c r="AX521"/>
      <c r="AY521"/>
      <c r="AZ521"/>
      <c r="BA521"/>
      <c r="BB521"/>
      <c r="BC521"/>
      <c r="BD521"/>
      <c r="BE521"/>
      <c r="BF521"/>
      <c r="BG521"/>
      <c r="BH521"/>
      <c r="BI521"/>
      <c r="BJ521"/>
      <c r="BK521"/>
      <c r="BL521"/>
      <c r="BM521"/>
    </row>
    <row r="522" spans="35:65" ht="12.75" customHeight="1" thickBot="1">
      <c r="AI522" s="364"/>
      <c r="AJ522" s="692" t="s">
        <v>839</v>
      </c>
      <c r="AK522" s="693"/>
      <c r="AL522" s="693"/>
      <c r="AM522" s="703">
        <f>IF(AL520&gt;0,(VLOOKUP(AN522,'Lookup Ready-reckoner'!$L$5:$M$1207,2))," ")</f>
        <v>95.3</v>
      </c>
      <c r="AN522" s="695">
        <f>IF(AM520&gt;0,(SUM(AN520:AN521))," ")</f>
        <v>1086.9565217391303</v>
      </c>
      <c r="AO522" s="696"/>
      <c r="AP522" s="364"/>
      <c r="AQ522" s="364"/>
      <c r="AR522" s="364"/>
      <c r="AS522" s="367"/>
      <c r="AT522"/>
      <c r="AU522"/>
      <c r="AV522"/>
      <c r="AW522"/>
      <c r="AX522"/>
      <c r="AY522"/>
      <c r="AZ522"/>
      <c r="BA522"/>
      <c r="BB522"/>
      <c r="BC522"/>
      <c r="BD522"/>
      <c r="BE522"/>
      <c r="BF522"/>
      <c r="BG522"/>
      <c r="BH522"/>
      <c r="BI522"/>
      <c r="BJ522"/>
      <c r="BK522"/>
      <c r="BL522"/>
      <c r="BM522"/>
    </row>
    <row r="523" spans="35:65" ht="12.75" customHeight="1" thickBot="1">
      <c r="AI523" s="364"/>
      <c r="AJ523" s="892"/>
      <c r="AK523" s="893"/>
      <c r="AL523" s="893"/>
      <c r="AM523" s="893"/>
      <c r="AN523" s="893"/>
      <c r="AO523" s="894"/>
      <c r="AP523" s="364"/>
      <c r="AQ523" s="364"/>
      <c r="AR523" s="364"/>
      <c r="AS523" s="367"/>
      <c r="AT523"/>
      <c r="AU523"/>
      <c r="AV523"/>
      <c r="AW523"/>
      <c r="AX523"/>
      <c r="AY523"/>
      <c r="AZ523"/>
      <c r="BA523"/>
      <c r="BB523"/>
      <c r="BC523"/>
      <c r="BD523"/>
      <c r="BE523"/>
      <c r="BF523"/>
      <c r="BG523"/>
      <c r="BH523"/>
      <c r="BI523"/>
      <c r="BJ523"/>
      <c r="BK523"/>
      <c r="BL523"/>
      <c r="BM523"/>
    </row>
    <row r="524" spans="35:65" ht="12.75" customHeight="1">
      <c r="AI524" s="364"/>
      <c r="AJ524" s="895" t="s">
        <v>886</v>
      </c>
      <c r="AK524" s="896"/>
      <c r="AL524" s="900" t="s">
        <v>835</v>
      </c>
      <c r="AM524" s="900" t="s">
        <v>836</v>
      </c>
      <c r="AN524" s="900" t="s">
        <v>837</v>
      </c>
      <c r="AO524" s="902" t="s">
        <v>838</v>
      </c>
      <c r="AP524" s="364"/>
      <c r="AQ524" s="364"/>
      <c r="AR524" s="364"/>
      <c r="AS524" s="367"/>
      <c r="AT524"/>
      <c r="AU524"/>
      <c r="AV524"/>
      <c r="AW524"/>
      <c r="AX524"/>
      <c r="AY524"/>
      <c r="AZ524"/>
      <c r="BA524"/>
      <c r="BB524"/>
      <c r="BC524"/>
      <c r="BD524"/>
      <c r="BE524"/>
      <c r="BF524"/>
      <c r="BG524"/>
      <c r="BH524"/>
      <c r="BI524"/>
      <c r="BJ524"/>
      <c r="BK524"/>
      <c r="BL524"/>
      <c r="BM524"/>
    </row>
    <row r="525" spans="35:65" ht="12.75" customHeight="1">
      <c r="AI525" s="364"/>
      <c r="AJ525" s="892"/>
      <c r="AK525" s="897"/>
      <c r="AL525" s="901"/>
      <c r="AM525" s="901"/>
      <c r="AN525" s="901"/>
      <c r="AO525" s="903"/>
      <c r="AP525" s="364"/>
      <c r="AQ525" s="364"/>
      <c r="AR525" s="364"/>
      <c r="AS525" s="367"/>
      <c r="AT525"/>
      <c r="AU525"/>
      <c r="AV525"/>
      <c r="AW525"/>
      <c r="AX525"/>
      <c r="AY525"/>
      <c r="AZ525"/>
      <c r="BA525"/>
      <c r="BB525"/>
      <c r="BC525"/>
      <c r="BD525"/>
      <c r="BE525"/>
      <c r="BF525"/>
      <c r="BG525"/>
      <c r="BH525"/>
      <c r="BI525"/>
      <c r="BJ525"/>
      <c r="BK525"/>
      <c r="BL525"/>
      <c r="BM525"/>
    </row>
    <row r="526" spans="35:65" ht="12.75" customHeight="1">
      <c r="AI526" s="364"/>
      <c r="AJ526" s="892"/>
      <c r="AK526" s="897"/>
      <c r="AL526" s="702">
        <f>AL513-PPE!$I$15</f>
        <v>97.92586655636687</v>
      </c>
      <c r="AM526" s="560">
        <f>AM520</f>
        <v>1.7391304347826084</v>
      </c>
      <c r="AN526" s="690">
        <f>IF(AL526&gt;0,AO526*AM526," ")</f>
        <v>426.08695652173907</v>
      </c>
      <c r="AO526" s="691">
        <f>IF(AL526&gt;0,(VLOOKUP(AL526,'Lookup Ready-reckoner'!$B$5:$E$1207,4))," ")</f>
        <v>245</v>
      </c>
      <c r="AP526" s="364"/>
      <c r="AQ526" s="364"/>
      <c r="AR526" s="364"/>
      <c r="AS526" s="367"/>
      <c r="AT526"/>
      <c r="AU526"/>
      <c r="AV526"/>
      <c r="AW526"/>
      <c r="AX526"/>
      <c r="AY526"/>
      <c r="AZ526"/>
      <c r="BA526"/>
      <c r="BB526"/>
      <c r="BC526"/>
      <c r="BD526"/>
      <c r="BE526"/>
      <c r="BF526"/>
      <c r="BG526"/>
      <c r="BH526"/>
      <c r="BI526"/>
      <c r="BJ526"/>
      <c r="BK526"/>
      <c r="BL526"/>
      <c r="BM526"/>
    </row>
    <row r="527" spans="35:65" ht="12.75" customHeight="1">
      <c r="AI527" s="364"/>
      <c r="AJ527" s="898"/>
      <c r="AK527" s="899"/>
      <c r="AL527" s="447"/>
      <c r="AM527" s="560"/>
      <c r="AN527" s="690" t="str">
        <f>IF(AL527&gt;0,AO527*AM527," ")</f>
        <v xml:space="preserve"> </v>
      </c>
      <c r="AO527" s="691" t="str">
        <f>IF(AL527&gt;0,(VLOOKUP(AL527,'Lookup Ready-reckoner'!$B$5:$E$1007,4))," ")</f>
        <v xml:space="preserve"> </v>
      </c>
      <c r="AP527" s="364"/>
      <c r="AQ527" s="364"/>
      <c r="AR527" s="364"/>
      <c r="AS527" s="367"/>
      <c r="AT527"/>
      <c r="AU527"/>
      <c r="AV527"/>
      <c r="AW527"/>
      <c r="AX527"/>
      <c r="AY527"/>
      <c r="AZ527"/>
      <c r="BA527"/>
      <c r="BB527"/>
      <c r="BC527"/>
      <c r="BD527"/>
      <c r="BE527"/>
      <c r="BF527"/>
      <c r="BG527"/>
      <c r="BH527"/>
      <c r="BI527"/>
      <c r="BJ527"/>
      <c r="BK527"/>
      <c r="BL527"/>
      <c r="BM527"/>
    </row>
    <row r="528" spans="35:65" ht="12.75" customHeight="1" thickBot="1">
      <c r="AI528" s="364"/>
      <c r="AJ528" s="692" t="s">
        <v>839</v>
      </c>
      <c r="AK528" s="693"/>
      <c r="AL528" s="693"/>
      <c r="AM528" s="703">
        <f>IF(AL526&gt;0,(VLOOKUP(AN528,'Lookup Ready-reckoner'!$L$5:$M$1207,2))," ")</f>
        <v>91.25</v>
      </c>
      <c r="AN528" s="695">
        <f>IF(AM526&gt;0,(SUM(AN526:AN527))," ")</f>
        <v>426.08695652173907</v>
      </c>
      <c r="AO528" s="696"/>
      <c r="AP528" s="364"/>
      <c r="AQ528" s="364"/>
      <c r="AR528" s="364"/>
      <c r="AS528" s="367"/>
      <c r="AT528"/>
      <c r="AU528"/>
      <c r="AV528"/>
      <c r="AW528"/>
      <c r="AX528"/>
      <c r="AY528"/>
      <c r="AZ528"/>
      <c r="BA528"/>
      <c r="BB528"/>
      <c r="BC528"/>
      <c r="BD528"/>
      <c r="BE528"/>
      <c r="BF528"/>
      <c r="BG528"/>
      <c r="BH528"/>
      <c r="BI528"/>
      <c r="BJ528"/>
      <c r="BK528"/>
      <c r="BL528"/>
      <c r="BM528"/>
    </row>
    <row r="529" spans="35:65" ht="12.75" customHeight="1">
      <c r="AI529" s="364"/>
      <c r="AJ529" s="363"/>
      <c r="AK529" s="363"/>
      <c r="AL529" s="363"/>
      <c r="AM529" s="363"/>
      <c r="AN529" s="363"/>
      <c r="AO529" s="363"/>
      <c r="AP529" s="364"/>
      <c r="AQ529" s="364"/>
      <c r="AR529" s="364"/>
      <c r="AS529" s="367"/>
      <c r="AT529"/>
      <c r="AU529"/>
      <c r="AV529"/>
      <c r="AW529"/>
      <c r="AX529"/>
      <c r="AY529"/>
      <c r="AZ529"/>
      <c r="BA529"/>
      <c r="BB529"/>
      <c r="BC529"/>
      <c r="BD529"/>
      <c r="BE529"/>
      <c r="BF529"/>
      <c r="BG529"/>
      <c r="BH529"/>
      <c r="BI529"/>
      <c r="BJ529"/>
      <c r="BK529"/>
      <c r="BL529"/>
      <c r="BM529"/>
    </row>
    <row r="530" spans="35:65" ht="12.75" customHeight="1">
      <c r="AI530" s="364"/>
      <c r="AJ530" s="909" t="str">
        <f>AJ411</f>
        <v xml:space="preserve">Hilti TE MD20 </v>
      </c>
      <c r="AK530" s="909"/>
      <c r="AL530" s="909"/>
      <c r="AM530" s="909"/>
      <c r="AN530" s="909"/>
      <c r="AO530" s="909"/>
      <c r="AP530" s="364"/>
      <c r="AQ530" s="364"/>
      <c r="AR530" s="364"/>
      <c r="AS530" s="367"/>
      <c r="AT530"/>
      <c r="AU530"/>
      <c r="AV530"/>
      <c r="AW530"/>
      <c r="AX530"/>
      <c r="AY530"/>
      <c r="AZ530"/>
      <c r="BA530"/>
      <c r="BB530"/>
      <c r="BC530"/>
      <c r="BD530"/>
      <c r="BE530"/>
      <c r="BF530"/>
      <c r="BG530"/>
      <c r="BH530"/>
      <c r="BI530"/>
      <c r="BJ530"/>
      <c r="BK530"/>
      <c r="BL530"/>
      <c r="BM530"/>
    </row>
    <row r="531" spans="35:65" ht="12.75" customHeight="1" thickBot="1">
      <c r="AI531" s="364"/>
      <c r="AJ531" s="910" t="s">
        <v>205</v>
      </c>
      <c r="AK531" s="911"/>
      <c r="AL531" s="911"/>
      <c r="AM531" s="911"/>
      <c r="AN531" s="911"/>
      <c r="AO531" s="912"/>
      <c r="AP531" s="364"/>
      <c r="AQ531" s="364"/>
      <c r="AR531" s="364"/>
      <c r="AS531" s="367"/>
      <c r="AT531"/>
      <c r="AU531"/>
      <c r="AV531"/>
      <c r="AW531"/>
      <c r="AX531"/>
      <c r="AY531"/>
      <c r="AZ531"/>
      <c r="BA531"/>
      <c r="BB531"/>
      <c r="BC531"/>
      <c r="BD531"/>
      <c r="BE531"/>
      <c r="BF531"/>
      <c r="BG531"/>
      <c r="BH531"/>
      <c r="BI531"/>
      <c r="BJ531"/>
      <c r="BK531"/>
      <c r="BL531"/>
      <c r="BM531"/>
    </row>
    <row r="532" spans="35:65" ht="12.75" customHeight="1" thickBot="1">
      <c r="AI532" s="364"/>
      <c r="AJ532" s="686" t="s">
        <v>59</v>
      </c>
      <c r="AK532" s="577"/>
      <c r="AL532" s="687"/>
      <c r="AM532" s="687"/>
      <c r="AN532" s="687"/>
      <c r="AO532" s="688"/>
      <c r="AP532" s="364"/>
      <c r="AQ532" s="364"/>
      <c r="AR532" s="364"/>
      <c r="AS532" s="367"/>
      <c r="AT532"/>
      <c r="AU532"/>
      <c r="AV532"/>
      <c r="AW532"/>
      <c r="AX532"/>
      <c r="AY532"/>
      <c r="AZ532"/>
      <c r="BA532"/>
      <c r="BB532"/>
      <c r="BC532"/>
      <c r="BD532"/>
      <c r="BE532"/>
      <c r="BF532"/>
      <c r="BG532"/>
      <c r="BH532"/>
      <c r="BI532"/>
      <c r="BJ532"/>
      <c r="BK532"/>
      <c r="BL532"/>
      <c r="BM532"/>
    </row>
    <row r="533" spans="35:65" ht="12.75" customHeight="1">
      <c r="AI533" s="364"/>
      <c r="AJ533" s="895" t="s">
        <v>845</v>
      </c>
      <c r="AK533" s="896"/>
      <c r="AL533" s="900" t="s">
        <v>835</v>
      </c>
      <c r="AM533" s="900" t="s">
        <v>836</v>
      </c>
      <c r="AN533" s="900" t="s">
        <v>837</v>
      </c>
      <c r="AO533" s="902" t="s">
        <v>838</v>
      </c>
      <c r="AP533" s="364"/>
      <c r="AQ533" s="364"/>
      <c r="AR533" s="364"/>
      <c r="AS533" s="367"/>
      <c r="AT533"/>
      <c r="AU533"/>
      <c r="AV533"/>
      <c r="AW533"/>
      <c r="AX533"/>
      <c r="AY533"/>
      <c r="AZ533"/>
      <c r="BA533"/>
      <c r="BB533"/>
      <c r="BC533"/>
      <c r="BD533"/>
      <c r="BE533"/>
      <c r="BF533"/>
      <c r="BG533"/>
      <c r="BH533"/>
      <c r="BI533"/>
      <c r="BJ533"/>
      <c r="BK533"/>
      <c r="BL533"/>
      <c r="BM533"/>
    </row>
    <row r="534" spans="35:65" ht="12.75" customHeight="1">
      <c r="AI534" s="364"/>
      <c r="AJ534" s="892"/>
      <c r="AK534" s="897"/>
      <c r="AL534" s="904"/>
      <c r="AM534" s="904"/>
      <c r="AN534" s="904"/>
      <c r="AO534" s="905"/>
      <c r="AP534" s="364"/>
      <c r="AQ534" s="364"/>
      <c r="AR534" s="364"/>
      <c r="AS534" s="367"/>
      <c r="AT534"/>
      <c r="AU534"/>
      <c r="AV534"/>
      <c r="AW534"/>
      <c r="AX534"/>
      <c r="AY534"/>
      <c r="AZ534"/>
      <c r="BA534"/>
      <c r="BB534"/>
      <c r="BC534"/>
      <c r="BD534"/>
      <c r="BE534"/>
      <c r="BF534"/>
      <c r="BG534"/>
      <c r="BH534"/>
      <c r="BI534"/>
      <c r="BJ534"/>
      <c r="BK534"/>
      <c r="BL534"/>
      <c r="BM534"/>
    </row>
    <row r="535" spans="35:65" ht="12.75" customHeight="1">
      <c r="AI535" s="364"/>
      <c r="AJ535" s="892"/>
      <c r="AK535" s="897"/>
      <c r="AL535" s="901"/>
      <c r="AM535" s="901"/>
      <c r="AN535" s="901"/>
      <c r="AO535" s="903"/>
      <c r="AP535" s="364"/>
      <c r="AQ535" s="364"/>
      <c r="AR535" s="364"/>
      <c r="AS535" s="367"/>
      <c r="AT535"/>
      <c r="AU535"/>
      <c r="AV535"/>
      <c r="AW535"/>
      <c r="AX535"/>
      <c r="AY535"/>
      <c r="AZ535"/>
      <c r="BA535"/>
      <c r="BB535"/>
      <c r="BC535"/>
      <c r="BD535"/>
      <c r="BE535"/>
      <c r="BF535"/>
      <c r="BG535"/>
      <c r="BH535"/>
      <c r="BI535"/>
      <c r="BJ535"/>
      <c r="BK535"/>
      <c r="BL535"/>
      <c r="BM535"/>
    </row>
    <row r="536" spans="35:65" ht="12.75" customHeight="1">
      <c r="AI536" s="364"/>
      <c r="AJ536" s="892"/>
      <c r="AK536" s="897"/>
      <c r="AL536" s="704">
        <f>AM81</f>
        <v>108.02059991327964</v>
      </c>
      <c r="AM536" s="560">
        <f>AM67</f>
        <v>2.6666666666666665</v>
      </c>
      <c r="AN536" s="690">
        <f>IF(AL536&gt;0,AO536*AM536," ")</f>
        <v>6666.6666666666661</v>
      </c>
      <c r="AO536" s="691">
        <f>IF(AL536&gt;0,(VLOOKUP(AL536,'Lookup Ready-reckoner'!$B$5:$E$1207,4))," ")</f>
        <v>2500</v>
      </c>
      <c r="AP536" s="364"/>
      <c r="AQ536" s="364"/>
      <c r="AR536" s="364"/>
      <c r="AS536" s="367"/>
      <c r="AT536"/>
      <c r="AU536"/>
      <c r="AV536"/>
      <c r="AW536"/>
      <c r="AX536"/>
      <c r="AY536"/>
      <c r="AZ536"/>
      <c r="BA536"/>
      <c r="BB536"/>
      <c r="BC536"/>
      <c r="BD536"/>
      <c r="BE536"/>
      <c r="BF536"/>
      <c r="BG536"/>
      <c r="BH536"/>
      <c r="BI536"/>
      <c r="BJ536"/>
      <c r="BK536"/>
      <c r="BL536"/>
      <c r="BM536"/>
    </row>
    <row r="537" spans="35:65" ht="12.75" customHeight="1">
      <c r="AI537" s="364"/>
      <c r="AJ537" s="898"/>
      <c r="AK537" s="899"/>
      <c r="AL537" s="447"/>
      <c r="AM537" s="560"/>
      <c r="AN537" s="690" t="str">
        <f>IF(AL537&gt;0,AO537*AM537," ")</f>
        <v xml:space="preserve"> </v>
      </c>
      <c r="AO537" s="691" t="str">
        <f>IF(AL537&gt;0,(VLOOKUP(AL537,'Lookup Ready-reckoner'!$B$5:$E$1007,4))," ")</f>
        <v xml:space="preserve"> </v>
      </c>
      <c r="AP537" s="364"/>
      <c r="AQ537" s="364"/>
      <c r="AR537" s="364"/>
      <c r="AS537" s="367"/>
      <c r="AT537"/>
      <c r="AU537"/>
      <c r="AV537"/>
      <c r="AW537"/>
      <c r="AX537"/>
      <c r="AY537"/>
      <c r="AZ537"/>
      <c r="BA537"/>
      <c r="BB537"/>
      <c r="BC537"/>
      <c r="BD537"/>
      <c r="BE537"/>
      <c r="BF537"/>
      <c r="BG537"/>
      <c r="BH537"/>
      <c r="BI537"/>
      <c r="BJ537"/>
      <c r="BK537"/>
      <c r="BL537"/>
      <c r="BM537"/>
    </row>
    <row r="538" spans="35:65" ht="12.75" customHeight="1" thickBot="1">
      <c r="AI538" s="364"/>
      <c r="AJ538" s="692" t="s">
        <v>839</v>
      </c>
      <c r="AK538" s="693"/>
      <c r="AL538" s="693"/>
      <c r="AM538" s="705">
        <f>IF(AL536&gt;0,(VLOOKUP(AN538,'Lookup Ready-reckoner'!$L$5:$M$1207,2))," ")</f>
        <v>103.15</v>
      </c>
      <c r="AN538" s="695">
        <f>IF(AM536&gt;0,(SUM(AN536:AN537))," ")</f>
        <v>6666.6666666666661</v>
      </c>
      <c r="AO538" s="696"/>
      <c r="AP538" s="364"/>
      <c r="AQ538" s="364"/>
      <c r="AR538" s="364"/>
      <c r="AS538" s="367"/>
      <c r="AT538"/>
      <c r="AU538"/>
      <c r="AV538"/>
      <c r="AW538"/>
      <c r="AX538"/>
      <c r="AY538"/>
      <c r="AZ538"/>
      <c r="BA538"/>
      <c r="BB538"/>
      <c r="BC538"/>
      <c r="BD538"/>
      <c r="BE538"/>
      <c r="BF538"/>
      <c r="BG538"/>
      <c r="BH538"/>
      <c r="BI538"/>
      <c r="BJ538"/>
      <c r="BK538"/>
      <c r="BL538"/>
      <c r="BM538"/>
    </row>
    <row r="539" spans="35:65" ht="12.75" customHeight="1" thickBot="1">
      <c r="AI539" s="364"/>
      <c r="AJ539" s="906"/>
      <c r="AK539" s="907"/>
      <c r="AL539" s="907"/>
      <c r="AM539" s="907"/>
      <c r="AN539" s="907"/>
      <c r="AO539" s="908"/>
      <c r="AP539" s="364"/>
      <c r="AQ539" s="364"/>
      <c r="AR539" s="364"/>
      <c r="AS539" s="367"/>
      <c r="AT539"/>
      <c r="AU539"/>
      <c r="AV539"/>
      <c r="AW539"/>
      <c r="AX539"/>
      <c r="AY539"/>
      <c r="AZ539"/>
      <c r="BA539"/>
      <c r="BB539"/>
      <c r="BC539"/>
      <c r="BD539"/>
      <c r="BE539"/>
      <c r="BF539"/>
      <c r="BG539"/>
      <c r="BH539"/>
      <c r="BI539"/>
      <c r="BJ539"/>
      <c r="BK539"/>
      <c r="BL539"/>
      <c r="BM539"/>
    </row>
    <row r="540" spans="35:65" ht="12.75" customHeight="1">
      <c r="AI540" s="364"/>
      <c r="AJ540" s="895" t="s">
        <v>886</v>
      </c>
      <c r="AK540" s="896"/>
      <c r="AL540" s="900" t="s">
        <v>835</v>
      </c>
      <c r="AM540" s="900" t="s">
        <v>836</v>
      </c>
      <c r="AN540" s="900" t="s">
        <v>837</v>
      </c>
      <c r="AO540" s="902" t="s">
        <v>838</v>
      </c>
      <c r="AP540" s="364"/>
      <c r="AQ540" s="364"/>
      <c r="AR540" s="364"/>
      <c r="AS540" s="367"/>
      <c r="AT540"/>
      <c r="AU540"/>
      <c r="AV540"/>
      <c r="AW540"/>
      <c r="AX540"/>
      <c r="AY540"/>
      <c r="AZ540"/>
      <c r="BA540"/>
      <c r="BB540"/>
      <c r="BC540"/>
      <c r="BD540"/>
      <c r="BE540"/>
      <c r="BF540"/>
      <c r="BG540"/>
      <c r="BH540"/>
      <c r="BI540"/>
      <c r="BJ540"/>
      <c r="BK540"/>
      <c r="BL540"/>
      <c r="BM540"/>
    </row>
    <row r="541" spans="35:65" ht="12.75" customHeight="1">
      <c r="AI541" s="364"/>
      <c r="AJ541" s="892"/>
      <c r="AK541" s="897"/>
      <c r="AL541" s="901"/>
      <c r="AM541" s="901"/>
      <c r="AN541" s="901"/>
      <c r="AO541" s="903"/>
      <c r="AP541" s="364"/>
      <c r="AQ541" s="364"/>
      <c r="AR541" s="364"/>
      <c r="AS541" s="367"/>
      <c r="AT541"/>
      <c r="AU541"/>
      <c r="AV541"/>
      <c r="AW541"/>
      <c r="AX541"/>
      <c r="AY541"/>
      <c r="AZ541"/>
      <c r="BA541"/>
      <c r="BB541"/>
      <c r="BC541"/>
      <c r="BD541"/>
      <c r="BE541"/>
      <c r="BF541"/>
      <c r="BG541"/>
      <c r="BH541"/>
      <c r="BI541"/>
      <c r="BJ541"/>
      <c r="BK541"/>
      <c r="BL541"/>
      <c r="BM541"/>
    </row>
    <row r="542" spans="35:65" ht="12.75" customHeight="1">
      <c r="AI542" s="364"/>
      <c r="AJ542" s="892"/>
      <c r="AK542" s="897"/>
      <c r="AL542" s="704">
        <f>AL536*(1-0.0178*2)</f>
        <v>104.17506655636689</v>
      </c>
      <c r="AM542" s="560">
        <f>AM536</f>
        <v>2.6666666666666665</v>
      </c>
      <c r="AN542" s="690">
        <f>IF(AL542&gt;0,AO542*AM542," ")</f>
        <v>2766.6666666666665</v>
      </c>
      <c r="AO542" s="691">
        <f>IF(AL542&gt;0,(VLOOKUP(AL542,'Lookup Ready-reckoner'!$B$5:$E$1207,4))," ")</f>
        <v>1037.5</v>
      </c>
      <c r="AP542" s="364"/>
      <c r="AQ542" s="364"/>
      <c r="AR542" s="364"/>
      <c r="AS542" s="367"/>
      <c r="AT542"/>
      <c r="AU542"/>
      <c r="AV542"/>
      <c r="AW542"/>
      <c r="AX542"/>
      <c r="AY542"/>
      <c r="AZ542"/>
      <c r="BA542"/>
      <c r="BB542"/>
      <c r="BC542"/>
      <c r="BD542"/>
      <c r="BE542"/>
      <c r="BF542"/>
      <c r="BG542"/>
      <c r="BH542"/>
      <c r="BI542"/>
      <c r="BJ542"/>
      <c r="BK542"/>
      <c r="BL542"/>
      <c r="BM542"/>
    </row>
    <row r="543" spans="35:65" ht="12.75" customHeight="1">
      <c r="AI543" s="364"/>
      <c r="AJ543" s="898"/>
      <c r="AK543" s="899"/>
      <c r="AL543" s="447"/>
      <c r="AM543" s="560"/>
      <c r="AN543" s="690" t="str">
        <f>IF(AL543&gt;0,AO543*AM543," ")</f>
        <v xml:space="preserve"> </v>
      </c>
      <c r="AO543" s="691" t="str">
        <f>IF(AL543&gt;0,(VLOOKUP(AL543,'Lookup Ready-reckoner'!$B$5:$E$1007,4))," ")</f>
        <v xml:space="preserve"> </v>
      </c>
      <c r="AP543" s="364"/>
      <c r="AQ543" s="364"/>
      <c r="AR543" s="364"/>
      <c r="AS543" s="367"/>
      <c r="AT543"/>
      <c r="AU543"/>
      <c r="AV543"/>
      <c r="AW543"/>
      <c r="AX543"/>
      <c r="AY543"/>
      <c r="AZ543"/>
      <c r="BA543"/>
      <c r="BB543"/>
      <c r="BC543"/>
      <c r="BD543"/>
      <c r="BE543"/>
      <c r="BF543"/>
      <c r="BG543"/>
      <c r="BH543"/>
      <c r="BI543"/>
      <c r="BJ543"/>
      <c r="BK543"/>
      <c r="BL543"/>
      <c r="BM543"/>
    </row>
    <row r="544" spans="35:65" ht="12.75" customHeight="1" thickBot="1">
      <c r="AI544" s="364"/>
      <c r="AJ544" s="692" t="s">
        <v>839</v>
      </c>
      <c r="AK544" s="693"/>
      <c r="AL544" s="693"/>
      <c r="AM544" s="705">
        <f>IF(AL542&gt;0,(VLOOKUP(AN544,'Lookup Ready-reckoner'!$L$5:$M$1207,2))," ")</f>
        <v>99.35</v>
      </c>
      <c r="AN544" s="695">
        <f>IF(AM542&gt;0,(SUM(AN542:AN543))," ")</f>
        <v>2766.6666666666665</v>
      </c>
      <c r="AO544" s="696"/>
      <c r="AP544" s="364"/>
      <c r="AQ544" s="364"/>
      <c r="AR544" s="364"/>
      <c r="AS544" s="367"/>
      <c r="AT544"/>
      <c r="AU544"/>
      <c r="AV544"/>
      <c r="AW544"/>
      <c r="AX544"/>
      <c r="AY544"/>
      <c r="AZ544"/>
      <c r="BA544"/>
      <c r="BB544"/>
      <c r="BC544"/>
      <c r="BD544"/>
      <c r="BE544"/>
      <c r="BF544"/>
      <c r="BG544"/>
      <c r="BH544"/>
      <c r="BI544"/>
      <c r="BJ544"/>
      <c r="BK544"/>
      <c r="BL544"/>
      <c r="BM544"/>
    </row>
    <row r="545" spans="35:65" ht="12.75" customHeight="1">
      <c r="AI545" s="364"/>
      <c r="AJ545" s="697"/>
      <c r="AK545" s="687"/>
      <c r="AL545" s="687"/>
      <c r="AM545" s="372"/>
      <c r="AN545" s="374"/>
      <c r="AO545" s="688"/>
      <c r="AP545" s="364"/>
      <c r="AQ545" s="364"/>
      <c r="AR545" s="364"/>
      <c r="AS545" s="367"/>
      <c r="AT545"/>
      <c r="AU545"/>
      <c r="AV545"/>
      <c r="AW545"/>
      <c r="AX545"/>
      <c r="AY545"/>
      <c r="AZ545"/>
      <c r="BA545"/>
      <c r="BB545"/>
      <c r="BC545"/>
      <c r="BD545"/>
      <c r="BE545"/>
      <c r="BF545"/>
      <c r="BG545"/>
      <c r="BH545"/>
      <c r="BI545"/>
      <c r="BJ545"/>
      <c r="BK545"/>
      <c r="BL545"/>
      <c r="BM545"/>
    </row>
    <row r="546" spans="35:65" ht="12.75" customHeight="1" thickBot="1">
      <c r="AI546" s="364"/>
      <c r="AJ546" s="686" t="s">
        <v>60</v>
      </c>
      <c r="AK546" s="577"/>
      <c r="AL546" s="577"/>
      <c r="AM546" s="577"/>
      <c r="AN546" s="577"/>
      <c r="AO546" s="698"/>
      <c r="AP546" s="364"/>
      <c r="AQ546" s="364"/>
      <c r="AR546" s="364"/>
      <c r="AS546" s="367"/>
      <c r="AT546"/>
      <c r="AU546"/>
      <c r="AV546"/>
      <c r="AW546"/>
      <c r="AX546"/>
      <c r="AY546"/>
      <c r="AZ546"/>
      <c r="BA546"/>
      <c r="BB546"/>
      <c r="BC546"/>
      <c r="BD546"/>
      <c r="BE546"/>
      <c r="BF546"/>
      <c r="BG546"/>
      <c r="BH546"/>
      <c r="BI546"/>
      <c r="BJ546"/>
      <c r="BK546"/>
      <c r="BL546"/>
      <c r="BM546"/>
    </row>
    <row r="547" spans="35:65" ht="12.75" customHeight="1">
      <c r="AI547" s="364"/>
      <c r="AJ547" s="895" t="s">
        <v>845</v>
      </c>
      <c r="AK547" s="896"/>
      <c r="AL547" s="900" t="s">
        <v>835</v>
      </c>
      <c r="AM547" s="900" t="s">
        <v>836</v>
      </c>
      <c r="AN547" s="900" t="s">
        <v>837</v>
      </c>
      <c r="AO547" s="902" t="s">
        <v>838</v>
      </c>
      <c r="AP547" s="364"/>
      <c r="AQ547" s="364"/>
      <c r="AR547" s="364"/>
      <c r="AS547" s="367"/>
      <c r="AT547"/>
      <c r="AU547"/>
      <c r="AV547"/>
      <c r="AW547"/>
      <c r="AX547"/>
      <c r="AY547"/>
      <c r="AZ547"/>
      <c r="BA547"/>
      <c r="BB547"/>
      <c r="BC547"/>
      <c r="BD547"/>
      <c r="BE547"/>
      <c r="BF547"/>
      <c r="BG547"/>
      <c r="BH547"/>
      <c r="BI547"/>
      <c r="BJ547"/>
      <c r="BK547"/>
      <c r="BL547"/>
      <c r="BM547"/>
    </row>
    <row r="548" spans="35:65" ht="12.75" customHeight="1">
      <c r="AI548" s="364"/>
      <c r="AJ548" s="892"/>
      <c r="AK548" s="897"/>
      <c r="AL548" s="901"/>
      <c r="AM548" s="901"/>
      <c r="AN548" s="901"/>
      <c r="AO548" s="903"/>
      <c r="AP548" s="364"/>
      <c r="AQ548" s="364"/>
      <c r="AR548" s="364"/>
      <c r="AS548" s="367"/>
      <c r="AT548"/>
      <c r="AU548"/>
      <c r="AV548"/>
      <c r="AW548"/>
      <c r="AX548"/>
      <c r="AY548"/>
      <c r="AZ548"/>
      <c r="BA548"/>
      <c r="BB548"/>
      <c r="BC548"/>
      <c r="BD548"/>
      <c r="BE548"/>
      <c r="BF548"/>
      <c r="BG548"/>
      <c r="BH548"/>
      <c r="BI548"/>
      <c r="BJ548"/>
      <c r="BK548"/>
      <c r="BL548"/>
      <c r="BM548"/>
    </row>
    <row r="549" spans="35:65" ht="12.75" customHeight="1">
      <c r="AI549" s="364"/>
      <c r="AJ549" s="892"/>
      <c r="AK549" s="897"/>
      <c r="AL549" s="704">
        <f>AL536-PPE!$I$15</f>
        <v>95.020599913279639</v>
      </c>
      <c r="AM549" s="560">
        <f>AM542</f>
        <v>2.6666666666666665</v>
      </c>
      <c r="AN549" s="690">
        <f>IF(AL549&gt;0,AO549*AM549," ")</f>
        <v>333.33333333333331</v>
      </c>
      <c r="AO549" s="691">
        <f>IF(AL549&gt;0,(VLOOKUP(AL549,'Lookup Ready-reckoner'!$B$5:$E$1207,4))," ")</f>
        <v>125</v>
      </c>
      <c r="AP549" s="364"/>
      <c r="AQ549" s="364"/>
      <c r="AR549" s="364"/>
      <c r="AS549" s="367"/>
      <c r="AT549"/>
      <c r="AU549"/>
      <c r="AV549"/>
      <c r="AW549"/>
      <c r="AX549"/>
      <c r="AY549"/>
      <c r="AZ549"/>
      <c r="BA549"/>
      <c r="BB549"/>
      <c r="BC549"/>
      <c r="BD549"/>
      <c r="BE549"/>
      <c r="BF549"/>
      <c r="BG549"/>
      <c r="BH549"/>
      <c r="BI549"/>
      <c r="BJ549"/>
      <c r="BK549"/>
      <c r="BL549"/>
      <c r="BM549"/>
    </row>
    <row r="550" spans="35:65" ht="12.75" customHeight="1">
      <c r="AI550" s="364"/>
      <c r="AJ550" s="898"/>
      <c r="AK550" s="899"/>
      <c r="AL550" s="447"/>
      <c r="AM550" s="560"/>
      <c r="AN550" s="690" t="str">
        <f>IF(AL550&gt;0,AO550*AM550," ")</f>
        <v xml:space="preserve"> </v>
      </c>
      <c r="AO550" s="691" t="str">
        <f>IF(AL550&gt;0,(VLOOKUP(AL550,'Lookup Ready-reckoner'!$B$5:$E$1007,4))," ")</f>
        <v xml:space="preserve"> </v>
      </c>
      <c r="AP550" s="364"/>
      <c r="AQ550" s="364"/>
      <c r="AR550" s="364"/>
      <c r="AS550" s="367"/>
      <c r="AT550"/>
      <c r="AU550"/>
      <c r="AV550"/>
      <c r="AW550"/>
      <c r="AX550"/>
      <c r="AY550"/>
      <c r="AZ550"/>
      <c r="BA550"/>
      <c r="BB550"/>
      <c r="BC550"/>
      <c r="BD550"/>
      <c r="BE550"/>
      <c r="BF550"/>
      <c r="BG550"/>
      <c r="BH550"/>
      <c r="BI550"/>
      <c r="BJ550"/>
      <c r="BK550"/>
      <c r="BL550"/>
      <c r="BM550"/>
    </row>
    <row r="551" spans="35:65" ht="12.75" customHeight="1" thickBot="1">
      <c r="AI551" s="364"/>
      <c r="AJ551" s="692" t="s">
        <v>839</v>
      </c>
      <c r="AK551" s="693"/>
      <c r="AL551" s="693"/>
      <c r="AM551" s="705">
        <f>IF(AL549&gt;0,(VLOOKUP(AN551,'Lookup Ready-reckoner'!$L$5:$M$1207,2))," ")</f>
        <v>90.15</v>
      </c>
      <c r="AN551" s="695">
        <f>IF(AM549&gt;0,(SUM(AN549:AN550))," ")</f>
        <v>333.33333333333331</v>
      </c>
      <c r="AO551" s="696"/>
      <c r="AP551" s="364"/>
      <c r="AQ551" s="364"/>
      <c r="AR551" s="364"/>
      <c r="AS551" s="367"/>
      <c r="AT551"/>
      <c r="AU551"/>
      <c r="AV551"/>
      <c r="AW551"/>
      <c r="AX551"/>
      <c r="AY551"/>
      <c r="AZ551"/>
      <c r="BA551"/>
      <c r="BB551"/>
      <c r="BC551"/>
      <c r="BD551"/>
      <c r="BE551"/>
      <c r="BF551"/>
      <c r="BG551"/>
      <c r="BH551"/>
      <c r="BI551"/>
      <c r="BJ551"/>
      <c r="BK551"/>
      <c r="BL551"/>
      <c r="BM551"/>
    </row>
    <row r="552" spans="35:65" ht="12.75" customHeight="1" thickBot="1">
      <c r="AI552" s="364"/>
      <c r="AJ552" s="892"/>
      <c r="AK552" s="893"/>
      <c r="AL552" s="893"/>
      <c r="AM552" s="893"/>
      <c r="AN552" s="893"/>
      <c r="AO552" s="894"/>
      <c r="AP552" s="364"/>
      <c r="AQ552" s="364"/>
      <c r="AR552" s="364"/>
      <c r="AS552" s="367"/>
      <c r="AT552"/>
      <c r="AU552"/>
      <c r="AV552"/>
      <c r="AW552"/>
      <c r="AX552"/>
      <c r="AY552"/>
      <c r="AZ552"/>
      <c r="BA552"/>
      <c r="BB552"/>
      <c r="BC552"/>
      <c r="BD552"/>
      <c r="BE552"/>
      <c r="BF552"/>
      <c r="BG552"/>
      <c r="BH552"/>
      <c r="BI552"/>
      <c r="BJ552"/>
      <c r="BK552"/>
      <c r="BL552"/>
      <c r="BM552"/>
    </row>
    <row r="553" spans="35:65" ht="12.75" customHeight="1">
      <c r="AI553" s="364"/>
      <c r="AJ553" s="895" t="s">
        <v>886</v>
      </c>
      <c r="AK553" s="896"/>
      <c r="AL553" s="900" t="s">
        <v>835</v>
      </c>
      <c r="AM553" s="900" t="s">
        <v>836</v>
      </c>
      <c r="AN553" s="900" t="s">
        <v>837</v>
      </c>
      <c r="AO553" s="902" t="s">
        <v>838</v>
      </c>
      <c r="AP553" s="364"/>
      <c r="AQ553" s="364"/>
      <c r="AR553" s="364"/>
      <c r="AS553" s="367"/>
      <c r="AT553"/>
      <c r="AU553"/>
      <c r="AV553"/>
      <c r="AW553"/>
      <c r="AX553"/>
      <c r="AY553"/>
      <c r="AZ553"/>
      <c r="BA553"/>
      <c r="BB553"/>
      <c r="BC553"/>
      <c r="BD553"/>
      <c r="BE553"/>
      <c r="BF553"/>
      <c r="BG553"/>
      <c r="BH553"/>
      <c r="BI553"/>
      <c r="BJ553"/>
      <c r="BK553"/>
      <c r="BL553"/>
      <c r="BM553"/>
    </row>
    <row r="554" spans="35:65" ht="12.75" customHeight="1">
      <c r="AI554" s="364"/>
      <c r="AJ554" s="892"/>
      <c r="AK554" s="897"/>
      <c r="AL554" s="901"/>
      <c r="AM554" s="901"/>
      <c r="AN554" s="901"/>
      <c r="AO554" s="903"/>
      <c r="AP554" s="364"/>
      <c r="AQ554" s="364"/>
      <c r="AR554" s="364"/>
      <c r="AS554" s="367"/>
      <c r="AT554"/>
      <c r="AU554"/>
      <c r="AV554"/>
      <c r="AW554"/>
      <c r="AX554"/>
      <c r="AY554"/>
      <c r="AZ554"/>
      <c r="BA554"/>
      <c r="BB554"/>
      <c r="BC554"/>
      <c r="BD554"/>
      <c r="BE554"/>
      <c r="BF554"/>
      <c r="BG554"/>
      <c r="BH554"/>
      <c r="BI554"/>
      <c r="BJ554"/>
      <c r="BK554"/>
      <c r="BL554"/>
      <c r="BM554"/>
    </row>
    <row r="555" spans="35:65" ht="12.75" customHeight="1">
      <c r="AI555" s="364"/>
      <c r="AJ555" s="892"/>
      <c r="AK555" s="897"/>
      <c r="AL555" s="704">
        <f>AL542-PPE!$I$15</f>
        <v>91.175066556366886</v>
      </c>
      <c r="AM555" s="560">
        <f>AM549</f>
        <v>2.6666666666666665</v>
      </c>
      <c r="AN555" s="690">
        <f>IF(AL555&gt;0,AO555*AM555," ")</f>
        <v>138.33333333333331</v>
      </c>
      <c r="AO555" s="691">
        <f>IF(AL555&gt;0,(VLOOKUP(AL555,'Lookup Ready-reckoner'!$B$5:$E$1207,4))," ")</f>
        <v>51.875</v>
      </c>
      <c r="AP555" s="364"/>
      <c r="AQ555" s="364"/>
      <c r="AR555" s="364"/>
      <c r="AS555" s="367"/>
      <c r="AT555"/>
      <c r="AU555"/>
      <c r="AV555"/>
      <c r="AW555"/>
      <c r="AX555"/>
      <c r="AY555"/>
      <c r="AZ555"/>
      <c r="BA555"/>
      <c r="BB555"/>
      <c r="BC555"/>
      <c r="BD555"/>
      <c r="BE555"/>
      <c r="BF555"/>
      <c r="BG555"/>
      <c r="BH555"/>
      <c r="BI555"/>
      <c r="BJ555"/>
      <c r="BK555"/>
      <c r="BL555"/>
      <c r="BM555"/>
    </row>
    <row r="556" spans="35:65" ht="12.75" customHeight="1">
      <c r="AI556" s="364"/>
      <c r="AJ556" s="898"/>
      <c r="AK556" s="899"/>
      <c r="AL556" s="447"/>
      <c r="AM556" s="560"/>
      <c r="AN556" s="690" t="str">
        <f>IF(AL556&gt;0,AO556*AM556," ")</f>
        <v xml:space="preserve"> </v>
      </c>
      <c r="AO556" s="691" t="str">
        <f>IF(AL556&gt;0,(VLOOKUP(AL556,'Lookup Ready-reckoner'!$B$5:$E$1007,4))," ")</f>
        <v xml:space="preserve"> </v>
      </c>
      <c r="AP556" s="364"/>
      <c r="AQ556" s="364"/>
      <c r="AR556" s="364"/>
      <c r="AS556" s="367"/>
      <c r="AT556"/>
      <c r="AU556"/>
      <c r="AV556"/>
      <c r="AW556"/>
      <c r="AX556"/>
      <c r="AY556"/>
      <c r="AZ556"/>
      <c r="BA556"/>
      <c r="BB556"/>
      <c r="BC556"/>
      <c r="BD556"/>
      <c r="BE556"/>
      <c r="BF556"/>
      <c r="BG556"/>
      <c r="BH556"/>
      <c r="BI556"/>
      <c r="BJ556"/>
      <c r="BK556"/>
      <c r="BL556"/>
      <c r="BM556"/>
    </row>
    <row r="557" spans="35:65" ht="12.75" customHeight="1" thickBot="1">
      <c r="AI557" s="364"/>
      <c r="AJ557" s="692" t="s">
        <v>839</v>
      </c>
      <c r="AK557" s="693"/>
      <c r="AL557" s="693"/>
      <c r="AM557" s="705">
        <f>IF(AL555&gt;0,(VLOOKUP(AN557,'Lookup Ready-reckoner'!$L$5:$M$1207,2))," ")</f>
        <v>86.35</v>
      </c>
      <c r="AN557" s="695">
        <f>IF(AM555&gt;0,(SUM(AN555:AN556))," ")</f>
        <v>138.33333333333331</v>
      </c>
      <c r="AO557" s="696"/>
      <c r="AP557" s="364"/>
      <c r="AQ557" s="364"/>
      <c r="AR557" s="364"/>
      <c r="AS557" s="367"/>
      <c r="AT557"/>
      <c r="AU557"/>
      <c r="AV557"/>
      <c r="AW557"/>
      <c r="AX557"/>
      <c r="AY557"/>
      <c r="AZ557"/>
      <c r="BA557"/>
      <c r="BB557"/>
      <c r="BC557"/>
      <c r="BD557"/>
      <c r="BE557"/>
      <c r="BF557"/>
      <c r="BG557"/>
      <c r="BH557"/>
      <c r="BI557"/>
      <c r="BJ557"/>
      <c r="BK557"/>
      <c r="BL557"/>
      <c r="BM557"/>
    </row>
    <row r="558" spans="35:65" ht="12.75" customHeight="1">
      <c r="AI558" s="364"/>
      <c r="AJ558" s="364"/>
      <c r="AK558" s="364"/>
      <c r="AL558" s="364"/>
      <c r="AM558" s="364"/>
      <c r="AN558" s="364"/>
      <c r="AO558" s="364"/>
      <c r="AP558" s="364"/>
      <c r="AQ558" s="364"/>
      <c r="AR558" s="364"/>
      <c r="AS558" s="367"/>
      <c r="AT558"/>
      <c r="AU558"/>
      <c r="AV558"/>
      <c r="AW558"/>
      <c r="AX558"/>
      <c r="AY558"/>
      <c r="AZ558"/>
      <c r="BA558"/>
      <c r="BB558"/>
      <c r="BC558"/>
      <c r="BD558"/>
      <c r="BE558"/>
      <c r="BF558"/>
      <c r="BG558"/>
      <c r="BH558"/>
      <c r="BI558"/>
      <c r="BJ558"/>
      <c r="BK558"/>
      <c r="BL558"/>
      <c r="BM558"/>
    </row>
    <row r="559" spans="35:65" ht="12.75" customHeight="1">
      <c r="AI559" s="23"/>
      <c r="AJ559" s="23"/>
      <c r="AK559" s="23"/>
      <c r="AL559" s="23"/>
      <c r="AM559" s="23"/>
      <c r="AN559" s="23"/>
      <c r="AO559" s="23"/>
      <c r="AP559" s="23"/>
      <c r="AQ559" s="23"/>
      <c r="AR559" s="23"/>
      <c r="AS559"/>
      <c r="AT559"/>
      <c r="AU559"/>
      <c r="AV559"/>
      <c r="AW559"/>
      <c r="AX559"/>
      <c r="AY559"/>
      <c r="AZ559"/>
      <c r="BA559"/>
      <c r="BB559"/>
      <c r="BC559"/>
      <c r="BD559"/>
      <c r="BE559"/>
      <c r="BF559"/>
      <c r="BG559"/>
      <c r="BH559"/>
      <c r="BI559"/>
      <c r="BJ559"/>
      <c r="BK559"/>
      <c r="BL559"/>
      <c r="BM559"/>
    </row>
    <row r="560" spans="35:65" ht="12.75" customHeight="1">
      <c r="AI560" s="23"/>
      <c r="AJ560" s="23"/>
      <c r="AK560" s="23"/>
      <c r="AL560" s="23"/>
      <c r="AM560" s="23"/>
      <c r="AN560" s="23"/>
      <c r="AO560" s="23"/>
      <c r="AP560" s="23"/>
      <c r="AQ560" s="23"/>
      <c r="AR560" s="23"/>
      <c r="AS560"/>
      <c r="AT560"/>
      <c r="AU560"/>
      <c r="AV560"/>
      <c r="AW560"/>
      <c r="AX560"/>
      <c r="AY560"/>
      <c r="AZ560"/>
      <c r="BA560"/>
      <c r="BB560"/>
      <c r="BC560"/>
      <c r="BD560"/>
      <c r="BE560"/>
      <c r="BF560"/>
      <c r="BG560"/>
      <c r="BH560"/>
      <c r="BI560"/>
      <c r="BJ560"/>
      <c r="BK560"/>
      <c r="BL560"/>
      <c r="BM560"/>
    </row>
    <row r="561" spans="35:65" ht="12.75" customHeight="1">
      <c r="AI561" s="23"/>
      <c r="AJ561" s="23"/>
      <c r="AK561" s="23"/>
      <c r="AL561" s="23"/>
      <c r="AM561" s="23"/>
      <c r="AN561" s="23"/>
      <c r="AO561" s="23"/>
      <c r="AP561" s="23"/>
      <c r="AQ561" s="23"/>
      <c r="AR561" s="23"/>
      <c r="AS561"/>
      <c r="AT561"/>
      <c r="AU561"/>
      <c r="AV561"/>
      <c r="AW561"/>
      <c r="AX561"/>
      <c r="AY561"/>
      <c r="AZ561"/>
      <c r="BA561"/>
      <c r="BB561"/>
      <c r="BC561"/>
      <c r="BD561"/>
      <c r="BE561"/>
      <c r="BF561"/>
      <c r="BG561"/>
      <c r="BH561"/>
      <c r="BI561"/>
      <c r="BJ561"/>
      <c r="BK561"/>
      <c r="BL561"/>
      <c r="BM561"/>
    </row>
    <row r="562" spans="35:65" ht="12.75" customHeight="1">
      <c r="AI562" s="23"/>
      <c r="AJ562" s="23"/>
      <c r="AK562" s="23"/>
      <c r="AL562" s="23"/>
      <c r="AM562" s="23"/>
      <c r="AN562" s="23"/>
      <c r="AO562" s="23"/>
      <c r="AP562" s="23"/>
      <c r="AQ562" s="23"/>
      <c r="AR562" s="23"/>
      <c r="AS562"/>
      <c r="AT562"/>
      <c r="AU562"/>
      <c r="AV562"/>
      <c r="AW562"/>
      <c r="AX562"/>
      <c r="AY562"/>
      <c r="AZ562"/>
      <c r="BA562"/>
      <c r="BB562"/>
      <c r="BC562"/>
      <c r="BD562"/>
      <c r="BE562"/>
      <c r="BF562"/>
      <c r="BG562"/>
      <c r="BH562"/>
      <c r="BI562"/>
      <c r="BJ562"/>
      <c r="BK562"/>
      <c r="BL562"/>
      <c r="BM562"/>
    </row>
    <row r="563" spans="35:65" ht="12.75" customHeight="1">
      <c r="AI563" s="23"/>
      <c r="AJ563" s="23"/>
      <c r="AK563" s="23"/>
      <c r="AL563" s="23"/>
      <c r="AM563" s="23"/>
      <c r="AN563" s="23"/>
      <c r="AO563" s="23"/>
      <c r="AP563" s="23"/>
      <c r="AQ563" s="23"/>
      <c r="AR563" s="23"/>
      <c r="AS563"/>
      <c r="AT563"/>
      <c r="AU563"/>
      <c r="AV563"/>
      <c r="AW563"/>
      <c r="AX563"/>
      <c r="AY563"/>
      <c r="AZ563"/>
      <c r="BA563"/>
      <c r="BB563"/>
      <c r="BC563"/>
      <c r="BD563"/>
      <c r="BE563"/>
      <c r="BF563"/>
      <c r="BG563"/>
      <c r="BH563"/>
      <c r="BI563"/>
      <c r="BJ563"/>
      <c r="BK563"/>
      <c r="BL563"/>
      <c r="BM563"/>
    </row>
    <row r="564" spans="35:65" ht="12.75" customHeight="1">
      <c r="AI564" s="23"/>
      <c r="AJ564" s="23"/>
      <c r="AK564" s="23"/>
      <c r="AL564" s="23"/>
      <c r="AM564" s="23"/>
      <c r="AN564" s="23"/>
      <c r="AO564" s="23"/>
      <c r="AP564" s="23"/>
      <c r="AQ564" s="23"/>
      <c r="AR564" s="23"/>
      <c r="AS564"/>
      <c r="AT564"/>
      <c r="AU564"/>
      <c r="AV564"/>
      <c r="AW564"/>
      <c r="AX564"/>
      <c r="AY564"/>
      <c r="AZ564"/>
      <c r="BA564"/>
      <c r="BB564"/>
      <c r="BC564"/>
      <c r="BD564"/>
      <c r="BE564"/>
      <c r="BF564"/>
      <c r="BG564"/>
      <c r="BH564"/>
      <c r="BI564"/>
      <c r="BJ564"/>
      <c r="BK564"/>
      <c r="BL564"/>
      <c r="BM564"/>
    </row>
    <row r="565" spans="35:65" ht="12.75" customHeight="1">
      <c r="AI565" s="23"/>
      <c r="AJ565" s="23"/>
      <c r="AK565" s="23"/>
      <c r="AL565" s="23"/>
      <c r="AM565" s="23"/>
      <c r="AN565" s="23"/>
      <c r="AO565" s="23"/>
      <c r="AP565" s="23"/>
      <c r="AQ565" s="23"/>
      <c r="AR565" s="23"/>
      <c r="AS565"/>
      <c r="AT565"/>
      <c r="AU565"/>
      <c r="AV565"/>
      <c r="AW565"/>
      <c r="AX565"/>
      <c r="AY565"/>
      <c r="AZ565"/>
      <c r="BA565"/>
      <c r="BB565"/>
      <c r="BC565"/>
      <c r="BD565"/>
      <c r="BE565"/>
      <c r="BF565"/>
      <c r="BG565"/>
      <c r="BH565"/>
      <c r="BI565"/>
      <c r="BJ565"/>
      <c r="BK565"/>
      <c r="BL565"/>
      <c r="BM565"/>
    </row>
    <row r="566" spans="35:65" ht="12.75" customHeight="1">
      <c r="AI566" s="23"/>
      <c r="AJ566" s="23"/>
      <c r="AK566" s="23"/>
      <c r="AL566" s="23"/>
      <c r="AM566" s="23"/>
      <c r="AN566" s="23"/>
      <c r="AO566" s="23"/>
      <c r="AP566" s="23"/>
      <c r="AQ566" s="23"/>
      <c r="AR566" s="23"/>
      <c r="AS566"/>
      <c r="AT566"/>
      <c r="AU566"/>
      <c r="AV566"/>
      <c r="AW566"/>
      <c r="AX566"/>
      <c r="AY566"/>
      <c r="AZ566"/>
      <c r="BA566"/>
      <c r="BB566"/>
      <c r="BC566"/>
      <c r="BD566"/>
      <c r="BE566"/>
      <c r="BF566"/>
      <c r="BG566"/>
      <c r="BH566"/>
      <c r="BI566"/>
      <c r="BJ566"/>
      <c r="BK566"/>
      <c r="BL566"/>
      <c r="BM566"/>
    </row>
    <row r="567" spans="35:65" ht="12.75" customHeight="1">
      <c r="AI567" s="23"/>
      <c r="AJ567" s="23"/>
      <c r="AK567" s="23"/>
      <c r="AL567" s="23"/>
      <c r="AM567" s="23"/>
      <c r="AN567" s="23"/>
      <c r="AO567" s="23"/>
      <c r="AP567" s="23"/>
      <c r="AQ567" s="23"/>
      <c r="AR567" s="23"/>
      <c r="AS567"/>
      <c r="AT567"/>
      <c r="AU567"/>
      <c r="AV567"/>
      <c r="AW567"/>
      <c r="AX567"/>
      <c r="AY567"/>
      <c r="AZ567"/>
      <c r="BA567"/>
      <c r="BB567"/>
      <c r="BC567"/>
      <c r="BD567"/>
      <c r="BE567"/>
      <c r="BF567"/>
      <c r="BG567"/>
      <c r="BH567"/>
      <c r="BI567"/>
      <c r="BJ567"/>
      <c r="BK567"/>
      <c r="BL567"/>
      <c r="BM567"/>
    </row>
    <row r="568" spans="35:65" ht="12.75" customHeight="1">
      <c r="AI568" s="23"/>
      <c r="AJ568" s="23"/>
      <c r="AK568" s="23"/>
      <c r="AL568" s="23"/>
      <c r="AM568" s="23"/>
      <c r="AN568" s="23"/>
      <c r="AO568" s="23"/>
      <c r="AP568" s="23"/>
      <c r="AQ568" s="23"/>
      <c r="AR568" s="23"/>
      <c r="AS568"/>
      <c r="AT568"/>
      <c r="AU568"/>
      <c r="AV568"/>
      <c r="AW568"/>
      <c r="AX568"/>
      <c r="AY568"/>
      <c r="AZ568"/>
      <c r="BA568"/>
      <c r="BB568"/>
      <c r="BC568"/>
      <c r="BD568"/>
      <c r="BE568"/>
      <c r="BF568"/>
      <c r="BG568"/>
      <c r="BH568"/>
      <c r="BI568"/>
      <c r="BJ568"/>
      <c r="BK568"/>
      <c r="BL568"/>
      <c r="BM568"/>
    </row>
    <row r="569" spans="35:65" ht="12.75" customHeight="1">
      <c r="AI569" s="23"/>
      <c r="AJ569" s="23"/>
      <c r="AK569" s="23"/>
      <c r="AL569" s="23"/>
      <c r="AM569" s="23"/>
      <c r="AN569" s="23"/>
      <c r="AO569" s="23"/>
      <c r="AP569" s="23"/>
      <c r="AQ569" s="23"/>
      <c r="AR569" s="23"/>
      <c r="AS569"/>
      <c r="AT569"/>
      <c r="AU569"/>
      <c r="AV569"/>
      <c r="AW569"/>
      <c r="AX569"/>
      <c r="AY569"/>
      <c r="AZ569"/>
      <c r="BA569"/>
      <c r="BB569"/>
      <c r="BC569"/>
      <c r="BD569"/>
      <c r="BE569"/>
      <c r="BF569"/>
      <c r="BG569"/>
      <c r="BH569"/>
      <c r="BI569"/>
      <c r="BJ569"/>
      <c r="BK569"/>
      <c r="BL569"/>
      <c r="BM569"/>
    </row>
    <row r="570" spans="35:65" ht="12.75" customHeight="1">
      <c r="AI570" s="23"/>
      <c r="AJ570" s="23"/>
      <c r="AK570" s="23"/>
      <c r="AL570" s="23"/>
      <c r="AM570" s="23"/>
      <c r="AN570" s="23"/>
      <c r="AO570" s="23"/>
      <c r="AP570" s="23"/>
      <c r="AQ570" s="23"/>
      <c r="AR570" s="23"/>
      <c r="AS570"/>
      <c r="AT570"/>
      <c r="AU570"/>
      <c r="AV570"/>
      <c r="AW570"/>
      <c r="AX570"/>
      <c r="AY570"/>
      <c r="AZ570"/>
      <c r="BA570"/>
      <c r="BB570"/>
      <c r="BC570"/>
      <c r="BD570"/>
      <c r="BE570"/>
      <c r="BF570"/>
      <c r="BG570"/>
      <c r="BH570"/>
      <c r="BI570"/>
      <c r="BJ570"/>
      <c r="BK570"/>
      <c r="BL570"/>
      <c r="BM570"/>
    </row>
    <row r="571" spans="35:65" ht="12.75" customHeight="1">
      <c r="AI571" s="23"/>
      <c r="AJ571" s="23"/>
      <c r="AK571" s="23"/>
      <c r="AL571" s="23"/>
      <c r="AM571" s="23"/>
      <c r="AN571" s="23"/>
      <c r="AO571" s="23"/>
      <c r="AP571" s="23"/>
      <c r="AQ571" s="23"/>
      <c r="AR571" s="23"/>
      <c r="AS571"/>
      <c r="AT571"/>
      <c r="AU571"/>
      <c r="AV571"/>
      <c r="AW571"/>
      <c r="AX571"/>
      <c r="AY571"/>
      <c r="AZ571"/>
      <c r="BA571"/>
      <c r="BB571"/>
      <c r="BC571"/>
      <c r="BD571"/>
      <c r="BE571"/>
      <c r="BF571"/>
      <c r="BG571"/>
      <c r="BH571"/>
      <c r="BI571"/>
      <c r="BJ571"/>
      <c r="BK571"/>
      <c r="BL571"/>
      <c r="BM571"/>
    </row>
    <row r="572" spans="35:65" ht="12.75" customHeight="1">
      <c r="AI572" s="23"/>
      <c r="AJ572" s="23"/>
      <c r="AK572" s="23"/>
      <c r="AL572" s="23"/>
      <c r="AM572" s="23"/>
      <c r="AN572" s="23"/>
      <c r="AO572" s="23"/>
      <c r="AP572" s="23"/>
      <c r="AQ572" s="23"/>
      <c r="AR572" s="23"/>
      <c r="AS572"/>
      <c r="AT572"/>
      <c r="AU572"/>
      <c r="AV572"/>
      <c r="AW572"/>
      <c r="AX572"/>
      <c r="AY572"/>
      <c r="AZ572"/>
      <c r="BA572"/>
      <c r="BB572"/>
      <c r="BC572"/>
      <c r="BD572"/>
      <c r="BE572"/>
      <c r="BF572"/>
      <c r="BG572"/>
      <c r="BH572"/>
      <c r="BI572"/>
      <c r="BJ572"/>
      <c r="BK572"/>
      <c r="BL572"/>
      <c r="BM572"/>
    </row>
    <row r="573" spans="35:65" ht="12.75" customHeight="1">
      <c r="AI573" s="23"/>
      <c r="AJ573" s="23"/>
      <c r="AK573" s="23"/>
      <c r="AL573" s="23"/>
      <c r="AM573" s="23"/>
      <c r="AN573" s="23"/>
      <c r="AO573" s="23"/>
      <c r="AP573" s="23"/>
      <c r="AQ573" s="23"/>
      <c r="AR573" s="23"/>
      <c r="AS573"/>
      <c r="AT573"/>
      <c r="AU573"/>
      <c r="AV573"/>
      <c r="AW573"/>
      <c r="AX573"/>
      <c r="AY573"/>
      <c r="AZ573"/>
      <c r="BA573"/>
      <c r="BB573"/>
      <c r="BC573"/>
      <c r="BD573"/>
      <c r="BE573"/>
      <c r="BF573"/>
      <c r="BG573"/>
      <c r="BH573"/>
      <c r="BI573"/>
      <c r="BJ573"/>
      <c r="BK573"/>
      <c r="BL573"/>
      <c r="BM573"/>
    </row>
    <row r="574" spans="35:65" ht="12.75" customHeight="1">
      <c r="AI574" s="23"/>
      <c r="AJ574" s="23"/>
      <c r="AK574" s="23"/>
      <c r="AL574" s="23"/>
      <c r="AM574" s="23"/>
      <c r="AN574" s="23"/>
      <c r="AO574" s="23"/>
      <c r="AP574" s="23"/>
      <c r="AQ574" s="23"/>
      <c r="AR574" s="23"/>
      <c r="AS574"/>
      <c r="AT574"/>
      <c r="AU574"/>
      <c r="AV574"/>
      <c r="AW574"/>
      <c r="AX574"/>
      <c r="AY574"/>
      <c r="AZ574"/>
      <c r="BA574"/>
      <c r="BB574"/>
      <c r="BC574"/>
      <c r="BD574"/>
      <c r="BE574"/>
      <c r="BF574"/>
      <c r="BG574"/>
      <c r="BH574"/>
      <c r="BI574"/>
      <c r="BJ574"/>
      <c r="BK574"/>
      <c r="BL574"/>
      <c r="BM574"/>
    </row>
    <row r="575" spans="35:65" ht="12.75" customHeight="1">
      <c r="AI575" s="23"/>
      <c r="AJ575" s="23"/>
      <c r="AK575" s="23"/>
      <c r="AL575" s="23"/>
      <c r="AM575" s="23"/>
      <c r="AN575" s="23"/>
      <c r="AO575" s="23"/>
      <c r="AP575" s="23"/>
      <c r="AQ575" s="23"/>
      <c r="AR575" s="23"/>
      <c r="AS575"/>
      <c r="AT575"/>
      <c r="AU575"/>
      <c r="AV575"/>
      <c r="AW575"/>
      <c r="AX575"/>
      <c r="AY575"/>
      <c r="AZ575"/>
      <c r="BA575"/>
      <c r="BB575"/>
      <c r="BC575"/>
      <c r="BD575"/>
      <c r="BE575"/>
      <c r="BF575"/>
      <c r="BG575"/>
      <c r="BH575"/>
      <c r="BI575"/>
      <c r="BJ575"/>
      <c r="BK575"/>
      <c r="BL575"/>
      <c r="BM575"/>
    </row>
    <row r="576" spans="35:65" ht="12.75" customHeight="1">
      <c r="AI576" s="23"/>
      <c r="AJ576" s="23"/>
      <c r="AK576" s="23"/>
      <c r="AL576" s="23"/>
      <c r="AM576" s="23"/>
      <c r="AN576" s="23"/>
      <c r="AO576" s="23"/>
      <c r="AP576" s="23"/>
      <c r="AQ576" s="23"/>
      <c r="AR576" s="23"/>
      <c r="AS576"/>
      <c r="AT576"/>
      <c r="AU576"/>
      <c r="AV576"/>
      <c r="AW576"/>
      <c r="AX576"/>
      <c r="AY576"/>
      <c r="AZ576"/>
      <c r="BA576"/>
      <c r="BB576"/>
      <c r="BC576"/>
      <c r="BD576"/>
      <c r="BE576"/>
      <c r="BF576"/>
      <c r="BG576"/>
      <c r="BH576"/>
      <c r="BI576"/>
      <c r="BJ576"/>
      <c r="BK576"/>
      <c r="BL576"/>
      <c r="BM576"/>
    </row>
    <row r="577" spans="35:65" ht="12.75" customHeight="1">
      <c r="AI577" s="23"/>
      <c r="AJ577" s="23"/>
      <c r="AK577" s="23"/>
      <c r="AL577" s="23"/>
      <c r="AM577" s="23"/>
      <c r="AN577" s="23"/>
      <c r="AO577" s="23"/>
      <c r="AP577" s="23"/>
      <c r="AQ577" s="23"/>
      <c r="AR577" s="23"/>
      <c r="AS577"/>
      <c r="AT577"/>
      <c r="AU577"/>
      <c r="AV577"/>
      <c r="AW577"/>
      <c r="AX577"/>
      <c r="AY577"/>
      <c r="AZ577"/>
      <c r="BA577"/>
      <c r="BB577"/>
      <c r="BC577"/>
      <c r="BD577"/>
      <c r="BE577"/>
      <c r="BF577"/>
      <c r="BG577"/>
      <c r="BH577"/>
      <c r="BI577"/>
      <c r="BJ577"/>
      <c r="BK577"/>
      <c r="BL577"/>
      <c r="BM577"/>
    </row>
    <row r="578" spans="35:65" ht="12.75" customHeight="1">
      <c r="AI578" s="23"/>
      <c r="AJ578" s="23"/>
      <c r="AK578" s="23"/>
      <c r="AL578" s="23"/>
      <c r="AM578" s="23"/>
      <c r="AN578" s="23"/>
      <c r="AO578" s="23"/>
      <c r="AP578" s="23"/>
      <c r="AQ578" s="23"/>
      <c r="AR578" s="23"/>
      <c r="AS578"/>
      <c r="AT578"/>
      <c r="AU578"/>
      <c r="AV578"/>
      <c r="AW578"/>
      <c r="AX578"/>
      <c r="AY578"/>
      <c r="AZ578"/>
      <c r="BA578"/>
      <c r="BB578"/>
      <c r="BC578"/>
      <c r="BD578"/>
      <c r="BE578"/>
      <c r="BF578"/>
      <c r="BG578"/>
      <c r="BH578"/>
      <c r="BI578"/>
      <c r="BJ578"/>
      <c r="BK578"/>
      <c r="BL578"/>
      <c r="BM578"/>
    </row>
    <row r="579" spans="35:65" ht="12.75" customHeight="1">
      <c r="AI579" s="23"/>
      <c r="AJ579" s="23"/>
      <c r="AK579" s="23"/>
      <c r="AL579" s="23"/>
      <c r="AM579" s="23"/>
      <c r="AN579" s="23"/>
      <c r="AO579" s="23"/>
      <c r="AP579" s="23"/>
      <c r="AQ579" s="23"/>
      <c r="AR579" s="23"/>
      <c r="AS579"/>
      <c r="AT579"/>
      <c r="AU579"/>
      <c r="AV579"/>
      <c r="AW579"/>
      <c r="AX579"/>
      <c r="AY579"/>
      <c r="AZ579"/>
      <c r="BA579"/>
      <c r="BB579"/>
      <c r="BC579"/>
      <c r="BD579"/>
      <c r="BE579"/>
      <c r="BF579"/>
      <c r="BG579"/>
      <c r="BH579"/>
      <c r="BI579"/>
      <c r="BJ579"/>
      <c r="BK579"/>
      <c r="BL579"/>
      <c r="BM579"/>
    </row>
    <row r="580" spans="35:65" ht="12.75" customHeight="1">
      <c r="AI580" s="23"/>
      <c r="AJ580" s="23"/>
      <c r="AK580" s="23"/>
      <c r="AL580" s="23"/>
      <c r="AM580" s="23"/>
      <c r="AN580" s="23"/>
      <c r="AO580" s="23"/>
      <c r="AP580" s="23"/>
      <c r="AQ580" s="23"/>
      <c r="AR580" s="23"/>
      <c r="AS580"/>
      <c r="AT580"/>
      <c r="AU580"/>
      <c r="AV580"/>
      <c r="AW580"/>
      <c r="AX580"/>
      <c r="AY580"/>
      <c r="AZ580"/>
      <c r="BA580"/>
      <c r="BB580"/>
      <c r="BC580"/>
      <c r="BD580"/>
      <c r="BE580"/>
      <c r="BF580"/>
      <c r="BG580"/>
      <c r="BH580"/>
      <c r="BI580"/>
      <c r="BJ580"/>
      <c r="BK580"/>
      <c r="BL580"/>
      <c r="BM580"/>
    </row>
    <row r="581" spans="35:65" ht="12.75" customHeight="1">
      <c r="AI581" s="23"/>
      <c r="AJ581" s="23"/>
      <c r="AK581" s="23"/>
      <c r="AL581" s="23"/>
      <c r="AM581" s="23"/>
      <c r="AN581" s="23"/>
      <c r="AO581" s="23"/>
      <c r="AP581" s="23"/>
      <c r="AQ581" s="23"/>
      <c r="AR581" s="23"/>
      <c r="AS581"/>
      <c r="AT581"/>
      <c r="AU581"/>
      <c r="AV581"/>
      <c r="AW581"/>
      <c r="AX581"/>
      <c r="AY581"/>
      <c r="AZ581"/>
      <c r="BA581"/>
      <c r="BB581"/>
      <c r="BC581"/>
      <c r="BD581"/>
      <c r="BE581"/>
      <c r="BF581"/>
      <c r="BG581"/>
      <c r="BH581"/>
      <c r="BI581"/>
      <c r="BJ581"/>
      <c r="BK581"/>
      <c r="BL581"/>
      <c r="BM581"/>
    </row>
    <row r="582" spans="35:65" ht="12.75" customHeight="1">
      <c r="AI582" s="23"/>
      <c r="AJ582" s="23"/>
      <c r="AK582" s="23"/>
      <c r="AL582" s="23"/>
      <c r="AM582" s="23"/>
      <c r="AN582" s="23"/>
      <c r="AO582" s="23"/>
      <c r="AP582" s="23"/>
      <c r="AQ582" s="23"/>
      <c r="AR582" s="23"/>
      <c r="AS582"/>
      <c r="AT582"/>
      <c r="AU582"/>
      <c r="AV582"/>
      <c r="AW582"/>
      <c r="AX582"/>
      <c r="AY582"/>
      <c r="AZ582"/>
      <c r="BA582"/>
      <c r="BB582"/>
      <c r="BC582"/>
      <c r="BD582"/>
      <c r="BE582"/>
      <c r="BF582"/>
      <c r="BG582"/>
      <c r="BH582"/>
      <c r="BI582"/>
      <c r="BJ582"/>
      <c r="BK582"/>
      <c r="BL582"/>
      <c r="BM582"/>
    </row>
    <row r="583" spans="35:65" ht="12.75" customHeight="1">
      <c r="AI583" s="23"/>
      <c r="AJ583" s="23"/>
      <c r="AK583" s="23"/>
      <c r="AL583" s="23"/>
      <c r="AM583" s="23"/>
      <c r="AN583" s="23"/>
      <c r="AO583" s="23"/>
      <c r="AP583" s="23"/>
      <c r="AQ583" s="23"/>
      <c r="AR583" s="23"/>
      <c r="AS583"/>
      <c r="AT583"/>
      <c r="AU583"/>
      <c r="AV583"/>
      <c r="AW583"/>
      <c r="AX583"/>
      <c r="AY583"/>
      <c r="AZ583"/>
      <c r="BA583"/>
      <c r="BB583"/>
      <c r="BC583"/>
      <c r="BD583"/>
      <c r="BE583"/>
      <c r="BF583"/>
      <c r="BG583"/>
      <c r="BH583"/>
      <c r="BI583"/>
      <c r="BJ583"/>
      <c r="BK583"/>
      <c r="BL583"/>
      <c r="BM583"/>
    </row>
    <row r="584" spans="35:65" ht="12.75" customHeight="1">
      <c r="AI584" s="23"/>
      <c r="AJ584" s="23"/>
      <c r="AK584" s="23"/>
      <c r="AL584" s="23"/>
      <c r="AM584" s="23"/>
      <c r="AN584" s="23"/>
      <c r="AO584" s="23"/>
      <c r="AP584" s="23"/>
      <c r="AQ584" s="23"/>
      <c r="AR584" s="23"/>
      <c r="AS584"/>
      <c r="AT584"/>
      <c r="AU584"/>
      <c r="AV584"/>
      <c r="AW584"/>
      <c r="AX584"/>
      <c r="AY584"/>
      <c r="AZ584"/>
      <c r="BA584"/>
      <c r="BB584"/>
      <c r="BC584"/>
      <c r="BD584"/>
      <c r="BE584"/>
      <c r="BF584"/>
      <c r="BG584"/>
      <c r="BH584"/>
      <c r="BI584"/>
      <c r="BJ584"/>
      <c r="BK584"/>
      <c r="BL584"/>
      <c r="BM584"/>
    </row>
    <row r="585" spans="35:65" ht="12.75" customHeight="1">
      <c r="AI585" s="23"/>
      <c r="AJ585" s="23"/>
      <c r="AK585" s="23"/>
      <c r="AL585" s="23"/>
      <c r="AM585" s="23"/>
      <c r="AN585" s="23"/>
      <c r="AO585" s="23"/>
      <c r="AP585" s="23"/>
      <c r="AQ585" s="23"/>
      <c r="AR585" s="23"/>
      <c r="AS585"/>
      <c r="AT585"/>
      <c r="AU585"/>
      <c r="AV585"/>
      <c r="AW585"/>
      <c r="AX585"/>
      <c r="AY585"/>
      <c r="AZ585"/>
      <c r="BA585"/>
      <c r="BB585"/>
      <c r="BC585"/>
      <c r="BD585"/>
      <c r="BE585"/>
      <c r="BF585"/>
      <c r="BG585"/>
      <c r="BH585"/>
      <c r="BI585"/>
      <c r="BJ585"/>
      <c r="BK585"/>
      <c r="BL585"/>
      <c r="BM585"/>
    </row>
    <row r="586" spans="35:65" ht="12.75" customHeight="1">
      <c r="AI586" s="23"/>
      <c r="AJ586" s="23"/>
      <c r="AK586" s="23"/>
      <c r="AL586" s="23"/>
      <c r="AM586" s="23"/>
      <c r="AN586" s="23"/>
      <c r="AO586" s="23"/>
      <c r="AP586" s="23"/>
      <c r="AQ586" s="23"/>
      <c r="AR586" s="23"/>
      <c r="AS586"/>
      <c r="AT586"/>
      <c r="AU586"/>
      <c r="AV586"/>
      <c r="AW586"/>
      <c r="AX586"/>
      <c r="AY586"/>
      <c r="AZ586"/>
      <c r="BA586"/>
      <c r="BB586"/>
      <c r="BC586"/>
      <c r="BD586"/>
      <c r="BE586"/>
      <c r="BF586"/>
      <c r="BG586"/>
      <c r="BH586"/>
      <c r="BI586"/>
      <c r="BJ586"/>
      <c r="BK586"/>
      <c r="BL586"/>
      <c r="BM586"/>
    </row>
    <row r="587" spans="35:65" ht="12.75" customHeight="1">
      <c r="AI587" s="23"/>
      <c r="AJ587" s="23"/>
      <c r="AK587" s="23"/>
      <c r="AL587" s="23"/>
      <c r="AM587" s="23"/>
      <c r="AN587" s="23"/>
      <c r="AO587" s="23"/>
      <c r="AP587" s="23"/>
      <c r="AQ587" s="23"/>
      <c r="AR587" s="23"/>
      <c r="AS587"/>
      <c r="AT587"/>
      <c r="AU587"/>
      <c r="AV587"/>
      <c r="AW587"/>
      <c r="AX587"/>
      <c r="AY587"/>
      <c r="AZ587"/>
      <c r="BA587"/>
      <c r="BB587"/>
      <c r="BC587"/>
      <c r="BD587"/>
      <c r="BE587"/>
      <c r="BF587"/>
      <c r="BG587"/>
      <c r="BH587"/>
      <c r="BI587"/>
      <c r="BJ587"/>
      <c r="BK587"/>
      <c r="BL587"/>
      <c r="BM587"/>
    </row>
    <row r="588" spans="35:65" ht="12.75" customHeight="1">
      <c r="AI588" s="23"/>
      <c r="AJ588" s="23"/>
      <c r="AK588" s="23"/>
      <c r="AL588" s="23"/>
      <c r="AM588" s="23"/>
      <c r="AN588" s="23"/>
      <c r="AO588" s="23"/>
      <c r="AP588" s="23"/>
      <c r="AQ588" s="23"/>
      <c r="AR588" s="23"/>
      <c r="AS588"/>
      <c r="AT588"/>
      <c r="AU588"/>
      <c r="AV588"/>
      <c r="AW588"/>
      <c r="AX588"/>
      <c r="AY588"/>
      <c r="AZ588"/>
      <c r="BA588"/>
      <c r="BB588"/>
      <c r="BC588"/>
      <c r="BD588"/>
      <c r="BE588"/>
      <c r="BF588"/>
      <c r="BG588"/>
      <c r="BH588"/>
      <c r="BI588"/>
      <c r="BJ588"/>
      <c r="BK588"/>
      <c r="BL588"/>
      <c r="BM588"/>
    </row>
    <row r="589" spans="35:65" ht="12.75" customHeight="1">
      <c r="AI589" s="23"/>
      <c r="AJ589" s="23"/>
      <c r="AK589" s="23"/>
      <c r="AL589" s="23"/>
      <c r="AM589" s="23"/>
      <c r="AN589" s="23"/>
      <c r="AO589" s="23"/>
      <c r="AP589" s="23"/>
      <c r="AQ589" s="23"/>
      <c r="AR589" s="23"/>
      <c r="AS589"/>
      <c r="AT589"/>
      <c r="AU589"/>
      <c r="AV589"/>
      <c r="AW589"/>
      <c r="AX589"/>
      <c r="AY589"/>
      <c r="AZ589"/>
      <c r="BA589"/>
      <c r="BB589"/>
      <c r="BC589"/>
      <c r="BD589"/>
      <c r="BE589"/>
      <c r="BF589"/>
      <c r="BG589"/>
      <c r="BH589"/>
      <c r="BI589"/>
      <c r="BJ589"/>
      <c r="BK589"/>
      <c r="BL589"/>
      <c r="BM589"/>
    </row>
    <row r="590" spans="35:65" ht="12.75" customHeight="1">
      <c r="AI590" s="23"/>
      <c r="AJ590" s="23"/>
      <c r="AK590" s="23"/>
      <c r="AL590" s="23"/>
      <c r="AM590" s="23"/>
      <c r="AN590" s="23"/>
      <c r="AO590" s="23"/>
      <c r="AP590" s="23"/>
      <c r="AQ590" s="23"/>
      <c r="AR590" s="23"/>
      <c r="AS590"/>
      <c r="AT590"/>
      <c r="AU590"/>
      <c r="AV590"/>
      <c r="AW590"/>
      <c r="AX590"/>
      <c r="AY590"/>
      <c r="AZ590"/>
      <c r="BA590"/>
      <c r="BB590"/>
      <c r="BC590"/>
      <c r="BD590"/>
      <c r="BE590"/>
      <c r="BF590"/>
      <c r="BG590"/>
      <c r="BH590"/>
      <c r="BI590"/>
      <c r="BJ590"/>
      <c r="BK590"/>
      <c r="BL590"/>
      <c r="BM590"/>
    </row>
    <row r="591" spans="35:65" ht="12.75" customHeight="1">
      <c r="AI591" s="23"/>
      <c r="AJ591" s="23"/>
      <c r="AK591" s="23"/>
      <c r="AL591" s="23"/>
      <c r="AM591" s="23"/>
      <c r="AN591" s="23"/>
      <c r="AO591" s="23"/>
      <c r="AP591" s="23"/>
      <c r="AQ591" s="23"/>
      <c r="AR591" s="23"/>
      <c r="AS591"/>
      <c r="AT591"/>
      <c r="AU591"/>
      <c r="AV591"/>
      <c r="AW591"/>
      <c r="AX591"/>
      <c r="AY591"/>
      <c r="AZ591"/>
      <c r="BA591"/>
      <c r="BB591"/>
      <c r="BC591"/>
      <c r="BD591"/>
      <c r="BE591"/>
      <c r="BF591"/>
      <c r="BG591"/>
      <c r="BH591"/>
      <c r="BI591"/>
      <c r="BJ591"/>
      <c r="BK591"/>
      <c r="BL591"/>
      <c r="BM591"/>
    </row>
    <row r="592" spans="35:65" ht="12.75" customHeight="1">
      <c r="AI592" s="23"/>
      <c r="AJ592" s="23"/>
      <c r="AK592" s="23"/>
      <c r="AL592" s="23"/>
      <c r="AM592" s="23"/>
      <c r="AN592" s="23"/>
      <c r="AO592" s="23"/>
      <c r="AP592" s="23"/>
      <c r="AQ592" s="23"/>
      <c r="AR592" s="23"/>
      <c r="AS592"/>
      <c r="AT592"/>
      <c r="AU592"/>
      <c r="AV592"/>
      <c r="AW592"/>
      <c r="AX592"/>
      <c r="AY592"/>
      <c r="AZ592"/>
      <c r="BA592"/>
      <c r="BB592"/>
      <c r="BC592"/>
      <c r="BD592"/>
      <c r="BE592"/>
      <c r="BF592"/>
      <c r="BG592"/>
      <c r="BH592"/>
      <c r="BI592"/>
      <c r="BJ592"/>
      <c r="BK592"/>
      <c r="BL592"/>
      <c r="BM592"/>
    </row>
    <row r="593" spans="35:65" ht="12.75" customHeight="1">
      <c r="AI593" s="23"/>
      <c r="AJ593" s="23"/>
      <c r="AK593" s="23"/>
      <c r="AL593" s="23"/>
      <c r="AM593" s="23"/>
      <c r="AN593" s="23"/>
      <c r="AO593" s="23"/>
      <c r="AP593" s="23"/>
      <c r="AQ593" s="23"/>
      <c r="AR593" s="23"/>
      <c r="AS593"/>
      <c r="AT593"/>
      <c r="AU593"/>
      <c r="AV593"/>
      <c r="AW593"/>
      <c r="AX593"/>
      <c r="AY593"/>
      <c r="AZ593"/>
      <c r="BA593"/>
      <c r="BB593"/>
      <c r="BC593"/>
      <c r="BD593"/>
      <c r="BE593"/>
      <c r="BF593"/>
      <c r="BG593"/>
      <c r="BH593"/>
      <c r="BI593"/>
      <c r="BJ593"/>
      <c r="BK593"/>
      <c r="BL593"/>
      <c r="BM593"/>
    </row>
    <row r="594" spans="35:65" ht="12.75" customHeight="1">
      <c r="AI594" s="23"/>
      <c r="AJ594" s="23"/>
      <c r="AK594" s="23"/>
      <c r="AL594" s="23"/>
      <c r="AM594" s="23"/>
      <c r="AN594" s="23"/>
      <c r="AO594" s="23"/>
      <c r="AP594" s="23"/>
      <c r="AQ594" s="23"/>
      <c r="AR594" s="23"/>
      <c r="AS594"/>
      <c r="AT594"/>
      <c r="AU594"/>
      <c r="AV594"/>
      <c r="AW594"/>
      <c r="AX594"/>
      <c r="AY594"/>
      <c r="AZ594"/>
      <c r="BA594"/>
      <c r="BB594"/>
      <c r="BC594"/>
      <c r="BD594"/>
      <c r="BE594"/>
      <c r="BF594"/>
      <c r="BG594"/>
      <c r="BH594"/>
      <c r="BI594"/>
      <c r="BJ594"/>
      <c r="BK594"/>
      <c r="BL594"/>
      <c r="BM594"/>
    </row>
    <row r="595" spans="35:65" ht="12.75" customHeight="1">
      <c r="AI595" s="23"/>
      <c r="AJ595" s="23"/>
      <c r="AK595" s="23"/>
      <c r="AL595" s="23"/>
      <c r="AM595" s="23"/>
      <c r="AN595" s="23"/>
      <c r="AO595" s="23"/>
      <c r="AP595" s="23"/>
      <c r="AQ595" s="23"/>
      <c r="AR595" s="23"/>
      <c r="AS595"/>
      <c r="AT595"/>
      <c r="AU595"/>
      <c r="AV595"/>
      <c r="AW595"/>
      <c r="AX595"/>
      <c r="AY595"/>
      <c r="AZ595"/>
      <c r="BA595"/>
      <c r="BB595"/>
      <c r="BC595"/>
      <c r="BD595"/>
      <c r="BE595"/>
      <c r="BF595"/>
      <c r="BG595"/>
      <c r="BH595"/>
      <c r="BI595"/>
      <c r="BJ595"/>
      <c r="BK595"/>
      <c r="BL595"/>
      <c r="BM595"/>
    </row>
    <row r="596" spans="35:65" ht="12.75" customHeight="1">
      <c r="AI596" s="23"/>
      <c r="AJ596" s="23"/>
      <c r="AK596" s="23"/>
      <c r="AL596" s="23"/>
      <c r="AM596" s="23"/>
      <c r="AN596" s="23"/>
      <c r="AO596" s="23"/>
      <c r="AP596" s="23"/>
      <c r="AQ596" s="23"/>
      <c r="AR596" s="23"/>
      <c r="AS596"/>
      <c r="AT596"/>
      <c r="AU596"/>
      <c r="AV596"/>
      <c r="AW596"/>
      <c r="AX596"/>
      <c r="AY596"/>
      <c r="AZ596"/>
      <c r="BA596"/>
      <c r="BB596"/>
      <c r="BC596"/>
      <c r="BD596"/>
      <c r="BE596"/>
      <c r="BF596"/>
      <c r="BG596"/>
      <c r="BH596"/>
      <c r="BI596"/>
      <c r="BJ596"/>
      <c r="BK596"/>
      <c r="BL596"/>
      <c r="BM596"/>
    </row>
    <row r="597" spans="35:65" ht="12.75" customHeight="1">
      <c r="AI597" s="23"/>
      <c r="AJ597" s="23"/>
      <c r="AK597" s="23"/>
      <c r="AL597" s="23"/>
      <c r="AM597" s="23"/>
      <c r="AN597" s="23"/>
      <c r="AO597" s="23"/>
      <c r="AP597" s="23"/>
      <c r="AQ597" s="23"/>
      <c r="AR597" s="23"/>
      <c r="AS597"/>
      <c r="AT597"/>
      <c r="AU597"/>
      <c r="AV597"/>
      <c r="AW597"/>
      <c r="AX597"/>
      <c r="AY597"/>
      <c r="AZ597"/>
      <c r="BA597"/>
      <c r="BB597"/>
      <c r="BC597"/>
      <c r="BD597"/>
      <c r="BE597"/>
      <c r="BF597"/>
      <c r="BG597"/>
      <c r="BH597"/>
      <c r="BI597"/>
      <c r="BJ597"/>
      <c r="BK597"/>
      <c r="BL597"/>
      <c r="BM597"/>
    </row>
    <row r="598" spans="35:65" ht="12.75" customHeight="1">
      <c r="AI598" s="23"/>
      <c r="AJ598" s="23"/>
      <c r="AK598" s="23"/>
      <c r="AL598" s="23"/>
      <c r="AM598" s="23"/>
      <c r="AN598" s="23"/>
      <c r="AO598" s="23"/>
      <c r="AP598" s="23"/>
      <c r="AQ598" s="23"/>
      <c r="AR598" s="23"/>
      <c r="AS598"/>
      <c r="AT598"/>
      <c r="AU598"/>
      <c r="AV598"/>
      <c r="AW598"/>
      <c r="AX598"/>
      <c r="AY598"/>
      <c r="AZ598"/>
      <c r="BA598"/>
      <c r="BB598"/>
      <c r="BC598"/>
      <c r="BD598"/>
      <c r="BE598"/>
      <c r="BF598"/>
      <c r="BG598"/>
      <c r="BH598"/>
      <c r="BI598"/>
      <c r="BJ598"/>
      <c r="BK598"/>
      <c r="BL598"/>
      <c r="BM598"/>
    </row>
    <row r="599" spans="35:65" ht="12.75" customHeight="1">
      <c r="AI599" s="23"/>
      <c r="AJ599" s="23"/>
      <c r="AK599" s="23"/>
      <c r="AL599" s="23"/>
      <c r="AM599" s="23"/>
      <c r="AN599" s="23"/>
      <c r="AO599" s="23"/>
      <c r="AP599" s="23"/>
      <c r="AQ599" s="23"/>
      <c r="AR599" s="23"/>
      <c r="AS599"/>
      <c r="AT599"/>
      <c r="AU599"/>
      <c r="AV599"/>
      <c r="AW599"/>
      <c r="AX599"/>
      <c r="AY599"/>
      <c r="AZ599"/>
      <c r="BA599"/>
      <c r="BB599"/>
      <c r="BC599"/>
      <c r="BD599"/>
      <c r="BE599"/>
      <c r="BF599"/>
      <c r="BG599"/>
      <c r="BH599"/>
      <c r="BI599"/>
      <c r="BJ599"/>
      <c r="BK599"/>
      <c r="BL599"/>
      <c r="BM599"/>
    </row>
    <row r="600" spans="35:65" ht="12.75" customHeight="1">
      <c r="AI600" s="23"/>
      <c r="AJ600" s="23"/>
      <c r="AK600" s="23"/>
      <c r="AL600" s="23"/>
      <c r="AM600" s="23"/>
      <c r="AN600" s="23"/>
      <c r="AO600" s="23"/>
      <c r="AP600" s="23"/>
      <c r="AQ600" s="23"/>
      <c r="AR600" s="23"/>
      <c r="AS600"/>
      <c r="AT600"/>
      <c r="AU600"/>
      <c r="AV600"/>
      <c r="AW600"/>
      <c r="AX600"/>
      <c r="AY600"/>
      <c r="AZ600"/>
      <c r="BA600"/>
      <c r="BB600"/>
      <c r="BC600"/>
      <c r="BD600"/>
      <c r="BE600"/>
      <c r="BF600"/>
      <c r="BG600"/>
      <c r="BH600"/>
      <c r="BI600"/>
      <c r="BJ600"/>
      <c r="BK600"/>
      <c r="BL600"/>
      <c r="BM600"/>
    </row>
    <row r="601" spans="35:65" ht="12.75" customHeight="1">
      <c r="AI601" s="23"/>
      <c r="AJ601" s="23"/>
      <c r="AK601" s="23"/>
      <c r="AL601" s="23"/>
      <c r="AM601" s="23"/>
      <c r="AN601" s="23"/>
      <c r="AO601" s="23"/>
      <c r="AP601" s="23"/>
      <c r="AQ601" s="23"/>
      <c r="AR601" s="23"/>
      <c r="AS601"/>
      <c r="AT601"/>
      <c r="AU601"/>
      <c r="AV601"/>
      <c r="AW601"/>
      <c r="AX601"/>
      <c r="AY601"/>
      <c r="AZ601"/>
      <c r="BA601"/>
      <c r="BB601"/>
      <c r="BC601"/>
      <c r="BD601"/>
      <c r="BE601"/>
      <c r="BF601"/>
      <c r="BG601"/>
      <c r="BH601"/>
      <c r="BI601"/>
      <c r="BJ601"/>
      <c r="BK601"/>
      <c r="BL601"/>
      <c r="BM601"/>
    </row>
    <row r="602" spans="35:65" ht="12.75" customHeight="1">
      <c r="AI602" s="23"/>
      <c r="AJ602" s="23"/>
      <c r="AK602" s="23"/>
      <c r="AL602" s="23"/>
      <c r="AM602" s="23"/>
      <c r="AN602" s="23"/>
      <c r="AO602" s="23"/>
      <c r="AP602" s="23"/>
      <c r="AQ602" s="23"/>
      <c r="AR602" s="23"/>
      <c r="AS602"/>
      <c r="AT602"/>
      <c r="AU602"/>
      <c r="AV602"/>
      <c r="AW602"/>
      <c r="AX602"/>
      <c r="AY602"/>
      <c r="AZ602"/>
      <c r="BA602"/>
      <c r="BB602"/>
      <c r="BC602"/>
      <c r="BD602"/>
      <c r="BE602"/>
      <c r="BF602"/>
      <c r="BG602"/>
      <c r="BH602"/>
      <c r="BI602"/>
      <c r="BJ602"/>
      <c r="BK602"/>
      <c r="BL602"/>
      <c r="BM602"/>
    </row>
    <row r="603" spans="35:65" ht="12.75" customHeight="1">
      <c r="AI603" s="23"/>
      <c r="AJ603" s="23"/>
      <c r="AK603" s="23"/>
      <c r="AL603" s="23"/>
      <c r="AM603" s="23"/>
      <c r="AN603" s="23"/>
      <c r="AO603" s="23"/>
      <c r="AP603" s="23"/>
      <c r="AQ603" s="23"/>
      <c r="AR603" s="23"/>
      <c r="AS603"/>
      <c r="AT603"/>
      <c r="AU603"/>
      <c r="AV603"/>
      <c r="AW603"/>
      <c r="AX603"/>
      <c r="AY603"/>
      <c r="AZ603"/>
      <c r="BA603"/>
      <c r="BB603"/>
      <c r="BC603"/>
      <c r="BD603"/>
      <c r="BE603"/>
      <c r="BF603"/>
      <c r="BG603"/>
      <c r="BH603"/>
      <c r="BI603"/>
      <c r="BJ603"/>
      <c r="BK603"/>
      <c r="BL603"/>
      <c r="BM603"/>
    </row>
    <row r="604" spans="35:65" ht="12.75" customHeight="1">
      <c r="AI604" s="23"/>
      <c r="AJ604" s="23"/>
      <c r="AK604" s="23"/>
      <c r="AL604" s="23"/>
      <c r="AM604" s="23"/>
      <c r="AN604" s="23"/>
      <c r="AO604" s="23"/>
      <c r="AP604" s="23"/>
      <c r="AQ604" s="23"/>
      <c r="AR604" s="23"/>
      <c r="AS604"/>
      <c r="AT604"/>
      <c r="AU604"/>
      <c r="AV604"/>
      <c r="AW604"/>
      <c r="AX604"/>
      <c r="AY604"/>
      <c r="AZ604"/>
      <c r="BA604"/>
      <c r="BB604"/>
      <c r="BC604"/>
      <c r="BD604"/>
      <c r="BE604"/>
      <c r="BF604"/>
      <c r="BG604"/>
      <c r="BH604"/>
      <c r="BI604"/>
      <c r="BJ604"/>
      <c r="BK604"/>
      <c r="BL604"/>
      <c r="BM604"/>
    </row>
    <row r="605" spans="35:65" ht="12.75" customHeight="1">
      <c r="AI605" s="23"/>
      <c r="AJ605" s="23"/>
      <c r="AK605" s="23"/>
      <c r="AL605" s="23"/>
      <c r="AM605" s="23"/>
      <c r="AN605" s="23"/>
      <c r="AO605" s="23"/>
      <c r="AP605" s="23"/>
      <c r="AQ605" s="23"/>
      <c r="AR605" s="23"/>
      <c r="AS605"/>
      <c r="AT605"/>
      <c r="AU605"/>
      <c r="AV605"/>
      <c r="AW605"/>
      <c r="AX605"/>
      <c r="AY605"/>
      <c r="AZ605"/>
      <c r="BA605"/>
      <c r="BB605"/>
      <c r="BC605"/>
      <c r="BD605"/>
      <c r="BE605"/>
      <c r="BF605"/>
      <c r="BG605"/>
      <c r="BH605"/>
      <c r="BI605"/>
      <c r="BJ605"/>
      <c r="BK605"/>
      <c r="BL605"/>
      <c r="BM605"/>
    </row>
    <row r="606" spans="35:65" ht="12.75" customHeight="1">
      <c r="AI606" s="23"/>
      <c r="AJ606" s="23"/>
      <c r="AK606" s="23"/>
      <c r="AL606" s="23"/>
      <c r="AM606" s="23"/>
      <c r="AN606" s="23"/>
      <c r="AO606" s="23"/>
      <c r="AP606" s="23"/>
      <c r="AQ606" s="23"/>
      <c r="AR606" s="23"/>
      <c r="AS606"/>
      <c r="AT606"/>
      <c r="AU606"/>
      <c r="AV606"/>
      <c r="AW606"/>
      <c r="AX606"/>
      <c r="AY606"/>
      <c r="AZ606"/>
      <c r="BA606"/>
      <c r="BB606"/>
      <c r="BC606"/>
      <c r="BD606"/>
      <c r="BE606"/>
      <c r="BF606"/>
      <c r="BG606"/>
      <c r="BH606"/>
      <c r="BI606"/>
      <c r="BJ606"/>
      <c r="BK606"/>
      <c r="BL606"/>
      <c r="BM606"/>
    </row>
    <row r="607" spans="35:65" ht="12.75" customHeight="1">
      <c r="AI607" s="23"/>
      <c r="AJ607" s="23"/>
      <c r="AK607" s="23"/>
      <c r="AL607" s="23"/>
      <c r="AM607" s="23"/>
      <c r="AN607" s="23"/>
      <c r="AO607" s="23"/>
      <c r="AP607" s="23"/>
      <c r="AQ607" s="23"/>
      <c r="AR607" s="23"/>
      <c r="AS607"/>
      <c r="AT607"/>
      <c r="AU607"/>
      <c r="AV607"/>
      <c r="AW607"/>
      <c r="AX607"/>
      <c r="AY607"/>
      <c r="AZ607"/>
      <c r="BA607"/>
      <c r="BB607"/>
      <c r="BC607"/>
      <c r="BD607"/>
      <c r="BE607"/>
      <c r="BF607"/>
      <c r="BG607"/>
      <c r="BH607"/>
      <c r="BI607"/>
      <c r="BJ607"/>
      <c r="BK607"/>
      <c r="BL607"/>
      <c r="BM607"/>
    </row>
    <row r="608" spans="35:65" ht="12.75" customHeight="1">
      <c r="AI608" s="23"/>
      <c r="AJ608" s="23"/>
      <c r="AK608" s="23"/>
      <c r="AL608" s="23"/>
      <c r="AM608" s="23"/>
      <c r="AN608" s="23"/>
      <c r="AO608" s="23"/>
      <c r="AP608" s="23"/>
      <c r="AQ608" s="23"/>
      <c r="AR608" s="23"/>
      <c r="AS608"/>
      <c r="AT608"/>
      <c r="AU608"/>
      <c r="AV608"/>
      <c r="AW608"/>
      <c r="AX608"/>
      <c r="AY608"/>
      <c r="AZ608"/>
      <c r="BA608"/>
      <c r="BB608"/>
      <c r="BC608"/>
      <c r="BD608"/>
      <c r="BE608"/>
      <c r="BF608"/>
      <c r="BG608"/>
      <c r="BH608"/>
      <c r="BI608"/>
      <c r="BJ608"/>
      <c r="BK608"/>
      <c r="BL608"/>
      <c r="BM608"/>
    </row>
    <row r="609" spans="35:65" ht="12.75" customHeight="1">
      <c r="AI609" s="23"/>
      <c r="AJ609" s="23"/>
      <c r="AK609" s="23"/>
      <c r="AL609" s="23"/>
      <c r="AM609" s="23"/>
      <c r="AN609" s="23"/>
      <c r="AO609" s="23"/>
      <c r="AP609" s="23"/>
      <c r="AQ609" s="23"/>
      <c r="AR609" s="23"/>
      <c r="AS609"/>
      <c r="AT609"/>
      <c r="AU609"/>
      <c r="AV609"/>
      <c r="AW609"/>
      <c r="AX609"/>
      <c r="AY609"/>
      <c r="AZ609"/>
      <c r="BA609"/>
      <c r="BB609"/>
      <c r="BC609"/>
      <c r="BD609"/>
      <c r="BE609"/>
      <c r="BF609"/>
      <c r="BG609"/>
      <c r="BH609"/>
      <c r="BI609"/>
      <c r="BJ609"/>
      <c r="BK609"/>
      <c r="BL609"/>
      <c r="BM609"/>
    </row>
    <row r="610" spans="35:65" ht="12.75" customHeight="1">
      <c r="AI610" s="23"/>
      <c r="AJ610" s="23"/>
      <c r="AK610" s="23"/>
      <c r="AL610" s="23"/>
      <c r="AM610" s="23"/>
      <c r="AN610" s="23"/>
      <c r="AO610" s="23"/>
      <c r="AP610" s="23"/>
      <c r="AQ610" s="23"/>
      <c r="AR610" s="23"/>
      <c r="AS610"/>
      <c r="AT610"/>
      <c r="AU610"/>
      <c r="AV610"/>
      <c r="AW610"/>
      <c r="AX610"/>
      <c r="AY610"/>
      <c r="AZ610"/>
      <c r="BA610"/>
      <c r="BB610"/>
      <c r="BC610"/>
      <c r="BD610"/>
      <c r="BE610"/>
      <c r="BF610"/>
      <c r="BG610"/>
      <c r="BH610"/>
      <c r="BI610"/>
      <c r="BJ610"/>
      <c r="BK610"/>
      <c r="BL610"/>
      <c r="BM610"/>
    </row>
    <row r="611" spans="35:65" ht="12.75" customHeight="1">
      <c r="AI611" s="23"/>
      <c r="AJ611" s="23"/>
      <c r="AK611" s="23"/>
      <c r="AL611" s="23"/>
      <c r="AM611" s="23"/>
      <c r="AN611" s="23"/>
      <c r="AO611" s="23"/>
      <c r="AP611" s="23"/>
      <c r="AQ611" s="23"/>
      <c r="AR611" s="23"/>
      <c r="AS611"/>
      <c r="AT611"/>
      <c r="AU611"/>
      <c r="AV611"/>
      <c r="AW611"/>
      <c r="AX611"/>
      <c r="AY611"/>
      <c r="AZ611"/>
      <c r="BA611"/>
      <c r="BB611"/>
      <c r="BC611"/>
      <c r="BD611"/>
      <c r="BE611"/>
      <c r="BF611"/>
      <c r="BG611"/>
      <c r="BH611"/>
      <c r="BI611"/>
      <c r="BJ611"/>
      <c r="BK611"/>
      <c r="BL611"/>
      <c r="BM611"/>
    </row>
    <row r="612" spans="35:65" ht="12.75" customHeight="1">
      <c r="AI612" s="23"/>
      <c r="AJ612" s="23"/>
      <c r="AK612" s="23"/>
      <c r="AL612" s="23"/>
      <c r="AM612" s="23"/>
      <c r="AN612" s="23"/>
      <c r="AO612" s="23"/>
      <c r="AP612" s="23"/>
      <c r="AQ612" s="23"/>
      <c r="AR612" s="23"/>
      <c r="AS612"/>
      <c r="AT612"/>
      <c r="AU612"/>
      <c r="AV612"/>
      <c r="AW612"/>
      <c r="AX612"/>
      <c r="AY612"/>
      <c r="AZ612"/>
      <c r="BA612"/>
      <c r="BB612"/>
      <c r="BC612"/>
      <c r="BD612"/>
      <c r="BE612"/>
      <c r="BF612"/>
      <c r="BG612"/>
      <c r="BH612"/>
      <c r="BI612"/>
      <c r="BJ612"/>
      <c r="BK612"/>
      <c r="BL612"/>
      <c r="BM612"/>
    </row>
    <row r="613" spans="35:65" ht="12.75" customHeight="1">
      <c r="AI613" s="23"/>
      <c r="AJ613" s="23"/>
      <c r="AK613" s="23"/>
      <c r="AL613" s="23"/>
      <c r="AM613" s="23"/>
      <c r="AN613" s="23"/>
      <c r="AO613" s="23"/>
      <c r="AP613" s="23"/>
      <c r="AQ613" s="23"/>
      <c r="AR613" s="23"/>
      <c r="AS613"/>
      <c r="AT613"/>
      <c r="AU613"/>
      <c r="AV613"/>
      <c r="AW613"/>
      <c r="AX613"/>
      <c r="AY613"/>
      <c r="AZ613"/>
      <c r="BA613"/>
      <c r="BB613"/>
      <c r="BC613"/>
      <c r="BD613"/>
      <c r="BE613"/>
      <c r="BF613"/>
      <c r="BG613"/>
      <c r="BH613"/>
      <c r="BI613"/>
      <c r="BJ613"/>
      <c r="BK613"/>
      <c r="BL613"/>
      <c r="BM613"/>
    </row>
    <row r="614" spans="35:65" ht="12.75" customHeight="1">
      <c r="AI614" s="23"/>
      <c r="AJ614" s="23"/>
      <c r="AK614" s="23"/>
      <c r="AL614" s="23"/>
      <c r="AM614" s="23"/>
      <c r="AN614" s="23"/>
      <c r="AO614" s="23"/>
      <c r="AP614" s="23"/>
      <c r="AQ614" s="23"/>
      <c r="AR614" s="23"/>
      <c r="AS614"/>
      <c r="AT614"/>
      <c r="AU614"/>
      <c r="AV614"/>
      <c r="AW614"/>
      <c r="AX614"/>
      <c r="AY614"/>
      <c r="AZ614"/>
      <c r="BA614"/>
      <c r="BB614"/>
      <c r="BC614"/>
      <c r="BD614"/>
      <c r="BE614"/>
      <c r="BF614"/>
      <c r="BG614"/>
      <c r="BH614"/>
      <c r="BI614"/>
      <c r="BJ614"/>
      <c r="BK614"/>
      <c r="BL614"/>
      <c r="BM614"/>
    </row>
    <row r="615" spans="35:65" ht="12.75" customHeight="1">
      <c r="AI615" s="23"/>
      <c r="AJ615" s="23"/>
      <c r="AK615" s="23"/>
      <c r="AL615" s="23"/>
      <c r="AM615" s="23"/>
      <c r="AN615" s="23"/>
      <c r="AO615" s="23"/>
      <c r="AP615" s="23"/>
      <c r="AQ615" s="23"/>
      <c r="AR615" s="23"/>
      <c r="AS615"/>
      <c r="AT615"/>
      <c r="AU615"/>
      <c r="AV615"/>
      <c r="AW615"/>
      <c r="AX615"/>
      <c r="AY615"/>
      <c r="AZ615"/>
      <c r="BA615"/>
      <c r="BB615"/>
      <c r="BC615"/>
      <c r="BD615"/>
      <c r="BE615"/>
      <c r="BF615"/>
      <c r="BG615"/>
      <c r="BH615"/>
      <c r="BI615"/>
      <c r="BJ615"/>
      <c r="BK615"/>
      <c r="BL615"/>
      <c r="BM615"/>
    </row>
    <row r="616" spans="35:65" ht="12.75" customHeight="1">
      <c r="AI616" s="23"/>
      <c r="AJ616" s="23"/>
      <c r="AK616" s="23"/>
      <c r="AL616" s="23"/>
      <c r="AM616" s="23"/>
      <c r="AN616" s="23"/>
      <c r="AO616" s="23"/>
      <c r="AP616" s="23"/>
      <c r="AQ616" s="23"/>
      <c r="AR616" s="23"/>
      <c r="AS616"/>
      <c r="AT616"/>
      <c r="AU616"/>
      <c r="AV616"/>
      <c r="AW616"/>
      <c r="AX616"/>
      <c r="AY616"/>
      <c r="AZ616"/>
      <c r="BA616"/>
      <c r="BB616"/>
      <c r="BC616"/>
      <c r="BD616"/>
      <c r="BE616"/>
      <c r="BF616"/>
      <c r="BG616"/>
      <c r="BH616"/>
      <c r="BI616"/>
      <c r="BJ616"/>
      <c r="BK616"/>
      <c r="BL616"/>
      <c r="BM616"/>
    </row>
    <row r="617" spans="35:65" ht="12.75" customHeight="1">
      <c r="AI617" s="23"/>
      <c r="AJ617" s="23"/>
      <c r="AK617" s="23"/>
      <c r="AL617" s="23"/>
      <c r="AM617" s="23"/>
      <c r="AN617" s="23"/>
      <c r="AO617" s="23"/>
      <c r="AP617" s="23"/>
      <c r="AQ617" s="23"/>
      <c r="AR617" s="23"/>
      <c r="AS617"/>
      <c r="AT617"/>
      <c r="AU617"/>
      <c r="AV617"/>
      <c r="AW617"/>
      <c r="AX617"/>
      <c r="AY617"/>
      <c r="AZ617"/>
      <c r="BA617"/>
      <c r="BB617"/>
      <c r="BC617"/>
      <c r="BD617"/>
      <c r="BE617"/>
      <c r="BF617"/>
      <c r="BG617"/>
      <c r="BH617"/>
      <c r="BI617"/>
      <c r="BJ617"/>
      <c r="BK617"/>
      <c r="BL617"/>
      <c r="BM617"/>
    </row>
    <row r="618" spans="35:65" ht="12.75" customHeight="1">
      <c r="AI618" s="23"/>
      <c r="AJ618" s="23"/>
      <c r="AK618" s="23"/>
      <c r="AL618" s="23"/>
      <c r="AM618" s="23"/>
      <c r="AN618" s="23"/>
      <c r="AO618" s="23"/>
      <c r="AP618" s="23"/>
      <c r="AQ618" s="23"/>
      <c r="AR618" s="23"/>
      <c r="AS618"/>
      <c r="AT618"/>
      <c r="AU618"/>
      <c r="AV618"/>
      <c r="AW618"/>
      <c r="AX618"/>
      <c r="AY618"/>
      <c r="AZ618"/>
      <c r="BA618"/>
      <c r="BB618"/>
      <c r="BC618"/>
      <c r="BD618"/>
      <c r="BE618"/>
      <c r="BF618"/>
      <c r="BG618"/>
      <c r="BH618"/>
      <c r="BI618"/>
      <c r="BJ618"/>
      <c r="BK618"/>
      <c r="BL618"/>
      <c r="BM618"/>
    </row>
    <row r="619" spans="35:65" ht="12.75" customHeight="1">
      <c r="AI619" s="23"/>
      <c r="AJ619" s="23"/>
      <c r="AK619" s="23"/>
      <c r="AL619" s="23"/>
      <c r="AM619" s="23"/>
      <c r="AN619" s="23"/>
      <c r="AO619" s="23"/>
      <c r="AP619" s="23"/>
      <c r="AQ619" s="23"/>
      <c r="AR619" s="23"/>
      <c r="AS619"/>
      <c r="AT619"/>
      <c r="AU619"/>
      <c r="AV619"/>
      <c r="AW619"/>
      <c r="AX619"/>
      <c r="AY619"/>
      <c r="AZ619"/>
      <c r="BA619"/>
      <c r="BB619"/>
      <c r="BC619"/>
      <c r="BD619"/>
      <c r="BE619"/>
      <c r="BF619"/>
      <c r="BG619"/>
      <c r="BH619"/>
      <c r="BI619"/>
      <c r="BJ619"/>
      <c r="BK619"/>
      <c r="BL619"/>
      <c r="BM619"/>
    </row>
    <row r="620" spans="35:65" ht="12.75" customHeight="1">
      <c r="AI620" s="23"/>
      <c r="AJ620" s="23"/>
      <c r="AK620" s="23"/>
      <c r="AL620" s="23"/>
      <c r="AM620" s="23"/>
      <c r="AN620" s="23"/>
      <c r="AO620" s="23"/>
      <c r="AP620" s="23"/>
      <c r="AQ620" s="23"/>
      <c r="AR620" s="23"/>
      <c r="AS620"/>
      <c r="AT620"/>
      <c r="AU620"/>
      <c r="AV620"/>
      <c r="AW620"/>
      <c r="AX620"/>
      <c r="AY620"/>
      <c r="AZ620"/>
      <c r="BA620"/>
      <c r="BB620"/>
      <c r="BC620"/>
      <c r="BD620"/>
      <c r="BE620"/>
      <c r="BF620"/>
      <c r="BG620"/>
      <c r="BH620"/>
      <c r="BI620"/>
      <c r="BJ620"/>
      <c r="BK620"/>
      <c r="BL620"/>
      <c r="BM620"/>
    </row>
    <row r="621" spans="35:65" ht="12.75" customHeight="1">
      <c r="AI621" s="23"/>
      <c r="AJ621" s="23"/>
      <c r="AK621" s="23"/>
      <c r="AL621" s="23"/>
      <c r="AM621" s="23"/>
      <c r="AN621" s="23"/>
      <c r="AO621" s="23"/>
      <c r="AP621" s="23"/>
      <c r="AQ621" s="23"/>
      <c r="AR621" s="23"/>
      <c r="AS621"/>
      <c r="AT621"/>
      <c r="AU621"/>
      <c r="AV621"/>
      <c r="AW621"/>
      <c r="AX621"/>
      <c r="AY621"/>
      <c r="AZ621"/>
      <c r="BA621"/>
      <c r="BB621"/>
      <c r="BC621"/>
      <c r="BD621"/>
      <c r="BE621"/>
      <c r="BF621"/>
      <c r="BG621"/>
      <c r="BH621"/>
      <c r="BI621"/>
      <c r="BJ621"/>
      <c r="BK621"/>
      <c r="BL621"/>
      <c r="BM621"/>
    </row>
    <row r="622" spans="35:65" ht="12.75" customHeight="1">
      <c r="AI622" s="23"/>
      <c r="AJ622" s="23"/>
      <c r="AK622" s="23"/>
      <c r="AL622" s="23"/>
      <c r="AM622" s="23"/>
      <c r="AN622" s="23"/>
      <c r="AO622" s="23"/>
      <c r="AP622" s="23"/>
      <c r="AQ622" s="23"/>
      <c r="AR622" s="23"/>
      <c r="AS622"/>
      <c r="AT622"/>
      <c r="AU622"/>
      <c r="AV622"/>
      <c r="AW622"/>
      <c r="AX622"/>
      <c r="AY622"/>
      <c r="AZ622"/>
      <c r="BA622"/>
      <c r="BB622"/>
      <c r="BC622"/>
      <c r="BD622"/>
      <c r="BE622"/>
      <c r="BF622"/>
      <c r="BG622"/>
      <c r="BH622"/>
      <c r="BI622"/>
      <c r="BJ622"/>
      <c r="BK622"/>
      <c r="BL622"/>
      <c r="BM622"/>
    </row>
    <row r="623" spans="35:65" ht="12.75" customHeight="1">
      <c r="AI623" s="23"/>
      <c r="AJ623" s="23"/>
      <c r="AK623" s="23"/>
      <c r="AL623" s="23"/>
      <c r="AM623" s="23"/>
      <c r="AN623" s="23"/>
      <c r="AO623" s="23"/>
      <c r="AP623" s="23"/>
      <c r="AQ623" s="23"/>
      <c r="AR623" s="23"/>
      <c r="AS623"/>
      <c r="AT623"/>
      <c r="AU623"/>
      <c r="AV623"/>
      <c r="AW623"/>
      <c r="AX623"/>
      <c r="AY623"/>
      <c r="AZ623"/>
      <c r="BA623"/>
      <c r="BB623"/>
      <c r="BC623"/>
      <c r="BD623"/>
      <c r="BE623"/>
      <c r="BF623"/>
      <c r="BG623"/>
      <c r="BH623"/>
      <c r="BI623"/>
      <c r="BJ623"/>
      <c r="BK623"/>
      <c r="BL623"/>
      <c r="BM623"/>
    </row>
    <row r="624" spans="35:65" ht="12.75" customHeight="1">
      <c r="AI624" s="23"/>
      <c r="AJ624" s="23"/>
      <c r="AK624" s="23"/>
      <c r="AL624" s="23"/>
      <c r="AM624" s="23"/>
      <c r="AN624" s="23"/>
      <c r="AO624" s="23"/>
      <c r="AP624" s="23"/>
      <c r="AQ624" s="23"/>
      <c r="AR624" s="23"/>
      <c r="AS624"/>
      <c r="AT624"/>
      <c r="AU624"/>
      <c r="AV624"/>
      <c r="AW624"/>
      <c r="AX624"/>
      <c r="AY624"/>
      <c r="AZ624"/>
      <c r="BA624"/>
      <c r="BB624"/>
      <c r="BC624"/>
      <c r="BD624"/>
      <c r="BE624"/>
      <c r="BF624"/>
      <c r="BG624"/>
      <c r="BH624"/>
      <c r="BI624"/>
      <c r="BJ624"/>
      <c r="BK624"/>
      <c r="BL624"/>
      <c r="BM624"/>
    </row>
    <row r="625" spans="35:65" ht="12.75" customHeight="1">
      <c r="AI625" s="23"/>
      <c r="AJ625" s="23"/>
      <c r="AK625" s="23"/>
      <c r="AL625" s="23"/>
      <c r="AM625" s="23"/>
      <c r="AN625" s="23"/>
      <c r="AO625" s="23"/>
      <c r="AP625" s="23"/>
      <c r="AQ625" s="23"/>
      <c r="AR625" s="23"/>
      <c r="AS625"/>
      <c r="AT625"/>
      <c r="AU625"/>
      <c r="AV625"/>
      <c r="AW625"/>
      <c r="AX625"/>
      <c r="AY625"/>
      <c r="AZ625"/>
      <c r="BA625"/>
      <c r="BB625"/>
      <c r="BC625"/>
      <c r="BD625"/>
      <c r="BE625"/>
      <c r="BF625"/>
      <c r="BG625"/>
      <c r="BH625"/>
      <c r="BI625"/>
      <c r="BJ625"/>
      <c r="BK625"/>
      <c r="BL625"/>
      <c r="BM625"/>
    </row>
    <row r="626" spans="35:65" ht="12.75" customHeight="1">
      <c r="AI626" s="23"/>
      <c r="AJ626" s="23"/>
      <c r="AK626" s="23"/>
      <c r="AL626" s="23"/>
      <c r="AM626" s="23"/>
      <c r="AN626" s="23"/>
      <c r="AO626" s="23"/>
      <c r="AP626" s="23"/>
      <c r="AQ626" s="23"/>
      <c r="AR626" s="23"/>
      <c r="AS626"/>
      <c r="AT626"/>
      <c r="AU626"/>
      <c r="AV626"/>
      <c r="AW626"/>
      <c r="AX626"/>
      <c r="AY626"/>
      <c r="AZ626"/>
      <c r="BA626"/>
      <c r="BB626"/>
      <c r="BC626"/>
      <c r="BD626"/>
      <c r="BE626"/>
      <c r="BF626"/>
      <c r="BG626"/>
      <c r="BH626"/>
      <c r="BI626"/>
      <c r="BJ626"/>
      <c r="BK626"/>
      <c r="BL626"/>
      <c r="BM626"/>
    </row>
    <row r="627" spans="35:65" ht="12.75" customHeight="1">
      <c r="AI627" s="23"/>
      <c r="AJ627" s="23"/>
      <c r="AK627" s="23"/>
      <c r="AL627" s="23"/>
      <c r="AM627" s="23"/>
      <c r="AN627" s="23"/>
      <c r="AO627" s="23"/>
      <c r="AP627" s="23"/>
      <c r="AQ627" s="23"/>
      <c r="AR627" s="23"/>
      <c r="AS627"/>
      <c r="AT627"/>
      <c r="AU627"/>
      <c r="AV627"/>
      <c r="AW627"/>
      <c r="AX627"/>
      <c r="AY627"/>
      <c r="AZ627"/>
      <c r="BA627"/>
      <c r="BB627"/>
      <c r="BC627"/>
      <c r="BD627"/>
      <c r="BE627"/>
      <c r="BF627"/>
      <c r="BG627"/>
      <c r="BH627"/>
      <c r="BI627"/>
      <c r="BJ627"/>
      <c r="BK627"/>
      <c r="BL627"/>
      <c r="BM627"/>
    </row>
    <row r="628" spans="35:65" ht="12.75" customHeight="1">
      <c r="AI628" s="23"/>
      <c r="AJ628" s="23"/>
      <c r="AK628" s="23"/>
      <c r="AL628" s="23"/>
      <c r="AM628" s="23"/>
      <c r="AN628" s="23"/>
      <c r="AO628" s="23"/>
      <c r="AP628" s="23"/>
      <c r="AQ628" s="23"/>
      <c r="AR628" s="23"/>
      <c r="AS628"/>
      <c r="AT628"/>
      <c r="AU628"/>
      <c r="AV628"/>
      <c r="AW628"/>
      <c r="AX628"/>
      <c r="AY628"/>
      <c r="AZ628"/>
      <c r="BA628"/>
      <c r="BB628"/>
      <c r="BC628"/>
      <c r="BD628"/>
      <c r="BE628"/>
      <c r="BF628"/>
      <c r="BG628"/>
      <c r="BH628"/>
      <c r="BI628"/>
      <c r="BJ628"/>
      <c r="BK628"/>
      <c r="BL628"/>
      <c r="BM628"/>
    </row>
    <row r="629" spans="35:65" ht="12.75" customHeight="1">
      <c r="AI629" s="23"/>
      <c r="AJ629" s="23"/>
      <c r="AK629" s="23"/>
      <c r="AL629" s="23"/>
      <c r="AM629" s="23"/>
      <c r="AN629" s="23"/>
      <c r="AO629" s="23"/>
      <c r="AP629" s="23"/>
      <c r="AQ629" s="23"/>
      <c r="AR629" s="23"/>
      <c r="AS629"/>
      <c r="AT629"/>
      <c r="AU629"/>
      <c r="AV629"/>
      <c r="AW629"/>
      <c r="AX629"/>
      <c r="AY629"/>
      <c r="AZ629"/>
      <c r="BA629"/>
      <c r="BB629"/>
      <c r="BC629"/>
      <c r="BD629"/>
      <c r="BE629"/>
      <c r="BF629"/>
      <c r="BG629"/>
      <c r="BH629"/>
      <c r="BI629"/>
      <c r="BJ629"/>
      <c r="BK629"/>
      <c r="BL629"/>
      <c r="BM629"/>
    </row>
    <row r="630" spans="35:65" ht="12.75" customHeight="1">
      <c r="AI630" s="23"/>
      <c r="AJ630" s="23"/>
      <c r="AK630" s="23"/>
      <c r="AL630" s="23"/>
      <c r="AM630" s="23"/>
      <c r="AN630" s="23"/>
      <c r="AO630" s="23"/>
      <c r="AP630" s="23"/>
      <c r="AQ630" s="23"/>
      <c r="AR630" s="23"/>
      <c r="AS630"/>
      <c r="AT630"/>
      <c r="AU630"/>
      <c r="AV630"/>
      <c r="AW630"/>
      <c r="AX630"/>
      <c r="AY630"/>
      <c r="AZ630"/>
      <c r="BA630"/>
      <c r="BB630"/>
      <c r="BC630"/>
      <c r="BD630"/>
      <c r="BE630"/>
      <c r="BF630"/>
      <c r="BG630"/>
      <c r="BH630"/>
      <c r="BI630"/>
      <c r="BJ630"/>
      <c r="BK630"/>
      <c r="BL630"/>
      <c r="BM630"/>
    </row>
    <row r="631" spans="35:65" ht="12.75" customHeight="1">
      <c r="AI631" s="23"/>
      <c r="AJ631" s="23"/>
      <c r="AK631" s="23"/>
      <c r="AL631" s="23"/>
      <c r="AM631" s="23"/>
      <c r="AN631" s="23"/>
      <c r="AO631" s="23"/>
      <c r="AP631" s="23"/>
      <c r="AQ631" s="23"/>
      <c r="AR631" s="23"/>
      <c r="AS631"/>
      <c r="AT631"/>
      <c r="AU631"/>
      <c r="AV631"/>
      <c r="AW631"/>
      <c r="AX631"/>
      <c r="AY631"/>
      <c r="AZ631"/>
      <c r="BA631"/>
      <c r="BB631"/>
      <c r="BC631"/>
      <c r="BD631"/>
      <c r="BE631"/>
      <c r="BF631"/>
      <c r="BG631"/>
      <c r="BH631"/>
      <c r="BI631"/>
      <c r="BJ631"/>
      <c r="BK631"/>
      <c r="BL631"/>
      <c r="BM631"/>
    </row>
    <row r="632" spans="35:65" ht="12.75" customHeight="1">
      <c r="AI632" s="23"/>
      <c r="AJ632" s="23"/>
      <c r="AK632" s="23"/>
      <c r="AL632" s="23"/>
      <c r="AM632" s="23"/>
      <c r="AN632" s="23"/>
      <c r="AO632" s="23"/>
      <c r="AP632" s="23"/>
      <c r="AQ632" s="23"/>
      <c r="AR632" s="23"/>
      <c r="AS632"/>
      <c r="AT632"/>
      <c r="AU632"/>
      <c r="AV632"/>
      <c r="AW632"/>
      <c r="AX632"/>
      <c r="AY632"/>
      <c r="AZ632"/>
      <c r="BA632"/>
      <c r="BB632"/>
      <c r="BC632"/>
      <c r="BD632"/>
      <c r="BE632"/>
      <c r="BF632"/>
      <c r="BG632"/>
      <c r="BH632"/>
      <c r="BI632"/>
      <c r="BJ632"/>
      <c r="BK632"/>
      <c r="BL632"/>
      <c r="BM632"/>
    </row>
    <row r="633" spans="35:65" ht="12.75" customHeight="1">
      <c r="AI633" s="23"/>
      <c r="AJ633" s="23"/>
      <c r="AK633" s="23"/>
      <c r="AL633" s="23"/>
      <c r="AM633" s="23"/>
      <c r="AN633" s="23"/>
      <c r="AO633" s="23"/>
      <c r="AP633" s="23"/>
      <c r="AQ633" s="23"/>
      <c r="AR633" s="23"/>
      <c r="AS633"/>
      <c r="AT633"/>
      <c r="AU633"/>
      <c r="AV633"/>
      <c r="AW633"/>
      <c r="AX633"/>
      <c r="AY633"/>
      <c r="AZ633"/>
      <c r="BA633"/>
      <c r="BB633"/>
      <c r="BC633"/>
      <c r="BD633"/>
      <c r="BE633"/>
      <c r="BF633"/>
      <c r="BG633"/>
      <c r="BH633"/>
      <c r="BI633"/>
      <c r="BJ633"/>
      <c r="BK633"/>
      <c r="BL633"/>
      <c r="BM633"/>
    </row>
    <row r="634" spans="35:65" ht="12.75" customHeight="1">
      <c r="AI634" s="23"/>
      <c r="AJ634" s="23"/>
      <c r="AK634" s="23"/>
      <c r="AL634" s="23"/>
      <c r="AM634" s="23"/>
      <c r="AN634" s="23"/>
      <c r="AO634" s="23"/>
      <c r="AP634" s="23"/>
      <c r="AQ634" s="23"/>
      <c r="AR634" s="23"/>
      <c r="AS634"/>
      <c r="AT634"/>
      <c r="AU634"/>
      <c r="AV634"/>
      <c r="AW634"/>
      <c r="AX634"/>
      <c r="AY634"/>
      <c r="AZ634"/>
      <c r="BA634"/>
      <c r="BB634"/>
      <c r="BC634"/>
      <c r="BD634"/>
      <c r="BE634"/>
      <c r="BF634"/>
      <c r="BG634"/>
      <c r="BH634"/>
      <c r="BI634"/>
      <c r="BJ634"/>
      <c r="BK634"/>
      <c r="BL634"/>
      <c r="BM634"/>
    </row>
    <row r="635" spans="35:65" ht="12.75" customHeight="1">
      <c r="AI635" s="23"/>
      <c r="AJ635" s="23"/>
      <c r="AK635" s="23"/>
      <c r="AL635" s="23"/>
      <c r="AM635" s="23"/>
      <c r="AN635" s="23"/>
      <c r="AO635" s="23"/>
      <c r="AP635" s="23"/>
      <c r="AQ635" s="23"/>
      <c r="AR635" s="23"/>
      <c r="AS635"/>
      <c r="AT635"/>
      <c r="AU635"/>
      <c r="AV635"/>
      <c r="AW635"/>
      <c r="AX635"/>
      <c r="AY635"/>
      <c r="AZ635"/>
      <c r="BA635"/>
      <c r="BB635"/>
      <c r="BC635"/>
      <c r="BD635"/>
      <c r="BE635"/>
      <c r="BF635"/>
      <c r="BG635"/>
      <c r="BH635"/>
      <c r="BI635"/>
      <c r="BJ635"/>
      <c r="BK635"/>
      <c r="BL635"/>
      <c r="BM635"/>
    </row>
    <row r="636" spans="35:65" ht="12.75" customHeight="1">
      <c r="AI636" s="23"/>
      <c r="AJ636" s="23"/>
      <c r="AK636" s="23"/>
      <c r="AL636" s="23"/>
      <c r="AM636" s="23"/>
      <c r="AN636" s="23"/>
      <c r="AO636" s="23"/>
      <c r="AP636" s="23"/>
      <c r="AQ636" s="23"/>
      <c r="AR636" s="23"/>
      <c r="AS636"/>
      <c r="AT636"/>
      <c r="AU636"/>
      <c r="AV636"/>
      <c r="AW636"/>
      <c r="AX636"/>
      <c r="AY636"/>
      <c r="AZ636"/>
      <c r="BA636"/>
      <c r="BB636"/>
      <c r="BC636"/>
      <c r="BD636"/>
      <c r="BE636"/>
      <c r="BF636"/>
      <c r="BG636"/>
      <c r="BH636"/>
      <c r="BI636"/>
      <c r="BJ636"/>
      <c r="BK636"/>
      <c r="BL636"/>
      <c r="BM636"/>
    </row>
    <row r="637" spans="35:65" ht="12.75" customHeight="1">
      <c r="AI637" s="23"/>
      <c r="AJ637" s="23"/>
      <c r="AK637" s="23"/>
      <c r="AL637" s="23"/>
      <c r="AM637" s="23"/>
      <c r="AN637" s="23"/>
      <c r="AO637" s="23"/>
      <c r="AP637" s="23"/>
      <c r="AQ637" s="23"/>
      <c r="AR637" s="23"/>
      <c r="AS637"/>
      <c r="AT637"/>
      <c r="AU637"/>
      <c r="AV637"/>
      <c r="AW637"/>
      <c r="AX637"/>
      <c r="AY637"/>
      <c r="AZ637"/>
      <c r="BA637"/>
      <c r="BB637"/>
      <c r="BC637"/>
      <c r="BD637"/>
      <c r="BE637"/>
      <c r="BF637"/>
      <c r="BG637"/>
      <c r="BH637"/>
      <c r="BI637"/>
      <c r="BJ637"/>
      <c r="BK637"/>
      <c r="BL637"/>
      <c r="BM637"/>
    </row>
    <row r="638" spans="35:65" ht="12.75" customHeight="1">
      <c r="AI638" s="23"/>
      <c r="AJ638" s="23"/>
      <c r="AK638" s="23"/>
      <c r="AL638" s="23"/>
      <c r="AM638" s="23"/>
      <c r="AN638" s="23"/>
      <c r="AO638" s="23"/>
      <c r="AP638" s="23"/>
      <c r="AQ638" s="23"/>
      <c r="AR638" s="23"/>
      <c r="AS638"/>
      <c r="AT638"/>
      <c r="AU638"/>
      <c r="AV638"/>
      <c r="AW638"/>
      <c r="AX638"/>
      <c r="AY638"/>
      <c r="AZ638"/>
      <c r="BA638"/>
      <c r="BB638"/>
      <c r="BC638"/>
      <c r="BD638"/>
      <c r="BE638"/>
      <c r="BF638"/>
      <c r="BG638"/>
      <c r="BH638"/>
      <c r="BI638"/>
      <c r="BJ638"/>
      <c r="BK638"/>
      <c r="BL638"/>
      <c r="BM638"/>
    </row>
    <row r="639" spans="35:65" ht="12.75" customHeight="1">
      <c r="AI639" s="23"/>
      <c r="AJ639" s="23"/>
      <c r="AK639" s="23"/>
      <c r="AL639" s="23"/>
      <c r="AM639" s="23"/>
      <c r="AN639" s="23"/>
      <c r="AO639" s="23"/>
      <c r="AP639" s="23"/>
      <c r="AQ639" s="23"/>
      <c r="AR639" s="23"/>
      <c r="AS639"/>
      <c r="AT639"/>
      <c r="AU639"/>
      <c r="AV639"/>
      <c r="AW639"/>
      <c r="AX639"/>
      <c r="AY639"/>
      <c r="AZ639"/>
      <c r="BA639"/>
      <c r="BB639"/>
      <c r="BC639"/>
      <c r="BD639"/>
      <c r="BE639"/>
      <c r="BF639"/>
      <c r="BG639"/>
      <c r="BH639"/>
      <c r="BI639"/>
      <c r="BJ639"/>
      <c r="BK639"/>
      <c r="BL639"/>
      <c r="BM639"/>
    </row>
    <row r="640" spans="35:65" ht="12.75" customHeight="1">
      <c r="AI640" s="23"/>
      <c r="AJ640" s="23"/>
      <c r="AK640" s="23"/>
      <c r="AL640" s="23"/>
      <c r="AM640" s="23"/>
      <c r="AN640" s="23"/>
      <c r="AO640" s="23"/>
      <c r="AP640" s="23"/>
      <c r="AQ640" s="23"/>
      <c r="AR640" s="23"/>
      <c r="AS640"/>
      <c r="AT640"/>
      <c r="AU640"/>
      <c r="AV640"/>
      <c r="AW640"/>
      <c r="AX640"/>
      <c r="AY640"/>
      <c r="AZ640"/>
      <c r="BA640"/>
      <c r="BB640"/>
      <c r="BC640"/>
      <c r="BD640"/>
      <c r="BE640"/>
      <c r="BF640"/>
      <c r="BG640"/>
      <c r="BH640"/>
      <c r="BI640"/>
      <c r="BJ640"/>
      <c r="BK640"/>
      <c r="BL640"/>
      <c r="BM640"/>
    </row>
    <row r="641" spans="35:65" ht="12.75" customHeight="1">
      <c r="AI641" s="23"/>
      <c r="AJ641" s="23"/>
      <c r="AK641" s="23"/>
      <c r="AL641" s="23"/>
      <c r="AM641" s="23"/>
      <c r="AN641" s="23"/>
      <c r="AO641" s="23"/>
      <c r="AP641" s="23"/>
      <c r="AQ641" s="23"/>
      <c r="AR641" s="23"/>
      <c r="AS641"/>
      <c r="AT641"/>
      <c r="AU641"/>
      <c r="AV641"/>
      <c r="AW641"/>
      <c r="AX641"/>
      <c r="AY641"/>
      <c r="AZ641"/>
      <c r="BA641"/>
      <c r="BB641"/>
      <c r="BC641"/>
      <c r="BD641"/>
      <c r="BE641"/>
      <c r="BF641"/>
      <c r="BG641"/>
      <c r="BH641"/>
      <c r="BI641"/>
      <c r="BJ641"/>
      <c r="BK641"/>
      <c r="BL641"/>
      <c r="BM641"/>
    </row>
    <row r="642" spans="35:65" ht="12.75" customHeight="1">
      <c r="AI642" s="23"/>
      <c r="AJ642" s="23"/>
      <c r="AK642" s="23"/>
      <c r="AL642" s="23"/>
      <c r="AM642" s="23"/>
      <c r="AN642" s="23"/>
      <c r="AO642" s="23"/>
      <c r="AP642" s="23"/>
      <c r="AQ642" s="23"/>
      <c r="AR642" s="23"/>
      <c r="AS642"/>
      <c r="AT642"/>
      <c r="AU642"/>
      <c r="AV642"/>
      <c r="AW642"/>
      <c r="AX642"/>
      <c r="AY642"/>
      <c r="AZ642"/>
      <c r="BA642"/>
      <c r="BB642"/>
      <c r="BC642"/>
      <c r="BD642"/>
      <c r="BE642"/>
      <c r="BF642"/>
      <c r="BG642"/>
      <c r="BH642"/>
      <c r="BI642"/>
      <c r="BJ642"/>
      <c r="BK642"/>
      <c r="BL642"/>
      <c r="BM642"/>
    </row>
    <row r="643" spans="35:65" ht="12.75" customHeight="1">
      <c r="AI643" s="23"/>
      <c r="AJ643" s="23"/>
      <c r="AK643" s="23"/>
      <c r="AL643" s="23"/>
      <c r="AM643" s="23"/>
      <c r="AN643" s="23"/>
      <c r="AO643" s="23"/>
      <c r="AP643" s="23"/>
      <c r="AQ643" s="23"/>
      <c r="AR643" s="23"/>
      <c r="AS643"/>
      <c r="AT643"/>
      <c r="AU643"/>
      <c r="AV643"/>
      <c r="AW643"/>
      <c r="AX643"/>
      <c r="AY643"/>
      <c r="AZ643"/>
      <c r="BA643"/>
      <c r="BB643"/>
      <c r="BC643"/>
      <c r="BD643"/>
      <c r="BE643"/>
      <c r="BF643"/>
      <c r="BG643"/>
      <c r="BH643"/>
      <c r="BI643"/>
      <c r="BJ643"/>
      <c r="BK643"/>
      <c r="BL643"/>
      <c r="BM643"/>
    </row>
    <row r="644" spans="35:65" ht="12.75" customHeight="1">
      <c r="AI644" s="23"/>
      <c r="AJ644" s="23"/>
      <c r="AK644" s="23"/>
      <c r="AL644" s="23"/>
      <c r="AM644" s="23"/>
      <c r="AN644" s="23"/>
      <c r="AO644" s="23"/>
      <c r="AP644" s="23"/>
      <c r="AQ644" s="23"/>
      <c r="AR644" s="23"/>
      <c r="AS644"/>
      <c r="AT644"/>
      <c r="AU644"/>
      <c r="AV644"/>
      <c r="AW644"/>
      <c r="AX644"/>
      <c r="AY644"/>
      <c r="AZ644"/>
      <c r="BA644"/>
      <c r="BB644"/>
      <c r="BC644"/>
      <c r="BD644"/>
      <c r="BE644"/>
      <c r="BF644"/>
      <c r="BG644"/>
      <c r="BH644"/>
      <c r="BI644"/>
      <c r="BJ644"/>
      <c r="BK644"/>
      <c r="BL644"/>
      <c r="BM644"/>
    </row>
    <row r="645" spans="35:65" ht="12.75" customHeight="1">
      <c r="AI645" s="23"/>
      <c r="AJ645" s="23"/>
      <c r="AK645" s="23"/>
      <c r="AL645" s="23"/>
      <c r="AM645" s="23"/>
      <c r="AN645" s="23"/>
      <c r="AO645" s="23"/>
      <c r="AP645" s="23"/>
      <c r="AQ645" s="23"/>
      <c r="AR645" s="23"/>
      <c r="AS645"/>
      <c r="AT645"/>
      <c r="AU645"/>
      <c r="AV645"/>
      <c r="AW645"/>
      <c r="AX645"/>
      <c r="AY645"/>
      <c r="AZ645"/>
      <c r="BA645"/>
      <c r="BB645"/>
      <c r="BC645"/>
      <c r="BD645"/>
      <c r="BE645"/>
      <c r="BF645"/>
      <c r="BG645"/>
      <c r="BH645"/>
      <c r="BI645"/>
      <c r="BJ645"/>
      <c r="BK645"/>
      <c r="BL645"/>
      <c r="BM645"/>
    </row>
    <row r="646" spans="35:65" ht="12.75" customHeight="1">
      <c r="AI646" s="23"/>
      <c r="AJ646" s="23"/>
      <c r="AK646" s="23"/>
      <c r="AL646" s="23"/>
      <c r="AM646" s="23"/>
      <c r="AN646" s="23"/>
      <c r="AO646" s="23"/>
      <c r="AP646" s="23"/>
      <c r="AQ646" s="23"/>
      <c r="AR646" s="23"/>
      <c r="AS646"/>
      <c r="AT646"/>
      <c r="AU646"/>
      <c r="AV646"/>
      <c r="AW646"/>
      <c r="AX646"/>
      <c r="AY646"/>
      <c r="AZ646"/>
      <c r="BA646"/>
      <c r="BB646"/>
      <c r="BC646"/>
      <c r="BD646"/>
      <c r="BE646"/>
      <c r="BF646"/>
      <c r="BG646"/>
      <c r="BH646"/>
      <c r="BI646"/>
      <c r="BJ646"/>
      <c r="BK646"/>
      <c r="BL646"/>
      <c r="BM646"/>
    </row>
    <row r="647" spans="35:65" ht="12.75" customHeight="1">
      <c r="AI647" s="23"/>
      <c r="AJ647" s="23"/>
      <c r="AK647" s="23"/>
      <c r="AL647" s="23"/>
      <c r="AM647" s="23"/>
      <c r="AN647" s="23"/>
      <c r="AO647" s="23"/>
      <c r="AP647" s="23"/>
      <c r="AQ647" s="23"/>
      <c r="AR647" s="23"/>
      <c r="AS647"/>
      <c r="AT647"/>
      <c r="AU647"/>
      <c r="AV647"/>
      <c r="AW647"/>
      <c r="AX647"/>
      <c r="AY647"/>
      <c r="AZ647"/>
      <c r="BA647"/>
      <c r="BB647"/>
      <c r="BC647"/>
      <c r="BD647"/>
      <c r="BE647"/>
      <c r="BF647"/>
      <c r="BG647"/>
      <c r="BH647"/>
      <c r="BI647"/>
      <c r="BJ647"/>
      <c r="BK647"/>
      <c r="BL647"/>
      <c r="BM647"/>
    </row>
    <row r="648" spans="35:65" ht="12.75" customHeight="1">
      <c r="AI648" s="23"/>
      <c r="AJ648" s="23"/>
      <c r="AK648" s="23"/>
      <c r="AL648" s="23"/>
      <c r="AM648" s="23"/>
      <c r="AN648" s="23"/>
      <c r="AO648" s="23"/>
      <c r="AP648" s="23"/>
      <c r="AQ648" s="23"/>
      <c r="AR648" s="23"/>
      <c r="AS648"/>
      <c r="AT648"/>
      <c r="AU648"/>
      <c r="AV648"/>
      <c r="AW648"/>
      <c r="AX648"/>
      <c r="AY648"/>
      <c r="AZ648"/>
      <c r="BA648"/>
      <c r="BB648"/>
      <c r="BC648"/>
      <c r="BD648"/>
      <c r="BE648"/>
      <c r="BF648"/>
      <c r="BG648"/>
      <c r="BH648"/>
      <c r="BI648"/>
      <c r="BJ648"/>
      <c r="BK648"/>
      <c r="BL648"/>
      <c r="BM648"/>
    </row>
    <row r="649" spans="35:65" ht="12.75" customHeight="1">
      <c r="AI649" s="23"/>
      <c r="AJ649" s="23"/>
      <c r="AK649" s="23"/>
      <c r="AL649" s="23"/>
      <c r="AM649" s="23"/>
      <c r="AN649" s="23"/>
      <c r="AO649" s="23"/>
      <c r="AP649" s="23"/>
      <c r="AQ649" s="23"/>
      <c r="AR649" s="23"/>
      <c r="AS649"/>
      <c r="AT649"/>
      <c r="AU649"/>
      <c r="AV649"/>
      <c r="AW649"/>
      <c r="AX649"/>
      <c r="AY649"/>
      <c r="AZ649"/>
      <c r="BA649"/>
      <c r="BB649"/>
      <c r="BC649"/>
      <c r="BD649"/>
      <c r="BE649"/>
      <c r="BF649"/>
      <c r="BG649"/>
      <c r="BH649"/>
      <c r="BI649"/>
      <c r="BJ649"/>
      <c r="BK649"/>
      <c r="BL649"/>
      <c r="BM649"/>
    </row>
    <row r="650" spans="35:65" ht="12.75" customHeight="1">
      <c r="AI650" s="23"/>
      <c r="AJ650" s="23"/>
      <c r="AK650" s="23"/>
      <c r="AL650" s="23"/>
      <c r="AM650" s="23"/>
      <c r="AN650" s="23"/>
      <c r="AO650" s="23"/>
      <c r="AP650" s="23"/>
      <c r="AQ650" s="23"/>
      <c r="AR650" s="23"/>
      <c r="AS650"/>
      <c r="AT650"/>
      <c r="AU650"/>
      <c r="AV650"/>
      <c r="AW650"/>
      <c r="AX650"/>
      <c r="AY650"/>
      <c r="AZ650"/>
      <c r="BA650"/>
      <c r="BB650"/>
      <c r="BC650"/>
      <c r="BD650"/>
      <c r="BE650"/>
      <c r="BF650"/>
      <c r="BG650"/>
      <c r="BH650"/>
      <c r="BI650"/>
      <c r="BJ650"/>
      <c r="BK650"/>
      <c r="BL650"/>
      <c r="BM650"/>
    </row>
    <row r="651" spans="35:65" ht="12.75" customHeight="1">
      <c r="AI651" s="23"/>
      <c r="AJ651" s="23"/>
      <c r="AK651" s="23"/>
      <c r="AL651" s="23"/>
      <c r="AM651" s="23"/>
      <c r="AN651" s="23"/>
      <c r="AO651" s="23"/>
      <c r="AP651" s="23"/>
      <c r="AQ651" s="23"/>
      <c r="AR651" s="23"/>
      <c r="AS651"/>
      <c r="AT651"/>
      <c r="AU651"/>
      <c r="AV651"/>
      <c r="AW651"/>
      <c r="AX651"/>
      <c r="AY651"/>
      <c r="AZ651"/>
      <c r="BA651"/>
      <c r="BB651"/>
      <c r="BC651"/>
      <c r="BD651"/>
      <c r="BE651"/>
      <c r="BF651"/>
      <c r="BG651"/>
      <c r="BH651"/>
      <c r="BI651"/>
      <c r="BJ651"/>
      <c r="BK651"/>
      <c r="BL651"/>
      <c r="BM651"/>
    </row>
    <row r="652" spans="35:65" ht="12.75" customHeight="1">
      <c r="AI652" s="23"/>
      <c r="AJ652" s="23"/>
      <c r="AK652" s="23"/>
      <c r="AL652" s="23"/>
      <c r="AM652" s="23"/>
      <c r="AN652" s="23"/>
      <c r="AO652" s="23"/>
      <c r="AP652" s="23"/>
      <c r="AQ652" s="23"/>
      <c r="AR652" s="23"/>
      <c r="AS652"/>
      <c r="AT652"/>
      <c r="AU652"/>
      <c r="AV652"/>
      <c r="AW652"/>
      <c r="AX652"/>
      <c r="AY652"/>
      <c r="AZ652"/>
      <c r="BA652"/>
      <c r="BB652"/>
      <c r="BC652"/>
      <c r="BD652"/>
      <c r="BE652"/>
      <c r="BF652"/>
      <c r="BG652"/>
      <c r="BH652"/>
      <c r="BI652"/>
      <c r="BJ652"/>
      <c r="BK652"/>
      <c r="BL652"/>
      <c r="BM652"/>
    </row>
    <row r="653" spans="35:65" ht="12.75" customHeight="1">
      <c r="AI653" s="23"/>
      <c r="AJ653" s="23"/>
      <c r="AK653" s="23"/>
      <c r="AL653" s="23"/>
      <c r="AM653" s="23"/>
      <c r="AN653" s="23"/>
      <c r="AO653" s="23"/>
      <c r="AP653" s="23"/>
      <c r="AQ653" s="23"/>
      <c r="AR653" s="23"/>
      <c r="AS653"/>
      <c r="AT653"/>
      <c r="AU653"/>
      <c r="AV653"/>
      <c r="AW653"/>
      <c r="AX653"/>
      <c r="AY653"/>
      <c r="AZ653"/>
      <c r="BA653"/>
      <c r="BB653"/>
      <c r="BC653"/>
      <c r="BD653"/>
      <c r="BE653"/>
      <c r="BF653"/>
      <c r="BG653"/>
      <c r="BH653"/>
      <c r="BI653"/>
      <c r="BJ653"/>
      <c r="BK653"/>
      <c r="BL653"/>
      <c r="BM653"/>
    </row>
    <row r="654" spans="35:65" ht="12.75" customHeight="1">
      <c r="AI654" s="23"/>
      <c r="AJ654" s="23"/>
      <c r="AK654" s="23"/>
      <c r="AL654" s="23"/>
      <c r="AM654" s="23"/>
      <c r="AN654" s="23"/>
      <c r="AO654" s="23"/>
      <c r="AP654" s="23"/>
      <c r="AQ654" s="23"/>
      <c r="AR654" s="23"/>
      <c r="AS654"/>
      <c r="AT654"/>
      <c r="AU654"/>
      <c r="AV654"/>
      <c r="AW654"/>
      <c r="AX654"/>
      <c r="AY654"/>
      <c r="AZ654"/>
      <c r="BA654"/>
      <c r="BB654"/>
      <c r="BC654"/>
      <c r="BD654"/>
      <c r="BE654"/>
      <c r="BF654"/>
      <c r="BG654"/>
      <c r="BH654"/>
      <c r="BI654"/>
      <c r="BJ654"/>
      <c r="BK654"/>
      <c r="BL654"/>
      <c r="BM654"/>
    </row>
    <row r="655" spans="35:65" ht="12.75" customHeight="1">
      <c r="AI655" s="23"/>
      <c r="AJ655" s="23"/>
      <c r="AK655" s="23"/>
      <c r="AL655" s="23"/>
      <c r="AM655" s="23"/>
      <c r="AN655" s="23"/>
      <c r="AO655" s="23"/>
      <c r="AP655" s="23"/>
      <c r="AQ655" s="23"/>
      <c r="AR655" s="23"/>
      <c r="AS655"/>
      <c r="AT655"/>
      <c r="AU655"/>
      <c r="AV655"/>
      <c r="AW655"/>
      <c r="AX655"/>
      <c r="AY655"/>
      <c r="AZ655"/>
      <c r="BA655"/>
      <c r="BB655"/>
      <c r="BC655"/>
      <c r="BD655"/>
      <c r="BE655"/>
      <c r="BF655"/>
      <c r="BG655"/>
      <c r="BH655"/>
      <c r="BI655"/>
      <c r="BJ655"/>
      <c r="BK655"/>
      <c r="BL655"/>
      <c r="BM655"/>
    </row>
    <row r="656" spans="35:65" ht="12.75" customHeight="1">
      <c r="AI656" s="23"/>
      <c r="AJ656" s="23"/>
      <c r="AK656" s="23"/>
      <c r="AL656" s="23"/>
      <c r="AM656" s="23"/>
      <c r="AN656" s="23"/>
      <c r="AO656" s="23"/>
      <c r="AP656" s="23"/>
      <c r="AQ656" s="23"/>
      <c r="AR656" s="23"/>
      <c r="AS656"/>
      <c r="AT656"/>
      <c r="AU656"/>
      <c r="AV656"/>
      <c r="AW656"/>
      <c r="AX656"/>
      <c r="AY656"/>
      <c r="AZ656"/>
      <c r="BA656"/>
      <c r="BB656"/>
      <c r="BC656"/>
      <c r="BD656"/>
      <c r="BE656"/>
      <c r="BF656"/>
      <c r="BG656"/>
      <c r="BH656"/>
      <c r="BI656"/>
      <c r="BJ656"/>
      <c r="BK656"/>
      <c r="BL656"/>
      <c r="BM656"/>
    </row>
    <row r="657" spans="35:65" ht="12.75" customHeight="1">
      <c r="AI657" s="23"/>
      <c r="AJ657" s="23"/>
      <c r="AK657" s="23"/>
      <c r="AL657" s="23"/>
      <c r="AM657" s="23"/>
      <c r="AN657" s="23"/>
      <c r="AO657" s="23"/>
      <c r="AP657" s="23"/>
      <c r="AQ657" s="23"/>
      <c r="AR657" s="23"/>
      <c r="AS657"/>
      <c r="AT657"/>
      <c r="AU657"/>
      <c r="AV657"/>
      <c r="AW657"/>
      <c r="AX657"/>
      <c r="AY657"/>
      <c r="AZ657"/>
      <c r="BA657"/>
      <c r="BB657"/>
      <c r="BC657"/>
      <c r="BD657"/>
      <c r="BE657"/>
      <c r="BF657"/>
      <c r="BG657"/>
      <c r="BH657"/>
      <c r="BI657"/>
      <c r="BJ657"/>
      <c r="BK657"/>
      <c r="BL657"/>
      <c r="BM657"/>
    </row>
    <row r="658" spans="35:65" ht="12.75" customHeight="1">
      <c r="AI658" s="23"/>
      <c r="AJ658" s="23"/>
      <c r="AK658" s="23"/>
      <c r="AL658" s="23"/>
      <c r="AM658" s="23"/>
      <c r="AN658" s="23"/>
      <c r="AO658" s="23"/>
      <c r="AP658" s="23"/>
      <c r="AQ658" s="23"/>
      <c r="AR658" s="23"/>
      <c r="AS658"/>
      <c r="AT658"/>
      <c r="AU658"/>
      <c r="AV658"/>
      <c r="AW658"/>
      <c r="AX658"/>
      <c r="AY658"/>
      <c r="AZ658"/>
      <c r="BA658"/>
      <c r="BB658"/>
      <c r="BC658"/>
      <c r="BD658"/>
      <c r="BE658"/>
      <c r="BF658"/>
      <c r="BG658"/>
      <c r="BH658"/>
      <c r="BI658"/>
      <c r="BJ658"/>
      <c r="BK658"/>
      <c r="BL658"/>
      <c r="BM658"/>
    </row>
    <row r="659" spans="35:65" ht="12.75" customHeight="1">
      <c r="AI659" s="23"/>
      <c r="AJ659" s="23"/>
      <c r="AK659" s="23"/>
      <c r="AL659" s="23"/>
      <c r="AM659" s="23"/>
      <c r="AN659" s="23"/>
      <c r="AO659" s="23"/>
      <c r="AP659" s="23"/>
      <c r="AQ659" s="23"/>
      <c r="AR659" s="23"/>
      <c r="AS659"/>
      <c r="AT659"/>
      <c r="AU659"/>
      <c r="AV659"/>
      <c r="AW659"/>
      <c r="AX659"/>
      <c r="AY659"/>
      <c r="AZ659"/>
      <c r="BA659"/>
      <c r="BB659"/>
      <c r="BC659"/>
      <c r="BD659"/>
      <c r="BE659"/>
      <c r="BF659"/>
      <c r="BG659"/>
      <c r="BH659"/>
      <c r="BI659"/>
      <c r="BJ659"/>
      <c r="BK659"/>
      <c r="BL659"/>
      <c r="BM659"/>
    </row>
    <row r="660" spans="35:65" ht="12.75" customHeight="1">
      <c r="AI660" s="23"/>
      <c r="AJ660" s="23"/>
      <c r="AK660" s="23"/>
      <c r="AL660" s="23"/>
      <c r="AM660" s="23"/>
      <c r="AN660" s="23"/>
      <c r="AO660" s="23"/>
      <c r="AP660" s="23"/>
      <c r="AQ660" s="23"/>
      <c r="AR660" s="23"/>
      <c r="AS660"/>
      <c r="AT660"/>
      <c r="AU660"/>
      <c r="AV660"/>
      <c r="AW660"/>
      <c r="AX660"/>
      <c r="AY660"/>
      <c r="AZ660"/>
      <c r="BA660"/>
      <c r="BB660"/>
      <c r="BC660"/>
      <c r="BD660"/>
      <c r="BE660"/>
      <c r="BF660"/>
      <c r="BG660"/>
      <c r="BH660"/>
      <c r="BI660"/>
      <c r="BJ660"/>
      <c r="BK660"/>
      <c r="BL660"/>
      <c r="BM660"/>
    </row>
    <row r="661" spans="35:65" ht="12.75" customHeight="1">
      <c r="AI661" s="23"/>
      <c r="AJ661" s="23"/>
      <c r="AK661" s="23"/>
      <c r="AL661" s="23"/>
      <c r="AM661" s="23"/>
      <c r="AN661" s="23"/>
      <c r="AO661" s="23"/>
      <c r="AP661" s="23"/>
      <c r="AQ661" s="23"/>
      <c r="AR661" s="23"/>
      <c r="AS661"/>
      <c r="AT661"/>
      <c r="AU661"/>
      <c r="AV661"/>
      <c r="AW661"/>
      <c r="AX661"/>
      <c r="AY661"/>
      <c r="AZ661"/>
      <c r="BA661"/>
      <c r="BB661"/>
      <c r="BC661"/>
      <c r="BD661"/>
      <c r="BE661"/>
      <c r="BF661"/>
      <c r="BG661"/>
      <c r="BH661"/>
      <c r="BI661"/>
      <c r="BJ661"/>
      <c r="BK661"/>
      <c r="BL661"/>
      <c r="BM661"/>
    </row>
    <row r="662" spans="35:65" ht="12.75" customHeight="1">
      <c r="AI662" s="23"/>
      <c r="AJ662" s="23"/>
      <c r="AK662" s="23"/>
      <c r="AL662" s="23"/>
      <c r="AM662" s="23"/>
      <c r="AN662" s="23"/>
      <c r="AO662" s="23"/>
      <c r="AP662" s="23"/>
      <c r="AQ662" s="23"/>
      <c r="AR662" s="23"/>
      <c r="AS662"/>
      <c r="AT662"/>
      <c r="AU662"/>
      <c r="AV662"/>
      <c r="AW662"/>
      <c r="AX662"/>
      <c r="AY662"/>
      <c r="AZ662"/>
      <c r="BA662"/>
      <c r="BB662"/>
      <c r="BC662"/>
      <c r="BD662"/>
      <c r="BE662"/>
      <c r="BF662"/>
      <c r="BG662"/>
      <c r="BH662"/>
      <c r="BI662"/>
      <c r="BJ662"/>
      <c r="BK662"/>
      <c r="BL662"/>
      <c r="BM662"/>
    </row>
    <row r="663" spans="35:65" ht="12.75" customHeight="1">
      <c r="AI663" s="23"/>
      <c r="AJ663" s="23"/>
      <c r="AK663" s="23"/>
      <c r="AL663" s="23"/>
      <c r="AM663" s="23"/>
      <c r="AN663" s="23"/>
      <c r="AO663" s="23"/>
      <c r="AP663" s="23"/>
      <c r="AQ663" s="23"/>
      <c r="AR663" s="23"/>
      <c r="AS663"/>
      <c r="AT663"/>
      <c r="AU663"/>
      <c r="AV663"/>
      <c r="AW663"/>
      <c r="AX663"/>
      <c r="AY663"/>
      <c r="AZ663"/>
      <c r="BA663"/>
      <c r="BB663"/>
      <c r="BC663"/>
      <c r="BD663"/>
      <c r="BE663"/>
      <c r="BF663"/>
      <c r="BG663"/>
      <c r="BH663"/>
      <c r="BI663"/>
      <c r="BJ663"/>
      <c r="BK663"/>
      <c r="BL663"/>
      <c r="BM663"/>
    </row>
    <row r="664" spans="35:65" ht="12.75" customHeight="1">
      <c r="AI664" s="23"/>
      <c r="AJ664" s="23"/>
      <c r="AK664" s="23"/>
      <c r="AL664" s="23"/>
      <c r="AM664" s="23"/>
      <c r="AN664" s="23"/>
      <c r="AO664" s="23"/>
      <c r="AP664" s="23"/>
      <c r="AQ664" s="23"/>
      <c r="AR664" s="23"/>
      <c r="AS664"/>
      <c r="AT664"/>
      <c r="AU664"/>
      <c r="AV664"/>
      <c r="AW664"/>
      <c r="AX664"/>
      <c r="AY664"/>
      <c r="AZ664"/>
      <c r="BA664"/>
      <c r="BB664"/>
      <c r="BC664"/>
      <c r="BD664"/>
      <c r="BE664"/>
      <c r="BF664"/>
      <c r="BG664"/>
      <c r="BH664"/>
      <c r="BI664"/>
      <c r="BJ664"/>
      <c r="BK664"/>
      <c r="BL664"/>
      <c r="BM664"/>
    </row>
    <row r="665" spans="35:65" ht="12.75" customHeight="1">
      <c r="AI665" s="23"/>
      <c r="AJ665" s="23"/>
      <c r="AK665" s="23"/>
      <c r="AL665" s="23"/>
      <c r="AM665" s="23"/>
      <c r="AN665" s="23"/>
      <c r="AO665" s="23"/>
      <c r="AP665" s="23"/>
      <c r="AQ665" s="23"/>
      <c r="AR665" s="23"/>
      <c r="AS665"/>
      <c r="AT665"/>
      <c r="AU665"/>
      <c r="AV665"/>
      <c r="AW665"/>
      <c r="AX665"/>
      <c r="AY665"/>
      <c r="AZ665"/>
      <c r="BA665"/>
      <c r="BB665"/>
      <c r="BC665"/>
      <c r="BD665"/>
      <c r="BE665"/>
      <c r="BF665"/>
      <c r="BG665"/>
      <c r="BH665"/>
      <c r="BI665"/>
      <c r="BJ665"/>
      <c r="BK665"/>
      <c r="BL665"/>
      <c r="BM665"/>
    </row>
    <row r="666" spans="35:65" ht="12.75" customHeight="1">
      <c r="AI666" s="23"/>
      <c r="AJ666" s="23"/>
      <c r="AK666" s="23"/>
      <c r="AL666" s="23"/>
      <c r="AM666" s="23"/>
      <c r="AN666" s="23"/>
      <c r="AO666" s="23"/>
      <c r="AP666" s="23"/>
      <c r="AQ666" s="23"/>
      <c r="AR666" s="23"/>
      <c r="AS666"/>
      <c r="AT666"/>
      <c r="AU666"/>
      <c r="AV666"/>
      <c r="AW666"/>
      <c r="AX666"/>
      <c r="AY666"/>
      <c r="AZ666"/>
      <c r="BA666"/>
      <c r="BB666"/>
      <c r="BC666"/>
      <c r="BD666"/>
      <c r="BE666"/>
      <c r="BF666"/>
      <c r="BG666"/>
      <c r="BH666"/>
      <c r="BI666"/>
      <c r="BJ666"/>
      <c r="BK666"/>
      <c r="BL666"/>
      <c r="BM666"/>
    </row>
    <row r="667" spans="35:65" ht="12.75" customHeight="1">
      <c r="AI667" s="23"/>
      <c r="AJ667" s="23"/>
      <c r="AK667" s="23"/>
      <c r="AL667" s="23"/>
      <c r="AM667" s="23"/>
      <c r="AN667" s="23"/>
      <c r="AO667" s="23"/>
      <c r="AP667" s="23"/>
      <c r="AQ667" s="23"/>
      <c r="AR667" s="23"/>
      <c r="AS667"/>
      <c r="AT667"/>
      <c r="AU667"/>
      <c r="AV667"/>
      <c r="AW667"/>
      <c r="AX667"/>
      <c r="AY667"/>
      <c r="AZ667"/>
      <c r="BA667"/>
      <c r="BB667"/>
      <c r="BC667"/>
      <c r="BD667"/>
      <c r="BE667"/>
      <c r="BF667"/>
      <c r="BG667"/>
      <c r="BH667"/>
      <c r="BI667"/>
      <c r="BJ667"/>
      <c r="BK667"/>
      <c r="BL667"/>
      <c r="BM667"/>
    </row>
    <row r="668" spans="35:65" ht="12.75" customHeight="1">
      <c r="AI668" s="23"/>
      <c r="AJ668" s="23"/>
      <c r="AK668" s="23"/>
      <c r="AL668" s="23"/>
      <c r="AM668" s="23"/>
      <c r="AN668" s="23"/>
      <c r="AO668" s="23"/>
      <c r="AP668" s="23"/>
      <c r="AQ668" s="23"/>
      <c r="AR668" s="23"/>
      <c r="AS668"/>
      <c r="AT668"/>
      <c r="AU668"/>
      <c r="AV668"/>
      <c r="AW668"/>
      <c r="AX668"/>
      <c r="AY668"/>
      <c r="AZ668"/>
      <c r="BA668"/>
      <c r="BB668"/>
      <c r="BC668"/>
      <c r="BD668"/>
      <c r="BE668"/>
      <c r="BF668"/>
      <c r="BG668"/>
      <c r="BH668"/>
      <c r="BI668"/>
      <c r="BJ668"/>
      <c r="BK668"/>
      <c r="BL668"/>
      <c r="BM668"/>
    </row>
    <row r="669" spans="35:65" ht="12.75" customHeight="1">
      <c r="AI669" s="23"/>
      <c r="AJ669" s="23"/>
      <c r="AK669" s="23"/>
      <c r="AL669" s="23"/>
      <c r="AM669" s="23"/>
      <c r="AN669" s="23"/>
      <c r="AO669" s="23"/>
      <c r="AP669" s="23"/>
      <c r="AQ669" s="23"/>
      <c r="AR669" s="23"/>
      <c r="AS669"/>
      <c r="AT669"/>
      <c r="AU669"/>
      <c r="AV669"/>
      <c r="AW669"/>
      <c r="AX669"/>
      <c r="AY669"/>
      <c r="AZ669"/>
      <c r="BA669"/>
      <c r="BB669"/>
      <c r="BC669"/>
      <c r="BD669"/>
      <c r="BE669"/>
      <c r="BF669"/>
      <c r="BG669"/>
      <c r="BH669"/>
      <c r="BI669"/>
      <c r="BJ669"/>
      <c r="BK669"/>
      <c r="BL669"/>
      <c r="BM669"/>
    </row>
    <row r="670" spans="35:65" ht="12.75" customHeight="1">
      <c r="AI670" s="23"/>
      <c r="AJ670" s="23"/>
      <c r="AK670" s="23"/>
      <c r="AL670" s="23"/>
      <c r="AM670" s="23"/>
      <c r="AN670" s="23"/>
      <c r="AO670" s="23"/>
      <c r="AP670" s="23"/>
      <c r="AQ670" s="23"/>
      <c r="AR670" s="23"/>
      <c r="AS670"/>
      <c r="AT670"/>
      <c r="AU670"/>
      <c r="AV670"/>
      <c r="AW670"/>
      <c r="AX670"/>
      <c r="AY670"/>
      <c r="AZ670"/>
      <c r="BA670"/>
      <c r="BB670"/>
      <c r="BC670"/>
      <c r="BD670"/>
      <c r="BE670"/>
      <c r="BF670"/>
      <c r="BG670"/>
      <c r="BH670"/>
      <c r="BI670"/>
      <c r="BJ670"/>
      <c r="BK670"/>
      <c r="BL670"/>
      <c r="BM670"/>
    </row>
    <row r="671" spans="35:65" ht="12.75" customHeight="1">
      <c r="AI671" s="23"/>
      <c r="AJ671" s="23"/>
      <c r="AK671" s="23"/>
      <c r="AL671" s="23"/>
      <c r="AM671" s="23"/>
      <c r="AN671" s="23"/>
      <c r="AO671" s="23"/>
      <c r="AP671" s="23"/>
      <c r="AQ671" s="23"/>
      <c r="AR671" s="23"/>
      <c r="AS671"/>
      <c r="AT671"/>
      <c r="AU671"/>
      <c r="AV671"/>
      <c r="AW671"/>
      <c r="AX671"/>
      <c r="AY671"/>
      <c r="AZ671"/>
      <c r="BA671"/>
      <c r="BB671"/>
      <c r="BC671"/>
      <c r="BD671"/>
      <c r="BE671"/>
      <c r="BF671"/>
      <c r="BG671"/>
      <c r="BH671"/>
      <c r="BI671"/>
      <c r="BJ671"/>
      <c r="BK671"/>
      <c r="BL671"/>
      <c r="BM671"/>
    </row>
    <row r="672" spans="35:65" ht="12.75" customHeight="1">
      <c r="AI672" s="23"/>
      <c r="AJ672" s="23"/>
      <c r="AK672" s="23"/>
      <c r="AL672" s="23"/>
      <c r="AM672" s="23"/>
      <c r="AN672" s="23"/>
      <c r="AO672" s="23"/>
      <c r="AP672" s="23"/>
      <c r="AQ672" s="23"/>
      <c r="AR672" s="23"/>
      <c r="AS672"/>
      <c r="AT672"/>
      <c r="AU672"/>
      <c r="AV672"/>
      <c r="AW672"/>
      <c r="AX672"/>
      <c r="AY672"/>
      <c r="AZ672"/>
      <c r="BA672"/>
      <c r="BB672"/>
      <c r="BC672"/>
      <c r="BD672"/>
      <c r="BE672"/>
      <c r="BF672"/>
      <c r="BG672"/>
      <c r="BH672"/>
      <c r="BI672"/>
      <c r="BJ672"/>
      <c r="BK672"/>
      <c r="BL672"/>
      <c r="BM672"/>
    </row>
    <row r="673" spans="35:65" ht="12.75" customHeight="1">
      <c r="AI673" s="23"/>
      <c r="AJ673" s="23"/>
      <c r="AK673" s="23"/>
      <c r="AL673" s="23"/>
      <c r="AM673" s="23"/>
      <c r="AN673" s="23"/>
      <c r="AO673" s="23"/>
      <c r="AP673" s="23"/>
      <c r="AQ673" s="23"/>
      <c r="AR673" s="23"/>
      <c r="AS673"/>
      <c r="AT673"/>
      <c r="AU673"/>
      <c r="AV673"/>
      <c r="AW673"/>
      <c r="AX673"/>
      <c r="AY673"/>
      <c r="AZ673"/>
      <c r="BA673"/>
      <c r="BB673"/>
      <c r="BC673"/>
      <c r="BD673"/>
      <c r="BE673"/>
      <c r="BF673"/>
      <c r="BG673"/>
      <c r="BH673"/>
      <c r="BI673"/>
      <c r="BJ673"/>
      <c r="BK673"/>
      <c r="BL673"/>
      <c r="BM673"/>
    </row>
    <row r="674" spans="35:65" ht="12.75" customHeight="1">
      <c r="AI674" s="23"/>
      <c r="AJ674" s="23"/>
      <c r="AK674" s="23"/>
      <c r="AL674" s="23"/>
      <c r="AM674" s="23"/>
      <c r="AN674" s="23"/>
      <c r="AO674" s="23"/>
      <c r="AP674" s="23"/>
      <c r="AQ674" s="23"/>
      <c r="AR674" s="23"/>
      <c r="AS674"/>
      <c r="AT674"/>
      <c r="AU674"/>
      <c r="AV674"/>
      <c r="AW674"/>
      <c r="AX674"/>
      <c r="AY674"/>
      <c r="AZ674"/>
      <c r="BA674"/>
      <c r="BB674"/>
      <c r="BC674"/>
      <c r="BD674"/>
      <c r="BE674"/>
      <c r="BF674"/>
      <c r="BG674"/>
      <c r="BH674"/>
      <c r="BI674"/>
      <c r="BJ674"/>
      <c r="BK674"/>
      <c r="BL674"/>
      <c r="BM674"/>
    </row>
    <row r="675" spans="35:65" ht="12.75" customHeight="1">
      <c r="AI675" s="23"/>
      <c r="AJ675" s="23"/>
      <c r="AK675" s="23"/>
      <c r="AL675" s="23"/>
      <c r="AM675" s="23"/>
      <c r="AN675" s="23"/>
      <c r="AO675" s="23"/>
      <c r="AP675" s="23"/>
      <c r="AQ675" s="23"/>
      <c r="AR675" s="23"/>
      <c r="AS675"/>
      <c r="AT675"/>
      <c r="AU675"/>
      <c r="AV675"/>
      <c r="AW675"/>
      <c r="AX675"/>
      <c r="AY675"/>
      <c r="AZ675"/>
      <c r="BA675"/>
      <c r="BB675"/>
      <c r="BC675"/>
      <c r="BD675"/>
      <c r="BE675"/>
      <c r="BF675"/>
      <c r="BG675"/>
      <c r="BH675"/>
      <c r="BI675"/>
      <c r="BJ675"/>
      <c r="BK675"/>
      <c r="BL675"/>
      <c r="BM675"/>
    </row>
    <row r="676" spans="35:65" ht="12.75" customHeight="1">
      <c r="AI676" s="23"/>
      <c r="AJ676" s="23"/>
      <c r="AK676" s="23"/>
      <c r="AL676" s="23"/>
      <c r="AM676" s="23"/>
      <c r="AN676" s="23"/>
      <c r="AO676" s="23"/>
      <c r="AP676" s="23"/>
      <c r="AQ676" s="23"/>
      <c r="AR676" s="23"/>
      <c r="AS676"/>
      <c r="AT676"/>
      <c r="AU676"/>
      <c r="AV676"/>
      <c r="AW676"/>
      <c r="AX676"/>
      <c r="AY676"/>
      <c r="AZ676"/>
      <c r="BA676"/>
      <c r="BB676"/>
      <c r="BC676"/>
      <c r="BD676"/>
      <c r="BE676"/>
      <c r="BF676"/>
      <c r="BG676"/>
      <c r="BH676"/>
      <c r="BI676"/>
      <c r="BJ676"/>
      <c r="BK676"/>
      <c r="BL676"/>
      <c r="BM676"/>
    </row>
    <row r="677" spans="35:65" ht="12.75" customHeight="1">
      <c r="AI677" s="23"/>
      <c r="AJ677" s="23"/>
      <c r="AK677" s="23"/>
      <c r="AL677" s="23"/>
      <c r="AM677" s="23"/>
      <c r="AN677" s="23"/>
      <c r="AO677" s="23"/>
      <c r="AP677" s="23"/>
      <c r="AQ677" s="23"/>
      <c r="AR677" s="23"/>
    </row>
    <row r="678" spans="35:65" ht="12.75" customHeight="1">
      <c r="AI678" s="23"/>
      <c r="AJ678" s="23"/>
      <c r="AK678" s="23"/>
      <c r="AL678" s="23"/>
      <c r="AM678" s="23"/>
      <c r="AN678" s="23"/>
      <c r="AO678" s="23"/>
      <c r="AP678" s="23"/>
      <c r="AQ678" s="23"/>
      <c r="AR678" s="23"/>
    </row>
    <row r="679" spans="35:65" ht="12.75" customHeight="1">
      <c r="AI679" s="23"/>
      <c r="AJ679" s="23"/>
      <c r="AK679" s="23"/>
      <c r="AL679" s="23"/>
      <c r="AM679" s="23"/>
      <c r="AN679" s="23"/>
      <c r="AO679" s="23"/>
      <c r="AP679" s="23"/>
      <c r="AQ679" s="23"/>
      <c r="AR679" s="23"/>
    </row>
    <row r="680" spans="35:65" ht="12.75" customHeight="1">
      <c r="AI680" s="23"/>
      <c r="AJ680" s="23"/>
      <c r="AK680" s="23"/>
      <c r="AL680" s="23"/>
      <c r="AM680" s="23"/>
      <c r="AN680" s="23"/>
      <c r="AO680" s="23"/>
      <c r="AP680" s="23"/>
      <c r="AQ680" s="23"/>
      <c r="AR680" s="23"/>
    </row>
    <row r="681" spans="35:65" ht="12.75" customHeight="1">
      <c r="AI681" s="23"/>
      <c r="AJ681" s="23"/>
      <c r="AK681" s="23"/>
      <c r="AL681" s="23"/>
      <c r="AM681" s="23"/>
      <c r="AN681" s="23"/>
      <c r="AO681" s="23"/>
      <c r="AP681" s="23"/>
      <c r="AQ681" s="23"/>
      <c r="AR681" s="23"/>
    </row>
    <row r="682" spans="35:65" ht="12.75" customHeight="1">
      <c r="AI682" s="23"/>
      <c r="AJ682" s="23"/>
      <c r="AK682" s="23"/>
      <c r="AL682" s="23"/>
      <c r="AM682" s="23"/>
      <c r="AN682" s="23"/>
      <c r="AO682" s="23"/>
      <c r="AP682" s="23"/>
      <c r="AQ682" s="23"/>
      <c r="AR682" s="23"/>
    </row>
    <row r="683" spans="35:65" ht="12.75" customHeight="1">
      <c r="AI683" s="23"/>
      <c r="AJ683" s="23"/>
      <c r="AK683" s="23"/>
      <c r="AL683" s="23"/>
      <c r="AM683" s="23"/>
      <c r="AN683" s="23"/>
      <c r="AO683" s="23"/>
      <c r="AP683" s="23"/>
      <c r="AQ683" s="23"/>
      <c r="AR683" s="23"/>
    </row>
    <row r="684" spans="35:65" ht="12.75" customHeight="1">
      <c r="AI684" s="23"/>
      <c r="AJ684" s="23"/>
      <c r="AK684" s="23"/>
      <c r="AL684" s="23"/>
      <c r="AM684" s="23"/>
      <c r="AN684" s="23"/>
      <c r="AO684" s="23"/>
      <c r="AP684" s="23"/>
      <c r="AQ684" s="23"/>
      <c r="AR684" s="23"/>
    </row>
    <row r="685" spans="35:65" ht="12.75" customHeight="1">
      <c r="AI685" s="23"/>
      <c r="AJ685" s="23"/>
      <c r="AK685" s="23"/>
      <c r="AL685" s="23"/>
      <c r="AM685" s="23"/>
      <c r="AN685" s="23"/>
      <c r="AO685" s="23"/>
      <c r="AP685" s="23"/>
      <c r="AQ685" s="23"/>
      <c r="AR685" s="23"/>
    </row>
    <row r="686" spans="35:65" ht="12.75" customHeight="1">
      <c r="AI686" s="23"/>
      <c r="AJ686" s="23"/>
      <c r="AK686" s="23"/>
      <c r="AL686" s="23"/>
      <c r="AM686" s="23"/>
      <c r="AN686" s="23"/>
      <c r="AO686" s="23"/>
      <c r="AP686" s="23"/>
      <c r="AQ686" s="23"/>
      <c r="AR686" s="23"/>
    </row>
    <row r="687" spans="35:65" ht="12.75" customHeight="1">
      <c r="AI687" s="23"/>
      <c r="AJ687" s="23"/>
      <c r="AK687" s="23"/>
      <c r="AL687" s="23"/>
      <c r="AM687" s="23"/>
      <c r="AN687" s="23"/>
      <c r="AO687" s="23"/>
      <c r="AP687" s="23"/>
      <c r="AQ687" s="23"/>
      <c r="AR687" s="23"/>
    </row>
    <row r="688" spans="35:65" ht="12.75" customHeight="1">
      <c r="AI688" s="23"/>
      <c r="AJ688" s="23"/>
      <c r="AK688" s="23"/>
      <c r="AL688" s="23"/>
      <c r="AM688" s="23"/>
      <c r="AN688" s="23"/>
      <c r="AO688" s="23"/>
      <c r="AP688" s="23"/>
      <c r="AQ688" s="23"/>
      <c r="AR688" s="23"/>
    </row>
    <row r="689" spans="35:44" ht="12.75" customHeight="1">
      <c r="AI689" s="23"/>
      <c r="AJ689" s="23"/>
      <c r="AK689" s="23"/>
      <c r="AL689" s="23"/>
      <c r="AM689" s="23"/>
      <c r="AN689" s="23"/>
      <c r="AO689" s="23"/>
      <c r="AP689" s="23"/>
      <c r="AQ689" s="23"/>
      <c r="AR689" s="23"/>
    </row>
    <row r="690" spans="35:44" ht="12.75" customHeight="1">
      <c r="AI690" s="23"/>
      <c r="AJ690" s="23"/>
      <c r="AK690" s="23"/>
      <c r="AL690" s="23"/>
      <c r="AM690" s="23"/>
      <c r="AN690" s="23"/>
      <c r="AO690" s="23"/>
      <c r="AP690" s="23"/>
      <c r="AQ690" s="23"/>
      <c r="AR690" s="23"/>
    </row>
    <row r="691" spans="35:44" ht="12.75" customHeight="1">
      <c r="AI691" s="23"/>
      <c r="AJ691" s="23"/>
      <c r="AK691" s="23"/>
      <c r="AL691" s="23"/>
      <c r="AM691" s="23"/>
      <c r="AN691" s="23"/>
      <c r="AO691" s="23"/>
      <c r="AP691" s="23"/>
      <c r="AQ691" s="23"/>
      <c r="AR691" s="23"/>
    </row>
    <row r="692" spans="35:44" ht="12.75" customHeight="1">
      <c r="AI692" s="23"/>
      <c r="AJ692" s="23"/>
      <c r="AK692" s="23"/>
      <c r="AL692" s="23"/>
      <c r="AM692" s="23"/>
      <c r="AN692" s="23"/>
      <c r="AO692" s="23"/>
      <c r="AP692" s="23"/>
      <c r="AQ692" s="23"/>
      <c r="AR692" s="23"/>
    </row>
    <row r="693" spans="35:44" ht="12.75" customHeight="1">
      <c r="AI693" s="23"/>
      <c r="AJ693" s="23"/>
      <c r="AK693" s="23"/>
      <c r="AL693" s="23"/>
      <c r="AM693" s="23"/>
      <c r="AN693" s="23"/>
      <c r="AO693" s="23"/>
      <c r="AP693" s="23"/>
      <c r="AQ693" s="23"/>
      <c r="AR693" s="23"/>
    </row>
    <row r="694" spans="35:44" ht="12.75" customHeight="1">
      <c r="AI694" s="23"/>
      <c r="AJ694" s="23"/>
      <c r="AK694" s="23"/>
      <c r="AL694" s="23"/>
      <c r="AM694" s="23"/>
      <c r="AN694" s="23"/>
      <c r="AO694" s="23"/>
      <c r="AP694" s="23"/>
      <c r="AQ694" s="23"/>
      <c r="AR694" s="23"/>
    </row>
    <row r="695" spans="35:44" ht="12.75" customHeight="1">
      <c r="AI695" s="23"/>
      <c r="AJ695" s="23"/>
      <c r="AK695" s="23"/>
      <c r="AL695" s="23"/>
      <c r="AM695" s="23"/>
      <c r="AN695" s="23"/>
      <c r="AO695" s="23"/>
      <c r="AP695" s="23"/>
      <c r="AQ695" s="23"/>
      <c r="AR695" s="23"/>
    </row>
    <row r="696" spans="35:44" ht="12.75" customHeight="1">
      <c r="AI696" s="23"/>
      <c r="AJ696" s="23"/>
      <c r="AK696" s="23"/>
      <c r="AL696" s="23"/>
      <c r="AM696" s="23"/>
      <c r="AN696" s="23"/>
      <c r="AO696" s="23"/>
      <c r="AP696" s="23"/>
      <c r="AQ696" s="23"/>
      <c r="AR696" s="23"/>
    </row>
    <row r="697" spans="35:44" ht="12.75" customHeight="1">
      <c r="AI697" s="23"/>
      <c r="AJ697" s="23"/>
      <c r="AK697" s="23"/>
      <c r="AL697" s="23"/>
      <c r="AM697" s="23"/>
      <c r="AN697" s="23"/>
      <c r="AO697" s="23"/>
      <c r="AP697" s="23"/>
      <c r="AQ697" s="23"/>
      <c r="AR697" s="23"/>
    </row>
    <row r="698" spans="35:44" ht="12.75" customHeight="1">
      <c r="AI698" s="23"/>
      <c r="AJ698" s="23"/>
      <c r="AK698" s="23"/>
      <c r="AL698" s="23"/>
      <c r="AM698" s="23"/>
      <c r="AN698" s="23"/>
      <c r="AO698" s="23"/>
      <c r="AP698" s="23"/>
      <c r="AQ698" s="23"/>
      <c r="AR698" s="23"/>
    </row>
    <row r="699" spans="35:44" ht="12.75" customHeight="1">
      <c r="AI699" s="23"/>
      <c r="AJ699" s="23"/>
      <c r="AK699" s="23"/>
      <c r="AL699" s="23"/>
      <c r="AM699" s="23"/>
      <c r="AN699" s="23"/>
      <c r="AO699" s="23"/>
      <c r="AP699" s="23"/>
      <c r="AQ699" s="23"/>
      <c r="AR699" s="23"/>
    </row>
    <row r="700" spans="35:44" ht="12.75" customHeight="1">
      <c r="AI700" s="23"/>
      <c r="AJ700" s="23"/>
      <c r="AK700" s="23"/>
      <c r="AL700" s="23"/>
      <c r="AM700" s="23"/>
      <c r="AN700" s="23"/>
      <c r="AO700" s="23"/>
      <c r="AP700" s="23"/>
      <c r="AQ700" s="23"/>
      <c r="AR700" s="23"/>
    </row>
    <row r="701" spans="35:44" ht="12.75" customHeight="1">
      <c r="AI701" s="23"/>
      <c r="AJ701" s="23"/>
      <c r="AK701" s="23"/>
      <c r="AL701" s="23"/>
      <c r="AM701" s="23"/>
      <c r="AN701" s="23"/>
      <c r="AO701" s="23"/>
      <c r="AP701" s="23"/>
      <c r="AQ701" s="23"/>
      <c r="AR701" s="23"/>
    </row>
    <row r="702" spans="35:44" ht="12.75" customHeight="1">
      <c r="AI702" s="23"/>
      <c r="AJ702" s="23"/>
      <c r="AK702" s="23"/>
      <c r="AL702" s="23"/>
      <c r="AM702" s="23"/>
      <c r="AN702" s="23"/>
      <c r="AO702" s="23"/>
      <c r="AP702" s="23"/>
      <c r="AQ702" s="23"/>
      <c r="AR702" s="23"/>
    </row>
    <row r="703" spans="35:44" ht="12.75" customHeight="1">
      <c r="AI703" s="23"/>
      <c r="AJ703" s="23"/>
      <c r="AK703" s="23"/>
      <c r="AL703" s="23"/>
      <c r="AM703" s="23"/>
      <c r="AN703" s="23"/>
      <c r="AO703" s="23"/>
      <c r="AP703" s="23"/>
      <c r="AQ703" s="23"/>
      <c r="AR703" s="23"/>
    </row>
    <row r="704" spans="35:44" ht="12.75" customHeight="1">
      <c r="AI704" s="23"/>
      <c r="AJ704" s="23"/>
      <c r="AK704" s="23"/>
      <c r="AL704" s="23"/>
      <c r="AM704" s="23"/>
      <c r="AN704" s="23"/>
      <c r="AO704" s="23"/>
      <c r="AP704" s="23"/>
      <c r="AQ704" s="23"/>
      <c r="AR704" s="23"/>
    </row>
    <row r="705" spans="35:44" ht="12.75" customHeight="1">
      <c r="AI705" s="23"/>
      <c r="AJ705" s="23"/>
      <c r="AK705" s="23"/>
      <c r="AL705" s="23"/>
      <c r="AM705" s="23"/>
      <c r="AN705" s="23"/>
      <c r="AO705" s="23"/>
      <c r="AP705" s="23"/>
      <c r="AQ705" s="23"/>
      <c r="AR705" s="23"/>
    </row>
    <row r="706" spans="35:44" ht="12.75" customHeight="1">
      <c r="AI706" s="23"/>
      <c r="AJ706" s="23"/>
      <c r="AK706" s="23"/>
      <c r="AL706" s="23"/>
      <c r="AM706" s="23"/>
      <c r="AN706" s="23"/>
      <c r="AO706" s="23"/>
      <c r="AP706" s="23"/>
      <c r="AQ706" s="23"/>
      <c r="AR706" s="23"/>
    </row>
    <row r="707" spans="35:44" ht="12.75" customHeight="1">
      <c r="AI707" s="23"/>
      <c r="AJ707" s="23"/>
      <c r="AK707" s="23"/>
      <c r="AL707" s="23"/>
      <c r="AM707" s="23"/>
      <c r="AN707" s="23"/>
      <c r="AO707" s="23"/>
      <c r="AP707" s="23"/>
      <c r="AQ707" s="23"/>
      <c r="AR707" s="23"/>
    </row>
    <row r="708" spans="35:44" ht="12.75" customHeight="1">
      <c r="AI708" s="23"/>
      <c r="AJ708" s="23"/>
      <c r="AK708" s="23"/>
      <c r="AL708" s="23"/>
      <c r="AM708" s="23"/>
      <c r="AN708" s="23"/>
      <c r="AO708" s="23"/>
      <c r="AP708" s="23"/>
      <c r="AQ708" s="23"/>
      <c r="AR708" s="23"/>
    </row>
    <row r="709" spans="35:44" ht="12.75" customHeight="1">
      <c r="AI709" s="23"/>
      <c r="AJ709" s="23"/>
      <c r="AK709" s="23"/>
      <c r="AL709" s="23"/>
      <c r="AM709" s="23"/>
      <c r="AN709" s="23"/>
      <c r="AO709" s="23"/>
      <c r="AP709" s="23"/>
      <c r="AQ709" s="23"/>
      <c r="AR709" s="23"/>
    </row>
    <row r="710" spans="35:44" ht="12.75" customHeight="1">
      <c r="AI710" s="23"/>
      <c r="AJ710" s="23"/>
      <c r="AK710" s="23"/>
      <c r="AL710" s="23"/>
      <c r="AM710" s="23"/>
      <c r="AN710" s="23"/>
      <c r="AO710" s="23"/>
      <c r="AP710" s="23"/>
      <c r="AQ710" s="23"/>
      <c r="AR710" s="23"/>
    </row>
    <row r="711" spans="35:44" ht="12.75" customHeight="1">
      <c r="AI711" s="23"/>
      <c r="AJ711" s="23"/>
      <c r="AK711" s="23"/>
      <c r="AL711" s="23"/>
      <c r="AM711" s="23"/>
      <c r="AN711" s="23"/>
      <c r="AO711" s="23"/>
      <c r="AP711" s="23"/>
      <c r="AQ711" s="23"/>
      <c r="AR711" s="23"/>
    </row>
    <row r="712" spans="35:44" ht="12.75" customHeight="1">
      <c r="AI712" s="23"/>
      <c r="AJ712" s="23"/>
      <c r="AK712" s="23"/>
      <c r="AL712" s="23"/>
      <c r="AM712" s="23"/>
      <c r="AN712" s="23"/>
      <c r="AO712" s="23"/>
      <c r="AP712" s="23"/>
      <c r="AQ712" s="23"/>
      <c r="AR712" s="23"/>
    </row>
    <row r="713" spans="35:44" ht="12.75" customHeight="1">
      <c r="AI713" s="23"/>
      <c r="AJ713" s="23"/>
      <c r="AK713" s="23"/>
      <c r="AL713" s="23"/>
      <c r="AM713" s="23"/>
      <c r="AN713" s="23"/>
      <c r="AO713" s="23"/>
      <c r="AP713" s="23"/>
      <c r="AQ713" s="23"/>
      <c r="AR713" s="23"/>
    </row>
    <row r="714" spans="35:44" ht="12.75" customHeight="1">
      <c r="AI714" s="23"/>
      <c r="AJ714" s="23"/>
      <c r="AK714" s="23"/>
      <c r="AL714" s="23"/>
      <c r="AM714" s="23"/>
      <c r="AN714" s="23"/>
      <c r="AO714" s="23"/>
      <c r="AP714" s="23"/>
      <c r="AQ714" s="23"/>
      <c r="AR714" s="23"/>
    </row>
    <row r="715" spans="35:44" ht="12.75" customHeight="1">
      <c r="AI715" s="23"/>
      <c r="AJ715" s="23"/>
      <c r="AK715" s="23"/>
      <c r="AL715" s="23"/>
      <c r="AM715" s="23"/>
      <c r="AN715" s="23"/>
      <c r="AO715" s="23"/>
      <c r="AP715" s="23"/>
      <c r="AQ715" s="23"/>
      <c r="AR715" s="23"/>
    </row>
    <row r="716" spans="35:44" ht="12.75" customHeight="1">
      <c r="AI716" s="23"/>
      <c r="AJ716" s="23"/>
      <c r="AK716" s="23"/>
      <c r="AL716" s="23"/>
      <c r="AM716" s="23"/>
      <c r="AN716" s="23"/>
      <c r="AO716" s="23"/>
      <c r="AP716" s="23"/>
      <c r="AQ716" s="23"/>
      <c r="AR716" s="23"/>
    </row>
    <row r="717" spans="35:44" ht="12.75" customHeight="1">
      <c r="AI717" s="23"/>
      <c r="AJ717" s="23"/>
      <c r="AK717" s="23"/>
      <c r="AL717" s="23"/>
      <c r="AM717" s="23"/>
      <c r="AN717" s="23"/>
      <c r="AO717" s="23"/>
      <c r="AP717" s="23"/>
      <c r="AQ717" s="23"/>
      <c r="AR717" s="23"/>
    </row>
    <row r="718" spans="35:44" ht="12.75" customHeight="1">
      <c r="AI718" s="23"/>
      <c r="AJ718" s="23"/>
      <c r="AK718" s="23"/>
      <c r="AL718" s="23"/>
      <c r="AM718" s="23"/>
      <c r="AN718" s="23"/>
      <c r="AO718" s="23"/>
      <c r="AP718" s="23"/>
      <c r="AQ718" s="23"/>
      <c r="AR718" s="23"/>
    </row>
    <row r="719" spans="35:44" ht="12.75" customHeight="1">
      <c r="AI719" s="23"/>
      <c r="AJ719" s="23"/>
      <c r="AK719" s="23"/>
      <c r="AL719" s="23"/>
      <c r="AM719" s="23"/>
      <c r="AN719" s="23"/>
      <c r="AO719" s="23"/>
      <c r="AP719" s="23"/>
      <c r="AQ719" s="23"/>
      <c r="AR719" s="23"/>
    </row>
    <row r="720" spans="35:44" ht="12.75" customHeight="1">
      <c r="AI720" s="23"/>
      <c r="AJ720" s="23"/>
      <c r="AK720" s="23"/>
      <c r="AL720" s="23"/>
      <c r="AM720" s="23"/>
      <c r="AN720" s="23"/>
      <c r="AO720" s="23"/>
      <c r="AP720" s="23"/>
      <c r="AQ720" s="23"/>
      <c r="AR720" s="23"/>
    </row>
    <row r="721" spans="35:44">
      <c r="AI721" s="23"/>
      <c r="AJ721" s="23"/>
      <c r="AK721" s="23"/>
      <c r="AL721" s="23"/>
      <c r="AM721" s="23"/>
      <c r="AN721" s="23"/>
      <c r="AO721" s="23"/>
      <c r="AP721" s="23"/>
      <c r="AQ721" s="23"/>
      <c r="AR721" s="23"/>
    </row>
    <row r="722" spans="35:44">
      <c r="AI722" s="23"/>
      <c r="AJ722" s="23"/>
      <c r="AK722" s="23"/>
      <c r="AL722" s="23"/>
      <c r="AM722" s="23"/>
      <c r="AN722" s="23"/>
      <c r="AO722" s="23"/>
      <c r="AP722" s="23"/>
      <c r="AQ722" s="23"/>
      <c r="AR722" s="23"/>
    </row>
    <row r="723" spans="35:44">
      <c r="AI723" s="23"/>
      <c r="AJ723" s="23"/>
      <c r="AK723" s="23"/>
      <c r="AL723" s="23"/>
      <c r="AM723" s="23"/>
      <c r="AN723" s="23"/>
      <c r="AO723" s="23"/>
      <c r="AP723" s="23"/>
      <c r="AQ723" s="23"/>
      <c r="AR723" s="23"/>
    </row>
    <row r="724" spans="35:44">
      <c r="AI724" s="23"/>
      <c r="AJ724" s="23"/>
      <c r="AK724" s="23"/>
      <c r="AL724" s="23"/>
      <c r="AM724" s="23"/>
      <c r="AN724" s="23"/>
      <c r="AO724" s="23"/>
      <c r="AP724" s="23"/>
      <c r="AQ724" s="23"/>
      <c r="AR724" s="23"/>
    </row>
    <row r="725" spans="35:44">
      <c r="AI725" s="23"/>
      <c r="AJ725" s="23"/>
      <c r="AK725" s="23"/>
      <c r="AL725" s="23"/>
      <c r="AM725" s="23"/>
      <c r="AN725" s="23"/>
      <c r="AO725" s="23"/>
      <c r="AP725" s="23"/>
      <c r="AQ725" s="23"/>
      <c r="AR725" s="23"/>
    </row>
    <row r="726" spans="35:44">
      <c r="AI726" s="23"/>
      <c r="AJ726" s="23"/>
      <c r="AK726" s="23"/>
      <c r="AL726" s="23"/>
      <c r="AM726" s="23"/>
      <c r="AN726" s="23"/>
      <c r="AO726" s="23"/>
      <c r="AP726" s="23"/>
      <c r="AQ726" s="23"/>
      <c r="AR726" s="23"/>
    </row>
    <row r="727" spans="35:44">
      <c r="AI727" s="23"/>
      <c r="AJ727" s="23"/>
      <c r="AK727" s="23"/>
      <c r="AL727" s="23"/>
      <c r="AM727" s="23"/>
      <c r="AN727" s="23"/>
      <c r="AO727" s="23"/>
      <c r="AP727" s="23"/>
      <c r="AQ727" s="23"/>
      <c r="AR727" s="23"/>
    </row>
    <row r="728" spans="35:44">
      <c r="AI728" s="23"/>
      <c r="AJ728" s="23"/>
      <c r="AK728" s="23"/>
      <c r="AL728" s="23"/>
      <c r="AM728" s="23"/>
      <c r="AN728" s="23"/>
      <c r="AO728" s="23"/>
      <c r="AP728" s="23"/>
      <c r="AQ728" s="23"/>
      <c r="AR728" s="23"/>
    </row>
    <row r="729" spans="35:44">
      <c r="AI729" s="23"/>
      <c r="AJ729" s="23"/>
      <c r="AK729" s="23"/>
      <c r="AL729" s="23"/>
      <c r="AM729" s="23"/>
      <c r="AN729" s="23"/>
      <c r="AO729" s="23"/>
      <c r="AP729" s="23"/>
      <c r="AQ729" s="23"/>
      <c r="AR729" s="23"/>
    </row>
    <row r="730" spans="35:44">
      <c r="AI730" s="23"/>
      <c r="AJ730" s="23"/>
      <c r="AK730" s="23"/>
      <c r="AL730" s="23"/>
      <c r="AM730" s="23"/>
      <c r="AN730" s="23"/>
      <c r="AO730" s="23"/>
      <c r="AP730" s="23"/>
      <c r="AQ730" s="23"/>
      <c r="AR730" s="23"/>
    </row>
    <row r="731" spans="35:44">
      <c r="AI731" s="23"/>
      <c r="AJ731" s="23"/>
      <c r="AK731" s="23"/>
      <c r="AL731" s="23"/>
      <c r="AM731" s="23"/>
      <c r="AN731" s="23"/>
      <c r="AO731" s="23"/>
      <c r="AP731" s="23"/>
      <c r="AQ731" s="23"/>
      <c r="AR731" s="23"/>
    </row>
    <row r="732" spans="35:44">
      <c r="AI732" s="23"/>
      <c r="AJ732" s="23"/>
      <c r="AK732" s="23"/>
      <c r="AL732" s="23"/>
      <c r="AM732" s="23"/>
      <c r="AN732" s="23"/>
      <c r="AO732" s="23"/>
      <c r="AP732" s="23"/>
      <c r="AQ732" s="23"/>
      <c r="AR732" s="23"/>
    </row>
    <row r="733" spans="35:44">
      <c r="AI733" s="23"/>
      <c r="AJ733" s="23"/>
      <c r="AK733" s="23"/>
      <c r="AL733" s="23"/>
      <c r="AM733" s="23"/>
      <c r="AN733" s="23"/>
      <c r="AO733" s="23"/>
      <c r="AP733" s="23"/>
      <c r="AQ733" s="23"/>
      <c r="AR733" s="23"/>
    </row>
    <row r="734" spans="35:44">
      <c r="AI734" s="23"/>
      <c r="AJ734" s="23"/>
      <c r="AK734" s="23"/>
      <c r="AL734" s="23"/>
      <c r="AM734" s="23"/>
      <c r="AN734" s="23"/>
      <c r="AO734" s="23"/>
      <c r="AP734" s="23"/>
      <c r="AQ734" s="23"/>
      <c r="AR734" s="23"/>
    </row>
    <row r="735" spans="35:44">
      <c r="AI735" s="23"/>
      <c r="AJ735" s="23"/>
      <c r="AK735" s="23"/>
      <c r="AL735" s="23"/>
      <c r="AM735" s="23"/>
      <c r="AN735" s="23"/>
      <c r="AO735" s="23"/>
      <c r="AP735" s="23"/>
      <c r="AQ735" s="23"/>
      <c r="AR735" s="23"/>
    </row>
    <row r="736" spans="35:44">
      <c r="AI736" s="23"/>
      <c r="AJ736" s="23"/>
      <c r="AK736" s="23"/>
      <c r="AL736" s="23"/>
      <c r="AM736" s="23"/>
      <c r="AN736" s="23"/>
      <c r="AO736" s="23"/>
      <c r="AP736" s="23"/>
      <c r="AQ736" s="23"/>
      <c r="AR736" s="23"/>
    </row>
    <row r="737" spans="35:44">
      <c r="AI737" s="23"/>
      <c r="AJ737" s="23"/>
      <c r="AK737" s="23"/>
      <c r="AL737" s="23"/>
      <c r="AM737" s="23"/>
      <c r="AN737" s="23"/>
      <c r="AO737" s="23"/>
      <c r="AP737" s="23"/>
      <c r="AQ737" s="23"/>
      <c r="AR737" s="23"/>
    </row>
    <row r="738" spans="35:44">
      <c r="AI738" s="23"/>
      <c r="AJ738" s="23"/>
      <c r="AK738" s="23"/>
      <c r="AL738" s="23"/>
      <c r="AM738" s="23"/>
      <c r="AN738" s="23"/>
      <c r="AO738" s="23"/>
      <c r="AP738" s="23"/>
      <c r="AQ738" s="23"/>
      <c r="AR738" s="23"/>
    </row>
    <row r="739" spans="35:44">
      <c r="AI739" s="23"/>
      <c r="AJ739" s="23"/>
      <c r="AK739" s="23"/>
      <c r="AL739" s="23"/>
      <c r="AM739" s="23"/>
      <c r="AN739" s="23"/>
      <c r="AO739" s="23"/>
      <c r="AP739" s="23"/>
      <c r="AQ739" s="23"/>
      <c r="AR739" s="23"/>
    </row>
    <row r="740" spans="35:44">
      <c r="AI740" s="23"/>
      <c r="AJ740" s="23"/>
      <c r="AK740" s="23"/>
      <c r="AL740" s="23"/>
      <c r="AM740" s="23"/>
      <c r="AN740" s="23"/>
      <c r="AO740" s="23"/>
      <c r="AP740" s="23"/>
      <c r="AQ740" s="23"/>
      <c r="AR740" s="23"/>
    </row>
    <row r="741" spans="35:44">
      <c r="AI741" s="23"/>
      <c r="AJ741" s="23"/>
      <c r="AK741" s="23"/>
      <c r="AL741" s="23"/>
      <c r="AM741" s="23"/>
      <c r="AN741" s="23"/>
      <c r="AO741" s="23"/>
      <c r="AP741" s="23"/>
      <c r="AQ741" s="23"/>
      <c r="AR741" s="23"/>
    </row>
    <row r="742" spans="35:44">
      <c r="AI742" s="23"/>
      <c r="AJ742" s="23"/>
      <c r="AK742" s="23"/>
      <c r="AL742" s="23"/>
      <c r="AM742" s="23"/>
      <c r="AN742" s="23"/>
      <c r="AO742" s="23"/>
      <c r="AP742" s="23"/>
      <c r="AQ742" s="23"/>
      <c r="AR742" s="23"/>
    </row>
    <row r="743" spans="35:44">
      <c r="AI743" s="23"/>
      <c r="AJ743" s="23"/>
      <c r="AK743" s="23"/>
      <c r="AL743" s="23"/>
      <c r="AM743" s="23"/>
      <c r="AN743" s="23"/>
      <c r="AO743" s="23"/>
      <c r="AP743" s="23"/>
      <c r="AQ743" s="23"/>
      <c r="AR743" s="23"/>
    </row>
    <row r="744" spans="35:44">
      <c r="AI744" s="23"/>
      <c r="AJ744" s="23"/>
      <c r="AK744" s="23"/>
      <c r="AL744" s="23"/>
      <c r="AM744" s="23"/>
      <c r="AN744" s="23"/>
      <c r="AO744" s="23"/>
      <c r="AP744" s="23"/>
      <c r="AQ744" s="23"/>
      <c r="AR744" s="23"/>
    </row>
    <row r="745" spans="35:44">
      <c r="AI745" s="23"/>
      <c r="AJ745" s="23"/>
      <c r="AK745" s="23"/>
      <c r="AL745" s="23"/>
      <c r="AM745" s="23"/>
      <c r="AN745" s="23"/>
      <c r="AO745" s="23"/>
      <c r="AP745" s="23"/>
      <c r="AQ745" s="23"/>
      <c r="AR745" s="23"/>
    </row>
    <row r="746" spans="35:44">
      <c r="AI746" s="23"/>
      <c r="AJ746" s="23"/>
      <c r="AK746" s="23"/>
      <c r="AL746" s="23"/>
      <c r="AM746" s="23"/>
      <c r="AN746" s="23"/>
      <c r="AO746" s="23"/>
      <c r="AP746" s="23"/>
      <c r="AQ746" s="23"/>
      <c r="AR746" s="23"/>
    </row>
    <row r="747" spans="35:44">
      <c r="AI747" s="23"/>
      <c r="AJ747" s="23"/>
      <c r="AK747" s="23"/>
      <c r="AL747" s="23"/>
      <c r="AM747" s="23"/>
      <c r="AN747" s="23"/>
      <c r="AO747" s="23"/>
      <c r="AP747" s="23"/>
      <c r="AQ747" s="23"/>
      <c r="AR747" s="23"/>
    </row>
    <row r="748" spans="35:44">
      <c r="AI748" s="23"/>
      <c r="AJ748" s="23"/>
      <c r="AK748" s="23"/>
      <c r="AL748" s="23"/>
      <c r="AM748" s="23"/>
      <c r="AN748" s="23"/>
      <c r="AO748" s="23"/>
      <c r="AP748" s="23"/>
      <c r="AQ748" s="23"/>
      <c r="AR748" s="23"/>
    </row>
    <row r="749" spans="35:44">
      <c r="AI749" s="23"/>
      <c r="AJ749" s="23"/>
      <c r="AK749" s="23"/>
      <c r="AL749" s="23"/>
      <c r="AM749" s="23"/>
      <c r="AN749" s="23"/>
      <c r="AO749" s="23"/>
      <c r="AP749" s="23"/>
      <c r="AQ749" s="23"/>
      <c r="AR749" s="23"/>
    </row>
    <row r="750" spans="35:44">
      <c r="AI750" s="23"/>
      <c r="AJ750" s="23"/>
      <c r="AK750" s="23"/>
      <c r="AL750" s="23"/>
      <c r="AM750" s="23"/>
      <c r="AN750" s="23"/>
      <c r="AO750" s="23"/>
      <c r="AP750" s="23"/>
      <c r="AQ750" s="23"/>
      <c r="AR750" s="23"/>
    </row>
    <row r="751" spans="35:44">
      <c r="AI751" s="23"/>
      <c r="AJ751" s="23"/>
      <c r="AK751" s="23"/>
      <c r="AL751" s="23"/>
      <c r="AM751" s="23"/>
      <c r="AN751" s="23"/>
      <c r="AO751" s="23"/>
      <c r="AP751" s="23"/>
      <c r="AQ751" s="23"/>
      <c r="AR751" s="23"/>
    </row>
    <row r="752" spans="35:44">
      <c r="AI752" s="23"/>
      <c r="AJ752" s="23"/>
      <c r="AK752" s="23"/>
      <c r="AL752" s="23"/>
      <c r="AM752" s="23"/>
      <c r="AN752" s="23"/>
      <c r="AO752" s="23"/>
      <c r="AP752" s="23"/>
      <c r="AQ752" s="23"/>
      <c r="AR752" s="23"/>
    </row>
    <row r="753" spans="35:44">
      <c r="AI753" s="23"/>
      <c r="AJ753" s="23"/>
      <c r="AK753" s="23"/>
      <c r="AL753" s="23"/>
      <c r="AM753" s="23"/>
      <c r="AN753" s="23"/>
      <c r="AO753" s="23"/>
      <c r="AP753" s="23"/>
      <c r="AQ753" s="23"/>
      <c r="AR753" s="23"/>
    </row>
    <row r="754" spans="35:44">
      <c r="AI754" s="23"/>
      <c r="AJ754" s="23"/>
      <c r="AK754" s="23"/>
      <c r="AL754" s="23"/>
      <c r="AM754" s="23"/>
      <c r="AN754" s="23"/>
      <c r="AO754" s="23"/>
      <c r="AP754" s="23"/>
      <c r="AQ754" s="23"/>
      <c r="AR754" s="23"/>
    </row>
    <row r="755" spans="35:44">
      <c r="AI755" s="23"/>
      <c r="AJ755" s="23"/>
      <c r="AK755" s="23"/>
      <c r="AL755" s="23"/>
      <c r="AM755" s="23"/>
      <c r="AN755" s="23"/>
      <c r="AO755" s="23"/>
      <c r="AP755" s="23"/>
      <c r="AQ755" s="23"/>
      <c r="AR755" s="23"/>
    </row>
    <row r="756" spans="35:44">
      <c r="AI756" s="23"/>
      <c r="AJ756" s="23"/>
      <c r="AK756" s="23"/>
      <c r="AL756" s="23"/>
      <c r="AM756" s="23"/>
      <c r="AN756" s="23"/>
      <c r="AO756" s="23"/>
      <c r="AP756" s="23"/>
      <c r="AQ756" s="23"/>
      <c r="AR756" s="23"/>
    </row>
    <row r="757" spans="35:44">
      <c r="AI757" s="23"/>
      <c r="AJ757" s="23"/>
      <c r="AK757" s="23"/>
      <c r="AL757" s="23"/>
      <c r="AM757" s="23"/>
      <c r="AN757" s="23"/>
      <c r="AO757" s="23"/>
      <c r="AP757" s="23"/>
      <c r="AQ757" s="23"/>
      <c r="AR757" s="23"/>
    </row>
    <row r="758" spans="35:44">
      <c r="AI758" s="23"/>
      <c r="AJ758" s="23"/>
      <c r="AK758" s="23"/>
      <c r="AL758" s="23"/>
      <c r="AM758" s="23"/>
      <c r="AN758" s="23"/>
      <c r="AO758" s="23"/>
      <c r="AP758" s="23"/>
      <c r="AQ758" s="23"/>
      <c r="AR758" s="23"/>
    </row>
    <row r="759" spans="35:44">
      <c r="AI759" s="23"/>
      <c r="AJ759" s="23"/>
      <c r="AK759" s="23"/>
      <c r="AL759" s="23"/>
      <c r="AM759" s="23"/>
      <c r="AN759" s="23"/>
      <c r="AO759" s="23"/>
      <c r="AP759" s="23"/>
      <c r="AQ759" s="23"/>
      <c r="AR759" s="23"/>
    </row>
    <row r="760" spans="35:44">
      <c r="AI760" s="23"/>
      <c r="AJ760" s="23"/>
      <c r="AK760" s="23"/>
      <c r="AL760" s="23"/>
      <c r="AM760" s="23"/>
      <c r="AN760" s="23"/>
      <c r="AO760" s="23"/>
      <c r="AP760" s="23"/>
      <c r="AQ760" s="23"/>
      <c r="AR760" s="23"/>
    </row>
    <row r="761" spans="35:44">
      <c r="AI761" s="23"/>
      <c r="AJ761" s="23"/>
      <c r="AK761" s="23"/>
      <c r="AL761" s="23"/>
      <c r="AM761" s="23"/>
      <c r="AN761" s="23"/>
      <c r="AO761" s="23"/>
      <c r="AP761" s="23"/>
      <c r="AQ761" s="23"/>
      <c r="AR761" s="23"/>
    </row>
    <row r="762" spans="35:44">
      <c r="AI762" s="23"/>
      <c r="AJ762" s="23"/>
      <c r="AK762" s="23"/>
      <c r="AL762" s="23"/>
      <c r="AM762" s="23"/>
      <c r="AN762" s="23"/>
      <c r="AO762" s="23"/>
      <c r="AP762" s="23"/>
      <c r="AQ762" s="23"/>
      <c r="AR762" s="23"/>
    </row>
    <row r="763" spans="35:44">
      <c r="AI763" s="23"/>
      <c r="AJ763" s="23"/>
      <c r="AK763" s="23"/>
      <c r="AL763" s="23"/>
      <c r="AM763" s="23"/>
      <c r="AN763" s="23"/>
      <c r="AO763" s="23"/>
      <c r="AP763" s="23"/>
      <c r="AQ763" s="23"/>
      <c r="AR763" s="23"/>
    </row>
    <row r="764" spans="35:44">
      <c r="AI764" s="23"/>
      <c r="AJ764" s="23"/>
      <c r="AK764" s="23"/>
      <c r="AL764" s="23"/>
      <c r="AM764" s="23"/>
      <c r="AN764" s="23"/>
      <c r="AO764" s="23"/>
      <c r="AP764" s="23"/>
      <c r="AQ764" s="23"/>
      <c r="AR764" s="23"/>
    </row>
    <row r="765" spans="35:44">
      <c r="AI765" s="23"/>
      <c r="AJ765" s="23"/>
      <c r="AK765" s="23"/>
      <c r="AL765" s="23"/>
      <c r="AM765" s="23"/>
      <c r="AN765" s="23"/>
      <c r="AO765" s="23"/>
      <c r="AP765" s="23"/>
      <c r="AQ765" s="23"/>
      <c r="AR765" s="23"/>
    </row>
    <row r="766" spans="35:44">
      <c r="AI766" s="23"/>
      <c r="AJ766" s="23"/>
      <c r="AK766" s="23"/>
      <c r="AL766" s="23"/>
      <c r="AM766" s="23"/>
      <c r="AN766" s="23"/>
      <c r="AO766" s="23"/>
      <c r="AP766" s="23"/>
      <c r="AQ766" s="23"/>
      <c r="AR766" s="23"/>
    </row>
    <row r="767" spans="35:44">
      <c r="AI767" s="23"/>
      <c r="AJ767" s="23"/>
      <c r="AK767" s="23"/>
      <c r="AL767" s="23"/>
      <c r="AM767" s="23"/>
      <c r="AN767" s="23"/>
      <c r="AO767" s="23"/>
      <c r="AP767" s="23"/>
      <c r="AQ767" s="23"/>
      <c r="AR767" s="23"/>
    </row>
    <row r="768" spans="35:44">
      <c r="AI768" s="23"/>
      <c r="AJ768" s="23"/>
      <c r="AK768" s="23"/>
      <c r="AL768" s="23"/>
      <c r="AM768" s="23"/>
      <c r="AN768" s="23"/>
      <c r="AO768" s="23"/>
      <c r="AP768" s="23"/>
      <c r="AQ768" s="23"/>
      <c r="AR768" s="23"/>
    </row>
    <row r="769" spans="35:44">
      <c r="AI769" s="23"/>
      <c r="AJ769" s="23"/>
      <c r="AK769" s="23"/>
      <c r="AL769" s="23"/>
      <c r="AM769" s="23"/>
      <c r="AN769" s="23"/>
      <c r="AO769" s="23"/>
      <c r="AP769" s="23"/>
      <c r="AQ769" s="23"/>
      <c r="AR769" s="23"/>
    </row>
    <row r="770" spans="35:44">
      <c r="AI770" s="23"/>
      <c r="AJ770" s="23"/>
      <c r="AK770" s="23"/>
      <c r="AL770" s="23"/>
      <c r="AM770" s="23"/>
      <c r="AN770" s="23"/>
      <c r="AO770" s="23"/>
      <c r="AP770" s="23"/>
      <c r="AQ770" s="23"/>
      <c r="AR770" s="23"/>
    </row>
    <row r="771" spans="35:44">
      <c r="AI771" s="23"/>
      <c r="AJ771" s="23"/>
      <c r="AK771" s="23"/>
      <c r="AL771" s="23"/>
      <c r="AM771" s="23"/>
      <c r="AN771" s="23"/>
      <c r="AO771" s="23"/>
      <c r="AP771" s="23"/>
      <c r="AQ771" s="23"/>
      <c r="AR771" s="23"/>
    </row>
    <row r="772" spans="35:44">
      <c r="AI772" s="23"/>
      <c r="AJ772" s="23"/>
      <c r="AK772" s="23"/>
      <c r="AL772" s="23"/>
      <c r="AM772" s="23"/>
      <c r="AN772" s="23"/>
      <c r="AO772" s="23"/>
      <c r="AP772" s="23"/>
      <c r="AQ772" s="23"/>
      <c r="AR772" s="23"/>
    </row>
    <row r="773" spans="35:44">
      <c r="AI773" s="23"/>
      <c r="AJ773" s="23"/>
      <c r="AK773" s="23"/>
      <c r="AL773" s="23"/>
      <c r="AM773" s="23"/>
      <c r="AN773" s="23"/>
      <c r="AO773" s="23"/>
      <c r="AP773" s="23"/>
      <c r="AQ773" s="23"/>
      <c r="AR773" s="23"/>
    </row>
    <row r="774" spans="35:44">
      <c r="AI774" s="23"/>
      <c r="AJ774" s="23"/>
      <c r="AK774" s="23"/>
      <c r="AL774" s="23"/>
      <c r="AM774" s="23"/>
      <c r="AN774" s="23"/>
      <c r="AO774" s="23"/>
      <c r="AP774" s="23"/>
      <c r="AQ774" s="23"/>
      <c r="AR774" s="23"/>
    </row>
    <row r="775" spans="35:44">
      <c r="AI775" s="23"/>
      <c r="AJ775" s="23"/>
      <c r="AK775" s="23"/>
      <c r="AL775" s="23"/>
      <c r="AM775" s="23"/>
      <c r="AN775" s="23"/>
      <c r="AO775" s="23"/>
      <c r="AP775" s="23"/>
      <c r="AQ775" s="23"/>
      <c r="AR775" s="23"/>
    </row>
    <row r="776" spans="35:44">
      <c r="AI776" s="23"/>
      <c r="AJ776" s="23"/>
      <c r="AK776" s="23"/>
      <c r="AL776" s="23"/>
      <c r="AM776" s="23"/>
      <c r="AN776" s="23"/>
      <c r="AO776" s="23"/>
      <c r="AP776" s="23"/>
      <c r="AQ776" s="23"/>
      <c r="AR776" s="23"/>
    </row>
    <row r="777" spans="35:44">
      <c r="AI777" s="23"/>
      <c r="AJ777" s="23"/>
      <c r="AK777" s="23"/>
      <c r="AL777" s="23"/>
      <c r="AM777" s="23"/>
      <c r="AN777" s="23"/>
      <c r="AO777" s="23"/>
      <c r="AP777" s="23"/>
      <c r="AQ777" s="23"/>
      <c r="AR777" s="23"/>
    </row>
    <row r="778" spans="35:44">
      <c r="AI778" s="23"/>
      <c r="AJ778" s="23"/>
      <c r="AK778" s="23"/>
      <c r="AL778" s="23"/>
      <c r="AM778" s="23"/>
      <c r="AN778" s="23"/>
      <c r="AO778" s="23"/>
      <c r="AP778" s="23"/>
      <c r="AQ778" s="23"/>
      <c r="AR778" s="23"/>
    </row>
    <row r="779" spans="35:44">
      <c r="AI779" s="23"/>
      <c r="AJ779" s="23"/>
      <c r="AK779" s="23"/>
      <c r="AL779" s="23"/>
      <c r="AM779" s="23"/>
      <c r="AN779" s="23"/>
      <c r="AO779" s="23"/>
      <c r="AP779" s="23"/>
      <c r="AQ779" s="23"/>
      <c r="AR779" s="23"/>
    </row>
    <row r="780" spans="35:44">
      <c r="AI780" s="23"/>
      <c r="AJ780" s="23"/>
      <c r="AK780" s="23"/>
      <c r="AL780" s="23"/>
      <c r="AM780" s="23"/>
      <c r="AN780" s="23"/>
      <c r="AO780" s="23"/>
      <c r="AP780" s="23"/>
      <c r="AQ780" s="23"/>
      <c r="AR780" s="23"/>
    </row>
    <row r="781" spans="35:44">
      <c r="AI781" s="23"/>
      <c r="AJ781" s="23"/>
      <c r="AK781" s="23"/>
      <c r="AL781" s="23"/>
      <c r="AM781" s="23"/>
      <c r="AN781" s="23"/>
      <c r="AO781" s="23"/>
      <c r="AP781" s="23"/>
      <c r="AQ781" s="23"/>
      <c r="AR781" s="23"/>
    </row>
    <row r="782" spans="35:44">
      <c r="AI782" s="23"/>
      <c r="AJ782" s="23"/>
      <c r="AK782" s="23"/>
      <c r="AL782" s="23"/>
      <c r="AM782" s="23"/>
      <c r="AN782" s="23"/>
      <c r="AO782" s="23"/>
      <c r="AP782" s="23"/>
      <c r="AQ782" s="23"/>
      <c r="AR782" s="23"/>
    </row>
    <row r="783" spans="35:44">
      <c r="AI783" s="23"/>
      <c r="AJ783" s="23"/>
      <c r="AK783" s="23"/>
      <c r="AL783" s="23"/>
      <c r="AM783" s="23"/>
      <c r="AN783" s="23"/>
      <c r="AO783" s="23"/>
      <c r="AP783" s="23"/>
      <c r="AQ783" s="23"/>
      <c r="AR783" s="23"/>
    </row>
    <row r="784" spans="35:44">
      <c r="AI784" s="23"/>
      <c r="AJ784" s="23"/>
      <c r="AK784" s="23"/>
      <c r="AL784" s="23"/>
      <c r="AM784" s="23"/>
      <c r="AN784" s="23"/>
      <c r="AO784" s="23"/>
      <c r="AP784" s="23"/>
      <c r="AQ784" s="23"/>
      <c r="AR784" s="23"/>
    </row>
    <row r="785" spans="35:44">
      <c r="AI785" s="23"/>
      <c r="AJ785" s="23"/>
      <c r="AK785" s="23"/>
      <c r="AL785" s="23"/>
      <c r="AM785" s="23"/>
      <c r="AN785" s="23"/>
      <c r="AO785" s="23"/>
      <c r="AP785" s="23"/>
      <c r="AQ785" s="23"/>
      <c r="AR785" s="23"/>
    </row>
    <row r="786" spans="35:44">
      <c r="AI786" s="23"/>
      <c r="AJ786" s="23"/>
      <c r="AK786" s="23"/>
      <c r="AL786" s="23"/>
      <c r="AM786" s="23"/>
      <c r="AN786" s="23"/>
      <c r="AO786" s="23"/>
      <c r="AP786" s="23"/>
      <c r="AQ786" s="23"/>
      <c r="AR786" s="23"/>
    </row>
    <row r="787" spans="35:44">
      <c r="AI787" s="23"/>
      <c r="AJ787" s="23"/>
      <c r="AK787" s="23"/>
      <c r="AL787" s="23"/>
      <c r="AM787" s="23"/>
      <c r="AN787" s="23"/>
      <c r="AO787" s="23"/>
      <c r="AP787" s="23"/>
      <c r="AQ787" s="23"/>
      <c r="AR787" s="23"/>
    </row>
    <row r="788" spans="35:44">
      <c r="AI788" s="23"/>
      <c r="AJ788" s="23"/>
      <c r="AK788" s="23"/>
      <c r="AL788" s="23"/>
      <c r="AM788" s="23"/>
      <c r="AN788" s="23"/>
      <c r="AO788" s="23"/>
      <c r="AP788" s="23"/>
      <c r="AQ788" s="23"/>
      <c r="AR788" s="23"/>
    </row>
    <row r="789" spans="35:44">
      <c r="AI789" s="23"/>
      <c r="AJ789" s="23"/>
      <c r="AK789" s="23"/>
      <c r="AL789" s="23"/>
      <c r="AM789" s="23"/>
      <c r="AN789" s="23"/>
      <c r="AO789" s="23"/>
      <c r="AP789" s="23"/>
      <c r="AQ789" s="23"/>
      <c r="AR789" s="23"/>
    </row>
    <row r="790" spans="35:44">
      <c r="AI790" s="23"/>
      <c r="AJ790" s="23"/>
      <c r="AK790" s="23"/>
      <c r="AL790" s="23"/>
      <c r="AM790" s="23"/>
      <c r="AN790" s="23"/>
      <c r="AO790" s="23"/>
      <c r="AP790" s="23"/>
      <c r="AQ790" s="23"/>
      <c r="AR790" s="23"/>
    </row>
    <row r="791" spans="35:44">
      <c r="AI791" s="23"/>
      <c r="AJ791" s="1"/>
      <c r="AK791" s="1"/>
      <c r="AL791" s="1"/>
      <c r="AM791" s="1"/>
      <c r="AN791" s="1"/>
      <c r="AO791" s="1"/>
      <c r="AP791" s="1"/>
      <c r="AQ791" s="1"/>
      <c r="AR791" s="1"/>
    </row>
    <row r="792" spans="35:44">
      <c r="AI792" s="23"/>
      <c r="AJ792" s="1"/>
      <c r="AK792" s="1"/>
      <c r="AL792" s="1"/>
      <c r="AM792" s="1"/>
      <c r="AN792" s="1"/>
      <c r="AO792" s="1"/>
      <c r="AP792" s="1"/>
      <c r="AQ792" s="1"/>
      <c r="AR792" s="1"/>
    </row>
    <row r="793" spans="35:44">
      <c r="AI793" s="23"/>
      <c r="AJ793" s="1"/>
      <c r="AK793" s="1"/>
      <c r="AL793" s="1"/>
      <c r="AM793" s="1"/>
      <c r="AN793" s="1"/>
      <c r="AO793" s="1"/>
      <c r="AP793" s="1"/>
      <c r="AQ793" s="1"/>
      <c r="AR793" s="1"/>
    </row>
    <row r="794" spans="35:44">
      <c r="AI794" s="23"/>
      <c r="AJ794" s="1"/>
      <c r="AK794" s="1"/>
      <c r="AL794" s="1"/>
      <c r="AM794" s="1"/>
      <c r="AN794" s="1"/>
      <c r="AO794" s="1"/>
      <c r="AP794" s="1"/>
      <c r="AQ794" s="1"/>
      <c r="AR794" s="1"/>
    </row>
    <row r="795" spans="35:44">
      <c r="AI795" s="23"/>
      <c r="AJ795" s="1"/>
      <c r="AK795" s="1"/>
      <c r="AL795" s="1"/>
      <c r="AM795" s="1"/>
      <c r="AN795" s="1"/>
      <c r="AO795" s="1"/>
      <c r="AP795" s="1"/>
      <c r="AQ795" s="1"/>
      <c r="AR795" s="1"/>
    </row>
    <row r="796" spans="35:44">
      <c r="AI796" s="23"/>
      <c r="AJ796" s="1"/>
      <c r="AK796" s="1"/>
      <c r="AL796" s="1"/>
      <c r="AM796" s="1"/>
      <c r="AN796" s="1"/>
      <c r="AO796" s="1"/>
      <c r="AP796" s="1"/>
      <c r="AQ796" s="1"/>
      <c r="AR796" s="1"/>
    </row>
    <row r="797" spans="35:44">
      <c r="AI797" s="23"/>
      <c r="AJ797" s="1"/>
      <c r="AK797" s="1"/>
      <c r="AL797" s="1"/>
      <c r="AM797" s="1"/>
      <c r="AN797" s="1"/>
      <c r="AO797" s="1"/>
      <c r="AP797" s="1"/>
      <c r="AQ797" s="1"/>
      <c r="AR797" s="1"/>
    </row>
    <row r="798" spans="35:44">
      <c r="AI798" s="23"/>
      <c r="AJ798" s="1"/>
      <c r="AK798" s="1"/>
      <c r="AL798" s="1"/>
      <c r="AM798" s="1"/>
      <c r="AN798" s="1"/>
      <c r="AO798" s="1"/>
      <c r="AP798" s="1"/>
      <c r="AQ798" s="1"/>
      <c r="AR798" s="1"/>
    </row>
    <row r="799" spans="35:44">
      <c r="AI799" s="23"/>
      <c r="AJ799" s="1"/>
      <c r="AK799" s="1"/>
      <c r="AL799" s="1"/>
      <c r="AM799" s="1"/>
      <c r="AN799" s="1"/>
      <c r="AO799" s="1"/>
      <c r="AP799" s="1"/>
      <c r="AQ799" s="1"/>
      <c r="AR799" s="1"/>
    </row>
    <row r="800" spans="35:44">
      <c r="AI800" s="23"/>
      <c r="AJ800" s="1"/>
      <c r="AK800" s="1"/>
      <c r="AL800" s="1"/>
      <c r="AM800" s="1"/>
      <c r="AN800" s="1"/>
      <c r="AO800" s="1"/>
      <c r="AP800" s="1"/>
      <c r="AQ800" s="1"/>
      <c r="AR800" s="1"/>
    </row>
    <row r="801" spans="35:44">
      <c r="AI801" s="23"/>
      <c r="AJ801" s="1"/>
      <c r="AK801" s="1"/>
      <c r="AL801" s="1"/>
      <c r="AM801" s="1"/>
      <c r="AN801" s="1"/>
      <c r="AO801" s="1"/>
      <c r="AP801" s="1"/>
      <c r="AQ801" s="1"/>
      <c r="AR801" s="1"/>
    </row>
    <row r="802" spans="35:44">
      <c r="AI802" s="23"/>
      <c r="AJ802" s="1"/>
      <c r="AK802" s="1"/>
      <c r="AL802" s="1"/>
      <c r="AM802" s="1"/>
      <c r="AN802" s="1"/>
      <c r="AO802" s="1"/>
      <c r="AP802" s="1"/>
      <c r="AQ802" s="1"/>
      <c r="AR802" s="1"/>
    </row>
    <row r="803" spans="35:44">
      <c r="AI803" s="23"/>
      <c r="AJ803" s="1"/>
      <c r="AK803" s="1"/>
      <c r="AL803" s="1"/>
      <c r="AM803" s="1"/>
      <c r="AN803" s="1"/>
      <c r="AO803" s="1"/>
      <c r="AP803" s="1"/>
      <c r="AQ803" s="1"/>
      <c r="AR803" s="1"/>
    </row>
    <row r="804" spans="35:44">
      <c r="AI804" s="23"/>
      <c r="AJ804" s="1"/>
      <c r="AK804" s="1"/>
      <c r="AL804" s="1"/>
      <c r="AM804" s="1"/>
      <c r="AN804" s="1"/>
      <c r="AO804" s="1"/>
      <c r="AP804" s="1"/>
      <c r="AQ804" s="1"/>
      <c r="AR804" s="1"/>
    </row>
    <row r="805" spans="35:44">
      <c r="AI805" s="23"/>
      <c r="AJ805" s="1"/>
      <c r="AK805" s="1"/>
      <c r="AL805" s="1"/>
      <c r="AM805" s="1"/>
      <c r="AN805" s="1"/>
      <c r="AO805" s="1"/>
      <c r="AP805" s="1"/>
      <c r="AQ805" s="1"/>
      <c r="AR805" s="1"/>
    </row>
    <row r="806" spans="35:44">
      <c r="AI806" s="23"/>
      <c r="AJ806" s="1"/>
      <c r="AK806" s="1"/>
      <c r="AL806" s="1"/>
      <c r="AM806" s="1"/>
      <c r="AN806" s="1"/>
      <c r="AO806" s="1"/>
      <c r="AP806" s="1"/>
      <c r="AQ806" s="1"/>
      <c r="AR806" s="1"/>
    </row>
    <row r="807" spans="35:44">
      <c r="AI807" s="23"/>
      <c r="AJ807" s="1"/>
      <c r="AK807" s="1"/>
      <c r="AL807" s="1"/>
      <c r="AM807" s="1"/>
      <c r="AN807" s="1"/>
      <c r="AO807" s="1"/>
      <c r="AP807" s="1"/>
      <c r="AQ807" s="1"/>
      <c r="AR807" s="1"/>
    </row>
    <row r="808" spans="35:44">
      <c r="AI808" s="23"/>
      <c r="AJ808" s="1"/>
      <c r="AK808" s="1"/>
      <c r="AL808" s="1"/>
      <c r="AM808" s="1"/>
      <c r="AN808" s="1"/>
      <c r="AO808" s="1"/>
      <c r="AP808" s="1"/>
      <c r="AQ808" s="1"/>
      <c r="AR808" s="1"/>
    </row>
    <row r="809" spans="35:44">
      <c r="AI809" s="23"/>
      <c r="AJ809" s="1"/>
      <c r="AK809" s="1"/>
      <c r="AL809" s="1"/>
      <c r="AM809" s="1"/>
      <c r="AN809" s="1"/>
      <c r="AO809" s="1"/>
      <c r="AP809" s="1"/>
      <c r="AQ809" s="1"/>
      <c r="AR809" s="1"/>
    </row>
    <row r="810" spans="35:44">
      <c r="AI810" s="23"/>
      <c r="AJ810" s="1"/>
      <c r="AK810" s="1"/>
      <c r="AL810" s="1"/>
      <c r="AM810" s="1"/>
      <c r="AN810" s="1"/>
      <c r="AO810" s="1"/>
      <c r="AP810" s="1"/>
      <c r="AQ810" s="1"/>
      <c r="AR810" s="1"/>
    </row>
    <row r="811" spans="35:44">
      <c r="AI811" s="23"/>
      <c r="AJ811" s="1"/>
      <c r="AK811" s="1"/>
      <c r="AL811" s="1"/>
      <c r="AM811" s="1"/>
      <c r="AN811" s="1"/>
      <c r="AO811" s="1"/>
      <c r="AP811" s="1"/>
      <c r="AQ811" s="1"/>
      <c r="AR811" s="1"/>
    </row>
    <row r="812" spans="35:44">
      <c r="AI812" s="23"/>
      <c r="AJ812" s="1"/>
      <c r="AK812" s="1"/>
      <c r="AL812" s="1"/>
      <c r="AM812" s="1"/>
      <c r="AN812" s="1"/>
      <c r="AO812" s="1"/>
      <c r="AP812" s="1"/>
      <c r="AQ812" s="1"/>
      <c r="AR812" s="1"/>
    </row>
    <row r="813" spans="35:44">
      <c r="AI813" s="23"/>
      <c r="AJ813" s="1"/>
      <c r="AK813" s="1"/>
      <c r="AL813" s="1"/>
      <c r="AM813" s="1"/>
      <c r="AN813" s="1"/>
      <c r="AO813" s="1"/>
      <c r="AP813" s="1"/>
      <c r="AQ813" s="1"/>
      <c r="AR813" s="1"/>
    </row>
    <row r="814" spans="35:44">
      <c r="AI814" s="23"/>
      <c r="AJ814" s="1"/>
      <c r="AK814" s="1"/>
      <c r="AL814" s="1"/>
      <c r="AM814" s="1"/>
      <c r="AN814" s="1"/>
      <c r="AO814" s="1"/>
      <c r="AP814" s="1"/>
      <c r="AQ814" s="1"/>
      <c r="AR814" s="1"/>
    </row>
    <row r="815" spans="35:44">
      <c r="AI815" s="23"/>
      <c r="AJ815" s="1"/>
      <c r="AK815" s="1"/>
      <c r="AL815" s="1"/>
      <c r="AM815" s="1"/>
      <c r="AN815" s="1"/>
      <c r="AO815" s="1"/>
      <c r="AP815" s="1"/>
      <c r="AQ815" s="1"/>
      <c r="AR815" s="1"/>
    </row>
    <row r="816" spans="35:44">
      <c r="AI816" s="23"/>
      <c r="AJ816" s="1"/>
      <c r="AK816" s="1"/>
      <c r="AL816" s="1"/>
      <c r="AM816" s="1"/>
      <c r="AN816" s="1"/>
      <c r="AO816" s="1"/>
      <c r="AP816" s="1"/>
      <c r="AQ816" s="1"/>
      <c r="AR816" s="1"/>
    </row>
    <row r="817" spans="35:44">
      <c r="AI817" s="23"/>
      <c r="AJ817" s="1"/>
      <c r="AK817" s="1"/>
      <c r="AL817" s="1"/>
      <c r="AM817" s="1"/>
      <c r="AN817" s="1"/>
      <c r="AO817" s="1"/>
      <c r="AP817" s="1"/>
      <c r="AQ817" s="1"/>
      <c r="AR817" s="1"/>
    </row>
    <row r="818" spans="35:44">
      <c r="AI818" s="23"/>
      <c r="AJ818" s="1"/>
      <c r="AK818" s="1"/>
      <c r="AL818" s="1"/>
      <c r="AM818" s="1"/>
      <c r="AN818" s="1"/>
      <c r="AO818" s="1"/>
      <c r="AP818" s="1"/>
      <c r="AQ818" s="1"/>
      <c r="AR818" s="1"/>
    </row>
    <row r="819" spans="35:44">
      <c r="AI819" s="23"/>
      <c r="AJ819" s="1"/>
      <c r="AK819" s="1"/>
      <c r="AL819" s="1"/>
      <c r="AM819" s="1"/>
      <c r="AN819" s="1"/>
      <c r="AO819" s="1"/>
      <c r="AP819" s="1"/>
      <c r="AQ819" s="1"/>
      <c r="AR819" s="1"/>
    </row>
    <row r="820" spans="35:44">
      <c r="AI820" s="23"/>
      <c r="AJ820" s="1"/>
      <c r="AK820" s="1"/>
      <c r="AL820" s="1"/>
      <c r="AM820" s="1"/>
      <c r="AN820" s="1"/>
      <c r="AO820" s="1"/>
      <c r="AP820" s="1"/>
      <c r="AQ820" s="1"/>
      <c r="AR820" s="1"/>
    </row>
    <row r="821" spans="35:44">
      <c r="AI821" s="23"/>
      <c r="AJ821" s="1"/>
      <c r="AK821" s="1"/>
      <c r="AL821" s="1"/>
      <c r="AM821" s="1"/>
      <c r="AN821" s="1"/>
      <c r="AO821" s="1"/>
      <c r="AP821" s="1"/>
      <c r="AQ821" s="1"/>
      <c r="AR821" s="1"/>
    </row>
    <row r="822" spans="35:44">
      <c r="AI822" s="23"/>
      <c r="AJ822" s="1"/>
      <c r="AK822" s="1"/>
      <c r="AL822" s="1"/>
      <c r="AM822" s="1"/>
      <c r="AN822" s="1"/>
      <c r="AO822" s="1"/>
      <c r="AP822" s="1"/>
      <c r="AQ822" s="1"/>
      <c r="AR822" s="1"/>
    </row>
    <row r="823" spans="35:44">
      <c r="AI823" s="23"/>
      <c r="AJ823" s="1"/>
      <c r="AK823" s="1"/>
      <c r="AL823" s="1"/>
      <c r="AM823" s="1"/>
      <c r="AN823" s="1"/>
      <c r="AO823" s="1"/>
      <c r="AP823" s="1"/>
      <c r="AQ823" s="1"/>
      <c r="AR823" s="1"/>
    </row>
    <row r="824" spans="35:44">
      <c r="AI824" s="23"/>
      <c r="AJ824" s="1"/>
      <c r="AK824" s="1"/>
      <c r="AL824" s="1"/>
      <c r="AM824" s="1"/>
      <c r="AN824" s="1"/>
      <c r="AO824" s="1"/>
      <c r="AP824" s="1"/>
      <c r="AQ824" s="1"/>
      <c r="AR824" s="1"/>
    </row>
    <row r="825" spans="35:44">
      <c r="AI825" s="23"/>
      <c r="AJ825" s="1"/>
      <c r="AK825" s="1"/>
      <c r="AL825" s="1"/>
      <c r="AM825" s="1"/>
      <c r="AN825" s="1"/>
      <c r="AO825" s="1"/>
      <c r="AP825" s="1"/>
      <c r="AQ825" s="1"/>
      <c r="AR825" s="1"/>
    </row>
    <row r="826" spans="35:44">
      <c r="AI826" s="23"/>
      <c r="AJ826" s="1"/>
      <c r="AK826" s="1"/>
      <c r="AL826" s="1"/>
      <c r="AM826" s="1"/>
      <c r="AN826" s="1"/>
      <c r="AO826" s="1"/>
      <c r="AP826" s="1"/>
      <c r="AQ826" s="1"/>
      <c r="AR826" s="1"/>
    </row>
    <row r="827" spans="35:44">
      <c r="AI827" s="23"/>
      <c r="AJ827" s="1"/>
      <c r="AK827" s="1"/>
      <c r="AL827" s="1"/>
      <c r="AM827" s="1"/>
      <c r="AN827" s="1"/>
      <c r="AO827" s="1"/>
      <c r="AP827" s="1"/>
      <c r="AQ827" s="1"/>
      <c r="AR827" s="1"/>
    </row>
    <row r="828" spans="35:44">
      <c r="AI828" s="23"/>
      <c r="AJ828" s="1"/>
      <c r="AK828" s="1"/>
      <c r="AL828" s="1"/>
      <c r="AM828" s="1"/>
      <c r="AN828" s="1"/>
      <c r="AO828" s="1"/>
      <c r="AP828" s="1"/>
      <c r="AQ828" s="1"/>
      <c r="AR828" s="1"/>
    </row>
    <row r="829" spans="35:44">
      <c r="AI829" s="23"/>
      <c r="AJ829" s="1"/>
      <c r="AK829" s="1"/>
      <c r="AL829" s="1"/>
      <c r="AM829" s="1"/>
      <c r="AN829" s="1"/>
      <c r="AO829" s="1"/>
      <c r="AP829" s="1"/>
      <c r="AQ829" s="1"/>
      <c r="AR829" s="1"/>
    </row>
    <row r="830" spans="35:44">
      <c r="AI830" s="23"/>
      <c r="AJ830" s="1"/>
      <c r="AK830" s="1"/>
      <c r="AL830" s="1"/>
      <c r="AM830" s="1"/>
      <c r="AN830" s="1"/>
      <c r="AO830" s="1"/>
      <c r="AP830" s="1"/>
      <c r="AQ830" s="1"/>
      <c r="AR830" s="1"/>
    </row>
    <row r="831" spans="35:44">
      <c r="AI831" s="23"/>
      <c r="AJ831" s="1"/>
      <c r="AK831" s="1"/>
      <c r="AL831" s="1"/>
      <c r="AM831" s="1"/>
      <c r="AN831" s="1"/>
      <c r="AO831" s="1"/>
      <c r="AP831" s="1"/>
      <c r="AQ831" s="1"/>
      <c r="AR831" s="1"/>
    </row>
    <row r="832" spans="35:44">
      <c r="AI832" s="23"/>
      <c r="AJ832" s="1"/>
      <c r="AK832" s="1"/>
      <c r="AL832" s="1"/>
      <c r="AM832" s="1"/>
      <c r="AN832" s="1"/>
      <c r="AO832" s="1"/>
      <c r="AP832" s="1"/>
      <c r="AQ832" s="1"/>
      <c r="AR832" s="1"/>
    </row>
    <row r="833" spans="35:44">
      <c r="AI833" s="23"/>
      <c r="AJ833" s="1"/>
      <c r="AK833" s="1"/>
      <c r="AL833" s="1"/>
      <c r="AM833" s="1"/>
      <c r="AN833" s="1"/>
      <c r="AO833" s="1"/>
      <c r="AP833" s="1"/>
      <c r="AQ833" s="1"/>
      <c r="AR833" s="1"/>
    </row>
    <row r="834" spans="35:44">
      <c r="AI834" s="23"/>
      <c r="AJ834" s="1"/>
      <c r="AK834" s="1"/>
      <c r="AL834" s="1"/>
      <c r="AM834" s="1"/>
      <c r="AN834" s="1"/>
      <c r="AO834" s="1"/>
      <c r="AP834" s="1"/>
      <c r="AQ834" s="1"/>
      <c r="AR834" s="1"/>
    </row>
    <row r="835" spans="35:44">
      <c r="AI835" s="23"/>
      <c r="AJ835" s="1"/>
      <c r="AK835" s="1"/>
      <c r="AL835" s="1"/>
      <c r="AM835" s="1"/>
      <c r="AN835" s="1"/>
      <c r="AO835" s="1"/>
      <c r="AP835" s="1"/>
      <c r="AQ835" s="1"/>
      <c r="AR835" s="1"/>
    </row>
    <row r="836" spans="35:44">
      <c r="AI836" s="23"/>
      <c r="AJ836" s="1"/>
      <c r="AK836" s="1"/>
      <c r="AL836" s="1"/>
      <c r="AM836" s="1"/>
      <c r="AN836" s="1"/>
      <c r="AO836" s="1"/>
      <c r="AP836" s="1"/>
      <c r="AQ836" s="1"/>
      <c r="AR836" s="1"/>
    </row>
    <row r="837" spans="35:44">
      <c r="AI837" s="23"/>
      <c r="AJ837" s="1"/>
      <c r="AK837" s="1"/>
      <c r="AL837" s="1"/>
      <c r="AM837" s="1"/>
      <c r="AN837" s="1"/>
      <c r="AO837" s="1"/>
      <c r="AP837" s="1"/>
      <c r="AQ837" s="1"/>
      <c r="AR837" s="1"/>
    </row>
    <row r="838" spans="35:44">
      <c r="AI838" s="23"/>
      <c r="AJ838" s="1"/>
      <c r="AK838" s="1"/>
      <c r="AL838" s="1"/>
      <c r="AM838" s="1"/>
      <c r="AN838" s="1"/>
      <c r="AO838" s="1"/>
      <c r="AP838" s="1"/>
      <c r="AQ838" s="1"/>
      <c r="AR838" s="1"/>
    </row>
    <row r="839" spans="35:44">
      <c r="AI839" s="23"/>
      <c r="AJ839" s="1"/>
      <c r="AK839" s="1"/>
      <c r="AL839" s="1"/>
      <c r="AM839" s="1"/>
      <c r="AN839" s="1"/>
      <c r="AO839" s="1"/>
      <c r="AP839" s="1"/>
      <c r="AQ839" s="1"/>
      <c r="AR839" s="1"/>
    </row>
    <row r="840" spans="35:44">
      <c r="AI840" s="23"/>
      <c r="AJ840" s="1"/>
      <c r="AK840" s="1"/>
      <c r="AL840" s="1"/>
      <c r="AM840" s="1"/>
      <c r="AN840" s="1"/>
      <c r="AO840" s="1"/>
      <c r="AP840" s="1"/>
      <c r="AQ840" s="1"/>
      <c r="AR840" s="1"/>
    </row>
    <row r="841" spans="35:44">
      <c r="AI841" s="23"/>
      <c r="AJ841" s="1"/>
      <c r="AK841" s="1"/>
      <c r="AL841" s="1"/>
      <c r="AM841" s="1"/>
      <c r="AN841" s="1"/>
      <c r="AO841" s="1"/>
      <c r="AP841" s="1"/>
      <c r="AQ841" s="1"/>
      <c r="AR841" s="1"/>
    </row>
    <row r="842" spans="35:44">
      <c r="AI842" s="23"/>
      <c r="AJ842" s="1"/>
      <c r="AK842" s="1"/>
      <c r="AL842" s="1"/>
      <c r="AM842" s="1"/>
      <c r="AN842" s="1"/>
      <c r="AO842" s="1"/>
      <c r="AP842" s="1"/>
      <c r="AQ842" s="1"/>
      <c r="AR842" s="1"/>
    </row>
    <row r="843" spans="35:44">
      <c r="AI843" s="23"/>
      <c r="AJ843" s="1"/>
      <c r="AK843" s="1"/>
      <c r="AL843" s="1"/>
      <c r="AM843" s="1"/>
      <c r="AN843" s="1"/>
      <c r="AO843" s="1"/>
      <c r="AP843" s="1"/>
      <c r="AQ843" s="1"/>
      <c r="AR843" s="1"/>
    </row>
    <row r="844" spans="35:44">
      <c r="AI844" s="23"/>
      <c r="AJ844" s="1"/>
      <c r="AK844" s="1"/>
      <c r="AL844" s="1"/>
      <c r="AM844" s="1"/>
      <c r="AN844" s="1"/>
      <c r="AO844" s="1"/>
      <c r="AP844" s="1"/>
      <c r="AQ844" s="1"/>
      <c r="AR844" s="1"/>
    </row>
    <row r="845" spans="35:44">
      <c r="AI845" s="23"/>
      <c r="AJ845" s="1"/>
      <c r="AK845" s="1"/>
      <c r="AL845" s="1"/>
      <c r="AM845" s="1"/>
      <c r="AN845" s="1"/>
      <c r="AO845" s="1"/>
      <c r="AP845" s="1"/>
      <c r="AQ845" s="1"/>
      <c r="AR845" s="1"/>
    </row>
    <row r="846" spans="35:44">
      <c r="AI846" s="23"/>
      <c r="AJ846" s="1"/>
      <c r="AK846" s="1"/>
      <c r="AL846" s="1"/>
      <c r="AM846" s="1"/>
      <c r="AN846" s="1"/>
      <c r="AO846" s="1"/>
      <c r="AP846" s="1"/>
      <c r="AQ846" s="1"/>
      <c r="AR846" s="1"/>
    </row>
    <row r="847" spans="35:44">
      <c r="AI847" s="23"/>
      <c r="AJ847" s="1"/>
      <c r="AK847" s="1"/>
      <c r="AL847" s="1"/>
      <c r="AM847" s="1"/>
      <c r="AN847" s="1"/>
      <c r="AO847" s="1"/>
      <c r="AP847" s="1"/>
      <c r="AQ847" s="1"/>
      <c r="AR847" s="1"/>
    </row>
    <row r="848" spans="35:44">
      <c r="AI848" s="23"/>
      <c r="AJ848" s="1"/>
      <c r="AK848" s="1"/>
      <c r="AL848" s="1"/>
      <c r="AM848" s="1"/>
      <c r="AN848" s="1"/>
      <c r="AO848" s="1"/>
      <c r="AP848" s="1"/>
      <c r="AQ848" s="1"/>
      <c r="AR848" s="1"/>
    </row>
    <row r="849" spans="35:44">
      <c r="AI849" s="23"/>
      <c r="AJ849" s="1"/>
      <c r="AK849" s="1"/>
      <c r="AL849" s="1"/>
      <c r="AM849" s="1"/>
      <c r="AN849" s="1"/>
      <c r="AO849" s="1"/>
      <c r="AP849" s="1"/>
      <c r="AQ849" s="1"/>
      <c r="AR849" s="1"/>
    </row>
    <row r="850" spans="35:44">
      <c r="AI850" s="23"/>
      <c r="AJ850" s="1"/>
      <c r="AK850" s="1"/>
      <c r="AL850" s="1"/>
      <c r="AM850" s="1"/>
      <c r="AN850" s="1"/>
      <c r="AO850" s="1"/>
      <c r="AP850" s="1"/>
      <c r="AQ850" s="1"/>
      <c r="AR850" s="1"/>
    </row>
    <row r="851" spans="35:44">
      <c r="AI851" s="23"/>
      <c r="AJ851" s="1"/>
      <c r="AK851" s="1"/>
      <c r="AL851" s="1"/>
      <c r="AM851" s="1"/>
      <c r="AN851" s="1"/>
      <c r="AO851" s="1"/>
      <c r="AP851" s="1"/>
      <c r="AQ851" s="1"/>
      <c r="AR851" s="1"/>
    </row>
    <row r="852" spans="35:44">
      <c r="AI852" s="23"/>
      <c r="AJ852" s="1"/>
      <c r="AK852" s="1"/>
      <c r="AL852" s="1"/>
      <c r="AM852" s="1"/>
      <c r="AN852" s="1"/>
      <c r="AO852" s="1"/>
      <c r="AP852" s="1"/>
      <c r="AQ852" s="1"/>
      <c r="AR852" s="1"/>
    </row>
    <row r="853" spans="35:44">
      <c r="AI853" s="23"/>
      <c r="AJ853" s="1"/>
      <c r="AK853" s="1"/>
      <c r="AL853" s="1"/>
      <c r="AM853" s="1"/>
      <c r="AN853" s="1"/>
      <c r="AO853" s="1"/>
      <c r="AP853" s="1"/>
      <c r="AQ853" s="1"/>
      <c r="AR853" s="1"/>
    </row>
    <row r="854" spans="35:44">
      <c r="AI854" s="23"/>
      <c r="AJ854" s="1"/>
      <c r="AK854" s="1"/>
      <c r="AL854" s="1"/>
      <c r="AM854" s="1"/>
      <c r="AN854" s="1"/>
      <c r="AO854" s="1"/>
      <c r="AP854" s="1"/>
      <c r="AQ854" s="1"/>
      <c r="AR854" s="1"/>
    </row>
    <row r="855" spans="35:44">
      <c r="AI855" s="23"/>
      <c r="AJ855" s="1"/>
      <c r="AK855" s="1"/>
      <c r="AL855" s="1"/>
      <c r="AM855" s="1"/>
      <c r="AN855" s="1"/>
      <c r="AO855" s="1"/>
      <c r="AP855" s="1"/>
      <c r="AQ855" s="1"/>
      <c r="AR855" s="1"/>
    </row>
    <row r="856" spans="35:44">
      <c r="AI856" s="23"/>
      <c r="AJ856" s="1"/>
      <c r="AK856" s="1"/>
      <c r="AL856" s="1"/>
      <c r="AM856" s="1"/>
      <c r="AN856" s="1"/>
      <c r="AO856" s="1"/>
      <c r="AP856" s="1"/>
      <c r="AQ856" s="1"/>
      <c r="AR856" s="1"/>
    </row>
    <row r="857" spans="35:44">
      <c r="AI857" s="23"/>
      <c r="AJ857" s="1"/>
      <c r="AK857" s="1"/>
      <c r="AL857" s="1"/>
      <c r="AM857" s="1"/>
      <c r="AN857" s="1"/>
      <c r="AO857" s="1"/>
      <c r="AP857" s="1"/>
      <c r="AQ857" s="1"/>
      <c r="AR857" s="1"/>
    </row>
    <row r="858" spans="35:44">
      <c r="AI858" s="23"/>
      <c r="AJ858" s="1"/>
      <c r="AK858" s="1"/>
      <c r="AL858" s="1"/>
      <c r="AM858" s="1"/>
      <c r="AN858" s="1"/>
      <c r="AO858" s="1"/>
      <c r="AP858" s="1"/>
      <c r="AQ858" s="1"/>
      <c r="AR858" s="1"/>
    </row>
    <row r="859" spans="35:44">
      <c r="AI859" s="23"/>
      <c r="AJ859" s="1"/>
      <c r="AK859" s="1"/>
      <c r="AL859" s="1"/>
      <c r="AM859" s="1"/>
      <c r="AN859" s="1"/>
      <c r="AO859" s="1"/>
      <c r="AP859" s="1"/>
      <c r="AQ859" s="1"/>
      <c r="AR859" s="1"/>
    </row>
    <row r="860" spans="35:44">
      <c r="AI860" s="23"/>
      <c r="AJ860" s="1"/>
      <c r="AK860" s="1"/>
      <c r="AL860" s="1"/>
      <c r="AM860" s="1"/>
      <c r="AN860" s="1"/>
      <c r="AO860" s="1"/>
      <c r="AP860" s="1"/>
      <c r="AQ860" s="1"/>
      <c r="AR860" s="1"/>
    </row>
    <row r="861" spans="35:44">
      <c r="AI861" s="23"/>
      <c r="AJ861" s="1"/>
      <c r="AK861" s="1"/>
      <c r="AL861" s="1"/>
      <c r="AM861" s="1"/>
      <c r="AN861" s="1"/>
      <c r="AO861" s="1"/>
      <c r="AP861" s="1"/>
      <c r="AQ861" s="1"/>
      <c r="AR861" s="1"/>
    </row>
    <row r="862" spans="35:44">
      <c r="AI862" s="23"/>
      <c r="AJ862" s="1"/>
      <c r="AK862" s="1"/>
      <c r="AL862" s="1"/>
      <c r="AM862" s="1"/>
      <c r="AN862" s="1"/>
      <c r="AO862" s="1"/>
      <c r="AP862" s="1"/>
      <c r="AQ862" s="1"/>
      <c r="AR862" s="1"/>
    </row>
    <row r="863" spans="35:44">
      <c r="AI863" s="23"/>
      <c r="AJ863" s="1"/>
      <c r="AK863" s="1"/>
      <c r="AL863" s="1"/>
      <c r="AM863" s="1"/>
      <c r="AN863" s="1"/>
      <c r="AO863" s="1"/>
      <c r="AP863" s="1"/>
      <c r="AQ863" s="1"/>
      <c r="AR863" s="1"/>
    </row>
    <row r="864" spans="35:44">
      <c r="AI864" s="23"/>
      <c r="AJ864" s="1"/>
      <c r="AK864" s="1"/>
      <c r="AL864" s="1"/>
      <c r="AM864" s="1"/>
      <c r="AN864" s="1"/>
      <c r="AO864" s="1"/>
      <c r="AP864" s="1"/>
      <c r="AQ864" s="1"/>
      <c r="AR864" s="1"/>
    </row>
    <row r="865" spans="35:44">
      <c r="AI865" s="23"/>
      <c r="AJ865" s="1"/>
      <c r="AK865" s="1"/>
      <c r="AL865" s="1"/>
      <c r="AM865" s="1"/>
      <c r="AN865" s="1"/>
      <c r="AO865" s="1"/>
      <c r="AP865" s="1"/>
      <c r="AQ865" s="1"/>
      <c r="AR865" s="1"/>
    </row>
    <row r="866" spans="35:44">
      <c r="AI866" s="23"/>
      <c r="AJ866" s="1"/>
      <c r="AK866" s="1"/>
      <c r="AL866" s="1"/>
      <c r="AM866" s="1"/>
      <c r="AN866" s="1"/>
      <c r="AO866" s="1"/>
      <c r="AP866" s="1"/>
      <c r="AQ866" s="1"/>
      <c r="AR866" s="1"/>
    </row>
    <row r="867" spans="35:44">
      <c r="AI867" s="23"/>
      <c r="AJ867" s="1"/>
      <c r="AK867" s="1"/>
      <c r="AL867" s="1"/>
      <c r="AM867" s="1"/>
      <c r="AN867" s="1"/>
      <c r="AO867" s="1"/>
      <c r="AP867" s="1"/>
      <c r="AQ867" s="1"/>
      <c r="AR867" s="1"/>
    </row>
    <row r="868" spans="35:44">
      <c r="AI868" s="23"/>
      <c r="AJ868" s="1"/>
      <c r="AK868" s="1"/>
      <c r="AL868" s="1"/>
      <c r="AM868" s="1"/>
      <c r="AN868" s="1"/>
      <c r="AO868" s="1"/>
      <c r="AP868" s="1"/>
      <c r="AQ868" s="1"/>
      <c r="AR868" s="1"/>
    </row>
    <row r="869" spans="35:44">
      <c r="AI869" s="23"/>
      <c r="AJ869" s="1"/>
      <c r="AK869" s="1"/>
      <c r="AL869" s="1"/>
      <c r="AM869" s="1"/>
      <c r="AN869" s="1"/>
      <c r="AO869" s="1"/>
      <c r="AP869" s="1"/>
      <c r="AQ869" s="1"/>
      <c r="AR869" s="1"/>
    </row>
    <row r="870" spans="35:44">
      <c r="AI870" s="23"/>
      <c r="AJ870" s="1"/>
      <c r="AK870" s="1"/>
      <c r="AL870" s="1"/>
      <c r="AM870" s="1"/>
      <c r="AN870" s="1"/>
      <c r="AO870" s="1"/>
      <c r="AP870" s="1"/>
      <c r="AQ870" s="1"/>
      <c r="AR870" s="1"/>
    </row>
    <row r="871" spans="35:44">
      <c r="AI871" s="23"/>
      <c r="AJ871" s="1"/>
      <c r="AK871" s="1"/>
      <c r="AL871" s="1"/>
      <c r="AM871" s="1"/>
      <c r="AN871" s="1"/>
      <c r="AO871" s="1"/>
      <c r="AP871" s="1"/>
      <c r="AQ871" s="1"/>
      <c r="AR871" s="1"/>
    </row>
    <row r="872" spans="35:44">
      <c r="AI872" s="23"/>
      <c r="AJ872" s="1"/>
      <c r="AK872" s="1"/>
      <c r="AL872" s="1"/>
      <c r="AM872" s="1"/>
      <c r="AN872" s="1"/>
      <c r="AO872" s="1"/>
      <c r="AP872" s="1"/>
      <c r="AQ872" s="1"/>
      <c r="AR872" s="1"/>
    </row>
    <row r="873" spans="35:44">
      <c r="AI873" s="23"/>
      <c r="AJ873" s="1"/>
      <c r="AK873" s="1"/>
      <c r="AL873" s="1"/>
      <c r="AM873" s="1"/>
      <c r="AN873" s="1"/>
      <c r="AO873" s="1"/>
      <c r="AP873" s="1"/>
      <c r="AQ873" s="1"/>
      <c r="AR873" s="1"/>
    </row>
    <row r="874" spans="35:44">
      <c r="AI874" s="23"/>
      <c r="AJ874" s="1"/>
      <c r="AK874" s="1"/>
      <c r="AL874" s="1"/>
      <c r="AM874" s="1"/>
      <c r="AN874" s="1"/>
      <c r="AO874" s="1"/>
      <c r="AP874" s="1"/>
      <c r="AQ874" s="1"/>
      <c r="AR874" s="1"/>
    </row>
    <row r="875" spans="35:44">
      <c r="AI875" s="23"/>
      <c r="AJ875" s="1"/>
      <c r="AK875" s="1"/>
      <c r="AL875" s="1"/>
      <c r="AM875" s="1"/>
      <c r="AN875" s="1"/>
      <c r="AO875" s="1"/>
      <c r="AP875" s="1"/>
      <c r="AQ875" s="1"/>
      <c r="AR875" s="1"/>
    </row>
    <row r="876" spans="35:44">
      <c r="AI876" s="23"/>
      <c r="AJ876" s="1"/>
      <c r="AK876" s="1"/>
      <c r="AL876" s="1"/>
      <c r="AM876" s="1"/>
      <c r="AN876" s="1"/>
      <c r="AO876" s="1"/>
      <c r="AP876" s="1"/>
      <c r="AQ876" s="1"/>
      <c r="AR876" s="1"/>
    </row>
    <row r="877" spans="35:44">
      <c r="AI877" s="23"/>
      <c r="AJ877" s="1"/>
      <c r="AK877" s="1"/>
      <c r="AL877" s="1"/>
      <c r="AM877" s="1"/>
      <c r="AN877" s="1"/>
      <c r="AO877" s="1"/>
      <c r="AP877" s="1"/>
      <c r="AQ877" s="1"/>
      <c r="AR877" s="1"/>
    </row>
    <row r="878" spans="35:44">
      <c r="AI878" s="23"/>
      <c r="AJ878" s="1"/>
      <c r="AK878" s="1"/>
      <c r="AL878" s="1"/>
      <c r="AM878" s="1"/>
      <c r="AN878" s="1"/>
      <c r="AO878" s="1"/>
      <c r="AP878" s="1"/>
      <c r="AQ878" s="1"/>
      <c r="AR878" s="1"/>
    </row>
    <row r="879" spans="35:44">
      <c r="AI879" s="23"/>
      <c r="AJ879" s="1"/>
      <c r="AK879" s="1"/>
      <c r="AL879" s="1"/>
      <c r="AM879" s="1"/>
      <c r="AN879" s="1"/>
      <c r="AO879" s="1"/>
      <c r="AP879" s="1"/>
      <c r="AQ879" s="1"/>
      <c r="AR879" s="1"/>
    </row>
    <row r="880" spans="35:44">
      <c r="AI880" s="23"/>
      <c r="AJ880" s="1"/>
      <c r="AK880" s="1"/>
      <c r="AL880" s="1"/>
      <c r="AM880" s="1"/>
      <c r="AN880" s="1"/>
      <c r="AO880" s="1"/>
      <c r="AP880" s="1"/>
      <c r="AQ880" s="1"/>
      <c r="AR880" s="1"/>
    </row>
    <row r="881" spans="35:44">
      <c r="AI881" s="23"/>
      <c r="AJ881" s="1"/>
      <c r="AK881" s="1"/>
      <c r="AL881" s="1"/>
      <c r="AM881" s="1"/>
      <c r="AN881" s="1"/>
      <c r="AO881" s="1"/>
      <c r="AP881" s="1"/>
      <c r="AQ881" s="1"/>
      <c r="AR881" s="1"/>
    </row>
    <row r="882" spans="35:44">
      <c r="AI882" s="23"/>
      <c r="AJ882" s="1"/>
      <c r="AK882" s="1"/>
      <c r="AL882" s="1"/>
      <c r="AM882" s="1"/>
      <c r="AN882" s="1"/>
      <c r="AO882" s="1"/>
      <c r="AP882" s="1"/>
      <c r="AQ882" s="1"/>
      <c r="AR882" s="1"/>
    </row>
    <row r="883" spans="35:44">
      <c r="AI883" s="23"/>
      <c r="AJ883" s="1"/>
      <c r="AK883" s="1"/>
      <c r="AL883" s="1"/>
      <c r="AM883" s="1"/>
      <c r="AN883" s="1"/>
      <c r="AO883" s="1"/>
      <c r="AP883" s="1"/>
      <c r="AQ883" s="1"/>
      <c r="AR883" s="1"/>
    </row>
    <row r="884" spans="35:44">
      <c r="AI884" s="23"/>
      <c r="AJ884" s="1"/>
      <c r="AK884" s="1"/>
      <c r="AL884" s="1"/>
      <c r="AM884" s="1"/>
      <c r="AN884" s="1"/>
      <c r="AO884" s="1"/>
      <c r="AP884" s="1"/>
      <c r="AQ884" s="1"/>
      <c r="AR884" s="1"/>
    </row>
    <row r="885" spans="35:44">
      <c r="AI885" s="23"/>
      <c r="AJ885" s="1"/>
      <c r="AK885" s="1"/>
      <c r="AL885" s="1"/>
      <c r="AM885" s="1"/>
      <c r="AN885" s="1"/>
      <c r="AO885" s="1"/>
      <c r="AP885" s="1"/>
      <c r="AQ885" s="1"/>
      <c r="AR885" s="1"/>
    </row>
    <row r="886" spans="35:44">
      <c r="AI886" s="23"/>
      <c r="AJ886" s="1"/>
      <c r="AK886" s="1"/>
      <c r="AL886" s="1"/>
      <c r="AM886" s="1"/>
      <c r="AN886" s="1"/>
      <c r="AO886" s="1"/>
      <c r="AP886" s="1"/>
      <c r="AQ886" s="1"/>
      <c r="AR886" s="1"/>
    </row>
    <row r="887" spans="35:44">
      <c r="AI887" s="23"/>
      <c r="AJ887" s="1"/>
      <c r="AK887" s="1"/>
      <c r="AL887" s="1"/>
      <c r="AM887" s="1"/>
      <c r="AN887" s="1"/>
      <c r="AO887" s="1"/>
      <c r="AP887" s="1"/>
      <c r="AQ887" s="1"/>
      <c r="AR887" s="1"/>
    </row>
    <row r="888" spans="35:44">
      <c r="AI888" s="23"/>
      <c r="AJ888" s="1"/>
      <c r="AK888" s="1"/>
      <c r="AL888" s="1"/>
      <c r="AM888" s="1"/>
      <c r="AN888" s="1"/>
      <c r="AO888" s="1"/>
      <c r="AP888" s="1"/>
      <c r="AQ888" s="1"/>
      <c r="AR888" s="1"/>
    </row>
    <row r="889" spans="35:44">
      <c r="AI889" s="23"/>
      <c r="AJ889" s="1"/>
      <c r="AK889" s="1"/>
      <c r="AL889" s="1"/>
      <c r="AM889" s="1"/>
      <c r="AN889" s="1"/>
      <c r="AO889" s="1"/>
      <c r="AP889" s="1"/>
      <c r="AQ889" s="1"/>
      <c r="AR889" s="1"/>
    </row>
    <row r="890" spans="35:44">
      <c r="AI890" s="23"/>
      <c r="AJ890" s="1"/>
      <c r="AK890" s="1"/>
      <c r="AL890" s="1"/>
      <c r="AM890" s="1"/>
      <c r="AN890" s="1"/>
      <c r="AO890" s="1"/>
      <c r="AP890" s="1"/>
      <c r="AQ890" s="1"/>
      <c r="AR890" s="1"/>
    </row>
    <row r="891" spans="35:44">
      <c r="AI891" s="23"/>
      <c r="AJ891" s="1"/>
      <c r="AK891" s="1"/>
      <c r="AL891" s="1"/>
      <c r="AM891" s="1"/>
      <c r="AN891" s="1"/>
      <c r="AO891" s="1"/>
      <c r="AP891" s="1"/>
      <c r="AQ891" s="1"/>
      <c r="AR891" s="1"/>
    </row>
    <row r="892" spans="35:44">
      <c r="AI892" s="23"/>
      <c r="AJ892" s="1"/>
      <c r="AK892" s="1"/>
      <c r="AL892" s="1"/>
      <c r="AM892" s="1"/>
      <c r="AN892" s="1"/>
      <c r="AO892" s="1"/>
      <c r="AP892" s="1"/>
      <c r="AQ892" s="1"/>
      <c r="AR892" s="1"/>
    </row>
    <row r="893" spans="35:44">
      <c r="AI893" s="23"/>
      <c r="AJ893" s="1"/>
      <c r="AK893" s="1"/>
      <c r="AL893" s="1"/>
      <c r="AM893" s="1"/>
      <c r="AN893" s="1"/>
      <c r="AO893" s="1"/>
      <c r="AP893" s="1"/>
      <c r="AQ893" s="1"/>
      <c r="AR893" s="1"/>
    </row>
    <row r="894" spans="35:44">
      <c r="AI894" s="23"/>
      <c r="AJ894" s="1"/>
      <c r="AK894" s="1"/>
      <c r="AL894" s="1"/>
      <c r="AM894" s="1"/>
      <c r="AN894" s="1"/>
      <c r="AO894" s="1"/>
      <c r="AP894" s="1"/>
      <c r="AQ894" s="1"/>
      <c r="AR894" s="1"/>
    </row>
    <row r="895" spans="35:44">
      <c r="AI895" s="23"/>
      <c r="AJ895" s="1"/>
      <c r="AK895" s="1"/>
      <c r="AL895" s="1"/>
      <c r="AM895" s="1"/>
      <c r="AN895" s="1"/>
      <c r="AO895" s="1"/>
      <c r="AP895" s="1"/>
      <c r="AQ895" s="1"/>
      <c r="AR895" s="1"/>
    </row>
    <row r="896" spans="35:44">
      <c r="AI896" s="23"/>
      <c r="AJ896" s="1"/>
      <c r="AK896" s="1"/>
      <c r="AL896" s="1"/>
      <c r="AM896" s="1"/>
      <c r="AN896" s="1"/>
      <c r="AO896" s="1"/>
      <c r="AP896" s="1"/>
      <c r="AQ896" s="1"/>
      <c r="AR896" s="1"/>
    </row>
    <row r="897" spans="35:44">
      <c r="AI897" s="23"/>
      <c r="AJ897" s="1"/>
      <c r="AK897" s="1"/>
      <c r="AL897" s="1"/>
      <c r="AM897" s="1"/>
      <c r="AN897" s="1"/>
      <c r="AO897" s="1"/>
      <c r="AP897" s="1"/>
      <c r="AQ897" s="1"/>
      <c r="AR897" s="1"/>
    </row>
    <row r="898" spans="35:44">
      <c r="AI898" s="23"/>
      <c r="AJ898" s="1"/>
      <c r="AK898" s="1"/>
      <c r="AL898" s="1"/>
      <c r="AM898" s="1"/>
      <c r="AN898" s="1"/>
      <c r="AO898" s="1"/>
      <c r="AP898" s="1"/>
      <c r="AQ898" s="1"/>
      <c r="AR898" s="1"/>
    </row>
    <row r="899" spans="35:44">
      <c r="AI899" s="23"/>
      <c r="AJ899" s="1"/>
      <c r="AK899" s="1"/>
      <c r="AL899" s="1"/>
      <c r="AM899" s="1"/>
      <c r="AN899" s="1"/>
      <c r="AO899" s="1"/>
      <c r="AP899" s="1"/>
      <c r="AQ899" s="1"/>
      <c r="AR899" s="1"/>
    </row>
    <row r="900" spans="35:44">
      <c r="AI900" s="23"/>
      <c r="AJ900" s="1"/>
      <c r="AK900" s="1"/>
      <c r="AL900" s="1"/>
      <c r="AM900" s="1"/>
      <c r="AN900" s="1"/>
      <c r="AO900" s="1"/>
      <c r="AP900" s="1"/>
      <c r="AQ900" s="1"/>
      <c r="AR900" s="1"/>
    </row>
    <row r="901" spans="35:44">
      <c r="AI901" s="23"/>
      <c r="AJ901" s="1"/>
      <c r="AK901" s="1"/>
      <c r="AL901" s="1"/>
      <c r="AM901" s="1"/>
      <c r="AN901" s="1"/>
      <c r="AO901" s="1"/>
      <c r="AP901" s="1"/>
      <c r="AQ901" s="1"/>
      <c r="AR901" s="1"/>
    </row>
    <row r="902" spans="35:44">
      <c r="AI902" s="23"/>
      <c r="AJ902" s="1"/>
      <c r="AK902" s="1"/>
      <c r="AL902" s="1"/>
      <c r="AM902" s="1"/>
      <c r="AN902" s="1"/>
      <c r="AO902" s="1"/>
      <c r="AP902" s="1"/>
      <c r="AQ902" s="1"/>
      <c r="AR902" s="1"/>
    </row>
    <row r="903" spans="35:44">
      <c r="AI903" s="23"/>
      <c r="AJ903" s="1"/>
      <c r="AK903" s="1"/>
      <c r="AL903" s="1"/>
      <c r="AM903" s="1"/>
      <c r="AN903" s="1"/>
      <c r="AO903" s="1"/>
      <c r="AP903" s="1"/>
      <c r="AQ903" s="1"/>
      <c r="AR903" s="1"/>
    </row>
    <row r="904" spans="35:44">
      <c r="AI904" s="23"/>
      <c r="AJ904" s="1"/>
      <c r="AK904" s="1"/>
      <c r="AL904" s="1"/>
      <c r="AM904" s="1"/>
      <c r="AN904" s="1"/>
      <c r="AO904" s="1"/>
      <c r="AP904" s="1"/>
      <c r="AQ904" s="1"/>
      <c r="AR904" s="1"/>
    </row>
    <row r="905" spans="35:44">
      <c r="AI905" s="23"/>
      <c r="AJ905" s="1"/>
      <c r="AK905" s="1"/>
      <c r="AL905" s="1"/>
      <c r="AM905" s="1"/>
      <c r="AN905" s="1"/>
      <c r="AO905" s="1"/>
      <c r="AP905" s="1"/>
      <c r="AQ905" s="1"/>
      <c r="AR905" s="1"/>
    </row>
    <row r="906" spans="35:44">
      <c r="AI906" s="23"/>
      <c r="AJ906" s="1"/>
      <c r="AK906" s="1"/>
      <c r="AL906" s="1"/>
      <c r="AM906" s="1"/>
      <c r="AN906" s="1"/>
      <c r="AO906" s="1"/>
      <c r="AP906" s="1"/>
      <c r="AQ906" s="1"/>
      <c r="AR906" s="1"/>
    </row>
    <row r="907" spans="35:44">
      <c r="AI907" s="23"/>
      <c r="AJ907" s="1"/>
      <c r="AK907" s="1"/>
      <c r="AL907" s="1"/>
      <c r="AM907" s="1"/>
      <c r="AN907" s="1"/>
      <c r="AO907" s="1"/>
      <c r="AP907" s="1"/>
      <c r="AQ907" s="1"/>
      <c r="AR907" s="1"/>
    </row>
    <row r="908" spans="35:44">
      <c r="AI908" s="23"/>
      <c r="AJ908" s="1"/>
      <c r="AK908" s="1"/>
      <c r="AL908" s="1"/>
      <c r="AM908" s="1"/>
      <c r="AN908" s="1"/>
      <c r="AO908" s="1"/>
      <c r="AP908" s="1"/>
      <c r="AQ908" s="1"/>
      <c r="AR908" s="1"/>
    </row>
    <row r="909" spans="35:44">
      <c r="AI909" s="23"/>
      <c r="AJ909" s="1"/>
      <c r="AK909" s="1"/>
      <c r="AL909" s="1"/>
      <c r="AM909" s="1"/>
      <c r="AN909" s="1"/>
      <c r="AO909" s="1"/>
      <c r="AP909" s="1"/>
      <c r="AQ909" s="1"/>
      <c r="AR909" s="1"/>
    </row>
    <row r="910" spans="35:44">
      <c r="AI910" s="23"/>
      <c r="AJ910" s="1"/>
      <c r="AK910" s="1"/>
      <c r="AL910" s="1"/>
      <c r="AM910" s="1"/>
      <c r="AN910" s="1"/>
      <c r="AO910" s="1"/>
      <c r="AP910" s="1"/>
      <c r="AQ910" s="1"/>
      <c r="AR910" s="1"/>
    </row>
    <row r="911" spans="35:44">
      <c r="AI911" s="23"/>
      <c r="AJ911" s="1"/>
      <c r="AK911" s="1"/>
      <c r="AL911" s="1"/>
      <c r="AM911" s="1"/>
      <c r="AN911" s="1"/>
      <c r="AO911" s="1"/>
      <c r="AP911" s="1"/>
      <c r="AQ911" s="1"/>
      <c r="AR911" s="1"/>
    </row>
    <row r="912" spans="35:44">
      <c r="AI912" s="23"/>
      <c r="AJ912" s="1"/>
      <c r="AK912" s="1"/>
      <c r="AL912" s="1"/>
      <c r="AM912" s="1"/>
      <c r="AN912" s="1"/>
      <c r="AO912" s="1"/>
      <c r="AP912" s="1"/>
      <c r="AQ912" s="1"/>
      <c r="AR912" s="1"/>
    </row>
    <row r="913" spans="35:44">
      <c r="AI913" s="23"/>
      <c r="AJ913" s="1"/>
      <c r="AK913" s="1"/>
      <c r="AL913" s="1"/>
      <c r="AM913" s="1"/>
      <c r="AN913" s="1"/>
      <c r="AO913" s="1"/>
      <c r="AP913" s="1"/>
      <c r="AQ913" s="1"/>
      <c r="AR913" s="1"/>
    </row>
    <row r="914" spans="35:44">
      <c r="AI914" s="23"/>
      <c r="AJ914" s="1"/>
      <c r="AK914" s="1"/>
      <c r="AL914" s="1"/>
      <c r="AM914" s="1"/>
      <c r="AN914" s="1"/>
      <c r="AO914" s="1"/>
      <c r="AP914" s="1"/>
      <c r="AQ914" s="1"/>
      <c r="AR914" s="1"/>
    </row>
    <row r="915" spans="35:44">
      <c r="AI915" s="23"/>
      <c r="AJ915" s="1"/>
      <c r="AK915" s="1"/>
      <c r="AL915" s="1"/>
      <c r="AM915" s="1"/>
      <c r="AN915" s="1"/>
      <c r="AO915" s="1"/>
      <c r="AP915" s="1"/>
      <c r="AQ915" s="1"/>
      <c r="AR915" s="1"/>
    </row>
    <row r="916" spans="35:44">
      <c r="AI916" s="23"/>
      <c r="AJ916" s="1"/>
      <c r="AK916" s="1"/>
      <c r="AL916" s="1"/>
      <c r="AM916" s="1"/>
      <c r="AN916" s="1"/>
      <c r="AO916" s="1"/>
      <c r="AP916" s="1"/>
      <c r="AQ916" s="1"/>
      <c r="AR916" s="1"/>
    </row>
    <row r="917" spans="35:44">
      <c r="AI917" s="23"/>
      <c r="AJ917" s="1"/>
      <c r="AK917" s="1"/>
      <c r="AL917" s="1"/>
      <c r="AM917" s="1"/>
      <c r="AN917" s="1"/>
      <c r="AO917" s="1"/>
      <c r="AP917" s="1"/>
      <c r="AQ917" s="1"/>
      <c r="AR917" s="1"/>
    </row>
    <row r="918" spans="35:44">
      <c r="AI918" s="23"/>
      <c r="AJ918" s="1"/>
      <c r="AK918" s="1"/>
      <c r="AL918" s="1"/>
      <c r="AM918" s="1"/>
      <c r="AN918" s="1"/>
      <c r="AO918" s="1"/>
      <c r="AP918" s="1"/>
      <c r="AQ918" s="1"/>
      <c r="AR918" s="1"/>
    </row>
    <row r="919" spans="35:44">
      <c r="AI919" s="23"/>
      <c r="AJ919" s="1"/>
      <c r="AK919" s="1"/>
      <c r="AL919" s="1"/>
      <c r="AM919" s="1"/>
      <c r="AN919" s="1"/>
      <c r="AO919" s="1"/>
      <c r="AP919" s="1"/>
      <c r="AQ919" s="1"/>
      <c r="AR919" s="1"/>
    </row>
    <row r="920" spans="35:44">
      <c r="AI920" s="23"/>
      <c r="AJ920" s="1"/>
      <c r="AK920" s="1"/>
      <c r="AL920" s="1"/>
      <c r="AM920" s="1"/>
      <c r="AN920" s="1"/>
      <c r="AO920" s="1"/>
      <c r="AP920" s="1"/>
      <c r="AQ920" s="1"/>
      <c r="AR920" s="1"/>
    </row>
    <row r="921" spans="35:44">
      <c r="AI921" s="23"/>
      <c r="AJ921" s="1"/>
      <c r="AK921" s="1"/>
      <c r="AL921" s="1"/>
      <c r="AM921" s="1"/>
      <c r="AN921" s="1"/>
      <c r="AO921" s="1"/>
      <c r="AP921" s="1"/>
      <c r="AQ921" s="1"/>
      <c r="AR921" s="1"/>
    </row>
    <row r="922" spans="35:44">
      <c r="AI922" s="23"/>
      <c r="AJ922" s="1"/>
      <c r="AK922" s="1"/>
      <c r="AL922" s="1"/>
      <c r="AM922" s="1"/>
      <c r="AN922" s="1"/>
      <c r="AO922" s="1"/>
      <c r="AP922" s="1"/>
      <c r="AQ922" s="1"/>
      <c r="AR922" s="1"/>
    </row>
    <row r="923" spans="35:44">
      <c r="AI923" s="23"/>
      <c r="AJ923" s="1"/>
      <c r="AK923" s="1"/>
      <c r="AL923" s="1"/>
      <c r="AM923" s="1"/>
      <c r="AN923" s="1"/>
      <c r="AO923" s="1"/>
      <c r="AP923" s="1"/>
      <c r="AQ923" s="1"/>
      <c r="AR923" s="1"/>
    </row>
    <row r="924" spans="35:44">
      <c r="AI924" s="23"/>
      <c r="AJ924" s="1"/>
      <c r="AK924" s="1"/>
      <c r="AL924" s="1"/>
      <c r="AM924" s="1"/>
      <c r="AN924" s="1"/>
      <c r="AO924" s="1"/>
      <c r="AP924" s="1"/>
      <c r="AQ924" s="1"/>
      <c r="AR924" s="1"/>
    </row>
    <row r="925" spans="35:44">
      <c r="AI925" s="23"/>
      <c r="AJ925" s="1"/>
      <c r="AK925" s="1"/>
      <c r="AL925" s="1"/>
      <c r="AM925" s="1"/>
      <c r="AN925" s="1"/>
      <c r="AO925" s="1"/>
      <c r="AP925" s="1"/>
      <c r="AQ925" s="1"/>
      <c r="AR925" s="1"/>
    </row>
    <row r="926" spans="35:44">
      <c r="AI926" s="23"/>
      <c r="AJ926" s="1"/>
      <c r="AK926" s="1"/>
      <c r="AL926" s="1"/>
      <c r="AM926" s="1"/>
      <c r="AN926" s="1"/>
      <c r="AO926" s="1"/>
      <c r="AP926" s="1"/>
      <c r="AQ926" s="1"/>
      <c r="AR926" s="1"/>
    </row>
    <row r="927" spans="35:44">
      <c r="AI927" s="23"/>
      <c r="AJ927" s="1"/>
      <c r="AK927" s="1"/>
      <c r="AL927" s="1"/>
      <c r="AM927" s="1"/>
      <c r="AN927" s="1"/>
      <c r="AO927" s="1"/>
      <c r="AP927" s="1"/>
      <c r="AQ927" s="1"/>
      <c r="AR927" s="1"/>
    </row>
    <row r="928" spans="35:44">
      <c r="AI928" s="23"/>
      <c r="AJ928" s="1"/>
      <c r="AK928" s="1"/>
      <c r="AL928" s="1"/>
      <c r="AM928" s="1"/>
      <c r="AN928" s="1"/>
      <c r="AO928" s="1"/>
      <c r="AP928" s="1"/>
      <c r="AQ928" s="1"/>
      <c r="AR928" s="1"/>
    </row>
    <row r="929" spans="35:44">
      <c r="AI929" s="23"/>
      <c r="AJ929" s="1"/>
      <c r="AK929" s="1"/>
      <c r="AL929" s="1"/>
      <c r="AM929" s="1"/>
      <c r="AN929" s="1"/>
      <c r="AO929" s="1"/>
      <c r="AP929" s="1"/>
      <c r="AQ929" s="1"/>
      <c r="AR929" s="1"/>
    </row>
    <row r="930" spans="35:44">
      <c r="AI930" s="1"/>
      <c r="AJ930" s="1"/>
      <c r="AK930" s="1"/>
      <c r="AL930" s="1"/>
      <c r="AM930" s="1"/>
      <c r="AN930" s="1"/>
      <c r="AO930" s="1"/>
      <c r="AP930" s="1"/>
      <c r="AQ930" s="1"/>
      <c r="AR930" s="1"/>
    </row>
    <row r="931" spans="35:44">
      <c r="AI931" s="1"/>
      <c r="AJ931" s="1"/>
      <c r="AK931" s="1"/>
      <c r="AL931" s="1"/>
      <c r="AM931" s="1"/>
      <c r="AN931" s="1"/>
      <c r="AO931" s="1"/>
      <c r="AP931" s="1"/>
      <c r="AQ931" s="1"/>
      <c r="AR931" s="1"/>
    </row>
    <row r="932" spans="35:44">
      <c r="AI932" s="1"/>
      <c r="AJ932" s="1"/>
      <c r="AK932" s="1"/>
      <c r="AL932" s="1"/>
      <c r="AM932" s="1"/>
      <c r="AN932" s="1"/>
      <c r="AO932" s="1"/>
      <c r="AP932" s="1"/>
      <c r="AQ932" s="1"/>
      <c r="AR932" s="1"/>
    </row>
    <row r="933" spans="35:44">
      <c r="AI933" s="1"/>
      <c r="AJ933" s="1"/>
      <c r="AK933" s="1"/>
      <c r="AL933" s="1"/>
      <c r="AM933" s="1"/>
      <c r="AN933" s="1"/>
      <c r="AO933" s="1"/>
      <c r="AP933" s="1"/>
      <c r="AQ933" s="1"/>
      <c r="AR933" s="1"/>
    </row>
    <row r="934" spans="35:44">
      <c r="AI934" s="1"/>
      <c r="AJ934" s="1"/>
      <c r="AK934" s="1"/>
      <c r="AL934" s="1"/>
      <c r="AM934" s="1"/>
      <c r="AN934" s="1"/>
      <c r="AO934" s="1"/>
      <c r="AP934" s="1"/>
      <c r="AQ934" s="1"/>
      <c r="AR934" s="1"/>
    </row>
    <row r="935" spans="35:44">
      <c r="AI935" s="1"/>
      <c r="AJ935" s="1"/>
      <c r="AK935" s="1"/>
      <c r="AL935" s="1"/>
      <c r="AM935" s="1"/>
      <c r="AN935" s="1"/>
      <c r="AO935" s="1"/>
      <c r="AP935" s="1"/>
      <c r="AQ935" s="1"/>
      <c r="AR935" s="1"/>
    </row>
    <row r="936" spans="35:44">
      <c r="AI936" s="1"/>
      <c r="AJ936" s="1"/>
      <c r="AK936" s="1"/>
      <c r="AL936" s="1"/>
      <c r="AM936" s="1"/>
      <c r="AN936" s="1"/>
      <c r="AO936" s="1"/>
      <c r="AP936" s="1"/>
      <c r="AQ936" s="1"/>
      <c r="AR936" s="1"/>
    </row>
    <row r="937" spans="35:44">
      <c r="AI937" s="1"/>
      <c r="AJ937" s="1"/>
      <c r="AK937" s="1"/>
      <c r="AL937" s="1"/>
      <c r="AM937" s="1"/>
      <c r="AN937" s="1"/>
      <c r="AO937" s="1"/>
      <c r="AP937" s="1"/>
      <c r="AQ937" s="1"/>
      <c r="AR937" s="1"/>
    </row>
    <row r="938" spans="35:44">
      <c r="AI938" s="1"/>
      <c r="AJ938" s="1"/>
      <c r="AK938" s="1"/>
      <c r="AL938" s="1"/>
      <c r="AM938" s="1"/>
      <c r="AN938" s="1"/>
      <c r="AO938" s="1"/>
      <c r="AP938" s="1"/>
      <c r="AQ938" s="1"/>
      <c r="AR938" s="1"/>
    </row>
  </sheetData>
  <mergeCells count="538">
    <mergeCell ref="AJ5:AM5"/>
    <mergeCell ref="AJ147:AO147"/>
    <mergeCell ref="AN198:AN199"/>
    <mergeCell ref="AO198:AO199"/>
    <mergeCell ref="AN188:AN189"/>
    <mergeCell ref="AO188:AO189"/>
    <mergeCell ref="AN177:AN178"/>
    <mergeCell ref="AO177:AO178"/>
    <mergeCell ref="AM198:AM199"/>
    <mergeCell ref="AP240:AP241"/>
    <mergeCell ref="AP161:AP162"/>
    <mergeCell ref="AO161:AO162"/>
    <mergeCell ref="AP198:AP199"/>
    <mergeCell ref="AP193:AP194"/>
    <mergeCell ref="AO193:AO194"/>
    <mergeCell ref="AP172:AP173"/>
    <mergeCell ref="AP215:AP216"/>
    <mergeCell ref="AP203:AP204"/>
    <mergeCell ref="AP188:AP189"/>
    <mergeCell ref="AJ185:AL185"/>
    <mergeCell ref="AJ179:AL179"/>
    <mergeCell ref="AJ184:AL184"/>
    <mergeCell ref="AJ186:AL186"/>
    <mergeCell ref="AJ191:AL191"/>
    <mergeCell ref="AJ193:AL194"/>
    <mergeCell ref="AM188:AM189"/>
    <mergeCell ref="AJ188:AL189"/>
    <mergeCell ref="AJ190:AL190"/>
    <mergeCell ref="AP167:AP168"/>
    <mergeCell ref="AN167:AN168"/>
    <mergeCell ref="AO167:AO168"/>
    <mergeCell ref="AO172:AO173"/>
    <mergeCell ref="AJ174:AL174"/>
    <mergeCell ref="AM182:AM183"/>
    <mergeCell ref="AM167:AM168"/>
    <mergeCell ref="AN193:AN194"/>
    <mergeCell ref="AJ201:AL201"/>
    <mergeCell ref="AJ195:AL195"/>
    <mergeCell ref="AJ196:AL196"/>
    <mergeCell ref="AJ198:AL199"/>
    <mergeCell ref="AJ200:AL200"/>
    <mergeCell ref="AM193:AM194"/>
    <mergeCell ref="AJ169:AL169"/>
    <mergeCell ref="AJ167:AL168"/>
    <mergeCell ref="AJ180:AL180"/>
    <mergeCell ref="AJ172:AL173"/>
    <mergeCell ref="AJ177:AL178"/>
    <mergeCell ref="AJ170:AL170"/>
    <mergeCell ref="AJ175:AL175"/>
    <mergeCell ref="AM172:AM173"/>
    <mergeCell ref="AJ2:AQ3"/>
    <mergeCell ref="AJ155:AL156"/>
    <mergeCell ref="AP155:AP156"/>
    <mergeCell ref="AN155:AN156"/>
    <mergeCell ref="AP59:AP60"/>
    <mergeCell ref="AN59:AN60"/>
    <mergeCell ref="AM59:AM60"/>
    <mergeCell ref="AJ54:AL55"/>
    <mergeCell ref="AJ56:AL56"/>
    <mergeCell ref="AO59:AO60"/>
    <mergeCell ref="AJ59:AL60"/>
    <mergeCell ref="AJ31:AM31"/>
    <mergeCell ref="AJ40:AL40"/>
    <mergeCell ref="AJ41:AL41"/>
    <mergeCell ref="AJ39:AL39"/>
    <mergeCell ref="AJ49:AL49"/>
    <mergeCell ref="AJ47:AL47"/>
    <mergeCell ref="AJ48:AL48"/>
    <mergeCell ref="AJ44:AL45"/>
    <mergeCell ref="AJ74:AL74"/>
    <mergeCell ref="AO64:AO65"/>
    <mergeCell ref="AJ64:AL65"/>
    <mergeCell ref="AJ72:AL73"/>
    <mergeCell ref="AN72:AN73"/>
    <mergeCell ref="AN64:AN65"/>
    <mergeCell ref="AJ66:AL66"/>
    <mergeCell ref="AM72:AM73"/>
    <mergeCell ref="AM64:AM65"/>
    <mergeCell ref="AO341:AO342"/>
    <mergeCell ref="AO327:AO329"/>
    <mergeCell ref="AJ293:AM293"/>
    <mergeCell ref="AJ294:AM294"/>
    <mergeCell ref="AL311:AL312"/>
    <mergeCell ref="AJ311:AJ312"/>
    <mergeCell ref="AJ324:AO324"/>
    <mergeCell ref="AL341:AL342"/>
    <mergeCell ref="AJ299:AM299"/>
    <mergeCell ref="AO334:AO335"/>
    <mergeCell ref="AK274:AL274"/>
    <mergeCell ref="AP259:AP260"/>
    <mergeCell ref="AP246:AP247"/>
    <mergeCell ref="AN246:AN247"/>
    <mergeCell ref="AO246:AO247"/>
    <mergeCell ref="AP252:AP253"/>
    <mergeCell ref="AO252:AO253"/>
    <mergeCell ref="AN252:AN253"/>
    <mergeCell ref="AO259:AO260"/>
    <mergeCell ref="AJ269:AK270"/>
    <mergeCell ref="AJ259:AL260"/>
    <mergeCell ref="AM254:AM256"/>
    <mergeCell ref="AJ254:AL254"/>
    <mergeCell ref="AP284:AP285"/>
    <mergeCell ref="AK276:AL276"/>
    <mergeCell ref="AK275:AL275"/>
    <mergeCell ref="AJ278:AL278"/>
    <mergeCell ref="AK279:AL279"/>
    <mergeCell ref="AJ279:AJ282"/>
    <mergeCell ref="AK282:AL282"/>
    <mergeCell ref="AJ285:AJ288"/>
    <mergeCell ref="AO284:AO285"/>
    <mergeCell ref="AN284:AN285"/>
    <mergeCell ref="AK288:AL288"/>
    <mergeCell ref="AK285:AL285"/>
    <mergeCell ref="AK287:AL287"/>
    <mergeCell ref="AK286:AL286"/>
    <mergeCell ref="AM284:AM285"/>
    <mergeCell ref="AO240:AO241"/>
    <mergeCell ref="AN172:AN173"/>
    <mergeCell ref="AK280:AL280"/>
    <mergeCell ref="AJ291:AM292"/>
    <mergeCell ref="AK281:AL281"/>
    <mergeCell ref="AM269:AN269"/>
    <mergeCell ref="AJ273:AJ276"/>
    <mergeCell ref="AK273:AL273"/>
    <mergeCell ref="AJ255:AL255"/>
    <mergeCell ref="AM259:AM260"/>
    <mergeCell ref="AJ160:AP160"/>
    <mergeCell ref="AJ182:AL183"/>
    <mergeCell ref="AJ164:AL164"/>
    <mergeCell ref="AN182:AN183"/>
    <mergeCell ref="AO182:AO183"/>
    <mergeCell ref="AP177:AP178"/>
    <mergeCell ref="AM161:AM162"/>
    <mergeCell ref="AJ161:AL162"/>
    <mergeCell ref="AM177:AM178"/>
    <mergeCell ref="AM163:AM165"/>
    <mergeCell ref="AJ152:AL152"/>
    <mergeCell ref="AN137:AN138"/>
    <mergeCell ref="AJ140:AL140"/>
    <mergeCell ref="AJ137:AL138"/>
    <mergeCell ref="AJ150:AL150"/>
    <mergeCell ref="AJ151:AL151"/>
    <mergeCell ref="AJ148:AL149"/>
    <mergeCell ref="AO137:AO138"/>
    <mergeCell ref="AP148:AP149"/>
    <mergeCell ref="AM150:AM151"/>
    <mergeCell ref="AP137:AP138"/>
    <mergeCell ref="AJ99:AL99"/>
    <mergeCell ref="AO117:AO118"/>
    <mergeCell ref="AP111:AP112"/>
    <mergeCell ref="AJ133:AL133"/>
    <mergeCell ref="AN123:AN124"/>
    <mergeCell ref="AJ125:AL125"/>
    <mergeCell ref="AJ90:AL90"/>
    <mergeCell ref="AM111:AM112"/>
    <mergeCell ref="AJ117:AL118"/>
    <mergeCell ref="AJ108:AL108"/>
    <mergeCell ref="AN111:AN112"/>
    <mergeCell ref="AM95:AM96"/>
    <mergeCell ref="AJ111:AL112"/>
    <mergeCell ref="AN117:AN118"/>
    <mergeCell ref="AM157:AM159"/>
    <mergeCell ref="AJ142:AQ142"/>
    <mergeCell ref="AO155:AO156"/>
    <mergeCell ref="AM155:AM156"/>
    <mergeCell ref="AN148:AN149"/>
    <mergeCell ref="AO148:AO149"/>
    <mergeCell ref="AM148:AM149"/>
    <mergeCell ref="AJ159:AL159"/>
    <mergeCell ref="AJ154:AP154"/>
    <mergeCell ref="AJ153:AL153"/>
    <mergeCell ref="AP54:AP55"/>
    <mergeCell ref="AN54:AN55"/>
    <mergeCell ref="AP64:AP65"/>
    <mergeCell ref="AP105:AP106"/>
    <mergeCell ref="AN105:AN106"/>
    <mergeCell ref="AP72:AP73"/>
    <mergeCell ref="AO72:AO73"/>
    <mergeCell ref="AO88:AO89"/>
    <mergeCell ref="AO54:AO55"/>
    <mergeCell ref="AN95:AN96"/>
    <mergeCell ref="AO95:AO96"/>
    <mergeCell ref="AJ101:AQ101"/>
    <mergeCell ref="AJ95:AL96"/>
    <mergeCell ref="AP95:AP96"/>
    <mergeCell ref="AJ98:AL98"/>
    <mergeCell ref="AJ92:AL92"/>
    <mergeCell ref="AJ157:AL157"/>
    <mergeCell ref="AN161:AN162"/>
    <mergeCell ref="AJ383:AO383"/>
    <mergeCell ref="AJ325:AO325"/>
    <mergeCell ref="AJ327:AK331"/>
    <mergeCell ref="AJ334:AK337"/>
    <mergeCell ref="AL334:AL335"/>
    <mergeCell ref="AM334:AM335"/>
    <mergeCell ref="AN334:AN335"/>
    <mergeCell ref="AN240:AN241"/>
    <mergeCell ref="AM270:AN270"/>
    <mergeCell ref="AJ370:AK373"/>
    <mergeCell ref="AO347:AO348"/>
    <mergeCell ref="AJ300:AM300"/>
    <mergeCell ref="AJ284:AL284"/>
    <mergeCell ref="AJ304:AM304"/>
    <mergeCell ref="AJ310:AN310"/>
    <mergeCell ref="AJ301:AM301"/>
    <mergeCell ref="AJ302:AM302"/>
    <mergeCell ref="AJ333:AO333"/>
    <mergeCell ref="AJ256:AL256"/>
    <mergeCell ref="AJ283:AP283"/>
    <mergeCell ref="AP272:AP273"/>
    <mergeCell ref="AN259:AN260"/>
    <mergeCell ref="AJ277:AP277"/>
    <mergeCell ref="AM278:AM279"/>
    <mergeCell ref="AJ272:AL272"/>
    <mergeCell ref="AN272:AN273"/>
    <mergeCell ref="AO272:AO273"/>
    <mergeCell ref="AM272:AM273"/>
    <mergeCell ref="AO392:AO393"/>
    <mergeCell ref="AO376:AO377"/>
    <mergeCell ref="AL356:AL358"/>
    <mergeCell ref="AJ376:AK379"/>
    <mergeCell ref="AM347:AM348"/>
    <mergeCell ref="AJ362:AO362"/>
    <mergeCell ref="AO363:AO364"/>
    <mergeCell ref="AJ353:AO353"/>
    <mergeCell ref="AO370:AO371"/>
    <mergeCell ref="AO356:AO358"/>
    <mergeCell ref="AN392:AN393"/>
    <mergeCell ref="AJ399:AK402"/>
    <mergeCell ref="AO405:AO406"/>
    <mergeCell ref="AJ391:AO391"/>
    <mergeCell ref="AJ385:AK389"/>
    <mergeCell ref="AL385:AL387"/>
    <mergeCell ref="AM385:AM387"/>
    <mergeCell ref="AN385:AN387"/>
    <mergeCell ref="AO385:AO387"/>
    <mergeCell ref="AM392:AM393"/>
    <mergeCell ref="AL399:AL400"/>
    <mergeCell ref="AM405:AM406"/>
    <mergeCell ref="AJ405:AK408"/>
    <mergeCell ref="AL405:AL406"/>
    <mergeCell ref="AJ404:AO404"/>
    <mergeCell ref="AM399:AM400"/>
    <mergeCell ref="AN399:AN400"/>
    <mergeCell ref="AO399:AO400"/>
    <mergeCell ref="AJ120:AL120"/>
    <mergeCell ref="AM131:AM132"/>
    <mergeCell ref="AJ412:AO412"/>
    <mergeCell ref="AJ414:AK418"/>
    <mergeCell ref="AJ225:AM225"/>
    <mergeCell ref="AJ234:AM234"/>
    <mergeCell ref="AJ392:AK395"/>
    <mergeCell ref="AJ295:AM295"/>
    <mergeCell ref="AJ296:AM296"/>
    <mergeCell ref="AJ246:AL247"/>
    <mergeCell ref="AJ297:AM297"/>
    <mergeCell ref="AJ298:AM298"/>
    <mergeCell ref="AJ341:AK344"/>
    <mergeCell ref="AL414:AL416"/>
    <mergeCell ref="AM414:AM416"/>
    <mergeCell ref="AN414:AN416"/>
    <mergeCell ref="AL392:AL393"/>
    <mergeCell ref="AM363:AM364"/>
    <mergeCell ref="AN347:AN348"/>
    <mergeCell ref="AJ347:AK350"/>
    <mergeCell ref="AL421:AL422"/>
    <mergeCell ref="AM421:AM422"/>
    <mergeCell ref="AN421:AN422"/>
    <mergeCell ref="AJ420:AO420"/>
    <mergeCell ref="AO421:AO422"/>
    <mergeCell ref="AJ421:AK424"/>
    <mergeCell ref="AJ363:AK366"/>
    <mergeCell ref="AL347:AL348"/>
    <mergeCell ref="AJ382:AO382"/>
    <mergeCell ref="AM376:AM377"/>
    <mergeCell ref="AN376:AN377"/>
    <mergeCell ref="AJ354:AO354"/>
    <mergeCell ref="AL370:AL371"/>
    <mergeCell ref="AN363:AN364"/>
    <mergeCell ref="AN370:AN371"/>
    <mergeCell ref="AJ433:AO433"/>
    <mergeCell ref="AJ434:AK437"/>
    <mergeCell ref="AO428:AO429"/>
    <mergeCell ref="AL434:AL435"/>
    <mergeCell ref="AM434:AM435"/>
    <mergeCell ref="AN434:AN435"/>
    <mergeCell ref="AO434:AO435"/>
    <mergeCell ref="AJ428:AK431"/>
    <mergeCell ref="AN428:AN429"/>
    <mergeCell ref="AL428:AL429"/>
    <mergeCell ref="AJ18:AM18"/>
    <mergeCell ref="AJ36:AL37"/>
    <mergeCell ref="AJ30:AM30"/>
    <mergeCell ref="AM36:AM37"/>
    <mergeCell ref="AJ27:AM27"/>
    <mergeCell ref="AP44:AP45"/>
    <mergeCell ref="AJ38:AL38"/>
    <mergeCell ref="AM428:AM429"/>
    <mergeCell ref="AJ75:AL75"/>
    <mergeCell ref="AJ97:AL97"/>
    <mergeCell ref="AJ83:AL83"/>
    <mergeCell ref="AO414:AO416"/>
    <mergeCell ref="AJ411:AO411"/>
    <mergeCell ref="AN405:AN406"/>
    <mergeCell ref="AJ82:AL82"/>
    <mergeCell ref="AJ91:AL91"/>
    <mergeCell ref="AJ76:AL76"/>
    <mergeCell ref="AJ85:AQ85"/>
    <mergeCell ref="AP79:AP80"/>
    <mergeCell ref="AM88:AM89"/>
    <mergeCell ref="AN79:AN80"/>
    <mergeCell ref="AO79:AO80"/>
    <mergeCell ref="AM79:AM80"/>
    <mergeCell ref="AP88:AP89"/>
    <mergeCell ref="AN88:AN89"/>
    <mergeCell ref="AJ88:AL89"/>
    <mergeCell ref="AJ16:AM16"/>
    <mergeCell ref="AJ79:AL80"/>
    <mergeCell ref="AJ81:AL81"/>
    <mergeCell ref="AJ24:AM24"/>
    <mergeCell ref="AJ25:AM25"/>
    <mergeCell ref="AJ67:AL67"/>
    <mergeCell ref="AJ19:AM19"/>
    <mergeCell ref="AJ17:AM17"/>
    <mergeCell ref="AJ20:AM20"/>
    <mergeCell ref="AJ21:AM21"/>
    <mergeCell ref="AJ220:AM220"/>
    <mergeCell ref="AM137:AM138"/>
    <mergeCell ref="AJ249:AL249"/>
    <mergeCell ref="AJ242:AL242"/>
    <mergeCell ref="AJ158:AL158"/>
    <mergeCell ref="AJ222:AM222"/>
    <mergeCell ref="AJ224:AM224"/>
    <mergeCell ref="AJ244:AL244"/>
    <mergeCell ref="AJ236:AM236"/>
    <mergeCell ref="AJ139:AL139"/>
    <mergeCell ref="AP117:AP118"/>
    <mergeCell ref="AJ119:AL119"/>
    <mergeCell ref="AM105:AM106"/>
    <mergeCell ref="AO105:AO106"/>
    <mergeCell ref="AJ105:AL106"/>
    <mergeCell ref="AJ113:AL113"/>
    <mergeCell ref="AJ107:AL107"/>
    <mergeCell ref="AO111:AO112"/>
    <mergeCell ref="AM117:AM118"/>
    <mergeCell ref="AJ114:AL114"/>
    <mergeCell ref="AJ226:AM226"/>
    <mergeCell ref="AJ163:AL163"/>
    <mergeCell ref="AJ165:AL165"/>
    <mergeCell ref="AJ207:AL207"/>
    <mergeCell ref="AJ209:AQ213"/>
    <mergeCell ref="AJ218:AM219"/>
    <mergeCell ref="AN203:AN204"/>
    <mergeCell ref="AM203:AM204"/>
    <mergeCell ref="AQ215:AQ216"/>
    <mergeCell ref="AJ215:AO216"/>
    <mergeCell ref="AJ262:AL262"/>
    <mergeCell ref="AJ203:AL204"/>
    <mergeCell ref="AJ206:AL206"/>
    <mergeCell ref="AJ228:AM228"/>
    <mergeCell ref="AJ229:AM229"/>
    <mergeCell ref="AJ223:AM223"/>
    <mergeCell ref="AJ221:AM221"/>
    <mergeCell ref="AJ205:AL205"/>
    <mergeCell ref="AJ227:AM227"/>
    <mergeCell ref="AJ232:AM232"/>
    <mergeCell ref="AJ233:AM233"/>
    <mergeCell ref="AJ346:AO346"/>
    <mergeCell ref="AN341:AN342"/>
    <mergeCell ref="AJ303:AM303"/>
    <mergeCell ref="AL327:AL329"/>
    <mergeCell ref="AM341:AM342"/>
    <mergeCell ref="AM311:AM312"/>
    <mergeCell ref="AN311:AN312"/>
    <mergeCell ref="AK311:AK312"/>
    <mergeCell ref="AM327:AM329"/>
    <mergeCell ref="AN327:AN329"/>
    <mergeCell ref="AQ291:AQ292"/>
    <mergeCell ref="AL306:AM306"/>
    <mergeCell ref="AL307:AM307"/>
    <mergeCell ref="AP278:AP279"/>
    <mergeCell ref="AP291:AP292"/>
    <mergeCell ref="AN278:AN279"/>
    <mergeCell ref="AN291:AN292"/>
    <mergeCell ref="AO291:AO292"/>
    <mergeCell ref="AO278:AO279"/>
    <mergeCell ref="AJ443:AO443"/>
    <mergeCell ref="AJ440:AO442"/>
    <mergeCell ref="AJ321:AO323"/>
    <mergeCell ref="AJ356:AK360"/>
    <mergeCell ref="AL363:AL364"/>
    <mergeCell ref="AM370:AM371"/>
    <mergeCell ref="AN356:AN358"/>
    <mergeCell ref="AL376:AL377"/>
    <mergeCell ref="AJ375:AO375"/>
    <mergeCell ref="AM356:AM358"/>
    <mergeCell ref="AJ460:AK463"/>
    <mergeCell ref="AL460:AL461"/>
    <mergeCell ref="AJ444:AO444"/>
    <mergeCell ref="AJ446:AK450"/>
    <mergeCell ref="AL446:AL448"/>
    <mergeCell ref="AM446:AM448"/>
    <mergeCell ref="AN446:AN448"/>
    <mergeCell ref="AO446:AO448"/>
    <mergeCell ref="AJ452:AO452"/>
    <mergeCell ref="AJ453:AK456"/>
    <mergeCell ref="AL453:AL454"/>
    <mergeCell ref="AM453:AM454"/>
    <mergeCell ref="AN453:AN454"/>
    <mergeCell ref="AO453:AO454"/>
    <mergeCell ref="AL466:AL467"/>
    <mergeCell ref="AM466:AM467"/>
    <mergeCell ref="AN466:AN467"/>
    <mergeCell ref="AO466:AO467"/>
    <mergeCell ref="AM460:AM461"/>
    <mergeCell ref="AJ472:AO472"/>
    <mergeCell ref="AJ465:AO465"/>
    <mergeCell ref="AJ466:AK469"/>
    <mergeCell ref="AN460:AN461"/>
    <mergeCell ref="AO460:AO461"/>
    <mergeCell ref="AJ489:AK492"/>
    <mergeCell ref="AL489:AL490"/>
    <mergeCell ref="AJ473:AO473"/>
    <mergeCell ref="AJ475:AK479"/>
    <mergeCell ref="AL475:AL477"/>
    <mergeCell ref="AM475:AM477"/>
    <mergeCell ref="AN475:AN477"/>
    <mergeCell ref="AO475:AO477"/>
    <mergeCell ref="AJ481:AO481"/>
    <mergeCell ref="AJ482:AK485"/>
    <mergeCell ref="AL482:AL483"/>
    <mergeCell ref="AM482:AM483"/>
    <mergeCell ref="AN482:AN483"/>
    <mergeCell ref="AO482:AO483"/>
    <mergeCell ref="AL495:AL496"/>
    <mergeCell ref="AM495:AM496"/>
    <mergeCell ref="AN495:AN496"/>
    <mergeCell ref="AO495:AO496"/>
    <mergeCell ref="AM489:AM490"/>
    <mergeCell ref="AJ501:AO501"/>
    <mergeCell ref="AJ494:AO494"/>
    <mergeCell ref="AJ495:AK498"/>
    <mergeCell ref="AN489:AN490"/>
    <mergeCell ref="AO489:AO490"/>
    <mergeCell ref="AJ518:AK521"/>
    <mergeCell ref="AL518:AL519"/>
    <mergeCell ref="AJ502:AO502"/>
    <mergeCell ref="AJ504:AK508"/>
    <mergeCell ref="AL504:AL506"/>
    <mergeCell ref="AM504:AM506"/>
    <mergeCell ref="AN504:AN506"/>
    <mergeCell ref="AO504:AO506"/>
    <mergeCell ref="AJ510:AO510"/>
    <mergeCell ref="AJ511:AK514"/>
    <mergeCell ref="AL511:AL512"/>
    <mergeCell ref="AM511:AM512"/>
    <mergeCell ref="AN511:AN512"/>
    <mergeCell ref="AO511:AO512"/>
    <mergeCell ref="AL524:AL525"/>
    <mergeCell ref="AM524:AM525"/>
    <mergeCell ref="AN524:AN525"/>
    <mergeCell ref="AO524:AO525"/>
    <mergeCell ref="AM518:AM519"/>
    <mergeCell ref="AJ530:AO530"/>
    <mergeCell ref="AJ523:AO523"/>
    <mergeCell ref="AJ524:AK527"/>
    <mergeCell ref="AN518:AN519"/>
    <mergeCell ref="AO518:AO519"/>
    <mergeCell ref="AJ531:AO531"/>
    <mergeCell ref="AJ533:AK537"/>
    <mergeCell ref="AL533:AL535"/>
    <mergeCell ref="AM533:AM535"/>
    <mergeCell ref="AN533:AN535"/>
    <mergeCell ref="AO533:AO535"/>
    <mergeCell ref="AO553:AO554"/>
    <mergeCell ref="AJ547:AK550"/>
    <mergeCell ref="AL547:AL548"/>
    <mergeCell ref="AM547:AM548"/>
    <mergeCell ref="AN547:AN548"/>
    <mergeCell ref="AJ553:AK556"/>
    <mergeCell ref="AL553:AL554"/>
    <mergeCell ref="AM553:AM554"/>
    <mergeCell ref="AN553:AN554"/>
    <mergeCell ref="AO547:AO548"/>
    <mergeCell ref="AJ552:AO552"/>
    <mergeCell ref="AJ539:AO539"/>
    <mergeCell ref="AJ540:AK543"/>
    <mergeCell ref="AL540:AL541"/>
    <mergeCell ref="AM540:AM541"/>
    <mergeCell ref="AN540:AN541"/>
    <mergeCell ref="AO540:AO541"/>
    <mergeCell ref="AM246:AM247"/>
    <mergeCell ref="AM242:AM244"/>
    <mergeCell ref="AM240:AM241"/>
    <mergeCell ref="AJ252:AL253"/>
    <mergeCell ref="AJ250:AL250"/>
    <mergeCell ref="AM248:AM250"/>
    <mergeCell ref="AJ243:AL243"/>
    <mergeCell ref="AJ240:AL241"/>
    <mergeCell ref="AM252:AM253"/>
    <mergeCell ref="AJ248:AL248"/>
    <mergeCell ref="AJ230:AM230"/>
    <mergeCell ref="AJ231:AM231"/>
    <mergeCell ref="AP131:AP132"/>
    <mergeCell ref="AN218:AN219"/>
    <mergeCell ref="AJ135:AQ135"/>
    <mergeCell ref="AQ218:AQ219"/>
    <mergeCell ref="AO218:AO219"/>
    <mergeCell ref="AP182:AP183"/>
    <mergeCell ref="AP218:AP219"/>
    <mergeCell ref="AO203:AO204"/>
    <mergeCell ref="AO131:AO132"/>
    <mergeCell ref="AJ128:AQ128"/>
    <mergeCell ref="AJ131:AL132"/>
    <mergeCell ref="AM123:AM124"/>
    <mergeCell ref="AO123:AO124"/>
    <mergeCell ref="AJ126:AL126"/>
    <mergeCell ref="AJ123:AL124"/>
    <mergeCell ref="AJ265:AQ265"/>
    <mergeCell ref="AP36:AP37"/>
    <mergeCell ref="AN36:AN37"/>
    <mergeCell ref="AO36:AO37"/>
    <mergeCell ref="AM54:AM55"/>
    <mergeCell ref="AM44:AM45"/>
    <mergeCell ref="AN44:AN45"/>
    <mergeCell ref="AO44:AO45"/>
    <mergeCell ref="AP123:AP124"/>
    <mergeCell ref="AN131:AN132"/>
    <mergeCell ref="AJ12:AQ12"/>
    <mergeCell ref="AJ33:AQ33"/>
    <mergeCell ref="AJ51:AQ51"/>
    <mergeCell ref="AJ69:AQ69"/>
    <mergeCell ref="AJ28:AM28"/>
    <mergeCell ref="AJ46:AL46"/>
    <mergeCell ref="AJ26:AM26"/>
    <mergeCell ref="AJ29:AM29"/>
    <mergeCell ref="AJ61:AL61"/>
    <mergeCell ref="AJ15:AM15"/>
  </mergeCells>
  <phoneticPr fontId="0" type="noConversion"/>
  <conditionalFormatting sqref="AP259:AP260 AP111:AP112 AP252:AP253 AP54:AP55 AP240:AP241 AP59:AP60 AP72:AP73 AP79:AP80 AP105:AP106 AP117:AP118 AP123:AP124 AP137:AP138 AP284:AP285 AP131:AP132 AP246:AP247 AP64:AP65 AQ291:AQ292 AK311:AK312 AP148:AP149 AP188:AP189 AP182:AP183 AP272:AP273 AP278:AP279 AQ218:AQ219 AP88 AP95 AP161:AP162 AP155:AP156 AP203:AP204 AP167:AP168 AP172:AP173 AP177:AP178 AP193:AP194 AP198:AP199 AT191">
    <cfRule type="cellIs" dxfId="149" priority="1" stopIfTrue="1" operator="equal">
      <formula>$AM$36</formula>
    </cfRule>
    <cfRule type="cellIs" dxfId="148" priority="2" stopIfTrue="1" operator="equal">
      <formula>$AO$36</formula>
    </cfRule>
    <cfRule type="cellIs" dxfId="147" priority="3" stopIfTrue="1" operator="equal">
      <formula>$AQ$36</formula>
    </cfRule>
  </conditionalFormatting>
  <conditionalFormatting sqref="AN111:AN112 AN252:AN253 AN54:AN55 AN246:AN247 AN59:AN60 AN64:AN65 AN72:AN73 AN79:AN80 AO291:AO292 AN105:AN106 AN117:AN118 AN123:AN124 AN131:AN132 AN137:AN138 AN284:AN285 AN240:AN241 AN259:AN260 AL311:AL312 AN148:AN149 AN188:AN189 AN182:AN183 AN272:AN273 AN278:AN279 AO218:AO219 AN88 AN95 AN161:AN162 AN155:AN156 AN203:AN204 AN167:AN168 AN172:AN173 AN177:AN178 AN193:AN194 AN198:AN199 AT189">
    <cfRule type="cellIs" dxfId="146" priority="4" stopIfTrue="1" operator="equal">
      <formula>$AJ$6</formula>
    </cfRule>
    <cfRule type="cellIs" dxfId="145" priority="5" stopIfTrue="1" operator="equal">
      <formula>$AN$33</formula>
    </cfRule>
    <cfRule type="cellIs" dxfId="144" priority="6" stopIfTrue="1" operator="equal">
      <formula>$AJ$8</formula>
    </cfRule>
  </conditionalFormatting>
  <conditionalFormatting sqref="AO111:AO112 AO131:AO132 AO252:AO253 AO54:AO55 AO246:AO247 AO59:AO60 AO64:AO65 AO72:AO73 AO79:AO80 AP291:AP292 AO105:AO106 AO117:AO118 AO123:AO124 AO137:AO138 AO284:AO285 AO240:AO241 AO259:AO260 AM311:AM312 AO148:AO149 AO188:AO189 AO182:AO183 AO272:AO273 AO278:AO279 AP218:AP219 AO88 AO95 AO161:AO162 AO155:AO156 AO203:AO204 AO167:AO168 AO172:AO173 AO177:AO178 AO193:AO194 AO198:AO199 AT190">
    <cfRule type="cellIs" dxfId="143" priority="7" stopIfTrue="1" operator="equal">
      <formula>$AJ$6</formula>
    </cfRule>
    <cfRule type="cellIs" dxfId="142" priority="8" stopIfTrue="1" operator="equal">
      <formula>$AJ$7</formula>
    </cfRule>
    <cfRule type="cellIs" dxfId="141" priority="9" stopIfTrue="1" operator="equal">
      <formula>$AO$33</formula>
    </cfRule>
  </conditionalFormatting>
  <conditionalFormatting sqref="AJ41 AJ49">
    <cfRule type="cellIs" dxfId="140" priority="10" stopIfTrue="1" operator="equal">
      <formula>$BA$36</formula>
    </cfRule>
    <cfRule type="cellIs" dxfId="139" priority="11" stopIfTrue="1" operator="equal">
      <formula>$BC$36</formula>
    </cfRule>
    <cfRule type="cellIs" dxfId="138" priority="12" stopIfTrue="1" operator="equal">
      <formula>$BE$36</formula>
    </cfRule>
  </conditionalFormatting>
  <conditionalFormatting sqref="AJ39 AJ47">
    <cfRule type="cellIs" dxfId="137" priority="13" stopIfTrue="1" operator="equal">
      <formula>$AX$6</formula>
    </cfRule>
    <cfRule type="cellIs" dxfId="136" priority="14" stopIfTrue="1" operator="equal">
      <formula>$BB$33</formula>
    </cfRule>
    <cfRule type="cellIs" dxfId="135" priority="15" stopIfTrue="1" operator="equal">
      <formula>$AX$8</formula>
    </cfRule>
  </conditionalFormatting>
  <conditionalFormatting sqref="AJ40 AJ48">
    <cfRule type="cellIs" dxfId="134" priority="16" stopIfTrue="1" operator="equal">
      <formula>$AX$6</formula>
    </cfRule>
    <cfRule type="cellIs" dxfId="133" priority="17" stopIfTrue="1" operator="equal">
      <formula>$AX$7</formula>
    </cfRule>
    <cfRule type="cellIs" dxfId="132" priority="18" stopIfTrue="1" operator="equal">
      <formula>$BC$33</formula>
    </cfRule>
  </conditionalFormatting>
  <conditionalFormatting sqref="AM113:AP114">
    <cfRule type="cellIs" dxfId="131" priority="19" stopIfTrue="1" operator="equal">
      <formula>"yes"</formula>
    </cfRule>
    <cfRule type="cellIs" dxfId="130" priority="20" stopIfTrue="1" operator="equal">
      <formula>"no"</formula>
    </cfRule>
  </conditionalFormatting>
  <pageMargins left="0" right="0" top="0.59055118110236227" bottom="0.39370078740157483" header="0.51181102362204722" footer="0.51181102362204722"/>
  <pageSetup paperSize="9" fitToHeight="6" orientation="portrait" r:id="rId1"/>
  <headerFooter alignWithMargins="0"/>
</worksheet>
</file>

<file path=xl/worksheets/sheet38.xml><?xml version="1.0" encoding="utf-8"?>
<worksheet xmlns="http://schemas.openxmlformats.org/spreadsheetml/2006/main" xmlns:r="http://schemas.openxmlformats.org/officeDocument/2006/relationships">
  <sheetPr codeName="Sheet67">
    <pageSetUpPr fitToPage="1"/>
  </sheetPr>
  <dimension ref="A1:BB911"/>
  <sheetViews>
    <sheetView showRowColHeaders="0" workbookViewId="0">
      <selection activeCell="B2" sqref="B2:K3"/>
    </sheetView>
  </sheetViews>
  <sheetFormatPr defaultRowHeight="12.75"/>
  <cols>
    <col min="1" max="11" width="11.7109375" style="1" customWidth="1"/>
    <col min="12" max="18" width="10.7109375" style="1" customWidth="1"/>
    <col min="19" max="22" width="11.28515625" style="1" customWidth="1"/>
    <col min="23" max="34" width="10.7109375" style="1" customWidth="1"/>
    <col min="35" max="35" width="4.7109375" style="20" customWidth="1"/>
    <col min="36" max="38" width="10.7109375" style="18" customWidth="1"/>
    <col min="39" max="41" width="11.7109375" style="18" customWidth="1"/>
    <col min="42" max="44" width="10.7109375" style="18" customWidth="1"/>
    <col min="45" max="45" width="10.7109375" style="1" customWidth="1"/>
    <col min="46" max="48" width="8.7109375" style="1" customWidth="1"/>
    <col min="49" max="53" width="13.7109375" style="1" customWidth="1"/>
    <col min="54" max="55" width="10.7109375" style="1" customWidth="1"/>
    <col min="56" max="72" width="10.28515625" style="1" customWidth="1"/>
    <col min="73" max="128" width="10.7109375" style="1" customWidth="1"/>
    <col min="129" max="16384" width="9.140625" style="1"/>
  </cols>
  <sheetData>
    <row r="1" spans="1:45" ht="6" customHeight="1" thickBot="1">
      <c r="A1" s="121"/>
      <c r="B1" s="121"/>
      <c r="C1" s="121"/>
      <c r="D1" s="121"/>
      <c r="E1" s="121"/>
      <c r="F1" s="121"/>
      <c r="G1" s="121"/>
      <c r="H1" s="121"/>
      <c r="I1" s="121"/>
      <c r="J1" s="121"/>
      <c r="K1" s="121"/>
      <c r="L1" s="121"/>
      <c r="M1" s="121"/>
      <c r="N1" s="121"/>
      <c r="O1" s="121"/>
      <c r="P1" s="121"/>
      <c r="Q1" s="360"/>
      <c r="R1" s="361"/>
      <c r="S1" s="361"/>
      <c r="T1" s="361"/>
      <c r="U1" s="361"/>
      <c r="V1" s="361"/>
      <c r="W1" s="361"/>
      <c r="X1" s="361"/>
      <c r="Y1" s="361"/>
      <c r="Z1" s="362"/>
      <c r="AA1" s="362"/>
      <c r="AB1" s="362"/>
      <c r="AC1" s="362"/>
      <c r="AD1" s="362"/>
      <c r="AE1" s="362"/>
    </row>
    <row r="2" spans="1:45" ht="12.75" customHeight="1" thickTop="1">
      <c r="A2" s="121"/>
      <c r="B2" s="753" t="s">
        <v>849</v>
      </c>
      <c r="C2" s="754"/>
      <c r="D2" s="754"/>
      <c r="E2" s="754"/>
      <c r="F2" s="754"/>
      <c r="G2" s="754"/>
      <c r="H2" s="754"/>
      <c r="I2" s="754"/>
      <c r="J2" s="754"/>
      <c r="K2" s="755"/>
      <c r="L2" s="304"/>
      <c r="M2" s="304"/>
      <c r="N2" s="304"/>
      <c r="O2" s="304"/>
      <c r="P2" s="304"/>
      <c r="Q2" s="363"/>
      <c r="R2" s="1024" t="s">
        <v>396</v>
      </c>
      <c r="S2" s="1025"/>
      <c r="T2" s="1025"/>
      <c r="U2" s="1025"/>
      <c r="V2" s="1025"/>
      <c r="W2" s="1025"/>
      <c r="X2" s="1025"/>
      <c r="Y2" s="1026"/>
      <c r="Z2" s="362"/>
      <c r="AA2" s="362"/>
      <c r="AB2" s="362"/>
      <c r="AC2" s="362"/>
      <c r="AD2" s="362"/>
      <c r="AE2" s="398"/>
      <c r="AF2" s="226"/>
      <c r="AG2" s="226"/>
      <c r="AH2" s="226"/>
      <c r="AI2" s="21"/>
      <c r="AJ2" s="1184" t="s">
        <v>465</v>
      </c>
      <c r="AK2" s="1185"/>
      <c r="AL2" s="1185"/>
      <c r="AM2" s="1185"/>
      <c r="AN2" s="1185"/>
      <c r="AO2" s="1185"/>
      <c r="AP2" s="1185"/>
      <c r="AQ2" s="1185"/>
      <c r="AR2" s="1186"/>
    </row>
    <row r="3" spans="1:45" ht="12.75" customHeight="1" thickBot="1">
      <c r="A3" s="121"/>
      <c r="B3" s="756"/>
      <c r="C3" s="757"/>
      <c r="D3" s="757"/>
      <c r="E3" s="757"/>
      <c r="F3" s="757"/>
      <c r="G3" s="757"/>
      <c r="H3" s="757"/>
      <c r="I3" s="757"/>
      <c r="J3" s="757"/>
      <c r="K3" s="758"/>
      <c r="L3" s="304"/>
      <c r="M3" s="304"/>
      <c r="N3" s="304"/>
      <c r="O3" s="304"/>
      <c r="P3" s="304"/>
      <c r="Q3" s="363"/>
      <c r="R3" s="1027"/>
      <c r="S3" s="1028"/>
      <c r="T3" s="1028"/>
      <c r="U3" s="1028"/>
      <c r="V3" s="1028"/>
      <c r="W3" s="1028"/>
      <c r="X3" s="1028"/>
      <c r="Y3" s="1029"/>
      <c r="Z3" s="362"/>
      <c r="AA3" s="362"/>
      <c r="AB3" s="362"/>
      <c r="AC3" s="362"/>
      <c r="AD3" s="362"/>
      <c r="AE3" s="398"/>
      <c r="AF3" s="226"/>
      <c r="AG3" s="226"/>
      <c r="AH3" s="226"/>
      <c r="AI3" s="21"/>
      <c r="AJ3" s="1187"/>
      <c r="AK3" s="1188"/>
      <c r="AL3" s="1188"/>
      <c r="AM3" s="1188"/>
      <c r="AN3" s="1188"/>
      <c r="AO3" s="1188"/>
      <c r="AP3" s="1188"/>
      <c r="AQ3" s="1188"/>
      <c r="AR3" s="1189"/>
    </row>
    <row r="4" spans="1:45" ht="12.75" customHeight="1" thickTop="1">
      <c r="A4" s="121"/>
      <c r="B4" s="121"/>
      <c r="C4" s="121"/>
      <c r="D4" s="121"/>
      <c r="E4" s="121"/>
      <c r="F4" s="121"/>
      <c r="G4" s="121"/>
      <c r="H4" s="121"/>
      <c r="I4" s="121"/>
      <c r="J4" s="121"/>
      <c r="K4" s="121"/>
      <c r="L4" s="121"/>
      <c r="M4" s="121"/>
      <c r="N4" s="121"/>
      <c r="O4" s="121"/>
      <c r="P4" s="121"/>
      <c r="Q4" s="363"/>
      <c r="R4" s="361"/>
      <c r="S4" s="361"/>
      <c r="T4" s="361"/>
      <c r="U4" s="361"/>
      <c r="V4" s="361"/>
      <c r="W4" s="361"/>
      <c r="X4" s="361"/>
      <c r="Y4" s="361"/>
      <c r="Z4" s="362"/>
      <c r="AA4" s="362"/>
      <c r="AB4" s="362"/>
      <c r="AC4" s="362"/>
      <c r="AD4" s="362"/>
      <c r="AE4" s="362"/>
      <c r="AI4" s="21"/>
    </row>
    <row r="5" spans="1:45" ht="12.75" customHeight="1">
      <c r="A5" s="121"/>
      <c r="B5" s="828" t="s">
        <v>581</v>
      </c>
      <c r="C5" s="829"/>
      <c r="D5" s="830"/>
      <c r="E5" s="460">
        <v>450</v>
      </c>
      <c r="F5" s="461">
        <f>+E5</f>
        <v>450</v>
      </c>
      <c r="G5" s="1179" t="s">
        <v>462</v>
      </c>
      <c r="H5" s="1180"/>
      <c r="I5" s="1181"/>
      <c r="J5" s="346"/>
      <c r="K5" s="356">
        <v>25</v>
      </c>
      <c r="L5" s="345"/>
      <c r="M5" s="121"/>
      <c r="N5" s="121"/>
      <c r="O5" s="121"/>
      <c r="P5" s="121"/>
      <c r="Q5" s="360"/>
      <c r="R5" s="951" t="s">
        <v>868</v>
      </c>
      <c r="S5" s="951"/>
      <c r="T5" s="951"/>
      <c r="U5" s="951"/>
      <c r="V5" s="447">
        <f>F5</f>
        <v>450</v>
      </c>
      <c r="W5" s="362"/>
      <c r="X5" s="362"/>
      <c r="Y5" s="362"/>
      <c r="Z5" s="362"/>
      <c r="AA5" s="362"/>
      <c r="AB5" s="362"/>
      <c r="AC5" s="362"/>
      <c r="AD5" s="362"/>
      <c r="AE5" s="368"/>
      <c r="AF5" s="113"/>
      <c r="AG5" s="113"/>
      <c r="AH5" s="113"/>
      <c r="AI5" s="21"/>
      <c r="AJ5" s="951" t="s">
        <v>868</v>
      </c>
      <c r="AK5" s="951"/>
      <c r="AL5" s="951"/>
      <c r="AM5" s="951"/>
      <c r="AN5" s="447">
        <f>F5</f>
        <v>450</v>
      </c>
    </row>
    <row r="6" spans="1:45" ht="12.75" customHeight="1">
      <c r="A6" s="121"/>
      <c r="B6" s="121"/>
      <c r="C6" s="121"/>
      <c r="D6" s="121"/>
      <c r="E6" s="121"/>
      <c r="F6" s="121"/>
      <c r="G6" s="352"/>
      <c r="H6" s="352"/>
      <c r="I6" s="352"/>
      <c r="J6" s="344"/>
      <c r="K6" s="121"/>
      <c r="L6" s="121"/>
      <c r="M6" s="121"/>
      <c r="N6" s="121"/>
      <c r="O6" s="121"/>
      <c r="P6" s="121"/>
      <c r="S6" s="362"/>
      <c r="T6" s="362"/>
      <c r="U6" s="362"/>
      <c r="V6" s="362"/>
      <c r="W6" s="362"/>
      <c r="X6" s="362"/>
      <c r="Y6" s="362"/>
      <c r="Z6" s="362"/>
      <c r="AA6" s="362"/>
      <c r="AB6" s="362"/>
      <c r="AC6" s="362"/>
      <c r="AD6" s="362"/>
      <c r="AE6" s="362"/>
      <c r="AI6" s="21"/>
    </row>
    <row r="7" spans="1:45" ht="12.75" customHeight="1">
      <c r="A7" s="121"/>
      <c r="B7" s="762" t="s">
        <v>850</v>
      </c>
      <c r="C7" s="762"/>
      <c r="D7" s="762"/>
      <c r="E7" s="358">
        <v>29500</v>
      </c>
      <c r="F7" s="496">
        <f>E7+1000</f>
        <v>30500</v>
      </c>
      <c r="G7" s="1179" t="s">
        <v>464</v>
      </c>
      <c r="H7" s="1180"/>
      <c r="I7" s="1181"/>
      <c r="J7" s="358">
        <v>15</v>
      </c>
      <c r="K7" s="497">
        <f>J7/100</f>
        <v>0.15</v>
      </c>
      <c r="L7" s="121"/>
      <c r="M7" s="121"/>
      <c r="N7" s="121"/>
      <c r="O7" s="121"/>
      <c r="P7" s="121"/>
      <c r="S7" s="362"/>
      <c r="T7" s="362"/>
      <c r="U7" s="362"/>
      <c r="V7" s="362"/>
      <c r="Y7" s="362"/>
      <c r="Z7" s="362"/>
      <c r="AA7" s="362"/>
      <c r="AB7" s="362"/>
      <c r="AC7" s="362"/>
      <c r="AD7" s="362"/>
      <c r="AE7" s="399"/>
      <c r="AF7" s="229"/>
      <c r="AG7" s="229"/>
      <c r="AH7" s="229"/>
      <c r="AI7" s="21"/>
    </row>
    <row r="8" spans="1:45" ht="12.75" customHeight="1">
      <c r="A8" s="121"/>
      <c r="B8" s="121"/>
      <c r="C8" s="121"/>
      <c r="D8" s="121"/>
      <c r="E8" s="121"/>
      <c r="F8" s="121"/>
      <c r="G8" s="121"/>
      <c r="H8" s="121"/>
      <c r="I8" s="121"/>
      <c r="J8" s="121"/>
      <c r="K8" s="121"/>
      <c r="L8" s="121"/>
      <c r="M8" s="121"/>
      <c r="N8" s="121"/>
      <c r="O8" s="121"/>
      <c r="P8" s="121"/>
      <c r="S8" s="362"/>
      <c r="T8" s="362"/>
      <c r="U8" s="362"/>
      <c r="V8" s="362"/>
      <c r="Y8" s="362"/>
      <c r="Z8" s="362"/>
      <c r="AA8" s="362"/>
      <c r="AB8" s="362"/>
      <c r="AC8" s="362"/>
      <c r="AD8" s="362"/>
      <c r="AE8" s="370"/>
      <c r="AF8" s="108"/>
      <c r="AG8" s="108"/>
      <c r="AH8" s="108"/>
      <c r="AI8" s="21"/>
    </row>
    <row r="9" spans="1:45" ht="12.75" customHeight="1">
      <c r="A9" s="121"/>
      <c r="B9" s="121"/>
      <c r="C9" s="121"/>
      <c r="D9" s="121"/>
      <c r="E9" s="121"/>
      <c r="F9" s="121"/>
      <c r="G9" s="121"/>
      <c r="H9" s="121"/>
      <c r="I9" s="121"/>
      <c r="J9" s="121"/>
      <c r="K9" s="121"/>
      <c r="L9" s="121"/>
      <c r="M9" s="121"/>
      <c r="N9" s="121"/>
      <c r="O9" s="121"/>
      <c r="P9" s="121"/>
      <c r="S9" s="362"/>
      <c r="T9" s="362"/>
      <c r="U9" s="362"/>
      <c r="V9" s="362"/>
      <c r="W9" s="362"/>
      <c r="X9" s="362"/>
      <c r="Y9" s="362"/>
      <c r="Z9" s="362"/>
      <c r="AA9" s="362"/>
      <c r="AB9" s="362"/>
      <c r="AC9" s="362"/>
      <c r="AD9" s="362"/>
      <c r="AE9" s="370"/>
      <c r="AF9" s="108"/>
      <c r="AG9" s="108"/>
      <c r="AH9" s="108"/>
      <c r="AI9" s="21"/>
    </row>
    <row r="10" spans="1:45" ht="12.75" customHeight="1">
      <c r="A10" s="121"/>
      <c r="B10" s="306"/>
      <c r="C10" s="306"/>
      <c r="D10" s="306"/>
      <c r="E10" s="306"/>
      <c r="F10" s="306"/>
      <c r="G10" s="306"/>
      <c r="H10" s="306"/>
      <c r="I10" s="306"/>
      <c r="J10" s="306"/>
      <c r="K10" s="306"/>
      <c r="L10" s="306"/>
      <c r="M10" s="306"/>
      <c r="N10" s="306"/>
      <c r="O10" s="306"/>
      <c r="P10" s="306"/>
      <c r="Q10" s="142"/>
      <c r="R10" s="142"/>
      <c r="S10" s="362"/>
      <c r="T10" s="362"/>
      <c r="U10" s="362"/>
      <c r="V10" s="362"/>
      <c r="W10" s="1178" t="s">
        <v>500</v>
      </c>
      <c r="X10" s="1178"/>
      <c r="Y10" s="1182" t="s">
        <v>22</v>
      </c>
      <c r="Z10" s="1182"/>
      <c r="AA10" s="1183" t="s">
        <v>579</v>
      </c>
      <c r="AB10" s="1183"/>
      <c r="AC10" s="1169" t="s">
        <v>21</v>
      </c>
      <c r="AD10" s="1169"/>
      <c r="AE10" s="400"/>
      <c r="AF10" s="230"/>
      <c r="AG10" s="230"/>
      <c r="AH10" s="230"/>
      <c r="AJ10" s="1"/>
      <c r="AK10" s="1"/>
      <c r="AL10" s="1"/>
      <c r="AM10" s="1"/>
      <c r="AN10" s="1"/>
      <c r="AO10" s="1"/>
      <c r="AP10" s="1"/>
      <c r="AQ10" s="1"/>
      <c r="AR10" s="1"/>
    </row>
    <row r="11" spans="1:45" ht="12.75" customHeight="1">
      <c r="A11" s="121"/>
      <c r="B11" s="121"/>
      <c r="C11" s="121"/>
      <c r="D11" s="121"/>
      <c r="E11" s="121"/>
      <c r="F11" s="121"/>
      <c r="G11" s="121"/>
      <c r="H11" s="121"/>
      <c r="I11" s="121"/>
      <c r="J11" s="121"/>
      <c r="K11" s="121"/>
      <c r="L11" s="121"/>
      <c r="M11" s="121"/>
      <c r="N11" s="121"/>
      <c r="O11" s="121"/>
      <c r="P11" s="121"/>
      <c r="S11" s="362"/>
      <c r="T11" s="362"/>
      <c r="U11" s="362"/>
      <c r="V11" s="362"/>
      <c r="W11" s="1178"/>
      <c r="X11" s="1178"/>
      <c r="Y11" s="1182"/>
      <c r="Z11" s="1182"/>
      <c r="AA11" s="1183"/>
      <c r="AB11" s="1183"/>
      <c r="AC11" s="1169"/>
      <c r="AD11" s="1169"/>
      <c r="AE11" s="400"/>
      <c r="AF11" s="230"/>
      <c r="AG11" s="230"/>
      <c r="AH11" s="230"/>
      <c r="AI11" s="20" t="s">
        <v>275</v>
      </c>
      <c r="AJ11" s="1"/>
      <c r="AK11" s="1"/>
      <c r="AL11" s="1"/>
      <c r="AM11" s="1"/>
    </row>
    <row r="12" spans="1:45" ht="12.75" customHeight="1">
      <c r="A12" s="121"/>
      <c r="B12" s="121"/>
      <c r="C12" s="121"/>
      <c r="D12" s="121"/>
      <c r="E12" s="121"/>
      <c r="F12" s="121"/>
      <c r="G12" s="121"/>
      <c r="H12" s="121"/>
      <c r="I12" s="121"/>
      <c r="J12" s="121"/>
      <c r="K12" s="121"/>
      <c r="L12" s="121"/>
      <c r="M12" s="121"/>
      <c r="N12" s="121"/>
      <c r="O12" s="121"/>
      <c r="P12" s="121"/>
      <c r="S12" s="362"/>
      <c r="T12" s="362"/>
      <c r="U12" s="362"/>
      <c r="V12" s="362"/>
      <c r="W12" s="926" t="s">
        <v>881</v>
      </c>
      <c r="X12" s="926" t="s">
        <v>882</v>
      </c>
      <c r="Y12" s="926" t="s">
        <v>881</v>
      </c>
      <c r="Z12" s="926" t="s">
        <v>882</v>
      </c>
      <c r="AA12" s="926" t="s">
        <v>881</v>
      </c>
      <c r="AB12" s="926" t="s">
        <v>882</v>
      </c>
      <c r="AC12" s="926" t="s">
        <v>881</v>
      </c>
      <c r="AD12" s="926" t="s">
        <v>882</v>
      </c>
      <c r="AE12" s="379"/>
      <c r="AF12" s="70"/>
      <c r="AG12" s="70"/>
      <c r="AH12" s="70" t="s">
        <v>275</v>
      </c>
      <c r="AI12" s="385">
        <v>1</v>
      </c>
      <c r="AJ12" s="1008" t="s">
        <v>24</v>
      </c>
      <c r="AK12" s="1008"/>
      <c r="AL12" s="1008"/>
      <c r="AM12" s="1008"/>
      <c r="AN12" s="1008"/>
      <c r="AO12" s="1008"/>
      <c r="AP12" s="1008"/>
      <c r="AQ12" s="1008"/>
      <c r="AR12" s="536"/>
      <c r="AS12" s="362"/>
    </row>
    <row r="13" spans="1:45" ht="12.75" customHeight="1">
      <c r="A13" s="121"/>
      <c r="B13" s="121"/>
      <c r="C13" s="121"/>
      <c r="D13" s="121"/>
      <c r="E13" s="121"/>
      <c r="F13" s="121"/>
      <c r="G13" s="121"/>
      <c r="H13" s="121"/>
      <c r="I13" s="121"/>
      <c r="J13" s="121"/>
      <c r="K13" s="121"/>
      <c r="L13" s="121"/>
      <c r="M13" s="121"/>
      <c r="N13" s="121"/>
      <c r="O13" s="121"/>
      <c r="P13" s="121"/>
      <c r="S13" s="367"/>
      <c r="T13" s="367"/>
      <c r="U13" s="367"/>
      <c r="V13" s="362"/>
      <c r="W13" s="926"/>
      <c r="X13" s="926"/>
      <c r="Y13" s="926"/>
      <c r="Z13" s="926"/>
      <c r="AA13" s="926"/>
      <c r="AB13" s="926"/>
      <c r="AC13" s="926"/>
      <c r="AD13" s="926"/>
      <c r="AE13" s="379"/>
      <c r="AF13" s="70"/>
      <c r="AG13" s="70"/>
      <c r="AH13" s="70"/>
      <c r="AI13" s="386"/>
      <c r="AJ13" s="361"/>
      <c r="AK13" s="361"/>
      <c r="AL13" s="361"/>
      <c r="AM13" s="361"/>
      <c r="AN13" s="361"/>
      <c r="AO13" s="361"/>
      <c r="AP13" s="361"/>
      <c r="AQ13" s="361"/>
      <c r="AR13" s="361"/>
      <c r="AS13" s="362"/>
    </row>
    <row r="14" spans="1:45" ht="12.75" customHeight="1">
      <c r="A14" s="121"/>
      <c r="B14" s="121"/>
      <c r="C14" s="121"/>
      <c r="D14" s="121"/>
      <c r="E14" s="121"/>
      <c r="F14" s="121"/>
      <c r="G14" s="121"/>
      <c r="H14" s="121"/>
      <c r="I14" s="121"/>
      <c r="J14" s="121"/>
      <c r="K14" s="121"/>
      <c r="L14" s="121"/>
      <c r="M14" s="121"/>
      <c r="N14" s="121"/>
      <c r="O14" s="121"/>
      <c r="P14" s="121"/>
      <c r="S14" s="931" t="s">
        <v>859</v>
      </c>
      <c r="T14" s="931"/>
      <c r="U14" s="931"/>
      <c r="V14" s="1175"/>
      <c r="W14" s="369">
        <f>AM81</f>
        <v>108.02059991327964</v>
      </c>
      <c r="X14" s="369">
        <f>W14-PPE!$I$15</f>
        <v>95.020599913279639</v>
      </c>
      <c r="Y14" s="369">
        <f>AN81</f>
        <v>114.02059991327963</v>
      </c>
      <c r="Z14" s="369">
        <f>Y14-PPE!$I$15</f>
        <v>101.02059991327963</v>
      </c>
      <c r="AA14" s="369">
        <f>AO81</f>
        <v>115.02059991327963</v>
      </c>
      <c r="AB14" s="369">
        <f>AA14-PPE!$I$15</f>
        <v>102.02059991327963</v>
      </c>
      <c r="AC14" s="369">
        <f>AP81</f>
        <v>122.02059991327964</v>
      </c>
      <c r="AD14" s="369">
        <f>AC14-PPE!$I$15</f>
        <v>109.02059991327964</v>
      </c>
      <c r="AE14" s="389"/>
      <c r="AF14" s="188"/>
      <c r="AG14" s="188"/>
      <c r="AH14" s="188"/>
      <c r="AI14" s="360">
        <v>1.1000000000000001</v>
      </c>
      <c r="AJ14" s="364" t="s">
        <v>586</v>
      </c>
      <c r="AK14" s="363"/>
      <c r="AL14" s="363"/>
      <c r="AM14" s="363"/>
      <c r="AN14" s="363"/>
      <c r="AO14" s="363"/>
      <c r="AP14" s="363"/>
      <c r="AQ14" s="363"/>
      <c r="AR14" s="363"/>
      <c r="AS14" s="362"/>
    </row>
    <row r="15" spans="1:45" ht="12.75" customHeight="1">
      <c r="A15" s="121"/>
      <c r="B15" s="121"/>
      <c r="C15" s="121"/>
      <c r="D15" s="121"/>
      <c r="E15" s="121"/>
      <c r="F15" s="121"/>
      <c r="G15" s="121"/>
      <c r="H15" s="121"/>
      <c r="I15" s="121"/>
      <c r="J15" s="121"/>
      <c r="K15" s="121"/>
      <c r="L15" s="121"/>
      <c r="M15" s="121"/>
      <c r="N15" s="121"/>
      <c r="O15" s="121"/>
      <c r="P15" s="121"/>
      <c r="S15" s="931" t="s">
        <v>860</v>
      </c>
      <c r="T15" s="931"/>
      <c r="U15" s="931"/>
      <c r="V15" s="1175"/>
      <c r="W15" s="1174">
        <f>AM67</f>
        <v>2.6666666666666665</v>
      </c>
      <c r="X15" s="1174"/>
      <c r="Y15" s="1174">
        <f>AN67</f>
        <v>1.9999999999999996</v>
      </c>
      <c r="Z15" s="1174"/>
      <c r="AA15" s="1173">
        <f>AO67</f>
        <v>1.7391304347826084</v>
      </c>
      <c r="AB15" s="1173"/>
      <c r="AC15" s="1174">
        <f>AP67</f>
        <v>1.4285714285714284</v>
      </c>
      <c r="AD15" s="1174"/>
      <c r="AE15" s="401"/>
      <c r="AF15" s="231"/>
      <c r="AG15" s="231"/>
      <c r="AH15" s="231"/>
      <c r="AI15" s="360"/>
      <c r="AJ15" s="969" t="s">
        <v>25</v>
      </c>
      <c r="AK15" s="969"/>
      <c r="AL15" s="969"/>
      <c r="AM15" s="969"/>
      <c r="AN15" s="447">
        <f>'Prod Parameters'!$F$8</f>
        <v>23</v>
      </c>
      <c r="AO15" s="363"/>
      <c r="AP15" s="363"/>
      <c r="AQ15" s="363"/>
      <c r="AR15" s="363"/>
      <c r="AS15" s="362"/>
    </row>
    <row r="16" spans="1:45" ht="12.75" customHeight="1">
      <c r="A16" s="121"/>
      <c r="B16" s="121"/>
      <c r="C16" s="121"/>
      <c r="D16" s="121"/>
      <c r="E16" s="121"/>
      <c r="F16" s="121"/>
      <c r="G16" s="121"/>
      <c r="H16" s="121"/>
      <c r="I16" s="121"/>
      <c r="J16" s="121"/>
      <c r="K16" s="121"/>
      <c r="L16" s="121"/>
      <c r="M16" s="121"/>
      <c r="N16" s="121"/>
      <c r="O16" s="121"/>
      <c r="P16" s="121"/>
      <c r="S16" s="931" t="s">
        <v>879</v>
      </c>
      <c r="T16" s="931"/>
      <c r="U16" s="931"/>
      <c r="V16" s="1175"/>
      <c r="W16" s="369">
        <f>AM97</f>
        <v>103.15</v>
      </c>
      <c r="X16" s="369">
        <f>AM98</f>
        <v>90.15</v>
      </c>
      <c r="Y16" s="369">
        <f>AN97</f>
        <v>107.95</v>
      </c>
      <c r="Z16" s="369">
        <f>AN98</f>
        <v>94.95</v>
      </c>
      <c r="AA16" s="369">
        <f>AO97</f>
        <v>108.4</v>
      </c>
      <c r="AB16" s="369">
        <f>AO98</f>
        <v>95.3</v>
      </c>
      <c r="AC16" s="369">
        <f>AP97</f>
        <v>113.95</v>
      </c>
      <c r="AD16" s="369">
        <f>AP98</f>
        <v>101.55</v>
      </c>
      <c r="AE16" s="402"/>
      <c r="AF16" s="227"/>
      <c r="AG16" s="227"/>
      <c r="AH16" s="227"/>
      <c r="AI16" s="360"/>
      <c r="AJ16" s="969" t="s">
        <v>325</v>
      </c>
      <c r="AK16" s="969"/>
      <c r="AL16" s="969"/>
      <c r="AM16" s="969"/>
      <c r="AN16" s="447">
        <f>'Prod Parameters'!$F$9</f>
        <v>23</v>
      </c>
      <c r="AO16" s="363"/>
      <c r="AP16" s="363"/>
      <c r="AQ16" s="363"/>
      <c r="AR16" s="363"/>
      <c r="AS16" s="362"/>
    </row>
    <row r="17" spans="1:50" ht="12.75" customHeight="1">
      <c r="A17" s="121"/>
      <c r="B17" s="121"/>
      <c r="C17" s="121"/>
      <c r="D17" s="121"/>
      <c r="E17" s="121"/>
      <c r="F17" s="121"/>
      <c r="G17" s="121"/>
      <c r="H17" s="121"/>
      <c r="I17" s="121"/>
      <c r="J17" s="121"/>
      <c r="K17" s="121"/>
      <c r="L17" s="121"/>
      <c r="M17" s="121"/>
      <c r="N17" s="121"/>
      <c r="O17" s="121"/>
      <c r="P17" s="121"/>
      <c r="S17" s="931" t="s">
        <v>880</v>
      </c>
      <c r="T17" s="931"/>
      <c r="U17" s="931"/>
      <c r="V17" s="1175"/>
      <c r="W17" s="369">
        <f>IF($K$5=15,(VLOOKUP(W16,'Lookup Risk Table'!$B$9:$L$54,5)),IF($K$5=20,(VLOOKUP(W16,'Lookup Risk Table'!$B$9:$L$54,6)),IF($K$5=25,(VLOOKUP(W16,'Lookup Risk Table'!$B$9:$L$54,7)),IF($K$5=30,(VLOOKUP(W16,'Lookup Risk Table'!$B$9:$L$54,8)),IF($K$5=35,(VLOOKUP(W16,'Lookup Risk Table'!$B$9:$L$54,9)),IF($K$5=40,(VLOOKUP(W16,'Lookup Risk Table'!$B$9:$L$54,10)),IF($K$5=45,(VLOOKUP(W16,'Lookup Risk Table'!$B$9:$L$54,11)))))))))</f>
        <v>55.699999999999996</v>
      </c>
      <c r="X17" s="369">
        <f>IF($K$5=15,(VLOOKUP(X16,'Lookup Risk Table'!$B$9:$L$54,5)),IF($K$5=20,(VLOOKUP(X16,'Lookup Risk Table'!$B$9:$L$54,6)),IF($K$5=25,(VLOOKUP(X16,'Lookup Risk Table'!$B$9:$L$54,7)),IF($K$5=30,(VLOOKUP(X16,'Lookup Risk Table'!$B$9:$L$54,8)),IF($K$5=35,(VLOOKUP(X16,'Lookup Risk Table'!$B$9:$L$54,9)),IF($K$5=40,(VLOOKUP(X16,'Lookup Risk Table'!$B$9:$L$54,10)),IF($K$5=45,(VLOOKUP(X16,'Lookup Risk Table'!$B$9:$L$54,11)))))))))</f>
        <v>17</v>
      </c>
      <c r="Y17" s="369">
        <f>IF($K$5=15,(VLOOKUP(Y16,'Lookup Risk Table'!$B$9:$L$54,5)),IF($K$5=20,(VLOOKUP(Y16,'Lookup Risk Table'!$B$9:$L$54,6)),IF($K$5=25,(VLOOKUP(Y16,'Lookup Risk Table'!$B$9:$L$54,7)),IF($K$5=30,(VLOOKUP(Y16,'Lookup Risk Table'!$B$9:$L$54,8)),IF($K$5=35,(VLOOKUP(Y16,'Lookup Risk Table'!$B$9:$L$54,9)),IF($K$5=40,(VLOOKUP(Y16,'Lookup Risk Table'!$B$9:$L$54,10)),IF($K$5=45,(VLOOKUP(Y16,'Lookup Risk Table'!$B$9:$L$54,11)))))))))</f>
        <v>69.699999999999989</v>
      </c>
      <c r="Z17" s="369">
        <f>IF($K$5=15,(VLOOKUP(Z16,'Lookup Risk Table'!$B$9:$L$54,5)),IF($K$5=20,(VLOOKUP(Z16,'Lookup Risk Table'!$B$9:$L$54,6)),IF($K$5=25,(VLOOKUP(Z16,'Lookup Risk Table'!$B$9:$L$54,7)),IF($K$5=30,(VLOOKUP(Z16,'Lookup Risk Table'!$B$9:$L$54,8)),IF($K$5=35,(VLOOKUP(Z16,'Lookup Risk Table'!$B$9:$L$54,9)),IF($K$5=40,(VLOOKUP(Z16,'Lookup Risk Table'!$B$9:$L$54,10)),IF($K$5=45,(VLOOKUP(Z16,'Lookup Risk Table'!$B$9:$L$54,11)))))))))</f>
        <v>28.200000000000003</v>
      </c>
      <c r="AA17" s="369">
        <f>IF($K$5=15,(VLOOKUP(AA16,'Lookup Risk Table'!$B$9:$L$54,5)),IF($K$5=20,(VLOOKUP(AA16,'Lookup Risk Table'!$B$9:$L$54,6)),IF($K$5=25,(VLOOKUP(AA16,'Lookup Risk Table'!$B$9:$L$54,7)),IF($K$5=30,(VLOOKUP(AA16,'Lookup Risk Table'!$B$9:$L$54,8)),IF($K$5=35,(VLOOKUP(AA16,'Lookup Risk Table'!$B$9:$L$54,9)),IF($K$5=40,(VLOOKUP(AA16,'Lookup Risk Table'!$B$9:$L$54,10)),IF($K$5=45,(VLOOKUP(AA16,'Lookup Risk Table'!$B$9:$L$54,11)))))))))</f>
        <v>73.299999999999983</v>
      </c>
      <c r="AB17" s="369">
        <f>IF($K$5=15,(VLOOKUP(AB16,'Lookup Risk Table'!$B$9:$L$54,5)),IF($K$5=20,(VLOOKUP(AB16,'Lookup Risk Table'!$B$9:$L$54,6)),IF($K$5=25,(VLOOKUP(AB16,'Lookup Risk Table'!$B$9:$L$54,7)),IF($K$5=30,(VLOOKUP(AB16,'Lookup Risk Table'!$B$9:$L$54,8)),IF($K$5=35,(VLOOKUP(AB16,'Lookup Risk Table'!$B$9:$L$54,9)),IF($K$5=40,(VLOOKUP(AB16,'Lookup Risk Table'!$B$9:$L$54,10)),IF($K$5=45,(VLOOKUP(AB16,'Lookup Risk Table'!$B$9:$L$54,11)))))))))</f>
        <v>31</v>
      </c>
      <c r="AC17" s="369">
        <f>IF($K$5=15,(VLOOKUP(AC16,'Lookup Risk Table'!$B$9:$L$54,5)),IF($K$5=20,(VLOOKUP(AC16,'Lookup Risk Table'!$B$9:$L$54,6)),IF($K$5=25,(VLOOKUP(AC16,'Lookup Risk Table'!$B$9:$L$54,7)),IF($K$5=30,(VLOOKUP(AC16,'Lookup Risk Table'!$B$9:$L$54,8)),IF($K$5=35,(VLOOKUP(AC16,'Lookup Risk Table'!$B$9:$L$54,9)),IF($K$5=40,(VLOOKUP(AC16,'Lookup Risk Table'!$B$9:$L$54,10)),IF($K$5=45,(VLOOKUP(AC16,'Lookup Risk Table'!$B$9:$L$54,11)))))))))</f>
        <v>84.100000000000009</v>
      </c>
      <c r="AD17" s="369">
        <f>IF($K$5=15,(VLOOKUP(AD16,'Lookup Risk Table'!$B$9:$L$54,5)),IF($K$5=20,(VLOOKUP(AD16,'Lookup Risk Table'!$B$9:$L$54,6)),IF($K$5=25,(VLOOKUP(AD16,'Lookup Risk Table'!$B$9:$L$54,7)),IF($K$5=30,(VLOOKUP(AD16,'Lookup Risk Table'!$B$9:$L$54,8)),IF($K$5=35,(VLOOKUP(AD16,'Lookup Risk Table'!$B$9:$L$54,9)),IF($K$5=40,(VLOOKUP(AD16,'Lookup Risk Table'!$B$9:$L$54,10)),IF($K$5=45,(VLOOKUP(AD16,'Lookup Risk Table'!$B$9:$L$54,11)))))))))</f>
        <v>48.9</v>
      </c>
      <c r="AE17" s="402"/>
      <c r="AF17" s="227"/>
      <c r="AG17" s="227"/>
      <c r="AH17" s="227"/>
      <c r="AI17" s="360"/>
      <c r="AJ17" s="1021" t="s">
        <v>26</v>
      </c>
      <c r="AK17" s="1022"/>
      <c r="AL17" s="1022"/>
      <c r="AM17" s="1023"/>
      <c r="AN17" s="447">
        <f>'Prod Parameters'!$F$10</f>
        <v>6</v>
      </c>
      <c r="AO17" s="363"/>
      <c r="AP17" s="363"/>
      <c r="AQ17" s="363"/>
      <c r="AR17" s="363"/>
      <c r="AS17" s="362"/>
    </row>
    <row r="18" spans="1:50" ht="12.75" customHeight="1">
      <c r="A18" s="121"/>
      <c r="B18" s="121"/>
      <c r="C18" s="121"/>
      <c r="D18" s="121"/>
      <c r="E18" s="121"/>
      <c r="F18" s="121"/>
      <c r="G18" s="121"/>
      <c r="H18" s="121"/>
      <c r="I18" s="121"/>
      <c r="J18" s="121"/>
      <c r="K18" s="121"/>
      <c r="L18" s="121"/>
      <c r="M18" s="121"/>
      <c r="N18" s="121"/>
      <c r="O18" s="121"/>
      <c r="P18" s="121"/>
      <c r="S18" s="931" t="s">
        <v>852</v>
      </c>
      <c r="T18" s="931"/>
      <c r="U18" s="931"/>
      <c r="V18" s="1175"/>
      <c r="W18" s="369">
        <f t="shared" ref="W18:AD18" si="0">W17</f>
        <v>55.699999999999996</v>
      </c>
      <c r="X18" s="369">
        <f t="shared" si="0"/>
        <v>17</v>
      </c>
      <c r="Y18" s="369">
        <f t="shared" si="0"/>
        <v>69.699999999999989</v>
      </c>
      <c r="Z18" s="369">
        <f t="shared" si="0"/>
        <v>28.200000000000003</v>
      </c>
      <c r="AA18" s="369">
        <f t="shared" si="0"/>
        <v>73.299999999999983</v>
      </c>
      <c r="AB18" s="369">
        <f t="shared" si="0"/>
        <v>31</v>
      </c>
      <c r="AC18" s="369">
        <f t="shared" si="0"/>
        <v>84.100000000000009</v>
      </c>
      <c r="AD18" s="369">
        <f t="shared" si="0"/>
        <v>48.9</v>
      </c>
      <c r="AE18" s="402"/>
      <c r="AF18" s="227"/>
      <c r="AG18" s="227"/>
      <c r="AH18" s="227"/>
      <c r="AI18" s="360"/>
      <c r="AJ18" s="969" t="s">
        <v>27</v>
      </c>
      <c r="AK18" s="969"/>
      <c r="AL18" s="969"/>
      <c r="AM18" s="969"/>
      <c r="AN18" s="447">
        <f>'Prod Parameters'!$F$11</f>
        <v>52</v>
      </c>
      <c r="AO18" s="363"/>
      <c r="AP18" s="363"/>
      <c r="AQ18" s="363"/>
      <c r="AR18" s="363"/>
      <c r="AS18" s="362"/>
    </row>
    <row r="19" spans="1:50" ht="12.75" customHeight="1">
      <c r="A19" s="121"/>
      <c r="B19" s="121"/>
      <c r="C19" s="121"/>
      <c r="D19" s="121"/>
      <c r="E19" s="121"/>
      <c r="F19" s="121"/>
      <c r="G19" s="121"/>
      <c r="H19" s="121"/>
      <c r="I19" s="121"/>
      <c r="J19" s="121"/>
      <c r="K19" s="121"/>
      <c r="L19" s="121"/>
      <c r="M19" s="121"/>
      <c r="N19" s="121"/>
      <c r="O19" s="121"/>
      <c r="P19" s="121"/>
      <c r="S19" s="1004" t="s">
        <v>851</v>
      </c>
      <c r="T19" s="1004"/>
      <c r="U19" s="1004"/>
      <c r="V19" s="1176"/>
      <c r="W19" s="362"/>
      <c r="X19" s="362"/>
      <c r="Y19" s="362"/>
      <c r="Z19" s="362"/>
      <c r="AA19" s="362"/>
      <c r="AB19" s="362"/>
      <c r="AC19" s="362"/>
      <c r="AD19" s="362"/>
      <c r="AE19" s="403"/>
      <c r="AF19" s="228"/>
      <c r="AG19" s="228"/>
      <c r="AH19" s="228"/>
      <c r="AI19" s="360"/>
      <c r="AJ19" s="969" t="s">
        <v>28</v>
      </c>
      <c r="AK19" s="969"/>
      <c r="AL19" s="969"/>
      <c r="AM19" s="969"/>
      <c r="AN19" s="447">
        <f>'Prod Parameters'!$F$12</f>
        <v>260</v>
      </c>
      <c r="AO19" s="363"/>
      <c r="AP19" s="363"/>
      <c r="AQ19" s="363"/>
      <c r="AR19" s="363"/>
      <c r="AS19" s="362"/>
    </row>
    <row r="20" spans="1:50" ht="12.75" customHeight="1">
      <c r="A20" s="121"/>
      <c r="B20" s="121"/>
      <c r="C20" s="121"/>
      <c r="D20" s="121"/>
      <c r="E20" s="121"/>
      <c r="F20" s="121"/>
      <c r="G20" s="121"/>
      <c r="H20" s="121"/>
      <c r="I20" s="121"/>
      <c r="J20" s="121"/>
      <c r="K20" s="121"/>
      <c r="L20" s="121"/>
      <c r="M20" s="121"/>
      <c r="N20" s="121"/>
      <c r="O20" s="121"/>
      <c r="P20" s="121"/>
      <c r="S20" s="1004"/>
      <c r="T20" s="1004"/>
      <c r="U20" s="1004"/>
      <c r="V20" s="1176"/>
      <c r="W20" s="384">
        <f t="shared" ref="W20:AD20" si="1">W18*$F$7</f>
        <v>1698849.9999999998</v>
      </c>
      <c r="X20" s="384">
        <f t="shared" si="1"/>
        <v>518500</v>
      </c>
      <c r="Y20" s="384">
        <f t="shared" si="1"/>
        <v>2125849.9999999995</v>
      </c>
      <c r="Z20" s="384">
        <f t="shared" si="1"/>
        <v>860100.00000000012</v>
      </c>
      <c r="AA20" s="384">
        <f t="shared" si="1"/>
        <v>2235649.9999999995</v>
      </c>
      <c r="AB20" s="384">
        <f t="shared" si="1"/>
        <v>945500</v>
      </c>
      <c r="AC20" s="384">
        <f t="shared" si="1"/>
        <v>2565050.0000000005</v>
      </c>
      <c r="AD20" s="384">
        <f t="shared" si="1"/>
        <v>1491450</v>
      </c>
      <c r="AE20" s="403"/>
      <c r="AF20" s="228"/>
      <c r="AG20" s="228"/>
      <c r="AH20" s="228"/>
      <c r="AI20" s="360"/>
      <c r="AJ20" s="969" t="s">
        <v>29</v>
      </c>
      <c r="AK20" s="969"/>
      <c r="AL20" s="969"/>
      <c r="AM20" s="969"/>
      <c r="AN20" s="447">
        <f>'Prod Parameters'!$F$13</f>
        <v>30</v>
      </c>
      <c r="AO20" s="363"/>
      <c r="AP20" s="363"/>
      <c r="AQ20" s="363"/>
      <c r="AR20" s="363"/>
      <c r="AS20" s="362"/>
    </row>
    <row r="21" spans="1:50" ht="12.75" customHeight="1">
      <c r="A21" s="121"/>
      <c r="B21" s="121"/>
      <c r="C21" s="121"/>
      <c r="D21" s="121"/>
      <c r="E21" s="121"/>
      <c r="F21" s="121"/>
      <c r="G21" s="121"/>
      <c r="H21" s="121"/>
      <c r="I21" s="121"/>
      <c r="J21" s="121"/>
      <c r="K21" s="121"/>
      <c r="L21" s="121"/>
      <c r="M21" s="121"/>
      <c r="N21" s="121"/>
      <c r="O21" s="121"/>
      <c r="P21" s="121"/>
      <c r="S21" s="931" t="s">
        <v>883</v>
      </c>
      <c r="T21" s="931"/>
      <c r="U21" s="931"/>
      <c r="V21" s="1175"/>
      <c r="W21" s="384">
        <f t="shared" ref="W21:AD21" si="2">W20+(W20*$K$7)</f>
        <v>1953677.4999999998</v>
      </c>
      <c r="X21" s="384">
        <f t="shared" si="2"/>
        <v>596275</v>
      </c>
      <c r="Y21" s="384">
        <f t="shared" si="2"/>
        <v>2444727.4999999995</v>
      </c>
      <c r="Z21" s="384">
        <f t="shared" si="2"/>
        <v>989115.00000000012</v>
      </c>
      <c r="AA21" s="384">
        <f t="shared" si="2"/>
        <v>2570997.4999999995</v>
      </c>
      <c r="AB21" s="384">
        <f t="shared" si="2"/>
        <v>1087325</v>
      </c>
      <c r="AC21" s="384">
        <f t="shared" si="2"/>
        <v>2949807.5000000005</v>
      </c>
      <c r="AD21" s="384">
        <f t="shared" si="2"/>
        <v>1715167.5</v>
      </c>
      <c r="AE21" s="403"/>
      <c r="AF21" s="228"/>
      <c r="AG21" s="228"/>
      <c r="AH21" s="228"/>
      <c r="AI21" s="360"/>
      <c r="AJ21" s="968" t="s">
        <v>30</v>
      </c>
      <c r="AK21" s="968"/>
      <c r="AL21" s="968"/>
      <c r="AM21" s="968"/>
      <c r="AN21" s="447">
        <f>'Prod Parameters'!$F$14</f>
        <v>230</v>
      </c>
      <c r="AO21" s="363"/>
      <c r="AP21" s="363"/>
      <c r="AQ21" s="363"/>
      <c r="AR21" s="363"/>
      <c r="AS21" s="362"/>
    </row>
    <row r="22" spans="1:50" ht="12.75" customHeight="1">
      <c r="A22" s="121"/>
      <c r="B22" s="121"/>
      <c r="C22" s="121"/>
      <c r="D22" s="121"/>
      <c r="E22" s="121"/>
      <c r="F22" s="121"/>
      <c r="G22" s="121"/>
      <c r="H22" s="121"/>
      <c r="I22" s="121"/>
      <c r="J22" s="121"/>
      <c r="K22" s="121"/>
      <c r="L22" s="121"/>
      <c r="M22" s="121"/>
      <c r="N22" s="121"/>
      <c r="O22" s="121"/>
      <c r="P22" s="121"/>
      <c r="S22" s="404"/>
      <c r="T22" s="404"/>
      <c r="U22" s="404"/>
      <c r="V22" s="404"/>
      <c r="W22" s="404"/>
      <c r="X22" s="404"/>
      <c r="Y22" s="405"/>
      <c r="Z22" s="405"/>
      <c r="AA22" s="367"/>
      <c r="AB22" s="367"/>
      <c r="AC22" s="367"/>
      <c r="AD22" s="367"/>
      <c r="AE22" s="367"/>
      <c r="AF22"/>
      <c r="AG22"/>
      <c r="AH22"/>
      <c r="AI22" s="360"/>
      <c r="AJ22" s="363"/>
      <c r="AK22" s="363"/>
      <c r="AL22" s="363"/>
      <c r="AM22" s="363"/>
      <c r="AN22" s="363"/>
      <c r="AO22" s="363"/>
      <c r="AP22" s="363"/>
      <c r="AQ22" s="363"/>
      <c r="AR22" s="363"/>
      <c r="AS22" s="367"/>
      <c r="AT22"/>
      <c r="AU22"/>
      <c r="AV22"/>
      <c r="AW22"/>
      <c r="AX22"/>
    </row>
    <row r="23" spans="1:50" ht="12.75" customHeight="1">
      <c r="A23" s="121"/>
      <c r="B23" s="121"/>
      <c r="C23" s="121"/>
      <c r="D23" s="121"/>
      <c r="E23" s="121"/>
      <c r="F23" s="121"/>
      <c r="G23" s="121"/>
      <c r="H23" s="121"/>
      <c r="I23" s="121"/>
      <c r="J23" s="121"/>
      <c r="K23" s="121"/>
      <c r="L23" s="121"/>
      <c r="M23" s="121"/>
      <c r="N23" s="121"/>
      <c r="O23" s="121"/>
      <c r="P23" s="121"/>
      <c r="S23" s="367"/>
      <c r="T23" s="367"/>
      <c r="U23" s="367"/>
      <c r="V23" s="367"/>
      <c r="W23" s="406">
        <f>W20/12</f>
        <v>141570.83333333331</v>
      </c>
      <c r="X23" s="406">
        <f t="shared" ref="X23:AD23" si="3">X20/12</f>
        <v>43208.333333333336</v>
      </c>
      <c r="Y23" s="406">
        <f t="shared" si="3"/>
        <v>177154.16666666663</v>
      </c>
      <c r="Z23" s="406">
        <f t="shared" si="3"/>
        <v>71675.000000000015</v>
      </c>
      <c r="AA23" s="406">
        <f t="shared" si="3"/>
        <v>186304.16666666663</v>
      </c>
      <c r="AB23" s="406">
        <f t="shared" si="3"/>
        <v>78791.666666666672</v>
      </c>
      <c r="AC23" s="406">
        <f t="shared" si="3"/>
        <v>213754.16666666672</v>
      </c>
      <c r="AD23" s="406">
        <f t="shared" si="3"/>
        <v>124287.5</v>
      </c>
      <c r="AE23" s="367"/>
      <c r="AF23"/>
      <c r="AG23"/>
      <c r="AH23"/>
      <c r="AI23" s="360">
        <v>1.2</v>
      </c>
      <c r="AJ23" s="364" t="s">
        <v>19</v>
      </c>
      <c r="AK23" s="363"/>
      <c r="AL23" s="363"/>
      <c r="AM23" s="363"/>
      <c r="AN23" s="363"/>
      <c r="AO23" s="363"/>
      <c r="AP23" s="363"/>
      <c r="AQ23" s="363"/>
      <c r="AR23" s="363"/>
      <c r="AS23" s="367"/>
      <c r="AT23"/>
      <c r="AU23"/>
      <c r="AV23"/>
      <c r="AW23"/>
      <c r="AX23"/>
    </row>
    <row r="24" spans="1:50" ht="12.75" customHeight="1">
      <c r="A24" s="121"/>
      <c r="B24" s="121"/>
      <c r="C24" s="121"/>
      <c r="D24" s="121"/>
      <c r="E24" s="121"/>
      <c r="F24" s="121"/>
      <c r="G24" s="121"/>
      <c r="H24" s="121"/>
      <c r="I24" s="121"/>
      <c r="J24" s="121"/>
      <c r="K24" s="121"/>
      <c r="L24" s="121"/>
      <c r="M24" s="121"/>
      <c r="N24" s="121"/>
      <c r="O24" s="121"/>
      <c r="P24" s="121"/>
      <c r="S24" s="367"/>
      <c r="T24" s="367"/>
      <c r="U24" s="367"/>
      <c r="V24" s="367"/>
      <c r="W24" s="406">
        <f>W21/12</f>
        <v>162806.45833333331</v>
      </c>
      <c r="X24" s="406">
        <f t="shared" ref="X24:AD24" si="4">X21/12</f>
        <v>49689.583333333336</v>
      </c>
      <c r="Y24" s="406">
        <f t="shared" si="4"/>
        <v>203727.29166666663</v>
      </c>
      <c r="Z24" s="406">
        <f t="shared" si="4"/>
        <v>82426.250000000015</v>
      </c>
      <c r="AA24" s="406">
        <f t="shared" si="4"/>
        <v>214249.79166666663</v>
      </c>
      <c r="AB24" s="406">
        <f t="shared" si="4"/>
        <v>90610.416666666672</v>
      </c>
      <c r="AC24" s="406">
        <f t="shared" si="4"/>
        <v>245817.29166666672</v>
      </c>
      <c r="AD24" s="406">
        <f t="shared" si="4"/>
        <v>142930.625</v>
      </c>
      <c r="AE24" s="367"/>
      <c r="AF24"/>
      <c r="AG24"/>
      <c r="AH24"/>
      <c r="AI24" s="360"/>
      <c r="AJ24" s="969" t="s">
        <v>314</v>
      </c>
      <c r="AK24" s="969"/>
      <c r="AL24" s="969"/>
      <c r="AM24" s="969"/>
      <c r="AN24" s="447">
        <f>'Prod Parameters'!$F$17</f>
        <v>160</v>
      </c>
      <c r="AO24" s="363"/>
      <c r="AP24" s="363"/>
      <c r="AQ24" s="363"/>
      <c r="AR24" s="363"/>
      <c r="AS24" s="367"/>
      <c r="AT24"/>
      <c r="AU24"/>
      <c r="AV24"/>
      <c r="AW24"/>
      <c r="AX24"/>
    </row>
    <row r="25" spans="1:50" ht="12.75" customHeight="1">
      <c r="A25" s="121"/>
      <c r="B25" s="121"/>
      <c r="C25" s="121"/>
      <c r="D25" s="121"/>
      <c r="E25" s="121"/>
      <c r="F25" s="121"/>
      <c r="G25" s="121"/>
      <c r="H25" s="121"/>
      <c r="I25" s="121"/>
      <c r="J25" s="121"/>
      <c r="K25" s="121"/>
      <c r="L25" s="121"/>
      <c r="M25" s="121"/>
      <c r="N25" s="121"/>
      <c r="O25" s="121"/>
      <c r="P25" s="121"/>
      <c r="S25" s="362"/>
      <c r="T25" s="362"/>
      <c r="U25" s="362"/>
      <c r="V25" s="362"/>
      <c r="W25" s="362"/>
      <c r="X25" s="362"/>
      <c r="Y25" s="362"/>
      <c r="Z25" s="362"/>
      <c r="AA25" s="362"/>
      <c r="AB25" s="362"/>
      <c r="AC25" s="362"/>
      <c r="AD25" s="362"/>
      <c r="AE25" s="362"/>
      <c r="AI25" s="360"/>
      <c r="AJ25" s="969" t="s">
        <v>31</v>
      </c>
      <c r="AK25" s="969"/>
      <c r="AL25" s="969"/>
      <c r="AM25" s="969"/>
      <c r="AN25" s="447">
        <f>'Prod Parameters'!$F$18</f>
        <v>1.2</v>
      </c>
      <c r="AO25" s="363"/>
      <c r="AP25" s="363"/>
      <c r="AQ25" s="363"/>
      <c r="AR25" s="363"/>
      <c r="AS25" s="367"/>
      <c r="AT25"/>
      <c r="AU25"/>
      <c r="AV25"/>
      <c r="AW25"/>
      <c r="AX25"/>
    </row>
    <row r="26" spans="1:50" ht="12.75" customHeight="1">
      <c r="A26" s="121"/>
      <c r="B26" s="121"/>
      <c r="C26" s="121"/>
      <c r="D26" s="121"/>
      <c r="E26" s="121"/>
      <c r="F26" s="121"/>
      <c r="G26" s="121"/>
      <c r="H26" s="121"/>
      <c r="I26" s="121"/>
      <c r="J26" s="121"/>
      <c r="K26" s="121"/>
      <c r="L26" s="121"/>
      <c r="M26" s="121"/>
      <c r="N26" s="121"/>
      <c r="O26" s="121"/>
      <c r="P26" s="121"/>
      <c r="AI26" s="360"/>
      <c r="AJ26" s="969" t="s">
        <v>199</v>
      </c>
      <c r="AK26" s="969"/>
      <c r="AL26" s="969"/>
      <c r="AM26" s="969"/>
      <c r="AN26" s="447">
        <f>'Prod Parameters'!$F$19</f>
        <v>4</v>
      </c>
      <c r="AO26" s="363"/>
      <c r="AP26" s="363"/>
      <c r="AQ26" s="363"/>
      <c r="AR26" s="363"/>
      <c r="AS26" s="367"/>
      <c r="AT26"/>
      <c r="AU26"/>
      <c r="AV26"/>
      <c r="AW26"/>
      <c r="AX26"/>
    </row>
    <row r="27" spans="1:50" ht="12.75" customHeight="1">
      <c r="A27" s="121"/>
      <c r="B27" s="121"/>
      <c r="C27" s="121"/>
      <c r="D27" s="121"/>
      <c r="E27" s="121"/>
      <c r="F27" s="121"/>
      <c r="G27" s="121"/>
      <c r="H27" s="121"/>
      <c r="I27" s="121"/>
      <c r="J27" s="121"/>
      <c r="K27" s="121"/>
      <c r="L27" s="121"/>
      <c r="M27" s="121"/>
      <c r="N27" s="121"/>
      <c r="O27" s="121"/>
      <c r="P27" s="121"/>
      <c r="AI27" s="360"/>
      <c r="AJ27" s="969" t="s">
        <v>20</v>
      </c>
      <c r="AK27" s="969"/>
      <c r="AL27" s="969"/>
      <c r="AM27" s="969"/>
      <c r="AN27" s="447">
        <f>'Prod Parameters'!$F$20</f>
        <v>40</v>
      </c>
      <c r="AO27" s="363"/>
      <c r="AP27" s="363"/>
      <c r="AQ27" s="363"/>
      <c r="AR27" s="363"/>
      <c r="AS27" s="367"/>
      <c r="AT27"/>
      <c r="AU27"/>
      <c r="AV27"/>
      <c r="AW27"/>
      <c r="AX27"/>
    </row>
    <row r="28" spans="1:50" ht="12.75" customHeight="1">
      <c r="A28" s="121"/>
      <c r="B28" s="121"/>
      <c r="C28" s="121"/>
      <c r="D28" s="121"/>
      <c r="E28" s="121"/>
      <c r="F28" s="121"/>
      <c r="G28" s="121"/>
      <c r="H28" s="121"/>
      <c r="I28" s="121"/>
      <c r="J28" s="121"/>
      <c r="K28" s="121"/>
      <c r="L28" s="121"/>
      <c r="M28" s="121"/>
      <c r="N28" s="121"/>
      <c r="O28" s="121"/>
      <c r="P28" s="121"/>
      <c r="AI28" s="360"/>
      <c r="AJ28" s="969" t="s">
        <v>310</v>
      </c>
      <c r="AK28" s="969"/>
      <c r="AL28" s="969"/>
      <c r="AM28" s="969"/>
      <c r="AN28" s="447">
        <f>'Prod Parameters'!$F$21</f>
        <v>160</v>
      </c>
      <c r="AO28" s="363"/>
      <c r="AP28" s="363"/>
      <c r="AQ28" s="363"/>
      <c r="AR28" s="363"/>
      <c r="AS28" s="367"/>
      <c r="AT28"/>
      <c r="AU28"/>
      <c r="AV28"/>
      <c r="AW28"/>
      <c r="AX28"/>
    </row>
    <row r="29" spans="1:50" ht="12.75" customHeight="1">
      <c r="A29" s="121"/>
      <c r="B29" s="1177"/>
      <c r="C29" s="891"/>
      <c r="D29" s="891"/>
      <c r="E29" s="891"/>
      <c r="F29" s="891"/>
      <c r="G29" s="891"/>
      <c r="H29" s="891"/>
      <c r="I29" s="891"/>
      <c r="J29" s="891"/>
      <c r="K29" s="891"/>
      <c r="L29" s="121"/>
      <c r="M29" s="121"/>
      <c r="N29" s="121"/>
      <c r="O29" s="121"/>
      <c r="P29" s="121"/>
      <c r="AI29" s="360"/>
      <c r="AJ29" s="969" t="s">
        <v>315</v>
      </c>
      <c r="AK29" s="969"/>
      <c r="AL29" s="969"/>
      <c r="AM29" s="969"/>
      <c r="AN29" s="549">
        <f>'Prod Parameters'!$F$22</f>
        <v>6400</v>
      </c>
      <c r="AO29" s="363"/>
      <c r="AP29" s="363"/>
      <c r="AQ29" s="363"/>
      <c r="AR29" s="363"/>
      <c r="AS29" s="367"/>
      <c r="AT29"/>
      <c r="AU29"/>
      <c r="AV29"/>
      <c r="AW29"/>
      <c r="AX29"/>
    </row>
    <row r="30" spans="1:50" ht="12.75" customHeight="1">
      <c r="A30" s="121"/>
      <c r="B30" s="121"/>
      <c r="C30" s="121"/>
      <c r="D30" s="121"/>
      <c r="E30" s="121"/>
      <c r="F30" s="121"/>
      <c r="G30" s="121"/>
      <c r="H30" s="121"/>
      <c r="I30" s="121"/>
      <c r="J30" s="121"/>
      <c r="K30" s="121"/>
      <c r="L30" s="121"/>
      <c r="M30" s="121"/>
      <c r="N30" s="121"/>
      <c r="O30" s="121"/>
      <c r="P30" s="121"/>
      <c r="AI30" s="360"/>
      <c r="AJ30" s="969" t="s">
        <v>187</v>
      </c>
      <c r="AK30" s="969"/>
      <c r="AL30" s="969"/>
      <c r="AM30" s="969"/>
      <c r="AN30" s="549">
        <f>'Prod Parameters'!$F$23</f>
        <v>7680</v>
      </c>
      <c r="AO30" s="363"/>
      <c r="AP30" s="363"/>
      <c r="AQ30" s="363"/>
      <c r="AR30" s="363"/>
      <c r="AS30" s="367"/>
      <c r="AT30"/>
      <c r="AU30"/>
      <c r="AV30"/>
      <c r="AW30"/>
      <c r="AX30"/>
    </row>
    <row r="31" spans="1:50" ht="12.75" customHeight="1">
      <c r="A31" s="121"/>
      <c r="B31" s="121"/>
      <c r="C31" s="121"/>
      <c r="D31" s="121"/>
      <c r="E31" s="121"/>
      <c r="F31" s="121"/>
      <c r="G31" s="121"/>
      <c r="H31" s="121"/>
      <c r="I31" s="121"/>
      <c r="J31" s="121"/>
      <c r="K31" s="121"/>
      <c r="L31" s="121"/>
      <c r="M31" s="121"/>
      <c r="N31" s="121"/>
      <c r="O31" s="121"/>
      <c r="P31" s="121"/>
      <c r="AI31" s="360"/>
      <c r="AJ31" s="969" t="s">
        <v>200</v>
      </c>
      <c r="AK31" s="969"/>
      <c r="AL31" s="969"/>
      <c r="AM31" s="969"/>
      <c r="AN31" s="549">
        <f>'Prod Parameters'!$F$24</f>
        <v>176640</v>
      </c>
      <c r="AO31" s="363"/>
      <c r="AP31" s="363"/>
      <c r="AQ31" s="363"/>
      <c r="AR31" s="363"/>
      <c r="AS31" s="367"/>
      <c r="AT31"/>
      <c r="AU31"/>
      <c r="AV31"/>
      <c r="AW31"/>
      <c r="AX31"/>
    </row>
    <row r="32" spans="1:50" ht="12.75" customHeight="1">
      <c r="A32" s="121"/>
      <c r="B32" s="121"/>
      <c r="C32" s="114"/>
      <c r="D32" s="114"/>
      <c r="E32" s="114"/>
      <c r="F32" s="114"/>
      <c r="G32" s="114"/>
      <c r="H32" s="114"/>
      <c r="I32" s="114"/>
      <c r="J32" s="114"/>
      <c r="K32" s="114"/>
      <c r="L32" s="114"/>
      <c r="M32" s="114"/>
      <c r="N32" s="114"/>
      <c r="O32" s="114"/>
      <c r="P32" s="114"/>
      <c r="Q32"/>
      <c r="AI32" s="360"/>
      <c r="AJ32" s="363"/>
      <c r="AK32" s="363"/>
      <c r="AL32" s="363"/>
      <c r="AM32" s="363"/>
      <c r="AN32" s="363"/>
      <c r="AO32" s="363"/>
      <c r="AP32" s="363"/>
      <c r="AQ32" s="363"/>
      <c r="AR32" s="363"/>
      <c r="AS32" s="367"/>
      <c r="AT32"/>
      <c r="AU32"/>
      <c r="AV32"/>
      <c r="AW32"/>
      <c r="AX32"/>
    </row>
    <row r="33" spans="1:50" ht="12.75" customHeight="1">
      <c r="A33" s="121"/>
      <c r="B33" s="121"/>
      <c r="C33" s="121"/>
      <c r="D33" s="121"/>
      <c r="E33" s="121"/>
      <c r="F33" s="121"/>
      <c r="G33" s="121"/>
      <c r="H33" s="121"/>
      <c r="I33" s="121"/>
      <c r="J33" s="121"/>
      <c r="K33" s="121"/>
      <c r="L33" s="121"/>
      <c r="M33" s="121"/>
      <c r="N33" s="121"/>
      <c r="O33" s="121"/>
      <c r="P33" s="121"/>
      <c r="AI33" s="385" t="s">
        <v>33</v>
      </c>
      <c r="AJ33" s="1008" t="s">
        <v>821</v>
      </c>
      <c r="AK33" s="1008"/>
      <c r="AL33" s="1008"/>
      <c r="AM33" s="1008"/>
      <c r="AN33" s="1008"/>
      <c r="AO33" s="1008"/>
      <c r="AP33" s="1008"/>
      <c r="AQ33" s="1008"/>
      <c r="AR33" s="536"/>
      <c r="AS33" s="367"/>
      <c r="AT33"/>
      <c r="AU33"/>
      <c r="AV33"/>
      <c r="AW33"/>
      <c r="AX33"/>
    </row>
    <row r="34" spans="1:50" ht="12.75" customHeight="1">
      <c r="A34" s="121"/>
      <c r="B34" s="121"/>
      <c r="C34" s="121"/>
      <c r="D34" s="121"/>
      <c r="E34" s="121"/>
      <c r="F34" s="121"/>
      <c r="G34" s="121"/>
      <c r="H34" s="121"/>
      <c r="I34" s="121"/>
      <c r="J34" s="121"/>
      <c r="K34" s="121"/>
      <c r="L34" s="121"/>
      <c r="M34" s="121"/>
      <c r="N34" s="121"/>
      <c r="O34" s="121"/>
      <c r="P34" s="121"/>
      <c r="AI34" s="546"/>
      <c r="AJ34" s="363"/>
      <c r="AK34" s="363"/>
      <c r="AL34" s="363"/>
      <c r="AM34" s="363"/>
      <c r="AN34" s="363"/>
      <c r="AO34" s="363"/>
      <c r="AP34" s="363"/>
      <c r="AQ34" s="363"/>
      <c r="AR34" s="363"/>
      <c r="AS34" s="367"/>
      <c r="AT34"/>
      <c r="AU34"/>
      <c r="AV34"/>
      <c r="AW34"/>
      <c r="AX34"/>
    </row>
    <row r="35" spans="1:50" ht="12.75" customHeight="1">
      <c r="A35" s="121"/>
      <c r="B35" s="121"/>
      <c r="C35" s="121"/>
      <c r="D35" s="121"/>
      <c r="E35" s="121"/>
      <c r="F35" s="121"/>
      <c r="G35" s="121"/>
      <c r="H35" s="121"/>
      <c r="I35" s="121"/>
      <c r="J35" s="121"/>
      <c r="K35" s="121"/>
      <c r="L35" s="121"/>
      <c r="M35" s="121"/>
      <c r="N35" s="121"/>
      <c r="O35" s="121"/>
      <c r="P35" s="121"/>
      <c r="AI35" s="546">
        <v>2.1</v>
      </c>
      <c r="AJ35" s="363" t="s">
        <v>831</v>
      </c>
      <c r="AK35" s="363"/>
      <c r="AL35" s="363"/>
      <c r="AM35" s="550"/>
      <c r="AN35" s="550"/>
      <c r="AO35" s="550"/>
      <c r="AP35" s="550"/>
      <c r="AQ35" s="551"/>
      <c r="AR35" s="551"/>
      <c r="AS35" s="367"/>
      <c r="AT35"/>
      <c r="AU35"/>
      <c r="AV35"/>
      <c r="AW35"/>
      <c r="AX35"/>
    </row>
    <row r="36" spans="1:50" ht="12.75" customHeight="1">
      <c r="A36" s="121"/>
      <c r="B36" s="121"/>
      <c r="C36" s="121"/>
      <c r="D36" s="121"/>
      <c r="E36" s="121"/>
      <c r="F36" s="121"/>
      <c r="G36" s="121"/>
      <c r="H36" s="121"/>
      <c r="I36" s="121"/>
      <c r="J36" s="121"/>
      <c r="K36" s="121"/>
      <c r="L36" s="121"/>
      <c r="M36" s="121"/>
      <c r="N36" s="121"/>
      <c r="O36" s="121"/>
      <c r="P36" s="121"/>
      <c r="AI36" s="546"/>
      <c r="AJ36" s="998" t="s">
        <v>77</v>
      </c>
      <c r="AK36" s="999"/>
      <c r="AL36" s="1000"/>
      <c r="AM36" s="1019" t="s">
        <v>824</v>
      </c>
      <c r="AN36" s="1019" t="s">
        <v>828</v>
      </c>
      <c r="AO36" s="1019" t="s">
        <v>826</v>
      </c>
      <c r="AP36" s="1019" t="s">
        <v>23</v>
      </c>
      <c r="AQ36" s="552"/>
      <c r="AR36" s="552"/>
      <c r="AS36" s="367"/>
      <c r="AT36"/>
      <c r="AU36"/>
      <c r="AV36"/>
      <c r="AW36"/>
      <c r="AX36"/>
    </row>
    <row r="37" spans="1:50" ht="12.75" customHeight="1">
      <c r="A37" s="121"/>
      <c r="B37" s="121"/>
      <c r="C37" s="121"/>
      <c r="D37" s="121"/>
      <c r="E37" s="121"/>
      <c r="F37" s="121"/>
      <c r="G37" s="121"/>
      <c r="H37" s="121"/>
      <c r="I37" s="121"/>
      <c r="J37" s="121"/>
      <c r="K37" s="121"/>
      <c r="L37" s="121"/>
      <c r="M37" s="121"/>
      <c r="N37" s="121"/>
      <c r="O37" s="121"/>
      <c r="P37" s="121"/>
      <c r="AI37" s="546"/>
      <c r="AJ37" s="1001"/>
      <c r="AK37" s="1002"/>
      <c r="AL37" s="1003"/>
      <c r="AM37" s="1019"/>
      <c r="AN37" s="1019"/>
      <c r="AO37" s="1019"/>
      <c r="AP37" s="1019"/>
      <c r="AQ37" s="364"/>
      <c r="AR37" s="364"/>
      <c r="AS37" s="367"/>
      <c r="AT37"/>
      <c r="AU37"/>
      <c r="AV37"/>
      <c r="AW37"/>
      <c r="AX37"/>
    </row>
    <row r="38" spans="1:50" ht="12.75" customHeight="1">
      <c r="A38" s="121"/>
      <c r="B38" s="121"/>
      <c r="C38" s="121"/>
      <c r="D38" s="121"/>
      <c r="E38" s="121"/>
      <c r="F38" s="121"/>
      <c r="G38" s="121"/>
      <c r="H38" s="121"/>
      <c r="I38" s="121"/>
      <c r="J38" s="121"/>
      <c r="K38" s="121"/>
      <c r="L38" s="121"/>
      <c r="M38" s="121"/>
      <c r="N38" s="121"/>
      <c r="O38" s="121"/>
      <c r="P38" s="121"/>
      <c r="AI38" s="546"/>
      <c r="AJ38" s="1020" t="s">
        <v>500</v>
      </c>
      <c r="AK38" s="1020"/>
      <c r="AL38" s="1020"/>
      <c r="AM38" s="369">
        <v>23.9</v>
      </c>
      <c r="AN38" s="369">
        <f>'Lookup Properties'!$C$7</f>
        <v>15.4</v>
      </c>
      <c r="AO38" s="369">
        <f>'Lookup Properties'!$D$7</f>
        <v>4.8</v>
      </c>
      <c r="AP38" s="553">
        <f>SUM(AM38:AO38)</f>
        <v>44.099999999999994</v>
      </c>
      <c r="AQ38" s="364"/>
      <c r="AR38" s="364"/>
      <c r="AS38" s="367"/>
      <c r="AT38"/>
      <c r="AU38"/>
      <c r="AV38"/>
      <c r="AW38"/>
      <c r="AX38"/>
    </row>
    <row r="39" spans="1:50" ht="12.75" customHeight="1">
      <c r="A39" s="121"/>
      <c r="B39" s="121"/>
      <c r="C39" s="121"/>
      <c r="D39" s="121"/>
      <c r="E39" s="121"/>
      <c r="F39" s="121"/>
      <c r="G39" s="121"/>
      <c r="H39" s="121"/>
      <c r="I39" s="121"/>
      <c r="J39" s="121"/>
      <c r="K39" s="121"/>
      <c r="L39" s="121"/>
      <c r="M39" s="121"/>
      <c r="N39" s="121"/>
      <c r="O39" s="121"/>
      <c r="P39" s="121"/>
      <c r="AI39" s="546"/>
      <c r="AJ39" s="1017" t="s">
        <v>22</v>
      </c>
      <c r="AK39" s="1017"/>
      <c r="AL39" s="1017"/>
      <c r="AM39" s="369">
        <f>'Lookup Properties'!$B$5</f>
        <v>22.35</v>
      </c>
      <c r="AN39" s="369">
        <f>'Lookup Properties'!$C$5</f>
        <v>17.399999999999999</v>
      </c>
      <c r="AO39" s="369">
        <f>'Lookup Properties'!$D$5</f>
        <v>5</v>
      </c>
      <c r="AP39" s="553">
        <f>SUM(AM39:AO39)</f>
        <v>44.75</v>
      </c>
      <c r="AQ39" s="364"/>
      <c r="AR39" s="364"/>
      <c r="AS39" s="367"/>
      <c r="AT39"/>
      <c r="AU39"/>
      <c r="AV39"/>
      <c r="AW39"/>
      <c r="AX39"/>
    </row>
    <row r="40" spans="1:50" ht="12.75" customHeight="1">
      <c r="A40" s="121"/>
      <c r="B40" s="121"/>
      <c r="C40" s="121"/>
      <c r="D40" s="121"/>
      <c r="E40" s="121"/>
      <c r="F40" s="121"/>
      <c r="G40" s="121"/>
      <c r="H40" s="121"/>
      <c r="I40" s="121"/>
      <c r="J40" s="121"/>
      <c r="K40" s="121"/>
      <c r="L40" s="121"/>
      <c r="M40" s="121"/>
      <c r="N40" s="121"/>
      <c r="O40" s="121"/>
      <c r="P40" s="121"/>
      <c r="AI40" s="546"/>
      <c r="AJ40" s="1018" t="s">
        <v>579</v>
      </c>
      <c r="AK40" s="1018"/>
      <c r="AL40" s="1018"/>
      <c r="AM40" s="369">
        <f>'Lookup Properties'!$B$6</f>
        <v>22.15</v>
      </c>
      <c r="AN40" s="369">
        <f>'Lookup Properties'!$C$6</f>
        <v>18.149999999999999</v>
      </c>
      <c r="AO40" s="369">
        <f>'Lookup Properties'!$D$6</f>
        <v>5</v>
      </c>
      <c r="AP40" s="553">
        <f>SUM(AM40:AO40)</f>
        <v>45.3</v>
      </c>
      <c r="AQ40" s="364"/>
      <c r="AR40" s="364"/>
      <c r="AS40" s="367"/>
      <c r="AT40"/>
      <c r="AU40"/>
      <c r="AV40"/>
      <c r="AW40"/>
      <c r="AX40"/>
    </row>
    <row r="41" spans="1:50" ht="12.75" customHeight="1">
      <c r="A41" s="121"/>
      <c r="B41" s="121"/>
      <c r="C41" s="121"/>
      <c r="D41" s="121"/>
      <c r="E41" s="121"/>
      <c r="F41" s="121"/>
      <c r="G41" s="121"/>
      <c r="H41" s="121"/>
      <c r="I41" s="121"/>
      <c r="J41" s="121"/>
      <c r="K41" s="121"/>
      <c r="L41" s="121"/>
      <c r="M41" s="121"/>
      <c r="N41" s="121"/>
      <c r="O41" s="121"/>
      <c r="P41" s="121"/>
      <c r="AI41" s="546"/>
      <c r="AJ41" s="1016" t="s">
        <v>21</v>
      </c>
      <c r="AK41" s="1016"/>
      <c r="AL41" s="1016"/>
      <c r="AM41" s="369">
        <f>'Lookup Properties'!$B$4</f>
        <v>21.25</v>
      </c>
      <c r="AN41" s="369">
        <f>'Lookup Properties'!$C$4</f>
        <v>17.399999999999999</v>
      </c>
      <c r="AO41" s="369">
        <f>'Lookup Properties'!$D$4</f>
        <v>5</v>
      </c>
      <c r="AP41" s="553">
        <f>SUM(AM41:AO41)</f>
        <v>43.65</v>
      </c>
      <c r="AQ41" s="364"/>
      <c r="AR41" s="364"/>
      <c r="AS41" s="367"/>
      <c r="AT41"/>
      <c r="AU41"/>
      <c r="AV41"/>
      <c r="AW41"/>
      <c r="AX41"/>
    </row>
    <row r="42" spans="1:50" ht="12.75" customHeight="1">
      <c r="A42" s="121"/>
      <c r="B42" s="121"/>
      <c r="C42" s="121"/>
      <c r="D42" s="121"/>
      <c r="E42" s="121"/>
      <c r="F42" s="121"/>
      <c r="G42" s="121"/>
      <c r="H42" s="121"/>
      <c r="I42" s="121"/>
      <c r="J42" s="121"/>
      <c r="K42" s="121"/>
      <c r="L42" s="121"/>
      <c r="M42" s="121"/>
      <c r="N42" s="121"/>
      <c r="O42" s="121"/>
      <c r="P42" s="121"/>
      <c r="AI42" s="364"/>
      <c r="AJ42" s="364"/>
      <c r="AK42" s="364"/>
      <c r="AL42" s="364"/>
      <c r="AM42" s="555"/>
      <c r="AN42" s="555"/>
      <c r="AO42" s="555"/>
      <c r="AP42" s="555"/>
      <c r="AQ42" s="555"/>
      <c r="AR42" s="364"/>
      <c r="AS42" s="367"/>
      <c r="AT42"/>
      <c r="AU42"/>
      <c r="AV42"/>
      <c r="AW42"/>
      <c r="AX42"/>
    </row>
    <row r="43" spans="1:50" ht="12.75" customHeight="1">
      <c r="A43" s="121"/>
      <c r="B43" s="121"/>
      <c r="C43" s="121"/>
      <c r="D43" s="121"/>
      <c r="E43" s="121"/>
      <c r="F43" s="121"/>
      <c r="G43" s="121"/>
      <c r="H43" s="121"/>
      <c r="I43" s="121"/>
      <c r="J43" s="121"/>
      <c r="K43" s="121"/>
      <c r="L43" s="121"/>
      <c r="M43" s="121"/>
      <c r="N43" s="121"/>
      <c r="O43" s="121"/>
      <c r="P43" s="121"/>
      <c r="AI43" s="360">
        <v>2.2000000000000002</v>
      </c>
      <c r="AJ43" s="363" t="s">
        <v>832</v>
      </c>
      <c r="AK43" s="363"/>
      <c r="AL43" s="363"/>
      <c r="AM43" s="363"/>
      <c r="AN43" s="363"/>
      <c r="AO43" s="363"/>
      <c r="AP43" s="363"/>
      <c r="AQ43" s="363"/>
      <c r="AR43" s="364"/>
      <c r="AS43" s="367"/>
      <c r="AT43"/>
      <c r="AU43"/>
      <c r="AV43"/>
      <c r="AW43"/>
      <c r="AX43"/>
    </row>
    <row r="44" spans="1:50" ht="12.75" customHeight="1">
      <c r="A44" s="121"/>
      <c r="B44" s="121"/>
      <c r="C44" s="121"/>
      <c r="D44" s="121"/>
      <c r="E44" s="121"/>
      <c r="F44" s="121"/>
      <c r="G44" s="121"/>
      <c r="H44" s="121"/>
      <c r="I44" s="121"/>
      <c r="J44" s="121"/>
      <c r="K44" s="121"/>
      <c r="L44" s="121"/>
      <c r="M44" s="121"/>
      <c r="N44" s="121"/>
      <c r="O44" s="121"/>
      <c r="P44" s="121"/>
      <c r="AI44" s="360"/>
      <c r="AJ44" s="998" t="s">
        <v>77</v>
      </c>
      <c r="AK44" s="999"/>
      <c r="AL44" s="1000"/>
      <c r="AM44" s="1019" t="s">
        <v>824</v>
      </c>
      <c r="AN44" s="1019" t="s">
        <v>828</v>
      </c>
      <c r="AO44" s="1019" t="s">
        <v>826</v>
      </c>
      <c r="AP44" s="1019" t="s">
        <v>23</v>
      </c>
      <c r="AQ44" s="364"/>
      <c r="AR44" s="364"/>
      <c r="AS44" s="367"/>
      <c r="AT44"/>
      <c r="AU44"/>
      <c r="AV44"/>
      <c r="AW44"/>
      <c r="AX44"/>
    </row>
    <row r="45" spans="1:50" ht="12.75" customHeight="1">
      <c r="A45" s="121"/>
      <c r="B45" s="121"/>
      <c r="C45" s="121"/>
      <c r="D45" s="121"/>
      <c r="E45" s="121"/>
      <c r="F45" s="121"/>
      <c r="G45" s="121"/>
      <c r="H45" s="121"/>
      <c r="I45" s="121"/>
      <c r="J45" s="121"/>
      <c r="K45" s="121"/>
      <c r="L45" s="121"/>
      <c r="M45" s="121"/>
      <c r="N45" s="121"/>
      <c r="O45" s="121"/>
      <c r="P45" s="121"/>
      <c r="AI45" s="360"/>
      <c r="AJ45" s="1001"/>
      <c r="AK45" s="1002"/>
      <c r="AL45" s="1003"/>
      <c r="AM45" s="1019"/>
      <c r="AN45" s="1019"/>
      <c r="AO45" s="1019"/>
      <c r="AP45" s="1019"/>
      <c r="AQ45" s="364"/>
      <c r="AR45" s="364"/>
      <c r="AS45" s="367"/>
      <c r="AT45"/>
      <c r="AU45"/>
      <c r="AV45"/>
      <c r="AW45"/>
      <c r="AX45"/>
    </row>
    <row r="46" spans="1:50" ht="12.75" customHeight="1">
      <c r="A46" s="121"/>
      <c r="B46" s="121"/>
      <c r="C46" s="121"/>
      <c r="D46" s="121"/>
      <c r="E46" s="121"/>
      <c r="F46" s="121"/>
      <c r="G46" s="121"/>
      <c r="H46" s="121"/>
      <c r="I46" s="121"/>
      <c r="J46" s="121"/>
      <c r="K46" s="121"/>
      <c r="L46" s="121"/>
      <c r="M46" s="121"/>
      <c r="N46" s="121"/>
      <c r="O46" s="121"/>
      <c r="P46" s="121"/>
      <c r="AI46" s="360"/>
      <c r="AJ46" s="1020" t="s">
        <v>500</v>
      </c>
      <c r="AK46" s="1020"/>
      <c r="AL46" s="1020"/>
      <c r="AM46" s="556">
        <f>'Lookup Properties'!$B$13</f>
        <v>0.74</v>
      </c>
      <c r="AN46" s="556">
        <f>'Lookup Properties'!$C$13</f>
        <v>0.78</v>
      </c>
      <c r="AO46" s="556">
        <f>'Lookup Properties'!$D$13</f>
        <v>1.26</v>
      </c>
      <c r="AP46" s="553">
        <f>SUM(AM46:AO46)</f>
        <v>2.7800000000000002</v>
      </c>
      <c r="AQ46" s="364"/>
      <c r="AR46" s="364"/>
      <c r="AS46" s="367"/>
      <c r="AT46"/>
      <c r="AU46"/>
      <c r="AV46"/>
      <c r="AW46"/>
      <c r="AX46"/>
    </row>
    <row r="47" spans="1:50" ht="12.75" customHeight="1">
      <c r="A47" s="121"/>
      <c r="B47" s="121"/>
      <c r="C47" s="121"/>
      <c r="D47" s="121"/>
      <c r="E47" s="121"/>
      <c r="F47" s="121"/>
      <c r="G47" s="121"/>
      <c r="H47" s="121"/>
      <c r="I47" s="121"/>
      <c r="J47" s="121"/>
      <c r="K47" s="121"/>
      <c r="L47" s="121"/>
      <c r="M47" s="121"/>
      <c r="N47" s="121"/>
      <c r="O47" s="121"/>
      <c r="P47" s="121"/>
      <c r="AI47" s="360"/>
      <c r="AJ47" s="1017" t="s">
        <v>22</v>
      </c>
      <c r="AK47" s="1017"/>
      <c r="AL47" s="1017"/>
      <c r="AM47" s="557">
        <f>'Lookup Properties'!$B$11</f>
        <v>0.71499999999999997</v>
      </c>
      <c r="AN47" s="557">
        <f>'Lookup Properties'!$C$11</f>
        <v>1.03</v>
      </c>
      <c r="AO47" s="557">
        <f>'Lookup Properties'!$D$11</f>
        <v>1.29</v>
      </c>
      <c r="AP47" s="553">
        <f>SUM(AM47:AO47)</f>
        <v>3.0350000000000001</v>
      </c>
      <c r="AQ47" s="364"/>
      <c r="AR47" s="364"/>
      <c r="AS47" s="367"/>
      <c r="AT47"/>
      <c r="AU47"/>
      <c r="AV47"/>
      <c r="AW47"/>
      <c r="AX47"/>
    </row>
    <row r="48" spans="1:50" ht="12.75" customHeight="1">
      <c r="A48" s="121"/>
      <c r="B48" s="121"/>
      <c r="C48" s="121"/>
      <c r="D48" s="121"/>
      <c r="E48" s="121"/>
      <c r="F48" s="121"/>
      <c r="G48" s="121"/>
      <c r="H48" s="121"/>
      <c r="I48" s="121"/>
      <c r="J48" s="121"/>
      <c r="K48" s="121"/>
      <c r="L48" s="121"/>
      <c r="M48" s="121"/>
      <c r="N48" s="121"/>
      <c r="O48" s="121"/>
      <c r="P48" s="121"/>
      <c r="AI48" s="360"/>
      <c r="AJ48" s="1018" t="s">
        <v>579</v>
      </c>
      <c r="AK48" s="1018"/>
      <c r="AL48" s="1018"/>
      <c r="AM48" s="557">
        <f>'Lookup Properties'!$B$12</f>
        <v>0.755</v>
      </c>
      <c r="AN48" s="557">
        <f>'Lookup Properties'!$C$12</f>
        <v>1.07</v>
      </c>
      <c r="AO48" s="557">
        <f>'Lookup Properties'!$D$12</f>
        <v>1.2949999999999999</v>
      </c>
      <c r="AP48" s="553">
        <f>SUM(AM48:AO48)</f>
        <v>3.12</v>
      </c>
      <c r="AQ48" s="364"/>
      <c r="AR48" s="364"/>
      <c r="AS48" s="367"/>
      <c r="AT48"/>
      <c r="AU48"/>
      <c r="AV48"/>
      <c r="AW48"/>
      <c r="AX48"/>
    </row>
    <row r="49" spans="1:50" ht="12.75" customHeight="1">
      <c r="A49" s="121"/>
      <c r="B49" s="121"/>
      <c r="C49" s="121"/>
      <c r="D49" s="121"/>
      <c r="E49" s="121"/>
      <c r="F49" s="121"/>
      <c r="G49" s="121"/>
      <c r="H49" s="121"/>
      <c r="I49" s="121"/>
      <c r="J49" s="121"/>
      <c r="K49" s="121"/>
      <c r="L49" s="121"/>
      <c r="M49" s="121"/>
      <c r="N49" s="121"/>
      <c r="O49" s="121"/>
      <c r="P49" s="121"/>
      <c r="AI49" s="360"/>
      <c r="AJ49" s="1016" t="s">
        <v>21</v>
      </c>
      <c r="AK49" s="1016"/>
      <c r="AL49" s="1016"/>
      <c r="AM49" s="557">
        <f>'Lookup Properties'!$B$10</f>
        <v>0.71</v>
      </c>
      <c r="AN49" s="557">
        <f>'Lookup Properties'!$C$10</f>
        <v>1.03</v>
      </c>
      <c r="AO49" s="557">
        <f>'Lookup Properties'!$D$10</f>
        <v>1.29</v>
      </c>
      <c r="AP49" s="553">
        <f>SUM(AM49:AO49)</f>
        <v>3.0300000000000002</v>
      </c>
      <c r="AQ49" s="364"/>
      <c r="AR49" s="364"/>
      <c r="AS49" s="367"/>
      <c r="AT49"/>
      <c r="AU49"/>
      <c r="AV49"/>
      <c r="AW49"/>
      <c r="AX49"/>
    </row>
    <row r="50" spans="1:50" ht="12.75" customHeight="1">
      <c r="A50" s="121"/>
      <c r="B50" s="121"/>
      <c r="C50" s="121"/>
      <c r="D50" s="121"/>
      <c r="E50" s="121"/>
      <c r="F50" s="121"/>
      <c r="G50" s="121"/>
      <c r="H50" s="121"/>
      <c r="I50" s="121"/>
      <c r="J50" s="121"/>
      <c r="K50" s="121"/>
      <c r="L50" s="121"/>
      <c r="M50" s="121"/>
      <c r="N50" s="121"/>
      <c r="O50" s="121"/>
      <c r="P50" s="121"/>
      <c r="AI50" s="364"/>
      <c r="AJ50" s="364"/>
      <c r="AK50" s="364"/>
      <c r="AL50" s="364"/>
      <c r="AM50" s="555"/>
      <c r="AN50" s="555"/>
      <c r="AO50" s="555"/>
      <c r="AP50" s="555"/>
      <c r="AQ50" s="555"/>
      <c r="AR50" s="364"/>
      <c r="AS50" s="367"/>
      <c r="AT50"/>
      <c r="AU50"/>
      <c r="AV50"/>
      <c r="AW50"/>
      <c r="AX50"/>
    </row>
    <row r="51" spans="1:50" ht="12.75" customHeight="1">
      <c r="A51" s="121"/>
      <c r="B51" s="121"/>
      <c r="C51" s="121"/>
      <c r="D51" s="121"/>
      <c r="E51" s="121"/>
      <c r="F51" s="121"/>
      <c r="G51" s="121"/>
      <c r="H51" s="121"/>
      <c r="I51" s="121"/>
      <c r="J51" s="121"/>
      <c r="K51" s="121"/>
      <c r="L51" s="121"/>
      <c r="M51" s="121"/>
      <c r="N51" s="121"/>
      <c r="O51" s="121"/>
      <c r="P51" s="121"/>
      <c r="AI51" s="387" t="s">
        <v>817</v>
      </c>
      <c r="AJ51" s="1015" t="s">
        <v>206</v>
      </c>
      <c r="AK51" s="1015"/>
      <c r="AL51" s="1015"/>
      <c r="AM51" s="1015"/>
      <c r="AN51" s="1015"/>
      <c r="AO51" s="1015"/>
      <c r="AP51" s="1015"/>
      <c r="AQ51" s="1015"/>
      <c r="AR51" s="536"/>
      <c r="AS51" s="367"/>
      <c r="AT51"/>
      <c r="AU51"/>
      <c r="AV51"/>
      <c r="AW51"/>
      <c r="AX51"/>
    </row>
    <row r="52" spans="1:50" ht="12.75" customHeight="1">
      <c r="AI52" s="668"/>
      <c r="AJ52" s="364"/>
      <c r="AK52" s="364"/>
      <c r="AL52" s="364"/>
      <c r="AM52" s="555"/>
      <c r="AN52" s="555"/>
      <c r="AO52" s="555"/>
      <c r="AP52" s="555"/>
      <c r="AQ52" s="555"/>
      <c r="AR52" s="364"/>
      <c r="AS52" s="367"/>
      <c r="AT52"/>
      <c r="AU52"/>
      <c r="AV52"/>
      <c r="AW52"/>
      <c r="AX52"/>
    </row>
    <row r="53" spans="1:50" ht="12.75" customHeight="1">
      <c r="AI53" s="668" t="s">
        <v>196</v>
      </c>
      <c r="AJ53" s="364" t="s">
        <v>207</v>
      </c>
      <c r="AK53" s="364"/>
      <c r="AL53" s="364"/>
      <c r="AM53" s="555"/>
      <c r="AN53" s="555"/>
      <c r="AO53" s="555"/>
      <c r="AP53" s="555"/>
      <c r="AQ53" s="555"/>
      <c r="AR53" s="364"/>
      <c r="AS53" s="367"/>
      <c r="AT53"/>
      <c r="AU53"/>
      <c r="AV53"/>
      <c r="AW53"/>
      <c r="AX53"/>
    </row>
    <row r="54" spans="1:50" ht="12.75" customHeight="1">
      <c r="AI54" s="364"/>
      <c r="AJ54" s="962" t="s">
        <v>678</v>
      </c>
      <c r="AK54" s="963"/>
      <c r="AL54" s="964"/>
      <c r="AM54" s="949" t="s">
        <v>500</v>
      </c>
      <c r="AN54" s="938" t="s">
        <v>22</v>
      </c>
      <c r="AO54" s="940" t="s">
        <v>579</v>
      </c>
      <c r="AP54" s="942" t="s">
        <v>21</v>
      </c>
      <c r="AQ54" s="361"/>
      <c r="AR54" s="364"/>
      <c r="AS54" s="367"/>
      <c r="AT54"/>
      <c r="AU54"/>
      <c r="AV54"/>
      <c r="AW54"/>
      <c r="AX54"/>
    </row>
    <row r="55" spans="1:50" ht="12.75" customHeight="1">
      <c r="AI55" s="364"/>
      <c r="AJ55" s="965"/>
      <c r="AK55" s="966"/>
      <c r="AL55" s="967"/>
      <c r="AM55" s="950"/>
      <c r="AN55" s="939"/>
      <c r="AO55" s="941"/>
      <c r="AP55" s="943"/>
      <c r="AQ55" s="361"/>
      <c r="AR55" s="364"/>
      <c r="AS55" s="367"/>
      <c r="AT55"/>
      <c r="AU55"/>
      <c r="AV55"/>
      <c r="AW55"/>
      <c r="AX55"/>
    </row>
    <row r="56" spans="1:50" ht="12.75" customHeight="1">
      <c r="AI56" s="364"/>
      <c r="AJ56" s="969" t="s">
        <v>210</v>
      </c>
      <c r="AK56" s="969"/>
      <c r="AL56" s="969"/>
      <c r="AM56" s="560">
        <v>0.3</v>
      </c>
      <c r="AN56" s="537">
        <f>VLOOKUP($AN$5,'Lookup Penetration Rate'!$B$8:$E$208,3)</f>
        <v>0.4</v>
      </c>
      <c r="AO56" s="537">
        <f>VLOOKUP($AN$5,'Lookup Penetration Rate'!$B$8:$E$208,4)</f>
        <v>0.46</v>
      </c>
      <c r="AP56" s="537">
        <f>VLOOKUP($AN$5,'Lookup Penetration Rate'!$B$8:$E$208,2)</f>
        <v>0.56000000000000005</v>
      </c>
      <c r="AQ56" s="361"/>
      <c r="AR56" s="364"/>
      <c r="AS56" s="367"/>
      <c r="AT56"/>
      <c r="AU56"/>
      <c r="AV56"/>
      <c r="AW56"/>
      <c r="AX56"/>
    </row>
    <row r="57" spans="1:50" ht="12.75" customHeight="1">
      <c r="AI57" s="364"/>
      <c r="AJ57" s="364"/>
      <c r="AK57" s="364"/>
      <c r="AL57" s="364"/>
      <c r="AM57" s="555"/>
      <c r="AN57" s="555"/>
      <c r="AO57" s="555"/>
      <c r="AP57" s="555"/>
      <c r="AQ57" s="555"/>
      <c r="AR57" s="364"/>
      <c r="AS57" s="367"/>
      <c r="AT57"/>
      <c r="AU57"/>
      <c r="AV57"/>
      <c r="AW57"/>
      <c r="AX57"/>
    </row>
    <row r="58" spans="1:50" ht="12.75" customHeight="1">
      <c r="AI58" s="668" t="s">
        <v>197</v>
      </c>
      <c r="AJ58" s="364" t="s">
        <v>208</v>
      </c>
      <c r="AK58" s="364"/>
      <c r="AL58" s="364"/>
      <c r="AM58" s="555"/>
      <c r="AN58" s="555"/>
      <c r="AO58" s="555"/>
      <c r="AP58" s="555"/>
      <c r="AQ58" s="555"/>
      <c r="AR58" s="364"/>
      <c r="AS58" s="367"/>
      <c r="AT58"/>
      <c r="AU58"/>
      <c r="AV58"/>
      <c r="AW58"/>
      <c r="AX58"/>
    </row>
    <row r="59" spans="1:50" ht="12.75" customHeight="1">
      <c r="AI59" s="668"/>
      <c r="AJ59" s="962" t="s">
        <v>678</v>
      </c>
      <c r="AK59" s="963"/>
      <c r="AL59" s="964"/>
      <c r="AM59" s="949" t="s">
        <v>500</v>
      </c>
      <c r="AN59" s="938" t="s">
        <v>22</v>
      </c>
      <c r="AO59" s="940" t="s">
        <v>579</v>
      </c>
      <c r="AP59" s="942" t="s">
        <v>21</v>
      </c>
      <c r="AQ59" s="361"/>
      <c r="AR59" s="364"/>
      <c r="AS59" s="367"/>
      <c r="AT59"/>
      <c r="AU59"/>
      <c r="AV59"/>
      <c r="AW59"/>
      <c r="AX59"/>
    </row>
    <row r="60" spans="1:50" ht="12.75" customHeight="1">
      <c r="AI60" s="668"/>
      <c r="AJ60" s="965"/>
      <c r="AK60" s="966"/>
      <c r="AL60" s="967"/>
      <c r="AM60" s="950"/>
      <c r="AN60" s="939"/>
      <c r="AO60" s="941"/>
      <c r="AP60" s="943"/>
      <c r="AQ60" s="361"/>
      <c r="AR60" s="364"/>
      <c r="AS60" s="367"/>
      <c r="AT60"/>
      <c r="AU60"/>
      <c r="AV60"/>
      <c r="AW60"/>
      <c r="AX60"/>
    </row>
    <row r="61" spans="1:50" ht="12.75" customHeight="1">
      <c r="AI61" s="668"/>
      <c r="AJ61" s="969" t="s">
        <v>209</v>
      </c>
      <c r="AK61" s="969"/>
      <c r="AL61" s="969"/>
      <c r="AM61" s="560">
        <f>$AN$25/AM56</f>
        <v>4</v>
      </c>
      <c r="AN61" s="669">
        <f>$AN$25/AN56</f>
        <v>2.9999999999999996</v>
      </c>
      <c r="AO61" s="669">
        <f>$AN$25/AO56</f>
        <v>2.6086956521739126</v>
      </c>
      <c r="AP61" s="669">
        <f>$AN$25/AP56</f>
        <v>2.1428571428571428</v>
      </c>
      <c r="AQ61" s="361"/>
      <c r="AR61" s="364"/>
      <c r="AS61" s="367"/>
      <c r="AT61"/>
      <c r="AU61"/>
      <c r="AV61"/>
      <c r="AW61"/>
      <c r="AX61"/>
    </row>
    <row r="62" spans="1:50" ht="12.75" customHeight="1">
      <c r="AI62" s="364"/>
      <c r="AJ62" s="364"/>
      <c r="AK62" s="364"/>
      <c r="AL62" s="364"/>
      <c r="AM62" s="555"/>
      <c r="AN62" s="555"/>
      <c r="AO62" s="555"/>
      <c r="AP62" s="555"/>
      <c r="AQ62" s="555"/>
      <c r="AR62" s="364"/>
      <c r="AS62" s="367"/>
      <c r="AT62"/>
      <c r="AU62"/>
      <c r="AV62"/>
      <c r="AW62"/>
      <c r="AX62"/>
    </row>
    <row r="63" spans="1:50" ht="12.75" customHeight="1">
      <c r="AI63" s="563">
        <v>3.3</v>
      </c>
      <c r="AJ63" s="363" t="s">
        <v>211</v>
      </c>
      <c r="AK63" s="363"/>
      <c r="AL63" s="363"/>
      <c r="AM63" s="363"/>
      <c r="AN63" s="363"/>
      <c r="AO63" s="363"/>
      <c r="AP63" s="363"/>
      <c r="AQ63" s="363"/>
      <c r="AR63" s="364"/>
      <c r="AS63" s="367"/>
      <c r="AT63"/>
      <c r="AU63"/>
      <c r="AV63"/>
      <c r="AW63"/>
      <c r="AX63"/>
    </row>
    <row r="64" spans="1:50" ht="12.75" customHeight="1">
      <c r="AI64" s="563"/>
      <c r="AJ64" s="962" t="s">
        <v>678</v>
      </c>
      <c r="AK64" s="963"/>
      <c r="AL64" s="964"/>
      <c r="AM64" s="949" t="s">
        <v>500</v>
      </c>
      <c r="AN64" s="938" t="s">
        <v>22</v>
      </c>
      <c r="AO64" s="940" t="s">
        <v>579</v>
      </c>
      <c r="AP64" s="942" t="s">
        <v>21</v>
      </c>
      <c r="AQ64" s="361"/>
      <c r="AR64" s="364"/>
      <c r="AS64" s="367"/>
      <c r="AT64"/>
      <c r="AU64"/>
      <c r="AV64"/>
      <c r="AW64"/>
      <c r="AX64"/>
    </row>
    <row r="65" spans="35:54" ht="12.75" customHeight="1">
      <c r="AI65" s="563"/>
      <c r="AJ65" s="965"/>
      <c r="AK65" s="966"/>
      <c r="AL65" s="967"/>
      <c r="AM65" s="950"/>
      <c r="AN65" s="939"/>
      <c r="AO65" s="941"/>
      <c r="AP65" s="943"/>
      <c r="AQ65" s="361"/>
      <c r="AR65" s="364"/>
      <c r="AS65" s="367"/>
      <c r="AT65"/>
      <c r="AU65"/>
      <c r="AV65"/>
      <c r="AW65"/>
      <c r="AX65"/>
    </row>
    <row r="66" spans="35:54" ht="12.75" customHeight="1">
      <c r="AI66" s="563"/>
      <c r="AJ66" s="969" t="s">
        <v>209</v>
      </c>
      <c r="AK66" s="969"/>
      <c r="AL66" s="969"/>
      <c r="AM66" s="562">
        <f>(AM61*$AN$29)/$AN$28</f>
        <v>160</v>
      </c>
      <c r="AN66" s="670">
        <f>(AN61*$AN$29)/$AN$28</f>
        <v>119.99999999999997</v>
      </c>
      <c r="AO66" s="670">
        <f>(AO61*$AN$29)/$AN$28</f>
        <v>104.3478260869565</v>
      </c>
      <c r="AP66" s="670">
        <f>(AP61*$AN$29)/$AN$28</f>
        <v>85.714285714285708</v>
      </c>
      <c r="AQ66" s="361"/>
      <c r="AR66" s="364"/>
      <c r="AS66" s="367"/>
      <c r="AT66"/>
      <c r="AU66"/>
      <c r="AV66"/>
      <c r="AW66"/>
      <c r="AX66"/>
    </row>
    <row r="67" spans="35:54" ht="12.75" customHeight="1">
      <c r="AI67" s="563"/>
      <c r="AJ67" s="931" t="s">
        <v>212</v>
      </c>
      <c r="AK67" s="931"/>
      <c r="AL67" s="931"/>
      <c r="AM67" s="537">
        <f>AM66/60</f>
        <v>2.6666666666666665</v>
      </c>
      <c r="AN67" s="557">
        <f>AN66/60</f>
        <v>1.9999999999999996</v>
      </c>
      <c r="AO67" s="557">
        <f>AO66/60</f>
        <v>1.7391304347826084</v>
      </c>
      <c r="AP67" s="557">
        <f>AP66/60</f>
        <v>1.4285714285714284</v>
      </c>
      <c r="AQ67" s="361"/>
      <c r="AR67" s="364"/>
      <c r="AS67" s="367"/>
      <c r="AT67"/>
      <c r="AU67"/>
      <c r="AV67"/>
      <c r="AW67"/>
      <c r="AX67"/>
    </row>
    <row r="68" spans="35:54" ht="12.75" customHeight="1">
      <c r="AI68" s="563"/>
      <c r="AJ68" s="363"/>
      <c r="AK68" s="363"/>
      <c r="AL68" s="363"/>
      <c r="AM68" s="363"/>
      <c r="AN68" s="363"/>
      <c r="AO68" s="363"/>
      <c r="AP68" s="363"/>
      <c r="AQ68" s="363"/>
      <c r="AR68" s="364"/>
      <c r="AS68" s="367"/>
      <c r="AT68"/>
      <c r="AU68"/>
      <c r="AV68"/>
      <c r="AW68"/>
      <c r="AX68"/>
    </row>
    <row r="69" spans="35:54" ht="12.75" customHeight="1">
      <c r="AI69" s="388" t="s">
        <v>295</v>
      </c>
      <c r="AJ69" s="1015" t="s">
        <v>216</v>
      </c>
      <c r="AK69" s="1015"/>
      <c r="AL69" s="1015"/>
      <c r="AM69" s="1015"/>
      <c r="AN69" s="1015"/>
      <c r="AO69" s="1015"/>
      <c r="AP69" s="1015"/>
      <c r="AQ69" s="1015"/>
      <c r="AR69" s="536"/>
      <c r="AS69" s="367"/>
      <c r="AT69"/>
      <c r="AU69"/>
      <c r="AV69"/>
      <c r="AW69"/>
      <c r="AX69"/>
    </row>
    <row r="70" spans="35:54" ht="12.75" customHeight="1">
      <c r="AI70" s="563"/>
      <c r="AJ70" s="363"/>
      <c r="AK70" s="363"/>
      <c r="AL70" s="363"/>
      <c r="AM70" s="363"/>
      <c r="AN70" s="363"/>
      <c r="AO70" s="363"/>
      <c r="AP70" s="363"/>
      <c r="AQ70" s="363"/>
      <c r="AR70" s="364"/>
      <c r="AS70" s="367"/>
      <c r="AT70"/>
      <c r="AU70"/>
      <c r="AV70"/>
      <c r="AW70"/>
      <c r="AX70"/>
      <c r="AY70" s="23"/>
      <c r="AZ70" s="23"/>
      <c r="BA70" s="23"/>
    </row>
    <row r="71" spans="35:54" ht="12.75" customHeight="1">
      <c r="AI71" s="360" t="s">
        <v>502</v>
      </c>
      <c r="AJ71" s="364" t="s">
        <v>527</v>
      </c>
      <c r="AK71" s="364"/>
      <c r="AL71" s="364"/>
      <c r="AM71" s="555"/>
      <c r="AN71" s="555"/>
      <c r="AO71" s="555"/>
      <c r="AP71" s="555"/>
      <c r="AQ71" s="555"/>
      <c r="AR71" s="364"/>
      <c r="AS71" s="367"/>
      <c r="AT71"/>
      <c r="AU71"/>
      <c r="AV71"/>
      <c r="AW71"/>
      <c r="AX71"/>
      <c r="BB71" s="17"/>
    </row>
    <row r="72" spans="35:54" ht="12.75" customHeight="1">
      <c r="AI72" s="360"/>
      <c r="AJ72" s="962" t="s">
        <v>678</v>
      </c>
      <c r="AK72" s="963"/>
      <c r="AL72" s="964"/>
      <c r="AM72" s="949" t="s">
        <v>500</v>
      </c>
      <c r="AN72" s="938" t="s">
        <v>22</v>
      </c>
      <c r="AO72" s="940" t="s">
        <v>579</v>
      </c>
      <c r="AP72" s="942" t="s">
        <v>21</v>
      </c>
      <c r="AQ72" s="361"/>
      <c r="AR72" s="364"/>
      <c r="AS72" s="367"/>
      <c r="AT72"/>
      <c r="AU72"/>
      <c r="AV72"/>
      <c r="AW72"/>
      <c r="AX72"/>
      <c r="BB72" s="17"/>
    </row>
    <row r="73" spans="35:54" ht="12.75" customHeight="1">
      <c r="AI73" s="360"/>
      <c r="AJ73" s="965"/>
      <c r="AK73" s="966"/>
      <c r="AL73" s="967"/>
      <c r="AM73" s="950"/>
      <c r="AN73" s="939"/>
      <c r="AO73" s="941"/>
      <c r="AP73" s="943"/>
      <c r="AQ73" s="361"/>
      <c r="AR73" s="364"/>
      <c r="AS73" s="367"/>
      <c r="AT73"/>
      <c r="AU73"/>
      <c r="AV73"/>
      <c r="AW73"/>
      <c r="AX73"/>
      <c r="BB73" s="17"/>
    </row>
    <row r="74" spans="35:54" ht="12.75" customHeight="1">
      <c r="AI74" s="360"/>
      <c r="AJ74" s="969" t="s">
        <v>63</v>
      </c>
      <c r="AK74" s="969"/>
      <c r="AL74" s="969"/>
      <c r="AM74" s="369">
        <v>102</v>
      </c>
      <c r="AN74" s="369">
        <f>VLOOKUP($AN$5,'Lookup dBA'!$B$8:$E$208,3)</f>
        <v>108</v>
      </c>
      <c r="AO74" s="369">
        <f>VLOOKUP($AN$5,'Lookup dBA'!$B$8:$E$208,4)</f>
        <v>109</v>
      </c>
      <c r="AP74" s="369">
        <f>VLOOKUP($AN$5,'Lookup dBA'!$B$8:$E$208,2)</f>
        <v>116</v>
      </c>
      <c r="AQ74" s="361"/>
      <c r="AR74" s="364"/>
      <c r="AS74" s="367"/>
      <c r="AT74"/>
      <c r="AU74"/>
      <c r="AV74"/>
      <c r="AW74"/>
      <c r="AX74"/>
      <c r="BB74" s="32"/>
    </row>
    <row r="75" spans="35:54" ht="12.75" customHeight="1">
      <c r="AI75" s="360"/>
      <c r="AJ75" s="969" t="s">
        <v>64</v>
      </c>
      <c r="AK75" s="969"/>
      <c r="AL75" s="969"/>
      <c r="AM75" s="369">
        <f>AM74-PPE!$I$15</f>
        <v>89</v>
      </c>
      <c r="AN75" s="369">
        <f>AN74-PPE!$I$15</f>
        <v>95</v>
      </c>
      <c r="AO75" s="369">
        <f>AO74-PPE!$I$15</f>
        <v>96</v>
      </c>
      <c r="AP75" s="369">
        <f>AP74-PPE!$I$15</f>
        <v>103</v>
      </c>
      <c r="AQ75" s="361"/>
      <c r="AR75" s="364"/>
      <c r="AS75" s="367"/>
      <c r="AT75"/>
      <c r="AU75"/>
      <c r="AV75"/>
      <c r="AW75"/>
      <c r="AX75"/>
      <c r="BB75" s="32"/>
    </row>
    <row r="76" spans="35:54" ht="12.75" customHeight="1">
      <c r="AI76" s="360"/>
      <c r="AJ76" s="969" t="s">
        <v>529</v>
      </c>
      <c r="AK76" s="969"/>
      <c r="AL76" s="969"/>
      <c r="AM76" s="369">
        <v>110</v>
      </c>
      <c r="AN76" s="369">
        <v>110</v>
      </c>
      <c r="AO76" s="369">
        <v>110</v>
      </c>
      <c r="AP76" s="369">
        <v>110</v>
      </c>
      <c r="AQ76" s="361"/>
      <c r="AR76" s="364"/>
      <c r="AS76" s="367"/>
      <c r="AT76"/>
      <c r="AU76"/>
      <c r="AV76"/>
      <c r="AW76"/>
      <c r="AX76"/>
      <c r="BB76" s="32"/>
    </row>
    <row r="77" spans="35:54" ht="12.75" customHeight="1">
      <c r="AI77" s="360"/>
      <c r="AJ77" s="363"/>
      <c r="AK77" s="363"/>
      <c r="AL77" s="363"/>
      <c r="AM77" s="363"/>
      <c r="AN77" s="363"/>
      <c r="AO77" s="363"/>
      <c r="AP77" s="363"/>
      <c r="AQ77" s="555"/>
      <c r="AR77" s="364"/>
      <c r="AS77" s="367"/>
      <c r="AT77"/>
      <c r="AU77"/>
      <c r="AV77"/>
      <c r="AW77"/>
      <c r="AX77"/>
      <c r="BB77" s="17"/>
    </row>
    <row r="78" spans="35:54" ht="12.75" customHeight="1">
      <c r="AI78" s="360" t="s">
        <v>503</v>
      </c>
      <c r="AJ78" s="364" t="s">
        <v>528</v>
      </c>
      <c r="AK78" s="364"/>
      <c r="AL78" s="364"/>
      <c r="AM78" s="555"/>
      <c r="AN78" s="555"/>
      <c r="AO78" s="555"/>
      <c r="AP78" s="555"/>
      <c r="AQ78" s="555"/>
      <c r="AR78" s="364"/>
      <c r="AS78" s="367"/>
      <c r="AT78"/>
      <c r="AU78"/>
      <c r="AV78"/>
      <c r="AW78"/>
      <c r="AX78"/>
      <c r="BB78" s="17"/>
    </row>
    <row r="79" spans="35:54" ht="12.75" customHeight="1">
      <c r="AI79" s="360"/>
      <c r="AJ79" s="935" t="s">
        <v>678</v>
      </c>
      <c r="AK79" s="935"/>
      <c r="AL79" s="935"/>
      <c r="AM79" s="930" t="s">
        <v>500</v>
      </c>
      <c r="AN79" s="928" t="s">
        <v>22</v>
      </c>
      <c r="AO79" s="929" t="s">
        <v>579</v>
      </c>
      <c r="AP79" s="927" t="s">
        <v>21</v>
      </c>
      <c r="AQ79" s="361"/>
      <c r="AR79" s="364"/>
      <c r="AS79" s="367"/>
      <c r="AT79"/>
      <c r="AU79"/>
      <c r="AV79"/>
      <c r="AW79"/>
      <c r="AX79"/>
      <c r="BB79" s="17"/>
    </row>
    <row r="80" spans="35:54" ht="12.75" customHeight="1">
      <c r="AI80" s="360"/>
      <c r="AJ80" s="935"/>
      <c r="AK80" s="935"/>
      <c r="AL80" s="935"/>
      <c r="AM80" s="930"/>
      <c r="AN80" s="928"/>
      <c r="AO80" s="929"/>
      <c r="AP80" s="927"/>
      <c r="AQ80" s="361"/>
      <c r="AR80" s="364"/>
      <c r="AS80" s="367"/>
      <c r="AT80"/>
      <c r="AU80"/>
      <c r="AV80"/>
      <c r="AW80"/>
      <c r="AX80"/>
      <c r="BB80" s="17"/>
    </row>
    <row r="81" spans="35:54" ht="12.75" customHeight="1">
      <c r="AI81" s="360"/>
      <c r="AJ81" s="969" t="s">
        <v>63</v>
      </c>
      <c r="AK81" s="969"/>
      <c r="AL81" s="969"/>
      <c r="AM81" s="369">
        <f>VLOOKUP($AN$26,$AJ$314:$AR$319,5)</f>
        <v>108.02059991327964</v>
      </c>
      <c r="AN81" s="369">
        <f>VLOOKUP($AN$26,$AJ$314:$AR$319,3)</f>
        <v>114.02059991327963</v>
      </c>
      <c r="AO81" s="369">
        <f>VLOOKUP($AN$26,$AJ$314:$AR$319,4)</f>
        <v>115.02059991327963</v>
      </c>
      <c r="AP81" s="369">
        <f>VLOOKUP($AN$26,$AJ$314:$AR$319,2)</f>
        <v>122.02059991327964</v>
      </c>
      <c r="AQ81" s="361"/>
      <c r="AR81" s="364"/>
      <c r="AS81" s="367"/>
      <c r="AT81"/>
      <c r="AU81"/>
      <c r="AV81"/>
      <c r="AW81"/>
      <c r="AX81"/>
      <c r="BB81" s="17"/>
    </row>
    <row r="82" spans="35:54" ht="12.75" customHeight="1">
      <c r="AI82" s="360"/>
      <c r="AJ82" s="969" t="s">
        <v>64</v>
      </c>
      <c r="AK82" s="969"/>
      <c r="AL82" s="969"/>
      <c r="AM82" s="369">
        <f>AM81-PPE!$I$15</f>
        <v>95.020599913279639</v>
      </c>
      <c r="AN82" s="369">
        <f>AN81-PPE!$I$15</f>
        <v>101.02059991327963</v>
      </c>
      <c r="AO82" s="369">
        <f>AO81-PPE!$I$15</f>
        <v>102.02059991327963</v>
      </c>
      <c r="AP82" s="369">
        <f>AP81-PPE!$I$15</f>
        <v>109.02059991327964</v>
      </c>
      <c r="AQ82" s="361"/>
      <c r="AR82" s="364"/>
      <c r="AS82" s="367"/>
      <c r="AT82"/>
      <c r="AU82"/>
      <c r="AV82"/>
      <c r="AW82"/>
      <c r="AX82"/>
      <c r="BB82" s="17"/>
    </row>
    <row r="83" spans="35:54" ht="12.75" customHeight="1">
      <c r="AI83" s="360"/>
      <c r="AJ83" s="969" t="s">
        <v>529</v>
      </c>
      <c r="AK83" s="969"/>
      <c r="AL83" s="969"/>
      <c r="AM83" s="369">
        <v>110</v>
      </c>
      <c r="AN83" s="369">
        <v>110</v>
      </c>
      <c r="AO83" s="369">
        <v>110</v>
      </c>
      <c r="AP83" s="369">
        <v>110</v>
      </c>
      <c r="AQ83" s="361"/>
      <c r="AR83" s="364"/>
      <c r="AS83" s="367"/>
      <c r="AT83"/>
      <c r="AU83"/>
      <c r="AV83"/>
      <c r="AW83"/>
      <c r="AX83"/>
      <c r="BB83" s="17"/>
    </row>
    <row r="84" spans="35:54" ht="12.75" customHeight="1">
      <c r="AI84" s="360"/>
      <c r="AJ84" s="364"/>
      <c r="AK84" s="364"/>
      <c r="AL84" s="364"/>
      <c r="AM84" s="555"/>
      <c r="AN84" s="555"/>
      <c r="AO84" s="555"/>
      <c r="AP84" s="555"/>
      <c r="AQ84" s="555"/>
      <c r="AR84" s="364"/>
      <c r="AS84" s="367"/>
      <c r="AT84"/>
      <c r="AU84"/>
      <c r="AV84"/>
      <c r="AW84"/>
      <c r="AX84"/>
      <c r="BB84" s="17"/>
    </row>
    <row r="85" spans="35:54" ht="12.75" customHeight="1">
      <c r="AI85" s="385" t="s">
        <v>305</v>
      </c>
      <c r="AJ85" s="1008" t="s">
        <v>218</v>
      </c>
      <c r="AK85" s="1008"/>
      <c r="AL85" s="1008"/>
      <c r="AM85" s="1008"/>
      <c r="AN85" s="1008"/>
      <c r="AO85" s="1008"/>
      <c r="AP85" s="1008"/>
      <c r="AQ85" s="1008"/>
      <c r="AR85" s="536"/>
      <c r="AS85" s="367"/>
      <c r="AT85"/>
      <c r="AU85"/>
      <c r="AV85"/>
      <c r="AW85"/>
      <c r="AX85"/>
      <c r="BB85" s="43"/>
    </row>
    <row r="86" spans="35:54" ht="12.75" customHeight="1">
      <c r="AI86" s="546"/>
      <c r="AJ86" s="363"/>
      <c r="AK86" s="363"/>
      <c r="AL86" s="363"/>
      <c r="AM86" s="363"/>
      <c r="AN86" s="363"/>
      <c r="AO86" s="363"/>
      <c r="AP86" s="363"/>
      <c r="AQ86" s="363"/>
      <c r="AR86" s="364"/>
      <c r="AS86" s="367"/>
      <c r="AT86"/>
      <c r="AU86"/>
      <c r="AV86"/>
      <c r="AW86"/>
      <c r="AX86"/>
      <c r="BB86" s="43"/>
    </row>
    <row r="87" spans="35:54" ht="12.75" customHeight="1">
      <c r="AI87" s="546"/>
      <c r="AJ87" s="363" t="s">
        <v>436</v>
      </c>
      <c r="AK87" s="363"/>
      <c r="AL87" s="363"/>
      <c r="AM87" s="363"/>
      <c r="AN87" s="363"/>
      <c r="AO87" s="363"/>
      <c r="AP87" s="363"/>
      <c r="AQ87" s="363"/>
      <c r="AR87" s="364"/>
      <c r="AS87" s="367"/>
      <c r="AT87"/>
      <c r="AU87"/>
      <c r="AV87"/>
      <c r="AW87"/>
      <c r="AX87"/>
      <c r="BB87" s="43"/>
    </row>
    <row r="88" spans="35:54" ht="12.75" customHeight="1">
      <c r="AI88" s="360"/>
      <c r="AJ88" s="935" t="s">
        <v>678</v>
      </c>
      <c r="AK88" s="935"/>
      <c r="AL88" s="935"/>
      <c r="AM88" s="949" t="s">
        <v>500</v>
      </c>
      <c r="AN88" s="1011" t="s">
        <v>22</v>
      </c>
      <c r="AO88" s="1013" t="s">
        <v>579</v>
      </c>
      <c r="AP88" s="1009" t="s">
        <v>21</v>
      </c>
      <c r="AQ88" s="361"/>
      <c r="AR88" s="364"/>
      <c r="AS88" s="367"/>
      <c r="AT88"/>
      <c r="AU88"/>
      <c r="AV88"/>
      <c r="AW88"/>
      <c r="AX88"/>
    </row>
    <row r="89" spans="35:54" ht="12.75" customHeight="1">
      <c r="AI89" s="360"/>
      <c r="AJ89" s="935"/>
      <c r="AK89" s="935"/>
      <c r="AL89" s="935"/>
      <c r="AM89" s="950"/>
      <c r="AN89" s="1012"/>
      <c r="AO89" s="1014"/>
      <c r="AP89" s="1010"/>
      <c r="AQ89" s="361"/>
      <c r="AR89" s="364"/>
      <c r="AS89" s="367"/>
      <c r="AT89"/>
      <c r="AU89"/>
      <c r="AV89"/>
      <c r="AW89"/>
      <c r="AX89"/>
    </row>
    <row r="90" spans="35:54" ht="12.75" customHeight="1">
      <c r="AI90" s="360"/>
      <c r="AJ90" s="969" t="s">
        <v>63</v>
      </c>
      <c r="AK90" s="969"/>
      <c r="AL90" s="969"/>
      <c r="AM90" s="369">
        <f>AM419</f>
        <v>97.15</v>
      </c>
      <c r="AN90" s="369">
        <f>AM361</f>
        <v>101.95</v>
      </c>
      <c r="AO90" s="369">
        <f>AM390</f>
        <v>102.4</v>
      </c>
      <c r="AP90" s="369">
        <f>AM332</f>
        <v>108.5</v>
      </c>
      <c r="AQ90" s="361"/>
      <c r="AR90" s="364"/>
      <c r="AS90" s="367"/>
      <c r="AT90"/>
      <c r="AU90"/>
      <c r="AV90"/>
      <c r="AW90"/>
      <c r="AX90"/>
    </row>
    <row r="91" spans="35:54" ht="12.75" customHeight="1">
      <c r="AI91" s="360"/>
      <c r="AJ91" s="969" t="s">
        <v>64</v>
      </c>
      <c r="AK91" s="969"/>
      <c r="AL91" s="969"/>
      <c r="AM91" s="369">
        <f>AM432</f>
        <v>84.15</v>
      </c>
      <c r="AN91" s="369">
        <f>AM374</f>
        <v>88.95</v>
      </c>
      <c r="AO91" s="369">
        <f>AM403</f>
        <v>89.3</v>
      </c>
      <c r="AP91" s="369">
        <f>AM345</f>
        <v>95.55</v>
      </c>
      <c r="AQ91" s="361"/>
      <c r="AR91" s="364"/>
      <c r="AS91" s="367"/>
      <c r="AT91"/>
      <c r="AU91"/>
      <c r="AV91"/>
      <c r="AW91"/>
      <c r="AX91"/>
    </row>
    <row r="92" spans="35:54" ht="12.75" customHeight="1">
      <c r="AI92" s="360"/>
      <c r="AJ92" s="969" t="s">
        <v>530</v>
      </c>
      <c r="AK92" s="969"/>
      <c r="AL92" s="969"/>
      <c r="AM92" s="369">
        <v>85</v>
      </c>
      <c r="AN92" s="369">
        <v>85</v>
      </c>
      <c r="AO92" s="369">
        <v>85</v>
      </c>
      <c r="AP92" s="369">
        <v>85</v>
      </c>
      <c r="AQ92" s="361"/>
      <c r="AR92" s="364"/>
      <c r="AS92" s="367"/>
      <c r="AT92"/>
      <c r="AU92"/>
      <c r="AV92"/>
      <c r="AW92"/>
      <c r="AX92"/>
    </row>
    <row r="93" spans="35:54" ht="12.75" customHeight="1">
      <c r="AI93" s="360"/>
      <c r="AJ93" s="363"/>
      <c r="AK93" s="363"/>
      <c r="AL93" s="363"/>
      <c r="AM93" s="363"/>
      <c r="AN93" s="363"/>
      <c r="AO93" s="363"/>
      <c r="AP93" s="363"/>
      <c r="AQ93" s="363"/>
      <c r="AR93" s="364"/>
      <c r="AS93" s="367"/>
      <c r="AT93"/>
      <c r="AU93"/>
      <c r="AV93"/>
      <c r="AW93"/>
      <c r="AX93"/>
    </row>
    <row r="94" spans="35:54" ht="12.75" customHeight="1">
      <c r="AI94" s="360"/>
      <c r="AJ94" s="363" t="s">
        <v>437</v>
      </c>
      <c r="AK94" s="363"/>
      <c r="AL94" s="363"/>
      <c r="AM94" s="363"/>
      <c r="AN94" s="363"/>
      <c r="AO94" s="363"/>
      <c r="AP94" s="363"/>
      <c r="AQ94" s="363"/>
      <c r="AR94" s="364"/>
      <c r="AS94" s="367"/>
      <c r="AT94"/>
      <c r="AU94"/>
      <c r="AV94"/>
      <c r="AW94"/>
      <c r="AX94"/>
    </row>
    <row r="95" spans="35:54" ht="12.75" customHeight="1">
      <c r="AI95" s="360"/>
      <c r="AJ95" s="935" t="s">
        <v>678</v>
      </c>
      <c r="AK95" s="935"/>
      <c r="AL95" s="935"/>
      <c r="AM95" s="949" t="s">
        <v>500</v>
      </c>
      <c r="AN95" s="1011" t="s">
        <v>22</v>
      </c>
      <c r="AO95" s="1013" t="s">
        <v>579</v>
      </c>
      <c r="AP95" s="1009" t="s">
        <v>21</v>
      </c>
      <c r="AQ95" s="361"/>
      <c r="AR95" s="364"/>
      <c r="AS95" s="367"/>
      <c r="AT95"/>
      <c r="AU95"/>
      <c r="AV95"/>
      <c r="AW95"/>
      <c r="AX95"/>
    </row>
    <row r="96" spans="35:54" ht="12.75" customHeight="1">
      <c r="AI96" s="360"/>
      <c r="AJ96" s="935"/>
      <c r="AK96" s="935"/>
      <c r="AL96" s="935"/>
      <c r="AM96" s="950"/>
      <c r="AN96" s="1012"/>
      <c r="AO96" s="1014"/>
      <c r="AP96" s="1010"/>
      <c r="AQ96" s="361"/>
      <c r="AR96" s="364"/>
      <c r="AS96" s="367"/>
      <c r="AT96"/>
      <c r="AU96"/>
      <c r="AV96"/>
      <c r="AW96"/>
      <c r="AX96"/>
    </row>
    <row r="97" spans="35:50" ht="12.75" customHeight="1">
      <c r="AI97" s="360"/>
      <c r="AJ97" s="969" t="s">
        <v>63</v>
      </c>
      <c r="AK97" s="969"/>
      <c r="AL97" s="969"/>
      <c r="AM97" s="369">
        <f>AM538</f>
        <v>103.15</v>
      </c>
      <c r="AN97" s="369">
        <f>AM480</f>
        <v>107.95</v>
      </c>
      <c r="AO97" s="369">
        <f>AM509</f>
        <v>108.4</v>
      </c>
      <c r="AP97" s="369">
        <f>AM451</f>
        <v>113.95</v>
      </c>
      <c r="AQ97" s="361"/>
      <c r="AR97" s="364"/>
      <c r="AS97" s="367"/>
      <c r="AT97"/>
      <c r="AU97"/>
      <c r="AV97"/>
      <c r="AW97"/>
      <c r="AX97"/>
    </row>
    <row r="98" spans="35:50" ht="12.75" customHeight="1">
      <c r="AI98" s="360"/>
      <c r="AJ98" s="969" t="s">
        <v>64</v>
      </c>
      <c r="AK98" s="969"/>
      <c r="AL98" s="969"/>
      <c r="AM98" s="369">
        <f>AM551</f>
        <v>90.15</v>
      </c>
      <c r="AN98" s="369">
        <f>AM493</f>
        <v>94.95</v>
      </c>
      <c r="AO98" s="369">
        <f>AM522</f>
        <v>95.3</v>
      </c>
      <c r="AP98" s="369">
        <f>AM464</f>
        <v>101.55</v>
      </c>
      <c r="AQ98" s="361"/>
      <c r="AR98" s="364"/>
      <c r="AS98" s="367"/>
      <c r="AT98"/>
      <c r="AU98"/>
      <c r="AV98"/>
      <c r="AW98"/>
      <c r="AX98"/>
    </row>
    <row r="99" spans="35:50" ht="12.75" customHeight="1">
      <c r="AI99" s="360"/>
      <c r="AJ99" s="969" t="s">
        <v>530</v>
      </c>
      <c r="AK99" s="969"/>
      <c r="AL99" s="969"/>
      <c r="AM99" s="369">
        <v>85</v>
      </c>
      <c r="AN99" s="369">
        <v>85</v>
      </c>
      <c r="AO99" s="369">
        <v>85</v>
      </c>
      <c r="AP99" s="369">
        <v>85</v>
      </c>
      <c r="AQ99" s="361"/>
      <c r="AR99" s="364"/>
      <c r="AS99" s="367"/>
      <c r="AT99"/>
      <c r="AU99"/>
      <c r="AV99"/>
      <c r="AW99"/>
      <c r="AX99"/>
    </row>
    <row r="100" spans="35:50" ht="12.75" customHeight="1">
      <c r="AI100" s="360"/>
      <c r="AJ100" s="363"/>
      <c r="AK100" s="363"/>
      <c r="AL100" s="363"/>
      <c r="AM100" s="363"/>
      <c r="AN100" s="363"/>
      <c r="AO100" s="363"/>
      <c r="AP100" s="363"/>
      <c r="AQ100" s="363"/>
      <c r="AR100" s="364"/>
      <c r="AS100" s="367"/>
      <c r="AT100"/>
      <c r="AU100"/>
      <c r="AV100"/>
      <c r="AW100"/>
      <c r="AX100"/>
    </row>
    <row r="101" spans="35:50" s="133" customFormat="1" ht="12.75" customHeight="1">
      <c r="AI101" s="385" t="s">
        <v>222</v>
      </c>
      <c r="AJ101" s="1008" t="s">
        <v>504</v>
      </c>
      <c r="AK101" s="1008"/>
      <c r="AL101" s="1008"/>
      <c r="AM101" s="1008"/>
      <c r="AN101" s="1008"/>
      <c r="AO101" s="1008"/>
      <c r="AP101" s="1008"/>
      <c r="AQ101" s="1008"/>
      <c r="AR101" s="547"/>
      <c r="AS101" s="367"/>
      <c r="AT101"/>
      <c r="AU101"/>
      <c r="AV101"/>
      <c r="AW101"/>
      <c r="AX101"/>
    </row>
    <row r="102" spans="35:50" ht="12.75" customHeight="1">
      <c r="AI102" s="360"/>
      <c r="AJ102" s="363"/>
      <c r="AK102" s="363"/>
      <c r="AL102" s="363"/>
      <c r="AM102" s="363"/>
      <c r="AN102" s="363"/>
      <c r="AO102" s="363"/>
      <c r="AP102" s="363"/>
      <c r="AQ102" s="363"/>
      <c r="AR102" s="364"/>
      <c r="AS102" s="367"/>
      <c r="AT102"/>
      <c r="AU102"/>
      <c r="AV102"/>
      <c r="AW102"/>
      <c r="AX102"/>
    </row>
    <row r="103" spans="35:50" ht="12.75" customHeight="1">
      <c r="AI103" s="360" t="s">
        <v>505</v>
      </c>
      <c r="AJ103" s="363" t="s">
        <v>514</v>
      </c>
      <c r="AK103" s="363"/>
      <c r="AL103" s="363"/>
      <c r="AM103" s="363"/>
      <c r="AN103" s="363"/>
      <c r="AO103" s="363"/>
      <c r="AP103" s="363"/>
      <c r="AQ103" s="363"/>
      <c r="AR103" s="364"/>
      <c r="AS103" s="367"/>
      <c r="AT103"/>
      <c r="AU103"/>
      <c r="AV103"/>
      <c r="AW103"/>
      <c r="AX103"/>
    </row>
    <row r="104" spans="35:50" ht="12.75" customHeight="1">
      <c r="AI104" s="360"/>
      <c r="AJ104" s="363" t="s">
        <v>512</v>
      </c>
      <c r="AK104" s="363"/>
      <c r="AL104" s="363"/>
      <c r="AM104" s="363"/>
      <c r="AN104" s="363"/>
      <c r="AO104" s="363"/>
      <c r="AP104" s="363"/>
      <c r="AQ104" s="363"/>
      <c r="AR104" s="364"/>
      <c r="AS104" s="367"/>
      <c r="AT104"/>
      <c r="AU104"/>
      <c r="AV104"/>
      <c r="AW104"/>
      <c r="AX104"/>
    </row>
    <row r="105" spans="35:50" ht="12.75" customHeight="1">
      <c r="AI105" s="360"/>
      <c r="AJ105" s="998" t="s">
        <v>191</v>
      </c>
      <c r="AK105" s="999"/>
      <c r="AL105" s="1000"/>
      <c r="AM105" s="949" t="s">
        <v>500</v>
      </c>
      <c r="AN105" s="938" t="s">
        <v>22</v>
      </c>
      <c r="AO105" s="940" t="s">
        <v>579</v>
      </c>
      <c r="AP105" s="942" t="s">
        <v>21</v>
      </c>
      <c r="AQ105" s="361"/>
      <c r="AR105" s="364"/>
      <c r="AS105" s="367"/>
      <c r="AT105"/>
      <c r="AU105"/>
      <c r="AV105"/>
      <c r="AW105"/>
      <c r="AX105"/>
    </row>
    <row r="106" spans="35:50" ht="12.75" customHeight="1">
      <c r="AI106" s="360"/>
      <c r="AJ106" s="1001"/>
      <c r="AK106" s="1002"/>
      <c r="AL106" s="1003"/>
      <c r="AM106" s="950"/>
      <c r="AN106" s="939"/>
      <c r="AO106" s="941"/>
      <c r="AP106" s="943"/>
      <c r="AQ106" s="361"/>
      <c r="AR106" s="364"/>
      <c r="AS106" s="367"/>
      <c r="AT106"/>
      <c r="AU106"/>
      <c r="AV106"/>
      <c r="AW106"/>
      <c r="AX106"/>
    </row>
    <row r="107" spans="35:50" ht="12.75" customHeight="1">
      <c r="AI107" s="360"/>
      <c r="AJ107" s="969" t="s">
        <v>63</v>
      </c>
      <c r="AK107" s="969"/>
      <c r="AL107" s="969"/>
      <c r="AM107" s="537">
        <f>VLOOKUP(AM74,'Lookup Exposure Time'!$B$12:$C$732,2)</f>
        <v>10</v>
      </c>
      <c r="AN107" s="537">
        <f>VLOOKUP(AN74,'Lookup Exposure Time'!$B$12:$C$732,2)</f>
        <v>2.5</v>
      </c>
      <c r="AO107" s="537">
        <f>VLOOKUP(AO74,'Lookup Exposure Time'!$B$12:$C$732,2)</f>
        <v>1.875</v>
      </c>
      <c r="AP107" s="537">
        <f>VLOOKUP(AP74,'Lookup Exposure Time'!$B$12:$C$732,2)</f>
        <v>0.39061999999999986</v>
      </c>
      <c r="AQ107" s="361"/>
      <c r="AR107" s="364"/>
      <c r="AS107" s="367"/>
      <c r="AT107"/>
      <c r="AU107"/>
      <c r="AV107"/>
      <c r="AW107"/>
      <c r="AX107"/>
    </row>
    <row r="108" spans="35:50" ht="12.75" customHeight="1">
      <c r="AI108" s="360"/>
      <c r="AJ108" s="969" t="s">
        <v>64</v>
      </c>
      <c r="AK108" s="969"/>
      <c r="AL108" s="969"/>
      <c r="AM108" s="537">
        <f>VLOOKUP(AM75,'Lookup Exposure Time'!$B$12:$C$732,2)</f>
        <v>200</v>
      </c>
      <c r="AN108" s="537">
        <f>VLOOKUP(AN75,'Lookup Exposure Time'!$B$12:$C$732,2)</f>
        <v>50</v>
      </c>
      <c r="AO108" s="537">
        <f>VLOOKUP(AO75,'Lookup Exposure Time'!$B$12:$C$732,2)</f>
        <v>40</v>
      </c>
      <c r="AP108" s="537">
        <f>VLOOKUP(AP75,'Lookup Exposure Time'!$B$12:$C$732,2)</f>
        <v>7.5</v>
      </c>
      <c r="AQ108" s="361"/>
      <c r="AR108" s="364"/>
      <c r="AS108" s="367"/>
      <c r="AT108"/>
      <c r="AU108"/>
      <c r="AV108"/>
      <c r="AW108"/>
      <c r="AX108"/>
    </row>
    <row r="109" spans="35:50" ht="12.75" customHeight="1">
      <c r="AI109" s="360"/>
      <c r="AJ109" s="364"/>
      <c r="AK109" s="364"/>
      <c r="AL109" s="364"/>
      <c r="AM109" s="364"/>
      <c r="AN109" s="364"/>
      <c r="AO109" s="364"/>
      <c r="AP109" s="364"/>
      <c r="AQ109" s="363"/>
      <c r="AR109" s="364"/>
      <c r="AS109" s="367"/>
      <c r="AT109"/>
      <c r="AU109"/>
      <c r="AV109"/>
      <c r="AW109"/>
      <c r="AX109"/>
    </row>
    <row r="110" spans="35:50" ht="12.75" customHeight="1">
      <c r="AI110" s="360" t="s">
        <v>507</v>
      </c>
      <c r="AJ110" s="363" t="s">
        <v>513</v>
      </c>
      <c r="AK110" s="363"/>
      <c r="AL110" s="363"/>
      <c r="AM110" s="363"/>
      <c r="AN110" s="363"/>
      <c r="AO110" s="363"/>
      <c r="AP110" s="363"/>
      <c r="AQ110" s="363"/>
      <c r="AR110" s="364"/>
      <c r="AS110" s="367"/>
      <c r="AT110"/>
      <c r="AU110"/>
      <c r="AV110"/>
      <c r="AW110"/>
      <c r="AX110"/>
    </row>
    <row r="111" spans="35:50" ht="12.75" customHeight="1">
      <c r="AI111" s="360"/>
      <c r="AJ111" s="998" t="s">
        <v>191</v>
      </c>
      <c r="AK111" s="999"/>
      <c r="AL111" s="1000"/>
      <c r="AM111" s="949" t="s">
        <v>500</v>
      </c>
      <c r="AN111" s="938" t="s">
        <v>22</v>
      </c>
      <c r="AO111" s="940" t="s">
        <v>579</v>
      </c>
      <c r="AP111" s="942" t="s">
        <v>21</v>
      </c>
      <c r="AQ111" s="361"/>
      <c r="AR111" s="364"/>
      <c r="AS111" s="367"/>
      <c r="AT111"/>
      <c r="AU111"/>
      <c r="AV111"/>
      <c r="AW111"/>
      <c r="AX111"/>
    </row>
    <row r="112" spans="35:50" ht="12.75" customHeight="1">
      <c r="AI112" s="360"/>
      <c r="AJ112" s="1001"/>
      <c r="AK112" s="1002"/>
      <c r="AL112" s="1003"/>
      <c r="AM112" s="950"/>
      <c r="AN112" s="939"/>
      <c r="AO112" s="941"/>
      <c r="AP112" s="943"/>
      <c r="AQ112" s="361"/>
      <c r="AR112" s="364"/>
      <c r="AS112" s="367"/>
      <c r="AT112"/>
      <c r="AU112"/>
      <c r="AV112"/>
      <c r="AW112"/>
      <c r="AX112"/>
    </row>
    <row r="113" spans="35:50" ht="12.75" customHeight="1">
      <c r="AI113" s="360"/>
      <c r="AJ113" s="969" t="s">
        <v>63</v>
      </c>
      <c r="AK113" s="969"/>
      <c r="AL113" s="969"/>
      <c r="AM113" s="671">
        <f>VLOOKUP(AM81,'Lookup Exposure Time'!$B$12:$C$732,2)</f>
        <v>2.5</v>
      </c>
      <c r="AN113" s="671">
        <f>VLOOKUP(AN81,'Lookup Exposure Time'!$B$12:$C$732,2)</f>
        <v>0.625</v>
      </c>
      <c r="AO113" s="671">
        <f>VLOOKUP(AO81,'Lookup Exposure Time'!$B$12:$C$732,2)</f>
        <v>0.46875</v>
      </c>
      <c r="AP113" s="671">
        <f>VLOOKUP(AP81,'Lookup Exposure Time'!$B$12:$C$732,2)</f>
        <v>9.765625E-2</v>
      </c>
      <c r="AQ113" s="361"/>
      <c r="AR113" s="364"/>
      <c r="AS113" s="367"/>
      <c r="AT113"/>
      <c r="AU113"/>
      <c r="AV113"/>
      <c r="AW113"/>
      <c r="AX113"/>
    </row>
    <row r="114" spans="35:50" ht="12.75" customHeight="1">
      <c r="AI114" s="360"/>
      <c r="AJ114" s="969" t="s">
        <v>64</v>
      </c>
      <c r="AK114" s="969"/>
      <c r="AL114" s="969"/>
      <c r="AM114" s="557">
        <f>VLOOKUP(AM82,'Lookup Exposure Time'!$B$12:$C$732,2)</f>
        <v>50</v>
      </c>
      <c r="AN114" s="557">
        <f>VLOOKUP(AN82,'Lookup Exposure Time'!$B$12:$C$732,2)</f>
        <v>12.5</v>
      </c>
      <c r="AO114" s="557">
        <f>VLOOKUP(AO82,'Lookup Exposure Time'!$B$12:$C$732,2)</f>
        <v>10</v>
      </c>
      <c r="AP114" s="557">
        <f>VLOOKUP(AP82,'Lookup Exposure Time'!$B$12:$C$732,2)</f>
        <v>1.875</v>
      </c>
      <c r="AQ114" s="361"/>
      <c r="AR114" s="364"/>
      <c r="AS114" s="367"/>
      <c r="AT114"/>
      <c r="AU114"/>
      <c r="AV114"/>
      <c r="AW114"/>
      <c r="AX114"/>
    </row>
    <row r="115" spans="35:50" ht="12.75" customHeight="1">
      <c r="AI115" s="360"/>
      <c r="AJ115" s="363"/>
      <c r="AK115" s="363"/>
      <c r="AL115" s="363"/>
      <c r="AM115" s="363"/>
      <c r="AN115" s="363"/>
      <c r="AO115" s="363"/>
      <c r="AP115" s="363"/>
      <c r="AQ115" s="363"/>
      <c r="AR115" s="364"/>
      <c r="AS115" s="367"/>
      <c r="AT115"/>
      <c r="AU115"/>
      <c r="AV115"/>
      <c r="AW115"/>
      <c r="AX115"/>
    </row>
    <row r="116" spans="35:50" ht="12.75" customHeight="1">
      <c r="AI116" s="360" t="s">
        <v>508</v>
      </c>
      <c r="AJ116" s="363" t="s">
        <v>531</v>
      </c>
      <c r="AK116" s="363"/>
      <c r="AL116" s="363"/>
      <c r="AM116" s="363"/>
      <c r="AN116" s="363"/>
      <c r="AO116" s="363"/>
      <c r="AP116" s="363"/>
      <c r="AQ116" s="363"/>
      <c r="AR116" s="364"/>
      <c r="AS116" s="367"/>
      <c r="AT116"/>
      <c r="AU116"/>
      <c r="AV116"/>
      <c r="AW116"/>
      <c r="AX116"/>
    </row>
    <row r="117" spans="35:50" ht="12.75" customHeight="1">
      <c r="AI117" s="360"/>
      <c r="AJ117" s="998" t="s">
        <v>191</v>
      </c>
      <c r="AK117" s="999"/>
      <c r="AL117" s="1000"/>
      <c r="AM117" s="949" t="s">
        <v>500</v>
      </c>
      <c r="AN117" s="938" t="s">
        <v>22</v>
      </c>
      <c r="AO117" s="940" t="s">
        <v>579</v>
      </c>
      <c r="AP117" s="942" t="s">
        <v>21</v>
      </c>
      <c r="AQ117" s="361"/>
      <c r="AR117" s="364"/>
      <c r="AS117" s="367"/>
      <c r="AT117"/>
      <c r="AU117"/>
      <c r="AV117"/>
      <c r="AW117"/>
      <c r="AX117"/>
    </row>
    <row r="118" spans="35:50" ht="12.75" customHeight="1">
      <c r="AI118" s="360"/>
      <c r="AJ118" s="1001"/>
      <c r="AK118" s="1002"/>
      <c r="AL118" s="1003"/>
      <c r="AM118" s="950"/>
      <c r="AN118" s="939"/>
      <c r="AO118" s="941"/>
      <c r="AP118" s="943"/>
      <c r="AQ118" s="361"/>
      <c r="AR118" s="364"/>
      <c r="AS118" s="367"/>
      <c r="AT118"/>
      <c r="AU118"/>
      <c r="AV118"/>
      <c r="AW118"/>
      <c r="AX118"/>
    </row>
    <row r="119" spans="35:50" ht="12.75" customHeight="1">
      <c r="AI119" s="360"/>
      <c r="AJ119" s="969" t="s">
        <v>63</v>
      </c>
      <c r="AK119" s="969"/>
      <c r="AL119" s="969"/>
      <c r="AM119" s="537">
        <f t="shared" ref="AM119:AP120" si="5">AM107/60</f>
        <v>0.16666666666666666</v>
      </c>
      <c r="AN119" s="537">
        <f t="shared" si="5"/>
        <v>4.1666666666666664E-2</v>
      </c>
      <c r="AO119" s="537">
        <f t="shared" si="5"/>
        <v>3.125E-2</v>
      </c>
      <c r="AP119" s="537">
        <f t="shared" si="5"/>
        <v>6.5103333333333306E-3</v>
      </c>
      <c r="AQ119" s="361"/>
      <c r="AR119" s="364"/>
      <c r="AS119" s="367"/>
      <c r="AT119"/>
      <c r="AU119"/>
      <c r="AV119"/>
      <c r="AW119"/>
      <c r="AX119"/>
    </row>
    <row r="120" spans="35:50" ht="12.75" customHeight="1">
      <c r="AI120" s="360"/>
      <c r="AJ120" s="969" t="s">
        <v>64</v>
      </c>
      <c r="AK120" s="969"/>
      <c r="AL120" s="969"/>
      <c r="AM120" s="537">
        <f t="shared" si="5"/>
        <v>3.3333333333333335</v>
      </c>
      <c r="AN120" s="537">
        <f t="shared" si="5"/>
        <v>0.83333333333333337</v>
      </c>
      <c r="AO120" s="537">
        <f t="shared" si="5"/>
        <v>0.66666666666666663</v>
      </c>
      <c r="AP120" s="537">
        <f t="shared" si="5"/>
        <v>0.125</v>
      </c>
      <c r="AQ120" s="361"/>
      <c r="AR120" s="364"/>
      <c r="AS120" s="367"/>
      <c r="AT120"/>
      <c r="AU120"/>
      <c r="AV120"/>
      <c r="AW120"/>
      <c r="AX120"/>
    </row>
    <row r="121" spans="35:50" ht="12.75" customHeight="1">
      <c r="AI121" s="360"/>
      <c r="AJ121" s="364"/>
      <c r="AK121" s="364"/>
      <c r="AL121" s="364"/>
      <c r="AM121" s="364"/>
      <c r="AN121" s="364"/>
      <c r="AO121" s="364"/>
      <c r="AP121" s="364"/>
      <c r="AQ121" s="363"/>
      <c r="AR121" s="364"/>
      <c r="AS121" s="367"/>
      <c r="AT121"/>
      <c r="AU121"/>
      <c r="AV121"/>
      <c r="AW121"/>
      <c r="AX121"/>
    </row>
    <row r="122" spans="35:50" ht="12.75" customHeight="1">
      <c r="AI122" s="360" t="s">
        <v>506</v>
      </c>
      <c r="AJ122" s="363" t="s">
        <v>532</v>
      </c>
      <c r="AK122" s="363"/>
      <c r="AL122" s="363"/>
      <c r="AM122" s="363"/>
      <c r="AN122" s="363"/>
      <c r="AO122" s="363"/>
      <c r="AP122" s="363"/>
      <c r="AQ122" s="363"/>
      <c r="AR122" s="364"/>
      <c r="AS122" s="367"/>
      <c r="AT122"/>
      <c r="AU122"/>
      <c r="AV122"/>
      <c r="AW122"/>
      <c r="AX122"/>
    </row>
    <row r="123" spans="35:50" ht="12.75" customHeight="1">
      <c r="AI123" s="360"/>
      <c r="AJ123" s="998" t="s">
        <v>191</v>
      </c>
      <c r="AK123" s="999"/>
      <c r="AL123" s="1000"/>
      <c r="AM123" s="949" t="s">
        <v>500</v>
      </c>
      <c r="AN123" s="938" t="s">
        <v>22</v>
      </c>
      <c r="AO123" s="940" t="s">
        <v>579</v>
      </c>
      <c r="AP123" s="942" t="s">
        <v>21</v>
      </c>
      <c r="AQ123" s="361"/>
      <c r="AR123" s="364"/>
      <c r="AS123" s="367"/>
      <c r="AT123"/>
      <c r="AU123"/>
      <c r="AV123"/>
      <c r="AW123"/>
      <c r="AX123"/>
    </row>
    <row r="124" spans="35:50" ht="12.75" customHeight="1">
      <c r="AI124" s="360"/>
      <c r="AJ124" s="1001"/>
      <c r="AK124" s="1002"/>
      <c r="AL124" s="1003"/>
      <c r="AM124" s="950"/>
      <c r="AN124" s="939"/>
      <c r="AO124" s="941"/>
      <c r="AP124" s="943"/>
      <c r="AQ124" s="361"/>
      <c r="AR124" s="364"/>
      <c r="AS124" s="367"/>
      <c r="AT124"/>
      <c r="AU124"/>
      <c r="AV124"/>
      <c r="AW124"/>
      <c r="AX124"/>
    </row>
    <row r="125" spans="35:50" ht="12.75" customHeight="1">
      <c r="AI125" s="360"/>
      <c r="AJ125" s="969" t="s">
        <v>63</v>
      </c>
      <c r="AK125" s="969"/>
      <c r="AL125" s="969"/>
      <c r="AM125" s="537">
        <f t="shared" ref="AM125:AP126" si="6">AM113/60</f>
        <v>4.1666666666666664E-2</v>
      </c>
      <c r="AN125" s="537">
        <f t="shared" si="6"/>
        <v>1.0416666666666666E-2</v>
      </c>
      <c r="AO125" s="537">
        <f t="shared" si="6"/>
        <v>7.8125E-3</v>
      </c>
      <c r="AP125" s="537">
        <f t="shared" si="6"/>
        <v>1.6276041666666667E-3</v>
      </c>
      <c r="AQ125" s="361"/>
      <c r="AR125" s="364"/>
      <c r="AS125" s="367"/>
      <c r="AT125"/>
      <c r="AU125"/>
      <c r="AV125"/>
      <c r="AW125"/>
      <c r="AX125"/>
    </row>
    <row r="126" spans="35:50" ht="12.75" customHeight="1">
      <c r="AI126" s="360"/>
      <c r="AJ126" s="969" t="s">
        <v>64</v>
      </c>
      <c r="AK126" s="969"/>
      <c r="AL126" s="969"/>
      <c r="AM126" s="537">
        <f t="shared" si="6"/>
        <v>0.83333333333333337</v>
      </c>
      <c r="AN126" s="537">
        <f t="shared" si="6"/>
        <v>0.20833333333333334</v>
      </c>
      <c r="AO126" s="537">
        <f t="shared" si="6"/>
        <v>0.16666666666666666</v>
      </c>
      <c r="AP126" s="537">
        <f t="shared" si="6"/>
        <v>3.125E-2</v>
      </c>
      <c r="AQ126" s="361"/>
      <c r="AR126" s="364"/>
      <c r="AS126" s="367"/>
      <c r="AT126"/>
      <c r="AU126"/>
      <c r="AV126"/>
      <c r="AW126"/>
      <c r="AX126"/>
    </row>
    <row r="127" spans="35:50" ht="12.75" customHeight="1">
      <c r="AI127" s="360"/>
      <c r="AJ127" s="363"/>
      <c r="AK127" s="363"/>
      <c r="AL127" s="363"/>
      <c r="AM127" s="363"/>
      <c r="AN127" s="363"/>
      <c r="AO127" s="363"/>
      <c r="AP127" s="363"/>
      <c r="AQ127" s="363"/>
      <c r="AR127" s="364"/>
      <c r="AS127" s="367"/>
      <c r="AT127"/>
      <c r="AU127"/>
      <c r="AV127"/>
      <c r="AW127"/>
      <c r="AX127"/>
    </row>
    <row r="128" spans="35:50" ht="12.75" customHeight="1">
      <c r="AI128" s="546" t="s">
        <v>231</v>
      </c>
      <c r="AJ128" s="952" t="s">
        <v>232</v>
      </c>
      <c r="AK128" s="952"/>
      <c r="AL128" s="952"/>
      <c r="AM128" s="952"/>
      <c r="AN128" s="952"/>
      <c r="AO128" s="952"/>
      <c r="AP128" s="952"/>
      <c r="AQ128" s="952"/>
      <c r="AR128" s="360"/>
      <c r="AS128" s="367"/>
      <c r="AT128"/>
      <c r="AU128"/>
      <c r="AV128"/>
      <c r="AW128"/>
      <c r="AX128"/>
    </row>
    <row r="129" spans="35:50" ht="12.75" customHeight="1">
      <c r="AI129" s="546"/>
      <c r="AJ129" s="360"/>
      <c r="AK129" s="360"/>
      <c r="AL129" s="360"/>
      <c r="AM129" s="360"/>
      <c r="AN129" s="360"/>
      <c r="AO129" s="360"/>
      <c r="AP129" s="360"/>
      <c r="AQ129" s="360"/>
      <c r="AR129" s="360"/>
      <c r="AS129" s="367"/>
      <c r="AT129"/>
      <c r="AU129"/>
      <c r="AV129"/>
      <c r="AW129"/>
      <c r="AX129"/>
    </row>
    <row r="130" spans="35:50" ht="12.75" customHeight="1">
      <c r="AI130" s="546"/>
      <c r="AJ130" s="363" t="s">
        <v>233</v>
      </c>
      <c r="AK130" s="363"/>
      <c r="AL130" s="363"/>
      <c r="AM130" s="363"/>
      <c r="AN130" s="363"/>
      <c r="AO130" s="363"/>
      <c r="AP130" s="363"/>
      <c r="AQ130" s="363"/>
      <c r="AR130" s="364"/>
      <c r="AS130" s="367"/>
      <c r="AT130"/>
      <c r="AU130"/>
      <c r="AV130"/>
      <c r="AW130"/>
      <c r="AX130"/>
    </row>
    <row r="131" spans="35:50" ht="12.75" customHeight="1">
      <c r="AI131" s="360"/>
      <c r="AJ131" s="998" t="s">
        <v>678</v>
      </c>
      <c r="AK131" s="999"/>
      <c r="AL131" s="1000"/>
      <c r="AM131" s="949" t="s">
        <v>470</v>
      </c>
      <c r="AN131" s="938" t="s">
        <v>22</v>
      </c>
      <c r="AO131" s="940" t="s">
        <v>579</v>
      </c>
      <c r="AP131" s="942" t="s">
        <v>21</v>
      </c>
      <c r="AQ131" s="361"/>
      <c r="AR131" s="364"/>
      <c r="AS131" s="367"/>
      <c r="AT131"/>
      <c r="AU131"/>
      <c r="AV131"/>
      <c r="AW131"/>
      <c r="AX131"/>
    </row>
    <row r="132" spans="35:50" ht="12.75" customHeight="1">
      <c r="AI132" s="360"/>
      <c r="AJ132" s="1001"/>
      <c r="AK132" s="1002"/>
      <c r="AL132" s="1003"/>
      <c r="AM132" s="950"/>
      <c r="AN132" s="939"/>
      <c r="AO132" s="941"/>
      <c r="AP132" s="943"/>
      <c r="AQ132" s="361"/>
      <c r="AR132" s="364"/>
      <c r="AS132" s="367"/>
      <c r="AT132"/>
      <c r="AU132"/>
      <c r="AV132"/>
      <c r="AW132"/>
      <c r="AX132"/>
    </row>
    <row r="133" spans="35:50" ht="12.75" customHeight="1">
      <c r="AI133" s="360"/>
      <c r="AJ133" s="969" t="s">
        <v>234</v>
      </c>
      <c r="AK133" s="969"/>
      <c r="AL133" s="969"/>
      <c r="AM133" s="672">
        <v>8.3000000000000007</v>
      </c>
      <c r="AN133" s="672">
        <f>VLOOKUP($AN$5,'Lookup Vibration'!$B$8:$F$208,3)</f>
        <v>18.049999999999951</v>
      </c>
      <c r="AO133" s="672">
        <f>VLOOKUP($AN$5,'Lookup Vibration'!$B$8:$F$208,4)</f>
        <v>19.950000000000074</v>
      </c>
      <c r="AP133" s="672">
        <f>VLOOKUP($AN$5,'Lookup Vibration'!$B$8:$F$208,2)</f>
        <v>18.049999999999951</v>
      </c>
      <c r="AQ133" s="361"/>
      <c r="AR133" s="364"/>
      <c r="AS133" s="367"/>
      <c r="AT133"/>
      <c r="AU133"/>
      <c r="AV133"/>
      <c r="AW133"/>
      <c r="AX133"/>
    </row>
    <row r="134" spans="35:50" ht="12.75" customHeight="1">
      <c r="AI134" s="360"/>
      <c r="AJ134" s="363"/>
      <c r="AK134" s="363"/>
      <c r="AL134" s="363"/>
      <c r="AM134" s="363"/>
      <c r="AN134" s="363"/>
      <c r="AO134" s="363"/>
      <c r="AP134" s="363"/>
      <c r="AQ134" s="363"/>
      <c r="AR134" s="364"/>
      <c r="AS134" s="367"/>
      <c r="AT134"/>
      <c r="AU134"/>
      <c r="AV134"/>
      <c r="AW134"/>
      <c r="AX134"/>
    </row>
    <row r="135" spans="35:50" ht="12.75" customHeight="1">
      <c r="AI135" s="546" t="s">
        <v>235</v>
      </c>
      <c r="AJ135" s="952" t="s">
        <v>34</v>
      </c>
      <c r="AK135" s="952"/>
      <c r="AL135" s="952"/>
      <c r="AM135" s="952"/>
      <c r="AN135" s="952"/>
      <c r="AO135" s="952"/>
      <c r="AP135" s="952"/>
      <c r="AQ135" s="952"/>
      <c r="AR135" s="360"/>
      <c r="AS135" s="367"/>
      <c r="AT135"/>
      <c r="AU135"/>
      <c r="AV135"/>
      <c r="AW135"/>
      <c r="AX135"/>
    </row>
    <row r="136" spans="35:50" ht="12.75" customHeight="1">
      <c r="AI136" s="546"/>
      <c r="AJ136" s="363"/>
      <c r="AK136" s="363"/>
      <c r="AL136" s="363"/>
      <c r="AM136" s="363"/>
      <c r="AN136" s="363"/>
      <c r="AO136" s="363"/>
      <c r="AP136" s="363"/>
      <c r="AQ136" s="363"/>
      <c r="AR136" s="364"/>
      <c r="AS136" s="367"/>
      <c r="AT136"/>
      <c r="AU136"/>
      <c r="AV136"/>
      <c r="AW136"/>
      <c r="AX136"/>
    </row>
    <row r="137" spans="35:50" ht="12.75" customHeight="1">
      <c r="AI137" s="360"/>
      <c r="AJ137" s="998" t="s">
        <v>678</v>
      </c>
      <c r="AK137" s="999"/>
      <c r="AL137" s="1000"/>
      <c r="AM137" s="949" t="s">
        <v>500</v>
      </c>
      <c r="AN137" s="938" t="s">
        <v>22</v>
      </c>
      <c r="AO137" s="940" t="s">
        <v>579</v>
      </c>
      <c r="AP137" s="942" t="s">
        <v>21</v>
      </c>
      <c r="AQ137" s="361"/>
      <c r="AR137" s="364"/>
      <c r="AS137" s="367"/>
      <c r="AT137"/>
      <c r="AU137"/>
      <c r="AV137"/>
      <c r="AW137"/>
      <c r="AX137"/>
    </row>
    <row r="138" spans="35:50" ht="12.75" customHeight="1">
      <c r="AI138" s="360"/>
      <c r="AJ138" s="1001"/>
      <c r="AK138" s="1002"/>
      <c r="AL138" s="1003"/>
      <c r="AM138" s="950"/>
      <c r="AN138" s="939"/>
      <c r="AO138" s="941"/>
      <c r="AP138" s="943"/>
      <c r="AQ138" s="361"/>
      <c r="AR138" s="364"/>
      <c r="AS138" s="367"/>
      <c r="AT138"/>
      <c r="AU138"/>
      <c r="AV138"/>
      <c r="AW138"/>
      <c r="AX138"/>
    </row>
    <row r="139" spans="35:50" ht="12.75" customHeight="1">
      <c r="AI139" s="360"/>
      <c r="AJ139" s="1004" t="s">
        <v>298</v>
      </c>
      <c r="AK139" s="1004"/>
      <c r="AL139" s="1004"/>
      <c r="AM139" s="673" t="s">
        <v>819</v>
      </c>
      <c r="AN139" s="673" t="s">
        <v>818</v>
      </c>
      <c r="AO139" s="673" t="s">
        <v>819</v>
      </c>
      <c r="AP139" s="673" t="s">
        <v>818</v>
      </c>
      <c r="AQ139" s="361"/>
      <c r="AR139" s="364"/>
      <c r="AS139" s="367"/>
      <c r="AT139"/>
      <c r="AU139"/>
      <c r="AV139"/>
      <c r="AW139"/>
      <c r="AX139"/>
    </row>
    <row r="140" spans="35:50" ht="12.75" customHeight="1">
      <c r="AI140" s="360"/>
      <c r="AJ140" s="931" t="s">
        <v>299</v>
      </c>
      <c r="AK140" s="931"/>
      <c r="AL140" s="931"/>
      <c r="AM140" s="673" t="s">
        <v>297</v>
      </c>
      <c r="AN140" s="673" t="s">
        <v>296</v>
      </c>
      <c r="AO140" s="673" t="s">
        <v>296</v>
      </c>
      <c r="AP140" s="673" t="s">
        <v>296</v>
      </c>
      <c r="AQ140" s="361"/>
      <c r="AR140" s="364"/>
      <c r="AS140" s="367"/>
      <c r="AT140"/>
      <c r="AU140"/>
      <c r="AV140"/>
      <c r="AW140"/>
      <c r="AX140"/>
    </row>
    <row r="141" spans="35:50" ht="12.75" customHeight="1">
      <c r="AI141" s="360"/>
      <c r="AJ141" s="363"/>
      <c r="AK141" s="363"/>
      <c r="AL141" s="363"/>
      <c r="AM141" s="363"/>
      <c r="AN141" s="363"/>
      <c r="AO141" s="363"/>
      <c r="AP141" s="363"/>
      <c r="AQ141" s="363"/>
      <c r="AR141" s="363"/>
      <c r="AS141" s="367"/>
      <c r="AT141"/>
      <c r="AU141"/>
      <c r="AV141"/>
      <c r="AW141"/>
      <c r="AX141"/>
    </row>
    <row r="142" spans="35:50" ht="12.75" customHeight="1">
      <c r="AI142" s="546" t="s">
        <v>236</v>
      </c>
      <c r="AJ142" s="952" t="s">
        <v>237</v>
      </c>
      <c r="AK142" s="952"/>
      <c r="AL142" s="952"/>
      <c r="AM142" s="952"/>
      <c r="AN142" s="952"/>
      <c r="AO142" s="952"/>
      <c r="AP142" s="952"/>
      <c r="AQ142" s="952"/>
      <c r="AR142" s="360"/>
      <c r="AS142" s="367"/>
      <c r="AT142"/>
      <c r="AU142"/>
      <c r="AV142"/>
      <c r="AW142"/>
      <c r="AX142"/>
    </row>
    <row r="143" spans="35:50" ht="12.75" customHeight="1">
      <c r="AI143" s="360"/>
      <c r="AJ143" s="363"/>
      <c r="AK143" s="363"/>
      <c r="AL143" s="363"/>
      <c r="AM143" s="363"/>
      <c r="AN143" s="363"/>
      <c r="AO143" s="363"/>
      <c r="AP143" s="363"/>
      <c r="AQ143" s="363"/>
      <c r="AR143" s="363"/>
      <c r="AS143" s="367"/>
      <c r="AT143"/>
      <c r="AU143"/>
      <c r="AV143"/>
      <c r="AW143"/>
      <c r="AX143"/>
    </row>
    <row r="144" spans="35:50" ht="12.75" customHeight="1">
      <c r="AI144" s="668" t="s">
        <v>238</v>
      </c>
      <c r="AJ144" s="364" t="s">
        <v>239</v>
      </c>
      <c r="AK144" s="364"/>
      <c r="AL144" s="364"/>
      <c r="AM144" s="364"/>
      <c r="AN144" s="364"/>
      <c r="AO144" s="364"/>
      <c r="AP144" s="364"/>
      <c r="AQ144" s="364"/>
      <c r="AR144" s="364"/>
      <c r="AS144" s="367"/>
      <c r="AT144"/>
      <c r="AU144"/>
      <c r="AV144"/>
      <c r="AW144"/>
      <c r="AX144"/>
    </row>
    <row r="145" spans="35:50" ht="12.75" customHeight="1">
      <c r="AI145" s="668"/>
      <c r="AJ145" s="364" t="s">
        <v>469</v>
      </c>
      <c r="AK145" s="364"/>
      <c r="AL145" s="364"/>
      <c r="AM145" s="364"/>
      <c r="AN145" s="364"/>
      <c r="AO145" s="364"/>
      <c r="AP145" s="364"/>
      <c r="AQ145" s="364"/>
      <c r="AR145" s="364"/>
      <c r="AS145" s="367"/>
      <c r="AT145"/>
      <c r="AU145"/>
      <c r="AV145"/>
      <c r="AW145"/>
      <c r="AX145"/>
    </row>
    <row r="146" spans="35:50" ht="12.75" customHeight="1">
      <c r="AI146" s="668"/>
      <c r="AJ146" s="364"/>
      <c r="AK146" s="364"/>
      <c r="AL146" s="364"/>
      <c r="AM146" s="364"/>
      <c r="AN146" s="364"/>
      <c r="AO146" s="364"/>
      <c r="AP146" s="364"/>
      <c r="AQ146" s="364"/>
      <c r="AR146" s="364"/>
      <c r="AS146" s="367"/>
      <c r="AT146"/>
      <c r="AU146"/>
      <c r="AV146"/>
      <c r="AW146"/>
      <c r="AX146"/>
    </row>
    <row r="147" spans="35:50" ht="12.75" customHeight="1">
      <c r="AI147" s="668"/>
      <c r="AJ147" s="1005" t="s">
        <v>734</v>
      </c>
      <c r="AK147" s="1006"/>
      <c r="AL147" s="1006"/>
      <c r="AM147" s="1006"/>
      <c r="AN147" s="1006"/>
      <c r="AO147" s="1007"/>
      <c r="AP147" s="351">
        <f>'Compressor Input Data'!G5</f>
        <v>22800</v>
      </c>
      <c r="AQ147" s="364"/>
      <c r="AR147" s="364"/>
      <c r="AS147" s="367"/>
      <c r="AT147"/>
      <c r="AU147"/>
      <c r="AV147"/>
      <c r="AW147"/>
      <c r="AX147"/>
    </row>
    <row r="148" spans="35:50" ht="12.75" customHeight="1">
      <c r="AI148" s="668"/>
      <c r="AJ148" s="990" t="s">
        <v>430</v>
      </c>
      <c r="AK148" s="991"/>
      <c r="AL148" s="992"/>
      <c r="AM148" s="949" t="s">
        <v>500</v>
      </c>
      <c r="AN148" s="938" t="s">
        <v>22</v>
      </c>
      <c r="AO148" s="940" t="s">
        <v>579</v>
      </c>
      <c r="AP148" s="942" t="s">
        <v>21</v>
      </c>
      <c r="AQ148" s="361"/>
      <c r="AR148" s="364"/>
      <c r="AS148" s="367"/>
      <c r="AT148"/>
      <c r="AU148"/>
      <c r="AV148"/>
      <c r="AW148"/>
      <c r="AX148"/>
    </row>
    <row r="149" spans="35:50" ht="12.75" customHeight="1">
      <c r="AI149" s="668"/>
      <c r="AJ149" s="993"/>
      <c r="AK149" s="994"/>
      <c r="AL149" s="995"/>
      <c r="AM149" s="950"/>
      <c r="AN149" s="939"/>
      <c r="AO149" s="941"/>
      <c r="AP149" s="943"/>
      <c r="AQ149" s="361"/>
      <c r="AR149" s="364"/>
      <c r="AS149" s="367"/>
      <c r="AT149"/>
      <c r="AU149"/>
      <c r="AV149"/>
      <c r="AW149"/>
      <c r="AX149"/>
    </row>
    <row r="150" spans="35:50" ht="12.75" customHeight="1">
      <c r="AI150" s="668"/>
      <c r="AJ150" s="973" t="s">
        <v>555</v>
      </c>
      <c r="AK150" s="973"/>
      <c r="AL150" s="973"/>
      <c r="AM150" s="996"/>
      <c r="AN150" s="544">
        <f>AP150</f>
        <v>22800</v>
      </c>
      <c r="AO150" s="544">
        <f>AP150</f>
        <v>22800</v>
      </c>
      <c r="AP150" s="544">
        <f>AP147</f>
        <v>22800</v>
      </c>
      <c r="AQ150" s="361"/>
      <c r="AR150" s="364"/>
      <c r="AS150" s="367"/>
      <c r="AT150"/>
      <c r="AU150"/>
      <c r="AV150"/>
      <c r="AW150"/>
      <c r="AX150"/>
    </row>
    <row r="151" spans="35:50" ht="12.75" customHeight="1">
      <c r="AI151" s="668"/>
      <c r="AJ151" s="973" t="s">
        <v>549</v>
      </c>
      <c r="AK151" s="973"/>
      <c r="AL151" s="973"/>
      <c r="AM151" s="997"/>
      <c r="AN151" s="544">
        <f>AP151</f>
        <v>24</v>
      </c>
      <c r="AO151" s="544">
        <f>AN151</f>
        <v>24</v>
      </c>
      <c r="AP151" s="544">
        <f>'Compressor Input Data'!J15</f>
        <v>24</v>
      </c>
      <c r="AQ151" s="361"/>
      <c r="AR151" s="364"/>
      <c r="AS151" s="367"/>
      <c r="AT151"/>
      <c r="AU151"/>
      <c r="AV151"/>
      <c r="AW151"/>
      <c r="AX151"/>
    </row>
    <row r="152" spans="35:50" ht="12.75" customHeight="1">
      <c r="AI152" s="668"/>
      <c r="AJ152" s="970" t="s">
        <v>556</v>
      </c>
      <c r="AK152" s="971"/>
      <c r="AL152" s="972"/>
      <c r="AM152" s="566">
        <f>AM67</f>
        <v>2.6666666666666665</v>
      </c>
      <c r="AN152" s="566">
        <f>AN67</f>
        <v>1.9999999999999996</v>
      </c>
      <c r="AO152" s="566">
        <f>AO67</f>
        <v>1.7391304347826084</v>
      </c>
      <c r="AP152" s="566">
        <f>AP67</f>
        <v>1.4285714285714284</v>
      </c>
      <c r="AQ152" s="361"/>
      <c r="AR152" s="364"/>
      <c r="AS152" s="367"/>
      <c r="AT152"/>
      <c r="AU152"/>
      <c r="AV152"/>
      <c r="AW152"/>
      <c r="AX152"/>
    </row>
    <row r="153" spans="35:50" ht="12.75" customHeight="1">
      <c r="AI153" s="668"/>
      <c r="AJ153" s="973" t="s">
        <v>575</v>
      </c>
      <c r="AK153" s="973"/>
      <c r="AL153" s="973"/>
      <c r="AM153" s="531">
        <f>AO153</f>
        <v>0.22500000000000001</v>
      </c>
      <c r="AN153" s="531">
        <f>AP153</f>
        <v>0.22500000000000001</v>
      </c>
      <c r="AO153" s="531">
        <f>AN153</f>
        <v>0.22500000000000001</v>
      </c>
      <c r="AP153" s="531">
        <f>'Compressor Input Data'!J17</f>
        <v>0.22500000000000001</v>
      </c>
      <c r="AQ153" s="361"/>
      <c r="AR153" s="364"/>
      <c r="AS153" s="367"/>
      <c r="AT153"/>
      <c r="AU153"/>
      <c r="AV153"/>
      <c r="AW153"/>
      <c r="AX153"/>
    </row>
    <row r="154" spans="35:50" ht="12.75" customHeight="1">
      <c r="AI154" s="668"/>
      <c r="AJ154" s="987"/>
      <c r="AK154" s="988"/>
      <c r="AL154" s="988"/>
      <c r="AM154" s="988"/>
      <c r="AN154" s="988"/>
      <c r="AO154" s="988"/>
      <c r="AP154" s="989"/>
      <c r="AQ154" s="364"/>
      <c r="AR154" s="364"/>
      <c r="AS154" s="367"/>
      <c r="AT154"/>
      <c r="AU154"/>
      <c r="AV154"/>
      <c r="AW154"/>
      <c r="AX154"/>
    </row>
    <row r="155" spans="35:50" ht="12.75" customHeight="1">
      <c r="AI155" s="668"/>
      <c r="AJ155" s="990" t="s">
        <v>467</v>
      </c>
      <c r="AK155" s="991"/>
      <c r="AL155" s="992"/>
      <c r="AM155" s="949" t="s">
        <v>500</v>
      </c>
      <c r="AN155" s="938" t="s">
        <v>22</v>
      </c>
      <c r="AO155" s="940" t="s">
        <v>579</v>
      </c>
      <c r="AP155" s="942" t="s">
        <v>21</v>
      </c>
      <c r="AQ155" s="361"/>
      <c r="AR155" s="364"/>
      <c r="AS155" s="367"/>
      <c r="AT155"/>
      <c r="AU155"/>
      <c r="AV155"/>
      <c r="AW155"/>
      <c r="AX155"/>
    </row>
    <row r="156" spans="35:50" ht="12.75" customHeight="1">
      <c r="AI156" s="668"/>
      <c r="AJ156" s="993"/>
      <c r="AK156" s="994"/>
      <c r="AL156" s="995"/>
      <c r="AM156" s="950"/>
      <c r="AN156" s="939"/>
      <c r="AO156" s="941"/>
      <c r="AP156" s="943"/>
      <c r="AQ156" s="361"/>
      <c r="AR156" s="364"/>
      <c r="AS156" s="367"/>
      <c r="AT156"/>
      <c r="AU156"/>
      <c r="AV156"/>
      <c r="AW156"/>
      <c r="AX156"/>
    </row>
    <row r="157" spans="35:50" ht="12.75" customHeight="1">
      <c r="AI157" s="668"/>
      <c r="AJ157" s="973" t="s">
        <v>554</v>
      </c>
      <c r="AK157" s="973"/>
      <c r="AL157" s="973"/>
      <c r="AM157" s="986"/>
      <c r="AN157" s="569">
        <f>AP157</f>
        <v>1</v>
      </c>
      <c r="AO157" s="570">
        <f>AN157</f>
        <v>1</v>
      </c>
      <c r="AP157" s="570">
        <f>'Compressor Input Data'!J20</f>
        <v>1</v>
      </c>
      <c r="AQ157" s="361"/>
      <c r="AR157" s="364"/>
      <c r="AS157" s="367"/>
      <c r="AT157"/>
      <c r="AU157"/>
      <c r="AV157"/>
      <c r="AW157"/>
      <c r="AX157"/>
    </row>
    <row r="158" spans="35:50" ht="12.75" customHeight="1">
      <c r="AI158" s="668"/>
      <c r="AJ158" s="983" t="s">
        <v>551</v>
      </c>
      <c r="AK158" s="984"/>
      <c r="AL158" s="985"/>
      <c r="AM158" s="986"/>
      <c r="AN158" s="571">
        <f>AN152/AN151</f>
        <v>8.3333333333333315E-2</v>
      </c>
      <c r="AO158" s="571">
        <f>AO152/AO151</f>
        <v>7.2463768115942018E-2</v>
      </c>
      <c r="AP158" s="571">
        <f>AP152/AP151</f>
        <v>5.9523809523809514E-2</v>
      </c>
      <c r="AQ158" s="361"/>
      <c r="AR158" s="364"/>
      <c r="AS158" s="367"/>
      <c r="AT158"/>
      <c r="AU158"/>
      <c r="AV158"/>
      <c r="AW158"/>
      <c r="AX158"/>
    </row>
    <row r="159" spans="35:50" ht="12.75" customHeight="1">
      <c r="AI159" s="668"/>
      <c r="AJ159" s="973" t="s">
        <v>552</v>
      </c>
      <c r="AK159" s="973"/>
      <c r="AL159" s="973"/>
      <c r="AM159" s="986"/>
      <c r="AN159" s="572">
        <f>AP159</f>
        <v>0.6</v>
      </c>
      <c r="AO159" s="572">
        <f>AN159</f>
        <v>0.6</v>
      </c>
      <c r="AP159" s="572">
        <f>'Compressor Input Data'!J22</f>
        <v>0.6</v>
      </c>
      <c r="AQ159" s="361"/>
      <c r="AR159" s="364"/>
      <c r="AS159" s="367"/>
      <c r="AT159"/>
      <c r="AU159"/>
      <c r="AV159"/>
      <c r="AW159"/>
      <c r="AX159"/>
    </row>
    <row r="160" spans="35:50" ht="12.75" customHeight="1">
      <c r="AI160" s="668"/>
      <c r="AJ160" s="987"/>
      <c r="AK160" s="988"/>
      <c r="AL160" s="988"/>
      <c r="AM160" s="988"/>
      <c r="AN160" s="988"/>
      <c r="AO160" s="988"/>
      <c r="AP160" s="989"/>
      <c r="AQ160" s="364"/>
      <c r="AR160" s="364"/>
      <c r="AS160" s="367"/>
      <c r="AT160"/>
      <c r="AU160"/>
      <c r="AV160"/>
      <c r="AW160"/>
      <c r="AX160"/>
    </row>
    <row r="161" spans="35:50" ht="12.75" customHeight="1">
      <c r="AI161" s="668"/>
      <c r="AJ161" s="990" t="s">
        <v>468</v>
      </c>
      <c r="AK161" s="991"/>
      <c r="AL161" s="992"/>
      <c r="AM161" s="949" t="s">
        <v>500</v>
      </c>
      <c r="AN161" s="938" t="s">
        <v>22</v>
      </c>
      <c r="AO161" s="940" t="s">
        <v>579</v>
      </c>
      <c r="AP161" s="942" t="s">
        <v>21</v>
      </c>
      <c r="AQ161" s="361"/>
      <c r="AR161" s="364"/>
      <c r="AS161" s="367"/>
      <c r="AT161"/>
      <c r="AU161"/>
      <c r="AV161"/>
      <c r="AW161"/>
      <c r="AX161"/>
    </row>
    <row r="162" spans="35:50" ht="12.75" customHeight="1">
      <c r="AI162" s="668"/>
      <c r="AJ162" s="993"/>
      <c r="AK162" s="994"/>
      <c r="AL162" s="995"/>
      <c r="AM162" s="950"/>
      <c r="AN162" s="939"/>
      <c r="AO162" s="941"/>
      <c r="AP162" s="943"/>
      <c r="AQ162" s="361"/>
      <c r="AR162" s="364"/>
      <c r="AS162" s="367"/>
      <c r="AT162"/>
      <c r="AU162"/>
      <c r="AV162"/>
      <c r="AW162"/>
      <c r="AX162"/>
    </row>
    <row r="163" spans="35:50" ht="12.75" customHeight="1">
      <c r="AI163" s="668"/>
      <c r="AJ163" s="973" t="s">
        <v>554</v>
      </c>
      <c r="AK163" s="973"/>
      <c r="AL163" s="973"/>
      <c r="AM163" s="980"/>
      <c r="AN163" s="572">
        <f>AP163</f>
        <v>0.5</v>
      </c>
      <c r="AO163" s="572">
        <f>AN163</f>
        <v>0.5</v>
      </c>
      <c r="AP163" s="572">
        <f>'Compressor Input Data'!J25</f>
        <v>0.5</v>
      </c>
      <c r="AQ163" s="361"/>
      <c r="AR163" s="364"/>
      <c r="AS163" s="367"/>
      <c r="AT163"/>
      <c r="AU163"/>
      <c r="AV163"/>
      <c r="AW163"/>
      <c r="AX163"/>
    </row>
    <row r="164" spans="35:50" ht="12.75" customHeight="1">
      <c r="AI164" s="668"/>
      <c r="AJ164" s="983" t="s">
        <v>551</v>
      </c>
      <c r="AK164" s="984"/>
      <c r="AL164" s="985"/>
      <c r="AM164" s="981"/>
      <c r="AN164" s="572">
        <f>AN157-AN158</f>
        <v>0.91666666666666674</v>
      </c>
      <c r="AO164" s="572">
        <f>AO157-AO158</f>
        <v>0.92753623188405798</v>
      </c>
      <c r="AP164" s="572">
        <f>AP157-AP158</f>
        <v>0.94047619047619047</v>
      </c>
      <c r="AQ164" s="361"/>
      <c r="AR164" s="364"/>
      <c r="AS164" s="367"/>
      <c r="AT164"/>
      <c r="AU164"/>
      <c r="AV164"/>
      <c r="AW164"/>
      <c r="AX164"/>
    </row>
    <row r="165" spans="35:50" ht="12.75" customHeight="1">
      <c r="AI165" s="668"/>
      <c r="AJ165" s="973" t="s">
        <v>552</v>
      </c>
      <c r="AK165" s="973"/>
      <c r="AL165" s="973"/>
      <c r="AM165" s="982"/>
      <c r="AN165" s="572">
        <f>AP165</f>
        <v>0.6</v>
      </c>
      <c r="AO165" s="572">
        <f>AN165</f>
        <v>0.6</v>
      </c>
      <c r="AP165" s="572">
        <f>'Compressor Input Data'!J27</f>
        <v>0.6</v>
      </c>
      <c r="AQ165" s="361"/>
      <c r="AR165" s="364"/>
      <c r="AS165" s="367"/>
      <c r="AT165"/>
      <c r="AU165"/>
      <c r="AV165"/>
      <c r="AW165"/>
      <c r="AX165"/>
    </row>
    <row r="166" spans="35:50" ht="12.75" customHeight="1">
      <c r="AI166" s="668"/>
      <c r="AJ166" s="567"/>
      <c r="AK166" s="568"/>
      <c r="AL166" s="568"/>
      <c r="AM166" s="573"/>
      <c r="AN166" s="573"/>
      <c r="AO166" s="573"/>
      <c r="AP166" s="574"/>
      <c r="AQ166" s="364"/>
      <c r="AR166" s="364"/>
      <c r="AS166" s="367"/>
      <c r="AT166"/>
      <c r="AU166"/>
      <c r="AV166"/>
      <c r="AW166"/>
      <c r="AX166"/>
    </row>
    <row r="167" spans="35:50" ht="12.75" customHeight="1">
      <c r="AI167" s="668"/>
      <c r="AJ167" s="901" t="s">
        <v>471</v>
      </c>
      <c r="AK167" s="901"/>
      <c r="AL167" s="901"/>
      <c r="AM167" s="930" t="s">
        <v>500</v>
      </c>
      <c r="AN167" s="928" t="s">
        <v>22</v>
      </c>
      <c r="AO167" s="929" t="s">
        <v>579</v>
      </c>
      <c r="AP167" s="927" t="s">
        <v>21</v>
      </c>
      <c r="AQ167" s="361"/>
      <c r="AR167" s="364"/>
      <c r="AS167" s="367"/>
      <c r="AT167"/>
      <c r="AU167"/>
      <c r="AV167"/>
      <c r="AW167"/>
      <c r="AX167"/>
    </row>
    <row r="168" spans="35:50" ht="12.75" customHeight="1">
      <c r="AI168" s="668"/>
      <c r="AJ168" s="901"/>
      <c r="AK168" s="901"/>
      <c r="AL168" s="901"/>
      <c r="AM168" s="930"/>
      <c r="AN168" s="928"/>
      <c r="AO168" s="929"/>
      <c r="AP168" s="927"/>
      <c r="AQ168" s="361"/>
      <c r="AR168" s="364"/>
      <c r="AS168" s="367"/>
      <c r="AT168"/>
      <c r="AU168"/>
      <c r="AV168"/>
      <c r="AW168"/>
      <c r="AX168"/>
    </row>
    <row r="169" spans="35:50" ht="12.75" customHeight="1">
      <c r="AI169" s="668"/>
      <c r="AJ169" s="973" t="s">
        <v>472</v>
      </c>
      <c r="AK169" s="973"/>
      <c r="AL169" s="973"/>
      <c r="AM169" s="544">
        <f>$AN$229</f>
        <v>938.66666666666674</v>
      </c>
      <c r="AN169" s="544">
        <f>($AN$150*$AN$151*$AN$158*$AN$157)/$AN$159</f>
        <v>75999.999999999985</v>
      </c>
      <c r="AO169" s="544">
        <f>($AO$150*$AO$151*$AO$158*$AO$157)/$AO$159</f>
        <v>66086.956521739121</v>
      </c>
      <c r="AP169" s="544">
        <f>($AP$150*$AP$151*$AP$158*$AP$157)/$AP$159</f>
        <v>54285.714285714275</v>
      </c>
      <c r="AQ169" s="361"/>
      <c r="AR169" s="364"/>
      <c r="AS169" s="367"/>
      <c r="AT169"/>
      <c r="AU169"/>
      <c r="AV169"/>
      <c r="AW169"/>
      <c r="AX169"/>
    </row>
    <row r="170" spans="35:50" ht="12.75" customHeight="1">
      <c r="AI170" s="668"/>
      <c r="AJ170" s="973" t="s">
        <v>473</v>
      </c>
      <c r="AK170" s="973"/>
      <c r="AL170" s="973"/>
      <c r="AM170" s="543"/>
      <c r="AN170" s="544">
        <f>($AN$150*$AN$151*$AN$164*$AN$163)/$AN$165</f>
        <v>418000.00000000006</v>
      </c>
      <c r="AO170" s="544">
        <f>($AO$150*$AO$151*$AO$164*$AO$163)/$AO$165</f>
        <v>422956.52173913049</v>
      </c>
      <c r="AP170" s="544">
        <f>($AP$150*$AP$151*$AP$164*$AP$163)/$AP$165</f>
        <v>428857.14285714284</v>
      </c>
      <c r="AQ170" s="361"/>
      <c r="AR170" s="364"/>
      <c r="AS170" s="367"/>
      <c r="AT170"/>
      <c r="AU170"/>
      <c r="AV170"/>
      <c r="AW170"/>
      <c r="AX170"/>
    </row>
    <row r="171" spans="35:50" ht="12.75" customHeight="1">
      <c r="AI171" s="668"/>
      <c r="AJ171" s="567"/>
      <c r="AK171" s="568"/>
      <c r="AL171" s="568"/>
      <c r="AM171" s="573"/>
      <c r="AN171" s="573"/>
      <c r="AO171" s="573"/>
      <c r="AP171" s="574"/>
      <c r="AQ171" s="364"/>
      <c r="AR171" s="364"/>
      <c r="AS171" s="367"/>
      <c r="AT171"/>
      <c r="AU171"/>
      <c r="AV171"/>
      <c r="AW171"/>
      <c r="AX171"/>
    </row>
    <row r="172" spans="35:50" ht="12.75" customHeight="1">
      <c r="AI172" s="668"/>
      <c r="AJ172" s="901" t="s">
        <v>474</v>
      </c>
      <c r="AK172" s="901"/>
      <c r="AL172" s="901"/>
      <c r="AM172" s="930" t="s">
        <v>500</v>
      </c>
      <c r="AN172" s="928" t="s">
        <v>22</v>
      </c>
      <c r="AO172" s="929" t="s">
        <v>579</v>
      </c>
      <c r="AP172" s="927" t="s">
        <v>21</v>
      </c>
      <c r="AQ172" s="361"/>
      <c r="AR172" s="364"/>
      <c r="AS172" s="367"/>
      <c r="AT172"/>
      <c r="AU172"/>
      <c r="AV172"/>
      <c r="AW172"/>
      <c r="AX172"/>
    </row>
    <row r="173" spans="35:50" ht="12.75" customHeight="1">
      <c r="AI173" s="668"/>
      <c r="AJ173" s="901"/>
      <c r="AK173" s="901"/>
      <c r="AL173" s="901"/>
      <c r="AM173" s="930"/>
      <c r="AN173" s="928"/>
      <c r="AO173" s="929"/>
      <c r="AP173" s="927"/>
      <c r="AQ173" s="361"/>
      <c r="AR173" s="364"/>
      <c r="AS173" s="367"/>
      <c r="AT173"/>
      <c r="AU173"/>
      <c r="AV173"/>
      <c r="AW173"/>
      <c r="AX173"/>
    </row>
    <row r="174" spans="35:50" ht="12.75" customHeight="1">
      <c r="AI174" s="668"/>
      <c r="AJ174" s="973" t="s">
        <v>472</v>
      </c>
      <c r="AK174" s="973"/>
      <c r="AL174" s="973"/>
      <c r="AM174" s="544">
        <f>AM169*$AN$16</f>
        <v>21589.333333333336</v>
      </c>
      <c r="AN174" s="544">
        <f>AN169*$AN$16</f>
        <v>1747999.9999999998</v>
      </c>
      <c r="AO174" s="544">
        <f>AO169*$AN$16</f>
        <v>1519999.9999999998</v>
      </c>
      <c r="AP174" s="544">
        <f>AP169*$AN$16</f>
        <v>1248571.4285714284</v>
      </c>
      <c r="AQ174" s="361"/>
      <c r="AR174" s="364"/>
      <c r="AS174" s="367"/>
      <c r="AT174"/>
      <c r="AU174"/>
      <c r="AV174"/>
      <c r="AW174"/>
      <c r="AX174"/>
    </row>
    <row r="175" spans="35:50" ht="12.75" customHeight="1">
      <c r="AI175" s="668"/>
      <c r="AJ175" s="973" t="s">
        <v>473</v>
      </c>
      <c r="AK175" s="973"/>
      <c r="AL175" s="973"/>
      <c r="AM175" s="543"/>
      <c r="AN175" s="544">
        <f>AN170*$AN$16</f>
        <v>9614000.0000000019</v>
      </c>
      <c r="AO175" s="544">
        <f>AO170*$AN$16</f>
        <v>9728000.0000000019</v>
      </c>
      <c r="AP175" s="544">
        <f>AP170*$AN$16</f>
        <v>9863714.2857142854</v>
      </c>
      <c r="AQ175" s="361"/>
      <c r="AR175" s="364"/>
      <c r="AS175" s="367"/>
      <c r="AT175"/>
      <c r="AU175"/>
      <c r="AV175"/>
      <c r="AW175"/>
      <c r="AX175"/>
    </row>
    <row r="176" spans="35:50" ht="12.75" customHeight="1">
      <c r="AI176" s="668"/>
      <c r="AJ176" s="567"/>
      <c r="AK176" s="568"/>
      <c r="AL176" s="568"/>
      <c r="AM176" s="573"/>
      <c r="AN176" s="573"/>
      <c r="AO176" s="573"/>
      <c r="AP176" s="574"/>
      <c r="AQ176" s="364"/>
      <c r="AR176" s="364"/>
      <c r="AS176" s="367"/>
      <c r="AT176"/>
      <c r="AU176"/>
      <c r="AV176"/>
      <c r="AW176"/>
      <c r="AX176"/>
    </row>
    <row r="177" spans="35:50" ht="12.75" customHeight="1">
      <c r="AI177" s="668"/>
      <c r="AJ177" s="901" t="s">
        <v>474</v>
      </c>
      <c r="AK177" s="901"/>
      <c r="AL177" s="901"/>
      <c r="AM177" s="930" t="s">
        <v>500</v>
      </c>
      <c r="AN177" s="928" t="s">
        <v>22</v>
      </c>
      <c r="AO177" s="929" t="s">
        <v>579</v>
      </c>
      <c r="AP177" s="927" t="s">
        <v>21</v>
      </c>
      <c r="AQ177" s="361"/>
      <c r="AR177" s="364"/>
      <c r="AS177" s="367"/>
      <c r="AT177"/>
      <c r="AU177"/>
      <c r="AV177"/>
      <c r="AW177"/>
      <c r="AX177"/>
    </row>
    <row r="178" spans="35:50" ht="12.75" customHeight="1">
      <c r="AI178" s="668"/>
      <c r="AJ178" s="901"/>
      <c r="AK178" s="901"/>
      <c r="AL178" s="901"/>
      <c r="AM178" s="930"/>
      <c r="AN178" s="928"/>
      <c r="AO178" s="929"/>
      <c r="AP178" s="927"/>
      <c r="AQ178" s="361"/>
      <c r="AR178" s="364"/>
      <c r="AS178" s="367"/>
      <c r="AT178"/>
      <c r="AU178"/>
      <c r="AV178"/>
      <c r="AW178"/>
      <c r="AX178"/>
    </row>
    <row r="179" spans="35:50" ht="12.75" customHeight="1">
      <c r="AI179" s="668"/>
      <c r="AJ179" s="973" t="s">
        <v>472</v>
      </c>
      <c r="AK179" s="973"/>
      <c r="AL179" s="973"/>
      <c r="AM179" s="544">
        <f>AM174*12</f>
        <v>259072.00000000003</v>
      </c>
      <c r="AN179" s="544">
        <f>AN174*12</f>
        <v>20975999.999999996</v>
      </c>
      <c r="AO179" s="544">
        <f>AO174*12</f>
        <v>18239999.999999996</v>
      </c>
      <c r="AP179" s="544">
        <f>AP174*12</f>
        <v>14982857.142857142</v>
      </c>
      <c r="AQ179" s="361"/>
      <c r="AR179" s="364"/>
      <c r="AS179" s="367"/>
      <c r="AT179"/>
      <c r="AU179"/>
      <c r="AV179"/>
      <c r="AW179"/>
      <c r="AX179"/>
    </row>
    <row r="180" spans="35:50" ht="12.75" customHeight="1">
      <c r="AI180" s="668"/>
      <c r="AJ180" s="973" t="s">
        <v>473</v>
      </c>
      <c r="AK180" s="973"/>
      <c r="AL180" s="973"/>
      <c r="AM180" s="543"/>
      <c r="AN180" s="544">
        <f>AN175*12</f>
        <v>115368000.00000003</v>
      </c>
      <c r="AO180" s="544">
        <f>AO175*12</f>
        <v>116736000.00000003</v>
      </c>
      <c r="AP180" s="544">
        <f>AP175*12</f>
        <v>118364571.42857143</v>
      </c>
      <c r="AQ180" s="361"/>
      <c r="AR180" s="364"/>
      <c r="AS180" s="367"/>
      <c r="AT180"/>
      <c r="AU180"/>
      <c r="AV180"/>
      <c r="AW180"/>
      <c r="AX180"/>
    </row>
    <row r="181" spans="35:50" ht="12.75" customHeight="1">
      <c r="AI181" s="668"/>
      <c r="AJ181" s="381"/>
      <c r="AK181" s="381"/>
      <c r="AL181" s="381"/>
      <c r="AM181" s="381"/>
      <c r="AN181" s="381"/>
      <c r="AO181" s="381"/>
      <c r="AP181" s="381"/>
      <c r="AQ181" s="364"/>
      <c r="AR181" s="364"/>
      <c r="AS181" s="367"/>
      <c r="AT181"/>
      <c r="AU181"/>
      <c r="AV181"/>
      <c r="AW181"/>
      <c r="AX181"/>
    </row>
    <row r="182" spans="35:50" ht="12.75" customHeight="1">
      <c r="AI182" s="668"/>
      <c r="AJ182" s="901" t="s">
        <v>433</v>
      </c>
      <c r="AK182" s="901"/>
      <c r="AL182" s="901"/>
      <c r="AM182" s="949" t="s">
        <v>500</v>
      </c>
      <c r="AN182" s="938" t="s">
        <v>22</v>
      </c>
      <c r="AO182" s="940" t="s">
        <v>579</v>
      </c>
      <c r="AP182" s="942" t="s">
        <v>21</v>
      </c>
      <c r="AQ182" s="361"/>
      <c r="AR182" s="364"/>
      <c r="AS182" s="367"/>
      <c r="AT182"/>
      <c r="AU182"/>
      <c r="AV182"/>
      <c r="AW182"/>
      <c r="AX182"/>
    </row>
    <row r="183" spans="35:50" ht="12.75" customHeight="1">
      <c r="AI183" s="668"/>
      <c r="AJ183" s="901"/>
      <c r="AK183" s="901"/>
      <c r="AL183" s="901"/>
      <c r="AM183" s="950"/>
      <c r="AN183" s="939"/>
      <c r="AO183" s="941"/>
      <c r="AP183" s="943"/>
      <c r="AQ183" s="361"/>
      <c r="AR183" s="364"/>
      <c r="AS183" s="367"/>
      <c r="AT183"/>
      <c r="AU183"/>
      <c r="AV183"/>
      <c r="AW183"/>
      <c r="AX183"/>
    </row>
    <row r="184" spans="35:50" ht="12.75" customHeight="1">
      <c r="AI184" s="668"/>
      <c r="AJ184" s="970" t="s">
        <v>459</v>
      </c>
      <c r="AK184" s="971"/>
      <c r="AL184" s="972"/>
      <c r="AM184" s="544">
        <f>AM169</f>
        <v>938.66666666666674</v>
      </c>
      <c r="AN184" s="544">
        <f>AN169+AN170</f>
        <v>494000.00000000006</v>
      </c>
      <c r="AO184" s="544">
        <f>AO169+AO170</f>
        <v>489043.47826086963</v>
      </c>
      <c r="AP184" s="544">
        <f>AP169+AP170</f>
        <v>483142.8571428571</v>
      </c>
      <c r="AQ184" s="361"/>
      <c r="AR184" s="364"/>
      <c r="AS184" s="367"/>
      <c r="AT184"/>
      <c r="AU184"/>
      <c r="AV184"/>
      <c r="AW184"/>
      <c r="AX184"/>
    </row>
    <row r="185" spans="35:50" ht="12.75" customHeight="1">
      <c r="AI185" s="668"/>
      <c r="AJ185" s="973" t="s">
        <v>307</v>
      </c>
      <c r="AK185" s="973"/>
      <c r="AL185" s="973"/>
      <c r="AM185" s="544">
        <f>AM174</f>
        <v>21589.333333333336</v>
      </c>
      <c r="AN185" s="544">
        <f>AN174+AN175</f>
        <v>11362000.000000002</v>
      </c>
      <c r="AO185" s="544">
        <f>AO174+AO175</f>
        <v>11248000.000000002</v>
      </c>
      <c r="AP185" s="544">
        <f>AP174+AP175</f>
        <v>11112285.714285715</v>
      </c>
      <c r="AQ185" s="361"/>
      <c r="AR185" s="364"/>
      <c r="AS185" s="367"/>
      <c r="AT185"/>
      <c r="AU185"/>
      <c r="AV185"/>
      <c r="AW185"/>
      <c r="AX185"/>
    </row>
    <row r="186" spans="35:50" ht="12.75" customHeight="1">
      <c r="AI186" s="668"/>
      <c r="AJ186" s="973" t="s">
        <v>308</v>
      </c>
      <c r="AK186" s="973"/>
      <c r="AL186" s="973"/>
      <c r="AM186" s="544">
        <f>AM179</f>
        <v>259072.00000000003</v>
      </c>
      <c r="AN186" s="544">
        <f>AN179+AN180</f>
        <v>136344000.00000003</v>
      </c>
      <c r="AO186" s="544">
        <f>AO179+AO180</f>
        <v>134976000.00000003</v>
      </c>
      <c r="AP186" s="544">
        <f>AP179+AP180</f>
        <v>133347428.57142857</v>
      </c>
      <c r="AQ186" s="361"/>
      <c r="AR186" s="364"/>
      <c r="AS186" s="367"/>
      <c r="AT186"/>
      <c r="AU186"/>
      <c r="AV186"/>
      <c r="AW186"/>
      <c r="AX186"/>
    </row>
    <row r="187" spans="35:50" ht="12.75" customHeight="1">
      <c r="AI187" s="668"/>
      <c r="AJ187" s="381"/>
      <c r="AK187" s="381"/>
      <c r="AL187" s="381"/>
      <c r="AM187" s="381"/>
      <c r="AN187" s="381"/>
      <c r="AO187" s="381"/>
      <c r="AP187" s="381"/>
      <c r="AQ187" s="364"/>
      <c r="AR187" s="364"/>
      <c r="AS187" s="367"/>
      <c r="AT187"/>
      <c r="AU187"/>
      <c r="AV187" t="str">
        <f>AJ190</f>
        <v>"Fully Loaded" - Drilling Shift</v>
      </c>
      <c r="AW187" t="str">
        <f>AJ191</f>
        <v>"Un-loaded" - Off Shift</v>
      </c>
      <c r="AX187"/>
    </row>
    <row r="188" spans="35:50" ht="12.75" customHeight="1">
      <c r="AI188" s="668"/>
      <c r="AJ188" s="901" t="s">
        <v>475</v>
      </c>
      <c r="AK188" s="901"/>
      <c r="AL188" s="901"/>
      <c r="AM188" s="930" t="s">
        <v>500</v>
      </c>
      <c r="AN188" s="928" t="s">
        <v>22</v>
      </c>
      <c r="AO188" s="929" t="s">
        <v>579</v>
      </c>
      <c r="AP188" s="927" t="s">
        <v>21</v>
      </c>
      <c r="AQ188" s="361"/>
      <c r="AR188" s="364"/>
      <c r="AS188" s="367"/>
      <c r="AT188" s="716" t="s">
        <v>500</v>
      </c>
      <c r="AU188"/>
      <c r="AV188" s="717">
        <f>AM190</f>
        <v>211.20000000000002</v>
      </c>
      <c r="AW188"/>
      <c r="AX188"/>
    </row>
    <row r="189" spans="35:50" ht="12.75" customHeight="1">
      <c r="AI189" s="668"/>
      <c r="AJ189" s="901"/>
      <c r="AK189" s="901"/>
      <c r="AL189" s="901"/>
      <c r="AM189" s="930"/>
      <c r="AN189" s="928"/>
      <c r="AO189" s="929"/>
      <c r="AP189" s="927"/>
      <c r="AQ189" s="361"/>
      <c r="AR189" s="364"/>
      <c r="AS189" s="367"/>
      <c r="AT189" s="716" t="s">
        <v>22</v>
      </c>
      <c r="AU189"/>
      <c r="AV189" s="717">
        <f>AN190</f>
        <v>17099.999999999996</v>
      </c>
      <c r="AW189" s="717">
        <f>AN191</f>
        <v>94050.000000000015</v>
      </c>
      <c r="AX189"/>
    </row>
    <row r="190" spans="35:50" ht="12.75" customHeight="1">
      <c r="AI190" s="668"/>
      <c r="AJ190" s="973" t="s">
        <v>472</v>
      </c>
      <c r="AK190" s="973"/>
      <c r="AL190" s="973"/>
      <c r="AM190" s="593">
        <f>$AN$229*$AM$153</f>
        <v>211.20000000000002</v>
      </c>
      <c r="AN190" s="593">
        <f>($AN$150*$AN$151*$AN$158*$AN$157*$AN$153)/$AN$159</f>
        <v>17099.999999999996</v>
      </c>
      <c r="AO190" s="593">
        <f>($AO$150*$AO$151*$AO$158*$AO$157*$AO$153)/$AO$159</f>
        <v>14869.565217391304</v>
      </c>
      <c r="AP190" s="593">
        <f>($AP$150*$AP$151*$AP$158*$AP$157*$AP$153)/$AP$159</f>
        <v>12214.285714285714</v>
      </c>
      <c r="AQ190" s="361"/>
      <c r="AR190" s="364"/>
      <c r="AS190" s="367"/>
      <c r="AT190" s="716" t="s">
        <v>579</v>
      </c>
      <c r="AU190"/>
      <c r="AV190" s="717">
        <f>AO190</f>
        <v>14869.565217391304</v>
      </c>
      <c r="AW190" s="717">
        <f>AO191</f>
        <v>95165.217391304366</v>
      </c>
      <c r="AX190"/>
    </row>
    <row r="191" spans="35:50" ht="12.75" customHeight="1">
      <c r="AI191" s="668"/>
      <c r="AJ191" s="973" t="s">
        <v>473</v>
      </c>
      <c r="AK191" s="973"/>
      <c r="AL191" s="973"/>
      <c r="AM191" s="543"/>
      <c r="AN191" s="593">
        <f>($AN$150*$AN$151*$AN$164*$AN$163*$AN$153)/$AN$165</f>
        <v>94050.000000000015</v>
      </c>
      <c r="AO191" s="593">
        <f>($AO$150*$AO$151*$AO$164*$AO$163*$AO$153)/$AO$165</f>
        <v>95165.217391304366</v>
      </c>
      <c r="AP191" s="593">
        <f>($AP$150*$AP$151*$AP$164*$AP$163*$AP$153)/$AP$165</f>
        <v>96492.857142857145</v>
      </c>
      <c r="AQ191" s="361"/>
      <c r="AR191" s="364"/>
      <c r="AS191" s="367"/>
      <c r="AT191" s="716" t="s">
        <v>21</v>
      </c>
      <c r="AU191"/>
      <c r="AV191" s="717">
        <f>AP190</f>
        <v>12214.285714285714</v>
      </c>
      <c r="AW191" s="717">
        <f>AP191</f>
        <v>96492.857142857145</v>
      </c>
      <c r="AX191"/>
    </row>
    <row r="192" spans="35:50" ht="12.75" customHeight="1">
      <c r="AI192" s="668"/>
      <c r="AJ192" s="381"/>
      <c r="AK192" s="381"/>
      <c r="AL192" s="381"/>
      <c r="AM192" s="381"/>
      <c r="AN192" s="381"/>
      <c r="AO192" s="381"/>
      <c r="AP192" s="381"/>
      <c r="AQ192" s="552"/>
      <c r="AR192" s="364"/>
      <c r="AS192" s="367"/>
      <c r="AU192"/>
      <c r="AV192"/>
      <c r="AW192"/>
      <c r="AX192"/>
    </row>
    <row r="193" spans="35:50" ht="12.75" customHeight="1">
      <c r="AI193" s="668"/>
      <c r="AJ193" s="901" t="s">
        <v>476</v>
      </c>
      <c r="AK193" s="901"/>
      <c r="AL193" s="901"/>
      <c r="AM193" s="930" t="s">
        <v>500</v>
      </c>
      <c r="AN193" s="928" t="s">
        <v>22</v>
      </c>
      <c r="AO193" s="929" t="s">
        <v>579</v>
      </c>
      <c r="AP193" s="927" t="s">
        <v>21</v>
      </c>
      <c r="AQ193" s="361"/>
      <c r="AR193" s="364"/>
      <c r="AS193" s="367"/>
      <c r="AT193"/>
      <c r="AU193"/>
      <c r="AV193"/>
      <c r="AW193"/>
      <c r="AX193"/>
    </row>
    <row r="194" spans="35:50" ht="12.75" customHeight="1">
      <c r="AI194" s="668"/>
      <c r="AJ194" s="901"/>
      <c r="AK194" s="901"/>
      <c r="AL194" s="901"/>
      <c r="AM194" s="930"/>
      <c r="AN194" s="928"/>
      <c r="AO194" s="929"/>
      <c r="AP194" s="927"/>
      <c r="AQ194" s="361"/>
      <c r="AR194" s="364"/>
      <c r="AS194" s="367"/>
      <c r="AT194"/>
      <c r="AU194"/>
      <c r="AV194"/>
      <c r="AW194"/>
      <c r="AX194"/>
    </row>
    <row r="195" spans="35:50" ht="12.75" customHeight="1">
      <c r="AI195" s="668"/>
      <c r="AJ195" s="973" t="s">
        <v>472</v>
      </c>
      <c r="AK195" s="973"/>
      <c r="AL195" s="973"/>
      <c r="AM195" s="593">
        <f>AM190*$AN$16</f>
        <v>4857.6000000000004</v>
      </c>
      <c r="AN195" s="593">
        <f>AN190*$AN$16</f>
        <v>393299.99999999994</v>
      </c>
      <c r="AO195" s="593">
        <f>AO190*$AN$16</f>
        <v>342000</v>
      </c>
      <c r="AP195" s="593">
        <f>AP190*$AN$16</f>
        <v>280928.57142857142</v>
      </c>
      <c r="AQ195" s="361"/>
      <c r="AR195" s="364"/>
      <c r="AS195" s="367"/>
      <c r="AT195"/>
      <c r="AU195"/>
      <c r="AV195"/>
      <c r="AW195"/>
      <c r="AX195"/>
    </row>
    <row r="196" spans="35:50" ht="12.75" customHeight="1">
      <c r="AI196" s="668"/>
      <c r="AJ196" s="973" t="s">
        <v>473</v>
      </c>
      <c r="AK196" s="973"/>
      <c r="AL196" s="973"/>
      <c r="AM196" s="543"/>
      <c r="AN196" s="593">
        <f>AN191*$AN$16</f>
        <v>2163150.0000000005</v>
      </c>
      <c r="AO196" s="593">
        <f>AO191*$AN$16</f>
        <v>2188800.0000000005</v>
      </c>
      <c r="AP196" s="593">
        <f>AP191*$AN$16</f>
        <v>2219335.7142857146</v>
      </c>
      <c r="AQ196" s="361"/>
      <c r="AR196" s="364"/>
      <c r="AS196" s="367"/>
      <c r="AT196"/>
      <c r="AU196"/>
      <c r="AV196"/>
      <c r="AW196"/>
      <c r="AX196"/>
    </row>
    <row r="197" spans="35:50" ht="12.75" customHeight="1">
      <c r="AI197" s="668"/>
      <c r="AJ197" s="367"/>
      <c r="AK197" s="367"/>
      <c r="AL197" s="367"/>
      <c r="AM197" s="367"/>
      <c r="AN197" s="367"/>
      <c r="AO197" s="367"/>
      <c r="AP197" s="367"/>
      <c r="AQ197" s="364"/>
      <c r="AR197" s="364"/>
      <c r="AS197" s="367"/>
      <c r="AT197"/>
      <c r="AU197"/>
      <c r="AV197"/>
      <c r="AW197"/>
      <c r="AX197"/>
    </row>
    <row r="198" spans="35:50" ht="12.75" customHeight="1">
      <c r="AI198" s="668"/>
      <c r="AJ198" s="901" t="s">
        <v>477</v>
      </c>
      <c r="AK198" s="901"/>
      <c r="AL198" s="901"/>
      <c r="AM198" s="930" t="s">
        <v>500</v>
      </c>
      <c r="AN198" s="928" t="s">
        <v>22</v>
      </c>
      <c r="AO198" s="929" t="s">
        <v>579</v>
      </c>
      <c r="AP198" s="927" t="s">
        <v>21</v>
      </c>
      <c r="AQ198" s="361"/>
      <c r="AR198" s="364"/>
      <c r="AS198" s="367"/>
      <c r="AT198"/>
      <c r="AU198"/>
      <c r="AV198"/>
      <c r="AW198"/>
      <c r="AX198"/>
    </row>
    <row r="199" spans="35:50" ht="12.75" customHeight="1">
      <c r="AI199" s="668"/>
      <c r="AJ199" s="901"/>
      <c r="AK199" s="901"/>
      <c r="AL199" s="901"/>
      <c r="AM199" s="930"/>
      <c r="AN199" s="928"/>
      <c r="AO199" s="929"/>
      <c r="AP199" s="927"/>
      <c r="AQ199" s="361"/>
      <c r="AR199" s="364"/>
      <c r="AS199" s="367"/>
      <c r="AT199"/>
      <c r="AU199"/>
      <c r="AV199"/>
      <c r="AW199"/>
      <c r="AX199"/>
    </row>
    <row r="200" spans="35:50" ht="12.75" customHeight="1">
      <c r="AI200" s="668"/>
      <c r="AJ200" s="973" t="s">
        <v>472</v>
      </c>
      <c r="AK200" s="973"/>
      <c r="AL200" s="973"/>
      <c r="AM200" s="593">
        <f>AM195*12</f>
        <v>58291.200000000004</v>
      </c>
      <c r="AN200" s="593">
        <f>AN195*12</f>
        <v>4719599.9999999991</v>
      </c>
      <c r="AO200" s="593">
        <f>AO195*12</f>
        <v>4104000</v>
      </c>
      <c r="AP200" s="593">
        <f>AP195*12</f>
        <v>3371142.8571428573</v>
      </c>
      <c r="AQ200" s="361"/>
      <c r="AR200" s="364"/>
      <c r="AS200" s="367"/>
      <c r="AT200"/>
      <c r="AU200"/>
      <c r="AV200"/>
      <c r="AW200"/>
      <c r="AX200"/>
    </row>
    <row r="201" spans="35:50" ht="12.75" customHeight="1">
      <c r="AI201" s="668"/>
      <c r="AJ201" s="973" t="s">
        <v>473</v>
      </c>
      <c r="AK201" s="973"/>
      <c r="AL201" s="973"/>
      <c r="AM201" s="543"/>
      <c r="AN201" s="593">
        <f>AN196*12</f>
        <v>25957800.000000007</v>
      </c>
      <c r="AO201" s="593">
        <f>AO196*12</f>
        <v>26265600.000000007</v>
      </c>
      <c r="AP201" s="593">
        <f>AP196*12</f>
        <v>26632028.571428575</v>
      </c>
      <c r="AQ201" s="361"/>
      <c r="AR201" s="364"/>
      <c r="AS201" s="367"/>
      <c r="AT201"/>
      <c r="AU201"/>
      <c r="AV201"/>
      <c r="AW201"/>
      <c r="AX201"/>
    </row>
    <row r="202" spans="35:50" ht="12.75" customHeight="1">
      <c r="AI202" s="668"/>
      <c r="AJ202" s="367"/>
      <c r="AK202" s="367"/>
      <c r="AL202" s="367"/>
      <c r="AM202" s="367"/>
      <c r="AN202" s="367"/>
      <c r="AO202" s="367"/>
      <c r="AP202" s="367"/>
      <c r="AQ202" s="364"/>
      <c r="AR202" s="364"/>
      <c r="AS202" s="367"/>
      <c r="AT202"/>
      <c r="AU202"/>
      <c r="AV202"/>
      <c r="AW202"/>
      <c r="AX202"/>
    </row>
    <row r="203" spans="35:50" ht="12.75" customHeight="1">
      <c r="AI203" s="668"/>
      <c r="AJ203" s="901" t="s">
        <v>116</v>
      </c>
      <c r="AK203" s="901"/>
      <c r="AL203" s="901"/>
      <c r="AM203" s="949" t="s">
        <v>500</v>
      </c>
      <c r="AN203" s="938" t="s">
        <v>22</v>
      </c>
      <c r="AO203" s="940" t="s">
        <v>579</v>
      </c>
      <c r="AP203" s="942" t="s">
        <v>21</v>
      </c>
      <c r="AQ203" s="361"/>
      <c r="AR203" s="364"/>
      <c r="AS203" s="367"/>
      <c r="AT203"/>
      <c r="AU203"/>
      <c r="AV203"/>
      <c r="AW203"/>
      <c r="AX203"/>
    </row>
    <row r="204" spans="35:50" ht="12.75" customHeight="1">
      <c r="AI204" s="668"/>
      <c r="AJ204" s="901"/>
      <c r="AK204" s="901"/>
      <c r="AL204" s="901"/>
      <c r="AM204" s="950"/>
      <c r="AN204" s="939"/>
      <c r="AO204" s="941"/>
      <c r="AP204" s="943"/>
      <c r="AQ204" s="361"/>
      <c r="AR204" s="364"/>
      <c r="AS204" s="367"/>
      <c r="AT204"/>
      <c r="AU204"/>
      <c r="AV204"/>
      <c r="AW204"/>
      <c r="AX204"/>
    </row>
    <row r="205" spans="35:50" ht="12.75" customHeight="1">
      <c r="AI205" s="668"/>
      <c r="AJ205" s="970" t="s">
        <v>459</v>
      </c>
      <c r="AK205" s="971"/>
      <c r="AL205" s="972"/>
      <c r="AM205" s="593">
        <f>AM190</f>
        <v>211.20000000000002</v>
      </c>
      <c r="AN205" s="593">
        <f>AN190+AN191</f>
        <v>111150.00000000001</v>
      </c>
      <c r="AO205" s="593">
        <f>AO190+AO191</f>
        <v>110034.78260869568</v>
      </c>
      <c r="AP205" s="593">
        <f>AP190+AP191</f>
        <v>108707.14285714286</v>
      </c>
      <c r="AQ205" s="361"/>
      <c r="AR205" s="364"/>
      <c r="AS205" s="367"/>
      <c r="AT205"/>
      <c r="AU205"/>
      <c r="AV205"/>
      <c r="AW205"/>
      <c r="AX205"/>
    </row>
    <row r="206" spans="35:50" ht="12.75" customHeight="1">
      <c r="AI206" s="668"/>
      <c r="AJ206" s="973" t="s">
        <v>307</v>
      </c>
      <c r="AK206" s="973"/>
      <c r="AL206" s="973"/>
      <c r="AM206" s="593">
        <f>AM195</f>
        <v>4857.6000000000004</v>
      </c>
      <c r="AN206" s="593">
        <f>AN195+AN196</f>
        <v>2556450.0000000005</v>
      </c>
      <c r="AO206" s="593">
        <f>AO195+AO196</f>
        <v>2530800.0000000005</v>
      </c>
      <c r="AP206" s="593">
        <f>AP195+AP196</f>
        <v>2500264.2857142859</v>
      </c>
      <c r="AQ206" s="361"/>
      <c r="AR206" s="364"/>
      <c r="AS206" s="367"/>
      <c r="AT206"/>
      <c r="AU206"/>
      <c r="AV206"/>
      <c r="AW206"/>
      <c r="AX206"/>
    </row>
    <row r="207" spans="35:50" ht="12.75" customHeight="1">
      <c r="AI207" s="668"/>
      <c r="AJ207" s="973" t="s">
        <v>308</v>
      </c>
      <c r="AK207" s="973"/>
      <c r="AL207" s="973"/>
      <c r="AM207" s="593">
        <f>AM200</f>
        <v>58291.200000000004</v>
      </c>
      <c r="AN207" s="593">
        <f>AN200+AN201</f>
        <v>30677400.000000007</v>
      </c>
      <c r="AO207" s="593">
        <f>AO200+AO201</f>
        <v>30369600.000000007</v>
      </c>
      <c r="AP207" s="593">
        <f>AP200+AP201</f>
        <v>30003171.428571433</v>
      </c>
      <c r="AQ207" s="361"/>
      <c r="AR207" s="364"/>
      <c r="AS207" s="367"/>
      <c r="AT207"/>
      <c r="AU207"/>
      <c r="AV207"/>
      <c r="AW207"/>
      <c r="AX207"/>
    </row>
    <row r="208" spans="35:50" ht="12.75" customHeight="1">
      <c r="AI208" s="668"/>
      <c r="AJ208" s="575"/>
      <c r="AK208" s="575"/>
      <c r="AL208" s="575"/>
      <c r="AM208" s="382"/>
      <c r="AN208" s="382"/>
      <c r="AO208" s="382"/>
      <c r="AP208" s="382"/>
      <c r="AQ208" s="364"/>
      <c r="AR208" s="364"/>
      <c r="AS208" s="367"/>
      <c r="AT208"/>
      <c r="AU208"/>
      <c r="AV208"/>
      <c r="AW208"/>
      <c r="AX208"/>
    </row>
    <row r="209" spans="35:50" ht="12.75" customHeight="1">
      <c r="AI209" s="668"/>
      <c r="AJ209" s="974" t="s">
        <v>501</v>
      </c>
      <c r="AK209" s="974"/>
      <c r="AL209" s="974"/>
      <c r="AM209" s="974"/>
      <c r="AN209" s="974"/>
      <c r="AO209" s="974"/>
      <c r="AP209" s="974"/>
      <c r="AQ209" s="974"/>
      <c r="AR209" s="364"/>
      <c r="AS209" s="367"/>
      <c r="AT209"/>
      <c r="AU209"/>
      <c r="AV209"/>
      <c r="AW209"/>
      <c r="AX209"/>
    </row>
    <row r="210" spans="35:50" ht="12.75" customHeight="1">
      <c r="AI210" s="668"/>
      <c r="AJ210" s="974"/>
      <c r="AK210" s="974"/>
      <c r="AL210" s="974"/>
      <c r="AM210" s="974"/>
      <c r="AN210" s="974"/>
      <c r="AO210" s="974"/>
      <c r="AP210" s="974"/>
      <c r="AQ210" s="974"/>
      <c r="AR210" s="576"/>
      <c r="AS210" s="367"/>
      <c r="AT210"/>
      <c r="AU210"/>
      <c r="AV210"/>
      <c r="AW210"/>
      <c r="AX210"/>
    </row>
    <row r="211" spans="35:50" ht="12.75" customHeight="1">
      <c r="AI211" s="668"/>
      <c r="AJ211" s="974"/>
      <c r="AK211" s="974"/>
      <c r="AL211" s="974"/>
      <c r="AM211" s="974"/>
      <c r="AN211" s="974"/>
      <c r="AO211" s="974"/>
      <c r="AP211" s="974"/>
      <c r="AQ211" s="974"/>
      <c r="AR211" s="576"/>
      <c r="AS211" s="367"/>
      <c r="AT211"/>
      <c r="AU211"/>
      <c r="AV211"/>
      <c r="AW211"/>
      <c r="AX211"/>
    </row>
    <row r="212" spans="35:50" ht="12.75" customHeight="1">
      <c r="AI212" s="668"/>
      <c r="AJ212" s="974"/>
      <c r="AK212" s="974"/>
      <c r="AL212" s="974"/>
      <c r="AM212" s="974"/>
      <c r="AN212" s="974"/>
      <c r="AO212" s="974"/>
      <c r="AP212" s="974"/>
      <c r="AQ212" s="974"/>
      <c r="AR212" s="576"/>
      <c r="AS212" s="367"/>
      <c r="AT212"/>
      <c r="AU212"/>
      <c r="AV212"/>
      <c r="AW212"/>
      <c r="AX212"/>
    </row>
    <row r="213" spans="35:50" ht="12.75" customHeight="1">
      <c r="AI213" s="668"/>
      <c r="AJ213" s="974"/>
      <c r="AK213" s="974"/>
      <c r="AL213" s="974"/>
      <c r="AM213" s="974"/>
      <c r="AN213" s="974"/>
      <c r="AO213" s="974"/>
      <c r="AP213" s="974"/>
      <c r="AQ213" s="974"/>
      <c r="AR213" s="576"/>
      <c r="AS213" s="367"/>
      <c r="AT213"/>
      <c r="AU213"/>
      <c r="AV213"/>
      <c r="AW213"/>
      <c r="AX213"/>
    </row>
    <row r="214" spans="35:50" ht="12.75" customHeight="1">
      <c r="AI214" s="668"/>
      <c r="AJ214" s="364"/>
      <c r="AK214" s="375"/>
      <c r="AL214" s="375"/>
      <c r="AM214" s="577"/>
      <c r="AN214" s="577"/>
      <c r="AO214" s="577"/>
      <c r="AP214" s="577"/>
      <c r="AQ214" s="551"/>
      <c r="AR214" s="363"/>
      <c r="AS214" s="367"/>
      <c r="AT214"/>
      <c r="AU214"/>
      <c r="AV214"/>
      <c r="AW214"/>
      <c r="AX214"/>
    </row>
    <row r="215" spans="35:50" ht="12.75" customHeight="1">
      <c r="AI215" s="668"/>
      <c r="AJ215" s="975" t="s">
        <v>667</v>
      </c>
      <c r="AK215" s="976"/>
      <c r="AL215" s="976"/>
      <c r="AM215" s="976"/>
      <c r="AN215" s="976"/>
      <c r="AO215" s="976"/>
      <c r="AP215" s="979">
        <f>10*AN30</f>
        <v>76800</v>
      </c>
      <c r="AQ215" s="935" t="s">
        <v>668</v>
      </c>
      <c r="AR215" s="364"/>
      <c r="AS215" s="367"/>
      <c r="AT215"/>
      <c r="AU215"/>
      <c r="AV215"/>
      <c r="AW215"/>
      <c r="AX215"/>
    </row>
    <row r="216" spans="35:50" ht="12.75" customHeight="1">
      <c r="AI216" s="668"/>
      <c r="AJ216" s="977"/>
      <c r="AK216" s="978"/>
      <c r="AL216" s="978"/>
      <c r="AM216" s="978"/>
      <c r="AN216" s="978"/>
      <c r="AO216" s="978"/>
      <c r="AP216" s="979"/>
      <c r="AQ216" s="935"/>
      <c r="AR216" s="364"/>
      <c r="AS216" s="367"/>
      <c r="AT216"/>
      <c r="AU216"/>
      <c r="AV216"/>
      <c r="AW216"/>
      <c r="AX216"/>
    </row>
    <row r="217" spans="35:50" ht="12.75" customHeight="1">
      <c r="AI217" s="668"/>
      <c r="AJ217" s="578"/>
      <c r="AK217" s="578"/>
      <c r="AL217" s="578"/>
      <c r="AM217" s="578"/>
      <c r="AN217" s="578"/>
      <c r="AO217" s="578"/>
      <c r="AP217" s="578"/>
      <c r="AQ217" s="579"/>
      <c r="AR217" s="551"/>
      <c r="AS217" s="367"/>
      <c r="AT217"/>
      <c r="AU217"/>
      <c r="AV217"/>
      <c r="AW217"/>
      <c r="AX217"/>
    </row>
    <row r="218" spans="35:50" ht="12.75" customHeight="1">
      <c r="AI218" s="668"/>
      <c r="AJ218" s="937" t="s">
        <v>678</v>
      </c>
      <c r="AK218" s="937"/>
      <c r="AL218" s="937"/>
      <c r="AM218" s="937"/>
      <c r="AN218" s="949" t="s">
        <v>500</v>
      </c>
      <c r="AO218" s="938" t="s">
        <v>22</v>
      </c>
      <c r="AP218" s="940" t="s">
        <v>579</v>
      </c>
      <c r="AQ218" s="942" t="s">
        <v>21</v>
      </c>
      <c r="AR218" s="361"/>
      <c r="AS218" s="367"/>
      <c r="AT218"/>
      <c r="AU218"/>
      <c r="AV218"/>
      <c r="AW218"/>
      <c r="AX218"/>
    </row>
    <row r="219" spans="35:50" ht="12.75" customHeight="1">
      <c r="AI219" s="668"/>
      <c r="AJ219" s="937"/>
      <c r="AK219" s="937"/>
      <c r="AL219" s="937"/>
      <c r="AM219" s="937"/>
      <c r="AN219" s="950"/>
      <c r="AO219" s="939"/>
      <c r="AP219" s="941"/>
      <c r="AQ219" s="943"/>
      <c r="AR219" s="361"/>
      <c r="AS219" s="367"/>
      <c r="AT219"/>
      <c r="AU219"/>
      <c r="AV219"/>
      <c r="AW219"/>
      <c r="AX219"/>
    </row>
    <row r="220" spans="35:50" ht="12.75" customHeight="1">
      <c r="AI220" s="668"/>
      <c r="AJ220" s="968" t="s">
        <v>533</v>
      </c>
      <c r="AK220" s="968"/>
      <c r="AL220" s="968"/>
      <c r="AM220" s="968"/>
      <c r="AN220" s="580">
        <v>0.107</v>
      </c>
      <c r="AO220" s="581">
        <f>VLOOKUP($AN$5,'Lookup Energy kWhm'!$B$8:$E$208,3)</f>
        <v>0.13</v>
      </c>
      <c r="AP220" s="581">
        <f>VLOOKUP($AN$5,'Lookup Energy kWhm'!$B$8:$E$208,4)</f>
        <v>0.14799999999999999</v>
      </c>
      <c r="AQ220" s="581">
        <f>VLOOKUP($AN$5,'Lookup Energy kWhm'!$B$8:$E$208,2)</f>
        <v>0.1</v>
      </c>
      <c r="AR220" s="361"/>
      <c r="AS220" s="367"/>
      <c r="AT220"/>
      <c r="AU220"/>
      <c r="AV220"/>
      <c r="AW220"/>
      <c r="AX220"/>
    </row>
    <row r="221" spans="35:50" ht="12.75" customHeight="1">
      <c r="AI221" s="668"/>
      <c r="AJ221" s="969" t="s">
        <v>31</v>
      </c>
      <c r="AK221" s="969"/>
      <c r="AL221" s="969"/>
      <c r="AM221" s="969"/>
      <c r="AN221" s="556">
        <f t="shared" ref="AN221:AO224" si="7">AP221</f>
        <v>1.2</v>
      </c>
      <c r="AO221" s="556">
        <f t="shared" si="7"/>
        <v>1.2</v>
      </c>
      <c r="AP221" s="556">
        <f>AO221</f>
        <v>1.2</v>
      </c>
      <c r="AQ221" s="556">
        <f>AN25</f>
        <v>1.2</v>
      </c>
      <c r="AR221" s="361"/>
      <c r="AS221" s="367"/>
      <c r="AT221"/>
      <c r="AU221"/>
      <c r="AV221"/>
      <c r="AW221"/>
      <c r="AX221"/>
    </row>
    <row r="222" spans="35:50" ht="12.75" customHeight="1">
      <c r="AI222" s="668"/>
      <c r="AJ222" s="969" t="s">
        <v>314</v>
      </c>
      <c r="AK222" s="969"/>
      <c r="AL222" s="969"/>
      <c r="AM222" s="969"/>
      <c r="AN222" s="556">
        <f t="shared" si="7"/>
        <v>160</v>
      </c>
      <c r="AO222" s="556">
        <f t="shared" si="7"/>
        <v>160</v>
      </c>
      <c r="AP222" s="556">
        <f>AO222</f>
        <v>160</v>
      </c>
      <c r="AQ222" s="556">
        <f>AN24</f>
        <v>160</v>
      </c>
      <c r="AR222" s="361"/>
      <c r="AS222" s="367"/>
      <c r="AT222"/>
      <c r="AU222"/>
      <c r="AV222"/>
      <c r="AW222"/>
      <c r="AX222"/>
    </row>
    <row r="223" spans="35:50" ht="12.75" customHeight="1">
      <c r="AI223" s="668"/>
      <c r="AJ223" s="969" t="s">
        <v>20</v>
      </c>
      <c r="AK223" s="969"/>
      <c r="AL223" s="969"/>
      <c r="AM223" s="969"/>
      <c r="AN223" s="556">
        <f t="shared" si="7"/>
        <v>40</v>
      </c>
      <c r="AO223" s="556">
        <f t="shared" si="7"/>
        <v>40</v>
      </c>
      <c r="AP223" s="556">
        <f>AO223</f>
        <v>40</v>
      </c>
      <c r="AQ223" s="556">
        <f>AN27</f>
        <v>40</v>
      </c>
      <c r="AR223" s="361"/>
      <c r="AS223" s="367"/>
      <c r="AT223"/>
      <c r="AU223"/>
      <c r="AV223"/>
      <c r="AW223"/>
      <c r="AX223"/>
    </row>
    <row r="224" spans="35:50" ht="12.75" customHeight="1">
      <c r="AI224" s="668"/>
      <c r="AJ224" s="969" t="s">
        <v>310</v>
      </c>
      <c r="AK224" s="969"/>
      <c r="AL224" s="969"/>
      <c r="AM224" s="969"/>
      <c r="AN224" s="556">
        <f t="shared" si="7"/>
        <v>160</v>
      </c>
      <c r="AO224" s="556">
        <f t="shared" si="7"/>
        <v>160</v>
      </c>
      <c r="AP224" s="556">
        <f>AO224</f>
        <v>160</v>
      </c>
      <c r="AQ224" s="556">
        <f>AN28</f>
        <v>160</v>
      </c>
      <c r="AR224" s="361"/>
      <c r="AS224" s="367"/>
      <c r="AT224"/>
      <c r="AU224"/>
      <c r="AV224"/>
      <c r="AW224"/>
      <c r="AX224"/>
    </row>
    <row r="225" spans="35:50" ht="12.75" customHeight="1">
      <c r="AI225" s="668"/>
      <c r="AJ225" s="968" t="s">
        <v>543</v>
      </c>
      <c r="AK225" s="968"/>
      <c r="AL225" s="968"/>
      <c r="AM225" s="968"/>
      <c r="AN225" s="582">
        <f>AN220*AN221*AN222*AN223</f>
        <v>821.75999999999988</v>
      </c>
      <c r="AO225" s="582">
        <f>AO220*AO221*AO222*AO223</f>
        <v>998.40000000000009</v>
      </c>
      <c r="AP225" s="582">
        <f>AP220*AP221*AP222*AP223</f>
        <v>1136.6399999999999</v>
      </c>
      <c r="AQ225" s="582">
        <f>AQ220*AQ221*AQ222*AQ223</f>
        <v>768</v>
      </c>
      <c r="AR225" s="361"/>
      <c r="AS225" s="367"/>
      <c r="AT225"/>
      <c r="AU225"/>
      <c r="AV225"/>
      <c r="AW225"/>
      <c r="AX225"/>
    </row>
    <row r="226" spans="35:50" ht="12.75" customHeight="1">
      <c r="AI226" s="668"/>
      <c r="AJ226" s="968" t="s">
        <v>542</v>
      </c>
      <c r="AK226" s="968"/>
      <c r="AL226" s="968"/>
      <c r="AM226" s="968"/>
      <c r="AN226" s="583">
        <f>AN225/AN224</f>
        <v>5.1359999999999992</v>
      </c>
      <c r="AO226" s="583">
        <f>AO225/AO224</f>
        <v>6.24</v>
      </c>
      <c r="AP226" s="583">
        <f>AP225/AP224</f>
        <v>7.1039999999999992</v>
      </c>
      <c r="AQ226" s="583">
        <f>AQ225/AQ224</f>
        <v>4.8</v>
      </c>
      <c r="AR226" s="361"/>
      <c r="AS226" s="367"/>
      <c r="AT226"/>
      <c r="AU226"/>
      <c r="AV226"/>
      <c r="AW226"/>
      <c r="AX226"/>
    </row>
    <row r="227" spans="35:50" ht="12.75" customHeight="1">
      <c r="AI227" s="668"/>
      <c r="AJ227" s="968" t="s">
        <v>538</v>
      </c>
      <c r="AK227" s="968"/>
      <c r="AL227" s="968"/>
      <c r="AM227" s="968"/>
      <c r="AN227" s="537">
        <f>AM67</f>
        <v>2.6666666666666665</v>
      </c>
      <c r="AO227" s="537">
        <f>AN67</f>
        <v>1.9999999999999996</v>
      </c>
      <c r="AP227" s="537">
        <f>AO67</f>
        <v>1.7391304347826084</v>
      </c>
      <c r="AQ227" s="537">
        <f>AP67</f>
        <v>1.4285714285714284</v>
      </c>
      <c r="AR227" s="361"/>
      <c r="AS227" s="367"/>
      <c r="AT227"/>
      <c r="AU227"/>
      <c r="AV227"/>
      <c r="AW227"/>
      <c r="AX227"/>
    </row>
    <row r="228" spans="35:50" ht="12.75" customHeight="1">
      <c r="AI228" s="668"/>
      <c r="AJ228" s="968" t="s">
        <v>546</v>
      </c>
      <c r="AK228" s="968"/>
      <c r="AL228" s="968"/>
      <c r="AM228" s="968"/>
      <c r="AN228" s="584">
        <f>2.2*AN227</f>
        <v>5.8666666666666671</v>
      </c>
      <c r="AO228" s="584">
        <f>AO227/AO220</f>
        <v>15.384615384615381</v>
      </c>
      <c r="AP228" s="584">
        <f>AP227/AP220</f>
        <v>11.750881316098706</v>
      </c>
      <c r="AQ228" s="584">
        <f>AQ227/AQ220</f>
        <v>14.285714285714283</v>
      </c>
      <c r="AR228" s="361"/>
      <c r="AS228" s="367"/>
      <c r="AT228"/>
      <c r="AU228"/>
      <c r="AV228"/>
      <c r="AW228"/>
      <c r="AX228"/>
    </row>
    <row r="229" spans="35:50" ht="12.75" customHeight="1">
      <c r="AI229" s="668"/>
      <c r="AJ229" s="968" t="s">
        <v>544</v>
      </c>
      <c r="AK229" s="968"/>
      <c r="AL229" s="968"/>
      <c r="AM229" s="968"/>
      <c r="AN229" s="582">
        <f>AN224*AN228</f>
        <v>938.66666666666674</v>
      </c>
      <c r="AO229" s="582">
        <f>AO224*AO228</f>
        <v>2461.538461538461</v>
      </c>
      <c r="AP229" s="582">
        <f>AP224*AP228</f>
        <v>1880.141010575793</v>
      </c>
      <c r="AQ229" s="674">
        <f>AQ224*AQ228</f>
        <v>2285.7142857142853</v>
      </c>
      <c r="AR229" s="361"/>
      <c r="AS229" s="367"/>
      <c r="AT229"/>
      <c r="AU229"/>
      <c r="AV229"/>
      <c r="AW229"/>
      <c r="AX229"/>
    </row>
    <row r="230" spans="35:50" ht="12.75" customHeight="1">
      <c r="AI230" s="668"/>
      <c r="AJ230" s="969" t="s">
        <v>535</v>
      </c>
      <c r="AK230" s="969"/>
      <c r="AL230" s="969"/>
      <c r="AM230" s="969"/>
      <c r="AN230" s="556">
        <f>AN222/AN227</f>
        <v>60</v>
      </c>
      <c r="AO230" s="556">
        <f>AO222/AO227</f>
        <v>80.000000000000014</v>
      </c>
      <c r="AP230" s="556">
        <f>AP222/AP227</f>
        <v>92.000000000000014</v>
      </c>
      <c r="AQ230" s="556">
        <f>AQ222/AQ227</f>
        <v>112.00000000000001</v>
      </c>
      <c r="AR230" s="361"/>
      <c r="AS230" s="367"/>
      <c r="AT230"/>
      <c r="AU230"/>
      <c r="AV230"/>
      <c r="AW230"/>
      <c r="AX230"/>
    </row>
    <row r="231" spans="35:50" ht="12.75" customHeight="1">
      <c r="AI231" s="668"/>
      <c r="AJ231" s="969" t="s">
        <v>536</v>
      </c>
      <c r="AK231" s="969"/>
      <c r="AL231" s="969"/>
      <c r="AM231" s="969"/>
      <c r="AN231" s="675">
        <f>AN221*AN230</f>
        <v>72</v>
      </c>
      <c r="AO231" s="675">
        <f>AO221*AO230</f>
        <v>96.000000000000014</v>
      </c>
      <c r="AP231" s="675">
        <f>AP221*AP230</f>
        <v>110.40000000000002</v>
      </c>
      <c r="AQ231" s="675">
        <f>AQ221*AQ230</f>
        <v>134.4</v>
      </c>
      <c r="AR231" s="361"/>
      <c r="AS231" s="367"/>
      <c r="AT231"/>
      <c r="AU231"/>
      <c r="AV231"/>
      <c r="AW231"/>
      <c r="AX231"/>
    </row>
    <row r="232" spans="35:50" ht="12.75" customHeight="1">
      <c r="AI232" s="668"/>
      <c r="AJ232" s="968" t="s">
        <v>534</v>
      </c>
      <c r="AK232" s="968"/>
      <c r="AL232" s="968"/>
      <c r="AM232" s="968"/>
      <c r="AN232" s="583">
        <f>AM61</f>
        <v>4</v>
      </c>
      <c r="AO232" s="583">
        <f>AN61</f>
        <v>2.9999999999999996</v>
      </c>
      <c r="AP232" s="583">
        <f>AO61</f>
        <v>2.6086956521739126</v>
      </c>
      <c r="AQ232" s="583">
        <f>AP61</f>
        <v>2.1428571428571428</v>
      </c>
      <c r="AR232" s="361"/>
      <c r="AS232" s="367"/>
      <c r="AT232"/>
      <c r="AU232"/>
      <c r="AV232"/>
      <c r="AW232"/>
      <c r="AX232"/>
    </row>
    <row r="233" spans="35:50" ht="12.75" customHeight="1">
      <c r="AI233" s="668"/>
      <c r="AJ233" s="968" t="s">
        <v>537</v>
      </c>
      <c r="AK233" s="968"/>
      <c r="AL233" s="968"/>
      <c r="AM233" s="968"/>
      <c r="AN233" s="584">
        <f>AN230*AN232</f>
        <v>240</v>
      </c>
      <c r="AO233" s="584">
        <f>AO230*AO232</f>
        <v>240</v>
      </c>
      <c r="AP233" s="584">
        <f>AP230*AP232</f>
        <v>240</v>
      </c>
      <c r="AQ233" s="584">
        <f>AQ230*AQ232</f>
        <v>240.00000000000003</v>
      </c>
      <c r="AR233" s="361"/>
      <c r="AS233" s="367"/>
      <c r="AT233"/>
      <c r="AU233"/>
      <c r="AV233"/>
      <c r="AW233"/>
      <c r="AX233"/>
    </row>
    <row r="234" spans="35:50" ht="12.75" customHeight="1">
      <c r="AI234" s="668"/>
      <c r="AJ234" s="968" t="s">
        <v>545</v>
      </c>
      <c r="AK234" s="968"/>
      <c r="AL234" s="968"/>
      <c r="AM234" s="968"/>
      <c r="AN234" s="585">
        <f>AN226/AN228</f>
        <v>0.87545454545454526</v>
      </c>
      <c r="AO234" s="585">
        <f>AO226/AO228</f>
        <v>0.40560000000000007</v>
      </c>
      <c r="AP234" s="585">
        <f>AP226/AP228</f>
        <v>0.60455040000000004</v>
      </c>
      <c r="AQ234" s="585">
        <f>AQ226/AQ228</f>
        <v>0.33600000000000008</v>
      </c>
      <c r="AR234" s="361"/>
      <c r="AS234" s="367"/>
      <c r="AT234"/>
      <c r="AU234"/>
      <c r="AV234"/>
      <c r="AW234"/>
      <c r="AX234"/>
    </row>
    <row r="235" spans="35:50" ht="12.75" customHeight="1">
      <c r="AI235" s="668"/>
      <c r="AJ235" s="540" t="s">
        <v>547</v>
      </c>
      <c r="AK235" s="540"/>
      <c r="AL235" s="540"/>
      <c r="AM235" s="540"/>
      <c r="AN235" s="585"/>
      <c r="AO235" s="586">
        <f>10*AO222*AO221*AO223</f>
        <v>76800</v>
      </c>
      <c r="AP235" s="586">
        <f>10*AP222*AP221*AP223</f>
        <v>76800</v>
      </c>
      <c r="AQ235" s="586">
        <f>10*AQ222*AQ221*AQ223</f>
        <v>76800</v>
      </c>
      <c r="AR235" s="361"/>
      <c r="AS235" s="367"/>
      <c r="AT235"/>
      <c r="AU235"/>
      <c r="AV235"/>
      <c r="AW235"/>
      <c r="AX235"/>
    </row>
    <row r="236" spans="35:50" ht="12.75" customHeight="1">
      <c r="AI236" s="668"/>
      <c r="AJ236" s="968" t="s">
        <v>548</v>
      </c>
      <c r="AK236" s="968"/>
      <c r="AL236" s="968"/>
      <c r="AM236" s="968"/>
      <c r="AN236" s="585">
        <f>AN234</f>
        <v>0.87545454545454526</v>
      </c>
      <c r="AO236" s="585">
        <f>AO225/AO235</f>
        <v>1.3000000000000001E-2</v>
      </c>
      <c r="AP236" s="585">
        <f>AP225/AP235</f>
        <v>1.4799999999999999E-2</v>
      </c>
      <c r="AQ236" s="585">
        <f>AQ225/AQ235</f>
        <v>0.01</v>
      </c>
      <c r="AR236" s="361"/>
      <c r="AS236" s="367"/>
      <c r="AT236"/>
      <c r="AU236"/>
      <c r="AV236"/>
      <c r="AW236"/>
      <c r="AX236"/>
    </row>
    <row r="237" spans="35:50" ht="12.75" customHeight="1">
      <c r="AI237" s="668"/>
      <c r="AJ237" s="587"/>
      <c r="AK237" s="587"/>
      <c r="AL237" s="587"/>
      <c r="AM237" s="587"/>
      <c r="AN237" s="588"/>
      <c r="AO237" s="588"/>
      <c r="AP237" s="588"/>
      <c r="AQ237" s="588"/>
      <c r="AR237" s="589"/>
      <c r="AS237" s="367"/>
      <c r="AT237"/>
      <c r="AU237"/>
      <c r="AV237"/>
      <c r="AW237"/>
      <c r="AX237"/>
    </row>
    <row r="238" spans="35:50" ht="12.75" customHeight="1">
      <c r="AI238" s="668"/>
      <c r="AJ238" s="587"/>
      <c r="AK238" s="587"/>
      <c r="AL238" s="587"/>
      <c r="AM238" s="587"/>
      <c r="AN238" s="676"/>
      <c r="AO238" s="676"/>
      <c r="AP238" s="676"/>
      <c r="AQ238" s="588"/>
      <c r="AR238" s="364"/>
      <c r="AS238" s="367"/>
      <c r="AT238"/>
      <c r="AU238"/>
      <c r="AV238"/>
      <c r="AW238"/>
      <c r="AX238"/>
    </row>
    <row r="239" spans="35:50" ht="12.75" customHeight="1">
      <c r="AI239" s="668" t="s">
        <v>240</v>
      </c>
      <c r="AJ239" s="364" t="s">
        <v>241</v>
      </c>
      <c r="AK239" s="364"/>
      <c r="AL239" s="364"/>
      <c r="AM239" s="364"/>
      <c r="AN239" s="364"/>
      <c r="AO239" s="364"/>
      <c r="AP239" s="364"/>
      <c r="AQ239" s="364"/>
      <c r="AR239" s="364"/>
      <c r="AS239" s="367"/>
      <c r="AT239"/>
      <c r="AU239"/>
      <c r="AV239"/>
      <c r="AW239"/>
      <c r="AX239"/>
    </row>
    <row r="240" spans="35:50" ht="12.75" customHeight="1">
      <c r="AI240" s="364"/>
      <c r="AJ240" s="962" t="s">
        <v>301</v>
      </c>
      <c r="AK240" s="963"/>
      <c r="AL240" s="964"/>
      <c r="AM240" s="949" t="s">
        <v>500</v>
      </c>
      <c r="AN240" s="938" t="s">
        <v>22</v>
      </c>
      <c r="AO240" s="940" t="s">
        <v>579</v>
      </c>
      <c r="AP240" s="942" t="s">
        <v>21</v>
      </c>
      <c r="AQ240" s="361"/>
      <c r="AR240" s="364"/>
      <c r="AS240" s="367"/>
      <c r="AT240"/>
      <c r="AU240"/>
      <c r="AV240"/>
      <c r="AW240"/>
      <c r="AX240"/>
    </row>
    <row r="241" spans="35:50" ht="12.75" customHeight="1">
      <c r="AI241" s="364"/>
      <c r="AJ241" s="965"/>
      <c r="AK241" s="966"/>
      <c r="AL241" s="967"/>
      <c r="AM241" s="950"/>
      <c r="AN241" s="939"/>
      <c r="AO241" s="941"/>
      <c r="AP241" s="943"/>
      <c r="AQ241" s="361"/>
      <c r="AR241" s="364"/>
      <c r="AS241" s="367"/>
      <c r="AT241"/>
      <c r="AU241"/>
      <c r="AV241"/>
      <c r="AW241"/>
      <c r="AX241"/>
    </row>
    <row r="242" spans="35:50" ht="12.75" customHeight="1">
      <c r="AI242" s="364"/>
      <c r="AJ242" s="931" t="s">
        <v>662</v>
      </c>
      <c r="AK242" s="931"/>
      <c r="AL242" s="931"/>
      <c r="AM242" s="901" t="s">
        <v>427</v>
      </c>
      <c r="AN242" s="562">
        <f>VLOOKUP($AN$5,'Lookup Air Consumption'!$B$8:$E$208,3)</f>
        <v>38</v>
      </c>
      <c r="AO242" s="562">
        <f>VLOOKUP($AN$5,'Lookup Air Consumption'!$B$8:$E$208,4)</f>
        <v>50</v>
      </c>
      <c r="AP242" s="562">
        <f>VLOOKUP($AN$5,'Lookup Air Consumption'!$B$8:$E$208,2)</f>
        <v>41</v>
      </c>
      <c r="AQ242" s="361"/>
      <c r="AR242" s="364"/>
      <c r="AS242" s="367"/>
      <c r="AT242"/>
      <c r="AU242"/>
      <c r="AV242"/>
      <c r="AW242"/>
      <c r="AX242"/>
    </row>
    <row r="243" spans="35:50" ht="12.75" customHeight="1">
      <c r="AI243" s="364"/>
      <c r="AJ243" s="931" t="s">
        <v>663</v>
      </c>
      <c r="AK243" s="931"/>
      <c r="AL243" s="931"/>
      <c r="AM243" s="901"/>
      <c r="AN243" s="590">
        <f>AN242/1000</f>
        <v>3.7999999999999999E-2</v>
      </c>
      <c r="AO243" s="590">
        <f>AO242/1000</f>
        <v>0.05</v>
      </c>
      <c r="AP243" s="590">
        <f>AP242/1000</f>
        <v>4.1000000000000002E-2</v>
      </c>
      <c r="AQ243" s="361"/>
      <c r="AR243" s="364"/>
      <c r="AS243" s="367"/>
      <c r="AT243"/>
      <c r="AU243"/>
      <c r="AV243"/>
      <c r="AW243"/>
      <c r="AX243"/>
    </row>
    <row r="244" spans="35:50" ht="12.75" customHeight="1">
      <c r="AI244" s="364"/>
      <c r="AJ244" s="931" t="s">
        <v>664</v>
      </c>
      <c r="AK244" s="931"/>
      <c r="AL244" s="931"/>
      <c r="AM244" s="901"/>
      <c r="AN244" s="560">
        <f>AN243*35.31467</f>
        <v>1.3419574599999999</v>
      </c>
      <c r="AO244" s="560">
        <f>AO243*35.31467</f>
        <v>1.7657335000000001</v>
      </c>
      <c r="AP244" s="560">
        <f>AP243*35.31467</f>
        <v>1.4479014700000001</v>
      </c>
      <c r="AQ244" s="361"/>
      <c r="AR244" s="364"/>
      <c r="AS244" s="367"/>
      <c r="AT244"/>
      <c r="AU244"/>
      <c r="AV244"/>
      <c r="AW244"/>
      <c r="AX244"/>
    </row>
    <row r="245" spans="35:50" ht="12.75" customHeight="1">
      <c r="AI245" s="360"/>
      <c r="AJ245" s="551"/>
      <c r="AK245" s="551"/>
      <c r="AL245" s="551"/>
      <c r="AM245" s="591"/>
      <c r="AN245" s="551"/>
      <c r="AO245" s="551"/>
      <c r="AP245" s="551"/>
      <c r="AQ245" s="361"/>
      <c r="AR245" s="364"/>
      <c r="AS245" s="367"/>
      <c r="AT245"/>
      <c r="AU245"/>
      <c r="AV245"/>
      <c r="AW245"/>
      <c r="AX245"/>
    </row>
    <row r="246" spans="35:50" ht="12.75" customHeight="1">
      <c r="AI246" s="360"/>
      <c r="AJ246" s="962" t="s">
        <v>302</v>
      </c>
      <c r="AK246" s="963"/>
      <c r="AL246" s="964"/>
      <c r="AM246" s="949" t="s">
        <v>500</v>
      </c>
      <c r="AN246" s="938" t="s">
        <v>22</v>
      </c>
      <c r="AO246" s="940" t="s">
        <v>579</v>
      </c>
      <c r="AP246" s="942" t="s">
        <v>21</v>
      </c>
      <c r="AQ246" s="361"/>
      <c r="AR246" s="364"/>
      <c r="AS246" s="367"/>
      <c r="AT246"/>
      <c r="AU246"/>
      <c r="AV246"/>
      <c r="AW246"/>
      <c r="AX246"/>
    </row>
    <row r="247" spans="35:50" ht="12.75" customHeight="1">
      <c r="AI247" s="360"/>
      <c r="AJ247" s="965"/>
      <c r="AK247" s="966"/>
      <c r="AL247" s="967"/>
      <c r="AM247" s="950"/>
      <c r="AN247" s="939"/>
      <c r="AO247" s="941"/>
      <c r="AP247" s="943"/>
      <c r="AQ247" s="361"/>
      <c r="AR247" s="364"/>
      <c r="AS247" s="367"/>
      <c r="AT247"/>
      <c r="AU247"/>
      <c r="AV247"/>
      <c r="AW247"/>
      <c r="AX247"/>
    </row>
    <row r="248" spans="35:50" ht="12.75" customHeight="1">
      <c r="AI248" s="360"/>
      <c r="AJ248" s="931" t="s">
        <v>662</v>
      </c>
      <c r="AK248" s="931"/>
      <c r="AL248" s="931"/>
      <c r="AM248" s="901" t="s">
        <v>427</v>
      </c>
      <c r="AN248" s="549">
        <f t="shared" ref="AN248:AP250" si="8">AN242*$AN$28</f>
        <v>6080</v>
      </c>
      <c r="AO248" s="549">
        <f t="shared" si="8"/>
        <v>8000</v>
      </c>
      <c r="AP248" s="549">
        <f t="shared" si="8"/>
        <v>6560</v>
      </c>
      <c r="AQ248" s="361"/>
      <c r="AR248" s="364"/>
      <c r="AS248" s="367"/>
      <c r="AT248"/>
      <c r="AU248"/>
      <c r="AV248"/>
      <c r="AW248"/>
      <c r="AX248"/>
    </row>
    <row r="249" spans="35:50" ht="12.75" customHeight="1">
      <c r="AI249" s="360"/>
      <c r="AJ249" s="931" t="s">
        <v>663</v>
      </c>
      <c r="AK249" s="931"/>
      <c r="AL249" s="931"/>
      <c r="AM249" s="901"/>
      <c r="AN249" s="560">
        <f t="shared" si="8"/>
        <v>6.08</v>
      </c>
      <c r="AO249" s="560">
        <f t="shared" si="8"/>
        <v>8</v>
      </c>
      <c r="AP249" s="560">
        <f t="shared" si="8"/>
        <v>6.5600000000000005</v>
      </c>
      <c r="AQ249" s="361"/>
      <c r="AR249" s="364"/>
      <c r="AS249" s="367"/>
      <c r="AT249"/>
      <c r="AU249"/>
      <c r="AV249"/>
      <c r="AW249"/>
      <c r="AX249"/>
    </row>
    <row r="250" spans="35:50" ht="12.75" customHeight="1">
      <c r="AI250" s="360"/>
      <c r="AJ250" s="931" t="s">
        <v>664</v>
      </c>
      <c r="AK250" s="931"/>
      <c r="AL250" s="931"/>
      <c r="AM250" s="901"/>
      <c r="AN250" s="560">
        <f t="shared" si="8"/>
        <v>214.71319359999998</v>
      </c>
      <c r="AO250" s="560">
        <f t="shared" si="8"/>
        <v>282.51736</v>
      </c>
      <c r="AP250" s="560">
        <f t="shared" si="8"/>
        <v>231.66423520000001</v>
      </c>
      <c r="AQ250" s="361"/>
      <c r="AR250" s="364"/>
      <c r="AS250" s="367"/>
      <c r="AT250"/>
      <c r="AU250"/>
      <c r="AV250"/>
      <c r="AW250"/>
      <c r="AX250"/>
    </row>
    <row r="251" spans="35:50" ht="12.75" customHeight="1">
      <c r="AI251" s="360"/>
      <c r="AJ251" s="364"/>
      <c r="AK251" s="364"/>
      <c r="AL251" s="364"/>
      <c r="AM251" s="364"/>
      <c r="AN251" s="555"/>
      <c r="AO251" s="555"/>
      <c r="AP251" s="555"/>
      <c r="AQ251" s="361"/>
      <c r="AR251" s="364"/>
      <c r="AS251" s="367"/>
      <c r="AT251"/>
      <c r="AU251"/>
      <c r="AV251"/>
      <c r="AW251"/>
      <c r="AX251"/>
    </row>
    <row r="252" spans="35:50" ht="12.75" customHeight="1">
      <c r="AI252" s="360"/>
      <c r="AJ252" s="962" t="s">
        <v>303</v>
      </c>
      <c r="AK252" s="963"/>
      <c r="AL252" s="964"/>
      <c r="AM252" s="949" t="s">
        <v>500</v>
      </c>
      <c r="AN252" s="938" t="s">
        <v>22</v>
      </c>
      <c r="AO252" s="940" t="s">
        <v>579</v>
      </c>
      <c r="AP252" s="942" t="s">
        <v>21</v>
      </c>
      <c r="AQ252" s="361"/>
      <c r="AR252" s="364"/>
      <c r="AS252" s="367"/>
      <c r="AT252"/>
      <c r="AU252"/>
      <c r="AV252"/>
      <c r="AW252"/>
      <c r="AX252"/>
    </row>
    <row r="253" spans="35:50" ht="12.75" customHeight="1">
      <c r="AI253" s="360"/>
      <c r="AJ253" s="965"/>
      <c r="AK253" s="966"/>
      <c r="AL253" s="967"/>
      <c r="AM253" s="950"/>
      <c r="AN253" s="939"/>
      <c r="AO253" s="941"/>
      <c r="AP253" s="943"/>
      <c r="AQ253" s="361"/>
      <c r="AR253" s="364"/>
      <c r="AS253" s="367"/>
      <c r="AT253"/>
      <c r="AU253"/>
      <c r="AV253"/>
      <c r="AW253"/>
      <c r="AX253"/>
    </row>
    <row r="254" spans="35:50" ht="12.75" customHeight="1">
      <c r="AI254" s="563"/>
      <c r="AJ254" s="951" t="s">
        <v>517</v>
      </c>
      <c r="AK254" s="951"/>
      <c r="AL254" s="951"/>
      <c r="AM254" s="901" t="s">
        <v>427</v>
      </c>
      <c r="AN254" s="549">
        <f t="shared" ref="AN254:AP256" si="9">($AN$30/$AP$56)*60*AN242</f>
        <v>31268571.428571429</v>
      </c>
      <c r="AO254" s="549">
        <f t="shared" si="9"/>
        <v>41142857.142857142</v>
      </c>
      <c r="AP254" s="549">
        <f t="shared" si="9"/>
        <v>33737142.857142858</v>
      </c>
      <c r="AQ254" s="361"/>
      <c r="AR254" s="364"/>
      <c r="AS254" s="367"/>
      <c r="AT254"/>
      <c r="AU254"/>
      <c r="AV254"/>
      <c r="AW254"/>
      <c r="AX254"/>
    </row>
    <row r="255" spans="35:50" ht="12.75" customHeight="1">
      <c r="AI255" s="364"/>
      <c r="AJ255" s="951" t="s">
        <v>666</v>
      </c>
      <c r="AK255" s="951"/>
      <c r="AL255" s="951"/>
      <c r="AM255" s="901"/>
      <c r="AN255" s="549">
        <f t="shared" si="9"/>
        <v>31268.571428571428</v>
      </c>
      <c r="AO255" s="549">
        <f t="shared" si="9"/>
        <v>41142.857142857145</v>
      </c>
      <c r="AP255" s="549">
        <f t="shared" si="9"/>
        <v>33737.142857142855</v>
      </c>
      <c r="AQ255" s="361"/>
      <c r="AR255" s="364"/>
      <c r="AS255" s="367"/>
      <c r="AT255"/>
      <c r="AU255"/>
      <c r="AV255"/>
      <c r="AW255"/>
      <c r="AX255"/>
    </row>
    <row r="256" spans="35:50" ht="12.75" customHeight="1">
      <c r="AI256" s="364"/>
      <c r="AJ256" s="951" t="s">
        <v>583</v>
      </c>
      <c r="AK256" s="951"/>
      <c r="AL256" s="951"/>
      <c r="AM256" s="901"/>
      <c r="AN256" s="549">
        <f t="shared" si="9"/>
        <v>1104239.2813714284</v>
      </c>
      <c r="AO256" s="549">
        <f t="shared" si="9"/>
        <v>1452946.422857143</v>
      </c>
      <c r="AP256" s="549">
        <f t="shared" si="9"/>
        <v>1191416.0667428572</v>
      </c>
      <c r="AQ256" s="361"/>
      <c r="AR256" s="364"/>
      <c r="AS256" s="367"/>
      <c r="AT256"/>
      <c r="AU256"/>
      <c r="AV256"/>
      <c r="AW256"/>
      <c r="AX256"/>
    </row>
    <row r="257" spans="35:50" ht="12.75" customHeight="1">
      <c r="AI257" s="364"/>
      <c r="AJ257" s="364"/>
      <c r="AK257" s="364"/>
      <c r="AL257" s="364"/>
      <c r="AM257" s="364"/>
      <c r="AN257" s="364"/>
      <c r="AO257" s="364"/>
      <c r="AP257" s="364"/>
      <c r="AQ257" s="361"/>
      <c r="AR257" s="364"/>
      <c r="AS257" s="367"/>
      <c r="AT257"/>
      <c r="AU257"/>
      <c r="AV257"/>
      <c r="AW257"/>
      <c r="AX257"/>
    </row>
    <row r="258" spans="35:50" ht="12.75" customHeight="1">
      <c r="AI258" s="668" t="s">
        <v>753</v>
      </c>
      <c r="AJ258" s="364" t="s">
        <v>300</v>
      </c>
      <c r="AK258" s="364"/>
      <c r="AL258" s="364"/>
      <c r="AM258" s="364"/>
      <c r="AN258" s="364"/>
      <c r="AO258" s="364"/>
      <c r="AP258" s="364"/>
      <c r="AQ258" s="361"/>
      <c r="AR258" s="364"/>
      <c r="AS258" s="367"/>
      <c r="AT258"/>
      <c r="AU258"/>
      <c r="AV258"/>
      <c r="AW258"/>
      <c r="AX258"/>
    </row>
    <row r="259" spans="35:50" ht="12.75" customHeight="1">
      <c r="AI259" s="364"/>
      <c r="AJ259" s="957" t="s">
        <v>669</v>
      </c>
      <c r="AK259" s="958"/>
      <c r="AL259" s="959"/>
      <c r="AM259" s="949" t="s">
        <v>500</v>
      </c>
      <c r="AN259" s="938" t="s">
        <v>22</v>
      </c>
      <c r="AO259" s="940" t="s">
        <v>579</v>
      </c>
      <c r="AP259" s="942" t="s">
        <v>21</v>
      </c>
      <c r="AQ259" s="361"/>
      <c r="AR259" s="364"/>
      <c r="AS259" s="367"/>
      <c r="AT259"/>
      <c r="AU259"/>
      <c r="AV259"/>
      <c r="AW259"/>
      <c r="AX259"/>
    </row>
    <row r="260" spans="35:50" ht="12.75" customHeight="1">
      <c r="AI260" s="364"/>
      <c r="AJ260" s="960"/>
      <c r="AK260" s="961"/>
      <c r="AL260" s="899"/>
      <c r="AM260" s="950"/>
      <c r="AN260" s="939"/>
      <c r="AO260" s="941"/>
      <c r="AP260" s="943"/>
      <c r="AQ260" s="361"/>
      <c r="AR260" s="364"/>
      <c r="AS260" s="367"/>
      <c r="AT260"/>
      <c r="AU260"/>
      <c r="AV260"/>
      <c r="AW260"/>
      <c r="AX260"/>
    </row>
    <row r="261" spans="35:50" ht="12.75" customHeight="1">
      <c r="AI261" s="364"/>
      <c r="AJ261" s="541" t="s">
        <v>80</v>
      </c>
      <c r="AK261" s="559"/>
      <c r="AL261" s="559"/>
      <c r="AM261" s="543">
        <v>6.5</v>
      </c>
      <c r="AN261" s="669">
        <f>VLOOKUP($AN$5,'Lookup Water Flow'!$B$8:$E$208,3)</f>
        <v>6.9</v>
      </c>
      <c r="AO261" s="669">
        <f>VLOOKUP($AN$5,'Lookup Water Flow'!$B$8:$E$208,4)</f>
        <v>12.1</v>
      </c>
      <c r="AP261" s="669">
        <f>VLOOKUP($AN$5,'Lookup Water Flow'!$B$8:$E$208,2)</f>
        <v>12.6</v>
      </c>
      <c r="AQ261" s="361"/>
      <c r="AR261" s="364"/>
      <c r="AS261" s="367"/>
      <c r="AT261"/>
      <c r="AU261"/>
      <c r="AV261"/>
      <c r="AW261"/>
      <c r="AX261"/>
    </row>
    <row r="262" spans="35:50" ht="12.75" customHeight="1">
      <c r="AI262" s="364"/>
      <c r="AJ262" s="951" t="s">
        <v>81</v>
      </c>
      <c r="AK262" s="951"/>
      <c r="AL262" s="951"/>
      <c r="AM262" s="677">
        <f>AM261*AN28</f>
        <v>1040</v>
      </c>
      <c r="AN262" s="678">
        <f>AN261*$AN$28</f>
        <v>1104</v>
      </c>
      <c r="AO262" s="678">
        <f>AO261*$AN$28</f>
        <v>1936</v>
      </c>
      <c r="AP262" s="678">
        <f>AP261*$AN$28</f>
        <v>2016</v>
      </c>
      <c r="AQ262" s="361"/>
      <c r="AR262" s="364"/>
      <c r="AS262" s="367"/>
      <c r="AT262"/>
      <c r="AU262"/>
      <c r="AV262"/>
      <c r="AW262"/>
      <c r="AX262"/>
    </row>
    <row r="263" spans="35:50" ht="12.75" customHeight="1">
      <c r="AI263" s="364"/>
      <c r="AJ263" s="592" t="s">
        <v>670</v>
      </c>
      <c r="AK263" s="559"/>
      <c r="AL263" s="559"/>
      <c r="AM263" s="549">
        <f>(AM261*AM61*AN29)+(24*2*AN29)</f>
        <v>473600</v>
      </c>
      <c r="AN263" s="679">
        <f>AN261*$AP$61*$AN$29</f>
        <v>94628.571428571435</v>
      </c>
      <c r="AO263" s="679">
        <f>AO261*$AP$61*$AN$29</f>
        <v>165942.85714285713</v>
      </c>
      <c r="AP263" s="679">
        <f>AP261*$AP$61*$AN$29</f>
        <v>172800</v>
      </c>
      <c r="AQ263" s="361"/>
      <c r="AR263" s="364"/>
      <c r="AS263" s="367"/>
      <c r="AT263"/>
      <c r="AU263"/>
      <c r="AV263"/>
      <c r="AW263"/>
      <c r="AX263"/>
    </row>
    <row r="264" spans="35:50" ht="12.75" customHeight="1">
      <c r="AI264" s="364"/>
      <c r="AJ264" s="364"/>
      <c r="AK264" s="364"/>
      <c r="AL264" s="364"/>
      <c r="AM264" s="364"/>
      <c r="AN264" s="364"/>
      <c r="AO264" s="364"/>
      <c r="AP264" s="364"/>
      <c r="AQ264" s="364"/>
      <c r="AR264" s="364"/>
      <c r="AS264" s="367"/>
      <c r="AT264"/>
      <c r="AU264"/>
      <c r="AV264"/>
      <c r="AW264"/>
      <c r="AX264"/>
    </row>
    <row r="265" spans="35:50" ht="12.75" customHeight="1">
      <c r="AI265" s="680" t="s">
        <v>754</v>
      </c>
      <c r="AJ265" s="952" t="s">
        <v>309</v>
      </c>
      <c r="AK265" s="952"/>
      <c r="AL265" s="952"/>
      <c r="AM265" s="952"/>
      <c r="AN265" s="952"/>
      <c r="AO265" s="952"/>
      <c r="AP265" s="952"/>
      <c r="AQ265" s="952"/>
      <c r="AR265" s="360"/>
      <c r="AS265" s="367"/>
      <c r="AT265"/>
      <c r="AU265"/>
      <c r="AV265"/>
      <c r="AW265"/>
      <c r="AX265"/>
    </row>
    <row r="266" spans="35:50" ht="12.75" customHeight="1">
      <c r="AI266" s="364"/>
      <c r="AJ266" s="364"/>
      <c r="AK266" s="364"/>
      <c r="AL266" s="364"/>
      <c r="AM266" s="364"/>
      <c r="AN266" s="364"/>
      <c r="AO266" s="364"/>
      <c r="AP266" s="364"/>
      <c r="AQ266" s="364"/>
      <c r="AR266" s="364"/>
      <c r="AS266" s="367"/>
      <c r="AT266"/>
      <c r="AU266"/>
      <c r="AV266"/>
      <c r="AW266"/>
      <c r="AX266"/>
    </row>
    <row r="267" spans="35:50" ht="12.75" customHeight="1">
      <c r="AI267" s="668" t="s">
        <v>755</v>
      </c>
      <c r="AJ267" s="364" t="s">
        <v>239</v>
      </c>
      <c r="AK267" s="364"/>
      <c r="AL267" s="364"/>
      <c r="AM267" s="364"/>
      <c r="AN267" s="364"/>
      <c r="AO267" s="364"/>
      <c r="AP267" s="364"/>
      <c r="AQ267" s="364"/>
      <c r="AR267" s="364"/>
      <c r="AS267" s="367"/>
      <c r="AT267"/>
      <c r="AU267"/>
      <c r="AV267"/>
      <c r="AW267"/>
      <c r="AX267"/>
    </row>
    <row r="268" spans="35:50" ht="12.75" customHeight="1">
      <c r="AI268" s="364"/>
      <c r="AJ268" s="364"/>
      <c r="AK268" s="364"/>
      <c r="AL268" s="364"/>
      <c r="AM268" s="364"/>
      <c r="AN268" s="364"/>
      <c r="AO268" s="364"/>
      <c r="AP268" s="364"/>
      <c r="AQ268" s="364"/>
      <c r="AR268" s="364"/>
      <c r="AS268" s="367"/>
      <c r="AT268"/>
      <c r="AU268"/>
      <c r="AV268"/>
      <c r="AW268"/>
      <c r="AX268"/>
    </row>
    <row r="269" spans="35:50" ht="12.75" customHeight="1">
      <c r="AI269" s="364"/>
      <c r="AJ269" s="953" t="s">
        <v>676</v>
      </c>
      <c r="AK269" s="954"/>
      <c r="AL269" s="561" t="s">
        <v>320</v>
      </c>
      <c r="AM269" s="935" t="s">
        <v>318</v>
      </c>
      <c r="AN269" s="935"/>
      <c r="AO269" s="681">
        <f>'Compressor Input Data'!G7</f>
        <v>0.19</v>
      </c>
      <c r="AP269" s="594"/>
      <c r="AQ269" s="595"/>
      <c r="AR269" s="363"/>
      <c r="AS269" s="367"/>
      <c r="AT269"/>
      <c r="AU269"/>
      <c r="AV269"/>
      <c r="AW269"/>
      <c r="AX269"/>
    </row>
    <row r="270" spans="35:50" ht="12.75" customHeight="1">
      <c r="AI270" s="364"/>
      <c r="AJ270" s="955"/>
      <c r="AK270" s="956"/>
      <c r="AL270" s="561" t="s">
        <v>321</v>
      </c>
      <c r="AM270" s="935" t="s">
        <v>319</v>
      </c>
      <c r="AN270" s="935"/>
      <c r="AO270" s="681">
        <f>'Compressor Input Data'!G8</f>
        <v>0.33</v>
      </c>
      <c r="AP270" s="594"/>
      <c r="AQ270" s="595"/>
      <c r="AR270" s="595"/>
      <c r="AS270" s="367"/>
      <c r="AT270"/>
      <c r="AU270"/>
      <c r="AV270"/>
      <c r="AW270"/>
      <c r="AX270"/>
    </row>
    <row r="271" spans="35:50" ht="12.75" customHeight="1">
      <c r="AI271" s="364"/>
      <c r="AJ271" s="363"/>
      <c r="AK271" s="363"/>
      <c r="AL271" s="577"/>
      <c r="AM271" s="577"/>
      <c r="AN271" s="596"/>
      <c r="AO271" s="363"/>
      <c r="AP271" s="363"/>
      <c r="AQ271" s="363"/>
      <c r="AR271" s="363"/>
      <c r="AS271" s="367"/>
      <c r="AT271"/>
      <c r="AU271"/>
      <c r="AV271"/>
      <c r="AW271"/>
      <c r="AX271"/>
    </row>
    <row r="272" spans="35:50" ht="12.75" customHeight="1">
      <c r="AI272" s="364"/>
      <c r="AJ272" s="935" t="s">
        <v>675</v>
      </c>
      <c r="AK272" s="935"/>
      <c r="AL272" s="935"/>
      <c r="AM272" s="949" t="s">
        <v>500</v>
      </c>
      <c r="AN272" s="938" t="s">
        <v>22</v>
      </c>
      <c r="AO272" s="940" t="s">
        <v>579</v>
      </c>
      <c r="AP272" s="942" t="s">
        <v>21</v>
      </c>
      <c r="AQ272" s="361"/>
      <c r="AR272" s="364"/>
      <c r="AS272" s="367"/>
      <c r="AT272"/>
      <c r="AU272"/>
      <c r="AV272"/>
      <c r="AW272"/>
      <c r="AX272"/>
    </row>
    <row r="273" spans="35:50" ht="12.75" customHeight="1">
      <c r="AI273" s="364"/>
      <c r="AJ273" s="944" t="s">
        <v>320</v>
      </c>
      <c r="AK273" s="947"/>
      <c r="AL273" s="948"/>
      <c r="AM273" s="950"/>
      <c r="AN273" s="939"/>
      <c r="AO273" s="941"/>
      <c r="AP273" s="943"/>
      <c r="AQ273" s="361"/>
      <c r="AR273" s="364"/>
      <c r="AS273" s="367"/>
      <c r="AT273"/>
      <c r="AU273"/>
      <c r="AV273"/>
      <c r="AW273"/>
      <c r="AX273"/>
    </row>
    <row r="274" spans="35:50" ht="12.75" customHeight="1">
      <c r="AI274" s="364"/>
      <c r="AJ274" s="945"/>
      <c r="AK274" s="935" t="s">
        <v>306</v>
      </c>
      <c r="AL274" s="935"/>
      <c r="AM274" s="599">
        <f>AM169*$AO$269</f>
        <v>178.34666666666669</v>
      </c>
      <c r="AN274" s="599">
        <f>AN169*$AO$269</f>
        <v>14439.999999999998</v>
      </c>
      <c r="AO274" s="599">
        <f>AO169*$AO$269</f>
        <v>12556.521739130432</v>
      </c>
      <c r="AP274" s="599">
        <f>AP169*$AO$269</f>
        <v>10314.285714285712</v>
      </c>
      <c r="AQ274" s="361"/>
      <c r="AR274" s="364"/>
      <c r="AS274" s="367"/>
      <c r="AT274"/>
      <c r="AU274"/>
      <c r="AV274"/>
      <c r="AW274"/>
      <c r="AX274"/>
    </row>
    <row r="275" spans="35:50" ht="12.75" customHeight="1">
      <c r="AI275" s="364"/>
      <c r="AJ275" s="945"/>
      <c r="AK275" s="935" t="s">
        <v>307</v>
      </c>
      <c r="AL275" s="935"/>
      <c r="AM275" s="599">
        <f>AM274*$AN$16</f>
        <v>4101.9733333333343</v>
      </c>
      <c r="AN275" s="599">
        <f>AN274*$AN$16</f>
        <v>332119.99999999994</v>
      </c>
      <c r="AO275" s="599">
        <f>AO274*$AN$16</f>
        <v>288799.99999999994</v>
      </c>
      <c r="AP275" s="599">
        <f>AP274*$AN$16</f>
        <v>237228.57142857136</v>
      </c>
      <c r="AQ275" s="361"/>
      <c r="AR275" s="364"/>
      <c r="AS275" s="367"/>
      <c r="AT275"/>
      <c r="AU275"/>
      <c r="AV275"/>
      <c r="AW275"/>
      <c r="AX275"/>
    </row>
    <row r="276" spans="35:50" ht="12.75" customHeight="1">
      <c r="AI276" s="364"/>
      <c r="AJ276" s="946"/>
      <c r="AK276" s="935" t="s">
        <v>308</v>
      </c>
      <c r="AL276" s="935"/>
      <c r="AM276" s="599">
        <f>AM275*9</f>
        <v>36917.760000000009</v>
      </c>
      <c r="AN276" s="599">
        <f>AN275*9</f>
        <v>2989079.9999999995</v>
      </c>
      <c r="AO276" s="599">
        <f>AO275*9</f>
        <v>2599199.9999999995</v>
      </c>
      <c r="AP276" s="599">
        <f>AP275*9</f>
        <v>2135057.1428571423</v>
      </c>
      <c r="AQ276" s="361"/>
      <c r="AR276" s="364"/>
      <c r="AS276" s="367"/>
      <c r="AT276"/>
      <c r="AU276"/>
      <c r="AV276"/>
      <c r="AW276"/>
      <c r="AX276"/>
    </row>
    <row r="277" spans="35:50" ht="12.75" customHeight="1">
      <c r="AI277" s="597"/>
      <c r="AJ277" s="937"/>
      <c r="AK277" s="937"/>
      <c r="AL277" s="937"/>
      <c r="AM277" s="937"/>
      <c r="AN277" s="937"/>
      <c r="AO277" s="937"/>
      <c r="AP277" s="937"/>
      <c r="AQ277" s="364"/>
      <c r="AR277" s="364"/>
      <c r="AS277" s="367"/>
      <c r="AT277"/>
      <c r="AU277"/>
      <c r="AV277"/>
      <c r="AW277"/>
      <c r="AX277"/>
    </row>
    <row r="278" spans="35:50" ht="12.75" customHeight="1">
      <c r="AI278" s="597"/>
      <c r="AJ278" s="935" t="s">
        <v>675</v>
      </c>
      <c r="AK278" s="935"/>
      <c r="AL278" s="935"/>
      <c r="AM278" s="930" t="s">
        <v>500</v>
      </c>
      <c r="AN278" s="928" t="s">
        <v>22</v>
      </c>
      <c r="AO278" s="929" t="s">
        <v>579</v>
      </c>
      <c r="AP278" s="927" t="s">
        <v>21</v>
      </c>
      <c r="AQ278" s="361"/>
      <c r="AR278" s="364"/>
      <c r="AS278" s="367"/>
      <c r="AT278"/>
      <c r="AU278"/>
      <c r="AV278"/>
      <c r="AW278"/>
      <c r="AX278"/>
    </row>
    <row r="279" spans="35:50" ht="12.75" customHeight="1">
      <c r="AI279" s="597"/>
      <c r="AJ279" s="937" t="s">
        <v>321</v>
      </c>
      <c r="AK279" s="937"/>
      <c r="AL279" s="937"/>
      <c r="AM279" s="930"/>
      <c r="AN279" s="928"/>
      <c r="AO279" s="929"/>
      <c r="AP279" s="927"/>
      <c r="AQ279" s="361"/>
      <c r="AR279" s="364"/>
      <c r="AS279" s="367"/>
      <c r="AT279"/>
      <c r="AU279"/>
      <c r="AV279"/>
      <c r="AW279"/>
      <c r="AX279"/>
    </row>
    <row r="280" spans="35:50" ht="12.75" customHeight="1">
      <c r="AI280" s="364"/>
      <c r="AJ280" s="937"/>
      <c r="AK280" s="935" t="s">
        <v>306</v>
      </c>
      <c r="AL280" s="935"/>
      <c r="AM280" s="599">
        <f>AM169*$AO$270</f>
        <v>309.76000000000005</v>
      </c>
      <c r="AN280" s="599">
        <f>AN169*$AO$270</f>
        <v>25079.999999999996</v>
      </c>
      <c r="AO280" s="599">
        <f>AO169*$AO$270</f>
        <v>21808.695652173912</v>
      </c>
      <c r="AP280" s="599">
        <f>AP169*$AO$270</f>
        <v>17914.28571428571</v>
      </c>
      <c r="AQ280" s="361"/>
      <c r="AR280" s="364"/>
      <c r="AS280" s="367"/>
      <c r="AT280"/>
      <c r="AU280"/>
      <c r="AV280"/>
      <c r="AW280"/>
      <c r="AX280"/>
    </row>
    <row r="281" spans="35:50" ht="12.75" customHeight="1">
      <c r="AI281" s="597"/>
      <c r="AJ281" s="937"/>
      <c r="AK281" s="935" t="s">
        <v>307</v>
      </c>
      <c r="AL281" s="935"/>
      <c r="AM281" s="599">
        <f>AM280*$AN$16</f>
        <v>7124.4800000000014</v>
      </c>
      <c r="AN281" s="599">
        <f>AN280*$AN$16</f>
        <v>576839.99999999988</v>
      </c>
      <c r="AO281" s="599">
        <f>AO280*$AN$16</f>
        <v>501600</v>
      </c>
      <c r="AP281" s="599">
        <f>AP280*$AN$16</f>
        <v>412028.57142857136</v>
      </c>
      <c r="AQ281" s="361"/>
      <c r="AR281" s="364"/>
      <c r="AS281" s="367"/>
      <c r="AT281"/>
      <c r="AU281"/>
      <c r="AV281"/>
      <c r="AW281"/>
      <c r="AX281"/>
    </row>
    <row r="282" spans="35:50" ht="12.75" customHeight="1">
      <c r="AI282" s="364"/>
      <c r="AJ282" s="937"/>
      <c r="AK282" s="935" t="s">
        <v>308</v>
      </c>
      <c r="AL282" s="935"/>
      <c r="AM282" s="599">
        <f>AM281*3</f>
        <v>21373.440000000002</v>
      </c>
      <c r="AN282" s="599">
        <f>AN281*3</f>
        <v>1730519.9999999995</v>
      </c>
      <c r="AO282" s="599">
        <f>AO281*3</f>
        <v>1504800</v>
      </c>
      <c r="AP282" s="599">
        <f>AP281*3</f>
        <v>1236085.7142857141</v>
      </c>
      <c r="AQ282" s="361"/>
      <c r="AR282" s="364"/>
      <c r="AS282" s="367"/>
      <c r="AT282"/>
      <c r="AU282"/>
      <c r="AV282"/>
      <c r="AW282"/>
      <c r="AX282"/>
    </row>
    <row r="283" spans="35:50" ht="12.75" customHeight="1">
      <c r="AI283" s="364"/>
      <c r="AJ283" s="937"/>
      <c r="AK283" s="937"/>
      <c r="AL283" s="937"/>
      <c r="AM283" s="937"/>
      <c r="AN283" s="937"/>
      <c r="AO283" s="937"/>
      <c r="AP283" s="937"/>
      <c r="AQ283" s="364"/>
      <c r="AR283" s="364"/>
      <c r="AS283" s="367"/>
      <c r="AT283"/>
      <c r="AU283"/>
      <c r="AV283"/>
      <c r="AW283"/>
      <c r="AX283"/>
    </row>
    <row r="284" spans="35:50" ht="12.75" customHeight="1">
      <c r="AI284" s="364"/>
      <c r="AJ284" s="935" t="s">
        <v>675</v>
      </c>
      <c r="AK284" s="935"/>
      <c r="AL284" s="935"/>
      <c r="AM284" s="930" t="s">
        <v>500</v>
      </c>
      <c r="AN284" s="928" t="s">
        <v>22</v>
      </c>
      <c r="AO284" s="929" t="s">
        <v>579</v>
      </c>
      <c r="AP284" s="927" t="s">
        <v>21</v>
      </c>
      <c r="AQ284" s="361"/>
      <c r="AR284" s="364"/>
      <c r="AS284" s="367"/>
      <c r="AT284"/>
      <c r="AU284"/>
      <c r="AV284"/>
      <c r="AW284"/>
      <c r="AX284"/>
    </row>
    <row r="285" spans="35:50" ht="12.75" customHeight="1">
      <c r="AI285" s="364"/>
      <c r="AJ285" s="937" t="s">
        <v>322</v>
      </c>
      <c r="AK285" s="937"/>
      <c r="AL285" s="937"/>
      <c r="AM285" s="930"/>
      <c r="AN285" s="928"/>
      <c r="AO285" s="929"/>
      <c r="AP285" s="927"/>
      <c r="AQ285" s="361"/>
      <c r="AR285" s="364"/>
      <c r="AS285" s="367"/>
      <c r="AT285"/>
      <c r="AU285"/>
      <c r="AV285"/>
      <c r="AW285"/>
      <c r="AX285"/>
    </row>
    <row r="286" spans="35:50" ht="12.75" customHeight="1">
      <c r="AI286" s="364"/>
      <c r="AJ286" s="937"/>
      <c r="AK286" s="935" t="s">
        <v>306</v>
      </c>
      <c r="AL286" s="935"/>
      <c r="AM286" s="599">
        <f>AM287/$AN$16</f>
        <v>211.20000000000005</v>
      </c>
      <c r="AN286" s="599">
        <f>AN287/$AN$16</f>
        <v>17099.999999999996</v>
      </c>
      <c r="AO286" s="599">
        <f>AO287/$AN$16</f>
        <v>14869.565217391302</v>
      </c>
      <c r="AP286" s="599">
        <f>AP287/$AN$16</f>
        <v>12214.285714285712</v>
      </c>
      <c r="AQ286" s="361"/>
      <c r="AR286" s="364"/>
      <c r="AS286" s="367"/>
      <c r="AT286"/>
      <c r="AU286"/>
      <c r="AV286"/>
      <c r="AW286"/>
      <c r="AX286"/>
    </row>
    <row r="287" spans="35:50" ht="12.75" customHeight="1">
      <c r="AI287" s="364"/>
      <c r="AJ287" s="937"/>
      <c r="AK287" s="935" t="s">
        <v>307</v>
      </c>
      <c r="AL287" s="935"/>
      <c r="AM287" s="599">
        <f>AM288/12</f>
        <v>4857.6000000000013</v>
      </c>
      <c r="AN287" s="599">
        <f>AN288/12</f>
        <v>393299.99999999994</v>
      </c>
      <c r="AO287" s="599">
        <f>AO288/12</f>
        <v>341999.99999999994</v>
      </c>
      <c r="AP287" s="599">
        <f>AP288/12</f>
        <v>280928.57142857136</v>
      </c>
      <c r="AQ287" s="361"/>
      <c r="AR287" s="364"/>
      <c r="AS287" s="367"/>
      <c r="AT287"/>
      <c r="AU287"/>
      <c r="AV287"/>
      <c r="AW287"/>
      <c r="AX287"/>
    </row>
    <row r="288" spans="35:50" ht="12.75" customHeight="1">
      <c r="AI288" s="364"/>
      <c r="AJ288" s="937"/>
      <c r="AK288" s="935" t="s">
        <v>308</v>
      </c>
      <c r="AL288" s="935"/>
      <c r="AM288" s="599">
        <f>AM276+AM282</f>
        <v>58291.200000000012</v>
      </c>
      <c r="AN288" s="599">
        <f>AN276+AN282</f>
        <v>4719599.9999999991</v>
      </c>
      <c r="AO288" s="599">
        <f>AO276+AO282</f>
        <v>4103999.9999999995</v>
      </c>
      <c r="AP288" s="599">
        <f>AP276+AP282</f>
        <v>3371142.8571428563</v>
      </c>
      <c r="AQ288" s="361"/>
      <c r="AR288" s="364"/>
      <c r="AS288" s="367"/>
      <c r="AT288"/>
      <c r="AU288"/>
      <c r="AV288"/>
      <c r="AW288"/>
      <c r="AX288"/>
    </row>
    <row r="289" spans="35:50" ht="12.75" customHeight="1">
      <c r="AI289" s="364"/>
      <c r="AJ289" s="363"/>
      <c r="AK289" s="363"/>
      <c r="AL289" s="577"/>
      <c r="AM289" s="577"/>
      <c r="AN289" s="596"/>
      <c r="AO289" s="363"/>
      <c r="AP289" s="363"/>
      <c r="AQ289" s="363"/>
      <c r="AR289" s="363"/>
      <c r="AS289" s="367"/>
      <c r="AT289"/>
      <c r="AU289"/>
      <c r="AV289"/>
      <c r="AW289"/>
      <c r="AX289"/>
    </row>
    <row r="290" spans="35:50" ht="12.75" customHeight="1">
      <c r="AI290" s="668" t="s">
        <v>756</v>
      </c>
      <c r="AJ290" s="363" t="s">
        <v>758</v>
      </c>
      <c r="AK290" s="363"/>
      <c r="AL290" s="577"/>
      <c r="AM290" s="577"/>
      <c r="AN290" s="596"/>
      <c r="AO290" s="363"/>
      <c r="AP290" s="363"/>
      <c r="AQ290" s="363"/>
      <c r="AR290" s="363"/>
      <c r="AS290" s="367"/>
      <c r="AT290"/>
      <c r="AU290"/>
      <c r="AV290"/>
      <c r="AW290"/>
      <c r="AX290"/>
    </row>
    <row r="291" spans="35:50" ht="12.75" customHeight="1">
      <c r="AI291" s="364"/>
      <c r="AJ291" s="935" t="s">
        <v>678</v>
      </c>
      <c r="AK291" s="935"/>
      <c r="AL291" s="935"/>
      <c r="AM291" s="935"/>
      <c r="AN291" s="936" t="s">
        <v>500</v>
      </c>
      <c r="AO291" s="936" t="s">
        <v>22</v>
      </c>
      <c r="AP291" s="936" t="s">
        <v>579</v>
      </c>
      <c r="AQ291" s="936" t="s">
        <v>21</v>
      </c>
      <c r="AR291" s="361"/>
      <c r="AS291" s="367"/>
      <c r="AT291"/>
      <c r="AU291"/>
      <c r="AV291"/>
      <c r="AW291"/>
      <c r="AX291"/>
    </row>
    <row r="292" spans="35:50" ht="12.75" customHeight="1">
      <c r="AI292" s="364"/>
      <c r="AJ292" s="935"/>
      <c r="AK292" s="935"/>
      <c r="AL292" s="935"/>
      <c r="AM292" s="935"/>
      <c r="AN292" s="936"/>
      <c r="AO292" s="936"/>
      <c r="AP292" s="936"/>
      <c r="AQ292" s="936"/>
      <c r="AR292" s="361"/>
      <c r="AS292" s="367"/>
      <c r="AT292"/>
      <c r="AU292"/>
      <c r="AV292"/>
      <c r="AW292"/>
      <c r="AX292"/>
    </row>
    <row r="293" spans="35:50" ht="12.75" customHeight="1">
      <c r="AI293" s="364"/>
      <c r="AJ293" s="931" t="s">
        <v>35</v>
      </c>
      <c r="AK293" s="931"/>
      <c r="AL293" s="931"/>
      <c r="AM293" s="931"/>
      <c r="AN293" s="599">
        <f>AVERAGE(AM201:AO201)*5%</f>
        <v>1305585.0000000005</v>
      </c>
      <c r="AO293" s="599">
        <f>AN207*5%</f>
        <v>1533870.0000000005</v>
      </c>
      <c r="AP293" s="599">
        <f>AO207*5%</f>
        <v>1518480.0000000005</v>
      </c>
      <c r="AQ293" s="599">
        <f>AP207*5%</f>
        <v>1500158.5714285718</v>
      </c>
      <c r="AR293" s="361"/>
      <c r="AS293" s="367"/>
      <c r="AT293"/>
      <c r="AU293"/>
      <c r="AV293"/>
      <c r="AW293"/>
      <c r="AX293"/>
    </row>
    <row r="294" spans="35:50" ht="12.75" customHeight="1">
      <c r="AI294" s="364"/>
      <c r="AJ294" s="931" t="s">
        <v>481</v>
      </c>
      <c r="AK294" s="931"/>
      <c r="AL294" s="931"/>
      <c r="AM294" s="931"/>
      <c r="AN294" s="600" t="s">
        <v>479</v>
      </c>
      <c r="AO294" s="599">
        <f>AQ294</f>
        <v>1059840</v>
      </c>
      <c r="AP294" s="600" t="s">
        <v>479</v>
      </c>
      <c r="AQ294" s="599">
        <f>Consumables!E23*12</f>
        <v>1059840</v>
      </c>
      <c r="AR294" s="361"/>
      <c r="AS294" s="367"/>
      <c r="AT294"/>
      <c r="AU294"/>
      <c r="AV294"/>
      <c r="AW294"/>
      <c r="AX294"/>
    </row>
    <row r="295" spans="35:50" ht="12.75" customHeight="1">
      <c r="AI295" s="364"/>
      <c r="AJ295" s="931" t="s">
        <v>311</v>
      </c>
      <c r="AK295" s="931"/>
      <c r="AL295" s="931"/>
      <c r="AM295" s="931"/>
      <c r="AN295" s="600" t="s">
        <v>557</v>
      </c>
      <c r="AO295" s="599">
        <f>AQ295</f>
        <v>416000</v>
      </c>
      <c r="AP295" s="599">
        <f>AO295</f>
        <v>416000</v>
      </c>
      <c r="AQ295" s="599">
        <f>Consumables!E21*12</f>
        <v>416000</v>
      </c>
      <c r="AR295" s="361"/>
      <c r="AS295" s="367"/>
      <c r="AT295"/>
      <c r="AU295"/>
      <c r="AV295"/>
      <c r="AW295"/>
      <c r="AX295"/>
    </row>
    <row r="296" spans="35:50" ht="12.75" customHeight="1">
      <c r="AI296" s="364"/>
      <c r="AJ296" s="931" t="s">
        <v>480</v>
      </c>
      <c r="AK296" s="931"/>
      <c r="AL296" s="931"/>
      <c r="AM296" s="931"/>
      <c r="AN296" s="599">
        <f>Consumables!H21*12</f>
        <v>3865001.2800000003</v>
      </c>
      <c r="AO296" s="599">
        <v>0</v>
      </c>
      <c r="AP296" s="599">
        <v>0</v>
      </c>
      <c r="AQ296" s="599">
        <v>0</v>
      </c>
      <c r="AR296" s="361"/>
      <c r="AS296" s="367"/>
      <c r="AT296"/>
      <c r="AU296"/>
      <c r="AV296"/>
      <c r="AW296"/>
      <c r="AX296"/>
    </row>
    <row r="297" spans="35:50" ht="12.75" customHeight="1">
      <c r="AI297" s="364"/>
      <c r="AJ297" s="931" t="s">
        <v>312</v>
      </c>
      <c r="AK297" s="931"/>
      <c r="AL297" s="931"/>
      <c r="AM297" s="931"/>
      <c r="AN297" s="599">
        <f>Consumables!H20*12</f>
        <v>2691993.6000000001</v>
      </c>
      <c r="AO297" s="599">
        <f>AQ297</f>
        <v>2331648.0000000005</v>
      </c>
      <c r="AP297" s="599">
        <f>AO297</f>
        <v>2331648.0000000005</v>
      </c>
      <c r="AQ297" s="599">
        <f>Consumables!E20*12</f>
        <v>2331648.0000000005</v>
      </c>
      <c r="AR297" s="361"/>
      <c r="AS297" s="367"/>
      <c r="AT297"/>
      <c r="AU297"/>
      <c r="AV297"/>
      <c r="AW297"/>
      <c r="AX297"/>
    </row>
    <row r="298" spans="35:50" ht="12.75" customHeight="1">
      <c r="AI298" s="364"/>
      <c r="AJ298" s="931" t="s">
        <v>313</v>
      </c>
      <c r="AK298" s="931"/>
      <c r="AL298" s="931"/>
      <c r="AM298" s="931"/>
      <c r="AN298" s="599">
        <f>Consumables!H19*12</f>
        <v>1674547.2000000002</v>
      </c>
      <c r="AO298" s="599">
        <f>AQ298</f>
        <v>1398988.8</v>
      </c>
      <c r="AP298" s="599">
        <f>AO298</f>
        <v>1398988.8</v>
      </c>
      <c r="AQ298" s="599">
        <f>Consumables!E19*12</f>
        <v>1398988.8</v>
      </c>
      <c r="AR298" s="361"/>
      <c r="AS298" s="367"/>
      <c r="AT298"/>
      <c r="AU298"/>
      <c r="AV298"/>
      <c r="AW298"/>
      <c r="AX298"/>
    </row>
    <row r="299" spans="35:50" ht="12.75" customHeight="1">
      <c r="AI299" s="364"/>
      <c r="AJ299" s="931" t="s">
        <v>190</v>
      </c>
      <c r="AK299" s="931"/>
      <c r="AL299" s="931"/>
      <c r="AM299" s="931"/>
      <c r="AN299" s="599">
        <f>Consumables!H22*12</f>
        <v>8294400</v>
      </c>
      <c r="AO299" s="599">
        <v>0</v>
      </c>
      <c r="AP299" s="599">
        <v>0</v>
      </c>
      <c r="AQ299" s="599">
        <v>0</v>
      </c>
      <c r="AR299" s="361"/>
      <c r="AS299" s="367"/>
      <c r="AT299"/>
      <c r="AU299"/>
      <c r="AV299"/>
      <c r="AW299"/>
      <c r="AX299"/>
    </row>
    <row r="300" spans="35:50" ht="12.75" customHeight="1">
      <c r="AI300" s="364"/>
      <c r="AJ300" s="931" t="s">
        <v>482</v>
      </c>
      <c r="AK300" s="931"/>
      <c r="AL300" s="931"/>
      <c r="AM300" s="931"/>
      <c r="AN300" s="599">
        <v>0</v>
      </c>
      <c r="AO300" s="599">
        <f>AQ300</f>
        <v>199600.00000000003</v>
      </c>
      <c r="AP300" s="599">
        <f>AO300</f>
        <v>199600.00000000003</v>
      </c>
      <c r="AQ300" s="599">
        <f>Consumables!E25*12</f>
        <v>199600.00000000003</v>
      </c>
      <c r="AR300" s="361"/>
      <c r="AS300" s="367"/>
      <c r="AT300"/>
      <c r="AU300"/>
      <c r="AV300"/>
      <c r="AW300"/>
      <c r="AX300"/>
    </row>
    <row r="301" spans="35:50" ht="12.75" customHeight="1">
      <c r="AI301" s="364"/>
      <c r="AJ301" s="931" t="s">
        <v>483</v>
      </c>
      <c r="AK301" s="931"/>
      <c r="AL301" s="931"/>
      <c r="AM301" s="931"/>
      <c r="AN301" s="599">
        <v>0</v>
      </c>
      <c r="AO301" s="599">
        <f>AQ301</f>
        <v>40600</v>
      </c>
      <c r="AP301" s="599">
        <f>AO301</f>
        <v>40600</v>
      </c>
      <c r="AQ301" s="599">
        <f>Consumables!E24*12</f>
        <v>40600</v>
      </c>
      <c r="AR301" s="361"/>
      <c r="AS301" s="367"/>
      <c r="AT301"/>
      <c r="AU301"/>
      <c r="AV301"/>
      <c r="AW301"/>
      <c r="AX301"/>
    </row>
    <row r="302" spans="35:50" ht="12.75" customHeight="1">
      <c r="AI302" s="364"/>
      <c r="AJ302" s="931" t="s">
        <v>478</v>
      </c>
      <c r="AK302" s="931"/>
      <c r="AL302" s="931"/>
      <c r="AM302" s="931"/>
      <c r="AN302" s="599">
        <f>AM288</f>
        <v>58291.200000000012</v>
      </c>
      <c r="AO302" s="599">
        <f>AN288</f>
        <v>4719599.9999999991</v>
      </c>
      <c r="AP302" s="599">
        <f>AO288</f>
        <v>4103999.9999999995</v>
      </c>
      <c r="AQ302" s="599">
        <f>AP288</f>
        <v>3371142.8571428563</v>
      </c>
      <c r="AR302" s="361"/>
      <c r="AS302" s="367"/>
      <c r="AT302"/>
      <c r="AU302"/>
      <c r="AV302"/>
      <c r="AW302"/>
      <c r="AX302"/>
    </row>
    <row r="303" spans="35:50" ht="12.75" customHeight="1">
      <c r="AI303" s="364"/>
      <c r="AJ303" s="931" t="s">
        <v>484</v>
      </c>
      <c r="AK303" s="931"/>
      <c r="AL303" s="931"/>
      <c r="AM303" s="931"/>
      <c r="AN303" s="599">
        <f>'NIHL Compenation Cost'!AD21</f>
        <v>1715167.5</v>
      </c>
      <c r="AO303" s="599">
        <f>'NIHL Compenation Cost'!Z21</f>
        <v>989115.00000000012</v>
      </c>
      <c r="AP303" s="599">
        <f>'NIHL Compenation Cost'!AB21</f>
        <v>1087325</v>
      </c>
      <c r="AQ303" s="599">
        <f>'NIHL Compenation Cost'!X21</f>
        <v>596275</v>
      </c>
      <c r="AR303" s="361"/>
      <c r="AS303" s="367"/>
      <c r="AT303"/>
      <c r="AU303"/>
      <c r="AV303"/>
      <c r="AW303"/>
      <c r="AX303"/>
    </row>
    <row r="304" spans="35:50" ht="12.75" customHeight="1">
      <c r="AI304" s="364"/>
      <c r="AJ304" s="932" t="s">
        <v>677</v>
      </c>
      <c r="AK304" s="932"/>
      <c r="AL304" s="932"/>
      <c r="AM304" s="932"/>
      <c r="AN304" s="599">
        <f>SUM(AN293:AN303)</f>
        <v>19604985.780000001</v>
      </c>
      <c r="AO304" s="599">
        <f>SUM(AO293:AO303)</f>
        <v>12689261.800000001</v>
      </c>
      <c r="AP304" s="599">
        <f>SUM(AP293:AP303)</f>
        <v>11096641.800000001</v>
      </c>
      <c r="AQ304" s="599">
        <f>SUM(AQ293:AQ303)</f>
        <v>10914253.22857143</v>
      </c>
      <c r="AR304" s="361"/>
      <c r="AS304" s="367"/>
      <c r="AT304"/>
      <c r="AU304"/>
      <c r="AV304"/>
      <c r="AW304"/>
      <c r="AX304"/>
    </row>
    <row r="305" spans="35:50" ht="12.75" customHeight="1">
      <c r="AI305" s="364"/>
      <c r="AJ305" s="591"/>
      <c r="AK305" s="591"/>
      <c r="AL305" s="591"/>
      <c r="AM305" s="591"/>
      <c r="AN305" s="718"/>
      <c r="AO305" s="718"/>
      <c r="AP305" s="718"/>
      <c r="AQ305" s="718"/>
      <c r="AR305" s="361"/>
      <c r="AS305" s="367"/>
      <c r="AT305"/>
      <c r="AU305"/>
      <c r="AV305"/>
      <c r="AW305"/>
      <c r="AX305"/>
    </row>
    <row r="306" spans="35:50" ht="12.75" customHeight="1">
      <c r="AI306" s="364"/>
      <c r="AJ306" s="591"/>
      <c r="AK306" s="591"/>
      <c r="AL306" s="933" t="s">
        <v>812</v>
      </c>
      <c r="AM306" s="933"/>
      <c r="AN306" s="718">
        <f>AN304-AN299</f>
        <v>11310585.780000001</v>
      </c>
      <c r="AO306" s="718">
        <f>AO304-AO299</f>
        <v>12689261.800000001</v>
      </c>
      <c r="AP306" s="718">
        <f>AP304-AP299</f>
        <v>11096641.800000001</v>
      </c>
      <c r="AQ306" s="718">
        <f>AQ304-AQ299</f>
        <v>10914253.22857143</v>
      </c>
      <c r="AR306" s="361"/>
      <c r="AS306" s="367"/>
      <c r="AT306"/>
      <c r="AU306"/>
      <c r="AV306"/>
      <c r="AW306"/>
      <c r="AX306"/>
    </row>
    <row r="307" spans="35:50" ht="12.75" customHeight="1">
      <c r="AI307" s="364"/>
      <c r="AJ307" s="364"/>
      <c r="AK307" s="364"/>
      <c r="AL307" s="934" t="s">
        <v>350</v>
      </c>
      <c r="AM307" s="934"/>
      <c r="AN307" s="682">
        <f>AN299</f>
        <v>8294400</v>
      </c>
      <c r="AO307" s="682"/>
      <c r="AP307" s="682"/>
      <c r="AQ307" s="682"/>
      <c r="AR307" s="364"/>
      <c r="AS307" s="367"/>
      <c r="AT307"/>
      <c r="AU307"/>
      <c r="AV307"/>
      <c r="AW307"/>
      <c r="AX307"/>
    </row>
    <row r="308" spans="35:50" ht="12.75" customHeight="1">
      <c r="AI308" s="364">
        <v>10.3</v>
      </c>
      <c r="AJ308" s="363"/>
      <c r="AK308" s="364"/>
      <c r="AL308" s="364"/>
      <c r="AM308" s="364"/>
      <c r="AN308" s="682"/>
      <c r="AO308" s="364"/>
      <c r="AP308" s="362"/>
      <c r="AQ308" s="682"/>
      <c r="AR308" s="364"/>
      <c r="AS308" s="367"/>
      <c r="AT308"/>
      <c r="AU308"/>
      <c r="AV308"/>
      <c r="AW308"/>
      <c r="AX308"/>
    </row>
    <row r="309" spans="35:50" ht="12.75" customHeight="1">
      <c r="AI309" s="364"/>
      <c r="AJ309" s="364"/>
      <c r="AK309" s="364"/>
      <c r="AL309" s="364"/>
      <c r="AM309" s="364"/>
      <c r="AN309" s="364"/>
      <c r="AO309" s="364"/>
      <c r="AP309" s="364"/>
      <c r="AQ309" s="364"/>
      <c r="AR309" s="364"/>
      <c r="AS309" s="367"/>
      <c r="AT309"/>
      <c r="AU309"/>
      <c r="AV309"/>
      <c r="AW309"/>
      <c r="AX309"/>
    </row>
    <row r="310" spans="35:50" ht="12.75" customHeight="1">
      <c r="AI310" s="364"/>
      <c r="AJ310" s="935" t="s">
        <v>195</v>
      </c>
      <c r="AK310" s="935"/>
      <c r="AL310" s="935"/>
      <c r="AM310" s="935"/>
      <c r="AN310" s="935"/>
      <c r="AO310" s="375"/>
      <c r="AP310" s="683"/>
      <c r="AQ310" s="375"/>
      <c r="AR310" s="375"/>
      <c r="AS310" s="367"/>
      <c r="AT310"/>
      <c r="AU310"/>
      <c r="AV310"/>
      <c r="AW310"/>
      <c r="AX310"/>
    </row>
    <row r="311" spans="35:50" ht="12.75" customHeight="1">
      <c r="AI311" s="364"/>
      <c r="AJ311" s="926" t="s">
        <v>509</v>
      </c>
      <c r="AK311" s="927" t="s">
        <v>21</v>
      </c>
      <c r="AL311" s="928" t="s">
        <v>22</v>
      </c>
      <c r="AM311" s="929" t="s">
        <v>579</v>
      </c>
      <c r="AN311" s="930" t="s">
        <v>500</v>
      </c>
      <c r="AO311" s="363"/>
      <c r="AP311" s="684"/>
      <c r="AQ311" s="363"/>
      <c r="AR311" s="364"/>
      <c r="AS311" s="367"/>
      <c r="AT311"/>
      <c r="AU311"/>
      <c r="AV311"/>
      <c r="AW311"/>
      <c r="AX311"/>
    </row>
    <row r="312" spans="35:50" ht="12.75" customHeight="1">
      <c r="AI312" s="364"/>
      <c r="AJ312" s="926"/>
      <c r="AK312" s="927"/>
      <c r="AL312" s="928"/>
      <c r="AM312" s="929"/>
      <c r="AN312" s="930"/>
      <c r="AO312" s="363"/>
      <c r="AP312" s="684"/>
      <c r="AQ312" s="363"/>
      <c r="AR312" s="364"/>
      <c r="AS312" s="367"/>
      <c r="AT312"/>
      <c r="AU312"/>
      <c r="AV312"/>
      <c r="AW312"/>
      <c r="AX312"/>
    </row>
    <row r="313" spans="35:50" ht="12.75" customHeight="1">
      <c r="AI313" s="364"/>
      <c r="AJ313" s="667" t="s">
        <v>204</v>
      </c>
      <c r="AK313" s="667" t="s">
        <v>846</v>
      </c>
      <c r="AL313" s="667" t="s">
        <v>846</v>
      </c>
      <c r="AM313" s="667" t="s">
        <v>846</v>
      </c>
      <c r="AN313" s="667" t="s">
        <v>846</v>
      </c>
      <c r="AO313" s="363"/>
      <c r="AP313" s="363"/>
      <c r="AQ313" s="363"/>
      <c r="AR313" s="364"/>
      <c r="AS313" s="367"/>
      <c r="AT313"/>
      <c r="AU313"/>
      <c r="AV313"/>
      <c r="AW313"/>
      <c r="AX313"/>
    </row>
    <row r="314" spans="35:50" ht="12.75" customHeight="1">
      <c r="AI314" s="364"/>
      <c r="AJ314" s="600">
        <v>1</v>
      </c>
      <c r="AK314" s="369">
        <f>$AP$74</f>
        <v>116</v>
      </c>
      <c r="AL314" s="584">
        <f>$AN$74</f>
        <v>108</v>
      </c>
      <c r="AM314" s="685">
        <f>$AO$74</f>
        <v>109</v>
      </c>
      <c r="AN314" s="369">
        <f>$AM$74</f>
        <v>102</v>
      </c>
      <c r="AO314" s="363"/>
      <c r="AP314" s="363"/>
      <c r="AQ314" s="363"/>
      <c r="AR314" s="364"/>
      <c r="AS314" s="367"/>
      <c r="AT314"/>
      <c r="AU314"/>
      <c r="AV314"/>
      <c r="AW314"/>
      <c r="AX314"/>
    </row>
    <row r="315" spans="35:50" ht="12.75" customHeight="1">
      <c r="AI315" s="364"/>
      <c r="AJ315" s="600">
        <v>2</v>
      </c>
      <c r="AK315" s="584">
        <f>(LOG((10^(AK314/10))+(10^(AK314/10))))*10</f>
        <v>119.01029995663983</v>
      </c>
      <c r="AL315" s="584">
        <f>(LOG((10^(AL314/10))+(10^(AL314/10))))*10</f>
        <v>111.01029995663981</v>
      </c>
      <c r="AM315" s="584">
        <f>(LOG((10^(AM314/10))+(10^(AM314/10))))*10</f>
        <v>112.01029995663981</v>
      </c>
      <c r="AN315" s="584">
        <f>(LOG((10^(AN314/10))+(10^(AN314/10))))*10</f>
        <v>105.01029995663983</v>
      </c>
      <c r="AO315" s="363"/>
      <c r="AP315" s="363"/>
      <c r="AQ315" s="363"/>
      <c r="AR315" s="364"/>
      <c r="AS315" s="367"/>
      <c r="AT315"/>
      <c r="AU315"/>
      <c r="AV315"/>
      <c r="AW315"/>
      <c r="AX315"/>
    </row>
    <row r="316" spans="35:50" ht="12.75" customHeight="1">
      <c r="AI316" s="597"/>
      <c r="AJ316" s="600">
        <v>3</v>
      </c>
      <c r="AK316" s="584">
        <f>(LOG((10^(AK314/10))+(10^(AK314/10))+(10^(AK314/10)))*10)</f>
        <v>120.77121254719664</v>
      </c>
      <c r="AL316" s="584">
        <f>(LOG((10^(AL314/10))+(10^(AL314/10))+(10^(AL314/10)))*10)</f>
        <v>112.77121254719663</v>
      </c>
      <c r="AM316" s="584">
        <f>(LOG((10^(AM314/10))+(10^(AM314/10))+(10^(AM314/10)))*10)</f>
        <v>113.77121254719663</v>
      </c>
      <c r="AN316" s="584">
        <f>(LOG((10^(AN314/10))+(10^(AN314/10))+(10^(AN314/10)))*10)</f>
        <v>106.77121254719664</v>
      </c>
      <c r="AO316" s="363"/>
      <c r="AP316" s="363"/>
      <c r="AQ316" s="363"/>
      <c r="AR316" s="364"/>
      <c r="AS316" s="367"/>
      <c r="AT316"/>
      <c r="AU316"/>
      <c r="AV316"/>
      <c r="AW316"/>
      <c r="AX316"/>
    </row>
    <row r="317" spans="35:50" ht="12.75" customHeight="1">
      <c r="AI317" s="364"/>
      <c r="AJ317" s="600">
        <v>4</v>
      </c>
      <c r="AK317" s="584">
        <f>(LOG((10^(AK314/10))+(10^(AK314/10))+(10^(AK314/10))+(10^(AK314/10))))*10</f>
        <v>122.02059991327964</v>
      </c>
      <c r="AL317" s="584">
        <f>(LOG((10^(AL314/10))+(10^(AL314/10))+(10^(AL314/10))+(10^(AL314/10))))*10</f>
        <v>114.02059991327963</v>
      </c>
      <c r="AM317" s="584">
        <f>(LOG((10^(AM314/10))+(10^(AM314/10))+(10^(AM314/10))+(10^(AM314/10))))*10</f>
        <v>115.02059991327963</v>
      </c>
      <c r="AN317" s="584">
        <f>(LOG((10^(AN314/10))+(10^(AN314/10))+(10^(AN314/10))+(10^(AN314/10))))*10</f>
        <v>108.02059991327964</v>
      </c>
      <c r="AO317" s="363"/>
      <c r="AP317" s="363"/>
      <c r="AQ317" s="363"/>
      <c r="AR317" s="364"/>
      <c r="AS317" s="367"/>
      <c r="AT317"/>
      <c r="AU317"/>
      <c r="AV317"/>
      <c r="AW317"/>
      <c r="AX317"/>
    </row>
    <row r="318" spans="35:50" ht="12.75" customHeight="1">
      <c r="AI318" s="364"/>
      <c r="AJ318" s="600">
        <v>5</v>
      </c>
      <c r="AK318" s="584">
        <f>(LOG((10^(AK314/10))+(10^(AK314/10))+(10^(AK314/10))+(10^(AK314/10))+(10^(AK314/10))))*10</f>
        <v>122.9897000433602</v>
      </c>
      <c r="AL318" s="584">
        <f>(LOG((10^(AL314/10))+(10^(AL314/10))+(10^(AL314/10))+(10^(AL314/10))+(10^(AL314/10))))*10</f>
        <v>114.98970004336019</v>
      </c>
      <c r="AM318" s="584">
        <f>(LOG((10^(AM314/10))+(10^(AM314/10))+(10^(AM314/10))+(10^(AM314/10))+(10^(AM314/10))))*10</f>
        <v>115.98970004336019</v>
      </c>
      <c r="AN318" s="584">
        <f>(LOG((10^(AN314/10))+(10^(AN314/10))+(10^(AN314/10))+(10^(AN314/10))+(10^(AN314/10))))*10</f>
        <v>108.9897000433602</v>
      </c>
      <c r="AO318" s="363"/>
      <c r="AP318" s="363"/>
      <c r="AQ318" s="363"/>
      <c r="AR318" s="364"/>
      <c r="AS318" s="367"/>
      <c r="AT318"/>
      <c r="AU318"/>
      <c r="AV318"/>
      <c r="AW318"/>
      <c r="AX318"/>
    </row>
    <row r="319" spans="35:50" ht="12.75" customHeight="1">
      <c r="AI319" s="364"/>
      <c r="AJ319" s="600">
        <v>6</v>
      </c>
      <c r="AK319" s="584">
        <f>(LOG((10^(AK314/10))+(10^(AK314/10))+(10^(AK314/10))+(10^(AK314/10))+(10^(AK314/10))+(10^(AK314/10)))*10)</f>
        <v>123.78151250383645</v>
      </c>
      <c r="AL319" s="584">
        <f>(LOG((10^(AL314/10))+(10^(AL314/10))+(10^(AL314/10))+(10^(AL314/10))+(10^(AL314/10))+(10^(AL314/10)))*10)</f>
        <v>115.78151250383644</v>
      </c>
      <c r="AM319" s="584">
        <f>(LOG((10^(AM314/10))+(10^(AM314/10))+(10^(AM314/10))+(10^(AM314/10))+(10^(AM314/10))+(10^(AM314/10)))*10)</f>
        <v>116.78151250383644</v>
      </c>
      <c r="AN319" s="584">
        <f>(LOG((10^(AN314/10))+(10^(AN314/10))+(10^(AN314/10))+(10^(AN314/10))+(10^(AN314/10))+(10^(AN314/10)))*10)</f>
        <v>109.78151250383645</v>
      </c>
      <c r="AO319" s="363"/>
      <c r="AP319" s="363"/>
      <c r="AQ319" s="363"/>
      <c r="AR319" s="364"/>
      <c r="AS319" s="367"/>
      <c r="AT319"/>
      <c r="AU319"/>
      <c r="AV319"/>
      <c r="AW319"/>
      <c r="AX319"/>
    </row>
    <row r="320" spans="35:50" ht="12.75" customHeight="1" thickBot="1">
      <c r="AI320" s="364"/>
      <c r="AJ320" s="364"/>
      <c r="AK320" s="364"/>
      <c r="AL320" s="364"/>
      <c r="AM320" s="364"/>
      <c r="AN320" s="364"/>
      <c r="AO320" s="364"/>
      <c r="AP320" s="364"/>
      <c r="AQ320" s="364"/>
      <c r="AR320" s="364"/>
      <c r="AS320" s="367"/>
      <c r="AT320"/>
      <c r="AU320"/>
      <c r="AV320"/>
      <c r="AW320"/>
      <c r="AX320"/>
    </row>
    <row r="321" spans="35:50" ht="12.75" customHeight="1" thickTop="1">
      <c r="AI321" s="364"/>
      <c r="AJ321" s="916" t="s">
        <v>428</v>
      </c>
      <c r="AK321" s="917"/>
      <c r="AL321" s="917"/>
      <c r="AM321" s="917"/>
      <c r="AN321" s="917"/>
      <c r="AO321" s="918"/>
      <c r="AP321" s="364"/>
      <c r="AQ321" s="364"/>
      <c r="AR321" s="364"/>
      <c r="AS321" s="367"/>
      <c r="AT321"/>
      <c r="AU321"/>
      <c r="AV321"/>
      <c r="AW321"/>
      <c r="AX321"/>
    </row>
    <row r="322" spans="35:50" ht="12.75" customHeight="1">
      <c r="AI322" s="364"/>
      <c r="AJ322" s="919"/>
      <c r="AK322" s="920"/>
      <c r="AL322" s="920"/>
      <c r="AM322" s="920"/>
      <c r="AN322" s="920"/>
      <c r="AO322" s="921"/>
      <c r="AP322" s="364"/>
      <c r="AQ322" s="364"/>
      <c r="AR322" s="364"/>
      <c r="AS322" s="367"/>
      <c r="AT322"/>
      <c r="AU322"/>
      <c r="AV322"/>
      <c r="AW322"/>
      <c r="AX322"/>
    </row>
    <row r="323" spans="35:50" ht="12.75" customHeight="1" thickBot="1">
      <c r="AI323" s="364"/>
      <c r="AJ323" s="922"/>
      <c r="AK323" s="923"/>
      <c r="AL323" s="923"/>
      <c r="AM323" s="923"/>
      <c r="AN323" s="923"/>
      <c r="AO323" s="924"/>
      <c r="AP323" s="364"/>
      <c r="AQ323" s="364"/>
      <c r="AR323" s="364"/>
      <c r="AS323" s="367"/>
      <c r="AT323"/>
      <c r="AU323"/>
      <c r="AV323"/>
      <c r="AW323"/>
      <c r="AX323"/>
    </row>
    <row r="324" spans="35:50" ht="12.75" customHeight="1" thickTop="1">
      <c r="AI324" s="364"/>
      <c r="AJ324" s="925" t="str">
        <f>AK311</f>
        <v>Seco S215</v>
      </c>
      <c r="AK324" s="925"/>
      <c r="AL324" s="925"/>
      <c r="AM324" s="925"/>
      <c r="AN324" s="925"/>
      <c r="AO324" s="925"/>
      <c r="AP324" s="364"/>
      <c r="AQ324" s="364"/>
      <c r="AR324" s="364"/>
      <c r="AS324" s="367"/>
      <c r="AT324"/>
      <c r="AU324"/>
      <c r="AV324"/>
      <c r="AW324"/>
      <c r="AX324"/>
    </row>
    <row r="325" spans="35:50" ht="12.75" customHeight="1" thickBot="1">
      <c r="AI325" s="364"/>
      <c r="AJ325" s="910" t="s">
        <v>205</v>
      </c>
      <c r="AK325" s="911"/>
      <c r="AL325" s="911"/>
      <c r="AM325" s="911"/>
      <c r="AN325" s="911"/>
      <c r="AO325" s="912"/>
      <c r="AP325" s="364"/>
      <c r="AQ325" s="364"/>
      <c r="AR325" s="364"/>
      <c r="AS325" s="367"/>
      <c r="AT325"/>
      <c r="AU325"/>
      <c r="AV325"/>
      <c r="AW325"/>
      <c r="AX325"/>
    </row>
    <row r="326" spans="35:50" ht="12.75" customHeight="1" thickBot="1">
      <c r="AI326" s="364"/>
      <c r="AJ326" s="686" t="s">
        <v>59</v>
      </c>
      <c r="AK326" s="577"/>
      <c r="AL326" s="687"/>
      <c r="AM326" s="687"/>
      <c r="AN326" s="687"/>
      <c r="AO326" s="688"/>
      <c r="AP326" s="364"/>
      <c r="AQ326" s="364"/>
      <c r="AR326" s="364"/>
      <c r="AS326" s="367"/>
      <c r="AT326"/>
      <c r="AU326"/>
      <c r="AV326"/>
      <c r="AW326"/>
      <c r="AX326"/>
    </row>
    <row r="327" spans="35:50" ht="12.75" customHeight="1">
      <c r="AI327" s="364"/>
      <c r="AJ327" s="895" t="s">
        <v>845</v>
      </c>
      <c r="AK327" s="896"/>
      <c r="AL327" s="900" t="s">
        <v>835</v>
      </c>
      <c r="AM327" s="900" t="s">
        <v>836</v>
      </c>
      <c r="AN327" s="900" t="s">
        <v>837</v>
      </c>
      <c r="AO327" s="902" t="s">
        <v>838</v>
      </c>
      <c r="AP327" s="364"/>
      <c r="AQ327" s="364"/>
      <c r="AR327" s="364"/>
      <c r="AS327" s="367"/>
      <c r="AT327"/>
      <c r="AU327"/>
      <c r="AV327"/>
      <c r="AW327"/>
      <c r="AX327"/>
    </row>
    <row r="328" spans="35:50" ht="12.75" customHeight="1">
      <c r="AI328" s="364"/>
      <c r="AJ328" s="892"/>
      <c r="AK328" s="897"/>
      <c r="AL328" s="904"/>
      <c r="AM328" s="904"/>
      <c r="AN328" s="904"/>
      <c r="AO328" s="905"/>
      <c r="AP328" s="364"/>
      <c r="AQ328" s="364"/>
      <c r="AR328" s="364"/>
      <c r="AS328" s="367"/>
      <c r="AT328"/>
      <c r="AU328"/>
      <c r="AV328"/>
      <c r="AW328"/>
      <c r="AX328"/>
    </row>
    <row r="329" spans="35:50" ht="12.75" customHeight="1">
      <c r="AI329" s="364"/>
      <c r="AJ329" s="892"/>
      <c r="AK329" s="897"/>
      <c r="AL329" s="901"/>
      <c r="AM329" s="901"/>
      <c r="AN329" s="901"/>
      <c r="AO329" s="903"/>
      <c r="AP329" s="364"/>
      <c r="AQ329" s="364"/>
      <c r="AR329" s="364"/>
      <c r="AS329" s="367"/>
      <c r="AT329"/>
      <c r="AU329"/>
      <c r="AV329"/>
      <c r="AW329"/>
      <c r="AX329"/>
    </row>
    <row r="330" spans="35:50" ht="12.75" customHeight="1">
      <c r="AI330" s="364"/>
      <c r="AJ330" s="892"/>
      <c r="AK330" s="897"/>
      <c r="AL330" s="689">
        <f>AP74</f>
        <v>116</v>
      </c>
      <c r="AM330" s="560">
        <f>AP67</f>
        <v>1.4285714285714284</v>
      </c>
      <c r="AN330" s="690">
        <f>IF(AL330&gt;0,AO330*AM330," ")</f>
        <v>22857.142857142855</v>
      </c>
      <c r="AO330" s="691">
        <f>IF(AL330&gt;0,(VLOOKUP(AL330,'Lookup Ready-reckoner'!$B$5:$E$1207,4))," ")</f>
        <v>16000</v>
      </c>
      <c r="AP330" s="364"/>
      <c r="AQ330" s="364"/>
      <c r="AR330" s="364"/>
      <c r="AS330" s="367"/>
      <c r="AT330"/>
      <c r="AU330"/>
      <c r="AV330"/>
      <c r="AW330"/>
      <c r="AX330"/>
    </row>
    <row r="331" spans="35:50" ht="12.75" customHeight="1">
      <c r="AI331" s="364"/>
      <c r="AJ331" s="898"/>
      <c r="AK331" s="899"/>
      <c r="AL331" s="447"/>
      <c r="AM331" s="560"/>
      <c r="AN331" s="690" t="str">
        <f>IF(AL331&gt;0,AO331*AM331," ")</f>
        <v xml:space="preserve"> </v>
      </c>
      <c r="AO331" s="691" t="str">
        <f>IF(AL331&gt;0,(VLOOKUP(AL331,'Lookup Ready-reckoner'!$B$5:$E$1007,4))," ")</f>
        <v xml:space="preserve"> </v>
      </c>
      <c r="AP331" s="364"/>
      <c r="AQ331" s="364"/>
      <c r="AR331" s="364"/>
      <c r="AS331" s="367"/>
      <c r="AT331"/>
      <c r="AU331"/>
      <c r="AV331"/>
      <c r="AW331"/>
      <c r="AX331"/>
    </row>
    <row r="332" spans="35:50" ht="12.75" customHeight="1" thickBot="1">
      <c r="AI332" s="364"/>
      <c r="AJ332" s="692" t="s">
        <v>839</v>
      </c>
      <c r="AK332" s="693"/>
      <c r="AL332" s="693"/>
      <c r="AM332" s="694">
        <f>IF(AL330&gt;0,(VLOOKUP(AN332,'Lookup Ready-reckoner'!$L$5:$M$1207,2))," ")</f>
        <v>108.5</v>
      </c>
      <c r="AN332" s="695">
        <f>IF(AM330&gt;0,(SUM(AN330:AN331))," ")</f>
        <v>22857.142857142855</v>
      </c>
      <c r="AO332" s="696"/>
      <c r="AP332" s="364"/>
      <c r="AQ332" s="364"/>
      <c r="AR332" s="364"/>
      <c r="AS332" s="367"/>
      <c r="AT332"/>
      <c r="AU332"/>
      <c r="AV332"/>
      <c r="AW332"/>
      <c r="AX332"/>
    </row>
    <row r="333" spans="35:50" ht="12.75" customHeight="1" thickBot="1">
      <c r="AI333" s="364"/>
      <c r="AJ333" s="892"/>
      <c r="AK333" s="893"/>
      <c r="AL333" s="893"/>
      <c r="AM333" s="893"/>
      <c r="AN333" s="893"/>
      <c r="AO333" s="894"/>
      <c r="AP333" s="364"/>
      <c r="AQ333" s="364"/>
      <c r="AR333" s="364"/>
      <c r="AS333" s="367"/>
      <c r="AT333"/>
      <c r="AU333"/>
      <c r="AV333"/>
      <c r="AW333"/>
      <c r="AX333"/>
    </row>
    <row r="334" spans="35:50" ht="12.75" customHeight="1">
      <c r="AI334" s="364"/>
      <c r="AJ334" s="895" t="s">
        <v>886</v>
      </c>
      <c r="AK334" s="896"/>
      <c r="AL334" s="900" t="s">
        <v>835</v>
      </c>
      <c r="AM334" s="900" t="s">
        <v>836</v>
      </c>
      <c r="AN334" s="900" t="s">
        <v>837</v>
      </c>
      <c r="AO334" s="902" t="s">
        <v>838</v>
      </c>
      <c r="AP334" s="364"/>
      <c r="AQ334" s="364"/>
      <c r="AR334" s="364"/>
      <c r="AS334" s="367"/>
      <c r="AT334"/>
      <c r="AU334"/>
      <c r="AV334"/>
      <c r="AW334"/>
      <c r="AX334"/>
    </row>
    <row r="335" spans="35:50" ht="12.75" customHeight="1">
      <c r="AI335" s="364"/>
      <c r="AJ335" s="892"/>
      <c r="AK335" s="897"/>
      <c r="AL335" s="901"/>
      <c r="AM335" s="901"/>
      <c r="AN335" s="901"/>
      <c r="AO335" s="903"/>
      <c r="AP335" s="364"/>
      <c r="AQ335" s="364"/>
      <c r="AR335" s="364"/>
      <c r="AS335" s="367"/>
      <c r="AT335"/>
      <c r="AU335"/>
      <c r="AV335"/>
      <c r="AW335"/>
      <c r="AX335"/>
    </row>
    <row r="336" spans="35:50" ht="12.75" customHeight="1">
      <c r="AI336" s="364"/>
      <c r="AJ336" s="892"/>
      <c r="AK336" s="897"/>
      <c r="AL336" s="689">
        <f>AL330*(1-0.0178*2)</f>
        <v>111.8704</v>
      </c>
      <c r="AM336" s="560">
        <f>AM330</f>
        <v>1.4285714285714284</v>
      </c>
      <c r="AN336" s="690">
        <f>IF(AL336&gt;0,AO336*AM336," ")</f>
        <v>8842.8571428571413</v>
      </c>
      <c r="AO336" s="691">
        <f>IF(AL336&gt;0,(VLOOKUP(AL336,'Lookup Ready-reckoner'!$B$5:$E$1207,4))," ")</f>
        <v>6190</v>
      </c>
      <c r="AP336" s="364"/>
      <c r="AQ336" s="364"/>
      <c r="AR336" s="364"/>
      <c r="AS336" s="367"/>
      <c r="AT336"/>
      <c r="AU336"/>
      <c r="AV336"/>
      <c r="AW336"/>
      <c r="AX336"/>
    </row>
    <row r="337" spans="35:50" ht="12.75" customHeight="1">
      <c r="AI337" s="364"/>
      <c r="AJ337" s="898"/>
      <c r="AK337" s="899"/>
      <c r="AL337" s="447"/>
      <c r="AM337" s="560"/>
      <c r="AN337" s="690" t="str">
        <f>IF(AL337&gt;0,AO337*AM337," ")</f>
        <v xml:space="preserve"> </v>
      </c>
      <c r="AO337" s="691" t="str">
        <f>IF(AL337&gt;0,(VLOOKUP(AL337,'Lookup Ready-reckoner'!$B$5:$E$1007,4))," ")</f>
        <v xml:space="preserve"> </v>
      </c>
      <c r="AP337" s="364"/>
      <c r="AQ337" s="364"/>
      <c r="AR337" s="364"/>
      <c r="AS337" s="367"/>
      <c r="AT337"/>
      <c r="AU337"/>
      <c r="AV337"/>
      <c r="AW337"/>
      <c r="AX337"/>
    </row>
    <row r="338" spans="35:50" ht="12.75" customHeight="1" thickBot="1">
      <c r="AI338" s="364"/>
      <c r="AJ338" s="692" t="s">
        <v>839</v>
      </c>
      <c r="AK338" s="693"/>
      <c r="AL338" s="693"/>
      <c r="AM338" s="694">
        <f>IF(AL336&gt;0,(VLOOKUP(AN338,'Lookup Ready-reckoner'!$L$5:$M$1207,2))," ")</f>
        <v>104.4</v>
      </c>
      <c r="AN338" s="695">
        <f>IF(AM336&gt;0,(SUM(AN336:AN337))," ")</f>
        <v>8842.8571428571413</v>
      </c>
      <c r="AO338" s="696"/>
      <c r="AP338" s="364"/>
      <c r="AQ338" s="364"/>
      <c r="AR338" s="364"/>
      <c r="AS338" s="367"/>
      <c r="AT338"/>
      <c r="AU338"/>
      <c r="AV338"/>
      <c r="AW338"/>
      <c r="AX338"/>
    </row>
    <row r="339" spans="35:50" ht="12.75" customHeight="1">
      <c r="AI339" s="364"/>
      <c r="AJ339" s="697"/>
      <c r="AK339" s="687"/>
      <c r="AL339" s="687"/>
      <c r="AM339" s="372"/>
      <c r="AN339" s="374"/>
      <c r="AO339" s="688"/>
      <c r="AP339" s="364"/>
      <c r="AQ339" s="364"/>
      <c r="AR339" s="364"/>
      <c r="AS339" s="367"/>
      <c r="AT339"/>
      <c r="AU339"/>
      <c r="AV339"/>
      <c r="AW339"/>
      <c r="AX339"/>
    </row>
    <row r="340" spans="35:50" ht="12.75" customHeight="1" thickBot="1">
      <c r="AI340" s="364"/>
      <c r="AJ340" s="686" t="s">
        <v>60</v>
      </c>
      <c r="AK340" s="577"/>
      <c r="AL340" s="577"/>
      <c r="AM340" s="577"/>
      <c r="AN340" s="577"/>
      <c r="AO340" s="698"/>
      <c r="AP340" s="364"/>
      <c r="AQ340" s="364"/>
      <c r="AR340" s="364"/>
      <c r="AS340" s="367"/>
      <c r="AT340"/>
      <c r="AU340"/>
      <c r="AV340"/>
      <c r="AW340"/>
      <c r="AX340"/>
    </row>
    <row r="341" spans="35:50" ht="12.75" customHeight="1">
      <c r="AI341" s="364"/>
      <c r="AJ341" s="895" t="s">
        <v>845</v>
      </c>
      <c r="AK341" s="896"/>
      <c r="AL341" s="900" t="s">
        <v>835</v>
      </c>
      <c r="AM341" s="900" t="s">
        <v>836</v>
      </c>
      <c r="AN341" s="900" t="s">
        <v>837</v>
      </c>
      <c r="AO341" s="902" t="s">
        <v>838</v>
      </c>
      <c r="AP341" s="364"/>
      <c r="AQ341" s="364"/>
      <c r="AR341" s="364"/>
      <c r="AS341" s="367"/>
      <c r="AT341"/>
      <c r="AU341"/>
      <c r="AV341"/>
      <c r="AW341"/>
      <c r="AX341"/>
    </row>
    <row r="342" spans="35:50" ht="12.75" customHeight="1">
      <c r="AI342" s="364"/>
      <c r="AJ342" s="892"/>
      <c r="AK342" s="897"/>
      <c r="AL342" s="901"/>
      <c r="AM342" s="901"/>
      <c r="AN342" s="901"/>
      <c r="AO342" s="903"/>
      <c r="AP342" s="364"/>
      <c r="AQ342" s="364"/>
      <c r="AR342" s="364"/>
      <c r="AS342" s="367"/>
      <c r="AT342"/>
      <c r="AU342"/>
      <c r="AV342"/>
      <c r="AW342"/>
      <c r="AX342"/>
    </row>
    <row r="343" spans="35:50" ht="12.75" customHeight="1">
      <c r="AI343" s="364"/>
      <c r="AJ343" s="892"/>
      <c r="AK343" s="897"/>
      <c r="AL343" s="689">
        <f>AL330-PPE!$I$15</f>
        <v>103</v>
      </c>
      <c r="AM343" s="560">
        <f>AM336</f>
        <v>1.4285714285714284</v>
      </c>
      <c r="AN343" s="690">
        <f>IF(AL343&gt;0,AO343*AM343," ")</f>
        <v>1142.8571428571427</v>
      </c>
      <c r="AO343" s="691">
        <f>IF(AL343&gt;0,(VLOOKUP(AL343,'Lookup Ready-reckoner'!$B$5:$E$1207,4))," ")</f>
        <v>800</v>
      </c>
      <c r="AP343" s="364"/>
      <c r="AQ343" s="364"/>
      <c r="AR343" s="364"/>
      <c r="AS343" s="367"/>
      <c r="AT343"/>
      <c r="AU343"/>
      <c r="AV343"/>
      <c r="AW343"/>
      <c r="AX343"/>
    </row>
    <row r="344" spans="35:50" ht="12.75" customHeight="1">
      <c r="AI344" s="364"/>
      <c r="AJ344" s="898"/>
      <c r="AK344" s="899"/>
      <c r="AL344" s="447"/>
      <c r="AM344" s="560"/>
      <c r="AN344" s="690" t="str">
        <f>IF(AL344&gt;0,AO344*AM344," ")</f>
        <v xml:space="preserve"> </v>
      </c>
      <c r="AO344" s="691" t="str">
        <f>IF(AL344&gt;0,(VLOOKUP(AL344,'Lookup Ready-reckoner'!$B$5:$E$1007,4))," ")</f>
        <v xml:space="preserve"> </v>
      </c>
      <c r="AP344" s="364"/>
      <c r="AQ344" s="364"/>
      <c r="AR344" s="364"/>
      <c r="AS344" s="367"/>
      <c r="AT344"/>
      <c r="AU344"/>
      <c r="AV344"/>
      <c r="AW344"/>
      <c r="AX344"/>
    </row>
    <row r="345" spans="35:50" ht="12.75" customHeight="1" thickBot="1">
      <c r="AI345" s="364"/>
      <c r="AJ345" s="699" t="s">
        <v>839</v>
      </c>
      <c r="AK345" s="693"/>
      <c r="AL345" s="693"/>
      <c r="AM345" s="694">
        <f>IF(AL343&gt;0,(VLOOKUP(AN345,'Lookup Ready-reckoner'!$L$5:$M$1207,2))," ")</f>
        <v>95.55</v>
      </c>
      <c r="AN345" s="695">
        <f>IF(AM343&gt;0,(SUM(AN343:AN344))," ")</f>
        <v>1142.8571428571427</v>
      </c>
      <c r="AO345" s="696"/>
      <c r="AP345" s="364"/>
      <c r="AQ345" s="364"/>
      <c r="AR345" s="364"/>
      <c r="AS345" s="367"/>
      <c r="AT345"/>
      <c r="AU345"/>
      <c r="AV345"/>
      <c r="AW345"/>
      <c r="AX345"/>
    </row>
    <row r="346" spans="35:50" ht="12.75" customHeight="1" thickBot="1">
      <c r="AI346" s="364"/>
      <c r="AJ346" s="892"/>
      <c r="AK346" s="893"/>
      <c r="AL346" s="893"/>
      <c r="AM346" s="893"/>
      <c r="AN346" s="893"/>
      <c r="AO346" s="894"/>
      <c r="AP346" s="364"/>
      <c r="AQ346" s="364"/>
      <c r="AR346" s="364"/>
      <c r="AS346" s="367"/>
      <c r="AT346"/>
      <c r="AU346"/>
      <c r="AV346"/>
      <c r="AW346"/>
      <c r="AX346"/>
    </row>
    <row r="347" spans="35:50" ht="12.75" customHeight="1">
      <c r="AI347" s="364"/>
      <c r="AJ347" s="895" t="s">
        <v>886</v>
      </c>
      <c r="AK347" s="896"/>
      <c r="AL347" s="900" t="s">
        <v>835</v>
      </c>
      <c r="AM347" s="900" t="s">
        <v>836</v>
      </c>
      <c r="AN347" s="900" t="s">
        <v>837</v>
      </c>
      <c r="AO347" s="902" t="s">
        <v>838</v>
      </c>
      <c r="AP347" s="364"/>
      <c r="AQ347" s="364"/>
      <c r="AR347" s="364"/>
      <c r="AS347" s="367"/>
      <c r="AT347"/>
      <c r="AU347"/>
      <c r="AV347"/>
      <c r="AW347"/>
      <c r="AX347"/>
    </row>
    <row r="348" spans="35:50" ht="12.75" customHeight="1">
      <c r="AI348" s="364"/>
      <c r="AJ348" s="892"/>
      <c r="AK348" s="897"/>
      <c r="AL348" s="901"/>
      <c r="AM348" s="901"/>
      <c r="AN348" s="901"/>
      <c r="AO348" s="903"/>
      <c r="AP348" s="364"/>
      <c r="AQ348" s="364"/>
      <c r="AR348" s="364"/>
      <c r="AS348" s="367"/>
      <c r="AT348"/>
      <c r="AU348"/>
      <c r="AV348"/>
      <c r="AW348"/>
      <c r="AX348"/>
    </row>
    <row r="349" spans="35:50" ht="12.75" customHeight="1">
      <c r="AI349" s="364"/>
      <c r="AJ349" s="892"/>
      <c r="AK349" s="897"/>
      <c r="AL349" s="689">
        <f>AL336-PPE!$I$15</f>
        <v>98.870400000000004</v>
      </c>
      <c r="AM349" s="560">
        <f>AM343</f>
        <v>1.4285714285714284</v>
      </c>
      <c r="AN349" s="690">
        <f>IF(AL349&gt;0,AO349*AM349," ")</f>
        <v>433.03571428571422</v>
      </c>
      <c r="AO349" s="691">
        <f>IF(AL349&gt;0,(VLOOKUP(AL349,'Lookup Ready-reckoner'!$B$5:$E$1207,4))," ")</f>
        <v>303.125</v>
      </c>
      <c r="AP349" s="364"/>
      <c r="AQ349" s="364"/>
      <c r="AR349" s="364"/>
      <c r="AS349" s="367"/>
      <c r="AT349"/>
      <c r="AU349"/>
      <c r="AV349"/>
      <c r="AW349"/>
      <c r="AX349"/>
    </row>
    <row r="350" spans="35:50" ht="12.75" customHeight="1">
      <c r="AI350" s="364"/>
      <c r="AJ350" s="898"/>
      <c r="AK350" s="899"/>
      <c r="AL350" s="447"/>
      <c r="AM350" s="560"/>
      <c r="AN350" s="690" t="str">
        <f>IF(AL350&gt;0,AO350*AM350," ")</f>
        <v xml:space="preserve"> </v>
      </c>
      <c r="AO350" s="691" t="str">
        <f>IF(AL350&gt;0,(VLOOKUP(AL350,'Lookup Ready-reckoner'!$B$5:$E$1007,4))," ")</f>
        <v xml:space="preserve"> </v>
      </c>
      <c r="AP350" s="364"/>
      <c r="AQ350" s="364"/>
      <c r="AR350" s="364"/>
      <c r="AS350" s="367"/>
      <c r="AT350"/>
      <c r="AU350"/>
      <c r="AV350"/>
      <c r="AW350"/>
      <c r="AX350"/>
    </row>
    <row r="351" spans="35:50" ht="12.75" customHeight="1" thickBot="1">
      <c r="AI351" s="364"/>
      <c r="AJ351" s="692" t="s">
        <v>839</v>
      </c>
      <c r="AK351" s="693"/>
      <c r="AL351" s="693"/>
      <c r="AM351" s="694">
        <f>IF(AL349&gt;0,(VLOOKUP(AN351,'Lookup Ready-reckoner'!$L$5:$M$1207,2))," ")</f>
        <v>91.3</v>
      </c>
      <c r="AN351" s="695">
        <f>IF(AM349&gt;0,(SUM(AN349:AN350))," ")</f>
        <v>433.03571428571422</v>
      </c>
      <c r="AO351" s="696"/>
      <c r="AP351" s="364"/>
      <c r="AQ351" s="364"/>
      <c r="AR351" s="364"/>
      <c r="AS351" s="367"/>
      <c r="AT351"/>
      <c r="AU351"/>
      <c r="AV351"/>
      <c r="AW351"/>
      <c r="AX351"/>
    </row>
    <row r="352" spans="35:50" ht="12.75" customHeight="1">
      <c r="AI352" s="364"/>
      <c r="AJ352" s="363"/>
      <c r="AK352" s="363"/>
      <c r="AL352" s="363"/>
      <c r="AM352" s="363"/>
      <c r="AN352" s="363"/>
      <c r="AO352" s="363"/>
      <c r="AP352" s="364"/>
      <c r="AQ352" s="364"/>
      <c r="AR352" s="364"/>
      <c r="AS352" s="367"/>
      <c r="AT352"/>
      <c r="AU352"/>
      <c r="AV352"/>
      <c r="AW352"/>
      <c r="AX352"/>
    </row>
    <row r="353" spans="35:50" ht="12.75" customHeight="1" thickBot="1">
      <c r="AI353" s="364"/>
      <c r="AJ353" s="915" t="str">
        <f>AL311</f>
        <v>Seco S215 Muffled</v>
      </c>
      <c r="AK353" s="915"/>
      <c r="AL353" s="915"/>
      <c r="AM353" s="915"/>
      <c r="AN353" s="915"/>
      <c r="AO353" s="915"/>
      <c r="AP353" s="364"/>
      <c r="AQ353" s="363"/>
      <c r="AR353" s="363"/>
      <c r="AS353" s="367"/>
      <c r="AT353"/>
      <c r="AU353"/>
      <c r="AV353"/>
      <c r="AW353"/>
      <c r="AX353"/>
    </row>
    <row r="354" spans="35:50" ht="12.75" customHeight="1" thickBot="1">
      <c r="AI354" s="364"/>
      <c r="AJ354" s="906" t="s">
        <v>205</v>
      </c>
      <c r="AK354" s="907"/>
      <c r="AL354" s="907"/>
      <c r="AM354" s="907"/>
      <c r="AN354" s="907"/>
      <c r="AO354" s="908"/>
      <c r="AP354" s="364"/>
      <c r="AQ354" s="363"/>
      <c r="AR354" s="363"/>
      <c r="AS354" s="367"/>
      <c r="AT354"/>
      <c r="AU354"/>
      <c r="AV354"/>
      <c r="AW354"/>
      <c r="AX354"/>
    </row>
    <row r="355" spans="35:50" ht="12.75" customHeight="1" thickBot="1">
      <c r="AI355" s="364"/>
      <c r="AJ355" s="686" t="s">
        <v>59</v>
      </c>
      <c r="AK355" s="577"/>
      <c r="AL355" s="687"/>
      <c r="AM355" s="687"/>
      <c r="AN355" s="687"/>
      <c r="AO355" s="688"/>
      <c r="AP355" s="364"/>
      <c r="AQ355" s="363"/>
      <c r="AR355" s="363"/>
      <c r="AS355" s="367"/>
      <c r="AT355"/>
      <c r="AU355"/>
      <c r="AV355"/>
      <c r="AW355"/>
      <c r="AX355"/>
    </row>
    <row r="356" spans="35:50" ht="12.75" customHeight="1">
      <c r="AI356" s="364"/>
      <c r="AJ356" s="895" t="s">
        <v>845</v>
      </c>
      <c r="AK356" s="896"/>
      <c r="AL356" s="900" t="s">
        <v>835</v>
      </c>
      <c r="AM356" s="900" t="s">
        <v>836</v>
      </c>
      <c r="AN356" s="900" t="s">
        <v>837</v>
      </c>
      <c r="AO356" s="902" t="s">
        <v>838</v>
      </c>
      <c r="AP356" s="364"/>
      <c r="AQ356" s="363"/>
      <c r="AR356" s="363"/>
      <c r="AS356" s="367"/>
      <c r="AT356"/>
      <c r="AU356"/>
      <c r="AV356"/>
      <c r="AW356"/>
      <c r="AX356"/>
    </row>
    <row r="357" spans="35:50" ht="12.75" customHeight="1">
      <c r="AI357" s="364"/>
      <c r="AJ357" s="892"/>
      <c r="AK357" s="897"/>
      <c r="AL357" s="904"/>
      <c r="AM357" s="904"/>
      <c r="AN357" s="904"/>
      <c r="AO357" s="905"/>
      <c r="AP357" s="364"/>
      <c r="AQ357" s="363"/>
      <c r="AR357" s="363"/>
      <c r="AS357" s="367"/>
      <c r="AT357"/>
      <c r="AU357"/>
      <c r="AV357"/>
      <c r="AW357"/>
      <c r="AX357"/>
    </row>
    <row r="358" spans="35:50" ht="12.75" customHeight="1">
      <c r="AI358" s="364"/>
      <c r="AJ358" s="892"/>
      <c r="AK358" s="897"/>
      <c r="AL358" s="901"/>
      <c r="AM358" s="901"/>
      <c r="AN358" s="901"/>
      <c r="AO358" s="903"/>
      <c r="AP358" s="364"/>
      <c r="AQ358" s="363"/>
      <c r="AR358" s="363"/>
      <c r="AS358" s="367"/>
      <c r="AT358"/>
      <c r="AU358"/>
      <c r="AV358"/>
      <c r="AW358"/>
      <c r="AX358"/>
    </row>
    <row r="359" spans="35:50" ht="12.75" customHeight="1">
      <c r="AI359" s="364"/>
      <c r="AJ359" s="892"/>
      <c r="AK359" s="897"/>
      <c r="AL359" s="700">
        <f>AN74</f>
        <v>108</v>
      </c>
      <c r="AM359" s="560">
        <f>AN67</f>
        <v>1.9999999999999996</v>
      </c>
      <c r="AN359" s="690">
        <f>IF(AL359&gt;0,AO359*AM359," ")</f>
        <v>4999.9999999999991</v>
      </c>
      <c r="AO359" s="691">
        <f>IF(AL359&gt;0,(VLOOKUP(AL359,'Lookup Ready-reckoner'!$B$5:$E$1207,4))," ")</f>
        <v>2500</v>
      </c>
      <c r="AP359" s="364"/>
      <c r="AQ359" s="363"/>
      <c r="AR359" s="363"/>
      <c r="AS359" s="367"/>
      <c r="AT359"/>
      <c r="AU359"/>
      <c r="AV359"/>
      <c r="AW359"/>
      <c r="AX359"/>
    </row>
    <row r="360" spans="35:50" ht="12.75" customHeight="1">
      <c r="AI360" s="364"/>
      <c r="AJ360" s="898"/>
      <c r="AK360" s="899"/>
      <c r="AL360" s="447"/>
      <c r="AM360" s="560"/>
      <c r="AN360" s="690" t="str">
        <f>IF(AL360&gt;0,AO360*AM360," ")</f>
        <v xml:space="preserve"> </v>
      </c>
      <c r="AO360" s="691" t="str">
        <f>IF(AL360&gt;0,(VLOOKUP(AL360,'Lookup Ready-reckoner'!$B$5:$E$1007,4))," ")</f>
        <v xml:space="preserve"> </v>
      </c>
      <c r="AP360" s="364"/>
      <c r="AQ360" s="363"/>
      <c r="AR360" s="363"/>
      <c r="AS360" s="367"/>
      <c r="AT360"/>
      <c r="AU360"/>
      <c r="AV360"/>
      <c r="AW360"/>
      <c r="AX360"/>
    </row>
    <row r="361" spans="35:50" ht="12.75" customHeight="1" thickBot="1">
      <c r="AI361" s="364"/>
      <c r="AJ361" s="699" t="s">
        <v>839</v>
      </c>
      <c r="AK361" s="693"/>
      <c r="AL361" s="693"/>
      <c r="AM361" s="701">
        <f>IF(AL359&gt;0,(VLOOKUP(AN361,'Lookup Ready-reckoner'!$L$5:$M$1207,2))," ")</f>
        <v>101.95</v>
      </c>
      <c r="AN361" s="695">
        <f>IF(AM359&gt;0,(SUM(AN359:AN360))," ")</f>
        <v>4999.9999999999991</v>
      </c>
      <c r="AO361" s="696"/>
      <c r="AP361" s="364"/>
      <c r="AQ361" s="363"/>
      <c r="AR361" s="363"/>
      <c r="AS361" s="367"/>
      <c r="AT361"/>
      <c r="AU361"/>
      <c r="AV361"/>
      <c r="AW361"/>
      <c r="AX361"/>
    </row>
    <row r="362" spans="35:50" ht="12.75" customHeight="1" thickBot="1">
      <c r="AI362" s="364"/>
      <c r="AJ362" s="892"/>
      <c r="AK362" s="893"/>
      <c r="AL362" s="893"/>
      <c r="AM362" s="893"/>
      <c r="AN362" s="893"/>
      <c r="AO362" s="894"/>
      <c r="AP362" s="364"/>
      <c r="AQ362" s="363"/>
      <c r="AR362" s="363"/>
      <c r="AS362" s="367"/>
      <c r="AT362"/>
      <c r="AU362"/>
      <c r="AV362"/>
      <c r="AW362"/>
      <c r="AX362"/>
    </row>
    <row r="363" spans="35:50" ht="12.75" customHeight="1">
      <c r="AI363" s="364"/>
      <c r="AJ363" s="895" t="s">
        <v>886</v>
      </c>
      <c r="AK363" s="896"/>
      <c r="AL363" s="900" t="s">
        <v>835</v>
      </c>
      <c r="AM363" s="900" t="s">
        <v>836</v>
      </c>
      <c r="AN363" s="900" t="s">
        <v>837</v>
      </c>
      <c r="AO363" s="902" t="s">
        <v>838</v>
      </c>
      <c r="AP363" s="364"/>
      <c r="AQ363" s="363"/>
      <c r="AR363" s="363"/>
      <c r="AS363" s="367"/>
      <c r="AT363"/>
      <c r="AU363"/>
      <c r="AV363"/>
      <c r="AW363"/>
      <c r="AX363"/>
    </row>
    <row r="364" spans="35:50" ht="12.75" customHeight="1">
      <c r="AI364" s="364"/>
      <c r="AJ364" s="892"/>
      <c r="AK364" s="897"/>
      <c r="AL364" s="901"/>
      <c r="AM364" s="901"/>
      <c r="AN364" s="901"/>
      <c r="AO364" s="903"/>
      <c r="AP364" s="364"/>
      <c r="AQ364" s="363"/>
      <c r="AR364" s="363"/>
      <c r="AS364" s="367"/>
      <c r="AT364"/>
      <c r="AU364"/>
      <c r="AV364"/>
      <c r="AW364"/>
      <c r="AX364"/>
    </row>
    <row r="365" spans="35:50" ht="12.75" customHeight="1">
      <c r="AI365" s="364"/>
      <c r="AJ365" s="892"/>
      <c r="AK365" s="897"/>
      <c r="AL365" s="700">
        <f>AL359*(1-0.0178*2)</f>
        <v>104.15520000000001</v>
      </c>
      <c r="AM365" s="560">
        <f>AM359</f>
        <v>1.9999999999999996</v>
      </c>
      <c r="AN365" s="690">
        <f>IF(AL365&gt;0,AO365*AM365," ")</f>
        <v>2074.9999999999995</v>
      </c>
      <c r="AO365" s="691">
        <f>IF(AL365&gt;0,(VLOOKUP(AL365,'Lookup Ready-reckoner'!$B$5:$E$1207,4))," ")</f>
        <v>1037.5</v>
      </c>
      <c r="AP365" s="364"/>
      <c r="AQ365" s="363"/>
      <c r="AR365" s="363"/>
      <c r="AS365" s="367"/>
      <c r="AT365"/>
      <c r="AU365"/>
      <c r="AV365"/>
      <c r="AW365"/>
      <c r="AX365"/>
    </row>
    <row r="366" spans="35:50" ht="12.75" customHeight="1">
      <c r="AI366" s="364"/>
      <c r="AJ366" s="898"/>
      <c r="AK366" s="899"/>
      <c r="AL366" s="447"/>
      <c r="AM366" s="560"/>
      <c r="AN366" s="690" t="str">
        <f>IF(AL366&gt;0,AO366*AM366," ")</f>
        <v xml:space="preserve"> </v>
      </c>
      <c r="AO366" s="691" t="str">
        <f>IF(AL366&gt;0,(VLOOKUP(AL366,'Lookup Ready-reckoner'!$B$5:$E$1007,4))," ")</f>
        <v xml:space="preserve"> </v>
      </c>
      <c r="AP366" s="364"/>
      <c r="AQ366" s="363"/>
      <c r="AR366" s="363"/>
      <c r="AS366" s="367"/>
      <c r="AT366"/>
      <c r="AU366"/>
      <c r="AV366"/>
      <c r="AW366"/>
      <c r="AX366"/>
    </row>
    <row r="367" spans="35:50" ht="12.75" customHeight="1" thickBot="1">
      <c r="AI367" s="364"/>
      <c r="AJ367" s="692" t="s">
        <v>839</v>
      </c>
      <c r="AK367" s="693"/>
      <c r="AL367" s="693"/>
      <c r="AM367" s="701">
        <f>IF(AL365&gt;0,(VLOOKUP(AN367,'Lookup Ready-reckoner'!$L$5:$M$1207,2))," ")</f>
        <v>98.1</v>
      </c>
      <c r="AN367" s="695">
        <f>IF(AM365&gt;0,(SUM(AN365:AN366))," ")</f>
        <v>2074.9999999999995</v>
      </c>
      <c r="AO367" s="696"/>
      <c r="AP367" s="364"/>
      <c r="AQ367" s="363"/>
      <c r="AR367" s="363"/>
      <c r="AS367" s="367"/>
      <c r="AT367"/>
      <c r="AU367"/>
      <c r="AV367"/>
      <c r="AW367"/>
      <c r="AX367"/>
    </row>
    <row r="368" spans="35:50" ht="12.75" customHeight="1">
      <c r="AI368" s="364"/>
      <c r="AJ368" s="697"/>
      <c r="AK368" s="687"/>
      <c r="AL368" s="687"/>
      <c r="AM368" s="372"/>
      <c r="AN368" s="374"/>
      <c r="AO368" s="688"/>
      <c r="AP368" s="364"/>
      <c r="AQ368" s="363"/>
      <c r="AR368" s="363"/>
      <c r="AS368" s="367"/>
      <c r="AT368"/>
      <c r="AU368"/>
      <c r="AV368"/>
      <c r="AW368"/>
      <c r="AX368"/>
    </row>
    <row r="369" spans="35:50" ht="12.75" customHeight="1" thickBot="1">
      <c r="AI369" s="364"/>
      <c r="AJ369" s="686" t="s">
        <v>60</v>
      </c>
      <c r="AK369" s="577"/>
      <c r="AL369" s="577"/>
      <c r="AM369" s="577"/>
      <c r="AN369" s="577"/>
      <c r="AO369" s="698"/>
      <c r="AP369" s="364"/>
      <c r="AQ369" s="363"/>
      <c r="AR369" s="363"/>
      <c r="AS369" s="367"/>
      <c r="AT369"/>
      <c r="AU369"/>
      <c r="AV369"/>
      <c r="AW369"/>
      <c r="AX369"/>
    </row>
    <row r="370" spans="35:50" ht="12.75" customHeight="1">
      <c r="AI370" s="364"/>
      <c r="AJ370" s="895" t="s">
        <v>845</v>
      </c>
      <c r="AK370" s="896"/>
      <c r="AL370" s="900" t="s">
        <v>835</v>
      </c>
      <c r="AM370" s="900" t="s">
        <v>836</v>
      </c>
      <c r="AN370" s="900" t="s">
        <v>837</v>
      </c>
      <c r="AO370" s="902" t="s">
        <v>838</v>
      </c>
      <c r="AP370" s="364"/>
      <c r="AQ370" s="363"/>
      <c r="AR370" s="363"/>
      <c r="AS370" s="367"/>
      <c r="AT370"/>
      <c r="AU370"/>
      <c r="AV370"/>
      <c r="AW370"/>
      <c r="AX370"/>
    </row>
    <row r="371" spans="35:50" ht="12.75" customHeight="1">
      <c r="AI371" s="364"/>
      <c r="AJ371" s="892"/>
      <c r="AK371" s="897"/>
      <c r="AL371" s="901"/>
      <c r="AM371" s="901"/>
      <c r="AN371" s="901"/>
      <c r="AO371" s="903"/>
      <c r="AP371" s="364"/>
      <c r="AQ371" s="363"/>
      <c r="AR371" s="363"/>
      <c r="AS371" s="367"/>
      <c r="AT371"/>
      <c r="AU371"/>
      <c r="AV371"/>
      <c r="AW371"/>
      <c r="AX371"/>
    </row>
    <row r="372" spans="35:50" ht="12.75" customHeight="1">
      <c r="AI372" s="364"/>
      <c r="AJ372" s="892"/>
      <c r="AK372" s="897"/>
      <c r="AL372" s="700">
        <f>AL359-PPE!$I$15</f>
        <v>95</v>
      </c>
      <c r="AM372" s="560">
        <f>AM365</f>
        <v>1.9999999999999996</v>
      </c>
      <c r="AN372" s="690">
        <f>IF(AL372&gt;0,AO372*AM372," ")</f>
        <v>249.99999999999994</v>
      </c>
      <c r="AO372" s="691">
        <f>IF(AL372&gt;0,(VLOOKUP(AL372,'Lookup Ready-reckoner'!$B$5:$E$1207,4))," ")</f>
        <v>125</v>
      </c>
      <c r="AP372" s="364"/>
      <c r="AQ372" s="363"/>
      <c r="AR372" s="363"/>
      <c r="AS372" s="367"/>
      <c r="AT372"/>
      <c r="AU372"/>
      <c r="AV372"/>
      <c r="AW372"/>
      <c r="AX372"/>
    </row>
    <row r="373" spans="35:50" ht="12.75" customHeight="1">
      <c r="AI373" s="364"/>
      <c r="AJ373" s="898"/>
      <c r="AK373" s="899"/>
      <c r="AL373" s="447"/>
      <c r="AM373" s="560"/>
      <c r="AN373" s="690" t="str">
        <f>IF(AL373&gt;0,AO373*AM373," ")</f>
        <v xml:space="preserve"> </v>
      </c>
      <c r="AO373" s="691" t="str">
        <f>IF(AL373&gt;0,(VLOOKUP(AL373,'Lookup Ready-reckoner'!$B$5:$E$1007,4))," ")</f>
        <v xml:space="preserve"> </v>
      </c>
      <c r="AP373" s="364"/>
      <c r="AQ373" s="363"/>
      <c r="AR373" s="363"/>
      <c r="AS373" s="367"/>
      <c r="AT373"/>
      <c r="AU373"/>
      <c r="AV373"/>
      <c r="AW373"/>
      <c r="AX373"/>
    </row>
    <row r="374" spans="35:50" ht="12.75" customHeight="1" thickBot="1">
      <c r="AI374" s="364"/>
      <c r="AJ374" s="692" t="s">
        <v>839</v>
      </c>
      <c r="AK374" s="693"/>
      <c r="AL374" s="693"/>
      <c r="AM374" s="701">
        <f>IF(AL372&gt;0,(VLOOKUP(AN374,'Lookup Ready-reckoner'!$L$5:$M$1207,2))," ")</f>
        <v>88.95</v>
      </c>
      <c r="AN374" s="695">
        <f>IF(AM372&gt;0,(SUM(AN372:AN373))," ")</f>
        <v>249.99999999999994</v>
      </c>
      <c r="AO374" s="696"/>
      <c r="AP374" s="364"/>
      <c r="AQ374" s="363"/>
      <c r="AR374" s="363"/>
      <c r="AS374" s="367"/>
      <c r="AT374"/>
      <c r="AU374"/>
      <c r="AV374"/>
      <c r="AW374"/>
      <c r="AX374"/>
    </row>
    <row r="375" spans="35:50" ht="12.75" customHeight="1" thickBot="1">
      <c r="AI375" s="364"/>
      <c r="AJ375" s="892"/>
      <c r="AK375" s="893"/>
      <c r="AL375" s="893"/>
      <c r="AM375" s="893"/>
      <c r="AN375" s="893"/>
      <c r="AO375" s="894"/>
      <c r="AP375" s="364"/>
      <c r="AQ375" s="363"/>
      <c r="AR375" s="363"/>
      <c r="AS375" s="367"/>
      <c r="AT375"/>
      <c r="AU375"/>
      <c r="AV375"/>
      <c r="AW375"/>
      <c r="AX375"/>
    </row>
    <row r="376" spans="35:50" ht="12.75" customHeight="1">
      <c r="AI376" s="364"/>
      <c r="AJ376" s="895" t="s">
        <v>886</v>
      </c>
      <c r="AK376" s="896"/>
      <c r="AL376" s="900" t="s">
        <v>835</v>
      </c>
      <c r="AM376" s="900" t="s">
        <v>836</v>
      </c>
      <c r="AN376" s="900" t="s">
        <v>837</v>
      </c>
      <c r="AO376" s="902" t="s">
        <v>838</v>
      </c>
      <c r="AP376" s="364"/>
      <c r="AQ376" s="363"/>
      <c r="AR376" s="363"/>
      <c r="AS376" s="367"/>
      <c r="AT376"/>
      <c r="AU376"/>
      <c r="AV376"/>
      <c r="AW376"/>
      <c r="AX376"/>
    </row>
    <row r="377" spans="35:50" ht="12.75" customHeight="1">
      <c r="AI377" s="364"/>
      <c r="AJ377" s="892"/>
      <c r="AK377" s="897"/>
      <c r="AL377" s="901"/>
      <c r="AM377" s="901"/>
      <c r="AN377" s="901"/>
      <c r="AO377" s="903"/>
      <c r="AP377" s="364"/>
      <c r="AQ377" s="363"/>
      <c r="AR377" s="363"/>
      <c r="AS377" s="367"/>
      <c r="AT377"/>
      <c r="AU377"/>
      <c r="AV377"/>
      <c r="AW377"/>
      <c r="AX377"/>
    </row>
    <row r="378" spans="35:50" ht="12.75" customHeight="1">
      <c r="AI378" s="364"/>
      <c r="AJ378" s="892"/>
      <c r="AK378" s="897"/>
      <c r="AL378" s="700">
        <f>AL365-PPE!$I$15</f>
        <v>91.155200000000008</v>
      </c>
      <c r="AM378" s="560">
        <f>AM372</f>
        <v>1.9999999999999996</v>
      </c>
      <c r="AN378" s="690">
        <f>IF(AL378&gt;0,AO378*AM378," ")</f>
        <v>103.74999999999997</v>
      </c>
      <c r="AO378" s="691">
        <f>IF(AL378&gt;0,(VLOOKUP(AL378,'Lookup Ready-reckoner'!$B$5:$E$1207,4))," ")</f>
        <v>51.875</v>
      </c>
      <c r="AP378" s="364"/>
      <c r="AQ378" s="363"/>
      <c r="AR378" s="363"/>
      <c r="AS378" s="367"/>
      <c r="AT378"/>
      <c r="AU378"/>
      <c r="AV378"/>
      <c r="AW378"/>
      <c r="AX378"/>
    </row>
    <row r="379" spans="35:50" ht="12.75" customHeight="1">
      <c r="AI379" s="364"/>
      <c r="AJ379" s="898"/>
      <c r="AK379" s="899"/>
      <c r="AL379" s="447"/>
      <c r="AM379" s="560"/>
      <c r="AN379" s="690" t="str">
        <f>IF(AL379&gt;0,AO379*AM379," ")</f>
        <v xml:space="preserve"> </v>
      </c>
      <c r="AO379" s="691" t="str">
        <f>IF(AL379&gt;0,(VLOOKUP(AL379,'Lookup Ready-reckoner'!$B$5:$E$1007,4))," ")</f>
        <v xml:space="preserve"> </v>
      </c>
      <c r="AP379" s="364"/>
      <c r="AQ379" s="363"/>
      <c r="AR379" s="363"/>
      <c r="AS379" s="367"/>
      <c r="AT379"/>
      <c r="AU379"/>
      <c r="AV379"/>
      <c r="AW379"/>
      <c r="AX379"/>
    </row>
    <row r="380" spans="35:50" ht="12.75" customHeight="1" thickBot="1">
      <c r="AI380" s="364"/>
      <c r="AJ380" s="692" t="s">
        <v>839</v>
      </c>
      <c r="AK380" s="693"/>
      <c r="AL380" s="693"/>
      <c r="AM380" s="701">
        <f>IF(AL378&gt;0,(VLOOKUP(AN380,'Lookup Ready-reckoner'!$L$5:$M$1207,2))," ")</f>
        <v>85.1</v>
      </c>
      <c r="AN380" s="695">
        <f>IF(AM378&gt;0,(SUM(AN378:AN379))," ")</f>
        <v>103.74999999999997</v>
      </c>
      <c r="AO380" s="696"/>
      <c r="AP380" s="364"/>
      <c r="AQ380" s="363"/>
      <c r="AR380" s="363"/>
      <c r="AS380" s="367"/>
      <c r="AT380"/>
      <c r="AU380"/>
      <c r="AV380"/>
      <c r="AW380"/>
      <c r="AX380"/>
    </row>
    <row r="381" spans="35:50" ht="12.75" customHeight="1">
      <c r="AI381" s="364"/>
      <c r="AJ381" s="363"/>
      <c r="AK381" s="363"/>
      <c r="AL381" s="363"/>
      <c r="AM381" s="363"/>
      <c r="AN381" s="363"/>
      <c r="AO381" s="363"/>
      <c r="AP381" s="364"/>
      <c r="AQ381" s="364"/>
      <c r="AR381" s="364"/>
      <c r="AS381" s="367"/>
      <c r="AT381"/>
      <c r="AU381"/>
      <c r="AV381"/>
      <c r="AW381"/>
      <c r="AX381"/>
    </row>
    <row r="382" spans="35:50" ht="12.75" customHeight="1">
      <c r="AI382" s="364"/>
      <c r="AJ382" s="913" t="str">
        <f>AM311</f>
        <v>Sulzer ADDS</v>
      </c>
      <c r="AK382" s="914"/>
      <c r="AL382" s="914"/>
      <c r="AM382" s="914"/>
      <c r="AN382" s="914"/>
      <c r="AO382" s="914"/>
      <c r="AP382" s="364"/>
      <c r="AQ382" s="363"/>
      <c r="AR382" s="363"/>
      <c r="AS382" s="367"/>
      <c r="AT382"/>
      <c r="AU382"/>
      <c r="AV382"/>
      <c r="AW382"/>
      <c r="AX382"/>
    </row>
    <row r="383" spans="35:50" ht="12.75" customHeight="1" thickBot="1">
      <c r="AI383" s="364"/>
      <c r="AJ383" s="910" t="s">
        <v>205</v>
      </c>
      <c r="AK383" s="911"/>
      <c r="AL383" s="911"/>
      <c r="AM383" s="911"/>
      <c r="AN383" s="911"/>
      <c r="AO383" s="912"/>
      <c r="AP383" s="364"/>
      <c r="AQ383" s="363"/>
      <c r="AR383" s="363"/>
      <c r="AS383" s="367"/>
      <c r="AT383"/>
      <c r="AU383"/>
      <c r="AV383"/>
      <c r="AW383"/>
      <c r="AX383"/>
    </row>
    <row r="384" spans="35:50" ht="12.75" customHeight="1" thickBot="1">
      <c r="AI384" s="364"/>
      <c r="AJ384" s="686" t="s">
        <v>59</v>
      </c>
      <c r="AK384" s="577"/>
      <c r="AL384" s="687"/>
      <c r="AM384" s="687"/>
      <c r="AN384" s="687"/>
      <c r="AO384" s="688"/>
      <c r="AP384" s="364"/>
      <c r="AQ384" s="363"/>
      <c r="AR384" s="363"/>
      <c r="AS384" s="367"/>
      <c r="AT384"/>
      <c r="AU384"/>
      <c r="AV384"/>
      <c r="AW384"/>
      <c r="AX384"/>
    </row>
    <row r="385" spans="35:50" ht="12.75" customHeight="1">
      <c r="AI385" s="364"/>
      <c r="AJ385" s="895" t="s">
        <v>845</v>
      </c>
      <c r="AK385" s="896"/>
      <c r="AL385" s="900" t="s">
        <v>835</v>
      </c>
      <c r="AM385" s="900" t="s">
        <v>836</v>
      </c>
      <c r="AN385" s="900" t="s">
        <v>837</v>
      </c>
      <c r="AO385" s="902" t="s">
        <v>838</v>
      </c>
      <c r="AP385" s="364"/>
      <c r="AQ385" s="363"/>
      <c r="AR385" s="363"/>
      <c r="AS385" s="367"/>
      <c r="AT385"/>
      <c r="AU385"/>
      <c r="AV385"/>
      <c r="AW385"/>
      <c r="AX385"/>
    </row>
    <row r="386" spans="35:50" ht="12.75" customHeight="1">
      <c r="AI386" s="364"/>
      <c r="AJ386" s="892"/>
      <c r="AK386" s="897"/>
      <c r="AL386" s="904"/>
      <c r="AM386" s="904"/>
      <c r="AN386" s="904"/>
      <c r="AO386" s="905"/>
      <c r="AP386" s="364"/>
      <c r="AQ386" s="363"/>
      <c r="AR386" s="363"/>
      <c r="AS386" s="367"/>
      <c r="AT386"/>
      <c r="AU386"/>
      <c r="AV386"/>
      <c r="AW386"/>
      <c r="AX386"/>
    </row>
    <row r="387" spans="35:50" ht="12.75" customHeight="1">
      <c r="AI387" s="364"/>
      <c r="AJ387" s="892"/>
      <c r="AK387" s="897"/>
      <c r="AL387" s="901"/>
      <c r="AM387" s="901"/>
      <c r="AN387" s="901"/>
      <c r="AO387" s="903"/>
      <c r="AP387" s="364"/>
      <c r="AQ387" s="363"/>
      <c r="AR387" s="363"/>
      <c r="AS387" s="367"/>
      <c r="AT387"/>
      <c r="AU387"/>
      <c r="AV387"/>
      <c r="AW387"/>
      <c r="AX387"/>
    </row>
    <row r="388" spans="35:50" ht="12.75" customHeight="1">
      <c r="AI388" s="364"/>
      <c r="AJ388" s="892"/>
      <c r="AK388" s="897"/>
      <c r="AL388" s="702">
        <f>AO74</f>
        <v>109</v>
      </c>
      <c r="AM388" s="560">
        <f>AO67</f>
        <v>1.7391304347826084</v>
      </c>
      <c r="AN388" s="690">
        <f>IF(AL388&gt;0,AO388*AM388," ")</f>
        <v>5565.2173913043471</v>
      </c>
      <c r="AO388" s="691">
        <f>IF(AL388&gt;0,(VLOOKUP(AL388,'Lookup Ready-reckoner'!$B$5:$E$1207,4))," ")</f>
        <v>3200</v>
      </c>
      <c r="AP388" s="364"/>
      <c r="AQ388" s="363"/>
      <c r="AR388" s="363"/>
      <c r="AS388" s="367"/>
      <c r="AT388"/>
      <c r="AU388"/>
      <c r="AV388"/>
      <c r="AW388"/>
      <c r="AX388"/>
    </row>
    <row r="389" spans="35:50" ht="12.75" customHeight="1">
      <c r="AI389" s="364"/>
      <c r="AJ389" s="898"/>
      <c r="AK389" s="899"/>
      <c r="AL389" s="447"/>
      <c r="AM389" s="560"/>
      <c r="AN389" s="690" t="str">
        <f>IF(AL389&gt;0,AO389*AM389," ")</f>
        <v xml:space="preserve"> </v>
      </c>
      <c r="AO389" s="691" t="str">
        <f>IF(AL389&gt;0,(VLOOKUP(AL389,'Lookup Ready-reckoner'!$B$5:$E$1007,4))," ")</f>
        <v xml:space="preserve"> </v>
      </c>
      <c r="AP389" s="364"/>
      <c r="AQ389" s="363"/>
      <c r="AR389" s="363"/>
      <c r="AS389" s="367"/>
      <c r="AT389"/>
      <c r="AU389"/>
      <c r="AV389"/>
      <c r="AW389"/>
      <c r="AX389"/>
    </row>
    <row r="390" spans="35:50" ht="12.75" customHeight="1" thickBot="1">
      <c r="AI390" s="364"/>
      <c r="AJ390" s="692" t="s">
        <v>839</v>
      </c>
      <c r="AK390" s="693"/>
      <c r="AL390" s="693"/>
      <c r="AM390" s="703">
        <f>IF(AL388&gt;0,(VLOOKUP(AN390,'Lookup Ready-reckoner'!$L$5:$M$1207,2))," ")</f>
        <v>102.4</v>
      </c>
      <c r="AN390" s="695">
        <f>IF(AM388&gt;0,(SUM(AN388:AN389))," ")</f>
        <v>5565.2173913043471</v>
      </c>
      <c r="AO390" s="696"/>
      <c r="AP390" s="364"/>
      <c r="AQ390" s="363"/>
      <c r="AR390" s="363"/>
      <c r="AS390" s="367"/>
      <c r="AT390"/>
      <c r="AU390"/>
      <c r="AV390"/>
      <c r="AW390"/>
      <c r="AX390"/>
    </row>
    <row r="391" spans="35:50" ht="12.75" customHeight="1" thickBot="1">
      <c r="AI391" s="364"/>
      <c r="AJ391" s="892"/>
      <c r="AK391" s="893"/>
      <c r="AL391" s="893"/>
      <c r="AM391" s="893"/>
      <c r="AN391" s="893"/>
      <c r="AO391" s="894"/>
      <c r="AP391" s="364"/>
      <c r="AQ391" s="363"/>
      <c r="AR391" s="363"/>
      <c r="AS391" s="367"/>
      <c r="AT391"/>
      <c r="AU391"/>
      <c r="AV391"/>
      <c r="AW391"/>
      <c r="AX391"/>
    </row>
    <row r="392" spans="35:50" ht="12.75" customHeight="1">
      <c r="AI392" s="364"/>
      <c r="AJ392" s="895" t="s">
        <v>886</v>
      </c>
      <c r="AK392" s="896"/>
      <c r="AL392" s="900" t="s">
        <v>835</v>
      </c>
      <c r="AM392" s="900" t="s">
        <v>836</v>
      </c>
      <c r="AN392" s="900" t="s">
        <v>837</v>
      </c>
      <c r="AO392" s="902" t="s">
        <v>838</v>
      </c>
      <c r="AP392" s="364"/>
      <c r="AQ392" s="363"/>
      <c r="AR392" s="363"/>
      <c r="AS392" s="367"/>
      <c r="AT392"/>
      <c r="AU392"/>
      <c r="AV392"/>
      <c r="AW392"/>
      <c r="AX392"/>
    </row>
    <row r="393" spans="35:50" ht="12.75" customHeight="1">
      <c r="AI393" s="364"/>
      <c r="AJ393" s="892"/>
      <c r="AK393" s="897"/>
      <c r="AL393" s="901"/>
      <c r="AM393" s="901"/>
      <c r="AN393" s="901"/>
      <c r="AO393" s="903"/>
      <c r="AP393" s="364"/>
      <c r="AQ393" s="363"/>
      <c r="AR393" s="363"/>
      <c r="AS393" s="367"/>
      <c r="AT393"/>
      <c r="AU393"/>
      <c r="AV393"/>
      <c r="AW393"/>
      <c r="AX393"/>
    </row>
    <row r="394" spans="35:50" ht="12.75" customHeight="1">
      <c r="AI394" s="364"/>
      <c r="AJ394" s="892"/>
      <c r="AK394" s="897"/>
      <c r="AL394" s="702">
        <f>AL388*(1-0.0178*2)</f>
        <v>105.11960000000001</v>
      </c>
      <c r="AM394" s="560">
        <f>AM388</f>
        <v>1.7391304347826084</v>
      </c>
      <c r="AN394" s="690">
        <f>IF(AL394&gt;0,AO394*AM394," ")</f>
        <v>2234.782608695652</v>
      </c>
      <c r="AO394" s="691">
        <f>IF(AL394&gt;0,(VLOOKUP(AL394,'Lookup Ready-reckoner'!$B$5:$E$1207,4))," ")</f>
        <v>1285</v>
      </c>
      <c r="AP394" s="364"/>
      <c r="AQ394" s="363"/>
      <c r="AR394" s="363"/>
      <c r="AS394" s="367"/>
      <c r="AT394"/>
      <c r="AU394"/>
      <c r="AV394"/>
      <c r="AW394"/>
      <c r="AX394"/>
    </row>
    <row r="395" spans="35:50" ht="12.75" customHeight="1">
      <c r="AI395" s="364"/>
      <c r="AJ395" s="898"/>
      <c r="AK395" s="899"/>
      <c r="AL395" s="447"/>
      <c r="AM395" s="560"/>
      <c r="AN395" s="690" t="str">
        <f>IF(AL395&gt;0,AO395*AM395," ")</f>
        <v xml:space="preserve"> </v>
      </c>
      <c r="AO395" s="691" t="str">
        <f>IF(AL395&gt;0,(VLOOKUP(AL395,'Lookup Ready-reckoner'!$B$5:$E$1007,4))," ")</f>
        <v xml:space="preserve"> </v>
      </c>
      <c r="AP395" s="364"/>
      <c r="AQ395" s="363"/>
      <c r="AR395" s="363"/>
      <c r="AS395" s="367"/>
      <c r="AT395"/>
      <c r="AU395"/>
      <c r="AV395"/>
      <c r="AW395"/>
      <c r="AX395"/>
    </row>
    <row r="396" spans="35:50" ht="12.75" customHeight="1" thickBot="1">
      <c r="AI396" s="364"/>
      <c r="AJ396" s="692" t="s">
        <v>839</v>
      </c>
      <c r="AK396" s="693"/>
      <c r="AL396" s="693"/>
      <c r="AM396" s="703">
        <f>IF(AL394&gt;0,(VLOOKUP(AN396,'Lookup Ready-reckoner'!$L$5:$M$1207,2))," ")</f>
        <v>98.45</v>
      </c>
      <c r="AN396" s="695">
        <f>IF(AM394&gt;0,(SUM(AN394:AN395))," ")</f>
        <v>2234.782608695652</v>
      </c>
      <c r="AO396" s="696"/>
      <c r="AP396" s="364"/>
      <c r="AQ396" s="363"/>
      <c r="AR396" s="363"/>
      <c r="AS396" s="367"/>
      <c r="AT396"/>
      <c r="AU396"/>
      <c r="AV396"/>
      <c r="AW396"/>
      <c r="AX396"/>
    </row>
    <row r="397" spans="35:50" ht="12.75" customHeight="1">
      <c r="AI397" s="364"/>
      <c r="AJ397" s="697"/>
      <c r="AK397" s="687"/>
      <c r="AL397" s="687"/>
      <c r="AM397" s="372"/>
      <c r="AN397" s="374"/>
      <c r="AO397" s="688"/>
      <c r="AP397" s="364"/>
      <c r="AQ397" s="363"/>
      <c r="AR397" s="363"/>
      <c r="AS397" s="367"/>
      <c r="AT397"/>
      <c r="AU397"/>
      <c r="AV397"/>
      <c r="AW397"/>
      <c r="AX397"/>
    </row>
    <row r="398" spans="35:50" ht="12.75" customHeight="1" thickBot="1">
      <c r="AI398" s="364"/>
      <c r="AJ398" s="686" t="s">
        <v>60</v>
      </c>
      <c r="AK398" s="577"/>
      <c r="AL398" s="577"/>
      <c r="AM398" s="577"/>
      <c r="AN398" s="577"/>
      <c r="AO398" s="698"/>
      <c r="AP398" s="364"/>
      <c r="AQ398" s="363"/>
      <c r="AR398" s="363"/>
      <c r="AS398" s="367"/>
      <c r="AT398"/>
      <c r="AU398"/>
      <c r="AV398"/>
      <c r="AW398"/>
      <c r="AX398"/>
    </row>
    <row r="399" spans="35:50" ht="12.75" customHeight="1">
      <c r="AI399" s="364"/>
      <c r="AJ399" s="895" t="s">
        <v>845</v>
      </c>
      <c r="AK399" s="896"/>
      <c r="AL399" s="900" t="s">
        <v>835</v>
      </c>
      <c r="AM399" s="900" t="s">
        <v>836</v>
      </c>
      <c r="AN399" s="900" t="s">
        <v>837</v>
      </c>
      <c r="AO399" s="902" t="s">
        <v>838</v>
      </c>
      <c r="AP399" s="364"/>
      <c r="AQ399" s="363"/>
      <c r="AR399" s="363"/>
      <c r="AS399" s="367"/>
      <c r="AT399"/>
      <c r="AU399"/>
      <c r="AV399"/>
      <c r="AW399"/>
      <c r="AX399"/>
    </row>
    <row r="400" spans="35:50" ht="12.75" customHeight="1">
      <c r="AI400" s="364"/>
      <c r="AJ400" s="892"/>
      <c r="AK400" s="897"/>
      <c r="AL400" s="901"/>
      <c r="AM400" s="901"/>
      <c r="AN400" s="901"/>
      <c r="AO400" s="903"/>
      <c r="AP400" s="364"/>
      <c r="AQ400" s="363"/>
      <c r="AR400" s="363"/>
      <c r="AS400" s="367"/>
      <c r="AT400"/>
      <c r="AU400"/>
      <c r="AV400"/>
      <c r="AW400"/>
      <c r="AX400"/>
    </row>
    <row r="401" spans="35:50" ht="12.75" customHeight="1">
      <c r="AI401" s="364"/>
      <c r="AJ401" s="892"/>
      <c r="AK401" s="897"/>
      <c r="AL401" s="702">
        <f>AL388-PPE!$I$15</f>
        <v>96</v>
      </c>
      <c r="AM401" s="560">
        <f>AM394</f>
        <v>1.7391304347826084</v>
      </c>
      <c r="AN401" s="690">
        <f>IF(AL401&gt;0,AO401*AM401," ")</f>
        <v>271.73913043478257</v>
      </c>
      <c r="AO401" s="691">
        <f>IF(AL401&gt;0,(VLOOKUP(AL401,'Lookup Ready-reckoner'!$B$5:$E$1207,4))," ")</f>
        <v>156.25</v>
      </c>
      <c r="AP401" s="364"/>
      <c r="AQ401" s="363"/>
      <c r="AR401" s="363"/>
      <c r="AS401" s="367"/>
      <c r="AT401"/>
      <c r="AU401"/>
      <c r="AV401"/>
      <c r="AW401"/>
      <c r="AX401"/>
    </row>
    <row r="402" spans="35:50" ht="12.75" customHeight="1">
      <c r="AI402" s="364"/>
      <c r="AJ402" s="898"/>
      <c r="AK402" s="899"/>
      <c r="AL402" s="447"/>
      <c r="AM402" s="560"/>
      <c r="AN402" s="690" t="str">
        <f>IF(AL402&gt;0,AO402*AM402," ")</f>
        <v xml:space="preserve"> </v>
      </c>
      <c r="AO402" s="691" t="str">
        <f>IF(AL402&gt;0,(VLOOKUP(AL402,'Lookup Ready-reckoner'!$B$5:$E$1007,4))," ")</f>
        <v xml:space="preserve"> </v>
      </c>
      <c r="AP402" s="364"/>
      <c r="AQ402" s="363"/>
      <c r="AR402" s="363"/>
      <c r="AS402" s="367"/>
      <c r="AT402"/>
      <c r="AU402"/>
      <c r="AV402"/>
      <c r="AW402"/>
      <c r="AX402"/>
    </row>
    <row r="403" spans="35:50" ht="12.75" customHeight="1" thickBot="1">
      <c r="AI403" s="364"/>
      <c r="AJ403" s="692" t="s">
        <v>839</v>
      </c>
      <c r="AK403" s="693"/>
      <c r="AL403" s="693"/>
      <c r="AM403" s="703">
        <f>IF(AL401&gt;0,(VLOOKUP(AN403,'Lookup Ready-reckoner'!$L$5:$M$1207,2))," ")</f>
        <v>89.3</v>
      </c>
      <c r="AN403" s="695">
        <f>IF(AM401&gt;0,(SUM(AN401:AN402))," ")</f>
        <v>271.73913043478257</v>
      </c>
      <c r="AO403" s="696"/>
      <c r="AP403" s="364"/>
      <c r="AQ403" s="363"/>
      <c r="AR403" s="363"/>
      <c r="AS403" s="367"/>
      <c r="AT403"/>
      <c r="AU403"/>
      <c r="AV403"/>
      <c r="AW403"/>
      <c r="AX403"/>
    </row>
    <row r="404" spans="35:50" ht="12.75" customHeight="1" thickBot="1">
      <c r="AI404" s="364"/>
      <c r="AJ404" s="892"/>
      <c r="AK404" s="893"/>
      <c r="AL404" s="893"/>
      <c r="AM404" s="893"/>
      <c r="AN404" s="893"/>
      <c r="AO404" s="894"/>
      <c r="AP404" s="364"/>
      <c r="AQ404" s="363"/>
      <c r="AR404" s="363"/>
      <c r="AS404" s="367"/>
      <c r="AT404"/>
      <c r="AU404"/>
      <c r="AV404"/>
      <c r="AW404"/>
      <c r="AX404"/>
    </row>
    <row r="405" spans="35:50" ht="12.75" customHeight="1">
      <c r="AI405" s="364"/>
      <c r="AJ405" s="895" t="s">
        <v>886</v>
      </c>
      <c r="AK405" s="896"/>
      <c r="AL405" s="900" t="s">
        <v>835</v>
      </c>
      <c r="AM405" s="900" t="s">
        <v>836</v>
      </c>
      <c r="AN405" s="900" t="s">
        <v>837</v>
      </c>
      <c r="AO405" s="902" t="s">
        <v>838</v>
      </c>
      <c r="AP405" s="364"/>
      <c r="AQ405" s="363"/>
      <c r="AR405" s="363"/>
      <c r="AS405" s="367"/>
      <c r="AT405"/>
      <c r="AU405"/>
      <c r="AV405"/>
      <c r="AW405"/>
      <c r="AX405"/>
    </row>
    <row r="406" spans="35:50" ht="12.75" customHeight="1">
      <c r="AI406" s="364"/>
      <c r="AJ406" s="892"/>
      <c r="AK406" s="897"/>
      <c r="AL406" s="901"/>
      <c r="AM406" s="901"/>
      <c r="AN406" s="901"/>
      <c r="AO406" s="903"/>
      <c r="AP406" s="364"/>
      <c r="AQ406" s="363"/>
      <c r="AR406" s="363"/>
      <c r="AS406" s="367"/>
      <c r="AT406"/>
      <c r="AU406"/>
      <c r="AV406"/>
      <c r="AW406"/>
      <c r="AX406"/>
    </row>
    <row r="407" spans="35:50" ht="12.75" customHeight="1">
      <c r="AI407" s="364"/>
      <c r="AJ407" s="892"/>
      <c r="AK407" s="897"/>
      <c r="AL407" s="702">
        <f>AL394-PPE!$I$15</f>
        <v>92.119600000000005</v>
      </c>
      <c r="AM407" s="560">
        <f>AM401</f>
        <v>1.7391304347826084</v>
      </c>
      <c r="AN407" s="690">
        <f>IF(AL407&gt;0,AO407*AM407," ")</f>
        <v>111.52173913043477</v>
      </c>
      <c r="AO407" s="691">
        <f>IF(AL407&gt;0,(VLOOKUP(AL407,'Lookup Ready-reckoner'!$B$5:$E$1207,4))," ")</f>
        <v>64.125</v>
      </c>
      <c r="AP407" s="364"/>
      <c r="AQ407" s="363"/>
      <c r="AR407" s="363"/>
      <c r="AS407" s="367"/>
      <c r="AT407"/>
      <c r="AU407"/>
      <c r="AV407"/>
      <c r="AW407"/>
      <c r="AX407"/>
    </row>
    <row r="408" spans="35:50" ht="12.75" customHeight="1">
      <c r="AI408" s="364"/>
      <c r="AJ408" s="898"/>
      <c r="AK408" s="899"/>
      <c r="AL408" s="447"/>
      <c r="AM408" s="560"/>
      <c r="AN408" s="690" t="str">
        <f>IF(AL408&gt;0,AO408*AM408," ")</f>
        <v xml:space="preserve"> </v>
      </c>
      <c r="AO408" s="691" t="str">
        <f>IF(AL408&gt;0,(VLOOKUP(AL408,'Lookup Ready-reckoner'!$B$5:$E$1007,4))," ")</f>
        <v xml:space="preserve"> </v>
      </c>
      <c r="AP408" s="364"/>
      <c r="AQ408" s="363"/>
      <c r="AR408" s="363"/>
      <c r="AS408" s="367"/>
      <c r="AT408"/>
      <c r="AU408"/>
      <c r="AV408"/>
      <c r="AW408"/>
      <c r="AX408"/>
    </row>
    <row r="409" spans="35:50" ht="12.75" customHeight="1" thickBot="1">
      <c r="AI409" s="364"/>
      <c r="AJ409" s="692" t="s">
        <v>839</v>
      </c>
      <c r="AK409" s="693"/>
      <c r="AL409" s="693"/>
      <c r="AM409" s="703">
        <f>IF(AL407&gt;0,(VLOOKUP(AN409,'Lookup Ready-reckoner'!$L$5:$M$1207,2))," ")</f>
        <v>85.45</v>
      </c>
      <c r="AN409" s="695">
        <f>IF(AM407&gt;0,(SUM(AN407:AN408))," ")</f>
        <v>111.52173913043477</v>
      </c>
      <c r="AO409" s="696"/>
      <c r="AP409" s="364"/>
      <c r="AQ409" s="363"/>
      <c r="AR409" s="363"/>
      <c r="AS409" s="367"/>
      <c r="AT409"/>
      <c r="AU409"/>
      <c r="AV409"/>
      <c r="AW409"/>
      <c r="AX409"/>
    </row>
    <row r="410" spans="35:50" ht="12.75" customHeight="1">
      <c r="AI410" s="364"/>
      <c r="AJ410" s="363"/>
      <c r="AK410" s="363"/>
      <c r="AL410" s="363"/>
      <c r="AM410" s="363"/>
      <c r="AN410" s="363"/>
      <c r="AO410" s="363"/>
      <c r="AP410" s="364"/>
      <c r="AQ410" s="364"/>
      <c r="AR410" s="364"/>
      <c r="AS410" s="367"/>
      <c r="AT410"/>
      <c r="AU410"/>
      <c r="AV410"/>
      <c r="AW410"/>
      <c r="AX410"/>
    </row>
    <row r="411" spans="35:50" ht="12.75" customHeight="1">
      <c r="AI411" s="364"/>
      <c r="AJ411" s="909" t="str">
        <f>AN311</f>
        <v xml:space="preserve">Hilti TE MD20 </v>
      </c>
      <c r="AK411" s="909"/>
      <c r="AL411" s="909"/>
      <c r="AM411" s="909"/>
      <c r="AN411" s="909"/>
      <c r="AO411" s="909"/>
      <c r="AP411" s="364"/>
      <c r="AQ411" s="364"/>
      <c r="AR411" s="364"/>
      <c r="AS411" s="367"/>
      <c r="AT411"/>
      <c r="AU411"/>
      <c r="AV411"/>
      <c r="AW411"/>
      <c r="AX411"/>
    </row>
    <row r="412" spans="35:50" ht="12.75" customHeight="1" thickBot="1">
      <c r="AI412" s="364"/>
      <c r="AJ412" s="910" t="s">
        <v>205</v>
      </c>
      <c r="AK412" s="911"/>
      <c r="AL412" s="911"/>
      <c r="AM412" s="911"/>
      <c r="AN412" s="911"/>
      <c r="AO412" s="912"/>
      <c r="AP412" s="364"/>
      <c r="AQ412" s="364"/>
      <c r="AR412" s="364"/>
      <c r="AS412" s="367"/>
      <c r="AT412"/>
      <c r="AU412"/>
      <c r="AV412"/>
      <c r="AW412"/>
      <c r="AX412"/>
    </row>
    <row r="413" spans="35:50" ht="12.75" customHeight="1" thickBot="1">
      <c r="AI413" s="364"/>
      <c r="AJ413" s="686" t="s">
        <v>59</v>
      </c>
      <c r="AK413" s="577"/>
      <c r="AL413" s="687"/>
      <c r="AM413" s="687"/>
      <c r="AN413" s="687"/>
      <c r="AO413" s="688"/>
      <c r="AP413" s="364"/>
      <c r="AQ413" s="364"/>
      <c r="AR413" s="364"/>
      <c r="AS413" s="367"/>
      <c r="AT413"/>
      <c r="AU413"/>
      <c r="AV413"/>
      <c r="AW413"/>
      <c r="AX413"/>
    </row>
    <row r="414" spans="35:50" ht="12.75" customHeight="1">
      <c r="AI414" s="364"/>
      <c r="AJ414" s="895" t="s">
        <v>845</v>
      </c>
      <c r="AK414" s="896"/>
      <c r="AL414" s="900" t="s">
        <v>835</v>
      </c>
      <c r="AM414" s="900" t="s">
        <v>836</v>
      </c>
      <c r="AN414" s="900" t="s">
        <v>837</v>
      </c>
      <c r="AO414" s="902" t="s">
        <v>838</v>
      </c>
      <c r="AP414" s="364"/>
      <c r="AQ414" s="364"/>
      <c r="AR414" s="364"/>
      <c r="AS414" s="367"/>
      <c r="AT414"/>
      <c r="AU414"/>
      <c r="AV414"/>
      <c r="AW414"/>
      <c r="AX414"/>
    </row>
    <row r="415" spans="35:50" ht="12.75" customHeight="1">
      <c r="AI415" s="364"/>
      <c r="AJ415" s="892"/>
      <c r="AK415" s="897"/>
      <c r="AL415" s="904"/>
      <c r="AM415" s="904"/>
      <c r="AN415" s="904"/>
      <c r="AO415" s="905"/>
      <c r="AP415" s="364"/>
      <c r="AQ415" s="364"/>
      <c r="AR415" s="364"/>
      <c r="AS415" s="367"/>
      <c r="AT415"/>
      <c r="AU415"/>
      <c r="AV415"/>
      <c r="AW415"/>
      <c r="AX415"/>
    </row>
    <row r="416" spans="35:50" ht="12.75" customHeight="1">
      <c r="AI416" s="364"/>
      <c r="AJ416" s="892"/>
      <c r="AK416" s="897"/>
      <c r="AL416" s="901"/>
      <c r="AM416" s="901"/>
      <c r="AN416" s="901"/>
      <c r="AO416" s="903"/>
      <c r="AP416" s="364"/>
      <c r="AQ416" s="364"/>
      <c r="AR416" s="364"/>
      <c r="AS416" s="367"/>
      <c r="AT416"/>
      <c r="AU416"/>
      <c r="AV416"/>
      <c r="AW416"/>
      <c r="AX416"/>
    </row>
    <row r="417" spans="35:50" ht="12.75" customHeight="1">
      <c r="AI417" s="364"/>
      <c r="AJ417" s="892"/>
      <c r="AK417" s="897"/>
      <c r="AL417" s="704">
        <f>AM74</f>
        <v>102</v>
      </c>
      <c r="AM417" s="560">
        <f>AM67</f>
        <v>2.6666666666666665</v>
      </c>
      <c r="AN417" s="690">
        <f>IF(AL417&gt;0,AO417*AM417," ")</f>
        <v>1666.6666666666665</v>
      </c>
      <c r="AO417" s="691">
        <f>IF(AL417&gt;0,(VLOOKUP(AL417,'Lookup Ready-reckoner'!$B$5:$E$1207,4))," ")</f>
        <v>625</v>
      </c>
      <c r="AP417" s="364"/>
      <c r="AQ417" s="364"/>
      <c r="AR417" s="364"/>
      <c r="AS417" s="367"/>
      <c r="AT417"/>
      <c r="AU417"/>
      <c r="AV417"/>
      <c r="AW417"/>
      <c r="AX417"/>
    </row>
    <row r="418" spans="35:50" ht="12.75" customHeight="1">
      <c r="AI418" s="364"/>
      <c r="AJ418" s="898"/>
      <c r="AK418" s="899"/>
      <c r="AL418" s="447"/>
      <c r="AM418" s="560"/>
      <c r="AN418" s="690" t="str">
        <f>IF(AL418&gt;0,AO418*AM418," ")</f>
        <v xml:space="preserve"> </v>
      </c>
      <c r="AO418" s="691" t="str">
        <f>IF(AL418&gt;0,(VLOOKUP(AL418,'Lookup Ready-reckoner'!$B$5:$E$1007,4))," ")</f>
        <v xml:space="preserve"> </v>
      </c>
      <c r="AP418" s="364"/>
      <c r="AQ418" s="364"/>
      <c r="AR418" s="364"/>
      <c r="AS418" s="367"/>
      <c r="AT418"/>
      <c r="AU418"/>
      <c r="AV418"/>
      <c r="AW418"/>
      <c r="AX418"/>
    </row>
    <row r="419" spans="35:50" ht="12.75" customHeight="1" thickBot="1">
      <c r="AI419" s="364"/>
      <c r="AJ419" s="692" t="s">
        <v>839</v>
      </c>
      <c r="AK419" s="693"/>
      <c r="AL419" s="693"/>
      <c r="AM419" s="705">
        <f>IF(AL417&gt;0,(VLOOKUP(AN419,'Lookup Ready-reckoner'!$L$5:$M$1207,2))," ")</f>
        <v>97.15</v>
      </c>
      <c r="AN419" s="695">
        <f>IF(AM417&gt;0,(SUM(AN417:AN418))," ")</f>
        <v>1666.6666666666665</v>
      </c>
      <c r="AO419" s="696"/>
      <c r="AP419" s="364"/>
      <c r="AQ419" s="364"/>
      <c r="AR419" s="364"/>
      <c r="AS419" s="367"/>
      <c r="AT419"/>
      <c r="AU419"/>
      <c r="AV419"/>
      <c r="AW419"/>
      <c r="AX419"/>
    </row>
    <row r="420" spans="35:50" ht="12.75" customHeight="1" thickBot="1">
      <c r="AI420" s="364"/>
      <c r="AJ420" s="906"/>
      <c r="AK420" s="907"/>
      <c r="AL420" s="907"/>
      <c r="AM420" s="907"/>
      <c r="AN420" s="907"/>
      <c r="AO420" s="908"/>
      <c r="AP420" s="364"/>
      <c r="AQ420" s="364"/>
      <c r="AR420" s="364"/>
      <c r="AS420" s="367"/>
      <c r="AT420"/>
      <c r="AU420"/>
      <c r="AV420"/>
      <c r="AW420"/>
      <c r="AX420"/>
    </row>
    <row r="421" spans="35:50" ht="12.75" customHeight="1">
      <c r="AI421" s="364"/>
      <c r="AJ421" s="895" t="s">
        <v>886</v>
      </c>
      <c r="AK421" s="896"/>
      <c r="AL421" s="900" t="s">
        <v>835</v>
      </c>
      <c r="AM421" s="900" t="s">
        <v>836</v>
      </c>
      <c r="AN421" s="900" t="s">
        <v>837</v>
      </c>
      <c r="AO421" s="902" t="s">
        <v>838</v>
      </c>
      <c r="AP421" s="364"/>
      <c r="AQ421" s="364"/>
      <c r="AR421" s="364"/>
      <c r="AS421" s="367"/>
      <c r="AT421"/>
      <c r="AU421"/>
      <c r="AV421"/>
      <c r="AW421"/>
      <c r="AX421"/>
    </row>
    <row r="422" spans="35:50" ht="12.75" customHeight="1">
      <c r="AI422" s="364"/>
      <c r="AJ422" s="892"/>
      <c r="AK422" s="897"/>
      <c r="AL422" s="901"/>
      <c r="AM422" s="901"/>
      <c r="AN422" s="901"/>
      <c r="AO422" s="903"/>
      <c r="AP422" s="364"/>
      <c r="AQ422" s="364"/>
      <c r="AR422" s="364"/>
      <c r="AS422" s="367"/>
      <c r="AT422"/>
      <c r="AU422"/>
      <c r="AV422"/>
      <c r="AW422"/>
      <c r="AX422"/>
    </row>
    <row r="423" spans="35:50" ht="12.75" customHeight="1">
      <c r="AI423" s="364"/>
      <c r="AJ423" s="892"/>
      <c r="AK423" s="897"/>
      <c r="AL423" s="704">
        <f>AL417*(1-0.0178*2)</f>
        <v>98.368800000000007</v>
      </c>
      <c r="AM423" s="560">
        <f>AM417</f>
        <v>2.6666666666666665</v>
      </c>
      <c r="AN423" s="690">
        <f>IF(AL423&gt;0,AO423*AM423," ")</f>
        <v>725</v>
      </c>
      <c r="AO423" s="691">
        <f>IF(AL423&gt;0,(VLOOKUP(AL423,'Lookup Ready-reckoner'!$B$5:$E$1207,4))," ")</f>
        <v>271.875</v>
      </c>
      <c r="AP423" s="364"/>
      <c r="AQ423" s="364"/>
      <c r="AR423" s="364"/>
      <c r="AS423" s="367"/>
      <c r="AT423"/>
      <c r="AU423"/>
      <c r="AV423"/>
      <c r="AW423"/>
      <c r="AX423"/>
    </row>
    <row r="424" spans="35:50" ht="12.75" customHeight="1">
      <c r="AI424" s="364"/>
      <c r="AJ424" s="898"/>
      <c r="AK424" s="899"/>
      <c r="AL424" s="447"/>
      <c r="AM424" s="560"/>
      <c r="AN424" s="690" t="str">
        <f>IF(AL424&gt;0,AO424*AM424," ")</f>
        <v xml:space="preserve"> </v>
      </c>
      <c r="AO424" s="691" t="str">
        <f>IF(AL424&gt;0,(VLOOKUP(AL424,'Lookup Ready-reckoner'!$B$5:$E$1007,4))," ")</f>
        <v xml:space="preserve"> </v>
      </c>
      <c r="AP424" s="364"/>
      <c r="AQ424" s="364"/>
      <c r="AR424" s="364"/>
      <c r="AS424" s="367"/>
      <c r="AT424"/>
      <c r="AU424"/>
      <c r="AV424"/>
      <c r="AW424"/>
      <c r="AX424"/>
    </row>
    <row r="425" spans="35:50" ht="12.75" customHeight="1" thickBot="1">
      <c r="AI425" s="364"/>
      <c r="AJ425" s="692" t="s">
        <v>839</v>
      </c>
      <c r="AK425" s="693"/>
      <c r="AL425" s="693"/>
      <c r="AM425" s="705">
        <f>IF(AL423&gt;0,(VLOOKUP(AN425,'Lookup Ready-reckoner'!$L$5:$M$1207,2))," ")</f>
        <v>93.55</v>
      </c>
      <c r="AN425" s="695">
        <f>IF(AM423&gt;0,(SUM(AN423:AN424))," ")</f>
        <v>725</v>
      </c>
      <c r="AO425" s="696"/>
      <c r="AP425" s="364"/>
      <c r="AQ425" s="364"/>
      <c r="AR425" s="364"/>
      <c r="AS425" s="367"/>
      <c r="AT425"/>
      <c r="AU425"/>
      <c r="AV425"/>
      <c r="AW425"/>
      <c r="AX425"/>
    </row>
    <row r="426" spans="35:50" ht="12.75" customHeight="1">
      <c r="AI426" s="364"/>
      <c r="AJ426" s="697"/>
      <c r="AK426" s="687"/>
      <c r="AL426" s="687"/>
      <c r="AM426" s="372"/>
      <c r="AN426" s="374"/>
      <c r="AO426" s="688"/>
      <c r="AP426" s="364"/>
      <c r="AQ426" s="364"/>
      <c r="AR426" s="364"/>
      <c r="AS426" s="367"/>
      <c r="AT426"/>
      <c r="AU426"/>
      <c r="AV426"/>
      <c r="AW426"/>
      <c r="AX426"/>
    </row>
    <row r="427" spans="35:50" ht="12.75" customHeight="1" thickBot="1">
      <c r="AI427" s="364"/>
      <c r="AJ427" s="686" t="s">
        <v>60</v>
      </c>
      <c r="AK427" s="577"/>
      <c r="AL427" s="577"/>
      <c r="AM427" s="577"/>
      <c r="AN427" s="577"/>
      <c r="AO427" s="698"/>
      <c r="AP427" s="364"/>
      <c r="AQ427" s="364"/>
      <c r="AR427" s="364"/>
      <c r="AS427" s="367"/>
      <c r="AT427"/>
      <c r="AU427"/>
      <c r="AV427"/>
      <c r="AW427"/>
      <c r="AX427"/>
    </row>
    <row r="428" spans="35:50" ht="12.75" customHeight="1">
      <c r="AI428" s="364"/>
      <c r="AJ428" s="895" t="s">
        <v>845</v>
      </c>
      <c r="AK428" s="896"/>
      <c r="AL428" s="900" t="s">
        <v>835</v>
      </c>
      <c r="AM428" s="900" t="s">
        <v>836</v>
      </c>
      <c r="AN428" s="900" t="s">
        <v>837</v>
      </c>
      <c r="AO428" s="902" t="s">
        <v>838</v>
      </c>
      <c r="AP428" s="364"/>
      <c r="AQ428" s="364"/>
      <c r="AR428" s="364"/>
      <c r="AS428" s="367"/>
      <c r="AT428"/>
      <c r="AU428"/>
      <c r="AV428"/>
      <c r="AW428"/>
      <c r="AX428"/>
    </row>
    <row r="429" spans="35:50" ht="12.75" customHeight="1">
      <c r="AI429" s="364"/>
      <c r="AJ429" s="892"/>
      <c r="AK429" s="897"/>
      <c r="AL429" s="901"/>
      <c r="AM429" s="901"/>
      <c r="AN429" s="901"/>
      <c r="AO429" s="903"/>
      <c r="AP429" s="364"/>
      <c r="AQ429" s="364"/>
      <c r="AR429" s="364"/>
      <c r="AS429" s="367"/>
      <c r="AT429"/>
      <c r="AU429"/>
      <c r="AV429"/>
      <c r="AW429"/>
      <c r="AX429"/>
    </row>
    <row r="430" spans="35:50" ht="12.75" customHeight="1">
      <c r="AI430" s="364"/>
      <c r="AJ430" s="892"/>
      <c r="AK430" s="897"/>
      <c r="AL430" s="704">
        <f>AL417-PPE!$I$15</f>
        <v>89</v>
      </c>
      <c r="AM430" s="560">
        <f>AM423</f>
        <v>2.6666666666666665</v>
      </c>
      <c r="AN430" s="690">
        <f>IF(AL430&gt;0,AO430*AM430," ")</f>
        <v>83.333333333333329</v>
      </c>
      <c r="AO430" s="691">
        <f>IF(AL430&gt;0,(VLOOKUP(AL430,'Lookup Ready-reckoner'!$B$5:$E$1207,4))," ")</f>
        <v>31.25</v>
      </c>
      <c r="AP430" s="364"/>
      <c r="AQ430" s="364"/>
      <c r="AR430" s="364"/>
      <c r="AS430" s="367"/>
      <c r="AT430"/>
      <c r="AU430"/>
      <c r="AV430"/>
      <c r="AW430"/>
      <c r="AX430"/>
    </row>
    <row r="431" spans="35:50" ht="12.75" customHeight="1">
      <c r="AI431" s="364"/>
      <c r="AJ431" s="898"/>
      <c r="AK431" s="899"/>
      <c r="AL431" s="447"/>
      <c r="AM431" s="560"/>
      <c r="AN431" s="690" t="str">
        <f>IF(AL431&gt;0,AO431*AM431," ")</f>
        <v xml:space="preserve"> </v>
      </c>
      <c r="AO431" s="691" t="str">
        <f>IF(AL431&gt;0,(VLOOKUP(AL431,'Lookup Ready-reckoner'!$B$5:$E$1007,4))," ")</f>
        <v xml:space="preserve"> </v>
      </c>
      <c r="AP431" s="364"/>
      <c r="AQ431" s="364"/>
      <c r="AR431" s="364"/>
      <c r="AS431" s="367"/>
      <c r="AT431"/>
      <c r="AU431"/>
      <c r="AV431"/>
      <c r="AW431"/>
      <c r="AX431"/>
    </row>
    <row r="432" spans="35:50" ht="12.75" customHeight="1" thickBot="1">
      <c r="AI432" s="364"/>
      <c r="AJ432" s="692" t="s">
        <v>839</v>
      </c>
      <c r="AK432" s="693"/>
      <c r="AL432" s="693"/>
      <c r="AM432" s="705">
        <f>IF(AL430&gt;0,(VLOOKUP(AN432,'Lookup Ready-reckoner'!$L$5:$M$1207,2))," ")</f>
        <v>84.15</v>
      </c>
      <c r="AN432" s="695">
        <f>IF(AM430&gt;0,(SUM(AN430:AN431))," ")</f>
        <v>83.333333333333329</v>
      </c>
      <c r="AO432" s="696"/>
      <c r="AP432" s="364"/>
      <c r="AQ432" s="364"/>
      <c r="AR432" s="364"/>
      <c r="AS432" s="367"/>
      <c r="AT432"/>
      <c r="AU432"/>
      <c r="AV432"/>
      <c r="AW432"/>
      <c r="AX432"/>
    </row>
    <row r="433" spans="35:50" ht="12.75" customHeight="1" thickBot="1">
      <c r="AI433" s="364"/>
      <c r="AJ433" s="892"/>
      <c r="AK433" s="893"/>
      <c r="AL433" s="893"/>
      <c r="AM433" s="893"/>
      <c r="AN433" s="893"/>
      <c r="AO433" s="894"/>
      <c r="AP433" s="364"/>
      <c r="AQ433" s="364"/>
      <c r="AR433" s="364"/>
      <c r="AS433" s="367"/>
      <c r="AT433"/>
      <c r="AU433"/>
      <c r="AV433"/>
      <c r="AW433"/>
      <c r="AX433"/>
    </row>
    <row r="434" spans="35:50" ht="12.75" customHeight="1">
      <c r="AI434" s="364"/>
      <c r="AJ434" s="895" t="s">
        <v>886</v>
      </c>
      <c r="AK434" s="896"/>
      <c r="AL434" s="900" t="s">
        <v>835</v>
      </c>
      <c r="AM434" s="900" t="s">
        <v>836</v>
      </c>
      <c r="AN434" s="900" t="s">
        <v>837</v>
      </c>
      <c r="AO434" s="902" t="s">
        <v>838</v>
      </c>
      <c r="AP434" s="364"/>
      <c r="AQ434" s="364"/>
      <c r="AR434" s="364"/>
      <c r="AS434" s="367"/>
      <c r="AT434"/>
      <c r="AU434"/>
      <c r="AV434"/>
      <c r="AW434"/>
      <c r="AX434"/>
    </row>
    <row r="435" spans="35:50" ht="12.75" customHeight="1">
      <c r="AI435" s="364"/>
      <c r="AJ435" s="892"/>
      <c r="AK435" s="897"/>
      <c r="AL435" s="901"/>
      <c r="AM435" s="901"/>
      <c r="AN435" s="901"/>
      <c r="AO435" s="903"/>
      <c r="AP435" s="364"/>
      <c r="AQ435" s="364"/>
      <c r="AR435" s="364"/>
      <c r="AS435" s="367"/>
      <c r="AT435"/>
      <c r="AU435"/>
      <c r="AV435"/>
      <c r="AW435"/>
      <c r="AX435"/>
    </row>
    <row r="436" spans="35:50" ht="12.75" customHeight="1">
      <c r="AI436" s="364"/>
      <c r="AJ436" s="892"/>
      <c r="AK436" s="897"/>
      <c r="AL436" s="704">
        <f>AL423-PPE!$I$15</f>
        <v>85.368800000000007</v>
      </c>
      <c r="AM436" s="560">
        <f>AM430</f>
        <v>2.6666666666666665</v>
      </c>
      <c r="AN436" s="690">
        <f>IF(AL436&gt;0,AO436*AM436," ")</f>
        <v>36.25</v>
      </c>
      <c r="AO436" s="691">
        <f>IF(AL436&gt;0,(VLOOKUP(AL436,'Lookup Ready-reckoner'!$B$5:$E$1207,4))," ")</f>
        <v>13.59375</v>
      </c>
      <c r="AP436" s="364"/>
      <c r="AQ436" s="364"/>
      <c r="AR436" s="364"/>
      <c r="AS436" s="367"/>
      <c r="AT436"/>
      <c r="AU436"/>
      <c r="AV436"/>
      <c r="AW436"/>
      <c r="AX436"/>
    </row>
    <row r="437" spans="35:50" ht="12.75" customHeight="1">
      <c r="AI437" s="364"/>
      <c r="AJ437" s="898"/>
      <c r="AK437" s="899"/>
      <c r="AL437" s="447"/>
      <c r="AM437" s="560"/>
      <c r="AN437" s="690" t="str">
        <f>IF(AL437&gt;0,AO437*AM437," ")</f>
        <v xml:space="preserve"> </v>
      </c>
      <c r="AO437" s="691" t="str">
        <f>IF(AL437&gt;0,(VLOOKUP(AL437,'Lookup Ready-reckoner'!$B$5:$E$1007,4))," ")</f>
        <v xml:space="preserve"> </v>
      </c>
      <c r="AP437" s="364"/>
      <c r="AQ437" s="364"/>
      <c r="AR437" s="364"/>
      <c r="AS437" s="367"/>
      <c r="AT437"/>
      <c r="AU437"/>
      <c r="AV437"/>
      <c r="AW437"/>
      <c r="AX437"/>
    </row>
    <row r="438" spans="35:50" ht="12.75" customHeight="1" thickBot="1">
      <c r="AI438" s="364"/>
      <c r="AJ438" s="692" t="s">
        <v>839</v>
      </c>
      <c r="AK438" s="693"/>
      <c r="AL438" s="693"/>
      <c r="AM438" s="705">
        <f>IF(AL436&gt;0,(VLOOKUP(AN438,'Lookup Ready-reckoner'!$L$5:$M$1207,2))," ")</f>
        <v>80.5</v>
      </c>
      <c r="AN438" s="695">
        <f>IF(AM436&gt;0,(SUM(AN436:AN437))," ")</f>
        <v>36.25</v>
      </c>
      <c r="AO438" s="696"/>
      <c r="AP438" s="364"/>
      <c r="AQ438" s="364"/>
      <c r="AR438" s="364"/>
      <c r="AS438" s="367"/>
      <c r="AT438"/>
      <c r="AU438"/>
      <c r="AV438"/>
      <c r="AW438"/>
      <c r="AX438"/>
    </row>
    <row r="439" spans="35:50" ht="12.75" customHeight="1" thickBot="1">
      <c r="AI439" s="364"/>
      <c r="AJ439" s="364"/>
      <c r="AK439" s="364"/>
      <c r="AL439" s="364"/>
      <c r="AM439" s="364"/>
      <c r="AN439" s="364"/>
      <c r="AO439" s="364"/>
      <c r="AP439" s="364"/>
      <c r="AQ439" s="364"/>
      <c r="AR439" s="364"/>
      <c r="AS439" s="367"/>
      <c r="AT439"/>
      <c r="AU439"/>
      <c r="AV439"/>
      <c r="AW439"/>
      <c r="AX439"/>
    </row>
    <row r="440" spans="35:50" ht="12.75" customHeight="1" thickTop="1">
      <c r="AI440" s="364"/>
      <c r="AJ440" s="916" t="s">
        <v>429</v>
      </c>
      <c r="AK440" s="917"/>
      <c r="AL440" s="917"/>
      <c r="AM440" s="917"/>
      <c r="AN440" s="917"/>
      <c r="AO440" s="918"/>
      <c r="AP440" s="364"/>
      <c r="AQ440" s="364"/>
      <c r="AR440" s="364"/>
      <c r="AS440" s="367"/>
      <c r="AT440"/>
      <c r="AU440"/>
      <c r="AV440"/>
      <c r="AW440"/>
      <c r="AX440"/>
    </row>
    <row r="441" spans="35:50" ht="12.75" customHeight="1">
      <c r="AI441" s="364"/>
      <c r="AJ441" s="919"/>
      <c r="AK441" s="920"/>
      <c r="AL441" s="920"/>
      <c r="AM441" s="920"/>
      <c r="AN441" s="920"/>
      <c r="AO441" s="921"/>
      <c r="AP441" s="364"/>
      <c r="AQ441" s="364"/>
      <c r="AR441" s="364"/>
      <c r="AS441" s="367"/>
      <c r="AT441"/>
      <c r="AU441"/>
      <c r="AV441"/>
      <c r="AW441"/>
      <c r="AX441"/>
    </row>
    <row r="442" spans="35:50" ht="12.75" customHeight="1" thickBot="1">
      <c r="AI442" s="364"/>
      <c r="AJ442" s="922"/>
      <c r="AK442" s="923"/>
      <c r="AL442" s="923"/>
      <c r="AM442" s="923"/>
      <c r="AN442" s="923"/>
      <c r="AO442" s="924"/>
      <c r="AP442" s="364"/>
      <c r="AQ442" s="364"/>
      <c r="AR442" s="364"/>
      <c r="AS442" s="367"/>
      <c r="AT442"/>
      <c r="AU442"/>
      <c r="AV442"/>
      <c r="AW442"/>
      <c r="AX442"/>
    </row>
    <row r="443" spans="35:50" ht="12.75" customHeight="1" thickTop="1">
      <c r="AI443" s="364"/>
      <c r="AJ443" s="925" t="str">
        <f>AJ324</f>
        <v>Seco S215</v>
      </c>
      <c r="AK443" s="925"/>
      <c r="AL443" s="925"/>
      <c r="AM443" s="925"/>
      <c r="AN443" s="925"/>
      <c r="AO443" s="925"/>
      <c r="AP443" s="364"/>
      <c r="AQ443" s="364"/>
      <c r="AR443" s="364"/>
      <c r="AS443" s="367"/>
      <c r="AT443"/>
      <c r="AU443"/>
      <c r="AV443"/>
      <c r="AW443"/>
      <c r="AX443"/>
    </row>
    <row r="444" spans="35:50" ht="12.75" customHeight="1" thickBot="1">
      <c r="AI444" s="364"/>
      <c r="AJ444" s="910" t="s">
        <v>205</v>
      </c>
      <c r="AK444" s="911"/>
      <c r="AL444" s="911"/>
      <c r="AM444" s="911"/>
      <c r="AN444" s="911"/>
      <c r="AO444" s="912"/>
      <c r="AP444" s="364"/>
      <c r="AQ444" s="364"/>
      <c r="AR444" s="364"/>
      <c r="AS444" s="367"/>
      <c r="AT444"/>
      <c r="AU444"/>
      <c r="AV444"/>
      <c r="AW444"/>
      <c r="AX444"/>
    </row>
    <row r="445" spans="35:50" ht="12.75" customHeight="1" thickBot="1">
      <c r="AI445" s="364"/>
      <c r="AJ445" s="686" t="s">
        <v>59</v>
      </c>
      <c r="AK445" s="577"/>
      <c r="AL445" s="687"/>
      <c r="AM445" s="687"/>
      <c r="AN445" s="687"/>
      <c r="AO445" s="688"/>
      <c r="AP445" s="364"/>
      <c r="AQ445" s="364"/>
      <c r="AR445" s="364"/>
      <c r="AS445" s="367"/>
      <c r="AT445"/>
      <c r="AU445"/>
      <c r="AV445"/>
      <c r="AW445"/>
      <c r="AX445"/>
    </row>
    <row r="446" spans="35:50" ht="12.75" customHeight="1">
      <c r="AI446" s="364"/>
      <c r="AJ446" s="895" t="s">
        <v>845</v>
      </c>
      <c r="AK446" s="896"/>
      <c r="AL446" s="900" t="s">
        <v>835</v>
      </c>
      <c r="AM446" s="900" t="s">
        <v>836</v>
      </c>
      <c r="AN446" s="900" t="s">
        <v>837</v>
      </c>
      <c r="AO446" s="902" t="s">
        <v>838</v>
      </c>
      <c r="AP446" s="364"/>
      <c r="AQ446" s="364"/>
      <c r="AR446" s="364"/>
      <c r="AS446" s="367"/>
      <c r="AT446"/>
      <c r="AU446"/>
      <c r="AV446"/>
      <c r="AW446"/>
      <c r="AX446"/>
    </row>
    <row r="447" spans="35:50" ht="12.75" customHeight="1">
      <c r="AI447" s="364"/>
      <c r="AJ447" s="892"/>
      <c r="AK447" s="897"/>
      <c r="AL447" s="904"/>
      <c r="AM447" s="904"/>
      <c r="AN447" s="904"/>
      <c r="AO447" s="905"/>
      <c r="AP447" s="364"/>
      <c r="AQ447" s="364"/>
      <c r="AR447" s="364"/>
      <c r="AS447" s="367"/>
      <c r="AT447"/>
      <c r="AU447"/>
      <c r="AV447"/>
      <c r="AW447"/>
      <c r="AX447"/>
    </row>
    <row r="448" spans="35:50" ht="12.75" customHeight="1">
      <c r="AI448" s="364"/>
      <c r="AJ448" s="892"/>
      <c r="AK448" s="897"/>
      <c r="AL448" s="901"/>
      <c r="AM448" s="901"/>
      <c r="AN448" s="901"/>
      <c r="AO448" s="903"/>
      <c r="AP448" s="364"/>
      <c r="AQ448" s="364"/>
      <c r="AR448" s="364"/>
      <c r="AS448" s="367"/>
      <c r="AT448"/>
      <c r="AU448"/>
      <c r="AV448"/>
      <c r="AW448"/>
      <c r="AX448"/>
    </row>
    <row r="449" spans="35:50" ht="12.75" customHeight="1">
      <c r="AI449" s="364"/>
      <c r="AJ449" s="892"/>
      <c r="AK449" s="897"/>
      <c r="AL449" s="689">
        <f>AP81</f>
        <v>122.02059991327964</v>
      </c>
      <c r="AM449" s="560">
        <f>AP67</f>
        <v>1.4285714285714284</v>
      </c>
      <c r="AN449" s="690">
        <f>IF(AL449&gt;0,AO449*AM449," ")</f>
        <v>79999.999999999985</v>
      </c>
      <c r="AO449" s="691">
        <f>IF(AL449&gt;0,(VLOOKUP(AL449,'Lookup Ready-reckoner'!$B$5:$E$1207,4))," ")</f>
        <v>56000</v>
      </c>
      <c r="AP449" s="364"/>
      <c r="AQ449" s="364"/>
      <c r="AR449" s="364"/>
      <c r="AS449" s="367"/>
      <c r="AT449"/>
      <c r="AU449"/>
      <c r="AV449"/>
      <c r="AW449"/>
      <c r="AX449"/>
    </row>
    <row r="450" spans="35:50" ht="12.75" customHeight="1">
      <c r="AI450" s="364"/>
      <c r="AJ450" s="898"/>
      <c r="AK450" s="899"/>
      <c r="AL450" s="447"/>
      <c r="AM450" s="560"/>
      <c r="AN450" s="690" t="str">
        <f>IF(AL450&gt;0,AO450*AM450," ")</f>
        <v xml:space="preserve"> </v>
      </c>
      <c r="AO450" s="691" t="str">
        <f>IF(AL450&gt;0,(VLOOKUP(AL450,'Lookup Ready-reckoner'!$B$5:$E$1007,4))," ")</f>
        <v xml:space="preserve"> </v>
      </c>
      <c r="AP450" s="364"/>
      <c r="AQ450" s="364"/>
      <c r="AR450" s="364"/>
      <c r="AS450" s="367"/>
      <c r="AT450"/>
      <c r="AU450"/>
      <c r="AV450"/>
      <c r="AW450"/>
      <c r="AX450"/>
    </row>
    <row r="451" spans="35:50" ht="12.75" customHeight="1" thickBot="1">
      <c r="AI451" s="364"/>
      <c r="AJ451" s="692" t="s">
        <v>839</v>
      </c>
      <c r="AK451" s="693"/>
      <c r="AL451" s="693"/>
      <c r="AM451" s="694">
        <f>IF(AL449&gt;0,(VLOOKUP(AN451,'Lookup Ready-reckoner'!$L$5:$M$1207,2))," ")</f>
        <v>113.95</v>
      </c>
      <c r="AN451" s="695">
        <f>IF(AM449&gt;0,(SUM(AN449:AN450))," ")</f>
        <v>79999.999999999985</v>
      </c>
      <c r="AO451" s="696"/>
      <c r="AP451" s="364"/>
      <c r="AQ451" s="364"/>
      <c r="AR451" s="364"/>
      <c r="AS451" s="367"/>
      <c r="AT451"/>
      <c r="AU451"/>
      <c r="AV451"/>
      <c r="AW451"/>
      <c r="AX451"/>
    </row>
    <row r="452" spans="35:50" ht="12.75" customHeight="1" thickBot="1">
      <c r="AI452" s="364"/>
      <c r="AJ452" s="892"/>
      <c r="AK452" s="893"/>
      <c r="AL452" s="893"/>
      <c r="AM452" s="893"/>
      <c r="AN452" s="893"/>
      <c r="AO452" s="894"/>
      <c r="AP452" s="364"/>
      <c r="AQ452" s="364"/>
      <c r="AR452" s="364"/>
      <c r="AS452" s="367"/>
      <c r="AT452"/>
      <c r="AU452"/>
      <c r="AV452"/>
      <c r="AW452"/>
      <c r="AX452"/>
    </row>
    <row r="453" spans="35:50" ht="12.75" customHeight="1">
      <c r="AI453" s="364"/>
      <c r="AJ453" s="895" t="s">
        <v>886</v>
      </c>
      <c r="AK453" s="896"/>
      <c r="AL453" s="900" t="s">
        <v>835</v>
      </c>
      <c r="AM453" s="900" t="s">
        <v>836</v>
      </c>
      <c r="AN453" s="900" t="s">
        <v>837</v>
      </c>
      <c r="AO453" s="902" t="s">
        <v>838</v>
      </c>
      <c r="AP453" s="364"/>
      <c r="AQ453" s="364"/>
      <c r="AR453" s="364"/>
      <c r="AS453" s="367"/>
      <c r="AT453"/>
      <c r="AU453"/>
      <c r="AV453"/>
      <c r="AW453"/>
      <c r="AX453"/>
    </row>
    <row r="454" spans="35:50" ht="12.75" customHeight="1">
      <c r="AI454" s="364"/>
      <c r="AJ454" s="892"/>
      <c r="AK454" s="897"/>
      <c r="AL454" s="901"/>
      <c r="AM454" s="901"/>
      <c r="AN454" s="901"/>
      <c r="AO454" s="903"/>
      <c r="AP454" s="364"/>
      <c r="AQ454" s="364"/>
      <c r="AR454" s="364"/>
      <c r="AS454" s="367"/>
      <c r="AT454"/>
      <c r="AU454"/>
      <c r="AV454"/>
      <c r="AW454"/>
      <c r="AX454"/>
    </row>
    <row r="455" spans="35:50" ht="12.75" customHeight="1">
      <c r="AI455" s="364"/>
      <c r="AJ455" s="892"/>
      <c r="AK455" s="897"/>
      <c r="AL455" s="689">
        <f>AL449*(1-0.0178*2)</f>
        <v>117.67666655636688</v>
      </c>
      <c r="AM455" s="560">
        <f>AM449</f>
        <v>1.4285714285714284</v>
      </c>
      <c r="AN455" s="690">
        <f>IF(AL455&gt;0,AO455*AM455," ")</f>
        <v>33771.428571428565</v>
      </c>
      <c r="AO455" s="691">
        <f>IF(AL455&gt;0,(VLOOKUP(AL455,'Lookup Ready-reckoner'!$B$5:$E$1207,4))," ")</f>
        <v>23640</v>
      </c>
      <c r="AP455" s="364"/>
      <c r="AQ455" s="364"/>
      <c r="AR455" s="364"/>
      <c r="AS455" s="367"/>
      <c r="AT455"/>
      <c r="AU455"/>
      <c r="AV455"/>
      <c r="AW455"/>
      <c r="AX455"/>
    </row>
    <row r="456" spans="35:50" ht="12.75" customHeight="1">
      <c r="AI456" s="364"/>
      <c r="AJ456" s="898"/>
      <c r="AK456" s="899"/>
      <c r="AL456" s="447"/>
      <c r="AM456" s="560"/>
      <c r="AN456" s="690" t="str">
        <f>IF(AL456&gt;0,AO456*AM456," ")</f>
        <v xml:space="preserve"> </v>
      </c>
      <c r="AO456" s="691" t="str">
        <f>IF(AL456&gt;0,(VLOOKUP(AL456,'Lookup Ready-reckoner'!$B$5:$E$1007,4))," ")</f>
        <v xml:space="preserve"> </v>
      </c>
      <c r="AP456" s="364"/>
      <c r="AQ456" s="364"/>
      <c r="AR456" s="364"/>
      <c r="AS456" s="367"/>
      <c r="AT456"/>
      <c r="AU456"/>
      <c r="AV456"/>
      <c r="AW456"/>
      <c r="AX456"/>
    </row>
    <row r="457" spans="35:50" ht="12.75" customHeight="1" thickBot="1">
      <c r="AI457" s="364"/>
      <c r="AJ457" s="692" t="s">
        <v>839</v>
      </c>
      <c r="AK457" s="693"/>
      <c r="AL457" s="693"/>
      <c r="AM457" s="694">
        <f>IF(AL455&gt;0,(VLOOKUP(AN457,'Lookup Ready-reckoner'!$L$5:$M$1207,2))," ")</f>
        <v>110.2</v>
      </c>
      <c r="AN457" s="695">
        <f>IF(AM455&gt;0,(SUM(AN455:AN456))," ")</f>
        <v>33771.428571428565</v>
      </c>
      <c r="AO457" s="696"/>
      <c r="AP457" s="364"/>
      <c r="AQ457" s="364"/>
      <c r="AR457" s="364"/>
      <c r="AS457" s="367"/>
      <c r="AT457"/>
      <c r="AU457"/>
      <c r="AV457"/>
      <c r="AW457"/>
      <c r="AX457"/>
    </row>
    <row r="458" spans="35:50" ht="12.75" customHeight="1">
      <c r="AI458" s="364"/>
      <c r="AJ458" s="697"/>
      <c r="AK458" s="687"/>
      <c r="AL458" s="687"/>
      <c r="AM458" s="372"/>
      <c r="AN458" s="374"/>
      <c r="AO458" s="688"/>
      <c r="AP458" s="364"/>
      <c r="AQ458" s="364"/>
      <c r="AR458" s="364"/>
      <c r="AS458" s="367"/>
      <c r="AT458"/>
      <c r="AU458"/>
      <c r="AV458"/>
      <c r="AW458"/>
      <c r="AX458"/>
    </row>
    <row r="459" spans="35:50" ht="12.75" customHeight="1" thickBot="1">
      <c r="AI459" s="364"/>
      <c r="AJ459" s="686" t="s">
        <v>60</v>
      </c>
      <c r="AK459" s="577"/>
      <c r="AL459" s="577"/>
      <c r="AM459" s="577"/>
      <c r="AN459" s="577"/>
      <c r="AO459" s="698"/>
      <c r="AP459" s="364"/>
      <c r="AQ459" s="364"/>
      <c r="AR459" s="364"/>
      <c r="AS459" s="367"/>
      <c r="AT459"/>
      <c r="AU459"/>
      <c r="AV459"/>
      <c r="AW459"/>
      <c r="AX459"/>
    </row>
    <row r="460" spans="35:50" ht="12.75" customHeight="1">
      <c r="AI460" s="364"/>
      <c r="AJ460" s="895" t="s">
        <v>845</v>
      </c>
      <c r="AK460" s="896"/>
      <c r="AL460" s="900" t="s">
        <v>835</v>
      </c>
      <c r="AM460" s="900" t="s">
        <v>836</v>
      </c>
      <c r="AN460" s="900" t="s">
        <v>837</v>
      </c>
      <c r="AO460" s="902" t="s">
        <v>838</v>
      </c>
      <c r="AP460" s="364"/>
      <c r="AQ460" s="364"/>
      <c r="AR460" s="364"/>
      <c r="AS460" s="367"/>
      <c r="AT460"/>
      <c r="AU460"/>
      <c r="AV460"/>
      <c r="AW460"/>
      <c r="AX460"/>
    </row>
    <row r="461" spans="35:50" ht="12.75" customHeight="1">
      <c r="AI461" s="364"/>
      <c r="AJ461" s="892"/>
      <c r="AK461" s="897"/>
      <c r="AL461" s="901"/>
      <c r="AM461" s="901"/>
      <c r="AN461" s="901"/>
      <c r="AO461" s="903"/>
      <c r="AP461" s="364"/>
      <c r="AQ461" s="364"/>
      <c r="AR461" s="364"/>
      <c r="AS461" s="367"/>
      <c r="AT461"/>
      <c r="AU461"/>
      <c r="AV461"/>
      <c r="AW461"/>
      <c r="AX461"/>
    </row>
    <row r="462" spans="35:50" ht="12.75" customHeight="1">
      <c r="AI462" s="364"/>
      <c r="AJ462" s="892"/>
      <c r="AK462" s="897"/>
      <c r="AL462" s="689">
        <f>AL449-PPE!$I$15</f>
        <v>109.02059991327964</v>
      </c>
      <c r="AM462" s="560">
        <f>AM455</f>
        <v>1.4285714285714284</v>
      </c>
      <c r="AN462" s="690">
        <f>IF(AL462&gt;0,AO462*AM462," ")</f>
        <v>4571.4285714285706</v>
      </c>
      <c r="AO462" s="691">
        <f>IF(AL462&gt;0,(VLOOKUP(AL462,'Lookup Ready-reckoner'!$B$5:$E$1207,4))," ")</f>
        <v>3200</v>
      </c>
      <c r="AP462" s="364"/>
      <c r="AQ462" s="364"/>
      <c r="AR462" s="364"/>
      <c r="AS462" s="367"/>
      <c r="AT462"/>
      <c r="AU462"/>
      <c r="AV462"/>
      <c r="AW462"/>
      <c r="AX462"/>
    </row>
    <row r="463" spans="35:50" ht="12.75" customHeight="1">
      <c r="AI463" s="364"/>
      <c r="AJ463" s="898"/>
      <c r="AK463" s="899"/>
      <c r="AL463" s="447"/>
      <c r="AM463" s="560"/>
      <c r="AN463" s="690" t="str">
        <f>IF(AL463&gt;0,AO463*AM463," ")</f>
        <v xml:space="preserve"> </v>
      </c>
      <c r="AO463" s="691" t="str">
        <f>IF(AL463&gt;0,(VLOOKUP(AL463,'Lookup Ready-reckoner'!$B$5:$E$1007,4))," ")</f>
        <v xml:space="preserve"> </v>
      </c>
      <c r="AP463" s="364"/>
      <c r="AQ463" s="364"/>
      <c r="AR463" s="364"/>
      <c r="AS463" s="367"/>
      <c r="AT463"/>
      <c r="AU463"/>
      <c r="AV463"/>
      <c r="AW463"/>
      <c r="AX463"/>
    </row>
    <row r="464" spans="35:50" ht="12.75" customHeight="1" thickBot="1">
      <c r="AI464" s="364"/>
      <c r="AJ464" s="699" t="s">
        <v>839</v>
      </c>
      <c r="AK464" s="693"/>
      <c r="AL464" s="693"/>
      <c r="AM464" s="694">
        <f>IF(AL462&gt;0,(VLOOKUP(AN464,'Lookup Ready-reckoner'!$L$5:$M$1207,2))," ")</f>
        <v>101.55</v>
      </c>
      <c r="AN464" s="695">
        <f>IF(AM462&gt;0,(SUM(AN462:AN463))," ")</f>
        <v>4571.4285714285706</v>
      </c>
      <c r="AO464" s="696"/>
      <c r="AP464" s="364"/>
      <c r="AQ464" s="364"/>
      <c r="AR464" s="364"/>
      <c r="AS464" s="367"/>
      <c r="AT464"/>
      <c r="AU464"/>
      <c r="AV464"/>
      <c r="AW464"/>
      <c r="AX464"/>
    </row>
    <row r="465" spans="35:50" ht="12.75" customHeight="1" thickBot="1">
      <c r="AI465" s="364"/>
      <c r="AJ465" s="892"/>
      <c r="AK465" s="893"/>
      <c r="AL465" s="893"/>
      <c r="AM465" s="893"/>
      <c r="AN465" s="893"/>
      <c r="AO465" s="894"/>
      <c r="AP465" s="364"/>
      <c r="AQ465" s="364"/>
      <c r="AR465" s="364"/>
      <c r="AS465" s="367"/>
      <c r="AT465"/>
      <c r="AU465"/>
      <c r="AV465"/>
      <c r="AW465"/>
      <c r="AX465"/>
    </row>
    <row r="466" spans="35:50" ht="12.75" customHeight="1">
      <c r="AI466" s="364"/>
      <c r="AJ466" s="895" t="s">
        <v>886</v>
      </c>
      <c r="AK466" s="896"/>
      <c r="AL466" s="900" t="s">
        <v>835</v>
      </c>
      <c r="AM466" s="900" t="s">
        <v>836</v>
      </c>
      <c r="AN466" s="900" t="s">
        <v>837</v>
      </c>
      <c r="AO466" s="902" t="s">
        <v>838</v>
      </c>
      <c r="AP466" s="364"/>
      <c r="AQ466" s="364"/>
      <c r="AR466" s="364"/>
      <c r="AS466" s="367"/>
      <c r="AT466"/>
      <c r="AU466"/>
      <c r="AV466"/>
      <c r="AW466"/>
      <c r="AX466"/>
    </row>
    <row r="467" spans="35:50" ht="12.75" customHeight="1">
      <c r="AI467" s="364"/>
      <c r="AJ467" s="892"/>
      <c r="AK467" s="897"/>
      <c r="AL467" s="901"/>
      <c r="AM467" s="901"/>
      <c r="AN467" s="901"/>
      <c r="AO467" s="903"/>
      <c r="AP467" s="364"/>
      <c r="AQ467" s="364"/>
      <c r="AR467" s="364"/>
      <c r="AS467" s="367"/>
      <c r="AT467"/>
      <c r="AU467"/>
      <c r="AV467"/>
      <c r="AW467"/>
      <c r="AX467"/>
    </row>
    <row r="468" spans="35:50" ht="12.75" customHeight="1">
      <c r="AI468" s="364"/>
      <c r="AJ468" s="892"/>
      <c r="AK468" s="897"/>
      <c r="AL468" s="689">
        <f>AL455-PPE!$I$15</f>
        <v>104.67666655636688</v>
      </c>
      <c r="AM468" s="560">
        <f>AM462</f>
        <v>1.4285714285714284</v>
      </c>
      <c r="AN468" s="690">
        <f>IF(AL468&gt;0,AO468*AM468," ")</f>
        <v>1660.7142857142856</v>
      </c>
      <c r="AO468" s="691">
        <f>IF(AL468&gt;0,(VLOOKUP(AL468,'Lookup Ready-reckoner'!$B$5:$E$1207,4))," ")</f>
        <v>1162.5</v>
      </c>
      <c r="AP468" s="364"/>
      <c r="AQ468" s="364"/>
      <c r="AR468" s="364"/>
      <c r="AS468" s="367"/>
      <c r="AT468"/>
      <c r="AU468"/>
      <c r="AV468"/>
      <c r="AW468"/>
      <c r="AX468"/>
    </row>
    <row r="469" spans="35:50" ht="12.75" customHeight="1">
      <c r="AI469" s="364"/>
      <c r="AJ469" s="898"/>
      <c r="AK469" s="899"/>
      <c r="AL469" s="447"/>
      <c r="AM469" s="560"/>
      <c r="AN469" s="690" t="str">
        <f>IF(AL469&gt;0,AO469*AM469," ")</f>
        <v xml:space="preserve"> </v>
      </c>
      <c r="AO469" s="691" t="str">
        <f>IF(AL469&gt;0,(VLOOKUP(AL469,'Lookup Ready-reckoner'!$B$5:$E$1007,4))," ")</f>
        <v xml:space="preserve"> </v>
      </c>
      <c r="AP469" s="364"/>
      <c r="AQ469" s="364"/>
      <c r="AR469" s="364"/>
      <c r="AS469" s="367"/>
      <c r="AT469"/>
      <c r="AU469"/>
      <c r="AV469"/>
      <c r="AW469"/>
      <c r="AX469"/>
    </row>
    <row r="470" spans="35:50" ht="12.75" customHeight="1" thickBot="1">
      <c r="AI470" s="364"/>
      <c r="AJ470" s="692" t="s">
        <v>839</v>
      </c>
      <c r="AK470" s="693"/>
      <c r="AL470" s="693"/>
      <c r="AM470" s="694">
        <f>IF(AL468&gt;0,(VLOOKUP(AN470,'Lookup Ready-reckoner'!$L$5:$M$1207,2))," ")</f>
        <v>97.15</v>
      </c>
      <c r="AN470" s="695">
        <f>IF(AM468&gt;0,(SUM(AN468:AN469))," ")</f>
        <v>1660.7142857142856</v>
      </c>
      <c r="AO470" s="696"/>
      <c r="AP470" s="364"/>
      <c r="AQ470" s="364"/>
      <c r="AR470" s="364"/>
      <c r="AS470" s="367"/>
      <c r="AT470"/>
      <c r="AU470"/>
      <c r="AV470"/>
      <c r="AW470"/>
      <c r="AX470"/>
    </row>
    <row r="471" spans="35:50" ht="12.75" customHeight="1">
      <c r="AI471" s="364"/>
      <c r="AJ471" s="363"/>
      <c r="AK471" s="363"/>
      <c r="AL471" s="363"/>
      <c r="AM471" s="363"/>
      <c r="AN471" s="363"/>
      <c r="AO471" s="363"/>
      <c r="AP471" s="364"/>
      <c r="AQ471" s="364"/>
      <c r="AR471" s="364"/>
      <c r="AS471" s="367"/>
      <c r="AT471"/>
      <c r="AU471"/>
      <c r="AV471"/>
      <c r="AW471"/>
      <c r="AX471"/>
    </row>
    <row r="472" spans="35:50" ht="12.75" customHeight="1" thickBot="1">
      <c r="AI472" s="364"/>
      <c r="AJ472" s="915" t="str">
        <f>AJ353</f>
        <v>Seco S215 Muffled</v>
      </c>
      <c r="AK472" s="915"/>
      <c r="AL472" s="915"/>
      <c r="AM472" s="915"/>
      <c r="AN472" s="915"/>
      <c r="AO472" s="915"/>
      <c r="AP472" s="364"/>
      <c r="AQ472" s="364"/>
      <c r="AR472" s="364"/>
      <c r="AS472" s="367"/>
      <c r="AT472"/>
      <c r="AU472"/>
      <c r="AV472"/>
      <c r="AW472"/>
      <c r="AX472"/>
    </row>
    <row r="473" spans="35:50" ht="12.75" customHeight="1" thickBot="1">
      <c r="AI473" s="364"/>
      <c r="AJ473" s="906" t="s">
        <v>205</v>
      </c>
      <c r="AK473" s="907"/>
      <c r="AL473" s="907"/>
      <c r="AM473" s="907"/>
      <c r="AN473" s="907"/>
      <c r="AO473" s="908"/>
      <c r="AP473" s="364"/>
      <c r="AQ473" s="364"/>
      <c r="AR473" s="364"/>
      <c r="AS473" s="367"/>
      <c r="AT473"/>
      <c r="AU473"/>
      <c r="AV473"/>
      <c r="AW473"/>
      <c r="AX473"/>
    </row>
    <row r="474" spans="35:50" ht="12.75" customHeight="1" thickBot="1">
      <c r="AI474" s="364"/>
      <c r="AJ474" s="686" t="s">
        <v>59</v>
      </c>
      <c r="AK474" s="577"/>
      <c r="AL474" s="687"/>
      <c r="AM474" s="687"/>
      <c r="AN474" s="687"/>
      <c r="AO474" s="688"/>
      <c r="AP474" s="364"/>
      <c r="AQ474" s="364"/>
      <c r="AR474" s="364"/>
      <c r="AS474" s="367"/>
      <c r="AT474"/>
      <c r="AU474"/>
      <c r="AV474"/>
      <c r="AW474"/>
      <c r="AX474"/>
    </row>
    <row r="475" spans="35:50" ht="12.75" customHeight="1">
      <c r="AI475" s="364"/>
      <c r="AJ475" s="895" t="s">
        <v>845</v>
      </c>
      <c r="AK475" s="896"/>
      <c r="AL475" s="900" t="s">
        <v>835</v>
      </c>
      <c r="AM475" s="900" t="s">
        <v>836</v>
      </c>
      <c r="AN475" s="900" t="s">
        <v>837</v>
      </c>
      <c r="AO475" s="902" t="s">
        <v>838</v>
      </c>
      <c r="AP475" s="364"/>
      <c r="AQ475" s="364"/>
      <c r="AR475" s="364"/>
      <c r="AS475" s="367"/>
      <c r="AT475"/>
      <c r="AU475"/>
      <c r="AV475"/>
      <c r="AW475"/>
      <c r="AX475"/>
    </row>
    <row r="476" spans="35:50" ht="12.75" customHeight="1">
      <c r="AI476" s="364"/>
      <c r="AJ476" s="892"/>
      <c r="AK476" s="897"/>
      <c r="AL476" s="904"/>
      <c r="AM476" s="904"/>
      <c r="AN476" s="904"/>
      <c r="AO476" s="905"/>
      <c r="AP476" s="364"/>
      <c r="AQ476" s="364"/>
      <c r="AR476" s="364"/>
      <c r="AS476" s="367"/>
      <c r="AT476"/>
      <c r="AU476"/>
      <c r="AV476"/>
      <c r="AW476"/>
      <c r="AX476"/>
    </row>
    <row r="477" spans="35:50" ht="12.75" customHeight="1">
      <c r="AI477" s="364"/>
      <c r="AJ477" s="892"/>
      <c r="AK477" s="897"/>
      <c r="AL477" s="901"/>
      <c r="AM477" s="901"/>
      <c r="AN477" s="901"/>
      <c r="AO477" s="903"/>
      <c r="AP477" s="364"/>
      <c r="AQ477" s="364"/>
      <c r="AR477" s="364"/>
      <c r="AS477" s="367"/>
      <c r="AT477"/>
      <c r="AU477"/>
      <c r="AV477"/>
      <c r="AW477"/>
      <c r="AX477"/>
    </row>
    <row r="478" spans="35:50" ht="12.75" customHeight="1">
      <c r="AI478" s="364"/>
      <c r="AJ478" s="892"/>
      <c r="AK478" s="897"/>
      <c r="AL478" s="700">
        <f>AN81</f>
        <v>114.02059991327963</v>
      </c>
      <c r="AM478" s="560">
        <f>AN67</f>
        <v>1.9999999999999996</v>
      </c>
      <c r="AN478" s="690">
        <f>IF(AL478&gt;0,AO478*AM478," ")</f>
        <v>19999.999999999996</v>
      </c>
      <c r="AO478" s="691">
        <f>IF(AL478&gt;0,(VLOOKUP(AL478,'Lookup Ready-reckoner'!$B$5:$E$1207,4))," ")</f>
        <v>10000</v>
      </c>
      <c r="AP478" s="364"/>
      <c r="AQ478" s="364"/>
      <c r="AR478" s="364"/>
      <c r="AS478" s="367"/>
      <c r="AT478"/>
      <c r="AU478"/>
      <c r="AV478"/>
      <c r="AW478"/>
      <c r="AX478"/>
    </row>
    <row r="479" spans="35:50" ht="12.75" customHeight="1">
      <c r="AI479" s="364"/>
      <c r="AJ479" s="898"/>
      <c r="AK479" s="899"/>
      <c r="AL479" s="447"/>
      <c r="AM479" s="560"/>
      <c r="AN479" s="690" t="str">
        <f>IF(AL479&gt;0,AO479*AM479," ")</f>
        <v xml:space="preserve"> </v>
      </c>
      <c r="AO479" s="691" t="str">
        <f>IF(AL479&gt;0,(VLOOKUP(AL479,'Lookup Ready-reckoner'!$B$5:$E$1007,4))," ")</f>
        <v xml:space="preserve"> </v>
      </c>
      <c r="AP479" s="364"/>
      <c r="AQ479" s="364"/>
      <c r="AR479" s="364"/>
      <c r="AS479" s="367"/>
      <c r="AT479"/>
      <c r="AU479"/>
      <c r="AV479"/>
      <c r="AW479"/>
      <c r="AX479"/>
    </row>
    <row r="480" spans="35:50" ht="12.75" customHeight="1" thickBot="1">
      <c r="AI480" s="364"/>
      <c r="AJ480" s="699" t="s">
        <v>839</v>
      </c>
      <c r="AK480" s="693"/>
      <c r="AL480" s="693"/>
      <c r="AM480" s="701">
        <f>IF(AL478&gt;0,(VLOOKUP(AN480,'Lookup Ready-reckoner'!$L$5:$M$1207,2))," ")</f>
        <v>107.95</v>
      </c>
      <c r="AN480" s="695">
        <f>IF(AM478&gt;0,(SUM(AN478:AN479))," ")</f>
        <v>19999.999999999996</v>
      </c>
      <c r="AO480" s="696"/>
      <c r="AP480" s="364"/>
      <c r="AQ480" s="364"/>
      <c r="AR480" s="364"/>
      <c r="AS480" s="367"/>
      <c r="AT480"/>
      <c r="AU480"/>
      <c r="AV480"/>
      <c r="AW480"/>
      <c r="AX480"/>
    </row>
    <row r="481" spans="35:50" ht="12.75" customHeight="1" thickBot="1">
      <c r="AI481" s="364"/>
      <c r="AJ481" s="892"/>
      <c r="AK481" s="893"/>
      <c r="AL481" s="893"/>
      <c r="AM481" s="893"/>
      <c r="AN481" s="893"/>
      <c r="AO481" s="894"/>
      <c r="AP481" s="364"/>
      <c r="AQ481" s="364"/>
      <c r="AR481" s="364"/>
      <c r="AS481" s="367"/>
      <c r="AT481"/>
      <c r="AU481"/>
      <c r="AV481"/>
      <c r="AW481"/>
      <c r="AX481"/>
    </row>
    <row r="482" spans="35:50" ht="12.75" customHeight="1">
      <c r="AI482" s="364"/>
      <c r="AJ482" s="895" t="s">
        <v>886</v>
      </c>
      <c r="AK482" s="896"/>
      <c r="AL482" s="900" t="s">
        <v>835</v>
      </c>
      <c r="AM482" s="900" t="s">
        <v>836</v>
      </c>
      <c r="AN482" s="900" t="s">
        <v>837</v>
      </c>
      <c r="AO482" s="902" t="s">
        <v>838</v>
      </c>
      <c r="AP482" s="364"/>
      <c r="AQ482" s="364"/>
      <c r="AR482" s="364"/>
      <c r="AS482" s="367"/>
      <c r="AT482"/>
      <c r="AU482"/>
      <c r="AV482"/>
      <c r="AW482"/>
      <c r="AX482"/>
    </row>
    <row r="483" spans="35:50" ht="12.75" customHeight="1">
      <c r="AI483" s="364"/>
      <c r="AJ483" s="892"/>
      <c r="AK483" s="897"/>
      <c r="AL483" s="901"/>
      <c r="AM483" s="901"/>
      <c r="AN483" s="901"/>
      <c r="AO483" s="903"/>
      <c r="AP483" s="364"/>
      <c r="AQ483" s="364"/>
      <c r="AR483" s="364"/>
      <c r="AS483" s="367"/>
      <c r="AT483"/>
      <c r="AU483"/>
      <c r="AV483"/>
      <c r="AW483"/>
      <c r="AX483"/>
    </row>
    <row r="484" spans="35:50" ht="12.75" customHeight="1">
      <c r="AI484" s="364"/>
      <c r="AJ484" s="892"/>
      <c r="AK484" s="897"/>
      <c r="AL484" s="700">
        <f>AL478*(1-0.0178*2)</f>
        <v>109.96146655636687</v>
      </c>
      <c r="AM484" s="560">
        <f>AM478</f>
        <v>1.9999999999999996</v>
      </c>
      <c r="AN484" s="690">
        <f>IF(AL484&gt;0,AO484*AM484," ")</f>
        <v>7919.9999999999982</v>
      </c>
      <c r="AO484" s="691">
        <f>IF(AL484&gt;0,(VLOOKUP(AL484,'Lookup Ready-reckoner'!$B$5:$E$1207,4))," ")</f>
        <v>3960</v>
      </c>
      <c r="AP484" s="364"/>
      <c r="AQ484" s="364"/>
      <c r="AR484" s="364"/>
      <c r="AS484" s="367"/>
      <c r="AT484"/>
      <c r="AU484"/>
      <c r="AV484"/>
      <c r="AW484"/>
      <c r="AX484"/>
    </row>
    <row r="485" spans="35:50" ht="12.75" customHeight="1">
      <c r="AI485" s="364"/>
      <c r="AJ485" s="898"/>
      <c r="AK485" s="899"/>
      <c r="AL485" s="447"/>
      <c r="AM485" s="560"/>
      <c r="AN485" s="690" t="str">
        <f>IF(AL485&gt;0,AO485*AM485," ")</f>
        <v xml:space="preserve"> </v>
      </c>
      <c r="AO485" s="691" t="str">
        <f>IF(AL485&gt;0,(VLOOKUP(AL485,'Lookup Ready-reckoner'!$B$5:$E$1007,4))," ")</f>
        <v xml:space="preserve"> </v>
      </c>
      <c r="AP485" s="364"/>
      <c r="AQ485" s="364"/>
      <c r="AR485" s="364"/>
      <c r="AS485" s="367"/>
      <c r="AT485"/>
      <c r="AU485"/>
      <c r="AV485"/>
      <c r="AW485"/>
      <c r="AX485"/>
    </row>
    <row r="486" spans="35:50" ht="12.75" customHeight="1" thickBot="1">
      <c r="AI486" s="364"/>
      <c r="AJ486" s="692" t="s">
        <v>839</v>
      </c>
      <c r="AK486" s="693"/>
      <c r="AL486" s="693"/>
      <c r="AM486" s="701">
        <f>IF(AL484&gt;0,(VLOOKUP(AN486,'Lookup Ready-reckoner'!$L$5:$M$1207,2))," ")</f>
        <v>103.9</v>
      </c>
      <c r="AN486" s="695">
        <f>IF(AM484&gt;0,(SUM(AN484:AN485))," ")</f>
        <v>7919.9999999999982</v>
      </c>
      <c r="AO486" s="696"/>
      <c r="AP486" s="364"/>
      <c r="AQ486" s="364"/>
      <c r="AR486" s="364"/>
      <c r="AS486" s="367"/>
      <c r="AT486"/>
      <c r="AU486"/>
      <c r="AV486"/>
      <c r="AW486"/>
      <c r="AX486"/>
    </row>
    <row r="487" spans="35:50" ht="12.75" customHeight="1">
      <c r="AI487" s="364"/>
      <c r="AJ487" s="697"/>
      <c r="AK487" s="687"/>
      <c r="AL487" s="687"/>
      <c r="AM487" s="372"/>
      <c r="AN487" s="374"/>
      <c r="AO487" s="688"/>
      <c r="AP487" s="364"/>
      <c r="AQ487" s="364"/>
      <c r="AR487" s="364"/>
      <c r="AS487" s="367"/>
      <c r="AT487"/>
      <c r="AU487"/>
      <c r="AV487"/>
      <c r="AW487"/>
      <c r="AX487"/>
    </row>
    <row r="488" spans="35:50" ht="12.75" customHeight="1" thickBot="1">
      <c r="AI488" s="364"/>
      <c r="AJ488" s="686" t="s">
        <v>60</v>
      </c>
      <c r="AK488" s="577"/>
      <c r="AL488" s="577"/>
      <c r="AM488" s="577"/>
      <c r="AN488" s="577"/>
      <c r="AO488" s="698"/>
      <c r="AP488" s="364"/>
      <c r="AQ488" s="364"/>
      <c r="AR488" s="364"/>
      <c r="AS488" s="367"/>
      <c r="AT488"/>
      <c r="AU488"/>
      <c r="AV488"/>
      <c r="AW488"/>
      <c r="AX488"/>
    </row>
    <row r="489" spans="35:50" ht="12.75" customHeight="1">
      <c r="AI489" s="364"/>
      <c r="AJ489" s="895" t="s">
        <v>845</v>
      </c>
      <c r="AK489" s="896"/>
      <c r="AL489" s="900" t="s">
        <v>835</v>
      </c>
      <c r="AM489" s="900" t="s">
        <v>836</v>
      </c>
      <c r="AN489" s="900" t="s">
        <v>837</v>
      </c>
      <c r="AO489" s="902" t="s">
        <v>838</v>
      </c>
      <c r="AP489" s="364"/>
      <c r="AQ489" s="364"/>
      <c r="AR489" s="364"/>
      <c r="AS489" s="367"/>
      <c r="AT489"/>
      <c r="AU489"/>
      <c r="AV489"/>
      <c r="AW489"/>
      <c r="AX489"/>
    </row>
    <row r="490" spans="35:50" ht="12.75" customHeight="1">
      <c r="AI490" s="364"/>
      <c r="AJ490" s="892"/>
      <c r="AK490" s="897"/>
      <c r="AL490" s="901"/>
      <c r="AM490" s="901"/>
      <c r="AN490" s="901"/>
      <c r="AO490" s="903"/>
      <c r="AP490" s="364"/>
      <c r="AQ490" s="364"/>
      <c r="AR490" s="364"/>
      <c r="AS490" s="367"/>
      <c r="AT490"/>
      <c r="AU490"/>
      <c r="AV490"/>
      <c r="AW490"/>
      <c r="AX490"/>
    </row>
    <row r="491" spans="35:50" ht="12.75" customHeight="1">
      <c r="AI491" s="364"/>
      <c r="AJ491" s="892"/>
      <c r="AK491" s="897"/>
      <c r="AL491" s="700">
        <f>AL478-PPE!$I$15</f>
        <v>101.02059991327963</v>
      </c>
      <c r="AM491" s="560">
        <f>AM484</f>
        <v>1.9999999999999996</v>
      </c>
      <c r="AN491" s="690">
        <f>IF(AL491&gt;0,AO491*AM491," ")</f>
        <v>999.99999999999977</v>
      </c>
      <c r="AO491" s="691">
        <f>IF(AL491&gt;0,(VLOOKUP(AL491,'Lookup Ready-reckoner'!$B$5:$E$1207,4))," ")</f>
        <v>500</v>
      </c>
      <c r="AP491" s="364"/>
      <c r="AQ491" s="364"/>
      <c r="AR491" s="364"/>
      <c r="AS491" s="367"/>
      <c r="AT491"/>
      <c r="AU491"/>
      <c r="AV491"/>
      <c r="AW491"/>
      <c r="AX491"/>
    </row>
    <row r="492" spans="35:50" ht="12.75" customHeight="1">
      <c r="AI492" s="364"/>
      <c r="AJ492" s="898"/>
      <c r="AK492" s="899"/>
      <c r="AL492" s="447"/>
      <c r="AM492" s="560"/>
      <c r="AN492" s="690" t="str">
        <f>IF(AL492&gt;0,AO492*AM492," ")</f>
        <v xml:space="preserve"> </v>
      </c>
      <c r="AO492" s="691" t="str">
        <f>IF(AL492&gt;0,(VLOOKUP(AL492,'Lookup Ready-reckoner'!$B$5:$E$1007,4))," ")</f>
        <v xml:space="preserve"> </v>
      </c>
      <c r="AP492" s="364"/>
      <c r="AQ492" s="364"/>
      <c r="AR492" s="364"/>
      <c r="AS492" s="367"/>
      <c r="AT492"/>
      <c r="AU492"/>
      <c r="AV492"/>
      <c r="AW492"/>
      <c r="AX492"/>
    </row>
    <row r="493" spans="35:50" ht="12.75" customHeight="1" thickBot="1">
      <c r="AI493" s="364"/>
      <c r="AJ493" s="692" t="s">
        <v>839</v>
      </c>
      <c r="AK493" s="693"/>
      <c r="AL493" s="693"/>
      <c r="AM493" s="701">
        <f>IF(AL491&gt;0,(VLOOKUP(AN493,'Lookup Ready-reckoner'!$L$5:$M$1207,2))," ")</f>
        <v>94.95</v>
      </c>
      <c r="AN493" s="695">
        <f>IF(AM491&gt;0,(SUM(AN491:AN492))," ")</f>
        <v>999.99999999999977</v>
      </c>
      <c r="AO493" s="696"/>
      <c r="AP493" s="364"/>
      <c r="AQ493" s="364"/>
      <c r="AR493" s="364"/>
      <c r="AS493" s="367"/>
      <c r="AT493"/>
      <c r="AU493"/>
      <c r="AV493"/>
      <c r="AW493"/>
      <c r="AX493"/>
    </row>
    <row r="494" spans="35:50" ht="12.75" customHeight="1" thickBot="1">
      <c r="AI494" s="364"/>
      <c r="AJ494" s="892"/>
      <c r="AK494" s="893"/>
      <c r="AL494" s="893"/>
      <c r="AM494" s="893"/>
      <c r="AN494" s="893"/>
      <c r="AO494" s="894"/>
      <c r="AP494" s="364"/>
      <c r="AQ494" s="364"/>
      <c r="AR494" s="364"/>
      <c r="AS494" s="367"/>
      <c r="AT494"/>
      <c r="AU494"/>
      <c r="AV494"/>
      <c r="AW494"/>
      <c r="AX494"/>
    </row>
    <row r="495" spans="35:50" ht="12.75" customHeight="1">
      <c r="AI495" s="364"/>
      <c r="AJ495" s="895" t="s">
        <v>886</v>
      </c>
      <c r="AK495" s="896"/>
      <c r="AL495" s="900" t="s">
        <v>835</v>
      </c>
      <c r="AM495" s="900" t="s">
        <v>836</v>
      </c>
      <c r="AN495" s="900" t="s">
        <v>837</v>
      </c>
      <c r="AO495" s="902" t="s">
        <v>838</v>
      </c>
      <c r="AP495" s="364"/>
      <c r="AQ495" s="364"/>
      <c r="AR495" s="364"/>
      <c r="AS495" s="367"/>
      <c r="AT495"/>
      <c r="AU495"/>
      <c r="AV495"/>
      <c r="AW495"/>
      <c r="AX495"/>
    </row>
    <row r="496" spans="35:50" ht="12.75" customHeight="1">
      <c r="AI496" s="364"/>
      <c r="AJ496" s="892"/>
      <c r="AK496" s="897"/>
      <c r="AL496" s="901"/>
      <c r="AM496" s="901"/>
      <c r="AN496" s="901"/>
      <c r="AO496" s="903"/>
      <c r="AP496" s="364"/>
      <c r="AQ496" s="364"/>
      <c r="AR496" s="364"/>
      <c r="AS496" s="367"/>
      <c r="AT496"/>
      <c r="AU496"/>
      <c r="AV496"/>
      <c r="AW496"/>
      <c r="AX496"/>
    </row>
    <row r="497" spans="35:50" ht="12.75" customHeight="1">
      <c r="AI497" s="364"/>
      <c r="AJ497" s="892"/>
      <c r="AK497" s="897"/>
      <c r="AL497" s="700">
        <f>AL484-PPE!$I$15</f>
        <v>96.961466556366872</v>
      </c>
      <c r="AM497" s="560">
        <f>AM491</f>
        <v>1.9999999999999996</v>
      </c>
      <c r="AN497" s="690">
        <f>IF(AL497&gt;0,AO497*AM497," ")</f>
        <v>395.62499999999989</v>
      </c>
      <c r="AO497" s="691">
        <f>IF(AL497&gt;0,(VLOOKUP(AL497,'Lookup Ready-reckoner'!$B$5:$E$1207,4))," ")</f>
        <v>197.8125</v>
      </c>
      <c r="AP497" s="364"/>
      <c r="AQ497" s="364"/>
      <c r="AR497" s="364"/>
      <c r="AS497" s="367"/>
      <c r="AT497"/>
      <c r="AU497"/>
      <c r="AV497"/>
      <c r="AW497"/>
      <c r="AX497"/>
    </row>
    <row r="498" spans="35:50" ht="12.75" customHeight="1">
      <c r="AI498" s="364"/>
      <c r="AJ498" s="898"/>
      <c r="AK498" s="899"/>
      <c r="AL498" s="447"/>
      <c r="AM498" s="560"/>
      <c r="AN498" s="690" t="str">
        <f>IF(AL498&gt;0,AO498*AM498," ")</f>
        <v xml:space="preserve"> </v>
      </c>
      <c r="AO498" s="691" t="str">
        <f>IF(AL498&gt;0,(VLOOKUP(AL498,'Lookup Ready-reckoner'!$B$5:$E$1007,4))," ")</f>
        <v xml:space="preserve"> </v>
      </c>
      <c r="AP498" s="364"/>
      <c r="AQ498" s="364"/>
      <c r="AR498" s="364"/>
      <c r="AS498" s="367"/>
      <c r="AT498"/>
      <c r="AU498"/>
      <c r="AV498"/>
      <c r="AW498"/>
      <c r="AX498"/>
    </row>
    <row r="499" spans="35:50" ht="12.75" customHeight="1" thickBot="1">
      <c r="AI499" s="364"/>
      <c r="AJ499" s="692" t="s">
        <v>839</v>
      </c>
      <c r="AK499" s="693"/>
      <c r="AL499" s="693"/>
      <c r="AM499" s="701">
        <f>IF(AL497&gt;0,(VLOOKUP(AN499,'Lookup Ready-reckoner'!$L$5:$M$1207,2))," ")</f>
        <v>90.9</v>
      </c>
      <c r="AN499" s="695">
        <f>IF(AM497&gt;0,(SUM(AN497:AN498))," ")</f>
        <v>395.62499999999989</v>
      </c>
      <c r="AO499" s="696"/>
      <c r="AP499" s="364"/>
      <c r="AQ499" s="364"/>
      <c r="AR499" s="364"/>
      <c r="AS499" s="367"/>
      <c r="AT499"/>
      <c r="AU499"/>
      <c r="AV499"/>
      <c r="AW499"/>
      <c r="AX499"/>
    </row>
    <row r="500" spans="35:50" ht="12.75" customHeight="1">
      <c r="AI500" s="364"/>
      <c r="AJ500" s="363"/>
      <c r="AK500" s="363"/>
      <c r="AL500" s="363"/>
      <c r="AM500" s="363"/>
      <c r="AN500" s="363"/>
      <c r="AO500" s="363"/>
      <c r="AP500" s="364"/>
      <c r="AQ500" s="364"/>
      <c r="AR500" s="364"/>
      <c r="AS500" s="367"/>
      <c r="AT500"/>
      <c r="AU500"/>
      <c r="AV500"/>
      <c r="AW500"/>
      <c r="AX500"/>
    </row>
    <row r="501" spans="35:50" ht="12.75" customHeight="1">
      <c r="AI501" s="364"/>
      <c r="AJ501" s="913" t="str">
        <f>AJ382</f>
        <v>Sulzer ADDS</v>
      </c>
      <c r="AK501" s="914"/>
      <c r="AL501" s="914"/>
      <c r="AM501" s="914"/>
      <c r="AN501" s="914"/>
      <c r="AO501" s="914"/>
      <c r="AP501" s="364"/>
      <c r="AQ501" s="364"/>
      <c r="AR501" s="364"/>
      <c r="AS501" s="367"/>
      <c r="AT501"/>
      <c r="AU501"/>
      <c r="AV501"/>
      <c r="AW501"/>
      <c r="AX501"/>
    </row>
    <row r="502" spans="35:50" ht="12.75" customHeight="1" thickBot="1">
      <c r="AI502" s="364"/>
      <c r="AJ502" s="910" t="s">
        <v>205</v>
      </c>
      <c r="AK502" s="911"/>
      <c r="AL502" s="911"/>
      <c r="AM502" s="911"/>
      <c r="AN502" s="911"/>
      <c r="AO502" s="912"/>
      <c r="AP502" s="364"/>
      <c r="AQ502" s="364"/>
      <c r="AR502" s="364"/>
      <c r="AS502" s="367"/>
      <c r="AT502"/>
      <c r="AU502"/>
      <c r="AV502"/>
      <c r="AW502"/>
      <c r="AX502"/>
    </row>
    <row r="503" spans="35:50" ht="12.75" customHeight="1" thickBot="1">
      <c r="AI503" s="364"/>
      <c r="AJ503" s="686" t="s">
        <v>59</v>
      </c>
      <c r="AK503" s="577"/>
      <c r="AL503" s="687"/>
      <c r="AM503" s="687"/>
      <c r="AN503" s="687"/>
      <c r="AO503" s="688"/>
      <c r="AP503" s="364"/>
      <c r="AQ503" s="364"/>
      <c r="AR503" s="364"/>
      <c r="AS503" s="367"/>
      <c r="AT503"/>
      <c r="AU503"/>
      <c r="AV503"/>
      <c r="AW503"/>
      <c r="AX503"/>
    </row>
    <row r="504" spans="35:50" ht="12.75" customHeight="1">
      <c r="AI504" s="364"/>
      <c r="AJ504" s="895" t="s">
        <v>845</v>
      </c>
      <c r="AK504" s="896"/>
      <c r="AL504" s="900" t="s">
        <v>835</v>
      </c>
      <c r="AM504" s="900" t="s">
        <v>836</v>
      </c>
      <c r="AN504" s="900" t="s">
        <v>837</v>
      </c>
      <c r="AO504" s="902" t="s">
        <v>838</v>
      </c>
      <c r="AP504" s="364"/>
      <c r="AQ504" s="364"/>
      <c r="AR504" s="364"/>
      <c r="AS504" s="367"/>
      <c r="AT504"/>
      <c r="AU504"/>
      <c r="AV504"/>
      <c r="AW504"/>
      <c r="AX504"/>
    </row>
    <row r="505" spans="35:50" ht="12.75" customHeight="1">
      <c r="AI505" s="364"/>
      <c r="AJ505" s="892"/>
      <c r="AK505" s="897"/>
      <c r="AL505" s="904"/>
      <c r="AM505" s="904"/>
      <c r="AN505" s="904"/>
      <c r="AO505" s="905"/>
      <c r="AP505" s="364"/>
      <c r="AQ505" s="364"/>
      <c r="AR505" s="364"/>
      <c r="AS505" s="367"/>
      <c r="AT505"/>
      <c r="AU505"/>
      <c r="AV505"/>
      <c r="AW505"/>
      <c r="AX505"/>
    </row>
    <row r="506" spans="35:50" ht="12.75" customHeight="1">
      <c r="AI506" s="364"/>
      <c r="AJ506" s="892"/>
      <c r="AK506" s="897"/>
      <c r="AL506" s="901"/>
      <c r="AM506" s="901"/>
      <c r="AN506" s="901"/>
      <c r="AO506" s="903"/>
      <c r="AP506" s="364"/>
      <c r="AQ506" s="364"/>
      <c r="AR506" s="364"/>
      <c r="AS506" s="367"/>
      <c r="AT506"/>
      <c r="AU506"/>
      <c r="AV506"/>
      <c r="AW506"/>
      <c r="AX506"/>
    </row>
    <row r="507" spans="35:50" ht="12.75" customHeight="1">
      <c r="AI507" s="364"/>
      <c r="AJ507" s="892"/>
      <c r="AK507" s="897"/>
      <c r="AL507" s="702">
        <f>AO81</f>
        <v>115.02059991327963</v>
      </c>
      <c r="AM507" s="560">
        <f>AO67</f>
        <v>1.7391304347826084</v>
      </c>
      <c r="AN507" s="690">
        <f>IF(AL507&gt;0,AO507*AM507," ")</f>
        <v>22260.869565217388</v>
      </c>
      <c r="AO507" s="691">
        <f>IF(AL507&gt;0,(VLOOKUP(AL507,'Lookup Ready-reckoner'!$B$5:$E$1207,4))," ")</f>
        <v>12800</v>
      </c>
      <c r="AP507" s="364"/>
      <c r="AQ507" s="364"/>
      <c r="AR507" s="364"/>
      <c r="AS507" s="367"/>
      <c r="AT507"/>
      <c r="AU507"/>
      <c r="AV507"/>
      <c r="AW507"/>
      <c r="AX507"/>
    </row>
    <row r="508" spans="35:50" ht="12.75" customHeight="1">
      <c r="AI508" s="364"/>
      <c r="AJ508" s="898"/>
      <c r="AK508" s="899"/>
      <c r="AL508" s="447"/>
      <c r="AM508" s="560"/>
      <c r="AN508" s="690" t="str">
        <f>IF(AL508&gt;0,AO508*AM508," ")</f>
        <v xml:space="preserve"> </v>
      </c>
      <c r="AO508" s="691" t="str">
        <f>IF(AL508&gt;0,(VLOOKUP(AL508,'Lookup Ready-reckoner'!$B$5:$E$1007,4))," ")</f>
        <v xml:space="preserve"> </v>
      </c>
      <c r="AP508" s="364"/>
      <c r="AQ508" s="364"/>
      <c r="AR508" s="364"/>
      <c r="AS508" s="367"/>
      <c r="AT508"/>
      <c r="AU508"/>
      <c r="AV508"/>
      <c r="AW508"/>
      <c r="AX508"/>
    </row>
    <row r="509" spans="35:50" ht="12.75" customHeight="1" thickBot="1">
      <c r="AI509" s="364"/>
      <c r="AJ509" s="692" t="s">
        <v>839</v>
      </c>
      <c r="AK509" s="693"/>
      <c r="AL509" s="693"/>
      <c r="AM509" s="703">
        <f>IF(AL507&gt;0,(VLOOKUP(AN509,'Lookup Ready-reckoner'!$L$5:$M$1207,2))," ")</f>
        <v>108.4</v>
      </c>
      <c r="AN509" s="695">
        <f>IF(AM507&gt;0,(SUM(AN507:AN508))," ")</f>
        <v>22260.869565217388</v>
      </c>
      <c r="AO509" s="696"/>
      <c r="AP509" s="364"/>
      <c r="AQ509" s="364"/>
      <c r="AR509" s="364"/>
      <c r="AS509" s="367"/>
      <c r="AT509"/>
      <c r="AU509"/>
      <c r="AV509"/>
      <c r="AW509"/>
      <c r="AX509"/>
    </row>
    <row r="510" spans="35:50" ht="12.75" customHeight="1" thickBot="1">
      <c r="AI510" s="364"/>
      <c r="AJ510" s="892"/>
      <c r="AK510" s="893"/>
      <c r="AL510" s="893"/>
      <c r="AM510" s="893"/>
      <c r="AN510" s="893"/>
      <c r="AO510" s="894"/>
      <c r="AP510" s="364"/>
      <c r="AQ510" s="364"/>
      <c r="AR510" s="364"/>
      <c r="AS510" s="367"/>
      <c r="AT510"/>
      <c r="AU510"/>
      <c r="AV510"/>
      <c r="AW510"/>
      <c r="AX510"/>
    </row>
    <row r="511" spans="35:50" ht="12.75" customHeight="1">
      <c r="AI511" s="364"/>
      <c r="AJ511" s="895" t="s">
        <v>886</v>
      </c>
      <c r="AK511" s="896"/>
      <c r="AL511" s="900" t="s">
        <v>835</v>
      </c>
      <c r="AM511" s="900" t="s">
        <v>836</v>
      </c>
      <c r="AN511" s="900" t="s">
        <v>837</v>
      </c>
      <c r="AO511" s="902" t="s">
        <v>838</v>
      </c>
      <c r="AP511" s="364"/>
      <c r="AQ511" s="364"/>
      <c r="AR511" s="364"/>
      <c r="AS511" s="367"/>
      <c r="AT511"/>
      <c r="AU511"/>
      <c r="AV511"/>
      <c r="AW511"/>
      <c r="AX511"/>
    </row>
    <row r="512" spans="35:50" ht="12.75" customHeight="1">
      <c r="AI512" s="364"/>
      <c r="AJ512" s="892"/>
      <c r="AK512" s="897"/>
      <c r="AL512" s="901"/>
      <c r="AM512" s="901"/>
      <c r="AN512" s="901"/>
      <c r="AO512" s="903"/>
      <c r="AP512" s="364"/>
      <c r="AQ512" s="364"/>
      <c r="AR512" s="364"/>
      <c r="AS512" s="367"/>
      <c r="AT512"/>
      <c r="AU512"/>
      <c r="AV512"/>
      <c r="AW512"/>
      <c r="AX512"/>
    </row>
    <row r="513" spans="35:50" ht="12.75" customHeight="1">
      <c r="AI513" s="364"/>
      <c r="AJ513" s="892"/>
      <c r="AK513" s="897"/>
      <c r="AL513" s="702">
        <f>AL507*(1-0.0178*2)</f>
        <v>110.92586655636687</v>
      </c>
      <c r="AM513" s="560">
        <f>AM507</f>
        <v>1.7391304347826084</v>
      </c>
      <c r="AN513" s="690">
        <f>IF(AL513&gt;0,AO513*AM513," ")</f>
        <v>8521.7391304347821</v>
      </c>
      <c r="AO513" s="691">
        <f>IF(AL513&gt;0,(VLOOKUP(AL513,'Lookup Ready-reckoner'!$B$5:$E$1207,4))," ")</f>
        <v>4900</v>
      </c>
      <c r="AP513" s="364"/>
      <c r="AQ513" s="364"/>
      <c r="AR513" s="364"/>
      <c r="AS513" s="367"/>
      <c r="AT513"/>
      <c r="AU513"/>
      <c r="AV513"/>
      <c r="AW513"/>
      <c r="AX513"/>
    </row>
    <row r="514" spans="35:50" ht="12.75" customHeight="1">
      <c r="AI514" s="364"/>
      <c r="AJ514" s="898"/>
      <c r="AK514" s="899"/>
      <c r="AL514" s="447"/>
      <c r="AM514" s="560"/>
      <c r="AN514" s="690" t="str">
        <f>IF(AL514&gt;0,AO514*AM514," ")</f>
        <v xml:space="preserve"> </v>
      </c>
      <c r="AO514" s="691" t="str">
        <f>IF(AL514&gt;0,(VLOOKUP(AL514,'Lookup Ready-reckoner'!$B$5:$E$1007,4))," ")</f>
        <v xml:space="preserve"> </v>
      </c>
      <c r="AP514" s="364"/>
      <c r="AQ514" s="364"/>
      <c r="AR514" s="364"/>
      <c r="AS514" s="367"/>
      <c r="AT514"/>
      <c r="AU514"/>
      <c r="AV514"/>
      <c r="AW514"/>
      <c r="AX514"/>
    </row>
    <row r="515" spans="35:50" ht="12.75" customHeight="1" thickBot="1">
      <c r="AI515" s="364"/>
      <c r="AJ515" s="692" t="s">
        <v>839</v>
      </c>
      <c r="AK515" s="693"/>
      <c r="AL515" s="693"/>
      <c r="AM515" s="703">
        <f>IF(AL513&gt;0,(VLOOKUP(AN515,'Lookup Ready-reckoner'!$L$5:$M$1207,2))," ")</f>
        <v>104.25</v>
      </c>
      <c r="AN515" s="695">
        <f>IF(AM513&gt;0,(SUM(AN513:AN514))," ")</f>
        <v>8521.7391304347821</v>
      </c>
      <c r="AO515" s="696"/>
      <c r="AP515" s="364"/>
      <c r="AQ515" s="364"/>
      <c r="AR515" s="364"/>
      <c r="AS515" s="367"/>
      <c r="AT515"/>
      <c r="AU515"/>
      <c r="AV515"/>
      <c r="AW515"/>
      <c r="AX515"/>
    </row>
    <row r="516" spans="35:50" ht="12.75" customHeight="1">
      <c r="AI516" s="364"/>
      <c r="AJ516" s="697"/>
      <c r="AK516" s="687"/>
      <c r="AL516" s="687"/>
      <c r="AM516" s="372"/>
      <c r="AN516" s="374"/>
      <c r="AO516" s="688"/>
      <c r="AP516" s="364"/>
      <c r="AQ516" s="364"/>
      <c r="AR516" s="364"/>
      <c r="AS516" s="367"/>
      <c r="AT516"/>
      <c r="AU516"/>
      <c r="AV516"/>
      <c r="AW516"/>
      <c r="AX516"/>
    </row>
    <row r="517" spans="35:50" ht="12.75" customHeight="1" thickBot="1">
      <c r="AI517" s="364"/>
      <c r="AJ517" s="686" t="s">
        <v>60</v>
      </c>
      <c r="AK517" s="577"/>
      <c r="AL517" s="577"/>
      <c r="AM517" s="577"/>
      <c r="AN517" s="577"/>
      <c r="AO517" s="698"/>
      <c r="AP517" s="364"/>
      <c r="AQ517" s="364"/>
      <c r="AR517" s="364"/>
      <c r="AS517" s="367"/>
      <c r="AT517"/>
      <c r="AU517"/>
      <c r="AV517"/>
      <c r="AW517"/>
      <c r="AX517"/>
    </row>
    <row r="518" spans="35:50" ht="12.75" customHeight="1">
      <c r="AI518" s="364"/>
      <c r="AJ518" s="895" t="s">
        <v>845</v>
      </c>
      <c r="AK518" s="896"/>
      <c r="AL518" s="900" t="s">
        <v>835</v>
      </c>
      <c r="AM518" s="900" t="s">
        <v>836</v>
      </c>
      <c r="AN518" s="900" t="s">
        <v>837</v>
      </c>
      <c r="AO518" s="902" t="s">
        <v>838</v>
      </c>
      <c r="AP518" s="364"/>
      <c r="AQ518" s="364"/>
      <c r="AR518" s="364"/>
      <c r="AS518" s="367"/>
      <c r="AT518"/>
      <c r="AU518"/>
      <c r="AV518"/>
      <c r="AW518"/>
      <c r="AX518"/>
    </row>
    <row r="519" spans="35:50" ht="12.75" customHeight="1">
      <c r="AI519" s="364"/>
      <c r="AJ519" s="892"/>
      <c r="AK519" s="897"/>
      <c r="AL519" s="901"/>
      <c r="AM519" s="901"/>
      <c r="AN519" s="901"/>
      <c r="AO519" s="903"/>
      <c r="AP519" s="364"/>
      <c r="AQ519" s="364"/>
      <c r="AR519" s="364"/>
      <c r="AS519" s="367"/>
      <c r="AT519"/>
      <c r="AU519"/>
      <c r="AV519"/>
      <c r="AW519"/>
      <c r="AX519"/>
    </row>
    <row r="520" spans="35:50" ht="12.75" customHeight="1">
      <c r="AI520" s="364"/>
      <c r="AJ520" s="892"/>
      <c r="AK520" s="897"/>
      <c r="AL520" s="702">
        <f>AL507-PPE!$I$15</f>
        <v>102.02059991327963</v>
      </c>
      <c r="AM520" s="560">
        <f>AM513</f>
        <v>1.7391304347826084</v>
      </c>
      <c r="AN520" s="690">
        <f>IF(AL520&gt;0,AO520*AM520," ")</f>
        <v>1086.9565217391303</v>
      </c>
      <c r="AO520" s="691">
        <f>IF(AL520&gt;0,(VLOOKUP(AL520,'Lookup Ready-reckoner'!$B$5:$E$1207,4))," ")</f>
        <v>625</v>
      </c>
      <c r="AP520" s="364"/>
      <c r="AQ520" s="364"/>
      <c r="AR520" s="364"/>
      <c r="AS520" s="367"/>
      <c r="AT520"/>
      <c r="AU520"/>
      <c r="AV520"/>
      <c r="AW520"/>
      <c r="AX520"/>
    </row>
    <row r="521" spans="35:50" ht="12.75" customHeight="1">
      <c r="AI521" s="364"/>
      <c r="AJ521" s="898"/>
      <c r="AK521" s="899"/>
      <c r="AL521" s="447"/>
      <c r="AM521" s="560"/>
      <c r="AN521" s="690" t="str">
        <f>IF(AL521&gt;0,AO521*AM521," ")</f>
        <v xml:space="preserve"> </v>
      </c>
      <c r="AO521" s="691" t="str">
        <f>IF(AL521&gt;0,(VLOOKUP(AL521,'Lookup Ready-reckoner'!$B$5:$E$1007,4))," ")</f>
        <v xml:space="preserve"> </v>
      </c>
      <c r="AP521" s="364"/>
      <c r="AQ521" s="364"/>
      <c r="AR521" s="364"/>
      <c r="AS521" s="367"/>
      <c r="AT521"/>
      <c r="AU521"/>
      <c r="AV521"/>
      <c r="AW521"/>
      <c r="AX521"/>
    </row>
    <row r="522" spans="35:50" ht="12.75" customHeight="1" thickBot="1">
      <c r="AI522" s="364"/>
      <c r="AJ522" s="692" t="s">
        <v>839</v>
      </c>
      <c r="AK522" s="693"/>
      <c r="AL522" s="693"/>
      <c r="AM522" s="703">
        <f>IF(AL520&gt;0,(VLOOKUP(AN522,'Lookup Ready-reckoner'!$L$5:$M$1207,2))," ")</f>
        <v>95.3</v>
      </c>
      <c r="AN522" s="695">
        <f>IF(AM520&gt;0,(SUM(AN520:AN521))," ")</f>
        <v>1086.9565217391303</v>
      </c>
      <c r="AO522" s="696"/>
      <c r="AP522" s="364"/>
      <c r="AQ522" s="364"/>
      <c r="AR522" s="364"/>
      <c r="AS522" s="367"/>
      <c r="AT522"/>
      <c r="AU522"/>
      <c r="AV522"/>
      <c r="AW522"/>
      <c r="AX522"/>
    </row>
    <row r="523" spans="35:50" ht="12.75" customHeight="1" thickBot="1">
      <c r="AI523" s="364"/>
      <c r="AJ523" s="892"/>
      <c r="AK523" s="893"/>
      <c r="AL523" s="893"/>
      <c r="AM523" s="893"/>
      <c r="AN523" s="893"/>
      <c r="AO523" s="894"/>
      <c r="AP523" s="364"/>
      <c r="AQ523" s="364"/>
      <c r="AR523" s="364"/>
      <c r="AS523" s="367"/>
      <c r="AT523"/>
      <c r="AU523"/>
      <c r="AV523"/>
      <c r="AW523"/>
      <c r="AX523"/>
    </row>
    <row r="524" spans="35:50" ht="12.75" customHeight="1">
      <c r="AI524" s="364"/>
      <c r="AJ524" s="895" t="s">
        <v>886</v>
      </c>
      <c r="AK524" s="896"/>
      <c r="AL524" s="900" t="s">
        <v>835</v>
      </c>
      <c r="AM524" s="900" t="s">
        <v>836</v>
      </c>
      <c r="AN524" s="900" t="s">
        <v>837</v>
      </c>
      <c r="AO524" s="902" t="s">
        <v>838</v>
      </c>
      <c r="AP524" s="364"/>
      <c r="AQ524" s="364"/>
      <c r="AR524" s="364"/>
      <c r="AS524" s="367"/>
      <c r="AT524"/>
      <c r="AU524"/>
      <c r="AV524"/>
      <c r="AW524"/>
      <c r="AX524"/>
    </row>
    <row r="525" spans="35:50" ht="12.75" customHeight="1">
      <c r="AI525" s="364"/>
      <c r="AJ525" s="892"/>
      <c r="AK525" s="897"/>
      <c r="AL525" s="901"/>
      <c r="AM525" s="901"/>
      <c r="AN525" s="901"/>
      <c r="AO525" s="903"/>
      <c r="AP525" s="364"/>
      <c r="AQ525" s="364"/>
      <c r="AR525" s="364"/>
      <c r="AS525" s="367"/>
      <c r="AT525"/>
      <c r="AU525"/>
      <c r="AV525"/>
      <c r="AW525"/>
      <c r="AX525"/>
    </row>
    <row r="526" spans="35:50" ht="12.75" customHeight="1">
      <c r="AI526" s="364"/>
      <c r="AJ526" s="892"/>
      <c r="AK526" s="897"/>
      <c r="AL526" s="702">
        <f>AL513-PPE!$I$15</f>
        <v>97.92586655636687</v>
      </c>
      <c r="AM526" s="560">
        <f>AM520</f>
        <v>1.7391304347826084</v>
      </c>
      <c r="AN526" s="690">
        <f>IF(AL526&gt;0,AO526*AM526," ")</f>
        <v>426.08695652173907</v>
      </c>
      <c r="AO526" s="691">
        <f>IF(AL526&gt;0,(VLOOKUP(AL526,'Lookup Ready-reckoner'!$B$5:$E$1207,4))," ")</f>
        <v>245</v>
      </c>
      <c r="AP526" s="364"/>
      <c r="AQ526" s="364"/>
      <c r="AR526" s="364"/>
      <c r="AS526" s="367"/>
      <c r="AT526"/>
      <c r="AU526"/>
      <c r="AV526"/>
      <c r="AW526"/>
      <c r="AX526"/>
    </row>
    <row r="527" spans="35:50" ht="12.75" customHeight="1">
      <c r="AI527" s="364"/>
      <c r="AJ527" s="898"/>
      <c r="AK527" s="899"/>
      <c r="AL527" s="447"/>
      <c r="AM527" s="560"/>
      <c r="AN527" s="690" t="str">
        <f>IF(AL527&gt;0,AO527*AM527," ")</f>
        <v xml:space="preserve"> </v>
      </c>
      <c r="AO527" s="691" t="str">
        <f>IF(AL527&gt;0,(VLOOKUP(AL527,'Lookup Ready-reckoner'!$B$5:$E$1007,4))," ")</f>
        <v xml:space="preserve"> </v>
      </c>
      <c r="AP527" s="364"/>
      <c r="AQ527" s="364"/>
      <c r="AR527" s="364"/>
      <c r="AS527" s="367"/>
      <c r="AT527"/>
      <c r="AU527"/>
      <c r="AV527"/>
      <c r="AW527"/>
      <c r="AX527"/>
    </row>
    <row r="528" spans="35:50" ht="12.75" customHeight="1" thickBot="1">
      <c r="AI528" s="364"/>
      <c r="AJ528" s="692" t="s">
        <v>839</v>
      </c>
      <c r="AK528" s="693"/>
      <c r="AL528" s="693"/>
      <c r="AM528" s="703">
        <f>IF(AL526&gt;0,(VLOOKUP(AN528,'Lookup Ready-reckoner'!$L$5:$M$1207,2))," ")</f>
        <v>91.25</v>
      </c>
      <c r="AN528" s="695">
        <f>IF(AM526&gt;0,(SUM(AN526:AN527))," ")</f>
        <v>426.08695652173907</v>
      </c>
      <c r="AO528" s="696"/>
      <c r="AP528" s="364"/>
      <c r="AQ528" s="364"/>
      <c r="AR528" s="364"/>
      <c r="AS528" s="367"/>
      <c r="AT528"/>
      <c r="AU528"/>
      <c r="AV528"/>
      <c r="AW528"/>
      <c r="AX528"/>
    </row>
    <row r="529" spans="35:50" ht="12.75" customHeight="1">
      <c r="AI529" s="364"/>
      <c r="AJ529" s="363"/>
      <c r="AK529" s="363"/>
      <c r="AL529" s="363"/>
      <c r="AM529" s="363"/>
      <c r="AN529" s="363"/>
      <c r="AO529" s="363"/>
      <c r="AP529" s="364"/>
      <c r="AQ529" s="364"/>
      <c r="AR529" s="364"/>
      <c r="AS529" s="367"/>
      <c r="AT529"/>
      <c r="AU529"/>
      <c r="AV529"/>
      <c r="AW529"/>
      <c r="AX529"/>
    </row>
    <row r="530" spans="35:50" ht="12.75" customHeight="1">
      <c r="AI530" s="364"/>
      <c r="AJ530" s="909" t="str">
        <f>AJ411</f>
        <v xml:space="preserve">Hilti TE MD20 </v>
      </c>
      <c r="AK530" s="909"/>
      <c r="AL530" s="909"/>
      <c r="AM530" s="909"/>
      <c r="AN530" s="909"/>
      <c r="AO530" s="909"/>
      <c r="AP530" s="364"/>
      <c r="AQ530" s="364"/>
      <c r="AR530" s="364"/>
      <c r="AS530" s="367"/>
      <c r="AT530"/>
      <c r="AU530"/>
      <c r="AV530"/>
      <c r="AW530"/>
      <c r="AX530"/>
    </row>
    <row r="531" spans="35:50" ht="12.75" customHeight="1" thickBot="1">
      <c r="AI531" s="364"/>
      <c r="AJ531" s="910" t="s">
        <v>205</v>
      </c>
      <c r="AK531" s="911"/>
      <c r="AL531" s="911"/>
      <c r="AM531" s="911"/>
      <c r="AN531" s="911"/>
      <c r="AO531" s="912"/>
      <c r="AP531" s="364"/>
      <c r="AQ531" s="364"/>
      <c r="AR531" s="364"/>
      <c r="AS531" s="367"/>
      <c r="AT531"/>
      <c r="AU531"/>
      <c r="AV531"/>
      <c r="AW531"/>
      <c r="AX531"/>
    </row>
    <row r="532" spans="35:50" ht="12.75" customHeight="1" thickBot="1">
      <c r="AI532" s="364"/>
      <c r="AJ532" s="686" t="s">
        <v>59</v>
      </c>
      <c r="AK532" s="577"/>
      <c r="AL532" s="687"/>
      <c r="AM532" s="687"/>
      <c r="AN532" s="687"/>
      <c r="AO532" s="688"/>
      <c r="AP532" s="364"/>
      <c r="AQ532" s="364"/>
      <c r="AR532" s="364"/>
      <c r="AS532" s="367"/>
      <c r="AT532"/>
      <c r="AU532"/>
      <c r="AV532"/>
      <c r="AW532"/>
      <c r="AX532"/>
    </row>
    <row r="533" spans="35:50" ht="12.75" customHeight="1">
      <c r="AI533" s="364"/>
      <c r="AJ533" s="895" t="s">
        <v>845</v>
      </c>
      <c r="AK533" s="896"/>
      <c r="AL533" s="900" t="s">
        <v>835</v>
      </c>
      <c r="AM533" s="900" t="s">
        <v>836</v>
      </c>
      <c r="AN533" s="900" t="s">
        <v>837</v>
      </c>
      <c r="AO533" s="902" t="s">
        <v>838</v>
      </c>
      <c r="AP533" s="364"/>
      <c r="AQ533" s="364"/>
      <c r="AR533" s="364"/>
      <c r="AS533" s="367"/>
      <c r="AT533"/>
      <c r="AU533"/>
      <c r="AV533"/>
      <c r="AW533"/>
      <c r="AX533"/>
    </row>
    <row r="534" spans="35:50" ht="12.75" customHeight="1">
      <c r="AI534" s="364"/>
      <c r="AJ534" s="892"/>
      <c r="AK534" s="897"/>
      <c r="AL534" s="904"/>
      <c r="AM534" s="904"/>
      <c r="AN534" s="904"/>
      <c r="AO534" s="905"/>
      <c r="AP534" s="364"/>
      <c r="AQ534" s="364"/>
      <c r="AR534" s="364"/>
      <c r="AS534" s="367"/>
      <c r="AT534"/>
      <c r="AU534"/>
      <c r="AV534"/>
      <c r="AW534"/>
      <c r="AX534"/>
    </row>
    <row r="535" spans="35:50" ht="12.75" customHeight="1">
      <c r="AI535" s="364"/>
      <c r="AJ535" s="892"/>
      <c r="AK535" s="897"/>
      <c r="AL535" s="901"/>
      <c r="AM535" s="901"/>
      <c r="AN535" s="901"/>
      <c r="AO535" s="903"/>
      <c r="AP535" s="364"/>
      <c r="AQ535" s="364"/>
      <c r="AR535" s="364"/>
      <c r="AS535" s="367"/>
      <c r="AT535"/>
      <c r="AU535"/>
      <c r="AV535"/>
      <c r="AW535"/>
      <c r="AX535"/>
    </row>
    <row r="536" spans="35:50" ht="12.75" customHeight="1">
      <c r="AI536" s="364"/>
      <c r="AJ536" s="892"/>
      <c r="AK536" s="897"/>
      <c r="AL536" s="704">
        <f>AM81</f>
        <v>108.02059991327964</v>
      </c>
      <c r="AM536" s="560">
        <f>AM67</f>
        <v>2.6666666666666665</v>
      </c>
      <c r="AN536" s="690">
        <f>IF(AL536&gt;0,AO536*AM536," ")</f>
        <v>6666.6666666666661</v>
      </c>
      <c r="AO536" s="691">
        <f>IF(AL536&gt;0,(VLOOKUP(AL536,'Lookup Ready-reckoner'!$B$5:$E$1207,4))," ")</f>
        <v>2500</v>
      </c>
      <c r="AP536" s="364"/>
      <c r="AQ536" s="364"/>
      <c r="AR536" s="364"/>
      <c r="AS536" s="367"/>
      <c r="AT536"/>
      <c r="AU536"/>
      <c r="AV536"/>
      <c r="AW536"/>
      <c r="AX536"/>
    </row>
    <row r="537" spans="35:50" ht="12.75" customHeight="1">
      <c r="AI537" s="364"/>
      <c r="AJ537" s="898"/>
      <c r="AK537" s="899"/>
      <c r="AL537" s="447"/>
      <c r="AM537" s="560"/>
      <c r="AN537" s="690" t="str">
        <f>IF(AL537&gt;0,AO537*AM537," ")</f>
        <v xml:space="preserve"> </v>
      </c>
      <c r="AO537" s="691" t="str">
        <f>IF(AL537&gt;0,(VLOOKUP(AL537,'Lookup Ready-reckoner'!$B$5:$E$1007,4))," ")</f>
        <v xml:space="preserve"> </v>
      </c>
      <c r="AP537" s="364"/>
      <c r="AQ537" s="364"/>
      <c r="AR537" s="364"/>
      <c r="AS537" s="367"/>
      <c r="AT537"/>
      <c r="AU537"/>
      <c r="AV537"/>
      <c r="AW537"/>
      <c r="AX537"/>
    </row>
    <row r="538" spans="35:50" ht="12.75" customHeight="1" thickBot="1">
      <c r="AI538" s="364"/>
      <c r="AJ538" s="692" t="s">
        <v>839</v>
      </c>
      <c r="AK538" s="693"/>
      <c r="AL538" s="693"/>
      <c r="AM538" s="705">
        <f>IF(AL536&gt;0,(VLOOKUP(AN538,'Lookup Ready-reckoner'!$L$5:$M$1207,2))," ")</f>
        <v>103.15</v>
      </c>
      <c r="AN538" s="695">
        <f>IF(AM536&gt;0,(SUM(AN536:AN537))," ")</f>
        <v>6666.6666666666661</v>
      </c>
      <c r="AO538" s="696"/>
      <c r="AP538" s="364"/>
      <c r="AQ538" s="364"/>
      <c r="AR538" s="364"/>
      <c r="AS538" s="367"/>
      <c r="AT538"/>
      <c r="AU538"/>
      <c r="AV538"/>
      <c r="AW538"/>
      <c r="AX538"/>
    </row>
    <row r="539" spans="35:50" ht="12.75" customHeight="1" thickBot="1">
      <c r="AI539" s="364"/>
      <c r="AJ539" s="906"/>
      <c r="AK539" s="907"/>
      <c r="AL539" s="907"/>
      <c r="AM539" s="907"/>
      <c r="AN539" s="907"/>
      <c r="AO539" s="908"/>
      <c r="AP539" s="364"/>
      <c r="AQ539" s="364"/>
      <c r="AR539" s="364"/>
      <c r="AS539" s="367"/>
      <c r="AT539"/>
      <c r="AU539"/>
      <c r="AV539"/>
      <c r="AW539"/>
      <c r="AX539"/>
    </row>
    <row r="540" spans="35:50" ht="12.75" customHeight="1">
      <c r="AI540" s="364"/>
      <c r="AJ540" s="895" t="s">
        <v>886</v>
      </c>
      <c r="AK540" s="896"/>
      <c r="AL540" s="900" t="s">
        <v>835</v>
      </c>
      <c r="AM540" s="900" t="s">
        <v>836</v>
      </c>
      <c r="AN540" s="900" t="s">
        <v>837</v>
      </c>
      <c r="AO540" s="902" t="s">
        <v>838</v>
      </c>
      <c r="AP540" s="364"/>
      <c r="AQ540" s="364"/>
      <c r="AR540" s="364"/>
      <c r="AS540" s="367"/>
      <c r="AT540"/>
      <c r="AU540"/>
      <c r="AV540"/>
      <c r="AW540"/>
      <c r="AX540"/>
    </row>
    <row r="541" spans="35:50" ht="12.75" customHeight="1">
      <c r="AI541" s="364"/>
      <c r="AJ541" s="892"/>
      <c r="AK541" s="897"/>
      <c r="AL541" s="901"/>
      <c r="AM541" s="901"/>
      <c r="AN541" s="901"/>
      <c r="AO541" s="903"/>
      <c r="AP541" s="364"/>
      <c r="AQ541" s="364"/>
      <c r="AR541" s="364"/>
      <c r="AS541" s="367"/>
      <c r="AT541"/>
      <c r="AU541"/>
      <c r="AV541"/>
      <c r="AW541"/>
      <c r="AX541"/>
    </row>
    <row r="542" spans="35:50" ht="12.75" customHeight="1">
      <c r="AI542" s="364"/>
      <c r="AJ542" s="892"/>
      <c r="AK542" s="897"/>
      <c r="AL542" s="704">
        <f>AL536*(1-0.0178*2)</f>
        <v>104.17506655636689</v>
      </c>
      <c r="AM542" s="560">
        <f>AM536</f>
        <v>2.6666666666666665</v>
      </c>
      <c r="AN542" s="690">
        <f>IF(AL542&gt;0,AO542*AM542," ")</f>
        <v>2766.6666666666665</v>
      </c>
      <c r="AO542" s="691">
        <f>IF(AL542&gt;0,(VLOOKUP(AL542,'Lookup Ready-reckoner'!$B$5:$E$1207,4))," ")</f>
        <v>1037.5</v>
      </c>
      <c r="AP542" s="364"/>
      <c r="AQ542" s="364"/>
      <c r="AR542" s="364"/>
      <c r="AS542" s="367"/>
      <c r="AT542"/>
      <c r="AU542"/>
      <c r="AV542"/>
      <c r="AW542"/>
      <c r="AX542"/>
    </row>
    <row r="543" spans="35:50" ht="12.75" customHeight="1">
      <c r="AI543" s="364"/>
      <c r="AJ543" s="898"/>
      <c r="AK543" s="899"/>
      <c r="AL543" s="447"/>
      <c r="AM543" s="560"/>
      <c r="AN543" s="690" t="str">
        <f>IF(AL543&gt;0,AO543*AM543," ")</f>
        <v xml:space="preserve"> </v>
      </c>
      <c r="AO543" s="691" t="str">
        <f>IF(AL543&gt;0,(VLOOKUP(AL543,'Lookup Ready-reckoner'!$B$5:$E$1007,4))," ")</f>
        <v xml:space="preserve"> </v>
      </c>
      <c r="AP543" s="364"/>
      <c r="AQ543" s="364"/>
      <c r="AR543" s="364"/>
      <c r="AS543" s="367"/>
      <c r="AT543"/>
      <c r="AU543"/>
      <c r="AV543"/>
      <c r="AW543"/>
      <c r="AX543"/>
    </row>
    <row r="544" spans="35:50" ht="12.75" customHeight="1" thickBot="1">
      <c r="AI544" s="364"/>
      <c r="AJ544" s="692" t="s">
        <v>839</v>
      </c>
      <c r="AK544" s="693"/>
      <c r="AL544" s="693"/>
      <c r="AM544" s="705">
        <f>IF(AL542&gt;0,(VLOOKUP(AN544,'Lookup Ready-reckoner'!$L$5:$M$1207,2))," ")</f>
        <v>99.35</v>
      </c>
      <c r="AN544" s="695">
        <f>IF(AM542&gt;0,(SUM(AN542:AN543))," ")</f>
        <v>2766.6666666666665</v>
      </c>
      <c r="AO544" s="696"/>
      <c r="AP544" s="364"/>
      <c r="AQ544" s="364"/>
      <c r="AR544" s="364"/>
      <c r="AS544" s="367"/>
      <c r="AT544"/>
      <c r="AU544"/>
      <c r="AV544"/>
      <c r="AW544"/>
      <c r="AX544"/>
    </row>
    <row r="545" spans="35:50" ht="12.75" customHeight="1">
      <c r="AI545" s="364"/>
      <c r="AJ545" s="697"/>
      <c r="AK545" s="687"/>
      <c r="AL545" s="687"/>
      <c r="AM545" s="372"/>
      <c r="AN545" s="374"/>
      <c r="AO545" s="688"/>
      <c r="AP545" s="364"/>
      <c r="AQ545" s="364"/>
      <c r="AR545" s="364"/>
      <c r="AS545" s="367"/>
      <c r="AT545"/>
      <c r="AU545"/>
      <c r="AV545"/>
      <c r="AW545"/>
      <c r="AX545"/>
    </row>
    <row r="546" spans="35:50" ht="12.75" customHeight="1" thickBot="1">
      <c r="AI546" s="364"/>
      <c r="AJ546" s="686" t="s">
        <v>60</v>
      </c>
      <c r="AK546" s="577"/>
      <c r="AL546" s="577"/>
      <c r="AM546" s="577"/>
      <c r="AN546" s="577"/>
      <c r="AO546" s="698"/>
      <c r="AP546" s="364"/>
      <c r="AQ546" s="364"/>
      <c r="AR546" s="364"/>
      <c r="AS546" s="367"/>
      <c r="AT546"/>
      <c r="AU546"/>
      <c r="AV546"/>
      <c r="AW546"/>
      <c r="AX546"/>
    </row>
    <row r="547" spans="35:50" ht="12.75" customHeight="1">
      <c r="AI547" s="364"/>
      <c r="AJ547" s="895" t="s">
        <v>845</v>
      </c>
      <c r="AK547" s="896"/>
      <c r="AL547" s="900" t="s">
        <v>835</v>
      </c>
      <c r="AM547" s="900" t="s">
        <v>836</v>
      </c>
      <c r="AN547" s="900" t="s">
        <v>837</v>
      </c>
      <c r="AO547" s="902" t="s">
        <v>838</v>
      </c>
      <c r="AP547" s="364"/>
      <c r="AQ547" s="364"/>
      <c r="AR547" s="364"/>
      <c r="AS547" s="367"/>
      <c r="AT547"/>
      <c r="AU547"/>
      <c r="AV547"/>
      <c r="AW547"/>
      <c r="AX547"/>
    </row>
    <row r="548" spans="35:50" ht="12.75" customHeight="1">
      <c r="AI548" s="364"/>
      <c r="AJ548" s="892"/>
      <c r="AK548" s="897"/>
      <c r="AL548" s="901"/>
      <c r="AM548" s="901"/>
      <c r="AN548" s="901"/>
      <c r="AO548" s="903"/>
      <c r="AP548" s="364"/>
      <c r="AQ548" s="364"/>
      <c r="AR548" s="364"/>
      <c r="AS548" s="367"/>
      <c r="AT548"/>
      <c r="AU548"/>
      <c r="AV548"/>
      <c r="AW548"/>
      <c r="AX548"/>
    </row>
    <row r="549" spans="35:50" ht="12.75" customHeight="1">
      <c r="AI549" s="364"/>
      <c r="AJ549" s="892"/>
      <c r="AK549" s="897"/>
      <c r="AL549" s="704">
        <f>AL536-PPE!$I$15</f>
        <v>95.020599913279639</v>
      </c>
      <c r="AM549" s="560">
        <f>AM542</f>
        <v>2.6666666666666665</v>
      </c>
      <c r="AN549" s="690">
        <f>IF(AL549&gt;0,AO549*AM549," ")</f>
        <v>333.33333333333331</v>
      </c>
      <c r="AO549" s="691">
        <f>IF(AL549&gt;0,(VLOOKUP(AL549,'Lookup Ready-reckoner'!$B$5:$E$1207,4))," ")</f>
        <v>125</v>
      </c>
      <c r="AP549" s="364"/>
      <c r="AQ549" s="364"/>
      <c r="AR549" s="364"/>
      <c r="AS549" s="367"/>
      <c r="AT549"/>
      <c r="AU549"/>
      <c r="AV549"/>
      <c r="AW549"/>
      <c r="AX549"/>
    </row>
    <row r="550" spans="35:50" ht="12.75" customHeight="1">
      <c r="AI550" s="364"/>
      <c r="AJ550" s="898"/>
      <c r="AK550" s="899"/>
      <c r="AL550" s="447"/>
      <c r="AM550" s="560"/>
      <c r="AN550" s="690" t="str">
        <f>IF(AL550&gt;0,AO550*AM550," ")</f>
        <v xml:space="preserve"> </v>
      </c>
      <c r="AO550" s="691" t="str">
        <f>IF(AL550&gt;0,(VLOOKUP(AL550,'Lookup Ready-reckoner'!$B$5:$E$1007,4))," ")</f>
        <v xml:space="preserve"> </v>
      </c>
      <c r="AP550" s="364"/>
      <c r="AQ550" s="364"/>
      <c r="AR550" s="364"/>
      <c r="AS550" s="367"/>
      <c r="AT550"/>
      <c r="AU550"/>
      <c r="AV550"/>
      <c r="AW550"/>
      <c r="AX550"/>
    </row>
    <row r="551" spans="35:50" ht="12.75" customHeight="1" thickBot="1">
      <c r="AI551" s="364"/>
      <c r="AJ551" s="692" t="s">
        <v>839</v>
      </c>
      <c r="AK551" s="693"/>
      <c r="AL551" s="693"/>
      <c r="AM551" s="705">
        <f>IF(AL549&gt;0,(VLOOKUP(AN551,'Lookup Ready-reckoner'!$L$5:$M$1207,2))," ")</f>
        <v>90.15</v>
      </c>
      <c r="AN551" s="695">
        <f>IF(AM549&gt;0,(SUM(AN549:AN550))," ")</f>
        <v>333.33333333333331</v>
      </c>
      <c r="AO551" s="696"/>
      <c r="AP551" s="364"/>
      <c r="AQ551" s="364"/>
      <c r="AR551" s="364"/>
      <c r="AS551" s="367"/>
      <c r="AT551"/>
      <c r="AU551"/>
      <c r="AV551"/>
      <c r="AW551"/>
      <c r="AX551"/>
    </row>
    <row r="552" spans="35:50" ht="12.75" customHeight="1" thickBot="1">
      <c r="AI552" s="364"/>
      <c r="AJ552" s="892"/>
      <c r="AK552" s="893"/>
      <c r="AL552" s="893"/>
      <c r="AM552" s="893"/>
      <c r="AN552" s="893"/>
      <c r="AO552" s="894"/>
      <c r="AP552" s="364"/>
      <c r="AQ552" s="364"/>
      <c r="AR552" s="364"/>
      <c r="AS552" s="367"/>
      <c r="AT552"/>
      <c r="AU552"/>
      <c r="AV552"/>
      <c r="AW552"/>
      <c r="AX552"/>
    </row>
    <row r="553" spans="35:50" ht="12.75" customHeight="1">
      <c r="AI553" s="364"/>
      <c r="AJ553" s="895" t="s">
        <v>886</v>
      </c>
      <c r="AK553" s="896"/>
      <c r="AL553" s="900" t="s">
        <v>835</v>
      </c>
      <c r="AM553" s="900" t="s">
        <v>836</v>
      </c>
      <c r="AN553" s="900" t="s">
        <v>837</v>
      </c>
      <c r="AO553" s="902" t="s">
        <v>838</v>
      </c>
      <c r="AP553" s="364"/>
      <c r="AQ553" s="364"/>
      <c r="AR553" s="364"/>
      <c r="AS553" s="367"/>
      <c r="AT553"/>
      <c r="AU553"/>
      <c r="AV553"/>
      <c r="AW553"/>
      <c r="AX553"/>
    </row>
    <row r="554" spans="35:50" ht="12.75" customHeight="1">
      <c r="AI554" s="364"/>
      <c r="AJ554" s="892"/>
      <c r="AK554" s="897"/>
      <c r="AL554" s="901"/>
      <c r="AM554" s="901"/>
      <c r="AN554" s="901"/>
      <c r="AO554" s="903"/>
      <c r="AP554" s="364"/>
      <c r="AQ554" s="364"/>
      <c r="AR554" s="364"/>
      <c r="AS554" s="367"/>
      <c r="AT554"/>
      <c r="AU554"/>
      <c r="AV554"/>
      <c r="AW554"/>
      <c r="AX554"/>
    </row>
    <row r="555" spans="35:50" ht="12.75" customHeight="1">
      <c r="AI555" s="364"/>
      <c r="AJ555" s="892"/>
      <c r="AK555" s="897"/>
      <c r="AL555" s="704">
        <f>AL542-PPE!$I$15</f>
        <v>91.175066556366886</v>
      </c>
      <c r="AM555" s="560">
        <f>AM549</f>
        <v>2.6666666666666665</v>
      </c>
      <c r="AN555" s="690">
        <f>IF(AL555&gt;0,AO555*AM555," ")</f>
        <v>138.33333333333331</v>
      </c>
      <c r="AO555" s="691">
        <f>IF(AL555&gt;0,(VLOOKUP(AL555,'Lookup Ready-reckoner'!$B$5:$E$1207,4))," ")</f>
        <v>51.875</v>
      </c>
      <c r="AP555" s="364"/>
      <c r="AQ555" s="364"/>
      <c r="AR555" s="364"/>
      <c r="AS555" s="367"/>
      <c r="AT555"/>
      <c r="AU555"/>
      <c r="AV555"/>
      <c r="AW555"/>
      <c r="AX555"/>
    </row>
    <row r="556" spans="35:50" ht="12.75" customHeight="1">
      <c r="AI556" s="364"/>
      <c r="AJ556" s="898"/>
      <c r="AK556" s="899"/>
      <c r="AL556" s="447"/>
      <c r="AM556" s="560"/>
      <c r="AN556" s="690" t="str">
        <f>IF(AL556&gt;0,AO556*AM556," ")</f>
        <v xml:space="preserve"> </v>
      </c>
      <c r="AO556" s="691" t="str">
        <f>IF(AL556&gt;0,(VLOOKUP(AL556,'Lookup Ready-reckoner'!$B$5:$E$1007,4))," ")</f>
        <v xml:space="preserve"> </v>
      </c>
      <c r="AP556" s="364"/>
      <c r="AQ556" s="364"/>
      <c r="AR556" s="364"/>
      <c r="AS556" s="367"/>
      <c r="AT556"/>
      <c r="AU556"/>
      <c r="AV556"/>
      <c r="AW556"/>
      <c r="AX556"/>
    </row>
    <row r="557" spans="35:50" ht="12.75" customHeight="1" thickBot="1">
      <c r="AI557" s="364"/>
      <c r="AJ557" s="692" t="s">
        <v>839</v>
      </c>
      <c r="AK557" s="693"/>
      <c r="AL557" s="693"/>
      <c r="AM557" s="705">
        <f>IF(AL555&gt;0,(VLOOKUP(AN557,'Lookup Ready-reckoner'!$L$5:$M$1207,2))," ")</f>
        <v>86.35</v>
      </c>
      <c r="AN557" s="695">
        <f>IF(AM555&gt;0,(SUM(AN555:AN556))," ")</f>
        <v>138.33333333333331</v>
      </c>
      <c r="AO557" s="696"/>
      <c r="AP557" s="364"/>
      <c r="AQ557" s="364"/>
      <c r="AR557" s="364"/>
      <c r="AS557" s="367"/>
      <c r="AT557"/>
      <c r="AU557"/>
      <c r="AV557"/>
      <c r="AW557"/>
      <c r="AX557"/>
    </row>
    <row r="558" spans="35:50" ht="12.75" customHeight="1">
      <c r="AI558" s="364"/>
      <c r="AJ558" s="364"/>
      <c r="AK558" s="364"/>
      <c r="AL558" s="364"/>
      <c r="AM558" s="364"/>
      <c r="AN558" s="364"/>
      <c r="AO558" s="364"/>
      <c r="AP558" s="364"/>
      <c r="AQ558" s="364"/>
      <c r="AR558" s="364"/>
      <c r="AS558" s="367"/>
      <c r="AT558"/>
      <c r="AU558"/>
      <c r="AV558"/>
      <c r="AW558"/>
      <c r="AX558"/>
    </row>
    <row r="559" spans="35:50" ht="12.75" customHeight="1">
      <c r="AI559" s="23"/>
      <c r="AJ559" s="23"/>
      <c r="AK559" s="23"/>
      <c r="AL559" s="23"/>
      <c r="AM559" s="23"/>
      <c r="AN559" s="23"/>
      <c r="AO559" s="23"/>
      <c r="AP559" s="23"/>
      <c r="AQ559" s="23"/>
      <c r="AR559" s="23"/>
      <c r="AS559"/>
      <c r="AT559"/>
      <c r="AU559"/>
      <c r="AV559"/>
      <c r="AW559"/>
      <c r="AX559"/>
    </row>
    <row r="560" spans="35:50" ht="12.75" customHeight="1">
      <c r="AI560" s="23"/>
      <c r="AJ560" s="23"/>
      <c r="AK560" s="23"/>
      <c r="AL560" s="23"/>
      <c r="AM560" s="23"/>
      <c r="AN560" s="23"/>
      <c r="AO560" s="23"/>
      <c r="AP560" s="23"/>
      <c r="AQ560" s="23"/>
      <c r="AR560" s="23"/>
      <c r="AS560"/>
      <c r="AT560"/>
      <c r="AU560"/>
      <c r="AV560"/>
      <c r="AW560"/>
      <c r="AX560"/>
    </row>
    <row r="561" spans="35:50" ht="12.75" customHeight="1">
      <c r="AI561" s="23"/>
      <c r="AJ561" s="23"/>
      <c r="AK561" s="23"/>
      <c r="AL561" s="23"/>
      <c r="AM561" s="23"/>
      <c r="AN561" s="23"/>
      <c r="AO561" s="23"/>
      <c r="AP561" s="23"/>
      <c r="AQ561" s="23"/>
      <c r="AR561" s="23"/>
      <c r="AS561"/>
      <c r="AT561"/>
      <c r="AU561"/>
      <c r="AV561"/>
      <c r="AW561"/>
      <c r="AX561"/>
    </row>
    <row r="562" spans="35:50" ht="12.75" customHeight="1">
      <c r="AI562" s="23"/>
      <c r="AJ562" s="23"/>
      <c r="AK562" s="23"/>
      <c r="AL562" s="23"/>
      <c r="AM562" s="23"/>
      <c r="AN562" s="23"/>
      <c r="AO562" s="23"/>
      <c r="AP562" s="23"/>
      <c r="AQ562" s="23"/>
      <c r="AR562" s="23"/>
      <c r="AS562"/>
      <c r="AT562"/>
      <c r="AU562"/>
      <c r="AV562"/>
      <c r="AW562"/>
      <c r="AX562"/>
    </row>
    <row r="563" spans="35:50" ht="12.75" customHeight="1">
      <c r="AI563" s="23"/>
      <c r="AJ563" s="23"/>
      <c r="AK563" s="23"/>
      <c r="AL563" s="23"/>
      <c r="AM563" s="23"/>
      <c r="AN563" s="23"/>
      <c r="AO563" s="23"/>
      <c r="AP563" s="23"/>
      <c r="AQ563" s="23"/>
      <c r="AR563" s="23"/>
      <c r="AS563"/>
      <c r="AT563"/>
      <c r="AU563"/>
      <c r="AV563"/>
      <c r="AW563"/>
      <c r="AX563"/>
    </row>
    <row r="564" spans="35:50" ht="12.75" customHeight="1">
      <c r="AI564" s="23"/>
      <c r="AJ564" s="23"/>
      <c r="AK564" s="23"/>
      <c r="AL564" s="23"/>
      <c r="AM564" s="23"/>
      <c r="AN564" s="23"/>
      <c r="AO564" s="23"/>
      <c r="AP564" s="23"/>
      <c r="AQ564" s="23"/>
      <c r="AR564" s="23"/>
      <c r="AS564"/>
      <c r="AT564"/>
      <c r="AU564"/>
      <c r="AV564"/>
      <c r="AW564"/>
      <c r="AX564"/>
    </row>
    <row r="565" spans="35:50" ht="12.75" customHeight="1">
      <c r="AI565" s="23"/>
      <c r="AJ565" s="23"/>
      <c r="AK565" s="23"/>
      <c r="AL565" s="23"/>
      <c r="AM565" s="23"/>
      <c r="AN565" s="23"/>
      <c r="AO565" s="23"/>
      <c r="AP565" s="23"/>
      <c r="AQ565" s="23"/>
      <c r="AR565" s="23"/>
      <c r="AS565"/>
      <c r="AT565"/>
      <c r="AU565"/>
      <c r="AV565"/>
      <c r="AW565"/>
      <c r="AX565"/>
    </row>
    <row r="566" spans="35:50" ht="12.75" customHeight="1">
      <c r="AI566" s="23"/>
      <c r="AJ566" s="23"/>
      <c r="AK566" s="23"/>
      <c r="AL566" s="23"/>
      <c r="AM566" s="23"/>
      <c r="AN566" s="23"/>
      <c r="AO566" s="23"/>
      <c r="AP566" s="23"/>
      <c r="AQ566" s="23"/>
      <c r="AR566" s="23"/>
      <c r="AS566"/>
      <c r="AT566"/>
      <c r="AU566"/>
      <c r="AV566"/>
      <c r="AW566"/>
      <c r="AX566"/>
    </row>
    <row r="567" spans="35:50" ht="12.75" customHeight="1">
      <c r="AI567" s="23"/>
      <c r="AJ567" s="23"/>
      <c r="AK567" s="23"/>
      <c r="AL567" s="23"/>
      <c r="AM567" s="23"/>
      <c r="AN567" s="23"/>
      <c r="AO567" s="23"/>
      <c r="AP567" s="23"/>
      <c r="AQ567" s="23"/>
      <c r="AR567" s="23"/>
      <c r="AS567"/>
      <c r="AT567"/>
      <c r="AU567"/>
      <c r="AV567"/>
      <c r="AW567"/>
      <c r="AX567"/>
    </row>
    <row r="568" spans="35:50" ht="12.75" customHeight="1">
      <c r="AI568" s="23"/>
      <c r="AJ568" s="23"/>
      <c r="AK568" s="23"/>
      <c r="AL568" s="23"/>
      <c r="AM568" s="23"/>
      <c r="AN568" s="23"/>
      <c r="AO568" s="23"/>
      <c r="AP568" s="23"/>
      <c r="AQ568" s="23"/>
      <c r="AR568" s="23"/>
      <c r="AS568"/>
      <c r="AT568"/>
      <c r="AU568"/>
      <c r="AV568"/>
      <c r="AW568"/>
      <c r="AX568"/>
    </row>
    <row r="569" spans="35:50" ht="12.75" customHeight="1">
      <c r="AI569" s="23"/>
      <c r="AJ569" s="23"/>
      <c r="AK569" s="23"/>
      <c r="AL569" s="23"/>
      <c r="AM569" s="23"/>
      <c r="AN569" s="23"/>
      <c r="AO569" s="23"/>
      <c r="AP569" s="23"/>
      <c r="AQ569" s="23"/>
      <c r="AR569" s="23"/>
      <c r="AS569"/>
      <c r="AT569"/>
      <c r="AU569"/>
      <c r="AV569"/>
      <c r="AW569"/>
      <c r="AX569"/>
    </row>
    <row r="570" spans="35:50" ht="12.75" customHeight="1">
      <c r="AI570" s="23"/>
      <c r="AJ570" s="23"/>
      <c r="AK570" s="23"/>
      <c r="AL570" s="23"/>
      <c r="AM570" s="23"/>
      <c r="AN570" s="23"/>
      <c r="AO570" s="23"/>
      <c r="AP570" s="23"/>
      <c r="AQ570" s="23"/>
      <c r="AR570" s="23"/>
      <c r="AS570"/>
      <c r="AT570"/>
      <c r="AU570"/>
      <c r="AV570"/>
      <c r="AW570"/>
      <c r="AX570"/>
    </row>
    <row r="571" spans="35:50" ht="12.75" customHeight="1">
      <c r="AI571" s="23"/>
      <c r="AJ571" s="23"/>
      <c r="AK571" s="23"/>
      <c r="AL571" s="23"/>
      <c r="AM571" s="23"/>
      <c r="AN571" s="23"/>
      <c r="AO571" s="23"/>
      <c r="AP571" s="23"/>
      <c r="AQ571" s="23"/>
      <c r="AR571" s="23"/>
      <c r="AS571"/>
      <c r="AT571"/>
      <c r="AU571"/>
      <c r="AV571"/>
      <c r="AW571"/>
      <c r="AX571"/>
    </row>
    <row r="572" spans="35:50" ht="12.75" customHeight="1">
      <c r="AI572" s="23"/>
      <c r="AJ572" s="23"/>
      <c r="AK572" s="23"/>
      <c r="AL572" s="23"/>
      <c r="AM572" s="23"/>
      <c r="AN572" s="23"/>
      <c r="AO572" s="23"/>
      <c r="AP572" s="23"/>
      <c r="AQ572" s="23"/>
      <c r="AR572" s="23"/>
      <c r="AS572"/>
      <c r="AT572"/>
      <c r="AU572"/>
      <c r="AV572"/>
      <c r="AW572"/>
      <c r="AX572"/>
    </row>
    <row r="573" spans="35:50" ht="12.75" customHeight="1">
      <c r="AI573" s="23"/>
      <c r="AJ573" s="23"/>
      <c r="AK573" s="23"/>
      <c r="AL573" s="23"/>
      <c r="AM573" s="23"/>
      <c r="AN573" s="23"/>
      <c r="AO573" s="23"/>
      <c r="AP573" s="23"/>
      <c r="AQ573" s="23"/>
      <c r="AR573" s="23"/>
      <c r="AS573"/>
      <c r="AT573"/>
      <c r="AU573"/>
      <c r="AV573"/>
      <c r="AW573"/>
      <c r="AX573"/>
    </row>
    <row r="574" spans="35:50" ht="12.75" customHeight="1">
      <c r="AI574" s="23"/>
      <c r="AJ574" s="23"/>
      <c r="AK574" s="23"/>
      <c r="AL574" s="23"/>
      <c r="AM574" s="23"/>
      <c r="AN574" s="23"/>
      <c r="AO574" s="23"/>
      <c r="AP574" s="23"/>
      <c r="AQ574" s="23"/>
      <c r="AR574" s="23"/>
      <c r="AS574"/>
      <c r="AT574"/>
      <c r="AU574"/>
      <c r="AV574"/>
      <c r="AW574"/>
      <c r="AX574"/>
    </row>
    <row r="575" spans="35:50" ht="12.75" customHeight="1">
      <c r="AI575" s="23"/>
      <c r="AJ575" s="23"/>
      <c r="AK575" s="23"/>
      <c r="AL575" s="23"/>
      <c r="AM575" s="23"/>
      <c r="AN575" s="23"/>
      <c r="AO575" s="23"/>
      <c r="AP575" s="23"/>
      <c r="AQ575" s="23"/>
      <c r="AR575" s="23"/>
      <c r="AS575"/>
      <c r="AT575"/>
      <c r="AU575"/>
      <c r="AV575"/>
      <c r="AW575"/>
      <c r="AX575"/>
    </row>
    <row r="576" spans="35:50" ht="12.75" customHeight="1">
      <c r="AI576" s="23"/>
      <c r="AJ576" s="23"/>
      <c r="AK576" s="23"/>
      <c r="AL576" s="23"/>
      <c r="AM576" s="23"/>
      <c r="AN576" s="23"/>
      <c r="AO576" s="23"/>
      <c r="AP576" s="23"/>
      <c r="AQ576" s="23"/>
      <c r="AR576" s="23"/>
      <c r="AS576"/>
      <c r="AT576"/>
      <c r="AU576"/>
      <c r="AV576"/>
      <c r="AW576"/>
      <c r="AX576"/>
    </row>
    <row r="577" spans="35:50" ht="12.75" customHeight="1">
      <c r="AI577" s="23"/>
      <c r="AJ577" s="23"/>
      <c r="AK577" s="23"/>
      <c r="AL577" s="23"/>
      <c r="AM577" s="23"/>
      <c r="AN577" s="23"/>
      <c r="AO577" s="23"/>
      <c r="AP577" s="23"/>
      <c r="AQ577" s="23"/>
      <c r="AR577" s="23"/>
      <c r="AS577"/>
      <c r="AT577"/>
      <c r="AU577"/>
      <c r="AV577"/>
      <c r="AW577"/>
      <c r="AX577"/>
    </row>
    <row r="578" spans="35:50" ht="12.75" customHeight="1">
      <c r="AI578" s="23"/>
      <c r="AJ578" s="23"/>
      <c r="AK578" s="23"/>
      <c r="AL578" s="23"/>
      <c r="AM578" s="23"/>
      <c r="AN578" s="23"/>
      <c r="AO578" s="23"/>
      <c r="AP578" s="23"/>
      <c r="AQ578" s="23"/>
      <c r="AR578" s="23"/>
      <c r="AS578"/>
      <c r="AT578"/>
      <c r="AU578"/>
      <c r="AV578"/>
      <c r="AW578"/>
      <c r="AX578"/>
    </row>
    <row r="579" spans="35:50" ht="12.75" customHeight="1">
      <c r="AI579" s="23"/>
      <c r="AJ579" s="23"/>
      <c r="AK579" s="23"/>
      <c r="AL579" s="23"/>
      <c r="AM579" s="23"/>
      <c r="AN579" s="23"/>
      <c r="AO579" s="23"/>
      <c r="AP579" s="23"/>
      <c r="AQ579" s="23"/>
      <c r="AR579" s="23"/>
      <c r="AS579"/>
      <c r="AT579"/>
      <c r="AU579"/>
      <c r="AV579"/>
      <c r="AW579"/>
      <c r="AX579"/>
    </row>
    <row r="580" spans="35:50" ht="12.75" customHeight="1">
      <c r="AI580" s="23"/>
      <c r="AJ580" s="23"/>
      <c r="AK580" s="23"/>
      <c r="AL580" s="23"/>
      <c r="AM580" s="23"/>
      <c r="AN580" s="23"/>
      <c r="AO580" s="23"/>
      <c r="AP580" s="23"/>
      <c r="AQ580" s="23"/>
      <c r="AR580" s="23"/>
      <c r="AS580"/>
      <c r="AT580"/>
      <c r="AU580"/>
      <c r="AV580"/>
      <c r="AW580"/>
      <c r="AX580"/>
    </row>
    <row r="581" spans="35:50" ht="12.75" customHeight="1">
      <c r="AI581" s="23"/>
      <c r="AJ581" s="23"/>
      <c r="AK581" s="23"/>
      <c r="AL581" s="23"/>
      <c r="AM581" s="23"/>
      <c r="AN581" s="23"/>
      <c r="AO581" s="23"/>
      <c r="AP581" s="23"/>
      <c r="AQ581" s="23"/>
      <c r="AR581" s="23"/>
      <c r="AS581"/>
      <c r="AT581"/>
      <c r="AU581"/>
      <c r="AV581"/>
      <c r="AW581"/>
      <c r="AX581"/>
    </row>
    <row r="582" spans="35:50" ht="12.75" customHeight="1">
      <c r="AI582" s="23"/>
      <c r="AJ582" s="23"/>
      <c r="AK582" s="23"/>
      <c r="AL582" s="23"/>
      <c r="AM582" s="23"/>
      <c r="AN582" s="23"/>
      <c r="AO582" s="23"/>
      <c r="AP582" s="23"/>
      <c r="AQ582" s="23"/>
      <c r="AR582" s="23"/>
      <c r="AS582"/>
      <c r="AT582"/>
      <c r="AU582"/>
      <c r="AV582"/>
      <c r="AW582"/>
      <c r="AX582"/>
    </row>
    <row r="583" spans="35:50" ht="12.75" customHeight="1">
      <c r="AI583" s="23"/>
      <c r="AJ583" s="23"/>
      <c r="AK583" s="23"/>
      <c r="AL583" s="23"/>
      <c r="AM583" s="23"/>
      <c r="AN583" s="23"/>
      <c r="AO583" s="23"/>
      <c r="AP583" s="23"/>
      <c r="AQ583" s="23"/>
      <c r="AR583" s="23"/>
      <c r="AS583"/>
      <c r="AT583"/>
      <c r="AU583"/>
      <c r="AV583"/>
      <c r="AW583"/>
      <c r="AX583"/>
    </row>
    <row r="584" spans="35:50" ht="12.75" customHeight="1">
      <c r="AI584" s="23"/>
      <c r="AJ584" s="23"/>
      <c r="AK584" s="23"/>
      <c r="AL584" s="23"/>
      <c r="AM584" s="23"/>
      <c r="AN584" s="23"/>
      <c r="AO584" s="23"/>
      <c r="AP584" s="23"/>
      <c r="AQ584" s="23"/>
      <c r="AR584" s="23"/>
      <c r="AS584"/>
      <c r="AT584"/>
      <c r="AU584"/>
      <c r="AV584"/>
      <c r="AW584"/>
      <c r="AX584"/>
    </row>
    <row r="585" spans="35:50" ht="12.75" customHeight="1">
      <c r="AI585" s="23"/>
      <c r="AJ585" s="23"/>
      <c r="AK585" s="23"/>
      <c r="AL585" s="23"/>
      <c r="AM585" s="23"/>
      <c r="AN585" s="23"/>
      <c r="AO585" s="23"/>
      <c r="AP585" s="23"/>
      <c r="AQ585" s="23"/>
      <c r="AR585" s="23"/>
      <c r="AS585"/>
      <c r="AT585"/>
      <c r="AU585"/>
      <c r="AV585"/>
      <c r="AW585"/>
      <c r="AX585"/>
    </row>
    <row r="586" spans="35:50" ht="12.75" customHeight="1">
      <c r="AI586" s="23"/>
      <c r="AJ586" s="23"/>
      <c r="AK586" s="23"/>
      <c r="AL586" s="23"/>
      <c r="AM586" s="23"/>
      <c r="AN586" s="23"/>
      <c r="AO586" s="23"/>
      <c r="AP586" s="23"/>
      <c r="AQ586" s="23"/>
      <c r="AR586" s="23"/>
      <c r="AS586"/>
      <c r="AT586"/>
      <c r="AU586"/>
      <c r="AV586"/>
      <c r="AW586"/>
      <c r="AX586"/>
    </row>
    <row r="587" spans="35:50" ht="12.75" customHeight="1">
      <c r="AI587" s="23"/>
      <c r="AJ587" s="23"/>
      <c r="AK587" s="23"/>
      <c r="AL587" s="23"/>
      <c r="AM587" s="23"/>
      <c r="AN587" s="23"/>
      <c r="AO587" s="23"/>
      <c r="AP587" s="23"/>
      <c r="AQ587" s="23"/>
      <c r="AR587" s="23"/>
      <c r="AS587"/>
      <c r="AT587"/>
      <c r="AU587"/>
      <c r="AV587"/>
      <c r="AW587"/>
      <c r="AX587"/>
    </row>
    <row r="588" spans="35:50" ht="12.75" customHeight="1">
      <c r="AI588" s="23"/>
      <c r="AJ588" s="23"/>
      <c r="AK588" s="23"/>
      <c r="AL588" s="23"/>
      <c r="AM588" s="23"/>
      <c r="AN588" s="23"/>
      <c r="AO588" s="23"/>
      <c r="AP588" s="23"/>
      <c r="AQ588" s="23"/>
      <c r="AR588" s="23"/>
      <c r="AS588"/>
      <c r="AT588"/>
      <c r="AU588"/>
      <c r="AV588"/>
      <c r="AW588"/>
      <c r="AX588"/>
    </row>
    <row r="589" spans="35:50" ht="12.75" customHeight="1">
      <c r="AI589" s="23"/>
      <c r="AJ589" s="23"/>
      <c r="AK589" s="23"/>
      <c r="AL589" s="23"/>
      <c r="AM589" s="23"/>
      <c r="AN589" s="23"/>
      <c r="AO589" s="23"/>
      <c r="AP589" s="23"/>
      <c r="AQ589" s="23"/>
      <c r="AR589" s="23"/>
      <c r="AS589"/>
      <c r="AT589"/>
      <c r="AU589"/>
      <c r="AV589"/>
      <c r="AW589"/>
      <c r="AX589"/>
    </row>
    <row r="590" spans="35:50" ht="12.75" customHeight="1">
      <c r="AI590"/>
      <c r="AJ590"/>
      <c r="AK590"/>
      <c r="AL590"/>
      <c r="AM590"/>
      <c r="AN590"/>
      <c r="AO590"/>
      <c r="AP590"/>
      <c r="AQ590"/>
      <c r="AR590"/>
      <c r="AS590"/>
      <c r="AT590"/>
      <c r="AU590"/>
      <c r="AV590"/>
      <c r="AW590"/>
      <c r="AX590"/>
    </row>
    <row r="591" spans="35:50" ht="12.75" customHeight="1">
      <c r="AI591"/>
      <c r="AJ591"/>
      <c r="AK591"/>
      <c r="AL591"/>
      <c r="AM591"/>
      <c r="AN591"/>
      <c r="AO591"/>
      <c r="AP591"/>
      <c r="AQ591"/>
      <c r="AR591"/>
      <c r="AS591"/>
      <c r="AT591"/>
      <c r="AU591"/>
      <c r="AV591"/>
      <c r="AW591"/>
      <c r="AX591"/>
    </row>
    <row r="592" spans="35:50" ht="12.75" customHeight="1">
      <c r="AI592"/>
      <c r="AJ592"/>
      <c r="AK592"/>
      <c r="AL592"/>
      <c r="AM592"/>
      <c r="AN592"/>
      <c r="AO592"/>
      <c r="AP592"/>
      <c r="AQ592"/>
      <c r="AR592"/>
      <c r="AS592"/>
      <c r="AT592"/>
      <c r="AU592"/>
      <c r="AV592"/>
      <c r="AW592"/>
      <c r="AX592"/>
    </row>
    <row r="593" spans="35:50" ht="12.75" customHeight="1">
      <c r="AI593"/>
      <c r="AJ593"/>
      <c r="AK593"/>
      <c r="AL593"/>
      <c r="AM593"/>
      <c r="AN593"/>
      <c r="AO593"/>
      <c r="AP593"/>
      <c r="AQ593"/>
      <c r="AR593"/>
      <c r="AS593"/>
      <c r="AT593"/>
      <c r="AU593"/>
      <c r="AV593"/>
      <c r="AW593"/>
      <c r="AX593"/>
    </row>
    <row r="594" spans="35:50" ht="12.75" customHeight="1">
      <c r="AI594"/>
      <c r="AJ594"/>
      <c r="AK594"/>
      <c r="AL594"/>
      <c r="AM594"/>
      <c r="AN594"/>
      <c r="AO594"/>
      <c r="AP594"/>
      <c r="AQ594"/>
      <c r="AR594"/>
      <c r="AS594"/>
      <c r="AT594"/>
      <c r="AU594"/>
      <c r="AV594"/>
      <c r="AW594"/>
      <c r="AX594"/>
    </row>
    <row r="595" spans="35:50" ht="12.75" customHeight="1">
      <c r="AI595"/>
      <c r="AJ595"/>
      <c r="AK595"/>
      <c r="AL595"/>
      <c r="AM595"/>
      <c r="AN595"/>
      <c r="AO595"/>
      <c r="AP595"/>
      <c r="AQ595"/>
      <c r="AR595"/>
      <c r="AS595"/>
      <c r="AT595"/>
      <c r="AU595"/>
      <c r="AV595"/>
      <c r="AW595"/>
      <c r="AX595"/>
    </row>
    <row r="596" spans="35:50" ht="12.75" customHeight="1">
      <c r="AI596"/>
      <c r="AJ596"/>
      <c r="AK596"/>
      <c r="AL596"/>
      <c r="AM596"/>
      <c r="AN596"/>
      <c r="AO596"/>
      <c r="AP596"/>
      <c r="AQ596"/>
      <c r="AR596"/>
      <c r="AS596"/>
      <c r="AT596"/>
      <c r="AU596"/>
      <c r="AV596"/>
      <c r="AW596"/>
      <c r="AX596"/>
    </row>
    <row r="597" spans="35:50" ht="12.75" customHeight="1">
      <c r="AI597"/>
      <c r="AJ597"/>
      <c r="AK597"/>
      <c r="AL597"/>
      <c r="AM597"/>
      <c r="AN597"/>
      <c r="AO597"/>
      <c r="AP597"/>
      <c r="AQ597"/>
      <c r="AR597"/>
      <c r="AS597"/>
      <c r="AT597"/>
      <c r="AU597"/>
      <c r="AV597"/>
      <c r="AW597"/>
      <c r="AX597"/>
    </row>
    <row r="598" spans="35:50" ht="12.75" customHeight="1">
      <c r="AI598"/>
      <c r="AJ598"/>
      <c r="AK598"/>
      <c r="AL598"/>
      <c r="AM598"/>
      <c r="AN598"/>
      <c r="AO598"/>
      <c r="AP598"/>
      <c r="AQ598"/>
      <c r="AR598"/>
      <c r="AS598"/>
      <c r="AT598"/>
      <c r="AU598"/>
      <c r="AV598"/>
      <c r="AW598"/>
      <c r="AX598"/>
    </row>
    <row r="599" spans="35:50" ht="12.75" customHeight="1">
      <c r="AI599"/>
      <c r="AJ599"/>
      <c r="AK599"/>
      <c r="AL599"/>
      <c r="AM599"/>
      <c r="AN599"/>
      <c r="AO599"/>
      <c r="AP599"/>
      <c r="AQ599"/>
      <c r="AR599"/>
      <c r="AS599"/>
      <c r="AT599"/>
      <c r="AU599"/>
      <c r="AV599"/>
      <c r="AW599"/>
      <c r="AX599"/>
    </row>
    <row r="600" spans="35:50" ht="12.75" customHeight="1">
      <c r="AI600"/>
      <c r="AJ600"/>
      <c r="AK600"/>
      <c r="AL600"/>
      <c r="AM600"/>
      <c r="AN600"/>
      <c r="AO600"/>
      <c r="AP600"/>
      <c r="AQ600"/>
      <c r="AR600"/>
      <c r="AS600"/>
      <c r="AT600"/>
      <c r="AU600"/>
      <c r="AV600"/>
      <c r="AW600"/>
      <c r="AX600"/>
    </row>
    <row r="601" spans="35:50" ht="12.75" customHeight="1">
      <c r="AI601"/>
      <c r="AJ601"/>
      <c r="AK601"/>
      <c r="AL601"/>
      <c r="AM601"/>
      <c r="AN601"/>
      <c r="AO601"/>
      <c r="AP601"/>
      <c r="AQ601"/>
      <c r="AR601"/>
      <c r="AS601"/>
      <c r="AT601"/>
      <c r="AU601"/>
      <c r="AV601"/>
      <c r="AW601"/>
      <c r="AX601"/>
    </row>
    <row r="602" spans="35:50" ht="12.75" customHeight="1">
      <c r="AI602"/>
      <c r="AJ602"/>
      <c r="AK602"/>
      <c r="AL602"/>
      <c r="AM602"/>
      <c r="AN602"/>
      <c r="AO602"/>
      <c r="AP602"/>
      <c r="AQ602"/>
      <c r="AR602"/>
      <c r="AS602"/>
      <c r="AT602"/>
      <c r="AU602"/>
      <c r="AV602"/>
      <c r="AW602"/>
      <c r="AX602"/>
    </row>
    <row r="603" spans="35:50" ht="12.75" customHeight="1">
      <c r="AI603"/>
      <c r="AJ603"/>
      <c r="AK603"/>
      <c r="AL603"/>
      <c r="AM603"/>
      <c r="AN603"/>
      <c r="AO603"/>
      <c r="AP603"/>
      <c r="AQ603"/>
      <c r="AR603"/>
      <c r="AS603"/>
      <c r="AT603"/>
      <c r="AU603"/>
      <c r="AV603"/>
      <c r="AW603"/>
      <c r="AX603"/>
    </row>
    <row r="604" spans="35:50" ht="12.75" customHeight="1">
      <c r="AI604"/>
      <c r="AJ604"/>
      <c r="AK604"/>
      <c r="AL604"/>
      <c r="AM604"/>
      <c r="AN604"/>
      <c r="AO604"/>
      <c r="AP604"/>
      <c r="AQ604"/>
      <c r="AR604"/>
      <c r="AS604"/>
      <c r="AT604"/>
      <c r="AU604"/>
      <c r="AV604"/>
      <c r="AW604"/>
      <c r="AX604"/>
    </row>
    <row r="605" spans="35:50" ht="12.75" customHeight="1">
      <c r="AI605"/>
      <c r="AJ605"/>
      <c r="AK605"/>
      <c r="AL605"/>
      <c r="AM605"/>
      <c r="AN605"/>
      <c r="AO605"/>
      <c r="AP605"/>
      <c r="AQ605"/>
      <c r="AR605"/>
      <c r="AS605"/>
      <c r="AT605"/>
      <c r="AU605"/>
      <c r="AV605"/>
      <c r="AW605"/>
      <c r="AX605"/>
    </row>
    <row r="606" spans="35:50" ht="12.75" customHeight="1">
      <c r="AI606"/>
      <c r="AJ606"/>
      <c r="AK606"/>
      <c r="AL606"/>
      <c r="AM606"/>
      <c r="AN606"/>
      <c r="AO606"/>
      <c r="AP606"/>
      <c r="AQ606"/>
      <c r="AR606"/>
      <c r="AS606"/>
      <c r="AT606"/>
      <c r="AU606"/>
      <c r="AV606"/>
      <c r="AW606"/>
      <c r="AX606"/>
    </row>
    <row r="607" spans="35:50" ht="12.75" customHeight="1">
      <c r="AI607"/>
      <c r="AJ607"/>
      <c r="AK607"/>
      <c r="AL607"/>
      <c r="AM607"/>
      <c r="AN607"/>
      <c r="AO607"/>
      <c r="AP607"/>
      <c r="AQ607"/>
      <c r="AR607"/>
      <c r="AS607"/>
      <c r="AT607"/>
      <c r="AU607"/>
      <c r="AV607"/>
      <c r="AW607"/>
      <c r="AX607"/>
    </row>
    <row r="608" spans="35:50" ht="12.75" customHeight="1">
      <c r="AI608"/>
      <c r="AJ608"/>
      <c r="AK608"/>
      <c r="AL608"/>
      <c r="AM608"/>
      <c r="AN608"/>
      <c r="AO608"/>
      <c r="AP608"/>
      <c r="AQ608"/>
      <c r="AR608"/>
      <c r="AS608"/>
      <c r="AT608"/>
      <c r="AU608"/>
      <c r="AV608"/>
      <c r="AW608"/>
      <c r="AX608"/>
    </row>
    <row r="609" spans="35:44" ht="12.75" customHeight="1">
      <c r="AI609" s="23"/>
      <c r="AJ609" s="1"/>
      <c r="AK609" s="1"/>
      <c r="AL609" s="1"/>
      <c r="AM609" s="1"/>
      <c r="AN609" s="1"/>
      <c r="AO609" s="1"/>
      <c r="AP609" s="1"/>
      <c r="AQ609" s="1"/>
      <c r="AR609" s="1"/>
    </row>
    <row r="610" spans="35:44" ht="12.75" customHeight="1">
      <c r="AI610" s="23"/>
      <c r="AJ610" s="1"/>
      <c r="AK610" s="1"/>
      <c r="AL610" s="1"/>
      <c r="AM610" s="1"/>
      <c r="AN610" s="1"/>
      <c r="AO610" s="1"/>
      <c r="AP610" s="1"/>
      <c r="AQ610" s="1"/>
      <c r="AR610" s="1"/>
    </row>
    <row r="611" spans="35:44" ht="12.75" customHeight="1">
      <c r="AI611" s="23"/>
      <c r="AJ611" s="1"/>
      <c r="AK611" s="1"/>
      <c r="AL611" s="1"/>
      <c r="AM611" s="1"/>
      <c r="AN611" s="1"/>
      <c r="AO611" s="1"/>
      <c r="AP611" s="1"/>
      <c r="AQ611" s="1"/>
      <c r="AR611" s="1"/>
    </row>
    <row r="612" spans="35:44" ht="12.75" customHeight="1">
      <c r="AI612" s="23"/>
      <c r="AJ612" s="1"/>
      <c r="AK612" s="1"/>
      <c r="AL612" s="1"/>
      <c r="AM612" s="1"/>
      <c r="AN612" s="1"/>
      <c r="AO612" s="1"/>
      <c r="AP612" s="1"/>
      <c r="AQ612" s="1"/>
      <c r="AR612" s="1"/>
    </row>
    <row r="613" spans="35:44" ht="12.75" customHeight="1">
      <c r="AI613" s="23"/>
      <c r="AJ613" s="1"/>
      <c r="AK613" s="1"/>
      <c r="AL613" s="1"/>
      <c r="AM613" s="1"/>
      <c r="AN613" s="1"/>
      <c r="AO613" s="1"/>
      <c r="AP613" s="1"/>
      <c r="AQ613" s="1"/>
      <c r="AR613" s="1"/>
    </row>
    <row r="614" spans="35:44" ht="12.75" customHeight="1">
      <c r="AI614" s="23"/>
      <c r="AJ614" s="1"/>
      <c r="AK614" s="1"/>
      <c r="AL614" s="1"/>
      <c r="AM614" s="1"/>
      <c r="AN614" s="1"/>
      <c r="AO614" s="1"/>
      <c r="AP614" s="1"/>
      <c r="AQ614" s="1"/>
      <c r="AR614" s="1"/>
    </row>
    <row r="615" spans="35:44" ht="12.75" customHeight="1">
      <c r="AI615" s="23"/>
      <c r="AJ615" s="1"/>
      <c r="AK615" s="1"/>
      <c r="AL615" s="1"/>
      <c r="AM615" s="1"/>
      <c r="AN615" s="1"/>
      <c r="AO615" s="1"/>
      <c r="AP615" s="1"/>
      <c r="AQ615" s="1"/>
      <c r="AR615" s="1"/>
    </row>
    <row r="616" spans="35:44" ht="12.75" customHeight="1">
      <c r="AI616" s="23"/>
      <c r="AJ616" s="1"/>
      <c r="AK616" s="1"/>
      <c r="AL616" s="1"/>
      <c r="AM616" s="1"/>
      <c r="AN616" s="1"/>
      <c r="AO616" s="1"/>
      <c r="AP616" s="1"/>
      <c r="AQ616" s="1"/>
      <c r="AR616" s="1"/>
    </row>
    <row r="617" spans="35:44" ht="12.75" customHeight="1">
      <c r="AI617" s="23"/>
      <c r="AJ617" s="1"/>
      <c r="AK617" s="1"/>
      <c r="AL617" s="1"/>
      <c r="AM617" s="1"/>
      <c r="AN617" s="1"/>
      <c r="AO617" s="1"/>
      <c r="AP617" s="1"/>
      <c r="AQ617" s="1"/>
      <c r="AR617" s="1"/>
    </row>
    <row r="618" spans="35:44" ht="12.75" customHeight="1">
      <c r="AI618" s="23"/>
      <c r="AJ618" s="1"/>
      <c r="AK618" s="1"/>
      <c r="AL618" s="1"/>
      <c r="AM618" s="1"/>
      <c r="AN618" s="1"/>
      <c r="AO618" s="1"/>
      <c r="AP618" s="1"/>
      <c r="AQ618" s="1"/>
      <c r="AR618" s="1"/>
    </row>
    <row r="619" spans="35:44" ht="12.75" customHeight="1">
      <c r="AI619" s="23"/>
      <c r="AJ619" s="1"/>
      <c r="AK619" s="1"/>
      <c r="AL619" s="1"/>
      <c r="AM619" s="1"/>
      <c r="AN619" s="1"/>
      <c r="AO619" s="1"/>
      <c r="AP619" s="1"/>
      <c r="AQ619" s="1"/>
      <c r="AR619" s="1"/>
    </row>
    <row r="620" spans="35:44" ht="12.75" customHeight="1">
      <c r="AI620" s="23"/>
      <c r="AJ620" s="1"/>
      <c r="AK620" s="1"/>
      <c r="AL620" s="1"/>
      <c r="AM620" s="1"/>
      <c r="AN620" s="1"/>
      <c r="AO620" s="1"/>
      <c r="AP620" s="1"/>
      <c r="AQ620" s="1"/>
      <c r="AR620" s="1"/>
    </row>
    <row r="621" spans="35:44" ht="12.75" customHeight="1">
      <c r="AI621" s="23"/>
      <c r="AJ621" s="1"/>
      <c r="AK621" s="1"/>
      <c r="AL621" s="1"/>
      <c r="AM621" s="1"/>
      <c r="AN621" s="1"/>
      <c r="AO621" s="1"/>
      <c r="AP621" s="1"/>
      <c r="AQ621" s="1"/>
      <c r="AR621" s="1"/>
    </row>
    <row r="622" spans="35:44" ht="12.75" customHeight="1">
      <c r="AI622" s="23"/>
      <c r="AJ622" s="1"/>
      <c r="AK622" s="1"/>
      <c r="AL622" s="1"/>
      <c r="AM622" s="1"/>
      <c r="AN622" s="1"/>
      <c r="AO622" s="1"/>
      <c r="AP622" s="1"/>
      <c r="AQ622" s="1"/>
      <c r="AR622" s="1"/>
    </row>
    <row r="623" spans="35:44" ht="12.75" customHeight="1">
      <c r="AI623" s="23"/>
      <c r="AJ623" s="1"/>
      <c r="AK623" s="1"/>
      <c r="AL623" s="1"/>
      <c r="AM623" s="1"/>
      <c r="AN623" s="1"/>
      <c r="AO623" s="1"/>
      <c r="AP623" s="1"/>
      <c r="AQ623" s="1"/>
      <c r="AR623" s="1"/>
    </row>
    <row r="624" spans="35:44" ht="12.75" customHeight="1">
      <c r="AI624" s="23"/>
      <c r="AJ624" s="1"/>
      <c r="AK624" s="1"/>
      <c r="AL624" s="1"/>
      <c r="AM624" s="1"/>
      <c r="AN624" s="1"/>
      <c r="AO624" s="1"/>
      <c r="AP624" s="1"/>
      <c r="AQ624" s="1"/>
      <c r="AR624" s="1"/>
    </row>
    <row r="625" spans="35:44" ht="12.75" customHeight="1">
      <c r="AI625" s="23"/>
      <c r="AJ625" s="1"/>
      <c r="AK625" s="1"/>
      <c r="AL625" s="1"/>
      <c r="AM625" s="1"/>
      <c r="AN625" s="1"/>
      <c r="AO625" s="1"/>
      <c r="AP625" s="1"/>
      <c r="AQ625" s="1"/>
      <c r="AR625" s="1"/>
    </row>
    <row r="626" spans="35:44" ht="12.75" customHeight="1">
      <c r="AI626" s="23"/>
      <c r="AJ626" s="1"/>
      <c r="AK626" s="1"/>
      <c r="AL626" s="1"/>
      <c r="AM626" s="1"/>
      <c r="AN626" s="1"/>
      <c r="AO626" s="1"/>
      <c r="AP626" s="1"/>
      <c r="AQ626" s="1"/>
      <c r="AR626" s="1"/>
    </row>
    <row r="627" spans="35:44" ht="12.75" customHeight="1">
      <c r="AI627" s="23"/>
      <c r="AJ627" s="1"/>
      <c r="AK627" s="1"/>
      <c r="AL627" s="1"/>
      <c r="AM627" s="1"/>
      <c r="AN627" s="1"/>
      <c r="AO627" s="1"/>
      <c r="AP627" s="1"/>
      <c r="AQ627" s="1"/>
      <c r="AR627" s="1"/>
    </row>
    <row r="628" spans="35:44" ht="12.75" customHeight="1">
      <c r="AI628" s="23"/>
      <c r="AJ628" s="1"/>
      <c r="AK628" s="1"/>
      <c r="AL628" s="1"/>
      <c r="AM628" s="1"/>
      <c r="AN628" s="1"/>
      <c r="AO628" s="1"/>
      <c r="AP628" s="1"/>
      <c r="AQ628" s="1"/>
      <c r="AR628" s="1"/>
    </row>
    <row r="629" spans="35:44" ht="12.75" customHeight="1">
      <c r="AI629" s="23"/>
      <c r="AJ629" s="1"/>
      <c r="AK629" s="1"/>
      <c r="AL629" s="1"/>
      <c r="AM629" s="1"/>
      <c r="AN629" s="1"/>
      <c r="AO629" s="1"/>
      <c r="AP629" s="1"/>
      <c r="AQ629" s="1"/>
      <c r="AR629" s="1"/>
    </row>
    <row r="630" spans="35:44" ht="12.75" customHeight="1">
      <c r="AI630" s="23"/>
      <c r="AJ630" s="1"/>
      <c r="AK630" s="1"/>
      <c r="AL630" s="1"/>
      <c r="AM630" s="1"/>
      <c r="AN630" s="1"/>
      <c r="AO630" s="1"/>
      <c r="AP630" s="1"/>
      <c r="AQ630" s="1"/>
      <c r="AR630" s="1"/>
    </row>
    <row r="631" spans="35:44" ht="12.75" customHeight="1">
      <c r="AI631" s="23"/>
      <c r="AJ631" s="1"/>
      <c r="AK631" s="1"/>
      <c r="AL631" s="1"/>
      <c r="AM631" s="1"/>
      <c r="AN631" s="1"/>
      <c r="AO631" s="1"/>
      <c r="AP631" s="1"/>
      <c r="AQ631" s="1"/>
      <c r="AR631" s="1"/>
    </row>
    <row r="632" spans="35:44" ht="12.75" customHeight="1">
      <c r="AI632" s="23"/>
      <c r="AJ632" s="1"/>
      <c r="AK632" s="1"/>
      <c r="AL632" s="1"/>
      <c r="AM632" s="1"/>
      <c r="AN632" s="1"/>
      <c r="AO632" s="1"/>
      <c r="AP632" s="1"/>
      <c r="AQ632" s="1"/>
      <c r="AR632" s="1"/>
    </row>
    <row r="633" spans="35:44" ht="12.75" customHeight="1">
      <c r="AI633" s="23"/>
      <c r="AJ633" s="1"/>
      <c r="AK633" s="1"/>
      <c r="AL633" s="1"/>
      <c r="AM633" s="1"/>
      <c r="AN633" s="1"/>
      <c r="AO633" s="1"/>
      <c r="AP633" s="1"/>
      <c r="AQ633" s="1"/>
      <c r="AR633" s="1"/>
    </row>
    <row r="634" spans="35:44" ht="12.75" customHeight="1">
      <c r="AI634" s="23"/>
      <c r="AJ634" s="1"/>
      <c r="AK634" s="1"/>
      <c r="AL634" s="1"/>
      <c r="AM634" s="1"/>
      <c r="AN634" s="1"/>
      <c r="AO634" s="1"/>
      <c r="AP634" s="1"/>
      <c r="AQ634" s="1"/>
      <c r="AR634" s="1"/>
    </row>
    <row r="635" spans="35:44" ht="12.75" customHeight="1">
      <c r="AI635" s="23"/>
      <c r="AJ635" s="1"/>
      <c r="AK635" s="1"/>
      <c r="AL635" s="1"/>
      <c r="AM635" s="1"/>
      <c r="AN635" s="1"/>
      <c r="AO635" s="1"/>
      <c r="AP635" s="1"/>
      <c r="AQ635" s="1"/>
      <c r="AR635" s="1"/>
    </row>
    <row r="636" spans="35:44" ht="12.75" customHeight="1">
      <c r="AI636" s="23"/>
      <c r="AJ636" s="1"/>
      <c r="AK636" s="1"/>
      <c r="AL636" s="1"/>
      <c r="AM636" s="1"/>
      <c r="AN636" s="1"/>
      <c r="AO636" s="1"/>
      <c r="AP636" s="1"/>
      <c r="AQ636" s="1"/>
      <c r="AR636" s="1"/>
    </row>
    <row r="637" spans="35:44" ht="12.75" customHeight="1">
      <c r="AI637" s="23"/>
      <c r="AJ637" s="1"/>
      <c r="AK637" s="1"/>
      <c r="AL637" s="1"/>
      <c r="AM637" s="1"/>
      <c r="AN637" s="1"/>
      <c r="AO637" s="1"/>
      <c r="AP637" s="1"/>
      <c r="AQ637" s="1"/>
      <c r="AR637" s="1"/>
    </row>
    <row r="638" spans="35:44" ht="12.75" customHeight="1">
      <c r="AI638" s="23"/>
      <c r="AJ638" s="1"/>
      <c r="AK638" s="1"/>
      <c r="AL638" s="1"/>
      <c r="AM638" s="1"/>
      <c r="AN638" s="1"/>
      <c r="AO638" s="1"/>
      <c r="AP638" s="1"/>
      <c r="AQ638" s="1"/>
      <c r="AR638" s="1"/>
    </row>
    <row r="639" spans="35:44" ht="12.75" customHeight="1">
      <c r="AI639" s="23"/>
      <c r="AJ639" s="1"/>
      <c r="AK639" s="1"/>
      <c r="AL639" s="1"/>
      <c r="AM639" s="1"/>
      <c r="AN639" s="1"/>
      <c r="AO639" s="1"/>
      <c r="AP639" s="1"/>
      <c r="AQ639" s="1"/>
      <c r="AR639" s="1"/>
    </row>
    <row r="640" spans="35:44" ht="12.75" customHeight="1">
      <c r="AI640" s="23"/>
      <c r="AJ640" s="1"/>
      <c r="AK640" s="1"/>
      <c r="AL640" s="1"/>
      <c r="AM640" s="1"/>
      <c r="AN640" s="1"/>
      <c r="AO640" s="1"/>
      <c r="AP640" s="1"/>
      <c r="AQ640" s="1"/>
      <c r="AR640" s="1"/>
    </row>
    <row r="641" spans="35:44" ht="12.75" customHeight="1">
      <c r="AI641" s="23"/>
      <c r="AJ641" s="1"/>
      <c r="AK641" s="1"/>
      <c r="AL641" s="1"/>
      <c r="AM641" s="1"/>
      <c r="AN641" s="1"/>
      <c r="AO641" s="1"/>
      <c r="AP641" s="1"/>
      <c r="AQ641" s="1"/>
      <c r="AR641" s="1"/>
    </row>
    <row r="642" spans="35:44" ht="12.75" customHeight="1">
      <c r="AI642" s="23"/>
      <c r="AJ642" s="1"/>
      <c r="AK642" s="1"/>
      <c r="AL642" s="1"/>
      <c r="AM642" s="1"/>
      <c r="AN642" s="1"/>
      <c r="AO642" s="1"/>
      <c r="AP642" s="1"/>
      <c r="AQ642" s="1"/>
      <c r="AR642" s="1"/>
    </row>
    <row r="643" spans="35:44" ht="12.75" customHeight="1">
      <c r="AI643" s="23"/>
      <c r="AJ643" s="1"/>
      <c r="AK643" s="1"/>
      <c r="AL643" s="1"/>
      <c r="AM643" s="1"/>
      <c r="AN643" s="1"/>
      <c r="AO643" s="1"/>
      <c r="AP643" s="1"/>
      <c r="AQ643" s="1"/>
      <c r="AR643" s="1"/>
    </row>
    <row r="644" spans="35:44" ht="12.75" customHeight="1">
      <c r="AI644" s="23"/>
      <c r="AJ644" s="1"/>
      <c r="AK644" s="1"/>
      <c r="AL644" s="1"/>
      <c r="AM644" s="1"/>
      <c r="AN644" s="1"/>
      <c r="AO644" s="1"/>
      <c r="AP644" s="1"/>
      <c r="AQ644" s="1"/>
      <c r="AR644" s="1"/>
    </row>
    <row r="645" spans="35:44" ht="12.75" customHeight="1">
      <c r="AI645" s="23"/>
      <c r="AJ645" s="1"/>
      <c r="AK645" s="1"/>
      <c r="AL645" s="1"/>
      <c r="AM645" s="1"/>
      <c r="AN645" s="1"/>
      <c r="AO645" s="1"/>
      <c r="AP645" s="1"/>
      <c r="AQ645" s="1"/>
      <c r="AR645" s="1"/>
    </row>
    <row r="646" spans="35:44" ht="12.75" customHeight="1">
      <c r="AI646" s="23"/>
      <c r="AJ646" s="1"/>
      <c r="AK646" s="1"/>
      <c r="AL646" s="1"/>
      <c r="AM646" s="1"/>
      <c r="AN646" s="1"/>
      <c r="AO646" s="1"/>
      <c r="AP646" s="1"/>
      <c r="AQ646" s="1"/>
      <c r="AR646" s="1"/>
    </row>
    <row r="647" spans="35:44" ht="12.75" customHeight="1">
      <c r="AI647" s="23"/>
      <c r="AJ647" s="1"/>
      <c r="AK647" s="1"/>
      <c r="AL647" s="1"/>
      <c r="AM647" s="1"/>
      <c r="AN647" s="1"/>
      <c r="AO647" s="1"/>
      <c r="AP647" s="1"/>
      <c r="AQ647" s="1"/>
      <c r="AR647" s="1"/>
    </row>
    <row r="648" spans="35:44" ht="12.75" customHeight="1">
      <c r="AI648" s="23"/>
      <c r="AJ648" s="1"/>
      <c r="AK648" s="1"/>
      <c r="AL648" s="1"/>
      <c r="AM648" s="1"/>
      <c r="AN648" s="1"/>
      <c r="AO648" s="1"/>
      <c r="AP648" s="1"/>
      <c r="AQ648" s="1"/>
      <c r="AR648" s="1"/>
    </row>
    <row r="649" spans="35:44" ht="12.75" customHeight="1">
      <c r="AI649" s="23"/>
      <c r="AJ649" s="1"/>
      <c r="AK649" s="1"/>
      <c r="AL649" s="1"/>
      <c r="AM649" s="1"/>
      <c r="AN649" s="1"/>
      <c r="AO649" s="1"/>
      <c r="AP649" s="1"/>
      <c r="AQ649" s="1"/>
      <c r="AR649" s="1"/>
    </row>
    <row r="650" spans="35:44" ht="12.75" customHeight="1">
      <c r="AI650" s="23"/>
      <c r="AJ650" s="1"/>
      <c r="AK650" s="1"/>
      <c r="AL650" s="1"/>
      <c r="AM650" s="1"/>
      <c r="AN650" s="1"/>
      <c r="AO650" s="1"/>
      <c r="AP650" s="1"/>
      <c r="AQ650" s="1"/>
      <c r="AR650" s="1"/>
    </row>
    <row r="651" spans="35:44" ht="12.75" customHeight="1">
      <c r="AI651" s="23"/>
      <c r="AJ651" s="1"/>
      <c r="AK651" s="1"/>
      <c r="AL651" s="1"/>
      <c r="AM651" s="1"/>
      <c r="AN651" s="1"/>
      <c r="AO651" s="1"/>
      <c r="AP651" s="1"/>
      <c r="AQ651" s="1"/>
      <c r="AR651" s="1"/>
    </row>
    <row r="652" spans="35:44" ht="12.75" customHeight="1">
      <c r="AI652" s="23"/>
      <c r="AJ652" s="1"/>
      <c r="AK652" s="1"/>
      <c r="AL652" s="1"/>
      <c r="AM652" s="1"/>
      <c r="AN652" s="1"/>
      <c r="AO652" s="1"/>
      <c r="AP652" s="1"/>
      <c r="AQ652" s="1"/>
      <c r="AR652" s="1"/>
    </row>
    <row r="653" spans="35:44" ht="12.75" customHeight="1">
      <c r="AI653" s="23"/>
      <c r="AJ653" s="1"/>
      <c r="AK653" s="1"/>
      <c r="AL653" s="1"/>
      <c r="AM653" s="1"/>
      <c r="AN653" s="1"/>
      <c r="AO653" s="1"/>
      <c r="AP653" s="1"/>
      <c r="AQ653" s="1"/>
      <c r="AR653" s="1"/>
    </row>
    <row r="654" spans="35:44" ht="12.75" customHeight="1">
      <c r="AI654" s="23"/>
      <c r="AJ654" s="1"/>
      <c r="AK654" s="1"/>
      <c r="AL654" s="1"/>
      <c r="AM654" s="1"/>
      <c r="AN654" s="1"/>
      <c r="AO654" s="1"/>
      <c r="AP654" s="1"/>
      <c r="AQ654" s="1"/>
      <c r="AR654" s="1"/>
    </row>
    <row r="655" spans="35:44" ht="12.75" customHeight="1">
      <c r="AI655" s="23"/>
      <c r="AJ655" s="1"/>
      <c r="AK655" s="1"/>
      <c r="AL655" s="1"/>
      <c r="AM655" s="1"/>
      <c r="AN655" s="1"/>
      <c r="AO655" s="1"/>
      <c r="AP655" s="1"/>
      <c r="AQ655" s="1"/>
      <c r="AR655" s="1"/>
    </row>
    <row r="656" spans="35:44" ht="12.75" customHeight="1">
      <c r="AI656" s="23"/>
      <c r="AJ656" s="1"/>
      <c r="AK656" s="1"/>
      <c r="AL656" s="1"/>
      <c r="AM656" s="1"/>
      <c r="AN656" s="1"/>
      <c r="AO656" s="1"/>
      <c r="AP656" s="1"/>
      <c r="AQ656" s="1"/>
      <c r="AR656" s="1"/>
    </row>
    <row r="657" spans="35:44" ht="12.75" customHeight="1">
      <c r="AI657" s="23"/>
      <c r="AJ657" s="1"/>
      <c r="AK657" s="1"/>
      <c r="AL657" s="1"/>
      <c r="AM657" s="1"/>
      <c r="AN657" s="1"/>
      <c r="AO657" s="1"/>
      <c r="AP657" s="1"/>
      <c r="AQ657" s="1"/>
      <c r="AR657" s="1"/>
    </row>
    <row r="658" spans="35:44" ht="12.75" customHeight="1">
      <c r="AI658" s="23"/>
      <c r="AJ658" s="1"/>
      <c r="AK658" s="1"/>
      <c r="AL658" s="1"/>
      <c r="AM658" s="1"/>
      <c r="AN658" s="1"/>
      <c r="AO658" s="1"/>
      <c r="AP658" s="1"/>
      <c r="AQ658" s="1"/>
      <c r="AR658" s="1"/>
    </row>
    <row r="659" spans="35:44" ht="12.75" customHeight="1">
      <c r="AI659" s="23"/>
      <c r="AJ659" s="1"/>
      <c r="AK659" s="1"/>
      <c r="AL659" s="1"/>
      <c r="AM659" s="1"/>
      <c r="AN659" s="1"/>
      <c r="AO659" s="1"/>
      <c r="AP659" s="1"/>
      <c r="AQ659" s="1"/>
      <c r="AR659" s="1"/>
    </row>
    <row r="660" spans="35:44" ht="12.75" customHeight="1">
      <c r="AI660" s="23"/>
      <c r="AJ660" s="1"/>
      <c r="AK660" s="1"/>
      <c r="AL660" s="1"/>
      <c r="AM660" s="1"/>
      <c r="AN660" s="1"/>
      <c r="AO660" s="1"/>
      <c r="AP660" s="1"/>
      <c r="AQ660" s="1"/>
      <c r="AR660" s="1"/>
    </row>
    <row r="661" spans="35:44" ht="12.75" customHeight="1">
      <c r="AI661" s="23"/>
      <c r="AJ661" s="1"/>
      <c r="AK661" s="1"/>
      <c r="AL661" s="1"/>
      <c r="AM661" s="1"/>
      <c r="AN661" s="1"/>
      <c r="AO661" s="1"/>
      <c r="AP661" s="1"/>
      <c r="AQ661" s="1"/>
      <c r="AR661" s="1"/>
    </row>
    <row r="662" spans="35:44" ht="12.75" customHeight="1">
      <c r="AI662" s="23"/>
      <c r="AJ662" s="1"/>
      <c r="AK662" s="1"/>
      <c r="AL662" s="1"/>
      <c r="AM662" s="1"/>
      <c r="AN662" s="1"/>
      <c r="AO662" s="1"/>
      <c r="AP662" s="1"/>
      <c r="AQ662" s="1"/>
      <c r="AR662" s="1"/>
    </row>
    <row r="663" spans="35:44" ht="12.75" customHeight="1">
      <c r="AI663" s="23"/>
      <c r="AJ663" s="1"/>
      <c r="AK663" s="1"/>
      <c r="AL663" s="1"/>
      <c r="AM663" s="1"/>
      <c r="AN663" s="1"/>
      <c r="AO663" s="1"/>
      <c r="AP663" s="1"/>
      <c r="AQ663" s="1"/>
      <c r="AR663" s="1"/>
    </row>
    <row r="664" spans="35:44" ht="12.75" customHeight="1">
      <c r="AI664" s="23"/>
      <c r="AJ664" s="1"/>
      <c r="AK664" s="1"/>
      <c r="AL664" s="1"/>
      <c r="AM664" s="1"/>
      <c r="AN664" s="1"/>
      <c r="AO664" s="1"/>
      <c r="AP664" s="1"/>
      <c r="AQ664" s="1"/>
      <c r="AR664" s="1"/>
    </row>
    <row r="665" spans="35:44" ht="12.75" customHeight="1">
      <c r="AI665" s="23"/>
      <c r="AJ665" s="1"/>
      <c r="AK665" s="1"/>
      <c r="AL665" s="1"/>
      <c r="AM665" s="1"/>
      <c r="AN665" s="1"/>
      <c r="AO665" s="1"/>
      <c r="AP665" s="1"/>
      <c r="AQ665" s="1"/>
      <c r="AR665" s="1"/>
    </row>
    <row r="666" spans="35:44" ht="12.75" customHeight="1">
      <c r="AI666" s="23"/>
      <c r="AJ666" s="1"/>
      <c r="AK666" s="1"/>
      <c r="AL666" s="1"/>
      <c r="AM666" s="1"/>
      <c r="AN666" s="1"/>
      <c r="AO666" s="1"/>
      <c r="AP666" s="1"/>
      <c r="AQ666" s="1"/>
      <c r="AR666" s="1"/>
    </row>
    <row r="667" spans="35:44" ht="12.75" customHeight="1">
      <c r="AI667" s="23"/>
      <c r="AJ667" s="1"/>
      <c r="AK667" s="1"/>
      <c r="AL667" s="1"/>
      <c r="AM667" s="1"/>
      <c r="AN667" s="1"/>
      <c r="AO667" s="1"/>
      <c r="AP667" s="1"/>
      <c r="AQ667" s="1"/>
      <c r="AR667" s="1"/>
    </row>
    <row r="668" spans="35:44" ht="12.75" customHeight="1">
      <c r="AI668" s="23"/>
      <c r="AJ668" s="1"/>
      <c r="AK668" s="1"/>
      <c r="AL668" s="1"/>
      <c r="AM668" s="1"/>
      <c r="AN668" s="1"/>
      <c r="AO668" s="1"/>
      <c r="AP668" s="1"/>
      <c r="AQ668" s="1"/>
      <c r="AR668" s="1"/>
    </row>
    <row r="669" spans="35:44" ht="12.75" customHeight="1">
      <c r="AI669" s="23"/>
      <c r="AJ669" s="1"/>
      <c r="AK669" s="1"/>
      <c r="AL669" s="1"/>
      <c r="AM669" s="1"/>
      <c r="AN669" s="1"/>
      <c r="AO669" s="1"/>
      <c r="AP669" s="1"/>
      <c r="AQ669" s="1"/>
      <c r="AR669" s="1"/>
    </row>
    <row r="670" spans="35:44" ht="12.75" customHeight="1">
      <c r="AI670" s="23"/>
      <c r="AJ670" s="1"/>
      <c r="AK670" s="1"/>
      <c r="AL670" s="1"/>
      <c r="AM670" s="1"/>
      <c r="AN670" s="1"/>
      <c r="AO670" s="1"/>
      <c r="AP670" s="1"/>
      <c r="AQ670" s="1"/>
      <c r="AR670" s="1"/>
    </row>
    <row r="671" spans="35:44" ht="12.75" customHeight="1">
      <c r="AI671" s="23"/>
      <c r="AJ671" s="1"/>
      <c r="AK671" s="1"/>
      <c r="AL671" s="1"/>
      <c r="AM671" s="1"/>
      <c r="AN671" s="1"/>
      <c r="AO671" s="1"/>
      <c r="AP671" s="1"/>
      <c r="AQ671" s="1"/>
      <c r="AR671" s="1"/>
    </row>
    <row r="672" spans="35:44" ht="12.75" customHeight="1">
      <c r="AI672" s="23"/>
      <c r="AJ672" s="1"/>
      <c r="AK672" s="1"/>
      <c r="AL672" s="1"/>
      <c r="AM672" s="1"/>
      <c r="AN672" s="1"/>
      <c r="AO672" s="1"/>
      <c r="AP672" s="1"/>
      <c r="AQ672" s="1"/>
      <c r="AR672" s="1"/>
    </row>
    <row r="673" spans="35:44" ht="12.75" customHeight="1">
      <c r="AI673" s="23"/>
      <c r="AJ673" s="1"/>
      <c r="AK673" s="1"/>
      <c r="AL673" s="1"/>
      <c r="AM673" s="1"/>
      <c r="AN673" s="1"/>
      <c r="AO673" s="1"/>
      <c r="AP673" s="1"/>
      <c r="AQ673" s="1"/>
      <c r="AR673" s="1"/>
    </row>
    <row r="674" spans="35:44" ht="12.75" customHeight="1">
      <c r="AI674" s="23"/>
      <c r="AJ674" s="1"/>
      <c r="AK674" s="1"/>
      <c r="AL674" s="1"/>
      <c r="AM674" s="1"/>
      <c r="AN674" s="1"/>
      <c r="AO674" s="1"/>
      <c r="AP674" s="1"/>
      <c r="AQ674" s="1"/>
      <c r="AR674" s="1"/>
    </row>
    <row r="675" spans="35:44" ht="12.75" customHeight="1">
      <c r="AI675" s="23"/>
      <c r="AJ675" s="1"/>
      <c r="AK675" s="1"/>
      <c r="AL675" s="1"/>
      <c r="AM675" s="1"/>
      <c r="AN675" s="1"/>
      <c r="AO675" s="1"/>
      <c r="AP675" s="1"/>
      <c r="AQ675" s="1"/>
      <c r="AR675" s="1"/>
    </row>
    <row r="676" spans="35:44" ht="12.75" customHeight="1">
      <c r="AI676" s="23"/>
      <c r="AJ676" s="1"/>
      <c r="AK676" s="1"/>
      <c r="AL676" s="1"/>
      <c r="AM676" s="1"/>
      <c r="AN676" s="1"/>
      <c r="AO676" s="1"/>
      <c r="AP676" s="1"/>
      <c r="AQ676" s="1"/>
      <c r="AR676" s="1"/>
    </row>
    <row r="677" spans="35:44" ht="12.75" customHeight="1">
      <c r="AI677" s="23"/>
      <c r="AJ677" s="1"/>
      <c r="AK677" s="1"/>
      <c r="AL677" s="1"/>
      <c r="AM677" s="1"/>
      <c r="AN677" s="1"/>
      <c r="AO677" s="1"/>
      <c r="AP677" s="1"/>
      <c r="AQ677" s="1"/>
      <c r="AR677" s="1"/>
    </row>
    <row r="678" spans="35:44" ht="12.75" customHeight="1">
      <c r="AI678" s="23"/>
      <c r="AJ678" s="1"/>
      <c r="AK678" s="1"/>
      <c r="AL678" s="1"/>
      <c r="AM678" s="1"/>
      <c r="AN678" s="1"/>
      <c r="AO678" s="1"/>
      <c r="AP678" s="1"/>
      <c r="AQ678" s="1"/>
      <c r="AR678" s="1"/>
    </row>
    <row r="679" spans="35:44" ht="12.75" customHeight="1">
      <c r="AI679" s="23"/>
      <c r="AJ679" s="1"/>
      <c r="AK679" s="1"/>
      <c r="AL679" s="1"/>
      <c r="AM679" s="1"/>
      <c r="AN679" s="1"/>
      <c r="AO679" s="1"/>
      <c r="AP679" s="1"/>
      <c r="AQ679" s="1"/>
      <c r="AR679" s="1"/>
    </row>
    <row r="680" spans="35:44" ht="12.75" customHeight="1">
      <c r="AI680" s="23"/>
      <c r="AJ680" s="1"/>
      <c r="AK680" s="1"/>
      <c r="AL680" s="1"/>
      <c r="AM680" s="1"/>
      <c r="AN680" s="1"/>
      <c r="AO680" s="1"/>
      <c r="AP680" s="1"/>
      <c r="AQ680" s="1"/>
      <c r="AR680" s="1"/>
    </row>
    <row r="681" spans="35:44" ht="12.75" customHeight="1">
      <c r="AI681" s="23"/>
      <c r="AJ681" s="1"/>
      <c r="AK681" s="1"/>
      <c r="AL681" s="1"/>
      <c r="AM681" s="1"/>
      <c r="AN681" s="1"/>
      <c r="AO681" s="1"/>
      <c r="AP681" s="1"/>
      <c r="AQ681" s="1"/>
      <c r="AR681" s="1"/>
    </row>
    <row r="682" spans="35:44" ht="12.75" customHeight="1">
      <c r="AI682" s="23"/>
      <c r="AJ682" s="1"/>
      <c r="AK682" s="1"/>
      <c r="AL682" s="1"/>
      <c r="AM682" s="1"/>
      <c r="AN682" s="1"/>
      <c r="AO682" s="1"/>
      <c r="AP682" s="1"/>
      <c r="AQ682" s="1"/>
      <c r="AR682" s="1"/>
    </row>
    <row r="683" spans="35:44" ht="12.75" customHeight="1">
      <c r="AI683" s="23"/>
      <c r="AJ683" s="1"/>
      <c r="AK683" s="1"/>
      <c r="AL683" s="1"/>
      <c r="AM683" s="1"/>
      <c r="AN683" s="1"/>
      <c r="AO683" s="1"/>
      <c r="AP683" s="1"/>
      <c r="AQ683" s="1"/>
      <c r="AR683" s="1"/>
    </row>
    <row r="684" spans="35:44" ht="12.75" customHeight="1">
      <c r="AI684" s="23"/>
      <c r="AJ684" s="1"/>
      <c r="AK684" s="1"/>
      <c r="AL684" s="1"/>
      <c r="AM684" s="1"/>
      <c r="AN684" s="1"/>
      <c r="AO684" s="1"/>
      <c r="AP684" s="1"/>
      <c r="AQ684" s="1"/>
      <c r="AR684" s="1"/>
    </row>
    <row r="685" spans="35:44" ht="12.75" customHeight="1">
      <c r="AI685" s="23"/>
      <c r="AJ685" s="1"/>
      <c r="AK685" s="1"/>
      <c r="AL685" s="1"/>
      <c r="AM685" s="1"/>
      <c r="AN685" s="1"/>
      <c r="AO685" s="1"/>
      <c r="AP685" s="1"/>
      <c r="AQ685" s="1"/>
      <c r="AR685" s="1"/>
    </row>
    <row r="686" spans="35:44" ht="12.75" customHeight="1">
      <c r="AI686" s="23"/>
      <c r="AJ686" s="1"/>
      <c r="AK686" s="1"/>
      <c r="AL686" s="1"/>
      <c r="AM686" s="1"/>
      <c r="AN686" s="1"/>
      <c r="AO686" s="1"/>
      <c r="AP686" s="1"/>
      <c r="AQ686" s="1"/>
      <c r="AR686" s="1"/>
    </row>
    <row r="687" spans="35:44" ht="12.75" customHeight="1">
      <c r="AI687" s="23"/>
      <c r="AJ687" s="1"/>
      <c r="AK687" s="1"/>
      <c r="AL687" s="1"/>
      <c r="AM687" s="1"/>
      <c r="AN687" s="1"/>
      <c r="AO687" s="1"/>
      <c r="AP687" s="1"/>
      <c r="AQ687" s="1"/>
      <c r="AR687" s="1"/>
    </row>
    <row r="688" spans="35:44" ht="12.75" customHeight="1">
      <c r="AI688" s="23"/>
      <c r="AJ688" s="1"/>
      <c r="AK688" s="1"/>
      <c r="AL688" s="1"/>
      <c r="AM688" s="1"/>
      <c r="AN688" s="1"/>
      <c r="AO688" s="1"/>
      <c r="AP688" s="1"/>
      <c r="AQ688" s="1"/>
      <c r="AR688" s="1"/>
    </row>
    <row r="689" spans="35:44" ht="12.75" customHeight="1">
      <c r="AI689" s="23"/>
      <c r="AJ689" s="1"/>
      <c r="AK689" s="1"/>
      <c r="AL689" s="1"/>
      <c r="AM689" s="1"/>
      <c r="AN689" s="1"/>
      <c r="AO689" s="1"/>
      <c r="AP689" s="1"/>
      <c r="AQ689" s="1"/>
      <c r="AR689" s="1"/>
    </row>
    <row r="690" spans="35:44" ht="12.75" customHeight="1">
      <c r="AI690" s="23"/>
      <c r="AJ690" s="1"/>
      <c r="AK690" s="1"/>
      <c r="AL690" s="1"/>
      <c r="AM690" s="1"/>
      <c r="AN690" s="1"/>
      <c r="AO690" s="1"/>
      <c r="AP690" s="1"/>
      <c r="AQ690" s="1"/>
      <c r="AR690" s="1"/>
    </row>
    <row r="691" spans="35:44" ht="12.75" customHeight="1">
      <c r="AI691" s="23"/>
      <c r="AJ691" s="1"/>
      <c r="AK691" s="1"/>
      <c r="AL691" s="1"/>
      <c r="AM691" s="1"/>
      <c r="AN691" s="1"/>
      <c r="AO691" s="1"/>
      <c r="AP691" s="1"/>
      <c r="AQ691" s="1"/>
      <c r="AR691" s="1"/>
    </row>
    <row r="692" spans="35:44" ht="12.75" customHeight="1">
      <c r="AI692" s="23"/>
      <c r="AJ692" s="1"/>
      <c r="AK692" s="1"/>
      <c r="AL692" s="1"/>
      <c r="AM692" s="1"/>
      <c r="AN692" s="1"/>
      <c r="AO692" s="1"/>
      <c r="AP692" s="1"/>
      <c r="AQ692" s="1"/>
      <c r="AR692" s="1"/>
    </row>
    <row r="693" spans="35:44" ht="12.75" customHeight="1">
      <c r="AI693" s="23"/>
      <c r="AJ693" s="1"/>
      <c r="AK693" s="1"/>
      <c r="AL693" s="1"/>
      <c r="AM693" s="1"/>
      <c r="AN693" s="1"/>
      <c r="AO693" s="1"/>
      <c r="AP693" s="1"/>
      <c r="AQ693" s="1"/>
      <c r="AR693" s="1"/>
    </row>
    <row r="694" spans="35:44">
      <c r="AI694" s="23"/>
      <c r="AJ694" s="1"/>
      <c r="AK694" s="1"/>
      <c r="AL694" s="1"/>
      <c r="AM694" s="1"/>
      <c r="AN694" s="1"/>
      <c r="AO694" s="1"/>
      <c r="AP694" s="1"/>
      <c r="AQ694" s="1"/>
      <c r="AR694" s="1"/>
    </row>
    <row r="695" spans="35:44">
      <c r="AI695" s="23"/>
      <c r="AJ695" s="1"/>
      <c r="AK695" s="1"/>
      <c r="AL695" s="1"/>
      <c r="AM695" s="1"/>
      <c r="AN695" s="1"/>
      <c r="AO695" s="1"/>
      <c r="AP695" s="1"/>
      <c r="AQ695" s="1"/>
      <c r="AR695" s="1"/>
    </row>
    <row r="696" spans="35:44">
      <c r="AI696" s="23"/>
      <c r="AJ696" s="1"/>
      <c r="AK696" s="1"/>
      <c r="AL696" s="1"/>
      <c r="AM696" s="1"/>
      <c r="AN696" s="1"/>
      <c r="AO696" s="1"/>
      <c r="AP696" s="1"/>
      <c r="AQ696" s="1"/>
      <c r="AR696" s="1"/>
    </row>
    <row r="697" spans="35:44">
      <c r="AI697" s="23"/>
      <c r="AJ697" s="1"/>
      <c r="AK697" s="1"/>
      <c r="AL697" s="1"/>
      <c r="AM697" s="1"/>
      <c r="AN697" s="1"/>
      <c r="AO697" s="1"/>
      <c r="AP697" s="1"/>
      <c r="AQ697" s="1"/>
      <c r="AR697" s="1"/>
    </row>
    <row r="698" spans="35:44">
      <c r="AI698" s="23"/>
      <c r="AJ698" s="1"/>
      <c r="AK698" s="1"/>
      <c r="AL698" s="1"/>
      <c r="AM698" s="1"/>
      <c r="AN698" s="1"/>
      <c r="AO698" s="1"/>
      <c r="AP698" s="1"/>
      <c r="AQ698" s="1"/>
      <c r="AR698" s="1"/>
    </row>
    <row r="699" spans="35:44">
      <c r="AI699" s="23"/>
      <c r="AJ699" s="1"/>
      <c r="AK699" s="1"/>
      <c r="AL699" s="1"/>
      <c r="AM699" s="1"/>
      <c r="AN699" s="1"/>
      <c r="AO699" s="1"/>
      <c r="AP699" s="1"/>
      <c r="AQ699" s="1"/>
      <c r="AR699" s="1"/>
    </row>
    <row r="700" spans="35:44">
      <c r="AI700" s="23"/>
      <c r="AJ700" s="1"/>
      <c r="AK700" s="1"/>
      <c r="AL700" s="1"/>
      <c r="AM700" s="1"/>
      <c r="AN700" s="1"/>
      <c r="AO700" s="1"/>
      <c r="AP700" s="1"/>
      <c r="AQ700" s="1"/>
      <c r="AR700" s="1"/>
    </row>
    <row r="701" spans="35:44">
      <c r="AI701" s="23"/>
      <c r="AJ701" s="1"/>
      <c r="AK701" s="1"/>
      <c r="AL701" s="1"/>
      <c r="AM701" s="1"/>
      <c r="AN701" s="1"/>
      <c r="AO701" s="1"/>
      <c r="AP701" s="1"/>
      <c r="AQ701" s="1"/>
      <c r="AR701" s="1"/>
    </row>
    <row r="702" spans="35:44">
      <c r="AI702" s="23"/>
      <c r="AJ702" s="1"/>
      <c r="AK702" s="1"/>
      <c r="AL702" s="1"/>
      <c r="AM702" s="1"/>
      <c r="AN702" s="1"/>
      <c r="AO702" s="1"/>
      <c r="AP702" s="1"/>
      <c r="AQ702" s="1"/>
      <c r="AR702" s="1"/>
    </row>
    <row r="703" spans="35:44">
      <c r="AI703" s="23"/>
      <c r="AJ703" s="1"/>
      <c r="AK703" s="1"/>
      <c r="AL703" s="1"/>
      <c r="AM703" s="1"/>
      <c r="AN703" s="1"/>
      <c r="AO703" s="1"/>
      <c r="AP703" s="1"/>
      <c r="AQ703" s="1"/>
      <c r="AR703" s="1"/>
    </row>
    <row r="704" spans="35:44">
      <c r="AI704" s="23"/>
      <c r="AJ704" s="1"/>
      <c r="AK704" s="1"/>
      <c r="AL704" s="1"/>
      <c r="AM704" s="1"/>
      <c r="AN704" s="1"/>
      <c r="AO704" s="1"/>
      <c r="AP704" s="1"/>
      <c r="AQ704" s="1"/>
      <c r="AR704" s="1"/>
    </row>
    <row r="705" spans="35:44">
      <c r="AI705" s="23"/>
      <c r="AJ705" s="1"/>
      <c r="AK705" s="1"/>
      <c r="AL705" s="1"/>
      <c r="AM705" s="1"/>
      <c r="AN705" s="1"/>
      <c r="AO705" s="1"/>
      <c r="AP705" s="1"/>
      <c r="AQ705" s="1"/>
      <c r="AR705" s="1"/>
    </row>
    <row r="706" spans="35:44">
      <c r="AI706" s="23"/>
      <c r="AJ706" s="1"/>
      <c r="AK706" s="1"/>
      <c r="AL706" s="1"/>
      <c r="AM706" s="1"/>
      <c r="AN706" s="1"/>
      <c r="AO706" s="1"/>
      <c r="AP706" s="1"/>
      <c r="AQ706" s="1"/>
      <c r="AR706" s="1"/>
    </row>
    <row r="707" spans="35:44">
      <c r="AI707" s="23"/>
      <c r="AJ707" s="1"/>
      <c r="AK707" s="1"/>
      <c r="AL707" s="1"/>
      <c r="AM707" s="1"/>
      <c r="AN707" s="1"/>
      <c r="AO707" s="1"/>
      <c r="AP707" s="1"/>
      <c r="AQ707" s="1"/>
      <c r="AR707" s="1"/>
    </row>
    <row r="708" spans="35:44">
      <c r="AI708" s="23"/>
      <c r="AJ708" s="1"/>
      <c r="AK708" s="1"/>
      <c r="AL708" s="1"/>
      <c r="AM708" s="1"/>
      <c r="AN708" s="1"/>
      <c r="AO708" s="1"/>
      <c r="AP708" s="1"/>
      <c r="AQ708" s="1"/>
      <c r="AR708" s="1"/>
    </row>
    <row r="709" spans="35:44">
      <c r="AI709" s="23"/>
      <c r="AJ709" s="1"/>
      <c r="AK709" s="1"/>
      <c r="AL709" s="1"/>
      <c r="AM709" s="1"/>
      <c r="AN709" s="1"/>
      <c r="AO709" s="1"/>
      <c r="AP709" s="1"/>
      <c r="AQ709" s="1"/>
      <c r="AR709" s="1"/>
    </row>
    <row r="710" spans="35:44">
      <c r="AI710" s="23"/>
      <c r="AJ710" s="1"/>
      <c r="AK710" s="1"/>
      <c r="AL710" s="1"/>
      <c r="AM710" s="1"/>
      <c r="AN710" s="1"/>
      <c r="AO710" s="1"/>
      <c r="AP710" s="1"/>
      <c r="AQ710" s="1"/>
      <c r="AR710" s="1"/>
    </row>
    <row r="711" spans="35:44">
      <c r="AI711" s="23"/>
      <c r="AJ711" s="1"/>
      <c r="AK711" s="1"/>
      <c r="AL711" s="1"/>
      <c r="AM711" s="1"/>
      <c r="AN711" s="1"/>
      <c r="AO711" s="1"/>
      <c r="AP711" s="1"/>
      <c r="AQ711" s="1"/>
      <c r="AR711" s="1"/>
    </row>
    <row r="712" spans="35:44">
      <c r="AI712" s="23"/>
      <c r="AJ712" s="1"/>
      <c r="AK712" s="1"/>
      <c r="AL712" s="1"/>
      <c r="AM712" s="1"/>
      <c r="AN712" s="1"/>
      <c r="AO712" s="1"/>
      <c r="AP712" s="1"/>
      <c r="AQ712" s="1"/>
      <c r="AR712" s="1"/>
    </row>
    <row r="713" spans="35:44">
      <c r="AI713" s="23"/>
      <c r="AJ713" s="1"/>
      <c r="AK713" s="1"/>
      <c r="AL713" s="1"/>
      <c r="AM713" s="1"/>
      <c r="AN713" s="1"/>
      <c r="AO713" s="1"/>
      <c r="AP713" s="1"/>
      <c r="AQ713" s="1"/>
      <c r="AR713" s="1"/>
    </row>
    <row r="714" spans="35:44">
      <c r="AI714" s="23"/>
      <c r="AJ714" s="1"/>
      <c r="AK714" s="1"/>
      <c r="AL714" s="1"/>
      <c r="AM714" s="1"/>
      <c r="AN714" s="1"/>
      <c r="AO714" s="1"/>
      <c r="AP714" s="1"/>
      <c r="AQ714" s="1"/>
      <c r="AR714" s="1"/>
    </row>
    <row r="715" spans="35:44">
      <c r="AI715" s="23"/>
      <c r="AJ715" s="1"/>
      <c r="AK715" s="1"/>
      <c r="AL715" s="1"/>
      <c r="AM715" s="1"/>
      <c r="AN715" s="1"/>
      <c r="AO715" s="1"/>
      <c r="AP715" s="1"/>
      <c r="AQ715" s="1"/>
      <c r="AR715" s="1"/>
    </row>
    <row r="716" spans="35:44">
      <c r="AI716" s="23"/>
      <c r="AJ716" s="1"/>
      <c r="AK716" s="1"/>
      <c r="AL716" s="1"/>
      <c r="AM716" s="1"/>
      <c r="AN716" s="1"/>
      <c r="AO716" s="1"/>
      <c r="AP716" s="1"/>
      <c r="AQ716" s="1"/>
      <c r="AR716" s="1"/>
    </row>
    <row r="717" spans="35:44">
      <c r="AI717" s="23"/>
      <c r="AJ717" s="1"/>
      <c r="AK717" s="1"/>
      <c r="AL717" s="1"/>
      <c r="AM717" s="1"/>
      <c r="AN717" s="1"/>
      <c r="AO717" s="1"/>
      <c r="AP717" s="1"/>
      <c r="AQ717" s="1"/>
      <c r="AR717" s="1"/>
    </row>
    <row r="718" spans="35:44">
      <c r="AI718" s="23"/>
      <c r="AJ718" s="1"/>
      <c r="AK718" s="1"/>
      <c r="AL718" s="1"/>
      <c r="AM718" s="1"/>
      <c r="AN718" s="1"/>
      <c r="AO718" s="1"/>
      <c r="AP718" s="1"/>
      <c r="AQ718" s="1"/>
      <c r="AR718" s="1"/>
    </row>
    <row r="719" spans="35:44">
      <c r="AI719" s="23"/>
      <c r="AJ719" s="1"/>
      <c r="AK719" s="1"/>
      <c r="AL719" s="1"/>
      <c r="AM719" s="1"/>
      <c r="AN719" s="1"/>
      <c r="AO719" s="1"/>
      <c r="AP719" s="1"/>
      <c r="AQ719" s="1"/>
      <c r="AR719" s="1"/>
    </row>
    <row r="720" spans="35:44">
      <c r="AI720" s="23"/>
      <c r="AJ720" s="1"/>
      <c r="AK720" s="1"/>
      <c r="AL720" s="1"/>
      <c r="AM720" s="1"/>
      <c r="AN720" s="1"/>
      <c r="AO720" s="1"/>
      <c r="AP720" s="1"/>
      <c r="AQ720" s="1"/>
      <c r="AR720" s="1"/>
    </row>
    <row r="721" spans="35:44">
      <c r="AI721" s="23"/>
      <c r="AJ721" s="1"/>
      <c r="AK721" s="1"/>
      <c r="AL721" s="1"/>
      <c r="AM721" s="1"/>
      <c r="AN721" s="1"/>
      <c r="AO721" s="1"/>
      <c r="AP721" s="1"/>
      <c r="AQ721" s="1"/>
      <c r="AR721" s="1"/>
    </row>
    <row r="722" spans="35:44">
      <c r="AI722" s="23"/>
      <c r="AJ722" s="1"/>
      <c r="AK722" s="1"/>
      <c r="AL722" s="1"/>
      <c r="AM722" s="1"/>
      <c r="AN722" s="1"/>
      <c r="AO722" s="1"/>
      <c r="AP722" s="1"/>
      <c r="AQ722" s="1"/>
      <c r="AR722" s="1"/>
    </row>
    <row r="723" spans="35:44">
      <c r="AI723" s="23"/>
      <c r="AJ723" s="1"/>
      <c r="AK723" s="1"/>
      <c r="AL723" s="1"/>
      <c r="AM723" s="1"/>
      <c r="AN723" s="1"/>
      <c r="AO723" s="1"/>
      <c r="AP723" s="1"/>
      <c r="AQ723" s="1"/>
      <c r="AR723" s="1"/>
    </row>
    <row r="724" spans="35:44">
      <c r="AI724" s="23"/>
      <c r="AJ724" s="1"/>
      <c r="AK724" s="1"/>
      <c r="AL724" s="1"/>
      <c r="AM724" s="1"/>
      <c r="AN724" s="1"/>
      <c r="AO724" s="1"/>
      <c r="AP724" s="1"/>
      <c r="AQ724" s="1"/>
      <c r="AR724" s="1"/>
    </row>
    <row r="725" spans="35:44">
      <c r="AI725" s="23"/>
      <c r="AJ725" s="1"/>
      <c r="AK725" s="1"/>
      <c r="AL725" s="1"/>
      <c r="AM725" s="1"/>
      <c r="AN725" s="1"/>
      <c r="AO725" s="1"/>
      <c r="AP725" s="1"/>
      <c r="AQ725" s="1"/>
      <c r="AR725" s="1"/>
    </row>
    <row r="726" spans="35:44">
      <c r="AI726" s="23"/>
      <c r="AJ726" s="1"/>
      <c r="AK726" s="1"/>
      <c r="AL726" s="1"/>
      <c r="AM726" s="1"/>
      <c r="AN726" s="1"/>
      <c r="AO726" s="1"/>
      <c r="AP726" s="1"/>
      <c r="AQ726" s="1"/>
      <c r="AR726" s="1"/>
    </row>
    <row r="727" spans="35:44">
      <c r="AI727" s="23"/>
      <c r="AJ727" s="1"/>
      <c r="AK727" s="1"/>
      <c r="AL727" s="1"/>
      <c r="AM727" s="1"/>
      <c r="AN727" s="1"/>
      <c r="AO727" s="1"/>
      <c r="AP727" s="1"/>
      <c r="AQ727" s="1"/>
      <c r="AR727" s="1"/>
    </row>
    <row r="728" spans="35:44">
      <c r="AI728" s="23"/>
      <c r="AJ728" s="1"/>
      <c r="AK728" s="1"/>
      <c r="AL728" s="1"/>
      <c r="AM728" s="1"/>
      <c r="AN728" s="1"/>
      <c r="AO728" s="1"/>
      <c r="AP728" s="1"/>
      <c r="AQ728" s="1"/>
      <c r="AR728" s="1"/>
    </row>
    <row r="729" spans="35:44">
      <c r="AI729" s="23"/>
      <c r="AJ729" s="1"/>
      <c r="AK729" s="1"/>
      <c r="AL729" s="1"/>
      <c r="AM729" s="1"/>
      <c r="AN729" s="1"/>
      <c r="AO729" s="1"/>
      <c r="AP729" s="1"/>
      <c r="AQ729" s="1"/>
      <c r="AR729" s="1"/>
    </row>
    <row r="730" spans="35:44">
      <c r="AI730" s="23"/>
      <c r="AJ730" s="1"/>
      <c r="AK730" s="1"/>
      <c r="AL730" s="1"/>
      <c r="AM730" s="1"/>
      <c r="AN730" s="1"/>
      <c r="AO730" s="1"/>
      <c r="AP730" s="1"/>
      <c r="AQ730" s="1"/>
      <c r="AR730" s="1"/>
    </row>
    <row r="731" spans="35:44">
      <c r="AI731" s="23"/>
      <c r="AJ731" s="1"/>
      <c r="AK731" s="1"/>
      <c r="AL731" s="1"/>
      <c r="AM731" s="1"/>
      <c r="AN731" s="1"/>
      <c r="AO731" s="1"/>
      <c r="AP731" s="1"/>
      <c r="AQ731" s="1"/>
      <c r="AR731" s="1"/>
    </row>
    <row r="732" spans="35:44">
      <c r="AI732" s="23"/>
      <c r="AJ732" s="1"/>
      <c r="AK732" s="1"/>
      <c r="AL732" s="1"/>
      <c r="AM732" s="1"/>
      <c r="AN732" s="1"/>
      <c r="AO732" s="1"/>
      <c r="AP732" s="1"/>
      <c r="AQ732" s="1"/>
      <c r="AR732" s="1"/>
    </row>
    <row r="733" spans="35:44">
      <c r="AI733" s="23"/>
      <c r="AJ733" s="1"/>
      <c r="AK733" s="1"/>
      <c r="AL733" s="1"/>
      <c r="AM733" s="1"/>
      <c r="AN733" s="1"/>
      <c r="AO733" s="1"/>
      <c r="AP733" s="1"/>
      <c r="AQ733" s="1"/>
      <c r="AR733" s="1"/>
    </row>
    <row r="734" spans="35:44">
      <c r="AI734" s="23"/>
      <c r="AJ734" s="1"/>
      <c r="AK734" s="1"/>
      <c r="AL734" s="1"/>
      <c r="AM734" s="1"/>
      <c r="AN734" s="1"/>
      <c r="AO734" s="1"/>
      <c r="AP734" s="1"/>
      <c r="AQ734" s="1"/>
      <c r="AR734" s="1"/>
    </row>
    <row r="735" spans="35:44">
      <c r="AI735" s="23"/>
      <c r="AJ735" s="1"/>
      <c r="AK735" s="1"/>
      <c r="AL735" s="1"/>
      <c r="AM735" s="1"/>
      <c r="AN735" s="1"/>
      <c r="AO735" s="1"/>
      <c r="AP735" s="1"/>
      <c r="AQ735" s="1"/>
      <c r="AR735" s="1"/>
    </row>
    <row r="736" spans="35:44">
      <c r="AI736" s="23"/>
      <c r="AJ736" s="1"/>
      <c r="AK736" s="1"/>
      <c r="AL736" s="1"/>
      <c r="AM736" s="1"/>
      <c r="AN736" s="1"/>
      <c r="AO736" s="1"/>
      <c r="AP736" s="1"/>
      <c r="AQ736" s="1"/>
      <c r="AR736" s="1"/>
    </row>
    <row r="737" spans="35:44">
      <c r="AI737" s="23"/>
      <c r="AJ737" s="1"/>
      <c r="AK737" s="1"/>
      <c r="AL737" s="1"/>
      <c r="AM737" s="1"/>
      <c r="AN737" s="1"/>
      <c r="AO737" s="1"/>
      <c r="AP737" s="1"/>
      <c r="AQ737" s="1"/>
      <c r="AR737" s="1"/>
    </row>
    <row r="738" spans="35:44">
      <c r="AI738" s="23"/>
      <c r="AJ738" s="1"/>
      <c r="AK738" s="1"/>
      <c r="AL738" s="1"/>
      <c r="AM738" s="1"/>
      <c r="AN738" s="1"/>
      <c r="AO738" s="1"/>
      <c r="AP738" s="1"/>
      <c r="AQ738" s="1"/>
      <c r="AR738" s="1"/>
    </row>
    <row r="739" spans="35:44">
      <c r="AI739" s="23"/>
      <c r="AJ739" s="1"/>
      <c r="AK739" s="1"/>
      <c r="AL739" s="1"/>
      <c r="AM739" s="1"/>
      <c r="AN739" s="1"/>
      <c r="AO739" s="1"/>
      <c r="AP739" s="1"/>
      <c r="AQ739" s="1"/>
      <c r="AR739" s="1"/>
    </row>
    <row r="740" spans="35:44">
      <c r="AI740" s="23"/>
      <c r="AJ740" s="1"/>
      <c r="AK740" s="1"/>
      <c r="AL740" s="1"/>
      <c r="AM740" s="1"/>
      <c r="AN740" s="1"/>
      <c r="AO740" s="1"/>
      <c r="AP740" s="1"/>
      <c r="AQ740" s="1"/>
      <c r="AR740" s="1"/>
    </row>
    <row r="741" spans="35:44">
      <c r="AI741" s="23"/>
      <c r="AJ741" s="1"/>
      <c r="AK741" s="1"/>
      <c r="AL741" s="1"/>
      <c r="AM741" s="1"/>
      <c r="AN741" s="1"/>
      <c r="AO741" s="1"/>
      <c r="AP741" s="1"/>
      <c r="AQ741" s="1"/>
      <c r="AR741" s="1"/>
    </row>
    <row r="742" spans="35:44">
      <c r="AI742" s="23"/>
      <c r="AJ742" s="1"/>
      <c r="AK742" s="1"/>
      <c r="AL742" s="1"/>
      <c r="AM742" s="1"/>
      <c r="AN742" s="1"/>
      <c r="AO742" s="1"/>
      <c r="AP742" s="1"/>
      <c r="AQ742" s="1"/>
      <c r="AR742" s="1"/>
    </row>
    <row r="743" spans="35:44">
      <c r="AI743" s="23"/>
      <c r="AJ743" s="1"/>
      <c r="AK743" s="1"/>
      <c r="AL743" s="1"/>
      <c r="AM743" s="1"/>
      <c r="AN743" s="1"/>
      <c r="AO743" s="1"/>
      <c r="AP743" s="1"/>
      <c r="AQ743" s="1"/>
      <c r="AR743" s="1"/>
    </row>
    <row r="744" spans="35:44">
      <c r="AI744" s="23"/>
      <c r="AJ744" s="1"/>
      <c r="AK744" s="1"/>
      <c r="AL744" s="1"/>
      <c r="AM744" s="1"/>
      <c r="AN744" s="1"/>
      <c r="AO744" s="1"/>
      <c r="AP744" s="1"/>
      <c r="AQ744" s="1"/>
      <c r="AR744" s="1"/>
    </row>
    <row r="745" spans="35:44">
      <c r="AI745" s="23"/>
      <c r="AJ745" s="1"/>
      <c r="AK745" s="1"/>
      <c r="AL745" s="1"/>
      <c r="AM745" s="1"/>
      <c r="AN745" s="1"/>
      <c r="AO745" s="1"/>
      <c r="AP745" s="1"/>
      <c r="AQ745" s="1"/>
      <c r="AR745" s="1"/>
    </row>
    <row r="746" spans="35:44">
      <c r="AI746" s="23"/>
      <c r="AJ746" s="1"/>
      <c r="AK746" s="1"/>
      <c r="AL746" s="1"/>
      <c r="AM746" s="1"/>
      <c r="AN746" s="1"/>
      <c r="AO746" s="1"/>
      <c r="AP746" s="1"/>
      <c r="AQ746" s="1"/>
      <c r="AR746" s="1"/>
    </row>
    <row r="747" spans="35:44">
      <c r="AI747" s="23"/>
      <c r="AJ747" s="1"/>
      <c r="AK747" s="1"/>
      <c r="AL747" s="1"/>
      <c r="AM747" s="1"/>
      <c r="AN747" s="1"/>
      <c r="AO747" s="1"/>
      <c r="AP747" s="1"/>
      <c r="AQ747" s="1"/>
      <c r="AR747" s="1"/>
    </row>
    <row r="748" spans="35:44">
      <c r="AI748" s="23"/>
      <c r="AJ748" s="1"/>
      <c r="AK748" s="1"/>
      <c r="AL748" s="1"/>
      <c r="AM748" s="1"/>
      <c r="AN748" s="1"/>
      <c r="AO748" s="1"/>
      <c r="AP748" s="1"/>
      <c r="AQ748" s="1"/>
      <c r="AR748" s="1"/>
    </row>
    <row r="749" spans="35:44">
      <c r="AI749" s="23"/>
      <c r="AJ749" s="1"/>
      <c r="AK749" s="1"/>
      <c r="AL749" s="1"/>
      <c r="AM749" s="1"/>
      <c r="AN749" s="1"/>
      <c r="AO749" s="1"/>
      <c r="AP749" s="1"/>
      <c r="AQ749" s="1"/>
      <c r="AR749" s="1"/>
    </row>
    <row r="750" spans="35:44">
      <c r="AI750" s="23"/>
      <c r="AJ750" s="1"/>
      <c r="AK750" s="1"/>
      <c r="AL750" s="1"/>
      <c r="AM750" s="1"/>
      <c r="AN750" s="1"/>
      <c r="AO750" s="1"/>
      <c r="AP750" s="1"/>
      <c r="AQ750" s="1"/>
      <c r="AR750" s="1"/>
    </row>
    <row r="751" spans="35:44">
      <c r="AI751" s="23"/>
      <c r="AJ751" s="1"/>
      <c r="AK751" s="1"/>
      <c r="AL751" s="1"/>
      <c r="AM751" s="1"/>
      <c r="AN751" s="1"/>
      <c r="AO751" s="1"/>
      <c r="AP751" s="1"/>
      <c r="AQ751" s="1"/>
      <c r="AR751" s="1"/>
    </row>
    <row r="752" spans="35:44">
      <c r="AI752" s="23"/>
      <c r="AJ752" s="1"/>
      <c r="AK752" s="1"/>
      <c r="AL752" s="1"/>
      <c r="AM752" s="1"/>
      <c r="AN752" s="1"/>
      <c r="AO752" s="1"/>
      <c r="AP752" s="1"/>
      <c r="AQ752" s="1"/>
      <c r="AR752" s="1"/>
    </row>
    <row r="753" spans="35:44">
      <c r="AI753" s="23"/>
      <c r="AJ753" s="1"/>
      <c r="AK753" s="1"/>
      <c r="AL753" s="1"/>
      <c r="AM753" s="1"/>
      <c r="AN753" s="1"/>
      <c r="AO753" s="1"/>
      <c r="AP753" s="1"/>
      <c r="AQ753" s="1"/>
      <c r="AR753" s="1"/>
    </row>
    <row r="754" spans="35:44">
      <c r="AI754" s="23"/>
      <c r="AJ754" s="1"/>
      <c r="AK754" s="1"/>
      <c r="AL754" s="1"/>
      <c r="AM754" s="1"/>
      <c r="AN754" s="1"/>
      <c r="AO754" s="1"/>
      <c r="AP754" s="1"/>
      <c r="AQ754" s="1"/>
      <c r="AR754" s="1"/>
    </row>
    <row r="755" spans="35:44">
      <c r="AI755" s="23"/>
      <c r="AJ755" s="1"/>
      <c r="AK755" s="1"/>
      <c r="AL755" s="1"/>
      <c r="AM755" s="1"/>
      <c r="AN755" s="1"/>
      <c r="AO755" s="1"/>
      <c r="AP755" s="1"/>
      <c r="AQ755" s="1"/>
      <c r="AR755" s="1"/>
    </row>
    <row r="756" spans="35:44">
      <c r="AI756" s="23"/>
      <c r="AJ756" s="1"/>
      <c r="AK756" s="1"/>
      <c r="AL756" s="1"/>
      <c r="AM756" s="1"/>
      <c r="AN756" s="1"/>
      <c r="AO756" s="1"/>
      <c r="AP756" s="1"/>
      <c r="AQ756" s="1"/>
      <c r="AR756" s="1"/>
    </row>
    <row r="757" spans="35:44">
      <c r="AI757" s="23"/>
      <c r="AJ757" s="1"/>
      <c r="AK757" s="1"/>
      <c r="AL757" s="1"/>
      <c r="AM757" s="1"/>
      <c r="AN757" s="1"/>
      <c r="AO757" s="1"/>
      <c r="AP757" s="1"/>
      <c r="AQ757" s="1"/>
      <c r="AR757" s="1"/>
    </row>
    <row r="758" spans="35:44">
      <c r="AI758" s="23"/>
      <c r="AJ758" s="1"/>
      <c r="AK758" s="1"/>
      <c r="AL758" s="1"/>
      <c r="AM758" s="1"/>
      <c r="AN758" s="1"/>
      <c r="AO758" s="1"/>
      <c r="AP758" s="1"/>
      <c r="AQ758" s="1"/>
      <c r="AR758" s="1"/>
    </row>
    <row r="759" spans="35:44">
      <c r="AI759" s="23"/>
      <c r="AJ759" s="1"/>
      <c r="AK759" s="1"/>
      <c r="AL759" s="1"/>
      <c r="AM759" s="1"/>
      <c r="AN759" s="1"/>
      <c r="AO759" s="1"/>
      <c r="AP759" s="1"/>
      <c r="AQ759" s="1"/>
      <c r="AR759" s="1"/>
    </row>
    <row r="760" spans="35:44">
      <c r="AI760" s="23"/>
      <c r="AJ760" s="1"/>
      <c r="AK760" s="1"/>
      <c r="AL760" s="1"/>
      <c r="AM760" s="1"/>
      <c r="AN760" s="1"/>
      <c r="AO760" s="1"/>
      <c r="AP760" s="1"/>
      <c r="AQ760" s="1"/>
      <c r="AR760" s="1"/>
    </row>
    <row r="761" spans="35:44">
      <c r="AI761" s="23"/>
      <c r="AJ761" s="1"/>
      <c r="AK761" s="1"/>
      <c r="AL761" s="1"/>
      <c r="AM761" s="1"/>
      <c r="AN761" s="1"/>
      <c r="AO761" s="1"/>
      <c r="AP761" s="1"/>
      <c r="AQ761" s="1"/>
      <c r="AR761" s="1"/>
    </row>
    <row r="762" spans="35:44">
      <c r="AI762" s="23"/>
      <c r="AJ762" s="1"/>
      <c r="AK762" s="1"/>
      <c r="AL762" s="1"/>
      <c r="AM762" s="1"/>
      <c r="AN762" s="1"/>
      <c r="AO762" s="1"/>
      <c r="AP762" s="1"/>
      <c r="AQ762" s="1"/>
      <c r="AR762" s="1"/>
    </row>
    <row r="763" spans="35:44">
      <c r="AI763" s="23"/>
      <c r="AJ763" s="1"/>
      <c r="AK763" s="1"/>
      <c r="AL763" s="1"/>
      <c r="AM763" s="1"/>
      <c r="AN763" s="1"/>
      <c r="AO763" s="1"/>
      <c r="AP763" s="1"/>
      <c r="AQ763" s="1"/>
      <c r="AR763" s="1"/>
    </row>
    <row r="764" spans="35:44">
      <c r="AI764" s="23"/>
      <c r="AJ764" s="1"/>
      <c r="AK764" s="1"/>
      <c r="AL764" s="1"/>
      <c r="AM764" s="1"/>
      <c r="AN764" s="1"/>
      <c r="AO764" s="1"/>
      <c r="AP764" s="1"/>
      <c r="AQ764" s="1"/>
      <c r="AR764" s="1"/>
    </row>
    <row r="765" spans="35:44">
      <c r="AI765" s="23"/>
      <c r="AJ765" s="1"/>
      <c r="AK765" s="1"/>
      <c r="AL765" s="1"/>
      <c r="AM765" s="1"/>
      <c r="AN765" s="1"/>
      <c r="AO765" s="1"/>
      <c r="AP765" s="1"/>
      <c r="AQ765" s="1"/>
      <c r="AR765" s="1"/>
    </row>
    <row r="766" spans="35:44">
      <c r="AI766" s="23"/>
      <c r="AJ766" s="1"/>
      <c r="AK766" s="1"/>
      <c r="AL766" s="1"/>
      <c r="AM766" s="1"/>
      <c r="AN766" s="1"/>
      <c r="AO766" s="1"/>
      <c r="AP766" s="1"/>
      <c r="AQ766" s="1"/>
      <c r="AR766" s="1"/>
    </row>
    <row r="767" spans="35:44">
      <c r="AI767" s="23"/>
      <c r="AJ767" s="1"/>
      <c r="AK767" s="1"/>
      <c r="AL767" s="1"/>
      <c r="AM767" s="1"/>
      <c r="AN767" s="1"/>
      <c r="AO767" s="1"/>
      <c r="AP767" s="1"/>
      <c r="AQ767" s="1"/>
      <c r="AR767" s="1"/>
    </row>
    <row r="768" spans="35:44">
      <c r="AI768" s="23"/>
      <c r="AJ768" s="1"/>
      <c r="AK768" s="1"/>
      <c r="AL768" s="1"/>
      <c r="AM768" s="1"/>
      <c r="AN768" s="1"/>
      <c r="AO768" s="1"/>
      <c r="AP768" s="1"/>
      <c r="AQ768" s="1"/>
      <c r="AR768" s="1"/>
    </row>
    <row r="769" spans="35:44">
      <c r="AI769" s="23"/>
      <c r="AJ769" s="1"/>
      <c r="AK769" s="1"/>
      <c r="AL769" s="1"/>
      <c r="AM769" s="1"/>
      <c r="AN769" s="1"/>
      <c r="AO769" s="1"/>
      <c r="AP769" s="1"/>
      <c r="AQ769" s="1"/>
      <c r="AR769" s="1"/>
    </row>
    <row r="770" spans="35:44">
      <c r="AI770" s="23"/>
      <c r="AJ770" s="1"/>
      <c r="AK770" s="1"/>
      <c r="AL770" s="1"/>
      <c r="AM770" s="1"/>
      <c r="AN770" s="1"/>
      <c r="AO770" s="1"/>
      <c r="AP770" s="1"/>
      <c r="AQ770" s="1"/>
      <c r="AR770" s="1"/>
    </row>
    <row r="771" spans="35:44">
      <c r="AI771" s="23"/>
      <c r="AJ771" s="1"/>
      <c r="AK771" s="1"/>
      <c r="AL771" s="1"/>
      <c r="AM771" s="1"/>
      <c r="AN771" s="1"/>
      <c r="AO771" s="1"/>
      <c r="AP771" s="1"/>
      <c r="AQ771" s="1"/>
      <c r="AR771" s="1"/>
    </row>
    <row r="772" spans="35:44">
      <c r="AI772" s="23"/>
      <c r="AJ772" s="1"/>
      <c r="AK772" s="1"/>
      <c r="AL772" s="1"/>
      <c r="AM772" s="1"/>
      <c r="AN772" s="1"/>
      <c r="AO772" s="1"/>
      <c r="AP772" s="1"/>
      <c r="AQ772" s="1"/>
      <c r="AR772" s="1"/>
    </row>
    <row r="773" spans="35:44">
      <c r="AI773" s="23"/>
      <c r="AJ773" s="1"/>
      <c r="AK773" s="1"/>
      <c r="AL773" s="1"/>
      <c r="AM773" s="1"/>
      <c r="AN773" s="1"/>
      <c r="AO773" s="1"/>
      <c r="AP773" s="1"/>
      <c r="AQ773" s="1"/>
      <c r="AR773" s="1"/>
    </row>
    <row r="774" spans="35:44">
      <c r="AI774" s="23"/>
      <c r="AJ774" s="1"/>
      <c r="AK774" s="1"/>
      <c r="AL774" s="1"/>
      <c r="AM774" s="1"/>
      <c r="AN774" s="1"/>
      <c r="AO774" s="1"/>
      <c r="AP774" s="1"/>
      <c r="AQ774" s="1"/>
      <c r="AR774" s="1"/>
    </row>
    <row r="775" spans="35:44">
      <c r="AI775" s="23"/>
      <c r="AJ775" s="1"/>
      <c r="AK775" s="1"/>
      <c r="AL775" s="1"/>
      <c r="AM775" s="1"/>
      <c r="AN775" s="1"/>
      <c r="AO775" s="1"/>
      <c r="AP775" s="1"/>
      <c r="AQ775" s="1"/>
      <c r="AR775" s="1"/>
    </row>
    <row r="776" spans="35:44">
      <c r="AI776" s="23"/>
      <c r="AJ776" s="1"/>
      <c r="AK776" s="1"/>
      <c r="AL776" s="1"/>
      <c r="AM776" s="1"/>
      <c r="AN776" s="1"/>
      <c r="AO776" s="1"/>
      <c r="AP776" s="1"/>
      <c r="AQ776" s="1"/>
      <c r="AR776" s="1"/>
    </row>
    <row r="777" spans="35:44">
      <c r="AI777" s="23"/>
      <c r="AJ777" s="1"/>
      <c r="AK777" s="1"/>
      <c r="AL777" s="1"/>
      <c r="AM777" s="1"/>
      <c r="AN777" s="1"/>
      <c r="AO777" s="1"/>
      <c r="AP777" s="1"/>
      <c r="AQ777" s="1"/>
      <c r="AR777" s="1"/>
    </row>
    <row r="778" spans="35:44">
      <c r="AI778" s="23"/>
      <c r="AJ778" s="1"/>
      <c r="AK778" s="1"/>
      <c r="AL778" s="1"/>
      <c r="AM778" s="1"/>
      <c r="AN778" s="1"/>
      <c r="AO778" s="1"/>
      <c r="AP778" s="1"/>
      <c r="AQ778" s="1"/>
      <c r="AR778" s="1"/>
    </row>
    <row r="779" spans="35:44">
      <c r="AI779" s="23"/>
      <c r="AJ779" s="1"/>
      <c r="AK779" s="1"/>
      <c r="AL779" s="1"/>
      <c r="AM779" s="1"/>
      <c r="AN779" s="1"/>
      <c r="AO779" s="1"/>
      <c r="AP779" s="1"/>
      <c r="AQ779" s="1"/>
      <c r="AR779" s="1"/>
    </row>
    <row r="780" spans="35:44">
      <c r="AI780" s="23"/>
      <c r="AJ780" s="1"/>
      <c r="AK780" s="1"/>
      <c r="AL780" s="1"/>
      <c r="AM780" s="1"/>
      <c r="AN780" s="1"/>
      <c r="AO780" s="1"/>
      <c r="AP780" s="1"/>
      <c r="AQ780" s="1"/>
      <c r="AR780" s="1"/>
    </row>
    <row r="781" spans="35:44">
      <c r="AI781" s="23"/>
      <c r="AJ781" s="1"/>
      <c r="AK781" s="1"/>
      <c r="AL781" s="1"/>
      <c r="AM781" s="1"/>
      <c r="AN781" s="1"/>
      <c r="AO781" s="1"/>
      <c r="AP781" s="1"/>
      <c r="AQ781" s="1"/>
      <c r="AR781" s="1"/>
    </row>
    <row r="782" spans="35:44">
      <c r="AI782" s="23"/>
      <c r="AJ782" s="1"/>
      <c r="AK782" s="1"/>
      <c r="AL782" s="1"/>
      <c r="AM782" s="1"/>
      <c r="AN782" s="1"/>
      <c r="AO782" s="1"/>
      <c r="AP782" s="1"/>
      <c r="AQ782" s="1"/>
      <c r="AR782" s="1"/>
    </row>
    <row r="783" spans="35:44">
      <c r="AI783" s="23"/>
      <c r="AJ783" s="1"/>
      <c r="AK783" s="1"/>
      <c r="AL783" s="1"/>
      <c r="AM783" s="1"/>
      <c r="AN783" s="1"/>
      <c r="AO783" s="1"/>
      <c r="AP783" s="1"/>
      <c r="AQ783" s="1"/>
      <c r="AR783" s="1"/>
    </row>
    <row r="784" spans="35:44">
      <c r="AI784" s="23"/>
      <c r="AJ784" s="1"/>
      <c r="AK784" s="1"/>
      <c r="AL784" s="1"/>
      <c r="AM784" s="1"/>
      <c r="AN784" s="1"/>
      <c r="AO784" s="1"/>
      <c r="AP784" s="1"/>
      <c r="AQ784" s="1"/>
      <c r="AR784" s="1"/>
    </row>
    <row r="785" spans="35:44">
      <c r="AI785" s="23"/>
      <c r="AJ785" s="1"/>
      <c r="AK785" s="1"/>
      <c r="AL785" s="1"/>
      <c r="AM785" s="1"/>
      <c r="AN785" s="1"/>
      <c r="AO785" s="1"/>
      <c r="AP785" s="1"/>
      <c r="AQ785" s="1"/>
      <c r="AR785" s="1"/>
    </row>
    <row r="786" spans="35:44">
      <c r="AI786" s="23"/>
      <c r="AJ786" s="1"/>
      <c r="AK786" s="1"/>
      <c r="AL786" s="1"/>
      <c r="AM786" s="1"/>
      <c r="AN786" s="1"/>
      <c r="AO786" s="1"/>
      <c r="AP786" s="1"/>
      <c r="AQ786" s="1"/>
      <c r="AR786" s="1"/>
    </row>
    <row r="787" spans="35:44">
      <c r="AI787" s="23"/>
      <c r="AJ787" s="1"/>
      <c r="AK787" s="1"/>
      <c r="AL787" s="1"/>
      <c r="AM787" s="1"/>
      <c r="AN787" s="1"/>
      <c r="AO787" s="1"/>
      <c r="AP787" s="1"/>
      <c r="AQ787" s="1"/>
      <c r="AR787" s="1"/>
    </row>
    <row r="788" spans="35:44">
      <c r="AI788" s="23"/>
      <c r="AJ788" s="1"/>
      <c r="AK788" s="1"/>
      <c r="AL788" s="1"/>
      <c r="AM788" s="1"/>
      <c r="AN788" s="1"/>
      <c r="AO788" s="1"/>
      <c r="AP788" s="1"/>
      <c r="AQ788" s="1"/>
      <c r="AR788" s="1"/>
    </row>
    <row r="789" spans="35:44">
      <c r="AI789" s="23"/>
      <c r="AJ789" s="1"/>
      <c r="AK789" s="1"/>
      <c r="AL789" s="1"/>
      <c r="AM789" s="1"/>
      <c r="AN789" s="1"/>
      <c r="AO789" s="1"/>
      <c r="AP789" s="1"/>
      <c r="AQ789" s="1"/>
      <c r="AR789" s="1"/>
    </row>
    <row r="790" spans="35:44">
      <c r="AI790" s="23"/>
      <c r="AJ790" s="1"/>
      <c r="AK790" s="1"/>
      <c r="AL790" s="1"/>
      <c r="AM790" s="1"/>
      <c r="AN790" s="1"/>
      <c r="AO790" s="1"/>
      <c r="AP790" s="1"/>
      <c r="AQ790" s="1"/>
      <c r="AR790" s="1"/>
    </row>
    <row r="791" spans="35:44">
      <c r="AI791" s="23"/>
      <c r="AJ791" s="1"/>
      <c r="AK791" s="1"/>
      <c r="AL791" s="1"/>
      <c r="AM791" s="1"/>
      <c r="AN791" s="1"/>
      <c r="AO791" s="1"/>
      <c r="AP791" s="1"/>
      <c r="AQ791" s="1"/>
      <c r="AR791" s="1"/>
    </row>
    <row r="792" spans="35:44">
      <c r="AI792" s="23"/>
      <c r="AJ792" s="1"/>
      <c r="AK792" s="1"/>
      <c r="AL792" s="1"/>
      <c r="AM792" s="1"/>
      <c r="AN792" s="1"/>
      <c r="AO792" s="1"/>
      <c r="AP792" s="1"/>
      <c r="AQ792" s="1"/>
      <c r="AR792" s="1"/>
    </row>
    <row r="793" spans="35:44">
      <c r="AI793" s="23"/>
      <c r="AJ793" s="1"/>
      <c r="AK793" s="1"/>
      <c r="AL793" s="1"/>
      <c r="AM793" s="1"/>
      <c r="AN793" s="1"/>
      <c r="AO793" s="1"/>
      <c r="AP793" s="1"/>
      <c r="AQ793" s="1"/>
      <c r="AR793" s="1"/>
    </row>
    <row r="794" spans="35:44">
      <c r="AI794" s="23"/>
      <c r="AJ794" s="1"/>
      <c r="AK794" s="1"/>
      <c r="AL794" s="1"/>
      <c r="AM794" s="1"/>
      <c r="AN794" s="1"/>
      <c r="AO794" s="1"/>
      <c r="AP794" s="1"/>
      <c r="AQ794" s="1"/>
      <c r="AR794" s="1"/>
    </row>
    <row r="795" spans="35:44">
      <c r="AI795" s="23"/>
      <c r="AJ795" s="1"/>
      <c r="AK795" s="1"/>
      <c r="AL795" s="1"/>
      <c r="AM795" s="1"/>
      <c r="AN795" s="1"/>
      <c r="AO795" s="1"/>
      <c r="AP795" s="1"/>
      <c r="AQ795" s="1"/>
      <c r="AR795" s="1"/>
    </row>
    <row r="796" spans="35:44">
      <c r="AI796" s="23"/>
      <c r="AJ796" s="1"/>
      <c r="AK796" s="1"/>
      <c r="AL796" s="1"/>
      <c r="AM796" s="1"/>
      <c r="AN796" s="1"/>
      <c r="AO796" s="1"/>
      <c r="AP796" s="1"/>
      <c r="AQ796" s="1"/>
      <c r="AR796" s="1"/>
    </row>
    <row r="797" spans="35:44">
      <c r="AI797" s="23"/>
      <c r="AJ797" s="1"/>
      <c r="AK797" s="1"/>
      <c r="AL797" s="1"/>
      <c r="AM797" s="1"/>
      <c r="AN797" s="1"/>
      <c r="AO797" s="1"/>
      <c r="AP797" s="1"/>
      <c r="AQ797" s="1"/>
      <c r="AR797" s="1"/>
    </row>
    <row r="798" spans="35:44">
      <c r="AI798" s="23"/>
      <c r="AJ798" s="1"/>
      <c r="AK798" s="1"/>
      <c r="AL798" s="1"/>
      <c r="AM798" s="1"/>
      <c r="AN798" s="1"/>
      <c r="AO798" s="1"/>
      <c r="AP798" s="1"/>
      <c r="AQ798" s="1"/>
      <c r="AR798" s="1"/>
    </row>
    <row r="799" spans="35:44">
      <c r="AI799" s="23"/>
      <c r="AJ799" s="1"/>
      <c r="AK799" s="1"/>
      <c r="AL799" s="1"/>
      <c r="AM799" s="1"/>
      <c r="AN799" s="1"/>
      <c r="AO799" s="1"/>
      <c r="AP799" s="1"/>
      <c r="AQ799" s="1"/>
      <c r="AR799" s="1"/>
    </row>
    <row r="800" spans="35:44">
      <c r="AI800" s="23"/>
      <c r="AJ800" s="1"/>
      <c r="AK800" s="1"/>
      <c r="AL800" s="1"/>
      <c r="AM800" s="1"/>
      <c r="AN800" s="1"/>
      <c r="AO800" s="1"/>
      <c r="AP800" s="1"/>
      <c r="AQ800" s="1"/>
      <c r="AR800" s="1"/>
    </row>
    <row r="801" spans="35:44">
      <c r="AI801" s="23"/>
      <c r="AJ801" s="1"/>
      <c r="AK801" s="1"/>
      <c r="AL801" s="1"/>
      <c r="AM801" s="1"/>
      <c r="AN801" s="1"/>
      <c r="AO801" s="1"/>
      <c r="AP801" s="1"/>
      <c r="AQ801" s="1"/>
      <c r="AR801" s="1"/>
    </row>
    <row r="802" spans="35:44">
      <c r="AI802" s="23"/>
      <c r="AJ802" s="1"/>
      <c r="AK802" s="1"/>
      <c r="AL802" s="1"/>
      <c r="AM802" s="1"/>
      <c r="AN802" s="1"/>
      <c r="AO802" s="1"/>
      <c r="AP802" s="1"/>
      <c r="AQ802" s="1"/>
      <c r="AR802" s="1"/>
    </row>
    <row r="803" spans="35:44">
      <c r="AI803" s="23"/>
      <c r="AJ803" s="1"/>
      <c r="AK803" s="1"/>
      <c r="AL803" s="1"/>
      <c r="AM803" s="1"/>
      <c r="AN803" s="1"/>
      <c r="AO803" s="1"/>
      <c r="AP803" s="1"/>
      <c r="AQ803" s="1"/>
      <c r="AR803" s="1"/>
    </row>
    <row r="804" spans="35:44">
      <c r="AI804" s="23"/>
      <c r="AJ804" s="1"/>
      <c r="AK804" s="1"/>
      <c r="AL804" s="1"/>
      <c r="AM804" s="1"/>
      <c r="AN804" s="1"/>
      <c r="AO804" s="1"/>
      <c r="AP804" s="1"/>
      <c r="AQ804" s="1"/>
      <c r="AR804" s="1"/>
    </row>
    <row r="805" spans="35:44">
      <c r="AI805" s="23"/>
      <c r="AJ805" s="1"/>
      <c r="AK805" s="1"/>
      <c r="AL805" s="1"/>
      <c r="AM805" s="1"/>
      <c r="AN805" s="1"/>
      <c r="AO805" s="1"/>
      <c r="AP805" s="1"/>
      <c r="AQ805" s="1"/>
      <c r="AR805" s="1"/>
    </row>
    <row r="806" spans="35:44">
      <c r="AI806" s="23"/>
      <c r="AJ806" s="1"/>
      <c r="AK806" s="1"/>
      <c r="AL806" s="1"/>
      <c r="AM806" s="1"/>
      <c r="AN806" s="1"/>
      <c r="AO806" s="1"/>
      <c r="AP806" s="1"/>
      <c r="AQ806" s="1"/>
      <c r="AR806" s="1"/>
    </row>
    <row r="807" spans="35:44">
      <c r="AI807" s="23"/>
      <c r="AJ807" s="1"/>
      <c r="AK807" s="1"/>
      <c r="AL807" s="1"/>
      <c r="AM807" s="1"/>
      <c r="AN807" s="1"/>
      <c r="AO807" s="1"/>
      <c r="AP807" s="1"/>
      <c r="AQ807" s="1"/>
      <c r="AR807" s="1"/>
    </row>
    <row r="808" spans="35:44">
      <c r="AI808" s="23"/>
      <c r="AJ808" s="1"/>
      <c r="AK808" s="1"/>
      <c r="AL808" s="1"/>
      <c r="AM808" s="1"/>
      <c r="AN808" s="1"/>
      <c r="AO808" s="1"/>
      <c r="AP808" s="1"/>
      <c r="AQ808" s="1"/>
      <c r="AR808" s="1"/>
    </row>
    <row r="809" spans="35:44">
      <c r="AI809" s="23"/>
      <c r="AJ809" s="1"/>
      <c r="AK809" s="1"/>
      <c r="AL809" s="1"/>
      <c r="AM809" s="1"/>
      <c r="AN809" s="1"/>
      <c r="AO809" s="1"/>
      <c r="AP809" s="1"/>
      <c r="AQ809" s="1"/>
      <c r="AR809" s="1"/>
    </row>
    <row r="810" spans="35:44">
      <c r="AI810" s="23"/>
      <c r="AJ810" s="1"/>
      <c r="AK810" s="1"/>
      <c r="AL810" s="1"/>
      <c r="AM810" s="1"/>
      <c r="AN810" s="1"/>
      <c r="AO810" s="1"/>
      <c r="AP810" s="1"/>
      <c r="AQ810" s="1"/>
      <c r="AR810" s="1"/>
    </row>
    <row r="811" spans="35:44">
      <c r="AI811" s="23"/>
      <c r="AJ811" s="1"/>
      <c r="AK811" s="1"/>
      <c r="AL811" s="1"/>
      <c r="AM811" s="1"/>
      <c r="AN811" s="1"/>
      <c r="AO811" s="1"/>
      <c r="AP811" s="1"/>
      <c r="AQ811" s="1"/>
      <c r="AR811" s="1"/>
    </row>
    <row r="812" spans="35:44">
      <c r="AI812" s="23"/>
      <c r="AJ812" s="1"/>
      <c r="AK812" s="1"/>
      <c r="AL812" s="1"/>
      <c r="AM812" s="1"/>
      <c r="AN812" s="1"/>
      <c r="AO812" s="1"/>
      <c r="AP812" s="1"/>
      <c r="AQ812" s="1"/>
      <c r="AR812" s="1"/>
    </row>
    <row r="813" spans="35:44">
      <c r="AI813" s="23"/>
      <c r="AJ813" s="1"/>
      <c r="AK813" s="1"/>
      <c r="AL813" s="1"/>
      <c r="AM813" s="1"/>
      <c r="AN813" s="1"/>
      <c r="AO813" s="1"/>
      <c r="AP813" s="1"/>
      <c r="AQ813" s="1"/>
      <c r="AR813" s="1"/>
    </row>
    <row r="814" spans="35:44">
      <c r="AI814" s="23"/>
      <c r="AJ814" s="1"/>
      <c r="AK814" s="1"/>
      <c r="AL814" s="1"/>
      <c r="AM814" s="1"/>
      <c r="AN814" s="1"/>
      <c r="AO814" s="1"/>
      <c r="AP814" s="1"/>
      <c r="AQ814" s="1"/>
      <c r="AR814" s="1"/>
    </row>
    <row r="815" spans="35:44">
      <c r="AI815" s="23"/>
      <c r="AJ815" s="1"/>
      <c r="AK815" s="1"/>
      <c r="AL815" s="1"/>
      <c r="AM815" s="1"/>
      <c r="AN815" s="1"/>
      <c r="AO815" s="1"/>
      <c r="AP815" s="1"/>
      <c r="AQ815" s="1"/>
      <c r="AR815" s="1"/>
    </row>
    <row r="816" spans="35:44">
      <c r="AI816" s="23"/>
      <c r="AJ816" s="1"/>
      <c r="AK816" s="1"/>
      <c r="AL816" s="1"/>
      <c r="AM816" s="1"/>
      <c r="AN816" s="1"/>
      <c r="AO816" s="1"/>
      <c r="AP816" s="1"/>
      <c r="AQ816" s="1"/>
      <c r="AR816" s="1"/>
    </row>
    <row r="817" spans="35:44">
      <c r="AI817" s="23"/>
      <c r="AJ817" s="1"/>
      <c r="AK817" s="1"/>
      <c r="AL817" s="1"/>
      <c r="AM817" s="1"/>
      <c r="AN817" s="1"/>
      <c r="AO817" s="1"/>
      <c r="AP817" s="1"/>
      <c r="AQ817" s="1"/>
      <c r="AR817" s="1"/>
    </row>
    <row r="818" spans="35:44">
      <c r="AI818" s="23"/>
      <c r="AJ818" s="1"/>
      <c r="AK818" s="1"/>
      <c r="AL818" s="1"/>
      <c r="AM818" s="1"/>
      <c r="AN818" s="1"/>
      <c r="AO818" s="1"/>
      <c r="AP818" s="1"/>
      <c r="AQ818" s="1"/>
      <c r="AR818" s="1"/>
    </row>
    <row r="819" spans="35:44">
      <c r="AI819" s="23"/>
      <c r="AJ819" s="1"/>
      <c r="AK819" s="1"/>
      <c r="AL819" s="1"/>
      <c r="AM819" s="1"/>
      <c r="AN819" s="1"/>
      <c r="AO819" s="1"/>
      <c r="AP819" s="1"/>
      <c r="AQ819" s="1"/>
      <c r="AR819" s="1"/>
    </row>
    <row r="820" spans="35:44">
      <c r="AI820" s="23"/>
      <c r="AJ820" s="1"/>
      <c r="AK820" s="1"/>
      <c r="AL820" s="1"/>
      <c r="AM820" s="1"/>
      <c r="AN820" s="1"/>
      <c r="AO820" s="1"/>
      <c r="AP820" s="1"/>
      <c r="AQ820" s="1"/>
      <c r="AR820" s="1"/>
    </row>
    <row r="821" spans="35:44">
      <c r="AI821" s="23"/>
      <c r="AJ821" s="1"/>
      <c r="AK821" s="1"/>
      <c r="AL821" s="1"/>
      <c r="AM821" s="1"/>
      <c r="AN821" s="1"/>
      <c r="AO821" s="1"/>
      <c r="AP821" s="1"/>
      <c r="AQ821" s="1"/>
      <c r="AR821" s="1"/>
    </row>
    <row r="822" spans="35:44">
      <c r="AI822" s="23"/>
      <c r="AJ822" s="1"/>
      <c r="AK822" s="1"/>
      <c r="AL822" s="1"/>
      <c r="AM822" s="1"/>
      <c r="AN822" s="1"/>
      <c r="AO822" s="1"/>
      <c r="AP822" s="1"/>
      <c r="AQ822" s="1"/>
      <c r="AR822" s="1"/>
    </row>
    <row r="823" spans="35:44">
      <c r="AI823" s="23"/>
      <c r="AJ823" s="1"/>
      <c r="AK823" s="1"/>
      <c r="AL823" s="1"/>
      <c r="AM823" s="1"/>
      <c r="AN823" s="1"/>
      <c r="AO823" s="1"/>
      <c r="AP823" s="1"/>
      <c r="AQ823" s="1"/>
      <c r="AR823" s="1"/>
    </row>
    <row r="824" spans="35:44">
      <c r="AI824" s="23"/>
      <c r="AJ824" s="1"/>
      <c r="AK824" s="1"/>
      <c r="AL824" s="1"/>
      <c r="AM824" s="1"/>
      <c r="AN824" s="1"/>
      <c r="AO824" s="1"/>
      <c r="AP824" s="1"/>
      <c r="AQ824" s="1"/>
      <c r="AR824" s="1"/>
    </row>
    <row r="825" spans="35:44">
      <c r="AI825" s="23"/>
      <c r="AJ825" s="1"/>
      <c r="AK825" s="1"/>
      <c r="AL825" s="1"/>
      <c r="AM825" s="1"/>
      <c r="AN825" s="1"/>
      <c r="AO825" s="1"/>
      <c r="AP825" s="1"/>
      <c r="AQ825" s="1"/>
      <c r="AR825" s="1"/>
    </row>
    <row r="826" spans="35:44">
      <c r="AI826" s="23"/>
      <c r="AJ826" s="1"/>
      <c r="AK826" s="1"/>
      <c r="AL826" s="1"/>
      <c r="AM826" s="1"/>
      <c r="AN826" s="1"/>
      <c r="AO826" s="1"/>
      <c r="AP826" s="1"/>
      <c r="AQ826" s="1"/>
      <c r="AR826" s="1"/>
    </row>
    <row r="827" spans="35:44">
      <c r="AI827" s="23"/>
      <c r="AJ827" s="1"/>
      <c r="AK827" s="1"/>
      <c r="AL827" s="1"/>
      <c r="AM827" s="1"/>
      <c r="AN827" s="1"/>
      <c r="AO827" s="1"/>
      <c r="AP827" s="1"/>
      <c r="AQ827" s="1"/>
      <c r="AR827" s="1"/>
    </row>
    <row r="828" spans="35:44">
      <c r="AI828" s="23"/>
      <c r="AJ828" s="1"/>
      <c r="AK828" s="1"/>
      <c r="AL828" s="1"/>
      <c r="AM828" s="1"/>
      <c r="AN828" s="1"/>
      <c r="AO828" s="1"/>
      <c r="AP828" s="1"/>
      <c r="AQ828" s="1"/>
      <c r="AR828" s="1"/>
    </row>
    <row r="829" spans="35:44">
      <c r="AI829" s="23"/>
      <c r="AJ829" s="1"/>
      <c r="AK829" s="1"/>
      <c r="AL829" s="1"/>
      <c r="AM829" s="1"/>
      <c r="AN829" s="1"/>
      <c r="AO829" s="1"/>
      <c r="AP829" s="1"/>
      <c r="AQ829" s="1"/>
      <c r="AR829" s="1"/>
    </row>
    <row r="830" spans="35:44">
      <c r="AI830" s="23"/>
      <c r="AJ830" s="1"/>
      <c r="AK830" s="1"/>
      <c r="AL830" s="1"/>
      <c r="AM830" s="1"/>
      <c r="AN830" s="1"/>
      <c r="AO830" s="1"/>
      <c r="AP830" s="1"/>
      <c r="AQ830" s="1"/>
      <c r="AR830" s="1"/>
    </row>
    <row r="831" spans="35:44">
      <c r="AI831" s="23"/>
      <c r="AJ831" s="1"/>
      <c r="AK831" s="1"/>
      <c r="AL831" s="1"/>
      <c r="AM831" s="1"/>
      <c r="AN831" s="1"/>
      <c r="AO831" s="1"/>
      <c r="AP831" s="1"/>
      <c r="AQ831" s="1"/>
      <c r="AR831" s="1"/>
    </row>
    <row r="832" spans="35:44">
      <c r="AI832" s="23"/>
      <c r="AJ832" s="1"/>
      <c r="AK832" s="1"/>
      <c r="AL832" s="1"/>
      <c r="AM832" s="1"/>
      <c r="AN832" s="1"/>
      <c r="AO832" s="1"/>
      <c r="AP832" s="1"/>
      <c r="AQ832" s="1"/>
      <c r="AR832" s="1"/>
    </row>
    <row r="833" spans="35:44">
      <c r="AI833" s="23"/>
      <c r="AJ833" s="1"/>
      <c r="AK833" s="1"/>
      <c r="AL833" s="1"/>
      <c r="AM833" s="1"/>
      <c r="AN833" s="1"/>
      <c r="AO833" s="1"/>
      <c r="AP833" s="1"/>
      <c r="AQ833" s="1"/>
      <c r="AR833" s="1"/>
    </row>
    <row r="834" spans="35:44">
      <c r="AI834" s="23"/>
      <c r="AJ834" s="1"/>
      <c r="AK834" s="1"/>
      <c r="AL834" s="1"/>
      <c r="AM834" s="1"/>
      <c r="AN834" s="1"/>
      <c r="AO834" s="1"/>
      <c r="AP834" s="1"/>
      <c r="AQ834" s="1"/>
      <c r="AR834" s="1"/>
    </row>
    <row r="835" spans="35:44">
      <c r="AI835" s="23"/>
      <c r="AJ835" s="1"/>
      <c r="AK835" s="1"/>
      <c r="AL835" s="1"/>
      <c r="AM835" s="1"/>
      <c r="AN835" s="1"/>
      <c r="AO835" s="1"/>
      <c r="AP835" s="1"/>
      <c r="AQ835" s="1"/>
      <c r="AR835" s="1"/>
    </row>
    <row r="836" spans="35:44">
      <c r="AI836" s="23"/>
      <c r="AJ836" s="1"/>
      <c r="AK836" s="1"/>
      <c r="AL836" s="1"/>
      <c r="AM836" s="1"/>
      <c r="AN836" s="1"/>
      <c r="AO836" s="1"/>
      <c r="AP836" s="1"/>
      <c r="AQ836" s="1"/>
      <c r="AR836" s="1"/>
    </row>
    <row r="837" spans="35:44">
      <c r="AI837" s="23"/>
      <c r="AJ837" s="1"/>
      <c r="AK837" s="1"/>
      <c r="AL837" s="1"/>
      <c r="AM837" s="1"/>
      <c r="AN837" s="1"/>
      <c r="AO837" s="1"/>
      <c r="AP837" s="1"/>
      <c r="AQ837" s="1"/>
      <c r="AR837" s="1"/>
    </row>
    <row r="838" spans="35:44">
      <c r="AI838" s="23"/>
      <c r="AJ838" s="1"/>
      <c r="AK838" s="1"/>
      <c r="AL838" s="1"/>
      <c r="AM838" s="1"/>
      <c r="AN838" s="1"/>
      <c r="AO838" s="1"/>
      <c r="AP838" s="1"/>
      <c r="AQ838" s="1"/>
      <c r="AR838" s="1"/>
    </row>
    <row r="839" spans="35:44">
      <c r="AI839" s="23"/>
      <c r="AJ839" s="1"/>
      <c r="AK839" s="1"/>
      <c r="AL839" s="1"/>
      <c r="AM839" s="1"/>
      <c r="AN839" s="1"/>
      <c r="AO839" s="1"/>
      <c r="AP839" s="1"/>
      <c r="AQ839" s="1"/>
      <c r="AR839" s="1"/>
    </row>
    <row r="840" spans="35:44">
      <c r="AI840" s="23"/>
      <c r="AJ840" s="1"/>
      <c r="AK840" s="1"/>
      <c r="AL840" s="1"/>
      <c r="AM840" s="1"/>
      <c r="AN840" s="1"/>
      <c r="AO840" s="1"/>
      <c r="AP840" s="1"/>
      <c r="AQ840" s="1"/>
      <c r="AR840" s="1"/>
    </row>
    <row r="841" spans="35:44">
      <c r="AI841" s="23"/>
      <c r="AJ841" s="1"/>
      <c r="AK841" s="1"/>
      <c r="AL841" s="1"/>
      <c r="AM841" s="1"/>
      <c r="AN841" s="1"/>
      <c r="AO841" s="1"/>
      <c r="AP841" s="1"/>
      <c r="AQ841" s="1"/>
      <c r="AR841" s="1"/>
    </row>
    <row r="842" spans="35:44">
      <c r="AI842" s="23"/>
      <c r="AJ842" s="1"/>
      <c r="AK842" s="1"/>
      <c r="AL842" s="1"/>
      <c r="AM842" s="1"/>
      <c r="AN842" s="1"/>
      <c r="AO842" s="1"/>
      <c r="AP842" s="1"/>
      <c r="AQ842" s="1"/>
      <c r="AR842" s="1"/>
    </row>
    <row r="843" spans="35:44">
      <c r="AI843" s="23"/>
      <c r="AJ843" s="1"/>
      <c r="AK843" s="1"/>
      <c r="AL843" s="1"/>
      <c r="AM843" s="1"/>
      <c r="AN843" s="1"/>
      <c r="AO843" s="1"/>
      <c r="AP843" s="1"/>
      <c r="AQ843" s="1"/>
      <c r="AR843" s="1"/>
    </row>
    <row r="844" spans="35:44">
      <c r="AI844" s="23"/>
      <c r="AJ844" s="1"/>
      <c r="AK844" s="1"/>
      <c r="AL844" s="1"/>
      <c r="AM844" s="1"/>
      <c r="AN844" s="1"/>
      <c r="AO844" s="1"/>
      <c r="AP844" s="1"/>
      <c r="AQ844" s="1"/>
      <c r="AR844" s="1"/>
    </row>
    <row r="845" spans="35:44">
      <c r="AI845" s="23"/>
      <c r="AJ845" s="1"/>
      <c r="AK845" s="1"/>
      <c r="AL845" s="1"/>
      <c r="AM845" s="1"/>
      <c r="AN845" s="1"/>
      <c r="AO845" s="1"/>
      <c r="AP845" s="1"/>
      <c r="AQ845" s="1"/>
      <c r="AR845" s="1"/>
    </row>
    <row r="846" spans="35:44">
      <c r="AI846" s="23"/>
      <c r="AJ846" s="1"/>
      <c r="AK846" s="1"/>
      <c r="AL846" s="1"/>
      <c r="AM846" s="1"/>
      <c r="AN846" s="1"/>
      <c r="AO846" s="1"/>
      <c r="AP846" s="1"/>
      <c r="AQ846" s="1"/>
      <c r="AR846" s="1"/>
    </row>
    <row r="847" spans="35:44">
      <c r="AI847" s="23"/>
      <c r="AJ847" s="1"/>
      <c r="AK847" s="1"/>
      <c r="AL847" s="1"/>
      <c r="AM847" s="1"/>
      <c r="AN847" s="1"/>
      <c r="AO847" s="1"/>
      <c r="AP847" s="1"/>
      <c r="AQ847" s="1"/>
      <c r="AR847" s="1"/>
    </row>
    <row r="848" spans="35:44">
      <c r="AI848" s="23"/>
      <c r="AJ848" s="1"/>
      <c r="AK848" s="1"/>
      <c r="AL848" s="1"/>
      <c r="AM848" s="1"/>
      <c r="AN848" s="1"/>
      <c r="AO848" s="1"/>
      <c r="AP848" s="1"/>
      <c r="AQ848" s="1"/>
      <c r="AR848" s="1"/>
    </row>
    <row r="849" spans="35:44">
      <c r="AI849" s="23"/>
      <c r="AJ849" s="1"/>
      <c r="AK849" s="1"/>
      <c r="AL849" s="1"/>
      <c r="AM849" s="1"/>
      <c r="AN849" s="1"/>
      <c r="AO849" s="1"/>
      <c r="AP849" s="1"/>
      <c r="AQ849" s="1"/>
      <c r="AR849" s="1"/>
    </row>
    <row r="850" spans="35:44">
      <c r="AI850" s="23"/>
      <c r="AJ850" s="1"/>
      <c r="AK850" s="1"/>
      <c r="AL850" s="1"/>
      <c r="AM850" s="1"/>
      <c r="AN850" s="1"/>
      <c r="AO850" s="1"/>
      <c r="AP850" s="1"/>
      <c r="AQ850" s="1"/>
      <c r="AR850" s="1"/>
    </row>
    <row r="851" spans="35:44">
      <c r="AI851" s="23"/>
      <c r="AJ851" s="1"/>
      <c r="AK851" s="1"/>
      <c r="AL851" s="1"/>
      <c r="AM851" s="1"/>
      <c r="AN851" s="1"/>
      <c r="AO851" s="1"/>
      <c r="AP851" s="1"/>
      <c r="AQ851" s="1"/>
      <c r="AR851" s="1"/>
    </row>
    <row r="852" spans="35:44">
      <c r="AI852" s="23"/>
      <c r="AJ852" s="1"/>
      <c r="AK852" s="1"/>
      <c r="AL852" s="1"/>
      <c r="AM852" s="1"/>
      <c r="AN852" s="1"/>
      <c r="AO852" s="1"/>
      <c r="AP852" s="1"/>
      <c r="AQ852" s="1"/>
      <c r="AR852" s="1"/>
    </row>
    <row r="853" spans="35:44">
      <c r="AI853" s="23"/>
      <c r="AJ853" s="1"/>
      <c r="AK853" s="1"/>
      <c r="AL853" s="1"/>
      <c r="AM853" s="1"/>
      <c r="AN853" s="1"/>
      <c r="AO853" s="1"/>
      <c r="AP853" s="1"/>
      <c r="AQ853" s="1"/>
      <c r="AR853" s="1"/>
    </row>
    <row r="854" spans="35:44">
      <c r="AI854" s="23"/>
      <c r="AJ854" s="1"/>
      <c r="AK854" s="1"/>
      <c r="AL854" s="1"/>
      <c r="AM854" s="1"/>
      <c r="AN854" s="1"/>
      <c r="AO854" s="1"/>
      <c r="AP854" s="1"/>
      <c r="AQ854" s="1"/>
      <c r="AR854" s="1"/>
    </row>
    <row r="855" spans="35:44">
      <c r="AI855" s="23"/>
      <c r="AJ855" s="1"/>
      <c r="AK855" s="1"/>
      <c r="AL855" s="1"/>
      <c r="AM855" s="1"/>
      <c r="AN855" s="1"/>
      <c r="AO855" s="1"/>
      <c r="AP855" s="1"/>
      <c r="AQ855" s="1"/>
      <c r="AR855" s="1"/>
    </row>
    <row r="856" spans="35:44">
      <c r="AI856" s="23"/>
      <c r="AJ856" s="1"/>
      <c r="AK856" s="1"/>
      <c r="AL856" s="1"/>
      <c r="AM856" s="1"/>
      <c r="AN856" s="1"/>
      <c r="AO856" s="1"/>
      <c r="AP856" s="1"/>
      <c r="AQ856" s="1"/>
      <c r="AR856" s="1"/>
    </row>
    <row r="857" spans="35:44">
      <c r="AI857" s="23"/>
      <c r="AJ857" s="1"/>
      <c r="AK857" s="1"/>
      <c r="AL857" s="1"/>
      <c r="AM857" s="1"/>
      <c r="AN857" s="1"/>
      <c r="AO857" s="1"/>
      <c r="AP857" s="1"/>
      <c r="AQ857" s="1"/>
      <c r="AR857" s="1"/>
    </row>
    <row r="858" spans="35:44">
      <c r="AI858" s="23"/>
      <c r="AJ858" s="1"/>
      <c r="AK858" s="1"/>
      <c r="AL858" s="1"/>
      <c r="AM858" s="1"/>
      <c r="AN858" s="1"/>
      <c r="AO858" s="1"/>
      <c r="AP858" s="1"/>
      <c r="AQ858" s="1"/>
      <c r="AR858" s="1"/>
    </row>
    <row r="859" spans="35:44">
      <c r="AI859" s="23"/>
      <c r="AJ859" s="1"/>
      <c r="AK859" s="1"/>
      <c r="AL859" s="1"/>
      <c r="AM859" s="1"/>
      <c r="AN859" s="1"/>
      <c r="AO859" s="1"/>
      <c r="AP859" s="1"/>
      <c r="AQ859" s="1"/>
      <c r="AR859" s="1"/>
    </row>
    <row r="860" spans="35:44">
      <c r="AI860" s="23"/>
      <c r="AJ860" s="1"/>
      <c r="AK860" s="1"/>
      <c r="AL860" s="1"/>
      <c r="AM860" s="1"/>
      <c r="AN860" s="1"/>
      <c r="AO860" s="1"/>
      <c r="AP860" s="1"/>
      <c r="AQ860" s="1"/>
      <c r="AR860" s="1"/>
    </row>
    <row r="861" spans="35:44">
      <c r="AI861" s="23"/>
      <c r="AJ861" s="1"/>
      <c r="AK861" s="1"/>
      <c r="AL861" s="1"/>
      <c r="AM861" s="1"/>
      <c r="AN861" s="1"/>
      <c r="AO861" s="1"/>
      <c r="AP861" s="1"/>
      <c r="AQ861" s="1"/>
      <c r="AR861" s="1"/>
    </row>
    <row r="862" spans="35:44">
      <c r="AI862" s="23"/>
      <c r="AJ862" s="1"/>
      <c r="AK862" s="1"/>
      <c r="AL862" s="1"/>
      <c r="AM862" s="1"/>
      <c r="AN862" s="1"/>
      <c r="AO862" s="1"/>
      <c r="AP862" s="1"/>
      <c r="AQ862" s="1"/>
      <c r="AR862" s="1"/>
    </row>
    <row r="863" spans="35:44">
      <c r="AI863" s="23"/>
      <c r="AJ863" s="1"/>
      <c r="AK863" s="1"/>
      <c r="AL863" s="1"/>
      <c r="AM863" s="1"/>
      <c r="AN863" s="1"/>
      <c r="AO863" s="1"/>
      <c r="AP863" s="1"/>
      <c r="AQ863" s="1"/>
      <c r="AR863" s="1"/>
    </row>
    <row r="864" spans="35:44">
      <c r="AI864" s="23"/>
      <c r="AJ864" s="1"/>
      <c r="AK864" s="1"/>
      <c r="AL864" s="1"/>
      <c r="AM864" s="1"/>
      <c r="AN864" s="1"/>
      <c r="AO864" s="1"/>
      <c r="AP864" s="1"/>
      <c r="AQ864" s="1"/>
      <c r="AR864" s="1"/>
    </row>
    <row r="865" spans="35:44">
      <c r="AI865" s="23"/>
      <c r="AJ865" s="1"/>
      <c r="AK865" s="1"/>
      <c r="AL865" s="1"/>
      <c r="AM865" s="1"/>
      <c r="AN865" s="1"/>
      <c r="AO865" s="1"/>
      <c r="AP865" s="1"/>
      <c r="AQ865" s="1"/>
      <c r="AR865" s="1"/>
    </row>
    <row r="866" spans="35:44">
      <c r="AI866" s="23"/>
      <c r="AJ866" s="1"/>
      <c r="AK866" s="1"/>
      <c r="AL866" s="1"/>
      <c r="AM866" s="1"/>
      <c r="AN866" s="1"/>
      <c r="AO866" s="1"/>
      <c r="AP866" s="1"/>
      <c r="AQ866" s="1"/>
      <c r="AR866" s="1"/>
    </row>
    <row r="867" spans="35:44">
      <c r="AI867" s="23"/>
      <c r="AJ867" s="1"/>
      <c r="AK867" s="1"/>
      <c r="AL867" s="1"/>
      <c r="AM867" s="1"/>
      <c r="AN867" s="1"/>
      <c r="AO867" s="1"/>
      <c r="AP867" s="1"/>
      <c r="AQ867" s="1"/>
      <c r="AR867" s="1"/>
    </row>
    <row r="868" spans="35:44">
      <c r="AI868" s="23"/>
      <c r="AJ868" s="1"/>
      <c r="AK868" s="1"/>
      <c r="AL868" s="1"/>
      <c r="AM868" s="1"/>
      <c r="AN868" s="1"/>
      <c r="AO868" s="1"/>
      <c r="AP868" s="1"/>
      <c r="AQ868" s="1"/>
      <c r="AR868" s="1"/>
    </row>
    <row r="869" spans="35:44">
      <c r="AI869" s="23"/>
      <c r="AJ869" s="1"/>
      <c r="AK869" s="1"/>
      <c r="AL869" s="1"/>
      <c r="AM869" s="1"/>
      <c r="AN869" s="1"/>
      <c r="AO869" s="1"/>
      <c r="AP869" s="1"/>
      <c r="AQ869" s="1"/>
      <c r="AR869" s="1"/>
    </row>
    <row r="870" spans="35:44">
      <c r="AI870" s="23"/>
      <c r="AJ870" s="1"/>
      <c r="AK870" s="1"/>
      <c r="AL870" s="1"/>
      <c r="AM870" s="1"/>
      <c r="AN870" s="1"/>
      <c r="AO870" s="1"/>
      <c r="AP870" s="1"/>
      <c r="AQ870" s="1"/>
      <c r="AR870" s="1"/>
    </row>
    <row r="871" spans="35:44">
      <c r="AI871" s="23"/>
      <c r="AJ871" s="1"/>
      <c r="AK871" s="1"/>
      <c r="AL871" s="1"/>
      <c r="AM871" s="1"/>
      <c r="AN871" s="1"/>
      <c r="AO871" s="1"/>
      <c r="AP871" s="1"/>
      <c r="AQ871" s="1"/>
      <c r="AR871" s="1"/>
    </row>
    <row r="872" spans="35:44">
      <c r="AI872" s="23"/>
      <c r="AJ872" s="1"/>
      <c r="AK872" s="1"/>
      <c r="AL872" s="1"/>
      <c r="AM872" s="1"/>
      <c r="AN872" s="1"/>
      <c r="AO872" s="1"/>
      <c r="AP872" s="1"/>
      <c r="AQ872" s="1"/>
      <c r="AR872" s="1"/>
    </row>
    <row r="873" spans="35:44">
      <c r="AI873" s="23"/>
      <c r="AJ873" s="1"/>
      <c r="AK873" s="1"/>
      <c r="AL873" s="1"/>
      <c r="AM873" s="1"/>
      <c r="AN873" s="1"/>
      <c r="AO873" s="1"/>
      <c r="AP873" s="1"/>
      <c r="AQ873" s="1"/>
      <c r="AR873" s="1"/>
    </row>
    <row r="874" spans="35:44">
      <c r="AI874" s="23"/>
      <c r="AJ874" s="1"/>
      <c r="AK874" s="1"/>
      <c r="AL874" s="1"/>
      <c r="AM874" s="1"/>
      <c r="AN874" s="1"/>
      <c r="AO874" s="1"/>
      <c r="AP874" s="1"/>
      <c r="AQ874" s="1"/>
      <c r="AR874" s="1"/>
    </row>
    <row r="875" spans="35:44">
      <c r="AI875" s="23"/>
      <c r="AJ875" s="1"/>
      <c r="AK875" s="1"/>
      <c r="AL875" s="1"/>
      <c r="AM875" s="1"/>
      <c r="AN875" s="1"/>
      <c r="AO875" s="1"/>
      <c r="AP875" s="1"/>
      <c r="AQ875" s="1"/>
      <c r="AR875" s="1"/>
    </row>
    <row r="876" spans="35:44">
      <c r="AI876" s="23"/>
      <c r="AJ876" s="1"/>
      <c r="AK876" s="1"/>
      <c r="AL876" s="1"/>
      <c r="AM876" s="1"/>
      <c r="AN876" s="1"/>
      <c r="AO876" s="1"/>
      <c r="AP876" s="1"/>
      <c r="AQ876" s="1"/>
      <c r="AR876" s="1"/>
    </row>
    <row r="877" spans="35:44">
      <c r="AI877" s="23"/>
      <c r="AJ877" s="1"/>
      <c r="AK877" s="1"/>
      <c r="AL877" s="1"/>
      <c r="AM877" s="1"/>
      <c r="AN877" s="1"/>
      <c r="AO877" s="1"/>
      <c r="AP877" s="1"/>
      <c r="AQ877" s="1"/>
      <c r="AR877" s="1"/>
    </row>
    <row r="878" spans="35:44">
      <c r="AI878" s="23"/>
      <c r="AJ878" s="1"/>
      <c r="AK878" s="1"/>
      <c r="AL878" s="1"/>
      <c r="AM878" s="1"/>
      <c r="AN878" s="1"/>
      <c r="AO878" s="1"/>
      <c r="AP878" s="1"/>
      <c r="AQ878" s="1"/>
      <c r="AR878" s="1"/>
    </row>
    <row r="879" spans="35:44">
      <c r="AI879" s="23"/>
      <c r="AJ879" s="1"/>
      <c r="AK879" s="1"/>
      <c r="AL879" s="1"/>
      <c r="AM879" s="1"/>
      <c r="AN879" s="1"/>
      <c r="AO879" s="1"/>
      <c r="AP879" s="1"/>
      <c r="AQ879" s="1"/>
      <c r="AR879" s="1"/>
    </row>
    <row r="880" spans="35:44">
      <c r="AI880" s="23"/>
      <c r="AJ880" s="1"/>
      <c r="AK880" s="1"/>
      <c r="AL880" s="1"/>
      <c r="AM880" s="1"/>
      <c r="AN880" s="1"/>
      <c r="AO880" s="1"/>
      <c r="AP880" s="1"/>
      <c r="AQ880" s="1"/>
      <c r="AR880" s="1"/>
    </row>
    <row r="881" spans="35:44">
      <c r="AI881" s="23"/>
      <c r="AJ881" s="1"/>
      <c r="AK881" s="1"/>
      <c r="AL881" s="1"/>
      <c r="AM881" s="1"/>
      <c r="AN881" s="1"/>
      <c r="AO881" s="1"/>
      <c r="AP881" s="1"/>
      <c r="AQ881" s="1"/>
      <c r="AR881" s="1"/>
    </row>
    <row r="882" spans="35:44">
      <c r="AI882" s="23"/>
      <c r="AJ882" s="1"/>
      <c r="AK882" s="1"/>
      <c r="AL882" s="1"/>
      <c r="AM882" s="1"/>
      <c r="AN882" s="1"/>
      <c r="AO882" s="1"/>
      <c r="AP882" s="1"/>
      <c r="AQ882" s="1"/>
      <c r="AR882" s="1"/>
    </row>
    <row r="883" spans="35:44">
      <c r="AI883" s="23"/>
      <c r="AJ883" s="1"/>
      <c r="AK883" s="1"/>
      <c r="AL883" s="1"/>
      <c r="AM883" s="1"/>
      <c r="AN883" s="1"/>
      <c r="AO883" s="1"/>
      <c r="AP883" s="1"/>
      <c r="AQ883" s="1"/>
      <c r="AR883" s="1"/>
    </row>
    <row r="884" spans="35:44">
      <c r="AI884" s="23"/>
      <c r="AJ884" s="1"/>
      <c r="AK884" s="1"/>
      <c r="AL884" s="1"/>
      <c r="AM884" s="1"/>
      <c r="AN884" s="1"/>
      <c r="AO884" s="1"/>
      <c r="AP884" s="1"/>
      <c r="AQ884" s="1"/>
      <c r="AR884" s="1"/>
    </row>
    <row r="885" spans="35:44">
      <c r="AI885" s="23"/>
      <c r="AJ885" s="1"/>
      <c r="AK885" s="1"/>
      <c r="AL885" s="1"/>
      <c r="AM885" s="1"/>
      <c r="AN885" s="1"/>
      <c r="AO885" s="1"/>
      <c r="AP885" s="1"/>
      <c r="AQ885" s="1"/>
      <c r="AR885" s="1"/>
    </row>
    <row r="886" spans="35:44">
      <c r="AI886" s="23"/>
      <c r="AJ886" s="1"/>
      <c r="AK886" s="1"/>
      <c r="AL886" s="1"/>
      <c r="AM886" s="1"/>
      <c r="AN886" s="1"/>
      <c r="AO886" s="1"/>
      <c r="AP886" s="1"/>
      <c r="AQ886" s="1"/>
      <c r="AR886" s="1"/>
    </row>
    <row r="887" spans="35:44">
      <c r="AI887" s="23"/>
      <c r="AJ887" s="1"/>
      <c r="AK887" s="1"/>
      <c r="AL887" s="1"/>
      <c r="AM887" s="1"/>
      <c r="AN887" s="1"/>
      <c r="AO887" s="1"/>
      <c r="AP887" s="1"/>
      <c r="AQ887" s="1"/>
      <c r="AR887" s="1"/>
    </row>
    <row r="888" spans="35:44">
      <c r="AI888" s="23"/>
      <c r="AJ888" s="1"/>
      <c r="AK888" s="1"/>
      <c r="AL888" s="1"/>
      <c r="AM888" s="1"/>
      <c r="AN888" s="1"/>
      <c r="AO888" s="1"/>
      <c r="AP888" s="1"/>
      <c r="AQ888" s="1"/>
      <c r="AR888" s="1"/>
    </row>
    <row r="889" spans="35:44">
      <c r="AI889" s="23"/>
      <c r="AJ889" s="1"/>
      <c r="AK889" s="1"/>
      <c r="AL889" s="1"/>
      <c r="AM889" s="1"/>
      <c r="AN889" s="1"/>
      <c r="AO889" s="1"/>
      <c r="AP889" s="1"/>
      <c r="AQ889" s="1"/>
      <c r="AR889" s="1"/>
    </row>
    <row r="890" spans="35:44">
      <c r="AI890" s="23"/>
      <c r="AJ890" s="1"/>
      <c r="AK890" s="1"/>
      <c r="AL890" s="1"/>
      <c r="AM890" s="1"/>
      <c r="AN890" s="1"/>
      <c r="AO890" s="1"/>
      <c r="AP890" s="1"/>
      <c r="AQ890" s="1"/>
      <c r="AR890" s="1"/>
    </row>
    <row r="891" spans="35:44">
      <c r="AI891" s="23"/>
      <c r="AJ891" s="1"/>
      <c r="AK891" s="1"/>
      <c r="AL891" s="1"/>
      <c r="AM891" s="1"/>
      <c r="AN891" s="1"/>
      <c r="AO891" s="1"/>
      <c r="AP891" s="1"/>
      <c r="AQ891" s="1"/>
      <c r="AR891" s="1"/>
    </row>
    <row r="892" spans="35:44">
      <c r="AI892" s="23"/>
      <c r="AJ892" s="1"/>
      <c r="AK892" s="1"/>
      <c r="AL892" s="1"/>
      <c r="AM892" s="1"/>
      <c r="AN892" s="1"/>
      <c r="AO892" s="1"/>
      <c r="AP892" s="1"/>
      <c r="AQ892" s="1"/>
      <c r="AR892" s="1"/>
    </row>
    <row r="893" spans="35:44">
      <c r="AI893" s="23"/>
      <c r="AJ893" s="1"/>
      <c r="AK893" s="1"/>
      <c r="AL893" s="1"/>
      <c r="AM893" s="1"/>
      <c r="AN893" s="1"/>
      <c r="AO893" s="1"/>
      <c r="AP893" s="1"/>
      <c r="AQ893" s="1"/>
      <c r="AR893" s="1"/>
    </row>
    <row r="894" spans="35:44">
      <c r="AI894" s="23"/>
      <c r="AJ894" s="1"/>
      <c r="AK894" s="1"/>
      <c r="AL894" s="1"/>
      <c r="AM894" s="1"/>
      <c r="AN894" s="1"/>
      <c r="AO894" s="1"/>
      <c r="AP894" s="1"/>
      <c r="AQ894" s="1"/>
      <c r="AR894" s="1"/>
    </row>
    <row r="895" spans="35:44">
      <c r="AI895" s="23"/>
      <c r="AJ895" s="1"/>
      <c r="AK895" s="1"/>
      <c r="AL895" s="1"/>
      <c r="AM895" s="1"/>
      <c r="AN895" s="1"/>
      <c r="AO895" s="1"/>
      <c r="AP895" s="1"/>
      <c r="AQ895" s="1"/>
      <c r="AR895" s="1"/>
    </row>
    <row r="896" spans="35:44">
      <c r="AI896" s="23"/>
      <c r="AJ896" s="1"/>
      <c r="AK896" s="1"/>
      <c r="AL896" s="1"/>
      <c r="AM896" s="1"/>
      <c r="AN896" s="1"/>
      <c r="AO896" s="1"/>
      <c r="AP896" s="1"/>
      <c r="AQ896" s="1"/>
      <c r="AR896" s="1"/>
    </row>
    <row r="897" spans="35:44">
      <c r="AI897" s="23"/>
      <c r="AJ897" s="1"/>
      <c r="AK897" s="1"/>
      <c r="AL897" s="1"/>
      <c r="AM897" s="1"/>
      <c r="AN897" s="1"/>
      <c r="AO897" s="1"/>
      <c r="AP897" s="1"/>
      <c r="AQ897" s="1"/>
      <c r="AR897" s="1"/>
    </row>
    <row r="898" spans="35:44">
      <c r="AI898" s="23"/>
      <c r="AJ898" s="1"/>
      <c r="AK898" s="1"/>
      <c r="AL898" s="1"/>
      <c r="AM898" s="1"/>
      <c r="AN898" s="1"/>
      <c r="AO898" s="1"/>
      <c r="AP898" s="1"/>
      <c r="AQ898" s="1"/>
      <c r="AR898" s="1"/>
    </row>
    <row r="899" spans="35:44">
      <c r="AI899" s="23"/>
      <c r="AJ899" s="1"/>
      <c r="AK899" s="1"/>
      <c r="AL899" s="1"/>
      <c r="AM899" s="1"/>
      <c r="AN899" s="1"/>
      <c r="AO899" s="1"/>
      <c r="AP899" s="1"/>
      <c r="AQ899" s="1"/>
      <c r="AR899" s="1"/>
    </row>
    <row r="900" spans="35:44">
      <c r="AI900" s="23"/>
      <c r="AJ900" s="1"/>
      <c r="AK900" s="1"/>
      <c r="AL900" s="1"/>
      <c r="AM900" s="1"/>
      <c r="AN900" s="1"/>
      <c r="AO900" s="1"/>
      <c r="AP900" s="1"/>
      <c r="AQ900" s="1"/>
      <c r="AR900" s="1"/>
    </row>
    <row r="901" spans="35:44">
      <c r="AI901" s="23"/>
      <c r="AJ901" s="1"/>
      <c r="AK901" s="1"/>
      <c r="AL901" s="1"/>
      <c r="AM901" s="1"/>
      <c r="AN901" s="1"/>
      <c r="AO901" s="1"/>
      <c r="AP901" s="1"/>
      <c r="AQ901" s="1"/>
      <c r="AR901" s="1"/>
    </row>
    <row r="902" spans="35:44">
      <c r="AI902" s="23"/>
      <c r="AJ902" s="1"/>
      <c r="AK902" s="1"/>
      <c r="AL902" s="1"/>
      <c r="AM902" s="1"/>
      <c r="AN902" s="1"/>
      <c r="AO902" s="1"/>
      <c r="AP902" s="1"/>
      <c r="AQ902" s="1"/>
      <c r="AR902" s="1"/>
    </row>
    <row r="903" spans="35:44">
      <c r="AI903" s="1"/>
      <c r="AJ903" s="1"/>
      <c r="AK903" s="1"/>
      <c r="AL903" s="1"/>
      <c r="AM903" s="1"/>
      <c r="AN903" s="1"/>
      <c r="AO903" s="1"/>
      <c r="AP903" s="1"/>
      <c r="AQ903" s="1"/>
      <c r="AR903" s="1"/>
    </row>
    <row r="904" spans="35:44">
      <c r="AI904" s="1"/>
      <c r="AJ904" s="1"/>
      <c r="AK904" s="1"/>
      <c r="AL904" s="1"/>
      <c r="AM904" s="1"/>
      <c r="AN904" s="1"/>
      <c r="AO904" s="1"/>
      <c r="AP904" s="1"/>
      <c r="AQ904" s="1"/>
      <c r="AR904" s="1"/>
    </row>
    <row r="905" spans="35:44">
      <c r="AI905" s="1"/>
      <c r="AJ905" s="1"/>
      <c r="AK905" s="1"/>
      <c r="AL905" s="1"/>
      <c r="AM905" s="1"/>
      <c r="AN905" s="1"/>
      <c r="AO905" s="1"/>
      <c r="AP905" s="1"/>
      <c r="AQ905" s="1"/>
      <c r="AR905" s="1"/>
    </row>
    <row r="906" spans="35:44">
      <c r="AI906" s="1"/>
      <c r="AJ906" s="1"/>
      <c r="AK906" s="1"/>
      <c r="AL906" s="1"/>
      <c r="AM906" s="1"/>
      <c r="AN906" s="1"/>
      <c r="AO906" s="1"/>
      <c r="AP906" s="1"/>
      <c r="AQ906" s="1"/>
      <c r="AR906" s="1"/>
    </row>
    <row r="907" spans="35:44">
      <c r="AI907" s="1"/>
      <c r="AJ907" s="1"/>
      <c r="AK907" s="1"/>
      <c r="AL907" s="1"/>
      <c r="AM907" s="1"/>
      <c r="AN907" s="1"/>
      <c r="AO907" s="1"/>
      <c r="AP907" s="1"/>
      <c r="AQ907" s="1"/>
      <c r="AR907" s="1"/>
    </row>
    <row r="908" spans="35:44">
      <c r="AI908" s="1"/>
      <c r="AJ908" s="1"/>
      <c r="AK908" s="1"/>
      <c r="AL908" s="1"/>
      <c r="AM908" s="1"/>
      <c r="AN908" s="1"/>
      <c r="AO908" s="1"/>
      <c r="AP908" s="1"/>
      <c r="AQ908" s="1"/>
      <c r="AR908" s="1"/>
    </row>
    <row r="909" spans="35:44">
      <c r="AI909" s="1"/>
      <c r="AJ909" s="1"/>
      <c r="AK909" s="1"/>
      <c r="AL909" s="1"/>
      <c r="AM909" s="1"/>
      <c r="AN909" s="1"/>
      <c r="AO909" s="1"/>
      <c r="AP909" s="1"/>
      <c r="AQ909" s="1"/>
      <c r="AR909" s="1"/>
    </row>
    <row r="910" spans="35:44">
      <c r="AI910" s="1"/>
      <c r="AJ910" s="1"/>
      <c r="AK910" s="1"/>
      <c r="AL910" s="1"/>
      <c r="AM910" s="1"/>
      <c r="AN910" s="1"/>
      <c r="AO910" s="1"/>
      <c r="AP910" s="1"/>
      <c r="AQ910" s="1"/>
      <c r="AR910" s="1"/>
    </row>
    <row r="911" spans="35:44">
      <c r="AI911" s="1"/>
      <c r="AJ911" s="1"/>
      <c r="AK911" s="1"/>
      <c r="AL911" s="1"/>
      <c r="AM911" s="1"/>
      <c r="AN911" s="1"/>
      <c r="AO911" s="1"/>
      <c r="AP911" s="1"/>
      <c r="AQ911" s="1"/>
      <c r="AR911" s="1"/>
    </row>
  </sheetData>
  <mergeCells count="569">
    <mergeCell ref="AO547:AO548"/>
    <mergeCell ref="AJ547:AK550"/>
    <mergeCell ref="AL547:AL548"/>
    <mergeCell ref="AM547:AM548"/>
    <mergeCell ref="AN547:AN548"/>
    <mergeCell ref="AJ539:AO539"/>
    <mergeCell ref="AJ540:AK543"/>
    <mergeCell ref="AL540:AL541"/>
    <mergeCell ref="AM540:AM541"/>
    <mergeCell ref="AJ552:AO552"/>
    <mergeCell ref="AJ553:AK556"/>
    <mergeCell ref="AL553:AL554"/>
    <mergeCell ref="AM553:AM554"/>
    <mergeCell ref="AN553:AN554"/>
    <mergeCell ref="AO553:AO554"/>
    <mergeCell ref="AN540:AN541"/>
    <mergeCell ref="AO540:AO541"/>
    <mergeCell ref="AJ530:AO530"/>
    <mergeCell ref="AJ531:AO531"/>
    <mergeCell ref="AJ533:AK537"/>
    <mergeCell ref="AL533:AL535"/>
    <mergeCell ref="AM533:AM535"/>
    <mergeCell ref="AN533:AN535"/>
    <mergeCell ref="AO533:AO535"/>
    <mergeCell ref="AJ523:AO523"/>
    <mergeCell ref="AJ524:AK527"/>
    <mergeCell ref="AL524:AL525"/>
    <mergeCell ref="AM524:AM525"/>
    <mergeCell ref="AN524:AN525"/>
    <mergeCell ref="AO524:AO525"/>
    <mergeCell ref="AL518:AL519"/>
    <mergeCell ref="AM518:AM519"/>
    <mergeCell ref="AN518:AN519"/>
    <mergeCell ref="AO518:AO519"/>
    <mergeCell ref="AJ510:AO510"/>
    <mergeCell ref="AJ511:AK514"/>
    <mergeCell ref="AL511:AL512"/>
    <mergeCell ref="AM511:AM512"/>
    <mergeCell ref="AN511:AN512"/>
    <mergeCell ref="AO511:AO512"/>
    <mergeCell ref="AM489:AM490"/>
    <mergeCell ref="AJ501:AO501"/>
    <mergeCell ref="AJ502:AO502"/>
    <mergeCell ref="AJ504:AK508"/>
    <mergeCell ref="AL504:AL506"/>
    <mergeCell ref="AM504:AM506"/>
    <mergeCell ref="AN504:AN506"/>
    <mergeCell ref="AO504:AO506"/>
    <mergeCell ref="AJ494:AO494"/>
    <mergeCell ref="AJ495:AK498"/>
    <mergeCell ref="AL495:AL496"/>
    <mergeCell ref="AM495:AM496"/>
    <mergeCell ref="AN495:AN496"/>
    <mergeCell ref="AO495:AO496"/>
    <mergeCell ref="AN489:AN490"/>
    <mergeCell ref="AJ481:AO481"/>
    <mergeCell ref="AJ482:AK485"/>
    <mergeCell ref="AL482:AL483"/>
    <mergeCell ref="AM482:AM483"/>
    <mergeCell ref="AN482:AN483"/>
    <mergeCell ref="AO482:AO483"/>
    <mergeCell ref="AO489:AO490"/>
    <mergeCell ref="AJ489:AK492"/>
    <mergeCell ref="AL489:AL490"/>
    <mergeCell ref="AM460:AM461"/>
    <mergeCell ref="AJ472:AO472"/>
    <mergeCell ref="AJ473:AO473"/>
    <mergeCell ref="AJ475:AK479"/>
    <mergeCell ref="AL475:AL477"/>
    <mergeCell ref="AM475:AM477"/>
    <mergeCell ref="AN475:AN477"/>
    <mergeCell ref="AO475:AO477"/>
    <mergeCell ref="AJ465:AO465"/>
    <mergeCell ref="AJ466:AK469"/>
    <mergeCell ref="AL466:AL467"/>
    <mergeCell ref="AM466:AM467"/>
    <mergeCell ref="AN466:AN467"/>
    <mergeCell ref="AO466:AO467"/>
    <mergeCell ref="AN460:AN461"/>
    <mergeCell ref="AJ452:AO452"/>
    <mergeCell ref="AJ453:AK456"/>
    <mergeCell ref="AL453:AL454"/>
    <mergeCell ref="AM453:AM454"/>
    <mergeCell ref="AN453:AN454"/>
    <mergeCell ref="AO453:AO454"/>
    <mergeCell ref="AO460:AO461"/>
    <mergeCell ref="AJ460:AK463"/>
    <mergeCell ref="AL460:AL461"/>
    <mergeCell ref="AJ443:AO443"/>
    <mergeCell ref="AJ444:AO444"/>
    <mergeCell ref="AJ446:AK450"/>
    <mergeCell ref="AL446:AL448"/>
    <mergeCell ref="AM446:AM448"/>
    <mergeCell ref="AN446:AN448"/>
    <mergeCell ref="AO446:AO448"/>
    <mergeCell ref="AJ433:AO433"/>
    <mergeCell ref="AJ434:AK437"/>
    <mergeCell ref="AL434:AL435"/>
    <mergeCell ref="AM434:AM435"/>
    <mergeCell ref="AN434:AN435"/>
    <mergeCell ref="AO434:AO435"/>
    <mergeCell ref="AM421:AM422"/>
    <mergeCell ref="AN421:AN422"/>
    <mergeCell ref="AO421:AO422"/>
    <mergeCell ref="AJ428:AK431"/>
    <mergeCell ref="AL428:AL429"/>
    <mergeCell ref="AM428:AM429"/>
    <mergeCell ref="AN428:AN429"/>
    <mergeCell ref="AO428:AO429"/>
    <mergeCell ref="AJ421:AK424"/>
    <mergeCell ref="AL421:AL422"/>
    <mergeCell ref="AM399:AM400"/>
    <mergeCell ref="AJ411:AO411"/>
    <mergeCell ref="AJ412:AO412"/>
    <mergeCell ref="AJ414:AK418"/>
    <mergeCell ref="AL414:AL416"/>
    <mergeCell ref="AM414:AM416"/>
    <mergeCell ref="AN414:AN416"/>
    <mergeCell ref="AO414:AO416"/>
    <mergeCell ref="AJ404:AO404"/>
    <mergeCell ref="AJ405:AK408"/>
    <mergeCell ref="AL405:AL406"/>
    <mergeCell ref="AM405:AM406"/>
    <mergeCell ref="AN405:AN406"/>
    <mergeCell ref="AO405:AO406"/>
    <mergeCell ref="AN399:AN400"/>
    <mergeCell ref="AJ391:AO391"/>
    <mergeCell ref="AJ392:AK395"/>
    <mergeCell ref="AL392:AL393"/>
    <mergeCell ref="AM392:AM393"/>
    <mergeCell ref="AN392:AN393"/>
    <mergeCell ref="AO392:AO393"/>
    <mergeCell ref="AO399:AO400"/>
    <mergeCell ref="AJ399:AK402"/>
    <mergeCell ref="AL399:AL400"/>
    <mergeCell ref="AM370:AM371"/>
    <mergeCell ref="AJ382:AO382"/>
    <mergeCell ref="AJ383:AO383"/>
    <mergeCell ref="AJ385:AK389"/>
    <mergeCell ref="AL385:AL387"/>
    <mergeCell ref="AM385:AM387"/>
    <mergeCell ref="AN385:AN387"/>
    <mergeCell ref="AO385:AO387"/>
    <mergeCell ref="AJ375:AO375"/>
    <mergeCell ref="AJ376:AK379"/>
    <mergeCell ref="AL376:AL377"/>
    <mergeCell ref="AM376:AM377"/>
    <mergeCell ref="AN376:AN377"/>
    <mergeCell ref="AO376:AO377"/>
    <mergeCell ref="AN370:AN371"/>
    <mergeCell ref="AJ362:AO362"/>
    <mergeCell ref="AJ363:AK366"/>
    <mergeCell ref="AL363:AL364"/>
    <mergeCell ref="AM363:AM364"/>
    <mergeCell ref="AN363:AN364"/>
    <mergeCell ref="AO363:AO364"/>
    <mergeCell ref="AO370:AO371"/>
    <mergeCell ref="AJ370:AK373"/>
    <mergeCell ref="AL370:AL371"/>
    <mergeCell ref="AJ353:AO353"/>
    <mergeCell ref="AJ354:AO354"/>
    <mergeCell ref="AJ356:AK360"/>
    <mergeCell ref="AL356:AL358"/>
    <mergeCell ref="AM356:AM358"/>
    <mergeCell ref="AN356:AN358"/>
    <mergeCell ref="AO356:AO358"/>
    <mergeCell ref="AO341:AO342"/>
    <mergeCell ref="AJ346:AO346"/>
    <mergeCell ref="AJ347:AK350"/>
    <mergeCell ref="AL347:AL348"/>
    <mergeCell ref="AM347:AM348"/>
    <mergeCell ref="AN347:AN348"/>
    <mergeCell ref="AO347:AO348"/>
    <mergeCell ref="AJ341:AK344"/>
    <mergeCell ref="AL341:AL342"/>
    <mergeCell ref="AM341:AM342"/>
    <mergeCell ref="AN341:AN342"/>
    <mergeCell ref="AO327:AO329"/>
    <mergeCell ref="AJ333:AO333"/>
    <mergeCell ref="AJ334:AK337"/>
    <mergeCell ref="AL334:AL335"/>
    <mergeCell ref="AM334:AM335"/>
    <mergeCell ref="AN334:AN335"/>
    <mergeCell ref="AO334:AO335"/>
    <mergeCell ref="AJ327:AK331"/>
    <mergeCell ref="AL327:AL329"/>
    <mergeCell ref="AM327:AM329"/>
    <mergeCell ref="AN327:AN329"/>
    <mergeCell ref="AN311:AN312"/>
    <mergeCell ref="AJ321:AO323"/>
    <mergeCell ref="AJ324:AO324"/>
    <mergeCell ref="AJ325:AO325"/>
    <mergeCell ref="AJ311:AJ312"/>
    <mergeCell ref="AK311:AK312"/>
    <mergeCell ref="AL311:AL312"/>
    <mergeCell ref="AM311:AM312"/>
    <mergeCell ref="AJ304:AM304"/>
    <mergeCell ref="AL306:AM306"/>
    <mergeCell ref="AL307:AM307"/>
    <mergeCell ref="AJ310:AN310"/>
    <mergeCell ref="AJ300:AM300"/>
    <mergeCell ref="AJ301:AM301"/>
    <mergeCell ref="AJ302:AM302"/>
    <mergeCell ref="AJ303:AM303"/>
    <mergeCell ref="AJ296:AM296"/>
    <mergeCell ref="AJ297:AM297"/>
    <mergeCell ref="AJ298:AM298"/>
    <mergeCell ref="AJ299:AM299"/>
    <mergeCell ref="AQ291:AQ292"/>
    <mergeCell ref="AJ293:AM293"/>
    <mergeCell ref="AJ294:AM294"/>
    <mergeCell ref="AJ295:AM295"/>
    <mergeCell ref="AJ291:AM292"/>
    <mergeCell ref="AN291:AN292"/>
    <mergeCell ref="AO291:AO292"/>
    <mergeCell ref="AP291:AP292"/>
    <mergeCell ref="AJ283:AP283"/>
    <mergeCell ref="AJ284:AL284"/>
    <mergeCell ref="AO284:AO285"/>
    <mergeCell ref="AP284:AP285"/>
    <mergeCell ref="AJ285:AJ288"/>
    <mergeCell ref="AK285:AL285"/>
    <mergeCell ref="AK286:AL286"/>
    <mergeCell ref="AK287:AL287"/>
    <mergeCell ref="AK288:AL288"/>
    <mergeCell ref="AJ277:AP277"/>
    <mergeCell ref="AM278:AM279"/>
    <mergeCell ref="AN278:AN279"/>
    <mergeCell ref="AO278:AO279"/>
    <mergeCell ref="AP278:AP279"/>
    <mergeCell ref="AJ279:AJ282"/>
    <mergeCell ref="AK279:AL279"/>
    <mergeCell ref="AK280:AL280"/>
    <mergeCell ref="AK281:AL281"/>
    <mergeCell ref="AK282:AL282"/>
    <mergeCell ref="AJ273:AJ276"/>
    <mergeCell ref="AK273:AL273"/>
    <mergeCell ref="AK274:AL274"/>
    <mergeCell ref="AK275:AL275"/>
    <mergeCell ref="AK276:AL276"/>
    <mergeCell ref="AM272:AM273"/>
    <mergeCell ref="AN272:AN273"/>
    <mergeCell ref="AO272:AO273"/>
    <mergeCell ref="AP272:AP273"/>
    <mergeCell ref="AP259:AP260"/>
    <mergeCell ref="AJ269:AK270"/>
    <mergeCell ref="AM269:AN269"/>
    <mergeCell ref="AM270:AN270"/>
    <mergeCell ref="AN252:AN253"/>
    <mergeCell ref="AO252:AO253"/>
    <mergeCell ref="AM259:AM260"/>
    <mergeCell ref="AN259:AN260"/>
    <mergeCell ref="AO259:AO260"/>
    <mergeCell ref="AJ254:AL254"/>
    <mergeCell ref="AM254:AM256"/>
    <mergeCell ref="AJ256:AL256"/>
    <mergeCell ref="AJ252:AL253"/>
    <mergeCell ref="AM252:AM253"/>
    <mergeCell ref="AP246:AP247"/>
    <mergeCell ref="AJ248:AL248"/>
    <mergeCell ref="AM248:AM250"/>
    <mergeCell ref="AJ250:AL250"/>
    <mergeCell ref="AJ246:AL247"/>
    <mergeCell ref="AM246:AM247"/>
    <mergeCell ref="AN246:AN247"/>
    <mergeCell ref="AO246:AO247"/>
    <mergeCell ref="AP240:AP241"/>
    <mergeCell ref="AJ242:AL242"/>
    <mergeCell ref="AM242:AM244"/>
    <mergeCell ref="AJ243:AL243"/>
    <mergeCell ref="AJ244:AL244"/>
    <mergeCell ref="AJ240:AL241"/>
    <mergeCell ref="AM240:AM241"/>
    <mergeCell ref="AN240:AN241"/>
    <mergeCell ref="AO240:AO241"/>
    <mergeCell ref="AJ231:AM231"/>
    <mergeCell ref="AJ232:AM232"/>
    <mergeCell ref="AJ233:AM233"/>
    <mergeCell ref="AJ234:AM234"/>
    <mergeCell ref="AJ227:AM227"/>
    <mergeCell ref="AJ228:AM228"/>
    <mergeCell ref="AJ229:AM229"/>
    <mergeCell ref="AJ230:AM230"/>
    <mergeCell ref="AJ223:AM223"/>
    <mergeCell ref="AJ224:AM224"/>
    <mergeCell ref="AJ225:AM225"/>
    <mergeCell ref="AJ226:AM226"/>
    <mergeCell ref="AQ218:AQ219"/>
    <mergeCell ref="AJ220:AM220"/>
    <mergeCell ref="AJ221:AM221"/>
    <mergeCell ref="AJ222:AM222"/>
    <mergeCell ref="AJ218:AM219"/>
    <mergeCell ref="AN218:AN219"/>
    <mergeCell ref="AO218:AO219"/>
    <mergeCell ref="AP218:AP219"/>
    <mergeCell ref="AJ207:AL207"/>
    <mergeCell ref="AJ209:AQ213"/>
    <mergeCell ref="AJ215:AO216"/>
    <mergeCell ref="AP215:AP216"/>
    <mergeCell ref="AQ215:AQ216"/>
    <mergeCell ref="AN203:AN204"/>
    <mergeCell ref="AO203:AO204"/>
    <mergeCell ref="AP203:AP204"/>
    <mergeCell ref="AJ205:AL205"/>
    <mergeCell ref="AJ203:AL204"/>
    <mergeCell ref="AM203:AM204"/>
    <mergeCell ref="AN198:AN199"/>
    <mergeCell ref="AO198:AO199"/>
    <mergeCell ref="AP198:AP199"/>
    <mergeCell ref="AJ200:AL200"/>
    <mergeCell ref="AJ195:AL195"/>
    <mergeCell ref="AJ196:AL196"/>
    <mergeCell ref="AJ198:AL199"/>
    <mergeCell ref="AM198:AM199"/>
    <mergeCell ref="AN193:AN194"/>
    <mergeCell ref="AO193:AO194"/>
    <mergeCell ref="AP193:AP194"/>
    <mergeCell ref="AJ188:AL189"/>
    <mergeCell ref="AM188:AM189"/>
    <mergeCell ref="AJ190:AL190"/>
    <mergeCell ref="AJ191:AL191"/>
    <mergeCell ref="AJ193:AL194"/>
    <mergeCell ref="AM193:AM194"/>
    <mergeCell ref="AM182:AM183"/>
    <mergeCell ref="AN182:AN183"/>
    <mergeCell ref="AO182:AO183"/>
    <mergeCell ref="AP188:AP189"/>
    <mergeCell ref="AP177:AP178"/>
    <mergeCell ref="AJ179:AL179"/>
    <mergeCell ref="AJ180:AL180"/>
    <mergeCell ref="AN188:AN189"/>
    <mergeCell ref="AO188:AO189"/>
    <mergeCell ref="AP182:AP183"/>
    <mergeCell ref="AJ184:AL184"/>
    <mergeCell ref="AJ185:AL185"/>
    <mergeCell ref="AJ186:AL186"/>
    <mergeCell ref="AJ182:AL183"/>
    <mergeCell ref="AO172:AO173"/>
    <mergeCell ref="AJ174:AL174"/>
    <mergeCell ref="AJ177:AL178"/>
    <mergeCell ref="AM177:AM178"/>
    <mergeCell ref="AN177:AN178"/>
    <mergeCell ref="AJ175:AL175"/>
    <mergeCell ref="AO177:AO178"/>
    <mergeCell ref="AP155:AP156"/>
    <mergeCell ref="AP167:AP168"/>
    <mergeCell ref="AP172:AP173"/>
    <mergeCell ref="AJ170:AL170"/>
    <mergeCell ref="AJ167:AL168"/>
    <mergeCell ref="AM167:AM168"/>
    <mergeCell ref="AN167:AN168"/>
    <mergeCell ref="AJ172:AL173"/>
    <mergeCell ref="AM172:AM173"/>
    <mergeCell ref="AN172:AN173"/>
    <mergeCell ref="AP111:AP112"/>
    <mergeCell ref="AP148:AP149"/>
    <mergeCell ref="AJ150:AL150"/>
    <mergeCell ref="AJ151:AL151"/>
    <mergeCell ref="AN148:AN149"/>
    <mergeCell ref="AO148:AO149"/>
    <mergeCell ref="AP123:AP124"/>
    <mergeCell ref="AP117:AP118"/>
    <mergeCell ref="AJ140:AL140"/>
    <mergeCell ref="AJ117:AL118"/>
    <mergeCell ref="AJ12:AQ12"/>
    <mergeCell ref="AJ33:AQ33"/>
    <mergeCell ref="AJ51:AQ51"/>
    <mergeCell ref="AJ69:AQ69"/>
    <mergeCell ref="AJ56:AL56"/>
    <mergeCell ref="AJ30:AM30"/>
    <mergeCell ref="AJ41:AL41"/>
    <mergeCell ref="AJ46:AL46"/>
    <mergeCell ref="AJ47:AL47"/>
    <mergeCell ref="AJ2:AR3"/>
    <mergeCell ref="AO72:AO73"/>
    <mergeCell ref="AO79:AO80"/>
    <mergeCell ref="AJ31:AM31"/>
    <mergeCell ref="AJ36:AL37"/>
    <mergeCell ref="AM59:AM60"/>
    <mergeCell ref="AN59:AN60"/>
    <mergeCell ref="AJ67:AL67"/>
    <mergeCell ref="AJ74:AL74"/>
    <mergeCell ref="AJ5:AM5"/>
    <mergeCell ref="AJ76:AL76"/>
    <mergeCell ref="AP59:AP60"/>
    <mergeCell ref="AJ157:AL157"/>
    <mergeCell ref="AM79:AM80"/>
    <mergeCell ref="AN117:AN118"/>
    <mergeCell ref="AM64:AM65"/>
    <mergeCell ref="AM88:AM89"/>
    <mergeCell ref="AN88:AN89"/>
    <mergeCell ref="AJ101:AQ101"/>
    <mergeCell ref="AJ128:AQ128"/>
    <mergeCell ref="AP105:AP106"/>
    <mergeCell ref="AP36:AP37"/>
    <mergeCell ref="AM44:AM45"/>
    <mergeCell ref="AN44:AN45"/>
    <mergeCell ref="AO44:AO45"/>
    <mergeCell ref="AM36:AM37"/>
    <mergeCell ref="AN36:AN37"/>
    <mergeCell ref="AO36:AO37"/>
    <mergeCell ref="AP44:AP45"/>
    <mergeCell ref="AN72:AN73"/>
    <mergeCell ref="AJ236:AM236"/>
    <mergeCell ref="AJ158:AL158"/>
    <mergeCell ref="AM284:AM285"/>
    <mergeCell ref="AN284:AN285"/>
    <mergeCell ref="AM157:AM159"/>
    <mergeCell ref="AJ160:AP160"/>
    <mergeCell ref="AJ161:AL162"/>
    <mergeCell ref="AM161:AM162"/>
    <mergeCell ref="AN161:AN162"/>
    <mergeCell ref="AO161:AO162"/>
    <mergeCell ref="AJ135:AQ135"/>
    <mergeCell ref="AJ142:AQ142"/>
    <mergeCell ref="AM137:AM138"/>
    <mergeCell ref="AJ137:AL138"/>
    <mergeCell ref="AP137:AP138"/>
    <mergeCell ref="AJ147:AO147"/>
    <mergeCell ref="AJ139:AL139"/>
    <mergeCell ref="AJ148:AL149"/>
    <mergeCell ref="AM148:AM149"/>
    <mergeCell ref="AO167:AO168"/>
    <mergeCell ref="AJ155:AL156"/>
    <mergeCell ref="AM155:AM156"/>
    <mergeCell ref="AJ163:AL163"/>
    <mergeCell ref="AM163:AM165"/>
    <mergeCell ref="AN155:AN156"/>
    <mergeCell ref="AO155:AO156"/>
    <mergeCell ref="AN64:AN65"/>
    <mergeCell ref="AO59:AO60"/>
    <mergeCell ref="AJ169:AL169"/>
    <mergeCell ref="AJ154:AP154"/>
    <mergeCell ref="AJ152:AL152"/>
    <mergeCell ref="AJ153:AL153"/>
    <mergeCell ref="AJ165:AL165"/>
    <mergeCell ref="AJ164:AL164"/>
    <mergeCell ref="AP161:AP162"/>
    <mergeCell ref="AJ126:AL126"/>
    <mergeCell ref="AM54:AM55"/>
    <mergeCell ref="AN54:AN55"/>
    <mergeCell ref="AO54:AO55"/>
    <mergeCell ref="AO64:AO65"/>
    <mergeCell ref="AP64:AP65"/>
    <mergeCell ref="AJ125:AL125"/>
    <mergeCell ref="AJ61:AL61"/>
    <mergeCell ref="AJ120:AL120"/>
    <mergeCell ref="AJ107:AL107"/>
    <mergeCell ref="AJ113:AL113"/>
    <mergeCell ref="AJ123:AL124"/>
    <mergeCell ref="AP79:AP80"/>
    <mergeCell ref="AO88:AO89"/>
    <mergeCell ref="AJ59:AL60"/>
    <mergeCell ref="AJ88:AL89"/>
    <mergeCell ref="AJ90:AL90"/>
    <mergeCell ref="AJ82:AL82"/>
    <mergeCell ref="AJ64:AL65"/>
    <mergeCell ref="AJ72:AL73"/>
    <mergeCell ref="AJ75:AL75"/>
    <mergeCell ref="AJ66:AL66"/>
    <mergeCell ref="AJ108:AL108"/>
    <mergeCell ref="AM150:AM151"/>
    <mergeCell ref="AJ21:AM21"/>
    <mergeCell ref="AJ18:AM18"/>
    <mergeCell ref="AJ38:AL38"/>
    <mergeCell ref="AJ39:AL39"/>
    <mergeCell ref="AJ133:AL133"/>
    <mergeCell ref="AJ131:AL132"/>
    <mergeCell ref="AM111:AM112"/>
    <mergeCell ref="AP72:AP73"/>
    <mergeCell ref="AM72:AM73"/>
    <mergeCell ref="AJ15:AM15"/>
    <mergeCell ref="AJ16:AM16"/>
    <mergeCell ref="AJ24:AM24"/>
    <mergeCell ref="AJ25:AM25"/>
    <mergeCell ref="AJ54:AL55"/>
    <mergeCell ref="AJ19:AM19"/>
    <mergeCell ref="AJ17:AM17"/>
    <mergeCell ref="AJ20:AM20"/>
    <mergeCell ref="AP88:AP89"/>
    <mergeCell ref="AN79:AN80"/>
    <mergeCell ref="AJ85:AQ85"/>
    <mergeCell ref="AJ111:AL112"/>
    <mergeCell ref="AJ83:AL83"/>
    <mergeCell ref="AJ92:AL92"/>
    <mergeCell ref="AJ91:AL91"/>
    <mergeCell ref="AJ79:AL80"/>
    <mergeCell ref="AJ81:AL81"/>
    <mergeCell ref="AN95:AN96"/>
    <mergeCell ref="AJ420:AO420"/>
    <mergeCell ref="AO131:AO132"/>
    <mergeCell ref="AO117:AO118"/>
    <mergeCell ref="AM117:AM118"/>
    <mergeCell ref="AM123:AM124"/>
    <mergeCell ref="AN123:AN124"/>
    <mergeCell ref="AO123:AO124"/>
    <mergeCell ref="AJ159:AL159"/>
    <mergeCell ref="AJ201:AL201"/>
    <mergeCell ref="AJ206:AL206"/>
    <mergeCell ref="AJ440:AO442"/>
    <mergeCell ref="AJ518:AK521"/>
    <mergeCell ref="AJ255:AL255"/>
    <mergeCell ref="AJ249:AL249"/>
    <mergeCell ref="AJ272:AL272"/>
    <mergeCell ref="AJ278:AL278"/>
    <mergeCell ref="AJ259:AL260"/>
    <mergeCell ref="AJ262:AL262"/>
    <mergeCell ref="AJ265:AQ265"/>
    <mergeCell ref="AP252:AP253"/>
    <mergeCell ref="AO95:AO96"/>
    <mergeCell ref="AJ114:AL114"/>
    <mergeCell ref="AJ119:AL119"/>
    <mergeCell ref="AM105:AM106"/>
    <mergeCell ref="AN105:AN106"/>
    <mergeCell ref="AN111:AN112"/>
    <mergeCell ref="AO111:AO112"/>
    <mergeCell ref="AO105:AO106"/>
    <mergeCell ref="AJ98:AL98"/>
    <mergeCell ref="AJ105:AL106"/>
    <mergeCell ref="AP95:AP96"/>
    <mergeCell ref="AJ97:AL97"/>
    <mergeCell ref="AJ99:AL99"/>
    <mergeCell ref="AN137:AN138"/>
    <mergeCell ref="AO137:AO138"/>
    <mergeCell ref="AJ95:AL96"/>
    <mergeCell ref="AM95:AM96"/>
    <mergeCell ref="AP131:AP132"/>
    <mergeCell ref="AM131:AM132"/>
    <mergeCell ref="AN131:AN132"/>
    <mergeCell ref="AJ29:AM29"/>
    <mergeCell ref="AJ27:AM27"/>
    <mergeCell ref="AJ28:AM28"/>
    <mergeCell ref="AJ49:AL49"/>
    <mergeCell ref="AJ40:AL40"/>
    <mergeCell ref="AJ44:AL45"/>
    <mergeCell ref="AJ48:AL48"/>
    <mergeCell ref="AC10:AD11"/>
    <mergeCell ref="Y10:Z11"/>
    <mergeCell ref="AA10:AB11"/>
    <mergeCell ref="AA12:AA13"/>
    <mergeCell ref="AB12:AB13"/>
    <mergeCell ref="AC12:AC13"/>
    <mergeCell ref="AD12:AD13"/>
    <mergeCell ref="AP54:AP55"/>
    <mergeCell ref="AJ26:AM26"/>
    <mergeCell ref="W10:X11"/>
    <mergeCell ref="B2:K3"/>
    <mergeCell ref="G5:I5"/>
    <mergeCell ref="G7:I7"/>
    <mergeCell ref="B7:D7"/>
    <mergeCell ref="B5:D5"/>
    <mergeCell ref="R2:Y3"/>
    <mergeCell ref="R5:U5"/>
    <mergeCell ref="B29:K29"/>
    <mergeCell ref="S21:V21"/>
    <mergeCell ref="W12:W13"/>
    <mergeCell ref="X12:X13"/>
    <mergeCell ref="Y12:Y13"/>
    <mergeCell ref="Z12:Z13"/>
    <mergeCell ref="S14:V14"/>
    <mergeCell ref="S15:V15"/>
    <mergeCell ref="W15:X15"/>
    <mergeCell ref="Y15:Z15"/>
    <mergeCell ref="AA15:AB15"/>
    <mergeCell ref="AC15:AD15"/>
    <mergeCell ref="S16:V16"/>
    <mergeCell ref="S17:V17"/>
    <mergeCell ref="S18:V18"/>
    <mergeCell ref="S19:V20"/>
  </mergeCells>
  <phoneticPr fontId="0" type="noConversion"/>
  <conditionalFormatting sqref="AM113:AP114">
    <cfRule type="cellIs" dxfId="129" priority="1" stopIfTrue="1" operator="equal">
      <formula>"yes"</formula>
    </cfRule>
    <cfRule type="cellIs" dxfId="128" priority="2" stopIfTrue="1" operator="equal">
      <formula>"no"</formula>
    </cfRule>
  </conditionalFormatting>
  <conditionalFormatting sqref="AP259:AP260 AP111:AP112 AP252:AP253 AP54:AP55 AP240:AP241 AP59:AP60 AP72:AP73 AP79:AP80 AP105:AP106 AP117:AP118 AP123:AP124 AP137:AP138 AP284:AP285 AP131:AP132 AP246:AP247 AP64:AP65 AQ291:AQ292 AK311:AK312 AP148:AP149 AP188:AP189 AP182:AP183 AP272:AP273 AP278:AP279 AQ218:AQ219 AP88 AP95 AP161:AP162 AP155:AP156 AP203:AP204 AP167:AP168 AP172:AP173 AP177:AP178 AP193:AP194 AP198:AP199 AT191">
    <cfRule type="cellIs" dxfId="127" priority="3" stopIfTrue="1" operator="equal">
      <formula>$AM$36</formula>
    </cfRule>
    <cfRule type="cellIs" dxfId="126" priority="4" stopIfTrue="1" operator="equal">
      <formula>$AO$36</formula>
    </cfRule>
    <cfRule type="cellIs" dxfId="125" priority="5" stopIfTrue="1" operator="equal">
      <formula>$AQ$36</formula>
    </cfRule>
  </conditionalFormatting>
  <conditionalFormatting sqref="AJ41 AJ49">
    <cfRule type="cellIs" dxfId="124" priority="6" stopIfTrue="1" operator="equal">
      <formula>$BA$36</formula>
    </cfRule>
    <cfRule type="cellIs" dxfId="123" priority="7" stopIfTrue="1" operator="equal">
      <formula>$BC$36</formula>
    </cfRule>
    <cfRule type="cellIs" dxfId="122" priority="8" stopIfTrue="1" operator="equal">
      <formula>$BE$36</formula>
    </cfRule>
  </conditionalFormatting>
  <conditionalFormatting sqref="Y10:Y11">
    <cfRule type="cellIs" dxfId="121" priority="9" stopIfTrue="1" operator="equal">
      <formula>$BA$11</formula>
    </cfRule>
    <cfRule type="cellIs" dxfId="120" priority="10" stopIfTrue="1" operator="equal">
      <formula>$BE$38</formula>
    </cfRule>
    <cfRule type="cellIs" dxfId="119" priority="11" stopIfTrue="1" operator="equal">
      <formula>$BA$13</formula>
    </cfRule>
  </conditionalFormatting>
  <conditionalFormatting sqref="AA10:AA11">
    <cfRule type="cellIs" dxfId="118" priority="12" stopIfTrue="1" operator="equal">
      <formula>$BA$11</formula>
    </cfRule>
    <cfRule type="cellIs" dxfId="117" priority="13" stopIfTrue="1" operator="equal">
      <formula>$BA$12</formula>
    </cfRule>
    <cfRule type="cellIs" dxfId="116" priority="14" stopIfTrue="1" operator="equal">
      <formula>$BF$38</formula>
    </cfRule>
  </conditionalFormatting>
  <conditionalFormatting sqref="AC10:AC11">
    <cfRule type="cellIs" dxfId="115" priority="15" stopIfTrue="1" operator="equal">
      <formula>$BD$39</formula>
    </cfRule>
    <cfRule type="cellIs" dxfId="114" priority="16" stopIfTrue="1" operator="equal">
      <formula>$BF$39</formula>
    </cfRule>
    <cfRule type="cellIs" dxfId="113" priority="17" stopIfTrue="1" operator="equal">
      <formula>$BH$39</formula>
    </cfRule>
  </conditionalFormatting>
  <conditionalFormatting sqref="AN111:AN112 AN252:AN253 AN54:AN55 AN246:AN247 AN59:AN60 AN64:AN65 AN72:AN73 AN79:AN80 AO291:AO292 AN105:AN106 AN117:AN118 AN123:AN124 AN131:AN132 AN137:AN138 AN284:AN285 AN240:AN241 AN259:AN260 AL311:AL312 AN148:AN149 AN188:AN189 AN182:AN183 AN272:AN273 AN278:AN279 AO218:AO219 AN88 AN95 AN161:AN162 AN155:AN156 AN203:AN204 AN167:AN168 AN172:AN173 AN177:AN178 AN193:AN194 AN198:AN199 AT189">
    <cfRule type="cellIs" dxfId="112" priority="18" stopIfTrue="1" operator="equal">
      <formula>$AJ$6</formula>
    </cfRule>
    <cfRule type="cellIs" dxfId="111" priority="19" stopIfTrue="1" operator="equal">
      <formula>$AN$33</formula>
    </cfRule>
    <cfRule type="cellIs" dxfId="110" priority="20" stopIfTrue="1" operator="equal">
      <formula>$AJ$8</formula>
    </cfRule>
  </conditionalFormatting>
  <conditionalFormatting sqref="AO111:AO112 AO131:AO132 AO252:AO253 AO54:AO55 AO246:AO247 AO59:AO60 AO64:AO65 AO72:AO73 AO79:AO80 AP291:AP292 AO105:AO106 AO117:AO118 AO123:AO124 AO137:AO138 AO284:AO285 AO240:AO241 AO259:AO260 AM311:AM312 AO148:AO149 AO188:AO189 AO182:AO183 AO272:AO273 AO278:AO279 AP218:AP219 AO88 AO95 AO161:AO162 AO155:AO156 AO203:AO204 AO167:AO168 AO172:AO173 AO177:AO178 AO193:AO194 AO198:AO199 AT190">
    <cfRule type="cellIs" dxfId="109" priority="21" stopIfTrue="1" operator="equal">
      <formula>$AJ$6</formula>
    </cfRule>
    <cfRule type="cellIs" dxfId="108" priority="22" stopIfTrue="1" operator="equal">
      <formula>$AJ$7</formula>
    </cfRule>
    <cfRule type="cellIs" dxfId="107" priority="23" stopIfTrue="1" operator="equal">
      <formula>$AO$33</formula>
    </cfRule>
  </conditionalFormatting>
  <conditionalFormatting sqref="AJ39 AJ47">
    <cfRule type="cellIs" dxfId="106" priority="24" stopIfTrue="1" operator="equal">
      <formula>$AX$6</formula>
    </cfRule>
    <cfRule type="cellIs" dxfId="105" priority="25" stopIfTrue="1" operator="equal">
      <formula>$BB$33</formula>
    </cfRule>
    <cfRule type="cellIs" dxfId="104" priority="26" stopIfTrue="1" operator="equal">
      <formula>$AX$8</formula>
    </cfRule>
  </conditionalFormatting>
  <conditionalFormatting sqref="AJ40 AJ48">
    <cfRule type="cellIs" dxfId="103" priority="27" stopIfTrue="1" operator="equal">
      <formula>$AX$6</formula>
    </cfRule>
    <cfRule type="cellIs" dxfId="102" priority="28" stopIfTrue="1" operator="equal">
      <formula>$AX$7</formula>
    </cfRule>
    <cfRule type="cellIs" dxfId="101" priority="29" stopIfTrue="1" operator="equal">
      <formula>$BC$33</formula>
    </cfRule>
  </conditionalFormatting>
  <pageMargins left="0" right="0" top="0.59055118110236227" bottom="0.39370078740157483" header="0.51181102362204722" footer="0.51181102362204722"/>
  <pageSetup paperSize="9" scale="96" fitToHeight="6" orientation="portrait" r:id="rId1"/>
  <headerFooter alignWithMargins="0"/>
  <ignoredErrors>
    <ignoredError sqref="F7 K7" unlockedFormula="1"/>
  </ignoredErrors>
  <drawing r:id="rId2"/>
  <legacyDrawing r:id="rId3"/>
</worksheet>
</file>

<file path=xl/worksheets/sheet39.xml><?xml version="1.0" encoding="utf-8"?>
<worksheet xmlns="http://schemas.openxmlformats.org/spreadsheetml/2006/main" xmlns:r="http://schemas.openxmlformats.org/officeDocument/2006/relationships">
  <sheetPr codeName="Sheet45">
    <pageSetUpPr autoPageBreaks="0" fitToPage="1"/>
  </sheetPr>
  <dimension ref="A1:BA851"/>
  <sheetViews>
    <sheetView showRowColHeaders="0" workbookViewId="0">
      <selection activeCell="B2" sqref="B2:K3"/>
    </sheetView>
  </sheetViews>
  <sheetFormatPr defaultRowHeight="12.75"/>
  <cols>
    <col min="1" max="11" width="11.7109375" style="1" customWidth="1"/>
    <col min="12" max="17" width="10.7109375" style="1" customWidth="1"/>
    <col min="18" max="18" width="2.7109375" style="1" customWidth="1"/>
    <col min="19" max="33" width="10.7109375" style="1" customWidth="1"/>
    <col min="34" max="34" width="4.7109375" style="20" customWidth="1"/>
    <col min="35" max="43" width="10.7109375" style="18" customWidth="1"/>
    <col min="44" max="44" width="10.7109375" style="1" customWidth="1"/>
    <col min="45" max="47" width="8.7109375" style="1" customWidth="1"/>
    <col min="48" max="52" width="13.7109375" style="1" customWidth="1"/>
    <col min="53" max="54" width="10.7109375" style="1" customWidth="1"/>
    <col min="55" max="71" width="10.28515625" style="1" customWidth="1"/>
    <col min="72" max="127" width="10.7109375" style="1" customWidth="1"/>
    <col min="128" max="16384" width="9.140625" style="1"/>
  </cols>
  <sheetData>
    <row r="1" spans="1:50" ht="6" customHeight="1" thickBot="1">
      <c r="A1" s="391"/>
      <c r="B1" s="391"/>
      <c r="C1" s="391"/>
      <c r="D1" s="391"/>
      <c r="E1" s="391"/>
      <c r="F1" s="391"/>
      <c r="G1" s="391"/>
      <c r="H1" s="391"/>
      <c r="I1" s="391"/>
      <c r="J1" s="391"/>
      <c r="K1" s="391"/>
      <c r="L1" s="121"/>
      <c r="M1" s="121"/>
      <c r="N1" s="121"/>
      <c r="O1" s="121"/>
      <c r="P1" s="121"/>
      <c r="Q1" s="362"/>
      <c r="R1" s="367"/>
      <c r="S1" s="362"/>
      <c r="T1" s="362"/>
      <c r="U1" s="362"/>
      <c r="V1" s="362"/>
      <c r="W1" s="362"/>
      <c r="X1" s="362"/>
      <c r="Y1" s="362"/>
      <c r="Z1" s="362"/>
      <c r="AA1" s="362"/>
      <c r="AB1" s="362"/>
      <c r="AC1" s="362"/>
    </row>
    <row r="2" spans="1:50" ht="12.75" customHeight="1" thickTop="1">
      <c r="A2" s="391"/>
      <c r="B2" s="1024" t="s">
        <v>461</v>
      </c>
      <c r="C2" s="1025"/>
      <c r="D2" s="1025"/>
      <c r="E2" s="1025"/>
      <c r="F2" s="1025"/>
      <c r="G2" s="1025"/>
      <c r="H2" s="1025"/>
      <c r="I2" s="1025"/>
      <c r="J2" s="1025"/>
      <c r="K2" s="1026"/>
      <c r="L2" s="114"/>
      <c r="M2" s="121"/>
      <c r="N2" s="121"/>
      <c r="O2" s="121"/>
      <c r="P2" s="121"/>
      <c r="Q2" s="362"/>
      <c r="R2" s="367"/>
      <c r="S2" s="362"/>
      <c r="T2" s="362"/>
      <c r="U2" s="362"/>
      <c r="V2" s="362"/>
      <c r="W2" s="362"/>
      <c r="X2" s="362"/>
      <c r="Y2" s="362"/>
      <c r="Z2" s="362"/>
      <c r="AA2" s="362"/>
      <c r="AB2" s="362"/>
      <c r="AC2" s="362"/>
      <c r="AH2" s="21"/>
      <c r="AI2" s="1184" t="s">
        <v>198</v>
      </c>
      <c r="AJ2" s="1185"/>
      <c r="AK2" s="1185"/>
      <c r="AL2" s="1185"/>
      <c r="AM2" s="1185"/>
      <c r="AN2" s="1185"/>
      <c r="AO2" s="1185"/>
      <c r="AP2" s="1185"/>
      <c r="AQ2" s="1186"/>
    </row>
    <row r="3" spans="1:50" ht="12.75" customHeight="1" thickBot="1">
      <c r="A3" s="391"/>
      <c r="B3" s="1027"/>
      <c r="C3" s="1028"/>
      <c r="D3" s="1028"/>
      <c r="E3" s="1028"/>
      <c r="F3" s="1028"/>
      <c r="G3" s="1028"/>
      <c r="H3" s="1028"/>
      <c r="I3" s="1028"/>
      <c r="J3" s="1028"/>
      <c r="K3" s="1029"/>
      <c r="L3" s="114"/>
      <c r="M3" s="121"/>
      <c r="N3" s="121"/>
      <c r="O3" s="121"/>
      <c r="P3" s="121"/>
      <c r="Q3" s="362"/>
      <c r="R3" s="367"/>
      <c r="S3" s="362"/>
      <c r="T3" s="362"/>
      <c r="U3" s="362"/>
      <c r="V3" s="362"/>
      <c r="W3" s="362"/>
      <c r="X3" s="362"/>
      <c r="Y3" s="362"/>
      <c r="Z3" s="362"/>
      <c r="AA3" s="362"/>
      <c r="AB3" s="362"/>
      <c r="AC3" s="362"/>
      <c r="AH3" s="21"/>
      <c r="AI3" s="1187"/>
      <c r="AJ3" s="1188"/>
      <c r="AK3" s="1188"/>
      <c r="AL3" s="1188"/>
      <c r="AM3" s="1188"/>
      <c r="AN3" s="1188"/>
      <c r="AO3" s="1188"/>
      <c r="AP3" s="1188"/>
      <c r="AQ3" s="1189"/>
    </row>
    <row r="4" spans="1:50" ht="6" customHeight="1" thickTop="1">
      <c r="A4" s="391"/>
      <c r="B4" s="477"/>
      <c r="C4" s="477"/>
      <c r="D4" s="477"/>
      <c r="E4" s="477"/>
      <c r="F4" s="477"/>
      <c r="G4" s="477"/>
      <c r="H4" s="477"/>
      <c r="I4" s="477"/>
      <c r="J4" s="391"/>
      <c r="K4" s="391"/>
      <c r="L4" s="121"/>
      <c r="M4" s="121"/>
      <c r="N4" s="121"/>
      <c r="O4" s="121"/>
      <c r="P4" s="121"/>
      <c r="Q4" s="362"/>
      <c r="R4" s="367"/>
      <c r="S4" s="362"/>
      <c r="T4" s="362"/>
      <c r="U4" s="362"/>
      <c r="V4" s="362"/>
      <c r="W4" s="362"/>
      <c r="X4" s="362"/>
      <c r="Y4" s="362"/>
      <c r="Z4" s="362"/>
      <c r="AA4" s="362"/>
      <c r="AB4" s="362"/>
      <c r="AC4" s="362"/>
      <c r="AH4" s="21"/>
    </row>
    <row r="5" spans="1:50" ht="12.75" customHeight="1">
      <c r="A5" s="391"/>
      <c r="B5" s="828" t="s">
        <v>581</v>
      </c>
      <c r="C5" s="829"/>
      <c r="D5" s="830"/>
      <c r="E5" s="460">
        <v>450</v>
      </c>
      <c r="F5" s="461">
        <f>+E5</f>
        <v>450</v>
      </c>
      <c r="G5" s="1179" t="s">
        <v>462</v>
      </c>
      <c r="H5" s="1180"/>
      <c r="I5" s="1181"/>
      <c r="J5" s="346"/>
      <c r="K5" s="356">
        <v>25</v>
      </c>
      <c r="L5" s="121"/>
      <c r="M5" s="121"/>
      <c r="N5" s="121"/>
      <c r="O5" s="121"/>
      <c r="P5" s="121"/>
      <c r="Q5" s="362"/>
      <c r="R5" s="367"/>
      <c r="S5" s="362"/>
      <c r="T5" s="362"/>
      <c r="U5" s="362"/>
      <c r="V5" s="362"/>
      <c r="W5" s="362"/>
      <c r="X5" s="362"/>
      <c r="Y5" s="362"/>
      <c r="Z5" s="362"/>
      <c r="AA5" s="362"/>
      <c r="AB5" s="362"/>
      <c r="AC5" s="362"/>
      <c r="AH5" s="24" t="s">
        <v>32</v>
      </c>
      <c r="AN5" s="1"/>
      <c r="AO5" s="1"/>
      <c r="AP5" s="1"/>
      <c r="AQ5" s="1"/>
    </row>
    <row r="6" spans="1:50" ht="6" customHeight="1">
      <c r="A6" s="391"/>
      <c r="B6" s="498"/>
      <c r="C6" s="498"/>
      <c r="D6" s="499"/>
      <c r="E6" s="500"/>
      <c r="F6" s="476"/>
      <c r="G6" s="499"/>
      <c r="H6" s="719"/>
      <c r="I6" s="719"/>
      <c r="J6" s="719"/>
      <c r="K6" s="501"/>
      <c r="L6" s="121"/>
      <c r="M6" s="121"/>
      <c r="N6" s="121"/>
      <c r="O6" s="121"/>
      <c r="P6" s="121"/>
      <c r="Q6" s="362"/>
      <c r="R6" s="367"/>
      <c r="S6" s="362"/>
      <c r="T6" s="362"/>
      <c r="U6" s="362"/>
      <c r="V6" s="362"/>
      <c r="W6" s="362"/>
      <c r="X6" s="362"/>
      <c r="Y6" s="362"/>
      <c r="Z6" s="362"/>
      <c r="AA6" s="362"/>
      <c r="AB6" s="362"/>
      <c r="AC6" s="362"/>
    </row>
    <row r="7" spans="1:50" ht="12.75" customHeight="1">
      <c r="A7" s="391"/>
      <c r="B7" s="762" t="s">
        <v>850</v>
      </c>
      <c r="C7" s="762"/>
      <c r="D7" s="762"/>
      <c r="E7" s="358">
        <v>29500</v>
      </c>
      <c r="F7" s="496">
        <f>E7+1000</f>
        <v>30500</v>
      </c>
      <c r="G7" s="1179" t="s">
        <v>464</v>
      </c>
      <c r="H7" s="1180"/>
      <c r="I7" s="1181"/>
      <c r="J7" s="358">
        <v>15</v>
      </c>
      <c r="K7" s="497">
        <f>J7/100</f>
        <v>0.15</v>
      </c>
      <c r="L7" s="121"/>
      <c r="M7" s="121"/>
      <c r="N7" s="121"/>
      <c r="O7" s="121"/>
      <c r="P7" s="121"/>
      <c r="Q7" s="362"/>
      <c r="R7" s="367"/>
      <c r="S7" s="362"/>
      <c r="T7" s="362"/>
      <c r="U7" s="362"/>
      <c r="V7" s="362"/>
      <c r="W7" s="362"/>
      <c r="X7" s="362"/>
      <c r="Y7" s="362"/>
      <c r="Z7" s="362"/>
      <c r="AA7" s="362"/>
      <c r="AB7" s="362"/>
      <c r="AC7" s="362"/>
    </row>
    <row r="8" spans="1:50" ht="6" customHeight="1">
      <c r="A8" s="391"/>
      <c r="B8" s="502"/>
      <c r="C8" s="502"/>
      <c r="D8" s="502"/>
      <c r="E8" s="477"/>
      <c r="F8" s="503"/>
      <c r="G8" s="504"/>
      <c r="H8" s="504"/>
      <c r="I8" s="504"/>
      <c r="J8" s="467"/>
      <c r="K8" s="505"/>
      <c r="L8" s="121"/>
      <c r="M8" s="121"/>
      <c r="N8" s="121"/>
      <c r="O8" s="121"/>
      <c r="P8" s="121"/>
      <c r="Q8" s="362"/>
      <c r="R8" s="367"/>
      <c r="S8" s="362"/>
      <c r="T8" s="362"/>
      <c r="U8" s="362"/>
      <c r="V8" s="362"/>
      <c r="W8" s="362"/>
      <c r="X8" s="362"/>
      <c r="Y8" s="362"/>
      <c r="Z8" s="362"/>
      <c r="AA8" s="362"/>
      <c r="AB8" s="362"/>
      <c r="AC8" s="362"/>
    </row>
    <row r="9" spans="1:50" ht="12.75" customHeight="1">
      <c r="A9" s="391"/>
      <c r="B9" s="1339" t="s">
        <v>58</v>
      </c>
      <c r="C9" s="1340"/>
      <c r="D9" s="1340"/>
      <c r="E9" s="1340"/>
      <c r="F9" s="1340"/>
      <c r="G9" s="1341"/>
      <c r="H9" s="504"/>
      <c r="I9" s="504"/>
      <c r="J9" s="467"/>
      <c r="K9" s="505"/>
      <c r="L9" s="121"/>
      <c r="M9" s="121"/>
      <c r="N9" s="121"/>
      <c r="O9" s="121"/>
      <c r="P9" s="121"/>
      <c r="Q9" s="362"/>
      <c r="R9" s="367"/>
      <c r="S9" s="362"/>
      <c r="T9" s="362"/>
      <c r="U9" s="362"/>
      <c r="V9" s="362"/>
      <c r="W9" s="362"/>
      <c r="X9" s="362"/>
      <c r="Y9" s="362"/>
      <c r="Z9" s="362"/>
      <c r="AA9" s="362"/>
      <c r="AB9" s="362"/>
      <c r="AC9" s="362"/>
    </row>
    <row r="10" spans="1:50" ht="12.75" customHeight="1">
      <c r="A10" s="391"/>
      <c r="B10" s="1342" t="s">
        <v>885</v>
      </c>
      <c r="C10" s="1342"/>
      <c r="D10" s="1234" t="s">
        <v>886</v>
      </c>
      <c r="E10" s="1235"/>
      <c r="F10" s="1234" t="s">
        <v>23</v>
      </c>
      <c r="G10" s="1235"/>
      <c r="H10" s="504"/>
      <c r="I10" s="504"/>
      <c r="J10" s="467"/>
      <c r="K10" s="505"/>
      <c r="L10" s="121"/>
      <c r="M10" s="121"/>
      <c r="N10" s="121"/>
      <c r="O10" s="121"/>
      <c r="P10" s="121"/>
      <c r="Q10" s="362"/>
      <c r="R10" s="367"/>
      <c r="S10" s="362"/>
      <c r="T10" s="362"/>
      <c r="U10" s="362"/>
      <c r="V10" s="362"/>
      <c r="W10" s="362"/>
      <c r="X10" s="362"/>
      <c r="Y10" s="362"/>
      <c r="Z10" s="362"/>
      <c r="AA10" s="362"/>
      <c r="AB10" s="362"/>
      <c r="AC10" s="362"/>
    </row>
    <row r="11" spans="1:50" ht="12.75" customHeight="1">
      <c r="A11" s="391"/>
      <c r="B11" s="351">
        <f>V19</f>
        <v>4</v>
      </c>
      <c r="C11" s="349">
        <f>B11/F11</f>
        <v>0.4</v>
      </c>
      <c r="D11" s="356">
        <v>6</v>
      </c>
      <c r="E11" s="349">
        <f>D11/F11</f>
        <v>0.6</v>
      </c>
      <c r="F11" s="351">
        <f>SUM(B11+D11)</f>
        <v>10</v>
      </c>
      <c r="G11" s="349">
        <f>SUM(C11+E11)</f>
        <v>1</v>
      </c>
      <c r="H11" s="504"/>
      <c r="I11" s="504"/>
      <c r="J11" s="467"/>
      <c r="K11" s="505"/>
      <c r="L11" s="121"/>
      <c r="M11" s="121"/>
      <c r="N11" s="121"/>
      <c r="O11" s="121"/>
      <c r="P11" s="121"/>
      <c r="Q11" s="362"/>
      <c r="R11" s="367"/>
      <c r="S11" s="362"/>
      <c r="T11" s="362"/>
      <c r="U11" s="362"/>
      <c r="V11" s="362"/>
      <c r="W11" s="362"/>
      <c r="X11" s="362"/>
      <c r="Y11" s="362"/>
      <c r="Z11" s="362"/>
      <c r="AA11" s="362"/>
      <c r="AB11" s="362"/>
      <c r="AC11" s="362"/>
    </row>
    <row r="12" spans="1:50" ht="12.75" customHeight="1" thickBot="1">
      <c r="A12" s="391"/>
      <c r="B12" s="499"/>
      <c r="C12" s="499"/>
      <c r="D12" s="499"/>
      <c r="E12" s="467"/>
      <c r="F12" s="467"/>
      <c r="G12" s="467"/>
      <c r="H12" s="391"/>
      <c r="I12" s="391"/>
      <c r="J12" s="391"/>
      <c r="K12" s="391"/>
      <c r="L12" s="121"/>
      <c r="M12" s="121"/>
      <c r="N12" s="121"/>
      <c r="O12" s="121"/>
      <c r="P12" s="121"/>
      <c r="Q12" s="362"/>
      <c r="R12" s="367"/>
      <c r="S12" s="367"/>
      <c r="T12" s="367"/>
      <c r="U12" s="367"/>
      <c r="V12" s="367"/>
      <c r="W12" s="367"/>
      <c r="X12" s="367"/>
      <c r="Y12" s="367"/>
      <c r="Z12" s="367"/>
      <c r="AA12" s="362"/>
      <c r="AB12" s="362"/>
      <c r="AC12" s="362"/>
      <c r="AI12" s="1"/>
      <c r="AJ12" s="1"/>
      <c r="AK12" s="1"/>
      <c r="AL12" s="1"/>
    </row>
    <row r="13" spans="1:50" ht="12.75" customHeight="1">
      <c r="A13" s="121"/>
      <c r="B13" s="121"/>
      <c r="C13" s="121"/>
      <c r="D13" s="121"/>
      <c r="E13" s="121"/>
      <c r="F13" s="121"/>
      <c r="G13" s="114"/>
      <c r="H13" s="114"/>
      <c r="I13" s="114"/>
      <c r="J13" s="114"/>
      <c r="K13" s="121"/>
      <c r="L13" s="121"/>
      <c r="M13" s="121"/>
      <c r="N13" s="121"/>
      <c r="O13" s="121"/>
      <c r="P13" s="121"/>
      <c r="Q13" s="362"/>
      <c r="R13" s="407">
        <v>1</v>
      </c>
      <c r="S13" s="407" t="s">
        <v>61</v>
      </c>
      <c r="T13" s="362"/>
      <c r="U13" s="362"/>
      <c r="V13" s="1230" t="s">
        <v>21</v>
      </c>
      <c r="W13" s="1231"/>
      <c r="X13" s="1218" t="s">
        <v>22</v>
      </c>
      <c r="Y13" s="1219"/>
      <c r="Z13" s="1198" t="s">
        <v>579</v>
      </c>
      <c r="AA13" s="1199"/>
      <c r="AB13" s="1228" t="s">
        <v>500</v>
      </c>
      <c r="AC13" s="1203"/>
      <c r="AD13" s="112"/>
      <c r="AE13" s="112"/>
      <c r="AF13" s="112"/>
      <c r="AH13" s="1"/>
      <c r="AI13" s="1"/>
      <c r="AJ13" s="1"/>
      <c r="AK13" s="1"/>
    </row>
    <row r="14" spans="1:50" ht="12.75" customHeight="1">
      <c r="A14" s="121"/>
      <c r="B14" s="121"/>
      <c r="C14" s="121"/>
      <c r="D14" s="121"/>
      <c r="E14" s="121"/>
      <c r="F14" s="121"/>
      <c r="G14" s="345"/>
      <c r="H14" s="345"/>
      <c r="I14" s="121"/>
      <c r="J14" s="121"/>
      <c r="K14" s="121"/>
      <c r="L14" s="121"/>
      <c r="M14" s="121"/>
      <c r="N14" s="121"/>
      <c r="O14" s="121"/>
      <c r="P14" s="121"/>
      <c r="Q14" s="362"/>
      <c r="R14" s="407"/>
      <c r="S14" s="407"/>
      <c r="T14" s="362"/>
      <c r="U14" s="362"/>
      <c r="V14" s="1232"/>
      <c r="W14" s="1233"/>
      <c r="X14" s="1220"/>
      <c r="Y14" s="1221"/>
      <c r="Z14" s="1200"/>
      <c r="AA14" s="1201"/>
      <c r="AB14" s="1229"/>
      <c r="AC14" s="1205"/>
      <c r="AD14" s="112"/>
      <c r="AE14" s="112"/>
      <c r="AF14" s="112"/>
      <c r="AH14" s="138">
        <v>1</v>
      </c>
      <c r="AI14" s="1260" t="s">
        <v>24</v>
      </c>
      <c r="AJ14" s="1260"/>
      <c r="AK14" s="1260"/>
      <c r="AL14" s="1260"/>
      <c r="AM14" s="1260"/>
      <c r="AN14" s="1260"/>
      <c r="AO14" s="1260"/>
      <c r="AP14" s="1260"/>
      <c r="AQ14" s="1260"/>
      <c r="AR14"/>
      <c r="AS14"/>
      <c r="AT14"/>
      <c r="AU14"/>
      <c r="AV14"/>
      <c r="AW14"/>
      <c r="AX14"/>
    </row>
    <row r="15" spans="1:50" ht="12.75" customHeight="1">
      <c r="A15" s="121"/>
      <c r="B15" s="339"/>
      <c r="C15" s="339"/>
      <c r="D15" s="339"/>
      <c r="E15" s="345"/>
      <c r="F15" s="345"/>
      <c r="G15" s="345"/>
      <c r="H15" s="345"/>
      <c r="I15" s="121"/>
      <c r="J15" s="121"/>
      <c r="K15" s="121"/>
      <c r="L15" s="121"/>
      <c r="M15" s="121"/>
      <c r="N15" s="121"/>
      <c r="O15" s="121"/>
      <c r="P15" s="121"/>
      <c r="Q15" s="362"/>
      <c r="R15" s="367"/>
      <c r="S15" s="931" t="s">
        <v>887</v>
      </c>
      <c r="T15" s="931"/>
      <c r="U15" s="1175"/>
      <c r="V15" s="1222">
        <f>AM26</f>
        <v>160</v>
      </c>
      <c r="W15" s="1223"/>
      <c r="X15" s="1222">
        <f>V15</f>
        <v>160</v>
      </c>
      <c r="Y15" s="1223"/>
      <c r="Z15" s="1222">
        <f>X15</f>
        <v>160</v>
      </c>
      <c r="AA15" s="1223"/>
      <c r="AB15" s="1222">
        <f>Z15</f>
        <v>160</v>
      </c>
      <c r="AC15" s="1223"/>
      <c r="AH15" s="141"/>
      <c r="AR15"/>
      <c r="AS15"/>
      <c r="AT15"/>
      <c r="AU15"/>
      <c r="AV15"/>
      <c r="AW15"/>
      <c r="AX15"/>
    </row>
    <row r="16" spans="1:50" ht="12.75" customHeight="1">
      <c r="A16" s="121"/>
      <c r="B16" s="339"/>
      <c r="C16" s="339"/>
      <c r="D16" s="339"/>
      <c r="E16" s="345"/>
      <c r="F16" s="345"/>
      <c r="G16" s="345"/>
      <c r="H16" s="345"/>
      <c r="I16" s="121"/>
      <c r="J16" s="121"/>
      <c r="K16" s="121"/>
      <c r="L16" s="121"/>
      <c r="M16" s="121"/>
      <c r="N16" s="121"/>
      <c r="O16" s="121"/>
      <c r="P16" s="121"/>
      <c r="Q16" s="362"/>
      <c r="R16" s="367"/>
      <c r="S16" s="931" t="s">
        <v>55</v>
      </c>
      <c r="T16" s="931"/>
      <c r="U16" s="1175"/>
      <c r="V16" s="1224">
        <f>AL70</f>
        <v>1.4285714285714284</v>
      </c>
      <c r="W16" s="1225"/>
      <c r="X16" s="1224">
        <f>AM70</f>
        <v>1.9999999999999998</v>
      </c>
      <c r="Y16" s="1225"/>
      <c r="Z16" s="1224">
        <f>AN70</f>
        <v>1.7391304347826084</v>
      </c>
      <c r="AA16" s="1225"/>
      <c r="AB16" s="1224">
        <f>AO70</f>
        <v>2.6666666666666665</v>
      </c>
      <c r="AC16" s="1225"/>
      <c r="AH16" s="141">
        <v>1.1000000000000001</v>
      </c>
      <c r="AI16" s="18" t="s">
        <v>586</v>
      </c>
      <c r="AR16"/>
      <c r="AS16"/>
      <c r="AT16"/>
      <c r="AU16"/>
      <c r="AV16"/>
      <c r="AW16"/>
      <c r="AX16"/>
    </row>
    <row r="17" spans="1:50" ht="12.75" customHeight="1">
      <c r="A17" s="121"/>
      <c r="B17" s="353"/>
      <c r="C17" s="353"/>
      <c r="D17" s="353"/>
      <c r="E17" s="345"/>
      <c r="F17" s="345"/>
      <c r="G17" s="345"/>
      <c r="H17" s="121"/>
      <c r="I17" s="121"/>
      <c r="J17" s="121"/>
      <c r="K17" s="121"/>
      <c r="L17" s="121"/>
      <c r="M17" s="121"/>
      <c r="N17" s="121"/>
      <c r="O17" s="121"/>
      <c r="P17" s="121"/>
      <c r="Q17" s="362"/>
      <c r="R17" s="367"/>
      <c r="S17" s="931" t="s">
        <v>888</v>
      </c>
      <c r="T17" s="931"/>
      <c r="U17" s="1175"/>
      <c r="V17" s="1216">
        <f>(V15/V16)/V19</f>
        <v>28.000000000000004</v>
      </c>
      <c r="W17" s="1217"/>
      <c r="X17" s="1216">
        <f>(X15/X16)/X19</f>
        <v>20.000000000000004</v>
      </c>
      <c r="Y17" s="1217"/>
      <c r="Z17" s="1216">
        <f>(Z15/Z16)/Z19</f>
        <v>23.000000000000004</v>
      </c>
      <c r="AA17" s="1217"/>
      <c r="AB17" s="1216">
        <f>(AB15/AB16)/AB19</f>
        <v>15</v>
      </c>
      <c r="AC17" s="1217"/>
      <c r="AH17" s="141"/>
      <c r="AI17" s="1243" t="s">
        <v>25</v>
      </c>
      <c r="AJ17" s="1243"/>
      <c r="AK17" s="1243"/>
      <c r="AL17" s="1243"/>
      <c r="AM17" s="199">
        <f>'Prod Parameters'!$F$8</f>
        <v>23</v>
      </c>
      <c r="AR17"/>
      <c r="AS17"/>
      <c r="AT17"/>
      <c r="AU17"/>
      <c r="AV17"/>
      <c r="AW17"/>
      <c r="AX17"/>
    </row>
    <row r="18" spans="1:50" ht="12.75" customHeight="1">
      <c r="A18" s="121"/>
      <c r="B18" s="121"/>
      <c r="C18" s="121"/>
      <c r="D18" s="121"/>
      <c r="E18" s="121"/>
      <c r="F18" s="121"/>
      <c r="G18" s="345"/>
      <c r="H18" s="345"/>
      <c r="I18" s="121"/>
      <c r="J18" s="121"/>
      <c r="K18" s="121"/>
      <c r="L18" s="121"/>
      <c r="M18" s="121"/>
      <c r="N18" s="121"/>
      <c r="O18" s="121"/>
      <c r="P18" s="121"/>
      <c r="Q18" s="362"/>
      <c r="R18" s="367"/>
      <c r="S18" s="931" t="s">
        <v>889</v>
      </c>
      <c r="T18" s="931"/>
      <c r="U18" s="1175"/>
      <c r="V18" s="1216">
        <v>8</v>
      </c>
      <c r="W18" s="1217"/>
      <c r="X18" s="1216">
        <v>8</v>
      </c>
      <c r="Y18" s="1217"/>
      <c r="Z18" s="1216">
        <v>8</v>
      </c>
      <c r="AA18" s="1217"/>
      <c r="AB18" s="1216">
        <v>8</v>
      </c>
      <c r="AC18" s="1217"/>
      <c r="AH18" s="141"/>
      <c r="AI18" s="1243" t="s">
        <v>325</v>
      </c>
      <c r="AJ18" s="1243"/>
      <c r="AK18" s="1243"/>
      <c r="AL18" s="1243"/>
      <c r="AM18" s="199">
        <f>'Prod Parameters'!$F$9</f>
        <v>23</v>
      </c>
      <c r="AR18"/>
      <c r="AS18"/>
      <c r="AT18"/>
      <c r="AU18"/>
      <c r="AV18"/>
      <c r="AW18"/>
      <c r="AX18"/>
    </row>
    <row r="19" spans="1:50" ht="12.75" customHeight="1">
      <c r="A19" s="121"/>
      <c r="B19" s="354"/>
      <c r="C19" s="354"/>
      <c r="D19" s="355"/>
      <c r="E19" s="345"/>
      <c r="F19" s="345"/>
      <c r="G19" s="345"/>
      <c r="H19" s="345"/>
      <c r="I19" s="121"/>
      <c r="J19" s="121"/>
      <c r="K19" s="121"/>
      <c r="L19" s="121"/>
      <c r="M19" s="121"/>
      <c r="N19" s="121"/>
      <c r="O19" s="121"/>
      <c r="P19" s="121"/>
      <c r="Q19" s="362"/>
      <c r="R19" s="367"/>
      <c r="S19" s="931" t="s">
        <v>68</v>
      </c>
      <c r="T19" s="931"/>
      <c r="U19" s="1175"/>
      <c r="V19" s="1207">
        <f>$AM$28</f>
        <v>4</v>
      </c>
      <c r="W19" s="1208"/>
      <c r="X19" s="1207">
        <f>$AM$28</f>
        <v>4</v>
      </c>
      <c r="Y19" s="1208"/>
      <c r="Z19" s="1207">
        <f>$AM$28</f>
        <v>4</v>
      </c>
      <c r="AA19" s="1208"/>
      <c r="AB19" s="1207">
        <f>$AM$28</f>
        <v>4</v>
      </c>
      <c r="AC19" s="1208"/>
      <c r="AH19" s="141"/>
      <c r="AI19" s="1248" t="s">
        <v>26</v>
      </c>
      <c r="AJ19" s="1249"/>
      <c r="AK19" s="1249"/>
      <c r="AL19" s="1250"/>
      <c r="AM19" s="199">
        <f>'Prod Parameters'!$F$10</f>
        <v>6</v>
      </c>
      <c r="AR19"/>
      <c r="AS19"/>
      <c r="AT19"/>
      <c r="AU19"/>
      <c r="AV19"/>
      <c r="AW19"/>
      <c r="AX19"/>
    </row>
    <row r="20" spans="1:50" ht="12.75" customHeight="1" thickBot="1">
      <c r="A20" s="121"/>
      <c r="B20" s="353"/>
      <c r="C20" s="314"/>
      <c r="D20" s="355"/>
      <c r="E20" s="345"/>
      <c r="F20" s="345"/>
      <c r="G20" s="345"/>
      <c r="H20" s="345"/>
      <c r="I20" s="121"/>
      <c r="J20" s="121"/>
      <c r="K20" s="121"/>
      <c r="L20" s="121"/>
      <c r="M20" s="121"/>
      <c r="N20" s="121"/>
      <c r="O20" s="121"/>
      <c r="P20" s="121"/>
      <c r="Q20" s="362"/>
      <c r="R20" s="367"/>
      <c r="S20" s="931" t="s">
        <v>65</v>
      </c>
      <c r="T20" s="931"/>
      <c r="U20" s="1175"/>
      <c r="V20" s="1211">
        <f>K5</f>
        <v>25</v>
      </c>
      <c r="W20" s="1212"/>
      <c r="X20" s="1226">
        <f>V20</f>
        <v>25</v>
      </c>
      <c r="Y20" s="1227"/>
      <c r="Z20" s="1226">
        <f>X20</f>
        <v>25</v>
      </c>
      <c r="AA20" s="1227"/>
      <c r="AB20" s="1226">
        <f>Z20</f>
        <v>25</v>
      </c>
      <c r="AC20" s="1227"/>
      <c r="AH20" s="141"/>
      <c r="AI20" s="1243" t="s">
        <v>27</v>
      </c>
      <c r="AJ20" s="1243"/>
      <c r="AK20" s="1243"/>
      <c r="AL20" s="1243"/>
      <c r="AM20" s="199">
        <f>'Prod Parameters'!$F$11</f>
        <v>52</v>
      </c>
      <c r="AR20"/>
      <c r="AS20"/>
      <c r="AT20"/>
      <c r="AU20"/>
      <c r="AV20"/>
      <c r="AW20"/>
      <c r="AX20"/>
    </row>
    <row r="21" spans="1:50" ht="12.75" customHeight="1" thickBot="1">
      <c r="A21" s="121"/>
      <c r="B21" s="345"/>
      <c r="C21" s="345"/>
      <c r="D21" s="345"/>
      <c r="E21" s="345"/>
      <c r="F21" s="345"/>
      <c r="G21" s="345"/>
      <c r="H21" s="345"/>
      <c r="I21" s="121"/>
      <c r="J21" s="121"/>
      <c r="K21" s="121"/>
      <c r="L21" s="121"/>
      <c r="M21" s="121"/>
      <c r="N21" s="121"/>
      <c r="O21" s="121"/>
      <c r="P21" s="121"/>
      <c r="Q21" s="362"/>
      <c r="R21" s="367"/>
      <c r="S21" s="375"/>
      <c r="T21" s="375"/>
      <c r="U21" s="375"/>
      <c r="V21" s="368"/>
      <c r="W21" s="368"/>
      <c r="X21" s="368"/>
      <c r="Y21" s="368"/>
      <c r="Z21" s="368"/>
      <c r="AA21" s="368"/>
      <c r="AB21" s="368"/>
      <c r="AC21" s="368"/>
      <c r="AH21" s="141"/>
      <c r="AI21" s="1243" t="s">
        <v>28</v>
      </c>
      <c r="AJ21" s="1243"/>
      <c r="AK21" s="1243"/>
      <c r="AL21" s="1243"/>
      <c r="AM21" s="199">
        <f>'Prod Parameters'!$F$12</f>
        <v>260</v>
      </c>
      <c r="AR21"/>
      <c r="AS21"/>
      <c r="AT21"/>
      <c r="AU21"/>
      <c r="AV21"/>
      <c r="AW21"/>
      <c r="AX21"/>
    </row>
    <row r="22" spans="1:50" ht="12.75" customHeight="1">
      <c r="A22" s="121"/>
      <c r="B22" s="345"/>
      <c r="C22" s="345"/>
      <c r="D22" s="345"/>
      <c r="E22" s="345"/>
      <c r="F22" s="345"/>
      <c r="G22" s="345"/>
      <c r="H22" s="345"/>
      <c r="I22" s="121"/>
      <c r="J22" s="121"/>
      <c r="K22" s="121"/>
      <c r="L22" s="121"/>
      <c r="M22" s="121"/>
      <c r="N22" s="121"/>
      <c r="O22" s="121"/>
      <c r="P22" s="121"/>
      <c r="Q22" s="362"/>
      <c r="R22" s="408"/>
      <c r="S22" s="362"/>
      <c r="T22" s="362"/>
      <c r="U22" s="362"/>
      <c r="V22" s="1190" t="s">
        <v>21</v>
      </c>
      <c r="W22" s="1191"/>
      <c r="X22" s="1218" t="s">
        <v>22</v>
      </c>
      <c r="Y22" s="1219"/>
      <c r="Z22" s="1198" t="s">
        <v>579</v>
      </c>
      <c r="AA22" s="1199"/>
      <c r="AB22" s="1228" t="s">
        <v>500</v>
      </c>
      <c r="AC22" s="1203"/>
      <c r="AH22" s="141"/>
      <c r="AI22" s="1243" t="s">
        <v>29</v>
      </c>
      <c r="AJ22" s="1243"/>
      <c r="AK22" s="1243"/>
      <c r="AL22" s="1243"/>
      <c r="AM22" s="199">
        <f>'Prod Parameters'!$F$13</f>
        <v>30</v>
      </c>
      <c r="AR22"/>
      <c r="AS22"/>
      <c r="AT22"/>
      <c r="AU22"/>
      <c r="AV22"/>
      <c r="AW22"/>
      <c r="AX22"/>
    </row>
    <row r="23" spans="1:50" ht="12.75" customHeight="1">
      <c r="A23" s="121"/>
      <c r="B23" s="121"/>
      <c r="C23" s="121"/>
      <c r="D23" s="121"/>
      <c r="E23" s="121"/>
      <c r="F23" s="121"/>
      <c r="G23" s="121"/>
      <c r="H23" s="121"/>
      <c r="I23" s="121"/>
      <c r="J23" s="121"/>
      <c r="K23" s="121"/>
      <c r="L23" s="121"/>
      <c r="M23" s="121"/>
      <c r="N23" s="121"/>
      <c r="O23" s="121"/>
      <c r="P23" s="121"/>
      <c r="Q23" s="362"/>
      <c r="R23" s="409">
        <v>2</v>
      </c>
      <c r="S23" s="1209" t="s">
        <v>62</v>
      </c>
      <c r="T23" s="1209"/>
      <c r="U23" s="1209"/>
      <c r="V23" s="1192"/>
      <c r="W23" s="1193"/>
      <c r="X23" s="1220"/>
      <c r="Y23" s="1221"/>
      <c r="Z23" s="1200"/>
      <c r="AA23" s="1201"/>
      <c r="AB23" s="1229"/>
      <c r="AC23" s="1205"/>
      <c r="AH23" s="141"/>
      <c r="AI23" s="1243" t="s">
        <v>30</v>
      </c>
      <c r="AJ23" s="1243"/>
      <c r="AK23" s="1243"/>
      <c r="AL23" s="1243"/>
      <c r="AM23" s="199">
        <f>'Prod Parameters'!$F$14</f>
        <v>230</v>
      </c>
      <c r="AR23"/>
      <c r="AS23"/>
      <c r="AT23"/>
      <c r="AU23"/>
      <c r="AV23"/>
      <c r="AW23"/>
      <c r="AX23"/>
    </row>
    <row r="24" spans="1:50" ht="12.75" customHeight="1">
      <c r="A24" s="121"/>
      <c r="B24" s="121"/>
      <c r="C24" s="121"/>
      <c r="D24" s="121"/>
      <c r="E24" s="121"/>
      <c r="F24" s="121"/>
      <c r="G24" s="121"/>
      <c r="H24" s="121"/>
      <c r="I24" s="121"/>
      <c r="J24" s="121"/>
      <c r="K24" s="121"/>
      <c r="L24" s="121"/>
      <c r="M24" s="121"/>
      <c r="N24" s="121"/>
      <c r="O24" s="121"/>
      <c r="P24" s="121"/>
      <c r="Q24" s="362"/>
      <c r="R24" s="409"/>
      <c r="S24" s="1210"/>
      <c r="T24" s="1210"/>
      <c r="U24" s="1210"/>
      <c r="V24" s="410" t="s">
        <v>63</v>
      </c>
      <c r="W24" s="411" t="s">
        <v>64</v>
      </c>
      <c r="X24" s="410" t="s">
        <v>63</v>
      </c>
      <c r="Y24" s="411" t="s">
        <v>64</v>
      </c>
      <c r="Z24" s="410" t="s">
        <v>63</v>
      </c>
      <c r="AA24" s="411" t="s">
        <v>64</v>
      </c>
      <c r="AB24" s="410" t="s">
        <v>63</v>
      </c>
      <c r="AC24" s="411" t="s">
        <v>64</v>
      </c>
      <c r="AH24" s="141"/>
      <c r="AR24"/>
      <c r="AS24"/>
      <c r="AT24"/>
      <c r="AU24"/>
      <c r="AV24"/>
      <c r="AW24"/>
      <c r="AX24"/>
    </row>
    <row r="25" spans="1:50" ht="12.75" customHeight="1">
      <c r="A25" s="121"/>
      <c r="B25" s="121"/>
      <c r="C25" s="121"/>
      <c r="D25" s="121"/>
      <c r="E25" s="121"/>
      <c r="F25" s="121"/>
      <c r="G25" s="121"/>
      <c r="H25" s="121"/>
      <c r="I25" s="121"/>
      <c r="J25" s="121"/>
      <c r="K25" s="121"/>
      <c r="L25" s="121"/>
      <c r="M25" s="121"/>
      <c r="N25" s="121"/>
      <c r="O25" s="121"/>
      <c r="P25" s="121"/>
      <c r="Q25" s="362"/>
      <c r="R25" s="412"/>
      <c r="S25" s="968" t="s">
        <v>71</v>
      </c>
      <c r="T25" s="968"/>
      <c r="U25" s="1206"/>
      <c r="V25" s="413">
        <f>AL84</f>
        <v>122.02059991327964</v>
      </c>
      <c r="W25" s="414">
        <f>V25</f>
        <v>122.02059991327964</v>
      </c>
      <c r="X25" s="413">
        <f>AM84</f>
        <v>114.02059991327963</v>
      </c>
      <c r="Y25" s="414">
        <f>X25</f>
        <v>114.02059991327963</v>
      </c>
      <c r="Z25" s="413">
        <f>AN84</f>
        <v>115.02059991327963</v>
      </c>
      <c r="AA25" s="414">
        <f>Z25</f>
        <v>115.02059991327963</v>
      </c>
      <c r="AB25" s="413">
        <f>AO84</f>
        <v>108.02059991327964</v>
      </c>
      <c r="AC25" s="414">
        <f>AB25</f>
        <v>108.02059991327964</v>
      </c>
      <c r="AH25" s="141">
        <v>1.2</v>
      </c>
      <c r="AI25" s="18" t="s">
        <v>19</v>
      </c>
      <c r="AR25"/>
      <c r="AS25"/>
      <c r="AT25"/>
      <c r="AU25"/>
      <c r="AV25"/>
      <c r="AW25"/>
      <c r="AX25"/>
    </row>
    <row r="26" spans="1:50" ht="12.75" customHeight="1">
      <c r="A26" s="121"/>
      <c r="B26" s="121"/>
      <c r="C26" s="121"/>
      <c r="D26" s="121"/>
      <c r="E26" s="121"/>
      <c r="F26" s="121"/>
      <c r="G26" s="121"/>
      <c r="H26" s="121"/>
      <c r="I26" s="121"/>
      <c r="J26" s="121"/>
      <c r="K26" s="121"/>
      <c r="L26" s="121"/>
      <c r="M26" s="121"/>
      <c r="N26" s="121"/>
      <c r="O26" s="121"/>
      <c r="P26" s="121"/>
      <c r="Q26" s="362"/>
      <c r="R26" s="412"/>
      <c r="S26" s="968" t="s">
        <v>56</v>
      </c>
      <c r="T26" s="968"/>
      <c r="U26" s="1206"/>
      <c r="V26" s="413">
        <v>0</v>
      </c>
      <c r="W26" s="414">
        <f>PPE!$I$14</f>
        <v>33</v>
      </c>
      <c r="X26" s="413">
        <v>0</v>
      </c>
      <c r="Y26" s="414">
        <f>PPE!$I$14</f>
        <v>33</v>
      </c>
      <c r="Z26" s="413">
        <v>0</v>
      </c>
      <c r="AA26" s="414">
        <f>PPE!$I$14</f>
        <v>33</v>
      </c>
      <c r="AB26" s="413">
        <v>0</v>
      </c>
      <c r="AC26" s="414">
        <f>PPE!$I$14</f>
        <v>33</v>
      </c>
      <c r="AH26" s="141"/>
      <c r="AI26" s="1243" t="s">
        <v>314</v>
      </c>
      <c r="AJ26" s="1243"/>
      <c r="AK26" s="1243"/>
      <c r="AL26" s="1243"/>
      <c r="AM26" s="199">
        <f>'Prod Parameters'!$F$17</f>
        <v>160</v>
      </c>
      <c r="AR26"/>
      <c r="AS26"/>
      <c r="AT26"/>
      <c r="AU26"/>
      <c r="AV26"/>
      <c r="AW26"/>
      <c r="AX26"/>
    </row>
    <row r="27" spans="1:50" ht="12.75" customHeight="1">
      <c r="A27" s="121"/>
      <c r="B27" s="121"/>
      <c r="C27" s="121"/>
      <c r="D27" s="121"/>
      <c r="E27" s="121"/>
      <c r="F27" s="121"/>
      <c r="G27" s="121"/>
      <c r="H27" s="121"/>
      <c r="I27" s="121"/>
      <c r="J27" s="121"/>
      <c r="K27" s="121"/>
      <c r="L27" s="121"/>
      <c r="M27" s="121"/>
      <c r="N27" s="121"/>
      <c r="O27" s="121"/>
      <c r="P27" s="121"/>
      <c r="Q27" s="362"/>
      <c r="R27" s="412"/>
      <c r="S27" s="968" t="s">
        <v>57</v>
      </c>
      <c r="T27" s="968"/>
      <c r="U27" s="1206"/>
      <c r="V27" s="413">
        <v>0</v>
      </c>
      <c r="W27" s="414">
        <f>PPE!$I$15</f>
        <v>13</v>
      </c>
      <c r="X27" s="413">
        <v>0</v>
      </c>
      <c r="Y27" s="414">
        <f>PPE!$I$15</f>
        <v>13</v>
      </c>
      <c r="Z27" s="413">
        <v>0</v>
      </c>
      <c r="AA27" s="414">
        <f>PPE!$I$15</f>
        <v>13</v>
      </c>
      <c r="AB27" s="413">
        <v>0</v>
      </c>
      <c r="AC27" s="414">
        <f>PPE!$I$15</f>
        <v>13</v>
      </c>
      <c r="AH27" s="141"/>
      <c r="AI27" s="1243" t="s">
        <v>31</v>
      </c>
      <c r="AJ27" s="1243"/>
      <c r="AK27" s="1243"/>
      <c r="AL27" s="1243"/>
      <c r="AM27" s="199">
        <f>'Prod Parameters'!$F$18</f>
        <v>1.2</v>
      </c>
      <c r="AR27"/>
      <c r="AS27"/>
      <c r="AT27"/>
      <c r="AU27"/>
      <c r="AV27"/>
      <c r="AW27"/>
      <c r="AX27"/>
    </row>
    <row r="28" spans="1:50" ht="12.75" customHeight="1" thickBot="1">
      <c r="A28" s="121"/>
      <c r="B28" s="121"/>
      <c r="C28" s="121"/>
      <c r="D28" s="121"/>
      <c r="E28" s="121"/>
      <c r="F28" s="121"/>
      <c r="G28" s="121"/>
      <c r="H28" s="121"/>
      <c r="I28" s="121"/>
      <c r="J28" s="121"/>
      <c r="K28" s="121"/>
      <c r="L28" s="121"/>
      <c r="M28" s="121"/>
      <c r="N28" s="121"/>
      <c r="O28" s="121"/>
      <c r="P28" s="121"/>
      <c r="Q28" s="362"/>
      <c r="R28" s="412"/>
      <c r="S28" s="968" t="s">
        <v>764</v>
      </c>
      <c r="T28" s="968"/>
      <c r="U28" s="1206"/>
      <c r="V28" s="415">
        <f t="shared" ref="V28:AC28" si="0">V25-V27</f>
        <v>122.02059991327964</v>
      </c>
      <c r="W28" s="416">
        <f t="shared" si="0"/>
        <v>109.02059991327964</v>
      </c>
      <c r="X28" s="415">
        <f t="shared" si="0"/>
        <v>114.02059991327963</v>
      </c>
      <c r="Y28" s="416">
        <f t="shared" si="0"/>
        <v>101.02059991327963</v>
      </c>
      <c r="Z28" s="415">
        <f t="shared" si="0"/>
        <v>115.02059991327963</v>
      </c>
      <c r="AA28" s="416">
        <f t="shared" si="0"/>
        <v>102.02059991327963</v>
      </c>
      <c r="AB28" s="415">
        <f t="shared" si="0"/>
        <v>108.02059991327964</v>
      </c>
      <c r="AC28" s="416">
        <f t="shared" si="0"/>
        <v>95.020599913279639</v>
      </c>
      <c r="AH28" s="141"/>
      <c r="AI28" s="1243" t="s">
        <v>199</v>
      </c>
      <c r="AJ28" s="1243"/>
      <c r="AK28" s="1243"/>
      <c r="AL28" s="1243"/>
      <c r="AM28" s="199">
        <f>'Prod Parameters'!$F$19</f>
        <v>4</v>
      </c>
      <c r="AR28"/>
      <c r="AS28"/>
      <c r="AT28"/>
      <c r="AU28"/>
      <c r="AV28"/>
      <c r="AW28"/>
      <c r="AX28"/>
    </row>
    <row r="29" spans="1:50" ht="12.75" customHeight="1" thickBot="1">
      <c r="A29" s="121"/>
      <c r="B29" s="121"/>
      <c r="C29" s="121"/>
      <c r="D29" s="121"/>
      <c r="E29" s="121"/>
      <c r="F29" s="121"/>
      <c r="G29" s="121"/>
      <c r="H29" s="121"/>
      <c r="I29" s="121"/>
      <c r="J29" s="121"/>
      <c r="K29" s="121"/>
      <c r="L29" s="121"/>
      <c r="M29" s="121"/>
      <c r="N29" s="121"/>
      <c r="O29" s="121"/>
      <c r="P29" s="121"/>
      <c r="Q29" s="362"/>
      <c r="R29" s="408"/>
      <c r="S29" s="362"/>
      <c r="T29" s="362"/>
      <c r="U29" s="362"/>
      <c r="V29" s="362"/>
      <c r="W29" s="362"/>
      <c r="X29" s="362"/>
      <c r="Y29" s="362"/>
      <c r="Z29" s="362"/>
      <c r="AA29" s="362"/>
      <c r="AB29" s="362"/>
      <c r="AC29" s="362"/>
      <c r="AH29" s="141"/>
      <c r="AI29" s="1243" t="s">
        <v>20</v>
      </c>
      <c r="AJ29" s="1243"/>
      <c r="AK29" s="1243"/>
      <c r="AL29" s="1243"/>
      <c r="AM29" s="199">
        <f>'Prod Parameters'!$F$20</f>
        <v>40</v>
      </c>
      <c r="AR29"/>
      <c r="AS29"/>
      <c r="AT29"/>
      <c r="AU29"/>
      <c r="AV29"/>
      <c r="AW29"/>
      <c r="AX29"/>
    </row>
    <row r="30" spans="1:50" ht="12.75" customHeight="1">
      <c r="A30" s="121"/>
      <c r="B30" s="121"/>
      <c r="C30" s="121"/>
      <c r="D30" s="121"/>
      <c r="E30" s="121"/>
      <c r="F30" s="121"/>
      <c r="G30" s="121"/>
      <c r="H30" s="121"/>
      <c r="I30" s="121"/>
      <c r="J30" s="121"/>
      <c r="K30" s="121"/>
      <c r="L30" s="121"/>
      <c r="M30" s="121"/>
      <c r="N30" s="121"/>
      <c r="O30" s="121"/>
      <c r="P30" s="121"/>
      <c r="Q30" s="362"/>
      <c r="R30" s="417">
        <v>3</v>
      </c>
      <c r="S30" s="1213" t="s">
        <v>73</v>
      </c>
      <c r="T30" s="1213"/>
      <c r="U30" s="1214"/>
      <c r="V30" s="1190" t="s">
        <v>21</v>
      </c>
      <c r="W30" s="1191"/>
      <c r="X30" s="1218" t="s">
        <v>22</v>
      </c>
      <c r="Y30" s="1219"/>
      <c r="Z30" s="1198" t="s">
        <v>579</v>
      </c>
      <c r="AA30" s="1199"/>
      <c r="AB30" s="1228" t="s">
        <v>500</v>
      </c>
      <c r="AC30" s="1203"/>
      <c r="AH30" s="141"/>
      <c r="AI30" s="1243" t="s">
        <v>310</v>
      </c>
      <c r="AJ30" s="1243"/>
      <c r="AK30" s="1243"/>
      <c r="AL30" s="1243"/>
      <c r="AM30" s="199">
        <f>'Prod Parameters'!$F$21</f>
        <v>160</v>
      </c>
      <c r="AR30"/>
      <c r="AS30"/>
      <c r="AT30"/>
      <c r="AU30"/>
      <c r="AV30"/>
      <c r="AW30"/>
      <c r="AX30"/>
    </row>
    <row r="31" spans="1:50" ht="12.75" customHeight="1">
      <c r="A31" s="121"/>
      <c r="B31" s="121"/>
      <c r="C31" s="121"/>
      <c r="D31" s="121"/>
      <c r="E31" s="121"/>
      <c r="F31" s="121"/>
      <c r="G31" s="121"/>
      <c r="H31" s="121"/>
      <c r="I31" s="121"/>
      <c r="J31" s="121"/>
      <c r="K31" s="121"/>
      <c r="L31" s="121"/>
      <c r="M31" s="121"/>
      <c r="N31" s="121"/>
      <c r="O31" s="121"/>
      <c r="P31" s="121"/>
      <c r="Q31" s="362"/>
      <c r="R31" s="417"/>
      <c r="S31" s="1213"/>
      <c r="T31" s="1213"/>
      <c r="U31" s="1214"/>
      <c r="V31" s="1192"/>
      <c r="W31" s="1193"/>
      <c r="X31" s="1220"/>
      <c r="Y31" s="1221"/>
      <c r="Z31" s="1200"/>
      <c r="AA31" s="1201"/>
      <c r="AB31" s="1229"/>
      <c r="AC31" s="1205"/>
      <c r="AH31" s="141"/>
      <c r="AI31" s="1243" t="s">
        <v>315</v>
      </c>
      <c r="AJ31" s="1243"/>
      <c r="AK31" s="1243"/>
      <c r="AL31" s="1243"/>
      <c r="AM31" s="200">
        <f>'Prod Parameters'!$F$22</f>
        <v>6400</v>
      </c>
      <c r="AR31"/>
      <c r="AS31"/>
      <c r="AT31"/>
      <c r="AU31"/>
      <c r="AV31"/>
      <c r="AW31"/>
      <c r="AX31"/>
    </row>
    <row r="32" spans="1:50" ht="12.75" customHeight="1">
      <c r="A32" s="121"/>
      <c r="B32" s="121"/>
      <c r="C32" s="121"/>
      <c r="D32" s="121"/>
      <c r="E32" s="121"/>
      <c r="F32" s="121"/>
      <c r="G32" s="121"/>
      <c r="H32" s="121"/>
      <c r="I32" s="121"/>
      <c r="J32" s="121"/>
      <c r="K32" s="121"/>
      <c r="L32" s="121"/>
      <c r="M32" s="121"/>
      <c r="N32" s="121"/>
      <c r="O32" s="121"/>
      <c r="P32" s="121"/>
      <c r="Q32" s="362"/>
      <c r="R32" s="417"/>
      <c r="S32" s="1215"/>
      <c r="T32" s="1215"/>
      <c r="U32" s="1215"/>
      <c r="V32" s="410" t="s">
        <v>63</v>
      </c>
      <c r="W32" s="411" t="s">
        <v>64</v>
      </c>
      <c r="X32" s="410" t="s">
        <v>63</v>
      </c>
      <c r="Y32" s="411" t="s">
        <v>64</v>
      </c>
      <c r="Z32" s="410" t="s">
        <v>63</v>
      </c>
      <c r="AA32" s="411" t="s">
        <v>64</v>
      </c>
      <c r="AB32" s="410" t="s">
        <v>63</v>
      </c>
      <c r="AC32" s="411" t="s">
        <v>64</v>
      </c>
      <c r="AH32" s="141"/>
      <c r="AI32" s="1243" t="s">
        <v>187</v>
      </c>
      <c r="AJ32" s="1243"/>
      <c r="AK32" s="1243"/>
      <c r="AL32" s="1243"/>
      <c r="AM32" s="200">
        <f>'Prod Parameters'!$F$23</f>
        <v>7680</v>
      </c>
      <c r="AR32"/>
      <c r="AS32"/>
      <c r="AT32"/>
      <c r="AU32"/>
      <c r="AV32"/>
      <c r="AW32"/>
      <c r="AX32"/>
    </row>
    <row r="33" spans="1:50" ht="12.75" customHeight="1">
      <c r="A33" s="121"/>
      <c r="B33" s="359"/>
      <c r="C33" s="305"/>
      <c r="D33" s="305"/>
      <c r="E33" s="305"/>
      <c r="F33" s="305"/>
      <c r="G33" s="305"/>
      <c r="H33" s="305"/>
      <c r="I33" s="305"/>
      <c r="J33" s="305"/>
      <c r="K33" s="305"/>
      <c r="L33" s="121"/>
      <c r="M33" s="121"/>
      <c r="N33" s="121"/>
      <c r="O33" s="121"/>
      <c r="P33" s="121"/>
      <c r="Q33" s="362"/>
      <c r="R33" s="367"/>
      <c r="S33" s="931" t="s">
        <v>885</v>
      </c>
      <c r="T33" s="931"/>
      <c r="U33" s="1175"/>
      <c r="V33" s="413">
        <f>AL100</f>
        <v>113.95</v>
      </c>
      <c r="W33" s="414">
        <f>AL101</f>
        <v>101.55</v>
      </c>
      <c r="X33" s="418">
        <f>AM100</f>
        <v>107.95</v>
      </c>
      <c r="Y33" s="414">
        <f>AM101</f>
        <v>94.95</v>
      </c>
      <c r="Z33" s="418">
        <f>AN100</f>
        <v>108.4</v>
      </c>
      <c r="AA33" s="414">
        <f>AN101</f>
        <v>95.3</v>
      </c>
      <c r="AB33" s="418">
        <f>AO100</f>
        <v>103.15</v>
      </c>
      <c r="AC33" s="414">
        <f>AO101</f>
        <v>90.15</v>
      </c>
      <c r="AH33" s="141"/>
      <c r="AI33" s="1243" t="s">
        <v>200</v>
      </c>
      <c r="AJ33" s="1243"/>
      <c r="AK33" s="1243"/>
      <c r="AL33" s="1243"/>
      <c r="AM33" s="200">
        <f>'Prod Parameters'!$F$24</f>
        <v>176640</v>
      </c>
      <c r="AR33"/>
      <c r="AS33"/>
      <c r="AT33"/>
      <c r="AU33"/>
      <c r="AV33"/>
      <c r="AW33"/>
      <c r="AX33"/>
    </row>
    <row r="34" spans="1:50" ht="12.75" customHeight="1" thickBot="1">
      <c r="A34" s="121"/>
      <c r="B34" s="121"/>
      <c r="C34" s="121"/>
      <c r="D34" s="121"/>
      <c r="E34" s="121"/>
      <c r="F34" s="121"/>
      <c r="G34" s="121"/>
      <c r="H34" s="121"/>
      <c r="I34" s="121"/>
      <c r="J34" s="121"/>
      <c r="K34" s="121"/>
      <c r="L34" s="121"/>
      <c r="M34" s="121"/>
      <c r="N34" s="121"/>
      <c r="O34" s="121"/>
      <c r="P34" s="121"/>
      <c r="Q34" s="362"/>
      <c r="R34" s="367"/>
      <c r="S34" s="931" t="s">
        <v>886</v>
      </c>
      <c r="T34" s="931"/>
      <c r="U34" s="1175"/>
      <c r="V34" s="415">
        <f>AL433</f>
        <v>110.2</v>
      </c>
      <c r="W34" s="419">
        <f>AL446</f>
        <v>97.15</v>
      </c>
      <c r="X34" s="420">
        <f>AL462</f>
        <v>103.9</v>
      </c>
      <c r="Y34" s="419">
        <f>AL475</f>
        <v>90.9</v>
      </c>
      <c r="Z34" s="420">
        <f>AL491</f>
        <v>104.25</v>
      </c>
      <c r="AA34" s="419">
        <f>AL504</f>
        <v>91.25</v>
      </c>
      <c r="AB34" s="420">
        <f>AL520</f>
        <v>99.35</v>
      </c>
      <c r="AC34" s="419">
        <f>AL533</f>
        <v>86.35</v>
      </c>
      <c r="AH34" s="141"/>
      <c r="AR34"/>
      <c r="AS34"/>
      <c r="AT34"/>
      <c r="AU34"/>
      <c r="AV34"/>
      <c r="AW34"/>
      <c r="AX34"/>
    </row>
    <row r="35" spans="1:50" ht="12.75" customHeight="1">
      <c r="A35" s="121"/>
      <c r="B35" s="121"/>
      <c r="C35" s="121"/>
      <c r="D35" s="121"/>
      <c r="E35" s="121"/>
      <c r="F35" s="121"/>
      <c r="G35" s="121"/>
      <c r="H35" s="121"/>
      <c r="I35" s="121"/>
      <c r="J35" s="121"/>
      <c r="K35" s="121"/>
      <c r="L35" s="121"/>
      <c r="M35" s="121"/>
      <c r="N35" s="121"/>
      <c r="O35" s="121"/>
      <c r="P35" s="121"/>
      <c r="Q35" s="362"/>
      <c r="R35" s="367"/>
      <c r="S35" s="367"/>
      <c r="T35" s="367"/>
      <c r="U35" s="367"/>
      <c r="V35" s="367"/>
      <c r="W35" s="367"/>
      <c r="X35" s="367"/>
      <c r="Y35" s="367"/>
      <c r="Z35" s="362"/>
      <c r="AA35" s="362"/>
      <c r="AB35" s="362"/>
      <c r="AC35" s="362"/>
      <c r="AH35" s="138" t="s">
        <v>33</v>
      </c>
      <c r="AI35" s="1260" t="s">
        <v>821</v>
      </c>
      <c r="AJ35" s="1260"/>
      <c r="AK35" s="1260"/>
      <c r="AL35" s="1260"/>
      <c r="AM35" s="1260"/>
      <c r="AN35" s="1260"/>
      <c r="AO35" s="1260"/>
      <c r="AP35" s="1260"/>
      <c r="AQ35" s="1260"/>
      <c r="AR35"/>
      <c r="AS35"/>
      <c r="AT35"/>
      <c r="AU35"/>
      <c r="AV35"/>
      <c r="AW35"/>
      <c r="AX35"/>
    </row>
    <row r="36" spans="1:50" ht="12.75" customHeight="1">
      <c r="A36" s="121"/>
      <c r="B36" s="121"/>
      <c r="C36" s="114"/>
      <c r="D36" s="114"/>
      <c r="E36" s="114"/>
      <c r="F36" s="114"/>
      <c r="G36" s="114"/>
      <c r="H36" s="114"/>
      <c r="I36" s="114"/>
      <c r="J36" s="114"/>
      <c r="K36" s="114"/>
      <c r="L36" s="121"/>
      <c r="M36" s="121"/>
      <c r="N36" s="121"/>
      <c r="O36" s="121"/>
      <c r="P36" s="121"/>
      <c r="Q36" s="362"/>
      <c r="R36" s="421">
        <v>4</v>
      </c>
      <c r="S36" s="362"/>
      <c r="T36" s="362"/>
      <c r="U36" s="362"/>
      <c r="V36" s="362"/>
      <c r="W36" s="362"/>
      <c r="X36" s="362"/>
      <c r="Y36" s="362"/>
      <c r="Z36" s="362"/>
      <c r="AA36" s="362"/>
      <c r="AB36" s="362"/>
      <c r="AC36" s="362"/>
      <c r="AH36" s="142"/>
      <c r="AR36"/>
      <c r="AS36"/>
      <c r="AT36"/>
      <c r="AU36"/>
      <c r="AV36"/>
      <c r="AW36"/>
      <c r="AX36"/>
    </row>
    <row r="37" spans="1:50" ht="12.75" customHeight="1">
      <c r="A37" s="121"/>
      <c r="B37" s="121"/>
      <c r="C37" s="121"/>
      <c r="D37" s="121"/>
      <c r="E37" s="121"/>
      <c r="F37" s="121"/>
      <c r="G37" s="121"/>
      <c r="H37" s="121"/>
      <c r="I37" s="121"/>
      <c r="J37" s="121"/>
      <c r="K37" s="121"/>
      <c r="L37" s="121"/>
      <c r="M37" s="121"/>
      <c r="N37" s="121"/>
      <c r="O37" s="121"/>
      <c r="P37" s="121"/>
      <c r="Q37" s="362"/>
      <c r="R37" s="367"/>
      <c r="S37" s="362"/>
      <c r="T37" s="362"/>
      <c r="U37" s="362"/>
      <c r="V37" s="362"/>
      <c r="W37" s="362"/>
      <c r="X37" s="362"/>
      <c r="Y37" s="362"/>
      <c r="Z37" s="362"/>
      <c r="AA37" s="362"/>
      <c r="AB37" s="362"/>
      <c r="AC37" s="362"/>
      <c r="AH37" s="142">
        <v>2.1</v>
      </c>
      <c r="AI37" s="18" t="s">
        <v>831</v>
      </c>
      <c r="AL37" s="97"/>
      <c r="AM37" s="97"/>
      <c r="AN37" s="97"/>
      <c r="AO37" s="97"/>
      <c r="AP37" s="110"/>
      <c r="AQ37" s="110"/>
      <c r="AR37"/>
      <c r="AS37"/>
      <c r="AT37"/>
      <c r="AU37"/>
      <c r="AV37"/>
      <c r="AW37"/>
      <c r="AX37"/>
    </row>
    <row r="38" spans="1:50" ht="12.75" customHeight="1">
      <c r="A38" s="121"/>
      <c r="B38" s="121"/>
      <c r="C38" s="121"/>
      <c r="D38" s="121"/>
      <c r="E38" s="121"/>
      <c r="F38" s="121"/>
      <c r="G38" s="121"/>
      <c r="H38" s="121"/>
      <c r="I38" s="121"/>
      <c r="J38" s="121"/>
      <c r="K38" s="121"/>
      <c r="L38" s="121"/>
      <c r="M38" s="121"/>
      <c r="N38" s="121"/>
      <c r="O38" s="121"/>
      <c r="P38" s="121"/>
      <c r="Q38" s="362"/>
      <c r="R38" s="367"/>
      <c r="S38" s="362"/>
      <c r="T38" s="362"/>
      <c r="U38" s="362"/>
      <c r="V38" s="362"/>
      <c r="W38" s="362"/>
      <c r="X38" s="362"/>
      <c r="Y38" s="362"/>
      <c r="Z38" s="362"/>
      <c r="AA38" s="362"/>
      <c r="AB38" s="362"/>
      <c r="AC38" s="362"/>
      <c r="AH38" s="142"/>
      <c r="AI38" s="1252" t="s">
        <v>77</v>
      </c>
      <c r="AJ38" s="1253"/>
      <c r="AK38" s="1254"/>
      <c r="AL38" s="1295" t="s">
        <v>824</v>
      </c>
      <c r="AM38" s="1295" t="s">
        <v>828</v>
      </c>
      <c r="AN38" s="1295" t="s">
        <v>826</v>
      </c>
      <c r="AO38" s="1295" t="s">
        <v>23</v>
      </c>
      <c r="AP38" s="26"/>
      <c r="AQ38" s="26"/>
      <c r="AR38"/>
      <c r="AS38"/>
      <c r="AT38"/>
      <c r="AU38"/>
      <c r="AV38"/>
      <c r="AW38"/>
      <c r="AX38"/>
    </row>
    <row r="39" spans="1:50" ht="12.75" customHeight="1">
      <c r="A39" s="121"/>
      <c r="B39" s="121"/>
      <c r="C39" s="121"/>
      <c r="D39" s="121"/>
      <c r="E39" s="121"/>
      <c r="F39" s="121"/>
      <c r="G39" s="121"/>
      <c r="H39" s="121"/>
      <c r="I39" s="121"/>
      <c r="J39" s="121"/>
      <c r="K39" s="121"/>
      <c r="L39" s="121"/>
      <c r="M39" s="121"/>
      <c r="N39" s="121"/>
      <c r="O39" s="121"/>
      <c r="P39" s="121"/>
      <c r="Q39" s="362"/>
      <c r="R39" s="367"/>
      <c r="S39" s="362"/>
      <c r="T39" s="362"/>
      <c r="U39" s="362"/>
      <c r="V39" s="362"/>
      <c r="W39" s="362"/>
      <c r="X39" s="362"/>
      <c r="Y39" s="362"/>
      <c r="Z39" s="362"/>
      <c r="AA39" s="362"/>
      <c r="AB39" s="362"/>
      <c r="AC39" s="362"/>
      <c r="AH39" s="142"/>
      <c r="AI39" s="1255"/>
      <c r="AJ39" s="1256"/>
      <c r="AK39" s="1257"/>
      <c r="AL39" s="1295"/>
      <c r="AM39" s="1295"/>
      <c r="AN39" s="1295"/>
      <c r="AO39" s="1295"/>
      <c r="AR39"/>
      <c r="AS39"/>
      <c r="AT39"/>
      <c r="AU39"/>
      <c r="AV39"/>
      <c r="AW39"/>
      <c r="AX39"/>
    </row>
    <row r="40" spans="1:50" ht="12.75" customHeight="1">
      <c r="A40" s="121"/>
      <c r="B40" s="121"/>
      <c r="C40" s="121"/>
      <c r="D40" s="121"/>
      <c r="E40" s="121"/>
      <c r="F40" s="121"/>
      <c r="G40" s="121"/>
      <c r="H40" s="121"/>
      <c r="I40" s="121"/>
      <c r="J40" s="121"/>
      <c r="K40" s="121"/>
      <c r="L40" s="121"/>
      <c r="M40" s="121"/>
      <c r="N40" s="121"/>
      <c r="O40" s="121"/>
      <c r="P40" s="121"/>
      <c r="Q40" s="362"/>
      <c r="R40" s="367"/>
      <c r="S40" s="362"/>
      <c r="T40" s="362"/>
      <c r="U40" s="362"/>
      <c r="V40" s="362"/>
      <c r="W40" s="362"/>
      <c r="X40" s="362"/>
      <c r="Y40" s="362"/>
      <c r="Z40" s="362"/>
      <c r="AA40" s="362"/>
      <c r="AB40" s="362"/>
      <c r="AC40" s="362"/>
      <c r="AH40" s="142"/>
      <c r="AI40" s="1290" t="s">
        <v>21</v>
      </c>
      <c r="AJ40" s="1290"/>
      <c r="AK40" s="1290"/>
      <c r="AL40" s="143">
        <f>'Lookup Properties'!S7</f>
        <v>0</v>
      </c>
      <c r="AM40" s="143">
        <f>'Lookup Properties'!T7</f>
        <v>0</v>
      </c>
      <c r="AN40" s="143">
        <f>'Lookup Properties'!U7</f>
        <v>0</v>
      </c>
      <c r="AO40" s="202">
        <f>SUM(AL40:AN40)</f>
        <v>0</v>
      </c>
      <c r="AR40"/>
      <c r="AS40"/>
      <c r="AT40"/>
      <c r="AU40"/>
      <c r="AV40"/>
      <c r="AW40"/>
      <c r="AX40"/>
    </row>
    <row r="41" spans="1:50" ht="12.75" customHeight="1">
      <c r="A41" s="121"/>
      <c r="B41" s="121"/>
      <c r="C41" s="121"/>
      <c r="D41" s="121"/>
      <c r="E41" s="121"/>
      <c r="F41" s="121"/>
      <c r="G41" s="121"/>
      <c r="H41" s="121"/>
      <c r="I41" s="121"/>
      <c r="J41" s="121"/>
      <c r="K41" s="121"/>
      <c r="L41" s="121"/>
      <c r="M41" s="121"/>
      <c r="N41" s="121"/>
      <c r="O41" s="121"/>
      <c r="P41" s="121"/>
      <c r="Q41" s="362"/>
      <c r="R41" s="407">
        <v>5</v>
      </c>
      <c r="S41" s="362"/>
      <c r="T41" s="362"/>
      <c r="U41" s="362"/>
      <c r="V41" s="362"/>
      <c r="W41" s="362"/>
      <c r="X41" s="362"/>
      <c r="Y41" s="362"/>
      <c r="Z41" s="362"/>
      <c r="AA41" s="362"/>
      <c r="AB41" s="362"/>
      <c r="AC41" s="362"/>
      <c r="AH41" s="142"/>
      <c r="AI41" s="1305" t="s">
        <v>22</v>
      </c>
      <c r="AJ41" s="1305"/>
      <c r="AK41" s="1305"/>
      <c r="AL41" s="143">
        <f>'Lookup Properties'!S8</f>
        <v>0</v>
      </c>
      <c r="AM41" s="143">
        <f>'Lookup Properties'!T8</f>
        <v>0</v>
      </c>
      <c r="AN41" s="143">
        <f>'Lookup Properties'!U8</f>
        <v>0</v>
      </c>
      <c r="AO41" s="202">
        <f>SUM(AL41:AN41)</f>
        <v>0</v>
      </c>
      <c r="AR41"/>
      <c r="AS41"/>
      <c r="AT41"/>
      <c r="AU41"/>
      <c r="AV41"/>
      <c r="AW41"/>
      <c r="AX41"/>
    </row>
    <row r="42" spans="1:50" ht="12.75" customHeight="1">
      <c r="A42" s="121"/>
      <c r="B42" s="121"/>
      <c r="C42" s="121"/>
      <c r="D42" s="121"/>
      <c r="E42" s="121"/>
      <c r="F42" s="121"/>
      <c r="G42" s="121"/>
      <c r="H42" s="121"/>
      <c r="I42" s="121"/>
      <c r="J42" s="121"/>
      <c r="K42" s="121"/>
      <c r="L42" s="121"/>
      <c r="M42" s="121"/>
      <c r="N42" s="121"/>
      <c r="O42" s="121"/>
      <c r="P42" s="121"/>
      <c r="Q42" s="362"/>
      <c r="R42" s="367"/>
      <c r="S42" s="362"/>
      <c r="T42" s="362"/>
      <c r="U42" s="362"/>
      <c r="V42" s="362"/>
      <c r="W42" s="362"/>
      <c r="X42" s="362"/>
      <c r="Y42" s="362"/>
      <c r="Z42" s="362"/>
      <c r="AA42" s="362"/>
      <c r="AB42" s="362"/>
      <c r="AC42" s="362"/>
      <c r="AH42" s="142"/>
      <c r="AI42" s="1251" t="s">
        <v>579</v>
      </c>
      <c r="AJ42" s="1251"/>
      <c r="AK42" s="1251"/>
      <c r="AL42" s="143">
        <f>'Lookup Properties'!S9</f>
        <v>0</v>
      </c>
      <c r="AM42" s="143">
        <f>'Lookup Properties'!T9</f>
        <v>0</v>
      </c>
      <c r="AN42" s="143">
        <f>'Lookup Properties'!U9</f>
        <v>0</v>
      </c>
      <c r="AO42" s="202">
        <f>SUM(AL42:AN42)</f>
        <v>0</v>
      </c>
      <c r="AR42"/>
      <c r="AS42"/>
      <c r="AT42"/>
      <c r="AU42"/>
      <c r="AV42"/>
      <c r="AW42"/>
      <c r="AX42"/>
    </row>
    <row r="43" spans="1:50" ht="12.75" customHeight="1" thickBot="1">
      <c r="A43" s="121"/>
      <c r="B43" s="121"/>
      <c r="C43" s="121"/>
      <c r="D43" s="121"/>
      <c r="E43" s="121"/>
      <c r="F43" s="121"/>
      <c r="G43" s="121"/>
      <c r="H43" s="121"/>
      <c r="I43" s="121"/>
      <c r="J43" s="121"/>
      <c r="K43" s="121"/>
      <c r="L43" s="121"/>
      <c r="M43" s="121"/>
      <c r="N43" s="121"/>
      <c r="O43" s="121"/>
      <c r="P43" s="121"/>
      <c r="Q43" s="362"/>
      <c r="R43" s="407">
        <v>6</v>
      </c>
      <c r="S43" s="407" t="s">
        <v>69</v>
      </c>
      <c r="T43" s="362"/>
      <c r="U43" s="362"/>
      <c r="V43" s="362"/>
      <c r="W43" s="362"/>
      <c r="X43" s="362"/>
      <c r="Y43" s="362"/>
      <c r="Z43" s="362"/>
      <c r="AA43" s="362"/>
      <c r="AB43" s="362"/>
      <c r="AC43" s="362"/>
      <c r="AH43" s="142"/>
      <c r="AI43" s="1304" t="s">
        <v>500</v>
      </c>
      <c r="AJ43" s="1304"/>
      <c r="AK43" s="1304"/>
      <c r="AL43" s="143">
        <v>23.9</v>
      </c>
      <c r="AM43" s="143">
        <f>'Lookup Properties'!T10</f>
        <v>0</v>
      </c>
      <c r="AN43" s="143">
        <f>'Lookup Properties'!U10</f>
        <v>0</v>
      </c>
      <c r="AO43" s="202">
        <f>SUM(AL43:AN43)</f>
        <v>23.9</v>
      </c>
      <c r="AR43"/>
      <c r="AS43"/>
      <c r="AT43"/>
      <c r="AU43"/>
      <c r="AV43"/>
      <c r="AW43"/>
      <c r="AX43"/>
    </row>
    <row r="44" spans="1:50" ht="12.75" customHeight="1">
      <c r="A44" s="121"/>
      <c r="B44" s="121"/>
      <c r="C44" s="121"/>
      <c r="D44" s="121"/>
      <c r="E44" s="121"/>
      <c r="F44" s="121"/>
      <c r="G44" s="121"/>
      <c r="H44" s="121"/>
      <c r="I44" s="121"/>
      <c r="J44" s="121"/>
      <c r="K44" s="121"/>
      <c r="L44" s="121"/>
      <c r="M44" s="121"/>
      <c r="N44" s="121"/>
      <c r="O44" s="121"/>
      <c r="P44" s="121"/>
      <c r="Q44" s="362"/>
      <c r="R44" s="407"/>
      <c r="S44" s="407"/>
      <c r="T44" s="362"/>
      <c r="U44" s="362"/>
      <c r="V44" s="1190" t="s">
        <v>21</v>
      </c>
      <c r="W44" s="1191"/>
      <c r="X44" s="1218" t="s">
        <v>22</v>
      </c>
      <c r="Y44" s="1219"/>
      <c r="Z44" s="1198" t="s">
        <v>579</v>
      </c>
      <c r="AA44" s="1199"/>
      <c r="AB44" s="1228" t="s">
        <v>500</v>
      </c>
      <c r="AC44" s="1203"/>
      <c r="AH44" s="18"/>
      <c r="AR44"/>
      <c r="AS44"/>
      <c r="AT44"/>
      <c r="AU44"/>
      <c r="AV44"/>
      <c r="AW44"/>
      <c r="AX44"/>
    </row>
    <row r="45" spans="1:50" ht="12.75" customHeight="1">
      <c r="A45" s="121"/>
      <c r="B45" s="121"/>
      <c r="C45" s="121"/>
      <c r="D45" s="121"/>
      <c r="E45" s="121"/>
      <c r="F45" s="121"/>
      <c r="G45" s="121"/>
      <c r="H45" s="121"/>
      <c r="I45" s="121"/>
      <c r="J45" s="121"/>
      <c r="K45" s="121"/>
      <c r="L45" s="121"/>
      <c r="M45" s="121"/>
      <c r="N45" s="121"/>
      <c r="O45" s="121"/>
      <c r="P45" s="121"/>
      <c r="Q45" s="362"/>
      <c r="R45" s="422"/>
      <c r="S45" s="422"/>
      <c r="T45" s="362"/>
      <c r="U45" s="362"/>
      <c r="V45" s="1192"/>
      <c r="W45" s="1193"/>
      <c r="X45" s="1220"/>
      <c r="Y45" s="1221"/>
      <c r="Z45" s="1200"/>
      <c r="AA45" s="1201"/>
      <c r="AB45" s="1229"/>
      <c r="AC45" s="1205"/>
      <c r="AH45" s="141">
        <v>2.2000000000000002</v>
      </c>
      <c r="AI45" s="18" t="s">
        <v>832</v>
      </c>
      <c r="AR45"/>
      <c r="AS45"/>
      <c r="AT45"/>
      <c r="AU45"/>
      <c r="AV45"/>
      <c r="AW45"/>
      <c r="AX45"/>
    </row>
    <row r="46" spans="1:50" ht="12.75" customHeight="1">
      <c r="A46" s="121"/>
      <c r="B46" s="121"/>
      <c r="C46" s="121"/>
      <c r="D46" s="121"/>
      <c r="E46" s="121"/>
      <c r="F46" s="121"/>
      <c r="G46" s="121"/>
      <c r="H46" s="121"/>
      <c r="I46" s="121"/>
      <c r="J46" s="121"/>
      <c r="K46" s="121"/>
      <c r="L46" s="121"/>
      <c r="M46" s="121"/>
      <c r="N46" s="121"/>
      <c r="O46" s="121"/>
      <c r="P46" s="121"/>
      <c r="Q46" s="362"/>
      <c r="R46" s="367"/>
      <c r="S46" s="362"/>
      <c r="T46" s="362"/>
      <c r="U46" s="362"/>
      <c r="V46" s="423" t="s">
        <v>63</v>
      </c>
      <c r="W46" s="424" t="s">
        <v>64</v>
      </c>
      <c r="X46" s="423" t="s">
        <v>63</v>
      </c>
      <c r="Y46" s="424" t="s">
        <v>64</v>
      </c>
      <c r="Z46" s="423" t="s">
        <v>63</v>
      </c>
      <c r="AA46" s="424" t="s">
        <v>64</v>
      </c>
      <c r="AB46" s="423" t="s">
        <v>63</v>
      </c>
      <c r="AC46" s="424" t="s">
        <v>64</v>
      </c>
      <c r="AH46" s="141"/>
      <c r="AI46" s="1252" t="s">
        <v>77</v>
      </c>
      <c r="AJ46" s="1253"/>
      <c r="AK46" s="1254"/>
      <c r="AL46" s="1295" t="s">
        <v>824</v>
      </c>
      <c r="AM46" s="1295" t="s">
        <v>828</v>
      </c>
      <c r="AN46" s="1295" t="s">
        <v>826</v>
      </c>
      <c r="AO46" s="1295" t="s">
        <v>23</v>
      </c>
      <c r="AR46"/>
      <c r="AS46"/>
      <c r="AT46"/>
      <c r="AU46"/>
      <c r="AV46"/>
      <c r="AW46"/>
      <c r="AX46"/>
    </row>
    <row r="47" spans="1:50" ht="12.75" customHeight="1">
      <c r="A47" s="121"/>
      <c r="B47" s="121"/>
      <c r="C47" s="121"/>
      <c r="D47" s="121"/>
      <c r="E47" s="121"/>
      <c r="F47" s="121"/>
      <c r="G47" s="121"/>
      <c r="H47" s="121"/>
      <c r="I47" s="121"/>
      <c r="J47" s="121"/>
      <c r="K47" s="121"/>
      <c r="L47" s="121"/>
      <c r="M47" s="121"/>
      <c r="N47" s="121"/>
      <c r="O47" s="121"/>
      <c r="P47" s="121"/>
      <c r="Q47" s="362"/>
      <c r="R47" s="367"/>
      <c r="S47" s="931" t="s">
        <v>885</v>
      </c>
      <c r="T47" s="931"/>
      <c r="U47" s="1175"/>
      <c r="V47" s="425">
        <f>$E$7*(IF($V$20=15,(VLOOKUP(V33,'Lookup Risk Table'!$B$9:$L$54,5)),IF($V$20=20,(VLOOKUP(V33,'Lookup Risk Table'!$B$9:$L$54,6)),IF($V$20=25,(VLOOKUP(V33,'Lookup Risk Table'!$B$9:$L$54,7)),IF($V$20=30,(VLOOKUP(V33,'Lookup Risk Table'!$B$9:$L$54,8)),IF($V$20=35,(VLOOKUP(V33,'Lookup Risk Table'!$B$9:$L$54,9)),IF($V$20=40,(VLOOKUP(V33,'Lookup Risk Table'!$B$9:$L$54,10)),IF($V$20=45,(VLOOKUP(V33,'Lookup Risk Table'!$B$9:$L$54,11))))))))))</f>
        <v>2480950.0000000005</v>
      </c>
      <c r="W47" s="425">
        <f>$E$7*(IF($V$20=15,(VLOOKUP(W33,'Lookup Risk Table'!$B$9:$L$54,5)),IF($V$20=20,(VLOOKUP(W33,'Lookup Risk Table'!$B$9:$L$54,6)),IF($V$20=25,(VLOOKUP(W33,'Lookup Risk Table'!$B$9:$L$54,7)),IF($V$20=30,(VLOOKUP(W33,'Lookup Risk Table'!$B$9:$L$54,8)),IF($V$20=35,(VLOOKUP(W33,'Lookup Risk Table'!$B$9:$L$54,9)),IF($V$20=40,(VLOOKUP(W33,'Lookup Risk Table'!$B$9:$L$54,10)),IF($V$20=45,(VLOOKUP(W33,'Lookup Risk Table'!$B$9:$L$54,11))))))))))</f>
        <v>1442550</v>
      </c>
      <c r="X47" s="425">
        <f>$E$7*(IF($V$20=15,(VLOOKUP(X33,'Lookup Risk Table'!$B$9:$L$54,5)),IF($V$20=20,(VLOOKUP(X33,'Lookup Risk Table'!$B$9:$L$54,6)),IF($V$20=25,(VLOOKUP(X33,'Lookup Risk Table'!$B$9:$L$54,7)),IF($V$20=30,(VLOOKUP(X33,'Lookup Risk Table'!$B$9:$L$54,8)),IF($V$20=35,(VLOOKUP(X33,'Lookup Risk Table'!$B$9:$L$54,9)),IF($V$20=40,(VLOOKUP(X33,'Lookup Risk Table'!$B$9:$L$54,10)),IF($V$20=45,(VLOOKUP(X33,'Lookup Risk Table'!$B$9:$L$54,11))))))))))</f>
        <v>2056149.9999999998</v>
      </c>
      <c r="Y47" s="425">
        <f>$E$7*(IF($V$20=15,(VLOOKUP(Y33,'Lookup Risk Table'!$B$9:$L$54,5)),IF($V$20=20,(VLOOKUP(Y33,'Lookup Risk Table'!$B$9:$L$54,6)),IF($V$20=25,(VLOOKUP(Y33,'Lookup Risk Table'!$B$9:$L$54,7)),IF($V$20=30,(VLOOKUP(Y33,'Lookup Risk Table'!$B$9:$L$54,8)),IF($V$20=35,(VLOOKUP(Y33,'Lookup Risk Table'!$B$9:$L$54,9)),IF($V$20=40,(VLOOKUP(Y33,'Lookup Risk Table'!$B$9:$L$54,10)),IF($V$20=45,(VLOOKUP(Y33,'Lookup Risk Table'!$B$9:$L$54,11))))))))))</f>
        <v>831900.00000000012</v>
      </c>
      <c r="Z47" s="425">
        <f>$E$7*(IF($V$20=15,(VLOOKUP(Z33,'Lookup Risk Table'!$B$9:$L$54,5)),IF($V$20=20,(VLOOKUP(Z33,'Lookup Risk Table'!$B$9:$L$54,6)),IF($V$20=25,(VLOOKUP(Z33,'Lookup Risk Table'!$B$9:$L$54,7)),IF($V$20=30,(VLOOKUP(Z33,'Lookup Risk Table'!$B$9:$L$54,8)),IF($V$20=35,(VLOOKUP(Z33,'Lookup Risk Table'!$B$9:$L$54,9)),IF($V$20=40,(VLOOKUP(Z33,'Lookup Risk Table'!$B$9:$L$54,10)),IF($V$20=45,(VLOOKUP(Z33,'Lookup Risk Table'!$B$9:$L$54,11))))))))))</f>
        <v>2162349.9999999995</v>
      </c>
      <c r="AA47" s="425">
        <f>$E$7*(IF($V$20=15,(VLOOKUP(AA33,'Lookup Risk Table'!$B$9:$L$54,5)),IF($V$20=20,(VLOOKUP(AA33,'Lookup Risk Table'!$B$9:$L$54,6)),IF($V$20=25,(VLOOKUP(AA33,'Lookup Risk Table'!$B$9:$L$54,7)),IF($V$20=30,(VLOOKUP(AA33,'Lookup Risk Table'!$B$9:$L$54,8)),IF($V$20=35,(VLOOKUP(AA33,'Lookup Risk Table'!$B$9:$L$54,9)),IF($V$20=40,(VLOOKUP(AA33,'Lookup Risk Table'!$B$9:$L$54,10)),IF($V$20=45,(VLOOKUP(AA33,'Lookup Risk Table'!$B$9:$L$54,11))))))))))</f>
        <v>914500</v>
      </c>
      <c r="AB47" s="425">
        <f>$E$7*(IF($V$20=15,(VLOOKUP(AB33,'Lookup Risk Table'!$B$9:$L$54,5)),IF($V$20=20,(VLOOKUP(AB33,'Lookup Risk Table'!$B$9:$L$54,6)),IF($V$20=25,(VLOOKUP(AB33,'Lookup Risk Table'!$B$9:$L$54,7)),IF($V$20=30,(VLOOKUP(AB33,'Lookup Risk Table'!$B$9:$L$54,8)),IF($V$20=35,(VLOOKUP(AB33,'Lookup Risk Table'!$B$9:$L$54,9)),IF($V$20=40,(VLOOKUP(AB33,'Lookup Risk Table'!$B$9:$L$54,10)),IF($V$20=45,(VLOOKUP(AB33,'Lookup Risk Table'!$B$9:$L$54,11))))))))))</f>
        <v>1643149.9999999998</v>
      </c>
      <c r="AC47" s="425">
        <f>$E$7*(IF($V$20=15,(VLOOKUP(AC33,'Lookup Risk Table'!$B$9:$L$54,5)),IF($V$20=20,(VLOOKUP(AC33,'Lookup Risk Table'!$B$9:$L$54,6)),IF($V$20=25,(VLOOKUP(AC33,'Lookup Risk Table'!$B$9:$L$54,7)),IF($V$20=30,(VLOOKUP(AC33,'Lookup Risk Table'!$B$9:$L$54,8)),IF($V$20=35,(VLOOKUP(AC33,'Lookup Risk Table'!$B$9:$L$54,9)),IF($V$20=40,(VLOOKUP(AC33,'Lookup Risk Table'!$B$9:$L$54,10)),IF($V$20=45,(VLOOKUP(AC33,'Lookup Risk Table'!$B$9:$L$54,11))))))))))</f>
        <v>501500</v>
      </c>
      <c r="AE47" s="173"/>
      <c r="AH47" s="141"/>
      <c r="AI47" s="1255"/>
      <c r="AJ47" s="1256"/>
      <c r="AK47" s="1257"/>
      <c r="AL47" s="1295"/>
      <c r="AM47" s="1295"/>
      <c r="AN47" s="1295"/>
      <c r="AO47" s="1295"/>
      <c r="AR47"/>
      <c r="AS47"/>
      <c r="AT47"/>
      <c r="AU47"/>
      <c r="AV47"/>
      <c r="AW47"/>
      <c r="AX47"/>
    </row>
    <row r="48" spans="1:50" ht="12.75" customHeight="1">
      <c r="A48" s="121"/>
      <c r="B48" s="121"/>
      <c r="C48" s="121"/>
      <c r="D48" s="121"/>
      <c r="E48" s="121"/>
      <c r="F48" s="121"/>
      <c r="G48" s="121"/>
      <c r="H48" s="121"/>
      <c r="I48" s="121"/>
      <c r="J48" s="121"/>
      <c r="K48" s="121"/>
      <c r="L48" s="121"/>
      <c r="M48" s="121"/>
      <c r="N48" s="121"/>
      <c r="O48" s="121"/>
      <c r="P48" s="121"/>
      <c r="Q48" s="362"/>
      <c r="R48" s="367"/>
      <c r="S48" s="931" t="s">
        <v>886</v>
      </c>
      <c r="T48" s="931"/>
      <c r="U48" s="1175"/>
      <c r="V48" s="425">
        <f>$E$7*(IF($V$20=15,(VLOOKUP(V34,'Lookup Risk Table'!$B$9:$L$54,5)),IF($V$20=20,(VLOOKUP(V34,'Lookup Risk Table'!$B$9:$L$54,6)),IF($V$20=25,(VLOOKUP(V34,'Lookup Risk Table'!$B$9:$L$54,7)),IF($V$20=30,(VLOOKUP(V34,'Lookup Risk Table'!$B$9:$L$54,8)),IF($V$20=35,(VLOOKUP(V34,'Lookup Risk Table'!$B$9:$L$54,9)),IF($V$20=40,(VLOOKUP(V34,'Lookup Risk Table'!$B$9:$L$54,10)),IF($V$20=45,(VLOOKUP(V34,'Lookup Risk Table'!$B$9:$L$54,11))))))))))</f>
        <v>2374750</v>
      </c>
      <c r="W48" s="425">
        <f>$E$7*(IF($V$20=15,(VLOOKUP(W34,'Lookup Risk Table'!$B$9:$L$54,5)),IF($V$20=20,(VLOOKUP(W34,'Lookup Risk Table'!$B$9:$L$54,6)),IF($V$20=25,(VLOOKUP(W34,'Lookup Risk Table'!$B$9:$L$54,7)),IF($V$20=30,(VLOOKUP(W34,'Lookup Risk Table'!$B$9:$L$54,8)),IF($V$20=35,(VLOOKUP(W34,'Lookup Risk Table'!$B$9:$L$54,9)),IF($V$20=40,(VLOOKUP(W34,'Lookup Risk Table'!$B$9:$L$54,10)),IF($V$20=45,(VLOOKUP(W34,'Lookup Risk Table'!$B$9:$L$54,11))))))))))</f>
        <v>1085600</v>
      </c>
      <c r="X48" s="425">
        <f>$E$7*(IF($V$20=15,(VLOOKUP(X34,'Lookup Risk Table'!$B$9:$L$54,5)),IF($V$20=20,(VLOOKUP(X34,'Lookup Risk Table'!$B$9:$L$54,6)),IF($V$20=25,(VLOOKUP(X34,'Lookup Risk Table'!$B$9:$L$54,7)),IF($V$20=30,(VLOOKUP(X34,'Lookup Risk Table'!$B$9:$L$54,8)),IF($V$20=35,(VLOOKUP(X34,'Lookup Risk Table'!$B$9:$L$54,9)),IF($V$20=40,(VLOOKUP(X34,'Lookup Risk Table'!$B$9:$L$54,10)),IF($V$20=45,(VLOOKUP(X34,'Lookup Risk Table'!$B$9:$L$54,11))))))))))</f>
        <v>1643149.9999999998</v>
      </c>
      <c r="Y48" s="425">
        <f>$E$7*(IF($V$20=15,(VLOOKUP(Y34,'Lookup Risk Table'!$B$9:$L$54,5)),IF($V$20=20,(VLOOKUP(Y34,'Lookup Risk Table'!$B$9:$L$54,6)),IF($V$20=25,(VLOOKUP(Y34,'Lookup Risk Table'!$B$9:$L$54,7)),IF($V$20=30,(VLOOKUP(Y34,'Lookup Risk Table'!$B$9:$L$54,8)),IF($V$20=35,(VLOOKUP(Y34,'Lookup Risk Table'!$B$9:$L$54,9)),IF($V$20=40,(VLOOKUP(Y34,'Lookup Risk Table'!$B$9:$L$54,10)),IF($V$20=45,(VLOOKUP(Y34,'Lookup Risk Table'!$B$9:$L$54,11))))))))))</f>
        <v>501500</v>
      </c>
      <c r="Z48" s="425">
        <f>$E$7*(IF($V$20=15,(VLOOKUP(Z34,'Lookup Risk Table'!$B$9:$L$54,5)),IF($V$20=20,(VLOOKUP(Z34,'Lookup Risk Table'!$B$9:$L$54,6)),IF($V$20=25,(VLOOKUP(Z34,'Lookup Risk Table'!$B$9:$L$54,7)),IF($V$20=30,(VLOOKUP(Z34,'Lookup Risk Table'!$B$9:$L$54,8)),IF($V$20=35,(VLOOKUP(Z34,'Lookup Risk Table'!$B$9:$L$54,9)),IF($V$20=40,(VLOOKUP(Z34,'Lookup Risk Table'!$B$9:$L$54,10)),IF($V$20=45,(VLOOKUP(Z34,'Lookup Risk Table'!$B$9:$L$54,11))))))))))</f>
        <v>1743449.9999999998</v>
      </c>
      <c r="AA48" s="425">
        <f>$E$7*(IF($V$20=15,(VLOOKUP(AA34,'Lookup Risk Table'!$B$9:$L$54,5)),IF($V$20=20,(VLOOKUP(AA34,'Lookup Risk Table'!$B$9:$L$54,6)),IF($V$20=25,(VLOOKUP(AA34,'Lookup Risk Table'!$B$9:$L$54,7)),IF($V$20=30,(VLOOKUP(AA34,'Lookup Risk Table'!$B$9:$L$54,8)),IF($V$20=35,(VLOOKUP(AA34,'Lookup Risk Table'!$B$9:$L$54,9)),IF($V$20=40,(VLOOKUP(AA34,'Lookup Risk Table'!$B$9:$L$54,10)),IF($V$20=45,(VLOOKUP(AA34,'Lookup Risk Table'!$B$9:$L$54,11))))))))))</f>
        <v>584100</v>
      </c>
      <c r="AB48" s="425">
        <f>$E$7*(IF($V$20=15,(VLOOKUP(AB34,'Lookup Risk Table'!$B$9:$L$54,5)),IF($V$20=20,(VLOOKUP(AB34,'Lookup Risk Table'!$B$9:$L$54,6)),IF($V$20=25,(VLOOKUP(AB34,'Lookup Risk Table'!$B$9:$L$54,7)),IF($V$20=30,(VLOOKUP(AB34,'Lookup Risk Table'!$B$9:$L$54,8)),IF($V$20=35,(VLOOKUP(AB34,'Lookup Risk Table'!$B$9:$L$54,9)),IF($V$20=40,(VLOOKUP(AB34,'Lookup Risk Table'!$B$9:$L$54,10)),IF($V$20=45,(VLOOKUP(AB34,'Lookup Risk Table'!$B$9:$L$54,11))))))))))</f>
        <v>1256699.9999999998</v>
      </c>
      <c r="AC48" s="425">
        <f>$E$7*(IF($V$20=15,(VLOOKUP(AC34,'Lookup Risk Table'!$B$9:$L$54,5)),IF($V$20=20,(VLOOKUP(AC34,'Lookup Risk Table'!$B$9:$L$54,6)),IF($V$20=25,(VLOOKUP(AC34,'Lookup Risk Table'!$B$9:$L$54,7)),IF($V$20=30,(VLOOKUP(AC34,'Lookup Risk Table'!$B$9:$L$54,8)),IF($V$20=35,(VLOOKUP(AC34,'Lookup Risk Table'!$B$9:$L$54,9)),IF($V$20=40,(VLOOKUP(AC34,'Lookup Risk Table'!$B$9:$L$54,10)),IF($V$20=45,(VLOOKUP(AC34,'Lookup Risk Table'!$B$9:$L$54,11))))))))))</f>
        <v>277300</v>
      </c>
      <c r="AE48" s="173"/>
      <c r="AH48" s="141"/>
      <c r="AI48" s="1290" t="s">
        <v>21</v>
      </c>
      <c r="AJ48" s="1290"/>
      <c r="AK48" s="1290"/>
      <c r="AL48" s="144">
        <f>'Lookup Properties'!S13</f>
        <v>0</v>
      </c>
      <c r="AM48" s="144">
        <f>'Lookup Properties'!T13</f>
        <v>0</v>
      </c>
      <c r="AN48" s="144">
        <f>'Lookup Properties'!U13</f>
        <v>0</v>
      </c>
      <c r="AO48" s="202">
        <f>SUM(AL48:AN48)</f>
        <v>0</v>
      </c>
      <c r="AR48"/>
      <c r="AS48"/>
      <c r="AT48"/>
      <c r="AU48"/>
      <c r="AV48"/>
      <c r="AW48"/>
      <c r="AX48"/>
    </row>
    <row r="49" spans="1:50" ht="12.75" customHeight="1">
      <c r="A49" s="121"/>
      <c r="B49" s="121"/>
      <c r="C49" s="121"/>
      <c r="D49" s="121"/>
      <c r="E49" s="121"/>
      <c r="F49" s="121"/>
      <c r="G49" s="121"/>
      <c r="H49" s="121"/>
      <c r="I49" s="121"/>
      <c r="J49" s="121"/>
      <c r="K49" s="121"/>
      <c r="L49" s="121"/>
      <c r="M49" s="121"/>
      <c r="N49" s="121"/>
      <c r="O49" s="121"/>
      <c r="P49" s="121"/>
      <c r="Q49" s="362"/>
      <c r="R49" s="367"/>
      <c r="S49" s="367"/>
      <c r="T49" s="362"/>
      <c r="U49" s="362"/>
      <c r="V49" s="366"/>
      <c r="W49" s="426"/>
      <c r="X49" s="366"/>
      <c r="Y49" s="362"/>
      <c r="Z49" s="362"/>
      <c r="AA49" s="362"/>
      <c r="AB49" s="362"/>
      <c r="AC49" s="362"/>
      <c r="AE49" s="173"/>
      <c r="AH49" s="141"/>
      <c r="AI49" s="1305" t="s">
        <v>22</v>
      </c>
      <c r="AJ49" s="1305"/>
      <c r="AK49" s="1305"/>
      <c r="AL49" s="144">
        <f>'Lookup Properties'!S14</f>
        <v>0</v>
      </c>
      <c r="AM49" s="144">
        <f>'Lookup Properties'!T14</f>
        <v>0</v>
      </c>
      <c r="AN49" s="144">
        <f>'Lookup Properties'!U14</f>
        <v>0</v>
      </c>
      <c r="AO49" s="202">
        <f>SUM(AL49:AN49)</f>
        <v>0</v>
      </c>
      <c r="AR49"/>
      <c r="AS49"/>
      <c r="AT49"/>
      <c r="AU49"/>
      <c r="AV49"/>
      <c r="AW49"/>
      <c r="AX49"/>
    </row>
    <row r="50" spans="1:50" ht="12.75" customHeight="1" thickBot="1">
      <c r="A50" s="121"/>
      <c r="B50" s="121"/>
      <c r="C50" s="121"/>
      <c r="D50" s="121"/>
      <c r="E50" s="121"/>
      <c r="F50" s="121"/>
      <c r="G50" s="121"/>
      <c r="H50" s="121"/>
      <c r="I50" s="121"/>
      <c r="J50" s="121"/>
      <c r="K50" s="121"/>
      <c r="L50" s="121"/>
      <c r="M50" s="121"/>
      <c r="N50" s="121"/>
      <c r="O50" s="121"/>
      <c r="P50" s="121"/>
      <c r="Q50" s="362"/>
      <c r="R50" s="407">
        <v>7</v>
      </c>
      <c r="S50" s="427" t="s">
        <v>70</v>
      </c>
      <c r="T50" s="366"/>
      <c r="U50" s="366"/>
      <c r="V50" s="426"/>
      <c r="W50" s="426"/>
      <c r="X50" s="366"/>
      <c r="Y50" s="366"/>
      <c r="Z50" s="366"/>
      <c r="AA50" s="362"/>
      <c r="AB50" s="362"/>
      <c r="AC50" s="362"/>
      <c r="AE50" s="173"/>
      <c r="AH50" s="141"/>
      <c r="AI50" s="1251" t="s">
        <v>579</v>
      </c>
      <c r="AJ50" s="1251"/>
      <c r="AK50" s="1251"/>
      <c r="AL50" s="144">
        <f>'Lookup Properties'!S15</f>
        <v>0</v>
      </c>
      <c r="AM50" s="144">
        <f>'Lookup Properties'!T15</f>
        <v>0</v>
      </c>
      <c r="AN50" s="144">
        <f>'Lookup Properties'!U15</f>
        <v>0</v>
      </c>
      <c r="AO50" s="202">
        <f>SUM(AL50:AN50)</f>
        <v>0</v>
      </c>
      <c r="AR50"/>
      <c r="AS50"/>
      <c r="AT50"/>
      <c r="AU50"/>
      <c r="AV50"/>
      <c r="AW50"/>
      <c r="AX50"/>
    </row>
    <row r="51" spans="1:50" ht="12.75" customHeight="1">
      <c r="A51" s="121"/>
      <c r="B51" s="121"/>
      <c r="C51" s="121"/>
      <c r="D51" s="121"/>
      <c r="E51" s="121"/>
      <c r="F51" s="121"/>
      <c r="G51" s="121"/>
      <c r="H51" s="121"/>
      <c r="I51" s="121"/>
      <c r="J51" s="121"/>
      <c r="K51" s="121"/>
      <c r="L51" s="121"/>
      <c r="M51" s="121"/>
      <c r="N51" s="121"/>
      <c r="O51" s="121"/>
      <c r="P51" s="121"/>
      <c r="Q51" s="362"/>
      <c r="R51" s="407"/>
      <c r="S51" s="427"/>
      <c r="T51" s="366"/>
      <c r="U51" s="366"/>
      <c r="V51" s="1190" t="s">
        <v>21</v>
      </c>
      <c r="W51" s="1191"/>
      <c r="X51" s="1194" t="s">
        <v>22</v>
      </c>
      <c r="Y51" s="1195"/>
      <c r="Z51" s="1198" t="s">
        <v>579</v>
      </c>
      <c r="AA51" s="1199"/>
      <c r="AB51" s="1202" t="s">
        <v>500</v>
      </c>
      <c r="AC51" s="1203"/>
      <c r="AH51" s="141"/>
      <c r="AI51" s="1304" t="s">
        <v>500</v>
      </c>
      <c r="AJ51" s="1304"/>
      <c r="AK51" s="1304"/>
      <c r="AL51" s="137">
        <f>'Lookup Properties'!S16</f>
        <v>0</v>
      </c>
      <c r="AM51" s="137">
        <f>'Lookup Properties'!T16</f>
        <v>0</v>
      </c>
      <c r="AN51" s="137">
        <f>'Lookup Properties'!U16</f>
        <v>0</v>
      </c>
      <c r="AO51" s="202">
        <f>SUM(AL51:AN51)</f>
        <v>0</v>
      </c>
      <c r="AR51"/>
      <c r="AS51"/>
      <c r="AT51"/>
      <c r="AU51"/>
      <c r="AV51"/>
      <c r="AW51"/>
      <c r="AX51"/>
    </row>
    <row r="52" spans="1:50" ht="12.75" customHeight="1">
      <c r="A52" s="121"/>
      <c r="B52" s="121"/>
      <c r="C52" s="121"/>
      <c r="D52" s="121"/>
      <c r="E52" s="121"/>
      <c r="F52" s="121"/>
      <c r="G52" s="121"/>
      <c r="H52" s="121"/>
      <c r="I52" s="121"/>
      <c r="J52" s="121"/>
      <c r="K52" s="121"/>
      <c r="L52" s="121"/>
      <c r="M52" s="121"/>
      <c r="N52" s="121"/>
      <c r="O52" s="121"/>
      <c r="P52" s="121"/>
      <c r="Q52" s="362"/>
      <c r="R52" s="422"/>
      <c r="S52" s="404"/>
      <c r="T52" s="366"/>
      <c r="U52" s="366"/>
      <c r="V52" s="1192"/>
      <c r="W52" s="1193"/>
      <c r="X52" s="1196"/>
      <c r="Y52" s="1197"/>
      <c r="Z52" s="1200"/>
      <c r="AA52" s="1201"/>
      <c r="AB52" s="1204"/>
      <c r="AC52" s="1205"/>
      <c r="AH52" s="18"/>
      <c r="AR52"/>
      <c r="AS52"/>
      <c r="AT52"/>
      <c r="AU52"/>
      <c r="AV52"/>
      <c r="AW52"/>
      <c r="AX52"/>
    </row>
    <row r="53" spans="1:50" ht="12.75" customHeight="1">
      <c r="A53" s="121"/>
      <c r="B53" s="121"/>
      <c r="C53" s="121"/>
      <c r="D53" s="121"/>
      <c r="E53" s="121"/>
      <c r="F53" s="121"/>
      <c r="G53" s="121"/>
      <c r="H53" s="121"/>
      <c r="I53" s="121"/>
      <c r="J53" s="121"/>
      <c r="K53" s="121"/>
      <c r="L53" s="121"/>
      <c r="M53" s="121"/>
      <c r="N53" s="121"/>
      <c r="O53" s="121"/>
      <c r="P53" s="121"/>
      <c r="Q53" s="362"/>
      <c r="R53" s="367"/>
      <c r="S53" s="362"/>
      <c r="T53" s="362"/>
      <c r="U53" s="362"/>
      <c r="V53" s="423" t="s">
        <v>63</v>
      </c>
      <c r="W53" s="424" t="s">
        <v>64</v>
      </c>
      <c r="X53" s="428" t="s">
        <v>63</v>
      </c>
      <c r="Y53" s="429" t="s">
        <v>64</v>
      </c>
      <c r="Z53" s="423" t="s">
        <v>63</v>
      </c>
      <c r="AA53" s="424" t="s">
        <v>64</v>
      </c>
      <c r="AB53" s="428" t="s">
        <v>63</v>
      </c>
      <c r="AC53" s="424" t="s">
        <v>64</v>
      </c>
      <c r="AH53" s="139" t="s">
        <v>817</v>
      </c>
      <c r="AI53" s="1260" t="s">
        <v>206</v>
      </c>
      <c r="AJ53" s="1260"/>
      <c r="AK53" s="1260"/>
      <c r="AL53" s="1260"/>
      <c r="AM53" s="1260"/>
      <c r="AN53" s="1260"/>
      <c r="AO53" s="1260"/>
      <c r="AP53" s="1260"/>
      <c r="AQ53" s="1260"/>
      <c r="AR53"/>
      <c r="AS53"/>
      <c r="AT53"/>
      <c r="AU53"/>
      <c r="AV53"/>
      <c r="AW53"/>
      <c r="AX53"/>
    </row>
    <row r="54" spans="1:50" ht="12.75" customHeight="1">
      <c r="A54" s="121"/>
      <c r="B54" s="121"/>
      <c r="C54" s="121"/>
      <c r="D54" s="121"/>
      <c r="E54" s="121"/>
      <c r="F54" s="121"/>
      <c r="G54" s="121"/>
      <c r="H54" s="121"/>
      <c r="I54" s="121"/>
      <c r="J54" s="121"/>
      <c r="K54" s="121"/>
      <c r="L54" s="121"/>
      <c r="M54" s="121"/>
      <c r="N54" s="121"/>
      <c r="O54" s="121"/>
      <c r="P54" s="121"/>
      <c r="Q54" s="362"/>
      <c r="R54" s="367"/>
      <c r="S54" s="362"/>
      <c r="T54" s="362"/>
      <c r="U54" s="362" t="s">
        <v>159</v>
      </c>
      <c r="V54" s="425">
        <f t="shared" ref="V54:AC54" si="1">(V47*$C$11)+(V48*$E$11)</f>
        <v>2417230</v>
      </c>
      <c r="W54" s="430">
        <f t="shared" si="1"/>
        <v>1228380</v>
      </c>
      <c r="X54" s="431">
        <f t="shared" si="1"/>
        <v>1808349.9999999998</v>
      </c>
      <c r="Y54" s="432">
        <f t="shared" si="1"/>
        <v>633660</v>
      </c>
      <c r="Z54" s="425">
        <f t="shared" si="1"/>
        <v>1911009.9999999995</v>
      </c>
      <c r="AA54" s="430">
        <f t="shared" si="1"/>
        <v>716260</v>
      </c>
      <c r="AB54" s="431">
        <f t="shared" si="1"/>
        <v>1411280</v>
      </c>
      <c r="AC54" s="430">
        <f t="shared" si="1"/>
        <v>366980</v>
      </c>
      <c r="AH54" s="168"/>
      <c r="AR54"/>
      <c r="AS54"/>
      <c r="AT54"/>
      <c r="AU54"/>
      <c r="AV54"/>
      <c r="AW54"/>
      <c r="AX54"/>
    </row>
    <row r="55" spans="1:50" ht="12.75" customHeight="1" thickBot="1">
      <c r="A55" s="121"/>
      <c r="B55" s="121"/>
      <c r="C55" s="121"/>
      <c r="D55" s="121"/>
      <c r="E55" s="121"/>
      <c r="F55" s="121"/>
      <c r="G55" s="121"/>
      <c r="H55" s="121"/>
      <c r="I55" s="121"/>
      <c r="J55" s="121"/>
      <c r="K55" s="121"/>
      <c r="L55" s="121"/>
      <c r="M55" s="121"/>
      <c r="N55" s="121"/>
      <c r="O55" s="121"/>
      <c r="P55" s="121"/>
      <c r="Q55" s="362"/>
      <c r="R55" s="367"/>
      <c r="S55" s="362"/>
      <c r="T55" s="362"/>
      <c r="U55" s="362" t="s">
        <v>160</v>
      </c>
      <c r="V55" s="433">
        <f>V54/12</f>
        <v>201435.83333333334</v>
      </c>
      <c r="W55" s="434">
        <f t="shared" ref="W55:AC55" si="2">W54/12</f>
        <v>102365</v>
      </c>
      <c r="X55" s="435">
        <f t="shared" si="2"/>
        <v>150695.83333333331</v>
      </c>
      <c r="Y55" s="436">
        <f t="shared" si="2"/>
        <v>52805</v>
      </c>
      <c r="Z55" s="433">
        <f t="shared" si="2"/>
        <v>159250.83333333328</v>
      </c>
      <c r="AA55" s="434">
        <f t="shared" si="2"/>
        <v>59688.333333333336</v>
      </c>
      <c r="AB55" s="435">
        <f t="shared" si="2"/>
        <v>117606.66666666667</v>
      </c>
      <c r="AC55" s="434">
        <f t="shared" si="2"/>
        <v>30581.666666666668</v>
      </c>
      <c r="AH55" s="168"/>
      <c r="AR55"/>
      <c r="AS55"/>
      <c r="AT55"/>
      <c r="AU55"/>
      <c r="AV55"/>
      <c r="AW55"/>
      <c r="AX55"/>
    </row>
    <row r="56" spans="1:50" ht="12.75" customHeight="1">
      <c r="A56" s="121"/>
      <c r="B56" s="121"/>
      <c r="C56" s="121"/>
      <c r="D56" s="121"/>
      <c r="E56" s="121"/>
      <c r="F56" s="121"/>
      <c r="G56" s="121"/>
      <c r="H56" s="121"/>
      <c r="I56" s="121"/>
      <c r="J56" s="121"/>
      <c r="K56" s="121"/>
      <c r="L56" s="121"/>
      <c r="M56" s="121"/>
      <c r="N56" s="121"/>
      <c r="O56" s="121"/>
      <c r="P56" s="121"/>
      <c r="Q56" s="362"/>
      <c r="R56" s="367"/>
      <c r="S56" s="362"/>
      <c r="T56" s="362"/>
      <c r="U56" s="362"/>
      <c r="V56" s="426"/>
      <c r="W56" s="426"/>
      <c r="X56" s="362"/>
      <c r="Y56" s="426"/>
      <c r="Z56" s="426"/>
      <c r="AA56" s="362"/>
      <c r="AB56" s="362"/>
      <c r="AC56" s="362"/>
      <c r="AH56" s="168" t="s">
        <v>196</v>
      </c>
      <c r="AI56" s="18" t="s">
        <v>207</v>
      </c>
      <c r="AR56"/>
      <c r="AS56"/>
      <c r="AT56"/>
      <c r="AU56"/>
      <c r="AV56"/>
      <c r="AW56"/>
      <c r="AX56"/>
    </row>
    <row r="57" spans="1:50" ht="12.75" customHeight="1" thickBot="1">
      <c r="Q57" s="362"/>
      <c r="R57" s="407">
        <v>8</v>
      </c>
      <c r="S57" s="407" t="s">
        <v>72</v>
      </c>
      <c r="T57" s="362"/>
      <c r="U57" s="362"/>
      <c r="V57" s="426"/>
      <c r="W57" s="426"/>
      <c r="X57" s="362"/>
      <c r="Y57" s="426"/>
      <c r="Z57" s="437">
        <f>K7</f>
        <v>0.15</v>
      </c>
      <c r="AA57" s="362"/>
      <c r="AB57" s="362"/>
      <c r="AC57" s="362"/>
      <c r="AH57" s="18"/>
      <c r="AI57" s="1252" t="s">
        <v>678</v>
      </c>
      <c r="AJ57" s="1253"/>
      <c r="AK57" s="1254"/>
      <c r="AL57" s="1258" t="s">
        <v>21</v>
      </c>
      <c r="AM57" s="1267" t="s">
        <v>22</v>
      </c>
      <c r="AN57" s="1269" t="s">
        <v>579</v>
      </c>
      <c r="AO57" s="1271" t="s">
        <v>500</v>
      </c>
      <c r="AR57"/>
      <c r="AS57"/>
      <c r="AT57"/>
      <c r="AU57"/>
      <c r="AV57"/>
      <c r="AW57"/>
      <c r="AX57"/>
    </row>
    <row r="58" spans="1:50" ht="12.75" customHeight="1">
      <c r="Q58" s="362"/>
      <c r="R58" s="407"/>
      <c r="S58" s="407"/>
      <c r="T58" s="362"/>
      <c r="U58" s="362"/>
      <c r="V58" s="1190" t="s">
        <v>21</v>
      </c>
      <c r="W58" s="1191"/>
      <c r="X58" s="1194" t="s">
        <v>22</v>
      </c>
      <c r="Y58" s="1195"/>
      <c r="Z58" s="1198" t="s">
        <v>579</v>
      </c>
      <c r="AA58" s="1199"/>
      <c r="AB58" s="1202" t="s">
        <v>500</v>
      </c>
      <c r="AC58" s="1203"/>
      <c r="AH58" s="18"/>
      <c r="AI58" s="1255"/>
      <c r="AJ58" s="1256"/>
      <c r="AK58" s="1257"/>
      <c r="AL58" s="1259"/>
      <c r="AM58" s="1268"/>
      <c r="AN58" s="1270"/>
      <c r="AO58" s="1272"/>
      <c r="AR58"/>
      <c r="AS58"/>
      <c r="AT58"/>
      <c r="AU58"/>
      <c r="AV58"/>
      <c r="AW58"/>
      <c r="AX58"/>
    </row>
    <row r="59" spans="1:50" ht="12.75" customHeight="1">
      <c r="Q59" s="362"/>
      <c r="R59" s="367"/>
      <c r="S59" s="362"/>
      <c r="T59" s="362"/>
      <c r="U59" s="362"/>
      <c r="V59" s="1192"/>
      <c r="W59" s="1193"/>
      <c r="X59" s="1196"/>
      <c r="Y59" s="1197"/>
      <c r="Z59" s="1200"/>
      <c r="AA59" s="1201"/>
      <c r="AB59" s="1204"/>
      <c r="AC59" s="1205"/>
      <c r="AH59" s="18"/>
      <c r="AI59" s="1247" t="s">
        <v>210</v>
      </c>
      <c r="AJ59" s="1247"/>
      <c r="AK59" s="1247"/>
      <c r="AL59" s="145">
        <f>VLOOKUP($E$5,'Lookup Penetration Rate'!$B$8:$E$208,2)</f>
        <v>0.56000000000000005</v>
      </c>
      <c r="AM59" s="145">
        <f>VLOOKUP($E$5,'Lookup Penetration Rate'!$B$8:$E$208,3)</f>
        <v>0.4</v>
      </c>
      <c r="AN59" s="145">
        <f>VLOOKUP($E$5,'Lookup Penetration Rate'!$B$8:$E$208,4)</f>
        <v>0.46</v>
      </c>
      <c r="AO59" s="146">
        <v>0.3</v>
      </c>
      <c r="AR59"/>
      <c r="AS59"/>
      <c r="AT59"/>
      <c r="AU59"/>
      <c r="AV59"/>
      <c r="AW59"/>
      <c r="AX59"/>
    </row>
    <row r="60" spans="1:50" ht="12.75" customHeight="1">
      <c r="Q60" s="362"/>
      <c r="R60" s="367"/>
      <c r="S60" s="362"/>
      <c r="T60" s="362"/>
      <c r="U60" s="362"/>
      <c r="V60" s="423" t="s">
        <v>63</v>
      </c>
      <c r="W60" s="424" t="s">
        <v>64</v>
      </c>
      <c r="X60" s="428" t="s">
        <v>63</v>
      </c>
      <c r="Y60" s="429" t="s">
        <v>64</v>
      </c>
      <c r="Z60" s="423" t="s">
        <v>63</v>
      </c>
      <c r="AA60" s="424" t="s">
        <v>64</v>
      </c>
      <c r="AB60" s="428" t="s">
        <v>63</v>
      </c>
      <c r="AC60" s="424" t="s">
        <v>64</v>
      </c>
      <c r="AH60" s="18"/>
      <c r="AR60"/>
      <c r="AS60"/>
      <c r="AT60"/>
      <c r="AU60"/>
      <c r="AV60"/>
      <c r="AW60"/>
      <c r="AX60"/>
    </row>
    <row r="61" spans="1:50" ht="12.75" customHeight="1">
      <c r="Q61" s="362"/>
      <c r="R61" s="367"/>
      <c r="S61" s="362"/>
      <c r="T61" s="362"/>
      <c r="U61" s="362" t="s">
        <v>159</v>
      </c>
      <c r="V61" s="425">
        <f t="shared" ref="V61:AC61" si="3">V54+(V54*$Z$57)</f>
        <v>2779814.5</v>
      </c>
      <c r="W61" s="430">
        <f t="shared" si="3"/>
        <v>1412637</v>
      </c>
      <c r="X61" s="431">
        <f t="shared" si="3"/>
        <v>2079602.4999999998</v>
      </c>
      <c r="Y61" s="432">
        <f t="shared" si="3"/>
        <v>728709</v>
      </c>
      <c r="Z61" s="425">
        <f t="shared" si="3"/>
        <v>2197661.4999999995</v>
      </c>
      <c r="AA61" s="430">
        <f t="shared" si="3"/>
        <v>823699</v>
      </c>
      <c r="AB61" s="431">
        <f t="shared" si="3"/>
        <v>1622972</v>
      </c>
      <c r="AC61" s="430">
        <f t="shared" si="3"/>
        <v>422027</v>
      </c>
      <c r="AH61" s="168" t="s">
        <v>197</v>
      </c>
      <c r="AI61" s="18" t="s">
        <v>208</v>
      </c>
      <c r="AR61"/>
      <c r="AS61"/>
      <c r="AT61"/>
      <c r="AU61"/>
      <c r="AV61"/>
      <c r="AW61"/>
      <c r="AX61"/>
    </row>
    <row r="62" spans="1:50" ht="12.75" customHeight="1" thickBot="1">
      <c r="Q62" s="362"/>
      <c r="R62" s="367"/>
      <c r="S62" s="362"/>
      <c r="T62" s="367"/>
      <c r="U62" s="362" t="s">
        <v>160</v>
      </c>
      <c r="V62" s="438">
        <f>V61/12</f>
        <v>231651.20833333334</v>
      </c>
      <c r="W62" s="439">
        <f t="shared" ref="W62:AC62" si="4">W61/12</f>
        <v>117719.75</v>
      </c>
      <c r="X62" s="440">
        <f t="shared" si="4"/>
        <v>173300.20833333331</v>
      </c>
      <c r="Y62" s="441">
        <f t="shared" si="4"/>
        <v>60725.75</v>
      </c>
      <c r="Z62" s="438">
        <f t="shared" si="4"/>
        <v>183138.45833333328</v>
      </c>
      <c r="AA62" s="439">
        <f t="shared" si="4"/>
        <v>68641.583333333328</v>
      </c>
      <c r="AB62" s="440">
        <f t="shared" si="4"/>
        <v>135247.66666666666</v>
      </c>
      <c r="AC62" s="439">
        <f t="shared" si="4"/>
        <v>35168.916666666664</v>
      </c>
      <c r="AH62" s="168"/>
      <c r="AI62" s="1252" t="s">
        <v>678</v>
      </c>
      <c r="AJ62" s="1253"/>
      <c r="AK62" s="1254"/>
      <c r="AL62" s="1258" t="s">
        <v>21</v>
      </c>
      <c r="AM62" s="1267" t="s">
        <v>22</v>
      </c>
      <c r="AN62" s="1269" t="s">
        <v>579</v>
      </c>
      <c r="AO62" s="1271" t="s">
        <v>500</v>
      </c>
      <c r="AR62"/>
      <c r="AS62"/>
      <c r="AT62"/>
      <c r="AU62"/>
      <c r="AV62"/>
      <c r="AW62"/>
      <c r="AX62"/>
    </row>
    <row r="63" spans="1:50" ht="12.75" customHeight="1">
      <c r="Q63" s="362"/>
      <c r="R63" s="367"/>
      <c r="S63" s="367"/>
      <c r="T63" s="367"/>
      <c r="U63" s="367"/>
      <c r="V63" s="367"/>
      <c r="W63" s="367"/>
      <c r="X63" s="367"/>
      <c r="Y63" s="367"/>
      <c r="Z63" s="367"/>
      <c r="AA63" s="362"/>
      <c r="AB63" s="362"/>
      <c r="AC63" s="362"/>
      <c r="AH63" s="168"/>
      <c r="AI63" s="1255"/>
      <c r="AJ63" s="1256"/>
      <c r="AK63" s="1257"/>
      <c r="AL63" s="1259"/>
      <c r="AM63" s="1268"/>
      <c r="AN63" s="1270"/>
      <c r="AO63" s="1272"/>
      <c r="AR63"/>
      <c r="AS63"/>
      <c r="AT63"/>
      <c r="AU63"/>
      <c r="AV63"/>
      <c r="AW63"/>
      <c r="AX63"/>
    </row>
    <row r="64" spans="1:50" ht="12.75" customHeight="1">
      <c r="Q64" s="362"/>
      <c r="R64" s="367"/>
      <c r="S64" s="367"/>
      <c r="T64" s="367"/>
      <c r="U64" s="367"/>
      <c r="V64" s="367"/>
      <c r="W64" s="367"/>
      <c r="X64" s="367"/>
      <c r="Y64" s="367"/>
      <c r="Z64" s="367"/>
      <c r="AA64" s="362"/>
      <c r="AB64" s="362"/>
      <c r="AC64" s="362"/>
      <c r="AH64" s="168"/>
      <c r="AI64" s="1247" t="s">
        <v>209</v>
      </c>
      <c r="AJ64" s="1247"/>
      <c r="AK64" s="1247"/>
      <c r="AL64" s="147">
        <f>$AM$27/AL59</f>
        <v>2.1428571428571428</v>
      </c>
      <c r="AM64" s="147">
        <f>$AM$27/AM59</f>
        <v>2.9999999999999996</v>
      </c>
      <c r="AN64" s="147">
        <f>$AM$27/AN59</f>
        <v>2.6086956521739126</v>
      </c>
      <c r="AO64" s="147">
        <f>$AM$27/AO59</f>
        <v>4</v>
      </c>
      <c r="AR64"/>
      <c r="AS64"/>
      <c r="AT64"/>
      <c r="AU64"/>
      <c r="AV64"/>
      <c r="AW64"/>
      <c r="AX64"/>
    </row>
    <row r="65" spans="17:53" ht="12.75" customHeight="1">
      <c r="Q65" s="362"/>
      <c r="R65" s="367"/>
      <c r="S65" s="367"/>
      <c r="T65" s="367"/>
      <c r="U65" s="367"/>
      <c r="V65" s="367"/>
      <c r="W65" s="367"/>
      <c r="X65" s="367"/>
      <c r="Y65" s="367"/>
      <c r="Z65" s="367"/>
      <c r="AA65" s="362"/>
      <c r="AB65" s="362"/>
      <c r="AC65" s="362"/>
      <c r="AH65" s="18"/>
      <c r="AR65"/>
      <c r="AS65"/>
      <c r="AT65"/>
      <c r="AU65"/>
      <c r="AV65"/>
      <c r="AW65"/>
      <c r="AX65"/>
    </row>
    <row r="66" spans="17:53" ht="12.75" customHeight="1">
      <c r="Q66" s="362"/>
      <c r="R66" s="367"/>
      <c r="S66" s="367"/>
      <c r="T66" s="367"/>
      <c r="U66" s="367"/>
      <c r="V66" s="367"/>
      <c r="W66" s="367"/>
      <c r="X66" s="367"/>
      <c r="Y66" s="367"/>
      <c r="Z66" s="367"/>
      <c r="AA66" s="362"/>
      <c r="AB66" s="362"/>
      <c r="AC66" s="362"/>
      <c r="AH66" s="172">
        <v>3.3</v>
      </c>
      <c r="AI66" s="18" t="s">
        <v>211</v>
      </c>
      <c r="AR66"/>
      <c r="AS66"/>
      <c r="AT66"/>
      <c r="AU66"/>
      <c r="AV66"/>
      <c r="AW66"/>
      <c r="AX66"/>
    </row>
    <row r="67" spans="17:53" ht="12.75" customHeight="1">
      <c r="Q67" s="362"/>
      <c r="R67" s="367"/>
      <c r="S67" s="367"/>
      <c r="T67" s="367"/>
      <c r="U67" s="367"/>
      <c r="V67" s="367"/>
      <c r="W67" s="367"/>
      <c r="X67" s="367"/>
      <c r="Y67" s="367"/>
      <c r="Z67" s="367"/>
      <c r="AA67" s="362"/>
      <c r="AB67" s="362"/>
      <c r="AC67" s="362"/>
      <c r="AH67" s="172"/>
      <c r="AI67" s="1252" t="s">
        <v>678</v>
      </c>
      <c r="AJ67" s="1253"/>
      <c r="AK67" s="1254"/>
      <c r="AL67" s="1258" t="s">
        <v>21</v>
      </c>
      <c r="AM67" s="1267" t="s">
        <v>22</v>
      </c>
      <c r="AN67" s="1269" t="s">
        <v>579</v>
      </c>
      <c r="AO67" s="1271" t="s">
        <v>500</v>
      </c>
      <c r="AR67"/>
      <c r="AS67"/>
      <c r="AT67"/>
      <c r="AU67"/>
      <c r="AV67"/>
      <c r="AW67"/>
      <c r="AX67"/>
    </row>
    <row r="68" spans="17:53" ht="12.75" customHeight="1">
      <c r="Q68" s="362"/>
      <c r="R68" s="367"/>
      <c r="S68" s="367"/>
      <c r="T68" s="367"/>
      <c r="U68" s="367"/>
      <c r="V68" s="367"/>
      <c r="W68" s="367"/>
      <c r="X68" s="367"/>
      <c r="Y68" s="367"/>
      <c r="Z68" s="367"/>
      <c r="AA68" s="362"/>
      <c r="AB68" s="362"/>
      <c r="AC68" s="362"/>
      <c r="AH68" s="172"/>
      <c r="AI68" s="1255"/>
      <c r="AJ68" s="1256"/>
      <c r="AK68" s="1257"/>
      <c r="AL68" s="1259"/>
      <c r="AM68" s="1268"/>
      <c r="AN68" s="1270"/>
      <c r="AO68" s="1272"/>
      <c r="AR68"/>
      <c r="AS68"/>
      <c r="AT68"/>
      <c r="AU68"/>
      <c r="AV68"/>
      <c r="AW68"/>
      <c r="AX68"/>
    </row>
    <row r="69" spans="17:53" ht="12.75" customHeight="1">
      <c r="Q69" s="362"/>
      <c r="R69" s="367"/>
      <c r="S69" s="367"/>
      <c r="T69" s="367"/>
      <c r="U69" s="367"/>
      <c r="V69" s="367"/>
      <c r="W69" s="367"/>
      <c r="X69" s="367"/>
      <c r="Y69" s="367"/>
      <c r="Z69" s="367"/>
      <c r="AA69" s="362"/>
      <c r="AB69" s="362"/>
      <c r="AC69" s="362"/>
      <c r="AH69" s="172"/>
      <c r="AI69" s="1247" t="s">
        <v>209</v>
      </c>
      <c r="AJ69" s="1247"/>
      <c r="AK69" s="1247"/>
      <c r="AL69" s="149">
        <f>(AL64*$AM$26)/$AM$28</f>
        <v>85.714285714285708</v>
      </c>
      <c r="AM69" s="149">
        <f>(AM64*$AM$26)/$AM$28</f>
        <v>119.99999999999999</v>
      </c>
      <c r="AN69" s="149">
        <f>(AN64*$AM$26)/$AM$28</f>
        <v>104.3478260869565</v>
      </c>
      <c r="AO69" s="149">
        <f>(AO64*$AM$26)/$AM$28</f>
        <v>160</v>
      </c>
      <c r="AR69"/>
      <c r="AS69"/>
      <c r="AT69"/>
      <c r="AU69"/>
      <c r="AV69"/>
      <c r="AW69"/>
      <c r="AX69"/>
    </row>
    <row r="70" spans="17:53" ht="12.75" customHeight="1">
      <c r="Q70" s="362"/>
      <c r="R70" s="367"/>
      <c r="S70" s="367"/>
      <c r="T70" s="367"/>
      <c r="U70" s="367"/>
      <c r="V70" s="367"/>
      <c r="W70" s="367"/>
      <c r="X70" s="367"/>
      <c r="Y70" s="367"/>
      <c r="Z70" s="367"/>
      <c r="AA70" s="362"/>
      <c r="AB70" s="362"/>
      <c r="AC70" s="362"/>
      <c r="AH70" s="172"/>
      <c r="AI70" s="1247" t="s">
        <v>212</v>
      </c>
      <c r="AJ70" s="1247"/>
      <c r="AK70" s="1247"/>
      <c r="AL70" s="144">
        <f>AL69/60</f>
        <v>1.4285714285714284</v>
      </c>
      <c r="AM70" s="144">
        <f>AM69/60</f>
        <v>1.9999999999999998</v>
      </c>
      <c r="AN70" s="144">
        <f>AN69/60</f>
        <v>1.7391304347826084</v>
      </c>
      <c r="AO70" s="145">
        <f>AO69/60</f>
        <v>2.6666666666666665</v>
      </c>
      <c r="AR70"/>
      <c r="AS70"/>
      <c r="AT70"/>
      <c r="AU70"/>
      <c r="AV70"/>
      <c r="AW70"/>
      <c r="AX70"/>
    </row>
    <row r="71" spans="17:53" ht="12.75" customHeight="1">
      <c r="Q71" s="362"/>
      <c r="R71" s="367"/>
      <c r="S71" s="367"/>
      <c r="T71" s="367"/>
      <c r="U71" s="367"/>
      <c r="V71" s="367"/>
      <c r="W71" s="367"/>
      <c r="X71" s="367"/>
      <c r="Y71" s="367"/>
      <c r="Z71" s="367"/>
      <c r="AA71" s="362"/>
      <c r="AB71" s="362"/>
      <c r="AC71" s="362"/>
      <c r="AH71" s="172"/>
      <c r="AR71"/>
      <c r="AS71"/>
      <c r="AT71"/>
      <c r="AU71"/>
      <c r="AV71"/>
      <c r="AW71"/>
      <c r="AX71"/>
    </row>
    <row r="72" spans="17:53" ht="12.75" customHeight="1">
      <c r="Q72" s="362"/>
      <c r="R72" s="367"/>
      <c r="S72" s="367"/>
      <c r="T72" s="367"/>
      <c r="U72" s="367"/>
      <c r="V72" s="367"/>
      <c r="W72" s="367"/>
      <c r="X72" s="367"/>
      <c r="Y72" s="367"/>
      <c r="Z72" s="367"/>
      <c r="AA72" s="362"/>
      <c r="AB72" s="362"/>
      <c r="AC72" s="362"/>
      <c r="AH72" s="140" t="s">
        <v>295</v>
      </c>
      <c r="AI72" s="1260" t="s">
        <v>216</v>
      </c>
      <c r="AJ72" s="1260"/>
      <c r="AK72" s="1260"/>
      <c r="AL72" s="1260"/>
      <c r="AM72" s="1260"/>
      <c r="AN72" s="1260"/>
      <c r="AO72" s="1260"/>
      <c r="AP72" s="1260"/>
      <c r="AQ72" s="1260"/>
      <c r="AR72"/>
      <c r="AS72"/>
      <c r="AT72"/>
      <c r="AU72"/>
      <c r="AV72"/>
      <c r="AW72"/>
      <c r="AX72"/>
    </row>
    <row r="73" spans="17:53" ht="12.75" customHeight="1">
      <c r="Q73" s="362"/>
      <c r="R73" s="367"/>
      <c r="S73" s="367"/>
      <c r="T73" s="367"/>
      <c r="U73" s="367"/>
      <c r="V73" s="367"/>
      <c r="W73" s="367"/>
      <c r="X73" s="367"/>
      <c r="Y73" s="367"/>
      <c r="Z73" s="367"/>
      <c r="AA73" s="362"/>
      <c r="AB73" s="362"/>
      <c r="AC73" s="362"/>
      <c r="AH73" s="172"/>
      <c r="AR73"/>
      <c r="AS73"/>
      <c r="AT73"/>
      <c r="AU73"/>
      <c r="AV73"/>
      <c r="AW73"/>
      <c r="AX73"/>
    </row>
    <row r="74" spans="17:53" ht="12.75" customHeight="1">
      <c r="Q74" s="362"/>
      <c r="R74" s="367"/>
      <c r="S74" s="362"/>
      <c r="T74" s="362"/>
      <c r="U74" s="362"/>
      <c r="V74" s="362"/>
      <c r="W74" s="362"/>
      <c r="X74" s="362"/>
      <c r="Y74" s="362"/>
      <c r="Z74" s="362"/>
      <c r="AA74" s="362"/>
      <c r="AB74" s="362"/>
      <c r="AC74" s="362"/>
      <c r="AH74" s="141" t="s">
        <v>502</v>
      </c>
      <c r="AI74" s="18" t="s">
        <v>527</v>
      </c>
      <c r="AR74"/>
      <c r="AS74"/>
      <c r="AT74"/>
      <c r="AU74"/>
      <c r="AV74"/>
      <c r="AW74"/>
      <c r="AX74"/>
    </row>
    <row r="75" spans="17:53" ht="12.75" customHeight="1">
      <c r="Q75" s="362"/>
      <c r="R75" s="367"/>
      <c r="S75" s="362"/>
      <c r="T75" s="362"/>
      <c r="U75" s="362"/>
      <c r="V75" s="362"/>
      <c r="W75" s="362"/>
      <c r="X75" s="362"/>
      <c r="Y75" s="362"/>
      <c r="Z75" s="362"/>
      <c r="AA75" s="362"/>
      <c r="AB75" s="362"/>
      <c r="AC75" s="362"/>
      <c r="AH75" s="141"/>
      <c r="AI75" s="1252" t="s">
        <v>678</v>
      </c>
      <c r="AJ75" s="1253"/>
      <c r="AK75" s="1254"/>
      <c r="AL75" s="1258" t="s">
        <v>21</v>
      </c>
      <c r="AM75" s="1267" t="s">
        <v>22</v>
      </c>
      <c r="AN75" s="1269" t="s">
        <v>579</v>
      </c>
      <c r="AO75" s="1271" t="s">
        <v>500</v>
      </c>
      <c r="AR75"/>
      <c r="AS75"/>
      <c r="AT75"/>
      <c r="AU75"/>
      <c r="AV75"/>
      <c r="AW75"/>
      <c r="AX75"/>
      <c r="AY75" s="23"/>
      <c r="AZ75" s="23"/>
    </row>
    <row r="76" spans="17:53" ht="12.75" customHeight="1">
      <c r="Q76" s="362"/>
      <c r="R76" s="367"/>
      <c r="S76" s="362"/>
      <c r="T76" s="362"/>
      <c r="U76" s="362"/>
      <c r="V76" s="362"/>
      <c r="W76" s="362"/>
      <c r="X76" s="362"/>
      <c r="Y76" s="362"/>
      <c r="Z76" s="362"/>
      <c r="AA76" s="362"/>
      <c r="AB76" s="362"/>
      <c r="AC76" s="362"/>
      <c r="AH76" s="141"/>
      <c r="AI76" s="1255"/>
      <c r="AJ76" s="1256"/>
      <c r="AK76" s="1257"/>
      <c r="AL76" s="1259"/>
      <c r="AM76" s="1268"/>
      <c r="AN76" s="1270"/>
      <c r="AO76" s="1272"/>
      <c r="AR76"/>
      <c r="AS76"/>
      <c r="AT76"/>
      <c r="AU76"/>
      <c r="AV76"/>
      <c r="AW76"/>
      <c r="AX76"/>
      <c r="BA76" s="17"/>
    </row>
    <row r="77" spans="17:53" ht="12.75" customHeight="1">
      <c r="Q77" s="362"/>
      <c r="R77" s="367"/>
      <c r="S77" s="362"/>
      <c r="T77" s="362"/>
      <c r="U77" s="362"/>
      <c r="V77" s="362"/>
      <c r="W77" s="362"/>
      <c r="X77" s="362"/>
      <c r="Y77" s="362"/>
      <c r="Z77" s="362"/>
      <c r="AA77" s="362"/>
      <c r="AB77" s="362"/>
      <c r="AC77" s="362"/>
      <c r="AH77" s="141"/>
      <c r="AI77" s="1247" t="s">
        <v>63</v>
      </c>
      <c r="AJ77" s="1247"/>
      <c r="AK77" s="1247"/>
      <c r="AL77" s="143">
        <f>VLOOKUP($E$5,'Lookup dBA'!$B$8:$E$208,2)</f>
        <v>116</v>
      </c>
      <c r="AM77" s="143">
        <f>VLOOKUP($E$5,'Lookup dBA'!$B$8:$E$208,3)</f>
        <v>108</v>
      </c>
      <c r="AN77" s="143">
        <f>VLOOKUP($E$5,'Lookup dBA'!$B$8:$E$208,4)</f>
        <v>109</v>
      </c>
      <c r="AO77" s="143">
        <v>102</v>
      </c>
      <c r="AR77"/>
      <c r="AS77"/>
      <c r="AT77"/>
      <c r="AU77"/>
      <c r="AV77"/>
      <c r="AW77"/>
      <c r="AX77"/>
      <c r="BA77" s="17"/>
    </row>
    <row r="78" spans="17:53" ht="12.75" customHeight="1">
      <c r="Q78" s="362"/>
      <c r="R78" s="367"/>
      <c r="S78" s="362"/>
      <c r="T78" s="362"/>
      <c r="U78" s="362"/>
      <c r="V78" s="362"/>
      <c r="W78" s="362"/>
      <c r="X78" s="362"/>
      <c r="Y78" s="362"/>
      <c r="Z78" s="362"/>
      <c r="AA78" s="362"/>
      <c r="AB78" s="362"/>
      <c r="AC78" s="362"/>
      <c r="AH78" s="141"/>
      <c r="AI78" s="1247" t="s">
        <v>64</v>
      </c>
      <c r="AJ78" s="1247"/>
      <c r="AK78" s="1247"/>
      <c r="AL78" s="143">
        <f>AL77-PPE!$I$15</f>
        <v>103</v>
      </c>
      <c r="AM78" s="143">
        <f>AM77-PPE!$I$15</f>
        <v>95</v>
      </c>
      <c r="AN78" s="143">
        <f>AN77-PPE!$I$15</f>
        <v>96</v>
      </c>
      <c r="AO78" s="143">
        <f>AO77-PPE!$I$15</f>
        <v>89</v>
      </c>
      <c r="AR78"/>
      <c r="AS78"/>
      <c r="AT78"/>
      <c r="AU78"/>
      <c r="AV78"/>
      <c r="AW78"/>
      <c r="AX78"/>
      <c r="BA78" s="17"/>
    </row>
    <row r="79" spans="17:53" ht="12.75" customHeight="1">
      <c r="Q79" s="362"/>
      <c r="R79" s="367"/>
      <c r="S79" s="362"/>
      <c r="T79" s="362"/>
      <c r="U79" s="362"/>
      <c r="V79" s="362"/>
      <c r="W79" s="362"/>
      <c r="X79" s="362"/>
      <c r="Y79" s="362"/>
      <c r="Z79" s="362"/>
      <c r="AA79" s="362"/>
      <c r="AB79" s="362"/>
      <c r="AC79" s="362"/>
      <c r="AH79" s="141"/>
      <c r="AI79" s="1247" t="s">
        <v>529</v>
      </c>
      <c r="AJ79" s="1247"/>
      <c r="AK79" s="1247"/>
      <c r="AL79" s="143">
        <v>110</v>
      </c>
      <c r="AM79" s="143">
        <v>110</v>
      </c>
      <c r="AN79" s="143">
        <v>110</v>
      </c>
      <c r="AO79" s="143">
        <v>110</v>
      </c>
      <c r="AR79"/>
      <c r="AS79"/>
      <c r="AT79"/>
      <c r="AU79"/>
      <c r="AV79"/>
      <c r="AW79"/>
      <c r="AX79"/>
      <c r="BA79" s="32"/>
    </row>
    <row r="80" spans="17:53" ht="12.75" customHeight="1">
      <c r="Q80" s="362"/>
      <c r="R80" s="367"/>
      <c r="S80" s="362"/>
      <c r="T80" s="362"/>
      <c r="U80" s="362"/>
      <c r="V80" s="362"/>
      <c r="W80" s="362"/>
      <c r="X80" s="362"/>
      <c r="Y80" s="362"/>
      <c r="Z80" s="362"/>
      <c r="AA80" s="362"/>
      <c r="AB80" s="362"/>
      <c r="AC80" s="362"/>
      <c r="AH80" s="141"/>
      <c r="AR80"/>
      <c r="AS80"/>
      <c r="AT80"/>
      <c r="AU80"/>
      <c r="AV80"/>
      <c r="AW80"/>
      <c r="AX80"/>
      <c r="BA80" s="32"/>
    </row>
    <row r="81" spans="17:53" ht="12.75" customHeight="1">
      <c r="Q81" s="362"/>
      <c r="R81" s="367"/>
      <c r="S81" s="362"/>
      <c r="T81" s="362"/>
      <c r="U81" s="362"/>
      <c r="V81" s="362"/>
      <c r="W81" s="362"/>
      <c r="X81" s="362"/>
      <c r="Y81" s="362"/>
      <c r="Z81" s="362"/>
      <c r="AA81" s="362"/>
      <c r="AB81" s="362"/>
      <c r="AC81" s="362"/>
      <c r="AH81" s="141" t="s">
        <v>503</v>
      </c>
      <c r="AI81" s="18" t="s">
        <v>528</v>
      </c>
      <c r="AR81"/>
      <c r="AS81"/>
      <c r="AT81"/>
      <c r="AU81"/>
      <c r="AV81"/>
      <c r="AW81"/>
      <c r="AX81"/>
      <c r="BA81" s="17"/>
    </row>
    <row r="82" spans="17:53" ht="12.75" customHeight="1">
      <c r="Q82" s="362"/>
      <c r="R82" s="367"/>
      <c r="S82" s="362"/>
      <c r="T82" s="362"/>
      <c r="U82" s="362"/>
      <c r="V82" s="362"/>
      <c r="W82" s="362"/>
      <c r="X82" s="362"/>
      <c r="Y82" s="362"/>
      <c r="Z82" s="362"/>
      <c r="AA82" s="362"/>
      <c r="AB82" s="362"/>
      <c r="AC82" s="362"/>
      <c r="AH82" s="141"/>
      <c r="AI82" s="1252" t="s">
        <v>678</v>
      </c>
      <c r="AJ82" s="1253"/>
      <c r="AK82" s="1254"/>
      <c r="AL82" s="1258" t="s">
        <v>21</v>
      </c>
      <c r="AM82" s="1267" t="s">
        <v>22</v>
      </c>
      <c r="AN82" s="1269" t="s">
        <v>579</v>
      </c>
      <c r="AO82" s="1271" t="s">
        <v>500</v>
      </c>
      <c r="AR82"/>
      <c r="AS82"/>
      <c r="AT82"/>
      <c r="AU82"/>
      <c r="AV82"/>
      <c r="AW82"/>
      <c r="AX82"/>
      <c r="BA82" s="17"/>
    </row>
    <row r="83" spans="17:53" ht="12.75" customHeight="1">
      <c r="Q83" s="362"/>
      <c r="R83" s="367"/>
      <c r="S83" s="362"/>
      <c r="T83" s="362"/>
      <c r="U83" s="362"/>
      <c r="V83" s="362"/>
      <c r="W83" s="362"/>
      <c r="X83" s="362"/>
      <c r="Y83" s="362"/>
      <c r="Z83" s="362"/>
      <c r="AA83" s="362"/>
      <c r="AB83" s="362"/>
      <c r="AC83" s="362"/>
      <c r="AH83" s="141"/>
      <c r="AI83" s="1255"/>
      <c r="AJ83" s="1256"/>
      <c r="AK83" s="1257"/>
      <c r="AL83" s="1259"/>
      <c r="AM83" s="1268"/>
      <c r="AN83" s="1270"/>
      <c r="AO83" s="1272"/>
      <c r="AR83"/>
      <c r="AS83"/>
      <c r="AT83"/>
      <c r="AU83"/>
      <c r="AV83"/>
      <c r="AW83"/>
      <c r="AX83"/>
      <c r="BA83" s="17"/>
    </row>
    <row r="84" spans="17:53" ht="12.75" customHeight="1">
      <c r="Q84" s="362"/>
      <c r="R84" s="367"/>
      <c r="S84" s="362"/>
      <c r="T84" s="362"/>
      <c r="U84" s="362"/>
      <c r="V84" s="362"/>
      <c r="W84" s="362"/>
      <c r="X84" s="362"/>
      <c r="Y84" s="362"/>
      <c r="Z84" s="362"/>
      <c r="AA84" s="362"/>
      <c r="AB84" s="362"/>
      <c r="AC84" s="362"/>
      <c r="AH84" s="141"/>
      <c r="AI84" s="1247" t="s">
        <v>63</v>
      </c>
      <c r="AJ84" s="1247"/>
      <c r="AK84" s="1247"/>
      <c r="AL84" s="151">
        <f>VLOOKUP($AM$28,$AI$290:$AM$295,2)</f>
        <v>122.02059991327964</v>
      </c>
      <c r="AM84" s="151">
        <f>VLOOKUP($AM$28,$AI$290:$AM$295,3)</f>
        <v>114.02059991327963</v>
      </c>
      <c r="AN84" s="151">
        <f>VLOOKUP($AM$28,$AI$290:$AM$295,4)</f>
        <v>115.02059991327963</v>
      </c>
      <c r="AO84" s="151">
        <f>VLOOKUP($AM$28,$AI$290:$AM$295,5)</f>
        <v>108.02059991327964</v>
      </c>
      <c r="AR84"/>
      <c r="AS84"/>
      <c r="AT84"/>
      <c r="AU84"/>
      <c r="AV84"/>
      <c r="AW84"/>
      <c r="AX84"/>
      <c r="BA84" s="17"/>
    </row>
    <row r="85" spans="17:53" ht="12.75" customHeight="1">
      <c r="Q85" s="362"/>
      <c r="R85" s="367"/>
      <c r="S85" s="362"/>
      <c r="T85" s="362"/>
      <c r="U85" s="362"/>
      <c r="V85" s="362"/>
      <c r="W85" s="362"/>
      <c r="X85" s="362"/>
      <c r="Y85" s="362"/>
      <c r="Z85" s="362"/>
      <c r="AA85" s="362"/>
      <c r="AB85" s="362"/>
      <c r="AC85" s="362"/>
      <c r="AH85" s="141"/>
      <c r="AI85" s="1247" t="s">
        <v>64</v>
      </c>
      <c r="AJ85" s="1247"/>
      <c r="AK85" s="1247"/>
      <c r="AL85" s="151">
        <f>AL84-PPE!$I$15</f>
        <v>109.02059991327964</v>
      </c>
      <c r="AM85" s="151">
        <f>AM84-PPE!$I$15</f>
        <v>101.02059991327963</v>
      </c>
      <c r="AN85" s="151">
        <f>AN84-PPE!$I$15</f>
        <v>102.02059991327963</v>
      </c>
      <c r="AO85" s="151">
        <f>AO84-PPE!$I$15</f>
        <v>95.020599913279639</v>
      </c>
      <c r="AR85"/>
      <c r="AS85"/>
      <c r="AT85"/>
      <c r="AU85"/>
      <c r="AV85"/>
      <c r="AW85"/>
      <c r="AX85"/>
      <c r="BA85" s="17"/>
    </row>
    <row r="86" spans="17:53" ht="12.75" customHeight="1">
      <c r="Q86" s="362"/>
      <c r="R86" s="367"/>
      <c r="S86" s="362"/>
      <c r="T86" s="362"/>
      <c r="U86" s="362"/>
      <c r="V86" s="362"/>
      <c r="W86" s="362"/>
      <c r="X86" s="362"/>
      <c r="Y86" s="362"/>
      <c r="Z86" s="362"/>
      <c r="AA86" s="362"/>
      <c r="AB86" s="362"/>
      <c r="AC86" s="362"/>
      <c r="AH86" s="141"/>
      <c r="AI86" s="1247" t="s">
        <v>529</v>
      </c>
      <c r="AJ86" s="1247"/>
      <c r="AK86" s="1247"/>
      <c r="AL86" s="143">
        <v>110</v>
      </c>
      <c r="AM86" s="143">
        <v>110</v>
      </c>
      <c r="AN86" s="143">
        <v>110</v>
      </c>
      <c r="AO86" s="143">
        <v>110</v>
      </c>
      <c r="AR86"/>
      <c r="AS86"/>
      <c r="AT86"/>
      <c r="AU86"/>
      <c r="AV86"/>
      <c r="AW86"/>
      <c r="AX86"/>
      <c r="BA86" s="17"/>
    </row>
    <row r="87" spans="17:53" ht="12.75" customHeight="1">
      <c r="Q87" s="362"/>
      <c r="R87" s="367"/>
      <c r="S87" s="362"/>
      <c r="T87" s="362"/>
      <c r="U87" s="362"/>
      <c r="V87" s="362"/>
      <c r="W87" s="362"/>
      <c r="X87" s="362"/>
      <c r="Y87" s="362"/>
      <c r="Z87" s="362"/>
      <c r="AA87" s="362"/>
      <c r="AB87" s="362"/>
      <c r="AC87" s="362"/>
      <c r="AH87" s="141"/>
      <c r="AR87"/>
      <c r="AS87"/>
      <c r="AT87"/>
      <c r="AU87"/>
      <c r="AV87"/>
      <c r="AW87"/>
      <c r="AX87"/>
      <c r="BA87" s="17"/>
    </row>
    <row r="88" spans="17:53" ht="12.75" customHeight="1">
      <c r="Q88" s="362"/>
      <c r="R88" s="367"/>
      <c r="S88" s="362"/>
      <c r="T88" s="362"/>
      <c r="U88" s="362"/>
      <c r="V88" s="362"/>
      <c r="W88" s="362"/>
      <c r="X88" s="362"/>
      <c r="Y88" s="362"/>
      <c r="Z88" s="362"/>
      <c r="AA88" s="362"/>
      <c r="AB88" s="362"/>
      <c r="AC88" s="362"/>
      <c r="AH88" s="138" t="s">
        <v>305</v>
      </c>
      <c r="AI88" s="1260" t="s">
        <v>218</v>
      </c>
      <c r="AJ88" s="1260"/>
      <c r="AK88" s="1260"/>
      <c r="AL88" s="1260"/>
      <c r="AM88" s="1260"/>
      <c r="AN88" s="1260"/>
      <c r="AO88" s="1260"/>
      <c r="AP88" s="1260"/>
      <c r="AQ88" s="1260"/>
      <c r="AR88"/>
      <c r="AS88"/>
      <c r="AT88"/>
      <c r="AU88"/>
      <c r="AV88"/>
      <c r="AW88"/>
      <c r="AX88"/>
      <c r="BA88" s="43"/>
    </row>
    <row r="89" spans="17:53" ht="12.75" customHeight="1">
      <c r="Q89" s="362"/>
      <c r="R89" s="367"/>
      <c r="S89" s="362"/>
      <c r="T89" s="362"/>
      <c r="U89" s="362"/>
      <c r="V89" s="362"/>
      <c r="W89" s="362"/>
      <c r="X89" s="362"/>
      <c r="Y89" s="362"/>
      <c r="Z89" s="362"/>
      <c r="AA89" s="362"/>
      <c r="AB89" s="362"/>
      <c r="AC89" s="362"/>
      <c r="AH89" s="142"/>
      <c r="AR89"/>
      <c r="AS89"/>
      <c r="AT89"/>
      <c r="AU89"/>
      <c r="AV89"/>
      <c r="AW89"/>
      <c r="AX89"/>
    </row>
    <row r="90" spans="17:53" ht="12.75" customHeight="1">
      <c r="Q90" s="362"/>
      <c r="R90" s="367"/>
      <c r="S90" s="362"/>
      <c r="T90" s="362"/>
      <c r="U90" s="362"/>
      <c r="V90" s="362"/>
      <c r="W90" s="362"/>
      <c r="X90" s="362"/>
      <c r="Y90" s="362"/>
      <c r="Z90" s="362"/>
      <c r="AA90" s="362"/>
      <c r="AB90" s="362"/>
      <c r="AC90" s="362"/>
      <c r="AH90" s="142"/>
      <c r="AI90" s="18" t="s">
        <v>436</v>
      </c>
      <c r="AR90"/>
      <c r="AS90"/>
      <c r="AT90"/>
      <c r="AU90"/>
      <c r="AV90"/>
      <c r="AW90"/>
      <c r="AX90"/>
    </row>
    <row r="91" spans="17:53" ht="12.75" customHeight="1">
      <c r="Q91" s="362"/>
      <c r="R91" s="367"/>
      <c r="S91" s="362"/>
      <c r="T91" s="362"/>
      <c r="U91" s="362"/>
      <c r="V91" s="362"/>
      <c r="W91" s="362"/>
      <c r="X91" s="362"/>
      <c r="Y91" s="362"/>
      <c r="Z91" s="362"/>
      <c r="AA91" s="362"/>
      <c r="AB91" s="362"/>
      <c r="AC91" s="362"/>
      <c r="AH91" s="141"/>
      <c r="AI91" s="1266" t="s">
        <v>678</v>
      </c>
      <c r="AJ91" s="1266"/>
      <c r="AK91" s="1266"/>
      <c r="AL91" s="1310" t="s">
        <v>21</v>
      </c>
      <c r="AM91" s="1306" t="s">
        <v>22</v>
      </c>
      <c r="AN91" s="1308" t="s">
        <v>579</v>
      </c>
      <c r="AO91" s="1271" t="s">
        <v>500</v>
      </c>
      <c r="AR91"/>
      <c r="AS91"/>
      <c r="AT91"/>
      <c r="AU91"/>
      <c r="AV91"/>
      <c r="AW91"/>
      <c r="AX91"/>
    </row>
    <row r="92" spans="17:53" ht="12.75" customHeight="1">
      <c r="Q92" s="362"/>
      <c r="R92" s="367"/>
      <c r="S92" s="362"/>
      <c r="T92" s="362"/>
      <c r="U92" s="362"/>
      <c r="V92" s="362"/>
      <c r="W92" s="362"/>
      <c r="X92" s="362"/>
      <c r="Y92" s="362"/>
      <c r="Z92" s="362"/>
      <c r="AA92" s="362"/>
      <c r="AB92" s="362"/>
      <c r="AC92" s="362"/>
      <c r="AH92" s="141"/>
      <c r="AI92" s="1266"/>
      <c r="AJ92" s="1266"/>
      <c r="AK92" s="1266"/>
      <c r="AL92" s="1311"/>
      <c r="AM92" s="1307"/>
      <c r="AN92" s="1309"/>
      <c r="AO92" s="1272"/>
      <c r="AR92"/>
      <c r="AS92"/>
      <c r="AT92"/>
      <c r="AU92"/>
      <c r="AV92"/>
      <c r="AW92"/>
      <c r="AX92"/>
    </row>
    <row r="93" spans="17:53" ht="12.75" customHeight="1">
      <c r="Q93" s="362"/>
      <c r="R93" s="367"/>
      <c r="S93" s="362"/>
      <c r="T93" s="362"/>
      <c r="U93" s="362"/>
      <c r="V93" s="362"/>
      <c r="W93" s="362"/>
      <c r="X93" s="362"/>
      <c r="Y93" s="362"/>
      <c r="Z93" s="362"/>
      <c r="AA93" s="362"/>
      <c r="AB93" s="362"/>
      <c r="AC93" s="362"/>
      <c r="AH93" s="141"/>
      <c r="AI93" s="1247" t="s">
        <v>63</v>
      </c>
      <c r="AJ93" s="1247"/>
      <c r="AK93" s="1247"/>
      <c r="AL93" s="143">
        <f>AL308</f>
        <v>108.5</v>
      </c>
      <c r="AM93" s="143">
        <f>AL337</f>
        <v>101.95</v>
      </c>
      <c r="AN93" s="143">
        <f>AL366</f>
        <v>102.4</v>
      </c>
      <c r="AO93" s="143">
        <f>AL395</f>
        <v>97.15</v>
      </c>
      <c r="AR93"/>
      <c r="AS93"/>
      <c r="AT93"/>
      <c r="AU93"/>
      <c r="AV93"/>
      <c r="AW93"/>
      <c r="AX93"/>
    </row>
    <row r="94" spans="17:53" ht="12.75" customHeight="1">
      <c r="Q94" s="362"/>
      <c r="R94" s="367"/>
      <c r="S94" s="362"/>
      <c r="T94" s="362"/>
      <c r="U94" s="362"/>
      <c r="V94" s="362"/>
      <c r="W94" s="362"/>
      <c r="X94" s="362"/>
      <c r="Y94" s="362"/>
      <c r="Z94" s="362"/>
      <c r="AA94" s="362"/>
      <c r="AB94" s="362"/>
      <c r="AC94" s="362"/>
      <c r="AH94" s="141"/>
      <c r="AI94" s="1247" t="s">
        <v>64</v>
      </c>
      <c r="AJ94" s="1247"/>
      <c r="AK94" s="1247"/>
      <c r="AL94" s="143">
        <f>AL321</f>
        <v>95.55</v>
      </c>
      <c r="AM94" s="143">
        <f>AL350</f>
        <v>88.95</v>
      </c>
      <c r="AN94" s="143">
        <f>AL379</f>
        <v>89.3</v>
      </c>
      <c r="AO94" s="143">
        <f>AL408</f>
        <v>84.15</v>
      </c>
      <c r="AR94"/>
      <c r="AS94"/>
      <c r="AT94"/>
      <c r="AU94"/>
      <c r="AV94"/>
      <c r="AW94"/>
      <c r="AX94"/>
    </row>
    <row r="95" spans="17:53" ht="12.75" customHeight="1">
      <c r="Q95" s="362"/>
      <c r="R95" s="367"/>
      <c r="S95" s="362"/>
      <c r="T95" s="362"/>
      <c r="U95" s="362"/>
      <c r="V95" s="362"/>
      <c r="W95" s="362"/>
      <c r="X95" s="362"/>
      <c r="Y95" s="362"/>
      <c r="Z95" s="362"/>
      <c r="AA95" s="362"/>
      <c r="AB95" s="362"/>
      <c r="AC95" s="362"/>
      <c r="AH95" s="141"/>
      <c r="AI95" s="1247" t="s">
        <v>530</v>
      </c>
      <c r="AJ95" s="1247"/>
      <c r="AK95" s="1247"/>
      <c r="AL95" s="143">
        <v>85</v>
      </c>
      <c r="AM95" s="143">
        <v>85</v>
      </c>
      <c r="AN95" s="143">
        <v>85</v>
      </c>
      <c r="AO95" s="143">
        <v>85</v>
      </c>
      <c r="AR95"/>
      <c r="AS95"/>
      <c r="AT95"/>
      <c r="AU95"/>
      <c r="AV95"/>
      <c r="AW95"/>
      <c r="AX95"/>
    </row>
    <row r="96" spans="17:53" ht="12.75" customHeight="1">
      <c r="Q96" s="362"/>
      <c r="R96" s="367"/>
      <c r="S96" s="362"/>
      <c r="T96" s="362"/>
      <c r="U96" s="362"/>
      <c r="V96" s="362"/>
      <c r="W96" s="362"/>
      <c r="X96" s="362"/>
      <c r="Y96" s="362"/>
      <c r="Z96" s="362"/>
      <c r="AA96" s="362"/>
      <c r="AB96" s="362"/>
      <c r="AC96" s="362"/>
      <c r="AH96" s="141"/>
      <c r="AR96"/>
      <c r="AS96"/>
      <c r="AT96"/>
      <c r="AU96"/>
      <c r="AV96"/>
      <c r="AW96"/>
      <c r="AX96"/>
    </row>
    <row r="97" spans="18:50" ht="12.75" customHeight="1">
      <c r="R97"/>
      <c r="AH97" s="141"/>
      <c r="AI97" s="18" t="s">
        <v>437</v>
      </c>
      <c r="AR97"/>
      <c r="AS97"/>
      <c r="AT97"/>
      <c r="AU97"/>
      <c r="AV97"/>
      <c r="AW97"/>
      <c r="AX97"/>
    </row>
    <row r="98" spans="18:50" ht="12.75" customHeight="1">
      <c r="R98"/>
      <c r="AH98" s="141"/>
      <c r="AI98" s="1266" t="s">
        <v>678</v>
      </c>
      <c r="AJ98" s="1266"/>
      <c r="AK98" s="1266"/>
      <c r="AL98" s="1310" t="s">
        <v>21</v>
      </c>
      <c r="AM98" s="1306" t="s">
        <v>22</v>
      </c>
      <c r="AN98" s="1308" t="s">
        <v>579</v>
      </c>
      <c r="AO98" s="1271" t="s">
        <v>500</v>
      </c>
      <c r="AR98"/>
      <c r="AS98"/>
      <c r="AT98"/>
      <c r="AU98"/>
      <c r="AV98"/>
      <c r="AW98"/>
      <c r="AX98"/>
    </row>
    <row r="99" spans="18:50" ht="12.75" customHeight="1">
      <c r="R99"/>
      <c r="AH99" s="141"/>
      <c r="AI99" s="1266"/>
      <c r="AJ99" s="1266"/>
      <c r="AK99" s="1266"/>
      <c r="AL99" s="1311"/>
      <c r="AM99" s="1307"/>
      <c r="AN99" s="1309"/>
      <c r="AO99" s="1272"/>
      <c r="AR99"/>
      <c r="AS99"/>
      <c r="AT99"/>
      <c r="AU99"/>
      <c r="AV99"/>
      <c r="AW99"/>
      <c r="AX99"/>
    </row>
    <row r="100" spans="18:50" ht="12.75" customHeight="1">
      <c r="R100"/>
      <c r="AH100" s="141"/>
      <c r="AI100" s="1247" t="s">
        <v>63</v>
      </c>
      <c r="AJ100" s="1247"/>
      <c r="AK100" s="1247"/>
      <c r="AL100" s="143">
        <f>AL427</f>
        <v>113.95</v>
      </c>
      <c r="AM100" s="143">
        <f>AL456</f>
        <v>107.95</v>
      </c>
      <c r="AN100" s="143">
        <f>AL485</f>
        <v>108.4</v>
      </c>
      <c r="AO100" s="143">
        <f>AL514</f>
        <v>103.15</v>
      </c>
      <c r="AR100"/>
      <c r="AS100"/>
      <c r="AT100"/>
      <c r="AU100"/>
      <c r="AV100"/>
      <c r="AW100"/>
      <c r="AX100"/>
    </row>
    <row r="101" spans="18:50" ht="12.75" customHeight="1">
      <c r="R101"/>
      <c r="AH101" s="141"/>
      <c r="AI101" s="1247" t="s">
        <v>64</v>
      </c>
      <c r="AJ101" s="1247"/>
      <c r="AK101" s="1247"/>
      <c r="AL101" s="143">
        <f>AL440</f>
        <v>101.55</v>
      </c>
      <c r="AM101" s="143">
        <f>AL469</f>
        <v>94.95</v>
      </c>
      <c r="AN101" s="143">
        <f>AL498</f>
        <v>95.3</v>
      </c>
      <c r="AO101" s="143">
        <f>AL527</f>
        <v>90.15</v>
      </c>
      <c r="AR101"/>
      <c r="AS101"/>
      <c r="AT101"/>
      <c r="AU101"/>
      <c r="AV101"/>
      <c r="AW101"/>
      <c r="AX101"/>
    </row>
    <row r="102" spans="18:50" ht="12.75" customHeight="1">
      <c r="R102"/>
      <c r="AH102" s="141"/>
      <c r="AI102" s="1247" t="s">
        <v>530</v>
      </c>
      <c r="AJ102" s="1247"/>
      <c r="AK102" s="1247"/>
      <c r="AL102" s="143">
        <v>85</v>
      </c>
      <c r="AM102" s="143">
        <v>85</v>
      </c>
      <c r="AN102" s="143">
        <v>85</v>
      </c>
      <c r="AO102" s="143">
        <v>85</v>
      </c>
      <c r="AR102"/>
      <c r="AS102"/>
      <c r="AT102"/>
      <c r="AU102"/>
      <c r="AV102"/>
      <c r="AW102"/>
      <c r="AX102"/>
    </row>
    <row r="103" spans="18:50" ht="12.75" customHeight="1">
      <c r="R103"/>
      <c r="AH103" s="141"/>
      <c r="AR103"/>
      <c r="AS103"/>
      <c r="AT103"/>
      <c r="AU103"/>
      <c r="AV103"/>
      <c r="AW103"/>
      <c r="AX103"/>
    </row>
    <row r="104" spans="18:50" ht="12.75" customHeight="1">
      <c r="R104"/>
      <c r="AH104" s="138" t="s">
        <v>222</v>
      </c>
      <c r="AI104" s="1260" t="s">
        <v>504</v>
      </c>
      <c r="AJ104" s="1260"/>
      <c r="AK104" s="1260"/>
      <c r="AL104" s="1260"/>
      <c r="AM104" s="1260"/>
      <c r="AN104" s="1260"/>
      <c r="AO104" s="1260"/>
      <c r="AP104" s="1260"/>
      <c r="AQ104" s="1260"/>
      <c r="AR104"/>
      <c r="AS104"/>
      <c r="AT104"/>
      <c r="AU104"/>
      <c r="AV104"/>
      <c r="AW104"/>
      <c r="AX104"/>
    </row>
    <row r="105" spans="18:50" ht="12.75" customHeight="1">
      <c r="R105"/>
      <c r="AH105" s="141"/>
      <c r="AR105"/>
      <c r="AS105"/>
      <c r="AT105"/>
      <c r="AU105"/>
      <c r="AV105"/>
      <c r="AW105"/>
      <c r="AX105"/>
    </row>
    <row r="106" spans="18:50" ht="12.75" customHeight="1">
      <c r="R106"/>
      <c r="AH106" s="141" t="s">
        <v>505</v>
      </c>
      <c r="AI106" s="18" t="s">
        <v>514</v>
      </c>
      <c r="AR106"/>
      <c r="AS106"/>
      <c r="AT106"/>
      <c r="AU106"/>
      <c r="AV106"/>
      <c r="AW106"/>
      <c r="AX106"/>
    </row>
    <row r="107" spans="18:50" ht="12.75" customHeight="1">
      <c r="R107"/>
      <c r="AH107" s="141"/>
      <c r="AI107" s="18" t="s">
        <v>512</v>
      </c>
      <c r="AR107"/>
      <c r="AS107"/>
      <c r="AT107"/>
      <c r="AU107"/>
      <c r="AV107"/>
      <c r="AW107"/>
      <c r="AX107"/>
    </row>
    <row r="108" spans="18:50" ht="12.75" customHeight="1">
      <c r="R108"/>
      <c r="AH108" s="141"/>
      <c r="AI108" s="1252" t="s">
        <v>191</v>
      </c>
      <c r="AJ108" s="1253"/>
      <c r="AK108" s="1254"/>
      <c r="AL108" s="1258" t="s">
        <v>21</v>
      </c>
      <c r="AM108" s="1267" t="s">
        <v>22</v>
      </c>
      <c r="AN108" s="1269" t="s">
        <v>579</v>
      </c>
      <c r="AO108" s="1271" t="s">
        <v>500</v>
      </c>
      <c r="AR108"/>
      <c r="AS108"/>
      <c r="AT108"/>
      <c r="AU108"/>
      <c r="AV108"/>
      <c r="AW108"/>
      <c r="AX108"/>
    </row>
    <row r="109" spans="18:50" ht="12.75" customHeight="1">
      <c r="R109"/>
      <c r="AH109" s="141"/>
      <c r="AI109" s="1255"/>
      <c r="AJ109" s="1256"/>
      <c r="AK109" s="1257"/>
      <c r="AL109" s="1259"/>
      <c r="AM109" s="1268"/>
      <c r="AN109" s="1270"/>
      <c r="AO109" s="1272"/>
      <c r="AR109"/>
      <c r="AS109"/>
      <c r="AT109"/>
      <c r="AU109"/>
      <c r="AV109"/>
      <c r="AW109"/>
      <c r="AX109"/>
    </row>
    <row r="110" spans="18:50" ht="12.75" customHeight="1">
      <c r="R110"/>
      <c r="AH110" s="141"/>
      <c r="AI110" s="1247" t="s">
        <v>63</v>
      </c>
      <c r="AJ110" s="1247"/>
      <c r="AK110" s="1247"/>
      <c r="AL110" s="145">
        <f>VLOOKUP(AL77,'Lookup Exposure Time'!$B$12:$C$732,2)</f>
        <v>0.39061999999999986</v>
      </c>
      <c r="AM110" s="145">
        <f>VLOOKUP(AM77,'Lookup Exposure Time'!$B$12:$C$732,2)</f>
        <v>2.5</v>
      </c>
      <c r="AN110" s="145">
        <f>VLOOKUP(AN77,'Lookup Exposure Time'!$B$12:$C$732,2)</f>
        <v>1.875</v>
      </c>
      <c r="AO110" s="145">
        <f>VLOOKUP(AO77,'Lookup Exposure Time'!$B$12:$C$732,2)</f>
        <v>10</v>
      </c>
      <c r="AR110"/>
      <c r="AS110"/>
      <c r="AT110"/>
      <c r="AU110"/>
      <c r="AV110"/>
      <c r="AW110"/>
      <c r="AX110"/>
    </row>
    <row r="111" spans="18:50" ht="12.75" customHeight="1">
      <c r="R111"/>
      <c r="AH111" s="141"/>
      <c r="AI111" s="1247" t="s">
        <v>64</v>
      </c>
      <c r="AJ111" s="1247"/>
      <c r="AK111" s="1247"/>
      <c r="AL111" s="145">
        <f>VLOOKUP(AL78,'Lookup Exposure Time'!$B$12:$C$732,2)</f>
        <v>7.5</v>
      </c>
      <c r="AM111" s="145">
        <f>VLOOKUP(AM78,'Lookup Exposure Time'!$B$12:$C$732,2)</f>
        <v>50</v>
      </c>
      <c r="AN111" s="145">
        <f>VLOOKUP(AN78,'Lookup Exposure Time'!$B$12:$C$732,2)</f>
        <v>40</v>
      </c>
      <c r="AO111" s="145">
        <f>VLOOKUP(AO78,'Lookup Exposure Time'!$B$12:$C$732,2)</f>
        <v>200</v>
      </c>
      <c r="AR111"/>
      <c r="AS111"/>
      <c r="AT111"/>
      <c r="AU111"/>
      <c r="AV111"/>
      <c r="AW111"/>
      <c r="AX111"/>
    </row>
    <row r="112" spans="18:50" ht="12.75" customHeight="1">
      <c r="R112"/>
      <c r="AH112" s="141"/>
      <c r="AR112"/>
      <c r="AS112"/>
      <c r="AT112"/>
      <c r="AU112"/>
      <c r="AV112"/>
      <c r="AW112"/>
      <c r="AX112"/>
    </row>
    <row r="113" spans="18:50" ht="12.75" customHeight="1">
      <c r="R113"/>
      <c r="AH113" s="141" t="s">
        <v>507</v>
      </c>
      <c r="AI113" s="18" t="s">
        <v>513</v>
      </c>
      <c r="AR113"/>
      <c r="AS113"/>
      <c r="AT113"/>
      <c r="AU113"/>
      <c r="AV113"/>
      <c r="AW113"/>
      <c r="AX113"/>
    </row>
    <row r="114" spans="18:50" ht="12.75" customHeight="1">
      <c r="R114"/>
      <c r="AH114" s="141"/>
      <c r="AI114" s="1252" t="s">
        <v>191</v>
      </c>
      <c r="AJ114" s="1253"/>
      <c r="AK114" s="1254"/>
      <c r="AL114" s="1258" t="s">
        <v>21</v>
      </c>
      <c r="AM114" s="1267" t="s">
        <v>22</v>
      </c>
      <c r="AN114" s="1269" t="s">
        <v>579</v>
      </c>
      <c r="AO114" s="1271" t="s">
        <v>500</v>
      </c>
      <c r="AR114"/>
      <c r="AS114"/>
      <c r="AT114"/>
      <c r="AU114"/>
      <c r="AV114"/>
      <c r="AW114"/>
      <c r="AX114"/>
    </row>
    <row r="115" spans="18:50" ht="12.75" customHeight="1">
      <c r="R115"/>
      <c r="AH115" s="141"/>
      <c r="AI115" s="1255"/>
      <c r="AJ115" s="1256"/>
      <c r="AK115" s="1257"/>
      <c r="AL115" s="1259"/>
      <c r="AM115" s="1268"/>
      <c r="AN115" s="1270"/>
      <c r="AO115" s="1272"/>
      <c r="AR115"/>
      <c r="AS115"/>
      <c r="AT115"/>
      <c r="AU115"/>
      <c r="AV115"/>
      <c r="AW115"/>
      <c r="AX115"/>
    </row>
    <row r="116" spans="18:50" ht="12.75" customHeight="1">
      <c r="R116"/>
      <c r="AH116" s="141"/>
      <c r="AI116" s="1247" t="s">
        <v>63</v>
      </c>
      <c r="AJ116" s="1247"/>
      <c r="AK116" s="1247"/>
      <c r="AL116" s="152">
        <f>VLOOKUP(AL84,'Lookup Exposure Time'!$B$12:$C$732,2)</f>
        <v>9.765625E-2</v>
      </c>
      <c r="AM116" s="152">
        <f>VLOOKUP(AM84,'Lookup Exposure Time'!$B$12:$C$732,2)</f>
        <v>0.625</v>
      </c>
      <c r="AN116" s="152">
        <f>VLOOKUP(AN84,'Lookup Exposure Time'!$B$12:$C$732,2)</f>
        <v>0.46875</v>
      </c>
      <c r="AO116" s="152">
        <f>VLOOKUP(AO84,'Lookup Exposure Time'!$B$12:$C$732,2)</f>
        <v>2.5</v>
      </c>
      <c r="AR116"/>
      <c r="AS116"/>
      <c r="AT116"/>
      <c r="AU116"/>
      <c r="AV116"/>
      <c r="AW116"/>
      <c r="AX116"/>
    </row>
    <row r="117" spans="18:50" ht="12.75" customHeight="1">
      <c r="R117"/>
      <c r="AH117" s="141"/>
      <c r="AI117" s="1247" t="s">
        <v>64</v>
      </c>
      <c r="AJ117" s="1247"/>
      <c r="AK117" s="1247"/>
      <c r="AL117" s="144">
        <f>VLOOKUP(AL85,'Lookup Exposure Time'!$B$12:$C$732,2)</f>
        <v>1.875</v>
      </c>
      <c r="AM117" s="144">
        <f>VLOOKUP(AM85,'Lookup Exposure Time'!$B$12:$C$732,2)</f>
        <v>12.5</v>
      </c>
      <c r="AN117" s="144">
        <f>VLOOKUP(AN85,'Lookup Exposure Time'!$B$12:$C$732,2)</f>
        <v>10</v>
      </c>
      <c r="AO117" s="144">
        <f>VLOOKUP(AO85,'Lookup Exposure Time'!$B$12:$C$732,2)</f>
        <v>50</v>
      </c>
      <c r="AR117"/>
      <c r="AS117"/>
      <c r="AT117"/>
      <c r="AU117"/>
      <c r="AV117"/>
      <c r="AW117"/>
      <c r="AX117"/>
    </row>
    <row r="118" spans="18:50" ht="12.75" customHeight="1">
      <c r="R118"/>
      <c r="AH118" s="141"/>
      <c r="AR118"/>
      <c r="AS118"/>
      <c r="AT118"/>
      <c r="AU118"/>
      <c r="AV118"/>
      <c r="AW118"/>
      <c r="AX118"/>
    </row>
    <row r="119" spans="18:50" ht="12.75" customHeight="1">
      <c r="R119"/>
      <c r="AH119" s="141" t="s">
        <v>508</v>
      </c>
      <c r="AI119" s="18" t="s">
        <v>531</v>
      </c>
      <c r="AR119"/>
      <c r="AS119"/>
      <c r="AT119"/>
      <c r="AU119"/>
      <c r="AV119"/>
      <c r="AW119"/>
      <c r="AX119"/>
    </row>
    <row r="120" spans="18:50" ht="12.75" customHeight="1">
      <c r="R120"/>
      <c r="AH120" s="141"/>
      <c r="AI120" s="1252" t="s">
        <v>191</v>
      </c>
      <c r="AJ120" s="1253"/>
      <c r="AK120" s="1254"/>
      <c r="AL120" s="1258" t="s">
        <v>21</v>
      </c>
      <c r="AM120" s="1267" t="s">
        <v>22</v>
      </c>
      <c r="AN120" s="1269" t="s">
        <v>579</v>
      </c>
      <c r="AO120" s="1271" t="s">
        <v>500</v>
      </c>
      <c r="AR120"/>
      <c r="AS120"/>
      <c r="AT120"/>
      <c r="AU120"/>
      <c r="AV120"/>
      <c r="AW120"/>
      <c r="AX120"/>
    </row>
    <row r="121" spans="18:50" ht="12.75" customHeight="1">
      <c r="R121"/>
      <c r="AH121" s="141"/>
      <c r="AI121" s="1255"/>
      <c r="AJ121" s="1256"/>
      <c r="AK121" s="1257"/>
      <c r="AL121" s="1259"/>
      <c r="AM121" s="1268"/>
      <c r="AN121" s="1270"/>
      <c r="AO121" s="1272"/>
      <c r="AR121"/>
      <c r="AS121"/>
      <c r="AT121"/>
      <c r="AU121"/>
      <c r="AV121"/>
      <c r="AW121"/>
      <c r="AX121"/>
    </row>
    <row r="122" spans="18:50" ht="12.75" customHeight="1">
      <c r="R122"/>
      <c r="AH122" s="141"/>
      <c r="AI122" s="1247" t="s">
        <v>63</v>
      </c>
      <c r="AJ122" s="1247"/>
      <c r="AK122" s="1247"/>
      <c r="AL122" s="145">
        <f t="shared" ref="AL122:AO123" si="5">AL110/60</f>
        <v>6.5103333333333306E-3</v>
      </c>
      <c r="AM122" s="145">
        <f t="shared" si="5"/>
        <v>4.1666666666666664E-2</v>
      </c>
      <c r="AN122" s="145">
        <f t="shared" si="5"/>
        <v>3.125E-2</v>
      </c>
      <c r="AO122" s="145">
        <f t="shared" si="5"/>
        <v>0.16666666666666666</v>
      </c>
      <c r="AR122"/>
      <c r="AS122"/>
      <c r="AT122"/>
      <c r="AU122"/>
      <c r="AV122"/>
      <c r="AW122"/>
      <c r="AX122"/>
    </row>
    <row r="123" spans="18:50" ht="12.75" customHeight="1">
      <c r="R123"/>
      <c r="AH123" s="141"/>
      <c r="AI123" s="1247" t="s">
        <v>64</v>
      </c>
      <c r="AJ123" s="1247"/>
      <c r="AK123" s="1247"/>
      <c r="AL123" s="145">
        <f t="shared" si="5"/>
        <v>0.125</v>
      </c>
      <c r="AM123" s="145">
        <f t="shared" si="5"/>
        <v>0.83333333333333337</v>
      </c>
      <c r="AN123" s="145">
        <f t="shared" si="5"/>
        <v>0.66666666666666663</v>
      </c>
      <c r="AO123" s="145">
        <f t="shared" si="5"/>
        <v>3.3333333333333335</v>
      </c>
      <c r="AR123"/>
      <c r="AS123"/>
      <c r="AT123"/>
      <c r="AU123"/>
      <c r="AV123"/>
      <c r="AW123"/>
      <c r="AX123"/>
    </row>
    <row r="124" spans="18:50" ht="12.75" customHeight="1">
      <c r="R124"/>
      <c r="AH124" s="141"/>
      <c r="AR124"/>
      <c r="AS124"/>
      <c r="AT124"/>
      <c r="AU124"/>
      <c r="AV124"/>
      <c r="AW124"/>
      <c r="AX124"/>
    </row>
    <row r="125" spans="18:50" ht="12.75" customHeight="1">
      <c r="R125"/>
      <c r="AH125" s="141" t="s">
        <v>506</v>
      </c>
      <c r="AI125" s="18" t="s">
        <v>532</v>
      </c>
      <c r="AR125"/>
      <c r="AS125"/>
      <c r="AT125"/>
      <c r="AU125"/>
      <c r="AV125"/>
      <c r="AW125"/>
      <c r="AX125"/>
    </row>
    <row r="126" spans="18:50" ht="12.75" customHeight="1">
      <c r="R126"/>
      <c r="AH126" s="141"/>
      <c r="AI126" s="1252" t="s">
        <v>191</v>
      </c>
      <c r="AJ126" s="1253"/>
      <c r="AK126" s="1254"/>
      <c r="AL126" s="1258" t="s">
        <v>21</v>
      </c>
      <c r="AM126" s="1267" t="s">
        <v>22</v>
      </c>
      <c r="AN126" s="1269" t="s">
        <v>579</v>
      </c>
      <c r="AO126" s="1271" t="s">
        <v>500</v>
      </c>
      <c r="AR126"/>
      <c r="AS126"/>
      <c r="AT126"/>
      <c r="AU126"/>
      <c r="AV126"/>
      <c r="AW126"/>
      <c r="AX126"/>
    </row>
    <row r="127" spans="18:50" ht="12.75" customHeight="1">
      <c r="R127"/>
      <c r="AH127" s="141"/>
      <c r="AI127" s="1255"/>
      <c r="AJ127" s="1256"/>
      <c r="AK127" s="1257"/>
      <c r="AL127" s="1259"/>
      <c r="AM127" s="1268"/>
      <c r="AN127" s="1270"/>
      <c r="AO127" s="1272"/>
      <c r="AR127"/>
      <c r="AS127"/>
      <c r="AT127"/>
      <c r="AU127"/>
      <c r="AV127"/>
      <c r="AW127"/>
      <c r="AX127"/>
    </row>
    <row r="128" spans="18:50" ht="12.75" customHeight="1">
      <c r="R128"/>
      <c r="AH128" s="141"/>
      <c r="AI128" s="1247" t="s">
        <v>63</v>
      </c>
      <c r="AJ128" s="1247"/>
      <c r="AK128" s="1247"/>
      <c r="AL128" s="145">
        <f t="shared" ref="AL128:AO129" si="6">AL116/60</f>
        <v>1.6276041666666667E-3</v>
      </c>
      <c r="AM128" s="145">
        <f t="shared" si="6"/>
        <v>1.0416666666666666E-2</v>
      </c>
      <c r="AN128" s="145">
        <f t="shared" si="6"/>
        <v>7.8125E-3</v>
      </c>
      <c r="AO128" s="145">
        <f t="shared" si="6"/>
        <v>4.1666666666666664E-2</v>
      </c>
      <c r="AR128"/>
      <c r="AS128"/>
      <c r="AT128"/>
      <c r="AU128"/>
      <c r="AV128"/>
      <c r="AW128"/>
      <c r="AX128"/>
    </row>
    <row r="129" spans="18:50" ht="12.75" customHeight="1">
      <c r="R129"/>
      <c r="AH129" s="141"/>
      <c r="AI129" s="1247" t="s">
        <v>64</v>
      </c>
      <c r="AJ129" s="1247"/>
      <c r="AK129" s="1247"/>
      <c r="AL129" s="145">
        <f t="shared" si="6"/>
        <v>3.125E-2</v>
      </c>
      <c r="AM129" s="145">
        <f t="shared" si="6"/>
        <v>0.20833333333333334</v>
      </c>
      <c r="AN129" s="145">
        <f t="shared" si="6"/>
        <v>0.16666666666666666</v>
      </c>
      <c r="AO129" s="145">
        <f t="shared" si="6"/>
        <v>0.83333333333333337</v>
      </c>
      <c r="AR129"/>
      <c r="AS129"/>
      <c r="AT129"/>
      <c r="AU129"/>
      <c r="AV129"/>
      <c r="AW129"/>
      <c r="AX129"/>
    </row>
    <row r="130" spans="18:50" ht="12.75" customHeight="1">
      <c r="R130"/>
      <c r="AH130" s="141"/>
      <c r="AR130"/>
      <c r="AS130"/>
      <c r="AT130"/>
      <c r="AU130"/>
      <c r="AV130"/>
      <c r="AW130"/>
      <c r="AX130"/>
    </row>
    <row r="131" spans="18:50" ht="12.75" customHeight="1">
      <c r="R131"/>
      <c r="AH131" s="142" t="s">
        <v>231</v>
      </c>
      <c r="AI131" s="1261" t="s">
        <v>232</v>
      </c>
      <c r="AJ131" s="1261"/>
      <c r="AK131" s="1261"/>
      <c r="AL131" s="1261"/>
      <c r="AM131" s="1261"/>
      <c r="AN131" s="1261"/>
      <c r="AO131" s="1261"/>
      <c r="AP131" s="1261"/>
      <c r="AQ131" s="1261"/>
      <c r="AR131"/>
      <c r="AS131"/>
      <c r="AT131"/>
      <c r="AU131"/>
      <c r="AV131"/>
      <c r="AW131"/>
      <c r="AX131"/>
    </row>
    <row r="132" spans="18:50" ht="12.75" customHeight="1">
      <c r="R132"/>
      <c r="AH132" s="142"/>
      <c r="AI132" s="141"/>
      <c r="AJ132" s="141"/>
      <c r="AK132" s="141"/>
      <c r="AL132" s="141"/>
      <c r="AM132" s="141"/>
      <c r="AN132" s="141"/>
      <c r="AO132" s="141"/>
      <c r="AP132" s="141"/>
      <c r="AQ132" s="141"/>
      <c r="AR132"/>
      <c r="AS132"/>
      <c r="AT132"/>
      <c r="AU132"/>
      <c r="AV132"/>
      <c r="AW132"/>
      <c r="AX132"/>
    </row>
    <row r="133" spans="18:50" ht="12.75" customHeight="1">
      <c r="R133"/>
      <c r="AH133" s="142"/>
      <c r="AI133" s="18" t="s">
        <v>233</v>
      </c>
      <c r="AR133"/>
      <c r="AS133"/>
      <c r="AT133"/>
      <c r="AU133"/>
      <c r="AV133"/>
      <c r="AW133"/>
      <c r="AX133"/>
    </row>
    <row r="134" spans="18:50" ht="12.75" customHeight="1">
      <c r="R134"/>
      <c r="AH134" s="141"/>
      <c r="AI134" s="1252" t="s">
        <v>678</v>
      </c>
      <c r="AJ134" s="1253"/>
      <c r="AK134" s="1254"/>
      <c r="AL134" s="1258" t="s">
        <v>21</v>
      </c>
      <c r="AM134" s="1267" t="s">
        <v>22</v>
      </c>
      <c r="AN134" s="1269" t="s">
        <v>579</v>
      </c>
      <c r="AO134" s="1271" t="s">
        <v>500</v>
      </c>
      <c r="AR134"/>
      <c r="AS134"/>
      <c r="AT134"/>
      <c r="AU134"/>
      <c r="AV134"/>
      <c r="AW134"/>
      <c r="AX134"/>
    </row>
    <row r="135" spans="18:50" ht="12.75" customHeight="1">
      <c r="R135"/>
      <c r="AH135" s="141"/>
      <c r="AI135" s="1255"/>
      <c r="AJ135" s="1256"/>
      <c r="AK135" s="1257"/>
      <c r="AL135" s="1259"/>
      <c r="AM135" s="1268"/>
      <c r="AN135" s="1270"/>
      <c r="AO135" s="1272"/>
      <c r="AR135"/>
      <c r="AS135"/>
      <c r="AT135"/>
      <c r="AU135"/>
      <c r="AV135"/>
      <c r="AW135"/>
      <c r="AX135"/>
    </row>
    <row r="136" spans="18:50" ht="13.5" customHeight="1">
      <c r="R136"/>
      <c r="AH136" s="141"/>
      <c r="AI136" s="1247" t="s">
        <v>438</v>
      </c>
      <c r="AJ136" s="1247"/>
      <c r="AK136" s="1247"/>
      <c r="AL136" s="151">
        <f>VLOOKUP($E$5,'Lookup Vibration'!$B$8:$F$208,2)</f>
        <v>18.049999999999951</v>
      </c>
      <c r="AM136" s="151">
        <f>VLOOKUP($E$5,'Lookup Vibration'!$B$8:$F$208,3)</f>
        <v>18.049999999999951</v>
      </c>
      <c r="AN136" s="151">
        <f>VLOOKUP($E$5,'Lookup Vibration'!$B$8:$F$208,4)</f>
        <v>19.950000000000074</v>
      </c>
      <c r="AO136" s="151">
        <f>VLOOKUP($E$5,'Lookup Vibration'!$B$8:$F$208,5)</f>
        <v>8.299999999999967</v>
      </c>
      <c r="AR136"/>
      <c r="AS136"/>
      <c r="AT136"/>
      <c r="AU136"/>
      <c r="AV136"/>
      <c r="AW136"/>
      <c r="AX136"/>
    </row>
    <row r="137" spans="18:50" ht="13.5" customHeight="1">
      <c r="R137"/>
      <c r="AH137" s="141"/>
      <c r="AR137"/>
      <c r="AS137"/>
      <c r="AT137"/>
      <c r="AU137"/>
      <c r="AV137"/>
      <c r="AW137"/>
      <c r="AX137"/>
    </row>
    <row r="138" spans="18:50" ht="13.5" customHeight="1">
      <c r="R138"/>
      <c r="AH138" s="142" t="s">
        <v>235</v>
      </c>
      <c r="AI138" s="1261" t="s">
        <v>34</v>
      </c>
      <c r="AJ138" s="1261"/>
      <c r="AK138" s="1261"/>
      <c r="AL138" s="1261"/>
      <c r="AM138" s="1261"/>
      <c r="AN138" s="1261"/>
      <c r="AO138" s="1261"/>
      <c r="AP138" s="1261"/>
      <c r="AQ138" s="1261"/>
      <c r="AR138"/>
      <c r="AS138"/>
      <c r="AT138"/>
      <c r="AU138"/>
      <c r="AV138"/>
      <c r="AW138"/>
      <c r="AX138"/>
    </row>
    <row r="139" spans="18:50" ht="13.5" customHeight="1">
      <c r="R139"/>
      <c r="AH139" s="142"/>
      <c r="AR139"/>
      <c r="AS139"/>
      <c r="AT139"/>
      <c r="AU139"/>
      <c r="AV139"/>
      <c r="AW139"/>
      <c r="AX139"/>
    </row>
    <row r="140" spans="18:50" ht="12.75" customHeight="1">
      <c r="R140"/>
      <c r="AH140" s="141"/>
      <c r="AI140" s="1252" t="s">
        <v>678</v>
      </c>
      <c r="AJ140" s="1253"/>
      <c r="AK140" s="1254"/>
      <c r="AL140" s="1258" t="s">
        <v>21</v>
      </c>
      <c r="AM140" s="1267" t="s">
        <v>22</v>
      </c>
      <c r="AN140" s="1269" t="s">
        <v>579</v>
      </c>
      <c r="AO140" s="1271" t="s">
        <v>500</v>
      </c>
      <c r="AR140"/>
      <c r="AS140"/>
      <c r="AT140"/>
      <c r="AU140"/>
      <c r="AV140"/>
      <c r="AW140"/>
      <c r="AX140"/>
    </row>
    <row r="141" spans="18:50" ht="12.75" customHeight="1">
      <c r="R141"/>
      <c r="AH141" s="141"/>
      <c r="AI141" s="1255"/>
      <c r="AJ141" s="1256"/>
      <c r="AK141" s="1257"/>
      <c r="AL141" s="1259"/>
      <c r="AM141" s="1268"/>
      <c r="AN141" s="1270"/>
      <c r="AO141" s="1272"/>
      <c r="AR141"/>
      <c r="AS141"/>
      <c r="AT141"/>
      <c r="AU141"/>
      <c r="AV141"/>
      <c r="AW141"/>
      <c r="AX141"/>
    </row>
    <row r="142" spans="18:50" ht="12.75" customHeight="1">
      <c r="R142"/>
      <c r="AH142" s="141"/>
      <c r="AI142" s="1303" t="s">
        <v>298</v>
      </c>
      <c r="AJ142" s="1303"/>
      <c r="AK142" s="1303"/>
      <c r="AL142" s="136" t="s">
        <v>818</v>
      </c>
      <c r="AM142" s="136" t="s">
        <v>818</v>
      </c>
      <c r="AN142" s="136" t="s">
        <v>818</v>
      </c>
      <c r="AO142" s="136" t="s">
        <v>819</v>
      </c>
      <c r="AR142"/>
      <c r="AS142"/>
      <c r="AT142"/>
      <c r="AU142"/>
      <c r="AV142"/>
      <c r="AW142"/>
      <c r="AX142"/>
    </row>
    <row r="143" spans="18:50" ht="12.75" customHeight="1">
      <c r="R143"/>
      <c r="AH143" s="141"/>
      <c r="AI143" s="1247" t="s">
        <v>299</v>
      </c>
      <c r="AJ143" s="1247"/>
      <c r="AK143" s="1247"/>
      <c r="AL143" s="136" t="s">
        <v>296</v>
      </c>
      <c r="AM143" s="136" t="s">
        <v>296</v>
      </c>
      <c r="AN143" s="136" t="s">
        <v>296</v>
      </c>
      <c r="AO143" s="136" t="s">
        <v>297</v>
      </c>
      <c r="AR143"/>
      <c r="AS143"/>
      <c r="AT143"/>
      <c r="AU143"/>
      <c r="AV143"/>
      <c r="AW143"/>
      <c r="AX143"/>
    </row>
    <row r="144" spans="18:50" ht="12.75" customHeight="1">
      <c r="R144"/>
      <c r="AH144" s="141"/>
      <c r="AR144"/>
      <c r="AS144"/>
      <c r="AT144"/>
      <c r="AU144"/>
      <c r="AV144"/>
      <c r="AW144"/>
      <c r="AX144"/>
    </row>
    <row r="145" spans="18:50" ht="12.75" customHeight="1">
      <c r="R145"/>
      <c r="AH145" s="142" t="s">
        <v>236</v>
      </c>
      <c r="AI145" s="1261" t="s">
        <v>237</v>
      </c>
      <c r="AJ145" s="1261"/>
      <c r="AK145" s="1261"/>
      <c r="AL145" s="1261"/>
      <c r="AM145" s="1261"/>
      <c r="AN145" s="1261"/>
      <c r="AO145" s="1261"/>
      <c r="AP145" s="1261"/>
      <c r="AQ145" s="1261"/>
      <c r="AR145"/>
      <c r="AS145"/>
      <c r="AT145"/>
      <c r="AU145"/>
      <c r="AV145"/>
      <c r="AW145"/>
      <c r="AX145"/>
    </row>
    <row r="146" spans="18:50" ht="12.75" customHeight="1">
      <c r="R146"/>
      <c r="AH146" s="141"/>
      <c r="AR146"/>
      <c r="AS146"/>
      <c r="AT146"/>
      <c r="AU146"/>
      <c r="AV146"/>
      <c r="AW146"/>
      <c r="AX146"/>
    </row>
    <row r="147" spans="18:50" ht="12.75" customHeight="1">
      <c r="R147"/>
      <c r="AH147" s="168" t="s">
        <v>238</v>
      </c>
      <c r="AI147" s="18" t="s">
        <v>239</v>
      </c>
      <c r="AR147"/>
      <c r="AS147"/>
      <c r="AT147"/>
      <c r="AU147"/>
      <c r="AV147"/>
      <c r="AW147"/>
      <c r="AX147"/>
    </row>
    <row r="148" spans="18:50" ht="12.75" customHeight="1">
      <c r="R148"/>
      <c r="AH148" s="168"/>
      <c r="AI148" s="18" t="s">
        <v>430</v>
      </c>
      <c r="AR148"/>
      <c r="AS148"/>
      <c r="AT148"/>
      <c r="AU148"/>
      <c r="AV148"/>
      <c r="AW148"/>
      <c r="AX148"/>
    </row>
    <row r="149" spans="18:50" ht="12.75" customHeight="1">
      <c r="R149"/>
      <c r="AH149" s="168"/>
      <c r="AR149"/>
      <c r="AS149"/>
      <c r="AT149"/>
      <c r="AU149"/>
      <c r="AV149"/>
      <c r="AW149"/>
      <c r="AX149"/>
    </row>
    <row r="150" spans="18:50" ht="12.75" customHeight="1">
      <c r="R150"/>
      <c r="AH150" s="168"/>
      <c r="AI150" s="1312" t="s">
        <v>734</v>
      </c>
      <c r="AJ150" s="1313"/>
      <c r="AK150" s="1313"/>
      <c r="AL150" s="1314"/>
      <c r="AM150" s="203"/>
      <c r="AO150" s="153">
        <v>550</v>
      </c>
      <c r="AR150"/>
      <c r="AS150"/>
      <c r="AT150"/>
      <c r="AU150"/>
      <c r="AV150"/>
      <c r="AW150"/>
      <c r="AX150"/>
    </row>
    <row r="151" spans="18:50" ht="12.75" customHeight="1">
      <c r="R151"/>
      <c r="AH151" s="168"/>
      <c r="AI151" s="1315" t="s">
        <v>735</v>
      </c>
      <c r="AJ151" s="1315"/>
      <c r="AK151" s="1315"/>
      <c r="AL151" s="1315"/>
      <c r="AM151" s="1315"/>
      <c r="AN151" s="1315"/>
      <c r="AO151" s="1315"/>
      <c r="AR151"/>
      <c r="AS151"/>
      <c r="AT151"/>
      <c r="AU151"/>
      <c r="AV151"/>
      <c r="AW151"/>
      <c r="AX151"/>
    </row>
    <row r="152" spans="18:50" ht="12.75" customHeight="1">
      <c r="R152"/>
      <c r="AH152" s="168"/>
      <c r="AI152" s="1315"/>
      <c r="AJ152" s="1315"/>
      <c r="AK152" s="1315"/>
      <c r="AL152" s="1315"/>
      <c r="AM152" s="1315"/>
      <c r="AN152" s="1315"/>
      <c r="AO152" s="1315"/>
      <c r="AR152"/>
      <c r="AS152"/>
      <c r="AT152"/>
      <c r="AU152"/>
      <c r="AV152"/>
      <c r="AW152"/>
      <c r="AX152"/>
    </row>
    <row r="153" spans="18:50" ht="12.75" customHeight="1">
      <c r="R153"/>
      <c r="AH153" s="168"/>
      <c r="AI153" s="1316" t="s">
        <v>430</v>
      </c>
      <c r="AJ153" s="1317"/>
      <c r="AK153" s="1318"/>
      <c r="AL153" s="1258" t="s">
        <v>21</v>
      </c>
      <c r="AM153" s="1267" t="s">
        <v>22</v>
      </c>
      <c r="AN153" s="1269" t="s">
        <v>579</v>
      </c>
      <c r="AO153" s="1271" t="s">
        <v>500</v>
      </c>
      <c r="AR153"/>
      <c r="AS153"/>
      <c r="AT153"/>
      <c r="AU153"/>
      <c r="AV153"/>
      <c r="AW153"/>
      <c r="AX153"/>
    </row>
    <row r="154" spans="18:50" ht="12.75" customHeight="1">
      <c r="R154"/>
      <c r="AH154" s="168"/>
      <c r="AI154" s="1319"/>
      <c r="AJ154" s="1320"/>
      <c r="AK154" s="1321"/>
      <c r="AL154" s="1259"/>
      <c r="AM154" s="1268"/>
      <c r="AN154" s="1270"/>
      <c r="AO154" s="1272"/>
      <c r="AR154"/>
      <c r="AS154"/>
      <c r="AT154"/>
      <c r="AU154"/>
      <c r="AV154"/>
      <c r="AW154"/>
      <c r="AX154"/>
    </row>
    <row r="155" spans="18:50" ht="12.75" customHeight="1">
      <c r="R155"/>
      <c r="AH155" s="168"/>
      <c r="AI155" s="1239" t="s">
        <v>555</v>
      </c>
      <c r="AJ155" s="1239"/>
      <c r="AK155" s="1239"/>
      <c r="AL155" s="164">
        <f>AO150</f>
        <v>550</v>
      </c>
      <c r="AM155" s="164">
        <f>AL155</f>
        <v>550</v>
      </c>
      <c r="AN155" s="164">
        <f>AL155</f>
        <v>550</v>
      </c>
      <c r="AO155" s="164"/>
      <c r="AR155"/>
      <c r="AS155"/>
      <c r="AT155"/>
      <c r="AU155"/>
      <c r="AV155"/>
      <c r="AW155"/>
      <c r="AX155"/>
    </row>
    <row r="156" spans="18:50" ht="12.75" customHeight="1">
      <c r="R156"/>
      <c r="AH156" s="168"/>
      <c r="AI156" s="1239" t="s">
        <v>549</v>
      </c>
      <c r="AJ156" s="1239"/>
      <c r="AK156" s="1239"/>
      <c r="AL156" s="204">
        <v>24</v>
      </c>
      <c r="AM156" s="204">
        <f>AL156</f>
        <v>24</v>
      </c>
      <c r="AN156" s="204">
        <f>AM156</f>
        <v>24</v>
      </c>
      <c r="AO156" s="166"/>
      <c r="AR156"/>
      <c r="AS156"/>
      <c r="AT156"/>
      <c r="AU156"/>
      <c r="AV156"/>
      <c r="AW156"/>
      <c r="AX156"/>
    </row>
    <row r="157" spans="18:50" ht="12.75" customHeight="1">
      <c r="R157"/>
      <c r="AH157" s="168"/>
      <c r="AI157" s="1244" t="s">
        <v>556</v>
      </c>
      <c r="AJ157" s="1245"/>
      <c r="AK157" s="1246"/>
      <c r="AL157" s="201">
        <f>AL70</f>
        <v>1.4285714285714284</v>
      </c>
      <c r="AM157" s="201">
        <f>AM70</f>
        <v>1.9999999999999998</v>
      </c>
      <c r="AN157" s="201">
        <f>AN70</f>
        <v>1.7391304347826084</v>
      </c>
      <c r="AO157" s="201">
        <f>AO70</f>
        <v>2.6666666666666665</v>
      </c>
      <c r="AR157"/>
      <c r="AS157"/>
      <c r="AT157"/>
      <c r="AU157"/>
      <c r="AV157"/>
      <c r="AW157"/>
      <c r="AX157"/>
    </row>
    <row r="158" spans="18:50" ht="12.75" customHeight="1">
      <c r="R158"/>
      <c r="AH158" s="168"/>
      <c r="AI158" s="1239" t="s">
        <v>575</v>
      </c>
      <c r="AJ158" s="1239"/>
      <c r="AK158" s="1239"/>
      <c r="AL158" s="205">
        <f>((AN249*9)+(AN250*3))/12</f>
        <v>0.22500000000000001</v>
      </c>
      <c r="AM158" s="205">
        <f>AL158</f>
        <v>0.22500000000000001</v>
      </c>
      <c r="AN158" s="205">
        <f>AM158</f>
        <v>0.22500000000000001</v>
      </c>
      <c r="AO158" s="205">
        <f>AN158</f>
        <v>0.22500000000000001</v>
      </c>
      <c r="AR158"/>
      <c r="AS158"/>
      <c r="AT158"/>
      <c r="AU158"/>
      <c r="AV158"/>
      <c r="AW158"/>
      <c r="AX158"/>
    </row>
    <row r="159" spans="18:50" ht="12.75" customHeight="1">
      <c r="R159"/>
      <c r="AH159" s="168"/>
      <c r="AI159" s="1240"/>
      <c r="AJ159" s="1241"/>
      <c r="AK159" s="1241"/>
      <c r="AL159" s="1241"/>
      <c r="AM159" s="1241"/>
      <c r="AN159" s="1241"/>
      <c r="AO159" s="1242"/>
      <c r="AR159"/>
      <c r="AS159"/>
      <c r="AT159"/>
      <c r="AU159"/>
      <c r="AV159"/>
      <c r="AW159"/>
      <c r="AX159"/>
    </row>
    <row r="160" spans="18:50" ht="12.75" customHeight="1">
      <c r="R160"/>
      <c r="AH160" s="168"/>
      <c r="AI160" s="1239" t="s">
        <v>550</v>
      </c>
      <c r="AJ160" s="1239"/>
      <c r="AK160" s="1239"/>
      <c r="AL160" s="166"/>
      <c r="AM160" s="166"/>
      <c r="AN160" s="166"/>
      <c r="AO160" s="166"/>
      <c r="AR160"/>
      <c r="AS160"/>
      <c r="AT160"/>
      <c r="AU160"/>
      <c r="AV160"/>
      <c r="AW160"/>
      <c r="AX160"/>
    </row>
    <row r="161" spans="18:50" ht="12.75" customHeight="1">
      <c r="R161"/>
      <c r="AH161" s="168"/>
      <c r="AI161" s="1239" t="s">
        <v>554</v>
      </c>
      <c r="AJ161" s="1239"/>
      <c r="AK161" s="1239"/>
      <c r="AL161" s="206">
        <v>1</v>
      </c>
      <c r="AM161" s="207">
        <f>AL161</f>
        <v>1</v>
      </c>
      <c r="AN161" s="206">
        <f>AM161</f>
        <v>1</v>
      </c>
      <c r="AO161" s="1322"/>
      <c r="AR161"/>
      <c r="AS161"/>
      <c r="AT161"/>
      <c r="AU161"/>
      <c r="AV161"/>
      <c r="AW161"/>
      <c r="AX161"/>
    </row>
    <row r="162" spans="18:50" ht="12.75" customHeight="1">
      <c r="R162"/>
      <c r="AH162" s="168"/>
      <c r="AI162" s="1236" t="s">
        <v>551</v>
      </c>
      <c r="AJ162" s="1237"/>
      <c r="AK162" s="1238"/>
      <c r="AL162" s="208">
        <f>AL157/AL156</f>
        <v>5.9523809523809514E-2</v>
      </c>
      <c r="AM162" s="208">
        <f>AM157/AM156</f>
        <v>8.3333333333333329E-2</v>
      </c>
      <c r="AN162" s="208">
        <f>AN157/AN156</f>
        <v>7.2463768115942018E-2</v>
      </c>
      <c r="AO162" s="1322"/>
      <c r="AR162"/>
      <c r="AS162"/>
      <c r="AT162"/>
      <c r="AU162"/>
      <c r="AV162"/>
      <c r="AW162"/>
      <c r="AX162"/>
    </row>
    <row r="163" spans="18:50" ht="12.75" customHeight="1">
      <c r="R163"/>
      <c r="AH163" s="168"/>
      <c r="AI163" s="1239" t="s">
        <v>552</v>
      </c>
      <c r="AJ163" s="1239"/>
      <c r="AK163" s="1239"/>
      <c r="AL163" s="209">
        <v>0.95</v>
      </c>
      <c r="AM163" s="209">
        <f>AL163</f>
        <v>0.95</v>
      </c>
      <c r="AN163" s="209">
        <f>AM163</f>
        <v>0.95</v>
      </c>
      <c r="AO163" s="1322"/>
      <c r="AR163"/>
      <c r="AS163"/>
      <c r="AT163"/>
      <c r="AU163"/>
      <c r="AV163"/>
      <c r="AW163"/>
      <c r="AX163"/>
    </row>
    <row r="164" spans="18:50" ht="12.75" customHeight="1">
      <c r="R164"/>
      <c r="AH164" s="168"/>
      <c r="AI164" s="1240"/>
      <c r="AJ164" s="1241"/>
      <c r="AK164" s="1241"/>
      <c r="AL164" s="1241"/>
      <c r="AM164" s="1241"/>
      <c r="AN164" s="1241"/>
      <c r="AO164" s="1242"/>
      <c r="AR164"/>
      <c r="AS164"/>
      <c r="AT164"/>
      <c r="AU164"/>
      <c r="AV164"/>
      <c r="AW164"/>
      <c r="AX164"/>
    </row>
    <row r="165" spans="18:50" ht="12.75" customHeight="1">
      <c r="R165"/>
      <c r="AH165" s="168"/>
      <c r="AI165" s="1273" t="s">
        <v>431</v>
      </c>
      <c r="AJ165" s="1273"/>
      <c r="AK165" s="1273"/>
      <c r="AL165" s="1258" t="s">
        <v>21</v>
      </c>
      <c r="AM165" s="1267" t="s">
        <v>22</v>
      </c>
      <c r="AN165" s="1269" t="s">
        <v>579</v>
      </c>
      <c r="AO165" s="1271" t="s">
        <v>500</v>
      </c>
      <c r="AR165"/>
      <c r="AS165"/>
      <c r="AT165"/>
      <c r="AU165"/>
      <c r="AV165"/>
      <c r="AW165"/>
      <c r="AX165"/>
    </row>
    <row r="166" spans="18:50" ht="12.75" customHeight="1">
      <c r="R166"/>
      <c r="AH166" s="168"/>
      <c r="AI166" s="1273"/>
      <c r="AJ166" s="1273"/>
      <c r="AK166" s="1273"/>
      <c r="AL166" s="1259"/>
      <c r="AM166" s="1268"/>
      <c r="AN166" s="1270"/>
      <c r="AO166" s="1272"/>
      <c r="AR166"/>
      <c r="AS166"/>
      <c r="AT166"/>
      <c r="AU166"/>
      <c r="AV166"/>
      <c r="AW166"/>
      <c r="AX166"/>
    </row>
    <row r="167" spans="18:50" ht="12.75" customHeight="1">
      <c r="R167"/>
      <c r="AH167" s="168"/>
      <c r="AI167" s="1244" t="s">
        <v>306</v>
      </c>
      <c r="AJ167" s="1245"/>
      <c r="AK167" s="1246"/>
      <c r="AL167" s="164">
        <f>(AL155*AL156*AL162*AL161)/AL163</f>
        <v>827.06766917293214</v>
      </c>
      <c r="AM167" s="164">
        <f>(AM155*AM156*AM162*AM161)/AM163</f>
        <v>1157.8947368421054</v>
      </c>
      <c r="AN167" s="164">
        <f>(AN155*AN156*AN162*AN161)/AN163</f>
        <v>1006.8649885583523</v>
      </c>
      <c r="AO167" s="164">
        <f>AP209</f>
        <v>938.66666666666674</v>
      </c>
      <c r="AR167"/>
      <c r="AS167"/>
      <c r="AT167"/>
      <c r="AU167"/>
      <c r="AV167"/>
      <c r="AW167"/>
      <c r="AX167"/>
    </row>
    <row r="168" spans="18:50" ht="12.75" customHeight="1">
      <c r="R168"/>
      <c r="AH168" s="168"/>
      <c r="AI168" s="1239" t="s">
        <v>307</v>
      </c>
      <c r="AJ168" s="1239"/>
      <c r="AK168" s="1239"/>
      <c r="AL168" s="164">
        <f>AL167*$V$15</f>
        <v>132330.82706766913</v>
      </c>
      <c r="AM168" s="164">
        <f>AM167*$V$15</f>
        <v>185263.15789473685</v>
      </c>
      <c r="AN168" s="164">
        <f>AN167*$V$15</f>
        <v>161098.39816933637</v>
      </c>
      <c r="AO168" s="164">
        <f>AO167*$V$15</f>
        <v>150186.66666666669</v>
      </c>
      <c r="AR168"/>
      <c r="AS168"/>
      <c r="AT168"/>
      <c r="AU168"/>
      <c r="AV168"/>
      <c r="AW168"/>
      <c r="AX168"/>
    </row>
    <row r="169" spans="18:50" ht="12.75" customHeight="1">
      <c r="R169"/>
      <c r="AH169" s="168"/>
      <c r="AI169" s="1239" t="s">
        <v>308</v>
      </c>
      <c r="AJ169" s="1239"/>
      <c r="AK169" s="1239"/>
      <c r="AL169" s="164">
        <f>AL168*12</f>
        <v>1587969.9248120296</v>
      </c>
      <c r="AM169" s="164">
        <f>AM168*12</f>
        <v>2223157.8947368423</v>
      </c>
      <c r="AN169" s="164">
        <f>AN168*12</f>
        <v>1933180.7780320365</v>
      </c>
      <c r="AO169" s="164">
        <f>AO168*12</f>
        <v>1802240.0000000002</v>
      </c>
      <c r="AR169"/>
      <c r="AS169"/>
      <c r="AT169"/>
      <c r="AU169"/>
      <c r="AV169"/>
      <c r="AW169"/>
      <c r="AX169"/>
    </row>
    <row r="170" spans="18:50" ht="12.75" customHeight="1">
      <c r="R170"/>
      <c r="AH170" s="168"/>
      <c r="AI170" s="1240"/>
      <c r="AJ170" s="1241"/>
      <c r="AK170" s="1241"/>
      <c r="AL170" s="1241"/>
      <c r="AM170" s="1241"/>
      <c r="AN170" s="1241"/>
      <c r="AO170" s="1242"/>
      <c r="AR170"/>
      <c r="AS170"/>
      <c r="AT170"/>
      <c r="AU170"/>
      <c r="AV170"/>
      <c r="AW170"/>
      <c r="AX170"/>
    </row>
    <row r="171" spans="18:50" ht="12.75" customHeight="1">
      <c r="R171"/>
      <c r="AH171" s="168"/>
      <c r="AI171" s="1239" t="s">
        <v>553</v>
      </c>
      <c r="AJ171" s="1239"/>
      <c r="AK171" s="1239"/>
      <c r="AL171" s="210"/>
      <c r="AM171" s="166"/>
      <c r="AN171" s="166"/>
      <c r="AO171" s="166"/>
      <c r="AR171"/>
      <c r="AS171"/>
      <c r="AT171"/>
      <c r="AU171"/>
      <c r="AV171"/>
      <c r="AW171"/>
      <c r="AX171"/>
    </row>
    <row r="172" spans="18:50" ht="12.75" customHeight="1">
      <c r="R172"/>
      <c r="AH172" s="168"/>
      <c r="AI172" s="1239" t="s">
        <v>554</v>
      </c>
      <c r="AJ172" s="1239"/>
      <c r="AK172" s="1239"/>
      <c r="AL172" s="209">
        <v>0.5</v>
      </c>
      <c r="AM172" s="209">
        <f>AL172</f>
        <v>0.5</v>
      </c>
      <c r="AN172" s="209">
        <f>AM172</f>
        <v>0.5</v>
      </c>
      <c r="AO172" s="166"/>
      <c r="AR172"/>
      <c r="AS172"/>
      <c r="AT172"/>
      <c r="AU172"/>
      <c r="AV172"/>
      <c r="AW172"/>
      <c r="AX172"/>
    </row>
    <row r="173" spans="18:50" ht="12.75" customHeight="1">
      <c r="R173"/>
      <c r="AH173" s="168"/>
      <c r="AI173" s="1236" t="s">
        <v>551</v>
      </c>
      <c r="AJ173" s="1237"/>
      <c r="AK173" s="1238"/>
      <c r="AL173" s="211">
        <f>AL161-AL162</f>
        <v>0.94047619047619047</v>
      </c>
      <c r="AM173" s="211">
        <f>AM161-AM162</f>
        <v>0.91666666666666663</v>
      </c>
      <c r="AN173" s="211">
        <f>AN161-AN162</f>
        <v>0.92753623188405798</v>
      </c>
      <c r="AO173" s="166"/>
      <c r="AR173"/>
      <c r="AS173"/>
      <c r="AT173"/>
      <c r="AU173"/>
      <c r="AV173"/>
      <c r="AW173"/>
      <c r="AX173"/>
    </row>
    <row r="174" spans="18:50" ht="12.75" customHeight="1">
      <c r="R174"/>
      <c r="AH174" s="168"/>
      <c r="AI174" s="1239" t="s">
        <v>552</v>
      </c>
      <c r="AJ174" s="1239"/>
      <c r="AK174" s="1239"/>
      <c r="AL174" s="209">
        <v>0.95</v>
      </c>
      <c r="AM174" s="209">
        <f>AL174</f>
        <v>0.95</v>
      </c>
      <c r="AN174" s="209">
        <f>AM174</f>
        <v>0.95</v>
      </c>
      <c r="AO174" s="166"/>
      <c r="AR174"/>
      <c r="AS174"/>
      <c r="AT174"/>
      <c r="AU174"/>
      <c r="AV174"/>
      <c r="AW174"/>
      <c r="AX174"/>
    </row>
    <row r="175" spans="18:50" ht="12.75" customHeight="1">
      <c r="R175"/>
      <c r="AH175" s="168"/>
      <c r="AI175" s="1240"/>
      <c r="AJ175" s="1241"/>
      <c r="AK175" s="1241"/>
      <c r="AL175" s="1241"/>
      <c r="AM175" s="1241"/>
      <c r="AN175" s="1241"/>
      <c r="AO175" s="1242"/>
      <c r="AR175"/>
      <c r="AS175"/>
      <c r="AT175"/>
      <c r="AU175"/>
      <c r="AV175"/>
      <c r="AW175"/>
      <c r="AX175"/>
    </row>
    <row r="176" spans="18:50" ht="12.75" customHeight="1">
      <c r="R176"/>
      <c r="AH176" s="168"/>
      <c r="AI176" s="1297" t="s">
        <v>432</v>
      </c>
      <c r="AJ176" s="1298"/>
      <c r="AK176" s="1299"/>
      <c r="AL176" s="1258" t="s">
        <v>21</v>
      </c>
      <c r="AM176" s="1267" t="s">
        <v>22</v>
      </c>
      <c r="AN176" s="1269" t="s">
        <v>579</v>
      </c>
      <c r="AO176" s="1271" t="s">
        <v>500</v>
      </c>
      <c r="AR176"/>
      <c r="AS176"/>
      <c r="AT176"/>
      <c r="AU176"/>
      <c r="AV176"/>
      <c r="AW176"/>
      <c r="AX176"/>
    </row>
    <row r="177" spans="18:50" ht="12.75" customHeight="1">
      <c r="R177"/>
      <c r="AH177" s="168"/>
      <c r="AI177" s="1300"/>
      <c r="AJ177" s="1301"/>
      <c r="AK177" s="1289"/>
      <c r="AL177" s="1259"/>
      <c r="AM177" s="1268"/>
      <c r="AN177" s="1270"/>
      <c r="AO177" s="1272"/>
      <c r="AR177"/>
      <c r="AS177"/>
      <c r="AT177"/>
      <c r="AU177"/>
      <c r="AV177"/>
      <c r="AW177"/>
      <c r="AX177"/>
    </row>
    <row r="178" spans="18:50" ht="12.75" customHeight="1">
      <c r="R178"/>
      <c r="AH178" s="168"/>
      <c r="AI178" s="1244" t="s">
        <v>306</v>
      </c>
      <c r="AJ178" s="1245"/>
      <c r="AK178" s="1246"/>
      <c r="AL178" s="164">
        <f>(AL155*AL156*AL173*AL172)/AL174</f>
        <v>6533.8345864661651</v>
      </c>
      <c r="AM178" s="164">
        <f>(AM155*AM156*AM173*AM172)/AM174</f>
        <v>6368.4210526315792</v>
      </c>
      <c r="AN178" s="164">
        <f>(AN155*AN156*AN173*AN172)/AN174</f>
        <v>6443.9359267734562</v>
      </c>
      <c r="AO178" s="166"/>
      <c r="AR178"/>
      <c r="AS178"/>
      <c r="AT178"/>
      <c r="AU178"/>
      <c r="AV178"/>
      <c r="AW178"/>
      <c r="AX178"/>
    </row>
    <row r="179" spans="18:50" ht="12.75" customHeight="1">
      <c r="R179"/>
      <c r="AH179" s="168"/>
      <c r="AI179" s="1239" t="s">
        <v>307</v>
      </c>
      <c r="AJ179" s="1239"/>
      <c r="AK179" s="1239"/>
      <c r="AL179" s="164">
        <f>AL178*$V$15</f>
        <v>1045413.5338345864</v>
      </c>
      <c r="AM179" s="164">
        <f>AM178*$V$15</f>
        <v>1018947.3684210527</v>
      </c>
      <c r="AN179" s="164">
        <f>AN178*$V$15</f>
        <v>1031029.7482837529</v>
      </c>
      <c r="AO179" s="198"/>
      <c r="AR179"/>
      <c r="AS179"/>
      <c r="AT179"/>
      <c r="AU179"/>
      <c r="AV179"/>
      <c r="AW179"/>
      <c r="AX179"/>
    </row>
    <row r="180" spans="18:50" ht="12.75" customHeight="1">
      <c r="R180"/>
      <c r="AH180" s="168"/>
      <c r="AI180" s="1239" t="s">
        <v>308</v>
      </c>
      <c r="AJ180" s="1239"/>
      <c r="AK180" s="1239"/>
      <c r="AL180" s="164">
        <f>AL179*12</f>
        <v>12544962.406015037</v>
      </c>
      <c r="AM180" s="164">
        <f>AM179*12</f>
        <v>12227368.421052633</v>
      </c>
      <c r="AN180" s="164">
        <f>AN179*12</f>
        <v>12372356.979405034</v>
      </c>
      <c r="AO180" s="166"/>
      <c r="AR180"/>
      <c r="AS180"/>
      <c r="AT180"/>
      <c r="AU180"/>
      <c r="AV180"/>
      <c r="AW180"/>
      <c r="AX180"/>
    </row>
    <row r="181" spans="18:50" ht="12.75" customHeight="1">
      <c r="R181"/>
      <c r="AH181" s="168"/>
      <c r="AI181" s="1298"/>
      <c r="AJ181" s="1298"/>
      <c r="AK181" s="1298"/>
      <c r="AL181" s="1298"/>
      <c r="AM181" s="1298"/>
      <c r="AN181" s="1298"/>
      <c r="AO181" s="1299"/>
      <c r="AR181"/>
      <c r="AS181"/>
      <c r="AT181"/>
      <c r="AU181"/>
      <c r="AV181"/>
      <c r="AW181"/>
      <c r="AX181"/>
    </row>
    <row r="182" spans="18:50" ht="12.75" customHeight="1">
      <c r="R182"/>
      <c r="AH182" s="168"/>
      <c r="AI182" s="1273" t="s">
        <v>433</v>
      </c>
      <c r="AJ182" s="1273"/>
      <c r="AK182" s="1273"/>
      <c r="AL182" s="1258" t="s">
        <v>21</v>
      </c>
      <c r="AM182" s="1267" t="s">
        <v>22</v>
      </c>
      <c r="AN182" s="1269" t="s">
        <v>579</v>
      </c>
      <c r="AO182" s="1271" t="s">
        <v>500</v>
      </c>
      <c r="AR182"/>
      <c r="AS182"/>
      <c r="AT182"/>
      <c r="AU182"/>
      <c r="AV182"/>
      <c r="AW182"/>
      <c r="AX182"/>
    </row>
    <row r="183" spans="18:50" ht="12.75" customHeight="1">
      <c r="R183"/>
      <c r="AH183" s="168"/>
      <c r="AI183" s="1273"/>
      <c r="AJ183" s="1273"/>
      <c r="AK183" s="1273"/>
      <c r="AL183" s="1259"/>
      <c r="AM183" s="1268"/>
      <c r="AN183" s="1270"/>
      <c r="AO183" s="1272"/>
      <c r="AR183"/>
      <c r="AS183"/>
      <c r="AT183"/>
      <c r="AU183"/>
      <c r="AV183"/>
      <c r="AW183"/>
      <c r="AX183"/>
    </row>
    <row r="184" spans="18:50" ht="12.75" customHeight="1">
      <c r="R184"/>
      <c r="AH184" s="168"/>
      <c r="AI184" s="1244" t="s">
        <v>306</v>
      </c>
      <c r="AJ184" s="1245"/>
      <c r="AK184" s="1246"/>
      <c r="AL184" s="164">
        <f t="shared" ref="AL184:AN186" si="7">AL167+AL178</f>
        <v>7360.9022556390973</v>
      </c>
      <c r="AM184" s="164">
        <f t="shared" si="7"/>
        <v>7526.3157894736851</v>
      </c>
      <c r="AN184" s="164">
        <f t="shared" si="7"/>
        <v>7450.8009153318089</v>
      </c>
      <c r="AO184" s="164">
        <f>AO167</f>
        <v>938.66666666666674</v>
      </c>
      <c r="AQ184" s="212"/>
      <c r="AR184"/>
      <c r="AS184"/>
      <c r="AT184"/>
      <c r="AU184"/>
      <c r="AV184"/>
      <c r="AW184"/>
      <c r="AX184"/>
    </row>
    <row r="185" spans="18:50" ht="12.75" customHeight="1">
      <c r="R185"/>
      <c r="AH185" s="168"/>
      <c r="AI185" s="1239" t="s">
        <v>307</v>
      </c>
      <c r="AJ185" s="1239"/>
      <c r="AK185" s="1239"/>
      <c r="AL185" s="164">
        <f t="shared" si="7"/>
        <v>1177744.3609022554</v>
      </c>
      <c r="AM185" s="164">
        <f t="shared" si="7"/>
        <v>1204210.5263157897</v>
      </c>
      <c r="AN185" s="164">
        <f t="shared" si="7"/>
        <v>1192128.1464530893</v>
      </c>
      <c r="AO185" s="164">
        <f>AO168</f>
        <v>150186.66666666669</v>
      </c>
      <c r="AR185"/>
      <c r="AS185"/>
      <c r="AT185"/>
      <c r="AU185"/>
      <c r="AV185"/>
      <c r="AW185"/>
      <c r="AX185"/>
    </row>
    <row r="186" spans="18:50" ht="12.75" customHeight="1">
      <c r="R186"/>
      <c r="AH186" s="168"/>
      <c r="AI186" s="1239" t="s">
        <v>308</v>
      </c>
      <c r="AJ186" s="1239"/>
      <c r="AK186" s="1239"/>
      <c r="AL186" s="164">
        <f t="shared" si="7"/>
        <v>14132932.330827067</v>
      </c>
      <c r="AM186" s="164">
        <f t="shared" si="7"/>
        <v>14450526.315789476</v>
      </c>
      <c r="AN186" s="164">
        <f t="shared" si="7"/>
        <v>14305537.757437071</v>
      </c>
      <c r="AO186" s="164">
        <f>AO169</f>
        <v>1802240.0000000002</v>
      </c>
      <c r="AR186"/>
      <c r="AS186"/>
      <c r="AT186"/>
      <c r="AU186"/>
      <c r="AV186"/>
      <c r="AW186"/>
      <c r="AX186"/>
    </row>
    <row r="187" spans="18:50" ht="12.75" customHeight="1">
      <c r="R187"/>
      <c r="AH187" s="168"/>
      <c r="AR187"/>
      <c r="AS187"/>
      <c r="AT187"/>
      <c r="AU187"/>
      <c r="AV187"/>
      <c r="AW187"/>
      <c r="AX187"/>
    </row>
    <row r="188" spans="18:50" ht="12.75" customHeight="1">
      <c r="R188"/>
      <c r="AH188" s="168"/>
      <c r="AR188"/>
      <c r="AS188"/>
      <c r="AT188"/>
      <c r="AU188"/>
      <c r="AV188"/>
      <c r="AW188"/>
      <c r="AX188"/>
    </row>
    <row r="189" spans="18:50" ht="12.75" customHeight="1">
      <c r="R189"/>
      <c r="AH189" s="168"/>
      <c r="AI189" s="1296" t="s">
        <v>501</v>
      </c>
      <c r="AJ189" s="1296"/>
      <c r="AK189" s="1296"/>
      <c r="AL189" s="1296"/>
      <c r="AM189" s="1296"/>
      <c r="AN189" s="1296"/>
      <c r="AO189" s="1296"/>
      <c r="AP189" s="1296"/>
      <c r="AQ189" s="213"/>
      <c r="AR189"/>
      <c r="AS189"/>
      <c r="AT189"/>
      <c r="AU189"/>
      <c r="AV189"/>
      <c r="AW189"/>
      <c r="AX189"/>
    </row>
    <row r="190" spans="18:50" ht="12.75" customHeight="1">
      <c r="R190"/>
      <c r="AH190" s="168"/>
      <c r="AI190" s="1296"/>
      <c r="AJ190" s="1296"/>
      <c r="AK190" s="1296"/>
      <c r="AL190" s="1296"/>
      <c r="AM190" s="1296"/>
      <c r="AN190" s="1296"/>
      <c r="AO190" s="1296"/>
      <c r="AP190" s="1296"/>
      <c r="AQ190" s="213"/>
      <c r="AR190"/>
      <c r="AS190"/>
      <c r="AT190"/>
      <c r="AU190"/>
      <c r="AV190"/>
      <c r="AW190"/>
      <c r="AX190"/>
    </row>
    <row r="191" spans="18:50" ht="12.75" customHeight="1">
      <c r="R191"/>
      <c r="AH191" s="168"/>
      <c r="AI191" s="1296"/>
      <c r="AJ191" s="1296"/>
      <c r="AK191" s="1296"/>
      <c r="AL191" s="1296"/>
      <c r="AM191" s="1296"/>
      <c r="AN191" s="1296"/>
      <c r="AO191" s="1296"/>
      <c r="AP191" s="1296"/>
      <c r="AQ191" s="213"/>
      <c r="AR191"/>
      <c r="AS191"/>
      <c r="AT191"/>
      <c r="AU191"/>
      <c r="AV191"/>
      <c r="AW191"/>
      <c r="AX191"/>
    </row>
    <row r="192" spans="18:50" ht="12.75" customHeight="1">
      <c r="R192"/>
      <c r="AH192" s="168"/>
      <c r="AI192" s="1296"/>
      <c r="AJ192" s="1296"/>
      <c r="AK192" s="1296"/>
      <c r="AL192" s="1296"/>
      <c r="AM192" s="1296"/>
      <c r="AN192" s="1296"/>
      <c r="AO192" s="1296"/>
      <c r="AP192" s="1296"/>
      <c r="AQ192" s="213"/>
      <c r="AR192"/>
      <c r="AS192"/>
      <c r="AT192"/>
      <c r="AU192"/>
      <c r="AV192"/>
      <c r="AW192"/>
      <c r="AX192"/>
    </row>
    <row r="193" spans="18:50" ht="12.75" customHeight="1">
      <c r="R193"/>
      <c r="AH193" s="168"/>
      <c r="AI193" s="1296"/>
      <c r="AJ193" s="1296"/>
      <c r="AK193" s="1296"/>
      <c r="AL193" s="1296"/>
      <c r="AM193" s="1296"/>
      <c r="AN193" s="1296"/>
      <c r="AO193" s="1296"/>
      <c r="AP193" s="1296"/>
      <c r="AQ193" s="213"/>
      <c r="AR193"/>
      <c r="AS193"/>
      <c r="AT193"/>
      <c r="AU193"/>
      <c r="AV193"/>
      <c r="AW193"/>
      <c r="AX193"/>
    </row>
    <row r="194" spans="18:50" ht="12.75" customHeight="1">
      <c r="R194"/>
      <c r="AH194" s="168"/>
      <c r="AI194" s="214"/>
      <c r="AJ194" s="159"/>
      <c r="AK194" s="159"/>
      <c r="AL194" s="26"/>
      <c r="AM194" s="26"/>
      <c r="AN194" s="26"/>
      <c r="AO194" s="26"/>
      <c r="AP194" s="110"/>
      <c r="AR194"/>
      <c r="AS194"/>
      <c r="AT194"/>
      <c r="AU194"/>
      <c r="AV194"/>
      <c r="AW194"/>
      <c r="AX194"/>
    </row>
    <row r="195" spans="18:50" ht="12.75" customHeight="1">
      <c r="R195"/>
      <c r="AH195" s="168"/>
      <c r="AI195" s="1323" t="s">
        <v>667</v>
      </c>
      <c r="AJ195" s="1324"/>
      <c r="AK195" s="1324"/>
      <c r="AL195" s="1324"/>
      <c r="AM195" s="1324"/>
      <c r="AN195" s="1324"/>
      <c r="AO195" s="1302">
        <f>10*AM32</f>
        <v>76800</v>
      </c>
      <c r="AP195" s="1266" t="s">
        <v>668</v>
      </c>
      <c r="AR195"/>
      <c r="AS195"/>
      <c r="AT195"/>
      <c r="AU195"/>
      <c r="AV195"/>
      <c r="AW195"/>
      <c r="AX195"/>
    </row>
    <row r="196" spans="18:50" ht="12.75" customHeight="1">
      <c r="R196"/>
      <c r="AH196" s="168"/>
      <c r="AI196" s="1325"/>
      <c r="AJ196" s="1326"/>
      <c r="AK196" s="1326"/>
      <c r="AL196" s="1326"/>
      <c r="AM196" s="1326"/>
      <c r="AN196" s="1326"/>
      <c r="AO196" s="1302"/>
      <c r="AP196" s="1266"/>
      <c r="AR196"/>
      <c r="AS196"/>
      <c r="AT196"/>
      <c r="AU196"/>
      <c r="AV196"/>
      <c r="AW196"/>
      <c r="AX196"/>
    </row>
    <row r="197" spans="18:50" ht="12.75" customHeight="1">
      <c r="R197"/>
      <c r="AH197" s="168"/>
      <c r="AI197" s="160"/>
      <c r="AJ197" s="160"/>
      <c r="AK197" s="160"/>
      <c r="AL197" s="160"/>
      <c r="AM197" s="160"/>
      <c r="AN197" s="160"/>
      <c r="AO197" s="160"/>
      <c r="AP197" s="161"/>
      <c r="AQ197" s="110"/>
      <c r="AR197"/>
      <c r="AS197"/>
      <c r="AT197"/>
      <c r="AU197"/>
      <c r="AV197"/>
      <c r="AW197"/>
      <c r="AX197"/>
    </row>
    <row r="198" spans="18:50" ht="12.75" customHeight="1">
      <c r="R198"/>
      <c r="AH198" s="168"/>
      <c r="AI198" s="1266" t="s">
        <v>678</v>
      </c>
      <c r="AJ198" s="1266"/>
      <c r="AK198" s="1266"/>
      <c r="AL198" s="1266"/>
      <c r="AM198" s="1258" t="s">
        <v>21</v>
      </c>
      <c r="AN198" s="1267" t="s">
        <v>22</v>
      </c>
      <c r="AO198" s="1269" t="s">
        <v>579</v>
      </c>
      <c r="AP198" s="1271" t="s">
        <v>500</v>
      </c>
      <c r="AR198"/>
      <c r="AS198"/>
      <c r="AT198"/>
      <c r="AU198"/>
      <c r="AV198"/>
      <c r="AW198"/>
      <c r="AX198"/>
    </row>
    <row r="199" spans="18:50" ht="12.75" customHeight="1">
      <c r="R199"/>
      <c r="AH199" s="168"/>
      <c r="AI199" s="1266"/>
      <c r="AJ199" s="1266"/>
      <c r="AK199" s="1266"/>
      <c r="AL199" s="1266"/>
      <c r="AM199" s="1259"/>
      <c r="AN199" s="1268"/>
      <c r="AO199" s="1270"/>
      <c r="AP199" s="1272"/>
      <c r="AR199"/>
      <c r="AS199"/>
      <c r="AT199"/>
      <c r="AU199"/>
      <c r="AV199"/>
      <c r="AW199"/>
      <c r="AX199"/>
    </row>
    <row r="200" spans="18:50" ht="12.75" customHeight="1">
      <c r="R200"/>
      <c r="AH200" s="168"/>
      <c r="AI200" s="1247" t="s">
        <v>533</v>
      </c>
      <c r="AJ200" s="1247"/>
      <c r="AK200" s="1247"/>
      <c r="AL200" s="1247"/>
      <c r="AM200" s="162">
        <f>VLOOKUP($E$5,'Lookup Energy kWhm'!$B$8:$E$208,2)</f>
        <v>0.1</v>
      </c>
      <c r="AN200" s="162">
        <f>VLOOKUP($E$5,'Lookup Energy kWhm'!$B$8:$E$208,3)</f>
        <v>0.13</v>
      </c>
      <c r="AO200" s="162">
        <f>VLOOKUP($E$5,'Lookup Energy kWhm'!$B$8:$E$208,4)</f>
        <v>0.14799999999999999</v>
      </c>
      <c r="AP200" s="162">
        <v>0.107</v>
      </c>
      <c r="AR200"/>
      <c r="AS200"/>
      <c r="AT200"/>
      <c r="AU200"/>
      <c r="AV200"/>
      <c r="AW200"/>
      <c r="AX200"/>
    </row>
    <row r="201" spans="18:50" ht="12.75" customHeight="1">
      <c r="R201"/>
      <c r="AH201" s="168"/>
      <c r="AI201" s="1243" t="s">
        <v>31</v>
      </c>
      <c r="AJ201" s="1243"/>
      <c r="AK201" s="1243"/>
      <c r="AL201" s="1243"/>
      <c r="AM201" s="137">
        <f>AM27</f>
        <v>1.2</v>
      </c>
      <c r="AN201" s="137">
        <f t="shared" ref="AN201:AP204" si="8">AM201</f>
        <v>1.2</v>
      </c>
      <c r="AO201" s="137">
        <f t="shared" si="8"/>
        <v>1.2</v>
      </c>
      <c r="AP201" s="137">
        <f t="shared" si="8"/>
        <v>1.2</v>
      </c>
      <c r="AR201"/>
      <c r="AS201"/>
      <c r="AT201"/>
      <c r="AU201"/>
      <c r="AV201"/>
      <c r="AW201"/>
      <c r="AX201"/>
    </row>
    <row r="202" spans="18:50" ht="12.75" customHeight="1">
      <c r="R202"/>
      <c r="AH202" s="168"/>
      <c r="AI202" s="1243" t="s">
        <v>314</v>
      </c>
      <c r="AJ202" s="1243"/>
      <c r="AK202" s="1243"/>
      <c r="AL202" s="1243"/>
      <c r="AM202" s="137">
        <f>AM26</f>
        <v>160</v>
      </c>
      <c r="AN202" s="137">
        <f t="shared" si="8"/>
        <v>160</v>
      </c>
      <c r="AO202" s="137">
        <f t="shared" si="8"/>
        <v>160</v>
      </c>
      <c r="AP202" s="137">
        <f t="shared" si="8"/>
        <v>160</v>
      </c>
      <c r="AR202"/>
      <c r="AS202"/>
      <c r="AT202"/>
      <c r="AU202"/>
      <c r="AV202"/>
      <c r="AW202"/>
      <c r="AX202"/>
    </row>
    <row r="203" spans="18:50" ht="12.75" customHeight="1">
      <c r="R203"/>
      <c r="AH203" s="168"/>
      <c r="AI203" s="1243" t="s">
        <v>20</v>
      </c>
      <c r="AJ203" s="1243"/>
      <c r="AK203" s="1243"/>
      <c r="AL203" s="1243"/>
      <c r="AM203" s="137">
        <f>AM29</f>
        <v>40</v>
      </c>
      <c r="AN203" s="137">
        <f t="shared" si="8"/>
        <v>40</v>
      </c>
      <c r="AO203" s="137">
        <f t="shared" si="8"/>
        <v>40</v>
      </c>
      <c r="AP203" s="137">
        <f t="shared" si="8"/>
        <v>40</v>
      </c>
      <c r="AR203"/>
      <c r="AS203"/>
      <c r="AT203"/>
      <c r="AU203"/>
      <c r="AV203"/>
      <c r="AW203"/>
      <c r="AX203"/>
    </row>
    <row r="204" spans="18:50" ht="12.75" customHeight="1">
      <c r="R204"/>
      <c r="AH204" s="168"/>
      <c r="AI204" s="1243" t="s">
        <v>310</v>
      </c>
      <c r="AJ204" s="1243"/>
      <c r="AK204" s="1243"/>
      <c r="AL204" s="1243"/>
      <c r="AM204" s="137">
        <f>AM30</f>
        <v>160</v>
      </c>
      <c r="AN204" s="137">
        <f t="shared" si="8"/>
        <v>160</v>
      </c>
      <c r="AO204" s="137">
        <f t="shared" si="8"/>
        <v>160</v>
      </c>
      <c r="AP204" s="137">
        <f t="shared" si="8"/>
        <v>160</v>
      </c>
      <c r="AR204"/>
      <c r="AS204"/>
      <c r="AT204"/>
      <c r="AU204"/>
      <c r="AV204"/>
      <c r="AW204"/>
      <c r="AX204"/>
    </row>
    <row r="205" spans="18:50" ht="12.75" customHeight="1">
      <c r="R205"/>
      <c r="AH205" s="168"/>
      <c r="AI205" s="1247" t="s">
        <v>543</v>
      </c>
      <c r="AJ205" s="1247"/>
      <c r="AK205" s="1247"/>
      <c r="AL205" s="1247"/>
      <c r="AM205" s="143">
        <f>AM200*AM201*AM202*AM203</f>
        <v>768</v>
      </c>
      <c r="AN205" s="143">
        <f>AN200*AN201*AN202*AN203</f>
        <v>998.40000000000009</v>
      </c>
      <c r="AO205" s="143">
        <f>AO200*AO201*AO202*AO203</f>
        <v>1136.6399999999999</v>
      </c>
      <c r="AP205" s="143">
        <f>AP200*AP201*AP202*AP203</f>
        <v>821.75999999999988</v>
      </c>
      <c r="AQ205" s="215"/>
      <c r="AR205"/>
      <c r="AS205"/>
      <c r="AT205"/>
      <c r="AU205"/>
      <c r="AV205"/>
      <c r="AW205"/>
      <c r="AX205"/>
    </row>
    <row r="206" spans="18:50" ht="12.75" customHeight="1">
      <c r="R206"/>
      <c r="AH206" s="168"/>
      <c r="AI206" s="1247" t="s">
        <v>542</v>
      </c>
      <c r="AJ206" s="1247"/>
      <c r="AK206" s="1247"/>
      <c r="AL206" s="1247"/>
      <c r="AM206" s="145">
        <f>AM205/AM204</f>
        <v>4.8</v>
      </c>
      <c r="AN206" s="145">
        <f>AN205/AN204</f>
        <v>6.24</v>
      </c>
      <c r="AO206" s="145">
        <f>AO205/AO204</f>
        <v>7.1039999999999992</v>
      </c>
      <c r="AP206" s="145">
        <f>AP205/AP204</f>
        <v>5.1359999999999992</v>
      </c>
      <c r="AQ206" s="216"/>
      <c r="AR206"/>
      <c r="AS206"/>
      <c r="AT206"/>
      <c r="AU206"/>
      <c r="AV206"/>
      <c r="AW206"/>
      <c r="AX206"/>
    </row>
    <row r="207" spans="18:50" ht="12.75" customHeight="1">
      <c r="R207"/>
      <c r="AH207" s="168"/>
      <c r="AI207" s="1247" t="s">
        <v>538</v>
      </c>
      <c r="AJ207" s="1247"/>
      <c r="AK207" s="1247"/>
      <c r="AL207" s="1247"/>
      <c r="AM207" s="145">
        <f>AL70</f>
        <v>1.4285714285714284</v>
      </c>
      <c r="AN207" s="145">
        <f>AM70</f>
        <v>1.9999999999999998</v>
      </c>
      <c r="AO207" s="145">
        <f>AN70</f>
        <v>1.7391304347826084</v>
      </c>
      <c r="AP207" s="145">
        <f>AO70</f>
        <v>2.6666666666666665</v>
      </c>
      <c r="AR207"/>
      <c r="AS207"/>
      <c r="AT207"/>
      <c r="AU207"/>
      <c r="AV207"/>
      <c r="AW207"/>
      <c r="AX207"/>
    </row>
    <row r="208" spans="18:50" ht="12.75" customHeight="1">
      <c r="R208"/>
      <c r="AH208" s="168"/>
      <c r="AI208" s="1247" t="s">
        <v>546</v>
      </c>
      <c r="AJ208" s="1247"/>
      <c r="AK208" s="1247"/>
      <c r="AL208" s="1247"/>
      <c r="AM208" s="143">
        <f>AM207/AM200</f>
        <v>14.285714285714283</v>
      </c>
      <c r="AN208" s="143">
        <f>AN207/AN200</f>
        <v>15.384615384615383</v>
      </c>
      <c r="AO208" s="143">
        <f>AO207/AO200</f>
        <v>11.750881316098706</v>
      </c>
      <c r="AP208" s="143">
        <f>2.2*AP207</f>
        <v>5.8666666666666671</v>
      </c>
      <c r="AR208"/>
      <c r="AS208"/>
      <c r="AT208"/>
      <c r="AU208"/>
      <c r="AV208"/>
      <c r="AW208"/>
      <c r="AX208"/>
    </row>
    <row r="209" spans="18:50" ht="12.75" customHeight="1">
      <c r="R209"/>
      <c r="AH209" s="168"/>
      <c r="AI209" s="1247" t="s">
        <v>544</v>
      </c>
      <c r="AJ209" s="1247"/>
      <c r="AK209" s="1247"/>
      <c r="AL209" s="1247"/>
      <c r="AM209" s="217">
        <f>AM204*AM208</f>
        <v>2285.7142857142853</v>
      </c>
      <c r="AN209" s="143">
        <f>AN204*AN208</f>
        <v>2461.5384615384614</v>
      </c>
      <c r="AO209" s="143">
        <f>AO204*AO208</f>
        <v>1880.141010575793</v>
      </c>
      <c r="AP209" s="143">
        <f>AP204*AP208</f>
        <v>938.66666666666674</v>
      </c>
      <c r="AR209"/>
      <c r="AS209"/>
      <c r="AT209"/>
      <c r="AU209"/>
      <c r="AV209"/>
      <c r="AW209"/>
      <c r="AX209"/>
    </row>
    <row r="210" spans="18:50" ht="12.75" customHeight="1">
      <c r="R210"/>
      <c r="AH210" s="168"/>
      <c r="AI210" s="1243" t="s">
        <v>535</v>
      </c>
      <c r="AJ210" s="1243"/>
      <c r="AK210" s="1243"/>
      <c r="AL210" s="1243"/>
      <c r="AM210" s="137">
        <f>AM202/AM207</f>
        <v>112.00000000000001</v>
      </c>
      <c r="AN210" s="137">
        <f>AN202/AN207</f>
        <v>80.000000000000014</v>
      </c>
      <c r="AO210" s="137">
        <f>AO202/AO207</f>
        <v>92.000000000000014</v>
      </c>
      <c r="AP210" s="137">
        <f>AP202/AP207</f>
        <v>60</v>
      </c>
      <c r="AR210"/>
      <c r="AS210"/>
      <c r="AT210"/>
      <c r="AU210"/>
      <c r="AV210"/>
      <c r="AW210"/>
      <c r="AX210"/>
    </row>
    <row r="211" spans="18:50" ht="12.75" customHeight="1">
      <c r="R211"/>
      <c r="AH211" s="168"/>
      <c r="AI211" s="1243" t="s">
        <v>536</v>
      </c>
      <c r="AJ211" s="1243"/>
      <c r="AK211" s="1243"/>
      <c r="AL211" s="1243"/>
      <c r="AM211" s="137">
        <f>AM201*AM210</f>
        <v>134.4</v>
      </c>
      <c r="AN211" s="137">
        <f>AN201*AN210</f>
        <v>96.000000000000014</v>
      </c>
      <c r="AO211" s="137">
        <f>AO201*AO210</f>
        <v>110.40000000000002</v>
      </c>
      <c r="AP211" s="137">
        <f>AP201*AP210</f>
        <v>72</v>
      </c>
      <c r="AR211"/>
      <c r="AS211"/>
      <c r="AT211"/>
      <c r="AU211"/>
      <c r="AV211"/>
      <c r="AW211"/>
      <c r="AX211"/>
    </row>
    <row r="212" spans="18:50" ht="12.75" customHeight="1">
      <c r="R212"/>
      <c r="AH212" s="168"/>
      <c r="AI212" s="1247" t="s">
        <v>534</v>
      </c>
      <c r="AJ212" s="1247"/>
      <c r="AK212" s="1247"/>
      <c r="AL212" s="1247"/>
      <c r="AM212" s="143">
        <f>AL64</f>
        <v>2.1428571428571428</v>
      </c>
      <c r="AN212" s="143">
        <f>AM64</f>
        <v>2.9999999999999996</v>
      </c>
      <c r="AO212" s="143">
        <f>AN64</f>
        <v>2.6086956521739126</v>
      </c>
      <c r="AP212" s="143">
        <f>AO64</f>
        <v>4</v>
      </c>
      <c r="AR212"/>
      <c r="AS212"/>
      <c r="AT212"/>
      <c r="AU212"/>
      <c r="AV212"/>
      <c r="AW212"/>
      <c r="AX212"/>
    </row>
    <row r="213" spans="18:50" ht="12.75" customHeight="1">
      <c r="R213"/>
      <c r="AH213" s="168"/>
      <c r="AI213" s="1247" t="s">
        <v>537</v>
      </c>
      <c r="AJ213" s="1247"/>
      <c r="AK213" s="1247"/>
      <c r="AL213" s="1247"/>
      <c r="AM213" s="143">
        <f>AM210*AM212</f>
        <v>240.00000000000003</v>
      </c>
      <c r="AN213" s="143">
        <f>AN210*AN212</f>
        <v>240</v>
      </c>
      <c r="AO213" s="143">
        <f>AO210*AO212</f>
        <v>240</v>
      </c>
      <c r="AP213" s="143">
        <f>AP210*AP212</f>
        <v>240</v>
      </c>
      <c r="AR213"/>
      <c r="AS213"/>
      <c r="AT213"/>
      <c r="AU213"/>
      <c r="AV213"/>
      <c r="AW213"/>
      <c r="AX213"/>
    </row>
    <row r="214" spans="18:50" ht="12.75" customHeight="1">
      <c r="R214"/>
      <c r="AH214" s="168"/>
      <c r="AI214" s="1247" t="s">
        <v>545</v>
      </c>
      <c r="AJ214" s="1247"/>
      <c r="AK214" s="1247"/>
      <c r="AL214" s="1247"/>
      <c r="AM214" s="218">
        <f>AM206/AM208</f>
        <v>0.33600000000000008</v>
      </c>
      <c r="AN214" s="218">
        <f>AN206/AN208</f>
        <v>0.40560000000000007</v>
      </c>
      <c r="AO214" s="218">
        <f>AO206/AO208</f>
        <v>0.60455040000000004</v>
      </c>
      <c r="AP214" s="218">
        <f>AP206/AP208</f>
        <v>0.87545454545454526</v>
      </c>
      <c r="AR214"/>
      <c r="AS214"/>
      <c r="AT214"/>
      <c r="AU214"/>
      <c r="AV214"/>
      <c r="AW214"/>
      <c r="AX214"/>
    </row>
    <row r="215" spans="18:50" ht="12.75" customHeight="1">
      <c r="R215"/>
      <c r="AH215" s="168"/>
      <c r="AI215" s="135" t="s">
        <v>547</v>
      </c>
      <c r="AJ215" s="135"/>
      <c r="AK215" s="135"/>
      <c r="AL215" s="135"/>
      <c r="AM215" s="219">
        <f>10*AM202*AM201*AM203</f>
        <v>76800</v>
      </c>
      <c r="AN215" s="219">
        <f>10*AN202*AN201*AN203</f>
        <v>76800</v>
      </c>
      <c r="AO215" s="219">
        <f>10*AO202*AO201*AO203</f>
        <v>76800</v>
      </c>
      <c r="AP215" s="218"/>
      <c r="AR215"/>
      <c r="AS215"/>
      <c r="AT215"/>
      <c r="AU215"/>
      <c r="AV215"/>
      <c r="AW215"/>
      <c r="AX215"/>
    </row>
    <row r="216" spans="18:50" ht="12.75" customHeight="1">
      <c r="R216"/>
      <c r="AH216" s="168"/>
      <c r="AI216" s="1247" t="s">
        <v>548</v>
      </c>
      <c r="AJ216" s="1247"/>
      <c r="AK216" s="1247"/>
      <c r="AL216" s="1247"/>
      <c r="AM216" s="218">
        <f>AM205/AM215</f>
        <v>0.01</v>
      </c>
      <c r="AN216" s="218">
        <f>AN205/AN215</f>
        <v>1.3000000000000001E-2</v>
      </c>
      <c r="AO216" s="218">
        <f>AO205/AO215</f>
        <v>1.4799999999999999E-2</v>
      </c>
      <c r="AP216" s="218">
        <f>AP214</f>
        <v>0.87545454545454526</v>
      </c>
      <c r="AQ216" s="80"/>
      <c r="AR216"/>
      <c r="AS216"/>
      <c r="AT216"/>
      <c r="AU216"/>
      <c r="AV216"/>
      <c r="AW216"/>
      <c r="AX216"/>
    </row>
    <row r="217" spans="18:50" ht="12.75" customHeight="1">
      <c r="R217"/>
      <c r="AH217" s="168"/>
      <c r="AI217" s="159"/>
      <c r="AJ217" s="159"/>
      <c r="AK217" s="159"/>
      <c r="AL217" s="159"/>
      <c r="AM217" s="220"/>
      <c r="AN217" s="220"/>
      <c r="AO217" s="220"/>
      <c r="AP217" s="220"/>
      <c r="AQ217" s="80"/>
      <c r="AR217"/>
      <c r="AS217"/>
      <c r="AT217"/>
      <c r="AU217"/>
      <c r="AV217"/>
      <c r="AW217"/>
      <c r="AX217"/>
    </row>
    <row r="218" spans="18:50" ht="12.75" customHeight="1">
      <c r="R218"/>
      <c r="AH218" s="168"/>
      <c r="AI218" s="159"/>
      <c r="AJ218" s="159"/>
      <c r="AK218" s="159"/>
      <c r="AL218" s="159"/>
      <c r="AM218" s="221"/>
      <c r="AN218" s="221"/>
      <c r="AO218" s="221"/>
      <c r="AP218" s="220"/>
      <c r="AR218"/>
      <c r="AS218"/>
      <c r="AT218"/>
      <c r="AU218"/>
      <c r="AV218"/>
      <c r="AW218"/>
      <c r="AX218"/>
    </row>
    <row r="219" spans="18:50" ht="12.75" customHeight="1">
      <c r="R219"/>
      <c r="AH219" s="168" t="s">
        <v>240</v>
      </c>
      <c r="AI219" s="18" t="s">
        <v>241</v>
      </c>
      <c r="AR219"/>
      <c r="AS219"/>
      <c r="AT219"/>
      <c r="AU219"/>
      <c r="AV219"/>
      <c r="AW219"/>
      <c r="AX219"/>
    </row>
    <row r="220" spans="18:50" ht="12.75" customHeight="1">
      <c r="R220"/>
      <c r="AH220" s="18"/>
      <c r="AI220" s="1252" t="s">
        <v>301</v>
      </c>
      <c r="AJ220" s="1253"/>
      <c r="AK220" s="1254"/>
      <c r="AL220" s="1258" t="s">
        <v>21</v>
      </c>
      <c r="AM220" s="1267" t="s">
        <v>22</v>
      </c>
      <c r="AN220" s="1269" t="s">
        <v>579</v>
      </c>
      <c r="AO220" s="1271" t="s">
        <v>500</v>
      </c>
      <c r="AR220"/>
      <c r="AS220"/>
      <c r="AT220"/>
      <c r="AU220"/>
      <c r="AV220"/>
      <c r="AW220"/>
      <c r="AX220"/>
    </row>
    <row r="221" spans="18:50" ht="12.75" customHeight="1">
      <c r="R221"/>
      <c r="AH221" s="18"/>
      <c r="AI221" s="1255"/>
      <c r="AJ221" s="1256"/>
      <c r="AK221" s="1257"/>
      <c r="AL221" s="1259"/>
      <c r="AM221" s="1268"/>
      <c r="AN221" s="1270"/>
      <c r="AO221" s="1272"/>
      <c r="AR221"/>
      <c r="AS221"/>
      <c r="AT221"/>
      <c r="AU221"/>
      <c r="AV221"/>
      <c r="AW221"/>
      <c r="AX221"/>
    </row>
    <row r="222" spans="18:50" ht="12.75" customHeight="1">
      <c r="R222"/>
      <c r="AH222" s="18"/>
      <c r="AI222" s="1247" t="s">
        <v>662</v>
      </c>
      <c r="AJ222" s="1247"/>
      <c r="AK222" s="1247"/>
      <c r="AL222" s="150">
        <f>VLOOKUP($E$5,'Lookup Air Consumption'!$B$8:$E$208,2)</f>
        <v>41</v>
      </c>
      <c r="AM222" s="150">
        <f>VLOOKUP($E$5,'Lookup Air Consumption'!$B$8:$E$208,3)</f>
        <v>38</v>
      </c>
      <c r="AN222" s="150">
        <f>VLOOKUP($E$5,'Lookup Air Consumption'!$B$8:$E$208,4)</f>
        <v>50</v>
      </c>
      <c r="AO222" s="1273" t="s">
        <v>427</v>
      </c>
      <c r="AR222"/>
      <c r="AS222"/>
      <c r="AT222"/>
      <c r="AU222"/>
      <c r="AV222"/>
      <c r="AW222"/>
      <c r="AX222"/>
    </row>
    <row r="223" spans="18:50" ht="12.75" customHeight="1">
      <c r="R223"/>
      <c r="AH223" s="18"/>
      <c r="AI223" s="1247" t="s">
        <v>663</v>
      </c>
      <c r="AJ223" s="1247"/>
      <c r="AK223" s="1247"/>
      <c r="AL223" s="163">
        <f>AL222/1000</f>
        <v>4.1000000000000002E-2</v>
      </c>
      <c r="AM223" s="163">
        <f>AM222/1000</f>
        <v>3.7999999999999999E-2</v>
      </c>
      <c r="AN223" s="163">
        <f>AN222/1000</f>
        <v>0.05</v>
      </c>
      <c r="AO223" s="1273"/>
      <c r="AR223"/>
      <c r="AS223"/>
      <c r="AT223"/>
      <c r="AU223"/>
      <c r="AV223"/>
      <c r="AW223"/>
      <c r="AX223"/>
    </row>
    <row r="224" spans="18:50" ht="12.75" customHeight="1">
      <c r="R224"/>
      <c r="AH224" s="18"/>
      <c r="AI224" s="1247" t="s">
        <v>664</v>
      </c>
      <c r="AJ224" s="1247"/>
      <c r="AK224" s="1247"/>
      <c r="AL224" s="146">
        <f>AL223*35.31467</f>
        <v>1.4479014700000001</v>
      </c>
      <c r="AM224" s="146">
        <f>AM223*35.31467</f>
        <v>1.3419574599999999</v>
      </c>
      <c r="AN224" s="146">
        <f>AN223*35.31467</f>
        <v>1.7657335000000001</v>
      </c>
      <c r="AO224" s="1273"/>
      <c r="AR224"/>
      <c r="AS224"/>
      <c r="AT224"/>
      <c r="AU224"/>
      <c r="AV224"/>
      <c r="AW224"/>
      <c r="AX224"/>
    </row>
    <row r="225" spans="18:50" ht="12.75" customHeight="1">
      <c r="R225"/>
      <c r="AH225" s="141"/>
      <c r="AI225" s="110"/>
      <c r="AJ225" s="110"/>
      <c r="AK225" s="110"/>
      <c r="AL225" s="110"/>
      <c r="AM225" s="110"/>
      <c r="AN225" s="110"/>
      <c r="AO225" s="110"/>
      <c r="AP225" s="110"/>
      <c r="AR225"/>
      <c r="AS225"/>
      <c r="AT225"/>
      <c r="AU225"/>
      <c r="AV225"/>
      <c r="AW225"/>
      <c r="AX225"/>
    </row>
    <row r="226" spans="18:50" ht="12.75" customHeight="1">
      <c r="R226"/>
      <c r="AH226" s="141"/>
      <c r="AI226" s="1252" t="s">
        <v>302</v>
      </c>
      <c r="AJ226" s="1253"/>
      <c r="AK226" s="1254"/>
      <c r="AL226" s="1258" t="s">
        <v>21</v>
      </c>
      <c r="AM226" s="1267" t="s">
        <v>22</v>
      </c>
      <c r="AN226" s="1269" t="s">
        <v>579</v>
      </c>
      <c r="AO226" s="1271" t="s">
        <v>500</v>
      </c>
      <c r="AR226"/>
      <c r="AS226"/>
      <c r="AT226"/>
      <c r="AU226"/>
      <c r="AV226"/>
      <c r="AW226"/>
      <c r="AX226"/>
    </row>
    <row r="227" spans="18:50" ht="12.75" customHeight="1">
      <c r="R227"/>
      <c r="AH227" s="141"/>
      <c r="AI227" s="1255"/>
      <c r="AJ227" s="1256"/>
      <c r="AK227" s="1257"/>
      <c r="AL227" s="1259"/>
      <c r="AM227" s="1268"/>
      <c r="AN227" s="1270"/>
      <c r="AO227" s="1272"/>
      <c r="AR227"/>
      <c r="AS227"/>
      <c r="AT227"/>
      <c r="AU227"/>
      <c r="AV227"/>
      <c r="AW227"/>
      <c r="AX227"/>
    </row>
    <row r="228" spans="18:50" ht="12.75" customHeight="1">
      <c r="R228"/>
      <c r="AH228" s="141"/>
      <c r="AI228" s="1247" t="s">
        <v>662</v>
      </c>
      <c r="AJ228" s="1247"/>
      <c r="AK228" s="1247"/>
      <c r="AL228" s="164">
        <f t="shared" ref="AL228:AN230" si="9">AL222*$AM$18</f>
        <v>943</v>
      </c>
      <c r="AM228" s="164">
        <f t="shared" si="9"/>
        <v>874</v>
      </c>
      <c r="AN228" s="164">
        <f t="shared" si="9"/>
        <v>1150</v>
      </c>
      <c r="AO228" s="1273" t="s">
        <v>427</v>
      </c>
      <c r="AR228"/>
      <c r="AS228"/>
      <c r="AT228"/>
      <c r="AU228"/>
      <c r="AV228"/>
      <c r="AW228"/>
      <c r="AX228"/>
    </row>
    <row r="229" spans="18:50" ht="12.75" customHeight="1">
      <c r="R229"/>
      <c r="AH229" s="141"/>
      <c r="AI229" s="1247" t="s">
        <v>663</v>
      </c>
      <c r="AJ229" s="1247"/>
      <c r="AK229" s="1247"/>
      <c r="AL229" s="201">
        <f t="shared" si="9"/>
        <v>0.94300000000000006</v>
      </c>
      <c r="AM229" s="201">
        <f t="shared" si="9"/>
        <v>0.874</v>
      </c>
      <c r="AN229" s="201">
        <f t="shared" si="9"/>
        <v>1.1500000000000001</v>
      </c>
      <c r="AO229" s="1273"/>
      <c r="AR229"/>
      <c r="AS229"/>
      <c r="AT229"/>
      <c r="AU229"/>
      <c r="AV229"/>
      <c r="AW229"/>
      <c r="AX229"/>
    </row>
    <row r="230" spans="18:50" ht="12.75" customHeight="1">
      <c r="R230"/>
      <c r="AH230" s="141"/>
      <c r="AI230" s="1247" t="s">
        <v>664</v>
      </c>
      <c r="AJ230" s="1247"/>
      <c r="AK230" s="1247"/>
      <c r="AL230" s="201">
        <f t="shared" si="9"/>
        <v>33.301733810000002</v>
      </c>
      <c r="AM230" s="201">
        <f t="shared" si="9"/>
        <v>30.865021579999997</v>
      </c>
      <c r="AN230" s="201">
        <f t="shared" si="9"/>
        <v>40.611870500000002</v>
      </c>
      <c r="AO230" s="1273"/>
      <c r="AR230"/>
      <c r="AS230"/>
      <c r="AT230"/>
      <c r="AU230"/>
      <c r="AV230"/>
      <c r="AW230"/>
      <c r="AX230"/>
    </row>
    <row r="231" spans="18:50" ht="12.75" customHeight="1">
      <c r="R231"/>
      <c r="AH231" s="141"/>
      <c r="AR231"/>
      <c r="AS231"/>
      <c r="AT231"/>
      <c r="AU231"/>
      <c r="AV231"/>
      <c r="AW231"/>
      <c r="AX231"/>
    </row>
    <row r="232" spans="18:50" ht="12.75" customHeight="1">
      <c r="R232"/>
      <c r="AH232" s="141"/>
      <c r="AI232" s="1252" t="s">
        <v>303</v>
      </c>
      <c r="AJ232" s="1253"/>
      <c r="AK232" s="1254"/>
      <c r="AL232" s="1258" t="s">
        <v>21</v>
      </c>
      <c r="AM232" s="1267" t="s">
        <v>22</v>
      </c>
      <c r="AN232" s="1269" t="s">
        <v>579</v>
      </c>
      <c r="AO232" s="1271" t="s">
        <v>500</v>
      </c>
      <c r="AR232"/>
      <c r="AS232"/>
      <c r="AT232"/>
      <c r="AU232"/>
      <c r="AV232"/>
      <c r="AW232"/>
      <c r="AX232"/>
    </row>
    <row r="233" spans="18:50" ht="12.75" customHeight="1">
      <c r="R233"/>
      <c r="AH233" s="141"/>
      <c r="AI233" s="1255"/>
      <c r="AJ233" s="1256"/>
      <c r="AK233" s="1257"/>
      <c r="AL233" s="1259"/>
      <c r="AM233" s="1268"/>
      <c r="AN233" s="1270"/>
      <c r="AO233" s="1272"/>
      <c r="AR233"/>
      <c r="AS233"/>
      <c r="AT233"/>
      <c r="AU233"/>
      <c r="AV233"/>
      <c r="AW233"/>
      <c r="AX233"/>
    </row>
    <row r="234" spans="18:50" ht="12.75" customHeight="1">
      <c r="R234"/>
      <c r="AH234" s="172"/>
      <c r="AI234" s="1239" t="s">
        <v>665</v>
      </c>
      <c r="AJ234" s="1239"/>
      <c r="AK234" s="1239"/>
      <c r="AL234" s="164" t="e">
        <f t="shared" ref="AL234:AN236" si="10">($V$29/$U$56)*60*AL222</f>
        <v>#DIV/0!</v>
      </c>
      <c r="AM234" s="164" t="e">
        <f t="shared" si="10"/>
        <v>#DIV/0!</v>
      </c>
      <c r="AN234" s="164" t="e">
        <f t="shared" si="10"/>
        <v>#DIV/0!</v>
      </c>
      <c r="AO234" s="1273" t="s">
        <v>427</v>
      </c>
      <c r="AR234"/>
      <c r="AS234"/>
      <c r="AT234"/>
      <c r="AU234"/>
      <c r="AV234"/>
      <c r="AW234"/>
      <c r="AX234"/>
    </row>
    <row r="235" spans="18:50" ht="12.75" customHeight="1">
      <c r="R235"/>
      <c r="AH235" s="18"/>
      <c r="AI235" s="1239" t="s">
        <v>666</v>
      </c>
      <c r="AJ235" s="1239"/>
      <c r="AK235" s="1239"/>
      <c r="AL235" s="164" t="e">
        <f t="shared" si="10"/>
        <v>#DIV/0!</v>
      </c>
      <c r="AM235" s="164" t="e">
        <f t="shared" si="10"/>
        <v>#DIV/0!</v>
      </c>
      <c r="AN235" s="164" t="e">
        <f t="shared" si="10"/>
        <v>#DIV/0!</v>
      </c>
      <c r="AO235" s="1273"/>
      <c r="AR235"/>
      <c r="AS235"/>
      <c r="AT235"/>
      <c r="AU235"/>
      <c r="AV235"/>
      <c r="AW235"/>
      <c r="AX235"/>
    </row>
    <row r="236" spans="18:50" ht="12.75" customHeight="1">
      <c r="R236"/>
      <c r="AH236" s="18"/>
      <c r="AI236" s="1239" t="s">
        <v>583</v>
      </c>
      <c r="AJ236" s="1239"/>
      <c r="AK236" s="1239"/>
      <c r="AL236" s="164" t="e">
        <f t="shared" si="10"/>
        <v>#DIV/0!</v>
      </c>
      <c r="AM236" s="164" t="e">
        <f t="shared" si="10"/>
        <v>#DIV/0!</v>
      </c>
      <c r="AN236" s="164" t="e">
        <f t="shared" si="10"/>
        <v>#DIV/0!</v>
      </c>
      <c r="AO236" s="1273"/>
      <c r="AR236"/>
      <c r="AS236"/>
      <c r="AT236"/>
      <c r="AU236"/>
      <c r="AV236"/>
      <c r="AW236"/>
      <c r="AX236"/>
    </row>
    <row r="237" spans="18:50" ht="12.75" customHeight="1">
      <c r="R237"/>
      <c r="AH237" s="18"/>
      <c r="AR237"/>
      <c r="AS237"/>
      <c r="AT237"/>
      <c r="AU237"/>
      <c r="AV237"/>
      <c r="AW237"/>
      <c r="AX237"/>
    </row>
    <row r="238" spans="18:50" ht="12.75" customHeight="1">
      <c r="R238"/>
      <c r="AH238" s="168" t="s">
        <v>753</v>
      </c>
      <c r="AI238" s="18" t="s">
        <v>300</v>
      </c>
      <c r="AR238"/>
      <c r="AS238"/>
      <c r="AT238"/>
      <c r="AU238"/>
      <c r="AV238"/>
      <c r="AW238"/>
      <c r="AX238"/>
    </row>
    <row r="239" spans="18:50" ht="12.75" customHeight="1">
      <c r="R239"/>
      <c r="AH239" s="18"/>
      <c r="AI239" s="1297" t="s">
        <v>669</v>
      </c>
      <c r="AJ239" s="1298"/>
      <c r="AK239" s="1299"/>
      <c r="AL239" s="1258" t="s">
        <v>21</v>
      </c>
      <c r="AM239" s="1267" t="s">
        <v>22</v>
      </c>
      <c r="AN239" s="1269" t="s">
        <v>579</v>
      </c>
      <c r="AO239" s="1271" t="s">
        <v>500</v>
      </c>
      <c r="AR239"/>
      <c r="AS239"/>
      <c r="AT239"/>
      <c r="AU239"/>
      <c r="AV239"/>
      <c r="AW239"/>
      <c r="AX239"/>
    </row>
    <row r="240" spans="18:50" ht="12.75" customHeight="1">
      <c r="R240"/>
      <c r="AH240" s="18"/>
      <c r="AI240" s="1300"/>
      <c r="AJ240" s="1301"/>
      <c r="AK240" s="1289"/>
      <c r="AL240" s="1259"/>
      <c r="AM240" s="1268"/>
      <c r="AN240" s="1270"/>
      <c r="AO240" s="1272"/>
      <c r="AR240"/>
      <c r="AS240"/>
      <c r="AT240"/>
      <c r="AU240"/>
      <c r="AV240"/>
      <c r="AW240"/>
      <c r="AX240"/>
    </row>
    <row r="241" spans="18:50" ht="12.75" customHeight="1">
      <c r="R241"/>
      <c r="AH241" s="18"/>
      <c r="AI241" s="165" t="s">
        <v>80</v>
      </c>
      <c r="AJ241" s="169"/>
      <c r="AK241" s="169"/>
      <c r="AL241" s="147">
        <f>VLOOKUP($E$5,'Lookup Water Flow'!$B$8:$E$208,2)</f>
        <v>12.6</v>
      </c>
      <c r="AM241" s="147">
        <f>VLOOKUP($E$5,'Lookup Water Flow'!$B$8:$E$208,3)</f>
        <v>6.9</v>
      </c>
      <c r="AN241" s="147">
        <f>VLOOKUP($E$5,'Lookup Water Flow'!$B$8:$E$208,4)</f>
        <v>12.1</v>
      </c>
      <c r="AO241" s="198">
        <v>6.5</v>
      </c>
      <c r="AR241"/>
      <c r="AS241"/>
      <c r="AT241"/>
      <c r="AU241"/>
      <c r="AV241"/>
      <c r="AW241"/>
      <c r="AX241"/>
    </row>
    <row r="242" spans="18:50" ht="12.75" customHeight="1">
      <c r="R242"/>
      <c r="AH242" s="18"/>
      <c r="AI242" s="1239" t="s">
        <v>81</v>
      </c>
      <c r="AJ242" s="1239"/>
      <c r="AK242" s="1239"/>
      <c r="AL242" s="222">
        <f>AL241*$V$27</f>
        <v>0</v>
      </c>
      <c r="AM242" s="222">
        <f>AM241*$V$27</f>
        <v>0</v>
      </c>
      <c r="AN242" s="222">
        <f>AN241*$V$27</f>
        <v>0</v>
      </c>
      <c r="AO242" s="130">
        <f>AO241*AM30</f>
        <v>1040</v>
      </c>
      <c r="AR242"/>
      <c r="AS242"/>
      <c r="AT242"/>
      <c r="AU242"/>
      <c r="AV242"/>
      <c r="AW242"/>
      <c r="AX242"/>
    </row>
    <row r="243" spans="18:50" ht="12.75" customHeight="1">
      <c r="R243"/>
      <c r="AH243" s="18"/>
      <c r="AI243" s="166" t="s">
        <v>670</v>
      </c>
      <c r="AJ243" s="169"/>
      <c r="AK243" s="169"/>
      <c r="AL243" s="167" t="e">
        <f>AL241*#REF!*$V$28</f>
        <v>#REF!</v>
      </c>
      <c r="AM243" s="167" t="e">
        <f>AM241*#REF!*$V$28</f>
        <v>#REF!</v>
      </c>
      <c r="AN243" s="167" t="e">
        <f>AN241*#REF!*$V$28</f>
        <v>#REF!</v>
      </c>
      <c r="AO243" s="164">
        <f>(AO241*AO64*AM31)+(24*2*AM31)</f>
        <v>473600</v>
      </c>
      <c r="AP243" s="223"/>
      <c r="AR243"/>
      <c r="AS243"/>
      <c r="AT243"/>
      <c r="AU243"/>
      <c r="AV243"/>
      <c r="AW243"/>
      <c r="AX243"/>
    </row>
    <row r="244" spans="18:50" ht="12.75" customHeight="1">
      <c r="R244"/>
      <c r="AH244" s="18"/>
      <c r="AR244"/>
      <c r="AS244"/>
      <c r="AT244"/>
      <c r="AU244"/>
      <c r="AV244"/>
      <c r="AW244"/>
      <c r="AX244"/>
    </row>
    <row r="245" spans="18:50" ht="12.75" customHeight="1">
      <c r="R245"/>
      <c r="AH245" s="168" t="s">
        <v>754</v>
      </c>
      <c r="AI245" s="1261" t="s">
        <v>309</v>
      </c>
      <c r="AJ245" s="1261"/>
      <c r="AK245" s="1261"/>
      <c r="AL245" s="1261"/>
      <c r="AM245" s="1261"/>
      <c r="AN245" s="1261"/>
      <c r="AO245" s="1261"/>
      <c r="AP245" s="1261"/>
      <c r="AQ245" s="1261"/>
      <c r="AR245"/>
      <c r="AS245"/>
      <c r="AT245"/>
      <c r="AU245"/>
      <c r="AV245"/>
      <c r="AW245"/>
      <c r="AX245"/>
    </row>
    <row r="246" spans="18:50" ht="12.75" customHeight="1">
      <c r="R246"/>
      <c r="AH246" s="18"/>
      <c r="AR246"/>
      <c r="AS246"/>
      <c r="AT246"/>
      <c r="AU246"/>
      <c r="AV246"/>
      <c r="AW246"/>
      <c r="AX246"/>
    </row>
    <row r="247" spans="18:50" ht="12.75" customHeight="1">
      <c r="R247"/>
      <c r="AH247" s="168" t="s">
        <v>755</v>
      </c>
      <c r="AI247" s="18" t="s">
        <v>239</v>
      </c>
      <c r="AR247"/>
      <c r="AS247"/>
      <c r="AT247"/>
      <c r="AU247"/>
      <c r="AV247"/>
      <c r="AW247"/>
      <c r="AX247"/>
    </row>
    <row r="248" spans="18:50" ht="12.75" customHeight="1">
      <c r="R248"/>
      <c r="AH248" s="18"/>
      <c r="AR248"/>
      <c r="AS248"/>
      <c r="AT248"/>
      <c r="AU248"/>
      <c r="AV248"/>
      <c r="AW248"/>
      <c r="AX248"/>
    </row>
    <row r="249" spans="18:50" ht="12.75" customHeight="1">
      <c r="R249"/>
      <c r="AH249" s="18"/>
      <c r="AI249" s="1262" t="s">
        <v>676</v>
      </c>
      <c r="AJ249" s="1263"/>
      <c r="AK249" s="169" t="s">
        <v>320</v>
      </c>
      <c r="AL249" s="1266" t="s">
        <v>318</v>
      </c>
      <c r="AM249" s="1266"/>
      <c r="AN249" s="170">
        <f>AO249/100</f>
        <v>0.19</v>
      </c>
      <c r="AO249" s="111">
        <v>19</v>
      </c>
      <c r="AP249" s="29"/>
      <c r="AR249"/>
      <c r="AS249"/>
      <c r="AT249"/>
      <c r="AU249"/>
      <c r="AV249"/>
      <c r="AW249"/>
      <c r="AX249"/>
    </row>
    <row r="250" spans="18:50" ht="12.75" customHeight="1">
      <c r="R250"/>
      <c r="AH250" s="18"/>
      <c r="AI250" s="1264"/>
      <c r="AJ250" s="1265"/>
      <c r="AK250" s="169" t="s">
        <v>321</v>
      </c>
      <c r="AL250" s="1266" t="s">
        <v>319</v>
      </c>
      <c r="AM250" s="1266"/>
      <c r="AN250" s="170">
        <f>AO250/100</f>
        <v>0.33</v>
      </c>
      <c r="AO250" s="111">
        <v>33</v>
      </c>
      <c r="AP250" s="29"/>
      <c r="AQ250" s="29"/>
      <c r="AR250"/>
      <c r="AS250"/>
      <c r="AT250"/>
      <c r="AU250"/>
      <c r="AV250"/>
      <c r="AW250"/>
      <c r="AX250"/>
    </row>
    <row r="251" spans="18:50" ht="12.75" customHeight="1">
      <c r="R251"/>
      <c r="AH251" s="18"/>
      <c r="AK251" s="26"/>
      <c r="AL251" s="26"/>
      <c r="AM251" s="171"/>
      <c r="AR251"/>
      <c r="AS251"/>
      <c r="AT251"/>
      <c r="AU251"/>
      <c r="AV251"/>
      <c r="AW251"/>
      <c r="AX251"/>
    </row>
    <row r="252" spans="18:50" ht="12.75" customHeight="1">
      <c r="R252"/>
      <c r="AH252" s="18"/>
      <c r="AI252" s="1266" t="s">
        <v>675</v>
      </c>
      <c r="AJ252" s="1266"/>
      <c r="AK252" s="1266"/>
      <c r="AL252" s="1258" t="s">
        <v>21</v>
      </c>
      <c r="AM252" s="1267" t="s">
        <v>22</v>
      </c>
      <c r="AN252" s="1269" t="s">
        <v>579</v>
      </c>
      <c r="AO252" s="1271" t="s">
        <v>500</v>
      </c>
      <c r="AR252"/>
      <c r="AS252"/>
      <c r="AT252"/>
      <c r="AU252"/>
      <c r="AV252"/>
      <c r="AW252"/>
      <c r="AX252"/>
    </row>
    <row r="253" spans="18:50" ht="12.75" customHeight="1">
      <c r="R253"/>
      <c r="AH253" s="18"/>
      <c r="AI253" s="1327" t="s">
        <v>320</v>
      </c>
      <c r="AJ253" s="1330"/>
      <c r="AK253" s="1331"/>
      <c r="AL253" s="1259"/>
      <c r="AM253" s="1268"/>
      <c r="AN253" s="1270"/>
      <c r="AO253" s="1272"/>
      <c r="AR253"/>
      <c r="AS253"/>
      <c r="AT253"/>
      <c r="AU253"/>
      <c r="AV253"/>
      <c r="AW253"/>
      <c r="AX253"/>
    </row>
    <row r="254" spans="18:50" ht="12.75" customHeight="1">
      <c r="R254"/>
      <c r="AH254" s="18"/>
      <c r="AI254" s="1328"/>
      <c r="AJ254" s="1266" t="s">
        <v>306</v>
      </c>
      <c r="AK254" s="1266"/>
      <c r="AL254" s="224">
        <f>AL167*$W$246</f>
        <v>0</v>
      </c>
      <c r="AM254" s="224">
        <f>AM167*$W$246</f>
        <v>0</v>
      </c>
      <c r="AN254" s="224">
        <f>AN167*$W$246</f>
        <v>0</v>
      </c>
      <c r="AO254" s="224">
        <f>AO167*$W$246</f>
        <v>0</v>
      </c>
      <c r="AR254"/>
      <c r="AS254"/>
      <c r="AT254"/>
      <c r="AU254"/>
      <c r="AV254"/>
      <c r="AW254"/>
      <c r="AX254"/>
    </row>
    <row r="255" spans="18:50" ht="12.75" customHeight="1">
      <c r="R255"/>
      <c r="AH255" s="18"/>
      <c r="AI255" s="1328"/>
      <c r="AJ255" s="1266" t="s">
        <v>307</v>
      </c>
      <c r="AK255" s="1266"/>
      <c r="AL255" s="224">
        <f>AL254*$V$15</f>
        <v>0</v>
      </c>
      <c r="AM255" s="224">
        <f>AM254*$V$15</f>
        <v>0</v>
      </c>
      <c r="AN255" s="224">
        <f>AN254*$V$15</f>
        <v>0</v>
      </c>
      <c r="AO255" s="224">
        <f>AO254*$V$15</f>
        <v>0</v>
      </c>
      <c r="AR255"/>
      <c r="AS255"/>
      <c r="AT255"/>
      <c r="AU255"/>
      <c r="AV255"/>
      <c r="AW255"/>
      <c r="AX255"/>
    </row>
    <row r="256" spans="18:50" ht="12.75" customHeight="1">
      <c r="R256"/>
      <c r="AH256" s="18"/>
      <c r="AI256" s="1329"/>
      <c r="AJ256" s="1266" t="s">
        <v>308</v>
      </c>
      <c r="AK256" s="1266"/>
      <c r="AL256" s="224">
        <f>AL255*9</f>
        <v>0</v>
      </c>
      <c r="AM256" s="224">
        <f>AM255*9</f>
        <v>0</v>
      </c>
      <c r="AN256" s="224">
        <f>AN255*9</f>
        <v>0</v>
      </c>
      <c r="AO256" s="224">
        <f>AO255*9</f>
        <v>0</v>
      </c>
      <c r="AR256"/>
      <c r="AS256"/>
      <c r="AT256"/>
      <c r="AU256"/>
      <c r="AV256"/>
      <c r="AW256"/>
      <c r="AX256"/>
    </row>
    <row r="257" spans="18:50" ht="12.75" customHeight="1">
      <c r="R257"/>
      <c r="AH257" s="172"/>
      <c r="AI257" s="1266"/>
      <c r="AJ257" s="1266"/>
      <c r="AK257" s="1266"/>
      <c r="AL257" s="1266"/>
      <c r="AM257" s="1266"/>
      <c r="AN257" s="1266"/>
      <c r="AO257" s="1266"/>
      <c r="AR257"/>
      <c r="AS257"/>
      <c r="AT257"/>
      <c r="AU257"/>
      <c r="AV257"/>
      <c r="AW257"/>
      <c r="AX257"/>
    </row>
    <row r="258" spans="18:50" ht="12.75" customHeight="1">
      <c r="R258"/>
      <c r="AH258" s="172"/>
      <c r="AI258" s="1266" t="s">
        <v>675</v>
      </c>
      <c r="AJ258" s="1266"/>
      <c r="AK258" s="1266"/>
      <c r="AL258" s="1333" t="s">
        <v>21</v>
      </c>
      <c r="AM258" s="1334" t="s">
        <v>22</v>
      </c>
      <c r="AN258" s="1335" t="s">
        <v>579</v>
      </c>
      <c r="AO258" s="1332" t="s">
        <v>500</v>
      </c>
      <c r="AR258"/>
      <c r="AS258"/>
      <c r="AT258"/>
      <c r="AU258"/>
      <c r="AV258"/>
      <c r="AW258"/>
      <c r="AX258"/>
    </row>
    <row r="259" spans="18:50" ht="12.75" customHeight="1">
      <c r="R259"/>
      <c r="AH259" s="172"/>
      <c r="AI259" s="1266" t="s">
        <v>321</v>
      </c>
      <c r="AJ259" s="1266"/>
      <c r="AK259" s="1266"/>
      <c r="AL259" s="1333"/>
      <c r="AM259" s="1334"/>
      <c r="AN259" s="1335"/>
      <c r="AO259" s="1332"/>
      <c r="AR259"/>
      <c r="AS259"/>
      <c r="AT259"/>
      <c r="AU259"/>
      <c r="AV259"/>
      <c r="AW259"/>
      <c r="AX259"/>
    </row>
    <row r="260" spans="18:50" ht="12.75" customHeight="1">
      <c r="R260"/>
      <c r="AH260" s="18"/>
      <c r="AI260" s="1266"/>
      <c r="AJ260" s="1266" t="s">
        <v>306</v>
      </c>
      <c r="AK260" s="1266"/>
      <c r="AL260" s="224">
        <f>AL167*$W$247</f>
        <v>0</v>
      </c>
      <c r="AM260" s="224">
        <f>AM167*$W$247</f>
        <v>0</v>
      </c>
      <c r="AN260" s="224">
        <f>AN167*$W$247</f>
        <v>0</v>
      </c>
      <c r="AO260" s="224">
        <f>AO167*$W$247</f>
        <v>0</v>
      </c>
      <c r="AR260"/>
      <c r="AS260"/>
      <c r="AT260"/>
      <c r="AU260"/>
      <c r="AV260"/>
      <c r="AW260"/>
      <c r="AX260"/>
    </row>
    <row r="261" spans="18:50" ht="12.75" customHeight="1">
      <c r="R261"/>
      <c r="AH261" s="172"/>
      <c r="AI261" s="1266"/>
      <c r="AJ261" s="1266" t="s">
        <v>307</v>
      </c>
      <c r="AK261" s="1266"/>
      <c r="AL261" s="224">
        <f>AL260*$V$15</f>
        <v>0</v>
      </c>
      <c r="AM261" s="224">
        <f>AM260*$V$15</f>
        <v>0</v>
      </c>
      <c r="AN261" s="224">
        <f>AN260*$V$15</f>
        <v>0</v>
      </c>
      <c r="AO261" s="224">
        <f>AO260*$V$15</f>
        <v>0</v>
      </c>
      <c r="AR261"/>
      <c r="AS261"/>
      <c r="AT261"/>
      <c r="AU261"/>
      <c r="AV261"/>
      <c r="AW261"/>
      <c r="AX261"/>
    </row>
    <row r="262" spans="18:50" ht="12.75" customHeight="1">
      <c r="R262"/>
      <c r="AH262" s="18"/>
      <c r="AI262" s="1266"/>
      <c r="AJ262" s="1266" t="s">
        <v>308</v>
      </c>
      <c r="AK262" s="1266"/>
      <c r="AL262" s="224">
        <f>AL261*3</f>
        <v>0</v>
      </c>
      <c r="AM262" s="224">
        <f>AM261*3</f>
        <v>0</v>
      </c>
      <c r="AN262" s="224">
        <f>AN261*3</f>
        <v>0</v>
      </c>
      <c r="AO262" s="224">
        <f>AO261*3</f>
        <v>0</v>
      </c>
      <c r="AR262"/>
      <c r="AS262"/>
      <c r="AT262"/>
      <c r="AU262"/>
      <c r="AV262"/>
      <c r="AW262"/>
      <c r="AX262"/>
    </row>
    <row r="263" spans="18:50" ht="12.75" customHeight="1">
      <c r="R263"/>
      <c r="AH263" s="18"/>
      <c r="AI263" s="1266"/>
      <c r="AJ263" s="1266"/>
      <c r="AK263" s="1266"/>
      <c r="AL263" s="1266"/>
      <c r="AM263" s="1266"/>
      <c r="AN263" s="1266"/>
      <c r="AO263" s="1266"/>
      <c r="AR263"/>
      <c r="AS263"/>
      <c r="AT263"/>
      <c r="AU263"/>
      <c r="AV263"/>
      <c r="AW263"/>
      <c r="AX263"/>
    </row>
    <row r="264" spans="18:50" ht="12.75" customHeight="1">
      <c r="R264"/>
      <c r="AH264" s="18"/>
      <c r="AI264" s="1266" t="s">
        <v>675</v>
      </c>
      <c r="AJ264" s="1266"/>
      <c r="AK264" s="1266"/>
      <c r="AL264" s="1333" t="s">
        <v>21</v>
      </c>
      <c r="AM264" s="1334" t="s">
        <v>22</v>
      </c>
      <c r="AN264" s="1335" t="s">
        <v>579</v>
      </c>
      <c r="AO264" s="1332" t="s">
        <v>500</v>
      </c>
      <c r="AR264"/>
      <c r="AS264"/>
      <c r="AT264"/>
      <c r="AU264"/>
      <c r="AV264"/>
      <c r="AW264"/>
      <c r="AX264"/>
    </row>
    <row r="265" spans="18:50" ht="12.75" customHeight="1">
      <c r="R265"/>
      <c r="AH265" s="18"/>
      <c r="AI265" s="1266" t="s">
        <v>322</v>
      </c>
      <c r="AJ265" s="1266"/>
      <c r="AK265" s="1266"/>
      <c r="AL265" s="1333"/>
      <c r="AM265" s="1334"/>
      <c r="AN265" s="1335"/>
      <c r="AO265" s="1332"/>
      <c r="AR265"/>
      <c r="AS265"/>
      <c r="AT265"/>
      <c r="AU265"/>
      <c r="AV265"/>
      <c r="AW265"/>
      <c r="AX265"/>
    </row>
    <row r="266" spans="18:50" ht="12.75" customHeight="1">
      <c r="R266"/>
      <c r="AH266" s="18"/>
      <c r="AI266" s="1266"/>
      <c r="AJ266" s="1266" t="s">
        <v>306</v>
      </c>
      <c r="AK266" s="1266"/>
      <c r="AL266" s="224">
        <f>AL267/$V$15</f>
        <v>0</v>
      </c>
      <c r="AM266" s="224">
        <f>AM267/$V$15</f>
        <v>0</v>
      </c>
      <c r="AN266" s="224">
        <f>AN267/$V$15</f>
        <v>0</v>
      </c>
      <c r="AO266" s="224">
        <f>AO267/$V$15</f>
        <v>0</v>
      </c>
      <c r="AR266"/>
      <c r="AS266"/>
      <c r="AT266"/>
      <c r="AU266"/>
      <c r="AV266"/>
      <c r="AW266"/>
      <c r="AX266"/>
    </row>
    <row r="267" spans="18:50" ht="12.75" customHeight="1">
      <c r="R267"/>
      <c r="AH267" s="18"/>
      <c r="AI267" s="1266"/>
      <c r="AJ267" s="1266" t="s">
        <v>307</v>
      </c>
      <c r="AK267" s="1266"/>
      <c r="AL267" s="224">
        <f>AL268/12</f>
        <v>0</v>
      </c>
      <c r="AM267" s="224">
        <f>AM268/12</f>
        <v>0</v>
      </c>
      <c r="AN267" s="224">
        <f>AN268/12</f>
        <v>0</v>
      </c>
      <c r="AO267" s="224">
        <f>AO268/12</f>
        <v>0</v>
      </c>
      <c r="AR267"/>
      <c r="AS267"/>
      <c r="AT267"/>
      <c r="AU267"/>
      <c r="AV267"/>
      <c r="AW267"/>
      <c r="AX267"/>
    </row>
    <row r="268" spans="18:50" ht="12.75" customHeight="1">
      <c r="R268"/>
      <c r="AH268" s="18"/>
      <c r="AI268" s="1266"/>
      <c r="AJ268" s="1266" t="s">
        <v>308</v>
      </c>
      <c r="AK268" s="1266"/>
      <c r="AL268" s="224">
        <f>AL256+AL262</f>
        <v>0</v>
      </c>
      <c r="AM268" s="224">
        <f>AM256+AM262</f>
        <v>0</v>
      </c>
      <c r="AN268" s="224">
        <f>AN256+AN262</f>
        <v>0</v>
      </c>
      <c r="AO268" s="224">
        <f>AO256+AO262</f>
        <v>0</v>
      </c>
      <c r="AR268"/>
      <c r="AS268"/>
      <c r="AT268"/>
      <c r="AU268"/>
      <c r="AV268"/>
      <c r="AW268"/>
      <c r="AX268"/>
    </row>
    <row r="269" spans="18:50" ht="12.75" customHeight="1">
      <c r="R269"/>
      <c r="AH269" s="18"/>
      <c r="AK269" s="26"/>
      <c r="AL269" s="26"/>
      <c r="AM269" s="171"/>
      <c r="AR269"/>
      <c r="AS269"/>
      <c r="AT269"/>
      <c r="AU269"/>
      <c r="AV269"/>
      <c r="AW269"/>
      <c r="AX269"/>
    </row>
    <row r="270" spans="18:50" ht="12.75" customHeight="1">
      <c r="R270"/>
      <c r="AH270" s="168" t="s">
        <v>756</v>
      </c>
      <c r="AI270" s="18" t="s">
        <v>758</v>
      </c>
      <c r="AK270" s="26"/>
      <c r="AL270" s="26"/>
      <c r="AM270" s="171"/>
      <c r="AR270"/>
      <c r="AS270"/>
      <c r="AT270"/>
      <c r="AU270"/>
      <c r="AV270"/>
      <c r="AW270"/>
      <c r="AX270"/>
    </row>
    <row r="271" spans="18:50" ht="12.75" customHeight="1">
      <c r="R271"/>
      <c r="AH271" s="18"/>
      <c r="AI271" s="1252" t="s">
        <v>678</v>
      </c>
      <c r="AJ271" s="1253"/>
      <c r="AK271" s="1254"/>
      <c r="AL271" s="1333" t="s">
        <v>21</v>
      </c>
      <c r="AM271" s="1334" t="s">
        <v>22</v>
      </c>
      <c r="AN271" s="1335" t="s">
        <v>579</v>
      </c>
      <c r="AO271" s="1332" t="s">
        <v>500</v>
      </c>
      <c r="AR271"/>
      <c r="AS271"/>
      <c r="AT271"/>
      <c r="AU271"/>
      <c r="AV271"/>
      <c r="AW271"/>
      <c r="AX271"/>
    </row>
    <row r="272" spans="18:50" ht="12.75" customHeight="1">
      <c r="R272"/>
      <c r="AH272" s="18"/>
      <c r="AI272" s="1255"/>
      <c r="AJ272" s="1256"/>
      <c r="AK272" s="1257"/>
      <c r="AL272" s="1333"/>
      <c r="AM272" s="1334"/>
      <c r="AN272" s="1335"/>
      <c r="AO272" s="1332"/>
      <c r="AR272"/>
      <c r="AS272"/>
      <c r="AT272"/>
      <c r="AU272"/>
      <c r="AV272"/>
      <c r="AW272"/>
      <c r="AX272"/>
    </row>
    <row r="273" spans="18:50" ht="12.75" customHeight="1">
      <c r="R273"/>
      <c r="AH273" s="18"/>
      <c r="AI273" s="1247" t="s">
        <v>35</v>
      </c>
      <c r="AJ273" s="1247"/>
      <c r="AK273" s="1247"/>
      <c r="AL273" s="224">
        <f>AL268*5%</f>
        <v>0</v>
      </c>
      <c r="AM273" s="224">
        <f>AM268*5%</f>
        <v>0</v>
      </c>
      <c r="AN273" s="224">
        <f>AN268*5%</f>
        <v>0</v>
      </c>
      <c r="AO273" s="224"/>
      <c r="AP273" s="29"/>
      <c r="AR273"/>
      <c r="AS273"/>
      <c r="AT273"/>
      <c r="AU273"/>
      <c r="AV273"/>
      <c r="AW273"/>
      <c r="AX273"/>
    </row>
    <row r="274" spans="18:50" ht="12.75" customHeight="1">
      <c r="R274"/>
      <c r="AH274" s="18"/>
      <c r="AI274" s="1247" t="s">
        <v>316</v>
      </c>
      <c r="AJ274" s="1247"/>
      <c r="AK274" s="1247"/>
      <c r="AL274" s="224">
        <f>Consumables!V26*12</f>
        <v>0</v>
      </c>
      <c r="AM274" s="224">
        <f>AL274</f>
        <v>0</v>
      </c>
      <c r="AN274" s="137"/>
      <c r="AO274" s="137"/>
      <c r="AR274"/>
      <c r="AS274"/>
      <c r="AT274"/>
      <c r="AU274"/>
      <c r="AV274"/>
      <c r="AW274"/>
      <c r="AX274"/>
    </row>
    <row r="275" spans="18:50" ht="12.75" customHeight="1">
      <c r="R275"/>
      <c r="AH275" s="18"/>
      <c r="AI275" s="1247" t="s">
        <v>311</v>
      </c>
      <c r="AJ275" s="1247"/>
      <c r="AK275" s="1247"/>
      <c r="AL275" s="224">
        <f>Consumables!V24*12</f>
        <v>0</v>
      </c>
      <c r="AM275" s="224">
        <f>AL275</f>
        <v>0</v>
      </c>
      <c r="AN275" s="224">
        <f>AM275</f>
        <v>0</v>
      </c>
      <c r="AO275" s="224">
        <f>Consumables!Y24*12</f>
        <v>0</v>
      </c>
      <c r="AR275"/>
      <c r="AS275"/>
      <c r="AT275"/>
      <c r="AU275"/>
      <c r="AV275"/>
      <c r="AW275"/>
      <c r="AX275"/>
    </row>
    <row r="276" spans="18:50" ht="12.75" customHeight="1">
      <c r="R276"/>
      <c r="AH276" s="18"/>
      <c r="AI276" s="1247" t="s">
        <v>312</v>
      </c>
      <c r="AJ276" s="1247"/>
      <c r="AK276" s="1247"/>
      <c r="AL276" s="224">
        <f>Consumables!V23*12</f>
        <v>0</v>
      </c>
      <c r="AM276" s="224">
        <f>AL276</f>
        <v>0</v>
      </c>
      <c r="AN276" s="224">
        <f>AM276</f>
        <v>0</v>
      </c>
      <c r="AO276" s="224">
        <f>Consumables!Y23*12</f>
        <v>0</v>
      </c>
      <c r="AR276"/>
      <c r="AS276"/>
      <c r="AT276"/>
      <c r="AU276"/>
      <c r="AV276"/>
      <c r="AW276"/>
      <c r="AX276"/>
    </row>
    <row r="277" spans="18:50" ht="12.75" customHeight="1">
      <c r="R277"/>
      <c r="AH277" s="18"/>
      <c r="AI277" s="1247" t="s">
        <v>313</v>
      </c>
      <c r="AJ277" s="1247"/>
      <c r="AK277" s="1247"/>
      <c r="AL277" s="224">
        <f>Consumables!V22*12</f>
        <v>0</v>
      </c>
      <c r="AM277" s="224">
        <f>AL277</f>
        <v>0</v>
      </c>
      <c r="AN277" s="224">
        <f>AM277</f>
        <v>0</v>
      </c>
      <c r="AO277" s="224">
        <f>Consumables!Y22*12</f>
        <v>0</v>
      </c>
      <c r="AR277"/>
      <c r="AS277"/>
      <c r="AT277"/>
      <c r="AU277"/>
      <c r="AV277"/>
      <c r="AW277"/>
      <c r="AX277"/>
    </row>
    <row r="278" spans="18:50" ht="12.75" customHeight="1">
      <c r="R278"/>
      <c r="AH278" s="18"/>
      <c r="AI278" s="1247" t="s">
        <v>190</v>
      </c>
      <c r="AJ278" s="1247"/>
      <c r="AK278" s="1247"/>
      <c r="AL278" s="224"/>
      <c r="AM278" s="224"/>
      <c r="AN278" s="224"/>
      <c r="AO278" s="224">
        <f>Consumables!Y25*12</f>
        <v>0</v>
      </c>
      <c r="AR278"/>
      <c r="AS278"/>
      <c r="AT278"/>
      <c r="AU278"/>
      <c r="AV278"/>
      <c r="AW278"/>
      <c r="AX278"/>
    </row>
    <row r="279" spans="18:50" ht="12.75" customHeight="1">
      <c r="R279"/>
      <c r="AH279" s="18"/>
      <c r="AI279" s="1247" t="s">
        <v>759</v>
      </c>
      <c r="AJ279" s="1247"/>
      <c r="AK279" s="1247"/>
      <c r="AL279" s="224">
        <f>Consumables!V28*12</f>
        <v>0</v>
      </c>
      <c r="AM279" s="224">
        <f>AL279</f>
        <v>0</v>
      </c>
      <c r="AN279" s="224">
        <f>AM279</f>
        <v>0</v>
      </c>
      <c r="AO279" s="224"/>
      <c r="AR279"/>
      <c r="AS279"/>
      <c r="AT279"/>
      <c r="AU279"/>
      <c r="AV279"/>
      <c r="AW279"/>
      <c r="AX279"/>
    </row>
    <row r="280" spans="18:50" ht="12.75" customHeight="1">
      <c r="R280"/>
      <c r="AH280" s="18"/>
      <c r="AI280" s="1247" t="s">
        <v>760</v>
      </c>
      <c r="AJ280" s="1247"/>
      <c r="AK280" s="1247"/>
      <c r="AL280" s="224">
        <f>Consumables!V27*12</f>
        <v>0</v>
      </c>
      <c r="AM280" s="224">
        <f>AL280</f>
        <v>0</v>
      </c>
      <c r="AN280" s="224">
        <f>AM280</f>
        <v>0</v>
      </c>
      <c r="AO280" s="224"/>
      <c r="AR280"/>
      <c r="AS280"/>
      <c r="AT280"/>
      <c r="AU280"/>
      <c r="AV280"/>
      <c r="AW280"/>
      <c r="AX280"/>
    </row>
    <row r="281" spans="18:50" ht="12.75" customHeight="1">
      <c r="R281"/>
      <c r="AH281" s="18"/>
      <c r="AI281" s="1247" t="s">
        <v>317</v>
      </c>
      <c r="AJ281" s="1247"/>
      <c r="AK281" s="1247"/>
      <c r="AL281" s="224">
        <f>AL268</f>
        <v>0</v>
      </c>
      <c r="AM281" s="224">
        <f>AM268</f>
        <v>0</v>
      </c>
      <c r="AN281" s="224">
        <f>AN268</f>
        <v>0</v>
      </c>
      <c r="AO281" s="224">
        <f>AO268</f>
        <v>0</v>
      </c>
      <c r="AR281"/>
      <c r="AS281"/>
      <c r="AT281"/>
      <c r="AU281"/>
      <c r="AV281"/>
      <c r="AW281"/>
      <c r="AX281"/>
    </row>
    <row r="282" spans="18:50" ht="12.75" customHeight="1">
      <c r="R282"/>
      <c r="AH282" s="18"/>
      <c r="AI282" s="1336" t="s">
        <v>677</v>
      </c>
      <c r="AJ282" s="1336"/>
      <c r="AK282" s="1336"/>
      <c r="AL282" s="224">
        <f>SUM(AL273:AL281)</f>
        <v>0</v>
      </c>
      <c r="AM282" s="224">
        <f>SUM(AM273:AM281)</f>
        <v>0</v>
      </c>
      <c r="AN282" s="224">
        <f>SUM(AN273:AN281)</f>
        <v>0</v>
      </c>
      <c r="AO282" s="224">
        <f>SUM(AO273:AO281)</f>
        <v>0</v>
      </c>
      <c r="AR282"/>
      <c r="AS282"/>
      <c r="AT282"/>
      <c r="AU282"/>
      <c r="AV282"/>
      <c r="AW282"/>
      <c r="AX282"/>
    </row>
    <row r="283" spans="18:50" ht="12.75" customHeight="1">
      <c r="R283"/>
      <c r="AH283" s="18"/>
      <c r="AR283"/>
      <c r="AS283"/>
      <c r="AT283"/>
      <c r="AU283"/>
      <c r="AV283"/>
      <c r="AW283"/>
      <c r="AX283"/>
    </row>
    <row r="284" spans="18:50" ht="12.75" customHeight="1">
      <c r="R284"/>
      <c r="AH284" s="18">
        <v>10.3</v>
      </c>
      <c r="AI284" s="18" t="s">
        <v>435</v>
      </c>
      <c r="AO284" s="132">
        <f>AO282-AVERAGE(AL281:AN281)-AM274-AM275-AM279-AM280</f>
        <v>0</v>
      </c>
      <c r="AR284"/>
      <c r="AS284"/>
      <c r="AT284"/>
      <c r="AU284"/>
      <c r="AV284"/>
      <c r="AW284"/>
      <c r="AX284"/>
    </row>
    <row r="285" spans="18:50" ht="12.75" customHeight="1">
      <c r="R285"/>
      <c r="AH285" s="18"/>
      <c r="AR285"/>
      <c r="AS285"/>
      <c r="AT285"/>
      <c r="AU285"/>
      <c r="AV285"/>
      <c r="AW285"/>
      <c r="AX285"/>
    </row>
    <row r="286" spans="18:50" ht="12.75" customHeight="1">
      <c r="R286"/>
      <c r="AH286" s="18"/>
      <c r="AI286" s="1266" t="s">
        <v>195</v>
      </c>
      <c r="AJ286" s="1266"/>
      <c r="AK286" s="1266"/>
      <c r="AL286" s="1266"/>
      <c r="AM286" s="1266"/>
      <c r="AN286" s="159"/>
      <c r="AO286" s="174"/>
      <c r="AP286" s="159"/>
      <c r="AQ286" s="159"/>
      <c r="AR286"/>
      <c r="AS286"/>
      <c r="AT286"/>
      <c r="AU286"/>
      <c r="AV286"/>
      <c r="AW286"/>
      <c r="AX286"/>
    </row>
    <row r="287" spans="18:50" ht="12.75" customHeight="1">
      <c r="R287"/>
      <c r="AH287" s="18"/>
      <c r="AI287" s="1295" t="s">
        <v>509</v>
      </c>
      <c r="AJ287" s="1333" t="s">
        <v>21</v>
      </c>
      <c r="AK287" s="1334" t="s">
        <v>22</v>
      </c>
      <c r="AL287" s="1335" t="s">
        <v>579</v>
      </c>
      <c r="AM287" s="1332" t="s">
        <v>500</v>
      </c>
      <c r="AO287" s="132"/>
      <c r="AR287"/>
      <c r="AS287"/>
      <c r="AT287"/>
      <c r="AU287"/>
      <c r="AV287"/>
      <c r="AW287"/>
      <c r="AX287"/>
    </row>
    <row r="288" spans="18:50" ht="12.75" customHeight="1">
      <c r="R288"/>
      <c r="AH288" s="18"/>
      <c r="AI288" s="1295"/>
      <c r="AJ288" s="1333"/>
      <c r="AK288" s="1334"/>
      <c r="AL288" s="1335"/>
      <c r="AM288" s="1332"/>
      <c r="AO288" s="132"/>
      <c r="AR288"/>
      <c r="AS288"/>
      <c r="AT288"/>
      <c r="AU288"/>
      <c r="AV288"/>
      <c r="AW288"/>
      <c r="AX288"/>
    </row>
    <row r="289" spans="18:50" ht="12.75" customHeight="1">
      <c r="R289"/>
      <c r="AH289" s="18"/>
      <c r="AI289" s="137" t="s">
        <v>204</v>
      </c>
      <c r="AJ289" s="137" t="s">
        <v>846</v>
      </c>
      <c r="AK289" s="137" t="s">
        <v>846</v>
      </c>
      <c r="AL289" s="137" t="s">
        <v>846</v>
      </c>
      <c r="AM289" s="137" t="s">
        <v>846</v>
      </c>
      <c r="AR289"/>
      <c r="AS289"/>
      <c r="AT289"/>
      <c r="AU289"/>
      <c r="AV289"/>
      <c r="AW289"/>
      <c r="AX289"/>
    </row>
    <row r="290" spans="18:50" ht="12.75" customHeight="1">
      <c r="R290"/>
      <c r="AH290" s="18"/>
      <c r="AI290" s="137">
        <v>1</v>
      </c>
      <c r="AJ290" s="143">
        <f>AL77</f>
        <v>116</v>
      </c>
      <c r="AK290" s="143">
        <f>AM77</f>
        <v>108</v>
      </c>
      <c r="AL290" s="143">
        <f>AN77</f>
        <v>109</v>
      </c>
      <c r="AM290" s="143">
        <f>AO77</f>
        <v>102</v>
      </c>
      <c r="AR290"/>
      <c r="AS290"/>
      <c r="AT290"/>
      <c r="AU290"/>
      <c r="AV290"/>
      <c r="AW290"/>
      <c r="AX290"/>
    </row>
    <row r="291" spans="18:50" ht="12.75" customHeight="1">
      <c r="R291"/>
      <c r="AH291" s="18"/>
      <c r="AI291" s="137">
        <v>2</v>
      </c>
      <c r="AJ291" s="143">
        <f>(LOG((10^(AJ290/10))+(10^(AJ290/10))))*10</f>
        <v>119.01029995663983</v>
      </c>
      <c r="AK291" s="143">
        <f>(LOG((10^(AK290/10))+(10^(AK290/10))))*10</f>
        <v>111.01029995663981</v>
      </c>
      <c r="AL291" s="143">
        <f>(LOG((10^(AL290/10))+(10^(AL290/10))))*10</f>
        <v>112.01029995663981</v>
      </c>
      <c r="AM291" s="143">
        <f>(LOG((10^(AM290/10))+(10^(AM290/10))))*10</f>
        <v>105.01029995663983</v>
      </c>
      <c r="AR291"/>
      <c r="AS291"/>
      <c r="AT291"/>
      <c r="AU291"/>
      <c r="AV291"/>
      <c r="AW291"/>
      <c r="AX291"/>
    </row>
    <row r="292" spans="18:50" ht="12.75" customHeight="1">
      <c r="R292"/>
      <c r="AH292" s="172"/>
      <c r="AI292" s="137">
        <v>3</v>
      </c>
      <c r="AJ292" s="143">
        <f>(LOG((10^(AJ290/10))+(10^(AJ290/10))+(10^(AJ290/10)))*10)</f>
        <v>120.77121254719664</v>
      </c>
      <c r="AK292" s="143">
        <f>(LOG((10^(AK290/10))+(10^(AK290/10))+(10^(AK290/10)))*10)</f>
        <v>112.77121254719663</v>
      </c>
      <c r="AL292" s="143">
        <f>(LOG((10^(AL290/10))+(10^(AL290/10))+(10^(AL290/10)))*10)</f>
        <v>113.77121254719663</v>
      </c>
      <c r="AM292" s="143">
        <f>(LOG((10^(AM290/10))+(10^(AM290/10))+(10^(AM290/10)))*10)</f>
        <v>106.77121254719664</v>
      </c>
      <c r="AR292"/>
      <c r="AS292"/>
      <c r="AT292"/>
      <c r="AU292"/>
      <c r="AV292"/>
      <c r="AW292"/>
      <c r="AX292"/>
    </row>
    <row r="293" spans="18:50" ht="12.75" customHeight="1">
      <c r="R293"/>
      <c r="AH293" s="18"/>
      <c r="AI293" s="137">
        <v>4</v>
      </c>
      <c r="AJ293" s="143">
        <f>(LOG((10^(AJ290/10))+(10^(AJ290/10))+(10^(AJ290/10))+(10^(AJ290/10))))*10</f>
        <v>122.02059991327964</v>
      </c>
      <c r="AK293" s="143">
        <f>(LOG((10^(AK290/10))+(10^(AK290/10))+(10^(AK290/10))+(10^(AK290/10))))*10</f>
        <v>114.02059991327963</v>
      </c>
      <c r="AL293" s="143">
        <f>(LOG((10^(AL290/10))+(10^(AL290/10))+(10^(AL290/10))+(10^(AL290/10))))*10</f>
        <v>115.02059991327963</v>
      </c>
      <c r="AM293" s="143">
        <f>(LOG((10^(AM290/10))+(10^(AM290/10))+(10^(AM290/10))+(10^(AM290/10))))*10</f>
        <v>108.02059991327964</v>
      </c>
      <c r="AR293"/>
      <c r="AS293"/>
      <c r="AT293"/>
      <c r="AU293"/>
      <c r="AV293"/>
      <c r="AW293"/>
      <c r="AX293"/>
    </row>
    <row r="294" spans="18:50" ht="12.75" customHeight="1">
      <c r="R294"/>
      <c r="AH294" s="18"/>
      <c r="AI294" s="137">
        <v>5</v>
      </c>
      <c r="AJ294" s="143">
        <f>(LOG((10^(AJ290/10))+(10^(AJ290/10))+(10^(AJ290/10))+(10^(AJ290/10))+(10^(AJ290/10))))*10</f>
        <v>122.9897000433602</v>
      </c>
      <c r="AK294" s="143">
        <f>(LOG((10^(AK290/10))+(10^(AK290/10))+(10^(AK290/10))+(10^(AK290/10))+(10^(AK290/10))))*10</f>
        <v>114.98970004336019</v>
      </c>
      <c r="AL294" s="143">
        <f>(LOG((10^(AL290/10))+(10^(AL290/10))+(10^(AL290/10))+(10^(AL290/10))+(10^(AL290/10))))*10</f>
        <v>115.98970004336019</v>
      </c>
      <c r="AM294" s="143">
        <f>(LOG((10^(AM290/10))+(10^(AM290/10))+(10^(AM290/10))+(10^(AM290/10))+(10^(AM290/10))))*10</f>
        <v>108.9897000433602</v>
      </c>
      <c r="AR294"/>
      <c r="AS294"/>
      <c r="AT294"/>
      <c r="AU294"/>
      <c r="AV294"/>
      <c r="AW294"/>
      <c r="AX294"/>
    </row>
    <row r="295" spans="18:50" ht="12.75" customHeight="1">
      <c r="R295"/>
      <c r="AH295" s="18"/>
      <c r="AI295" s="137">
        <v>6</v>
      </c>
      <c r="AJ295" s="143">
        <f>(LOG((10^(AJ290/10))+(10^(AJ290/10))+(10^(AJ290/10))+(10^(AJ290/10))+(10^(AJ290/10))+(10^(AJ290/10)))*10)</f>
        <v>123.78151250383645</v>
      </c>
      <c r="AK295" s="143">
        <f>(LOG((10^(AK290/10))+(10^(AK290/10))+(10^(AK290/10))+(10^(AK290/10))+(10^(AK290/10))+(10^(AK290/10)))*10)</f>
        <v>115.78151250383644</v>
      </c>
      <c r="AL295" s="143">
        <f>(LOG((10^(AL290/10))+(10^(AL290/10))+(10^(AL290/10))+(10^(AL290/10))+(10^(AL290/10))+(10^(AL290/10)))*10)</f>
        <v>116.78151250383644</v>
      </c>
      <c r="AM295" s="143">
        <f>(LOG((10^(AM290/10))+(10^(AM290/10))+(10^(AM290/10))+(10^(AM290/10))+(10^(AM290/10))+(10^(AM290/10)))*10)</f>
        <v>109.78151250383645</v>
      </c>
      <c r="AR295"/>
      <c r="AS295"/>
      <c r="AT295"/>
      <c r="AU295"/>
      <c r="AV295"/>
      <c r="AW295"/>
      <c r="AX295"/>
    </row>
    <row r="296" spans="18:50" ht="12.75" customHeight="1">
      <c r="R296"/>
      <c r="AH296" s="18"/>
      <c r="AR296"/>
      <c r="AS296"/>
      <c r="AT296"/>
      <c r="AU296"/>
      <c r="AV296"/>
      <c r="AW296"/>
      <c r="AX296"/>
    </row>
    <row r="297" spans="18:50" ht="12.75" customHeight="1">
      <c r="R297"/>
      <c r="AH297" s="18"/>
      <c r="AI297" s="1295" t="s">
        <v>428</v>
      </c>
      <c r="AJ297" s="1295"/>
      <c r="AK297" s="1295"/>
      <c r="AL297" s="1295"/>
      <c r="AM297" s="1295"/>
      <c r="AN297" s="1295"/>
      <c r="AR297"/>
      <c r="AS297"/>
      <c r="AT297"/>
      <c r="AU297"/>
      <c r="AV297"/>
      <c r="AW297"/>
      <c r="AX297"/>
    </row>
    <row r="298" spans="18:50" ht="12.75" customHeight="1">
      <c r="R298"/>
      <c r="AH298" s="18"/>
      <c r="AI298" s="1295"/>
      <c r="AJ298" s="1295"/>
      <c r="AK298" s="1295"/>
      <c r="AL298" s="1295"/>
      <c r="AM298" s="1295"/>
      <c r="AN298" s="1295"/>
      <c r="AR298"/>
      <c r="AS298"/>
      <c r="AT298"/>
      <c r="AU298"/>
      <c r="AV298"/>
      <c r="AW298"/>
      <c r="AX298"/>
    </row>
    <row r="299" spans="18:50" ht="12.75" customHeight="1">
      <c r="R299"/>
      <c r="AH299" s="18"/>
      <c r="AI299" s="1295"/>
      <c r="AJ299" s="1295"/>
      <c r="AK299" s="1295"/>
      <c r="AL299" s="1295"/>
      <c r="AM299" s="1295"/>
      <c r="AN299" s="1295"/>
      <c r="AR299"/>
      <c r="AS299"/>
      <c r="AT299"/>
      <c r="AU299"/>
      <c r="AV299"/>
      <c r="AW299"/>
      <c r="AX299"/>
    </row>
    <row r="300" spans="18:50" ht="12.75" customHeight="1">
      <c r="R300"/>
      <c r="AH300" s="18"/>
      <c r="AI300" s="1290" t="str">
        <f>AJ287</f>
        <v>Seco S215</v>
      </c>
      <c r="AJ300" s="1290"/>
      <c r="AK300" s="1290"/>
      <c r="AL300" s="1290"/>
      <c r="AM300" s="1290"/>
      <c r="AN300" s="1290"/>
      <c r="AR300"/>
      <c r="AS300"/>
      <c r="AT300"/>
      <c r="AU300"/>
      <c r="AV300"/>
      <c r="AW300"/>
      <c r="AX300"/>
    </row>
    <row r="301" spans="18:50" ht="12.75" customHeight="1" thickBot="1">
      <c r="R301"/>
      <c r="AH301" s="18"/>
      <c r="AI301" s="1276" t="s">
        <v>205</v>
      </c>
      <c r="AJ301" s="1277"/>
      <c r="AK301" s="1277"/>
      <c r="AL301" s="1277"/>
      <c r="AM301" s="1277"/>
      <c r="AN301" s="1278"/>
      <c r="AR301"/>
      <c r="AS301"/>
      <c r="AT301"/>
      <c r="AU301"/>
      <c r="AV301"/>
      <c r="AW301"/>
      <c r="AX301"/>
    </row>
    <row r="302" spans="18:50" ht="12.75" customHeight="1" thickBot="1">
      <c r="R302"/>
      <c r="AH302" s="18"/>
      <c r="AI302" s="175" t="s">
        <v>59</v>
      </c>
      <c r="AJ302" s="26"/>
      <c r="AK302" s="19"/>
      <c r="AL302" s="19"/>
      <c r="AM302" s="19"/>
      <c r="AN302" s="176"/>
      <c r="AR302"/>
      <c r="AS302"/>
      <c r="AT302"/>
      <c r="AU302"/>
      <c r="AV302"/>
      <c r="AW302"/>
      <c r="AX302"/>
    </row>
    <row r="303" spans="18:50" ht="12.75" customHeight="1">
      <c r="R303"/>
      <c r="AH303" s="18"/>
      <c r="AI303" s="1285" t="s">
        <v>845</v>
      </c>
      <c r="AJ303" s="1286"/>
      <c r="AK303" s="1279" t="s">
        <v>835</v>
      </c>
      <c r="AL303" s="1279" t="s">
        <v>836</v>
      </c>
      <c r="AM303" s="1279" t="s">
        <v>837</v>
      </c>
      <c r="AN303" s="1274" t="s">
        <v>838</v>
      </c>
      <c r="AR303"/>
      <c r="AS303"/>
      <c r="AT303"/>
      <c r="AU303"/>
      <c r="AV303"/>
      <c r="AW303"/>
      <c r="AX303"/>
    </row>
    <row r="304" spans="18:50" ht="12.75" customHeight="1">
      <c r="R304"/>
      <c r="AH304" s="18"/>
      <c r="AI304" s="1282"/>
      <c r="AJ304" s="1287"/>
      <c r="AK304" s="1280"/>
      <c r="AL304" s="1280"/>
      <c r="AM304" s="1280"/>
      <c r="AN304" s="1281"/>
      <c r="AR304"/>
      <c r="AS304"/>
      <c r="AT304"/>
      <c r="AU304"/>
      <c r="AV304"/>
      <c r="AW304"/>
      <c r="AX304"/>
    </row>
    <row r="305" spans="18:50" ht="12.75" customHeight="1">
      <c r="R305"/>
      <c r="AH305" s="18"/>
      <c r="AI305" s="1282"/>
      <c r="AJ305" s="1287"/>
      <c r="AK305" s="1273"/>
      <c r="AL305" s="1273"/>
      <c r="AM305" s="1273"/>
      <c r="AN305" s="1275"/>
      <c r="AR305"/>
      <c r="AS305"/>
      <c r="AT305"/>
      <c r="AU305"/>
      <c r="AV305"/>
      <c r="AW305"/>
      <c r="AX305"/>
    </row>
    <row r="306" spans="18:50" ht="12.75" customHeight="1">
      <c r="R306"/>
      <c r="AH306" s="18"/>
      <c r="AI306" s="1282"/>
      <c r="AJ306" s="1287"/>
      <c r="AK306" s="177">
        <f>AL77</f>
        <v>116</v>
      </c>
      <c r="AL306" s="178">
        <f>AL70</f>
        <v>1.4285714285714284</v>
      </c>
      <c r="AM306" s="179">
        <f>IF(AK306&gt;0,AN306*AL306," ")</f>
        <v>22857.142857142855</v>
      </c>
      <c r="AN306" s="180">
        <f>IF(AK306&gt;0,(VLOOKUP(AK306,'Lookup Ready-reckoner'!$B$5:$E$1207,4))," ")</f>
        <v>16000</v>
      </c>
      <c r="AR306"/>
      <c r="AS306"/>
      <c r="AT306"/>
      <c r="AU306"/>
      <c r="AV306"/>
      <c r="AW306"/>
      <c r="AX306"/>
    </row>
    <row r="307" spans="18:50" ht="12.75" customHeight="1">
      <c r="R307"/>
      <c r="AH307" s="18"/>
      <c r="AI307" s="1288"/>
      <c r="AJ307" s="1289"/>
      <c r="AK307" s="181"/>
      <c r="AL307" s="178"/>
      <c r="AM307" s="179" t="str">
        <f>IF(AK307&gt;0,AN307*AL307," ")</f>
        <v xml:space="preserve"> </v>
      </c>
      <c r="AN307" s="180" t="str">
        <f>IF(AK307&gt;0,(VLOOKUP(AK307,'Lookup Ready-reckoner'!$B$5:$E$1007,4))," ")</f>
        <v xml:space="preserve"> </v>
      </c>
      <c r="AR307"/>
      <c r="AS307"/>
      <c r="AT307"/>
      <c r="AU307"/>
      <c r="AV307"/>
      <c r="AW307"/>
      <c r="AX307"/>
    </row>
    <row r="308" spans="18:50" ht="12.75" customHeight="1" thickBot="1">
      <c r="R308"/>
      <c r="AH308" s="18"/>
      <c r="AI308" s="182" t="s">
        <v>439</v>
      </c>
      <c r="AJ308" s="183"/>
      <c r="AK308" s="183"/>
      <c r="AL308" s="184">
        <f>IF(AK306&gt;0,(VLOOKUP(AM308,'Lookup Ready-reckoner'!$L$5:$M$1207,2))," ")</f>
        <v>108.5</v>
      </c>
      <c r="AM308" s="185">
        <f>IF(AL306&gt;0,(SUM(AM306:AM307))," ")</f>
        <v>22857.142857142855</v>
      </c>
      <c r="AN308" s="186"/>
      <c r="AR308"/>
      <c r="AS308"/>
      <c r="AT308"/>
      <c r="AU308"/>
      <c r="AV308"/>
      <c r="AW308"/>
      <c r="AX308"/>
    </row>
    <row r="309" spans="18:50" ht="12.75" customHeight="1" thickBot="1">
      <c r="R309"/>
      <c r="AH309" s="18"/>
      <c r="AI309" s="1282"/>
      <c r="AJ309" s="1283"/>
      <c r="AK309" s="1283"/>
      <c r="AL309" s="1283"/>
      <c r="AM309" s="1283"/>
      <c r="AN309" s="1284"/>
      <c r="AR309"/>
      <c r="AS309"/>
      <c r="AT309"/>
      <c r="AU309"/>
      <c r="AV309"/>
      <c r="AW309"/>
      <c r="AX309"/>
    </row>
    <row r="310" spans="18:50" ht="12.75" customHeight="1">
      <c r="R310"/>
      <c r="AH310" s="18"/>
      <c r="AI310" s="1285" t="s">
        <v>886</v>
      </c>
      <c r="AJ310" s="1286"/>
      <c r="AK310" s="1279" t="s">
        <v>835</v>
      </c>
      <c r="AL310" s="1279" t="s">
        <v>836</v>
      </c>
      <c r="AM310" s="1279" t="s">
        <v>837</v>
      </c>
      <c r="AN310" s="1274" t="s">
        <v>838</v>
      </c>
      <c r="AR310"/>
      <c r="AS310"/>
      <c r="AT310"/>
      <c r="AU310"/>
      <c r="AV310"/>
      <c r="AW310"/>
      <c r="AX310"/>
    </row>
    <row r="311" spans="18:50" ht="12.75" customHeight="1">
      <c r="R311"/>
      <c r="AH311" s="18"/>
      <c r="AI311" s="1282"/>
      <c r="AJ311" s="1287"/>
      <c r="AK311" s="1273"/>
      <c r="AL311" s="1273"/>
      <c r="AM311" s="1273"/>
      <c r="AN311" s="1275"/>
      <c r="AR311"/>
      <c r="AS311"/>
      <c r="AT311"/>
      <c r="AU311"/>
      <c r="AV311"/>
      <c r="AW311"/>
      <c r="AX311"/>
    </row>
    <row r="312" spans="18:50" ht="12.75" customHeight="1">
      <c r="R312"/>
      <c r="AH312" s="18"/>
      <c r="AI312" s="1282"/>
      <c r="AJ312" s="1287"/>
      <c r="AK312" s="177">
        <f>AK306*(1-0.0178*2)</f>
        <v>111.8704</v>
      </c>
      <c r="AL312" s="178">
        <f>AL306</f>
        <v>1.4285714285714284</v>
      </c>
      <c r="AM312" s="179">
        <f>IF(AK312&gt;0,AN312*AL312," ")</f>
        <v>8842.8571428571413</v>
      </c>
      <c r="AN312" s="180">
        <f>IF(AK312&gt;0,(VLOOKUP(AK312,'Lookup Ready-reckoner'!$B$5:$E$1207,4))," ")</f>
        <v>6190</v>
      </c>
      <c r="AR312"/>
      <c r="AS312"/>
      <c r="AT312"/>
      <c r="AU312"/>
      <c r="AV312"/>
      <c r="AW312"/>
      <c r="AX312"/>
    </row>
    <row r="313" spans="18:50" ht="12.75" customHeight="1">
      <c r="R313"/>
      <c r="AH313" s="18"/>
      <c r="AI313" s="1288"/>
      <c r="AJ313" s="1289"/>
      <c r="AK313" s="181"/>
      <c r="AL313" s="178"/>
      <c r="AM313" s="179" t="str">
        <f>IF(AK313&gt;0,AN313*AL313," ")</f>
        <v xml:space="preserve"> </v>
      </c>
      <c r="AN313" s="180" t="str">
        <f>IF(AK313&gt;0,(VLOOKUP(AK313,'Lookup Ready-reckoner'!$B$5:$E$1007,4))," ")</f>
        <v xml:space="preserve"> </v>
      </c>
      <c r="AR313"/>
      <c r="AS313"/>
      <c r="AT313"/>
      <c r="AU313"/>
      <c r="AV313"/>
      <c r="AW313"/>
      <c r="AX313"/>
    </row>
    <row r="314" spans="18:50" ht="12.75" customHeight="1" thickBot="1">
      <c r="R314"/>
      <c r="AH314" s="18"/>
      <c r="AI314" s="182" t="s">
        <v>439</v>
      </c>
      <c r="AJ314" s="183"/>
      <c r="AK314" s="183"/>
      <c r="AL314" s="184">
        <f>IF(AK312&gt;0,(VLOOKUP(AM314,'Lookup Ready-reckoner'!$L$5:$M$1207,2))," ")</f>
        <v>104.4</v>
      </c>
      <c r="AM314" s="185">
        <f>IF(AL312&gt;0,(SUM(AM312:AM313))," ")</f>
        <v>8842.8571428571413</v>
      </c>
      <c r="AN314" s="186"/>
      <c r="AR314"/>
      <c r="AS314"/>
      <c r="AT314"/>
      <c r="AU314"/>
      <c r="AV314"/>
      <c r="AW314"/>
      <c r="AX314"/>
    </row>
    <row r="315" spans="18:50" ht="12.75" customHeight="1">
      <c r="R315"/>
      <c r="AH315" s="18"/>
      <c r="AI315" s="187"/>
      <c r="AJ315" s="19"/>
      <c r="AK315" s="19"/>
      <c r="AL315" s="188"/>
      <c r="AM315" s="189"/>
      <c r="AN315" s="176"/>
      <c r="AR315"/>
      <c r="AS315"/>
      <c r="AT315"/>
      <c r="AU315"/>
      <c r="AV315"/>
      <c r="AW315"/>
      <c r="AX315"/>
    </row>
    <row r="316" spans="18:50" ht="12.75" customHeight="1" thickBot="1">
      <c r="R316"/>
      <c r="AH316" s="18"/>
      <c r="AI316" s="175" t="s">
        <v>60</v>
      </c>
      <c r="AJ316" s="26"/>
      <c r="AK316" s="26"/>
      <c r="AL316" s="26"/>
      <c r="AM316" s="26"/>
      <c r="AN316" s="190"/>
      <c r="AR316"/>
      <c r="AS316"/>
      <c r="AT316"/>
      <c r="AU316"/>
      <c r="AV316"/>
      <c r="AW316"/>
      <c r="AX316"/>
    </row>
    <row r="317" spans="18:50" ht="12.75" customHeight="1">
      <c r="R317"/>
      <c r="AH317" s="18"/>
      <c r="AI317" s="1285" t="s">
        <v>845</v>
      </c>
      <c r="AJ317" s="1286"/>
      <c r="AK317" s="1279" t="s">
        <v>835</v>
      </c>
      <c r="AL317" s="1279" t="s">
        <v>836</v>
      </c>
      <c r="AM317" s="1279" t="s">
        <v>837</v>
      </c>
      <c r="AN317" s="1274" t="s">
        <v>838</v>
      </c>
      <c r="AR317"/>
      <c r="AS317"/>
      <c r="AT317"/>
      <c r="AU317"/>
      <c r="AV317"/>
      <c r="AW317"/>
      <c r="AX317"/>
    </row>
    <row r="318" spans="18:50" ht="12.75" customHeight="1">
      <c r="R318"/>
      <c r="AH318" s="18"/>
      <c r="AI318" s="1282"/>
      <c r="AJ318" s="1287"/>
      <c r="AK318" s="1273"/>
      <c r="AL318" s="1273"/>
      <c r="AM318" s="1273"/>
      <c r="AN318" s="1275"/>
      <c r="AR318"/>
      <c r="AS318"/>
      <c r="AT318"/>
      <c r="AU318"/>
      <c r="AV318"/>
      <c r="AW318"/>
      <c r="AX318"/>
    </row>
    <row r="319" spans="18:50" ht="12.75" customHeight="1">
      <c r="R319"/>
      <c r="AH319" s="18"/>
      <c r="AI319" s="1282"/>
      <c r="AJ319" s="1287"/>
      <c r="AK319" s="177">
        <f>AK306-PPE!$I$15</f>
        <v>103</v>
      </c>
      <c r="AL319" s="178">
        <f>AL312</f>
        <v>1.4285714285714284</v>
      </c>
      <c r="AM319" s="179">
        <f>IF(AK319&gt;0,AN319*AL319," ")</f>
        <v>1142.8571428571427</v>
      </c>
      <c r="AN319" s="180">
        <f>IF(AK319&gt;0,(VLOOKUP(AK319,'Lookup Ready-reckoner'!$B$5:$E$1207,4))," ")</f>
        <v>800</v>
      </c>
      <c r="AR319"/>
      <c r="AS319"/>
      <c r="AT319"/>
      <c r="AU319"/>
      <c r="AV319"/>
      <c r="AW319"/>
      <c r="AX319"/>
    </row>
    <row r="320" spans="18:50" ht="12.75" customHeight="1">
      <c r="R320"/>
      <c r="AH320" s="18"/>
      <c r="AI320" s="1288"/>
      <c r="AJ320" s="1289"/>
      <c r="AK320" s="181"/>
      <c r="AL320" s="178"/>
      <c r="AM320" s="179" t="str">
        <f>IF(AK320&gt;0,AN320*AL320," ")</f>
        <v xml:space="preserve"> </v>
      </c>
      <c r="AN320" s="180" t="str">
        <f>IF(AK320&gt;0,(VLOOKUP(AK320,'Lookup Ready-reckoner'!$B$5:$E$1007,4))," ")</f>
        <v xml:space="preserve"> </v>
      </c>
      <c r="AR320"/>
      <c r="AS320"/>
      <c r="AT320"/>
      <c r="AU320"/>
      <c r="AV320"/>
      <c r="AW320"/>
      <c r="AX320"/>
    </row>
    <row r="321" spans="18:50" ht="12.75" customHeight="1" thickBot="1">
      <c r="R321"/>
      <c r="AH321" s="18"/>
      <c r="AI321" s="191" t="s">
        <v>439</v>
      </c>
      <c r="AJ321" s="183"/>
      <c r="AK321" s="183"/>
      <c r="AL321" s="184">
        <f>IF(AK319&gt;0,(VLOOKUP(AM321,'Lookup Ready-reckoner'!$L$5:$M$1207,2))," ")</f>
        <v>95.55</v>
      </c>
      <c r="AM321" s="185">
        <f>IF(AL319&gt;0,(SUM(AM319:AM320))," ")</f>
        <v>1142.8571428571427</v>
      </c>
      <c r="AN321" s="186"/>
      <c r="AR321"/>
      <c r="AS321"/>
      <c r="AT321"/>
      <c r="AU321"/>
      <c r="AV321"/>
      <c r="AW321"/>
      <c r="AX321"/>
    </row>
    <row r="322" spans="18:50" ht="12.75" customHeight="1" thickBot="1">
      <c r="R322"/>
      <c r="AH322" s="18"/>
      <c r="AI322" s="1282"/>
      <c r="AJ322" s="1283"/>
      <c r="AK322" s="1283"/>
      <c r="AL322" s="1283"/>
      <c r="AM322" s="1283"/>
      <c r="AN322" s="1284"/>
      <c r="AR322"/>
      <c r="AS322"/>
      <c r="AT322"/>
      <c r="AU322"/>
      <c r="AV322"/>
      <c r="AW322"/>
      <c r="AX322"/>
    </row>
    <row r="323" spans="18:50" ht="12.75" customHeight="1">
      <c r="R323"/>
      <c r="AH323" s="18"/>
      <c r="AI323" s="1285" t="s">
        <v>886</v>
      </c>
      <c r="AJ323" s="1286"/>
      <c r="AK323" s="1279" t="s">
        <v>835</v>
      </c>
      <c r="AL323" s="1279" t="s">
        <v>836</v>
      </c>
      <c r="AM323" s="1279" t="s">
        <v>837</v>
      </c>
      <c r="AN323" s="1274" t="s">
        <v>838</v>
      </c>
      <c r="AR323"/>
      <c r="AS323"/>
      <c r="AT323"/>
      <c r="AU323"/>
      <c r="AV323"/>
      <c r="AW323"/>
      <c r="AX323"/>
    </row>
    <row r="324" spans="18:50" ht="12.75" customHeight="1">
      <c r="R324"/>
      <c r="AH324" s="18"/>
      <c r="AI324" s="1282"/>
      <c r="AJ324" s="1287"/>
      <c r="AK324" s="1273"/>
      <c r="AL324" s="1273"/>
      <c r="AM324" s="1273"/>
      <c r="AN324" s="1275"/>
      <c r="AR324"/>
      <c r="AS324"/>
      <c r="AT324"/>
      <c r="AU324"/>
      <c r="AV324"/>
      <c r="AW324"/>
      <c r="AX324"/>
    </row>
    <row r="325" spans="18:50" ht="12.75" customHeight="1">
      <c r="R325"/>
      <c r="AH325" s="18"/>
      <c r="AI325" s="1282"/>
      <c r="AJ325" s="1287"/>
      <c r="AK325" s="177">
        <f>AK312-PPE!$I$15</f>
        <v>98.870400000000004</v>
      </c>
      <c r="AL325" s="178">
        <f>AL319</f>
        <v>1.4285714285714284</v>
      </c>
      <c r="AM325" s="179">
        <f>IF(AK325&gt;0,AN325*AL325," ")</f>
        <v>433.03571428571422</v>
      </c>
      <c r="AN325" s="180">
        <f>IF(AK325&gt;0,(VLOOKUP(AK325,'Lookup Ready-reckoner'!$B$5:$E$1207,4))," ")</f>
        <v>303.125</v>
      </c>
      <c r="AR325"/>
      <c r="AS325"/>
      <c r="AT325"/>
      <c r="AU325"/>
      <c r="AV325"/>
      <c r="AW325"/>
      <c r="AX325"/>
    </row>
    <row r="326" spans="18:50" ht="12.75" customHeight="1">
      <c r="R326"/>
      <c r="AH326" s="18"/>
      <c r="AI326" s="1288"/>
      <c r="AJ326" s="1289"/>
      <c r="AK326" s="181"/>
      <c r="AL326" s="178"/>
      <c r="AM326" s="179" t="str">
        <f>IF(AK326&gt;0,AN326*AL326," ")</f>
        <v xml:space="preserve"> </v>
      </c>
      <c r="AN326" s="180" t="str">
        <f>IF(AK326&gt;0,(VLOOKUP(AK326,'Lookup Ready-reckoner'!$B$5:$E$1007,4))," ")</f>
        <v xml:space="preserve"> </v>
      </c>
      <c r="AR326"/>
      <c r="AS326"/>
      <c r="AT326"/>
      <c r="AU326"/>
      <c r="AV326"/>
      <c r="AW326"/>
      <c r="AX326"/>
    </row>
    <row r="327" spans="18:50" ht="12.75" customHeight="1" thickBot="1">
      <c r="R327"/>
      <c r="AH327" s="18"/>
      <c r="AI327" s="182" t="s">
        <v>439</v>
      </c>
      <c r="AJ327" s="183"/>
      <c r="AK327" s="183"/>
      <c r="AL327" s="184">
        <f>IF(AK325&gt;0,(VLOOKUP(AM327,'Lookup Ready-reckoner'!$L$5:$M$1207,2))," ")</f>
        <v>91.3</v>
      </c>
      <c r="AM327" s="185">
        <f>IF(AL325&gt;0,(SUM(AM325:AM326))," ")</f>
        <v>433.03571428571422</v>
      </c>
      <c r="AN327" s="186"/>
      <c r="AR327"/>
      <c r="AS327"/>
      <c r="AT327"/>
      <c r="AU327"/>
      <c r="AV327"/>
      <c r="AW327"/>
      <c r="AX327"/>
    </row>
    <row r="328" spans="18:50" ht="12.75" customHeight="1">
      <c r="R328"/>
      <c r="AH328" s="18"/>
      <c r="AR328"/>
      <c r="AS328"/>
      <c r="AT328"/>
      <c r="AU328"/>
      <c r="AV328"/>
      <c r="AW328"/>
      <c r="AX328"/>
    </row>
    <row r="329" spans="18:50" ht="12.75" customHeight="1" thickBot="1">
      <c r="R329"/>
      <c r="AH329" s="18"/>
      <c r="AI329" s="1291" t="str">
        <f>AK287</f>
        <v>Seco S215 Muffled</v>
      </c>
      <c r="AJ329" s="1291"/>
      <c r="AK329" s="1291"/>
      <c r="AL329" s="1291"/>
      <c r="AM329" s="1291"/>
      <c r="AN329" s="1291"/>
      <c r="AR329"/>
      <c r="AS329"/>
      <c r="AT329"/>
      <c r="AU329"/>
      <c r="AV329"/>
      <c r="AW329"/>
      <c r="AX329"/>
    </row>
    <row r="330" spans="18:50" ht="12.75" customHeight="1" thickBot="1">
      <c r="R330"/>
      <c r="AH330" s="18"/>
      <c r="AI330" s="1292" t="s">
        <v>205</v>
      </c>
      <c r="AJ330" s="1293"/>
      <c r="AK330" s="1293"/>
      <c r="AL330" s="1293"/>
      <c r="AM330" s="1293"/>
      <c r="AN330" s="1294"/>
      <c r="AR330"/>
      <c r="AS330"/>
      <c r="AT330"/>
      <c r="AU330"/>
      <c r="AV330"/>
      <c r="AW330"/>
      <c r="AX330"/>
    </row>
    <row r="331" spans="18:50" ht="12.75" customHeight="1" thickBot="1">
      <c r="R331"/>
      <c r="AH331" s="18"/>
      <c r="AI331" s="175" t="s">
        <v>59</v>
      </c>
      <c r="AJ331" s="26"/>
      <c r="AK331" s="19"/>
      <c r="AL331" s="19"/>
      <c r="AM331" s="19"/>
      <c r="AN331" s="176"/>
      <c r="AR331"/>
      <c r="AS331"/>
      <c r="AT331"/>
      <c r="AU331"/>
      <c r="AV331"/>
      <c r="AW331"/>
      <c r="AX331"/>
    </row>
    <row r="332" spans="18:50" ht="12.75" customHeight="1">
      <c r="R332"/>
      <c r="AH332" s="18"/>
      <c r="AI332" s="1285" t="s">
        <v>845</v>
      </c>
      <c r="AJ332" s="1286"/>
      <c r="AK332" s="1279" t="s">
        <v>835</v>
      </c>
      <c r="AL332" s="1279" t="s">
        <v>836</v>
      </c>
      <c r="AM332" s="1279" t="s">
        <v>837</v>
      </c>
      <c r="AN332" s="1274" t="s">
        <v>838</v>
      </c>
      <c r="AR332"/>
      <c r="AS332"/>
      <c r="AT332"/>
      <c r="AU332"/>
      <c r="AV332"/>
      <c r="AW332"/>
      <c r="AX332"/>
    </row>
    <row r="333" spans="18:50" ht="12.75" customHeight="1">
      <c r="R333"/>
      <c r="AH333" s="18"/>
      <c r="AI333" s="1282"/>
      <c r="AJ333" s="1287"/>
      <c r="AK333" s="1280"/>
      <c r="AL333" s="1280"/>
      <c r="AM333" s="1280"/>
      <c r="AN333" s="1281"/>
      <c r="AR333"/>
      <c r="AS333"/>
      <c r="AT333"/>
      <c r="AU333"/>
      <c r="AV333"/>
      <c r="AW333"/>
      <c r="AX333"/>
    </row>
    <row r="334" spans="18:50" ht="12.75" customHeight="1">
      <c r="R334"/>
      <c r="AH334" s="18"/>
      <c r="AI334" s="1282"/>
      <c r="AJ334" s="1287"/>
      <c r="AK334" s="1273"/>
      <c r="AL334" s="1273"/>
      <c r="AM334" s="1273"/>
      <c r="AN334" s="1275"/>
      <c r="AR334"/>
      <c r="AS334"/>
      <c r="AT334"/>
      <c r="AU334"/>
      <c r="AV334"/>
      <c r="AW334"/>
      <c r="AX334"/>
    </row>
    <row r="335" spans="18:50" ht="12.75" customHeight="1">
      <c r="R335"/>
      <c r="AH335" s="18"/>
      <c r="AI335" s="1282"/>
      <c r="AJ335" s="1287"/>
      <c r="AK335" s="192">
        <f>AM77</f>
        <v>108</v>
      </c>
      <c r="AL335" s="178">
        <f>AM70</f>
        <v>1.9999999999999998</v>
      </c>
      <c r="AM335" s="179">
        <f>IF(AK335&gt;0,AN335*AL335," ")</f>
        <v>4999.9999999999991</v>
      </c>
      <c r="AN335" s="180">
        <f>IF(AK335&gt;0,(VLOOKUP(AK335,'Lookup Ready-reckoner'!$B$5:$E$1207,4))," ")</f>
        <v>2500</v>
      </c>
      <c r="AR335"/>
      <c r="AS335"/>
      <c r="AT335"/>
      <c r="AU335"/>
      <c r="AV335"/>
      <c r="AW335"/>
      <c r="AX335"/>
    </row>
    <row r="336" spans="18:50" ht="12.75" customHeight="1">
      <c r="R336"/>
      <c r="AH336" s="18"/>
      <c r="AI336" s="1288"/>
      <c r="AJ336" s="1289"/>
      <c r="AK336" s="181"/>
      <c r="AL336" s="178"/>
      <c r="AM336" s="179" t="str">
        <f>IF(AK336&gt;0,AN336*AL336," ")</f>
        <v xml:space="preserve"> </v>
      </c>
      <c r="AN336" s="180" t="str">
        <f>IF(AK336&gt;0,(VLOOKUP(AK336,'Lookup Ready-reckoner'!$B$5:$E$1007,4))," ")</f>
        <v xml:space="preserve"> </v>
      </c>
      <c r="AR336"/>
      <c r="AS336"/>
      <c r="AT336"/>
      <c r="AU336"/>
      <c r="AV336"/>
      <c r="AW336"/>
      <c r="AX336"/>
    </row>
    <row r="337" spans="18:50" ht="12.75" customHeight="1" thickBot="1">
      <c r="R337"/>
      <c r="AH337" s="18"/>
      <c r="AI337" s="191" t="s">
        <v>439</v>
      </c>
      <c r="AJ337" s="183"/>
      <c r="AK337" s="183"/>
      <c r="AL337" s="193">
        <f>IF(AK335&gt;0,(VLOOKUP(AM337,'Lookup Ready-reckoner'!$L$5:$M$1207,2))," ")</f>
        <v>101.95</v>
      </c>
      <c r="AM337" s="185">
        <f>IF(AL335&gt;0,(SUM(AM335:AM336))," ")</f>
        <v>4999.9999999999991</v>
      </c>
      <c r="AN337" s="186"/>
      <c r="AR337"/>
      <c r="AS337"/>
      <c r="AT337"/>
      <c r="AU337"/>
      <c r="AV337"/>
      <c r="AW337"/>
      <c r="AX337"/>
    </row>
    <row r="338" spans="18:50" ht="12.75" customHeight="1" thickBot="1">
      <c r="R338"/>
      <c r="AH338" s="18"/>
      <c r="AI338" s="1282"/>
      <c r="AJ338" s="1283"/>
      <c r="AK338" s="1283"/>
      <c r="AL338" s="1283"/>
      <c r="AM338" s="1283"/>
      <c r="AN338" s="1284"/>
      <c r="AR338"/>
      <c r="AS338"/>
      <c r="AT338"/>
      <c r="AU338"/>
      <c r="AV338"/>
      <c r="AW338"/>
      <c r="AX338"/>
    </row>
    <row r="339" spans="18:50" ht="12.75" customHeight="1">
      <c r="R339"/>
      <c r="AH339" s="18"/>
      <c r="AI339" s="1285" t="s">
        <v>886</v>
      </c>
      <c r="AJ339" s="1286"/>
      <c r="AK339" s="1279" t="s">
        <v>835</v>
      </c>
      <c r="AL339" s="1279" t="s">
        <v>836</v>
      </c>
      <c r="AM339" s="1279" t="s">
        <v>837</v>
      </c>
      <c r="AN339" s="1274" t="s">
        <v>838</v>
      </c>
      <c r="AR339"/>
      <c r="AS339"/>
      <c r="AT339"/>
      <c r="AU339"/>
      <c r="AV339"/>
      <c r="AW339"/>
      <c r="AX339"/>
    </row>
    <row r="340" spans="18:50" ht="12.75" customHeight="1">
      <c r="R340"/>
      <c r="AH340" s="18"/>
      <c r="AI340" s="1282"/>
      <c r="AJ340" s="1287"/>
      <c r="AK340" s="1273"/>
      <c r="AL340" s="1273"/>
      <c r="AM340" s="1273"/>
      <c r="AN340" s="1275"/>
      <c r="AR340"/>
      <c r="AS340"/>
      <c r="AT340"/>
      <c r="AU340"/>
      <c r="AV340"/>
      <c r="AW340"/>
      <c r="AX340"/>
    </row>
    <row r="341" spans="18:50" ht="12.75" customHeight="1">
      <c r="R341"/>
      <c r="AH341" s="18"/>
      <c r="AI341" s="1282"/>
      <c r="AJ341" s="1287"/>
      <c r="AK341" s="192">
        <f>AK335*(1-0.0178*2)</f>
        <v>104.15520000000001</v>
      </c>
      <c r="AL341" s="178">
        <f>AL335</f>
        <v>1.9999999999999998</v>
      </c>
      <c r="AM341" s="179">
        <f>IF(AK341&gt;0,AN341*AL341," ")</f>
        <v>2074.9999999999995</v>
      </c>
      <c r="AN341" s="180">
        <f>IF(AK341&gt;0,(VLOOKUP(AK341,'Lookup Ready-reckoner'!$B$5:$E$1207,4))," ")</f>
        <v>1037.5</v>
      </c>
      <c r="AR341"/>
      <c r="AS341"/>
      <c r="AT341"/>
      <c r="AU341"/>
      <c r="AV341"/>
      <c r="AW341"/>
      <c r="AX341"/>
    </row>
    <row r="342" spans="18:50" ht="12.75" customHeight="1">
      <c r="R342"/>
      <c r="AH342" s="18"/>
      <c r="AI342" s="1288"/>
      <c r="AJ342" s="1289"/>
      <c r="AK342" s="181"/>
      <c r="AL342" s="178"/>
      <c r="AM342" s="179" t="str">
        <f>IF(AK342&gt;0,AN342*AL342," ")</f>
        <v xml:space="preserve"> </v>
      </c>
      <c r="AN342" s="180" t="str">
        <f>IF(AK342&gt;0,(VLOOKUP(AK342,'Lookup Ready-reckoner'!$B$5:$E$1007,4))," ")</f>
        <v xml:space="preserve"> </v>
      </c>
      <c r="AR342"/>
      <c r="AS342"/>
      <c r="AT342"/>
      <c r="AU342"/>
      <c r="AV342"/>
      <c r="AW342"/>
      <c r="AX342"/>
    </row>
    <row r="343" spans="18:50" ht="12.75" customHeight="1" thickBot="1">
      <c r="R343"/>
      <c r="AH343" s="18"/>
      <c r="AI343" s="182" t="s">
        <v>439</v>
      </c>
      <c r="AJ343" s="183"/>
      <c r="AK343" s="183"/>
      <c r="AL343" s="193">
        <f>IF(AK341&gt;0,(VLOOKUP(AM343,'Lookup Ready-reckoner'!$L$5:$M$1207,2))," ")</f>
        <v>98.1</v>
      </c>
      <c r="AM343" s="185">
        <f>IF(AL341&gt;0,(SUM(AM341:AM342))," ")</f>
        <v>2074.9999999999995</v>
      </c>
      <c r="AN343" s="186"/>
      <c r="AR343"/>
      <c r="AS343"/>
      <c r="AT343"/>
      <c r="AU343"/>
      <c r="AV343"/>
      <c r="AW343"/>
      <c r="AX343"/>
    </row>
    <row r="344" spans="18:50" ht="12.75" customHeight="1">
      <c r="R344"/>
      <c r="AH344" s="18"/>
      <c r="AI344" s="187"/>
      <c r="AJ344" s="19"/>
      <c r="AK344" s="19"/>
      <c r="AL344" s="188"/>
      <c r="AM344" s="189"/>
      <c r="AN344" s="176"/>
      <c r="AR344"/>
      <c r="AS344"/>
      <c r="AT344"/>
      <c r="AU344"/>
      <c r="AV344"/>
      <c r="AW344"/>
      <c r="AX344"/>
    </row>
    <row r="345" spans="18:50" ht="12.75" customHeight="1" thickBot="1">
      <c r="R345"/>
      <c r="AH345" s="18"/>
      <c r="AI345" s="175" t="s">
        <v>60</v>
      </c>
      <c r="AJ345" s="26"/>
      <c r="AK345" s="26"/>
      <c r="AL345" s="26"/>
      <c r="AM345" s="26"/>
      <c r="AN345" s="190"/>
      <c r="AR345"/>
      <c r="AS345"/>
      <c r="AT345"/>
      <c r="AU345"/>
      <c r="AV345"/>
      <c r="AW345"/>
      <c r="AX345"/>
    </row>
    <row r="346" spans="18:50" ht="12.75" customHeight="1">
      <c r="R346"/>
      <c r="AH346" s="18"/>
      <c r="AI346" s="1285" t="s">
        <v>845</v>
      </c>
      <c r="AJ346" s="1286"/>
      <c r="AK346" s="1279" t="s">
        <v>835</v>
      </c>
      <c r="AL346" s="1279" t="s">
        <v>836</v>
      </c>
      <c r="AM346" s="1279" t="s">
        <v>837</v>
      </c>
      <c r="AN346" s="1274" t="s">
        <v>838</v>
      </c>
      <c r="AR346"/>
      <c r="AS346"/>
      <c r="AT346"/>
      <c r="AU346"/>
      <c r="AV346"/>
      <c r="AW346"/>
      <c r="AX346"/>
    </row>
    <row r="347" spans="18:50" ht="12.75" customHeight="1">
      <c r="R347"/>
      <c r="AH347" s="18"/>
      <c r="AI347" s="1282"/>
      <c r="AJ347" s="1287"/>
      <c r="AK347" s="1273"/>
      <c r="AL347" s="1273"/>
      <c r="AM347" s="1273"/>
      <c r="AN347" s="1275"/>
      <c r="AR347"/>
      <c r="AS347"/>
      <c r="AT347"/>
      <c r="AU347"/>
      <c r="AV347"/>
      <c r="AW347"/>
      <c r="AX347"/>
    </row>
    <row r="348" spans="18:50" ht="12.75" customHeight="1">
      <c r="R348"/>
      <c r="AH348" s="18"/>
      <c r="AI348" s="1282"/>
      <c r="AJ348" s="1287"/>
      <c r="AK348" s="192">
        <f>AK335-PPE!$I$15</f>
        <v>95</v>
      </c>
      <c r="AL348" s="178">
        <f>AL341</f>
        <v>1.9999999999999998</v>
      </c>
      <c r="AM348" s="179">
        <f>IF(AK348&gt;0,AN348*AL348," ")</f>
        <v>249.99999999999997</v>
      </c>
      <c r="AN348" s="180">
        <f>IF(AK348&gt;0,(VLOOKUP(AK348,'Lookup Ready-reckoner'!$B$5:$E$1207,4))," ")</f>
        <v>125</v>
      </c>
      <c r="AR348"/>
      <c r="AS348"/>
      <c r="AT348"/>
      <c r="AU348"/>
      <c r="AV348"/>
      <c r="AW348"/>
      <c r="AX348"/>
    </row>
    <row r="349" spans="18:50" ht="12.75" customHeight="1">
      <c r="R349"/>
      <c r="AH349" s="18"/>
      <c r="AI349" s="1288"/>
      <c r="AJ349" s="1289"/>
      <c r="AK349" s="181"/>
      <c r="AL349" s="178"/>
      <c r="AM349" s="179" t="str">
        <f>IF(AK349&gt;0,AN349*AL349," ")</f>
        <v xml:space="preserve"> </v>
      </c>
      <c r="AN349" s="180" t="str">
        <f>IF(AK349&gt;0,(VLOOKUP(AK349,'Lookup Ready-reckoner'!$B$5:$E$1007,4))," ")</f>
        <v xml:space="preserve"> </v>
      </c>
      <c r="AR349"/>
      <c r="AS349"/>
      <c r="AT349"/>
      <c r="AU349"/>
      <c r="AV349"/>
      <c r="AW349"/>
      <c r="AX349"/>
    </row>
    <row r="350" spans="18:50" ht="12.75" customHeight="1" thickBot="1">
      <c r="R350"/>
      <c r="AH350" s="18"/>
      <c r="AI350" s="182" t="s">
        <v>439</v>
      </c>
      <c r="AJ350" s="183"/>
      <c r="AK350" s="183"/>
      <c r="AL350" s="193">
        <f>IF(AK348&gt;0,(VLOOKUP(AM350,'Lookup Ready-reckoner'!$L$5:$M$1207,2))," ")</f>
        <v>88.95</v>
      </c>
      <c r="AM350" s="185">
        <f>IF(AL348&gt;0,(SUM(AM348:AM349))," ")</f>
        <v>249.99999999999997</v>
      </c>
      <c r="AN350" s="186"/>
      <c r="AR350"/>
      <c r="AS350"/>
      <c r="AT350"/>
      <c r="AU350"/>
      <c r="AV350"/>
      <c r="AW350"/>
      <c r="AX350"/>
    </row>
    <row r="351" spans="18:50" ht="12.75" customHeight="1" thickBot="1">
      <c r="R351"/>
      <c r="AH351" s="18"/>
      <c r="AI351" s="1282"/>
      <c r="AJ351" s="1283"/>
      <c r="AK351" s="1283"/>
      <c r="AL351" s="1283"/>
      <c r="AM351" s="1283"/>
      <c r="AN351" s="1284"/>
      <c r="AR351"/>
      <c r="AS351"/>
      <c r="AT351"/>
      <c r="AU351"/>
      <c r="AV351"/>
      <c r="AW351"/>
      <c r="AX351"/>
    </row>
    <row r="352" spans="18:50" ht="12.75" customHeight="1">
      <c r="R352"/>
      <c r="AH352" s="18"/>
      <c r="AI352" s="1285" t="s">
        <v>886</v>
      </c>
      <c r="AJ352" s="1286"/>
      <c r="AK352" s="1279" t="s">
        <v>835</v>
      </c>
      <c r="AL352" s="1279" t="s">
        <v>836</v>
      </c>
      <c r="AM352" s="1279" t="s">
        <v>837</v>
      </c>
      <c r="AN352" s="1274" t="s">
        <v>838</v>
      </c>
      <c r="AR352"/>
      <c r="AS352"/>
      <c r="AT352"/>
      <c r="AU352"/>
      <c r="AV352"/>
      <c r="AW352"/>
      <c r="AX352"/>
    </row>
    <row r="353" spans="18:50" ht="12.75" customHeight="1">
      <c r="R353"/>
      <c r="AH353" s="18"/>
      <c r="AI353" s="1282"/>
      <c r="AJ353" s="1287"/>
      <c r="AK353" s="1273"/>
      <c r="AL353" s="1273"/>
      <c r="AM353" s="1273"/>
      <c r="AN353" s="1275"/>
      <c r="AR353"/>
      <c r="AS353"/>
      <c r="AT353"/>
      <c r="AU353"/>
      <c r="AV353"/>
      <c r="AW353"/>
      <c r="AX353"/>
    </row>
    <row r="354" spans="18:50" ht="12.75" customHeight="1">
      <c r="R354"/>
      <c r="AH354" s="18"/>
      <c r="AI354" s="1282"/>
      <c r="AJ354" s="1287"/>
      <c r="AK354" s="192">
        <f>AK341-PPE!$I$15</f>
        <v>91.155200000000008</v>
      </c>
      <c r="AL354" s="178">
        <f>AL348</f>
        <v>1.9999999999999998</v>
      </c>
      <c r="AM354" s="179">
        <f>IF(AK354&gt;0,AN354*AL354," ")</f>
        <v>103.74999999999999</v>
      </c>
      <c r="AN354" s="180">
        <f>IF(AK354&gt;0,(VLOOKUP(AK354,'Lookup Ready-reckoner'!$B$5:$E$1207,4))," ")</f>
        <v>51.875</v>
      </c>
      <c r="AR354"/>
      <c r="AS354"/>
      <c r="AT354"/>
      <c r="AU354"/>
      <c r="AV354"/>
      <c r="AW354"/>
      <c r="AX354"/>
    </row>
    <row r="355" spans="18:50" ht="12.75" customHeight="1">
      <c r="R355"/>
      <c r="AH355" s="18"/>
      <c r="AI355" s="1288"/>
      <c r="AJ355" s="1289"/>
      <c r="AK355" s="181"/>
      <c r="AL355" s="178"/>
      <c r="AM355" s="179" t="str">
        <f>IF(AK355&gt;0,AN355*AL355," ")</f>
        <v xml:space="preserve"> </v>
      </c>
      <c r="AN355" s="180" t="str">
        <f>IF(AK355&gt;0,(VLOOKUP(AK355,'Lookup Ready-reckoner'!$B$5:$E$1007,4))," ")</f>
        <v xml:space="preserve"> </v>
      </c>
      <c r="AR355"/>
      <c r="AS355"/>
      <c r="AT355"/>
      <c r="AU355"/>
      <c r="AV355"/>
      <c r="AW355"/>
      <c r="AX355"/>
    </row>
    <row r="356" spans="18:50" ht="12.75" customHeight="1" thickBot="1">
      <c r="R356"/>
      <c r="AH356" s="18"/>
      <c r="AI356" s="182" t="s">
        <v>439</v>
      </c>
      <c r="AJ356" s="183"/>
      <c r="AK356" s="183"/>
      <c r="AL356" s="193">
        <f>IF(AK354&gt;0,(VLOOKUP(AM356,'Lookup Ready-reckoner'!$L$5:$M$1207,2))," ")</f>
        <v>85.1</v>
      </c>
      <c r="AM356" s="185">
        <f>IF(AL354&gt;0,(SUM(AM354:AM355))," ")</f>
        <v>103.74999999999999</v>
      </c>
      <c r="AN356" s="186"/>
      <c r="AR356"/>
      <c r="AS356"/>
      <c r="AT356"/>
      <c r="AU356"/>
      <c r="AV356"/>
      <c r="AW356"/>
      <c r="AX356"/>
    </row>
    <row r="357" spans="18:50" ht="12.75" customHeight="1">
      <c r="R357"/>
      <c r="AH357" s="18"/>
      <c r="AR357"/>
      <c r="AS357"/>
      <c r="AT357"/>
      <c r="AU357"/>
      <c r="AV357"/>
      <c r="AW357"/>
      <c r="AX357"/>
    </row>
    <row r="358" spans="18:50" ht="12.75" customHeight="1">
      <c r="R358"/>
      <c r="AH358" s="18"/>
      <c r="AI358" s="1337" t="str">
        <f>AL287</f>
        <v>Sulzer ADDS</v>
      </c>
      <c r="AJ358" s="1338"/>
      <c r="AK358" s="1338"/>
      <c r="AL358" s="1338"/>
      <c r="AM358" s="1338"/>
      <c r="AN358" s="1338"/>
      <c r="AR358"/>
      <c r="AS358"/>
      <c r="AT358"/>
      <c r="AU358"/>
      <c r="AV358"/>
      <c r="AW358"/>
      <c r="AX358"/>
    </row>
    <row r="359" spans="18:50" ht="12.75" customHeight="1" thickBot="1">
      <c r="R359"/>
      <c r="AH359" s="18"/>
      <c r="AI359" s="1276" t="s">
        <v>205</v>
      </c>
      <c r="AJ359" s="1277"/>
      <c r="AK359" s="1277"/>
      <c r="AL359" s="1277"/>
      <c r="AM359" s="1277"/>
      <c r="AN359" s="1278"/>
      <c r="AR359"/>
      <c r="AS359"/>
      <c r="AT359"/>
      <c r="AU359"/>
      <c r="AV359"/>
      <c r="AW359"/>
      <c r="AX359"/>
    </row>
    <row r="360" spans="18:50" ht="12.75" customHeight="1" thickBot="1">
      <c r="R360"/>
      <c r="AH360" s="18"/>
      <c r="AI360" s="175" t="s">
        <v>59</v>
      </c>
      <c r="AJ360" s="26"/>
      <c r="AK360" s="19"/>
      <c r="AL360" s="19"/>
      <c r="AM360" s="19"/>
      <c r="AN360" s="176"/>
      <c r="AR360"/>
      <c r="AS360"/>
      <c r="AT360"/>
      <c r="AU360"/>
      <c r="AV360"/>
      <c r="AW360"/>
      <c r="AX360"/>
    </row>
    <row r="361" spans="18:50" ht="12.75" customHeight="1">
      <c r="R361"/>
      <c r="AH361" s="18"/>
      <c r="AI361" s="1285" t="s">
        <v>845</v>
      </c>
      <c r="AJ361" s="1286"/>
      <c r="AK361" s="1279" t="s">
        <v>835</v>
      </c>
      <c r="AL361" s="1279" t="s">
        <v>836</v>
      </c>
      <c r="AM361" s="1279" t="s">
        <v>837</v>
      </c>
      <c r="AN361" s="1274" t="s">
        <v>838</v>
      </c>
      <c r="AR361"/>
      <c r="AS361"/>
      <c r="AT361"/>
      <c r="AU361"/>
      <c r="AV361"/>
      <c r="AW361"/>
      <c r="AX361"/>
    </row>
    <row r="362" spans="18:50" ht="12.75" customHeight="1">
      <c r="R362"/>
      <c r="AH362" s="18"/>
      <c r="AI362" s="1282"/>
      <c r="AJ362" s="1287"/>
      <c r="AK362" s="1280"/>
      <c r="AL362" s="1280"/>
      <c r="AM362" s="1280"/>
      <c r="AN362" s="1281"/>
      <c r="AR362"/>
      <c r="AS362"/>
      <c r="AT362"/>
      <c r="AU362"/>
      <c r="AV362"/>
      <c r="AW362"/>
      <c r="AX362"/>
    </row>
    <row r="363" spans="18:50" ht="12.75" customHeight="1">
      <c r="R363"/>
      <c r="AH363" s="18"/>
      <c r="AI363" s="1282"/>
      <c r="AJ363" s="1287"/>
      <c r="AK363" s="1273"/>
      <c r="AL363" s="1273"/>
      <c r="AM363" s="1273"/>
      <c r="AN363" s="1275"/>
      <c r="AR363"/>
      <c r="AS363"/>
      <c r="AT363"/>
      <c r="AU363"/>
      <c r="AV363"/>
      <c r="AW363"/>
      <c r="AX363"/>
    </row>
    <row r="364" spans="18:50" ht="12.75" customHeight="1">
      <c r="R364"/>
      <c r="AH364" s="18"/>
      <c r="AI364" s="1282"/>
      <c r="AJ364" s="1287"/>
      <c r="AK364" s="194">
        <f>AN77</f>
        <v>109</v>
      </c>
      <c r="AL364" s="178">
        <f>AN70</f>
        <v>1.7391304347826084</v>
      </c>
      <c r="AM364" s="179">
        <f>IF(AK364&gt;0,AN364*AL364," ")</f>
        <v>5565.2173913043471</v>
      </c>
      <c r="AN364" s="180">
        <f>IF(AK364&gt;0,(VLOOKUP(AK364,'Lookup Ready-reckoner'!$B$5:$E$1207,4))," ")</f>
        <v>3200</v>
      </c>
      <c r="AR364"/>
      <c r="AS364"/>
      <c r="AT364"/>
      <c r="AU364"/>
      <c r="AV364"/>
      <c r="AW364"/>
      <c r="AX364"/>
    </row>
    <row r="365" spans="18:50" ht="12.75" customHeight="1">
      <c r="R365"/>
      <c r="AH365" s="18"/>
      <c r="AI365" s="1288"/>
      <c r="AJ365" s="1289"/>
      <c r="AK365" s="181"/>
      <c r="AL365" s="178"/>
      <c r="AM365" s="179" t="str">
        <f>IF(AK365&gt;0,AN365*AL365," ")</f>
        <v xml:space="preserve"> </v>
      </c>
      <c r="AN365" s="180" t="str">
        <f>IF(AK365&gt;0,(VLOOKUP(AK365,'Lookup Ready-reckoner'!$B$5:$E$1007,4))," ")</f>
        <v xml:space="preserve"> </v>
      </c>
      <c r="AR365"/>
      <c r="AS365"/>
      <c r="AT365"/>
      <c r="AU365"/>
      <c r="AV365"/>
      <c r="AW365"/>
      <c r="AX365"/>
    </row>
    <row r="366" spans="18:50" ht="12.75" customHeight="1" thickBot="1">
      <c r="R366"/>
      <c r="AH366" s="18"/>
      <c r="AI366" s="182" t="s">
        <v>439</v>
      </c>
      <c r="AJ366" s="183"/>
      <c r="AK366" s="183"/>
      <c r="AL366" s="195">
        <f>IF(AK364&gt;0,(VLOOKUP(AM366,'Lookup Ready-reckoner'!$L$5:$M$1207,2))," ")</f>
        <v>102.4</v>
      </c>
      <c r="AM366" s="185">
        <f>IF(AL364&gt;0,(SUM(AM364:AM365))," ")</f>
        <v>5565.2173913043471</v>
      </c>
      <c r="AN366" s="186"/>
      <c r="AR366"/>
      <c r="AS366"/>
      <c r="AT366"/>
      <c r="AU366"/>
      <c r="AV366"/>
      <c r="AW366"/>
      <c r="AX366"/>
    </row>
    <row r="367" spans="18:50" ht="12.75" customHeight="1" thickBot="1">
      <c r="R367"/>
      <c r="AH367" s="18"/>
      <c r="AI367" s="1282"/>
      <c r="AJ367" s="1283"/>
      <c r="AK367" s="1283"/>
      <c r="AL367" s="1283"/>
      <c r="AM367" s="1283"/>
      <c r="AN367" s="1284"/>
      <c r="AR367"/>
      <c r="AS367"/>
      <c r="AT367"/>
      <c r="AU367"/>
      <c r="AV367"/>
      <c r="AW367"/>
      <c r="AX367"/>
    </row>
    <row r="368" spans="18:50" ht="12.75" customHeight="1">
      <c r="R368"/>
      <c r="AH368" s="18"/>
      <c r="AI368" s="1285" t="s">
        <v>886</v>
      </c>
      <c r="AJ368" s="1286"/>
      <c r="AK368" s="1279" t="s">
        <v>835</v>
      </c>
      <c r="AL368" s="1279" t="s">
        <v>836</v>
      </c>
      <c r="AM368" s="1279" t="s">
        <v>837</v>
      </c>
      <c r="AN368" s="1274" t="s">
        <v>838</v>
      </c>
      <c r="AR368"/>
      <c r="AS368"/>
      <c r="AT368"/>
      <c r="AU368"/>
      <c r="AV368"/>
      <c r="AW368"/>
      <c r="AX368"/>
    </row>
    <row r="369" spans="18:50" ht="12.75" customHeight="1">
      <c r="R369"/>
      <c r="AH369" s="18"/>
      <c r="AI369" s="1282"/>
      <c r="AJ369" s="1287"/>
      <c r="AK369" s="1273"/>
      <c r="AL369" s="1273"/>
      <c r="AM369" s="1273"/>
      <c r="AN369" s="1275"/>
      <c r="AR369"/>
      <c r="AS369"/>
      <c r="AT369"/>
      <c r="AU369"/>
      <c r="AV369"/>
      <c r="AW369"/>
      <c r="AX369"/>
    </row>
    <row r="370" spans="18:50" ht="12.75" customHeight="1">
      <c r="R370"/>
      <c r="AH370" s="18"/>
      <c r="AI370" s="1282"/>
      <c r="AJ370" s="1287"/>
      <c r="AK370" s="194">
        <f>AK364*(1-0.0178*2)</f>
        <v>105.11960000000001</v>
      </c>
      <c r="AL370" s="178">
        <f>AL364</f>
        <v>1.7391304347826084</v>
      </c>
      <c r="AM370" s="179">
        <f>IF(AK370&gt;0,AN370*AL370," ")</f>
        <v>2234.782608695652</v>
      </c>
      <c r="AN370" s="180">
        <f>IF(AK370&gt;0,(VLOOKUP(AK370,'Lookup Ready-reckoner'!$B$5:$E$1207,4))," ")</f>
        <v>1285</v>
      </c>
      <c r="AR370"/>
      <c r="AS370"/>
      <c r="AT370"/>
      <c r="AU370"/>
      <c r="AV370"/>
      <c r="AW370"/>
      <c r="AX370"/>
    </row>
    <row r="371" spans="18:50" ht="12.75" customHeight="1">
      <c r="R371"/>
      <c r="AH371" s="18"/>
      <c r="AI371" s="1288"/>
      <c r="AJ371" s="1289"/>
      <c r="AK371" s="181"/>
      <c r="AL371" s="178"/>
      <c r="AM371" s="179" t="str">
        <f>IF(AK371&gt;0,AN371*AL371," ")</f>
        <v xml:space="preserve"> </v>
      </c>
      <c r="AN371" s="180" t="str">
        <f>IF(AK371&gt;0,(VLOOKUP(AK371,'Lookup Ready-reckoner'!$B$5:$E$1007,4))," ")</f>
        <v xml:space="preserve"> </v>
      </c>
      <c r="AR371"/>
      <c r="AS371"/>
      <c r="AT371"/>
      <c r="AU371"/>
      <c r="AV371"/>
      <c r="AW371"/>
      <c r="AX371"/>
    </row>
    <row r="372" spans="18:50" ht="12.75" customHeight="1" thickBot="1">
      <c r="R372"/>
      <c r="AH372" s="18"/>
      <c r="AI372" s="182" t="s">
        <v>439</v>
      </c>
      <c r="AJ372" s="183"/>
      <c r="AK372" s="183"/>
      <c r="AL372" s="195">
        <f>IF(AK370&gt;0,(VLOOKUP(AM372,'Lookup Ready-reckoner'!$L$5:$M$1207,2))," ")</f>
        <v>98.45</v>
      </c>
      <c r="AM372" s="185">
        <f>IF(AL370&gt;0,(SUM(AM370:AM371))," ")</f>
        <v>2234.782608695652</v>
      </c>
      <c r="AN372" s="186"/>
      <c r="AR372"/>
      <c r="AS372"/>
      <c r="AT372"/>
      <c r="AU372"/>
      <c r="AV372"/>
      <c r="AW372"/>
      <c r="AX372"/>
    </row>
    <row r="373" spans="18:50" ht="12.75" customHeight="1">
      <c r="R373"/>
      <c r="AH373" s="18"/>
      <c r="AI373" s="187"/>
      <c r="AJ373" s="19"/>
      <c r="AK373" s="19"/>
      <c r="AL373" s="188"/>
      <c r="AM373" s="189"/>
      <c r="AN373" s="176"/>
      <c r="AR373"/>
      <c r="AS373"/>
      <c r="AT373"/>
      <c r="AU373"/>
      <c r="AV373"/>
      <c r="AW373"/>
      <c r="AX373"/>
    </row>
    <row r="374" spans="18:50" ht="12.75" customHeight="1" thickBot="1">
      <c r="AH374" s="18"/>
      <c r="AI374" s="175" t="s">
        <v>60</v>
      </c>
      <c r="AJ374" s="26"/>
      <c r="AK374" s="26"/>
      <c r="AL374" s="26"/>
      <c r="AM374" s="26"/>
      <c r="AN374" s="190"/>
      <c r="AR374"/>
      <c r="AS374"/>
      <c r="AT374"/>
      <c r="AU374"/>
      <c r="AV374"/>
      <c r="AW374"/>
      <c r="AX374"/>
    </row>
    <row r="375" spans="18:50" ht="12.75" customHeight="1">
      <c r="AH375" s="18"/>
      <c r="AI375" s="1285" t="s">
        <v>845</v>
      </c>
      <c r="AJ375" s="1286"/>
      <c r="AK375" s="1279" t="s">
        <v>835</v>
      </c>
      <c r="AL375" s="1279" t="s">
        <v>836</v>
      </c>
      <c r="AM375" s="1279" t="s">
        <v>837</v>
      </c>
      <c r="AN375" s="1274" t="s">
        <v>838</v>
      </c>
      <c r="AR375"/>
      <c r="AS375"/>
      <c r="AT375"/>
      <c r="AU375"/>
      <c r="AV375"/>
      <c r="AW375"/>
      <c r="AX375"/>
    </row>
    <row r="376" spans="18:50" ht="12.75" customHeight="1">
      <c r="AH376" s="18"/>
      <c r="AI376" s="1282"/>
      <c r="AJ376" s="1287"/>
      <c r="AK376" s="1273"/>
      <c r="AL376" s="1273"/>
      <c r="AM376" s="1273"/>
      <c r="AN376" s="1275"/>
      <c r="AR376"/>
      <c r="AS376"/>
      <c r="AT376"/>
      <c r="AU376"/>
      <c r="AV376"/>
      <c r="AW376"/>
      <c r="AX376"/>
    </row>
    <row r="377" spans="18:50" ht="12.75" customHeight="1">
      <c r="AH377" s="18"/>
      <c r="AI377" s="1282"/>
      <c r="AJ377" s="1287"/>
      <c r="AK377" s="194">
        <f>AK364-PPE!$I$15</f>
        <v>96</v>
      </c>
      <c r="AL377" s="178">
        <f>AL370</f>
        <v>1.7391304347826084</v>
      </c>
      <c r="AM377" s="179">
        <f>IF(AK377&gt;0,AN377*AL377," ")</f>
        <v>271.73913043478257</v>
      </c>
      <c r="AN377" s="180">
        <f>IF(AK377&gt;0,(VLOOKUP(AK377,'Lookup Ready-reckoner'!$B$5:$E$1207,4))," ")</f>
        <v>156.25</v>
      </c>
      <c r="AR377"/>
      <c r="AS377"/>
      <c r="AT377"/>
      <c r="AU377"/>
      <c r="AV377"/>
      <c r="AW377"/>
      <c r="AX377"/>
    </row>
    <row r="378" spans="18:50" ht="12.75" customHeight="1">
      <c r="AH378" s="18"/>
      <c r="AI378" s="1288"/>
      <c r="AJ378" s="1289"/>
      <c r="AK378" s="181"/>
      <c r="AL378" s="178"/>
      <c r="AM378" s="179" t="str">
        <f>IF(AK378&gt;0,AN378*AL378," ")</f>
        <v xml:space="preserve"> </v>
      </c>
      <c r="AN378" s="180" t="str">
        <f>IF(AK378&gt;0,(VLOOKUP(AK378,'Lookup Ready-reckoner'!$B$5:$E$1007,4))," ")</f>
        <v xml:space="preserve"> </v>
      </c>
      <c r="AR378"/>
      <c r="AS378"/>
      <c r="AT378"/>
      <c r="AU378"/>
      <c r="AV378"/>
      <c r="AW378"/>
      <c r="AX378"/>
    </row>
    <row r="379" spans="18:50" ht="12.75" customHeight="1" thickBot="1">
      <c r="AH379" s="18"/>
      <c r="AI379" s="182" t="s">
        <v>439</v>
      </c>
      <c r="AJ379" s="183"/>
      <c r="AK379" s="183"/>
      <c r="AL379" s="195">
        <f>IF(AK377&gt;0,(VLOOKUP(AM379,'Lookup Ready-reckoner'!$L$5:$M$1207,2))," ")</f>
        <v>89.3</v>
      </c>
      <c r="AM379" s="185">
        <f>IF(AL377&gt;0,(SUM(AM377:AM378))," ")</f>
        <v>271.73913043478257</v>
      </c>
      <c r="AN379" s="186"/>
      <c r="AR379"/>
      <c r="AS379"/>
      <c r="AT379"/>
      <c r="AU379"/>
      <c r="AV379"/>
      <c r="AW379"/>
      <c r="AX379"/>
    </row>
    <row r="380" spans="18:50" ht="12.75" customHeight="1" thickBot="1">
      <c r="AH380" s="18"/>
      <c r="AI380" s="1282"/>
      <c r="AJ380" s="1283"/>
      <c r="AK380" s="1283"/>
      <c r="AL380" s="1283"/>
      <c r="AM380" s="1283"/>
      <c r="AN380" s="1284"/>
      <c r="AR380"/>
      <c r="AS380"/>
      <c r="AT380"/>
      <c r="AU380"/>
      <c r="AV380"/>
      <c r="AW380"/>
      <c r="AX380"/>
    </row>
    <row r="381" spans="18:50" ht="12.75" customHeight="1">
      <c r="AH381" s="18"/>
      <c r="AI381" s="1285" t="s">
        <v>886</v>
      </c>
      <c r="AJ381" s="1286"/>
      <c r="AK381" s="1279" t="s">
        <v>835</v>
      </c>
      <c r="AL381" s="1279" t="s">
        <v>836</v>
      </c>
      <c r="AM381" s="1279" t="s">
        <v>837</v>
      </c>
      <c r="AN381" s="1274" t="s">
        <v>838</v>
      </c>
      <c r="AR381"/>
      <c r="AS381"/>
      <c r="AT381"/>
      <c r="AU381"/>
      <c r="AV381"/>
      <c r="AW381"/>
      <c r="AX381"/>
    </row>
    <row r="382" spans="18:50" ht="12.75" customHeight="1">
      <c r="AH382" s="18"/>
      <c r="AI382" s="1282"/>
      <c r="AJ382" s="1287"/>
      <c r="AK382" s="1273"/>
      <c r="AL382" s="1273"/>
      <c r="AM382" s="1273"/>
      <c r="AN382" s="1275"/>
      <c r="AR382"/>
      <c r="AS382"/>
      <c r="AT382"/>
      <c r="AU382"/>
      <c r="AV382"/>
      <c r="AW382"/>
      <c r="AX382"/>
    </row>
    <row r="383" spans="18:50" ht="12.75" customHeight="1">
      <c r="AH383" s="18"/>
      <c r="AI383" s="1282"/>
      <c r="AJ383" s="1287"/>
      <c r="AK383" s="194">
        <f>AK370-PPE!$I$15</f>
        <v>92.119600000000005</v>
      </c>
      <c r="AL383" s="178">
        <f>AL377</f>
        <v>1.7391304347826084</v>
      </c>
      <c r="AM383" s="179">
        <f>IF(AK383&gt;0,AN383*AL383," ")</f>
        <v>111.52173913043477</v>
      </c>
      <c r="AN383" s="180">
        <f>IF(AK383&gt;0,(VLOOKUP(AK383,'Lookup Ready-reckoner'!$B$5:$E$1207,4))," ")</f>
        <v>64.125</v>
      </c>
      <c r="AR383"/>
      <c r="AS383"/>
      <c r="AT383"/>
      <c r="AU383"/>
      <c r="AV383"/>
      <c r="AW383"/>
      <c r="AX383"/>
    </row>
    <row r="384" spans="18:50" ht="12.75" customHeight="1">
      <c r="AH384" s="18"/>
      <c r="AI384" s="1288"/>
      <c r="AJ384" s="1289"/>
      <c r="AK384" s="181"/>
      <c r="AL384" s="178"/>
      <c r="AM384" s="179" t="str">
        <f>IF(AK384&gt;0,AN384*AL384," ")</f>
        <v xml:space="preserve"> </v>
      </c>
      <c r="AN384" s="180" t="str">
        <f>IF(AK384&gt;0,(VLOOKUP(AK384,'Lookup Ready-reckoner'!$B$5:$E$1007,4))," ")</f>
        <v xml:space="preserve"> </v>
      </c>
      <c r="AR384"/>
      <c r="AS384"/>
      <c r="AT384"/>
      <c r="AU384"/>
      <c r="AV384"/>
      <c r="AW384"/>
      <c r="AX384"/>
    </row>
    <row r="385" spans="34:50" ht="12.75" customHeight="1" thickBot="1">
      <c r="AH385" s="18"/>
      <c r="AI385" s="182" t="s">
        <v>439</v>
      </c>
      <c r="AJ385" s="183"/>
      <c r="AK385" s="183"/>
      <c r="AL385" s="195">
        <f>IF(AK383&gt;0,(VLOOKUP(AM385,'Lookup Ready-reckoner'!$L$5:$M$1207,2))," ")</f>
        <v>85.45</v>
      </c>
      <c r="AM385" s="185">
        <f>IF(AL383&gt;0,(SUM(AM383:AM384))," ")</f>
        <v>111.52173913043477</v>
      </c>
      <c r="AN385" s="186"/>
      <c r="AR385"/>
      <c r="AS385"/>
      <c r="AT385"/>
      <c r="AU385"/>
      <c r="AV385"/>
      <c r="AW385"/>
      <c r="AX385"/>
    </row>
    <row r="386" spans="34:50" ht="12.75" customHeight="1">
      <c r="AH386" s="18"/>
      <c r="AR386"/>
      <c r="AS386"/>
      <c r="AT386"/>
      <c r="AU386"/>
      <c r="AV386"/>
      <c r="AW386"/>
      <c r="AX386"/>
    </row>
    <row r="387" spans="34:50" ht="12.75" customHeight="1">
      <c r="AH387" s="18"/>
      <c r="AI387" s="1304" t="str">
        <f>AM287</f>
        <v xml:space="preserve">Hilti TE MD20 </v>
      </c>
      <c r="AJ387" s="1304"/>
      <c r="AK387" s="1304"/>
      <c r="AL387" s="1304"/>
      <c r="AM387" s="1304"/>
      <c r="AN387" s="1304"/>
      <c r="AR387"/>
      <c r="AS387"/>
      <c r="AT387"/>
      <c r="AU387"/>
      <c r="AV387"/>
      <c r="AW387"/>
      <c r="AX387"/>
    </row>
    <row r="388" spans="34:50" ht="12.75" customHeight="1" thickBot="1">
      <c r="AH388" s="18"/>
      <c r="AI388" s="1276" t="s">
        <v>205</v>
      </c>
      <c r="AJ388" s="1277"/>
      <c r="AK388" s="1277"/>
      <c r="AL388" s="1277"/>
      <c r="AM388" s="1277"/>
      <c r="AN388" s="1278"/>
      <c r="AR388"/>
      <c r="AS388"/>
      <c r="AT388"/>
      <c r="AU388"/>
      <c r="AV388"/>
      <c r="AW388"/>
      <c r="AX388"/>
    </row>
    <row r="389" spans="34:50" ht="12.75" customHeight="1" thickBot="1">
      <c r="AH389" s="18"/>
      <c r="AI389" s="175" t="s">
        <v>59</v>
      </c>
      <c r="AJ389" s="26"/>
      <c r="AK389" s="19"/>
      <c r="AL389" s="19"/>
      <c r="AM389" s="19"/>
      <c r="AN389" s="176"/>
      <c r="AR389"/>
      <c r="AS389"/>
      <c r="AT389"/>
      <c r="AU389"/>
      <c r="AV389"/>
      <c r="AW389"/>
      <c r="AX389"/>
    </row>
    <row r="390" spans="34:50" ht="12.75" customHeight="1">
      <c r="AH390" s="18"/>
      <c r="AI390" s="1285" t="s">
        <v>845</v>
      </c>
      <c r="AJ390" s="1286"/>
      <c r="AK390" s="1279" t="s">
        <v>835</v>
      </c>
      <c r="AL390" s="1279" t="s">
        <v>836</v>
      </c>
      <c r="AM390" s="1279" t="s">
        <v>837</v>
      </c>
      <c r="AN390" s="1274" t="s">
        <v>838</v>
      </c>
      <c r="AR390"/>
      <c r="AS390"/>
      <c r="AT390"/>
      <c r="AU390"/>
      <c r="AV390"/>
      <c r="AW390"/>
      <c r="AX390"/>
    </row>
    <row r="391" spans="34:50" ht="12.75" customHeight="1">
      <c r="AH391" s="18"/>
      <c r="AI391" s="1282"/>
      <c r="AJ391" s="1287"/>
      <c r="AK391" s="1280"/>
      <c r="AL391" s="1280"/>
      <c r="AM391" s="1280"/>
      <c r="AN391" s="1281"/>
      <c r="AR391"/>
      <c r="AS391"/>
      <c r="AT391"/>
      <c r="AU391"/>
      <c r="AV391"/>
      <c r="AW391"/>
      <c r="AX391"/>
    </row>
    <row r="392" spans="34:50" ht="12.75" customHeight="1">
      <c r="AH392" s="18"/>
      <c r="AI392" s="1282"/>
      <c r="AJ392" s="1287"/>
      <c r="AK392" s="1273"/>
      <c r="AL392" s="1273"/>
      <c r="AM392" s="1273"/>
      <c r="AN392" s="1275"/>
      <c r="AR392"/>
      <c r="AS392"/>
      <c r="AT392"/>
      <c r="AU392"/>
      <c r="AV392"/>
      <c r="AW392"/>
      <c r="AX392"/>
    </row>
    <row r="393" spans="34:50" ht="12.75" customHeight="1">
      <c r="AH393" s="18"/>
      <c r="AI393" s="1282"/>
      <c r="AJ393" s="1287"/>
      <c r="AK393" s="196">
        <f>AO77</f>
        <v>102</v>
      </c>
      <c r="AL393" s="178">
        <f>AO70</f>
        <v>2.6666666666666665</v>
      </c>
      <c r="AM393" s="179">
        <f>IF(AK393&gt;0,AN393*AL393," ")</f>
        <v>1666.6666666666665</v>
      </c>
      <c r="AN393" s="180">
        <f>IF(AK393&gt;0,(VLOOKUP(AK393,'Lookup Ready-reckoner'!$B$5:$E$1207,4))," ")</f>
        <v>625</v>
      </c>
      <c r="AR393"/>
      <c r="AS393"/>
      <c r="AT393"/>
      <c r="AU393"/>
      <c r="AV393"/>
      <c r="AW393"/>
      <c r="AX393"/>
    </row>
    <row r="394" spans="34:50" ht="12.75" customHeight="1">
      <c r="AH394" s="18"/>
      <c r="AI394" s="1288"/>
      <c r="AJ394" s="1289"/>
      <c r="AK394" s="181"/>
      <c r="AL394" s="178"/>
      <c r="AM394" s="179" t="str">
        <f>IF(AK394&gt;0,AN394*AL394," ")</f>
        <v xml:space="preserve"> </v>
      </c>
      <c r="AN394" s="180" t="str">
        <f>IF(AK394&gt;0,(VLOOKUP(AK394,'Lookup Ready-reckoner'!$B$5:$E$1007,4))," ")</f>
        <v xml:space="preserve"> </v>
      </c>
      <c r="AR394"/>
      <c r="AS394"/>
      <c r="AT394"/>
      <c r="AU394"/>
      <c r="AV394"/>
      <c r="AW394"/>
      <c r="AX394"/>
    </row>
    <row r="395" spans="34:50" ht="12.75" customHeight="1" thickBot="1">
      <c r="AH395" s="18"/>
      <c r="AI395" s="182" t="s">
        <v>439</v>
      </c>
      <c r="AJ395" s="183"/>
      <c r="AK395" s="183"/>
      <c r="AL395" s="197">
        <f>IF(AK393&gt;0,(VLOOKUP(AM395,'Lookup Ready-reckoner'!$L$5:$M$1207,2))," ")</f>
        <v>97.15</v>
      </c>
      <c r="AM395" s="185">
        <f>IF(AL393&gt;0,(SUM(AM393:AM394))," ")</f>
        <v>1666.6666666666665</v>
      </c>
      <c r="AN395" s="186"/>
      <c r="AR395"/>
      <c r="AS395"/>
      <c r="AT395"/>
      <c r="AU395"/>
      <c r="AV395"/>
      <c r="AW395"/>
      <c r="AX395"/>
    </row>
    <row r="396" spans="34:50" ht="12.75" customHeight="1" thickBot="1">
      <c r="AH396" s="18"/>
      <c r="AI396" s="1292"/>
      <c r="AJ396" s="1293"/>
      <c r="AK396" s="1293"/>
      <c r="AL396" s="1293"/>
      <c r="AM396" s="1293"/>
      <c r="AN396" s="1294"/>
      <c r="AR396"/>
      <c r="AS396"/>
      <c r="AT396"/>
      <c r="AU396"/>
      <c r="AV396"/>
      <c r="AW396"/>
      <c r="AX396"/>
    </row>
    <row r="397" spans="34:50" ht="12.75" customHeight="1">
      <c r="AH397" s="18"/>
      <c r="AI397" s="1285" t="s">
        <v>886</v>
      </c>
      <c r="AJ397" s="1286"/>
      <c r="AK397" s="1279" t="s">
        <v>835</v>
      </c>
      <c r="AL397" s="1279" t="s">
        <v>836</v>
      </c>
      <c r="AM397" s="1279" t="s">
        <v>837</v>
      </c>
      <c r="AN397" s="1274" t="s">
        <v>838</v>
      </c>
      <c r="AR397"/>
      <c r="AS397"/>
      <c r="AT397"/>
      <c r="AU397"/>
      <c r="AV397"/>
      <c r="AW397"/>
      <c r="AX397"/>
    </row>
    <row r="398" spans="34:50" ht="12.75" customHeight="1">
      <c r="AH398" s="18"/>
      <c r="AI398" s="1282"/>
      <c r="AJ398" s="1287"/>
      <c r="AK398" s="1273"/>
      <c r="AL398" s="1273"/>
      <c r="AM398" s="1273"/>
      <c r="AN398" s="1275"/>
      <c r="AR398"/>
      <c r="AS398"/>
      <c r="AT398"/>
      <c r="AU398"/>
      <c r="AV398"/>
      <c r="AW398"/>
      <c r="AX398"/>
    </row>
    <row r="399" spans="34:50" ht="12.75" customHeight="1">
      <c r="AH399" s="18"/>
      <c r="AI399" s="1282"/>
      <c r="AJ399" s="1287"/>
      <c r="AK399" s="196">
        <f>AK393*(1-0.0178*2)</f>
        <v>98.368800000000007</v>
      </c>
      <c r="AL399" s="178">
        <f>AL393</f>
        <v>2.6666666666666665</v>
      </c>
      <c r="AM399" s="179">
        <f>IF(AK399&gt;0,AN399*AL399," ")</f>
        <v>725</v>
      </c>
      <c r="AN399" s="180">
        <f>IF(AK399&gt;0,(VLOOKUP(AK399,'Lookup Ready-reckoner'!$B$5:$E$1207,4))," ")</f>
        <v>271.875</v>
      </c>
      <c r="AR399"/>
      <c r="AS399"/>
      <c r="AT399"/>
      <c r="AU399"/>
      <c r="AV399"/>
      <c r="AW399"/>
      <c r="AX399"/>
    </row>
    <row r="400" spans="34:50" ht="12.75" customHeight="1">
      <c r="AH400" s="18"/>
      <c r="AI400" s="1288"/>
      <c r="AJ400" s="1289"/>
      <c r="AK400" s="181"/>
      <c r="AL400" s="178"/>
      <c r="AM400" s="179" t="str">
        <f>IF(AK400&gt;0,AN400*AL400," ")</f>
        <v xml:space="preserve"> </v>
      </c>
      <c r="AN400" s="180" t="str">
        <f>IF(AK400&gt;0,(VLOOKUP(AK400,'Lookup Ready-reckoner'!$B$5:$E$1007,4))," ")</f>
        <v xml:space="preserve"> </v>
      </c>
      <c r="AR400"/>
      <c r="AS400"/>
      <c r="AT400"/>
      <c r="AU400"/>
      <c r="AV400"/>
      <c r="AW400"/>
      <c r="AX400"/>
    </row>
    <row r="401" spans="34:50" ht="12.75" customHeight="1" thickBot="1">
      <c r="AH401" s="18"/>
      <c r="AI401" s="182" t="s">
        <v>439</v>
      </c>
      <c r="AJ401" s="183"/>
      <c r="AK401" s="183"/>
      <c r="AL401" s="197">
        <f>IF(AK399&gt;0,(VLOOKUP(AM401,'Lookup Ready-reckoner'!$L$5:$M$1207,2))," ")</f>
        <v>93.55</v>
      </c>
      <c r="AM401" s="185">
        <f>IF(AL399&gt;0,(SUM(AM399:AM400))," ")</f>
        <v>725</v>
      </c>
      <c r="AN401" s="186"/>
      <c r="AR401"/>
      <c r="AS401"/>
      <c r="AT401"/>
      <c r="AU401"/>
      <c r="AV401"/>
      <c r="AW401"/>
      <c r="AX401"/>
    </row>
    <row r="402" spans="34:50" ht="12.75" customHeight="1">
      <c r="AH402" s="18"/>
      <c r="AI402" s="187"/>
      <c r="AJ402" s="19"/>
      <c r="AK402" s="19"/>
      <c r="AL402" s="188"/>
      <c r="AM402" s="189"/>
      <c r="AN402" s="176"/>
      <c r="AR402"/>
      <c r="AS402"/>
      <c r="AT402"/>
      <c r="AU402"/>
      <c r="AV402"/>
      <c r="AW402"/>
      <c r="AX402"/>
    </row>
    <row r="403" spans="34:50" ht="12.75" customHeight="1" thickBot="1">
      <c r="AH403" s="18"/>
      <c r="AI403" s="175" t="s">
        <v>60</v>
      </c>
      <c r="AJ403" s="26"/>
      <c r="AK403" s="26"/>
      <c r="AL403" s="26"/>
      <c r="AM403" s="26"/>
      <c r="AN403" s="190"/>
      <c r="AR403"/>
      <c r="AS403"/>
      <c r="AT403"/>
      <c r="AU403"/>
      <c r="AV403"/>
      <c r="AW403"/>
      <c r="AX403"/>
    </row>
    <row r="404" spans="34:50" ht="12.75" customHeight="1">
      <c r="AH404" s="18"/>
      <c r="AI404" s="1285" t="s">
        <v>845</v>
      </c>
      <c r="AJ404" s="1286"/>
      <c r="AK404" s="1279" t="s">
        <v>835</v>
      </c>
      <c r="AL404" s="1279" t="s">
        <v>836</v>
      </c>
      <c r="AM404" s="1279" t="s">
        <v>837</v>
      </c>
      <c r="AN404" s="1274" t="s">
        <v>838</v>
      </c>
      <c r="AR404"/>
      <c r="AS404"/>
      <c r="AT404"/>
      <c r="AU404"/>
      <c r="AV404"/>
      <c r="AW404"/>
      <c r="AX404"/>
    </row>
    <row r="405" spans="34:50" ht="12.75" customHeight="1">
      <c r="AH405" s="18"/>
      <c r="AI405" s="1282"/>
      <c r="AJ405" s="1287"/>
      <c r="AK405" s="1273"/>
      <c r="AL405" s="1273"/>
      <c r="AM405" s="1273"/>
      <c r="AN405" s="1275"/>
      <c r="AR405"/>
      <c r="AS405"/>
      <c r="AT405"/>
      <c r="AU405"/>
      <c r="AV405"/>
      <c r="AW405"/>
      <c r="AX405"/>
    </row>
    <row r="406" spans="34:50" ht="12.75" customHeight="1">
      <c r="AH406" s="18"/>
      <c r="AI406" s="1282"/>
      <c r="AJ406" s="1287"/>
      <c r="AK406" s="196">
        <f>AK393-PPE!$I$15</f>
        <v>89</v>
      </c>
      <c r="AL406" s="178">
        <f>AL399</f>
        <v>2.6666666666666665</v>
      </c>
      <c r="AM406" s="179">
        <f>IF(AK406&gt;0,AN406*AL406," ")</f>
        <v>83.333333333333329</v>
      </c>
      <c r="AN406" s="180">
        <f>IF(AK406&gt;0,(VLOOKUP(AK406,'Lookup Ready-reckoner'!$B$5:$E$1207,4))," ")</f>
        <v>31.25</v>
      </c>
      <c r="AR406"/>
      <c r="AS406"/>
      <c r="AT406"/>
      <c r="AU406"/>
      <c r="AV406"/>
      <c r="AW406"/>
      <c r="AX406"/>
    </row>
    <row r="407" spans="34:50" ht="12.75" customHeight="1">
      <c r="AH407" s="18"/>
      <c r="AI407" s="1288"/>
      <c r="AJ407" s="1289"/>
      <c r="AK407" s="181"/>
      <c r="AL407" s="178"/>
      <c r="AM407" s="179" t="str">
        <f>IF(AK407&gt;0,AN407*AL407," ")</f>
        <v xml:space="preserve"> </v>
      </c>
      <c r="AN407" s="180" t="str">
        <f>IF(AK407&gt;0,(VLOOKUP(AK407,'Lookup Ready-reckoner'!$B$5:$E$1007,4))," ")</f>
        <v xml:space="preserve"> </v>
      </c>
      <c r="AR407"/>
      <c r="AS407"/>
      <c r="AT407"/>
      <c r="AU407"/>
      <c r="AV407"/>
      <c r="AW407"/>
      <c r="AX407"/>
    </row>
    <row r="408" spans="34:50" ht="12.75" customHeight="1" thickBot="1">
      <c r="AH408" s="18"/>
      <c r="AI408" s="182" t="s">
        <v>439</v>
      </c>
      <c r="AJ408" s="183"/>
      <c r="AK408" s="183"/>
      <c r="AL408" s="197">
        <f>IF(AK406&gt;0,(VLOOKUP(AM408,'Lookup Ready-reckoner'!$L$5:$M$1207,2))," ")</f>
        <v>84.15</v>
      </c>
      <c r="AM408" s="185">
        <f>IF(AL406&gt;0,(SUM(AM406:AM407))," ")</f>
        <v>83.333333333333329</v>
      </c>
      <c r="AN408" s="186"/>
      <c r="AR408"/>
      <c r="AS408"/>
      <c r="AT408"/>
      <c r="AU408"/>
      <c r="AV408"/>
      <c r="AW408"/>
      <c r="AX408"/>
    </row>
    <row r="409" spans="34:50" ht="12.75" customHeight="1" thickBot="1">
      <c r="AH409" s="18"/>
      <c r="AI409" s="1282"/>
      <c r="AJ409" s="1283"/>
      <c r="AK409" s="1283"/>
      <c r="AL409" s="1283"/>
      <c r="AM409" s="1283"/>
      <c r="AN409" s="1284"/>
      <c r="AR409"/>
      <c r="AS409"/>
      <c r="AT409"/>
      <c r="AU409"/>
      <c r="AV409"/>
      <c r="AW409"/>
      <c r="AX409"/>
    </row>
    <row r="410" spans="34:50" ht="12.75" customHeight="1">
      <c r="AH410" s="18"/>
      <c r="AI410" s="1285" t="s">
        <v>886</v>
      </c>
      <c r="AJ410" s="1286"/>
      <c r="AK410" s="1279" t="s">
        <v>835</v>
      </c>
      <c r="AL410" s="1279" t="s">
        <v>836</v>
      </c>
      <c r="AM410" s="1279" t="s">
        <v>837</v>
      </c>
      <c r="AN410" s="1274" t="s">
        <v>838</v>
      </c>
      <c r="AR410"/>
      <c r="AS410"/>
      <c r="AT410"/>
      <c r="AU410"/>
      <c r="AV410"/>
      <c r="AW410"/>
      <c r="AX410"/>
    </row>
    <row r="411" spans="34:50" ht="12.75" customHeight="1">
      <c r="AH411" s="18"/>
      <c r="AI411" s="1282"/>
      <c r="AJ411" s="1287"/>
      <c r="AK411" s="1273"/>
      <c r="AL411" s="1273"/>
      <c r="AM411" s="1273"/>
      <c r="AN411" s="1275"/>
      <c r="AR411"/>
      <c r="AS411"/>
      <c r="AT411"/>
      <c r="AU411"/>
      <c r="AV411"/>
      <c r="AW411"/>
      <c r="AX411"/>
    </row>
    <row r="412" spans="34:50" ht="12.75" customHeight="1">
      <c r="AH412" s="18"/>
      <c r="AI412" s="1282"/>
      <c r="AJ412" s="1287"/>
      <c r="AK412" s="196">
        <f>AK399-PPE!$I$15</f>
        <v>85.368800000000007</v>
      </c>
      <c r="AL412" s="178">
        <f>AL406</f>
        <v>2.6666666666666665</v>
      </c>
      <c r="AM412" s="179">
        <f>IF(AK412&gt;0,AN412*AL412," ")</f>
        <v>36.25</v>
      </c>
      <c r="AN412" s="180">
        <f>IF(AK412&gt;0,(VLOOKUP(AK412,'Lookup Ready-reckoner'!$B$5:$E$1207,4))," ")</f>
        <v>13.59375</v>
      </c>
      <c r="AR412"/>
      <c r="AS412"/>
      <c r="AT412"/>
      <c r="AU412"/>
      <c r="AV412"/>
      <c r="AW412"/>
      <c r="AX412"/>
    </row>
    <row r="413" spans="34:50" ht="12.75" customHeight="1">
      <c r="AH413" s="18"/>
      <c r="AI413" s="1288"/>
      <c r="AJ413" s="1289"/>
      <c r="AK413" s="181"/>
      <c r="AL413" s="178"/>
      <c r="AM413" s="179" t="str">
        <f>IF(AK413&gt;0,AN413*AL413," ")</f>
        <v xml:space="preserve"> </v>
      </c>
      <c r="AN413" s="180" t="str">
        <f>IF(AK413&gt;0,(VLOOKUP(AK413,'Lookup Ready-reckoner'!$B$5:$E$1007,4))," ")</f>
        <v xml:space="preserve"> </v>
      </c>
      <c r="AR413"/>
      <c r="AS413"/>
      <c r="AT413"/>
      <c r="AU413"/>
      <c r="AV413"/>
      <c r="AW413"/>
      <c r="AX413"/>
    </row>
    <row r="414" spans="34:50" ht="12.75" customHeight="1" thickBot="1">
      <c r="AH414" s="18"/>
      <c r="AI414" s="182" t="s">
        <v>439</v>
      </c>
      <c r="AJ414" s="183"/>
      <c r="AK414" s="183"/>
      <c r="AL414" s="197">
        <f>IF(AK412&gt;0,(VLOOKUP(AM414,'Lookup Ready-reckoner'!$L$5:$M$1207,2))," ")</f>
        <v>80.5</v>
      </c>
      <c r="AM414" s="185">
        <f>IF(AL412&gt;0,(SUM(AM412:AM413))," ")</f>
        <v>36.25</v>
      </c>
      <c r="AN414" s="186"/>
      <c r="AR414"/>
      <c r="AS414"/>
      <c r="AT414"/>
      <c r="AU414"/>
      <c r="AV414"/>
      <c r="AW414"/>
      <c r="AX414"/>
    </row>
    <row r="415" spans="34:50" ht="12.75" customHeight="1">
      <c r="AH415" s="18"/>
      <c r="AR415"/>
      <c r="AS415"/>
      <c r="AT415"/>
      <c r="AU415"/>
      <c r="AV415"/>
      <c r="AW415"/>
      <c r="AX415"/>
    </row>
    <row r="416" spans="34:50" ht="12.75" customHeight="1">
      <c r="AH416" s="18"/>
      <c r="AI416" s="1295" t="s">
        <v>429</v>
      </c>
      <c r="AJ416" s="1295"/>
      <c r="AK416" s="1295"/>
      <c r="AL416" s="1295"/>
      <c r="AM416" s="1295"/>
      <c r="AN416" s="1295"/>
      <c r="AR416"/>
      <c r="AS416"/>
      <c r="AT416"/>
      <c r="AU416"/>
      <c r="AV416"/>
      <c r="AW416"/>
      <c r="AX416"/>
    </row>
    <row r="417" spans="34:50" ht="12.75" customHeight="1">
      <c r="AH417" s="18"/>
      <c r="AI417" s="1295"/>
      <c r="AJ417" s="1295"/>
      <c r="AK417" s="1295"/>
      <c r="AL417" s="1295"/>
      <c r="AM417" s="1295"/>
      <c r="AN417" s="1295"/>
      <c r="AR417"/>
      <c r="AS417"/>
      <c r="AT417"/>
      <c r="AU417"/>
      <c r="AV417"/>
      <c r="AW417"/>
      <c r="AX417"/>
    </row>
    <row r="418" spans="34:50" ht="12.75" customHeight="1">
      <c r="AH418" s="18"/>
      <c r="AI418" s="1295"/>
      <c r="AJ418" s="1295"/>
      <c r="AK418" s="1295"/>
      <c r="AL418" s="1295"/>
      <c r="AM418" s="1295"/>
      <c r="AN418" s="1295"/>
      <c r="AR418"/>
      <c r="AS418"/>
      <c r="AT418"/>
      <c r="AU418"/>
      <c r="AV418"/>
      <c r="AW418"/>
      <c r="AX418"/>
    </row>
    <row r="419" spans="34:50" ht="12.75" customHeight="1">
      <c r="AH419" s="18"/>
      <c r="AI419" s="1290" t="str">
        <f>AI300</f>
        <v>Seco S215</v>
      </c>
      <c r="AJ419" s="1290"/>
      <c r="AK419" s="1290"/>
      <c r="AL419" s="1290"/>
      <c r="AM419" s="1290"/>
      <c r="AN419" s="1290"/>
      <c r="AR419"/>
      <c r="AS419"/>
      <c r="AT419"/>
      <c r="AU419"/>
      <c r="AV419"/>
      <c r="AW419"/>
      <c r="AX419"/>
    </row>
    <row r="420" spans="34:50" ht="12.75" customHeight="1" thickBot="1">
      <c r="AH420" s="18"/>
      <c r="AI420" s="1276" t="s">
        <v>205</v>
      </c>
      <c r="AJ420" s="1277"/>
      <c r="AK420" s="1277"/>
      <c r="AL420" s="1277"/>
      <c r="AM420" s="1277"/>
      <c r="AN420" s="1278"/>
      <c r="AR420"/>
      <c r="AS420"/>
      <c r="AT420"/>
      <c r="AU420"/>
      <c r="AV420"/>
      <c r="AW420"/>
      <c r="AX420"/>
    </row>
    <row r="421" spans="34:50" ht="12.75" customHeight="1" thickBot="1">
      <c r="AH421" s="18"/>
      <c r="AI421" s="175" t="s">
        <v>59</v>
      </c>
      <c r="AJ421" s="26"/>
      <c r="AK421" s="19"/>
      <c r="AL421" s="19"/>
      <c r="AM421" s="19"/>
      <c r="AN421" s="176"/>
      <c r="AR421"/>
      <c r="AS421"/>
      <c r="AT421"/>
      <c r="AU421"/>
      <c r="AV421"/>
      <c r="AW421"/>
      <c r="AX421"/>
    </row>
    <row r="422" spans="34:50" ht="12.75" customHeight="1">
      <c r="AH422" s="18"/>
      <c r="AI422" s="1285" t="s">
        <v>845</v>
      </c>
      <c r="AJ422" s="1286"/>
      <c r="AK422" s="1279" t="s">
        <v>835</v>
      </c>
      <c r="AL422" s="1279" t="s">
        <v>836</v>
      </c>
      <c r="AM422" s="1279" t="s">
        <v>837</v>
      </c>
      <c r="AN422" s="1274" t="s">
        <v>838</v>
      </c>
      <c r="AR422"/>
      <c r="AS422"/>
      <c r="AT422"/>
      <c r="AU422"/>
      <c r="AV422"/>
      <c r="AW422"/>
      <c r="AX422"/>
    </row>
    <row r="423" spans="34:50" ht="12.75" customHeight="1">
      <c r="AH423" s="18"/>
      <c r="AI423" s="1282"/>
      <c r="AJ423" s="1287"/>
      <c r="AK423" s="1280"/>
      <c r="AL423" s="1280"/>
      <c r="AM423" s="1280"/>
      <c r="AN423" s="1281"/>
      <c r="AR423"/>
      <c r="AS423"/>
      <c r="AT423"/>
      <c r="AU423"/>
      <c r="AV423"/>
      <c r="AW423"/>
      <c r="AX423"/>
    </row>
    <row r="424" spans="34:50" ht="12.75" customHeight="1">
      <c r="AH424" s="18"/>
      <c r="AI424" s="1282"/>
      <c r="AJ424" s="1287"/>
      <c r="AK424" s="1273"/>
      <c r="AL424" s="1273"/>
      <c r="AM424" s="1273"/>
      <c r="AN424" s="1275"/>
      <c r="AR424"/>
      <c r="AS424"/>
      <c r="AT424"/>
      <c r="AU424"/>
      <c r="AV424"/>
      <c r="AW424"/>
      <c r="AX424"/>
    </row>
    <row r="425" spans="34:50" ht="12.75" customHeight="1">
      <c r="AH425" s="18"/>
      <c r="AI425" s="1282"/>
      <c r="AJ425" s="1287"/>
      <c r="AK425" s="177">
        <f>AL84</f>
        <v>122.02059991327964</v>
      </c>
      <c r="AL425" s="178">
        <f>AL70</f>
        <v>1.4285714285714284</v>
      </c>
      <c r="AM425" s="179">
        <f>IF(AK425&gt;0,AN425*AL425," ")</f>
        <v>79999.999999999985</v>
      </c>
      <c r="AN425" s="180">
        <f>IF(AK425&gt;0,(VLOOKUP(AK425,'Lookup Ready-reckoner'!$B$5:$E$1207,4))," ")</f>
        <v>56000</v>
      </c>
      <c r="AR425"/>
      <c r="AS425"/>
      <c r="AT425"/>
      <c r="AU425"/>
      <c r="AV425"/>
      <c r="AW425"/>
      <c r="AX425"/>
    </row>
    <row r="426" spans="34:50" ht="12.75" customHeight="1">
      <c r="AH426" s="18"/>
      <c r="AI426" s="1288"/>
      <c r="AJ426" s="1289"/>
      <c r="AK426" s="181"/>
      <c r="AL426" s="178"/>
      <c r="AM426" s="179" t="str">
        <f>IF(AK426&gt;0,AN426*AL426," ")</f>
        <v xml:space="preserve"> </v>
      </c>
      <c r="AN426" s="180" t="str">
        <f>IF(AK426&gt;0,(VLOOKUP(AK426,'Lookup Ready-reckoner'!$B$5:$E$1007,4))," ")</f>
        <v xml:space="preserve"> </v>
      </c>
      <c r="AR426"/>
      <c r="AS426"/>
      <c r="AT426"/>
      <c r="AU426"/>
      <c r="AV426"/>
      <c r="AW426"/>
      <c r="AX426"/>
    </row>
    <row r="427" spans="34:50" ht="12.75" customHeight="1" thickBot="1">
      <c r="AH427" s="18"/>
      <c r="AI427" s="182" t="s">
        <v>439</v>
      </c>
      <c r="AJ427" s="183"/>
      <c r="AK427" s="183"/>
      <c r="AL427" s="184">
        <f>IF(AK425&gt;0,(VLOOKUP(AM427,'Lookup Ready-reckoner'!$L$5:$M$1207,2))," ")</f>
        <v>113.95</v>
      </c>
      <c r="AM427" s="185">
        <f>IF(AL425&gt;0,(SUM(AM425:AM426))," ")</f>
        <v>79999.999999999985</v>
      </c>
      <c r="AN427" s="186"/>
      <c r="AR427"/>
      <c r="AS427"/>
      <c r="AT427"/>
      <c r="AU427"/>
      <c r="AV427"/>
      <c r="AW427"/>
      <c r="AX427"/>
    </row>
    <row r="428" spans="34:50" ht="12.75" customHeight="1" thickBot="1">
      <c r="AH428" s="18"/>
      <c r="AI428" s="1282"/>
      <c r="AJ428" s="1283"/>
      <c r="AK428" s="1283"/>
      <c r="AL428" s="1283"/>
      <c r="AM428" s="1283"/>
      <c r="AN428" s="1284"/>
      <c r="AR428"/>
      <c r="AS428"/>
      <c r="AT428"/>
      <c r="AU428"/>
      <c r="AV428"/>
      <c r="AW428"/>
      <c r="AX428"/>
    </row>
    <row r="429" spans="34:50" ht="12.75" customHeight="1">
      <c r="AH429" s="18"/>
      <c r="AI429" s="1285" t="s">
        <v>886</v>
      </c>
      <c r="AJ429" s="1286"/>
      <c r="AK429" s="1279" t="s">
        <v>835</v>
      </c>
      <c r="AL429" s="1279" t="s">
        <v>836</v>
      </c>
      <c r="AM429" s="1279" t="s">
        <v>837</v>
      </c>
      <c r="AN429" s="1274" t="s">
        <v>838</v>
      </c>
      <c r="AR429"/>
      <c r="AS429"/>
      <c r="AT429"/>
      <c r="AU429"/>
      <c r="AV429"/>
      <c r="AW429"/>
      <c r="AX429"/>
    </row>
    <row r="430" spans="34:50" ht="12.75" customHeight="1">
      <c r="AH430" s="18"/>
      <c r="AI430" s="1282"/>
      <c r="AJ430" s="1287"/>
      <c r="AK430" s="1273"/>
      <c r="AL430" s="1273"/>
      <c r="AM430" s="1273"/>
      <c r="AN430" s="1275"/>
      <c r="AR430"/>
      <c r="AS430"/>
      <c r="AT430"/>
      <c r="AU430"/>
      <c r="AV430"/>
      <c r="AW430"/>
      <c r="AX430"/>
    </row>
    <row r="431" spans="34:50" ht="12.75" customHeight="1">
      <c r="AH431" s="18"/>
      <c r="AI431" s="1282"/>
      <c r="AJ431" s="1287"/>
      <c r="AK431" s="177">
        <f>AK425*(1-0.0178*2)</f>
        <v>117.67666655636688</v>
      </c>
      <c r="AL431" s="178">
        <f>AL425</f>
        <v>1.4285714285714284</v>
      </c>
      <c r="AM431" s="179">
        <f>IF(AK431&gt;0,AN431*AL431," ")</f>
        <v>33771.428571428565</v>
      </c>
      <c r="AN431" s="180">
        <f>IF(AK431&gt;0,(VLOOKUP(AK431,'Lookup Ready-reckoner'!$B$5:$E$1207,4))," ")</f>
        <v>23640</v>
      </c>
      <c r="AR431"/>
      <c r="AS431"/>
      <c r="AT431"/>
      <c r="AU431"/>
      <c r="AV431"/>
      <c r="AW431"/>
      <c r="AX431"/>
    </row>
    <row r="432" spans="34:50" ht="12.75" customHeight="1">
      <c r="AH432" s="18"/>
      <c r="AI432" s="1288"/>
      <c r="AJ432" s="1289"/>
      <c r="AK432" s="181"/>
      <c r="AL432" s="178"/>
      <c r="AM432" s="179" t="str">
        <f>IF(AK432&gt;0,AN432*AL432," ")</f>
        <v xml:space="preserve"> </v>
      </c>
      <c r="AN432" s="180" t="str">
        <f>IF(AK432&gt;0,(VLOOKUP(AK432,'Lookup Ready-reckoner'!$B$5:$E$1007,4))," ")</f>
        <v xml:space="preserve"> </v>
      </c>
      <c r="AR432"/>
      <c r="AS432"/>
      <c r="AT432"/>
      <c r="AU432"/>
      <c r="AV432"/>
      <c r="AW432"/>
      <c r="AX432"/>
    </row>
    <row r="433" spans="34:50" ht="12.75" customHeight="1" thickBot="1">
      <c r="AH433" s="18"/>
      <c r="AI433" s="182" t="s">
        <v>439</v>
      </c>
      <c r="AJ433" s="183"/>
      <c r="AK433" s="183"/>
      <c r="AL433" s="184">
        <f>IF(AK431&gt;0,(VLOOKUP(AM433,'Lookup Ready-reckoner'!$L$5:$M$1207,2))," ")</f>
        <v>110.2</v>
      </c>
      <c r="AM433" s="185">
        <f>IF(AL431&gt;0,(SUM(AM431:AM432))," ")</f>
        <v>33771.428571428565</v>
      </c>
      <c r="AN433" s="186"/>
      <c r="AR433"/>
      <c r="AS433"/>
      <c r="AT433"/>
      <c r="AU433"/>
      <c r="AV433"/>
      <c r="AW433"/>
      <c r="AX433"/>
    </row>
    <row r="434" spans="34:50" ht="12.75" customHeight="1">
      <c r="AH434" s="18"/>
      <c r="AI434" s="187"/>
      <c r="AJ434" s="19"/>
      <c r="AK434" s="19"/>
      <c r="AL434" s="188"/>
      <c r="AM434" s="189"/>
      <c r="AN434" s="176"/>
      <c r="AR434"/>
      <c r="AS434"/>
      <c r="AT434"/>
      <c r="AU434"/>
      <c r="AV434"/>
      <c r="AW434"/>
      <c r="AX434"/>
    </row>
    <row r="435" spans="34:50" ht="12.75" customHeight="1" thickBot="1">
      <c r="AH435" s="18"/>
      <c r="AI435" s="175" t="s">
        <v>60</v>
      </c>
      <c r="AJ435" s="26"/>
      <c r="AK435" s="26"/>
      <c r="AL435" s="26"/>
      <c r="AM435" s="26"/>
      <c r="AN435" s="190"/>
      <c r="AR435"/>
      <c r="AS435"/>
      <c r="AT435"/>
      <c r="AU435"/>
      <c r="AV435"/>
      <c r="AW435"/>
      <c r="AX435"/>
    </row>
    <row r="436" spans="34:50" ht="12.75" customHeight="1">
      <c r="AH436" s="18"/>
      <c r="AI436" s="1285" t="s">
        <v>845</v>
      </c>
      <c r="AJ436" s="1286"/>
      <c r="AK436" s="1279" t="s">
        <v>835</v>
      </c>
      <c r="AL436" s="1279" t="s">
        <v>836</v>
      </c>
      <c r="AM436" s="1279" t="s">
        <v>837</v>
      </c>
      <c r="AN436" s="1274" t="s">
        <v>838</v>
      </c>
      <c r="AR436"/>
      <c r="AS436"/>
      <c r="AT436"/>
      <c r="AU436"/>
      <c r="AV436"/>
      <c r="AW436"/>
      <c r="AX436"/>
    </row>
    <row r="437" spans="34:50" ht="12.75" customHeight="1">
      <c r="AH437" s="18"/>
      <c r="AI437" s="1282"/>
      <c r="AJ437" s="1287"/>
      <c r="AK437" s="1273"/>
      <c r="AL437" s="1273"/>
      <c r="AM437" s="1273"/>
      <c r="AN437" s="1275"/>
      <c r="AR437"/>
      <c r="AS437"/>
      <c r="AT437"/>
      <c r="AU437"/>
      <c r="AV437"/>
      <c r="AW437"/>
      <c r="AX437"/>
    </row>
    <row r="438" spans="34:50" ht="12.75" customHeight="1">
      <c r="AH438" s="18"/>
      <c r="AI438" s="1282"/>
      <c r="AJ438" s="1287"/>
      <c r="AK438" s="177">
        <f>AK425-PPE!$I$15</f>
        <v>109.02059991327964</v>
      </c>
      <c r="AL438" s="178">
        <f>AL431</f>
        <v>1.4285714285714284</v>
      </c>
      <c r="AM438" s="179">
        <f>IF(AK438&gt;0,AN438*AL438," ")</f>
        <v>4571.4285714285706</v>
      </c>
      <c r="AN438" s="180">
        <f>IF(AK438&gt;0,(VLOOKUP(AK438,'Lookup Ready-reckoner'!$B$5:$E$1207,4))," ")</f>
        <v>3200</v>
      </c>
      <c r="AR438"/>
      <c r="AS438"/>
      <c r="AT438"/>
      <c r="AU438"/>
      <c r="AV438"/>
      <c r="AW438"/>
      <c r="AX438"/>
    </row>
    <row r="439" spans="34:50" ht="12.75" customHeight="1">
      <c r="AH439" s="18"/>
      <c r="AI439" s="1288"/>
      <c r="AJ439" s="1289"/>
      <c r="AK439" s="181"/>
      <c r="AL439" s="178"/>
      <c r="AM439" s="179" t="str">
        <f>IF(AK439&gt;0,AN439*AL439," ")</f>
        <v xml:space="preserve"> </v>
      </c>
      <c r="AN439" s="180" t="str">
        <f>IF(AK439&gt;0,(VLOOKUP(AK439,'Lookup Ready-reckoner'!$B$5:$E$1007,4))," ")</f>
        <v xml:space="preserve"> </v>
      </c>
      <c r="AR439"/>
      <c r="AS439"/>
      <c r="AT439"/>
      <c r="AU439"/>
      <c r="AV439"/>
      <c r="AW439"/>
      <c r="AX439"/>
    </row>
    <row r="440" spans="34:50" ht="12.75" customHeight="1" thickBot="1">
      <c r="AH440" s="18"/>
      <c r="AI440" s="191" t="s">
        <v>439</v>
      </c>
      <c r="AJ440" s="183"/>
      <c r="AK440" s="183"/>
      <c r="AL440" s="184">
        <f>IF(AK438&gt;0,(VLOOKUP(AM440,'Lookup Ready-reckoner'!$L$5:$M$1207,2))," ")</f>
        <v>101.55</v>
      </c>
      <c r="AM440" s="185">
        <f>IF(AL438&gt;0,(SUM(AM438:AM439))," ")</f>
        <v>4571.4285714285706</v>
      </c>
      <c r="AN440" s="186"/>
      <c r="AR440"/>
      <c r="AS440"/>
      <c r="AT440"/>
      <c r="AU440"/>
      <c r="AV440"/>
      <c r="AW440"/>
      <c r="AX440"/>
    </row>
    <row r="441" spans="34:50" ht="12.75" customHeight="1" thickBot="1">
      <c r="AH441" s="18"/>
      <c r="AI441" s="1282"/>
      <c r="AJ441" s="1283"/>
      <c r="AK441" s="1283"/>
      <c r="AL441" s="1283"/>
      <c r="AM441" s="1283"/>
      <c r="AN441" s="1284"/>
      <c r="AR441"/>
      <c r="AS441"/>
      <c r="AT441"/>
      <c r="AU441"/>
      <c r="AV441"/>
      <c r="AW441"/>
      <c r="AX441"/>
    </row>
    <row r="442" spans="34:50" ht="12.75" customHeight="1">
      <c r="AH442" s="18"/>
      <c r="AI442" s="1285" t="s">
        <v>886</v>
      </c>
      <c r="AJ442" s="1286"/>
      <c r="AK442" s="1279" t="s">
        <v>835</v>
      </c>
      <c r="AL442" s="1279" t="s">
        <v>836</v>
      </c>
      <c r="AM442" s="1279" t="s">
        <v>837</v>
      </c>
      <c r="AN442" s="1274" t="s">
        <v>838</v>
      </c>
      <c r="AR442"/>
      <c r="AS442"/>
      <c r="AT442"/>
      <c r="AU442"/>
      <c r="AV442"/>
      <c r="AW442"/>
      <c r="AX442"/>
    </row>
    <row r="443" spans="34:50" ht="12.75" customHeight="1">
      <c r="AH443" s="18"/>
      <c r="AI443" s="1282"/>
      <c r="AJ443" s="1287"/>
      <c r="AK443" s="1273"/>
      <c r="AL443" s="1273"/>
      <c r="AM443" s="1273"/>
      <c r="AN443" s="1275"/>
      <c r="AR443"/>
      <c r="AS443"/>
      <c r="AT443"/>
      <c r="AU443"/>
      <c r="AV443"/>
      <c r="AW443"/>
      <c r="AX443"/>
    </row>
    <row r="444" spans="34:50" ht="12.75" customHeight="1">
      <c r="AH444" s="18"/>
      <c r="AI444" s="1282"/>
      <c r="AJ444" s="1287"/>
      <c r="AK444" s="177">
        <f>AK431-PPE!$I$15</f>
        <v>104.67666655636688</v>
      </c>
      <c r="AL444" s="178">
        <f>AL438</f>
        <v>1.4285714285714284</v>
      </c>
      <c r="AM444" s="179">
        <f>IF(AK444&gt;0,AN444*AL444," ")</f>
        <v>1660.7142857142856</v>
      </c>
      <c r="AN444" s="180">
        <f>IF(AK444&gt;0,(VLOOKUP(AK444,'Lookup Ready-reckoner'!$B$5:$E$1207,4))," ")</f>
        <v>1162.5</v>
      </c>
      <c r="AR444"/>
      <c r="AS444"/>
      <c r="AT444"/>
      <c r="AU444"/>
      <c r="AV444"/>
      <c r="AW444"/>
      <c r="AX444"/>
    </row>
    <row r="445" spans="34:50" ht="12.75" customHeight="1">
      <c r="AH445" s="18"/>
      <c r="AI445" s="1288"/>
      <c r="AJ445" s="1289"/>
      <c r="AK445" s="181"/>
      <c r="AL445" s="178"/>
      <c r="AM445" s="179" t="str">
        <f>IF(AK445&gt;0,AN445*AL445," ")</f>
        <v xml:space="preserve"> </v>
      </c>
      <c r="AN445" s="180" t="str">
        <f>IF(AK445&gt;0,(VLOOKUP(AK445,'Lookup Ready-reckoner'!$B$5:$E$1007,4))," ")</f>
        <v xml:space="preserve"> </v>
      </c>
      <c r="AR445"/>
      <c r="AS445"/>
      <c r="AT445"/>
      <c r="AU445"/>
      <c r="AV445"/>
      <c r="AW445"/>
      <c r="AX445"/>
    </row>
    <row r="446" spans="34:50" ht="12.75" customHeight="1" thickBot="1">
      <c r="AH446" s="18"/>
      <c r="AI446" s="182" t="s">
        <v>439</v>
      </c>
      <c r="AJ446" s="183"/>
      <c r="AK446" s="183"/>
      <c r="AL446" s="184">
        <f>IF(AK444&gt;0,(VLOOKUP(AM446,'Lookup Ready-reckoner'!$L$5:$M$1207,2))," ")</f>
        <v>97.15</v>
      </c>
      <c r="AM446" s="185">
        <f>IF(AL444&gt;0,(SUM(AM444:AM445))," ")</f>
        <v>1660.7142857142856</v>
      </c>
      <c r="AN446" s="186"/>
      <c r="AR446"/>
      <c r="AS446"/>
      <c r="AT446"/>
      <c r="AU446"/>
      <c r="AV446"/>
      <c r="AW446"/>
      <c r="AX446"/>
    </row>
    <row r="447" spans="34:50" ht="12.75" customHeight="1">
      <c r="AH447" s="18"/>
      <c r="AR447"/>
      <c r="AS447"/>
      <c r="AT447"/>
      <c r="AU447"/>
      <c r="AV447"/>
      <c r="AW447"/>
      <c r="AX447"/>
    </row>
    <row r="448" spans="34:50" ht="12.75" customHeight="1" thickBot="1">
      <c r="AH448" s="18"/>
      <c r="AI448" s="1291" t="str">
        <f>AI329</f>
        <v>Seco S215 Muffled</v>
      </c>
      <c r="AJ448" s="1291"/>
      <c r="AK448" s="1291"/>
      <c r="AL448" s="1291"/>
      <c r="AM448" s="1291"/>
      <c r="AN448" s="1291"/>
      <c r="AR448"/>
      <c r="AS448"/>
      <c r="AT448"/>
      <c r="AU448"/>
      <c r="AV448"/>
      <c r="AW448"/>
      <c r="AX448"/>
    </row>
    <row r="449" spans="34:50" ht="12.75" customHeight="1" thickBot="1">
      <c r="AH449" s="18"/>
      <c r="AI449" s="1292" t="s">
        <v>205</v>
      </c>
      <c r="AJ449" s="1293"/>
      <c r="AK449" s="1293"/>
      <c r="AL449" s="1293"/>
      <c r="AM449" s="1293"/>
      <c r="AN449" s="1294"/>
      <c r="AR449"/>
      <c r="AS449"/>
      <c r="AT449"/>
      <c r="AU449"/>
      <c r="AV449"/>
      <c r="AW449"/>
      <c r="AX449"/>
    </row>
    <row r="450" spans="34:50" ht="12.75" customHeight="1" thickBot="1">
      <c r="AH450" s="18"/>
      <c r="AI450" s="175" t="s">
        <v>59</v>
      </c>
      <c r="AJ450" s="26"/>
      <c r="AK450" s="19"/>
      <c r="AL450" s="19"/>
      <c r="AM450" s="19"/>
      <c r="AN450" s="176"/>
      <c r="AR450"/>
      <c r="AS450"/>
      <c r="AT450"/>
      <c r="AU450"/>
      <c r="AV450"/>
      <c r="AW450"/>
      <c r="AX450"/>
    </row>
    <row r="451" spans="34:50" ht="12.75" customHeight="1">
      <c r="AH451" s="18"/>
      <c r="AI451" s="1285" t="s">
        <v>845</v>
      </c>
      <c r="AJ451" s="1286"/>
      <c r="AK451" s="1279" t="s">
        <v>835</v>
      </c>
      <c r="AL451" s="1279" t="s">
        <v>836</v>
      </c>
      <c r="AM451" s="1279" t="s">
        <v>837</v>
      </c>
      <c r="AN451" s="1274" t="s">
        <v>838</v>
      </c>
      <c r="AR451"/>
      <c r="AS451"/>
      <c r="AT451"/>
      <c r="AU451"/>
      <c r="AV451"/>
      <c r="AW451"/>
      <c r="AX451"/>
    </row>
    <row r="452" spans="34:50" ht="12.75" customHeight="1">
      <c r="AH452" s="18"/>
      <c r="AI452" s="1282"/>
      <c r="AJ452" s="1287"/>
      <c r="AK452" s="1280"/>
      <c r="AL452" s="1280"/>
      <c r="AM452" s="1280"/>
      <c r="AN452" s="1281"/>
      <c r="AR452"/>
      <c r="AS452"/>
      <c r="AT452"/>
      <c r="AU452"/>
      <c r="AV452"/>
      <c r="AW452"/>
      <c r="AX452"/>
    </row>
    <row r="453" spans="34:50" ht="12.75" customHeight="1">
      <c r="AH453" s="18"/>
      <c r="AI453" s="1282"/>
      <c r="AJ453" s="1287"/>
      <c r="AK453" s="1273"/>
      <c r="AL453" s="1273"/>
      <c r="AM453" s="1273"/>
      <c r="AN453" s="1275"/>
      <c r="AR453"/>
      <c r="AS453"/>
      <c r="AT453"/>
      <c r="AU453"/>
      <c r="AV453"/>
      <c r="AW453"/>
      <c r="AX453"/>
    </row>
    <row r="454" spans="34:50" ht="12.75" customHeight="1">
      <c r="AH454" s="18"/>
      <c r="AI454" s="1282"/>
      <c r="AJ454" s="1287"/>
      <c r="AK454" s="192">
        <f>AM84</f>
        <v>114.02059991327963</v>
      </c>
      <c r="AL454" s="178">
        <f>AM70</f>
        <v>1.9999999999999998</v>
      </c>
      <c r="AM454" s="179">
        <f>IF(AK454&gt;0,AN454*AL454," ")</f>
        <v>19999.999999999996</v>
      </c>
      <c r="AN454" s="180">
        <f>IF(AK454&gt;0,(VLOOKUP(AK454,'Lookup Ready-reckoner'!$B$5:$E$1207,4))," ")</f>
        <v>10000</v>
      </c>
      <c r="AR454"/>
      <c r="AS454"/>
      <c r="AT454"/>
      <c r="AU454"/>
      <c r="AV454"/>
      <c r="AW454"/>
      <c r="AX454"/>
    </row>
    <row r="455" spans="34:50" ht="12.75" customHeight="1">
      <c r="AH455" s="18"/>
      <c r="AI455" s="1288"/>
      <c r="AJ455" s="1289"/>
      <c r="AK455" s="181"/>
      <c r="AL455" s="178"/>
      <c r="AM455" s="179" t="str">
        <f>IF(AK455&gt;0,AN455*AL455," ")</f>
        <v xml:space="preserve"> </v>
      </c>
      <c r="AN455" s="180" t="str">
        <f>IF(AK455&gt;0,(VLOOKUP(AK455,'Lookup Ready-reckoner'!$B$5:$E$1007,4))," ")</f>
        <v xml:space="preserve"> </v>
      </c>
      <c r="AR455"/>
      <c r="AS455"/>
      <c r="AT455"/>
      <c r="AU455"/>
      <c r="AV455"/>
      <c r="AW455"/>
      <c r="AX455"/>
    </row>
    <row r="456" spans="34:50" ht="12.75" customHeight="1" thickBot="1">
      <c r="AH456" s="18"/>
      <c r="AI456" s="191" t="s">
        <v>439</v>
      </c>
      <c r="AJ456" s="183"/>
      <c r="AK456" s="183"/>
      <c r="AL456" s="193">
        <f>IF(AK454&gt;0,(VLOOKUP(AM456,'Lookup Ready-reckoner'!$L$5:$M$1207,2))," ")</f>
        <v>107.95</v>
      </c>
      <c r="AM456" s="185">
        <f>IF(AL454&gt;0,(SUM(AM454:AM455))," ")</f>
        <v>19999.999999999996</v>
      </c>
      <c r="AN456" s="186"/>
      <c r="AR456"/>
      <c r="AS456"/>
      <c r="AT456"/>
      <c r="AU456"/>
      <c r="AV456"/>
      <c r="AW456"/>
      <c r="AX456"/>
    </row>
    <row r="457" spans="34:50" ht="12.75" customHeight="1" thickBot="1">
      <c r="AH457" s="18"/>
      <c r="AI457" s="1282"/>
      <c r="AJ457" s="1283"/>
      <c r="AK457" s="1283"/>
      <c r="AL457" s="1283"/>
      <c r="AM457" s="1283"/>
      <c r="AN457" s="1284"/>
      <c r="AR457"/>
      <c r="AS457"/>
      <c r="AT457"/>
      <c r="AU457"/>
      <c r="AV457"/>
      <c r="AW457"/>
      <c r="AX457"/>
    </row>
    <row r="458" spans="34:50" ht="12.75" customHeight="1">
      <c r="AH458" s="18"/>
      <c r="AI458" s="1285" t="s">
        <v>886</v>
      </c>
      <c r="AJ458" s="1286"/>
      <c r="AK458" s="1279" t="s">
        <v>835</v>
      </c>
      <c r="AL458" s="1279" t="s">
        <v>836</v>
      </c>
      <c r="AM458" s="1279" t="s">
        <v>837</v>
      </c>
      <c r="AN458" s="1274" t="s">
        <v>838</v>
      </c>
      <c r="AR458"/>
      <c r="AS458"/>
      <c r="AT458"/>
      <c r="AU458"/>
      <c r="AV458"/>
      <c r="AW458"/>
      <c r="AX458"/>
    </row>
    <row r="459" spans="34:50" ht="12.75" customHeight="1">
      <c r="AH459" s="18"/>
      <c r="AI459" s="1282"/>
      <c r="AJ459" s="1287"/>
      <c r="AK459" s="1273"/>
      <c r="AL459" s="1273"/>
      <c r="AM459" s="1273"/>
      <c r="AN459" s="1275"/>
      <c r="AR459"/>
      <c r="AS459"/>
      <c r="AT459"/>
      <c r="AU459"/>
      <c r="AV459"/>
      <c r="AW459"/>
      <c r="AX459"/>
    </row>
    <row r="460" spans="34:50" ht="12.75" customHeight="1">
      <c r="AH460" s="18"/>
      <c r="AI460" s="1282"/>
      <c r="AJ460" s="1287"/>
      <c r="AK460" s="192">
        <f>AK454*(1-0.0178*2)</f>
        <v>109.96146655636687</v>
      </c>
      <c r="AL460" s="178">
        <f>AL454</f>
        <v>1.9999999999999998</v>
      </c>
      <c r="AM460" s="179">
        <f>IF(AK460&gt;0,AN460*AL460," ")</f>
        <v>7919.9999999999991</v>
      </c>
      <c r="AN460" s="180">
        <f>IF(AK460&gt;0,(VLOOKUP(AK460,'Lookup Ready-reckoner'!$B$5:$E$1207,4))," ")</f>
        <v>3960</v>
      </c>
      <c r="AR460"/>
      <c r="AS460"/>
      <c r="AT460"/>
      <c r="AU460"/>
      <c r="AV460"/>
      <c r="AW460"/>
      <c r="AX460"/>
    </row>
    <row r="461" spans="34:50" ht="12.75" customHeight="1">
      <c r="AH461" s="18"/>
      <c r="AI461" s="1288"/>
      <c r="AJ461" s="1289"/>
      <c r="AK461" s="181"/>
      <c r="AL461" s="178"/>
      <c r="AM461" s="179" t="str">
        <f>IF(AK461&gt;0,AN461*AL461," ")</f>
        <v xml:space="preserve"> </v>
      </c>
      <c r="AN461" s="180" t="str">
        <f>IF(AK461&gt;0,(VLOOKUP(AK461,'Lookup Ready-reckoner'!$B$5:$E$1007,4))," ")</f>
        <v xml:space="preserve"> </v>
      </c>
      <c r="AR461"/>
      <c r="AS461"/>
      <c r="AT461"/>
      <c r="AU461"/>
      <c r="AV461"/>
      <c r="AW461"/>
      <c r="AX461"/>
    </row>
    <row r="462" spans="34:50" ht="12.75" customHeight="1" thickBot="1">
      <c r="AH462" s="18"/>
      <c r="AI462" s="182" t="s">
        <v>439</v>
      </c>
      <c r="AJ462" s="183"/>
      <c r="AK462" s="183"/>
      <c r="AL462" s="193">
        <f>IF(AK460&gt;0,(VLOOKUP(AM462,'Lookup Ready-reckoner'!$L$5:$M$1207,2))," ")</f>
        <v>103.9</v>
      </c>
      <c r="AM462" s="185">
        <f>IF(AL460&gt;0,(SUM(AM460:AM461))," ")</f>
        <v>7919.9999999999991</v>
      </c>
      <c r="AN462" s="186"/>
      <c r="AR462"/>
      <c r="AS462"/>
      <c r="AT462"/>
      <c r="AU462"/>
      <c r="AV462"/>
      <c r="AW462"/>
      <c r="AX462"/>
    </row>
    <row r="463" spans="34:50" ht="12.75" customHeight="1">
      <c r="AH463" s="18"/>
      <c r="AI463" s="187"/>
      <c r="AJ463" s="19"/>
      <c r="AK463" s="19"/>
      <c r="AL463" s="188"/>
      <c r="AM463" s="189"/>
      <c r="AN463" s="176"/>
      <c r="AR463"/>
      <c r="AS463"/>
      <c r="AT463"/>
      <c r="AU463"/>
      <c r="AV463"/>
      <c r="AW463"/>
      <c r="AX463"/>
    </row>
    <row r="464" spans="34:50" ht="12.75" customHeight="1" thickBot="1">
      <c r="AH464" s="18"/>
      <c r="AI464" s="175" t="s">
        <v>60</v>
      </c>
      <c r="AJ464" s="26"/>
      <c r="AK464" s="26"/>
      <c r="AL464" s="26"/>
      <c r="AM464" s="26"/>
      <c r="AN464" s="190"/>
      <c r="AR464"/>
      <c r="AS464"/>
      <c r="AT464"/>
      <c r="AU464"/>
      <c r="AV464"/>
      <c r="AW464"/>
      <c r="AX464"/>
    </row>
    <row r="465" spans="34:50" ht="12.75" customHeight="1">
      <c r="AH465" s="18"/>
      <c r="AI465" s="1285" t="s">
        <v>845</v>
      </c>
      <c r="AJ465" s="1286"/>
      <c r="AK465" s="1279" t="s">
        <v>835</v>
      </c>
      <c r="AL465" s="1279" t="s">
        <v>836</v>
      </c>
      <c r="AM465" s="1279" t="s">
        <v>837</v>
      </c>
      <c r="AN465" s="1274" t="s">
        <v>838</v>
      </c>
      <c r="AR465"/>
      <c r="AS465"/>
      <c r="AT465"/>
      <c r="AU465"/>
      <c r="AV465"/>
      <c r="AW465"/>
      <c r="AX465"/>
    </row>
    <row r="466" spans="34:50" ht="12.75" customHeight="1">
      <c r="AH466" s="18"/>
      <c r="AI466" s="1282"/>
      <c r="AJ466" s="1287"/>
      <c r="AK466" s="1273"/>
      <c r="AL466" s="1273"/>
      <c r="AM466" s="1273"/>
      <c r="AN466" s="1275"/>
      <c r="AR466"/>
      <c r="AS466"/>
      <c r="AT466"/>
      <c r="AU466"/>
      <c r="AV466"/>
      <c r="AW466"/>
      <c r="AX466"/>
    </row>
    <row r="467" spans="34:50" ht="12.75" customHeight="1">
      <c r="AH467" s="18"/>
      <c r="AI467" s="1282"/>
      <c r="AJ467" s="1287"/>
      <c r="AK467" s="192">
        <f>AK454-PPE!$I$15</f>
        <v>101.02059991327963</v>
      </c>
      <c r="AL467" s="178">
        <f>AL460</f>
        <v>1.9999999999999998</v>
      </c>
      <c r="AM467" s="179">
        <f>IF(AK467&gt;0,AN467*AL467," ")</f>
        <v>999.99999999999989</v>
      </c>
      <c r="AN467" s="180">
        <f>IF(AK467&gt;0,(VLOOKUP(AK467,'Lookup Ready-reckoner'!$B$5:$E$1207,4))," ")</f>
        <v>500</v>
      </c>
      <c r="AR467"/>
      <c r="AS467"/>
      <c r="AT467"/>
      <c r="AU467"/>
      <c r="AV467"/>
      <c r="AW467"/>
      <c r="AX467"/>
    </row>
    <row r="468" spans="34:50" ht="12.75" customHeight="1">
      <c r="AH468" s="18"/>
      <c r="AI468" s="1288"/>
      <c r="AJ468" s="1289"/>
      <c r="AK468" s="181"/>
      <c r="AL468" s="178"/>
      <c r="AM468" s="179" t="str">
        <f>IF(AK468&gt;0,AN468*AL468," ")</f>
        <v xml:space="preserve"> </v>
      </c>
      <c r="AN468" s="180" t="str">
        <f>IF(AK468&gt;0,(VLOOKUP(AK468,'Lookup Ready-reckoner'!$B$5:$E$1007,4))," ")</f>
        <v xml:space="preserve"> </v>
      </c>
      <c r="AR468"/>
      <c r="AS468"/>
      <c r="AT468"/>
      <c r="AU468"/>
      <c r="AV468"/>
      <c r="AW468"/>
      <c r="AX468"/>
    </row>
    <row r="469" spans="34:50" ht="12.75" customHeight="1" thickBot="1">
      <c r="AH469" s="18"/>
      <c r="AI469" s="182" t="s">
        <v>439</v>
      </c>
      <c r="AJ469" s="183"/>
      <c r="AK469" s="183"/>
      <c r="AL469" s="193">
        <f>IF(AK467&gt;0,(VLOOKUP(AM469,'Lookup Ready-reckoner'!$L$5:$M$1207,2))," ")</f>
        <v>94.95</v>
      </c>
      <c r="AM469" s="185">
        <f>IF(AL467&gt;0,(SUM(AM467:AM468))," ")</f>
        <v>999.99999999999989</v>
      </c>
      <c r="AN469" s="186"/>
      <c r="AR469"/>
      <c r="AS469"/>
      <c r="AT469"/>
      <c r="AU469"/>
      <c r="AV469"/>
      <c r="AW469"/>
      <c r="AX469"/>
    </row>
    <row r="470" spans="34:50" ht="12.75" customHeight="1" thickBot="1">
      <c r="AH470" s="18"/>
      <c r="AI470" s="1282"/>
      <c r="AJ470" s="1283"/>
      <c r="AK470" s="1283"/>
      <c r="AL470" s="1283"/>
      <c r="AM470" s="1283"/>
      <c r="AN470" s="1284"/>
      <c r="AR470"/>
      <c r="AS470"/>
      <c r="AT470"/>
      <c r="AU470"/>
      <c r="AV470"/>
      <c r="AW470"/>
      <c r="AX470"/>
    </row>
    <row r="471" spans="34:50" ht="12.75" customHeight="1">
      <c r="AH471" s="18"/>
      <c r="AI471" s="1285" t="s">
        <v>886</v>
      </c>
      <c r="AJ471" s="1286"/>
      <c r="AK471" s="1279" t="s">
        <v>835</v>
      </c>
      <c r="AL471" s="1279" t="s">
        <v>836</v>
      </c>
      <c r="AM471" s="1279" t="s">
        <v>837</v>
      </c>
      <c r="AN471" s="1274" t="s">
        <v>838</v>
      </c>
      <c r="AR471"/>
      <c r="AS471"/>
      <c r="AT471"/>
      <c r="AU471"/>
      <c r="AV471"/>
      <c r="AW471"/>
      <c r="AX471"/>
    </row>
    <row r="472" spans="34:50" ht="12.75" customHeight="1">
      <c r="AH472" s="18"/>
      <c r="AI472" s="1282"/>
      <c r="AJ472" s="1287"/>
      <c r="AK472" s="1273"/>
      <c r="AL472" s="1273"/>
      <c r="AM472" s="1273"/>
      <c r="AN472" s="1275"/>
      <c r="AR472"/>
      <c r="AS472"/>
      <c r="AT472"/>
      <c r="AU472"/>
      <c r="AV472"/>
      <c r="AW472"/>
      <c r="AX472"/>
    </row>
    <row r="473" spans="34:50" ht="12.75" customHeight="1">
      <c r="AH473" s="18"/>
      <c r="AI473" s="1282"/>
      <c r="AJ473" s="1287"/>
      <c r="AK473" s="192">
        <f>AK460-PPE!I15</f>
        <v>96.961466556366872</v>
      </c>
      <c r="AL473" s="178">
        <f>AL467</f>
        <v>1.9999999999999998</v>
      </c>
      <c r="AM473" s="179">
        <f>IF(AK473&gt;0,AN473*AL473," ")</f>
        <v>395.62499999999994</v>
      </c>
      <c r="AN473" s="180">
        <f>IF(AK473&gt;0,(VLOOKUP(AK473,'Lookup Ready-reckoner'!$B$5:$E$1207,4))," ")</f>
        <v>197.8125</v>
      </c>
      <c r="AR473"/>
      <c r="AS473"/>
      <c r="AT473"/>
      <c r="AU473"/>
      <c r="AV473"/>
      <c r="AW473"/>
      <c r="AX473"/>
    </row>
    <row r="474" spans="34:50" ht="12.75" customHeight="1">
      <c r="AH474" s="18"/>
      <c r="AI474" s="1288"/>
      <c r="AJ474" s="1289"/>
      <c r="AK474" s="181"/>
      <c r="AL474" s="178"/>
      <c r="AM474" s="179" t="str">
        <f>IF(AK474&gt;0,AN474*AL474," ")</f>
        <v xml:space="preserve"> </v>
      </c>
      <c r="AN474" s="180" t="str">
        <f>IF(AK474&gt;0,(VLOOKUP(AK474,'Lookup Ready-reckoner'!$B$5:$E$1007,4))," ")</f>
        <v xml:space="preserve"> </v>
      </c>
      <c r="AR474"/>
      <c r="AS474"/>
      <c r="AT474"/>
      <c r="AU474"/>
      <c r="AV474"/>
      <c r="AW474"/>
      <c r="AX474"/>
    </row>
    <row r="475" spans="34:50" ht="12.75" customHeight="1" thickBot="1">
      <c r="AH475" s="18"/>
      <c r="AI475" s="182" t="s">
        <v>439</v>
      </c>
      <c r="AJ475" s="183"/>
      <c r="AK475" s="183"/>
      <c r="AL475" s="193">
        <f>IF(AK473&gt;0,(VLOOKUP(AM475,'Lookup Ready-reckoner'!$L$5:$M$1207,2))," ")</f>
        <v>90.9</v>
      </c>
      <c r="AM475" s="185">
        <f>IF(AL473&gt;0,(SUM(AM473:AM474))," ")</f>
        <v>395.62499999999994</v>
      </c>
      <c r="AN475" s="186"/>
      <c r="AR475"/>
      <c r="AS475"/>
      <c r="AT475"/>
      <c r="AU475"/>
      <c r="AV475"/>
      <c r="AW475"/>
      <c r="AX475"/>
    </row>
    <row r="476" spans="34:50" ht="12.75" customHeight="1">
      <c r="AH476" s="18"/>
      <c r="AR476"/>
      <c r="AS476"/>
      <c r="AT476"/>
      <c r="AU476"/>
      <c r="AV476"/>
      <c r="AW476"/>
      <c r="AX476"/>
    </row>
    <row r="477" spans="34:50" ht="12.75" customHeight="1">
      <c r="AH477" s="18"/>
      <c r="AI477" s="1337" t="str">
        <f>AI358</f>
        <v>Sulzer ADDS</v>
      </c>
      <c r="AJ477" s="1338"/>
      <c r="AK477" s="1338"/>
      <c r="AL477" s="1338"/>
      <c r="AM477" s="1338"/>
      <c r="AN477" s="1338"/>
      <c r="AR477"/>
      <c r="AS477"/>
      <c r="AT477"/>
      <c r="AU477"/>
      <c r="AV477"/>
      <c r="AW477"/>
      <c r="AX477"/>
    </row>
    <row r="478" spans="34:50" ht="12.75" customHeight="1" thickBot="1">
      <c r="AH478" s="18"/>
      <c r="AI478" s="1276" t="s">
        <v>205</v>
      </c>
      <c r="AJ478" s="1277"/>
      <c r="AK478" s="1277"/>
      <c r="AL478" s="1277"/>
      <c r="AM478" s="1277"/>
      <c r="AN478" s="1278"/>
      <c r="AR478"/>
      <c r="AS478"/>
      <c r="AT478"/>
      <c r="AU478"/>
      <c r="AV478"/>
      <c r="AW478"/>
      <c r="AX478"/>
    </row>
    <row r="479" spans="34:50" ht="12.75" customHeight="1" thickBot="1">
      <c r="AH479" s="18"/>
      <c r="AI479" s="175" t="s">
        <v>59</v>
      </c>
      <c r="AJ479" s="26"/>
      <c r="AK479" s="19"/>
      <c r="AL479" s="19"/>
      <c r="AM479" s="19"/>
      <c r="AN479" s="176"/>
      <c r="AR479"/>
      <c r="AS479"/>
      <c r="AT479"/>
      <c r="AU479"/>
      <c r="AV479"/>
      <c r="AW479"/>
      <c r="AX479"/>
    </row>
    <row r="480" spans="34:50" ht="12.75" customHeight="1">
      <c r="AH480" s="18"/>
      <c r="AI480" s="1285" t="s">
        <v>845</v>
      </c>
      <c r="AJ480" s="1286"/>
      <c r="AK480" s="1279" t="s">
        <v>835</v>
      </c>
      <c r="AL480" s="1279" t="s">
        <v>836</v>
      </c>
      <c r="AM480" s="1279" t="s">
        <v>837</v>
      </c>
      <c r="AN480" s="1274" t="s">
        <v>838</v>
      </c>
      <c r="AR480"/>
      <c r="AS480"/>
      <c r="AT480"/>
      <c r="AU480"/>
      <c r="AV480"/>
      <c r="AW480"/>
      <c r="AX480"/>
    </row>
    <row r="481" spans="34:50" ht="12.75" customHeight="1">
      <c r="AH481" s="18"/>
      <c r="AI481" s="1282"/>
      <c r="AJ481" s="1287"/>
      <c r="AK481" s="1280"/>
      <c r="AL481" s="1280"/>
      <c r="AM481" s="1280"/>
      <c r="AN481" s="1281"/>
      <c r="AR481"/>
      <c r="AS481"/>
      <c r="AT481"/>
      <c r="AU481"/>
      <c r="AV481"/>
      <c r="AW481"/>
      <c r="AX481"/>
    </row>
    <row r="482" spans="34:50" ht="12.75" customHeight="1">
      <c r="AH482" s="18"/>
      <c r="AI482" s="1282"/>
      <c r="AJ482" s="1287"/>
      <c r="AK482" s="1273"/>
      <c r="AL482" s="1273"/>
      <c r="AM482" s="1273"/>
      <c r="AN482" s="1275"/>
      <c r="AR482"/>
      <c r="AS482"/>
      <c r="AT482"/>
      <c r="AU482"/>
      <c r="AV482"/>
      <c r="AW482"/>
      <c r="AX482"/>
    </row>
    <row r="483" spans="34:50" ht="12.75" customHeight="1">
      <c r="AH483" s="18"/>
      <c r="AI483" s="1282"/>
      <c r="AJ483" s="1287"/>
      <c r="AK483" s="194">
        <f>AN84</f>
        <v>115.02059991327963</v>
      </c>
      <c r="AL483" s="178">
        <f>AN70</f>
        <v>1.7391304347826084</v>
      </c>
      <c r="AM483" s="179">
        <f>IF(AK483&gt;0,AN483*AL483," ")</f>
        <v>22260.869565217388</v>
      </c>
      <c r="AN483" s="180">
        <f>IF(AK483&gt;0,(VLOOKUP(AK483,'Lookup Ready-reckoner'!$B$5:$E$1207,4))," ")</f>
        <v>12800</v>
      </c>
      <c r="AR483"/>
      <c r="AS483"/>
      <c r="AT483"/>
      <c r="AU483"/>
      <c r="AV483"/>
      <c r="AW483"/>
      <c r="AX483"/>
    </row>
    <row r="484" spans="34:50" ht="12.75" customHeight="1">
      <c r="AH484" s="18"/>
      <c r="AI484" s="1288"/>
      <c r="AJ484" s="1289"/>
      <c r="AK484" s="181"/>
      <c r="AL484" s="178"/>
      <c r="AM484" s="179" t="str">
        <f>IF(AK484&gt;0,AN484*AL484," ")</f>
        <v xml:space="preserve"> </v>
      </c>
      <c r="AN484" s="180" t="str">
        <f>IF(AK484&gt;0,(VLOOKUP(AK484,'Lookup Ready-reckoner'!$B$5:$E$1007,4))," ")</f>
        <v xml:space="preserve"> </v>
      </c>
      <c r="AR484"/>
      <c r="AS484"/>
      <c r="AT484"/>
      <c r="AU484"/>
      <c r="AV484"/>
      <c r="AW484"/>
      <c r="AX484"/>
    </row>
    <row r="485" spans="34:50" ht="12.75" customHeight="1" thickBot="1">
      <c r="AH485" s="18"/>
      <c r="AI485" s="182" t="s">
        <v>439</v>
      </c>
      <c r="AJ485" s="183"/>
      <c r="AK485" s="183"/>
      <c r="AL485" s="195">
        <f>IF(AK483&gt;0,(VLOOKUP(AM485,'Lookup Ready-reckoner'!$L$5:$M$1207,2))," ")</f>
        <v>108.4</v>
      </c>
      <c r="AM485" s="185">
        <f>IF(AL483&gt;0,(SUM(AM483:AM484))," ")</f>
        <v>22260.869565217388</v>
      </c>
      <c r="AN485" s="186"/>
      <c r="AR485"/>
      <c r="AS485"/>
      <c r="AT485"/>
      <c r="AU485"/>
      <c r="AV485"/>
      <c r="AW485"/>
      <c r="AX485"/>
    </row>
    <row r="486" spans="34:50" ht="12.75" customHeight="1" thickBot="1">
      <c r="AH486" s="18"/>
      <c r="AI486" s="1282"/>
      <c r="AJ486" s="1283"/>
      <c r="AK486" s="1283"/>
      <c r="AL486" s="1283"/>
      <c r="AM486" s="1283"/>
      <c r="AN486" s="1284"/>
      <c r="AR486"/>
      <c r="AS486"/>
      <c r="AT486"/>
      <c r="AU486"/>
      <c r="AV486"/>
      <c r="AW486"/>
      <c r="AX486"/>
    </row>
    <row r="487" spans="34:50" ht="12.75" customHeight="1">
      <c r="AH487" s="18"/>
      <c r="AI487" s="1285" t="s">
        <v>886</v>
      </c>
      <c r="AJ487" s="1286"/>
      <c r="AK487" s="1279" t="s">
        <v>835</v>
      </c>
      <c r="AL487" s="1279" t="s">
        <v>836</v>
      </c>
      <c r="AM487" s="1279" t="s">
        <v>837</v>
      </c>
      <c r="AN487" s="1274" t="s">
        <v>838</v>
      </c>
      <c r="AR487"/>
      <c r="AS487"/>
      <c r="AT487"/>
      <c r="AU487"/>
      <c r="AV487"/>
      <c r="AW487"/>
      <c r="AX487"/>
    </row>
    <row r="488" spans="34:50" ht="12.75" customHeight="1">
      <c r="AH488" s="18"/>
      <c r="AI488" s="1282"/>
      <c r="AJ488" s="1287"/>
      <c r="AK488" s="1273"/>
      <c r="AL488" s="1273"/>
      <c r="AM488" s="1273"/>
      <c r="AN488" s="1275"/>
      <c r="AR488"/>
      <c r="AS488"/>
      <c r="AT488"/>
      <c r="AU488"/>
      <c r="AV488"/>
      <c r="AW488"/>
      <c r="AX488"/>
    </row>
    <row r="489" spans="34:50" ht="12.75" customHeight="1">
      <c r="AH489" s="18"/>
      <c r="AI489" s="1282"/>
      <c r="AJ489" s="1287"/>
      <c r="AK489" s="194">
        <f>AK483*(1-0.0178*2)</f>
        <v>110.92586655636687</v>
      </c>
      <c r="AL489" s="178">
        <f>AL483</f>
        <v>1.7391304347826084</v>
      </c>
      <c r="AM489" s="179">
        <f>IF(AK489&gt;0,AN489*AL489," ")</f>
        <v>8521.7391304347821</v>
      </c>
      <c r="AN489" s="180">
        <f>IF(AK489&gt;0,(VLOOKUP(AK489,'Lookup Ready-reckoner'!$B$5:$E$1207,4))," ")</f>
        <v>4900</v>
      </c>
      <c r="AR489"/>
      <c r="AS489"/>
      <c r="AT489"/>
      <c r="AU489"/>
      <c r="AV489"/>
      <c r="AW489"/>
      <c r="AX489"/>
    </row>
    <row r="490" spans="34:50" ht="12.75" customHeight="1">
      <c r="AH490" s="18"/>
      <c r="AI490" s="1288"/>
      <c r="AJ490" s="1289"/>
      <c r="AK490" s="181"/>
      <c r="AL490" s="178"/>
      <c r="AM490" s="179" t="str">
        <f>IF(AK490&gt;0,AN490*AL490," ")</f>
        <v xml:space="preserve"> </v>
      </c>
      <c r="AN490" s="180" t="str">
        <f>IF(AK490&gt;0,(VLOOKUP(AK490,'Lookup Ready-reckoner'!$B$5:$E$1007,4))," ")</f>
        <v xml:space="preserve"> </v>
      </c>
      <c r="AR490"/>
      <c r="AS490"/>
      <c r="AT490"/>
      <c r="AU490"/>
      <c r="AV490"/>
      <c r="AW490"/>
      <c r="AX490"/>
    </row>
    <row r="491" spans="34:50" ht="12.75" customHeight="1" thickBot="1">
      <c r="AH491" s="18"/>
      <c r="AI491" s="182" t="s">
        <v>439</v>
      </c>
      <c r="AJ491" s="183"/>
      <c r="AK491" s="183"/>
      <c r="AL491" s="195">
        <f>IF(AK489&gt;0,(VLOOKUP(AM491,'Lookup Ready-reckoner'!$L$5:$M$1207,2))," ")</f>
        <v>104.25</v>
      </c>
      <c r="AM491" s="185">
        <f>IF(AL489&gt;0,(SUM(AM489:AM490))," ")</f>
        <v>8521.7391304347821</v>
      </c>
      <c r="AN491" s="186"/>
      <c r="AR491"/>
      <c r="AS491"/>
      <c r="AT491"/>
      <c r="AU491"/>
      <c r="AV491"/>
      <c r="AW491"/>
      <c r="AX491"/>
    </row>
    <row r="492" spans="34:50" ht="12.75" customHeight="1">
      <c r="AH492" s="18"/>
      <c r="AI492" s="187"/>
      <c r="AJ492" s="19"/>
      <c r="AK492" s="19"/>
      <c r="AL492" s="188"/>
      <c r="AM492" s="189"/>
      <c r="AN492" s="176"/>
      <c r="AR492"/>
      <c r="AS492"/>
      <c r="AT492"/>
      <c r="AU492"/>
      <c r="AV492"/>
      <c r="AW492"/>
      <c r="AX492"/>
    </row>
    <row r="493" spans="34:50" ht="12.75" customHeight="1" thickBot="1">
      <c r="AH493" s="18"/>
      <c r="AI493" s="175" t="s">
        <v>60</v>
      </c>
      <c r="AJ493" s="26"/>
      <c r="AK493" s="26"/>
      <c r="AL493" s="26"/>
      <c r="AM493" s="26"/>
      <c r="AN493" s="190"/>
      <c r="AR493"/>
      <c r="AS493"/>
      <c r="AT493"/>
      <c r="AU493"/>
      <c r="AV493"/>
      <c r="AW493"/>
      <c r="AX493"/>
    </row>
    <row r="494" spans="34:50" ht="12.75" customHeight="1">
      <c r="AH494" s="18"/>
      <c r="AI494" s="1285" t="s">
        <v>845</v>
      </c>
      <c r="AJ494" s="1286"/>
      <c r="AK494" s="1279" t="s">
        <v>835</v>
      </c>
      <c r="AL494" s="1279" t="s">
        <v>836</v>
      </c>
      <c r="AM494" s="1279" t="s">
        <v>837</v>
      </c>
      <c r="AN494" s="1274" t="s">
        <v>838</v>
      </c>
      <c r="AR494"/>
      <c r="AS494"/>
      <c r="AT494"/>
      <c r="AU494"/>
      <c r="AV494"/>
      <c r="AW494"/>
      <c r="AX494"/>
    </row>
    <row r="495" spans="34:50" ht="12.75" customHeight="1">
      <c r="AH495" s="18"/>
      <c r="AI495" s="1282"/>
      <c r="AJ495" s="1287"/>
      <c r="AK495" s="1273"/>
      <c r="AL495" s="1273"/>
      <c r="AM495" s="1273"/>
      <c r="AN495" s="1275"/>
      <c r="AR495"/>
      <c r="AS495"/>
      <c r="AT495"/>
      <c r="AU495"/>
      <c r="AV495"/>
      <c r="AW495"/>
      <c r="AX495"/>
    </row>
    <row r="496" spans="34:50" ht="12.75" customHeight="1">
      <c r="AH496" s="18"/>
      <c r="AI496" s="1282"/>
      <c r="AJ496" s="1287"/>
      <c r="AK496" s="194">
        <f>AK483-PPE!I15</f>
        <v>102.02059991327963</v>
      </c>
      <c r="AL496" s="178">
        <f>AL489</f>
        <v>1.7391304347826084</v>
      </c>
      <c r="AM496" s="179">
        <f>IF(AK496&gt;0,AN496*AL496," ")</f>
        <v>1086.9565217391303</v>
      </c>
      <c r="AN496" s="180">
        <f>IF(AK496&gt;0,(VLOOKUP(AK496,'Lookup Ready-reckoner'!$B$5:$E$1207,4))," ")</f>
        <v>625</v>
      </c>
      <c r="AR496"/>
      <c r="AS496"/>
      <c r="AT496"/>
      <c r="AU496"/>
      <c r="AV496"/>
      <c r="AW496"/>
      <c r="AX496"/>
    </row>
    <row r="497" spans="34:50" ht="12.75" customHeight="1">
      <c r="AH497" s="18"/>
      <c r="AI497" s="1288"/>
      <c r="AJ497" s="1289"/>
      <c r="AK497" s="181"/>
      <c r="AL497" s="178"/>
      <c r="AM497" s="179" t="str">
        <f>IF(AK497&gt;0,AN497*AL497," ")</f>
        <v xml:space="preserve"> </v>
      </c>
      <c r="AN497" s="180" t="str">
        <f>IF(AK497&gt;0,(VLOOKUP(AK497,'Lookup Ready-reckoner'!$B$5:$E$1007,4))," ")</f>
        <v xml:space="preserve"> </v>
      </c>
      <c r="AR497"/>
      <c r="AS497"/>
      <c r="AT497"/>
      <c r="AU497"/>
      <c r="AV497"/>
      <c r="AW497"/>
      <c r="AX497"/>
    </row>
    <row r="498" spans="34:50" ht="12.75" customHeight="1" thickBot="1">
      <c r="AH498" s="18"/>
      <c r="AI498" s="182" t="s">
        <v>439</v>
      </c>
      <c r="AJ498" s="183"/>
      <c r="AK498" s="183"/>
      <c r="AL498" s="195">
        <f>IF(AK496&gt;0,(VLOOKUP(AM498,'Lookup Ready-reckoner'!$L$5:$M$1207,2))," ")</f>
        <v>95.3</v>
      </c>
      <c r="AM498" s="185">
        <f>IF(AL496&gt;0,(SUM(AM496:AM497))," ")</f>
        <v>1086.9565217391303</v>
      </c>
      <c r="AN498" s="186"/>
      <c r="AR498"/>
      <c r="AS498"/>
      <c r="AT498"/>
      <c r="AU498"/>
      <c r="AV498"/>
      <c r="AW498"/>
      <c r="AX498"/>
    </row>
    <row r="499" spans="34:50" ht="12.75" customHeight="1" thickBot="1">
      <c r="AH499" s="18"/>
      <c r="AI499" s="1282"/>
      <c r="AJ499" s="1283"/>
      <c r="AK499" s="1283"/>
      <c r="AL499" s="1283"/>
      <c r="AM499" s="1283"/>
      <c r="AN499" s="1284"/>
      <c r="AR499"/>
      <c r="AS499"/>
      <c r="AT499"/>
      <c r="AU499"/>
      <c r="AV499"/>
      <c r="AW499"/>
      <c r="AX499"/>
    </row>
    <row r="500" spans="34:50" ht="12.75" customHeight="1">
      <c r="AH500" s="18"/>
      <c r="AI500" s="1285" t="s">
        <v>886</v>
      </c>
      <c r="AJ500" s="1286"/>
      <c r="AK500" s="1279" t="s">
        <v>835</v>
      </c>
      <c r="AL500" s="1279" t="s">
        <v>836</v>
      </c>
      <c r="AM500" s="1279" t="s">
        <v>837</v>
      </c>
      <c r="AN500" s="1274" t="s">
        <v>838</v>
      </c>
      <c r="AR500"/>
      <c r="AS500"/>
      <c r="AT500"/>
      <c r="AU500"/>
      <c r="AV500"/>
      <c r="AW500"/>
      <c r="AX500"/>
    </row>
    <row r="501" spans="34:50" ht="12.75" customHeight="1">
      <c r="AH501" s="18"/>
      <c r="AI501" s="1282"/>
      <c r="AJ501" s="1287"/>
      <c r="AK501" s="1273"/>
      <c r="AL501" s="1273"/>
      <c r="AM501" s="1273"/>
      <c r="AN501" s="1275"/>
      <c r="AR501"/>
      <c r="AS501"/>
      <c r="AT501"/>
      <c r="AU501"/>
      <c r="AV501"/>
      <c r="AW501"/>
      <c r="AX501"/>
    </row>
    <row r="502" spans="34:50" ht="12.75" customHeight="1">
      <c r="AH502" s="18"/>
      <c r="AI502" s="1282"/>
      <c r="AJ502" s="1287"/>
      <c r="AK502" s="194">
        <f>AK489-PPE!I15</f>
        <v>97.92586655636687</v>
      </c>
      <c r="AL502" s="178">
        <f>AL496</f>
        <v>1.7391304347826084</v>
      </c>
      <c r="AM502" s="179">
        <f>IF(AK502&gt;0,AN502*AL502," ")</f>
        <v>426.08695652173907</v>
      </c>
      <c r="AN502" s="180">
        <f>IF(AK502&gt;0,(VLOOKUP(AK502,'Lookup Ready-reckoner'!$B$5:$E$1207,4))," ")</f>
        <v>245</v>
      </c>
      <c r="AR502"/>
      <c r="AS502"/>
      <c r="AT502"/>
      <c r="AU502"/>
      <c r="AV502"/>
      <c r="AW502"/>
      <c r="AX502"/>
    </row>
    <row r="503" spans="34:50" ht="12.75" customHeight="1">
      <c r="AH503" s="18"/>
      <c r="AI503" s="1288"/>
      <c r="AJ503" s="1289"/>
      <c r="AK503" s="181"/>
      <c r="AL503" s="178"/>
      <c r="AM503" s="179" t="str">
        <f>IF(AK503&gt;0,AN503*AL503," ")</f>
        <v xml:space="preserve"> </v>
      </c>
      <c r="AN503" s="180" t="str">
        <f>IF(AK503&gt;0,(VLOOKUP(AK503,'Lookup Ready-reckoner'!$B$5:$E$1007,4))," ")</f>
        <v xml:space="preserve"> </v>
      </c>
    </row>
    <row r="504" spans="34:50" ht="12.75" customHeight="1" thickBot="1">
      <c r="AH504" s="18"/>
      <c r="AI504" s="182" t="s">
        <v>439</v>
      </c>
      <c r="AJ504" s="183"/>
      <c r="AK504" s="183"/>
      <c r="AL504" s="195">
        <f>IF(AK502&gt;0,(VLOOKUP(AM504,'Lookup Ready-reckoner'!$L$5:$M$1207,2))," ")</f>
        <v>91.25</v>
      </c>
      <c r="AM504" s="185">
        <f>IF(AL502&gt;0,(SUM(AM502:AM503))," ")</f>
        <v>426.08695652173907</v>
      </c>
      <c r="AN504" s="186"/>
    </row>
    <row r="505" spans="34:50" ht="12.75" customHeight="1">
      <c r="AH505" s="18"/>
    </row>
    <row r="506" spans="34:50" ht="12.75" customHeight="1">
      <c r="AH506" s="18"/>
      <c r="AI506" s="1304" t="str">
        <f>AI387</f>
        <v xml:space="preserve">Hilti TE MD20 </v>
      </c>
      <c r="AJ506" s="1304"/>
      <c r="AK506" s="1304"/>
      <c r="AL506" s="1304"/>
      <c r="AM506" s="1304"/>
      <c r="AN506" s="1304"/>
    </row>
    <row r="507" spans="34:50" ht="12.75" customHeight="1" thickBot="1">
      <c r="AH507" s="18"/>
      <c r="AI507" s="1276" t="s">
        <v>205</v>
      </c>
      <c r="AJ507" s="1277"/>
      <c r="AK507" s="1277"/>
      <c r="AL507" s="1277"/>
      <c r="AM507" s="1277"/>
      <c r="AN507" s="1278"/>
    </row>
    <row r="508" spans="34:50" ht="12.75" customHeight="1" thickBot="1">
      <c r="AH508" s="18"/>
      <c r="AI508" s="175" t="s">
        <v>59</v>
      </c>
      <c r="AJ508" s="26"/>
      <c r="AK508" s="19"/>
      <c r="AL508" s="19"/>
      <c r="AM508" s="19"/>
      <c r="AN508" s="176"/>
    </row>
    <row r="509" spans="34:50" ht="12.75" customHeight="1">
      <c r="AH509" s="18"/>
      <c r="AI509" s="1285" t="s">
        <v>845</v>
      </c>
      <c r="AJ509" s="1286"/>
      <c r="AK509" s="1279" t="s">
        <v>835</v>
      </c>
      <c r="AL509" s="1279" t="s">
        <v>836</v>
      </c>
      <c r="AM509" s="1279" t="s">
        <v>837</v>
      </c>
      <c r="AN509" s="1274" t="s">
        <v>838</v>
      </c>
    </row>
    <row r="510" spans="34:50" ht="12.75" customHeight="1">
      <c r="AH510" s="18"/>
      <c r="AI510" s="1282"/>
      <c r="AJ510" s="1287"/>
      <c r="AK510" s="1280"/>
      <c r="AL510" s="1280"/>
      <c r="AM510" s="1280"/>
      <c r="AN510" s="1281"/>
    </row>
    <row r="511" spans="34:50" ht="12.75" customHeight="1">
      <c r="AH511" s="18"/>
      <c r="AI511" s="1282"/>
      <c r="AJ511" s="1287"/>
      <c r="AK511" s="1273"/>
      <c r="AL511" s="1273"/>
      <c r="AM511" s="1273"/>
      <c r="AN511" s="1275"/>
    </row>
    <row r="512" spans="34:50" ht="12.75" customHeight="1">
      <c r="AH512" s="18"/>
      <c r="AI512" s="1282"/>
      <c r="AJ512" s="1287"/>
      <c r="AK512" s="196">
        <f>AO84</f>
        <v>108.02059991327964</v>
      </c>
      <c r="AL512" s="178">
        <f>AO70</f>
        <v>2.6666666666666665</v>
      </c>
      <c r="AM512" s="179">
        <f>IF(AK512&gt;0,AN512*AL512," ")</f>
        <v>6666.6666666666661</v>
      </c>
      <c r="AN512" s="180">
        <f>IF(AK512&gt;0,(VLOOKUP(AK512,'Lookup Ready-reckoner'!$B$5:$E$1207,4))," ")</f>
        <v>2500</v>
      </c>
    </row>
    <row r="513" spans="34:40" ht="12.75" customHeight="1">
      <c r="AH513" s="18"/>
      <c r="AI513" s="1288"/>
      <c r="AJ513" s="1289"/>
      <c r="AK513" s="181"/>
      <c r="AL513" s="178"/>
      <c r="AM513" s="179" t="str">
        <f>IF(AK513&gt;0,AN513*AL513," ")</f>
        <v xml:space="preserve"> </v>
      </c>
      <c r="AN513" s="180" t="str">
        <f>IF(AK513&gt;0,(VLOOKUP(AK513,'Lookup Ready-reckoner'!$B$5:$E$1007,4))," ")</f>
        <v xml:space="preserve"> </v>
      </c>
    </row>
    <row r="514" spans="34:40" ht="12.75" customHeight="1" thickBot="1">
      <c r="AH514" s="18"/>
      <c r="AI514" s="182" t="s">
        <v>439</v>
      </c>
      <c r="AJ514" s="183"/>
      <c r="AK514" s="183"/>
      <c r="AL514" s="197">
        <f>IF(AK512&gt;0,(VLOOKUP(AM514,'Lookup Ready-reckoner'!$L$5:$M$1207,2))," ")</f>
        <v>103.15</v>
      </c>
      <c r="AM514" s="185">
        <f>IF(AL512&gt;0,(SUM(AM512:AM513))," ")</f>
        <v>6666.6666666666661</v>
      </c>
      <c r="AN514" s="186"/>
    </row>
    <row r="515" spans="34:40" ht="12.75" customHeight="1" thickBot="1">
      <c r="AH515" s="18"/>
      <c r="AI515" s="1292"/>
      <c r="AJ515" s="1293"/>
      <c r="AK515" s="1293"/>
      <c r="AL515" s="1293"/>
      <c r="AM515" s="1293"/>
      <c r="AN515" s="1294"/>
    </row>
    <row r="516" spans="34:40" ht="12.75" customHeight="1">
      <c r="AH516" s="18"/>
      <c r="AI516" s="1285" t="s">
        <v>886</v>
      </c>
      <c r="AJ516" s="1286"/>
      <c r="AK516" s="1279" t="s">
        <v>835</v>
      </c>
      <c r="AL516" s="1279" t="s">
        <v>836</v>
      </c>
      <c r="AM516" s="1279" t="s">
        <v>837</v>
      </c>
      <c r="AN516" s="1274" t="s">
        <v>838</v>
      </c>
    </row>
    <row r="517" spans="34:40" ht="12.75" customHeight="1">
      <c r="AH517" s="18"/>
      <c r="AI517" s="1282"/>
      <c r="AJ517" s="1287"/>
      <c r="AK517" s="1273"/>
      <c r="AL517" s="1273"/>
      <c r="AM517" s="1273"/>
      <c r="AN517" s="1275"/>
    </row>
    <row r="518" spans="34:40" ht="12.75" customHeight="1">
      <c r="AH518" s="18"/>
      <c r="AI518" s="1282"/>
      <c r="AJ518" s="1287"/>
      <c r="AK518" s="196">
        <f>AK512*(1-0.0178*2)</f>
        <v>104.17506655636689</v>
      </c>
      <c r="AL518" s="178">
        <f>AL512</f>
        <v>2.6666666666666665</v>
      </c>
      <c r="AM518" s="179">
        <f>IF(AK518&gt;0,AN518*AL518," ")</f>
        <v>2766.6666666666665</v>
      </c>
      <c r="AN518" s="180">
        <f>IF(AK518&gt;0,(VLOOKUP(AK518,'Lookup Ready-reckoner'!$B$5:$E$1207,4))," ")</f>
        <v>1037.5</v>
      </c>
    </row>
    <row r="519" spans="34:40" ht="12.75" customHeight="1">
      <c r="AH519" s="18"/>
      <c r="AI519" s="1288"/>
      <c r="AJ519" s="1289"/>
      <c r="AK519" s="181"/>
      <c r="AL519" s="178"/>
      <c r="AM519" s="179" t="str">
        <f>IF(AK519&gt;0,AN519*AL519," ")</f>
        <v xml:space="preserve"> </v>
      </c>
      <c r="AN519" s="180" t="str">
        <f>IF(AK519&gt;0,(VLOOKUP(AK519,'Lookup Ready-reckoner'!$B$5:$E$1007,4))," ")</f>
        <v xml:space="preserve"> </v>
      </c>
    </row>
    <row r="520" spans="34:40" ht="12.75" customHeight="1" thickBot="1">
      <c r="AH520" s="18"/>
      <c r="AI520" s="182" t="s">
        <v>439</v>
      </c>
      <c r="AJ520" s="183"/>
      <c r="AK520" s="183"/>
      <c r="AL520" s="197">
        <f>IF(AK518&gt;0,(VLOOKUP(AM520,'Lookup Ready-reckoner'!$L$5:$M$1207,2))," ")</f>
        <v>99.35</v>
      </c>
      <c r="AM520" s="185">
        <f>IF(AL518&gt;0,(SUM(AM518:AM519))," ")</f>
        <v>2766.6666666666665</v>
      </c>
      <c r="AN520" s="186"/>
    </row>
    <row r="521" spans="34:40" ht="12.75" customHeight="1">
      <c r="AH521" s="18"/>
      <c r="AI521" s="187"/>
      <c r="AJ521" s="19"/>
      <c r="AK521" s="19"/>
      <c r="AL521" s="188"/>
      <c r="AM521" s="189"/>
      <c r="AN521" s="176"/>
    </row>
    <row r="522" spans="34:40" ht="12.75" customHeight="1" thickBot="1">
      <c r="AH522" s="18"/>
      <c r="AI522" s="175" t="s">
        <v>60</v>
      </c>
      <c r="AJ522" s="26"/>
      <c r="AK522" s="26"/>
      <c r="AL522" s="26"/>
      <c r="AM522" s="26"/>
      <c r="AN522" s="190"/>
    </row>
    <row r="523" spans="34:40" ht="12.75" customHeight="1">
      <c r="AH523" s="18"/>
      <c r="AI523" s="1285" t="s">
        <v>845</v>
      </c>
      <c r="AJ523" s="1286"/>
      <c r="AK523" s="1279" t="s">
        <v>835</v>
      </c>
      <c r="AL523" s="1279" t="s">
        <v>836</v>
      </c>
      <c r="AM523" s="1279" t="s">
        <v>837</v>
      </c>
      <c r="AN523" s="1274" t="s">
        <v>838</v>
      </c>
    </row>
    <row r="524" spans="34:40" ht="12.75" customHeight="1">
      <c r="AH524" s="18"/>
      <c r="AI524" s="1282"/>
      <c r="AJ524" s="1287"/>
      <c r="AK524" s="1273"/>
      <c r="AL524" s="1273"/>
      <c r="AM524" s="1273"/>
      <c r="AN524" s="1275"/>
    </row>
    <row r="525" spans="34:40" ht="12.75" customHeight="1">
      <c r="AH525" s="18"/>
      <c r="AI525" s="1282"/>
      <c r="AJ525" s="1287"/>
      <c r="AK525" s="196">
        <f>AK512-PPE!I15</f>
        <v>95.020599913279639</v>
      </c>
      <c r="AL525" s="178">
        <f>AL518</f>
        <v>2.6666666666666665</v>
      </c>
      <c r="AM525" s="179">
        <f>IF(AK525&gt;0,AN525*AL525," ")</f>
        <v>333.33333333333331</v>
      </c>
      <c r="AN525" s="180">
        <f>IF(AK525&gt;0,(VLOOKUP(AK525,'Lookup Ready-reckoner'!$B$5:$E$1207,4))," ")</f>
        <v>125</v>
      </c>
    </row>
    <row r="526" spans="34:40" ht="12.75" customHeight="1">
      <c r="AH526" s="18"/>
      <c r="AI526" s="1288"/>
      <c r="AJ526" s="1289"/>
      <c r="AK526" s="181"/>
      <c r="AL526" s="178"/>
      <c r="AM526" s="179" t="str">
        <f>IF(AK526&gt;0,AN526*AL526," ")</f>
        <v xml:space="preserve"> </v>
      </c>
      <c r="AN526" s="180" t="str">
        <f>IF(AK526&gt;0,(VLOOKUP(AK526,'Lookup Ready-reckoner'!$B$5:$E$1007,4))," ")</f>
        <v xml:space="preserve"> </v>
      </c>
    </row>
    <row r="527" spans="34:40" ht="12.75" customHeight="1" thickBot="1">
      <c r="AH527" s="18"/>
      <c r="AI527" s="182" t="s">
        <v>439</v>
      </c>
      <c r="AJ527" s="183"/>
      <c r="AK527" s="183"/>
      <c r="AL527" s="197">
        <f>IF(AK525&gt;0,(VLOOKUP(AM527,'Lookup Ready-reckoner'!$L$5:$M$1207,2))," ")</f>
        <v>90.15</v>
      </c>
      <c r="AM527" s="185">
        <f>IF(AL525&gt;0,(SUM(AM525:AM526))," ")</f>
        <v>333.33333333333331</v>
      </c>
      <c r="AN527" s="186"/>
    </row>
    <row r="528" spans="34:40" ht="12.75" customHeight="1" thickBot="1">
      <c r="AH528" s="18"/>
      <c r="AI528" s="1282"/>
      <c r="AJ528" s="1283"/>
      <c r="AK528" s="1283"/>
      <c r="AL528" s="1283"/>
      <c r="AM528" s="1283"/>
      <c r="AN528" s="1284"/>
    </row>
    <row r="529" spans="34:40" ht="12.75" customHeight="1">
      <c r="AH529" s="18"/>
      <c r="AI529" s="1285" t="s">
        <v>886</v>
      </c>
      <c r="AJ529" s="1286"/>
      <c r="AK529" s="1279" t="s">
        <v>835</v>
      </c>
      <c r="AL529" s="1279" t="s">
        <v>836</v>
      </c>
      <c r="AM529" s="1279" t="s">
        <v>837</v>
      </c>
      <c r="AN529" s="1274" t="s">
        <v>838</v>
      </c>
    </row>
    <row r="530" spans="34:40" ht="12.75" customHeight="1">
      <c r="AH530" s="18"/>
      <c r="AI530" s="1282"/>
      <c r="AJ530" s="1287"/>
      <c r="AK530" s="1273"/>
      <c r="AL530" s="1273"/>
      <c r="AM530" s="1273"/>
      <c r="AN530" s="1275"/>
    </row>
    <row r="531" spans="34:40" ht="12.75" customHeight="1">
      <c r="AH531" s="18"/>
      <c r="AI531" s="1282"/>
      <c r="AJ531" s="1287"/>
      <c r="AK531" s="196">
        <f>AK518-PPE!I15</f>
        <v>91.175066556366886</v>
      </c>
      <c r="AL531" s="178">
        <f>AL525</f>
        <v>2.6666666666666665</v>
      </c>
      <c r="AM531" s="179">
        <f>IF(AK531&gt;0,AN531*AL531," ")</f>
        <v>138.33333333333331</v>
      </c>
      <c r="AN531" s="180">
        <f>IF(AK531&gt;0,(VLOOKUP(AK531,'Lookup Ready-reckoner'!$B$5:$E$1207,4))," ")</f>
        <v>51.875</v>
      </c>
    </row>
    <row r="532" spans="34:40" ht="12.75" customHeight="1">
      <c r="AH532" s="18"/>
      <c r="AI532" s="1288"/>
      <c r="AJ532" s="1289"/>
      <c r="AK532" s="181"/>
      <c r="AL532" s="178"/>
      <c r="AM532" s="179" t="str">
        <f>IF(AK532&gt;0,AN532*AL532," ")</f>
        <v xml:space="preserve"> </v>
      </c>
      <c r="AN532" s="180" t="str">
        <f>IF(AK532&gt;0,(VLOOKUP(AK532,'Lookup Ready-reckoner'!$B$5:$E$1007,4))," ")</f>
        <v xml:space="preserve"> </v>
      </c>
    </row>
    <row r="533" spans="34:40" ht="12.75" customHeight="1" thickBot="1">
      <c r="AH533" s="18"/>
      <c r="AI533" s="182" t="s">
        <v>439</v>
      </c>
      <c r="AJ533" s="183"/>
      <c r="AK533" s="183"/>
      <c r="AL533" s="197">
        <f>IF(AK531&gt;0,(VLOOKUP(AM533,'Lookup Ready-reckoner'!$L$5:$M$1207,2))," ")</f>
        <v>86.35</v>
      </c>
      <c r="AM533" s="185">
        <f>IF(AL531&gt;0,(SUM(AM531:AM532))," ")</f>
        <v>138.33333333333331</v>
      </c>
      <c r="AN533" s="186"/>
    </row>
    <row r="534" spans="34:40" ht="12.75" customHeight="1">
      <c r="AH534" s="18"/>
    </row>
    <row r="535" spans="34:40" ht="12.75" customHeight="1">
      <c r="AH535" s="21"/>
    </row>
    <row r="536" spans="34:40" ht="12.75" customHeight="1">
      <c r="AH536" s="21"/>
    </row>
    <row r="537" spans="34:40" ht="12.75" customHeight="1">
      <c r="AH537" s="21"/>
    </row>
    <row r="538" spans="34:40" ht="12.75" customHeight="1">
      <c r="AH538" s="21"/>
    </row>
    <row r="539" spans="34:40" ht="12.75" customHeight="1">
      <c r="AH539" s="21"/>
    </row>
    <row r="540" spans="34:40" ht="12.75" customHeight="1">
      <c r="AH540" s="21"/>
    </row>
    <row r="541" spans="34:40" ht="12.75" customHeight="1">
      <c r="AH541" s="21"/>
    </row>
    <row r="542" spans="34:40" ht="12.75" customHeight="1">
      <c r="AH542" s="21"/>
    </row>
    <row r="543" spans="34:40" ht="12.75" customHeight="1">
      <c r="AH543" s="21"/>
    </row>
    <row r="544" spans="34:40" ht="12.75" customHeight="1">
      <c r="AH544" s="21"/>
    </row>
    <row r="545" spans="34:34" ht="12.75" customHeight="1">
      <c r="AH545" s="21"/>
    </row>
    <row r="546" spans="34:34" ht="12.75" customHeight="1">
      <c r="AH546" s="21"/>
    </row>
    <row r="547" spans="34:34" ht="12.75" customHeight="1">
      <c r="AH547" s="21"/>
    </row>
    <row r="548" spans="34:34" ht="12.75" customHeight="1">
      <c r="AH548" s="21"/>
    </row>
    <row r="549" spans="34:34" ht="12.75" customHeight="1">
      <c r="AH549" s="21"/>
    </row>
    <row r="550" spans="34:34" ht="12.75" customHeight="1">
      <c r="AH550" s="21"/>
    </row>
    <row r="551" spans="34:34" ht="12.75" customHeight="1">
      <c r="AH551" s="21"/>
    </row>
    <row r="552" spans="34:34" ht="12.75" customHeight="1">
      <c r="AH552" s="21"/>
    </row>
    <row r="553" spans="34:34" ht="12.75" customHeight="1">
      <c r="AH553" s="21"/>
    </row>
    <row r="554" spans="34:34" ht="12.75" customHeight="1">
      <c r="AH554" s="21"/>
    </row>
    <row r="555" spans="34:34" ht="12.75" customHeight="1">
      <c r="AH555" s="21"/>
    </row>
    <row r="556" spans="34:34" ht="12.75" customHeight="1">
      <c r="AH556" s="21"/>
    </row>
    <row r="557" spans="34:34" ht="12.75" customHeight="1">
      <c r="AH557" s="21"/>
    </row>
    <row r="558" spans="34:34" ht="12.75" customHeight="1">
      <c r="AH558" s="21"/>
    </row>
    <row r="559" spans="34:34" ht="12.75" customHeight="1">
      <c r="AH559" s="21"/>
    </row>
    <row r="560" spans="34:34" ht="12.75" customHeight="1">
      <c r="AH560" s="21"/>
    </row>
    <row r="561" spans="34:43" ht="12.75" customHeight="1">
      <c r="AH561" s="21"/>
    </row>
    <row r="562" spans="34:43" ht="12.75" customHeight="1">
      <c r="AH562" s="21"/>
    </row>
    <row r="563" spans="34:43" ht="12.75" customHeight="1">
      <c r="AH563" s="21"/>
    </row>
    <row r="564" spans="34:43" ht="12.75" customHeight="1">
      <c r="AH564" s="21"/>
    </row>
    <row r="565" spans="34:43" ht="12.75" customHeight="1">
      <c r="AH565" s="21"/>
    </row>
    <row r="566" spans="34:43" ht="12.75" customHeight="1">
      <c r="AH566" s="21"/>
    </row>
    <row r="567" spans="34:43" ht="12.75" customHeight="1">
      <c r="AH567" s="21"/>
    </row>
    <row r="568" spans="34:43" ht="12.75" customHeight="1">
      <c r="AH568" s="21"/>
    </row>
    <row r="569" spans="34:43" ht="12.75" customHeight="1">
      <c r="AH569" s="21"/>
    </row>
    <row r="570" spans="34:43" ht="12.75" customHeight="1">
      <c r="AH570" s="21"/>
    </row>
    <row r="571" spans="34:43" ht="12.75" customHeight="1">
      <c r="AH571" s="21"/>
    </row>
    <row r="572" spans="34:43" ht="12.75" customHeight="1">
      <c r="AH572" s="21"/>
    </row>
    <row r="573" spans="34:43" ht="12.75" customHeight="1">
      <c r="AH573" s="21"/>
    </row>
    <row r="574" spans="34:43" ht="12.75" customHeight="1">
      <c r="AH574" s="21"/>
    </row>
    <row r="575" spans="34:43" ht="12.75" customHeight="1">
      <c r="AH575" s="21"/>
    </row>
    <row r="576" spans="34:43" ht="12.75" customHeight="1">
      <c r="AH576" s="23"/>
      <c r="AI576" s="1"/>
      <c r="AJ576" s="1"/>
      <c r="AK576" s="1"/>
      <c r="AL576" s="1"/>
      <c r="AM576" s="1"/>
      <c r="AN576" s="1"/>
      <c r="AO576" s="1"/>
      <c r="AP576" s="1"/>
      <c r="AQ576" s="1"/>
    </row>
    <row r="577" spans="34:43" ht="12.75" customHeight="1">
      <c r="AH577" s="23"/>
      <c r="AI577" s="1"/>
      <c r="AJ577" s="1"/>
      <c r="AK577" s="1"/>
      <c r="AL577" s="1"/>
      <c r="AM577" s="1"/>
      <c r="AN577" s="1"/>
      <c r="AO577" s="1"/>
      <c r="AP577" s="1"/>
      <c r="AQ577" s="1"/>
    </row>
    <row r="578" spans="34:43" ht="12.75" customHeight="1">
      <c r="AH578" s="23"/>
      <c r="AI578" s="1"/>
      <c r="AJ578" s="1"/>
      <c r="AK578" s="1"/>
      <c r="AL578" s="1"/>
      <c r="AM578" s="1"/>
      <c r="AN578" s="1"/>
      <c r="AO578" s="1"/>
      <c r="AP578" s="1"/>
      <c r="AQ578" s="1"/>
    </row>
    <row r="579" spans="34:43" ht="12.75" customHeight="1">
      <c r="AH579" s="23"/>
      <c r="AI579" s="1"/>
      <c r="AJ579" s="1"/>
      <c r="AK579" s="1"/>
      <c r="AL579" s="1"/>
      <c r="AM579" s="1"/>
      <c r="AN579" s="1"/>
      <c r="AO579" s="1"/>
      <c r="AP579" s="1"/>
      <c r="AQ579" s="1"/>
    </row>
    <row r="580" spans="34:43" ht="12.75" customHeight="1">
      <c r="AH580" s="23"/>
      <c r="AI580" s="1"/>
      <c r="AJ580" s="1"/>
      <c r="AK580" s="1"/>
      <c r="AL580" s="1"/>
      <c r="AM580" s="1"/>
      <c r="AN580" s="1"/>
      <c r="AO580" s="1"/>
      <c r="AP580" s="1"/>
      <c r="AQ580" s="1"/>
    </row>
    <row r="581" spans="34:43" ht="12.75" customHeight="1">
      <c r="AH581" s="23"/>
      <c r="AI581" s="1"/>
      <c r="AJ581" s="1"/>
      <c r="AK581" s="1"/>
      <c r="AL581" s="1"/>
      <c r="AM581" s="1"/>
      <c r="AN581" s="1"/>
      <c r="AO581" s="1"/>
      <c r="AP581" s="1"/>
      <c r="AQ581" s="1"/>
    </row>
    <row r="582" spans="34:43" ht="12.75" customHeight="1">
      <c r="AH582" s="23"/>
      <c r="AI582" s="1"/>
      <c r="AJ582" s="1"/>
      <c r="AK582" s="1"/>
      <c r="AL582" s="1"/>
      <c r="AM582" s="1"/>
      <c r="AN582" s="1"/>
      <c r="AO582" s="1"/>
      <c r="AP582" s="1"/>
      <c r="AQ582" s="1"/>
    </row>
    <row r="583" spans="34:43" ht="12.75" customHeight="1">
      <c r="AH583" s="23"/>
      <c r="AI583" s="1"/>
      <c r="AJ583" s="1"/>
      <c r="AK583" s="1"/>
      <c r="AL583" s="1"/>
      <c r="AM583" s="1"/>
      <c r="AN583" s="1"/>
      <c r="AO583" s="1"/>
      <c r="AP583" s="1"/>
      <c r="AQ583" s="1"/>
    </row>
    <row r="584" spans="34:43" ht="12.75" customHeight="1">
      <c r="AH584" s="23"/>
      <c r="AI584" s="1"/>
      <c r="AJ584" s="1"/>
      <c r="AK584" s="1"/>
      <c r="AL584" s="1"/>
      <c r="AM584" s="1"/>
      <c r="AN584" s="1"/>
      <c r="AO584" s="1"/>
      <c r="AP584" s="1"/>
      <c r="AQ584" s="1"/>
    </row>
    <row r="585" spans="34:43" ht="12.75" customHeight="1">
      <c r="AH585" s="23"/>
      <c r="AI585" s="1"/>
      <c r="AJ585" s="1"/>
      <c r="AK585" s="1"/>
      <c r="AL585" s="1"/>
      <c r="AM585" s="1"/>
      <c r="AN585" s="1"/>
      <c r="AO585" s="1"/>
      <c r="AP585" s="1"/>
      <c r="AQ585" s="1"/>
    </row>
    <row r="586" spans="34:43" ht="12.75" customHeight="1">
      <c r="AH586" s="23"/>
      <c r="AI586" s="1"/>
      <c r="AJ586" s="1"/>
      <c r="AK586" s="1"/>
      <c r="AL586" s="1"/>
      <c r="AM586" s="1"/>
      <c r="AN586" s="1"/>
      <c r="AO586" s="1"/>
      <c r="AP586" s="1"/>
      <c r="AQ586" s="1"/>
    </row>
    <row r="587" spans="34:43" ht="12.75" customHeight="1">
      <c r="AH587" s="23"/>
      <c r="AI587" s="1"/>
      <c r="AJ587" s="1"/>
      <c r="AK587" s="1"/>
      <c r="AL587" s="1"/>
      <c r="AM587" s="1"/>
      <c r="AN587" s="1"/>
      <c r="AO587" s="1"/>
      <c r="AP587" s="1"/>
      <c r="AQ587" s="1"/>
    </row>
    <row r="588" spans="34:43" ht="12.75" customHeight="1">
      <c r="AH588" s="23"/>
      <c r="AI588" s="1"/>
      <c r="AJ588" s="1"/>
      <c r="AK588" s="1"/>
      <c r="AL588" s="1"/>
      <c r="AM588" s="1"/>
      <c r="AN588" s="1"/>
      <c r="AO588" s="1"/>
      <c r="AP588" s="1"/>
      <c r="AQ588" s="1"/>
    </row>
    <row r="589" spans="34:43" ht="12.75" customHeight="1">
      <c r="AH589" s="23"/>
      <c r="AI589" s="1"/>
      <c r="AJ589" s="1"/>
      <c r="AK589" s="1"/>
      <c r="AL589" s="1"/>
      <c r="AM589" s="1"/>
      <c r="AN589" s="1"/>
      <c r="AO589" s="1"/>
      <c r="AP589" s="1"/>
      <c r="AQ589" s="1"/>
    </row>
    <row r="590" spans="34:43" ht="12.75" customHeight="1">
      <c r="AH590" s="23"/>
      <c r="AI590" s="1"/>
      <c r="AJ590" s="1"/>
      <c r="AK590" s="1"/>
      <c r="AL590" s="1"/>
      <c r="AM590" s="1"/>
      <c r="AN590" s="1"/>
      <c r="AO590" s="1"/>
      <c r="AP590" s="1"/>
      <c r="AQ590" s="1"/>
    </row>
    <row r="591" spans="34:43" ht="12.75" customHeight="1">
      <c r="AH591" s="23"/>
      <c r="AI591" s="1"/>
      <c r="AJ591" s="1"/>
      <c r="AK591" s="1"/>
      <c r="AL591" s="1"/>
      <c r="AM591" s="1"/>
      <c r="AN591" s="1"/>
      <c r="AO591" s="1"/>
      <c r="AP591" s="1"/>
      <c r="AQ591" s="1"/>
    </row>
    <row r="592" spans="34:43" ht="12.75" customHeight="1">
      <c r="AH592" s="23"/>
      <c r="AI592" s="1"/>
      <c r="AJ592" s="1"/>
      <c r="AK592" s="1"/>
      <c r="AL592" s="1"/>
      <c r="AM592" s="1"/>
      <c r="AN592" s="1"/>
      <c r="AO592" s="1"/>
      <c r="AP592" s="1"/>
      <c r="AQ592" s="1"/>
    </row>
    <row r="593" spans="34:43" ht="12.75" customHeight="1">
      <c r="AH593" s="23"/>
      <c r="AI593" s="1"/>
      <c r="AJ593" s="1"/>
      <c r="AK593" s="1"/>
      <c r="AL593" s="1"/>
      <c r="AM593" s="1"/>
      <c r="AN593" s="1"/>
      <c r="AO593" s="1"/>
      <c r="AP593" s="1"/>
      <c r="AQ593" s="1"/>
    </row>
    <row r="594" spans="34:43" ht="12.75" customHeight="1">
      <c r="AH594" s="23"/>
      <c r="AI594" s="1"/>
      <c r="AJ594" s="1"/>
      <c r="AK594" s="1"/>
      <c r="AL594" s="1"/>
      <c r="AM594" s="1"/>
      <c r="AN594" s="1"/>
      <c r="AO594" s="1"/>
      <c r="AP594" s="1"/>
      <c r="AQ594" s="1"/>
    </row>
    <row r="595" spans="34:43" ht="12.75" customHeight="1">
      <c r="AH595" s="23"/>
      <c r="AI595" s="1"/>
      <c r="AJ595" s="1"/>
      <c r="AK595" s="1"/>
      <c r="AL595" s="1"/>
      <c r="AM595" s="1"/>
      <c r="AN595" s="1"/>
      <c r="AO595" s="1"/>
      <c r="AP595" s="1"/>
      <c r="AQ595" s="1"/>
    </row>
    <row r="596" spans="34:43" ht="12.75" customHeight="1">
      <c r="AH596" s="23"/>
      <c r="AI596" s="1"/>
      <c r="AJ596" s="1"/>
      <c r="AK596" s="1"/>
      <c r="AL596" s="1"/>
      <c r="AM596" s="1"/>
      <c r="AN596" s="1"/>
      <c r="AO596" s="1"/>
      <c r="AP596" s="1"/>
      <c r="AQ596" s="1"/>
    </row>
    <row r="597" spans="34:43" ht="12.75" customHeight="1">
      <c r="AH597" s="23"/>
      <c r="AI597" s="1"/>
      <c r="AJ597" s="1"/>
      <c r="AK597" s="1"/>
      <c r="AL597" s="1"/>
      <c r="AM597" s="1"/>
      <c r="AN597" s="1"/>
      <c r="AO597" s="1"/>
      <c r="AP597" s="1"/>
      <c r="AQ597" s="1"/>
    </row>
    <row r="598" spans="34:43" ht="12.75" customHeight="1">
      <c r="AH598" s="23"/>
      <c r="AI598" s="1"/>
      <c r="AJ598" s="1"/>
      <c r="AK598" s="1"/>
      <c r="AL598" s="1"/>
      <c r="AM598" s="1"/>
      <c r="AN598" s="1"/>
      <c r="AO598" s="1"/>
      <c r="AP598" s="1"/>
      <c r="AQ598" s="1"/>
    </row>
    <row r="599" spans="34:43" ht="12.75" customHeight="1">
      <c r="AH599" s="23"/>
      <c r="AI599" s="1"/>
      <c r="AJ599" s="1"/>
      <c r="AK599" s="1"/>
      <c r="AL599" s="1"/>
      <c r="AM599" s="1"/>
      <c r="AN599" s="1"/>
      <c r="AO599" s="1"/>
      <c r="AP599" s="1"/>
      <c r="AQ599" s="1"/>
    </row>
    <row r="600" spans="34:43" ht="12.75" customHeight="1">
      <c r="AH600" s="23"/>
      <c r="AI600" s="1"/>
      <c r="AJ600" s="1"/>
      <c r="AK600" s="1"/>
      <c r="AL600" s="1"/>
      <c r="AM600" s="1"/>
      <c r="AN600" s="1"/>
      <c r="AO600" s="1"/>
      <c r="AP600" s="1"/>
      <c r="AQ600" s="1"/>
    </row>
    <row r="601" spans="34:43" ht="12.75" customHeight="1">
      <c r="AH601" s="23"/>
      <c r="AI601" s="1"/>
      <c r="AJ601" s="1"/>
      <c r="AK601" s="1"/>
      <c r="AL601" s="1"/>
      <c r="AM601" s="1"/>
      <c r="AN601" s="1"/>
      <c r="AO601" s="1"/>
      <c r="AP601" s="1"/>
      <c r="AQ601" s="1"/>
    </row>
    <row r="602" spans="34:43" ht="12.75" customHeight="1">
      <c r="AH602" s="23"/>
      <c r="AI602" s="1"/>
      <c r="AJ602" s="1"/>
      <c r="AK602" s="1"/>
      <c r="AL602" s="1"/>
      <c r="AM602" s="1"/>
      <c r="AN602" s="1"/>
      <c r="AO602" s="1"/>
      <c r="AP602" s="1"/>
      <c r="AQ602" s="1"/>
    </row>
    <row r="603" spans="34:43" ht="12.75" customHeight="1">
      <c r="AH603" s="23"/>
      <c r="AI603" s="1"/>
      <c r="AJ603" s="1"/>
      <c r="AK603" s="1"/>
      <c r="AL603" s="1"/>
      <c r="AM603" s="1"/>
      <c r="AN603" s="1"/>
      <c r="AO603" s="1"/>
      <c r="AP603" s="1"/>
      <c r="AQ603" s="1"/>
    </row>
    <row r="604" spans="34:43" ht="12.75" customHeight="1">
      <c r="AH604" s="23"/>
      <c r="AI604" s="1"/>
      <c r="AJ604" s="1"/>
      <c r="AK604" s="1"/>
      <c r="AL604" s="1"/>
      <c r="AM604" s="1"/>
      <c r="AN604" s="1"/>
      <c r="AO604" s="1"/>
      <c r="AP604" s="1"/>
      <c r="AQ604" s="1"/>
    </row>
    <row r="605" spans="34:43" ht="12.75" customHeight="1">
      <c r="AH605" s="23"/>
      <c r="AI605" s="1"/>
      <c r="AJ605" s="1"/>
      <c r="AK605" s="1"/>
      <c r="AL605" s="1"/>
      <c r="AM605" s="1"/>
      <c r="AN605" s="1"/>
      <c r="AO605" s="1"/>
      <c r="AP605" s="1"/>
      <c r="AQ605" s="1"/>
    </row>
    <row r="606" spans="34:43" ht="12.75" customHeight="1">
      <c r="AH606" s="23"/>
      <c r="AI606" s="1"/>
      <c r="AJ606" s="1"/>
      <c r="AK606" s="1"/>
      <c r="AL606" s="1"/>
      <c r="AM606" s="1"/>
      <c r="AN606" s="1"/>
      <c r="AO606" s="1"/>
      <c r="AP606" s="1"/>
      <c r="AQ606" s="1"/>
    </row>
    <row r="607" spans="34:43" ht="12.75" customHeight="1">
      <c r="AH607" s="23"/>
      <c r="AI607" s="1"/>
      <c r="AJ607" s="1"/>
      <c r="AK607" s="1"/>
      <c r="AL607" s="1"/>
      <c r="AM607" s="1"/>
      <c r="AN607" s="1"/>
      <c r="AO607" s="1"/>
      <c r="AP607" s="1"/>
      <c r="AQ607" s="1"/>
    </row>
    <row r="608" spans="34:43" ht="12.75" customHeight="1">
      <c r="AH608" s="23"/>
      <c r="AI608" s="1"/>
      <c r="AJ608" s="1"/>
      <c r="AK608" s="1"/>
      <c r="AL608" s="1"/>
      <c r="AM608" s="1"/>
      <c r="AN608" s="1"/>
      <c r="AO608" s="1"/>
      <c r="AP608" s="1"/>
      <c r="AQ608" s="1"/>
    </row>
    <row r="609" spans="34:43" ht="12.75" customHeight="1">
      <c r="AH609" s="23"/>
      <c r="AI609" s="1"/>
      <c r="AJ609" s="1"/>
      <c r="AK609" s="1"/>
      <c r="AL609" s="1"/>
      <c r="AM609" s="1"/>
      <c r="AN609" s="1"/>
      <c r="AO609" s="1"/>
      <c r="AP609" s="1"/>
      <c r="AQ609" s="1"/>
    </row>
    <row r="610" spans="34:43" ht="12.75" customHeight="1">
      <c r="AH610" s="23"/>
      <c r="AI610" s="1"/>
      <c r="AJ610" s="1"/>
      <c r="AK610" s="1"/>
      <c r="AL610" s="1"/>
      <c r="AM610" s="1"/>
      <c r="AN610" s="1"/>
      <c r="AO610" s="1"/>
      <c r="AP610" s="1"/>
      <c r="AQ610" s="1"/>
    </row>
    <row r="611" spans="34:43" ht="12.75" customHeight="1">
      <c r="AH611" s="23"/>
      <c r="AI611" s="1"/>
      <c r="AJ611" s="1"/>
      <c r="AK611" s="1"/>
      <c r="AL611" s="1"/>
      <c r="AM611" s="1"/>
      <c r="AN611" s="1"/>
      <c r="AO611" s="1"/>
      <c r="AP611" s="1"/>
      <c r="AQ611" s="1"/>
    </row>
    <row r="612" spans="34:43" ht="12.75" customHeight="1">
      <c r="AH612" s="23"/>
      <c r="AI612" s="1"/>
      <c r="AJ612" s="1"/>
      <c r="AK612" s="1"/>
      <c r="AL612" s="1"/>
      <c r="AM612" s="1"/>
      <c r="AN612" s="1"/>
      <c r="AO612" s="1"/>
      <c r="AP612" s="1"/>
      <c r="AQ612" s="1"/>
    </row>
    <row r="613" spans="34:43" ht="12.75" customHeight="1">
      <c r="AH613" s="23"/>
      <c r="AI613" s="1"/>
      <c r="AJ613" s="1"/>
      <c r="AK613" s="1"/>
      <c r="AL613" s="1"/>
      <c r="AM613" s="1"/>
      <c r="AN613" s="1"/>
      <c r="AO613" s="1"/>
      <c r="AP613" s="1"/>
      <c r="AQ613" s="1"/>
    </row>
    <row r="614" spans="34:43" ht="12.75" customHeight="1">
      <c r="AH614" s="23"/>
      <c r="AI614" s="1"/>
      <c r="AJ614" s="1"/>
      <c r="AK614" s="1"/>
      <c r="AL614" s="1"/>
      <c r="AM614" s="1"/>
      <c r="AN614" s="1"/>
      <c r="AO614" s="1"/>
      <c r="AP614" s="1"/>
      <c r="AQ614" s="1"/>
    </row>
    <row r="615" spans="34:43" ht="12.75" customHeight="1">
      <c r="AH615" s="23"/>
      <c r="AI615" s="1"/>
      <c r="AJ615" s="1"/>
      <c r="AK615" s="1"/>
      <c r="AL615" s="1"/>
      <c r="AM615" s="1"/>
      <c r="AN615" s="1"/>
      <c r="AO615" s="1"/>
      <c r="AP615" s="1"/>
      <c r="AQ615" s="1"/>
    </row>
    <row r="616" spans="34:43" ht="12.75" customHeight="1">
      <c r="AH616" s="23"/>
      <c r="AI616" s="1"/>
      <c r="AJ616" s="1"/>
      <c r="AK616" s="1"/>
      <c r="AL616" s="1"/>
      <c r="AM616" s="1"/>
      <c r="AN616" s="1"/>
      <c r="AO616" s="1"/>
      <c r="AP616" s="1"/>
      <c r="AQ616" s="1"/>
    </row>
    <row r="617" spans="34:43" ht="12.75" customHeight="1">
      <c r="AH617" s="23"/>
      <c r="AI617" s="1"/>
      <c r="AJ617" s="1"/>
      <c r="AK617" s="1"/>
      <c r="AL617" s="1"/>
      <c r="AM617" s="1"/>
      <c r="AN617" s="1"/>
      <c r="AO617" s="1"/>
      <c r="AP617" s="1"/>
      <c r="AQ617" s="1"/>
    </row>
    <row r="618" spans="34:43" ht="12.75" customHeight="1">
      <c r="AH618" s="23"/>
      <c r="AI618" s="1"/>
      <c r="AJ618" s="1"/>
      <c r="AK618" s="1"/>
      <c r="AL618" s="1"/>
      <c r="AM618" s="1"/>
      <c r="AN618" s="1"/>
      <c r="AO618" s="1"/>
      <c r="AP618" s="1"/>
      <c r="AQ618" s="1"/>
    </row>
    <row r="619" spans="34:43" ht="12.75" customHeight="1">
      <c r="AH619" s="23"/>
      <c r="AI619" s="1"/>
      <c r="AJ619" s="1"/>
      <c r="AK619" s="1"/>
      <c r="AL619" s="1"/>
      <c r="AM619" s="1"/>
      <c r="AN619" s="1"/>
      <c r="AO619" s="1"/>
      <c r="AP619" s="1"/>
      <c r="AQ619" s="1"/>
    </row>
    <row r="620" spans="34:43" ht="12.75" customHeight="1">
      <c r="AH620" s="23"/>
      <c r="AI620" s="1"/>
      <c r="AJ620" s="1"/>
      <c r="AK620" s="1"/>
      <c r="AL620" s="1"/>
      <c r="AM620" s="1"/>
      <c r="AN620" s="1"/>
      <c r="AO620" s="1"/>
      <c r="AP620" s="1"/>
      <c r="AQ620" s="1"/>
    </row>
    <row r="621" spans="34:43" ht="12.75" customHeight="1">
      <c r="AH621" s="23"/>
      <c r="AI621" s="1"/>
      <c r="AJ621" s="1"/>
      <c r="AK621" s="1"/>
      <c r="AL621" s="1"/>
      <c r="AM621" s="1"/>
      <c r="AN621" s="1"/>
      <c r="AO621" s="1"/>
      <c r="AP621" s="1"/>
      <c r="AQ621" s="1"/>
    </row>
    <row r="622" spans="34:43" ht="12.75" customHeight="1">
      <c r="AH622" s="23"/>
      <c r="AI622" s="1"/>
      <c r="AJ622" s="1"/>
      <c r="AK622" s="1"/>
      <c r="AL622" s="1"/>
      <c r="AM622" s="1"/>
      <c r="AN622" s="1"/>
      <c r="AO622" s="1"/>
      <c r="AP622" s="1"/>
      <c r="AQ622" s="1"/>
    </row>
    <row r="623" spans="34:43" ht="12.75" customHeight="1">
      <c r="AH623" s="23"/>
      <c r="AI623" s="1"/>
      <c r="AJ623" s="1"/>
      <c r="AK623" s="1"/>
      <c r="AL623" s="1"/>
      <c r="AM623" s="1"/>
      <c r="AN623" s="1"/>
      <c r="AO623" s="1"/>
      <c r="AP623" s="1"/>
      <c r="AQ623" s="1"/>
    </row>
    <row r="624" spans="34:43" ht="12.75" customHeight="1">
      <c r="AH624" s="23"/>
      <c r="AI624" s="1"/>
      <c r="AJ624" s="1"/>
      <c r="AK624" s="1"/>
      <c r="AL624" s="1"/>
      <c r="AM624" s="1"/>
      <c r="AN624" s="1"/>
      <c r="AO624" s="1"/>
      <c r="AP624" s="1"/>
      <c r="AQ624" s="1"/>
    </row>
    <row r="625" spans="34:43" ht="12.75" customHeight="1">
      <c r="AH625" s="23"/>
      <c r="AI625" s="1"/>
      <c r="AJ625" s="1"/>
      <c r="AK625" s="1"/>
      <c r="AL625" s="1"/>
      <c r="AM625" s="1"/>
      <c r="AN625" s="1"/>
      <c r="AO625" s="1"/>
      <c r="AP625" s="1"/>
      <c r="AQ625" s="1"/>
    </row>
    <row r="626" spans="34:43" ht="12.75" customHeight="1">
      <c r="AH626" s="23"/>
      <c r="AI626" s="1"/>
      <c r="AJ626" s="1"/>
      <c r="AK626" s="1"/>
      <c r="AL626" s="1"/>
      <c r="AM626" s="1"/>
      <c r="AN626" s="1"/>
      <c r="AO626" s="1"/>
      <c r="AP626" s="1"/>
      <c r="AQ626" s="1"/>
    </row>
    <row r="627" spans="34:43" ht="12.75" customHeight="1">
      <c r="AH627" s="23"/>
      <c r="AI627" s="1"/>
      <c r="AJ627" s="1"/>
      <c r="AK627" s="1"/>
      <c r="AL627" s="1"/>
      <c r="AM627" s="1"/>
      <c r="AN627" s="1"/>
      <c r="AO627" s="1"/>
      <c r="AP627" s="1"/>
      <c r="AQ627" s="1"/>
    </row>
    <row r="628" spans="34:43" ht="12.75" customHeight="1">
      <c r="AH628" s="23"/>
      <c r="AI628" s="1"/>
      <c r="AJ628" s="1"/>
      <c r="AK628" s="1"/>
      <c r="AL628" s="1"/>
      <c r="AM628" s="1"/>
      <c r="AN628" s="1"/>
      <c r="AO628" s="1"/>
      <c r="AP628" s="1"/>
      <c r="AQ628" s="1"/>
    </row>
    <row r="629" spans="34:43" ht="12.75" customHeight="1">
      <c r="AH629" s="23"/>
      <c r="AI629" s="1"/>
      <c r="AJ629" s="1"/>
      <c r="AK629" s="1"/>
      <c r="AL629" s="1"/>
      <c r="AM629" s="1"/>
      <c r="AN629" s="1"/>
      <c r="AO629" s="1"/>
      <c r="AP629" s="1"/>
      <c r="AQ629" s="1"/>
    </row>
    <row r="630" spans="34:43" ht="12.75" customHeight="1">
      <c r="AH630" s="23"/>
      <c r="AI630" s="1"/>
      <c r="AJ630" s="1"/>
      <c r="AK630" s="1"/>
      <c r="AL630" s="1"/>
      <c r="AM630" s="1"/>
      <c r="AN630" s="1"/>
      <c r="AO630" s="1"/>
      <c r="AP630" s="1"/>
      <c r="AQ630" s="1"/>
    </row>
    <row r="631" spans="34:43" ht="12.75" customHeight="1">
      <c r="AH631" s="23"/>
      <c r="AI631" s="1"/>
      <c r="AJ631" s="1"/>
      <c r="AK631" s="1"/>
      <c r="AL631" s="1"/>
      <c r="AM631" s="1"/>
      <c r="AN631" s="1"/>
      <c r="AO631" s="1"/>
      <c r="AP631" s="1"/>
      <c r="AQ631" s="1"/>
    </row>
    <row r="632" spans="34:43" ht="12.75" customHeight="1">
      <c r="AH632" s="23"/>
      <c r="AI632" s="1"/>
      <c r="AJ632" s="1"/>
      <c r="AK632" s="1"/>
      <c r="AL632" s="1"/>
      <c r="AM632" s="1"/>
      <c r="AN632" s="1"/>
      <c r="AO632" s="1"/>
      <c r="AP632" s="1"/>
      <c r="AQ632" s="1"/>
    </row>
    <row r="633" spans="34:43" ht="12.75" customHeight="1">
      <c r="AH633" s="23"/>
      <c r="AI633" s="1"/>
      <c r="AJ633" s="1"/>
      <c r="AK633" s="1"/>
      <c r="AL633" s="1"/>
      <c r="AM633" s="1"/>
      <c r="AN633" s="1"/>
      <c r="AO633" s="1"/>
      <c r="AP633" s="1"/>
      <c r="AQ633" s="1"/>
    </row>
    <row r="634" spans="34:43">
      <c r="AH634" s="23"/>
      <c r="AI634" s="1"/>
      <c r="AJ634" s="1"/>
      <c r="AK634" s="1"/>
      <c r="AL634" s="1"/>
      <c r="AM634" s="1"/>
      <c r="AN634" s="1"/>
      <c r="AO634" s="1"/>
      <c r="AP634" s="1"/>
      <c r="AQ634" s="1"/>
    </row>
    <row r="635" spans="34:43">
      <c r="AH635" s="23"/>
      <c r="AI635" s="1"/>
      <c r="AJ635" s="1"/>
      <c r="AK635" s="1"/>
      <c r="AL635" s="1"/>
      <c r="AM635" s="1"/>
      <c r="AN635" s="1"/>
      <c r="AO635" s="1"/>
      <c r="AP635" s="1"/>
      <c r="AQ635" s="1"/>
    </row>
    <row r="636" spans="34:43">
      <c r="AH636" s="23"/>
      <c r="AI636" s="1"/>
      <c r="AJ636" s="1"/>
      <c r="AK636" s="1"/>
      <c r="AL636" s="1"/>
      <c r="AM636" s="1"/>
      <c r="AN636" s="1"/>
      <c r="AO636" s="1"/>
      <c r="AP636" s="1"/>
      <c r="AQ636" s="1"/>
    </row>
    <row r="637" spans="34:43">
      <c r="AH637" s="23"/>
      <c r="AI637" s="1"/>
      <c r="AJ637" s="1"/>
      <c r="AK637" s="1"/>
      <c r="AL637" s="1"/>
      <c r="AM637" s="1"/>
      <c r="AN637" s="1"/>
      <c r="AO637" s="1"/>
      <c r="AP637" s="1"/>
      <c r="AQ637" s="1"/>
    </row>
    <row r="638" spans="34:43">
      <c r="AH638" s="23"/>
      <c r="AI638" s="1"/>
      <c r="AJ638" s="1"/>
      <c r="AK638" s="1"/>
      <c r="AL638" s="1"/>
      <c r="AM638" s="1"/>
      <c r="AN638" s="1"/>
      <c r="AO638" s="1"/>
      <c r="AP638" s="1"/>
      <c r="AQ638" s="1"/>
    </row>
    <row r="639" spans="34:43">
      <c r="AH639" s="23"/>
      <c r="AI639" s="1"/>
      <c r="AJ639" s="1"/>
      <c r="AK639" s="1"/>
      <c r="AL639" s="1"/>
      <c r="AM639" s="1"/>
      <c r="AN639" s="1"/>
      <c r="AO639" s="1"/>
      <c r="AP639" s="1"/>
      <c r="AQ639" s="1"/>
    </row>
    <row r="640" spans="34:43">
      <c r="AH640" s="23"/>
      <c r="AI640" s="1"/>
      <c r="AJ640" s="1"/>
      <c r="AK640" s="1"/>
      <c r="AL640" s="1"/>
      <c r="AM640" s="1"/>
      <c r="AN640" s="1"/>
      <c r="AO640" s="1"/>
      <c r="AP640" s="1"/>
      <c r="AQ640" s="1"/>
    </row>
    <row r="641" spans="34:43">
      <c r="AH641" s="23"/>
      <c r="AI641" s="1"/>
      <c r="AJ641" s="1"/>
      <c r="AK641" s="1"/>
      <c r="AL641" s="1"/>
      <c r="AM641" s="1"/>
      <c r="AN641" s="1"/>
      <c r="AO641" s="1"/>
      <c r="AP641" s="1"/>
      <c r="AQ641" s="1"/>
    </row>
    <row r="642" spans="34:43">
      <c r="AH642" s="23"/>
      <c r="AI642" s="1"/>
      <c r="AJ642" s="1"/>
      <c r="AK642" s="1"/>
      <c r="AL642" s="1"/>
      <c r="AM642" s="1"/>
      <c r="AN642" s="1"/>
      <c r="AO642" s="1"/>
      <c r="AP642" s="1"/>
      <c r="AQ642" s="1"/>
    </row>
    <row r="643" spans="34:43">
      <c r="AH643" s="23"/>
      <c r="AI643" s="1"/>
      <c r="AJ643" s="1"/>
      <c r="AK643" s="1"/>
      <c r="AL643" s="1"/>
      <c r="AM643" s="1"/>
      <c r="AN643" s="1"/>
      <c r="AO643" s="1"/>
      <c r="AP643" s="1"/>
      <c r="AQ643" s="1"/>
    </row>
    <row r="644" spans="34:43">
      <c r="AH644" s="23"/>
      <c r="AI644" s="1"/>
      <c r="AJ644" s="1"/>
      <c r="AK644" s="1"/>
      <c r="AL644" s="1"/>
      <c r="AM644" s="1"/>
      <c r="AN644" s="1"/>
      <c r="AO644" s="1"/>
      <c r="AP644" s="1"/>
      <c r="AQ644" s="1"/>
    </row>
    <row r="645" spans="34:43">
      <c r="AH645" s="23"/>
      <c r="AI645" s="1"/>
      <c r="AJ645" s="1"/>
      <c r="AK645" s="1"/>
      <c r="AL645" s="1"/>
      <c r="AM645" s="1"/>
      <c r="AN645" s="1"/>
      <c r="AO645" s="1"/>
      <c r="AP645" s="1"/>
      <c r="AQ645" s="1"/>
    </row>
    <row r="646" spans="34:43">
      <c r="AH646" s="23"/>
      <c r="AI646" s="1"/>
      <c r="AJ646" s="1"/>
      <c r="AK646" s="1"/>
      <c r="AL646" s="1"/>
      <c r="AM646" s="1"/>
      <c r="AN646" s="1"/>
      <c r="AO646" s="1"/>
      <c r="AP646" s="1"/>
      <c r="AQ646" s="1"/>
    </row>
    <row r="647" spans="34:43">
      <c r="AH647" s="23"/>
      <c r="AI647" s="1"/>
      <c r="AJ647" s="1"/>
      <c r="AK647" s="1"/>
      <c r="AL647" s="1"/>
      <c r="AM647" s="1"/>
      <c r="AN647" s="1"/>
      <c r="AO647" s="1"/>
      <c r="AP647" s="1"/>
      <c r="AQ647" s="1"/>
    </row>
    <row r="648" spans="34:43">
      <c r="AH648" s="23"/>
      <c r="AI648" s="1"/>
      <c r="AJ648" s="1"/>
      <c r="AK648" s="1"/>
      <c r="AL648" s="1"/>
      <c r="AM648" s="1"/>
      <c r="AN648" s="1"/>
      <c r="AO648" s="1"/>
      <c r="AP648" s="1"/>
      <c r="AQ648" s="1"/>
    </row>
    <row r="649" spans="34:43">
      <c r="AH649" s="23"/>
      <c r="AI649" s="1"/>
      <c r="AJ649" s="1"/>
      <c r="AK649" s="1"/>
      <c r="AL649" s="1"/>
      <c r="AM649" s="1"/>
      <c r="AN649" s="1"/>
      <c r="AO649" s="1"/>
      <c r="AP649" s="1"/>
      <c r="AQ649" s="1"/>
    </row>
    <row r="650" spans="34:43">
      <c r="AH650" s="23"/>
      <c r="AI650" s="1"/>
      <c r="AJ650" s="1"/>
      <c r="AK650" s="1"/>
      <c r="AL650" s="1"/>
      <c r="AM650" s="1"/>
      <c r="AN650" s="1"/>
      <c r="AO650" s="1"/>
      <c r="AP650" s="1"/>
      <c r="AQ650" s="1"/>
    </row>
    <row r="651" spans="34:43">
      <c r="AH651" s="23"/>
      <c r="AI651" s="1"/>
      <c r="AJ651" s="1"/>
      <c r="AK651" s="1"/>
      <c r="AL651" s="1"/>
      <c r="AM651" s="1"/>
      <c r="AN651" s="1"/>
      <c r="AO651" s="1"/>
      <c r="AP651" s="1"/>
      <c r="AQ651" s="1"/>
    </row>
    <row r="652" spans="34:43">
      <c r="AH652" s="23"/>
      <c r="AI652" s="1"/>
      <c r="AJ652" s="1"/>
      <c r="AK652" s="1"/>
      <c r="AL652" s="1"/>
      <c r="AM652" s="1"/>
      <c r="AN652" s="1"/>
      <c r="AO652" s="1"/>
      <c r="AP652" s="1"/>
      <c r="AQ652" s="1"/>
    </row>
    <row r="653" spans="34:43">
      <c r="AH653" s="23"/>
      <c r="AI653" s="1"/>
      <c r="AJ653" s="1"/>
      <c r="AK653" s="1"/>
      <c r="AL653" s="1"/>
      <c r="AM653" s="1"/>
      <c r="AN653" s="1"/>
      <c r="AO653" s="1"/>
      <c r="AP653" s="1"/>
      <c r="AQ653" s="1"/>
    </row>
    <row r="654" spans="34:43">
      <c r="AH654" s="23"/>
      <c r="AI654" s="1"/>
      <c r="AJ654" s="1"/>
      <c r="AK654" s="1"/>
      <c r="AL654" s="1"/>
      <c r="AM654" s="1"/>
      <c r="AN654" s="1"/>
      <c r="AO654" s="1"/>
      <c r="AP654" s="1"/>
      <c r="AQ654" s="1"/>
    </row>
    <row r="655" spans="34:43">
      <c r="AH655" s="23"/>
      <c r="AI655" s="1"/>
      <c r="AJ655" s="1"/>
      <c r="AK655" s="1"/>
      <c r="AL655" s="1"/>
      <c r="AM655" s="1"/>
      <c r="AN655" s="1"/>
      <c r="AO655" s="1"/>
      <c r="AP655" s="1"/>
      <c r="AQ655" s="1"/>
    </row>
    <row r="656" spans="34:43">
      <c r="AH656" s="23"/>
      <c r="AI656" s="1"/>
      <c r="AJ656" s="1"/>
      <c r="AK656" s="1"/>
      <c r="AL656" s="1"/>
      <c r="AM656" s="1"/>
      <c r="AN656" s="1"/>
      <c r="AO656" s="1"/>
      <c r="AP656" s="1"/>
      <c r="AQ656" s="1"/>
    </row>
    <row r="657" spans="34:43">
      <c r="AH657" s="23"/>
      <c r="AI657" s="1"/>
      <c r="AJ657" s="1"/>
      <c r="AK657" s="1"/>
      <c r="AL657" s="1"/>
      <c r="AM657" s="1"/>
      <c r="AN657" s="1"/>
      <c r="AO657" s="1"/>
      <c r="AP657" s="1"/>
      <c r="AQ657" s="1"/>
    </row>
    <row r="658" spans="34:43">
      <c r="AH658" s="23"/>
      <c r="AI658" s="1"/>
      <c r="AJ658" s="1"/>
      <c r="AK658" s="1"/>
      <c r="AL658" s="1"/>
      <c r="AM658" s="1"/>
      <c r="AN658" s="1"/>
      <c r="AO658" s="1"/>
      <c r="AP658" s="1"/>
      <c r="AQ658" s="1"/>
    </row>
    <row r="659" spans="34:43">
      <c r="AH659" s="23"/>
      <c r="AI659" s="1"/>
      <c r="AJ659" s="1"/>
      <c r="AK659" s="1"/>
      <c r="AL659" s="1"/>
      <c r="AM659" s="1"/>
      <c r="AN659" s="1"/>
      <c r="AO659" s="1"/>
      <c r="AP659" s="1"/>
      <c r="AQ659" s="1"/>
    </row>
    <row r="660" spans="34:43">
      <c r="AH660" s="23"/>
      <c r="AI660" s="1"/>
      <c r="AJ660" s="1"/>
      <c r="AK660" s="1"/>
      <c r="AL660" s="1"/>
      <c r="AM660" s="1"/>
      <c r="AN660" s="1"/>
      <c r="AO660" s="1"/>
      <c r="AP660" s="1"/>
      <c r="AQ660" s="1"/>
    </row>
    <row r="661" spans="34:43">
      <c r="AH661" s="23"/>
      <c r="AI661" s="1"/>
      <c r="AJ661" s="1"/>
      <c r="AK661" s="1"/>
      <c r="AL661" s="1"/>
      <c r="AM661" s="1"/>
      <c r="AN661" s="1"/>
      <c r="AO661" s="1"/>
      <c r="AP661" s="1"/>
      <c r="AQ661" s="1"/>
    </row>
    <row r="662" spans="34:43">
      <c r="AH662" s="23"/>
      <c r="AI662" s="1"/>
      <c r="AJ662" s="1"/>
      <c r="AK662" s="1"/>
      <c r="AL662" s="1"/>
      <c r="AM662" s="1"/>
      <c r="AN662" s="1"/>
      <c r="AO662" s="1"/>
      <c r="AP662" s="1"/>
      <c r="AQ662" s="1"/>
    </row>
    <row r="663" spans="34:43">
      <c r="AH663" s="23"/>
      <c r="AI663" s="1"/>
      <c r="AJ663" s="1"/>
      <c r="AK663" s="1"/>
      <c r="AL663" s="1"/>
      <c r="AM663" s="1"/>
      <c r="AN663" s="1"/>
      <c r="AO663" s="1"/>
      <c r="AP663" s="1"/>
      <c r="AQ663" s="1"/>
    </row>
    <row r="664" spans="34:43">
      <c r="AH664" s="23"/>
      <c r="AI664" s="1"/>
      <c r="AJ664" s="1"/>
      <c r="AK664" s="1"/>
      <c r="AL664" s="1"/>
      <c r="AM664" s="1"/>
      <c r="AN664" s="1"/>
      <c r="AO664" s="1"/>
      <c r="AP664" s="1"/>
      <c r="AQ664" s="1"/>
    </row>
    <row r="665" spans="34:43">
      <c r="AH665" s="23"/>
      <c r="AI665" s="1"/>
      <c r="AJ665" s="1"/>
      <c r="AK665" s="1"/>
      <c r="AL665" s="1"/>
      <c r="AM665" s="1"/>
      <c r="AN665" s="1"/>
      <c r="AO665" s="1"/>
      <c r="AP665" s="1"/>
      <c r="AQ665" s="1"/>
    </row>
    <row r="666" spans="34:43">
      <c r="AH666" s="23"/>
      <c r="AI666" s="1"/>
      <c r="AJ666" s="1"/>
      <c r="AK666" s="1"/>
      <c r="AL666" s="1"/>
      <c r="AM666" s="1"/>
      <c r="AN666" s="1"/>
      <c r="AO666" s="1"/>
      <c r="AP666" s="1"/>
      <c r="AQ666" s="1"/>
    </row>
    <row r="667" spans="34:43">
      <c r="AH667" s="23"/>
      <c r="AI667" s="1"/>
      <c r="AJ667" s="1"/>
      <c r="AK667" s="1"/>
      <c r="AL667" s="1"/>
      <c r="AM667" s="1"/>
      <c r="AN667" s="1"/>
      <c r="AO667" s="1"/>
      <c r="AP667" s="1"/>
      <c r="AQ667" s="1"/>
    </row>
    <row r="668" spans="34:43">
      <c r="AH668" s="23"/>
      <c r="AI668" s="1"/>
      <c r="AJ668" s="1"/>
      <c r="AK668" s="1"/>
      <c r="AL668" s="1"/>
      <c r="AM668" s="1"/>
      <c r="AN668" s="1"/>
      <c r="AO668" s="1"/>
      <c r="AP668" s="1"/>
      <c r="AQ668" s="1"/>
    </row>
    <row r="669" spans="34:43">
      <c r="AH669" s="23"/>
      <c r="AI669" s="1"/>
      <c r="AJ669" s="1"/>
      <c r="AK669" s="1"/>
      <c r="AL669" s="1"/>
      <c r="AM669" s="1"/>
      <c r="AN669" s="1"/>
      <c r="AO669" s="1"/>
      <c r="AP669" s="1"/>
      <c r="AQ669" s="1"/>
    </row>
    <row r="670" spans="34:43">
      <c r="AH670" s="23"/>
      <c r="AI670" s="1"/>
      <c r="AJ670" s="1"/>
      <c r="AK670" s="1"/>
      <c r="AL670" s="1"/>
      <c r="AM670" s="1"/>
      <c r="AN670" s="1"/>
      <c r="AO670" s="1"/>
      <c r="AP670" s="1"/>
      <c r="AQ670" s="1"/>
    </row>
    <row r="671" spans="34:43">
      <c r="AH671" s="23"/>
      <c r="AI671" s="1"/>
      <c r="AJ671" s="1"/>
      <c r="AK671" s="1"/>
      <c r="AL671" s="1"/>
      <c r="AM671" s="1"/>
      <c r="AN671" s="1"/>
      <c r="AO671" s="1"/>
      <c r="AP671" s="1"/>
      <c r="AQ671" s="1"/>
    </row>
    <row r="672" spans="34:43">
      <c r="AH672" s="23"/>
      <c r="AI672" s="1"/>
      <c r="AJ672" s="1"/>
      <c r="AK672" s="1"/>
      <c r="AL672" s="1"/>
      <c r="AM672" s="1"/>
      <c r="AN672" s="1"/>
      <c r="AO672" s="1"/>
      <c r="AP672" s="1"/>
      <c r="AQ672" s="1"/>
    </row>
    <row r="673" spans="34:43">
      <c r="AH673" s="23"/>
      <c r="AI673" s="1"/>
      <c r="AJ673" s="1"/>
      <c r="AK673" s="1"/>
      <c r="AL673" s="1"/>
      <c r="AM673" s="1"/>
      <c r="AN673" s="1"/>
      <c r="AO673" s="1"/>
      <c r="AP673" s="1"/>
      <c r="AQ673" s="1"/>
    </row>
    <row r="674" spans="34:43">
      <c r="AH674" s="23"/>
      <c r="AI674" s="1"/>
      <c r="AJ674" s="1"/>
      <c r="AK674" s="1"/>
      <c r="AL674" s="1"/>
      <c r="AM674" s="1"/>
      <c r="AN674" s="1"/>
      <c r="AO674" s="1"/>
      <c r="AP674" s="1"/>
      <c r="AQ674" s="1"/>
    </row>
    <row r="675" spans="34:43">
      <c r="AH675" s="23"/>
      <c r="AI675" s="1"/>
      <c r="AJ675" s="1"/>
      <c r="AK675" s="1"/>
      <c r="AL675" s="1"/>
      <c r="AM675" s="1"/>
      <c r="AN675" s="1"/>
      <c r="AO675" s="1"/>
      <c r="AP675" s="1"/>
      <c r="AQ675" s="1"/>
    </row>
    <row r="676" spans="34:43">
      <c r="AH676" s="23"/>
      <c r="AI676" s="1"/>
      <c r="AJ676" s="1"/>
      <c r="AK676" s="1"/>
      <c r="AL676" s="1"/>
      <c r="AM676" s="1"/>
      <c r="AN676" s="1"/>
      <c r="AO676" s="1"/>
      <c r="AP676" s="1"/>
      <c r="AQ676" s="1"/>
    </row>
    <row r="677" spans="34:43">
      <c r="AH677" s="23"/>
      <c r="AI677" s="1"/>
      <c r="AJ677" s="1"/>
      <c r="AK677" s="1"/>
      <c r="AL677" s="1"/>
      <c r="AM677" s="1"/>
      <c r="AN677" s="1"/>
      <c r="AO677" s="1"/>
      <c r="AP677" s="1"/>
      <c r="AQ677" s="1"/>
    </row>
    <row r="678" spans="34:43">
      <c r="AH678" s="23"/>
      <c r="AI678" s="1"/>
      <c r="AJ678" s="1"/>
      <c r="AK678" s="1"/>
      <c r="AL678" s="1"/>
      <c r="AM678" s="1"/>
      <c r="AN678" s="1"/>
      <c r="AO678" s="1"/>
      <c r="AP678" s="1"/>
      <c r="AQ678" s="1"/>
    </row>
    <row r="679" spans="34:43">
      <c r="AH679" s="23"/>
      <c r="AI679" s="1"/>
      <c r="AJ679" s="1"/>
      <c r="AK679" s="1"/>
      <c r="AL679" s="1"/>
      <c r="AM679" s="1"/>
      <c r="AN679" s="1"/>
      <c r="AO679" s="1"/>
      <c r="AP679" s="1"/>
      <c r="AQ679" s="1"/>
    </row>
    <row r="680" spans="34:43">
      <c r="AH680" s="23"/>
      <c r="AI680" s="1"/>
      <c r="AJ680" s="1"/>
      <c r="AK680" s="1"/>
      <c r="AL680" s="1"/>
      <c r="AM680" s="1"/>
      <c r="AN680" s="1"/>
      <c r="AO680" s="1"/>
      <c r="AP680" s="1"/>
      <c r="AQ680" s="1"/>
    </row>
    <row r="681" spans="34:43">
      <c r="AH681" s="23"/>
      <c r="AI681" s="1"/>
      <c r="AJ681" s="1"/>
      <c r="AK681" s="1"/>
      <c r="AL681" s="1"/>
      <c r="AM681" s="1"/>
      <c r="AN681" s="1"/>
      <c r="AO681" s="1"/>
      <c r="AP681" s="1"/>
      <c r="AQ681" s="1"/>
    </row>
    <row r="682" spans="34:43">
      <c r="AH682" s="23"/>
      <c r="AI682" s="1"/>
      <c r="AJ682" s="1"/>
      <c r="AK682" s="1"/>
      <c r="AL682" s="1"/>
      <c r="AM682" s="1"/>
      <c r="AN682" s="1"/>
      <c r="AO682" s="1"/>
      <c r="AP682" s="1"/>
      <c r="AQ682" s="1"/>
    </row>
    <row r="683" spans="34:43">
      <c r="AH683" s="23"/>
      <c r="AI683" s="1"/>
      <c r="AJ683" s="1"/>
      <c r="AK683" s="1"/>
      <c r="AL683" s="1"/>
      <c r="AM683" s="1"/>
      <c r="AN683" s="1"/>
      <c r="AO683" s="1"/>
      <c r="AP683" s="1"/>
      <c r="AQ683" s="1"/>
    </row>
    <row r="684" spans="34:43">
      <c r="AH684" s="23"/>
      <c r="AI684" s="1"/>
      <c r="AJ684" s="1"/>
      <c r="AK684" s="1"/>
      <c r="AL684" s="1"/>
      <c r="AM684" s="1"/>
      <c r="AN684" s="1"/>
      <c r="AO684" s="1"/>
      <c r="AP684" s="1"/>
      <c r="AQ684" s="1"/>
    </row>
    <row r="685" spans="34:43">
      <c r="AH685" s="23"/>
      <c r="AI685" s="1"/>
      <c r="AJ685" s="1"/>
      <c r="AK685" s="1"/>
      <c r="AL685" s="1"/>
      <c r="AM685" s="1"/>
      <c r="AN685" s="1"/>
      <c r="AO685" s="1"/>
      <c r="AP685" s="1"/>
      <c r="AQ685" s="1"/>
    </row>
    <row r="686" spans="34:43">
      <c r="AH686" s="23"/>
      <c r="AI686" s="1"/>
      <c r="AJ686" s="1"/>
      <c r="AK686" s="1"/>
      <c r="AL686" s="1"/>
      <c r="AM686" s="1"/>
      <c r="AN686" s="1"/>
      <c r="AO686" s="1"/>
      <c r="AP686" s="1"/>
      <c r="AQ686" s="1"/>
    </row>
    <row r="687" spans="34:43">
      <c r="AH687" s="23"/>
      <c r="AI687" s="1"/>
      <c r="AJ687" s="1"/>
      <c r="AK687" s="1"/>
      <c r="AL687" s="1"/>
      <c r="AM687" s="1"/>
      <c r="AN687" s="1"/>
      <c r="AO687" s="1"/>
      <c r="AP687" s="1"/>
      <c r="AQ687" s="1"/>
    </row>
    <row r="688" spans="34:43">
      <c r="AH688" s="23"/>
      <c r="AI688" s="1"/>
      <c r="AJ688" s="1"/>
      <c r="AK688" s="1"/>
      <c r="AL688" s="1"/>
      <c r="AM688" s="1"/>
      <c r="AN688" s="1"/>
      <c r="AO688" s="1"/>
      <c r="AP688" s="1"/>
      <c r="AQ688" s="1"/>
    </row>
    <row r="689" spans="34:43">
      <c r="AH689" s="23"/>
      <c r="AI689" s="1"/>
      <c r="AJ689" s="1"/>
      <c r="AK689" s="1"/>
      <c r="AL689" s="1"/>
      <c r="AM689" s="1"/>
      <c r="AN689" s="1"/>
      <c r="AO689" s="1"/>
      <c r="AP689" s="1"/>
      <c r="AQ689" s="1"/>
    </row>
    <row r="690" spans="34:43">
      <c r="AH690" s="23"/>
      <c r="AI690" s="1"/>
      <c r="AJ690" s="1"/>
      <c r="AK690" s="1"/>
      <c r="AL690" s="1"/>
      <c r="AM690" s="1"/>
      <c r="AN690" s="1"/>
      <c r="AO690" s="1"/>
      <c r="AP690" s="1"/>
      <c r="AQ690" s="1"/>
    </row>
    <row r="691" spans="34:43">
      <c r="AH691" s="23"/>
      <c r="AI691" s="1"/>
      <c r="AJ691" s="1"/>
      <c r="AK691" s="1"/>
      <c r="AL691" s="1"/>
      <c r="AM691" s="1"/>
      <c r="AN691" s="1"/>
      <c r="AO691" s="1"/>
      <c r="AP691" s="1"/>
      <c r="AQ691" s="1"/>
    </row>
    <row r="692" spans="34:43">
      <c r="AH692" s="23"/>
      <c r="AI692" s="1"/>
      <c r="AJ692" s="1"/>
      <c r="AK692" s="1"/>
      <c r="AL692" s="1"/>
      <c r="AM692" s="1"/>
      <c r="AN692" s="1"/>
      <c r="AO692" s="1"/>
      <c r="AP692" s="1"/>
      <c r="AQ692" s="1"/>
    </row>
    <row r="693" spans="34:43">
      <c r="AH693" s="23"/>
      <c r="AI693" s="1"/>
      <c r="AJ693" s="1"/>
      <c r="AK693" s="1"/>
      <c r="AL693" s="1"/>
      <c r="AM693" s="1"/>
      <c r="AN693" s="1"/>
      <c r="AO693" s="1"/>
      <c r="AP693" s="1"/>
      <c r="AQ693" s="1"/>
    </row>
    <row r="694" spans="34:43">
      <c r="AH694" s="23"/>
      <c r="AI694" s="1"/>
      <c r="AJ694" s="1"/>
      <c r="AK694" s="1"/>
      <c r="AL694" s="1"/>
      <c r="AM694" s="1"/>
      <c r="AN694" s="1"/>
      <c r="AO694" s="1"/>
      <c r="AP694" s="1"/>
      <c r="AQ694" s="1"/>
    </row>
    <row r="695" spans="34:43">
      <c r="AH695" s="23"/>
      <c r="AI695" s="1"/>
      <c r="AJ695" s="1"/>
      <c r="AK695" s="1"/>
      <c r="AL695" s="1"/>
      <c r="AM695" s="1"/>
      <c r="AN695" s="1"/>
      <c r="AO695" s="1"/>
      <c r="AP695" s="1"/>
      <c r="AQ695" s="1"/>
    </row>
    <row r="696" spans="34:43">
      <c r="AH696" s="23"/>
      <c r="AI696" s="1"/>
      <c r="AJ696" s="1"/>
      <c r="AK696" s="1"/>
      <c r="AL696" s="1"/>
      <c r="AM696" s="1"/>
      <c r="AN696" s="1"/>
      <c r="AO696" s="1"/>
      <c r="AP696" s="1"/>
      <c r="AQ696" s="1"/>
    </row>
    <row r="697" spans="34:43">
      <c r="AH697" s="23"/>
      <c r="AI697" s="1"/>
      <c r="AJ697" s="1"/>
      <c r="AK697" s="1"/>
      <c r="AL697" s="1"/>
      <c r="AM697" s="1"/>
      <c r="AN697" s="1"/>
      <c r="AO697" s="1"/>
      <c r="AP697" s="1"/>
      <c r="AQ697" s="1"/>
    </row>
    <row r="698" spans="34:43">
      <c r="AH698" s="23"/>
      <c r="AI698" s="1"/>
      <c r="AJ698" s="1"/>
      <c r="AK698" s="1"/>
      <c r="AL698" s="1"/>
      <c r="AM698" s="1"/>
      <c r="AN698" s="1"/>
      <c r="AO698" s="1"/>
      <c r="AP698" s="1"/>
      <c r="AQ698" s="1"/>
    </row>
    <row r="699" spans="34:43">
      <c r="AH699" s="23"/>
      <c r="AI699" s="1"/>
      <c r="AJ699" s="1"/>
      <c r="AK699" s="1"/>
      <c r="AL699" s="1"/>
      <c r="AM699" s="1"/>
      <c r="AN699" s="1"/>
      <c r="AO699" s="1"/>
      <c r="AP699" s="1"/>
      <c r="AQ699" s="1"/>
    </row>
    <row r="700" spans="34:43">
      <c r="AH700" s="23"/>
      <c r="AI700" s="1"/>
      <c r="AJ700" s="1"/>
      <c r="AK700" s="1"/>
      <c r="AL700" s="1"/>
      <c r="AM700" s="1"/>
      <c r="AN700" s="1"/>
      <c r="AO700" s="1"/>
      <c r="AP700" s="1"/>
      <c r="AQ700" s="1"/>
    </row>
    <row r="701" spans="34:43">
      <c r="AH701" s="23"/>
      <c r="AI701" s="1"/>
      <c r="AJ701" s="1"/>
      <c r="AK701" s="1"/>
      <c r="AL701" s="1"/>
      <c r="AM701" s="1"/>
      <c r="AN701" s="1"/>
      <c r="AO701" s="1"/>
      <c r="AP701" s="1"/>
      <c r="AQ701" s="1"/>
    </row>
    <row r="702" spans="34:43">
      <c r="AH702" s="23"/>
      <c r="AI702" s="1"/>
      <c r="AJ702" s="1"/>
      <c r="AK702" s="1"/>
      <c r="AL702" s="1"/>
      <c r="AM702" s="1"/>
      <c r="AN702" s="1"/>
      <c r="AO702" s="1"/>
      <c r="AP702" s="1"/>
      <c r="AQ702" s="1"/>
    </row>
    <row r="703" spans="34:43">
      <c r="AH703" s="23"/>
      <c r="AI703" s="1"/>
      <c r="AJ703" s="1"/>
      <c r="AK703" s="1"/>
      <c r="AL703" s="1"/>
      <c r="AM703" s="1"/>
      <c r="AN703" s="1"/>
      <c r="AO703" s="1"/>
      <c r="AP703" s="1"/>
      <c r="AQ703" s="1"/>
    </row>
    <row r="704" spans="34:43">
      <c r="AH704" s="23"/>
      <c r="AI704" s="1"/>
      <c r="AJ704" s="1"/>
      <c r="AK704" s="1"/>
      <c r="AL704" s="1"/>
      <c r="AM704" s="1"/>
      <c r="AN704" s="1"/>
      <c r="AO704" s="1"/>
      <c r="AP704" s="1"/>
      <c r="AQ704" s="1"/>
    </row>
    <row r="705" spans="34:43">
      <c r="AH705" s="23"/>
      <c r="AI705" s="1"/>
      <c r="AJ705" s="1"/>
      <c r="AK705" s="1"/>
      <c r="AL705" s="1"/>
      <c r="AM705" s="1"/>
      <c r="AN705" s="1"/>
      <c r="AO705" s="1"/>
      <c r="AP705" s="1"/>
      <c r="AQ705" s="1"/>
    </row>
    <row r="706" spans="34:43">
      <c r="AH706" s="23"/>
      <c r="AI706" s="1"/>
      <c r="AJ706" s="1"/>
      <c r="AK706" s="1"/>
      <c r="AL706" s="1"/>
      <c r="AM706" s="1"/>
      <c r="AN706" s="1"/>
      <c r="AO706" s="1"/>
      <c r="AP706" s="1"/>
      <c r="AQ706" s="1"/>
    </row>
    <row r="707" spans="34:43">
      <c r="AH707" s="23"/>
      <c r="AI707" s="1"/>
      <c r="AJ707" s="1"/>
      <c r="AK707" s="1"/>
      <c r="AL707" s="1"/>
      <c r="AM707" s="1"/>
      <c r="AN707" s="1"/>
      <c r="AO707" s="1"/>
      <c r="AP707" s="1"/>
      <c r="AQ707" s="1"/>
    </row>
    <row r="708" spans="34:43">
      <c r="AH708" s="23"/>
      <c r="AI708" s="1"/>
      <c r="AJ708" s="1"/>
      <c r="AK708" s="1"/>
      <c r="AL708" s="1"/>
      <c r="AM708" s="1"/>
      <c r="AN708" s="1"/>
      <c r="AO708" s="1"/>
      <c r="AP708" s="1"/>
      <c r="AQ708" s="1"/>
    </row>
    <row r="709" spans="34:43">
      <c r="AH709" s="23"/>
      <c r="AI709" s="1"/>
      <c r="AJ709" s="1"/>
      <c r="AK709" s="1"/>
      <c r="AL709" s="1"/>
      <c r="AM709" s="1"/>
      <c r="AN709" s="1"/>
      <c r="AO709" s="1"/>
      <c r="AP709" s="1"/>
      <c r="AQ709" s="1"/>
    </row>
    <row r="710" spans="34:43">
      <c r="AH710" s="23"/>
      <c r="AI710" s="1"/>
      <c r="AJ710" s="1"/>
      <c r="AK710" s="1"/>
      <c r="AL710" s="1"/>
      <c r="AM710" s="1"/>
      <c r="AN710" s="1"/>
      <c r="AO710" s="1"/>
      <c r="AP710" s="1"/>
      <c r="AQ710" s="1"/>
    </row>
    <row r="711" spans="34:43">
      <c r="AH711" s="23"/>
      <c r="AI711" s="1"/>
      <c r="AJ711" s="1"/>
      <c r="AK711" s="1"/>
      <c r="AL711" s="1"/>
      <c r="AM711" s="1"/>
      <c r="AN711" s="1"/>
      <c r="AO711" s="1"/>
      <c r="AP711" s="1"/>
      <c r="AQ711" s="1"/>
    </row>
    <row r="712" spans="34:43">
      <c r="AH712" s="23"/>
      <c r="AI712" s="1"/>
      <c r="AJ712" s="1"/>
      <c r="AK712" s="1"/>
      <c r="AL712" s="1"/>
      <c r="AM712" s="1"/>
      <c r="AN712" s="1"/>
      <c r="AO712" s="1"/>
      <c r="AP712" s="1"/>
      <c r="AQ712" s="1"/>
    </row>
    <row r="713" spans="34:43">
      <c r="AH713" s="23"/>
      <c r="AI713" s="1"/>
      <c r="AJ713" s="1"/>
      <c r="AK713" s="1"/>
      <c r="AL713" s="1"/>
      <c r="AM713" s="1"/>
      <c r="AN713" s="1"/>
      <c r="AO713" s="1"/>
      <c r="AP713" s="1"/>
      <c r="AQ713" s="1"/>
    </row>
    <row r="714" spans="34:43">
      <c r="AH714" s="23"/>
      <c r="AI714" s="1"/>
      <c r="AJ714" s="1"/>
      <c r="AK714" s="1"/>
      <c r="AL714" s="1"/>
      <c r="AM714" s="1"/>
      <c r="AN714" s="1"/>
      <c r="AO714" s="1"/>
      <c r="AP714" s="1"/>
      <c r="AQ714" s="1"/>
    </row>
    <row r="715" spans="34:43">
      <c r="AH715" s="23"/>
      <c r="AI715" s="1"/>
      <c r="AJ715" s="1"/>
      <c r="AK715" s="1"/>
      <c r="AL715" s="1"/>
      <c r="AM715" s="1"/>
      <c r="AN715" s="1"/>
      <c r="AO715" s="1"/>
      <c r="AP715" s="1"/>
      <c r="AQ715" s="1"/>
    </row>
    <row r="716" spans="34:43">
      <c r="AH716" s="23"/>
      <c r="AI716" s="1"/>
      <c r="AJ716" s="1"/>
      <c r="AK716" s="1"/>
      <c r="AL716" s="1"/>
      <c r="AM716" s="1"/>
      <c r="AN716" s="1"/>
      <c r="AO716" s="1"/>
      <c r="AP716" s="1"/>
      <c r="AQ716" s="1"/>
    </row>
    <row r="717" spans="34:43">
      <c r="AH717" s="23"/>
      <c r="AI717" s="1"/>
      <c r="AJ717" s="1"/>
      <c r="AK717" s="1"/>
      <c r="AL717" s="1"/>
      <c r="AM717" s="1"/>
      <c r="AN717" s="1"/>
      <c r="AO717" s="1"/>
      <c r="AP717" s="1"/>
      <c r="AQ717" s="1"/>
    </row>
    <row r="718" spans="34:43">
      <c r="AH718" s="23"/>
      <c r="AI718" s="1"/>
      <c r="AJ718" s="1"/>
      <c r="AK718" s="1"/>
      <c r="AL718" s="1"/>
      <c r="AM718" s="1"/>
      <c r="AN718" s="1"/>
      <c r="AO718" s="1"/>
      <c r="AP718" s="1"/>
      <c r="AQ718" s="1"/>
    </row>
    <row r="719" spans="34:43">
      <c r="AH719" s="23"/>
      <c r="AI719" s="1"/>
      <c r="AJ719" s="1"/>
      <c r="AK719" s="1"/>
      <c r="AL719" s="1"/>
      <c r="AM719" s="1"/>
      <c r="AN719" s="1"/>
      <c r="AO719" s="1"/>
      <c r="AP719" s="1"/>
      <c r="AQ719" s="1"/>
    </row>
    <row r="720" spans="34:43">
      <c r="AH720" s="23"/>
      <c r="AI720" s="1"/>
      <c r="AJ720" s="1"/>
      <c r="AK720" s="1"/>
      <c r="AL720" s="1"/>
      <c r="AM720" s="1"/>
      <c r="AN720" s="1"/>
      <c r="AO720" s="1"/>
      <c r="AP720" s="1"/>
      <c r="AQ720" s="1"/>
    </row>
    <row r="721" spans="34:43">
      <c r="AH721" s="23"/>
      <c r="AI721" s="1"/>
      <c r="AJ721" s="1"/>
      <c r="AK721" s="1"/>
      <c r="AL721" s="1"/>
      <c r="AM721" s="1"/>
      <c r="AN721" s="1"/>
      <c r="AO721" s="1"/>
      <c r="AP721" s="1"/>
      <c r="AQ721" s="1"/>
    </row>
    <row r="722" spans="34:43">
      <c r="AH722" s="23"/>
      <c r="AI722" s="1"/>
      <c r="AJ722" s="1"/>
      <c r="AK722" s="1"/>
      <c r="AL722" s="1"/>
      <c r="AM722" s="1"/>
      <c r="AN722" s="1"/>
      <c r="AO722" s="1"/>
      <c r="AP722" s="1"/>
      <c r="AQ722" s="1"/>
    </row>
    <row r="723" spans="34:43">
      <c r="AH723" s="23"/>
      <c r="AI723" s="1"/>
      <c r="AJ723" s="1"/>
      <c r="AK723" s="1"/>
      <c r="AL723" s="1"/>
      <c r="AM723" s="1"/>
      <c r="AN723" s="1"/>
      <c r="AO723" s="1"/>
      <c r="AP723" s="1"/>
      <c r="AQ723" s="1"/>
    </row>
    <row r="724" spans="34:43">
      <c r="AH724" s="23"/>
      <c r="AI724" s="1"/>
      <c r="AJ724" s="1"/>
      <c r="AK724" s="1"/>
      <c r="AL724" s="1"/>
      <c r="AM724" s="1"/>
      <c r="AN724" s="1"/>
      <c r="AO724" s="1"/>
      <c r="AP724" s="1"/>
      <c r="AQ724" s="1"/>
    </row>
    <row r="725" spans="34:43">
      <c r="AH725" s="23"/>
      <c r="AI725" s="1"/>
      <c r="AJ725" s="1"/>
      <c r="AK725" s="1"/>
      <c r="AL725" s="1"/>
      <c r="AM725" s="1"/>
      <c r="AN725" s="1"/>
      <c r="AO725" s="1"/>
      <c r="AP725" s="1"/>
      <c r="AQ725" s="1"/>
    </row>
    <row r="726" spans="34:43">
      <c r="AH726" s="23"/>
      <c r="AI726" s="1"/>
      <c r="AJ726" s="1"/>
      <c r="AK726" s="1"/>
      <c r="AL726" s="1"/>
      <c r="AM726" s="1"/>
      <c r="AN726" s="1"/>
      <c r="AO726" s="1"/>
      <c r="AP726" s="1"/>
      <c r="AQ726" s="1"/>
    </row>
    <row r="727" spans="34:43">
      <c r="AH727" s="23"/>
      <c r="AI727" s="1"/>
      <c r="AJ727" s="1"/>
      <c r="AK727" s="1"/>
      <c r="AL727" s="1"/>
      <c r="AM727" s="1"/>
      <c r="AN727" s="1"/>
      <c r="AO727" s="1"/>
      <c r="AP727" s="1"/>
      <c r="AQ727" s="1"/>
    </row>
    <row r="728" spans="34:43">
      <c r="AH728" s="23"/>
      <c r="AI728" s="1"/>
      <c r="AJ728" s="1"/>
      <c r="AK728" s="1"/>
      <c r="AL728" s="1"/>
      <c r="AM728" s="1"/>
      <c r="AN728" s="1"/>
      <c r="AO728" s="1"/>
      <c r="AP728" s="1"/>
      <c r="AQ728" s="1"/>
    </row>
    <row r="729" spans="34:43">
      <c r="AH729" s="23"/>
      <c r="AI729" s="1"/>
      <c r="AJ729" s="1"/>
      <c r="AK729" s="1"/>
      <c r="AL729" s="1"/>
      <c r="AM729" s="1"/>
      <c r="AN729" s="1"/>
      <c r="AO729" s="1"/>
      <c r="AP729" s="1"/>
      <c r="AQ729" s="1"/>
    </row>
    <row r="730" spans="34:43">
      <c r="AH730" s="23"/>
      <c r="AI730" s="1"/>
      <c r="AJ730" s="1"/>
      <c r="AK730" s="1"/>
      <c r="AL730" s="1"/>
      <c r="AM730" s="1"/>
      <c r="AN730" s="1"/>
      <c r="AO730" s="1"/>
      <c r="AP730" s="1"/>
      <c r="AQ730" s="1"/>
    </row>
    <row r="731" spans="34:43">
      <c r="AH731" s="23"/>
      <c r="AI731" s="1"/>
      <c r="AJ731" s="1"/>
      <c r="AK731" s="1"/>
      <c r="AL731" s="1"/>
      <c r="AM731" s="1"/>
      <c r="AN731" s="1"/>
      <c r="AO731" s="1"/>
      <c r="AP731" s="1"/>
      <c r="AQ731" s="1"/>
    </row>
    <row r="732" spans="34:43">
      <c r="AH732" s="23"/>
      <c r="AI732" s="1"/>
      <c r="AJ732" s="1"/>
      <c r="AK732" s="1"/>
      <c r="AL732" s="1"/>
      <c r="AM732" s="1"/>
      <c r="AN732" s="1"/>
      <c r="AO732" s="1"/>
      <c r="AP732" s="1"/>
      <c r="AQ732" s="1"/>
    </row>
    <row r="733" spans="34:43">
      <c r="AH733" s="23"/>
      <c r="AI733" s="1"/>
      <c r="AJ733" s="1"/>
      <c r="AK733" s="1"/>
      <c r="AL733" s="1"/>
      <c r="AM733" s="1"/>
      <c r="AN733" s="1"/>
      <c r="AO733" s="1"/>
      <c r="AP733" s="1"/>
      <c r="AQ733" s="1"/>
    </row>
    <row r="734" spans="34:43">
      <c r="AH734" s="23"/>
      <c r="AI734" s="1"/>
      <c r="AJ734" s="1"/>
      <c r="AK734" s="1"/>
      <c r="AL734" s="1"/>
      <c r="AM734" s="1"/>
      <c r="AN734" s="1"/>
      <c r="AO734" s="1"/>
      <c r="AP734" s="1"/>
      <c r="AQ734" s="1"/>
    </row>
    <row r="735" spans="34:43">
      <c r="AH735" s="23"/>
      <c r="AI735" s="1"/>
      <c r="AJ735" s="1"/>
      <c r="AK735" s="1"/>
      <c r="AL735" s="1"/>
      <c r="AM735" s="1"/>
      <c r="AN735" s="1"/>
      <c r="AO735" s="1"/>
      <c r="AP735" s="1"/>
      <c r="AQ735" s="1"/>
    </row>
    <row r="736" spans="34:43">
      <c r="AH736" s="23"/>
      <c r="AI736" s="1"/>
      <c r="AJ736" s="1"/>
      <c r="AK736" s="1"/>
      <c r="AL736" s="1"/>
      <c r="AM736" s="1"/>
      <c r="AN736" s="1"/>
      <c r="AO736" s="1"/>
      <c r="AP736" s="1"/>
      <c r="AQ736" s="1"/>
    </row>
    <row r="737" spans="34:43">
      <c r="AH737" s="23"/>
      <c r="AI737" s="1"/>
      <c r="AJ737" s="1"/>
      <c r="AK737" s="1"/>
      <c r="AL737" s="1"/>
      <c r="AM737" s="1"/>
      <c r="AN737" s="1"/>
      <c r="AO737" s="1"/>
      <c r="AP737" s="1"/>
      <c r="AQ737" s="1"/>
    </row>
    <row r="738" spans="34:43">
      <c r="AH738" s="23"/>
      <c r="AI738" s="1"/>
      <c r="AJ738" s="1"/>
      <c r="AK738" s="1"/>
      <c r="AL738" s="1"/>
      <c r="AM738" s="1"/>
      <c r="AN738" s="1"/>
      <c r="AO738" s="1"/>
      <c r="AP738" s="1"/>
      <c r="AQ738" s="1"/>
    </row>
    <row r="739" spans="34:43">
      <c r="AH739" s="23"/>
      <c r="AI739" s="1"/>
      <c r="AJ739" s="1"/>
      <c r="AK739" s="1"/>
      <c r="AL739" s="1"/>
      <c r="AM739" s="1"/>
      <c r="AN739" s="1"/>
      <c r="AO739" s="1"/>
      <c r="AP739" s="1"/>
      <c r="AQ739" s="1"/>
    </row>
    <row r="740" spans="34:43">
      <c r="AH740" s="23"/>
      <c r="AI740" s="1"/>
      <c r="AJ740" s="1"/>
      <c r="AK740" s="1"/>
      <c r="AL740" s="1"/>
      <c r="AM740" s="1"/>
      <c r="AN740" s="1"/>
      <c r="AO740" s="1"/>
      <c r="AP740" s="1"/>
      <c r="AQ740" s="1"/>
    </row>
    <row r="741" spans="34:43">
      <c r="AH741" s="23"/>
      <c r="AI741" s="1"/>
      <c r="AJ741" s="1"/>
      <c r="AK741" s="1"/>
      <c r="AL741" s="1"/>
      <c r="AM741" s="1"/>
      <c r="AN741" s="1"/>
      <c r="AO741" s="1"/>
      <c r="AP741" s="1"/>
      <c r="AQ741" s="1"/>
    </row>
    <row r="742" spans="34:43">
      <c r="AH742" s="23"/>
      <c r="AI742" s="1"/>
      <c r="AJ742" s="1"/>
      <c r="AK742" s="1"/>
      <c r="AL742" s="1"/>
      <c r="AM742" s="1"/>
      <c r="AN742" s="1"/>
      <c r="AO742" s="1"/>
      <c r="AP742" s="1"/>
      <c r="AQ742" s="1"/>
    </row>
    <row r="743" spans="34:43">
      <c r="AH743" s="23"/>
      <c r="AI743" s="1"/>
      <c r="AJ743" s="1"/>
      <c r="AK743" s="1"/>
      <c r="AL743" s="1"/>
      <c r="AM743" s="1"/>
      <c r="AN743" s="1"/>
      <c r="AO743" s="1"/>
      <c r="AP743" s="1"/>
      <c r="AQ743" s="1"/>
    </row>
    <row r="744" spans="34:43">
      <c r="AH744" s="23"/>
      <c r="AI744" s="1"/>
      <c r="AJ744" s="1"/>
      <c r="AK744" s="1"/>
      <c r="AL744" s="1"/>
      <c r="AM744" s="1"/>
      <c r="AN744" s="1"/>
      <c r="AO744" s="1"/>
      <c r="AP744" s="1"/>
      <c r="AQ744" s="1"/>
    </row>
    <row r="745" spans="34:43">
      <c r="AH745" s="23"/>
      <c r="AI745" s="1"/>
      <c r="AJ745" s="1"/>
      <c r="AK745" s="1"/>
      <c r="AL745" s="1"/>
      <c r="AM745" s="1"/>
      <c r="AN745" s="1"/>
      <c r="AO745" s="1"/>
      <c r="AP745" s="1"/>
      <c r="AQ745" s="1"/>
    </row>
    <row r="746" spans="34:43">
      <c r="AH746" s="23"/>
      <c r="AI746" s="1"/>
      <c r="AJ746" s="1"/>
      <c r="AK746" s="1"/>
      <c r="AL746" s="1"/>
      <c r="AM746" s="1"/>
      <c r="AN746" s="1"/>
      <c r="AO746" s="1"/>
      <c r="AP746" s="1"/>
      <c r="AQ746" s="1"/>
    </row>
    <row r="747" spans="34:43">
      <c r="AH747" s="23"/>
      <c r="AI747" s="1"/>
      <c r="AJ747" s="1"/>
      <c r="AK747" s="1"/>
      <c r="AL747" s="1"/>
      <c r="AM747" s="1"/>
      <c r="AN747" s="1"/>
      <c r="AO747" s="1"/>
      <c r="AP747" s="1"/>
      <c r="AQ747" s="1"/>
    </row>
    <row r="748" spans="34:43">
      <c r="AH748" s="23"/>
      <c r="AI748" s="1"/>
      <c r="AJ748" s="1"/>
      <c r="AK748" s="1"/>
      <c r="AL748" s="1"/>
      <c r="AM748" s="1"/>
      <c r="AN748" s="1"/>
      <c r="AO748" s="1"/>
      <c r="AP748" s="1"/>
      <c r="AQ748" s="1"/>
    </row>
    <row r="749" spans="34:43">
      <c r="AH749" s="23"/>
      <c r="AI749" s="1"/>
      <c r="AJ749" s="1"/>
      <c r="AK749" s="1"/>
      <c r="AL749" s="1"/>
      <c r="AM749" s="1"/>
      <c r="AN749" s="1"/>
      <c r="AO749" s="1"/>
      <c r="AP749" s="1"/>
      <c r="AQ749" s="1"/>
    </row>
    <row r="750" spans="34:43">
      <c r="AH750" s="23"/>
      <c r="AI750" s="1"/>
      <c r="AJ750" s="1"/>
      <c r="AK750" s="1"/>
      <c r="AL750" s="1"/>
      <c r="AM750" s="1"/>
      <c r="AN750" s="1"/>
      <c r="AO750" s="1"/>
      <c r="AP750" s="1"/>
      <c r="AQ750" s="1"/>
    </row>
    <row r="751" spans="34:43">
      <c r="AH751" s="23"/>
      <c r="AI751" s="1"/>
      <c r="AJ751" s="1"/>
      <c r="AK751" s="1"/>
      <c r="AL751" s="1"/>
      <c r="AM751" s="1"/>
      <c r="AN751" s="1"/>
      <c r="AO751" s="1"/>
      <c r="AP751" s="1"/>
      <c r="AQ751" s="1"/>
    </row>
    <row r="752" spans="34:43">
      <c r="AH752" s="23"/>
      <c r="AI752" s="1"/>
      <c r="AJ752" s="1"/>
      <c r="AK752" s="1"/>
      <c r="AL752" s="1"/>
      <c r="AM752" s="1"/>
      <c r="AN752" s="1"/>
      <c r="AO752" s="1"/>
      <c r="AP752" s="1"/>
      <c r="AQ752" s="1"/>
    </row>
    <row r="753" spans="34:43">
      <c r="AH753" s="23"/>
      <c r="AI753" s="1"/>
      <c r="AJ753" s="1"/>
      <c r="AK753" s="1"/>
      <c r="AL753" s="1"/>
      <c r="AM753" s="1"/>
      <c r="AN753" s="1"/>
      <c r="AO753" s="1"/>
      <c r="AP753" s="1"/>
      <c r="AQ753" s="1"/>
    </row>
    <row r="754" spans="34:43">
      <c r="AH754" s="23"/>
      <c r="AI754" s="1"/>
      <c r="AJ754" s="1"/>
      <c r="AK754" s="1"/>
      <c r="AL754" s="1"/>
      <c r="AM754" s="1"/>
      <c r="AN754" s="1"/>
      <c r="AO754" s="1"/>
      <c r="AP754" s="1"/>
      <c r="AQ754" s="1"/>
    </row>
    <row r="755" spans="34:43">
      <c r="AH755" s="23"/>
      <c r="AI755" s="1"/>
      <c r="AJ755" s="1"/>
      <c r="AK755" s="1"/>
      <c r="AL755" s="1"/>
      <c r="AM755" s="1"/>
      <c r="AN755" s="1"/>
      <c r="AO755" s="1"/>
      <c r="AP755" s="1"/>
      <c r="AQ755" s="1"/>
    </row>
    <row r="756" spans="34:43">
      <c r="AH756" s="23"/>
      <c r="AI756" s="1"/>
      <c r="AJ756" s="1"/>
      <c r="AK756" s="1"/>
      <c r="AL756" s="1"/>
      <c r="AM756" s="1"/>
      <c r="AN756" s="1"/>
      <c r="AO756" s="1"/>
      <c r="AP756" s="1"/>
      <c r="AQ756" s="1"/>
    </row>
    <row r="757" spans="34:43">
      <c r="AH757" s="23"/>
      <c r="AI757" s="1"/>
      <c r="AJ757" s="1"/>
      <c r="AK757" s="1"/>
      <c r="AL757" s="1"/>
      <c r="AM757" s="1"/>
      <c r="AN757" s="1"/>
      <c r="AO757" s="1"/>
      <c r="AP757" s="1"/>
      <c r="AQ757" s="1"/>
    </row>
    <row r="758" spans="34:43">
      <c r="AH758" s="23"/>
      <c r="AI758" s="1"/>
      <c r="AJ758" s="1"/>
      <c r="AK758" s="1"/>
      <c r="AL758" s="1"/>
      <c r="AM758" s="1"/>
      <c r="AN758" s="1"/>
      <c r="AO758" s="1"/>
      <c r="AP758" s="1"/>
      <c r="AQ758" s="1"/>
    </row>
    <row r="759" spans="34:43">
      <c r="AH759" s="23"/>
      <c r="AI759" s="1"/>
      <c r="AJ759" s="1"/>
      <c r="AK759" s="1"/>
      <c r="AL759" s="1"/>
      <c r="AM759" s="1"/>
      <c r="AN759" s="1"/>
      <c r="AO759" s="1"/>
      <c r="AP759" s="1"/>
      <c r="AQ759" s="1"/>
    </row>
    <row r="760" spans="34:43">
      <c r="AH760" s="23"/>
      <c r="AI760" s="1"/>
      <c r="AJ760" s="1"/>
      <c r="AK760" s="1"/>
      <c r="AL760" s="1"/>
      <c r="AM760" s="1"/>
      <c r="AN760" s="1"/>
      <c r="AO760" s="1"/>
      <c r="AP760" s="1"/>
      <c r="AQ760" s="1"/>
    </row>
    <row r="761" spans="34:43">
      <c r="AH761" s="23"/>
      <c r="AI761" s="1"/>
      <c r="AJ761" s="1"/>
      <c r="AK761" s="1"/>
      <c r="AL761" s="1"/>
      <c r="AM761" s="1"/>
      <c r="AN761" s="1"/>
      <c r="AO761" s="1"/>
      <c r="AP761" s="1"/>
      <c r="AQ761" s="1"/>
    </row>
    <row r="762" spans="34:43">
      <c r="AH762" s="23"/>
      <c r="AI762" s="1"/>
      <c r="AJ762" s="1"/>
      <c r="AK762" s="1"/>
      <c r="AL762" s="1"/>
      <c r="AM762" s="1"/>
      <c r="AN762" s="1"/>
      <c r="AO762" s="1"/>
      <c r="AP762" s="1"/>
      <c r="AQ762" s="1"/>
    </row>
    <row r="763" spans="34:43">
      <c r="AH763" s="23"/>
      <c r="AI763" s="1"/>
      <c r="AJ763" s="1"/>
      <c r="AK763" s="1"/>
      <c r="AL763" s="1"/>
      <c r="AM763" s="1"/>
      <c r="AN763" s="1"/>
      <c r="AO763" s="1"/>
      <c r="AP763" s="1"/>
      <c r="AQ763" s="1"/>
    </row>
    <row r="764" spans="34:43">
      <c r="AH764" s="23"/>
      <c r="AI764" s="1"/>
      <c r="AJ764" s="1"/>
      <c r="AK764" s="1"/>
      <c r="AL764" s="1"/>
      <c r="AM764" s="1"/>
      <c r="AN764" s="1"/>
      <c r="AO764" s="1"/>
      <c r="AP764" s="1"/>
      <c r="AQ764" s="1"/>
    </row>
    <row r="765" spans="34:43">
      <c r="AH765" s="23"/>
      <c r="AI765" s="1"/>
      <c r="AJ765" s="1"/>
      <c r="AK765" s="1"/>
      <c r="AL765" s="1"/>
      <c r="AM765" s="1"/>
      <c r="AN765" s="1"/>
      <c r="AO765" s="1"/>
      <c r="AP765" s="1"/>
      <c r="AQ765" s="1"/>
    </row>
    <row r="766" spans="34:43">
      <c r="AH766" s="23"/>
      <c r="AI766" s="1"/>
      <c r="AJ766" s="1"/>
      <c r="AK766" s="1"/>
      <c r="AL766" s="1"/>
      <c r="AM766" s="1"/>
      <c r="AN766" s="1"/>
      <c r="AO766" s="1"/>
      <c r="AP766" s="1"/>
      <c r="AQ766" s="1"/>
    </row>
    <row r="767" spans="34:43">
      <c r="AH767" s="23"/>
      <c r="AI767" s="1"/>
      <c r="AJ767" s="1"/>
      <c r="AK767" s="1"/>
      <c r="AL767" s="1"/>
      <c r="AM767" s="1"/>
      <c r="AN767" s="1"/>
      <c r="AO767" s="1"/>
      <c r="AP767" s="1"/>
      <c r="AQ767" s="1"/>
    </row>
    <row r="768" spans="34:43">
      <c r="AH768" s="23"/>
      <c r="AI768" s="1"/>
      <c r="AJ768" s="1"/>
      <c r="AK768" s="1"/>
      <c r="AL768" s="1"/>
      <c r="AM768" s="1"/>
      <c r="AN768" s="1"/>
      <c r="AO768" s="1"/>
      <c r="AP768" s="1"/>
      <c r="AQ768" s="1"/>
    </row>
    <row r="769" spans="34:43">
      <c r="AH769" s="23"/>
      <c r="AI769" s="1"/>
      <c r="AJ769" s="1"/>
      <c r="AK769" s="1"/>
      <c r="AL769" s="1"/>
      <c r="AM769" s="1"/>
      <c r="AN769" s="1"/>
      <c r="AO769" s="1"/>
      <c r="AP769" s="1"/>
      <c r="AQ769" s="1"/>
    </row>
    <row r="770" spans="34:43">
      <c r="AH770" s="23"/>
      <c r="AI770" s="1"/>
      <c r="AJ770" s="1"/>
      <c r="AK770" s="1"/>
      <c r="AL770" s="1"/>
      <c r="AM770" s="1"/>
      <c r="AN770" s="1"/>
      <c r="AO770" s="1"/>
      <c r="AP770" s="1"/>
      <c r="AQ770" s="1"/>
    </row>
    <row r="771" spans="34:43">
      <c r="AH771" s="23"/>
      <c r="AI771" s="1"/>
      <c r="AJ771" s="1"/>
      <c r="AK771" s="1"/>
      <c r="AL771" s="1"/>
      <c r="AM771" s="1"/>
      <c r="AN771" s="1"/>
      <c r="AO771" s="1"/>
      <c r="AP771" s="1"/>
      <c r="AQ771" s="1"/>
    </row>
    <row r="772" spans="34:43">
      <c r="AH772" s="23"/>
      <c r="AI772" s="1"/>
      <c r="AJ772" s="1"/>
      <c r="AK772" s="1"/>
      <c r="AL772" s="1"/>
      <c r="AM772" s="1"/>
      <c r="AN772" s="1"/>
      <c r="AO772" s="1"/>
      <c r="AP772" s="1"/>
      <c r="AQ772" s="1"/>
    </row>
    <row r="773" spans="34:43">
      <c r="AH773" s="23"/>
      <c r="AI773" s="1"/>
      <c r="AJ773" s="1"/>
      <c r="AK773" s="1"/>
      <c r="AL773" s="1"/>
      <c r="AM773" s="1"/>
      <c r="AN773" s="1"/>
      <c r="AO773" s="1"/>
      <c r="AP773" s="1"/>
      <c r="AQ773" s="1"/>
    </row>
    <row r="774" spans="34:43">
      <c r="AH774" s="23"/>
      <c r="AI774" s="1"/>
      <c r="AJ774" s="1"/>
      <c r="AK774" s="1"/>
      <c r="AL774" s="1"/>
      <c r="AM774" s="1"/>
      <c r="AN774" s="1"/>
      <c r="AO774" s="1"/>
      <c r="AP774" s="1"/>
      <c r="AQ774" s="1"/>
    </row>
    <row r="775" spans="34:43">
      <c r="AH775" s="23"/>
      <c r="AI775" s="1"/>
      <c r="AJ775" s="1"/>
      <c r="AK775" s="1"/>
      <c r="AL775" s="1"/>
      <c r="AM775" s="1"/>
      <c r="AN775" s="1"/>
      <c r="AO775" s="1"/>
      <c r="AP775" s="1"/>
      <c r="AQ775" s="1"/>
    </row>
    <row r="776" spans="34:43">
      <c r="AH776" s="23"/>
      <c r="AI776" s="1"/>
      <c r="AJ776" s="1"/>
      <c r="AK776" s="1"/>
      <c r="AL776" s="1"/>
      <c r="AM776" s="1"/>
      <c r="AN776" s="1"/>
      <c r="AO776" s="1"/>
      <c r="AP776" s="1"/>
      <c r="AQ776" s="1"/>
    </row>
    <row r="777" spans="34:43">
      <c r="AH777" s="23"/>
      <c r="AI777" s="1"/>
      <c r="AJ777" s="1"/>
      <c r="AK777" s="1"/>
      <c r="AL777" s="1"/>
      <c r="AM777" s="1"/>
      <c r="AN777" s="1"/>
      <c r="AO777" s="1"/>
      <c r="AP777" s="1"/>
      <c r="AQ777" s="1"/>
    </row>
    <row r="778" spans="34:43">
      <c r="AH778" s="23"/>
      <c r="AI778" s="1"/>
      <c r="AJ778" s="1"/>
      <c r="AK778" s="1"/>
      <c r="AL778" s="1"/>
      <c r="AM778" s="1"/>
      <c r="AN778" s="1"/>
      <c r="AO778" s="1"/>
      <c r="AP778" s="1"/>
      <c r="AQ778" s="1"/>
    </row>
    <row r="779" spans="34:43">
      <c r="AH779" s="23"/>
      <c r="AI779" s="1"/>
      <c r="AJ779" s="1"/>
      <c r="AK779" s="1"/>
      <c r="AL779" s="1"/>
      <c r="AM779" s="1"/>
      <c r="AN779" s="1"/>
      <c r="AO779" s="1"/>
      <c r="AP779" s="1"/>
      <c r="AQ779" s="1"/>
    </row>
    <row r="780" spans="34:43">
      <c r="AH780" s="23"/>
      <c r="AI780" s="1"/>
      <c r="AJ780" s="1"/>
      <c r="AK780" s="1"/>
      <c r="AL780" s="1"/>
      <c r="AM780" s="1"/>
      <c r="AN780" s="1"/>
      <c r="AO780" s="1"/>
      <c r="AP780" s="1"/>
      <c r="AQ780" s="1"/>
    </row>
    <row r="781" spans="34:43">
      <c r="AH781" s="23"/>
      <c r="AI781" s="1"/>
      <c r="AJ781" s="1"/>
      <c r="AK781" s="1"/>
      <c r="AL781" s="1"/>
      <c r="AM781" s="1"/>
      <c r="AN781" s="1"/>
      <c r="AO781" s="1"/>
      <c r="AP781" s="1"/>
      <c r="AQ781" s="1"/>
    </row>
    <row r="782" spans="34:43">
      <c r="AH782" s="23"/>
      <c r="AI782" s="1"/>
      <c r="AJ782" s="1"/>
      <c r="AK782" s="1"/>
      <c r="AL782" s="1"/>
      <c r="AM782" s="1"/>
      <c r="AN782" s="1"/>
      <c r="AO782" s="1"/>
      <c r="AP782" s="1"/>
      <c r="AQ782" s="1"/>
    </row>
    <row r="783" spans="34:43">
      <c r="AH783" s="23"/>
      <c r="AI783" s="1"/>
      <c r="AJ783" s="1"/>
      <c r="AK783" s="1"/>
      <c r="AL783" s="1"/>
      <c r="AM783" s="1"/>
      <c r="AN783" s="1"/>
      <c r="AO783" s="1"/>
      <c r="AP783" s="1"/>
      <c r="AQ783" s="1"/>
    </row>
    <row r="784" spans="34:43">
      <c r="AH784" s="23"/>
      <c r="AI784" s="1"/>
      <c r="AJ784" s="1"/>
      <c r="AK784" s="1"/>
      <c r="AL784" s="1"/>
      <c r="AM784" s="1"/>
      <c r="AN784" s="1"/>
      <c r="AO784" s="1"/>
      <c r="AP784" s="1"/>
      <c r="AQ784" s="1"/>
    </row>
    <row r="785" spans="34:43">
      <c r="AH785" s="23"/>
      <c r="AI785" s="1"/>
      <c r="AJ785" s="1"/>
      <c r="AK785" s="1"/>
      <c r="AL785" s="1"/>
      <c r="AM785" s="1"/>
      <c r="AN785" s="1"/>
      <c r="AO785" s="1"/>
      <c r="AP785" s="1"/>
      <c r="AQ785" s="1"/>
    </row>
    <row r="786" spans="34:43">
      <c r="AH786" s="23"/>
      <c r="AI786" s="1"/>
      <c r="AJ786" s="1"/>
      <c r="AK786" s="1"/>
      <c r="AL786" s="1"/>
      <c r="AM786" s="1"/>
      <c r="AN786" s="1"/>
      <c r="AO786" s="1"/>
      <c r="AP786" s="1"/>
      <c r="AQ786" s="1"/>
    </row>
    <row r="787" spans="34:43">
      <c r="AH787" s="23"/>
      <c r="AI787" s="1"/>
      <c r="AJ787" s="1"/>
      <c r="AK787" s="1"/>
      <c r="AL787" s="1"/>
      <c r="AM787" s="1"/>
      <c r="AN787" s="1"/>
      <c r="AO787" s="1"/>
      <c r="AP787" s="1"/>
      <c r="AQ787" s="1"/>
    </row>
    <row r="788" spans="34:43">
      <c r="AH788" s="23"/>
      <c r="AI788" s="1"/>
      <c r="AJ788" s="1"/>
      <c r="AK788" s="1"/>
      <c r="AL788" s="1"/>
      <c r="AM788" s="1"/>
      <c r="AN788" s="1"/>
      <c r="AO788" s="1"/>
      <c r="AP788" s="1"/>
      <c r="AQ788" s="1"/>
    </row>
    <row r="789" spans="34:43">
      <c r="AH789" s="23"/>
      <c r="AI789" s="1"/>
      <c r="AJ789" s="1"/>
      <c r="AK789" s="1"/>
      <c r="AL789" s="1"/>
      <c r="AM789" s="1"/>
      <c r="AN789" s="1"/>
      <c r="AO789" s="1"/>
      <c r="AP789" s="1"/>
      <c r="AQ789" s="1"/>
    </row>
    <row r="790" spans="34:43">
      <c r="AH790" s="23"/>
      <c r="AI790" s="1"/>
      <c r="AJ790" s="1"/>
      <c r="AK790" s="1"/>
      <c r="AL790" s="1"/>
      <c r="AM790" s="1"/>
      <c r="AN790" s="1"/>
      <c r="AO790" s="1"/>
      <c r="AP790" s="1"/>
      <c r="AQ790" s="1"/>
    </row>
    <row r="791" spans="34:43">
      <c r="AH791" s="23"/>
      <c r="AI791" s="1"/>
      <c r="AJ791" s="1"/>
      <c r="AK791" s="1"/>
      <c r="AL791" s="1"/>
      <c r="AM791" s="1"/>
      <c r="AN791" s="1"/>
      <c r="AO791" s="1"/>
      <c r="AP791" s="1"/>
      <c r="AQ791" s="1"/>
    </row>
    <row r="792" spans="34:43">
      <c r="AH792" s="23"/>
      <c r="AI792" s="1"/>
      <c r="AJ792" s="1"/>
      <c r="AK792" s="1"/>
      <c r="AL792" s="1"/>
      <c r="AM792" s="1"/>
      <c r="AN792" s="1"/>
      <c r="AO792" s="1"/>
      <c r="AP792" s="1"/>
      <c r="AQ792" s="1"/>
    </row>
    <row r="793" spans="34:43">
      <c r="AH793" s="23"/>
      <c r="AI793" s="1"/>
      <c r="AJ793" s="1"/>
      <c r="AK793" s="1"/>
      <c r="AL793" s="1"/>
      <c r="AM793" s="1"/>
      <c r="AN793" s="1"/>
      <c r="AO793" s="1"/>
      <c r="AP793" s="1"/>
      <c r="AQ793" s="1"/>
    </row>
    <row r="794" spans="34:43">
      <c r="AH794" s="23"/>
      <c r="AI794" s="1"/>
      <c r="AJ794" s="1"/>
      <c r="AK794" s="1"/>
      <c r="AL794" s="1"/>
      <c r="AM794" s="1"/>
      <c r="AN794" s="1"/>
      <c r="AO794" s="1"/>
      <c r="AP794" s="1"/>
      <c r="AQ794" s="1"/>
    </row>
    <row r="795" spans="34:43">
      <c r="AH795" s="23"/>
      <c r="AI795" s="1"/>
      <c r="AJ795" s="1"/>
      <c r="AK795" s="1"/>
      <c r="AL795" s="1"/>
      <c r="AM795" s="1"/>
      <c r="AN795" s="1"/>
      <c r="AO795" s="1"/>
      <c r="AP795" s="1"/>
      <c r="AQ795" s="1"/>
    </row>
    <row r="796" spans="34:43">
      <c r="AH796" s="23"/>
      <c r="AI796" s="1"/>
      <c r="AJ796" s="1"/>
      <c r="AK796" s="1"/>
      <c r="AL796" s="1"/>
      <c r="AM796" s="1"/>
      <c r="AN796" s="1"/>
      <c r="AO796" s="1"/>
      <c r="AP796" s="1"/>
      <c r="AQ796" s="1"/>
    </row>
    <row r="797" spans="34:43">
      <c r="AH797" s="23"/>
      <c r="AI797" s="1"/>
      <c r="AJ797" s="1"/>
      <c r="AK797" s="1"/>
      <c r="AL797" s="1"/>
      <c r="AM797" s="1"/>
      <c r="AN797" s="1"/>
      <c r="AO797" s="1"/>
      <c r="AP797" s="1"/>
      <c r="AQ797" s="1"/>
    </row>
    <row r="798" spans="34:43">
      <c r="AH798" s="23"/>
      <c r="AI798" s="1"/>
      <c r="AJ798" s="1"/>
      <c r="AK798" s="1"/>
      <c r="AL798" s="1"/>
      <c r="AM798" s="1"/>
      <c r="AN798" s="1"/>
      <c r="AO798" s="1"/>
      <c r="AP798" s="1"/>
      <c r="AQ798" s="1"/>
    </row>
    <row r="799" spans="34:43">
      <c r="AH799" s="23"/>
      <c r="AI799" s="1"/>
      <c r="AJ799" s="1"/>
      <c r="AK799" s="1"/>
      <c r="AL799" s="1"/>
      <c r="AM799" s="1"/>
      <c r="AN799" s="1"/>
      <c r="AO799" s="1"/>
      <c r="AP799" s="1"/>
      <c r="AQ799" s="1"/>
    </row>
    <row r="800" spans="34:43">
      <c r="AH800" s="23"/>
      <c r="AI800" s="1"/>
      <c r="AJ800" s="1"/>
      <c r="AK800" s="1"/>
      <c r="AL800" s="1"/>
      <c r="AM800" s="1"/>
      <c r="AN800" s="1"/>
      <c r="AO800" s="1"/>
      <c r="AP800" s="1"/>
      <c r="AQ800" s="1"/>
    </row>
    <row r="801" spans="34:43">
      <c r="AH801" s="23"/>
      <c r="AI801" s="1"/>
      <c r="AJ801" s="1"/>
      <c r="AK801" s="1"/>
      <c r="AL801" s="1"/>
      <c r="AM801" s="1"/>
      <c r="AN801" s="1"/>
      <c r="AO801" s="1"/>
      <c r="AP801" s="1"/>
      <c r="AQ801" s="1"/>
    </row>
    <row r="802" spans="34:43">
      <c r="AH802" s="23"/>
      <c r="AI802" s="1"/>
      <c r="AJ802" s="1"/>
      <c r="AK802" s="1"/>
      <c r="AL802" s="1"/>
      <c r="AM802" s="1"/>
      <c r="AN802" s="1"/>
      <c r="AO802" s="1"/>
      <c r="AP802" s="1"/>
      <c r="AQ802" s="1"/>
    </row>
    <row r="803" spans="34:43">
      <c r="AH803" s="23"/>
      <c r="AI803" s="1"/>
      <c r="AJ803" s="1"/>
      <c r="AK803" s="1"/>
      <c r="AL803" s="1"/>
      <c r="AM803" s="1"/>
      <c r="AN803" s="1"/>
      <c r="AO803" s="1"/>
      <c r="AP803" s="1"/>
      <c r="AQ803" s="1"/>
    </row>
    <row r="804" spans="34:43">
      <c r="AH804" s="23"/>
      <c r="AI804" s="1"/>
      <c r="AJ804" s="1"/>
      <c r="AK804" s="1"/>
      <c r="AL804" s="1"/>
      <c r="AM804" s="1"/>
      <c r="AN804" s="1"/>
      <c r="AO804" s="1"/>
      <c r="AP804" s="1"/>
      <c r="AQ804" s="1"/>
    </row>
    <row r="805" spans="34:43">
      <c r="AH805" s="23"/>
      <c r="AI805" s="1"/>
      <c r="AJ805" s="1"/>
      <c r="AK805" s="1"/>
      <c r="AL805" s="1"/>
      <c r="AM805" s="1"/>
      <c r="AN805" s="1"/>
      <c r="AO805" s="1"/>
      <c r="AP805" s="1"/>
      <c r="AQ805" s="1"/>
    </row>
    <row r="806" spans="34:43">
      <c r="AH806" s="23"/>
      <c r="AI806" s="1"/>
      <c r="AJ806" s="1"/>
      <c r="AK806" s="1"/>
      <c r="AL806" s="1"/>
      <c r="AM806" s="1"/>
      <c r="AN806" s="1"/>
      <c r="AO806" s="1"/>
      <c r="AP806" s="1"/>
      <c r="AQ806" s="1"/>
    </row>
    <row r="807" spans="34:43">
      <c r="AH807" s="23"/>
      <c r="AI807" s="1"/>
      <c r="AJ807" s="1"/>
      <c r="AK807" s="1"/>
      <c r="AL807" s="1"/>
      <c r="AM807" s="1"/>
      <c r="AN807" s="1"/>
      <c r="AO807" s="1"/>
      <c r="AP807" s="1"/>
      <c r="AQ807" s="1"/>
    </row>
    <row r="808" spans="34:43">
      <c r="AH808" s="23"/>
      <c r="AI808" s="1"/>
      <c r="AJ808" s="1"/>
      <c r="AK808" s="1"/>
      <c r="AL808" s="1"/>
      <c r="AM808" s="1"/>
      <c r="AN808" s="1"/>
      <c r="AO808" s="1"/>
      <c r="AP808" s="1"/>
      <c r="AQ808" s="1"/>
    </row>
    <row r="809" spans="34:43">
      <c r="AH809" s="23"/>
      <c r="AI809" s="1"/>
      <c r="AJ809" s="1"/>
      <c r="AK809" s="1"/>
      <c r="AL809" s="1"/>
      <c r="AM809" s="1"/>
      <c r="AN809" s="1"/>
      <c r="AO809" s="1"/>
      <c r="AP809" s="1"/>
      <c r="AQ809" s="1"/>
    </row>
    <row r="810" spans="34:43">
      <c r="AH810" s="23"/>
      <c r="AI810" s="1"/>
      <c r="AJ810" s="1"/>
      <c r="AK810" s="1"/>
      <c r="AL810" s="1"/>
      <c r="AM810" s="1"/>
      <c r="AN810" s="1"/>
      <c r="AO810" s="1"/>
      <c r="AP810" s="1"/>
      <c r="AQ810" s="1"/>
    </row>
    <row r="811" spans="34:43">
      <c r="AH811" s="23"/>
      <c r="AI811" s="1"/>
      <c r="AJ811" s="1"/>
      <c r="AK811" s="1"/>
      <c r="AL811" s="1"/>
      <c r="AM811" s="1"/>
      <c r="AN811" s="1"/>
      <c r="AO811" s="1"/>
      <c r="AP811" s="1"/>
      <c r="AQ811" s="1"/>
    </row>
    <row r="812" spans="34:43">
      <c r="AH812" s="23"/>
      <c r="AI812" s="1"/>
      <c r="AJ812" s="1"/>
      <c r="AK812" s="1"/>
      <c r="AL812" s="1"/>
      <c r="AM812" s="1"/>
      <c r="AN812" s="1"/>
      <c r="AO812" s="1"/>
      <c r="AP812" s="1"/>
      <c r="AQ812" s="1"/>
    </row>
    <row r="813" spans="34:43">
      <c r="AH813" s="23"/>
      <c r="AI813" s="1"/>
      <c r="AJ813" s="1"/>
      <c r="AK813" s="1"/>
      <c r="AL813" s="1"/>
      <c r="AM813" s="1"/>
      <c r="AN813" s="1"/>
      <c r="AO813" s="1"/>
      <c r="AP813" s="1"/>
      <c r="AQ813" s="1"/>
    </row>
    <row r="814" spans="34:43">
      <c r="AH814" s="23"/>
      <c r="AI814" s="1"/>
      <c r="AJ814" s="1"/>
      <c r="AK814" s="1"/>
      <c r="AL814" s="1"/>
      <c r="AM814" s="1"/>
      <c r="AN814" s="1"/>
      <c r="AO814" s="1"/>
      <c r="AP814" s="1"/>
      <c r="AQ814" s="1"/>
    </row>
    <row r="815" spans="34:43">
      <c r="AH815" s="23"/>
      <c r="AI815" s="1"/>
      <c r="AJ815" s="1"/>
      <c r="AK815" s="1"/>
      <c r="AL815" s="1"/>
      <c r="AM815" s="1"/>
      <c r="AN815" s="1"/>
      <c r="AO815" s="1"/>
      <c r="AP815" s="1"/>
      <c r="AQ815" s="1"/>
    </row>
    <row r="816" spans="34:43">
      <c r="AH816" s="23"/>
      <c r="AI816" s="1"/>
      <c r="AJ816" s="1"/>
      <c r="AK816" s="1"/>
      <c r="AL816" s="1"/>
      <c r="AM816" s="1"/>
      <c r="AN816" s="1"/>
      <c r="AO816" s="1"/>
      <c r="AP816" s="1"/>
      <c r="AQ816" s="1"/>
    </row>
    <row r="817" spans="34:43">
      <c r="AH817" s="23"/>
      <c r="AI817" s="1"/>
      <c r="AJ817" s="1"/>
      <c r="AK817" s="1"/>
      <c r="AL817" s="1"/>
      <c r="AM817" s="1"/>
      <c r="AN817" s="1"/>
      <c r="AO817" s="1"/>
      <c r="AP817" s="1"/>
      <c r="AQ817" s="1"/>
    </row>
    <row r="818" spans="34:43">
      <c r="AH818" s="23"/>
      <c r="AI818" s="1"/>
      <c r="AJ818" s="1"/>
      <c r="AK818" s="1"/>
      <c r="AL818" s="1"/>
      <c r="AM818" s="1"/>
      <c r="AN818" s="1"/>
      <c r="AO818" s="1"/>
      <c r="AP818" s="1"/>
      <c r="AQ818" s="1"/>
    </row>
    <row r="819" spans="34:43">
      <c r="AH819" s="23"/>
      <c r="AI819" s="1"/>
      <c r="AJ819" s="1"/>
      <c r="AK819" s="1"/>
      <c r="AL819" s="1"/>
      <c r="AM819" s="1"/>
      <c r="AN819" s="1"/>
      <c r="AO819" s="1"/>
      <c r="AP819" s="1"/>
      <c r="AQ819" s="1"/>
    </row>
    <row r="820" spans="34:43">
      <c r="AH820" s="23"/>
      <c r="AI820" s="1"/>
      <c r="AJ820" s="1"/>
      <c r="AK820" s="1"/>
      <c r="AL820" s="1"/>
      <c r="AM820" s="1"/>
      <c r="AN820" s="1"/>
      <c r="AO820" s="1"/>
      <c r="AP820" s="1"/>
      <c r="AQ820" s="1"/>
    </row>
    <row r="821" spans="34:43">
      <c r="AH821" s="23"/>
      <c r="AI821" s="1"/>
      <c r="AJ821" s="1"/>
      <c r="AK821" s="1"/>
      <c r="AL821" s="1"/>
      <c r="AM821" s="1"/>
      <c r="AN821" s="1"/>
      <c r="AO821" s="1"/>
      <c r="AP821" s="1"/>
      <c r="AQ821" s="1"/>
    </row>
    <row r="822" spans="34:43">
      <c r="AH822" s="23"/>
      <c r="AI822" s="1"/>
      <c r="AJ822" s="1"/>
      <c r="AK822" s="1"/>
      <c r="AL822" s="1"/>
      <c r="AM822" s="1"/>
      <c r="AN822" s="1"/>
      <c r="AO822" s="1"/>
      <c r="AP822" s="1"/>
      <c r="AQ822" s="1"/>
    </row>
    <row r="823" spans="34:43">
      <c r="AH823" s="23"/>
      <c r="AI823" s="1"/>
      <c r="AJ823" s="1"/>
      <c r="AK823" s="1"/>
      <c r="AL823" s="1"/>
      <c r="AM823" s="1"/>
      <c r="AN823" s="1"/>
      <c r="AO823" s="1"/>
      <c r="AP823" s="1"/>
      <c r="AQ823" s="1"/>
    </row>
    <row r="824" spans="34:43">
      <c r="AH824" s="23"/>
      <c r="AI824" s="1"/>
      <c r="AJ824" s="1"/>
      <c r="AK824" s="1"/>
      <c r="AL824" s="1"/>
      <c r="AM824" s="1"/>
      <c r="AN824" s="1"/>
      <c r="AO824" s="1"/>
      <c r="AP824" s="1"/>
      <c r="AQ824" s="1"/>
    </row>
    <row r="825" spans="34:43">
      <c r="AH825" s="23"/>
      <c r="AI825" s="1"/>
      <c r="AJ825" s="1"/>
      <c r="AK825" s="1"/>
      <c r="AL825" s="1"/>
      <c r="AM825" s="1"/>
      <c r="AN825" s="1"/>
      <c r="AO825" s="1"/>
      <c r="AP825" s="1"/>
      <c r="AQ825" s="1"/>
    </row>
    <row r="826" spans="34:43">
      <c r="AH826" s="23"/>
      <c r="AI826" s="1"/>
      <c r="AJ826" s="1"/>
      <c r="AK826" s="1"/>
      <c r="AL826" s="1"/>
      <c r="AM826" s="1"/>
      <c r="AN826" s="1"/>
      <c r="AO826" s="1"/>
      <c r="AP826" s="1"/>
      <c r="AQ826" s="1"/>
    </row>
    <row r="827" spans="34:43">
      <c r="AH827" s="23"/>
      <c r="AI827" s="1"/>
      <c r="AJ827" s="1"/>
      <c r="AK827" s="1"/>
      <c r="AL827" s="1"/>
      <c r="AM827" s="1"/>
      <c r="AN827" s="1"/>
      <c r="AO827" s="1"/>
      <c r="AP827" s="1"/>
      <c r="AQ827" s="1"/>
    </row>
    <row r="828" spans="34:43">
      <c r="AH828" s="23"/>
      <c r="AI828" s="1"/>
      <c r="AJ828" s="1"/>
      <c r="AK828" s="1"/>
      <c r="AL828" s="1"/>
      <c r="AM828" s="1"/>
      <c r="AN828" s="1"/>
      <c r="AO828" s="1"/>
      <c r="AP828" s="1"/>
      <c r="AQ828" s="1"/>
    </row>
    <row r="829" spans="34:43">
      <c r="AH829" s="23"/>
      <c r="AI829" s="1"/>
      <c r="AJ829" s="1"/>
      <c r="AK829" s="1"/>
      <c r="AL829" s="1"/>
      <c r="AM829" s="1"/>
      <c r="AN829" s="1"/>
      <c r="AO829" s="1"/>
      <c r="AP829" s="1"/>
      <c r="AQ829" s="1"/>
    </row>
    <row r="830" spans="34:43">
      <c r="AH830" s="23"/>
      <c r="AI830" s="1"/>
      <c r="AJ830" s="1"/>
      <c r="AK830" s="1"/>
      <c r="AL830" s="1"/>
      <c r="AM830" s="1"/>
      <c r="AN830" s="1"/>
      <c r="AO830" s="1"/>
      <c r="AP830" s="1"/>
      <c r="AQ830" s="1"/>
    </row>
    <row r="831" spans="34:43">
      <c r="AH831" s="23"/>
      <c r="AI831" s="1"/>
      <c r="AJ831" s="1"/>
      <c r="AK831" s="1"/>
      <c r="AL831" s="1"/>
      <c r="AM831" s="1"/>
      <c r="AN831" s="1"/>
      <c r="AO831" s="1"/>
      <c r="AP831" s="1"/>
      <c r="AQ831" s="1"/>
    </row>
    <row r="832" spans="34:43">
      <c r="AH832" s="23"/>
      <c r="AI832" s="1"/>
      <c r="AJ832" s="1"/>
      <c r="AK832" s="1"/>
      <c r="AL832" s="1"/>
      <c r="AM832" s="1"/>
      <c r="AN832" s="1"/>
      <c r="AO832" s="1"/>
      <c r="AP832" s="1"/>
      <c r="AQ832" s="1"/>
    </row>
    <row r="833" spans="34:43">
      <c r="AH833" s="23"/>
      <c r="AI833" s="1"/>
      <c r="AJ833" s="1"/>
      <c r="AK833" s="1"/>
      <c r="AL833" s="1"/>
      <c r="AM833" s="1"/>
      <c r="AN833" s="1"/>
      <c r="AO833" s="1"/>
      <c r="AP833" s="1"/>
      <c r="AQ833" s="1"/>
    </row>
    <row r="834" spans="34:43">
      <c r="AH834" s="23"/>
      <c r="AI834" s="1"/>
      <c r="AJ834" s="1"/>
      <c r="AK834" s="1"/>
      <c r="AL834" s="1"/>
      <c r="AM834" s="1"/>
      <c r="AN834" s="1"/>
      <c r="AO834" s="1"/>
      <c r="AP834" s="1"/>
      <c r="AQ834" s="1"/>
    </row>
    <row r="835" spans="34:43">
      <c r="AH835" s="23"/>
      <c r="AI835" s="1"/>
      <c r="AJ835" s="1"/>
      <c r="AK835" s="1"/>
      <c r="AL835" s="1"/>
      <c r="AM835" s="1"/>
      <c r="AN835" s="1"/>
      <c r="AO835" s="1"/>
      <c r="AP835" s="1"/>
      <c r="AQ835" s="1"/>
    </row>
    <row r="836" spans="34:43">
      <c r="AH836" s="23"/>
      <c r="AI836" s="1"/>
      <c r="AJ836" s="1"/>
      <c r="AK836" s="1"/>
      <c r="AL836" s="1"/>
      <c r="AM836" s="1"/>
      <c r="AN836" s="1"/>
      <c r="AO836" s="1"/>
      <c r="AP836" s="1"/>
      <c r="AQ836" s="1"/>
    </row>
    <row r="837" spans="34:43">
      <c r="AH837" s="23"/>
      <c r="AI837" s="1"/>
      <c r="AJ837" s="1"/>
      <c r="AK837" s="1"/>
      <c r="AL837" s="1"/>
      <c r="AM837" s="1"/>
      <c r="AN837" s="1"/>
      <c r="AO837" s="1"/>
      <c r="AP837" s="1"/>
      <c r="AQ837" s="1"/>
    </row>
    <row r="838" spans="34:43">
      <c r="AH838" s="23"/>
      <c r="AI838" s="1"/>
      <c r="AJ838" s="1"/>
      <c r="AK838" s="1"/>
      <c r="AL838" s="1"/>
      <c r="AM838" s="1"/>
      <c r="AN838" s="1"/>
      <c r="AO838" s="1"/>
      <c r="AP838" s="1"/>
      <c r="AQ838" s="1"/>
    </row>
    <row r="839" spans="34:43">
      <c r="AH839" s="23"/>
      <c r="AI839" s="1"/>
      <c r="AJ839" s="1"/>
      <c r="AK839" s="1"/>
      <c r="AL839" s="1"/>
      <c r="AM839" s="1"/>
      <c r="AN839" s="1"/>
      <c r="AO839" s="1"/>
      <c r="AP839" s="1"/>
      <c r="AQ839" s="1"/>
    </row>
    <row r="840" spans="34:43">
      <c r="AH840" s="23"/>
      <c r="AI840" s="1"/>
      <c r="AJ840" s="1"/>
      <c r="AK840" s="1"/>
      <c r="AL840" s="1"/>
      <c r="AM840" s="1"/>
      <c r="AN840" s="1"/>
      <c r="AO840" s="1"/>
      <c r="AP840" s="1"/>
      <c r="AQ840" s="1"/>
    </row>
    <row r="841" spans="34:43">
      <c r="AH841" s="23"/>
      <c r="AI841" s="1"/>
      <c r="AJ841" s="1"/>
      <c r="AK841" s="1"/>
      <c r="AL841" s="1"/>
      <c r="AM841" s="1"/>
      <c r="AN841" s="1"/>
      <c r="AO841" s="1"/>
      <c r="AP841" s="1"/>
      <c r="AQ841" s="1"/>
    </row>
    <row r="842" spans="34:43">
      <c r="AH842" s="23"/>
      <c r="AI842" s="1"/>
      <c r="AJ842" s="1"/>
      <c r="AK842" s="1"/>
      <c r="AL842" s="1"/>
      <c r="AM842" s="1"/>
      <c r="AN842" s="1"/>
      <c r="AO842" s="1"/>
      <c r="AP842" s="1"/>
      <c r="AQ842" s="1"/>
    </row>
    <row r="843" spans="34:43">
      <c r="AH843" s="1"/>
      <c r="AI843" s="1"/>
      <c r="AJ843" s="1"/>
      <c r="AK843" s="1"/>
      <c r="AL843" s="1"/>
      <c r="AM843" s="1"/>
      <c r="AN843" s="1"/>
      <c r="AO843" s="1"/>
      <c r="AP843" s="1"/>
      <c r="AQ843" s="1"/>
    </row>
    <row r="844" spans="34:43">
      <c r="AH844" s="1"/>
      <c r="AI844" s="1"/>
      <c r="AJ844" s="1"/>
      <c r="AK844" s="1"/>
      <c r="AL844" s="1"/>
      <c r="AM844" s="1"/>
      <c r="AN844" s="1"/>
      <c r="AO844" s="1"/>
      <c r="AP844" s="1"/>
      <c r="AQ844" s="1"/>
    </row>
    <row r="845" spans="34:43">
      <c r="AH845" s="1"/>
      <c r="AI845" s="1"/>
      <c r="AJ845" s="1"/>
      <c r="AK845" s="1"/>
      <c r="AL845" s="1"/>
      <c r="AM845" s="1"/>
      <c r="AN845" s="1"/>
      <c r="AO845" s="1"/>
      <c r="AP845" s="1"/>
      <c r="AQ845" s="1"/>
    </row>
    <row r="846" spans="34:43">
      <c r="AH846" s="1"/>
      <c r="AI846" s="1"/>
      <c r="AJ846" s="1"/>
      <c r="AK846" s="1"/>
      <c r="AL846" s="1"/>
      <c r="AM846" s="1"/>
      <c r="AN846" s="1"/>
      <c r="AO846" s="1"/>
      <c r="AP846" s="1"/>
      <c r="AQ846" s="1"/>
    </row>
    <row r="847" spans="34:43">
      <c r="AH847" s="1"/>
      <c r="AI847" s="1"/>
      <c r="AJ847" s="1"/>
      <c r="AK847" s="1"/>
      <c r="AL847" s="1"/>
      <c r="AM847" s="1"/>
      <c r="AN847" s="1"/>
      <c r="AO847" s="1"/>
      <c r="AP847" s="1"/>
      <c r="AQ847" s="1"/>
    </row>
    <row r="848" spans="34:43">
      <c r="AH848" s="1"/>
      <c r="AI848" s="1"/>
      <c r="AJ848" s="1"/>
      <c r="AK848" s="1"/>
      <c r="AL848" s="1"/>
      <c r="AM848" s="1"/>
      <c r="AN848" s="1"/>
      <c r="AO848" s="1"/>
      <c r="AP848" s="1"/>
      <c r="AQ848" s="1"/>
    </row>
    <row r="849" spans="34:43">
      <c r="AH849" s="1"/>
      <c r="AI849" s="1"/>
      <c r="AJ849" s="1"/>
      <c r="AK849" s="1"/>
      <c r="AL849" s="1"/>
      <c r="AM849" s="1"/>
      <c r="AN849" s="1"/>
      <c r="AO849" s="1"/>
      <c r="AP849" s="1"/>
      <c r="AQ849" s="1"/>
    </row>
    <row r="850" spans="34:43">
      <c r="AH850" s="1"/>
      <c r="AI850" s="1"/>
      <c r="AJ850" s="1"/>
      <c r="AK850" s="1"/>
      <c r="AL850" s="1"/>
      <c r="AM850" s="1"/>
      <c r="AN850" s="1"/>
      <c r="AO850" s="1"/>
      <c r="AP850" s="1"/>
      <c r="AQ850" s="1"/>
    </row>
    <row r="851" spans="34:43">
      <c r="AH851" s="1"/>
      <c r="AI851" s="1"/>
      <c r="AJ851" s="1"/>
      <c r="AK851" s="1"/>
      <c r="AL851" s="1"/>
      <c r="AM851" s="1"/>
      <c r="AN851" s="1"/>
      <c r="AO851" s="1"/>
      <c r="AP851" s="1"/>
      <c r="AQ851" s="1"/>
    </row>
  </sheetData>
  <mergeCells count="566">
    <mergeCell ref="AL523:AL524"/>
    <mergeCell ref="B9:G9"/>
    <mergeCell ref="B10:C10"/>
    <mergeCell ref="D10:E10"/>
    <mergeCell ref="B7:D7"/>
    <mergeCell ref="B5:D5"/>
    <mergeCell ref="G5:I5"/>
    <mergeCell ref="G7:I7"/>
    <mergeCell ref="AI515:AN515"/>
    <mergeCell ref="AI516:AJ519"/>
    <mergeCell ref="AK516:AK517"/>
    <mergeCell ref="AL516:AL517"/>
    <mergeCell ref="AM516:AM517"/>
    <mergeCell ref="AN516:AN517"/>
    <mergeCell ref="AM523:AM524"/>
    <mergeCell ref="AN523:AN524"/>
    <mergeCell ref="AI528:AN528"/>
    <mergeCell ref="AI523:AJ526"/>
    <mergeCell ref="AI529:AJ532"/>
    <mergeCell ref="AK529:AK530"/>
    <mergeCell ref="AL529:AL530"/>
    <mergeCell ref="AM529:AM530"/>
    <mergeCell ref="AN529:AN530"/>
    <mergeCell ref="AK523:AK524"/>
    <mergeCell ref="AI506:AN506"/>
    <mergeCell ref="AI507:AN507"/>
    <mergeCell ref="AI509:AJ513"/>
    <mergeCell ref="AK509:AK511"/>
    <mergeCell ref="AL509:AL511"/>
    <mergeCell ref="AM509:AM511"/>
    <mergeCell ref="AN509:AN511"/>
    <mergeCell ref="AI499:AN499"/>
    <mergeCell ref="AI500:AJ503"/>
    <mergeCell ref="AK500:AK501"/>
    <mergeCell ref="AL500:AL501"/>
    <mergeCell ref="AM500:AM501"/>
    <mergeCell ref="AN500:AN501"/>
    <mergeCell ref="AI494:AJ497"/>
    <mergeCell ref="AK494:AK495"/>
    <mergeCell ref="AL494:AL495"/>
    <mergeCell ref="AM494:AM495"/>
    <mergeCell ref="AI486:AN486"/>
    <mergeCell ref="AI487:AJ490"/>
    <mergeCell ref="AK487:AK488"/>
    <mergeCell ref="AL487:AL488"/>
    <mergeCell ref="AM487:AM488"/>
    <mergeCell ref="AN487:AN488"/>
    <mergeCell ref="AI477:AN477"/>
    <mergeCell ref="AI478:AN478"/>
    <mergeCell ref="AI480:AJ484"/>
    <mergeCell ref="AK480:AK482"/>
    <mergeCell ref="AL480:AL482"/>
    <mergeCell ref="AM480:AM482"/>
    <mergeCell ref="AN480:AN482"/>
    <mergeCell ref="AI470:AN470"/>
    <mergeCell ref="AI471:AJ474"/>
    <mergeCell ref="AK471:AK472"/>
    <mergeCell ref="AL471:AL472"/>
    <mergeCell ref="AM471:AM472"/>
    <mergeCell ref="AN471:AN472"/>
    <mergeCell ref="AI465:AJ468"/>
    <mergeCell ref="AK465:AK466"/>
    <mergeCell ref="AL465:AL466"/>
    <mergeCell ref="AM465:AM466"/>
    <mergeCell ref="AI457:AN457"/>
    <mergeCell ref="AI458:AJ461"/>
    <mergeCell ref="AK458:AK459"/>
    <mergeCell ref="AL458:AL459"/>
    <mergeCell ref="AM458:AM459"/>
    <mergeCell ref="AN458:AN459"/>
    <mergeCell ref="AI448:AN448"/>
    <mergeCell ref="AI449:AN449"/>
    <mergeCell ref="AI451:AJ455"/>
    <mergeCell ref="AK451:AK453"/>
    <mergeCell ref="AL451:AL453"/>
    <mergeCell ref="AM451:AM453"/>
    <mergeCell ref="AN451:AN453"/>
    <mergeCell ref="AI441:AN441"/>
    <mergeCell ref="AI442:AJ445"/>
    <mergeCell ref="AK442:AK443"/>
    <mergeCell ref="AL442:AL443"/>
    <mergeCell ref="AM442:AM443"/>
    <mergeCell ref="AN442:AN443"/>
    <mergeCell ref="AI436:AJ439"/>
    <mergeCell ref="AK436:AK437"/>
    <mergeCell ref="AL436:AL437"/>
    <mergeCell ref="AM436:AM437"/>
    <mergeCell ref="AN429:AN430"/>
    <mergeCell ref="AI422:AJ426"/>
    <mergeCell ref="AK422:AK424"/>
    <mergeCell ref="AL422:AL424"/>
    <mergeCell ref="AL429:AL430"/>
    <mergeCell ref="AN404:AN405"/>
    <mergeCell ref="AI409:AN409"/>
    <mergeCell ref="AI410:AJ413"/>
    <mergeCell ref="AK410:AK411"/>
    <mergeCell ref="AL410:AL411"/>
    <mergeCell ref="AM410:AM411"/>
    <mergeCell ref="AN410:AN411"/>
    <mergeCell ref="AI404:AJ407"/>
    <mergeCell ref="AK404:AK405"/>
    <mergeCell ref="AN390:AN392"/>
    <mergeCell ref="AL404:AL405"/>
    <mergeCell ref="AM404:AM405"/>
    <mergeCell ref="AI396:AN396"/>
    <mergeCell ref="AI397:AJ400"/>
    <mergeCell ref="AK397:AK398"/>
    <mergeCell ref="AL397:AL398"/>
    <mergeCell ref="AM397:AM398"/>
    <mergeCell ref="AN397:AN398"/>
    <mergeCell ref="AI390:AJ394"/>
    <mergeCell ref="AK390:AK392"/>
    <mergeCell ref="AL390:AL392"/>
    <mergeCell ref="AM390:AM392"/>
    <mergeCell ref="AK375:AK376"/>
    <mergeCell ref="AL375:AL376"/>
    <mergeCell ref="AI387:AN387"/>
    <mergeCell ref="AI388:AN388"/>
    <mergeCell ref="AI380:AN380"/>
    <mergeCell ref="AI381:AJ384"/>
    <mergeCell ref="AK381:AK382"/>
    <mergeCell ref="AL381:AL382"/>
    <mergeCell ref="AM381:AM382"/>
    <mergeCell ref="AN381:AN382"/>
    <mergeCell ref="AN361:AN363"/>
    <mergeCell ref="AM375:AM376"/>
    <mergeCell ref="AI367:AN367"/>
    <mergeCell ref="AI368:AJ371"/>
    <mergeCell ref="AK368:AK369"/>
    <mergeCell ref="AL368:AL369"/>
    <mergeCell ref="AM368:AM369"/>
    <mergeCell ref="AN368:AN369"/>
    <mergeCell ref="AN375:AN376"/>
    <mergeCell ref="AI375:AJ378"/>
    <mergeCell ref="AI361:AJ365"/>
    <mergeCell ref="AK361:AK363"/>
    <mergeCell ref="AL361:AL363"/>
    <mergeCell ref="AM361:AM363"/>
    <mergeCell ref="AK346:AK347"/>
    <mergeCell ref="AL346:AL347"/>
    <mergeCell ref="AI358:AN358"/>
    <mergeCell ref="AI359:AN359"/>
    <mergeCell ref="AI351:AN351"/>
    <mergeCell ref="AI352:AJ355"/>
    <mergeCell ref="AK352:AK353"/>
    <mergeCell ref="AL352:AL353"/>
    <mergeCell ref="AM352:AM353"/>
    <mergeCell ref="AN352:AN353"/>
    <mergeCell ref="AL317:AL318"/>
    <mergeCell ref="AM346:AM347"/>
    <mergeCell ref="AI338:AN338"/>
    <mergeCell ref="AI339:AJ342"/>
    <mergeCell ref="AK339:AK340"/>
    <mergeCell ref="AL339:AL340"/>
    <mergeCell ref="AM339:AM340"/>
    <mergeCell ref="AN339:AN340"/>
    <mergeCell ref="AN346:AN347"/>
    <mergeCell ref="AI346:AJ349"/>
    <mergeCell ref="AI322:AN322"/>
    <mergeCell ref="AI323:AJ326"/>
    <mergeCell ref="AK323:AK324"/>
    <mergeCell ref="AL323:AL324"/>
    <mergeCell ref="AM323:AM324"/>
    <mergeCell ref="AN323:AN324"/>
    <mergeCell ref="AM317:AM318"/>
    <mergeCell ref="AI309:AN309"/>
    <mergeCell ref="AI310:AJ313"/>
    <mergeCell ref="AK310:AK311"/>
    <mergeCell ref="AL310:AL311"/>
    <mergeCell ref="AM310:AM311"/>
    <mergeCell ref="AN310:AN311"/>
    <mergeCell ref="AN317:AN318"/>
    <mergeCell ref="AI317:AJ320"/>
    <mergeCell ref="AK317:AK318"/>
    <mergeCell ref="AI297:AN299"/>
    <mergeCell ref="AI300:AN300"/>
    <mergeCell ref="AI301:AN301"/>
    <mergeCell ref="AI303:AJ307"/>
    <mergeCell ref="AK303:AK305"/>
    <mergeCell ref="AL303:AL305"/>
    <mergeCell ref="AM303:AM305"/>
    <mergeCell ref="AN303:AN305"/>
    <mergeCell ref="AI281:AK281"/>
    <mergeCell ref="AI282:AK282"/>
    <mergeCell ref="AI286:AM286"/>
    <mergeCell ref="AI287:AI288"/>
    <mergeCell ref="AJ287:AJ288"/>
    <mergeCell ref="AK287:AK288"/>
    <mergeCell ref="AL287:AL288"/>
    <mergeCell ref="AM287:AM288"/>
    <mergeCell ref="AO271:AO272"/>
    <mergeCell ref="AI278:AK278"/>
    <mergeCell ref="AI279:AK279"/>
    <mergeCell ref="AI280:AK280"/>
    <mergeCell ref="AI271:AK272"/>
    <mergeCell ref="AL271:AL272"/>
    <mergeCell ref="AM271:AM272"/>
    <mergeCell ref="AN271:AN272"/>
    <mergeCell ref="AI276:AK276"/>
    <mergeCell ref="AI274:AK274"/>
    <mergeCell ref="AO264:AO265"/>
    <mergeCell ref="AI265:AI268"/>
    <mergeCell ref="AJ265:AK265"/>
    <mergeCell ref="AJ266:AK266"/>
    <mergeCell ref="AJ267:AK267"/>
    <mergeCell ref="AJ268:AK268"/>
    <mergeCell ref="AI264:AK264"/>
    <mergeCell ref="AL264:AL265"/>
    <mergeCell ref="AM264:AM265"/>
    <mergeCell ref="AN264:AN265"/>
    <mergeCell ref="AO258:AO259"/>
    <mergeCell ref="AI259:AI262"/>
    <mergeCell ref="AJ259:AK259"/>
    <mergeCell ref="AI263:AO263"/>
    <mergeCell ref="AI258:AK258"/>
    <mergeCell ref="AL258:AL259"/>
    <mergeCell ref="AM258:AM259"/>
    <mergeCell ref="AN258:AN259"/>
    <mergeCell ref="AJ260:AK260"/>
    <mergeCell ref="AJ262:AK262"/>
    <mergeCell ref="AI253:AI256"/>
    <mergeCell ref="AJ253:AK253"/>
    <mergeCell ref="AI252:AK252"/>
    <mergeCell ref="AL252:AL253"/>
    <mergeCell ref="AJ255:AK255"/>
    <mergeCell ref="AJ254:AK254"/>
    <mergeCell ref="AJ256:AK256"/>
    <mergeCell ref="AL250:AM250"/>
    <mergeCell ref="AM252:AM253"/>
    <mergeCell ref="AN252:AN253"/>
    <mergeCell ref="AI236:AK236"/>
    <mergeCell ref="AO239:AO240"/>
    <mergeCell ref="AI239:AK240"/>
    <mergeCell ref="AL239:AL240"/>
    <mergeCell ref="AM239:AM240"/>
    <mergeCell ref="AN239:AN240"/>
    <mergeCell ref="AO252:AO253"/>
    <mergeCell ref="AO222:AO224"/>
    <mergeCell ref="AI226:AK227"/>
    <mergeCell ref="AL226:AL227"/>
    <mergeCell ref="AM226:AM227"/>
    <mergeCell ref="AN226:AN227"/>
    <mergeCell ref="AO226:AO227"/>
    <mergeCell ref="AI224:AK224"/>
    <mergeCell ref="AI222:AK222"/>
    <mergeCell ref="AI223:AK223"/>
    <mergeCell ref="AP195:AP196"/>
    <mergeCell ref="AI198:AL199"/>
    <mergeCell ref="AM198:AM199"/>
    <mergeCell ref="AN198:AN199"/>
    <mergeCell ref="AO198:AO199"/>
    <mergeCell ref="AP198:AP199"/>
    <mergeCell ref="AI195:AN196"/>
    <mergeCell ref="AI165:AK166"/>
    <mergeCell ref="AL165:AL166"/>
    <mergeCell ref="AM165:AM166"/>
    <mergeCell ref="AN165:AN166"/>
    <mergeCell ref="AI163:AK163"/>
    <mergeCell ref="AO165:AO166"/>
    <mergeCell ref="AI150:AL150"/>
    <mergeCell ref="AI151:AO152"/>
    <mergeCell ref="AI153:AK154"/>
    <mergeCell ref="AL153:AL154"/>
    <mergeCell ref="AM153:AM154"/>
    <mergeCell ref="AN153:AN154"/>
    <mergeCell ref="AO153:AO154"/>
    <mergeCell ref="AI131:AQ131"/>
    <mergeCell ref="AI134:AK135"/>
    <mergeCell ref="AL134:AL135"/>
    <mergeCell ref="AM134:AM135"/>
    <mergeCell ref="AN134:AN135"/>
    <mergeCell ref="AO134:AO135"/>
    <mergeCell ref="AM126:AM127"/>
    <mergeCell ref="AN126:AN127"/>
    <mergeCell ref="AO126:AO127"/>
    <mergeCell ref="AI128:AK128"/>
    <mergeCell ref="AI126:AK127"/>
    <mergeCell ref="AL126:AL127"/>
    <mergeCell ref="AN120:AN121"/>
    <mergeCell ref="AO120:AO121"/>
    <mergeCell ref="AM114:AM115"/>
    <mergeCell ref="AN114:AN115"/>
    <mergeCell ref="AI104:AQ104"/>
    <mergeCell ref="AI95:AK95"/>
    <mergeCell ref="AM98:AM99"/>
    <mergeCell ref="AN98:AN99"/>
    <mergeCell ref="AL98:AL99"/>
    <mergeCell ref="AO98:AO99"/>
    <mergeCell ref="AI101:AK101"/>
    <mergeCell ref="AI94:AK94"/>
    <mergeCell ref="AI102:AK102"/>
    <mergeCell ref="AI91:AK92"/>
    <mergeCell ref="AL91:AL92"/>
    <mergeCell ref="AI98:AK99"/>
    <mergeCell ref="AI100:AK100"/>
    <mergeCell ref="AL82:AL83"/>
    <mergeCell ref="AM82:AM83"/>
    <mergeCell ref="AO91:AO92"/>
    <mergeCell ref="AI93:AK93"/>
    <mergeCell ref="AM91:AM92"/>
    <mergeCell ref="AN91:AN92"/>
    <mergeCell ref="AI85:AK85"/>
    <mergeCell ref="AI82:AK83"/>
    <mergeCell ref="AI14:AQ14"/>
    <mergeCell ref="AI35:AQ35"/>
    <mergeCell ref="AI38:AK39"/>
    <mergeCell ref="AL38:AL39"/>
    <mergeCell ref="AM38:AM39"/>
    <mergeCell ref="AN38:AN39"/>
    <mergeCell ref="AO38:AO39"/>
    <mergeCell ref="AI26:AL26"/>
    <mergeCell ref="AI31:AL31"/>
    <mergeCell ref="AI29:AL29"/>
    <mergeCell ref="AI77:AK77"/>
    <mergeCell ref="AI78:AK78"/>
    <mergeCell ref="AI40:AK40"/>
    <mergeCell ref="AI41:AK41"/>
    <mergeCell ref="AI46:AK47"/>
    <mergeCell ref="AI57:AK58"/>
    <mergeCell ref="AI48:AK48"/>
    <mergeCell ref="AI49:AK49"/>
    <mergeCell ref="AI53:AQ53"/>
    <mergeCell ref="AI51:AK51"/>
    <mergeCell ref="AO46:AO47"/>
    <mergeCell ref="AM46:AM47"/>
    <mergeCell ref="AL46:AL47"/>
    <mergeCell ref="AN46:AN47"/>
    <mergeCell ref="AN75:AN76"/>
    <mergeCell ref="AO75:AO76"/>
    <mergeCell ref="AI59:AK59"/>
    <mergeCell ref="AI69:AK69"/>
    <mergeCell ref="AO140:AO141"/>
    <mergeCell ref="AI142:AK142"/>
    <mergeCell ref="AL140:AL141"/>
    <mergeCell ref="AN140:AN141"/>
    <mergeCell ref="AN82:AN83"/>
    <mergeCell ref="AO82:AO83"/>
    <mergeCell ref="AI84:AK84"/>
    <mergeCell ref="AI88:AQ88"/>
    <mergeCell ref="AI111:AK111"/>
    <mergeCell ref="AI123:AK123"/>
    <mergeCell ref="AI229:AK229"/>
    <mergeCell ref="AN57:AN58"/>
    <mergeCell ref="AO57:AO58"/>
    <mergeCell ref="AO62:AO63"/>
    <mergeCell ref="AM57:AM58"/>
    <mergeCell ref="AN62:AN63"/>
    <mergeCell ref="AM67:AM68"/>
    <mergeCell ref="AN67:AN68"/>
    <mergeCell ref="AO67:AO68"/>
    <mergeCell ref="AM75:AM76"/>
    <mergeCell ref="AI212:AL212"/>
    <mergeCell ref="AI185:AK185"/>
    <mergeCell ref="AI208:AL208"/>
    <mergeCell ref="AI228:AK228"/>
    <mergeCell ref="AI211:AL211"/>
    <mergeCell ref="AI206:AL206"/>
    <mergeCell ref="AI203:AL203"/>
    <mergeCell ref="AI204:AL204"/>
    <mergeCell ref="AI213:AL213"/>
    <mergeCell ref="AI214:AL214"/>
    <mergeCell ref="AN182:AN183"/>
    <mergeCell ref="AI210:AL210"/>
    <mergeCell ref="AI181:AO181"/>
    <mergeCell ref="AO176:AO177"/>
    <mergeCell ref="AI209:AL209"/>
    <mergeCell ref="AO195:AO196"/>
    <mergeCell ref="AI202:AL202"/>
    <mergeCell ref="AI201:AL201"/>
    <mergeCell ref="AI200:AL200"/>
    <mergeCell ref="AI205:AL205"/>
    <mergeCell ref="AI155:AK155"/>
    <mergeCell ref="AI108:AK109"/>
    <mergeCell ref="AI136:AK136"/>
    <mergeCell ref="AI138:AQ138"/>
    <mergeCell ref="AI140:AK141"/>
    <mergeCell ref="AI143:AK143"/>
    <mergeCell ref="AI145:AQ145"/>
    <mergeCell ref="AO114:AO115"/>
    <mergeCell ref="AI116:AK116"/>
    <mergeCell ref="AM120:AM121"/>
    <mergeCell ref="AL114:AL115"/>
    <mergeCell ref="AI120:AK121"/>
    <mergeCell ref="AL120:AL121"/>
    <mergeCell ref="AI122:AK122"/>
    <mergeCell ref="AI114:AK115"/>
    <mergeCell ref="AL62:AL63"/>
    <mergeCell ref="AL67:AL68"/>
    <mergeCell ref="AI67:AK68"/>
    <mergeCell ref="AI79:AK79"/>
    <mergeCell ref="AI64:AK64"/>
    <mergeCell ref="AO182:AO183"/>
    <mergeCell ref="AI172:AK172"/>
    <mergeCell ref="AI178:AK178"/>
    <mergeCell ref="AI62:AK63"/>
    <mergeCell ref="AM62:AM63"/>
    <mergeCell ref="AL108:AL109"/>
    <mergeCell ref="AM108:AM109"/>
    <mergeCell ref="AI86:AK86"/>
    <mergeCell ref="AI174:AK174"/>
    <mergeCell ref="AI175:AO175"/>
    <mergeCell ref="AN108:AN109"/>
    <mergeCell ref="AO108:AO109"/>
    <mergeCell ref="AI189:AP193"/>
    <mergeCell ref="AI167:AK167"/>
    <mergeCell ref="AM140:AM141"/>
    <mergeCell ref="AI182:AK183"/>
    <mergeCell ref="AI176:AK177"/>
    <mergeCell ref="AI156:AK156"/>
    <mergeCell ref="AI170:AO170"/>
    <mergeCell ref="AI179:AK179"/>
    <mergeCell ref="AI416:AN418"/>
    <mergeCell ref="AI117:AK117"/>
    <mergeCell ref="AL176:AL177"/>
    <mergeCell ref="AL182:AL183"/>
    <mergeCell ref="AM176:AM177"/>
    <mergeCell ref="AN176:AN177"/>
    <mergeCell ref="AI220:AK221"/>
    <mergeCell ref="AL332:AL334"/>
    <mergeCell ref="AM332:AM334"/>
    <mergeCell ref="AN332:AN334"/>
    <mergeCell ref="AI419:AN419"/>
    <mergeCell ref="AI180:AK180"/>
    <mergeCell ref="AI186:AK186"/>
    <mergeCell ref="AI184:AK184"/>
    <mergeCell ref="AI332:AJ336"/>
    <mergeCell ref="AK332:AK334"/>
    <mergeCell ref="AI207:AL207"/>
    <mergeCell ref="AM182:AM183"/>
    <mergeCell ref="AI329:AN329"/>
    <mergeCell ref="AI330:AN330"/>
    <mergeCell ref="AN494:AN495"/>
    <mergeCell ref="AI420:AN420"/>
    <mergeCell ref="AN436:AN437"/>
    <mergeCell ref="AN465:AN466"/>
    <mergeCell ref="AM422:AM424"/>
    <mergeCell ref="AN422:AN424"/>
    <mergeCell ref="AI428:AN428"/>
    <mergeCell ref="AI429:AJ432"/>
    <mergeCell ref="AK429:AK430"/>
    <mergeCell ref="AM429:AM430"/>
    <mergeCell ref="AO228:AO230"/>
    <mergeCell ref="AI273:AK273"/>
    <mergeCell ref="AI275:AK275"/>
    <mergeCell ref="AL220:AL221"/>
    <mergeCell ref="AJ261:AK261"/>
    <mergeCell ref="AI230:AK230"/>
    <mergeCell ref="AI257:AO257"/>
    <mergeCell ref="AO220:AO221"/>
    <mergeCell ref="AM220:AM221"/>
    <mergeCell ref="AN220:AN221"/>
    <mergeCell ref="AI242:AK242"/>
    <mergeCell ref="AI245:AQ245"/>
    <mergeCell ref="AI249:AJ250"/>
    <mergeCell ref="AL249:AM249"/>
    <mergeCell ref="AM232:AM233"/>
    <mergeCell ref="AN232:AN233"/>
    <mergeCell ref="AO232:AO233"/>
    <mergeCell ref="AO234:AO236"/>
    <mergeCell ref="AI235:AK235"/>
    <mergeCell ref="AI234:AK234"/>
    <mergeCell ref="AI50:AK50"/>
    <mergeCell ref="AI277:AK277"/>
    <mergeCell ref="AI232:AK233"/>
    <mergeCell ref="AI216:AL216"/>
    <mergeCell ref="AL57:AL58"/>
    <mergeCell ref="AI70:AK70"/>
    <mergeCell ref="AI72:AQ72"/>
    <mergeCell ref="AI75:AK76"/>
    <mergeCell ref="AL75:AL76"/>
    <mergeCell ref="AL232:AL233"/>
    <mergeCell ref="AI33:AL33"/>
    <mergeCell ref="AI30:AL30"/>
    <mergeCell ref="AB44:AC45"/>
    <mergeCell ref="AI2:AQ3"/>
    <mergeCell ref="AI27:AL27"/>
    <mergeCell ref="AI28:AL28"/>
    <mergeCell ref="AI21:AL21"/>
    <mergeCell ref="AI19:AL19"/>
    <mergeCell ref="AI42:AK42"/>
    <mergeCell ref="AI43:AK43"/>
    <mergeCell ref="AI22:AL22"/>
    <mergeCell ref="AI23:AL23"/>
    <mergeCell ref="AI20:AL20"/>
    <mergeCell ref="AI17:AL17"/>
    <mergeCell ref="AI157:AK157"/>
    <mergeCell ref="AI162:AK162"/>
    <mergeCell ref="AI129:AK129"/>
    <mergeCell ref="AI110:AK110"/>
    <mergeCell ref="AI18:AL18"/>
    <mergeCell ref="AI32:AL32"/>
    <mergeCell ref="AI173:AK173"/>
    <mergeCell ref="AI160:AK160"/>
    <mergeCell ref="AI161:AK161"/>
    <mergeCell ref="AI169:AK169"/>
    <mergeCell ref="AI171:AK171"/>
    <mergeCell ref="AI158:AK158"/>
    <mergeCell ref="AI159:AO159"/>
    <mergeCell ref="AI168:AK168"/>
    <mergeCell ref="AO161:AO163"/>
    <mergeCell ref="AI164:AO164"/>
    <mergeCell ref="B2:K3"/>
    <mergeCell ref="S16:U16"/>
    <mergeCell ref="V16:W16"/>
    <mergeCell ref="V18:W18"/>
    <mergeCell ref="S15:U15"/>
    <mergeCell ref="V15:W15"/>
    <mergeCell ref="V13:W14"/>
    <mergeCell ref="V17:W17"/>
    <mergeCell ref="F10:G10"/>
    <mergeCell ref="S17:U17"/>
    <mergeCell ref="AB22:AC23"/>
    <mergeCell ref="V30:W31"/>
    <mergeCell ref="X30:Y31"/>
    <mergeCell ref="Z30:AA31"/>
    <mergeCell ref="AB30:AC31"/>
    <mergeCell ref="V22:W23"/>
    <mergeCell ref="X22:Y23"/>
    <mergeCell ref="Z22:AA23"/>
    <mergeCell ref="AB17:AC17"/>
    <mergeCell ref="AB18:AC18"/>
    <mergeCell ref="AB19:AC19"/>
    <mergeCell ref="AB20:AC20"/>
    <mergeCell ref="AB13:AC14"/>
    <mergeCell ref="AB15:AC15"/>
    <mergeCell ref="Z16:AA16"/>
    <mergeCell ref="AB16:AC16"/>
    <mergeCell ref="X16:Y16"/>
    <mergeCell ref="X19:Y19"/>
    <mergeCell ref="X20:Y20"/>
    <mergeCell ref="Z17:AA17"/>
    <mergeCell ref="Z18:AA18"/>
    <mergeCell ref="Z19:AA19"/>
    <mergeCell ref="Z20:AA20"/>
    <mergeCell ref="X17:Y17"/>
    <mergeCell ref="X18:Y18"/>
    <mergeCell ref="X13:Y14"/>
    <mergeCell ref="Z13:AA14"/>
    <mergeCell ref="X15:Y15"/>
    <mergeCell ref="Z15:AA15"/>
    <mergeCell ref="S48:U48"/>
    <mergeCell ref="V44:W45"/>
    <mergeCell ref="X44:Y45"/>
    <mergeCell ref="Z44:AA45"/>
    <mergeCell ref="S47:U47"/>
    <mergeCell ref="S27:U27"/>
    <mergeCell ref="S28:U28"/>
    <mergeCell ref="S34:U34"/>
    <mergeCell ref="S30:U32"/>
    <mergeCell ref="S33:U33"/>
    <mergeCell ref="S26:U26"/>
    <mergeCell ref="S18:U18"/>
    <mergeCell ref="S19:U19"/>
    <mergeCell ref="S25:U25"/>
    <mergeCell ref="V19:W19"/>
    <mergeCell ref="S20:U20"/>
    <mergeCell ref="S23:U24"/>
    <mergeCell ref="V20:W20"/>
    <mergeCell ref="V58:W59"/>
    <mergeCell ref="X58:Y59"/>
    <mergeCell ref="Z58:AA59"/>
    <mergeCell ref="AB58:AC59"/>
    <mergeCell ref="V51:W52"/>
    <mergeCell ref="X51:Y52"/>
    <mergeCell ref="Z51:AA52"/>
    <mergeCell ref="AB51:AC52"/>
  </mergeCells>
  <phoneticPr fontId="0" type="noConversion"/>
  <conditionalFormatting sqref="AL116:AO117">
    <cfRule type="cellIs" dxfId="100" priority="1" stopIfTrue="1" operator="equal">
      <formula>"yes"</formula>
    </cfRule>
    <cfRule type="cellIs" dxfId="99" priority="2" stopIfTrue="1" operator="equal">
      <formula>"no"</formula>
    </cfRule>
  </conditionalFormatting>
  <conditionalFormatting sqref="V30:V31 V44:V45 V51:V52 V58:V59 V13:V14 V22:V23">
    <cfRule type="cellIs" dxfId="98" priority="3" stopIfTrue="1" operator="equal">
      <formula>$AL$40</formula>
    </cfRule>
    <cfRule type="cellIs" dxfId="97" priority="4" stopIfTrue="1" operator="equal">
      <formula>$AN$40</formula>
    </cfRule>
    <cfRule type="cellIs" dxfId="96" priority="5" stopIfTrue="1" operator="equal">
      <formula>$AP$40</formula>
    </cfRule>
  </conditionalFormatting>
  <conditionalFormatting sqref="X22:X23 X30:X31 X44:X45 X58:X59 X51:X52 X13:X14">
    <cfRule type="cellIs" dxfId="95" priority="6" stopIfTrue="1" operator="equal">
      <formula>$AI$6</formula>
    </cfRule>
    <cfRule type="cellIs" dxfId="94" priority="7" stopIfTrue="1" operator="equal">
      <formula>$AM$33</formula>
    </cfRule>
    <cfRule type="cellIs" dxfId="93" priority="8" stopIfTrue="1" operator="equal">
      <formula>$AI$8</formula>
    </cfRule>
  </conditionalFormatting>
  <conditionalFormatting sqref="Z22:Z23 Z30:Z31 Z44:Z45 Z51:Z52 Z13:Z14 Z58:Z59">
    <cfRule type="cellIs" dxfId="92" priority="9" stopIfTrue="1" operator="equal">
      <formula>$AI$6</formula>
    </cfRule>
    <cfRule type="cellIs" dxfId="91" priority="10" stopIfTrue="1" operator="equal">
      <formula>$AI$7</formula>
    </cfRule>
    <cfRule type="cellIs" dxfId="90" priority="11" stopIfTrue="1" operator="equal">
      <formula>$AN$33</formula>
    </cfRule>
  </conditionalFormatting>
  <conditionalFormatting sqref="AL239:AL240 AL114:AL115 AL232:AL233 AL57:AL58 AL220:AL221 AL62:AL63 AL75:AL76 AL82:AL83 AL108:AL109 AL120:AL121 AL126:AL127 AL140:AL141 AL264:AL265 AL134:AL135 AL226:AL227 AL67:AL68 AL271:AL272 AJ287:AJ288 AL153:AL154 AL165:AL166 AL176:AL177 AL182:AL183 AL252:AL253 AL258:AL259 AM198:AM199 AL91 AL98">
    <cfRule type="cellIs" dxfId="89" priority="12" stopIfTrue="1" operator="equal">
      <formula>$U$35</formula>
    </cfRule>
    <cfRule type="cellIs" dxfId="88" priority="13" stopIfTrue="1" operator="equal">
      <formula>$W$35</formula>
    </cfRule>
    <cfRule type="cellIs" dxfId="87" priority="14" stopIfTrue="1" operator="equal">
      <formula>$Y$35</formula>
    </cfRule>
  </conditionalFormatting>
  <conditionalFormatting sqref="AM114:AM115 AM232:AM233 AM57:AM58 AM226:AM227 AM62:AM63 AM67:AM68 AM75:AM76 AM82:AM83 AM271:AM272 AM108:AM109 AM120:AM121 AM126:AM127 AM134:AM135 AM140:AM141 AM264:AM265 AM220:AM221 AM239:AM240 AK287:AK288 AM153:AM154 AM165:AM166 AM176:AM177 AM182:AM183 AM252:AM253 AM258:AM259 AN198:AN199 AM91 AM98">
    <cfRule type="cellIs" dxfId="86" priority="15" stopIfTrue="1" operator="equal">
      <formula>$R$6</formula>
    </cfRule>
    <cfRule type="cellIs" dxfId="85" priority="16" stopIfTrue="1" operator="equal">
      <formula>$V$33</formula>
    </cfRule>
    <cfRule type="cellIs" dxfId="84" priority="17" stopIfTrue="1" operator="equal">
      <formula>$R$8</formula>
    </cfRule>
  </conditionalFormatting>
  <conditionalFormatting sqref="AN114:AN115 AN134:AN135 AN232:AN233 AN57:AN58 AN226:AN227 AN62:AN63 AN67:AN68 AN75:AN76 AN82:AN83 AN271:AN272 AN108:AN109 AN120:AN121 AN126:AN127 AN140:AN141 AN264:AN265 AN220:AN221 AN239:AN240 AL287:AL288 AN153:AN154 AN165:AN166 AN176:AN177 AN182:AN183 AN252:AN253 AN258:AN259 AO198:AO199 AN91 AN98">
    <cfRule type="cellIs" dxfId="83" priority="18" stopIfTrue="1" operator="equal">
      <formula>$R$6</formula>
    </cfRule>
    <cfRule type="cellIs" dxfId="82" priority="19" stopIfTrue="1" operator="equal">
      <formula>$R$7</formula>
    </cfRule>
    <cfRule type="cellIs" dxfId="81" priority="20" stopIfTrue="1" operator="equal">
      <formula>$W$33</formula>
    </cfRule>
  </conditionalFormatting>
  <conditionalFormatting sqref="AI40 AI48">
    <cfRule type="cellIs" dxfId="80" priority="21" stopIfTrue="1" operator="equal">
      <formula>$AI$35</formula>
    </cfRule>
    <cfRule type="cellIs" dxfId="79" priority="22" stopIfTrue="1" operator="equal">
      <formula>$AK$35</formula>
    </cfRule>
    <cfRule type="cellIs" dxfId="78" priority="23" stopIfTrue="1" operator="equal">
      <formula>$AM$35</formula>
    </cfRule>
  </conditionalFormatting>
  <conditionalFormatting sqref="AI41 AI49">
    <cfRule type="cellIs" dxfId="77" priority="24" stopIfTrue="1" operator="equal">
      <formula>$AF$6</formula>
    </cfRule>
    <cfRule type="cellIs" dxfId="76" priority="25" stopIfTrue="1" operator="equal">
      <formula>$AJ$33</formula>
    </cfRule>
    <cfRule type="cellIs" dxfId="75" priority="26" stopIfTrue="1" operator="equal">
      <formula>$AF$8</formula>
    </cfRule>
  </conditionalFormatting>
  <conditionalFormatting sqref="AI42 AI50">
    <cfRule type="cellIs" dxfId="74" priority="27" stopIfTrue="1" operator="equal">
      <formula>$AF$6</formula>
    </cfRule>
    <cfRule type="cellIs" dxfId="73" priority="28" stopIfTrue="1" operator="equal">
      <formula>$AF$7</formula>
    </cfRule>
    <cfRule type="cellIs" dxfId="72" priority="29" stopIfTrue="1" operator="equal">
      <formula>$AK$33</formula>
    </cfRule>
  </conditionalFormatting>
  <pageMargins left="0" right="0" top="0.59055118110236227" bottom="0.39370078740157483" header="0.51181102362204722" footer="0.51181102362204722"/>
  <pageSetup paperSize="9" scale="96" fitToHeight="6"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sheetPr codeName="Sheet5">
    <pageSetUpPr autoPageBreaks="0" fitToPage="1"/>
  </sheetPr>
  <dimension ref="A1:P320"/>
  <sheetViews>
    <sheetView showRowColHeaders="0" workbookViewId="0">
      <selection activeCell="B2" sqref="B2:K3"/>
    </sheetView>
  </sheetViews>
  <sheetFormatPr defaultColWidth="10.7109375" defaultRowHeight="12.75" customHeight="1"/>
  <cols>
    <col min="1" max="1" width="10.7109375" customWidth="1"/>
    <col min="2" max="11" width="11.7109375" customWidth="1"/>
    <col min="12" max="12" width="4.7109375" customWidth="1"/>
  </cols>
  <sheetData>
    <row r="1" spans="1:15" ht="6" customHeight="1" thickBot="1">
      <c r="A1" s="114"/>
      <c r="B1" s="114"/>
      <c r="C1" s="114"/>
      <c r="D1" s="114"/>
      <c r="E1" s="114"/>
      <c r="F1" s="114"/>
      <c r="G1" s="114"/>
      <c r="H1" s="114"/>
      <c r="I1" s="114"/>
      <c r="J1" s="114"/>
      <c r="K1" s="114"/>
      <c r="L1" s="114"/>
      <c r="M1" s="114"/>
      <c r="N1" s="114"/>
      <c r="O1" s="114"/>
    </row>
    <row r="2" spans="1:15" ht="12.75" customHeight="1" thickTop="1">
      <c r="A2" s="114"/>
      <c r="B2" s="753" t="s">
        <v>440</v>
      </c>
      <c r="C2" s="754"/>
      <c r="D2" s="754"/>
      <c r="E2" s="754"/>
      <c r="F2" s="754"/>
      <c r="G2" s="754"/>
      <c r="H2" s="754"/>
      <c r="I2" s="754"/>
      <c r="J2" s="754"/>
      <c r="K2" s="755"/>
      <c r="L2" s="114"/>
      <c r="M2" s="114"/>
      <c r="N2" s="114"/>
      <c r="O2" s="114"/>
    </row>
    <row r="3" spans="1:15" ht="12.75" customHeight="1" thickBot="1">
      <c r="A3" s="114"/>
      <c r="B3" s="756"/>
      <c r="C3" s="757"/>
      <c r="D3" s="757"/>
      <c r="E3" s="757"/>
      <c r="F3" s="757"/>
      <c r="G3" s="757"/>
      <c r="H3" s="757"/>
      <c r="I3" s="757"/>
      <c r="J3" s="757"/>
      <c r="K3" s="758"/>
      <c r="L3" s="114"/>
      <c r="M3" s="114"/>
      <c r="N3" s="114"/>
      <c r="O3" s="114"/>
    </row>
    <row r="4" spans="1:15" ht="12.75" customHeight="1" thickTop="1" thickBot="1">
      <c r="A4" s="114"/>
      <c r="B4" s="114"/>
      <c r="C4" s="114"/>
      <c r="D4" s="114"/>
      <c r="E4" s="114"/>
      <c r="F4" s="114"/>
      <c r="G4" s="114"/>
      <c r="H4" s="114"/>
      <c r="I4" s="114"/>
      <c r="J4" s="114"/>
      <c r="K4" s="114"/>
      <c r="L4" s="114"/>
      <c r="M4" s="114"/>
      <c r="N4" s="114"/>
      <c r="O4" s="114"/>
    </row>
    <row r="5" spans="1:15" ht="3.95" customHeight="1" thickTop="1">
      <c r="A5" s="114"/>
      <c r="B5" s="773" t="s">
        <v>66</v>
      </c>
      <c r="C5" s="774"/>
      <c r="D5" s="774"/>
      <c r="E5" s="243"/>
      <c r="F5" s="243"/>
      <c r="G5" s="243"/>
      <c r="H5" s="243"/>
      <c r="I5" s="243"/>
      <c r="J5" s="243"/>
      <c r="K5" s="244"/>
      <c r="L5" s="116"/>
      <c r="M5" s="114"/>
      <c r="N5" s="114"/>
      <c r="O5" s="114"/>
    </row>
    <row r="6" spans="1:15" ht="18" customHeight="1">
      <c r="A6" s="114"/>
      <c r="B6" s="775"/>
      <c r="C6" s="776"/>
      <c r="D6" s="776"/>
      <c r="E6" s="245"/>
      <c r="F6" s="245"/>
      <c r="G6" s="245"/>
      <c r="H6" s="245"/>
      <c r="I6" s="245"/>
      <c r="J6" s="245"/>
      <c r="K6" s="246"/>
      <c r="L6" s="116"/>
      <c r="M6" s="114"/>
      <c r="N6" s="114"/>
      <c r="O6" s="114"/>
    </row>
    <row r="7" spans="1:15" ht="3.95" customHeight="1">
      <c r="A7" s="114"/>
      <c r="B7" s="775"/>
      <c r="C7" s="776"/>
      <c r="D7" s="776"/>
      <c r="E7" s="245"/>
      <c r="F7" s="245"/>
      <c r="G7" s="245"/>
      <c r="H7" s="245"/>
      <c r="I7" s="245"/>
      <c r="J7" s="245"/>
      <c r="K7" s="246"/>
      <c r="L7" s="116"/>
      <c r="M7" s="114"/>
      <c r="N7" s="114"/>
      <c r="O7" s="114"/>
    </row>
    <row r="8" spans="1:15" ht="18" customHeight="1">
      <c r="A8" s="114"/>
      <c r="B8" s="775"/>
      <c r="C8" s="776"/>
      <c r="D8" s="776"/>
      <c r="E8" s="245"/>
      <c r="F8" s="245"/>
      <c r="G8" s="245"/>
      <c r="H8" s="245"/>
      <c r="I8" s="245"/>
      <c r="J8" s="245"/>
      <c r="K8" s="246"/>
      <c r="L8" s="116"/>
      <c r="M8" s="114"/>
      <c r="N8" s="114"/>
      <c r="O8" s="114"/>
    </row>
    <row r="9" spans="1:15" ht="3.95" customHeight="1">
      <c r="A9" s="114"/>
      <c r="B9" s="775"/>
      <c r="C9" s="776"/>
      <c r="D9" s="776"/>
      <c r="E9" s="245"/>
      <c r="F9" s="245"/>
      <c r="G9" s="245"/>
      <c r="H9" s="245"/>
      <c r="I9" s="245"/>
      <c r="J9" s="245"/>
      <c r="K9" s="246"/>
      <c r="L9" s="116"/>
      <c r="M9" s="114"/>
      <c r="N9" s="114"/>
      <c r="O9" s="114"/>
    </row>
    <row r="10" spans="1:15" ht="18" customHeight="1">
      <c r="A10" s="114"/>
      <c r="B10" s="775"/>
      <c r="C10" s="776"/>
      <c r="D10" s="776"/>
      <c r="E10" s="245"/>
      <c r="F10" s="245"/>
      <c r="G10" s="245"/>
      <c r="H10" s="245"/>
      <c r="I10" s="245"/>
      <c r="J10" s="245"/>
      <c r="K10" s="246"/>
      <c r="L10" s="116"/>
      <c r="M10" s="114"/>
      <c r="N10" s="114"/>
      <c r="O10" s="114"/>
    </row>
    <row r="11" spans="1:15" ht="3.95" customHeight="1" thickBot="1">
      <c r="A11" s="114"/>
      <c r="B11" s="777"/>
      <c r="C11" s="778"/>
      <c r="D11" s="778"/>
      <c r="E11" s="247"/>
      <c r="F11" s="247"/>
      <c r="G11" s="247"/>
      <c r="H11" s="247"/>
      <c r="I11" s="247"/>
      <c r="J11" s="247"/>
      <c r="K11" s="248"/>
      <c r="L11" s="116"/>
      <c r="M11" s="114"/>
      <c r="N11" s="114"/>
      <c r="O11" s="114"/>
    </row>
    <row r="12" spans="1:15" ht="9.9499999999999993" customHeight="1" thickTop="1" thickBot="1">
      <c r="A12" s="114"/>
      <c r="B12" s="114"/>
      <c r="C12" s="114"/>
      <c r="D12" s="239"/>
      <c r="E12" s="240"/>
      <c r="F12" s="239"/>
      <c r="G12" s="240"/>
      <c r="H12" s="239"/>
      <c r="I12" s="114"/>
      <c r="J12" s="114"/>
      <c r="K12" s="240"/>
      <c r="L12" s="115"/>
      <c r="M12" s="114"/>
      <c r="N12" s="114"/>
      <c r="O12" s="114"/>
    </row>
    <row r="13" spans="1:15" ht="3.95" customHeight="1" thickTop="1">
      <c r="A13" s="114"/>
      <c r="B13" s="767" t="s">
        <v>40</v>
      </c>
      <c r="C13" s="768"/>
      <c r="D13" s="768"/>
      <c r="E13" s="243"/>
      <c r="F13" s="233"/>
      <c r="G13" s="243"/>
      <c r="H13" s="233"/>
      <c r="I13" s="249"/>
      <c r="J13" s="249"/>
      <c r="K13" s="244"/>
      <c r="L13" s="115"/>
      <c r="M13" s="114"/>
      <c r="N13" s="114"/>
      <c r="O13" s="114"/>
    </row>
    <row r="14" spans="1:15" ht="18" customHeight="1">
      <c r="A14" s="114"/>
      <c r="B14" s="769"/>
      <c r="C14" s="770"/>
      <c r="D14" s="770"/>
      <c r="E14" s="250"/>
      <c r="F14" s="251"/>
      <c r="G14" s="250"/>
      <c r="H14" s="251"/>
      <c r="I14" s="252"/>
      <c r="J14" s="252"/>
      <c r="K14" s="253"/>
      <c r="L14" s="115"/>
      <c r="M14" s="114"/>
      <c r="N14" s="114"/>
      <c r="O14" s="114"/>
    </row>
    <row r="15" spans="1:15" ht="3.95" customHeight="1">
      <c r="A15" s="114"/>
      <c r="B15" s="769"/>
      <c r="C15" s="770"/>
      <c r="D15" s="770"/>
      <c r="E15" s="250"/>
      <c r="F15" s="250"/>
      <c r="G15" s="250"/>
      <c r="H15" s="250"/>
      <c r="I15" s="252"/>
      <c r="J15" s="252"/>
      <c r="K15" s="253"/>
      <c r="L15" s="115"/>
      <c r="M15" s="114"/>
      <c r="N15" s="114"/>
      <c r="O15" s="114"/>
    </row>
    <row r="16" spans="1:15" ht="18" customHeight="1">
      <c r="A16" s="114"/>
      <c r="B16" s="769"/>
      <c r="C16" s="770"/>
      <c r="D16" s="770"/>
      <c r="E16" s="252"/>
      <c r="F16" s="254"/>
      <c r="G16" s="252"/>
      <c r="H16" s="254"/>
      <c r="I16" s="252"/>
      <c r="J16" s="254"/>
      <c r="K16" s="255"/>
      <c r="L16" s="115"/>
      <c r="M16" s="114"/>
      <c r="N16" s="114"/>
      <c r="O16" s="114"/>
    </row>
    <row r="17" spans="1:16" ht="3.95" customHeight="1">
      <c r="A17" s="114"/>
      <c r="B17" s="769"/>
      <c r="C17" s="770"/>
      <c r="D17" s="770"/>
      <c r="E17" s="252"/>
      <c r="F17" s="254"/>
      <c r="G17" s="252"/>
      <c r="H17" s="254"/>
      <c r="I17" s="252"/>
      <c r="J17" s="254"/>
      <c r="K17" s="255"/>
      <c r="L17" s="115"/>
      <c r="M17" s="114"/>
      <c r="N17" s="114"/>
      <c r="O17" s="114"/>
    </row>
    <row r="18" spans="1:16" ht="18" customHeight="1">
      <c r="A18" s="114"/>
      <c r="B18" s="769"/>
      <c r="C18" s="770"/>
      <c r="D18" s="770"/>
      <c r="E18" s="252"/>
      <c r="F18" s="251"/>
      <c r="G18" s="252"/>
      <c r="H18" s="251"/>
      <c r="I18" s="252"/>
      <c r="J18" s="251"/>
      <c r="K18" s="255"/>
      <c r="L18" s="115"/>
      <c r="M18" s="114"/>
      <c r="N18" s="114"/>
      <c r="O18" s="114"/>
    </row>
    <row r="19" spans="1:16" ht="3.95" customHeight="1">
      <c r="A19" s="114"/>
      <c r="B19" s="769"/>
      <c r="C19" s="770"/>
      <c r="D19" s="770"/>
      <c r="E19" s="250"/>
      <c r="F19" s="250"/>
      <c r="G19" s="250"/>
      <c r="H19" s="250"/>
      <c r="I19" s="250"/>
      <c r="J19" s="250"/>
      <c r="K19" s="253"/>
      <c r="L19" s="115"/>
      <c r="M19" s="114"/>
      <c r="N19" s="114"/>
      <c r="O19" s="114"/>
    </row>
    <row r="20" spans="1:16" ht="18" customHeight="1">
      <c r="A20" s="242"/>
      <c r="B20" s="769"/>
      <c r="C20" s="770"/>
      <c r="D20" s="770"/>
      <c r="E20" s="245"/>
      <c r="F20" s="254"/>
      <c r="G20" s="245"/>
      <c r="H20" s="245"/>
      <c r="I20" s="245"/>
      <c r="J20" s="245"/>
      <c r="K20" s="246"/>
      <c r="L20" s="116"/>
      <c r="M20" s="242"/>
      <c r="N20" s="242"/>
      <c r="O20" s="127"/>
      <c r="P20" s="28"/>
    </row>
    <row r="21" spans="1:16" ht="3.95" customHeight="1">
      <c r="A21" s="242"/>
      <c r="B21" s="769"/>
      <c r="C21" s="770"/>
      <c r="D21" s="770"/>
      <c r="E21" s="252"/>
      <c r="F21" s="254"/>
      <c r="G21" s="252"/>
      <c r="H21" s="252"/>
      <c r="I21" s="252"/>
      <c r="J21" s="245"/>
      <c r="K21" s="246"/>
      <c r="L21" s="116"/>
      <c r="M21" s="242"/>
      <c r="N21" s="242"/>
      <c r="O21" s="127"/>
      <c r="P21" s="28"/>
    </row>
    <row r="22" spans="1:16" ht="18" customHeight="1">
      <c r="A22" s="242"/>
      <c r="B22" s="769"/>
      <c r="C22" s="770"/>
      <c r="D22" s="770"/>
      <c r="E22" s="252"/>
      <c r="F22" s="254"/>
      <c r="G22" s="252"/>
      <c r="H22" s="252"/>
      <c r="I22" s="252"/>
      <c r="J22" s="245"/>
      <c r="K22" s="246"/>
      <c r="L22" s="116"/>
      <c r="M22" s="242"/>
      <c r="N22" s="242"/>
      <c r="O22" s="127"/>
      <c r="P22" s="28"/>
    </row>
    <row r="23" spans="1:16" ht="3.95" customHeight="1">
      <c r="A23" s="242"/>
      <c r="B23" s="769"/>
      <c r="C23" s="770"/>
      <c r="D23" s="770"/>
      <c r="E23" s="252"/>
      <c r="F23" s="254"/>
      <c r="G23" s="252"/>
      <c r="H23" s="252"/>
      <c r="I23" s="252"/>
      <c r="J23" s="245"/>
      <c r="K23" s="246"/>
      <c r="L23" s="116"/>
      <c r="M23" s="242"/>
      <c r="N23" s="242"/>
      <c r="O23" s="127"/>
      <c r="P23" s="28"/>
    </row>
    <row r="24" spans="1:16" ht="18" customHeight="1">
      <c r="A24" s="242"/>
      <c r="B24" s="769"/>
      <c r="C24" s="770"/>
      <c r="D24" s="770"/>
      <c r="E24" s="252"/>
      <c r="F24" s="254"/>
      <c r="G24" s="252"/>
      <c r="H24" s="252"/>
      <c r="I24" s="252"/>
      <c r="J24" s="245"/>
      <c r="K24" s="246"/>
      <c r="L24" s="116"/>
      <c r="M24" s="242"/>
      <c r="N24" s="242"/>
      <c r="O24" s="127"/>
      <c r="P24" s="28"/>
    </row>
    <row r="25" spans="1:16" ht="3.95" customHeight="1" thickBot="1">
      <c r="A25" s="242"/>
      <c r="B25" s="771"/>
      <c r="C25" s="772"/>
      <c r="D25" s="772"/>
      <c r="E25" s="256"/>
      <c r="F25" s="257"/>
      <c r="G25" s="256"/>
      <c r="H25" s="256"/>
      <c r="I25" s="256"/>
      <c r="J25" s="247"/>
      <c r="K25" s="248"/>
      <c r="L25" s="116"/>
      <c r="M25" s="242"/>
      <c r="N25" s="242"/>
      <c r="O25" s="127"/>
      <c r="P25" s="28"/>
    </row>
    <row r="26" spans="1:16" ht="9.9499999999999993" customHeight="1" thickTop="1" thickBot="1">
      <c r="A26" s="242"/>
      <c r="B26" s="114"/>
      <c r="C26" s="114"/>
      <c r="D26" s="116"/>
      <c r="E26" s="114"/>
      <c r="F26" s="239"/>
      <c r="G26" s="114"/>
      <c r="H26" s="114"/>
      <c r="I26" s="114"/>
      <c r="J26" s="116"/>
      <c r="K26" s="116"/>
      <c r="L26" s="116"/>
      <c r="M26" s="242"/>
      <c r="N26" s="242"/>
      <c r="O26" s="127"/>
      <c r="P26" s="28"/>
    </row>
    <row r="27" spans="1:16" ht="3.95" customHeight="1" thickTop="1">
      <c r="A27" s="242"/>
      <c r="B27" s="767" t="s">
        <v>326</v>
      </c>
      <c r="C27" s="768"/>
      <c r="D27" s="768"/>
      <c r="E27" s="249"/>
      <c r="F27" s="233"/>
      <c r="G27" s="249"/>
      <c r="H27" s="249"/>
      <c r="I27" s="249"/>
      <c r="J27" s="258"/>
      <c r="K27" s="232"/>
      <c r="L27" s="116"/>
      <c r="M27" s="242"/>
      <c r="N27" s="242"/>
      <c r="O27" s="127"/>
      <c r="P27" s="28"/>
    </row>
    <row r="28" spans="1:16" ht="18" customHeight="1">
      <c r="A28" s="242"/>
      <c r="B28" s="769"/>
      <c r="C28" s="770"/>
      <c r="D28" s="770"/>
      <c r="E28" s="252"/>
      <c r="F28" s="251"/>
      <c r="G28" s="252"/>
      <c r="H28" s="252"/>
      <c r="I28" s="252"/>
      <c r="J28" s="245"/>
      <c r="K28" s="246"/>
      <c r="L28" s="116"/>
      <c r="M28" s="242"/>
      <c r="N28" s="242"/>
      <c r="O28" s="127"/>
      <c r="P28" s="28"/>
    </row>
    <row r="29" spans="1:16" ht="3.95" customHeight="1">
      <c r="A29" s="242"/>
      <c r="B29" s="769"/>
      <c r="C29" s="770"/>
      <c r="D29" s="770"/>
      <c r="E29" s="252"/>
      <c r="F29" s="251"/>
      <c r="G29" s="252"/>
      <c r="H29" s="252"/>
      <c r="I29" s="252"/>
      <c r="J29" s="245"/>
      <c r="K29" s="246"/>
      <c r="L29" s="116"/>
      <c r="M29" s="242"/>
      <c r="N29" s="242"/>
      <c r="O29" s="127"/>
      <c r="P29" s="28"/>
    </row>
    <row r="30" spans="1:16" ht="18" customHeight="1">
      <c r="A30" s="242"/>
      <c r="B30" s="769"/>
      <c r="C30" s="770"/>
      <c r="D30" s="770"/>
      <c r="E30" s="252"/>
      <c r="F30" s="251"/>
      <c r="G30" s="252"/>
      <c r="H30" s="252"/>
      <c r="I30" s="252"/>
      <c r="J30" s="245"/>
      <c r="K30" s="246"/>
      <c r="L30" s="116"/>
      <c r="M30" s="242"/>
      <c r="N30" s="242"/>
      <c r="O30" s="127"/>
      <c r="P30" s="28"/>
    </row>
    <row r="31" spans="1:16" ht="3.95" customHeight="1">
      <c r="A31" s="242"/>
      <c r="B31" s="769"/>
      <c r="C31" s="770"/>
      <c r="D31" s="770"/>
      <c r="E31" s="252"/>
      <c r="F31" s="251"/>
      <c r="G31" s="252"/>
      <c r="H31" s="252"/>
      <c r="I31" s="252"/>
      <c r="J31" s="245"/>
      <c r="K31" s="246"/>
      <c r="L31" s="116"/>
      <c r="M31" s="242"/>
      <c r="N31" s="242"/>
      <c r="O31" s="127"/>
      <c r="P31" s="28"/>
    </row>
    <row r="32" spans="1:16" ht="18" customHeight="1">
      <c r="A32" s="242"/>
      <c r="B32" s="769"/>
      <c r="C32" s="770"/>
      <c r="D32" s="770"/>
      <c r="E32" s="252"/>
      <c r="F32" s="251"/>
      <c r="G32" s="252"/>
      <c r="H32" s="252"/>
      <c r="I32" s="252"/>
      <c r="J32" s="245"/>
      <c r="K32" s="246"/>
      <c r="L32" s="116"/>
      <c r="M32" s="242"/>
      <c r="N32" s="242"/>
      <c r="O32" s="127"/>
      <c r="P32" s="28"/>
    </row>
    <row r="33" spans="1:16" ht="3.95" customHeight="1">
      <c r="A33" s="242"/>
      <c r="B33" s="769"/>
      <c r="C33" s="770"/>
      <c r="D33" s="770"/>
      <c r="E33" s="252"/>
      <c r="F33" s="251"/>
      <c r="G33" s="252"/>
      <c r="H33" s="252"/>
      <c r="I33" s="252"/>
      <c r="J33" s="245"/>
      <c r="K33" s="246"/>
      <c r="L33" s="116"/>
      <c r="M33" s="242"/>
      <c r="N33" s="242"/>
      <c r="O33" s="127"/>
      <c r="P33" s="28"/>
    </row>
    <row r="34" spans="1:16" ht="18" customHeight="1">
      <c r="A34" s="242"/>
      <c r="B34" s="769"/>
      <c r="C34" s="770"/>
      <c r="D34" s="770"/>
      <c r="E34" s="251"/>
      <c r="F34" s="251"/>
      <c r="G34" s="251"/>
      <c r="H34" s="251"/>
      <c r="I34" s="259"/>
      <c r="J34" s="259"/>
      <c r="K34" s="255"/>
      <c r="L34" s="116"/>
      <c r="M34" s="242"/>
      <c r="N34" s="242"/>
      <c r="O34" s="127"/>
      <c r="P34" s="28"/>
    </row>
    <row r="35" spans="1:16" ht="3.95" customHeight="1">
      <c r="A35" s="242"/>
      <c r="B35" s="769"/>
      <c r="C35" s="770"/>
      <c r="D35" s="770"/>
      <c r="E35" s="252"/>
      <c r="F35" s="254"/>
      <c r="G35" s="252"/>
      <c r="H35" s="254"/>
      <c r="I35" s="252"/>
      <c r="J35" s="254"/>
      <c r="K35" s="255"/>
      <c r="L35" s="116"/>
      <c r="M35" s="242"/>
      <c r="N35" s="242"/>
      <c r="O35" s="127"/>
      <c r="P35" s="28"/>
    </row>
    <row r="36" spans="1:16" ht="18" customHeight="1">
      <c r="A36" s="242"/>
      <c r="B36" s="769"/>
      <c r="C36" s="770"/>
      <c r="D36" s="770"/>
      <c r="E36" s="252"/>
      <c r="F36" s="254"/>
      <c r="G36" s="252"/>
      <c r="H36" s="254"/>
      <c r="I36" s="252"/>
      <c r="J36" s="254"/>
      <c r="K36" s="255"/>
      <c r="L36" s="116"/>
      <c r="M36" s="242"/>
      <c r="N36" s="242"/>
      <c r="O36" s="127"/>
      <c r="P36" s="28"/>
    </row>
    <row r="37" spans="1:16" ht="3.95" customHeight="1" thickBot="1">
      <c r="A37" s="242"/>
      <c r="B37" s="771"/>
      <c r="C37" s="772"/>
      <c r="D37" s="772"/>
      <c r="E37" s="256"/>
      <c r="F37" s="257"/>
      <c r="G37" s="256"/>
      <c r="H37" s="257"/>
      <c r="I37" s="256"/>
      <c r="J37" s="257"/>
      <c r="K37" s="260"/>
      <c r="L37" s="116"/>
      <c r="M37" s="242"/>
      <c r="N37" s="242"/>
      <c r="O37" s="127"/>
      <c r="P37" s="28"/>
    </row>
    <row r="38" spans="1:16" ht="9.9499999999999993" customHeight="1" thickTop="1" thickBot="1">
      <c r="A38" s="242"/>
      <c r="B38" s="114"/>
      <c r="C38" s="114"/>
      <c r="D38" s="116"/>
      <c r="E38" s="114"/>
      <c r="F38" s="239"/>
      <c r="G38" s="114"/>
      <c r="H38" s="114"/>
      <c r="I38" s="114"/>
      <c r="J38" s="116"/>
      <c r="K38" s="116"/>
      <c r="L38" s="116"/>
      <c r="M38" s="242"/>
      <c r="N38" s="242"/>
      <c r="O38" s="127"/>
      <c r="P38" s="28"/>
    </row>
    <row r="39" spans="1:16" ht="3.95" customHeight="1" thickTop="1">
      <c r="A39" s="242"/>
      <c r="B39" s="767" t="s">
        <v>67</v>
      </c>
      <c r="C39" s="768"/>
      <c r="D39" s="768"/>
      <c r="E39" s="249"/>
      <c r="F39" s="233"/>
      <c r="G39" s="249"/>
      <c r="H39" s="233"/>
      <c r="I39" s="249"/>
      <c r="J39" s="233"/>
      <c r="K39" s="261"/>
      <c r="L39" s="116"/>
      <c r="M39" s="242"/>
      <c r="N39" s="242"/>
      <c r="O39" s="127"/>
      <c r="P39" s="28"/>
    </row>
    <row r="40" spans="1:16" ht="18" customHeight="1">
      <c r="A40" s="242"/>
      <c r="B40" s="769"/>
      <c r="C40" s="770"/>
      <c r="D40" s="770"/>
      <c r="E40" s="252"/>
      <c r="F40" s="251"/>
      <c r="G40" s="252"/>
      <c r="H40" s="251"/>
      <c r="I40" s="252"/>
      <c r="J40" s="251"/>
      <c r="K40" s="255"/>
      <c r="L40" s="116"/>
      <c r="M40" s="242"/>
      <c r="N40" s="242"/>
      <c r="O40" s="127"/>
      <c r="P40" s="28"/>
    </row>
    <row r="41" spans="1:16" ht="3.95" customHeight="1">
      <c r="A41" s="242"/>
      <c r="B41" s="769"/>
      <c r="C41" s="770"/>
      <c r="D41" s="770"/>
      <c r="E41" s="252"/>
      <c r="F41" s="251"/>
      <c r="G41" s="252"/>
      <c r="H41" s="251"/>
      <c r="I41" s="252"/>
      <c r="J41" s="251"/>
      <c r="K41" s="255"/>
      <c r="L41" s="116"/>
      <c r="M41" s="242"/>
      <c r="N41" s="242"/>
      <c r="O41" s="127"/>
      <c r="P41" s="28"/>
    </row>
    <row r="42" spans="1:16" ht="18" customHeight="1">
      <c r="A42" s="242"/>
      <c r="B42" s="769"/>
      <c r="C42" s="770"/>
      <c r="D42" s="770"/>
      <c r="E42" s="252"/>
      <c r="F42" s="251"/>
      <c r="G42" s="252"/>
      <c r="H42" s="251"/>
      <c r="I42" s="252"/>
      <c r="J42" s="251"/>
      <c r="K42" s="255"/>
      <c r="L42" s="116"/>
      <c r="M42" s="242"/>
      <c r="N42" s="242"/>
      <c r="O42" s="127"/>
      <c r="P42" s="28"/>
    </row>
    <row r="43" spans="1:16" ht="3.95" customHeight="1">
      <c r="A43" s="242"/>
      <c r="B43" s="769"/>
      <c r="C43" s="770"/>
      <c r="D43" s="770"/>
      <c r="E43" s="252"/>
      <c r="F43" s="251"/>
      <c r="G43" s="252"/>
      <c r="H43" s="251"/>
      <c r="I43" s="252"/>
      <c r="J43" s="251"/>
      <c r="K43" s="255"/>
      <c r="L43" s="116"/>
      <c r="M43" s="242"/>
      <c r="N43" s="242"/>
      <c r="O43" s="127"/>
      <c r="P43" s="28"/>
    </row>
    <row r="44" spans="1:16" ht="18" customHeight="1">
      <c r="A44" s="242"/>
      <c r="B44" s="769"/>
      <c r="C44" s="770"/>
      <c r="D44" s="770"/>
      <c r="E44" s="252"/>
      <c r="F44" s="251"/>
      <c r="G44" s="251"/>
      <c r="H44" s="251"/>
      <c r="I44" s="259"/>
      <c r="J44" s="259"/>
      <c r="K44" s="255"/>
      <c r="L44" s="116"/>
      <c r="M44" s="242"/>
      <c r="N44" s="242"/>
      <c r="O44" s="127"/>
      <c r="P44" s="28"/>
    </row>
    <row r="45" spans="1:16" ht="3.95" customHeight="1" thickBot="1">
      <c r="A45" s="242"/>
      <c r="B45" s="771"/>
      <c r="C45" s="772"/>
      <c r="D45" s="772"/>
      <c r="E45" s="256"/>
      <c r="F45" s="262"/>
      <c r="G45" s="262"/>
      <c r="H45" s="262"/>
      <c r="I45" s="263"/>
      <c r="J45" s="263"/>
      <c r="K45" s="260"/>
      <c r="L45" s="116"/>
      <c r="M45" s="242"/>
      <c r="N45" s="242"/>
      <c r="O45" s="127"/>
      <c r="P45" s="28"/>
    </row>
    <row r="46" spans="1:16" ht="9.9499999999999993" customHeight="1" thickTop="1" thickBot="1">
      <c r="A46" s="242"/>
      <c r="B46" s="114"/>
      <c r="C46" s="114"/>
      <c r="D46" s="114"/>
      <c r="E46" s="114"/>
      <c r="F46" s="114"/>
      <c r="G46" s="114"/>
      <c r="H46" s="114"/>
      <c r="I46" s="114"/>
      <c r="J46" s="114"/>
      <c r="K46" s="114"/>
      <c r="L46" s="242"/>
      <c r="M46" s="242"/>
      <c r="N46" s="242"/>
      <c r="O46" s="127"/>
      <c r="P46" s="28"/>
    </row>
    <row r="47" spans="1:16" ht="3.95" customHeight="1" thickTop="1">
      <c r="A47" s="242"/>
      <c r="B47" s="779" t="s">
        <v>246</v>
      </c>
      <c r="C47" s="780"/>
      <c r="D47" s="780"/>
      <c r="E47" s="249"/>
      <c r="F47" s="233"/>
      <c r="G47" s="233"/>
      <c r="H47" s="233"/>
      <c r="I47" s="264"/>
      <c r="J47" s="264"/>
      <c r="K47" s="261"/>
      <c r="L47" s="242"/>
      <c r="M47" s="242"/>
      <c r="N47" s="242"/>
      <c r="O47" s="127"/>
      <c r="P47" s="28"/>
    </row>
    <row r="48" spans="1:16" ht="18" customHeight="1">
      <c r="A48" s="242"/>
      <c r="B48" s="781"/>
      <c r="C48" s="782"/>
      <c r="D48" s="782"/>
      <c r="E48" s="252"/>
      <c r="F48" s="251"/>
      <c r="G48" s="251"/>
      <c r="H48" s="251"/>
      <c r="I48" s="259"/>
      <c r="J48" s="259"/>
      <c r="K48" s="255"/>
      <c r="L48" s="242"/>
      <c r="M48" s="242"/>
      <c r="N48" s="242"/>
      <c r="O48" s="127"/>
      <c r="P48" s="28"/>
    </row>
    <row r="49" spans="1:16" ht="3.95" customHeight="1">
      <c r="A49" s="242"/>
      <c r="B49" s="781"/>
      <c r="C49" s="782"/>
      <c r="D49" s="782"/>
      <c r="E49" s="252"/>
      <c r="F49" s="251"/>
      <c r="G49" s="251"/>
      <c r="H49" s="251"/>
      <c r="I49" s="259"/>
      <c r="J49" s="259"/>
      <c r="K49" s="255"/>
      <c r="L49" s="242"/>
      <c r="M49" s="242"/>
      <c r="N49" s="242"/>
      <c r="O49" s="127"/>
      <c r="P49" s="28"/>
    </row>
    <row r="50" spans="1:16" ht="18" customHeight="1">
      <c r="A50" s="242"/>
      <c r="B50" s="781"/>
      <c r="C50" s="782"/>
      <c r="D50" s="782"/>
      <c r="E50" s="252"/>
      <c r="F50" s="251"/>
      <c r="G50" s="251"/>
      <c r="H50" s="251"/>
      <c r="I50" s="259"/>
      <c r="J50" s="259"/>
      <c r="K50" s="255"/>
      <c r="L50" s="242"/>
      <c r="M50" s="242"/>
      <c r="N50" s="242"/>
      <c r="O50" s="127"/>
      <c r="P50" s="28"/>
    </row>
    <row r="51" spans="1:16" ht="3.95" customHeight="1">
      <c r="A51" s="242"/>
      <c r="B51" s="781"/>
      <c r="C51" s="782"/>
      <c r="D51" s="782"/>
      <c r="E51" s="252"/>
      <c r="F51" s="251"/>
      <c r="G51" s="251"/>
      <c r="H51" s="251"/>
      <c r="I51" s="259"/>
      <c r="J51" s="259"/>
      <c r="K51" s="255"/>
      <c r="L51" s="242"/>
      <c r="M51" s="242"/>
      <c r="N51" s="242"/>
      <c r="O51" s="127"/>
      <c r="P51" s="28"/>
    </row>
    <row r="52" spans="1:16" ht="18" customHeight="1">
      <c r="A52" s="242"/>
      <c r="B52" s="781"/>
      <c r="C52" s="782"/>
      <c r="D52" s="782"/>
      <c r="E52" s="252"/>
      <c r="F52" s="251"/>
      <c r="G52" s="251"/>
      <c r="H52" s="251"/>
      <c r="I52" s="259"/>
      <c r="J52" s="259"/>
      <c r="K52" s="255"/>
      <c r="L52" s="242"/>
      <c r="M52" s="242"/>
      <c r="N52" s="242"/>
      <c r="O52" s="127"/>
      <c r="P52" s="28"/>
    </row>
    <row r="53" spans="1:16" ht="3.95" customHeight="1">
      <c r="A53" s="242"/>
      <c r="B53" s="781"/>
      <c r="C53" s="782"/>
      <c r="D53" s="782"/>
      <c r="E53" s="252"/>
      <c r="F53" s="251"/>
      <c r="G53" s="251"/>
      <c r="H53" s="251"/>
      <c r="I53" s="259"/>
      <c r="J53" s="259"/>
      <c r="K53" s="255"/>
      <c r="L53" s="242"/>
      <c r="M53" s="242"/>
      <c r="N53" s="242"/>
      <c r="O53" s="127"/>
      <c r="P53" s="28"/>
    </row>
    <row r="54" spans="1:16" ht="18" customHeight="1">
      <c r="A54" s="242"/>
      <c r="B54" s="781"/>
      <c r="C54" s="782"/>
      <c r="D54" s="782"/>
      <c r="E54" s="252"/>
      <c r="F54" s="251"/>
      <c r="G54" s="251"/>
      <c r="H54" s="251"/>
      <c r="I54" s="259"/>
      <c r="J54" s="259"/>
      <c r="K54" s="255"/>
      <c r="L54" s="242"/>
      <c r="M54" s="242"/>
      <c r="N54" s="242"/>
      <c r="O54" s="127"/>
      <c r="P54" s="28"/>
    </row>
    <row r="55" spans="1:16" ht="3.95" customHeight="1" thickBot="1">
      <c r="A55" s="242"/>
      <c r="B55" s="783"/>
      <c r="C55" s="784"/>
      <c r="D55" s="784"/>
      <c r="E55" s="256"/>
      <c r="F55" s="262"/>
      <c r="G55" s="262"/>
      <c r="H55" s="262"/>
      <c r="I55" s="263"/>
      <c r="J55" s="263"/>
      <c r="K55" s="260"/>
      <c r="L55" s="242"/>
      <c r="M55" s="242"/>
      <c r="N55" s="242"/>
      <c r="O55" s="127"/>
      <c r="P55" s="28"/>
    </row>
    <row r="56" spans="1:16" ht="9.9499999999999993" customHeight="1" thickTop="1" thickBot="1">
      <c r="A56" s="242"/>
      <c r="B56" s="114"/>
      <c r="C56" s="114"/>
      <c r="D56" s="241"/>
      <c r="E56" s="114"/>
      <c r="F56" s="241"/>
      <c r="G56" s="114"/>
      <c r="H56" s="241"/>
      <c r="I56" s="114"/>
      <c r="J56" s="242"/>
      <c r="K56" s="242"/>
      <c r="L56" s="242"/>
      <c r="M56" s="242"/>
      <c r="N56" s="242"/>
      <c r="O56" s="127"/>
      <c r="P56" s="28"/>
    </row>
    <row r="57" spans="1:16" ht="3.95" customHeight="1" thickTop="1">
      <c r="A57" s="242"/>
      <c r="B57" s="767" t="s">
        <v>309</v>
      </c>
      <c r="C57" s="768"/>
      <c r="D57" s="768"/>
      <c r="E57" s="249"/>
      <c r="F57" s="265"/>
      <c r="G57" s="249"/>
      <c r="H57" s="265"/>
      <c r="I57" s="249"/>
      <c r="J57" s="264"/>
      <c r="K57" s="261"/>
      <c r="L57" s="242"/>
      <c r="M57" s="242"/>
      <c r="N57" s="242"/>
      <c r="O57" s="127"/>
      <c r="P57" s="28"/>
    </row>
    <row r="58" spans="1:16" ht="18" customHeight="1">
      <c r="A58" s="242"/>
      <c r="B58" s="769"/>
      <c r="C58" s="770"/>
      <c r="D58" s="770"/>
      <c r="E58" s="252"/>
      <c r="F58" s="254"/>
      <c r="G58" s="252"/>
      <c r="H58" s="254"/>
      <c r="I58" s="252"/>
      <c r="J58" s="259"/>
      <c r="K58" s="255"/>
      <c r="L58" s="242"/>
      <c r="M58" s="242"/>
      <c r="N58" s="242"/>
      <c r="O58" s="127"/>
      <c r="P58" s="28"/>
    </row>
    <row r="59" spans="1:16" ht="3.95" customHeight="1">
      <c r="A59" s="242"/>
      <c r="B59" s="769"/>
      <c r="C59" s="770"/>
      <c r="D59" s="770"/>
      <c r="E59" s="252"/>
      <c r="F59" s="254"/>
      <c r="G59" s="252"/>
      <c r="H59" s="251"/>
      <c r="I59" s="252"/>
      <c r="J59" s="259"/>
      <c r="K59" s="255"/>
      <c r="L59" s="242"/>
      <c r="M59" s="242"/>
      <c r="N59" s="242"/>
      <c r="O59" s="127"/>
      <c r="P59" s="28"/>
    </row>
    <row r="60" spans="1:16" ht="18" customHeight="1">
      <c r="A60" s="242"/>
      <c r="B60" s="769"/>
      <c r="C60" s="770"/>
      <c r="D60" s="770"/>
      <c r="E60" s="252"/>
      <c r="F60" s="254"/>
      <c r="G60" s="252"/>
      <c r="H60" s="251"/>
      <c r="I60" s="252"/>
      <c r="J60" s="259"/>
      <c r="K60" s="255"/>
      <c r="L60" s="242"/>
      <c r="M60" s="242"/>
      <c r="N60" s="242"/>
      <c r="O60" s="127"/>
      <c r="P60" s="28"/>
    </row>
    <row r="61" spans="1:16" ht="3.95" customHeight="1">
      <c r="A61" s="242"/>
      <c r="B61" s="769"/>
      <c r="C61" s="770"/>
      <c r="D61" s="770"/>
      <c r="E61" s="252"/>
      <c r="F61" s="254"/>
      <c r="G61" s="252"/>
      <c r="H61" s="251"/>
      <c r="I61" s="252"/>
      <c r="J61" s="259"/>
      <c r="K61" s="255"/>
      <c r="L61" s="242"/>
      <c r="M61" s="242"/>
      <c r="N61" s="242"/>
      <c r="O61" s="127"/>
      <c r="P61" s="28"/>
    </row>
    <row r="62" spans="1:16" ht="18" customHeight="1">
      <c r="A62" s="242"/>
      <c r="B62" s="769"/>
      <c r="C62" s="770"/>
      <c r="D62" s="770"/>
      <c r="E62" s="252"/>
      <c r="F62" s="251"/>
      <c r="G62" s="251"/>
      <c r="H62" s="251"/>
      <c r="I62" s="259"/>
      <c r="J62" s="259"/>
      <c r="K62" s="255"/>
      <c r="L62" s="242"/>
      <c r="M62" s="242"/>
      <c r="N62" s="242"/>
      <c r="O62" s="127"/>
      <c r="P62" s="28"/>
    </row>
    <row r="63" spans="1:16" ht="3.95" customHeight="1">
      <c r="A63" s="242"/>
      <c r="B63" s="769"/>
      <c r="C63" s="770"/>
      <c r="D63" s="770"/>
      <c r="E63" s="252"/>
      <c r="F63" s="254"/>
      <c r="G63" s="252"/>
      <c r="H63" s="254"/>
      <c r="I63" s="252"/>
      <c r="J63" s="254"/>
      <c r="K63" s="266"/>
      <c r="L63" s="242"/>
      <c r="M63" s="242"/>
      <c r="N63" s="242"/>
      <c r="O63" s="127"/>
      <c r="P63" s="28"/>
    </row>
    <row r="64" spans="1:16" ht="18" customHeight="1">
      <c r="A64" s="242"/>
      <c r="B64" s="769"/>
      <c r="C64" s="770"/>
      <c r="D64" s="770"/>
      <c r="E64" s="252"/>
      <c r="F64" s="254"/>
      <c r="G64" s="252"/>
      <c r="H64" s="254"/>
      <c r="I64" s="252"/>
      <c r="J64" s="254"/>
      <c r="K64" s="266"/>
      <c r="L64" s="242"/>
      <c r="M64" s="242"/>
      <c r="N64" s="242"/>
      <c r="O64" s="127"/>
      <c r="P64" s="28"/>
    </row>
    <row r="65" spans="1:16" ht="3.95" customHeight="1">
      <c r="A65" s="242"/>
      <c r="B65" s="769"/>
      <c r="C65" s="770"/>
      <c r="D65" s="770"/>
      <c r="E65" s="252"/>
      <c r="F65" s="254"/>
      <c r="G65" s="252"/>
      <c r="H65" s="254"/>
      <c r="I65" s="252"/>
      <c r="J65" s="254"/>
      <c r="K65" s="266"/>
      <c r="L65" s="242"/>
      <c r="M65" s="242"/>
      <c r="N65" s="242"/>
      <c r="O65" s="127"/>
      <c r="P65" s="28"/>
    </row>
    <row r="66" spans="1:16" ht="18" customHeight="1">
      <c r="A66" s="242"/>
      <c r="B66" s="769"/>
      <c r="C66" s="770"/>
      <c r="D66" s="770"/>
      <c r="E66" s="252"/>
      <c r="F66" s="254"/>
      <c r="G66" s="252"/>
      <c r="H66" s="254"/>
      <c r="I66" s="252"/>
      <c r="J66" s="254"/>
      <c r="K66" s="266"/>
      <c r="L66" s="242"/>
      <c r="M66" s="242"/>
      <c r="N66" s="242"/>
      <c r="O66" s="127"/>
      <c r="P66" s="28"/>
    </row>
    <row r="67" spans="1:16" ht="3.95" customHeight="1" thickBot="1">
      <c r="A67" s="242"/>
      <c r="B67" s="771"/>
      <c r="C67" s="772"/>
      <c r="D67" s="772"/>
      <c r="E67" s="256"/>
      <c r="F67" s="257"/>
      <c r="G67" s="256"/>
      <c r="H67" s="257"/>
      <c r="I67" s="256"/>
      <c r="J67" s="257"/>
      <c r="K67" s="260"/>
      <c r="L67" s="242"/>
      <c r="M67" s="242"/>
      <c r="N67" s="242"/>
      <c r="O67" s="127"/>
      <c r="P67" s="28"/>
    </row>
    <row r="68" spans="1:16" ht="9.9499999999999993" customHeight="1" thickTop="1" thickBot="1">
      <c r="A68" s="242"/>
      <c r="B68" s="114"/>
      <c r="C68" s="114"/>
      <c r="D68" s="241"/>
      <c r="E68" s="242"/>
      <c r="F68" s="241"/>
      <c r="G68" s="242"/>
      <c r="H68" s="241"/>
      <c r="I68" s="114"/>
      <c r="J68" s="241"/>
      <c r="K68" s="242"/>
      <c r="L68" s="242"/>
      <c r="M68" s="242"/>
      <c r="N68" s="242"/>
      <c r="O68" s="127"/>
      <c r="P68" s="28"/>
    </row>
    <row r="69" spans="1:16" ht="3.95" customHeight="1" thickTop="1">
      <c r="A69" s="114"/>
      <c r="B69" s="767" t="s">
        <v>247</v>
      </c>
      <c r="C69" s="768"/>
      <c r="D69" s="768"/>
      <c r="E69" s="249"/>
      <c r="F69" s="265"/>
      <c r="G69" s="249"/>
      <c r="H69" s="265"/>
      <c r="I69" s="249"/>
      <c r="J69" s="264"/>
      <c r="K69" s="261"/>
      <c r="L69" s="114"/>
      <c r="M69" s="114"/>
      <c r="N69" s="114"/>
      <c r="O69" s="127"/>
      <c r="P69" s="28"/>
    </row>
    <row r="70" spans="1:16" ht="18" customHeight="1">
      <c r="A70" s="114"/>
      <c r="B70" s="769"/>
      <c r="C70" s="770"/>
      <c r="D70" s="770"/>
      <c r="E70" s="252"/>
      <c r="F70" s="254"/>
      <c r="G70" s="252"/>
      <c r="H70" s="254"/>
      <c r="I70" s="252"/>
      <c r="J70" s="259"/>
      <c r="K70" s="255"/>
      <c r="L70" s="114"/>
      <c r="M70" s="114"/>
      <c r="N70" s="114"/>
      <c r="O70" s="127"/>
      <c r="P70" s="28"/>
    </row>
    <row r="71" spans="1:16" ht="3.95" customHeight="1">
      <c r="A71" s="114"/>
      <c r="B71" s="769"/>
      <c r="C71" s="770"/>
      <c r="D71" s="770"/>
      <c r="E71" s="252"/>
      <c r="F71" s="254"/>
      <c r="G71" s="252"/>
      <c r="H71" s="251"/>
      <c r="I71" s="252"/>
      <c r="J71" s="259"/>
      <c r="K71" s="255"/>
      <c r="L71" s="114"/>
      <c r="M71" s="114"/>
      <c r="N71" s="114"/>
      <c r="O71" s="127"/>
      <c r="P71" s="28"/>
    </row>
    <row r="72" spans="1:16" ht="18" customHeight="1">
      <c r="A72" s="114"/>
      <c r="B72" s="769"/>
      <c r="C72" s="770"/>
      <c r="D72" s="770"/>
      <c r="E72" s="252"/>
      <c r="F72" s="254"/>
      <c r="G72" s="252"/>
      <c r="H72" s="251"/>
      <c r="I72" s="252"/>
      <c r="J72" s="259"/>
      <c r="K72" s="255"/>
      <c r="L72" s="114"/>
      <c r="M72" s="114"/>
      <c r="N72" s="114"/>
      <c r="O72" s="127"/>
      <c r="P72" s="28"/>
    </row>
    <row r="73" spans="1:16" ht="3.95" customHeight="1">
      <c r="A73" s="242"/>
      <c r="B73" s="769"/>
      <c r="C73" s="770"/>
      <c r="D73" s="770"/>
      <c r="E73" s="252"/>
      <c r="F73" s="254"/>
      <c r="G73" s="252"/>
      <c r="H73" s="251"/>
      <c r="I73" s="252"/>
      <c r="J73" s="259"/>
      <c r="K73" s="255"/>
      <c r="L73" s="242"/>
      <c r="M73" s="242"/>
      <c r="N73" s="242"/>
      <c r="O73" s="127"/>
      <c r="P73" s="28"/>
    </row>
    <row r="74" spans="1:16" ht="18" customHeight="1">
      <c r="A74" s="242"/>
      <c r="B74" s="769"/>
      <c r="C74" s="770"/>
      <c r="D74" s="770"/>
      <c r="E74" s="252"/>
      <c r="F74" s="251"/>
      <c r="G74" s="251"/>
      <c r="H74" s="251"/>
      <c r="I74" s="259"/>
      <c r="J74" s="259"/>
      <c r="K74" s="255"/>
      <c r="L74" s="242"/>
      <c r="M74" s="242"/>
      <c r="N74" s="242"/>
      <c r="O74" s="127"/>
      <c r="P74" s="28"/>
    </row>
    <row r="75" spans="1:16" ht="3.95" customHeight="1">
      <c r="A75" s="242"/>
      <c r="B75" s="769"/>
      <c r="C75" s="770"/>
      <c r="D75" s="770"/>
      <c r="E75" s="252"/>
      <c r="F75" s="254"/>
      <c r="G75" s="252"/>
      <c r="H75" s="254"/>
      <c r="I75" s="252"/>
      <c r="J75" s="254"/>
      <c r="K75" s="266"/>
      <c r="L75" s="242"/>
      <c r="M75" s="242"/>
      <c r="N75" s="242"/>
      <c r="O75" s="127"/>
      <c r="P75" s="28"/>
    </row>
    <row r="76" spans="1:16" ht="18" customHeight="1">
      <c r="A76" s="242"/>
      <c r="B76" s="769"/>
      <c r="C76" s="770"/>
      <c r="D76" s="770"/>
      <c r="E76" s="252"/>
      <c r="F76" s="254"/>
      <c r="G76" s="252"/>
      <c r="H76" s="254"/>
      <c r="I76" s="252"/>
      <c r="J76" s="254"/>
      <c r="K76" s="266"/>
      <c r="L76" s="242"/>
      <c r="M76" s="242"/>
      <c r="N76" s="242"/>
      <c r="O76" s="127"/>
      <c r="P76" s="28"/>
    </row>
    <row r="77" spans="1:16" ht="3.95" customHeight="1">
      <c r="A77" s="242"/>
      <c r="B77" s="769"/>
      <c r="C77" s="770"/>
      <c r="D77" s="770"/>
      <c r="E77" s="252"/>
      <c r="F77" s="254"/>
      <c r="G77" s="252"/>
      <c r="H77" s="254"/>
      <c r="I77" s="252"/>
      <c r="J77" s="254"/>
      <c r="K77" s="266"/>
      <c r="L77" s="242"/>
      <c r="M77" s="242"/>
      <c r="N77" s="242"/>
      <c r="O77" s="127"/>
      <c r="P77" s="28"/>
    </row>
    <row r="78" spans="1:16" ht="18" customHeight="1">
      <c r="A78" s="242"/>
      <c r="B78" s="769"/>
      <c r="C78" s="770"/>
      <c r="D78" s="770"/>
      <c r="E78" s="252"/>
      <c r="F78" s="254"/>
      <c r="G78" s="252"/>
      <c r="H78" s="254"/>
      <c r="I78" s="252"/>
      <c r="J78" s="254"/>
      <c r="K78" s="266"/>
      <c r="L78" s="242"/>
      <c r="M78" s="242"/>
      <c r="N78" s="242"/>
      <c r="O78" s="127"/>
      <c r="P78" s="28"/>
    </row>
    <row r="79" spans="1:16" ht="3.95" customHeight="1" thickBot="1">
      <c r="A79" s="242"/>
      <c r="B79" s="771"/>
      <c r="C79" s="772"/>
      <c r="D79" s="772"/>
      <c r="E79" s="256"/>
      <c r="F79" s="257"/>
      <c r="G79" s="256"/>
      <c r="H79" s="257"/>
      <c r="I79" s="256"/>
      <c r="J79" s="257"/>
      <c r="K79" s="260"/>
      <c r="L79" s="242"/>
      <c r="M79" s="242"/>
      <c r="N79" s="242"/>
      <c r="O79" s="127"/>
      <c r="P79" s="28"/>
    </row>
    <row r="80" spans="1:16" ht="18" customHeight="1" thickTop="1">
      <c r="A80" s="242"/>
      <c r="B80" s="242"/>
      <c r="C80" s="242"/>
      <c r="D80" s="242"/>
      <c r="E80" s="242"/>
      <c r="F80" s="242"/>
      <c r="G80" s="242"/>
      <c r="H80" s="242"/>
      <c r="I80" s="242"/>
      <c r="J80" s="242"/>
      <c r="K80" s="242"/>
      <c r="L80" s="242"/>
      <c r="M80" s="242"/>
      <c r="N80" s="242"/>
      <c r="O80" s="127"/>
      <c r="P80" s="28"/>
    </row>
    <row r="81" spans="1:16" ht="3.95" customHeight="1">
      <c r="A81" s="242"/>
      <c r="B81" s="242"/>
      <c r="C81" s="242"/>
      <c r="D81" s="242"/>
      <c r="E81" s="242"/>
      <c r="F81" s="242"/>
      <c r="G81" s="242"/>
      <c r="H81" s="242"/>
      <c r="I81" s="242"/>
      <c r="J81" s="242"/>
      <c r="K81" s="242"/>
      <c r="L81" s="242"/>
      <c r="M81" s="242"/>
      <c r="N81" s="242"/>
      <c r="O81" s="127"/>
      <c r="P81" s="28"/>
    </row>
    <row r="82" spans="1:16" ht="18" customHeight="1">
      <c r="A82" s="242"/>
      <c r="B82" s="242"/>
      <c r="C82" s="242"/>
      <c r="D82" s="242"/>
      <c r="E82" s="242"/>
      <c r="F82" s="242"/>
      <c r="G82" s="242"/>
      <c r="H82" s="242"/>
      <c r="I82" s="242"/>
      <c r="J82" s="242"/>
      <c r="K82" s="242"/>
      <c r="L82" s="242"/>
      <c r="M82" s="242"/>
      <c r="N82" s="242"/>
      <c r="O82" s="127"/>
      <c r="P82" s="28"/>
    </row>
    <row r="83" spans="1:16" ht="18" customHeight="1">
      <c r="A83" s="242"/>
      <c r="B83" s="242"/>
      <c r="C83" s="242"/>
      <c r="D83" s="242"/>
      <c r="E83" s="242"/>
      <c r="F83" s="242"/>
      <c r="G83" s="242"/>
      <c r="H83" s="242"/>
      <c r="I83" s="242"/>
      <c r="J83" s="242"/>
      <c r="K83" s="242"/>
      <c r="L83" s="242"/>
      <c r="M83" s="242"/>
      <c r="N83" s="242"/>
      <c r="O83" s="127"/>
      <c r="P83" s="28"/>
    </row>
    <row r="84" spans="1:16" ht="18" customHeight="1">
      <c r="A84" s="242"/>
      <c r="B84" s="242"/>
      <c r="C84" s="242"/>
      <c r="D84" s="242"/>
      <c r="E84" s="242"/>
      <c r="F84" s="242"/>
      <c r="G84" s="242"/>
      <c r="H84" s="242"/>
      <c r="I84" s="242"/>
      <c r="J84" s="242"/>
      <c r="K84" s="242"/>
      <c r="L84" s="242"/>
      <c r="M84" s="242"/>
      <c r="N84" s="242"/>
      <c r="O84" s="127"/>
      <c r="P84" s="28"/>
    </row>
    <row r="85" spans="1:16" ht="18" customHeight="1">
      <c r="A85" s="242"/>
      <c r="B85" s="242"/>
      <c r="C85" s="242"/>
      <c r="D85" s="242"/>
      <c r="E85" s="242"/>
      <c r="F85" s="242"/>
      <c r="G85" s="242"/>
      <c r="H85" s="242"/>
      <c r="I85" s="242"/>
      <c r="J85" s="242"/>
      <c r="K85" s="242"/>
      <c r="L85" s="242"/>
      <c r="M85" s="242"/>
      <c r="N85" s="242"/>
      <c r="O85" s="127"/>
      <c r="P85" s="28"/>
    </row>
    <row r="86" spans="1:16" ht="18" customHeight="1">
      <c r="A86" s="242"/>
      <c r="B86" s="242"/>
      <c r="C86" s="242"/>
      <c r="D86" s="242"/>
      <c r="E86" s="242"/>
      <c r="F86" s="242"/>
      <c r="G86" s="242"/>
      <c r="H86" s="242"/>
      <c r="I86" s="242"/>
      <c r="J86" s="242"/>
      <c r="K86" s="242"/>
      <c r="L86" s="242"/>
      <c r="M86" s="242"/>
      <c r="N86" s="242"/>
      <c r="O86" s="127"/>
      <c r="P86" s="28"/>
    </row>
    <row r="87" spans="1:16" ht="18" customHeight="1">
      <c r="A87" s="242"/>
      <c r="B87" s="242"/>
      <c r="C87" s="242"/>
      <c r="D87" s="242"/>
      <c r="E87" s="242"/>
      <c r="F87" s="242"/>
      <c r="G87" s="242"/>
      <c r="H87" s="242"/>
      <c r="I87" s="242"/>
      <c r="J87" s="242"/>
      <c r="K87" s="242"/>
      <c r="L87" s="242"/>
      <c r="M87" s="242"/>
      <c r="N87" s="242"/>
      <c r="O87" s="127"/>
      <c r="P87" s="28"/>
    </row>
    <row r="88" spans="1:16" ht="18" customHeight="1">
      <c r="A88" s="242"/>
      <c r="B88" s="242"/>
      <c r="C88" s="242"/>
      <c r="D88" s="242"/>
      <c r="E88" s="242"/>
      <c r="F88" s="242"/>
      <c r="G88" s="242"/>
      <c r="H88" s="242"/>
      <c r="I88" s="242"/>
      <c r="J88" s="242"/>
      <c r="K88" s="242"/>
      <c r="L88" s="242"/>
      <c r="M88" s="242"/>
      <c r="N88" s="242"/>
      <c r="O88" s="127"/>
      <c r="P88" s="28"/>
    </row>
    <row r="89" spans="1:16" ht="18" customHeight="1">
      <c r="A89" s="242"/>
      <c r="B89" s="242"/>
      <c r="C89" s="242"/>
      <c r="D89" s="242"/>
      <c r="E89" s="242"/>
      <c r="F89" s="242"/>
      <c r="G89" s="242"/>
      <c r="H89" s="242"/>
      <c r="I89" s="242"/>
      <c r="J89" s="242"/>
      <c r="K89" s="242"/>
      <c r="L89" s="242"/>
      <c r="M89" s="242"/>
      <c r="N89" s="242"/>
      <c r="O89" s="127"/>
      <c r="P89" s="28"/>
    </row>
    <row r="90" spans="1:16" ht="18" customHeight="1">
      <c r="A90" s="242"/>
      <c r="B90" s="242"/>
      <c r="C90" s="242"/>
      <c r="D90" s="242"/>
      <c r="E90" s="242"/>
      <c r="F90" s="242"/>
      <c r="G90" s="242"/>
      <c r="H90" s="242"/>
      <c r="I90" s="242"/>
      <c r="J90" s="242"/>
      <c r="K90" s="242"/>
      <c r="L90" s="242"/>
      <c r="M90" s="242"/>
      <c r="N90" s="242"/>
      <c r="O90" s="127"/>
      <c r="P90" s="28"/>
    </row>
    <row r="91" spans="1:16" ht="18" customHeight="1">
      <c r="A91" s="242"/>
      <c r="B91" s="242"/>
      <c r="C91" s="242"/>
      <c r="D91" s="242"/>
      <c r="E91" s="242"/>
      <c r="F91" s="242"/>
      <c r="G91" s="242"/>
      <c r="H91" s="242"/>
      <c r="I91" s="242"/>
      <c r="J91" s="242"/>
      <c r="K91" s="242"/>
      <c r="L91" s="242"/>
      <c r="M91" s="242"/>
      <c r="N91" s="242"/>
      <c r="O91" s="127"/>
      <c r="P91" s="28"/>
    </row>
    <row r="92" spans="1:16" ht="18" customHeight="1">
      <c r="A92" s="242"/>
      <c r="B92" s="242"/>
      <c r="C92" s="242"/>
      <c r="D92" s="242"/>
      <c r="E92" s="242"/>
      <c r="F92" s="242"/>
      <c r="G92" s="242"/>
      <c r="H92" s="242"/>
      <c r="I92" s="242"/>
      <c r="J92" s="242"/>
      <c r="K92" s="242"/>
      <c r="L92" s="242"/>
      <c r="M92" s="242"/>
      <c r="N92" s="242"/>
      <c r="O92" s="127"/>
      <c r="P92" s="28"/>
    </row>
    <row r="93" spans="1:16" ht="18" customHeight="1">
      <c r="A93" s="242"/>
      <c r="B93" s="242"/>
      <c r="C93" s="242"/>
      <c r="D93" s="242"/>
      <c r="E93" s="242"/>
      <c r="F93" s="242"/>
      <c r="G93" s="242"/>
      <c r="H93" s="242"/>
      <c r="I93" s="242"/>
      <c r="J93" s="242"/>
      <c r="K93" s="242"/>
      <c r="L93" s="242"/>
      <c r="M93" s="242"/>
      <c r="N93" s="242"/>
      <c r="O93" s="127"/>
      <c r="P93" s="28"/>
    </row>
    <row r="94" spans="1:16" ht="18" customHeight="1">
      <c r="A94" s="242"/>
      <c r="B94" s="242"/>
      <c r="C94" s="242"/>
      <c r="D94" s="242"/>
      <c r="E94" s="242"/>
      <c r="F94" s="242"/>
      <c r="G94" s="242"/>
      <c r="H94" s="242"/>
      <c r="I94" s="242"/>
      <c r="J94" s="242"/>
      <c r="K94" s="242"/>
      <c r="L94" s="242"/>
      <c r="M94" s="242"/>
      <c r="N94" s="242"/>
      <c r="O94" s="127"/>
      <c r="P94" s="28"/>
    </row>
    <row r="95" spans="1:16" ht="18" customHeight="1">
      <c r="A95" s="242"/>
      <c r="B95" s="242"/>
      <c r="C95" s="242"/>
      <c r="D95" s="242"/>
      <c r="E95" s="242"/>
      <c r="F95" s="242"/>
      <c r="G95" s="242"/>
      <c r="H95" s="242"/>
      <c r="I95" s="242"/>
      <c r="J95" s="242"/>
      <c r="K95" s="242"/>
      <c r="L95" s="242"/>
      <c r="M95" s="242"/>
      <c r="N95" s="242"/>
      <c r="O95" s="127"/>
      <c r="P95" s="28"/>
    </row>
    <row r="96" spans="1:16" ht="18" customHeight="1">
      <c r="A96" s="242"/>
      <c r="B96" s="242"/>
      <c r="C96" s="242"/>
      <c r="D96" s="242"/>
      <c r="E96" s="242"/>
      <c r="F96" s="242"/>
      <c r="G96" s="242"/>
      <c r="H96" s="242"/>
      <c r="I96" s="242"/>
      <c r="J96" s="242"/>
      <c r="K96" s="242"/>
      <c r="L96" s="242"/>
      <c r="M96" s="242"/>
      <c r="N96" s="242"/>
      <c r="O96" s="127"/>
      <c r="P96" s="28"/>
    </row>
    <row r="97" spans="1:16" ht="18" customHeight="1">
      <c r="A97" s="242"/>
      <c r="B97" s="242"/>
      <c r="C97" s="242"/>
      <c r="D97" s="242"/>
      <c r="E97" s="242"/>
      <c r="F97" s="242"/>
      <c r="G97" s="242"/>
      <c r="H97" s="242"/>
      <c r="I97" s="242"/>
      <c r="J97" s="242"/>
      <c r="K97" s="242"/>
      <c r="L97" s="242"/>
      <c r="M97" s="242"/>
      <c r="N97" s="242"/>
      <c r="O97" s="127"/>
      <c r="P97" s="28"/>
    </row>
    <row r="98" spans="1:16" ht="18" customHeight="1">
      <c r="A98" s="242"/>
      <c r="B98" s="242"/>
      <c r="C98" s="242"/>
      <c r="D98" s="242"/>
      <c r="E98" s="242"/>
      <c r="F98" s="242"/>
      <c r="G98" s="242"/>
      <c r="H98" s="242"/>
      <c r="I98" s="242"/>
      <c r="J98" s="242"/>
      <c r="K98" s="242"/>
      <c r="L98" s="242"/>
      <c r="M98" s="242"/>
      <c r="N98" s="242"/>
      <c r="O98" s="127"/>
      <c r="P98" s="28"/>
    </row>
    <row r="99" spans="1:16" ht="18" customHeight="1">
      <c r="A99" s="242"/>
      <c r="B99" s="242"/>
      <c r="C99" s="242"/>
      <c r="D99" s="242"/>
      <c r="E99" s="242"/>
      <c r="F99" s="242"/>
      <c r="G99" s="242"/>
      <c r="H99" s="242"/>
      <c r="I99" s="242"/>
      <c r="J99" s="242"/>
      <c r="K99" s="242"/>
      <c r="L99" s="242"/>
      <c r="M99" s="242"/>
      <c r="N99" s="242"/>
      <c r="O99" s="127"/>
      <c r="P99" s="28"/>
    </row>
    <row r="100" spans="1:16" ht="18" customHeight="1">
      <c r="A100" s="242"/>
      <c r="B100" s="242"/>
      <c r="C100" s="242"/>
      <c r="D100" s="242"/>
      <c r="E100" s="242"/>
      <c r="F100" s="242"/>
      <c r="G100" s="242"/>
      <c r="H100" s="242"/>
      <c r="I100" s="242"/>
      <c r="J100" s="242"/>
      <c r="K100" s="242"/>
      <c r="L100" s="242"/>
      <c r="M100" s="242"/>
      <c r="N100" s="242"/>
      <c r="O100" s="127"/>
      <c r="P100" s="28"/>
    </row>
    <row r="101" spans="1:16" ht="18" customHeight="1">
      <c r="A101" s="242"/>
      <c r="B101" s="242"/>
      <c r="C101" s="242"/>
      <c r="D101" s="242"/>
      <c r="E101" s="242"/>
      <c r="F101" s="242"/>
      <c r="G101" s="242"/>
      <c r="H101" s="242"/>
      <c r="I101" s="242"/>
      <c r="J101" s="242"/>
      <c r="K101" s="242"/>
      <c r="L101" s="242"/>
      <c r="M101" s="242"/>
      <c r="N101" s="242"/>
      <c r="O101" s="127"/>
      <c r="P101" s="28"/>
    </row>
    <row r="102" spans="1:16" ht="18" customHeight="1">
      <c r="A102" s="242"/>
      <c r="B102" s="242"/>
      <c r="C102" s="242"/>
      <c r="D102" s="242"/>
      <c r="E102" s="242"/>
      <c r="F102" s="242"/>
      <c r="G102" s="242"/>
      <c r="H102" s="242"/>
      <c r="I102" s="242"/>
      <c r="J102" s="242"/>
      <c r="K102" s="242"/>
      <c r="L102" s="242"/>
      <c r="M102" s="242"/>
      <c r="N102" s="242"/>
      <c r="O102" s="127"/>
      <c r="P102" s="28"/>
    </row>
    <row r="103" spans="1:16" ht="18" customHeight="1">
      <c r="A103" s="242"/>
      <c r="B103" s="242"/>
      <c r="C103" s="242"/>
      <c r="D103" s="242"/>
      <c r="E103" s="242"/>
      <c r="F103" s="242"/>
      <c r="G103" s="242"/>
      <c r="H103" s="242"/>
      <c r="I103" s="242"/>
      <c r="J103" s="242"/>
      <c r="K103" s="242"/>
      <c r="L103" s="242"/>
      <c r="M103" s="242"/>
      <c r="N103" s="242"/>
      <c r="O103" s="127"/>
      <c r="P103" s="28"/>
    </row>
    <row r="104" spans="1:16" ht="18" customHeight="1">
      <c r="A104" s="242"/>
      <c r="B104" s="242"/>
      <c r="C104" s="242"/>
      <c r="D104" s="242"/>
      <c r="E104" s="242"/>
      <c r="F104" s="242"/>
      <c r="G104" s="242"/>
      <c r="H104" s="242"/>
      <c r="I104" s="242"/>
      <c r="J104" s="242"/>
      <c r="K104" s="242"/>
      <c r="L104" s="242"/>
      <c r="M104" s="242"/>
      <c r="N104" s="242"/>
      <c r="O104" s="127"/>
      <c r="P104" s="28"/>
    </row>
    <row r="105" spans="1:16" ht="18" customHeight="1">
      <c r="A105" s="242"/>
      <c r="B105" s="242"/>
      <c r="C105" s="242"/>
      <c r="D105" s="242"/>
      <c r="E105" s="242"/>
      <c r="F105" s="242"/>
      <c r="G105" s="242"/>
      <c r="H105" s="242"/>
      <c r="I105" s="242"/>
      <c r="J105" s="242"/>
      <c r="K105" s="242"/>
      <c r="L105" s="242"/>
      <c r="M105" s="242"/>
      <c r="N105" s="242"/>
      <c r="O105" s="127"/>
      <c r="P105" s="28"/>
    </row>
    <row r="106" spans="1:16" ht="18" customHeight="1">
      <c r="A106" s="114"/>
      <c r="B106" s="114"/>
      <c r="C106" s="114"/>
      <c r="D106" s="114"/>
      <c r="E106" s="114"/>
      <c r="F106" s="114"/>
      <c r="G106" s="114"/>
      <c r="H106" s="114"/>
      <c r="I106" s="114"/>
      <c r="J106" s="114"/>
      <c r="K106" s="114"/>
      <c r="L106" s="114"/>
      <c r="M106" s="114"/>
      <c r="N106" s="114"/>
      <c r="O106" s="114"/>
    </row>
    <row r="107" spans="1:16" ht="18" customHeight="1">
      <c r="A107" s="114"/>
      <c r="B107" s="114"/>
      <c r="C107" s="114"/>
      <c r="D107" s="114"/>
      <c r="E107" s="114"/>
      <c r="F107" s="114"/>
      <c r="G107" s="114"/>
      <c r="H107" s="114"/>
      <c r="I107" s="114"/>
      <c r="J107" s="114"/>
      <c r="K107" s="114"/>
      <c r="L107" s="114"/>
      <c r="M107" s="114"/>
      <c r="N107" s="114"/>
      <c r="O107" s="114"/>
    </row>
    <row r="108" spans="1:16" ht="18" customHeight="1">
      <c r="A108" s="114"/>
      <c r="B108" s="114"/>
      <c r="C108" s="114"/>
      <c r="D108" s="114"/>
      <c r="E108" s="114"/>
      <c r="F108" s="114"/>
      <c r="G108" s="114"/>
      <c r="H108" s="114"/>
      <c r="I108" s="114"/>
      <c r="J108" s="114"/>
      <c r="K108" s="114"/>
      <c r="L108" s="114"/>
      <c r="M108" s="114"/>
      <c r="N108" s="114"/>
      <c r="O108" s="114"/>
    </row>
    <row r="109" spans="1:16" ht="18" customHeight="1">
      <c r="A109" s="114"/>
      <c r="B109" s="114"/>
      <c r="C109" s="114"/>
      <c r="D109" s="114"/>
      <c r="E109" s="114"/>
      <c r="F109" s="114"/>
      <c r="G109" s="114"/>
      <c r="H109" s="114"/>
      <c r="I109" s="114"/>
      <c r="J109" s="114"/>
      <c r="K109" s="114"/>
      <c r="L109" s="114"/>
      <c r="M109" s="114"/>
      <c r="N109" s="114"/>
      <c r="O109" s="114"/>
    </row>
    <row r="110" spans="1:16" ht="18" customHeight="1">
      <c r="A110" s="10"/>
      <c r="B110" s="10"/>
      <c r="C110" s="10"/>
      <c r="D110" s="10"/>
      <c r="E110" s="10"/>
      <c r="F110" s="10"/>
      <c r="G110" s="10"/>
      <c r="H110" s="10"/>
      <c r="I110" s="10"/>
      <c r="J110" s="10"/>
      <c r="K110" s="10"/>
      <c r="L110" s="10"/>
      <c r="M110" s="10"/>
      <c r="N110" s="10"/>
      <c r="O110" s="10"/>
    </row>
    <row r="111" spans="1:16" ht="18" customHeight="1">
      <c r="A111" s="10"/>
      <c r="B111" s="10"/>
      <c r="C111" s="10"/>
      <c r="D111" s="10"/>
      <c r="E111" s="10"/>
      <c r="F111" s="10"/>
      <c r="G111" s="10"/>
      <c r="H111" s="10"/>
      <c r="I111" s="10"/>
      <c r="J111" s="10"/>
      <c r="K111" s="10"/>
      <c r="L111" s="10"/>
      <c r="M111" s="10"/>
      <c r="N111" s="10"/>
      <c r="O111" s="10"/>
    </row>
    <row r="112" spans="1:16" ht="18" customHeight="1">
      <c r="A112" s="10"/>
      <c r="B112" s="10"/>
      <c r="C112" s="10"/>
      <c r="D112" s="10"/>
      <c r="E112" s="10"/>
      <c r="F112" s="10"/>
      <c r="G112" s="10"/>
      <c r="H112" s="10"/>
      <c r="I112" s="10"/>
      <c r="J112" s="10"/>
      <c r="K112" s="10"/>
      <c r="L112" s="10"/>
      <c r="M112" s="10"/>
      <c r="N112" s="10"/>
      <c r="O112" s="10"/>
    </row>
    <row r="113" spans="1:15" ht="18" customHeight="1">
      <c r="A113" s="10"/>
      <c r="B113" s="10"/>
      <c r="C113" s="10"/>
      <c r="D113" s="10"/>
      <c r="E113" s="10"/>
      <c r="F113" s="10"/>
      <c r="G113" s="10"/>
      <c r="H113" s="10"/>
      <c r="I113" s="10"/>
      <c r="J113" s="10"/>
      <c r="K113" s="10"/>
      <c r="L113" s="10"/>
      <c r="M113" s="10"/>
      <c r="N113" s="10"/>
      <c r="O113" s="10"/>
    </row>
    <row r="114" spans="1:15" ht="18" customHeight="1">
      <c r="A114" s="10"/>
      <c r="B114" s="10"/>
      <c r="C114" s="10"/>
      <c r="D114" s="10"/>
      <c r="E114" s="10"/>
      <c r="F114" s="10"/>
      <c r="G114" s="10"/>
      <c r="H114" s="10"/>
      <c r="I114" s="10"/>
      <c r="J114" s="10"/>
      <c r="K114" s="10"/>
      <c r="L114" s="10"/>
      <c r="M114" s="10"/>
      <c r="N114" s="10"/>
      <c r="O114" s="10"/>
    </row>
    <row r="115" spans="1:15" ht="18" customHeight="1">
      <c r="A115" s="10"/>
      <c r="B115" s="10"/>
      <c r="C115" s="10"/>
      <c r="D115" s="10"/>
      <c r="E115" s="10"/>
      <c r="F115" s="10"/>
      <c r="G115" s="10"/>
      <c r="H115" s="10"/>
      <c r="I115" s="10"/>
      <c r="J115" s="10"/>
      <c r="K115" s="10"/>
      <c r="L115" s="10"/>
      <c r="M115" s="10"/>
      <c r="N115" s="10"/>
      <c r="O115" s="10"/>
    </row>
    <row r="116" spans="1:15" ht="18" customHeight="1">
      <c r="A116" s="10"/>
      <c r="B116" s="10"/>
      <c r="C116" s="10"/>
      <c r="D116" s="10"/>
      <c r="E116" s="10"/>
      <c r="F116" s="10"/>
      <c r="G116" s="10"/>
      <c r="H116" s="10"/>
      <c r="I116" s="10"/>
      <c r="J116" s="10"/>
      <c r="K116" s="10"/>
      <c r="L116" s="10"/>
      <c r="M116" s="10"/>
      <c r="N116" s="10"/>
      <c r="O116" s="10"/>
    </row>
    <row r="117" spans="1:15" ht="18" customHeight="1">
      <c r="A117" s="10"/>
      <c r="B117" s="10"/>
      <c r="C117" s="10"/>
      <c r="D117" s="10"/>
      <c r="E117" s="10"/>
      <c r="F117" s="10"/>
      <c r="G117" s="10"/>
      <c r="H117" s="10"/>
      <c r="I117" s="10"/>
      <c r="J117" s="10"/>
      <c r="K117" s="10"/>
      <c r="L117" s="10"/>
      <c r="M117" s="10"/>
      <c r="N117" s="10"/>
      <c r="O117" s="10"/>
    </row>
    <row r="118" spans="1:15" ht="18" customHeight="1">
      <c r="A118" s="10"/>
      <c r="B118" s="10"/>
      <c r="C118" s="10"/>
      <c r="D118" s="10"/>
      <c r="E118" s="10"/>
      <c r="F118" s="10"/>
      <c r="G118" s="10"/>
      <c r="H118" s="10"/>
      <c r="I118" s="10"/>
      <c r="J118" s="10"/>
      <c r="K118" s="10"/>
      <c r="L118" s="10"/>
      <c r="M118" s="10"/>
      <c r="N118" s="10"/>
      <c r="O118" s="10"/>
    </row>
    <row r="119" spans="1:15" ht="18" customHeight="1">
      <c r="A119" s="10"/>
      <c r="B119" s="10"/>
      <c r="C119" s="10"/>
      <c r="D119" s="10"/>
      <c r="E119" s="10"/>
      <c r="F119" s="10"/>
      <c r="G119" s="10"/>
      <c r="H119" s="10"/>
      <c r="I119" s="10"/>
      <c r="J119" s="10"/>
      <c r="K119" s="10"/>
      <c r="L119" s="10"/>
      <c r="M119" s="10"/>
      <c r="N119" s="10"/>
      <c r="O119" s="10"/>
    </row>
    <row r="120" spans="1:15" ht="18" customHeight="1">
      <c r="A120" s="10"/>
      <c r="B120" s="10"/>
      <c r="C120" s="10"/>
      <c r="D120" s="10"/>
      <c r="E120" s="10"/>
      <c r="F120" s="10"/>
      <c r="G120" s="10"/>
      <c r="H120" s="10"/>
      <c r="I120" s="10"/>
      <c r="J120" s="10"/>
      <c r="K120" s="10"/>
      <c r="L120" s="10"/>
      <c r="M120" s="10"/>
      <c r="N120" s="10"/>
      <c r="O120" s="10"/>
    </row>
    <row r="121" spans="1:15" ht="18" customHeight="1">
      <c r="A121" s="10"/>
      <c r="B121" s="10"/>
      <c r="C121" s="10"/>
      <c r="D121" s="10"/>
      <c r="E121" s="10"/>
      <c r="F121" s="10"/>
      <c r="G121" s="10"/>
      <c r="H121" s="10"/>
      <c r="I121" s="10"/>
      <c r="J121" s="10"/>
      <c r="K121" s="10"/>
      <c r="L121" s="10"/>
      <c r="M121" s="10"/>
      <c r="N121" s="10"/>
      <c r="O121" s="10"/>
    </row>
    <row r="122" spans="1:15" ht="18" customHeight="1">
      <c r="A122" s="10"/>
      <c r="B122" s="10"/>
      <c r="C122" s="10"/>
      <c r="D122" s="10"/>
      <c r="E122" s="10"/>
      <c r="F122" s="10"/>
      <c r="G122" s="10"/>
      <c r="H122" s="10"/>
      <c r="I122" s="10"/>
      <c r="J122" s="10"/>
      <c r="K122" s="10"/>
      <c r="L122" s="10"/>
      <c r="M122" s="10"/>
      <c r="N122" s="10"/>
      <c r="O122" s="10"/>
    </row>
    <row r="123" spans="1:15" ht="18" customHeight="1">
      <c r="A123" s="10"/>
      <c r="B123" s="10"/>
      <c r="C123" s="10"/>
      <c r="D123" s="10"/>
      <c r="E123" s="10"/>
      <c r="F123" s="10"/>
      <c r="G123" s="10"/>
      <c r="H123" s="10"/>
      <c r="I123" s="10"/>
      <c r="J123" s="10"/>
      <c r="K123" s="10"/>
      <c r="L123" s="10"/>
      <c r="M123" s="10"/>
      <c r="N123" s="10"/>
      <c r="O123" s="10"/>
    </row>
    <row r="124" spans="1:15" ht="18" customHeight="1">
      <c r="A124" s="10"/>
      <c r="B124" s="10"/>
      <c r="C124" s="10"/>
      <c r="D124" s="10"/>
      <c r="E124" s="10"/>
      <c r="F124" s="10"/>
      <c r="G124" s="10"/>
      <c r="H124" s="10"/>
      <c r="I124" s="10"/>
      <c r="J124" s="10"/>
      <c r="K124" s="10"/>
      <c r="L124" s="10"/>
      <c r="M124" s="10"/>
      <c r="N124" s="10"/>
      <c r="O124" s="10"/>
    </row>
    <row r="125" spans="1:15" ht="18" customHeight="1">
      <c r="A125" s="10"/>
      <c r="B125" s="10"/>
      <c r="C125" s="10"/>
      <c r="D125" s="10"/>
      <c r="E125" s="10"/>
      <c r="F125" s="10"/>
      <c r="G125" s="10"/>
      <c r="H125" s="10"/>
      <c r="I125" s="10"/>
      <c r="J125" s="10"/>
      <c r="K125" s="10"/>
      <c r="L125" s="10"/>
      <c r="M125" s="10"/>
      <c r="N125" s="10"/>
      <c r="O125" s="10"/>
    </row>
    <row r="126" spans="1:15" ht="18" customHeight="1">
      <c r="A126" s="10"/>
      <c r="B126" s="10"/>
      <c r="C126" s="10"/>
      <c r="D126" s="10"/>
      <c r="E126" s="10"/>
      <c r="F126" s="10"/>
      <c r="G126" s="10"/>
      <c r="H126" s="10"/>
      <c r="I126" s="10"/>
      <c r="J126" s="10"/>
      <c r="K126" s="10"/>
      <c r="L126" s="10"/>
      <c r="M126" s="10"/>
      <c r="N126" s="10"/>
      <c r="O126" s="10"/>
    </row>
    <row r="127" spans="1:15" ht="18" customHeight="1">
      <c r="A127" s="10"/>
      <c r="B127" s="10"/>
      <c r="C127" s="10"/>
      <c r="D127" s="10"/>
      <c r="E127" s="10"/>
      <c r="F127" s="10"/>
      <c r="G127" s="10"/>
      <c r="H127" s="10"/>
      <c r="I127" s="10"/>
      <c r="J127" s="10"/>
      <c r="K127" s="10"/>
      <c r="L127" s="10"/>
      <c r="M127" s="10"/>
      <c r="N127" s="10"/>
      <c r="O127" s="10"/>
    </row>
    <row r="128" spans="1:15" ht="18" customHeight="1">
      <c r="A128" s="10"/>
      <c r="B128" s="10"/>
      <c r="C128" s="10"/>
      <c r="D128" s="10"/>
      <c r="E128" s="10"/>
      <c r="F128" s="10"/>
      <c r="G128" s="10"/>
      <c r="H128" s="10"/>
      <c r="I128" s="10"/>
      <c r="J128" s="10"/>
      <c r="K128" s="10"/>
      <c r="L128" s="10"/>
      <c r="M128" s="10"/>
      <c r="N128" s="10"/>
      <c r="O128" s="10"/>
    </row>
    <row r="129" spans="1:15" ht="18" customHeight="1">
      <c r="A129" s="10"/>
      <c r="B129" s="10"/>
      <c r="C129" s="10"/>
      <c r="D129" s="10"/>
      <c r="E129" s="10"/>
      <c r="F129" s="10"/>
      <c r="G129" s="10"/>
      <c r="H129" s="10"/>
      <c r="I129" s="10"/>
      <c r="J129" s="10"/>
      <c r="K129" s="10"/>
      <c r="L129" s="10"/>
      <c r="M129" s="10"/>
      <c r="N129" s="10"/>
      <c r="O129" s="10"/>
    </row>
    <row r="130" spans="1:15" ht="18" customHeight="1">
      <c r="A130" s="10"/>
      <c r="B130" s="10"/>
      <c r="C130" s="10"/>
      <c r="D130" s="10"/>
      <c r="E130" s="10"/>
      <c r="F130" s="10"/>
      <c r="G130" s="10"/>
      <c r="H130" s="10"/>
      <c r="I130" s="10"/>
      <c r="J130" s="10"/>
      <c r="K130" s="10"/>
      <c r="L130" s="10"/>
      <c r="M130" s="10"/>
      <c r="N130" s="10"/>
      <c r="O130" s="10"/>
    </row>
    <row r="131" spans="1:15" ht="18" customHeight="1">
      <c r="A131" s="10"/>
      <c r="B131" s="10"/>
      <c r="C131" s="10"/>
      <c r="D131" s="10"/>
      <c r="E131" s="10"/>
      <c r="F131" s="10"/>
      <c r="G131" s="10"/>
      <c r="H131" s="10"/>
      <c r="I131" s="10"/>
      <c r="J131" s="10"/>
      <c r="K131" s="10"/>
      <c r="L131" s="10"/>
      <c r="M131" s="10"/>
      <c r="N131" s="10"/>
      <c r="O131" s="10"/>
    </row>
    <row r="132" spans="1:15" ht="18" customHeight="1">
      <c r="A132" s="10"/>
      <c r="B132" s="10"/>
      <c r="C132" s="10"/>
      <c r="D132" s="10"/>
      <c r="E132" s="10"/>
      <c r="F132" s="10"/>
      <c r="G132" s="10"/>
      <c r="H132" s="10"/>
      <c r="I132" s="10"/>
      <c r="J132" s="10"/>
      <c r="K132" s="10"/>
      <c r="L132" s="10"/>
      <c r="M132" s="10"/>
      <c r="N132" s="10"/>
      <c r="O132" s="10"/>
    </row>
    <row r="133" spans="1:15" ht="18" customHeight="1">
      <c r="A133" s="10"/>
      <c r="B133" s="10"/>
      <c r="C133" s="10"/>
      <c r="D133" s="10"/>
      <c r="E133" s="10"/>
      <c r="F133" s="10"/>
      <c r="G133" s="10"/>
      <c r="H133" s="10"/>
      <c r="I133" s="10"/>
      <c r="J133" s="10"/>
      <c r="K133" s="10"/>
      <c r="L133" s="10"/>
      <c r="M133" s="10"/>
      <c r="N133" s="10"/>
      <c r="O133" s="10"/>
    </row>
    <row r="134" spans="1:15" ht="18" customHeight="1">
      <c r="A134" s="10"/>
      <c r="B134" s="10"/>
      <c r="C134" s="10"/>
      <c r="D134" s="10"/>
      <c r="E134" s="10"/>
      <c r="F134" s="10"/>
      <c r="G134" s="10"/>
      <c r="H134" s="10"/>
      <c r="I134" s="10"/>
      <c r="J134" s="10"/>
      <c r="K134" s="10"/>
      <c r="L134" s="10"/>
      <c r="M134" s="10"/>
      <c r="N134" s="10"/>
      <c r="O134" s="10"/>
    </row>
    <row r="135" spans="1:15" ht="18" customHeight="1">
      <c r="A135" s="10"/>
      <c r="B135" s="10"/>
      <c r="C135" s="10"/>
      <c r="D135" s="10"/>
      <c r="E135" s="10"/>
      <c r="F135" s="10"/>
      <c r="G135" s="10"/>
      <c r="H135" s="10"/>
      <c r="I135" s="10"/>
      <c r="J135" s="10"/>
      <c r="K135" s="10"/>
      <c r="L135" s="10"/>
      <c r="M135" s="10"/>
      <c r="N135" s="10"/>
      <c r="O135" s="10"/>
    </row>
    <row r="136" spans="1:15" ht="18" customHeight="1">
      <c r="A136" s="10"/>
      <c r="B136" s="10"/>
      <c r="C136" s="10"/>
      <c r="D136" s="10"/>
      <c r="E136" s="10"/>
      <c r="F136" s="10"/>
      <c r="G136" s="10"/>
      <c r="H136" s="10"/>
      <c r="I136" s="10"/>
      <c r="J136" s="10"/>
      <c r="K136" s="10"/>
      <c r="L136" s="10"/>
      <c r="M136" s="10"/>
      <c r="N136" s="10"/>
      <c r="O136" s="10"/>
    </row>
    <row r="137" spans="1:15" ht="18" customHeight="1">
      <c r="A137" s="10"/>
      <c r="B137" s="10"/>
      <c r="C137" s="10"/>
      <c r="D137" s="10"/>
      <c r="E137" s="10"/>
      <c r="F137" s="10"/>
      <c r="G137" s="10"/>
      <c r="H137" s="10"/>
      <c r="I137" s="10"/>
      <c r="J137" s="10"/>
      <c r="K137" s="10"/>
      <c r="L137" s="10"/>
      <c r="M137" s="10"/>
      <c r="N137" s="10"/>
      <c r="O137" s="10"/>
    </row>
    <row r="138" spans="1:15" ht="18" customHeight="1">
      <c r="A138" s="10"/>
      <c r="B138" s="10"/>
      <c r="C138" s="10"/>
      <c r="D138" s="10"/>
      <c r="E138" s="10"/>
      <c r="F138" s="10"/>
      <c r="G138" s="10"/>
      <c r="H138" s="10"/>
      <c r="I138" s="10"/>
      <c r="J138" s="10"/>
      <c r="K138" s="10"/>
      <c r="L138" s="10"/>
      <c r="M138" s="10"/>
      <c r="N138" s="10"/>
      <c r="O138" s="10"/>
    </row>
    <row r="139" spans="1:15" ht="18" customHeight="1">
      <c r="A139" s="10"/>
      <c r="B139" s="10"/>
      <c r="C139" s="10"/>
      <c r="D139" s="10"/>
      <c r="E139" s="10"/>
      <c r="F139" s="10"/>
      <c r="G139" s="10"/>
      <c r="H139" s="10"/>
      <c r="I139" s="10"/>
      <c r="J139" s="10"/>
      <c r="K139" s="10"/>
      <c r="L139" s="10"/>
      <c r="M139" s="10"/>
      <c r="N139" s="10"/>
      <c r="O139" s="10"/>
    </row>
    <row r="140" spans="1:15" ht="18" customHeight="1">
      <c r="A140" s="10"/>
      <c r="B140" s="10"/>
      <c r="C140" s="10"/>
      <c r="D140" s="10"/>
      <c r="E140" s="10"/>
      <c r="F140" s="10"/>
      <c r="G140" s="10"/>
      <c r="H140" s="10"/>
      <c r="I140" s="10"/>
      <c r="J140" s="10"/>
      <c r="K140" s="10"/>
      <c r="L140" s="10"/>
      <c r="M140" s="10"/>
      <c r="N140" s="10"/>
      <c r="O140" s="10"/>
    </row>
    <row r="141" spans="1:15" ht="18" customHeight="1">
      <c r="A141" s="10"/>
      <c r="B141" s="10"/>
      <c r="C141" s="10"/>
      <c r="D141" s="10"/>
      <c r="E141" s="10"/>
      <c r="F141" s="10"/>
      <c r="G141" s="10"/>
      <c r="H141" s="10"/>
      <c r="I141" s="10"/>
      <c r="J141" s="10"/>
      <c r="K141" s="10"/>
      <c r="L141" s="10"/>
      <c r="M141" s="10"/>
      <c r="N141" s="10"/>
      <c r="O141" s="10"/>
    </row>
    <row r="142" spans="1:15" ht="18" customHeight="1">
      <c r="A142" s="10"/>
      <c r="B142" s="10"/>
      <c r="C142" s="10"/>
      <c r="D142" s="10"/>
      <c r="E142" s="10"/>
      <c r="F142" s="10"/>
      <c r="G142" s="10"/>
      <c r="H142" s="10"/>
      <c r="I142" s="10"/>
      <c r="J142" s="10"/>
      <c r="K142" s="10"/>
      <c r="L142" s="10"/>
      <c r="M142" s="10"/>
      <c r="N142" s="10"/>
      <c r="O142" s="10"/>
    </row>
    <row r="143" spans="1:15" ht="18" customHeight="1">
      <c r="A143" s="10"/>
      <c r="B143" s="10"/>
      <c r="C143" s="10"/>
      <c r="D143" s="10"/>
      <c r="E143" s="10"/>
      <c r="F143" s="10"/>
      <c r="G143" s="10"/>
      <c r="H143" s="10"/>
      <c r="I143" s="10"/>
      <c r="J143" s="10"/>
      <c r="K143" s="10"/>
      <c r="L143" s="10"/>
      <c r="M143" s="10"/>
      <c r="N143" s="10"/>
      <c r="O143" s="10"/>
    </row>
    <row r="144" spans="1:15" ht="18" customHeight="1">
      <c r="A144" s="10"/>
      <c r="B144" s="10"/>
      <c r="C144" s="10"/>
      <c r="D144" s="10"/>
      <c r="E144" s="10"/>
      <c r="F144" s="10"/>
      <c r="G144" s="10"/>
      <c r="H144" s="10"/>
      <c r="I144" s="10"/>
      <c r="J144" s="10"/>
      <c r="K144" s="10"/>
      <c r="L144" s="10"/>
      <c r="M144" s="10"/>
      <c r="N144" s="10"/>
      <c r="O144" s="10"/>
    </row>
    <row r="145" spans="1:15" ht="18" customHeight="1">
      <c r="A145" s="10"/>
      <c r="B145" s="10"/>
      <c r="C145" s="10"/>
      <c r="D145" s="10"/>
      <c r="E145" s="10"/>
      <c r="F145" s="10"/>
      <c r="G145" s="10"/>
      <c r="H145" s="10"/>
      <c r="I145" s="10"/>
      <c r="J145" s="10"/>
      <c r="K145" s="10"/>
      <c r="L145" s="10"/>
      <c r="M145" s="10"/>
      <c r="N145" s="10"/>
      <c r="O145" s="10"/>
    </row>
    <row r="146" spans="1:15" ht="18" customHeight="1">
      <c r="A146" s="10"/>
      <c r="B146" s="10"/>
      <c r="C146" s="10"/>
      <c r="D146" s="10"/>
      <c r="E146" s="10"/>
      <c r="F146" s="10"/>
      <c r="G146" s="10"/>
      <c r="H146" s="10"/>
      <c r="I146" s="10"/>
      <c r="J146" s="10"/>
      <c r="K146" s="10"/>
      <c r="L146" s="10"/>
      <c r="M146" s="10"/>
      <c r="N146" s="10"/>
      <c r="O146" s="10"/>
    </row>
    <row r="147" spans="1:15" ht="18" customHeight="1">
      <c r="A147" s="10"/>
      <c r="B147" s="10"/>
      <c r="C147" s="10"/>
      <c r="D147" s="10"/>
      <c r="E147" s="10"/>
      <c r="F147" s="10"/>
      <c r="G147" s="10"/>
      <c r="H147" s="10"/>
      <c r="I147" s="10"/>
      <c r="J147" s="10"/>
      <c r="K147" s="10"/>
      <c r="L147" s="10"/>
      <c r="M147" s="10"/>
      <c r="N147" s="10"/>
      <c r="O147" s="10"/>
    </row>
    <row r="148" spans="1:15" ht="18" customHeight="1">
      <c r="A148" s="10"/>
      <c r="B148" s="10"/>
      <c r="C148" s="10"/>
      <c r="D148" s="10"/>
      <c r="E148" s="10"/>
      <c r="F148" s="10"/>
      <c r="G148" s="10"/>
      <c r="H148" s="10"/>
      <c r="I148" s="10"/>
      <c r="J148" s="10"/>
      <c r="K148" s="10"/>
      <c r="L148" s="10"/>
      <c r="M148" s="10"/>
      <c r="N148" s="10"/>
      <c r="O148" s="10"/>
    </row>
    <row r="149" spans="1:15" ht="18" customHeight="1">
      <c r="A149" s="10"/>
      <c r="B149" s="10"/>
      <c r="C149" s="10"/>
      <c r="D149" s="10"/>
      <c r="E149" s="10"/>
      <c r="F149" s="10"/>
      <c r="G149" s="10"/>
      <c r="H149" s="10"/>
      <c r="I149" s="10"/>
      <c r="J149" s="10"/>
      <c r="K149" s="10"/>
      <c r="L149" s="10"/>
      <c r="M149" s="10"/>
      <c r="N149" s="10"/>
      <c r="O149" s="10"/>
    </row>
    <row r="150" spans="1:15" ht="18" customHeight="1">
      <c r="A150" s="10"/>
      <c r="B150" s="10"/>
      <c r="C150" s="10"/>
      <c r="D150" s="10"/>
      <c r="E150" s="10"/>
      <c r="F150" s="10"/>
      <c r="G150" s="10"/>
      <c r="H150" s="10"/>
      <c r="I150" s="10"/>
      <c r="J150" s="10"/>
      <c r="K150" s="10"/>
      <c r="L150" s="10"/>
      <c r="M150" s="10"/>
      <c r="N150" s="10"/>
      <c r="O150" s="10"/>
    </row>
    <row r="151" spans="1:15" ht="18" customHeight="1">
      <c r="A151" s="10"/>
      <c r="B151" s="10"/>
      <c r="C151" s="10"/>
      <c r="D151" s="10"/>
      <c r="E151" s="10"/>
      <c r="F151" s="10"/>
      <c r="G151" s="10"/>
      <c r="H151" s="10"/>
      <c r="I151" s="10"/>
      <c r="J151" s="10"/>
      <c r="K151" s="10"/>
      <c r="L151" s="10"/>
      <c r="M151" s="10"/>
      <c r="N151" s="10"/>
      <c r="O151" s="10"/>
    </row>
    <row r="152" spans="1:15" ht="18" customHeight="1">
      <c r="A152" s="10"/>
      <c r="B152" s="10"/>
      <c r="C152" s="10"/>
      <c r="D152" s="10"/>
      <c r="E152" s="10"/>
      <c r="F152" s="10"/>
      <c r="G152" s="10"/>
      <c r="H152" s="10"/>
      <c r="I152" s="10"/>
      <c r="J152" s="10"/>
      <c r="K152" s="10"/>
      <c r="L152" s="10"/>
      <c r="M152" s="10"/>
      <c r="N152" s="10"/>
      <c r="O152" s="10"/>
    </row>
    <row r="153" spans="1:15" ht="18" customHeight="1">
      <c r="A153" s="10"/>
      <c r="B153" s="10"/>
      <c r="C153" s="10"/>
      <c r="D153" s="10"/>
      <c r="E153" s="10"/>
      <c r="F153" s="10"/>
      <c r="G153" s="10"/>
      <c r="H153" s="10"/>
      <c r="I153" s="10"/>
      <c r="J153" s="10"/>
      <c r="K153" s="10"/>
      <c r="L153" s="10"/>
      <c r="M153" s="10"/>
      <c r="N153" s="10"/>
      <c r="O153" s="10"/>
    </row>
    <row r="154" spans="1:15" ht="18" customHeight="1">
      <c r="A154" s="10"/>
      <c r="B154" s="10"/>
      <c r="C154" s="10"/>
      <c r="D154" s="10"/>
      <c r="E154" s="10"/>
      <c r="F154" s="10"/>
      <c r="G154" s="10"/>
      <c r="H154" s="10"/>
      <c r="I154" s="10"/>
      <c r="J154" s="10"/>
      <c r="K154" s="10"/>
      <c r="L154" s="10"/>
      <c r="M154" s="10"/>
      <c r="N154" s="10"/>
      <c r="O154" s="10"/>
    </row>
    <row r="155" spans="1:15" ht="18" customHeight="1">
      <c r="A155" s="10"/>
      <c r="B155" s="10"/>
      <c r="C155" s="10"/>
      <c r="D155" s="10"/>
      <c r="E155" s="10"/>
      <c r="F155" s="10"/>
      <c r="G155" s="10"/>
      <c r="H155" s="10"/>
      <c r="I155" s="10"/>
      <c r="J155" s="10"/>
      <c r="K155" s="10"/>
      <c r="L155" s="10"/>
      <c r="M155" s="10"/>
      <c r="N155" s="10"/>
      <c r="O155" s="10"/>
    </row>
    <row r="156" spans="1:15" ht="18" customHeight="1">
      <c r="A156" s="10"/>
      <c r="B156" s="10"/>
      <c r="C156" s="10"/>
      <c r="D156" s="10"/>
      <c r="E156" s="10"/>
      <c r="F156" s="10"/>
      <c r="G156" s="10"/>
      <c r="H156" s="10"/>
      <c r="I156" s="10"/>
      <c r="J156" s="10"/>
      <c r="K156" s="10"/>
      <c r="L156" s="10"/>
      <c r="M156" s="10"/>
      <c r="N156" s="10"/>
      <c r="O156" s="10"/>
    </row>
    <row r="157" spans="1:15" ht="18" customHeight="1">
      <c r="A157" s="10"/>
      <c r="B157" s="10"/>
      <c r="C157" s="10"/>
      <c r="D157" s="10"/>
      <c r="E157" s="10"/>
      <c r="F157" s="10"/>
      <c r="G157" s="10"/>
      <c r="H157" s="10"/>
      <c r="I157" s="10"/>
      <c r="J157" s="10"/>
      <c r="K157" s="10"/>
      <c r="L157" s="10"/>
      <c r="M157" s="10"/>
      <c r="N157" s="10"/>
      <c r="O157" s="10"/>
    </row>
    <row r="158" spans="1:15" ht="18" customHeight="1">
      <c r="A158" s="10"/>
      <c r="B158" s="10"/>
      <c r="C158" s="10"/>
      <c r="D158" s="10"/>
      <c r="E158" s="10"/>
      <c r="F158" s="10"/>
      <c r="G158" s="10"/>
      <c r="H158" s="10"/>
      <c r="I158" s="10"/>
      <c r="J158" s="10"/>
      <c r="K158" s="10"/>
      <c r="L158" s="10"/>
      <c r="M158" s="10"/>
      <c r="N158" s="10"/>
      <c r="O158" s="10"/>
    </row>
    <row r="159" spans="1:15" ht="18" customHeight="1">
      <c r="A159" s="10"/>
      <c r="B159" s="10"/>
      <c r="C159" s="10"/>
      <c r="D159" s="10"/>
      <c r="E159" s="10"/>
      <c r="F159" s="10"/>
      <c r="G159" s="10"/>
      <c r="H159" s="10"/>
      <c r="I159" s="10"/>
      <c r="J159" s="10"/>
      <c r="K159" s="10"/>
      <c r="L159" s="10"/>
      <c r="M159" s="10"/>
      <c r="N159" s="10"/>
      <c r="O159" s="10"/>
    </row>
    <row r="160" spans="1:15" ht="18" customHeight="1">
      <c r="A160" s="10"/>
      <c r="B160" s="10"/>
      <c r="C160" s="10"/>
      <c r="D160" s="10"/>
      <c r="E160" s="10"/>
      <c r="F160" s="10"/>
      <c r="G160" s="10"/>
      <c r="H160" s="10"/>
      <c r="I160" s="10"/>
      <c r="J160" s="10"/>
      <c r="K160" s="10"/>
      <c r="L160" s="10"/>
      <c r="M160" s="10"/>
      <c r="N160" s="10"/>
      <c r="O160" s="10"/>
    </row>
    <row r="161" spans="1:15" ht="18" customHeight="1">
      <c r="A161" s="10"/>
      <c r="B161" s="10"/>
      <c r="C161" s="10"/>
      <c r="D161" s="10"/>
      <c r="E161" s="10"/>
      <c r="F161" s="10"/>
      <c r="G161" s="10"/>
      <c r="H161" s="10"/>
      <c r="I161" s="10"/>
      <c r="J161" s="10"/>
      <c r="K161" s="10"/>
      <c r="L161" s="10"/>
      <c r="M161" s="10"/>
      <c r="N161" s="10"/>
      <c r="O161" s="10"/>
    </row>
    <row r="162" spans="1:15" ht="18" customHeight="1">
      <c r="A162" s="10"/>
      <c r="B162" s="10"/>
      <c r="C162" s="10"/>
      <c r="D162" s="10"/>
      <c r="E162" s="10"/>
      <c r="F162" s="10"/>
      <c r="G162" s="10"/>
      <c r="H162" s="10"/>
      <c r="I162" s="10"/>
      <c r="J162" s="10"/>
      <c r="K162" s="10"/>
      <c r="L162" s="10"/>
      <c r="M162" s="10"/>
      <c r="N162" s="10"/>
      <c r="O162" s="10"/>
    </row>
    <row r="163" spans="1:15" ht="18" customHeight="1">
      <c r="A163" s="10"/>
      <c r="B163" s="10"/>
      <c r="C163" s="10"/>
      <c r="D163" s="10"/>
      <c r="E163" s="10"/>
      <c r="F163" s="10"/>
      <c r="G163" s="10"/>
      <c r="H163" s="10"/>
      <c r="I163" s="10"/>
      <c r="J163" s="10"/>
      <c r="K163" s="10"/>
      <c r="L163" s="10"/>
      <c r="M163" s="10"/>
      <c r="N163" s="10"/>
      <c r="O163" s="10"/>
    </row>
    <row r="164" spans="1:15" ht="18" customHeight="1">
      <c r="A164" s="10"/>
      <c r="B164" s="10"/>
      <c r="C164" s="10"/>
      <c r="D164" s="10"/>
      <c r="E164" s="10"/>
      <c r="F164" s="10"/>
      <c r="G164" s="10"/>
      <c r="H164" s="10"/>
      <c r="I164" s="10"/>
      <c r="J164" s="10"/>
      <c r="K164" s="10"/>
      <c r="L164" s="10"/>
      <c r="M164" s="10"/>
      <c r="N164" s="10"/>
      <c r="O164" s="10"/>
    </row>
    <row r="165" spans="1:15" ht="18" customHeight="1">
      <c r="A165" s="10"/>
      <c r="B165" s="10"/>
      <c r="C165" s="10"/>
      <c r="D165" s="10"/>
      <c r="E165" s="10"/>
      <c r="F165" s="10"/>
      <c r="G165" s="10"/>
      <c r="H165" s="10"/>
      <c r="I165" s="10"/>
      <c r="J165" s="10"/>
      <c r="K165" s="10"/>
      <c r="L165" s="10"/>
      <c r="M165" s="10"/>
      <c r="N165" s="10"/>
      <c r="O165" s="10"/>
    </row>
    <row r="166" spans="1:15" ht="18" customHeight="1">
      <c r="A166" s="10"/>
      <c r="B166" s="10"/>
      <c r="C166" s="10"/>
      <c r="D166" s="10"/>
      <c r="E166" s="10"/>
      <c r="F166" s="10"/>
      <c r="G166" s="10"/>
      <c r="H166" s="10"/>
      <c r="I166" s="10"/>
      <c r="J166" s="10"/>
      <c r="K166" s="10"/>
      <c r="L166" s="10"/>
      <c r="M166" s="10"/>
      <c r="N166" s="10"/>
      <c r="O166" s="10"/>
    </row>
    <row r="167" spans="1:15" ht="18" customHeight="1">
      <c r="A167" s="10"/>
      <c r="B167" s="10"/>
      <c r="C167" s="10"/>
      <c r="D167" s="10"/>
      <c r="E167" s="10"/>
      <c r="F167" s="10"/>
      <c r="G167" s="10"/>
      <c r="H167" s="10"/>
      <c r="I167" s="10"/>
      <c r="J167" s="10"/>
      <c r="K167" s="10"/>
      <c r="L167" s="10"/>
      <c r="M167" s="10"/>
      <c r="N167" s="10"/>
      <c r="O167" s="10"/>
    </row>
    <row r="168" spans="1:15" ht="18" customHeight="1">
      <c r="A168" s="10"/>
      <c r="B168" s="10"/>
      <c r="C168" s="10"/>
      <c r="D168" s="10"/>
      <c r="E168" s="10"/>
      <c r="F168" s="10"/>
      <c r="G168" s="10"/>
      <c r="H168" s="10"/>
      <c r="I168" s="10"/>
      <c r="J168" s="10"/>
      <c r="K168" s="10"/>
      <c r="L168" s="10"/>
      <c r="M168" s="10"/>
      <c r="N168" s="10"/>
      <c r="O168" s="10"/>
    </row>
    <row r="169" spans="1:15" ht="18" customHeight="1">
      <c r="A169" s="10"/>
      <c r="B169" s="10"/>
      <c r="C169" s="10"/>
      <c r="D169" s="10"/>
      <c r="E169" s="10"/>
      <c r="F169" s="10"/>
      <c r="G169" s="10"/>
      <c r="H169" s="10"/>
      <c r="I169" s="10"/>
      <c r="J169" s="10"/>
      <c r="K169" s="10"/>
      <c r="L169" s="10"/>
      <c r="M169" s="10"/>
      <c r="N169" s="10"/>
      <c r="O169" s="10"/>
    </row>
    <row r="170" spans="1:15" ht="18" customHeight="1">
      <c r="A170" s="10"/>
      <c r="B170" s="10"/>
      <c r="C170" s="10"/>
      <c r="D170" s="10"/>
      <c r="E170" s="10"/>
      <c r="F170" s="10"/>
      <c r="G170" s="10"/>
      <c r="H170" s="10"/>
      <c r="I170" s="10"/>
      <c r="J170" s="10"/>
      <c r="K170" s="10"/>
      <c r="L170" s="10"/>
      <c r="M170" s="10"/>
      <c r="N170" s="10"/>
      <c r="O170" s="10"/>
    </row>
    <row r="171" spans="1:15" ht="18" customHeight="1">
      <c r="A171" s="10"/>
      <c r="B171" s="10"/>
      <c r="C171" s="10"/>
      <c r="D171" s="10"/>
      <c r="E171" s="10"/>
      <c r="F171" s="10"/>
      <c r="G171" s="10"/>
      <c r="H171" s="10"/>
      <c r="I171" s="10"/>
      <c r="J171" s="10"/>
      <c r="K171" s="10"/>
      <c r="L171" s="10"/>
      <c r="M171" s="10"/>
      <c r="N171" s="10"/>
      <c r="O171" s="10"/>
    </row>
    <row r="172" spans="1:15" ht="18" customHeight="1">
      <c r="A172" s="10"/>
      <c r="B172" s="10"/>
      <c r="C172" s="10"/>
      <c r="D172" s="10"/>
      <c r="E172" s="10"/>
      <c r="F172" s="10"/>
      <c r="G172" s="10"/>
      <c r="H172" s="10"/>
      <c r="I172" s="10"/>
      <c r="J172" s="10"/>
      <c r="K172" s="10"/>
      <c r="L172" s="10"/>
      <c r="M172" s="10"/>
      <c r="N172" s="10"/>
      <c r="O172" s="10"/>
    </row>
    <row r="173" spans="1:15" ht="18" customHeight="1">
      <c r="A173" s="10"/>
      <c r="B173" s="10"/>
      <c r="C173" s="10"/>
      <c r="D173" s="10"/>
      <c r="E173" s="10"/>
      <c r="F173" s="10"/>
      <c r="G173" s="10"/>
      <c r="H173" s="10"/>
      <c r="I173" s="10"/>
      <c r="J173" s="10"/>
      <c r="K173" s="10"/>
      <c r="L173" s="10"/>
      <c r="M173" s="10"/>
      <c r="N173" s="10"/>
      <c r="O173" s="10"/>
    </row>
    <row r="174" spans="1:15" ht="18" customHeight="1">
      <c r="A174" s="10"/>
      <c r="B174" s="10"/>
      <c r="C174" s="10"/>
      <c r="D174" s="10"/>
      <c r="E174" s="10"/>
      <c r="F174" s="10"/>
      <c r="G174" s="10"/>
      <c r="H174" s="10"/>
      <c r="I174" s="10"/>
      <c r="J174" s="10"/>
      <c r="K174" s="10"/>
      <c r="L174" s="10"/>
      <c r="M174" s="10"/>
      <c r="N174" s="10"/>
      <c r="O174" s="10"/>
    </row>
    <row r="175" spans="1:15" ht="18" customHeight="1">
      <c r="A175" s="10"/>
      <c r="B175" s="10"/>
      <c r="C175" s="10"/>
      <c r="D175" s="10"/>
      <c r="E175" s="10"/>
      <c r="F175" s="10"/>
      <c r="G175" s="10"/>
      <c r="H175" s="10"/>
      <c r="I175" s="10"/>
      <c r="J175" s="10"/>
      <c r="K175" s="10"/>
      <c r="L175" s="10"/>
      <c r="M175" s="10"/>
      <c r="N175" s="10"/>
      <c r="O175" s="10"/>
    </row>
    <row r="176" spans="1:15" ht="18" customHeight="1">
      <c r="A176" s="10"/>
      <c r="B176" s="10"/>
      <c r="C176" s="10"/>
      <c r="D176" s="10"/>
      <c r="E176" s="10"/>
      <c r="F176" s="10"/>
      <c r="G176" s="10"/>
      <c r="H176" s="10"/>
      <c r="I176" s="10"/>
      <c r="J176" s="10"/>
      <c r="K176" s="10"/>
      <c r="L176" s="10"/>
      <c r="M176" s="10"/>
      <c r="N176" s="10"/>
      <c r="O176" s="10"/>
    </row>
    <row r="177" spans="1:15" ht="18" customHeight="1">
      <c r="A177" s="10"/>
      <c r="B177" s="10"/>
      <c r="C177" s="10"/>
      <c r="D177" s="10"/>
      <c r="E177" s="10"/>
      <c r="F177" s="10"/>
      <c r="G177" s="10"/>
      <c r="H177" s="10"/>
      <c r="I177" s="10"/>
      <c r="J177" s="10"/>
      <c r="K177" s="10"/>
      <c r="L177" s="10"/>
      <c r="M177" s="10"/>
      <c r="N177" s="10"/>
      <c r="O177" s="10"/>
    </row>
    <row r="178" spans="1:15" ht="18" customHeight="1">
      <c r="A178" s="10"/>
      <c r="B178" s="10"/>
      <c r="C178" s="10"/>
      <c r="D178" s="10"/>
      <c r="E178" s="10"/>
      <c r="F178" s="10"/>
      <c r="G178" s="10"/>
      <c r="H178" s="10"/>
      <c r="I178" s="10"/>
      <c r="J178" s="10"/>
      <c r="K178" s="10"/>
      <c r="L178" s="10"/>
      <c r="M178" s="10"/>
      <c r="N178" s="10"/>
      <c r="O178" s="10"/>
    </row>
    <row r="179" spans="1:15" ht="18" customHeight="1">
      <c r="A179" s="10"/>
      <c r="B179" s="10"/>
      <c r="C179" s="10"/>
      <c r="D179" s="10"/>
      <c r="E179" s="10"/>
      <c r="F179" s="10"/>
      <c r="G179" s="10"/>
      <c r="H179" s="10"/>
      <c r="I179" s="10"/>
      <c r="J179" s="10"/>
      <c r="K179" s="10"/>
      <c r="L179" s="10"/>
      <c r="M179" s="10"/>
      <c r="N179" s="10"/>
      <c r="O179" s="10"/>
    </row>
    <row r="180" spans="1:15" ht="18" customHeight="1">
      <c r="A180" s="10"/>
      <c r="B180" s="10"/>
      <c r="C180" s="10"/>
      <c r="D180" s="10"/>
      <c r="E180" s="10"/>
      <c r="F180" s="10"/>
      <c r="G180" s="10"/>
      <c r="H180" s="10"/>
      <c r="I180" s="10"/>
      <c r="J180" s="10"/>
      <c r="K180" s="10"/>
      <c r="L180" s="10"/>
      <c r="M180" s="10"/>
      <c r="N180" s="10"/>
      <c r="O180" s="10"/>
    </row>
    <row r="181" spans="1:15" ht="18" customHeight="1">
      <c r="A181" s="10"/>
      <c r="B181" s="10"/>
      <c r="C181" s="10"/>
      <c r="D181" s="10"/>
      <c r="E181" s="10"/>
      <c r="F181" s="10"/>
      <c r="G181" s="10"/>
      <c r="H181" s="10"/>
      <c r="I181" s="10"/>
      <c r="J181" s="10"/>
      <c r="K181" s="10"/>
      <c r="L181" s="10"/>
      <c r="M181" s="10"/>
      <c r="N181" s="10"/>
      <c r="O181" s="10"/>
    </row>
    <row r="182" spans="1:15" ht="18" customHeight="1">
      <c r="A182" s="10"/>
      <c r="B182" s="10"/>
      <c r="C182" s="10"/>
      <c r="D182" s="10"/>
      <c r="E182" s="10"/>
      <c r="F182" s="10"/>
      <c r="G182" s="10"/>
      <c r="H182" s="10"/>
      <c r="I182" s="10"/>
      <c r="J182" s="10"/>
      <c r="K182" s="10"/>
      <c r="L182" s="10"/>
      <c r="M182" s="10"/>
      <c r="N182" s="10"/>
      <c r="O182" s="10"/>
    </row>
    <row r="183" spans="1:15" ht="18" customHeight="1">
      <c r="A183" s="10"/>
      <c r="B183" s="10"/>
      <c r="C183" s="10"/>
      <c r="D183" s="10"/>
      <c r="E183" s="10"/>
      <c r="F183" s="10"/>
      <c r="G183" s="10"/>
      <c r="H183" s="10"/>
      <c r="I183" s="10"/>
      <c r="J183" s="10"/>
      <c r="K183" s="10"/>
      <c r="L183" s="10"/>
      <c r="M183" s="10"/>
      <c r="N183" s="10"/>
      <c r="O183" s="10"/>
    </row>
    <row r="184" spans="1:15" ht="18" customHeight="1">
      <c r="A184" s="10"/>
      <c r="B184" s="10"/>
      <c r="C184" s="10"/>
      <c r="D184" s="10"/>
      <c r="E184" s="10"/>
      <c r="F184" s="10"/>
      <c r="G184" s="10"/>
      <c r="H184" s="10"/>
      <c r="I184" s="10"/>
      <c r="J184" s="10"/>
      <c r="K184" s="10"/>
      <c r="L184" s="10"/>
      <c r="M184" s="10"/>
      <c r="N184" s="10"/>
      <c r="O184" s="10"/>
    </row>
    <row r="185" spans="1:15" ht="18" customHeight="1">
      <c r="A185" s="10"/>
      <c r="B185" s="10"/>
      <c r="C185" s="10"/>
      <c r="D185" s="10"/>
      <c r="E185" s="10"/>
      <c r="F185" s="10"/>
      <c r="G185" s="10"/>
      <c r="H185" s="10"/>
      <c r="I185" s="10"/>
      <c r="J185" s="10"/>
      <c r="K185" s="10"/>
      <c r="L185" s="10"/>
      <c r="M185" s="10"/>
      <c r="N185" s="10"/>
      <c r="O185" s="10"/>
    </row>
    <row r="186" spans="1:15" ht="18" customHeight="1">
      <c r="A186" s="10"/>
      <c r="B186" s="10"/>
      <c r="C186" s="10"/>
      <c r="D186" s="10"/>
      <c r="E186" s="10"/>
      <c r="F186" s="10"/>
      <c r="G186" s="10"/>
      <c r="H186" s="10"/>
      <c r="I186" s="10"/>
      <c r="J186" s="10"/>
      <c r="K186" s="10"/>
      <c r="L186" s="10"/>
      <c r="M186" s="10"/>
      <c r="N186" s="10"/>
      <c r="O186" s="10"/>
    </row>
    <row r="187" spans="1:15" ht="18" customHeight="1">
      <c r="A187" s="10"/>
      <c r="B187" s="10"/>
      <c r="C187" s="10"/>
      <c r="D187" s="10"/>
      <c r="E187" s="10"/>
      <c r="F187" s="10"/>
      <c r="G187" s="10"/>
      <c r="H187" s="10"/>
      <c r="I187" s="10"/>
      <c r="J187" s="10"/>
      <c r="K187" s="10"/>
      <c r="L187" s="10"/>
      <c r="M187" s="10"/>
      <c r="N187" s="10"/>
      <c r="O187" s="10"/>
    </row>
    <row r="188" spans="1:15" ht="18" customHeight="1">
      <c r="A188" s="10"/>
      <c r="B188" s="10"/>
      <c r="C188" s="10"/>
      <c r="D188" s="10"/>
      <c r="E188" s="10"/>
      <c r="F188" s="10"/>
      <c r="G188" s="10"/>
      <c r="H188" s="10"/>
      <c r="I188" s="10"/>
      <c r="J188" s="10"/>
      <c r="K188" s="10"/>
      <c r="L188" s="10"/>
      <c r="M188" s="10"/>
      <c r="N188" s="10"/>
      <c r="O188" s="10"/>
    </row>
    <row r="189" spans="1:15" ht="18" customHeight="1">
      <c r="A189" s="10"/>
      <c r="B189" s="10"/>
      <c r="C189" s="10"/>
      <c r="D189" s="10"/>
      <c r="E189" s="10"/>
      <c r="F189" s="10"/>
      <c r="G189" s="10"/>
      <c r="H189" s="10"/>
      <c r="I189" s="10"/>
      <c r="J189" s="10"/>
      <c r="K189" s="10"/>
      <c r="L189" s="10"/>
      <c r="M189" s="10"/>
      <c r="N189" s="10"/>
      <c r="O189" s="10"/>
    </row>
    <row r="190" spans="1:15" ht="18" customHeight="1">
      <c r="A190" s="10"/>
      <c r="B190" s="10"/>
      <c r="C190" s="10"/>
      <c r="D190" s="10"/>
      <c r="E190" s="10"/>
      <c r="F190" s="10"/>
      <c r="G190" s="10"/>
      <c r="H190" s="10"/>
      <c r="I190" s="10"/>
      <c r="J190" s="10"/>
      <c r="K190" s="10"/>
      <c r="L190" s="10"/>
      <c r="M190" s="10"/>
      <c r="N190" s="10"/>
      <c r="O190" s="10"/>
    </row>
    <row r="191" spans="1:15" ht="18" customHeight="1">
      <c r="A191" s="10"/>
      <c r="B191" s="10"/>
      <c r="C191" s="10"/>
      <c r="D191" s="10"/>
      <c r="E191" s="10"/>
      <c r="F191" s="10"/>
      <c r="G191" s="10"/>
      <c r="H191" s="10"/>
      <c r="I191" s="10"/>
      <c r="J191" s="10"/>
      <c r="K191" s="10"/>
      <c r="L191" s="10"/>
      <c r="M191" s="10"/>
      <c r="N191" s="10"/>
      <c r="O191" s="10"/>
    </row>
    <row r="192" spans="1:15" ht="18" customHeight="1">
      <c r="A192" s="10"/>
      <c r="B192" s="10"/>
      <c r="C192" s="10"/>
      <c r="D192" s="10"/>
      <c r="E192" s="10"/>
      <c r="F192" s="10"/>
      <c r="G192" s="10"/>
      <c r="H192" s="10"/>
      <c r="I192" s="10"/>
      <c r="J192" s="10"/>
      <c r="K192" s="10"/>
      <c r="L192" s="10"/>
      <c r="M192" s="10"/>
      <c r="N192" s="10"/>
      <c r="O192" s="10"/>
    </row>
    <row r="193" spans="1:15" ht="18" customHeight="1">
      <c r="A193" s="10"/>
      <c r="B193" s="10"/>
      <c r="C193" s="10"/>
      <c r="D193" s="10"/>
      <c r="E193" s="10"/>
      <c r="F193" s="10"/>
      <c r="G193" s="10"/>
      <c r="H193" s="10"/>
      <c r="I193" s="10"/>
      <c r="J193" s="10"/>
      <c r="K193" s="10"/>
      <c r="L193" s="10"/>
      <c r="M193" s="10"/>
      <c r="N193" s="10"/>
      <c r="O193" s="10"/>
    </row>
    <row r="194" spans="1:15" ht="18" customHeight="1">
      <c r="A194" s="10"/>
      <c r="B194" s="10"/>
      <c r="C194" s="10"/>
      <c r="D194" s="10"/>
      <c r="E194" s="10"/>
      <c r="F194" s="10"/>
      <c r="G194" s="10"/>
      <c r="H194" s="10"/>
      <c r="I194" s="10"/>
      <c r="J194" s="10"/>
      <c r="K194" s="10"/>
      <c r="L194" s="10"/>
      <c r="M194" s="10"/>
      <c r="N194" s="10"/>
      <c r="O194" s="10"/>
    </row>
    <row r="195" spans="1:15" ht="18" customHeight="1">
      <c r="A195" s="10"/>
      <c r="B195" s="10"/>
      <c r="C195" s="10"/>
      <c r="D195" s="10"/>
      <c r="E195" s="10"/>
      <c r="F195" s="10"/>
      <c r="G195" s="10"/>
      <c r="H195" s="10"/>
      <c r="I195" s="10"/>
      <c r="J195" s="10"/>
      <c r="K195" s="10"/>
      <c r="L195" s="10"/>
      <c r="M195" s="10"/>
      <c r="N195" s="10"/>
      <c r="O195" s="10"/>
    </row>
    <row r="196" spans="1:15" ht="18" customHeight="1">
      <c r="A196" s="10"/>
      <c r="B196" s="10"/>
      <c r="C196" s="10"/>
      <c r="D196" s="10"/>
      <c r="E196" s="10"/>
      <c r="F196" s="10"/>
      <c r="G196" s="10"/>
      <c r="H196" s="10"/>
      <c r="I196" s="10"/>
      <c r="J196" s="10"/>
      <c r="K196" s="10"/>
      <c r="L196" s="10"/>
      <c r="M196" s="10"/>
      <c r="N196" s="10"/>
      <c r="O196" s="10"/>
    </row>
    <row r="197" spans="1:15" ht="18" customHeight="1">
      <c r="A197" s="10"/>
      <c r="B197" s="10"/>
      <c r="C197" s="10"/>
      <c r="D197" s="10"/>
      <c r="E197" s="10"/>
      <c r="F197" s="10"/>
      <c r="G197" s="10"/>
      <c r="H197" s="10"/>
      <c r="I197" s="10"/>
      <c r="J197" s="10"/>
      <c r="K197" s="10"/>
      <c r="L197" s="10"/>
      <c r="M197" s="10"/>
      <c r="N197" s="10"/>
      <c r="O197" s="10"/>
    </row>
    <row r="198" spans="1:15" ht="18" customHeight="1">
      <c r="A198" s="10"/>
      <c r="B198" s="10"/>
      <c r="C198" s="10"/>
      <c r="D198" s="10"/>
      <c r="E198" s="10"/>
      <c r="F198" s="10"/>
      <c r="G198" s="10"/>
      <c r="H198" s="10"/>
      <c r="I198" s="10"/>
      <c r="J198" s="10"/>
      <c r="K198" s="10"/>
      <c r="L198" s="10"/>
      <c r="M198" s="10"/>
      <c r="N198" s="10"/>
      <c r="O198" s="10"/>
    </row>
    <row r="199" spans="1:15" ht="18" customHeight="1">
      <c r="A199" s="10"/>
      <c r="B199" s="10"/>
      <c r="C199" s="10"/>
      <c r="D199" s="10"/>
      <c r="E199" s="10"/>
      <c r="F199" s="10"/>
      <c r="G199" s="10"/>
      <c r="H199" s="10"/>
      <c r="I199" s="10"/>
      <c r="J199" s="10"/>
      <c r="K199" s="10"/>
      <c r="L199" s="10"/>
      <c r="M199" s="10"/>
      <c r="N199" s="10"/>
      <c r="O199" s="10"/>
    </row>
    <row r="200" spans="1:15" ht="18" customHeight="1">
      <c r="A200" s="10"/>
      <c r="B200" s="10"/>
      <c r="C200" s="10"/>
      <c r="D200" s="10"/>
      <c r="E200" s="10"/>
      <c r="F200" s="10"/>
      <c r="G200" s="10"/>
      <c r="H200" s="10"/>
      <c r="I200" s="10"/>
      <c r="J200" s="10"/>
      <c r="K200" s="10"/>
      <c r="L200" s="10"/>
      <c r="M200" s="10"/>
      <c r="N200" s="10"/>
      <c r="O200" s="10"/>
    </row>
    <row r="201" spans="1:15" ht="18" customHeight="1">
      <c r="A201" s="10"/>
      <c r="B201" s="10"/>
      <c r="C201" s="10"/>
      <c r="D201" s="10"/>
      <c r="E201" s="10"/>
      <c r="F201" s="10"/>
      <c r="G201" s="10"/>
      <c r="H201" s="10"/>
      <c r="I201" s="10"/>
      <c r="J201" s="10"/>
      <c r="K201" s="10"/>
      <c r="L201" s="10"/>
      <c r="M201" s="10"/>
      <c r="N201" s="10"/>
      <c r="O201" s="10"/>
    </row>
    <row r="202" spans="1:15" ht="18" customHeight="1">
      <c r="A202" s="10"/>
      <c r="B202" s="10"/>
      <c r="C202" s="10"/>
      <c r="D202" s="10"/>
      <c r="E202" s="10"/>
      <c r="F202" s="10"/>
      <c r="G202" s="10"/>
      <c r="H202" s="10"/>
      <c r="I202" s="10"/>
      <c r="J202" s="10"/>
      <c r="K202" s="10"/>
      <c r="L202" s="10"/>
      <c r="M202" s="10"/>
      <c r="N202" s="10"/>
      <c r="O202" s="10"/>
    </row>
    <row r="203" spans="1:15" ht="18" customHeight="1">
      <c r="A203" s="10"/>
      <c r="B203" s="10"/>
      <c r="C203" s="10"/>
      <c r="D203" s="10"/>
      <c r="E203" s="10"/>
      <c r="F203" s="10"/>
      <c r="G203" s="10"/>
      <c r="H203" s="10"/>
      <c r="I203" s="10"/>
      <c r="J203" s="10"/>
      <c r="K203" s="10"/>
      <c r="L203" s="10"/>
      <c r="M203" s="10"/>
      <c r="N203" s="10"/>
      <c r="O203" s="10"/>
    </row>
    <row r="204" spans="1:15" ht="18" customHeight="1">
      <c r="A204" s="10"/>
      <c r="B204" s="10"/>
      <c r="C204" s="10"/>
      <c r="D204" s="10"/>
      <c r="E204" s="10"/>
      <c r="F204" s="10"/>
      <c r="G204" s="10"/>
      <c r="H204" s="10"/>
      <c r="I204" s="10"/>
      <c r="J204" s="10"/>
      <c r="K204" s="10"/>
      <c r="L204" s="10"/>
      <c r="M204" s="10"/>
      <c r="N204" s="10"/>
      <c r="O204" s="10"/>
    </row>
    <row r="205" spans="1:15" ht="18" customHeight="1">
      <c r="A205" s="10"/>
      <c r="B205" s="10"/>
      <c r="C205" s="10"/>
      <c r="D205" s="10"/>
      <c r="E205" s="10"/>
      <c r="F205" s="10"/>
      <c r="G205" s="10"/>
      <c r="H205" s="10"/>
      <c r="I205" s="10"/>
      <c r="J205" s="10"/>
      <c r="K205" s="10"/>
      <c r="L205" s="10"/>
      <c r="M205" s="10"/>
      <c r="N205" s="10"/>
      <c r="O205" s="10"/>
    </row>
    <row r="206" spans="1:15" ht="18" customHeight="1">
      <c r="A206" s="10"/>
      <c r="B206" s="10"/>
      <c r="C206" s="10"/>
      <c r="D206" s="10"/>
      <c r="E206" s="10"/>
      <c r="F206" s="10"/>
      <c r="G206" s="10"/>
      <c r="H206" s="10"/>
      <c r="I206" s="10"/>
      <c r="J206" s="10"/>
      <c r="K206" s="10"/>
      <c r="L206" s="10"/>
      <c r="M206" s="10"/>
      <c r="N206" s="10"/>
      <c r="O206" s="10"/>
    </row>
    <row r="207" spans="1:15" ht="18" customHeight="1">
      <c r="A207" s="10"/>
      <c r="B207" s="10"/>
      <c r="C207" s="10"/>
      <c r="D207" s="10"/>
      <c r="E207" s="10"/>
      <c r="F207" s="10"/>
      <c r="G207" s="10"/>
      <c r="H207" s="10"/>
      <c r="I207" s="10"/>
      <c r="J207" s="10"/>
      <c r="K207" s="10"/>
      <c r="L207" s="10"/>
      <c r="M207" s="10"/>
      <c r="N207" s="10"/>
      <c r="O207" s="10"/>
    </row>
    <row r="208" spans="1:15" ht="18" customHeight="1">
      <c r="A208" s="10"/>
      <c r="B208" s="10"/>
      <c r="C208" s="10"/>
      <c r="D208" s="10"/>
      <c r="E208" s="10"/>
      <c r="F208" s="10"/>
      <c r="G208" s="10"/>
      <c r="H208" s="10"/>
      <c r="I208" s="10"/>
      <c r="J208" s="10"/>
      <c r="K208" s="10"/>
      <c r="L208" s="10"/>
      <c r="M208" s="10"/>
      <c r="N208" s="10"/>
      <c r="O208" s="10"/>
    </row>
    <row r="209" spans="1:15" ht="18" customHeight="1">
      <c r="A209" s="10"/>
      <c r="B209" s="10"/>
      <c r="C209" s="10"/>
      <c r="D209" s="10"/>
      <c r="E209" s="10"/>
      <c r="F209" s="10"/>
      <c r="G209" s="10"/>
      <c r="H209" s="10"/>
      <c r="I209" s="10"/>
      <c r="J209" s="10"/>
      <c r="K209" s="10"/>
      <c r="L209" s="10"/>
      <c r="M209" s="10"/>
      <c r="N209" s="10"/>
      <c r="O209" s="10"/>
    </row>
    <row r="210" spans="1:15" ht="18" customHeight="1">
      <c r="A210" s="10"/>
      <c r="B210" s="10"/>
      <c r="C210" s="10"/>
      <c r="D210" s="10"/>
      <c r="E210" s="10"/>
      <c r="F210" s="10"/>
      <c r="G210" s="10"/>
      <c r="H210" s="10"/>
      <c r="I210" s="10"/>
      <c r="J210" s="10"/>
      <c r="K210" s="10"/>
      <c r="L210" s="10"/>
      <c r="M210" s="10"/>
      <c r="N210" s="10"/>
      <c r="O210" s="10"/>
    </row>
    <row r="211" spans="1:15" ht="18" customHeight="1">
      <c r="A211" s="10"/>
      <c r="B211" s="10"/>
      <c r="C211" s="10"/>
      <c r="D211" s="10"/>
      <c r="E211" s="10"/>
      <c r="F211" s="10"/>
      <c r="G211" s="10"/>
      <c r="H211" s="10"/>
      <c r="I211" s="10"/>
      <c r="J211" s="10"/>
      <c r="K211" s="10"/>
      <c r="L211" s="10"/>
      <c r="M211" s="10"/>
      <c r="N211" s="10"/>
      <c r="O211" s="10"/>
    </row>
    <row r="212" spans="1:15" ht="18" customHeight="1">
      <c r="A212" s="10"/>
      <c r="B212" s="10"/>
      <c r="C212" s="10"/>
      <c r="D212" s="10"/>
      <c r="E212" s="10"/>
      <c r="F212" s="10"/>
      <c r="G212" s="10"/>
      <c r="H212" s="10"/>
      <c r="I212" s="10"/>
      <c r="J212" s="10"/>
      <c r="K212" s="10"/>
      <c r="L212" s="10"/>
      <c r="M212" s="10"/>
      <c r="N212" s="10"/>
      <c r="O212" s="10"/>
    </row>
    <row r="213" spans="1:15" ht="18" customHeight="1">
      <c r="A213" s="10"/>
      <c r="B213" s="10"/>
      <c r="C213" s="10"/>
      <c r="D213" s="10"/>
      <c r="E213" s="10"/>
      <c r="F213" s="10"/>
      <c r="G213" s="10"/>
      <c r="H213" s="10"/>
      <c r="I213" s="10"/>
      <c r="J213" s="10"/>
      <c r="K213" s="10"/>
      <c r="L213" s="10"/>
      <c r="M213" s="10"/>
      <c r="N213" s="10"/>
      <c r="O213" s="10"/>
    </row>
    <row r="214" spans="1:15" ht="18" customHeight="1">
      <c r="A214" s="10"/>
      <c r="B214" s="10"/>
      <c r="C214" s="10"/>
      <c r="D214" s="10"/>
      <c r="E214" s="10"/>
      <c r="F214" s="10"/>
      <c r="G214" s="10"/>
      <c r="H214" s="10"/>
      <c r="I214" s="10"/>
      <c r="J214" s="10"/>
      <c r="K214" s="10"/>
      <c r="L214" s="10"/>
      <c r="M214" s="10"/>
      <c r="N214" s="10"/>
      <c r="O214" s="10"/>
    </row>
    <row r="215" spans="1:15" ht="18" customHeight="1">
      <c r="A215" s="10"/>
      <c r="B215" s="10"/>
      <c r="C215" s="10"/>
      <c r="D215" s="10"/>
      <c r="E215" s="10"/>
      <c r="F215" s="10"/>
      <c r="G215" s="10"/>
      <c r="H215" s="10"/>
      <c r="I215" s="10"/>
      <c r="J215" s="10"/>
      <c r="K215" s="10"/>
      <c r="L215" s="10"/>
      <c r="M215" s="10"/>
      <c r="N215" s="10"/>
      <c r="O215" s="10"/>
    </row>
    <row r="216" spans="1:15" ht="18" customHeight="1">
      <c r="A216" s="10"/>
      <c r="B216" s="10"/>
      <c r="C216" s="10"/>
      <c r="D216" s="10"/>
      <c r="E216" s="10"/>
      <c r="F216" s="10"/>
      <c r="G216" s="10"/>
      <c r="H216" s="10"/>
      <c r="I216" s="10"/>
      <c r="J216" s="10"/>
      <c r="K216" s="10"/>
      <c r="L216" s="10"/>
      <c r="M216" s="10"/>
      <c r="N216" s="10"/>
      <c r="O216" s="10"/>
    </row>
    <row r="217" spans="1:15" ht="18" customHeight="1">
      <c r="A217" s="10"/>
      <c r="B217" s="10"/>
      <c r="C217" s="10"/>
      <c r="D217" s="10"/>
      <c r="E217" s="10"/>
      <c r="F217" s="10"/>
      <c r="G217" s="10"/>
      <c r="H217" s="10"/>
      <c r="I217" s="10"/>
      <c r="J217" s="10"/>
      <c r="K217" s="10"/>
      <c r="L217" s="10"/>
      <c r="M217" s="10"/>
      <c r="N217" s="10"/>
      <c r="O217" s="10"/>
    </row>
    <row r="218" spans="1:15" ht="18" customHeight="1">
      <c r="A218" s="10"/>
      <c r="B218" s="10"/>
      <c r="C218" s="10"/>
      <c r="D218" s="10"/>
      <c r="E218" s="10"/>
      <c r="F218" s="10"/>
      <c r="G218" s="10"/>
      <c r="H218" s="10"/>
      <c r="I218" s="10"/>
      <c r="J218" s="10"/>
      <c r="K218" s="10"/>
      <c r="L218" s="10"/>
      <c r="M218" s="10"/>
      <c r="N218" s="10"/>
      <c r="O218" s="10"/>
    </row>
    <row r="219" spans="1:15" ht="18" customHeight="1">
      <c r="A219" s="10"/>
      <c r="B219" s="10"/>
      <c r="C219" s="10"/>
      <c r="D219" s="10"/>
      <c r="E219" s="10"/>
      <c r="F219" s="10"/>
      <c r="G219" s="10"/>
      <c r="H219" s="10"/>
      <c r="I219" s="10"/>
      <c r="J219" s="10"/>
      <c r="K219" s="10"/>
      <c r="L219" s="10"/>
      <c r="M219" s="10"/>
      <c r="N219" s="10"/>
      <c r="O219" s="10"/>
    </row>
    <row r="220" spans="1:15" ht="18" customHeight="1">
      <c r="A220" s="10"/>
      <c r="B220" s="10"/>
      <c r="C220" s="10"/>
      <c r="D220" s="10"/>
      <c r="E220" s="10"/>
      <c r="F220" s="10"/>
      <c r="G220" s="10"/>
      <c r="H220" s="10"/>
      <c r="I220" s="10"/>
      <c r="J220" s="10"/>
      <c r="K220" s="10"/>
      <c r="L220" s="10"/>
      <c r="M220" s="10"/>
      <c r="N220" s="10"/>
      <c r="O220" s="10"/>
    </row>
    <row r="221" spans="1:15" ht="18" customHeight="1">
      <c r="A221" s="10"/>
      <c r="B221" s="10"/>
      <c r="C221" s="10"/>
      <c r="D221" s="10"/>
      <c r="E221" s="10"/>
      <c r="F221" s="10"/>
      <c r="G221" s="10"/>
      <c r="H221" s="10"/>
      <c r="I221" s="10"/>
      <c r="J221" s="10"/>
      <c r="K221" s="10"/>
      <c r="L221" s="10"/>
      <c r="M221" s="10"/>
      <c r="N221" s="10"/>
      <c r="O221" s="10"/>
    </row>
    <row r="222" spans="1:15" ht="18" customHeight="1">
      <c r="A222" s="10"/>
      <c r="B222" s="10"/>
      <c r="C222" s="10"/>
      <c r="D222" s="10"/>
      <c r="E222" s="10"/>
      <c r="F222" s="10"/>
      <c r="G222" s="10"/>
      <c r="H222" s="10"/>
      <c r="I222" s="10"/>
      <c r="J222" s="10"/>
      <c r="K222" s="10"/>
      <c r="L222" s="10"/>
      <c r="M222" s="10"/>
      <c r="N222" s="10"/>
      <c r="O222" s="10"/>
    </row>
    <row r="223" spans="1:15" ht="18" customHeight="1">
      <c r="A223" s="10"/>
      <c r="B223" s="10"/>
      <c r="C223" s="10"/>
      <c r="D223" s="10"/>
      <c r="E223" s="10"/>
      <c r="F223" s="10"/>
      <c r="G223" s="10"/>
      <c r="H223" s="10"/>
      <c r="I223" s="10"/>
      <c r="J223" s="10"/>
      <c r="K223" s="10"/>
      <c r="L223" s="10"/>
      <c r="M223" s="10"/>
      <c r="N223" s="10"/>
      <c r="O223" s="10"/>
    </row>
    <row r="224" spans="1:15" ht="18" customHeight="1">
      <c r="A224" s="10"/>
      <c r="B224" s="10"/>
      <c r="C224" s="10"/>
      <c r="D224" s="10"/>
      <c r="E224" s="10"/>
      <c r="F224" s="10"/>
      <c r="G224" s="10"/>
      <c r="H224" s="10"/>
      <c r="I224" s="10"/>
      <c r="J224" s="10"/>
      <c r="K224" s="10"/>
      <c r="L224" s="10"/>
      <c r="M224" s="10"/>
      <c r="N224" s="10"/>
      <c r="O224" s="10"/>
    </row>
    <row r="225" spans="1:15" ht="18" customHeight="1">
      <c r="A225" s="10"/>
      <c r="B225" s="10"/>
      <c r="C225" s="10"/>
      <c r="D225" s="10"/>
      <c r="E225" s="10"/>
      <c r="F225" s="10"/>
      <c r="G225" s="10"/>
      <c r="H225" s="10"/>
      <c r="I225" s="10"/>
      <c r="J225" s="10"/>
      <c r="K225" s="10"/>
      <c r="L225" s="10"/>
      <c r="M225" s="10"/>
      <c r="N225" s="10"/>
      <c r="O225" s="10"/>
    </row>
    <row r="226" spans="1:15" ht="18" customHeight="1">
      <c r="A226" s="10"/>
      <c r="B226" s="10"/>
      <c r="C226" s="10"/>
      <c r="D226" s="10"/>
      <c r="E226" s="10"/>
      <c r="F226" s="10"/>
      <c r="G226" s="10"/>
      <c r="H226" s="10"/>
      <c r="I226" s="10"/>
      <c r="J226" s="10"/>
      <c r="K226" s="10"/>
      <c r="L226" s="10"/>
      <c r="M226" s="10"/>
      <c r="N226" s="10"/>
      <c r="O226" s="10"/>
    </row>
    <row r="227" spans="1:15" ht="18" customHeight="1">
      <c r="A227" s="10"/>
      <c r="B227" s="10"/>
      <c r="C227" s="10"/>
      <c r="D227" s="10"/>
      <c r="E227" s="10"/>
      <c r="F227" s="10"/>
      <c r="G227" s="10"/>
      <c r="H227" s="10"/>
      <c r="I227" s="10"/>
      <c r="J227" s="10"/>
      <c r="K227" s="10"/>
      <c r="L227" s="10"/>
      <c r="M227" s="10"/>
      <c r="N227" s="10"/>
      <c r="O227" s="10"/>
    </row>
    <row r="228" spans="1:15" ht="18" customHeight="1">
      <c r="A228" s="10"/>
      <c r="B228" s="10"/>
      <c r="C228" s="10"/>
      <c r="D228" s="10"/>
      <c r="E228" s="10"/>
      <c r="F228" s="10"/>
      <c r="G228" s="10"/>
      <c r="H228" s="10"/>
      <c r="I228" s="10"/>
      <c r="J228" s="10"/>
      <c r="K228" s="10"/>
      <c r="L228" s="10"/>
      <c r="M228" s="10"/>
      <c r="N228" s="10"/>
      <c r="O228" s="10"/>
    </row>
    <row r="229" spans="1:15" ht="18" customHeight="1">
      <c r="A229" s="10"/>
      <c r="B229" s="10"/>
      <c r="C229" s="10"/>
      <c r="D229" s="10"/>
      <c r="E229" s="10"/>
      <c r="F229" s="10"/>
      <c r="G229" s="10"/>
      <c r="H229" s="10"/>
      <c r="I229" s="10"/>
      <c r="J229" s="10"/>
      <c r="K229" s="10"/>
      <c r="L229" s="10"/>
      <c r="M229" s="10"/>
      <c r="N229" s="10"/>
      <c r="O229" s="10"/>
    </row>
    <row r="230" spans="1:15" ht="18" customHeight="1">
      <c r="A230" s="10"/>
      <c r="B230" s="10"/>
      <c r="C230" s="10"/>
      <c r="D230" s="10"/>
      <c r="E230" s="10"/>
      <c r="F230" s="10"/>
      <c r="G230" s="10"/>
      <c r="H230" s="10"/>
      <c r="I230" s="10"/>
      <c r="J230" s="10"/>
      <c r="K230" s="10"/>
      <c r="L230" s="10"/>
      <c r="M230" s="10"/>
      <c r="N230" s="10"/>
      <c r="O230" s="10"/>
    </row>
    <row r="231" spans="1:15" ht="18" customHeight="1">
      <c r="A231" s="10"/>
      <c r="B231" s="10"/>
      <c r="C231" s="10"/>
      <c r="D231" s="10"/>
      <c r="E231" s="10"/>
      <c r="F231" s="10"/>
      <c r="G231" s="10"/>
      <c r="H231" s="10"/>
      <c r="I231" s="10"/>
      <c r="J231" s="10"/>
      <c r="K231" s="10"/>
      <c r="L231" s="10"/>
      <c r="M231" s="10"/>
      <c r="N231" s="10"/>
      <c r="O231" s="10"/>
    </row>
    <row r="232" spans="1:15" ht="18" customHeight="1">
      <c r="A232" s="10"/>
      <c r="B232" s="10"/>
      <c r="C232" s="10"/>
      <c r="D232" s="10"/>
      <c r="E232" s="10"/>
      <c r="F232" s="10"/>
      <c r="G232" s="10"/>
      <c r="H232" s="10"/>
      <c r="I232" s="10"/>
      <c r="J232" s="10"/>
      <c r="K232" s="10"/>
      <c r="L232" s="10"/>
      <c r="M232" s="10"/>
      <c r="N232" s="10"/>
      <c r="O232" s="10"/>
    </row>
    <row r="233" spans="1:15" ht="18" customHeight="1">
      <c r="A233" s="10"/>
      <c r="B233" s="10"/>
      <c r="C233" s="10"/>
      <c r="D233" s="10"/>
      <c r="E233" s="10"/>
      <c r="F233" s="10"/>
      <c r="G233" s="10"/>
      <c r="H233" s="10"/>
      <c r="I233" s="10"/>
      <c r="J233" s="10"/>
      <c r="K233" s="10"/>
      <c r="L233" s="10"/>
      <c r="M233" s="10"/>
      <c r="N233" s="10"/>
      <c r="O233" s="10"/>
    </row>
    <row r="234" spans="1:15" ht="18" customHeight="1">
      <c r="A234" s="10"/>
      <c r="B234" s="10"/>
      <c r="C234" s="10"/>
      <c r="D234" s="10"/>
      <c r="E234" s="10"/>
      <c r="F234" s="10"/>
      <c r="G234" s="10"/>
      <c r="H234" s="10"/>
      <c r="I234" s="10"/>
      <c r="J234" s="10"/>
      <c r="K234" s="10"/>
      <c r="L234" s="10"/>
      <c r="M234" s="10"/>
      <c r="N234" s="10"/>
      <c r="O234" s="10"/>
    </row>
    <row r="235" spans="1:15" ht="18" customHeight="1">
      <c r="A235" s="10"/>
      <c r="B235" s="10"/>
      <c r="C235" s="10"/>
      <c r="D235" s="10"/>
      <c r="E235" s="10"/>
      <c r="F235" s="10"/>
      <c r="G235" s="10"/>
      <c r="H235" s="10"/>
      <c r="I235" s="10"/>
      <c r="J235" s="10"/>
      <c r="K235" s="10"/>
      <c r="L235" s="10"/>
      <c r="M235" s="10"/>
      <c r="N235" s="10"/>
      <c r="O235" s="10"/>
    </row>
    <row r="236" spans="1:15" ht="18" customHeight="1">
      <c r="A236" s="10"/>
      <c r="B236" s="10"/>
      <c r="C236" s="10"/>
      <c r="D236" s="10"/>
      <c r="E236" s="10"/>
      <c r="F236" s="10"/>
      <c r="G236" s="10"/>
      <c r="H236" s="10"/>
      <c r="I236" s="10"/>
      <c r="J236" s="10"/>
      <c r="K236" s="10"/>
      <c r="L236" s="10"/>
      <c r="M236" s="10"/>
      <c r="N236" s="10"/>
      <c r="O236" s="10"/>
    </row>
    <row r="237" spans="1:15" ht="18" customHeight="1">
      <c r="A237" s="10"/>
      <c r="B237" s="10"/>
      <c r="C237" s="10"/>
      <c r="D237" s="10"/>
      <c r="E237" s="10"/>
      <c r="F237" s="10"/>
      <c r="G237" s="10"/>
      <c r="H237" s="10"/>
      <c r="I237" s="10"/>
      <c r="J237" s="10"/>
      <c r="K237" s="10"/>
      <c r="L237" s="10"/>
      <c r="M237" s="10"/>
      <c r="N237" s="10"/>
      <c r="O237" s="10"/>
    </row>
    <row r="238" spans="1:15" ht="18" customHeight="1">
      <c r="A238" s="10"/>
      <c r="B238" s="10"/>
      <c r="C238" s="10"/>
      <c r="D238" s="10"/>
      <c r="E238" s="10"/>
      <c r="F238" s="10"/>
      <c r="G238" s="10"/>
      <c r="H238" s="10"/>
      <c r="I238" s="10"/>
      <c r="J238" s="10"/>
      <c r="K238" s="10"/>
      <c r="L238" s="10"/>
      <c r="M238" s="10"/>
      <c r="N238" s="10"/>
      <c r="O238" s="10"/>
    </row>
    <row r="239" spans="1:15" ht="18" customHeight="1">
      <c r="A239" s="10"/>
      <c r="B239" s="10"/>
      <c r="C239" s="10"/>
      <c r="D239" s="10"/>
      <c r="E239" s="10"/>
      <c r="F239" s="10"/>
      <c r="G239" s="10"/>
      <c r="H239" s="10"/>
      <c r="I239" s="10"/>
      <c r="J239" s="10"/>
      <c r="K239" s="10"/>
      <c r="L239" s="10"/>
      <c r="M239" s="10"/>
      <c r="N239" s="10"/>
      <c r="O239" s="10"/>
    </row>
    <row r="240" spans="1:15" ht="18" customHeight="1">
      <c r="A240" s="10"/>
      <c r="B240" s="10"/>
      <c r="C240" s="10"/>
      <c r="D240" s="10"/>
      <c r="E240" s="10"/>
      <c r="F240" s="10"/>
      <c r="G240" s="10"/>
      <c r="H240" s="10"/>
      <c r="I240" s="10"/>
      <c r="J240" s="10"/>
      <c r="K240" s="10"/>
      <c r="L240" s="10"/>
      <c r="M240" s="10"/>
      <c r="N240" s="10"/>
      <c r="O240" s="10"/>
    </row>
    <row r="241" spans="1:15" ht="18" customHeight="1">
      <c r="A241" s="10"/>
      <c r="B241" s="10"/>
      <c r="C241" s="10"/>
      <c r="D241" s="10"/>
      <c r="E241" s="10"/>
      <c r="F241" s="10"/>
      <c r="G241" s="10"/>
      <c r="H241" s="10"/>
      <c r="I241" s="10"/>
      <c r="J241" s="10"/>
      <c r="K241" s="10"/>
      <c r="L241" s="10"/>
      <c r="M241" s="10"/>
      <c r="N241" s="10"/>
      <c r="O241" s="10"/>
    </row>
    <row r="242" spans="1:15" ht="18" customHeight="1">
      <c r="A242" s="10"/>
      <c r="B242" s="10"/>
      <c r="C242" s="10"/>
      <c r="D242" s="10"/>
      <c r="E242" s="10"/>
      <c r="F242" s="10"/>
      <c r="G242" s="10"/>
      <c r="H242" s="10"/>
      <c r="I242" s="10"/>
      <c r="J242" s="10"/>
      <c r="K242" s="10"/>
      <c r="L242" s="10"/>
      <c r="M242" s="10"/>
      <c r="N242" s="10"/>
      <c r="O242" s="10"/>
    </row>
    <row r="243" spans="1:15" ht="18" customHeight="1">
      <c r="A243" s="10"/>
      <c r="B243" s="10"/>
      <c r="C243" s="10"/>
      <c r="D243" s="10"/>
      <c r="E243" s="10"/>
      <c r="F243" s="10"/>
      <c r="G243" s="10"/>
      <c r="H243" s="10"/>
      <c r="I243" s="10"/>
      <c r="J243" s="10"/>
      <c r="K243" s="10"/>
      <c r="L243" s="10"/>
      <c r="M243" s="10"/>
      <c r="N243" s="10"/>
      <c r="O243" s="10"/>
    </row>
    <row r="244" spans="1:15" ht="18" customHeight="1">
      <c r="A244" s="10"/>
      <c r="B244" s="10"/>
      <c r="C244" s="10"/>
      <c r="D244" s="10"/>
      <c r="E244" s="10"/>
      <c r="F244" s="10"/>
      <c r="G244" s="10"/>
      <c r="H244" s="10"/>
      <c r="I244" s="10"/>
      <c r="J244" s="10"/>
      <c r="K244" s="10"/>
      <c r="L244" s="10"/>
      <c r="M244" s="10"/>
      <c r="N244" s="10"/>
      <c r="O244" s="10"/>
    </row>
    <row r="245" spans="1:15" ht="18" customHeight="1">
      <c r="A245" s="10"/>
      <c r="B245" s="10"/>
      <c r="C245" s="10"/>
      <c r="D245" s="10"/>
      <c r="E245" s="10"/>
      <c r="F245" s="10"/>
      <c r="G245" s="10"/>
      <c r="H245" s="10"/>
      <c r="I245" s="10"/>
      <c r="J245" s="10"/>
      <c r="K245" s="10"/>
      <c r="L245" s="10"/>
      <c r="M245" s="10"/>
      <c r="N245" s="10"/>
      <c r="O245" s="10"/>
    </row>
    <row r="246" spans="1:15" ht="18" customHeight="1">
      <c r="A246" s="10"/>
      <c r="B246" s="10"/>
      <c r="C246" s="10"/>
      <c r="D246" s="10"/>
      <c r="E246" s="10"/>
      <c r="F246" s="10"/>
      <c r="G246" s="10"/>
      <c r="H246" s="10"/>
      <c r="I246" s="10"/>
      <c r="J246" s="10"/>
      <c r="K246" s="10"/>
      <c r="L246" s="10"/>
      <c r="M246" s="10"/>
      <c r="N246" s="10"/>
      <c r="O246" s="10"/>
    </row>
    <row r="247" spans="1:15" ht="18" customHeight="1">
      <c r="A247" s="10"/>
      <c r="B247" s="10"/>
      <c r="C247" s="10"/>
      <c r="D247" s="10"/>
      <c r="E247" s="10"/>
      <c r="F247" s="10"/>
      <c r="G247" s="10"/>
      <c r="H247" s="10"/>
      <c r="I247" s="10"/>
      <c r="J247" s="10"/>
      <c r="K247" s="10"/>
      <c r="L247" s="10"/>
      <c r="M247" s="10"/>
      <c r="N247" s="10"/>
      <c r="O247" s="10"/>
    </row>
    <row r="248" spans="1:15" ht="18" customHeight="1">
      <c r="A248" s="10"/>
      <c r="B248" s="10"/>
      <c r="C248" s="10"/>
      <c r="D248" s="10"/>
      <c r="E248" s="10"/>
      <c r="F248" s="10"/>
      <c r="G248" s="10"/>
      <c r="H248" s="10"/>
      <c r="I248" s="10"/>
      <c r="J248" s="10"/>
      <c r="K248" s="10"/>
      <c r="L248" s="10"/>
      <c r="M248" s="10"/>
      <c r="N248" s="10"/>
      <c r="O248" s="10"/>
    </row>
    <row r="249" spans="1:15" ht="18" customHeight="1">
      <c r="A249" s="10"/>
      <c r="B249" s="10"/>
      <c r="C249" s="10"/>
      <c r="D249" s="10"/>
      <c r="E249" s="10"/>
      <c r="F249" s="10"/>
      <c r="G249" s="10"/>
      <c r="H249" s="10"/>
      <c r="I249" s="10"/>
      <c r="J249" s="10"/>
      <c r="K249" s="10"/>
      <c r="L249" s="10"/>
      <c r="M249" s="10"/>
      <c r="N249" s="10"/>
      <c r="O249" s="10"/>
    </row>
    <row r="250" spans="1:15" ht="18" customHeight="1">
      <c r="A250" s="10"/>
      <c r="B250" s="10"/>
      <c r="C250" s="10"/>
      <c r="D250" s="10"/>
      <c r="E250" s="10"/>
      <c r="F250" s="10"/>
      <c r="G250" s="10"/>
      <c r="H250" s="10"/>
      <c r="I250" s="10"/>
      <c r="J250" s="10"/>
      <c r="K250" s="10"/>
      <c r="L250" s="10"/>
      <c r="M250" s="10"/>
      <c r="N250" s="10"/>
      <c r="O250" s="10"/>
    </row>
    <row r="251" spans="1:15" ht="18" customHeight="1">
      <c r="A251" s="10"/>
      <c r="B251" s="10"/>
      <c r="C251" s="10"/>
      <c r="D251" s="10"/>
      <c r="E251" s="10"/>
      <c r="F251" s="10"/>
      <c r="G251" s="10"/>
      <c r="H251" s="10"/>
      <c r="I251" s="10"/>
      <c r="J251" s="10"/>
      <c r="K251" s="10"/>
      <c r="L251" s="10"/>
      <c r="M251" s="10"/>
      <c r="N251" s="10"/>
      <c r="O251" s="10"/>
    </row>
    <row r="252" spans="1:15" ht="18" customHeight="1">
      <c r="A252" s="10"/>
      <c r="B252" s="10"/>
      <c r="C252" s="10"/>
      <c r="D252" s="10"/>
      <c r="E252" s="10"/>
      <c r="F252" s="10"/>
      <c r="G252" s="10"/>
      <c r="H252" s="10"/>
      <c r="I252" s="10"/>
      <c r="J252" s="10"/>
      <c r="K252" s="10"/>
      <c r="L252" s="10"/>
      <c r="M252" s="10"/>
      <c r="N252" s="10"/>
      <c r="O252" s="10"/>
    </row>
    <row r="253" spans="1:15" ht="18" customHeight="1">
      <c r="A253" s="10"/>
      <c r="B253" s="10"/>
      <c r="C253" s="10"/>
      <c r="D253" s="10"/>
      <c r="E253" s="10"/>
      <c r="F253" s="10"/>
      <c r="G253" s="10"/>
      <c r="H253" s="10"/>
      <c r="I253" s="10"/>
      <c r="J253" s="10"/>
      <c r="K253" s="10"/>
      <c r="L253" s="10"/>
      <c r="M253" s="10"/>
      <c r="N253" s="10"/>
      <c r="O253" s="10"/>
    </row>
    <row r="254" spans="1:15" ht="18" customHeight="1">
      <c r="A254" s="10"/>
      <c r="B254" s="10"/>
      <c r="C254" s="10"/>
      <c r="D254" s="10"/>
      <c r="E254" s="10"/>
      <c r="F254" s="10"/>
      <c r="G254" s="10"/>
      <c r="H254" s="10"/>
      <c r="I254" s="10"/>
      <c r="J254" s="10"/>
      <c r="K254" s="10"/>
      <c r="L254" s="10"/>
      <c r="M254" s="10"/>
      <c r="N254" s="10"/>
      <c r="O254" s="10"/>
    </row>
    <row r="255" spans="1:15" ht="18" customHeight="1">
      <c r="A255" s="10"/>
      <c r="B255" s="10"/>
      <c r="C255" s="10"/>
      <c r="D255" s="10"/>
      <c r="E255" s="10"/>
      <c r="F255" s="10"/>
      <c r="G255" s="10"/>
      <c r="H255" s="10"/>
      <c r="I255" s="10"/>
      <c r="J255" s="10"/>
      <c r="K255" s="10"/>
      <c r="L255" s="10"/>
      <c r="M255" s="10"/>
      <c r="N255" s="10"/>
      <c r="O255" s="10"/>
    </row>
    <row r="256" spans="1:15" ht="18" customHeight="1">
      <c r="A256" s="10"/>
      <c r="B256" s="10"/>
      <c r="C256" s="10"/>
      <c r="D256" s="10"/>
      <c r="E256" s="10"/>
      <c r="F256" s="10"/>
      <c r="G256" s="10"/>
      <c r="H256" s="10"/>
      <c r="I256" s="10"/>
      <c r="J256" s="10"/>
      <c r="K256" s="10"/>
      <c r="L256" s="10"/>
      <c r="M256" s="10"/>
      <c r="N256" s="10"/>
      <c r="O256" s="10"/>
    </row>
    <row r="257" spans="1:15" ht="18" customHeight="1">
      <c r="A257" s="10"/>
      <c r="B257" s="10"/>
      <c r="C257" s="10"/>
      <c r="D257" s="10"/>
      <c r="E257" s="10"/>
      <c r="F257" s="10"/>
      <c r="G257" s="10"/>
      <c r="H257" s="10"/>
      <c r="I257" s="10"/>
      <c r="J257" s="10"/>
      <c r="K257" s="10"/>
      <c r="L257" s="10"/>
      <c r="M257" s="10"/>
      <c r="N257" s="10"/>
      <c r="O257" s="10"/>
    </row>
    <row r="258" spans="1:15" ht="18" customHeight="1">
      <c r="A258" s="10"/>
      <c r="B258" s="10"/>
      <c r="C258" s="10"/>
      <c r="D258" s="10"/>
      <c r="E258" s="10"/>
      <c r="F258" s="10"/>
      <c r="G258" s="10"/>
      <c r="H258" s="10"/>
      <c r="I258" s="10"/>
      <c r="J258" s="10"/>
      <c r="K258" s="10"/>
      <c r="L258" s="10"/>
      <c r="M258" s="10"/>
      <c r="N258" s="10"/>
      <c r="O258" s="10"/>
    </row>
    <row r="259" spans="1:15" ht="18" customHeight="1">
      <c r="A259" s="10"/>
      <c r="B259" s="10"/>
      <c r="C259" s="10"/>
      <c r="D259" s="10"/>
      <c r="E259" s="10"/>
      <c r="F259" s="10"/>
      <c r="G259" s="10"/>
      <c r="H259" s="10"/>
      <c r="I259" s="10"/>
      <c r="J259" s="10"/>
      <c r="K259" s="10"/>
      <c r="L259" s="10"/>
      <c r="M259" s="10"/>
      <c r="N259" s="10"/>
      <c r="O259" s="10"/>
    </row>
    <row r="260" spans="1:15" ht="18" customHeight="1">
      <c r="A260" s="10"/>
      <c r="B260" s="10"/>
      <c r="C260" s="10"/>
      <c r="D260" s="10"/>
      <c r="E260" s="10"/>
      <c r="F260" s="10"/>
      <c r="G260" s="10"/>
      <c r="H260" s="10"/>
      <c r="I260" s="10"/>
      <c r="J260" s="10"/>
      <c r="K260" s="10"/>
      <c r="L260" s="10"/>
      <c r="M260" s="10"/>
      <c r="N260" s="10"/>
      <c r="O260" s="10"/>
    </row>
    <row r="261" spans="1:15" ht="18" customHeight="1">
      <c r="A261" s="10"/>
      <c r="B261" s="10"/>
      <c r="C261" s="10"/>
      <c r="D261" s="10"/>
      <c r="E261" s="10"/>
      <c r="F261" s="10"/>
      <c r="G261" s="10"/>
      <c r="H261" s="10"/>
      <c r="I261" s="10"/>
      <c r="J261" s="10"/>
      <c r="K261" s="10"/>
      <c r="L261" s="10"/>
      <c r="M261" s="10"/>
      <c r="N261" s="10"/>
      <c r="O261" s="10"/>
    </row>
    <row r="262" spans="1:15" ht="18" customHeight="1">
      <c r="A262" s="10"/>
      <c r="B262" s="10"/>
      <c r="C262" s="10"/>
      <c r="D262" s="10"/>
      <c r="E262" s="10"/>
      <c r="F262" s="10"/>
      <c r="G262" s="10"/>
      <c r="H262" s="10"/>
      <c r="I262" s="10"/>
      <c r="J262" s="10"/>
      <c r="K262" s="10"/>
      <c r="L262" s="10"/>
      <c r="M262" s="10"/>
      <c r="N262" s="10"/>
      <c r="O262" s="10"/>
    </row>
    <row r="263" spans="1:15" ht="18" customHeight="1">
      <c r="A263" s="10"/>
      <c r="B263" s="10"/>
      <c r="C263" s="10"/>
      <c r="D263" s="10"/>
      <c r="E263" s="10"/>
      <c r="F263" s="10"/>
      <c r="G263" s="10"/>
      <c r="H263" s="10"/>
      <c r="I263" s="10"/>
      <c r="J263" s="10"/>
      <c r="K263" s="10"/>
      <c r="L263" s="10"/>
      <c r="M263" s="10"/>
      <c r="N263" s="10"/>
      <c r="O263" s="10"/>
    </row>
    <row r="264" spans="1:15" ht="18" customHeight="1">
      <c r="A264" s="10"/>
      <c r="B264" s="10"/>
      <c r="C264" s="10"/>
      <c r="D264" s="10"/>
      <c r="E264" s="10"/>
      <c r="F264" s="10"/>
      <c r="G264" s="10"/>
      <c r="H264" s="10"/>
      <c r="I264" s="10"/>
      <c r="J264" s="10"/>
      <c r="K264" s="10"/>
      <c r="L264" s="10"/>
      <c r="M264" s="10"/>
      <c r="N264" s="10"/>
      <c r="O264" s="10"/>
    </row>
    <row r="265" spans="1:15" ht="18" customHeight="1">
      <c r="A265" s="10"/>
      <c r="B265" s="10"/>
      <c r="C265" s="10"/>
      <c r="D265" s="10"/>
      <c r="E265" s="10"/>
      <c r="F265" s="10"/>
      <c r="G265" s="10"/>
      <c r="H265" s="10"/>
      <c r="I265" s="10"/>
      <c r="J265" s="10"/>
      <c r="K265" s="10"/>
      <c r="L265" s="10"/>
      <c r="M265" s="10"/>
      <c r="N265" s="10"/>
      <c r="O265" s="10"/>
    </row>
    <row r="266" spans="1:15" ht="18" customHeight="1">
      <c r="A266" s="10"/>
      <c r="B266" s="10"/>
      <c r="C266" s="10"/>
      <c r="D266" s="10"/>
      <c r="E266" s="10"/>
      <c r="F266" s="10"/>
      <c r="G266" s="10"/>
      <c r="H266" s="10"/>
      <c r="I266" s="10"/>
      <c r="J266" s="10"/>
      <c r="K266" s="10"/>
      <c r="L266" s="10"/>
      <c r="M266" s="10"/>
      <c r="N266" s="10"/>
      <c r="O266" s="10"/>
    </row>
    <row r="267" spans="1:15" ht="18" customHeight="1"/>
    <row r="268" spans="1:15" ht="18" customHeight="1"/>
    <row r="269" spans="1:15" ht="18" customHeight="1"/>
    <row r="270" spans="1:15" ht="18" customHeight="1"/>
    <row r="271" spans="1:15" ht="18" customHeight="1"/>
    <row r="272" spans="1:15"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sheetData>
  <mergeCells count="8">
    <mergeCell ref="B69:D79"/>
    <mergeCell ref="B57:D67"/>
    <mergeCell ref="B2:K3"/>
    <mergeCell ref="B5:D11"/>
    <mergeCell ref="B39:D45"/>
    <mergeCell ref="B27:D37"/>
    <mergeCell ref="B13:D25"/>
    <mergeCell ref="B47:D55"/>
  </mergeCells>
  <phoneticPr fontId="0" type="noConversion"/>
  <pageMargins left="0.19685039370078741" right="0.19685039370078741" top="0.59055118110236227" bottom="0.39370078740157483" header="0.51181102362204722" footer="0.51181102362204722"/>
  <pageSetup paperSize="9" scale="91" orientation="portrait" r:id="rId1"/>
  <headerFooter alignWithMargins="0"/>
  <legacyDrawing r:id="rId2"/>
</worksheet>
</file>

<file path=xl/worksheets/sheet40.xml><?xml version="1.0" encoding="utf-8"?>
<worksheet xmlns="http://schemas.openxmlformats.org/spreadsheetml/2006/main" xmlns:r="http://schemas.openxmlformats.org/officeDocument/2006/relationships">
  <sheetPr codeName="Sheet80">
    <pageSetUpPr fitToPage="1"/>
  </sheetPr>
  <dimension ref="A1:AJ914"/>
  <sheetViews>
    <sheetView showRowColHeaders="0" workbookViewId="0">
      <selection activeCell="B2" sqref="B2:K3"/>
    </sheetView>
  </sheetViews>
  <sheetFormatPr defaultRowHeight="12.75"/>
  <cols>
    <col min="1" max="11" width="11.7109375" style="1" customWidth="1"/>
    <col min="12" max="16" width="10.7109375" style="1" customWidth="1"/>
    <col min="17" max="17" width="4.7109375" style="20" customWidth="1"/>
    <col min="18" max="20" width="10.7109375" style="18" customWidth="1"/>
    <col min="21" max="23" width="11.7109375" style="18" customWidth="1"/>
    <col min="24" max="24" width="12.42578125" style="18" bestFit="1" customWidth="1"/>
    <col min="25" max="26" width="10.7109375" style="18" customWidth="1"/>
    <col min="27" max="27" width="10.7109375" style="1" customWidth="1"/>
    <col min="28" max="30" width="8.7109375" style="1" customWidth="1"/>
    <col min="31" max="35" width="13.7109375" style="1" customWidth="1"/>
    <col min="36" max="37" width="10.7109375" style="1" customWidth="1"/>
    <col min="38" max="54" width="10.28515625" style="1" customWidth="1"/>
    <col min="55" max="110" width="10.7109375" style="1" customWidth="1"/>
    <col min="111" max="16384" width="9.140625" style="1"/>
  </cols>
  <sheetData>
    <row r="1" spans="1:27" ht="6" customHeight="1" thickBot="1">
      <c r="A1" s="121"/>
      <c r="B1" s="121"/>
      <c r="C1" s="121"/>
      <c r="D1" s="121"/>
      <c r="E1" s="121"/>
      <c r="F1" s="121"/>
      <c r="G1" s="121"/>
      <c r="H1" s="121"/>
      <c r="I1" s="121"/>
      <c r="J1" s="121"/>
      <c r="K1" s="121"/>
      <c r="L1" s="121"/>
      <c r="M1" s="121"/>
      <c r="N1" s="121"/>
      <c r="O1" s="121"/>
      <c r="P1" s="121"/>
      <c r="Q1" s="360"/>
      <c r="R1" s="361"/>
      <c r="S1" s="361"/>
      <c r="T1" s="361"/>
      <c r="U1" s="361"/>
      <c r="V1" s="361"/>
      <c r="W1" s="361"/>
      <c r="X1" s="361"/>
      <c r="Y1" s="361"/>
      <c r="Z1" s="361"/>
      <c r="AA1" s="362"/>
    </row>
    <row r="2" spans="1:27" ht="12.75" customHeight="1" thickTop="1">
      <c r="A2" s="121"/>
      <c r="B2" s="753" t="s">
        <v>758</v>
      </c>
      <c r="C2" s="754"/>
      <c r="D2" s="754"/>
      <c r="E2" s="754"/>
      <c r="F2" s="754"/>
      <c r="G2" s="754"/>
      <c r="H2" s="754"/>
      <c r="I2" s="754"/>
      <c r="J2" s="754"/>
      <c r="K2" s="755"/>
      <c r="L2" s="121"/>
      <c r="M2" s="121"/>
      <c r="N2" s="121"/>
      <c r="O2" s="121"/>
      <c r="P2" s="121"/>
      <c r="Q2" s="363"/>
      <c r="R2" s="1024" t="s">
        <v>396</v>
      </c>
      <c r="S2" s="1025"/>
      <c r="T2" s="1025"/>
      <c r="U2" s="1025"/>
      <c r="V2" s="1025"/>
      <c r="W2" s="1025"/>
      <c r="X2" s="1025"/>
      <c r="Y2" s="1026"/>
      <c r="Z2" s="362"/>
      <c r="AA2" s="362"/>
    </row>
    <row r="3" spans="1:27" ht="12.75" customHeight="1" thickBot="1">
      <c r="A3" s="121"/>
      <c r="B3" s="756"/>
      <c r="C3" s="757"/>
      <c r="D3" s="757"/>
      <c r="E3" s="757"/>
      <c r="F3" s="757"/>
      <c r="G3" s="757"/>
      <c r="H3" s="757"/>
      <c r="I3" s="757"/>
      <c r="J3" s="757"/>
      <c r="K3" s="758"/>
      <c r="L3" s="121"/>
      <c r="M3" s="121"/>
      <c r="N3" s="121"/>
      <c r="O3" s="121"/>
      <c r="P3" s="121"/>
      <c r="Q3" s="363"/>
      <c r="R3" s="1027"/>
      <c r="S3" s="1028"/>
      <c r="T3" s="1028"/>
      <c r="U3" s="1028"/>
      <c r="V3" s="1028"/>
      <c r="W3" s="1028"/>
      <c r="X3" s="1028"/>
      <c r="Y3" s="1029"/>
      <c r="Z3" s="362"/>
      <c r="AA3" s="362"/>
    </row>
    <row r="4" spans="1:27" ht="12.75" customHeight="1" thickTop="1">
      <c r="A4" s="306"/>
      <c r="B4" s="121"/>
      <c r="C4" s="121"/>
      <c r="D4" s="121"/>
      <c r="E4" s="121"/>
      <c r="F4" s="121"/>
      <c r="G4" s="121"/>
      <c r="H4" s="121"/>
      <c r="I4" s="121"/>
      <c r="J4" s="121"/>
      <c r="K4" s="121"/>
      <c r="L4" s="121"/>
      <c r="M4" s="121"/>
      <c r="N4" s="121"/>
      <c r="O4" s="121"/>
      <c r="P4" s="121"/>
      <c r="Q4" s="363"/>
      <c r="R4" s="361"/>
      <c r="S4" s="361"/>
      <c r="T4" s="361"/>
      <c r="U4" s="361"/>
      <c r="V4" s="361"/>
      <c r="W4" s="361"/>
      <c r="X4" s="361"/>
      <c r="Y4" s="361"/>
      <c r="Z4" s="361"/>
      <c r="AA4" s="362"/>
    </row>
    <row r="5" spans="1:27" ht="12.75" customHeight="1">
      <c r="A5" s="306"/>
      <c r="B5" s="828" t="s">
        <v>581</v>
      </c>
      <c r="C5" s="829"/>
      <c r="D5" s="830"/>
      <c r="E5" s="460">
        <v>450</v>
      </c>
      <c r="F5" s="461">
        <f>+E5</f>
        <v>450</v>
      </c>
      <c r="G5" s="121"/>
      <c r="H5" s="121"/>
      <c r="I5" s="121"/>
      <c r="J5" s="121"/>
      <c r="K5" s="121"/>
      <c r="L5" s="121"/>
      <c r="M5" s="121"/>
      <c r="N5" s="121"/>
      <c r="O5" s="121"/>
      <c r="P5" s="121"/>
      <c r="Q5" s="360"/>
      <c r="R5" s="951" t="s">
        <v>868</v>
      </c>
      <c r="S5" s="951"/>
      <c r="T5" s="951"/>
      <c r="U5" s="951"/>
      <c r="V5" s="447">
        <f>F5</f>
        <v>450</v>
      </c>
      <c r="W5" s="362"/>
      <c r="X5" s="362"/>
      <c r="Y5" s="362"/>
      <c r="Z5" s="362"/>
      <c r="AA5" s="362"/>
    </row>
    <row r="6" spans="1:27" ht="12.75" customHeight="1">
      <c r="A6" s="306"/>
      <c r="B6" s="121"/>
      <c r="C6" s="121"/>
      <c r="D6" s="121"/>
      <c r="E6" s="121"/>
      <c r="F6" s="121"/>
      <c r="G6" s="121"/>
      <c r="H6" s="121"/>
      <c r="I6" s="121"/>
      <c r="J6" s="121"/>
      <c r="K6" s="121"/>
      <c r="L6" s="121"/>
      <c r="M6" s="121"/>
      <c r="N6" s="121"/>
      <c r="O6" s="121"/>
      <c r="P6" s="121"/>
      <c r="Q6" s="360"/>
      <c r="R6" s="362"/>
      <c r="S6" s="362"/>
      <c r="T6" s="362"/>
      <c r="U6" s="362"/>
      <c r="V6" s="361"/>
      <c r="W6" s="361"/>
      <c r="X6" s="361"/>
      <c r="Y6" s="361"/>
      <c r="Z6" s="361"/>
      <c r="AA6" s="362"/>
    </row>
    <row r="7" spans="1:27" ht="12.75" customHeight="1">
      <c r="A7" s="306"/>
      <c r="B7" s="121"/>
      <c r="C7" s="121"/>
      <c r="D7" s="121"/>
      <c r="E7" s="121"/>
      <c r="F7" s="121"/>
      <c r="G7" s="121"/>
      <c r="H7" s="121"/>
      <c r="I7" s="121"/>
      <c r="J7" s="121"/>
      <c r="K7" s="121"/>
      <c r="L7" s="121"/>
      <c r="M7" s="121"/>
      <c r="N7" s="121"/>
      <c r="O7" s="121"/>
      <c r="P7" s="121"/>
      <c r="Q7" s="385">
        <v>1</v>
      </c>
      <c r="R7" s="1008" t="s">
        <v>24</v>
      </c>
      <c r="S7" s="1008"/>
      <c r="T7" s="1008"/>
      <c r="U7" s="1008"/>
      <c r="V7" s="1008"/>
      <c r="W7" s="1008"/>
      <c r="X7" s="1008"/>
      <c r="Y7" s="1008"/>
      <c r="Z7" s="536"/>
      <c r="AA7" s="362"/>
    </row>
    <row r="8" spans="1:27" ht="12.75" customHeight="1">
      <c r="A8" s="306"/>
      <c r="B8" s="121"/>
      <c r="C8" s="121"/>
      <c r="D8" s="121"/>
      <c r="E8" s="121"/>
      <c r="F8" s="121"/>
      <c r="G8" s="121"/>
      <c r="H8" s="121"/>
      <c r="I8" s="121"/>
      <c r="J8" s="121"/>
      <c r="K8" s="121"/>
      <c r="L8" s="121"/>
      <c r="M8" s="121"/>
      <c r="N8" s="121"/>
      <c r="O8" s="121"/>
      <c r="P8" s="121"/>
      <c r="Q8" s="386"/>
      <c r="R8" s="361"/>
      <c r="S8" s="361"/>
      <c r="T8" s="361"/>
      <c r="U8" s="361"/>
      <c r="V8" s="361"/>
      <c r="W8" s="361"/>
      <c r="X8" s="361"/>
      <c r="Y8" s="361"/>
      <c r="Z8" s="361"/>
      <c r="AA8" s="362"/>
    </row>
    <row r="9" spans="1:27" ht="12.75" customHeight="1">
      <c r="A9" s="306"/>
      <c r="B9" s="121"/>
      <c r="C9" s="121"/>
      <c r="D9" s="121"/>
      <c r="E9" s="121"/>
      <c r="F9" s="121"/>
      <c r="G9" s="121"/>
      <c r="H9" s="121"/>
      <c r="I9" s="121"/>
      <c r="J9" s="121"/>
      <c r="K9" s="121"/>
      <c r="L9" s="121"/>
      <c r="M9" s="121"/>
      <c r="N9" s="121"/>
      <c r="O9" s="121"/>
      <c r="P9" s="121"/>
      <c r="Q9" s="360">
        <v>1.1000000000000001</v>
      </c>
      <c r="R9" s="364" t="s">
        <v>586</v>
      </c>
      <c r="S9" s="363"/>
      <c r="T9" s="363"/>
      <c r="U9" s="363"/>
      <c r="V9" s="363"/>
      <c r="W9" s="363"/>
      <c r="X9" s="363"/>
      <c r="Y9" s="363"/>
      <c r="Z9" s="363"/>
      <c r="AA9" s="362"/>
    </row>
    <row r="10" spans="1:27" ht="12.75" customHeight="1">
      <c r="A10" s="306"/>
      <c r="B10" s="121"/>
      <c r="C10" s="121"/>
      <c r="D10" s="121"/>
      <c r="E10" s="121"/>
      <c r="F10" s="121"/>
      <c r="G10" s="121"/>
      <c r="H10" s="121"/>
      <c r="I10" s="121"/>
      <c r="J10" s="121"/>
      <c r="K10" s="121"/>
      <c r="L10" s="121"/>
      <c r="M10" s="121"/>
      <c r="N10" s="121"/>
      <c r="O10" s="121"/>
      <c r="P10" s="121"/>
      <c r="Q10" s="360"/>
      <c r="R10" s="969" t="s">
        <v>25</v>
      </c>
      <c r="S10" s="969"/>
      <c r="T10" s="969"/>
      <c r="U10" s="969"/>
      <c r="V10" s="447">
        <f>'Prod Parameters'!$F$8</f>
        <v>23</v>
      </c>
      <c r="W10" s="363"/>
      <c r="X10" s="363"/>
      <c r="Y10" s="363"/>
      <c r="Z10" s="363"/>
      <c r="AA10" s="362"/>
    </row>
    <row r="11" spans="1:27" ht="12.75" customHeight="1">
      <c r="A11" s="306"/>
      <c r="B11" s="121"/>
      <c r="C11" s="121"/>
      <c r="D11" s="121"/>
      <c r="E11" s="121"/>
      <c r="F11" s="121"/>
      <c r="G11" s="121"/>
      <c r="H11" s="121"/>
      <c r="I11" s="121"/>
      <c r="J11" s="121"/>
      <c r="K11" s="121"/>
      <c r="L11" s="121"/>
      <c r="M11" s="121"/>
      <c r="N11" s="121"/>
      <c r="O11" s="121"/>
      <c r="P11" s="121"/>
      <c r="Q11" s="360"/>
      <c r="R11" s="969" t="s">
        <v>325</v>
      </c>
      <c r="S11" s="969"/>
      <c r="T11" s="969"/>
      <c r="U11" s="969"/>
      <c r="V11" s="447">
        <f>'Prod Parameters'!$F$9</f>
        <v>23</v>
      </c>
      <c r="W11" s="363"/>
      <c r="X11" s="363"/>
      <c r="Y11" s="363"/>
      <c r="Z11" s="363"/>
      <c r="AA11" s="362"/>
    </row>
    <row r="12" spans="1:27" ht="12.75" customHeight="1">
      <c r="A12" s="306"/>
      <c r="B12" s="121"/>
      <c r="C12" s="121"/>
      <c r="D12" s="121"/>
      <c r="E12" s="121"/>
      <c r="F12" s="121"/>
      <c r="G12" s="121"/>
      <c r="H12" s="121"/>
      <c r="I12" s="121"/>
      <c r="J12" s="121"/>
      <c r="K12" s="121"/>
      <c r="L12" s="121"/>
      <c r="M12" s="121"/>
      <c r="N12" s="121"/>
      <c r="O12" s="121"/>
      <c r="P12" s="121"/>
      <c r="Q12" s="360"/>
      <c r="R12" s="1021" t="s">
        <v>26</v>
      </c>
      <c r="S12" s="1022"/>
      <c r="T12" s="1022"/>
      <c r="U12" s="1023"/>
      <c r="V12" s="447">
        <f>'Prod Parameters'!$F$10</f>
        <v>6</v>
      </c>
      <c r="W12" s="363"/>
      <c r="X12" s="363"/>
      <c r="Y12" s="363"/>
      <c r="Z12" s="363"/>
      <c r="AA12" s="362"/>
    </row>
    <row r="13" spans="1:27" ht="12.75" customHeight="1">
      <c r="A13" s="306"/>
      <c r="B13" s="121"/>
      <c r="C13" s="121"/>
      <c r="D13" s="121"/>
      <c r="E13" s="121"/>
      <c r="F13" s="121"/>
      <c r="G13" s="121"/>
      <c r="H13" s="121"/>
      <c r="I13" s="121"/>
      <c r="J13" s="121"/>
      <c r="K13" s="121"/>
      <c r="L13" s="121"/>
      <c r="M13" s="121"/>
      <c r="N13" s="121"/>
      <c r="O13" s="121"/>
      <c r="P13" s="121"/>
      <c r="Q13" s="360"/>
      <c r="R13" s="969" t="s">
        <v>27</v>
      </c>
      <c r="S13" s="969"/>
      <c r="T13" s="969"/>
      <c r="U13" s="969"/>
      <c r="V13" s="447">
        <f>'Prod Parameters'!$F$11</f>
        <v>52</v>
      </c>
      <c r="W13" s="363"/>
      <c r="X13" s="363"/>
      <c r="Y13" s="363"/>
      <c r="Z13" s="363"/>
      <c r="AA13" s="362"/>
    </row>
    <row r="14" spans="1:27" ht="12.75" customHeight="1">
      <c r="A14" s="306"/>
      <c r="B14" s="121"/>
      <c r="C14" s="121"/>
      <c r="D14" s="121"/>
      <c r="E14" s="121"/>
      <c r="F14" s="121"/>
      <c r="G14" s="121"/>
      <c r="H14" s="121"/>
      <c r="I14" s="121"/>
      <c r="J14" s="121"/>
      <c r="K14" s="121"/>
      <c r="L14" s="121"/>
      <c r="M14" s="121"/>
      <c r="N14" s="121"/>
      <c r="O14" s="121"/>
      <c r="P14" s="121"/>
      <c r="Q14" s="360"/>
      <c r="R14" s="969" t="s">
        <v>28</v>
      </c>
      <c r="S14" s="969"/>
      <c r="T14" s="969"/>
      <c r="U14" s="969"/>
      <c r="V14" s="447">
        <f>'Prod Parameters'!$F$12</f>
        <v>260</v>
      </c>
      <c r="W14" s="363"/>
      <c r="X14" s="363"/>
      <c r="Y14" s="363"/>
      <c r="Z14" s="363"/>
      <c r="AA14" s="362"/>
    </row>
    <row r="15" spans="1:27" ht="12.75" customHeight="1">
      <c r="A15" s="306"/>
      <c r="B15" s="121"/>
      <c r="C15" s="121"/>
      <c r="D15" s="121"/>
      <c r="E15" s="121"/>
      <c r="F15" s="121"/>
      <c r="G15" s="114"/>
      <c r="H15" s="114"/>
      <c r="I15" s="114"/>
      <c r="J15" s="114"/>
      <c r="K15" s="114"/>
      <c r="L15" s="121"/>
      <c r="M15" s="121"/>
      <c r="N15" s="121"/>
      <c r="O15" s="121"/>
      <c r="P15" s="121"/>
      <c r="Q15" s="360"/>
      <c r="R15" s="969" t="s">
        <v>29</v>
      </c>
      <c r="S15" s="969"/>
      <c r="T15" s="969"/>
      <c r="U15" s="969"/>
      <c r="V15" s="447">
        <f>'Prod Parameters'!$F$13</f>
        <v>30</v>
      </c>
      <c r="W15" s="363"/>
      <c r="X15" s="363"/>
      <c r="Y15" s="363"/>
      <c r="Z15" s="363"/>
      <c r="AA15" s="362"/>
    </row>
    <row r="16" spans="1:27" ht="12.75" customHeight="1">
      <c r="A16" s="306"/>
      <c r="B16" s="121"/>
      <c r="C16" s="121"/>
      <c r="D16" s="121"/>
      <c r="E16" s="121"/>
      <c r="F16" s="121"/>
      <c r="G16" s="114"/>
      <c r="H16" s="114"/>
      <c r="I16" s="114"/>
      <c r="J16" s="114"/>
      <c r="K16" s="114"/>
      <c r="L16" s="121"/>
      <c r="M16" s="121"/>
      <c r="N16" s="121"/>
      <c r="O16" s="121"/>
      <c r="P16" s="121"/>
      <c r="Q16" s="360"/>
      <c r="R16" s="968" t="s">
        <v>30</v>
      </c>
      <c r="S16" s="968"/>
      <c r="T16" s="968"/>
      <c r="U16" s="968"/>
      <c r="V16" s="447">
        <f>'Prod Parameters'!$F$14</f>
        <v>230</v>
      </c>
      <c r="W16" s="363"/>
      <c r="X16" s="363"/>
      <c r="Y16" s="363"/>
      <c r="Z16" s="363"/>
      <c r="AA16" s="362"/>
    </row>
    <row r="17" spans="1:31" ht="12.75" customHeight="1">
      <c r="A17" s="306"/>
      <c r="B17" s="121"/>
      <c r="C17" s="121"/>
      <c r="D17" s="121"/>
      <c r="E17" s="121"/>
      <c r="F17" s="121"/>
      <c r="G17" s="114"/>
      <c r="H17" s="114"/>
      <c r="I17" s="114"/>
      <c r="J17" s="114"/>
      <c r="K17" s="114"/>
      <c r="L17" s="121"/>
      <c r="M17" s="121"/>
      <c r="N17" s="121"/>
      <c r="O17" s="121"/>
      <c r="P17" s="121"/>
      <c r="Q17" s="360"/>
      <c r="R17" s="363"/>
      <c r="S17" s="363"/>
      <c r="T17" s="363"/>
      <c r="U17" s="363"/>
      <c r="V17" s="363"/>
      <c r="W17" s="363"/>
      <c r="X17" s="363"/>
      <c r="Y17" s="363"/>
      <c r="Z17" s="363"/>
      <c r="AA17" s="367"/>
      <c r="AB17"/>
      <c r="AC17"/>
      <c r="AD17"/>
      <c r="AE17"/>
    </row>
    <row r="18" spans="1:31" ht="12.75" customHeight="1">
      <c r="A18" s="306"/>
      <c r="B18" s="121"/>
      <c r="C18" s="121"/>
      <c r="D18" s="121"/>
      <c r="E18" s="121"/>
      <c r="F18" s="121"/>
      <c r="G18" s="121"/>
      <c r="H18" s="121"/>
      <c r="I18" s="121"/>
      <c r="J18" s="121"/>
      <c r="K18" s="121"/>
      <c r="L18" s="121"/>
      <c r="M18" s="121"/>
      <c r="N18" s="121"/>
      <c r="O18" s="121"/>
      <c r="P18" s="121"/>
      <c r="Q18" s="360">
        <v>1.2</v>
      </c>
      <c r="R18" s="364" t="s">
        <v>19</v>
      </c>
      <c r="S18" s="363"/>
      <c r="T18" s="363"/>
      <c r="U18" s="363"/>
      <c r="V18" s="363"/>
      <c r="W18" s="363"/>
      <c r="X18" s="363"/>
      <c r="Y18" s="363"/>
      <c r="Z18" s="363"/>
      <c r="AA18" s="367"/>
      <c r="AB18"/>
      <c r="AC18"/>
      <c r="AD18"/>
      <c r="AE18"/>
    </row>
    <row r="19" spans="1:31" ht="12.75" customHeight="1">
      <c r="A19" s="306"/>
      <c r="B19" s="121"/>
      <c r="C19" s="121"/>
      <c r="D19" s="121"/>
      <c r="E19" s="121"/>
      <c r="F19" s="121"/>
      <c r="G19" s="121"/>
      <c r="H19" s="121"/>
      <c r="I19" s="121"/>
      <c r="J19" s="121"/>
      <c r="K19" s="121"/>
      <c r="L19" s="121"/>
      <c r="M19" s="121"/>
      <c r="N19" s="121"/>
      <c r="O19" s="121"/>
      <c r="P19" s="121"/>
      <c r="Q19" s="360"/>
      <c r="R19" s="969" t="s">
        <v>314</v>
      </c>
      <c r="S19" s="969"/>
      <c r="T19" s="969"/>
      <c r="U19" s="969"/>
      <c r="V19" s="447">
        <f>'Prod Parameters'!$F$17</f>
        <v>160</v>
      </c>
      <c r="W19" s="363"/>
      <c r="X19" s="363"/>
      <c r="Y19" s="363"/>
      <c r="Z19" s="363"/>
      <c r="AA19" s="367"/>
      <c r="AB19"/>
      <c r="AC19"/>
      <c r="AD19"/>
      <c r="AE19"/>
    </row>
    <row r="20" spans="1:31" ht="12.75" customHeight="1">
      <c r="A20" s="306"/>
      <c r="B20" s="121"/>
      <c r="C20" s="121"/>
      <c r="D20" s="121"/>
      <c r="E20" s="121"/>
      <c r="F20" s="121"/>
      <c r="G20" s="121"/>
      <c r="H20" s="121"/>
      <c r="I20" s="121"/>
      <c r="J20" s="121"/>
      <c r="K20" s="121"/>
      <c r="L20" s="121"/>
      <c r="M20" s="121"/>
      <c r="N20" s="121"/>
      <c r="O20" s="121"/>
      <c r="P20" s="121"/>
      <c r="Q20" s="360"/>
      <c r="R20" s="969" t="s">
        <v>31</v>
      </c>
      <c r="S20" s="969"/>
      <c r="T20" s="969"/>
      <c r="U20" s="969"/>
      <c r="V20" s="447">
        <f>'Prod Parameters'!$F$18</f>
        <v>1.2</v>
      </c>
      <c r="W20" s="363"/>
      <c r="X20" s="363"/>
      <c r="Y20" s="363"/>
      <c r="Z20" s="363"/>
      <c r="AA20" s="367"/>
      <c r="AB20"/>
      <c r="AC20"/>
      <c r="AD20"/>
      <c r="AE20"/>
    </row>
    <row r="21" spans="1:31" ht="12.75" customHeight="1">
      <c r="A21" s="306"/>
      <c r="B21" s="121"/>
      <c r="C21" s="121"/>
      <c r="D21" s="121"/>
      <c r="E21" s="121"/>
      <c r="F21" s="121"/>
      <c r="G21" s="121"/>
      <c r="H21" s="121"/>
      <c r="I21" s="121"/>
      <c r="J21" s="121"/>
      <c r="K21" s="121"/>
      <c r="L21" s="121"/>
      <c r="M21" s="121"/>
      <c r="N21" s="121"/>
      <c r="O21" s="121"/>
      <c r="P21" s="121"/>
      <c r="Q21" s="360"/>
      <c r="R21" s="969" t="s">
        <v>199</v>
      </c>
      <c r="S21" s="969"/>
      <c r="T21" s="969"/>
      <c r="U21" s="969"/>
      <c r="V21" s="447">
        <f>'Prod Parameters'!$F$19</f>
        <v>4</v>
      </c>
      <c r="W21" s="363"/>
      <c r="X21" s="363"/>
      <c r="Y21" s="363"/>
      <c r="Z21" s="363"/>
      <c r="AA21" s="367"/>
      <c r="AB21"/>
      <c r="AC21"/>
      <c r="AD21"/>
      <c r="AE21"/>
    </row>
    <row r="22" spans="1:31" ht="12.75" customHeight="1">
      <c r="A22" s="306"/>
      <c r="B22" s="121"/>
      <c r="C22" s="121"/>
      <c r="D22" s="121"/>
      <c r="E22" s="121"/>
      <c r="F22" s="121"/>
      <c r="G22" s="121"/>
      <c r="H22" s="121"/>
      <c r="I22" s="121"/>
      <c r="J22" s="121"/>
      <c r="K22" s="121"/>
      <c r="L22" s="121"/>
      <c r="M22" s="121"/>
      <c r="N22" s="121"/>
      <c r="O22" s="121"/>
      <c r="P22" s="121"/>
      <c r="Q22" s="360"/>
      <c r="R22" s="969" t="s">
        <v>20</v>
      </c>
      <c r="S22" s="969"/>
      <c r="T22" s="969"/>
      <c r="U22" s="969"/>
      <c r="V22" s="447">
        <f>'Prod Parameters'!$F$20</f>
        <v>40</v>
      </c>
      <c r="W22" s="363"/>
      <c r="X22" s="363"/>
      <c r="Y22" s="363"/>
      <c r="Z22" s="363"/>
      <c r="AA22" s="367"/>
      <c r="AB22"/>
      <c r="AC22"/>
      <c r="AD22"/>
      <c r="AE22"/>
    </row>
    <row r="23" spans="1:31" ht="12.75" customHeight="1">
      <c r="A23" s="306"/>
      <c r="B23" s="121"/>
      <c r="C23" s="121"/>
      <c r="D23" s="121"/>
      <c r="E23" s="121"/>
      <c r="F23" s="121"/>
      <c r="G23" s="121"/>
      <c r="H23" s="121"/>
      <c r="I23" s="121"/>
      <c r="J23" s="121"/>
      <c r="K23" s="121"/>
      <c r="L23" s="121"/>
      <c r="M23" s="121"/>
      <c r="N23" s="121"/>
      <c r="O23" s="121"/>
      <c r="P23" s="121"/>
      <c r="Q23" s="360"/>
      <c r="R23" s="969" t="s">
        <v>310</v>
      </c>
      <c r="S23" s="969"/>
      <c r="T23" s="969"/>
      <c r="U23" s="969"/>
      <c r="V23" s="447">
        <f>'Prod Parameters'!$F$21</f>
        <v>160</v>
      </c>
      <c r="W23" s="363"/>
      <c r="X23" s="363"/>
      <c r="Y23" s="363"/>
      <c r="Z23" s="363"/>
      <c r="AA23" s="367"/>
      <c r="AB23"/>
      <c r="AC23"/>
      <c r="AD23"/>
      <c r="AE23"/>
    </row>
    <row r="24" spans="1:31" ht="12.75" customHeight="1">
      <c r="A24" s="306"/>
      <c r="B24" s="121"/>
      <c r="C24" s="121"/>
      <c r="D24" s="121"/>
      <c r="E24" s="121"/>
      <c r="F24" s="121"/>
      <c r="G24" s="121"/>
      <c r="H24" s="121"/>
      <c r="I24" s="121"/>
      <c r="J24" s="121"/>
      <c r="K24" s="121"/>
      <c r="L24" s="121"/>
      <c r="M24" s="121"/>
      <c r="N24" s="121"/>
      <c r="O24" s="121"/>
      <c r="P24" s="121"/>
      <c r="Q24" s="360"/>
      <c r="R24" s="969" t="s">
        <v>315</v>
      </c>
      <c r="S24" s="969"/>
      <c r="T24" s="969"/>
      <c r="U24" s="969"/>
      <c r="V24" s="549">
        <f>'Prod Parameters'!$F$22</f>
        <v>6400</v>
      </c>
      <c r="W24" s="363"/>
      <c r="X24" s="363"/>
      <c r="Y24" s="363"/>
      <c r="Z24" s="363"/>
      <c r="AA24" s="367"/>
      <c r="AB24"/>
      <c r="AC24"/>
      <c r="AD24"/>
      <c r="AE24"/>
    </row>
    <row r="25" spans="1:31" ht="12.75" customHeight="1">
      <c r="A25" s="306"/>
      <c r="B25" s="121"/>
      <c r="C25" s="121"/>
      <c r="D25" s="121"/>
      <c r="E25" s="121"/>
      <c r="F25" s="121"/>
      <c r="G25" s="121"/>
      <c r="H25" s="121"/>
      <c r="I25" s="121"/>
      <c r="J25" s="121"/>
      <c r="K25" s="121"/>
      <c r="L25" s="121"/>
      <c r="M25" s="121"/>
      <c r="N25" s="121"/>
      <c r="O25" s="121"/>
      <c r="P25" s="121"/>
      <c r="Q25" s="360"/>
      <c r="R25" s="969" t="s">
        <v>187</v>
      </c>
      <c r="S25" s="969"/>
      <c r="T25" s="969"/>
      <c r="U25" s="969"/>
      <c r="V25" s="549">
        <f>'Prod Parameters'!$F$23</f>
        <v>7680</v>
      </c>
      <c r="W25" s="363"/>
      <c r="X25" s="363"/>
      <c r="Y25" s="363"/>
      <c r="Z25" s="363"/>
      <c r="AA25" s="367"/>
      <c r="AB25"/>
      <c r="AC25"/>
      <c r="AD25"/>
      <c r="AE25"/>
    </row>
    <row r="26" spans="1:31" ht="12.75" customHeight="1">
      <c r="A26" s="306"/>
      <c r="B26" s="121"/>
      <c r="C26" s="121"/>
      <c r="D26" s="121"/>
      <c r="E26" s="121"/>
      <c r="F26" s="121"/>
      <c r="G26" s="121"/>
      <c r="H26" s="121"/>
      <c r="I26" s="121"/>
      <c r="J26" s="121"/>
      <c r="K26" s="121"/>
      <c r="L26" s="121"/>
      <c r="M26" s="121"/>
      <c r="N26" s="121"/>
      <c r="O26" s="121"/>
      <c r="P26" s="121"/>
      <c r="Q26" s="360"/>
      <c r="R26" s="969" t="s">
        <v>200</v>
      </c>
      <c r="S26" s="969"/>
      <c r="T26" s="969"/>
      <c r="U26" s="969"/>
      <c r="V26" s="549">
        <f>'Prod Parameters'!$F$24</f>
        <v>176640</v>
      </c>
      <c r="W26" s="363"/>
      <c r="X26" s="363"/>
      <c r="Y26" s="363"/>
      <c r="Z26" s="363"/>
      <c r="AA26" s="367"/>
      <c r="AB26"/>
      <c r="AC26"/>
      <c r="AD26"/>
      <c r="AE26"/>
    </row>
    <row r="27" spans="1:31" ht="12.75" customHeight="1">
      <c r="A27" s="306"/>
      <c r="B27" s="121"/>
      <c r="C27" s="121"/>
      <c r="D27" s="121"/>
      <c r="E27" s="121"/>
      <c r="F27" s="121"/>
      <c r="G27" s="121"/>
      <c r="H27" s="121"/>
      <c r="I27" s="121"/>
      <c r="J27" s="121"/>
      <c r="K27" s="121"/>
      <c r="L27" s="121"/>
      <c r="M27" s="121"/>
      <c r="N27" s="121"/>
      <c r="O27" s="121"/>
      <c r="P27" s="121"/>
      <c r="Q27" s="360"/>
      <c r="R27" s="363"/>
      <c r="S27" s="363"/>
      <c r="T27" s="363"/>
      <c r="U27" s="363"/>
      <c r="V27" s="363"/>
      <c r="W27" s="363"/>
      <c r="X27" s="363"/>
      <c r="Y27" s="363"/>
      <c r="Z27" s="363"/>
      <c r="AA27" s="367"/>
      <c r="AB27"/>
      <c r="AC27"/>
      <c r="AD27"/>
      <c r="AE27"/>
    </row>
    <row r="28" spans="1:31" ht="12.75" customHeight="1">
      <c r="A28" s="306"/>
      <c r="B28" s="121"/>
      <c r="C28" s="121"/>
      <c r="D28" s="121"/>
      <c r="E28" s="121"/>
      <c r="F28" s="121"/>
      <c r="G28" s="121"/>
      <c r="H28" s="121"/>
      <c r="I28" s="121"/>
      <c r="J28" s="121"/>
      <c r="K28" s="121"/>
      <c r="L28" s="121"/>
      <c r="M28" s="121"/>
      <c r="N28" s="121"/>
      <c r="O28" s="121"/>
      <c r="P28" s="121"/>
      <c r="Q28" s="385" t="s">
        <v>33</v>
      </c>
      <c r="R28" s="1008" t="s">
        <v>821</v>
      </c>
      <c r="S28" s="1008"/>
      <c r="T28" s="1008"/>
      <c r="U28" s="1008"/>
      <c r="V28" s="1008"/>
      <c r="W28" s="1008"/>
      <c r="X28" s="1008"/>
      <c r="Y28" s="1008"/>
      <c r="Z28" s="536"/>
      <c r="AA28" s="367"/>
      <c r="AB28"/>
      <c r="AC28"/>
      <c r="AD28"/>
      <c r="AE28"/>
    </row>
    <row r="29" spans="1:31" ht="12.75" customHeight="1">
      <c r="A29" s="306"/>
      <c r="B29" s="121"/>
      <c r="C29" s="121"/>
      <c r="D29" s="121"/>
      <c r="E29" s="121"/>
      <c r="F29" s="121"/>
      <c r="G29" s="121"/>
      <c r="H29" s="121"/>
      <c r="I29" s="121"/>
      <c r="J29" s="121"/>
      <c r="K29" s="121"/>
      <c r="L29" s="121"/>
      <c r="M29" s="121"/>
      <c r="N29" s="121"/>
      <c r="O29" s="121"/>
      <c r="P29" s="121"/>
      <c r="Q29" s="546"/>
      <c r="R29" s="363"/>
      <c r="S29" s="363"/>
      <c r="T29" s="363"/>
      <c r="U29" s="363"/>
      <c r="V29" s="363"/>
      <c r="W29" s="363"/>
      <c r="X29" s="363"/>
      <c r="Y29" s="363"/>
      <c r="Z29" s="363"/>
      <c r="AA29" s="367"/>
      <c r="AB29"/>
      <c r="AC29"/>
      <c r="AD29"/>
      <c r="AE29"/>
    </row>
    <row r="30" spans="1:31" ht="12.75" customHeight="1">
      <c r="A30" s="114"/>
      <c r="B30" s="114"/>
      <c r="C30" s="114"/>
      <c r="D30" s="114"/>
      <c r="E30" s="114"/>
      <c r="F30" s="114"/>
      <c r="G30" s="114"/>
      <c r="H30" s="114"/>
      <c r="I30" s="114"/>
      <c r="J30" s="114"/>
      <c r="K30" s="114"/>
      <c r="L30" s="121"/>
      <c r="M30" s="121"/>
      <c r="N30" s="121"/>
      <c r="O30" s="121"/>
      <c r="P30" s="121"/>
      <c r="Q30" s="546">
        <v>2.1</v>
      </c>
      <c r="R30" s="363" t="s">
        <v>831</v>
      </c>
      <c r="S30" s="363"/>
      <c r="T30" s="363"/>
      <c r="U30" s="550"/>
      <c r="V30" s="550"/>
      <c r="W30" s="550"/>
      <c r="X30" s="550"/>
      <c r="Y30" s="551"/>
      <c r="Z30" s="551"/>
      <c r="AA30" s="367"/>
      <c r="AB30"/>
      <c r="AC30"/>
      <c r="AD30"/>
      <c r="AE30"/>
    </row>
    <row r="31" spans="1:31" ht="12.75" customHeight="1">
      <c r="A31" s="306"/>
      <c r="B31" s="121"/>
      <c r="C31" s="121"/>
      <c r="D31" s="121"/>
      <c r="E31" s="121"/>
      <c r="F31" s="121"/>
      <c r="G31" s="121"/>
      <c r="H31" s="121"/>
      <c r="I31" s="121"/>
      <c r="J31" s="121"/>
      <c r="K31" s="121"/>
      <c r="L31" s="121"/>
      <c r="M31" s="121"/>
      <c r="N31" s="121"/>
      <c r="O31" s="121"/>
      <c r="P31" s="121"/>
      <c r="Q31" s="546"/>
      <c r="R31" s="998" t="s">
        <v>77</v>
      </c>
      <c r="S31" s="999"/>
      <c r="T31" s="1000"/>
      <c r="U31" s="1019" t="s">
        <v>824</v>
      </c>
      <c r="V31" s="1019" t="s">
        <v>828</v>
      </c>
      <c r="W31" s="1019" t="s">
        <v>826</v>
      </c>
      <c r="X31" s="1019" t="s">
        <v>23</v>
      </c>
      <c r="Y31" s="552"/>
      <c r="Z31" s="552"/>
      <c r="AA31" s="367"/>
      <c r="AB31"/>
      <c r="AC31"/>
      <c r="AD31"/>
      <c r="AE31"/>
    </row>
    <row r="32" spans="1:31" ht="12.75" customHeight="1">
      <c r="A32" s="121"/>
      <c r="B32" s="121"/>
      <c r="C32" s="121"/>
      <c r="D32" s="121"/>
      <c r="E32" s="121"/>
      <c r="F32" s="121"/>
      <c r="G32" s="121"/>
      <c r="H32" s="121"/>
      <c r="I32" s="121"/>
      <c r="J32" s="121"/>
      <c r="K32" s="121"/>
      <c r="L32" s="121"/>
      <c r="M32" s="121"/>
      <c r="N32" s="121"/>
      <c r="O32" s="121"/>
      <c r="P32" s="121"/>
      <c r="Q32" s="546"/>
      <c r="R32" s="1001"/>
      <c r="S32" s="1002"/>
      <c r="T32" s="1003"/>
      <c r="U32" s="1019"/>
      <c r="V32" s="1019"/>
      <c r="W32" s="1019"/>
      <c r="X32" s="1019"/>
      <c r="Y32" s="364"/>
      <c r="Z32" s="364"/>
      <c r="AA32" s="367"/>
      <c r="AB32"/>
      <c r="AC32"/>
      <c r="AD32"/>
      <c r="AE32"/>
    </row>
    <row r="33" spans="1:31" ht="12.75" customHeight="1">
      <c r="A33" s="121"/>
      <c r="B33" s="121"/>
      <c r="C33" s="121"/>
      <c r="D33" s="121"/>
      <c r="E33" s="121"/>
      <c r="F33" s="121"/>
      <c r="G33" s="121"/>
      <c r="H33" s="121"/>
      <c r="I33" s="121"/>
      <c r="J33" s="121"/>
      <c r="K33" s="121"/>
      <c r="L33" s="121"/>
      <c r="M33" s="121"/>
      <c r="N33" s="121"/>
      <c r="O33" s="121"/>
      <c r="P33" s="121"/>
      <c r="Q33" s="546"/>
      <c r="R33" s="1020" t="s">
        <v>500</v>
      </c>
      <c r="S33" s="1020"/>
      <c r="T33" s="1020"/>
      <c r="U33" s="369">
        <v>23.9</v>
      </c>
      <c r="V33" s="369">
        <f>'Lookup Properties'!$C$7</f>
        <v>15.4</v>
      </c>
      <c r="W33" s="369">
        <f>'Lookup Properties'!$D$7</f>
        <v>4.8</v>
      </c>
      <c r="X33" s="553">
        <f>SUM(U33:W33)</f>
        <v>44.099999999999994</v>
      </c>
      <c r="Y33" s="364"/>
      <c r="Z33" s="364"/>
      <c r="AA33" s="367"/>
      <c r="AB33"/>
      <c r="AC33"/>
      <c r="AD33"/>
      <c r="AE33"/>
    </row>
    <row r="34" spans="1:31" ht="12.75" customHeight="1">
      <c r="A34" s="121"/>
      <c r="B34" s="121"/>
      <c r="C34" s="121"/>
      <c r="D34" s="121"/>
      <c r="E34" s="121"/>
      <c r="F34" s="121"/>
      <c r="G34" s="121"/>
      <c r="H34" s="121"/>
      <c r="I34" s="121"/>
      <c r="J34" s="121"/>
      <c r="K34" s="121"/>
      <c r="L34" s="121"/>
      <c r="M34" s="121"/>
      <c r="N34" s="121"/>
      <c r="O34" s="121"/>
      <c r="P34" s="121"/>
      <c r="Q34" s="546"/>
      <c r="R34" s="1017" t="s">
        <v>22</v>
      </c>
      <c r="S34" s="1017"/>
      <c r="T34" s="1017"/>
      <c r="U34" s="369">
        <f>'Lookup Properties'!$B$5</f>
        <v>22.35</v>
      </c>
      <c r="V34" s="369">
        <f>'Lookup Properties'!$C$5</f>
        <v>17.399999999999999</v>
      </c>
      <c r="W34" s="369">
        <f>'Lookup Properties'!$D$5</f>
        <v>5</v>
      </c>
      <c r="X34" s="553">
        <f>SUM(U34:W34)</f>
        <v>44.75</v>
      </c>
      <c r="Y34" s="364"/>
      <c r="Z34" s="364"/>
      <c r="AA34" s="367"/>
      <c r="AB34"/>
      <c r="AC34"/>
      <c r="AD34"/>
      <c r="AE34"/>
    </row>
    <row r="35" spans="1:31" ht="12.75" customHeight="1">
      <c r="A35" s="121"/>
      <c r="B35" s="121"/>
      <c r="C35" s="121"/>
      <c r="D35" s="121"/>
      <c r="E35" s="121"/>
      <c r="F35" s="121"/>
      <c r="G35" s="121"/>
      <c r="H35" s="121"/>
      <c r="I35" s="121"/>
      <c r="J35" s="121"/>
      <c r="K35" s="121"/>
      <c r="L35" s="121"/>
      <c r="M35" s="121"/>
      <c r="N35" s="121"/>
      <c r="O35" s="121"/>
      <c r="P35" s="121"/>
      <c r="Q35" s="546"/>
      <c r="R35" s="1018" t="s">
        <v>579</v>
      </c>
      <c r="S35" s="1018"/>
      <c r="T35" s="1018"/>
      <c r="U35" s="369">
        <f>'Lookup Properties'!$B$6</f>
        <v>22.15</v>
      </c>
      <c r="V35" s="369">
        <f>'Lookup Properties'!$C$6</f>
        <v>18.149999999999999</v>
      </c>
      <c r="W35" s="369">
        <f>'Lookup Properties'!$D$6</f>
        <v>5</v>
      </c>
      <c r="X35" s="553">
        <f>SUM(U35:W35)</f>
        <v>45.3</v>
      </c>
      <c r="Y35" s="364"/>
      <c r="Z35" s="364"/>
      <c r="AA35" s="367"/>
      <c r="AB35"/>
      <c r="AC35"/>
      <c r="AD35"/>
      <c r="AE35"/>
    </row>
    <row r="36" spans="1:31" ht="12.75" customHeight="1">
      <c r="A36" s="121"/>
      <c r="B36" s="121"/>
      <c r="C36" s="121"/>
      <c r="D36" s="121"/>
      <c r="E36" s="121"/>
      <c r="F36" s="121"/>
      <c r="G36" s="121"/>
      <c r="H36" s="121"/>
      <c r="I36" s="121"/>
      <c r="J36" s="121"/>
      <c r="K36" s="121"/>
      <c r="L36" s="121"/>
      <c r="M36" s="121"/>
      <c r="N36" s="121"/>
      <c r="O36" s="121"/>
      <c r="P36" s="121"/>
      <c r="Q36" s="546"/>
      <c r="R36" s="1016" t="s">
        <v>21</v>
      </c>
      <c r="S36" s="1016"/>
      <c r="T36" s="1016"/>
      <c r="U36" s="369">
        <f>'Lookup Properties'!$B$4</f>
        <v>21.25</v>
      </c>
      <c r="V36" s="369">
        <f>'Lookup Properties'!$C$4</f>
        <v>17.399999999999999</v>
      </c>
      <c r="W36" s="369">
        <f>'Lookup Properties'!$D$4</f>
        <v>5</v>
      </c>
      <c r="X36" s="553">
        <f>SUM(U36:W36)</f>
        <v>43.65</v>
      </c>
      <c r="Y36" s="364"/>
      <c r="Z36" s="364"/>
      <c r="AA36" s="367"/>
      <c r="AB36"/>
      <c r="AC36"/>
      <c r="AD36"/>
      <c r="AE36"/>
    </row>
    <row r="37" spans="1:31" ht="12.75" customHeight="1">
      <c r="A37" s="121"/>
      <c r="B37" s="121"/>
      <c r="C37" s="121"/>
      <c r="D37" s="121"/>
      <c r="E37" s="121"/>
      <c r="F37" s="121"/>
      <c r="G37" s="121"/>
      <c r="H37" s="121"/>
      <c r="I37" s="121"/>
      <c r="J37" s="121"/>
      <c r="K37" s="121"/>
      <c r="L37" s="121"/>
      <c r="M37" s="121"/>
      <c r="N37" s="121"/>
      <c r="O37" s="121"/>
      <c r="P37" s="121"/>
      <c r="Q37" s="364"/>
      <c r="R37" s="364"/>
      <c r="S37" s="364"/>
      <c r="T37" s="364"/>
      <c r="U37" s="555"/>
      <c r="V37" s="555"/>
      <c r="W37" s="555"/>
      <c r="X37" s="555"/>
      <c r="Y37" s="555"/>
      <c r="Z37" s="364"/>
      <c r="AA37" s="367"/>
      <c r="AB37"/>
      <c r="AC37"/>
      <c r="AD37"/>
      <c r="AE37"/>
    </row>
    <row r="38" spans="1:31" ht="12.75" customHeight="1">
      <c r="A38" s="121"/>
      <c r="B38" s="121"/>
      <c r="C38" s="121"/>
      <c r="D38" s="121"/>
      <c r="E38" s="121"/>
      <c r="F38" s="121"/>
      <c r="G38" s="121"/>
      <c r="H38" s="121"/>
      <c r="I38" s="121"/>
      <c r="J38" s="121"/>
      <c r="K38" s="121"/>
      <c r="L38" s="121"/>
      <c r="M38" s="121"/>
      <c r="N38" s="121"/>
      <c r="O38" s="121"/>
      <c r="P38" s="121"/>
      <c r="Q38" s="360">
        <v>2.2000000000000002</v>
      </c>
      <c r="R38" s="363" t="s">
        <v>832</v>
      </c>
      <c r="S38" s="363"/>
      <c r="T38" s="363"/>
      <c r="U38" s="363"/>
      <c r="V38" s="363"/>
      <c r="W38" s="363"/>
      <c r="X38" s="363"/>
      <c r="Y38" s="363"/>
      <c r="Z38" s="364"/>
      <c r="AA38" s="367"/>
      <c r="AB38"/>
      <c r="AC38"/>
      <c r="AD38"/>
      <c r="AE38"/>
    </row>
    <row r="39" spans="1:31" ht="12.75" customHeight="1">
      <c r="A39" s="121"/>
      <c r="B39" s="121"/>
      <c r="C39" s="121"/>
      <c r="D39" s="121"/>
      <c r="E39" s="121"/>
      <c r="F39" s="121"/>
      <c r="G39" s="121"/>
      <c r="H39" s="121"/>
      <c r="I39" s="121"/>
      <c r="J39" s="121"/>
      <c r="K39" s="121"/>
      <c r="L39" s="121"/>
      <c r="M39" s="121"/>
      <c r="N39" s="121"/>
      <c r="O39" s="121"/>
      <c r="P39" s="121"/>
      <c r="Q39" s="360"/>
      <c r="R39" s="998" t="s">
        <v>77</v>
      </c>
      <c r="S39" s="999"/>
      <c r="T39" s="1000"/>
      <c r="U39" s="1019" t="s">
        <v>824</v>
      </c>
      <c r="V39" s="1019" t="s">
        <v>828</v>
      </c>
      <c r="W39" s="1019" t="s">
        <v>826</v>
      </c>
      <c r="X39" s="1019" t="s">
        <v>23</v>
      </c>
      <c r="Y39" s="364"/>
      <c r="Z39" s="364"/>
      <c r="AA39" s="367"/>
      <c r="AB39"/>
      <c r="AC39"/>
      <c r="AD39"/>
      <c r="AE39"/>
    </row>
    <row r="40" spans="1:31" ht="12.75" customHeight="1">
      <c r="A40" s="121"/>
      <c r="B40" s="121"/>
      <c r="C40" s="121"/>
      <c r="D40" s="121"/>
      <c r="E40" s="121"/>
      <c r="F40" s="121"/>
      <c r="G40" s="121"/>
      <c r="H40" s="121"/>
      <c r="I40" s="121"/>
      <c r="J40" s="121"/>
      <c r="K40" s="121"/>
      <c r="L40" s="121"/>
      <c r="M40" s="121"/>
      <c r="N40" s="121"/>
      <c r="O40" s="121"/>
      <c r="P40" s="121"/>
      <c r="Q40" s="360"/>
      <c r="R40" s="1001"/>
      <c r="S40" s="1002"/>
      <c r="T40" s="1003"/>
      <c r="U40" s="1019"/>
      <c r="V40" s="1019"/>
      <c r="W40" s="1019"/>
      <c r="X40" s="1019"/>
      <c r="Y40" s="364"/>
      <c r="Z40" s="364"/>
      <c r="AA40" s="367"/>
      <c r="AB40"/>
      <c r="AC40"/>
      <c r="AD40"/>
      <c r="AE40"/>
    </row>
    <row r="41" spans="1:31" ht="12.75" customHeight="1">
      <c r="A41" s="121"/>
      <c r="B41" s="121"/>
      <c r="C41" s="121"/>
      <c r="D41" s="121"/>
      <c r="E41" s="121"/>
      <c r="F41" s="121"/>
      <c r="G41" s="121"/>
      <c r="H41" s="121"/>
      <c r="I41" s="121"/>
      <c r="J41" s="121"/>
      <c r="K41" s="121"/>
      <c r="L41" s="121"/>
      <c r="M41" s="121"/>
      <c r="N41" s="121"/>
      <c r="O41" s="121"/>
      <c r="P41" s="121"/>
      <c r="Q41" s="360"/>
      <c r="R41" s="1020" t="s">
        <v>500</v>
      </c>
      <c r="S41" s="1020"/>
      <c r="T41" s="1020"/>
      <c r="U41" s="556">
        <f>'Lookup Properties'!$B$13</f>
        <v>0.74</v>
      </c>
      <c r="V41" s="556">
        <f>'Lookup Properties'!$C$13</f>
        <v>0.78</v>
      </c>
      <c r="W41" s="556">
        <f>'Lookup Properties'!$D$13</f>
        <v>1.26</v>
      </c>
      <c r="X41" s="553">
        <f>SUM(U41:W41)</f>
        <v>2.7800000000000002</v>
      </c>
      <c r="Y41" s="364"/>
      <c r="Z41" s="364"/>
      <c r="AA41" s="367"/>
      <c r="AB41"/>
      <c r="AC41"/>
      <c r="AD41"/>
      <c r="AE41"/>
    </row>
    <row r="42" spans="1:31" ht="12.75" customHeight="1">
      <c r="A42" s="121"/>
      <c r="B42" s="121"/>
      <c r="C42" s="121"/>
      <c r="D42" s="121"/>
      <c r="E42" s="121"/>
      <c r="F42" s="121"/>
      <c r="G42" s="121"/>
      <c r="H42" s="121"/>
      <c r="I42" s="121"/>
      <c r="J42" s="121"/>
      <c r="K42" s="121"/>
      <c r="L42" s="121"/>
      <c r="M42" s="121"/>
      <c r="N42" s="121"/>
      <c r="O42" s="121"/>
      <c r="P42" s="121"/>
      <c r="Q42" s="360"/>
      <c r="R42" s="1017" t="s">
        <v>22</v>
      </c>
      <c r="S42" s="1017"/>
      <c r="T42" s="1017"/>
      <c r="U42" s="557">
        <f>'Lookup Properties'!$B$11</f>
        <v>0.71499999999999997</v>
      </c>
      <c r="V42" s="557">
        <f>'Lookup Properties'!$C$11</f>
        <v>1.03</v>
      </c>
      <c r="W42" s="557">
        <f>'Lookup Properties'!$D$11</f>
        <v>1.29</v>
      </c>
      <c r="X42" s="553">
        <f>SUM(U42:W42)</f>
        <v>3.0350000000000001</v>
      </c>
      <c r="Y42" s="364"/>
      <c r="Z42" s="364"/>
      <c r="AA42" s="367"/>
      <c r="AB42"/>
      <c r="AC42"/>
      <c r="AD42"/>
      <c r="AE42"/>
    </row>
    <row r="43" spans="1:31" ht="12.75" customHeight="1">
      <c r="A43" s="121"/>
      <c r="B43" s="121"/>
      <c r="C43" s="121"/>
      <c r="D43" s="121"/>
      <c r="E43" s="121"/>
      <c r="F43" s="121"/>
      <c r="G43" s="121"/>
      <c r="H43" s="121"/>
      <c r="I43" s="121"/>
      <c r="J43" s="121"/>
      <c r="K43" s="121"/>
      <c r="L43" s="121"/>
      <c r="M43" s="121"/>
      <c r="N43" s="121"/>
      <c r="O43" s="121"/>
      <c r="P43" s="121"/>
      <c r="Q43" s="360"/>
      <c r="R43" s="1018" t="s">
        <v>579</v>
      </c>
      <c r="S43" s="1018"/>
      <c r="T43" s="1018"/>
      <c r="U43" s="557">
        <f>'Lookup Properties'!$B$12</f>
        <v>0.755</v>
      </c>
      <c r="V43" s="557">
        <f>'Lookup Properties'!$C$12</f>
        <v>1.07</v>
      </c>
      <c r="W43" s="557">
        <f>'Lookup Properties'!$D$12</f>
        <v>1.2949999999999999</v>
      </c>
      <c r="X43" s="553">
        <f>SUM(U43:W43)</f>
        <v>3.12</v>
      </c>
      <c r="Y43" s="364"/>
      <c r="Z43" s="364"/>
      <c r="AA43" s="367"/>
      <c r="AB43"/>
      <c r="AC43"/>
      <c r="AD43"/>
      <c r="AE43"/>
    </row>
    <row r="44" spans="1:31" ht="12.75" customHeight="1">
      <c r="A44" s="121"/>
      <c r="B44" s="121"/>
      <c r="C44" s="121"/>
      <c r="D44" s="121"/>
      <c r="E44" s="121"/>
      <c r="F44" s="121"/>
      <c r="G44" s="121"/>
      <c r="H44" s="121"/>
      <c r="I44" s="121"/>
      <c r="J44" s="121"/>
      <c r="K44" s="121"/>
      <c r="L44" s="121"/>
      <c r="M44" s="121"/>
      <c r="N44" s="121"/>
      <c r="O44" s="121"/>
      <c r="P44" s="121"/>
      <c r="Q44" s="360"/>
      <c r="R44" s="1016" t="s">
        <v>21</v>
      </c>
      <c r="S44" s="1016"/>
      <c r="T44" s="1016"/>
      <c r="U44" s="557">
        <f>'Lookup Properties'!$B$10</f>
        <v>0.71</v>
      </c>
      <c r="V44" s="557">
        <f>'Lookup Properties'!$C$10</f>
        <v>1.03</v>
      </c>
      <c r="W44" s="557">
        <f>'Lookup Properties'!$D$10</f>
        <v>1.29</v>
      </c>
      <c r="X44" s="553">
        <f>SUM(U44:W44)</f>
        <v>3.0300000000000002</v>
      </c>
      <c r="Y44" s="364"/>
      <c r="Z44" s="364"/>
      <c r="AA44" s="367"/>
      <c r="AB44"/>
      <c r="AC44"/>
      <c r="AD44"/>
      <c r="AE44"/>
    </row>
    <row r="45" spans="1:31" ht="12.75" customHeight="1">
      <c r="A45" s="121"/>
      <c r="B45" s="121"/>
      <c r="C45" s="121"/>
      <c r="D45" s="121"/>
      <c r="E45" s="121"/>
      <c r="F45" s="121"/>
      <c r="G45" s="121"/>
      <c r="H45" s="121"/>
      <c r="I45" s="121"/>
      <c r="J45" s="121"/>
      <c r="K45" s="121"/>
      <c r="L45" s="121"/>
      <c r="M45" s="121"/>
      <c r="N45" s="121"/>
      <c r="O45" s="121"/>
      <c r="P45" s="121"/>
      <c r="Q45" s="364"/>
      <c r="R45" s="364"/>
      <c r="S45" s="364"/>
      <c r="T45" s="364"/>
      <c r="U45" s="555"/>
      <c r="V45" s="555"/>
      <c r="W45" s="555"/>
      <c r="X45" s="555"/>
      <c r="Y45" s="555"/>
      <c r="Z45" s="364"/>
      <c r="AA45" s="367"/>
      <c r="AB45"/>
      <c r="AC45"/>
      <c r="AD45"/>
      <c r="AE45"/>
    </row>
    <row r="46" spans="1:31" ht="12.75" customHeight="1">
      <c r="A46" s="121"/>
      <c r="B46" s="121"/>
      <c r="C46" s="121"/>
      <c r="D46" s="121"/>
      <c r="E46" s="121"/>
      <c r="F46" s="121"/>
      <c r="G46" s="121"/>
      <c r="H46" s="121"/>
      <c r="I46" s="121"/>
      <c r="J46" s="121"/>
      <c r="K46" s="121"/>
      <c r="L46" s="121"/>
      <c r="M46" s="121"/>
      <c r="N46" s="121"/>
      <c r="O46" s="121"/>
      <c r="P46" s="121"/>
      <c r="Q46" s="387" t="s">
        <v>817</v>
      </c>
      <c r="R46" s="1015" t="s">
        <v>206</v>
      </c>
      <c r="S46" s="1015"/>
      <c r="T46" s="1015"/>
      <c r="U46" s="1015"/>
      <c r="V46" s="1015"/>
      <c r="W46" s="1015"/>
      <c r="X46" s="1015"/>
      <c r="Y46" s="1015"/>
      <c r="Z46" s="536"/>
      <c r="AA46" s="367"/>
      <c r="AB46"/>
      <c r="AC46"/>
      <c r="AD46"/>
      <c r="AE46"/>
    </row>
    <row r="47" spans="1:31" ht="12.75" customHeight="1">
      <c r="A47" s="121"/>
      <c r="B47" s="121"/>
      <c r="C47" s="121"/>
      <c r="D47" s="121"/>
      <c r="E47" s="121"/>
      <c r="F47" s="121"/>
      <c r="G47" s="121"/>
      <c r="H47" s="121"/>
      <c r="I47" s="121"/>
      <c r="J47" s="121"/>
      <c r="K47" s="121"/>
      <c r="L47" s="121"/>
      <c r="M47" s="121"/>
      <c r="N47" s="121"/>
      <c r="O47" s="121"/>
      <c r="P47" s="121"/>
      <c r="Q47" s="668"/>
      <c r="R47" s="364"/>
      <c r="S47" s="364"/>
      <c r="T47" s="364"/>
      <c r="U47" s="555"/>
      <c r="V47" s="555"/>
      <c r="W47" s="555"/>
      <c r="X47" s="555"/>
      <c r="Y47" s="555"/>
      <c r="Z47" s="364"/>
      <c r="AA47" s="367"/>
      <c r="AB47"/>
      <c r="AC47"/>
      <c r="AD47"/>
      <c r="AE47"/>
    </row>
    <row r="48" spans="1:31" ht="12.75" customHeight="1">
      <c r="A48" s="121"/>
      <c r="B48" s="121"/>
      <c r="C48" s="121"/>
      <c r="D48" s="121"/>
      <c r="E48" s="121"/>
      <c r="F48" s="121"/>
      <c r="G48" s="121"/>
      <c r="H48" s="121"/>
      <c r="I48" s="121"/>
      <c r="J48" s="121"/>
      <c r="K48" s="121"/>
      <c r="L48" s="121"/>
      <c r="M48" s="121"/>
      <c r="N48" s="121"/>
      <c r="O48" s="121"/>
      <c r="P48" s="121"/>
      <c r="Q48" s="668" t="s">
        <v>196</v>
      </c>
      <c r="R48" s="364" t="s">
        <v>207</v>
      </c>
      <c r="S48" s="364"/>
      <c r="T48" s="364"/>
      <c r="U48" s="555"/>
      <c r="V48" s="555"/>
      <c r="W48" s="555"/>
      <c r="X48" s="555"/>
      <c r="Y48" s="555"/>
      <c r="Z48" s="364"/>
      <c r="AA48" s="367"/>
      <c r="AB48"/>
      <c r="AC48"/>
      <c r="AD48"/>
      <c r="AE48"/>
    </row>
    <row r="49" spans="1:31" ht="12.75" customHeight="1">
      <c r="A49" s="121"/>
      <c r="B49" s="121"/>
      <c r="C49" s="121"/>
      <c r="D49" s="121"/>
      <c r="E49" s="121"/>
      <c r="F49" s="121"/>
      <c r="G49" s="121"/>
      <c r="H49" s="121"/>
      <c r="I49" s="121"/>
      <c r="J49" s="121"/>
      <c r="K49" s="121"/>
      <c r="L49" s="121"/>
      <c r="M49" s="121"/>
      <c r="N49" s="121"/>
      <c r="O49" s="121"/>
      <c r="P49" s="121"/>
      <c r="Q49" s="364"/>
      <c r="R49" s="962" t="s">
        <v>678</v>
      </c>
      <c r="S49" s="963"/>
      <c r="T49" s="964"/>
      <c r="U49" s="949" t="s">
        <v>500</v>
      </c>
      <c r="V49" s="938" t="s">
        <v>22</v>
      </c>
      <c r="W49" s="940" t="s">
        <v>579</v>
      </c>
      <c r="X49" s="942" t="s">
        <v>21</v>
      </c>
      <c r="Y49" s="361"/>
      <c r="Z49" s="364"/>
      <c r="AA49" s="367"/>
      <c r="AB49"/>
      <c r="AC49"/>
      <c r="AD49"/>
      <c r="AE49"/>
    </row>
    <row r="50" spans="1:31" ht="12.75" customHeight="1">
      <c r="A50" s="121"/>
      <c r="B50" s="121"/>
      <c r="C50" s="121"/>
      <c r="D50" s="121"/>
      <c r="E50" s="121"/>
      <c r="F50" s="121"/>
      <c r="G50" s="121"/>
      <c r="H50" s="121"/>
      <c r="I50" s="121"/>
      <c r="J50" s="121"/>
      <c r="K50" s="121"/>
      <c r="L50" s="121"/>
      <c r="M50" s="121"/>
      <c r="N50" s="121"/>
      <c r="O50" s="121"/>
      <c r="P50" s="121"/>
      <c r="Q50" s="364"/>
      <c r="R50" s="965"/>
      <c r="S50" s="966"/>
      <c r="T50" s="967"/>
      <c r="U50" s="950"/>
      <c r="V50" s="939"/>
      <c r="W50" s="941"/>
      <c r="X50" s="943"/>
      <c r="Y50" s="361"/>
      <c r="Z50" s="364"/>
      <c r="AA50" s="367"/>
      <c r="AB50"/>
      <c r="AC50"/>
      <c r="AD50"/>
      <c r="AE50"/>
    </row>
    <row r="51" spans="1:31" ht="12.75" customHeight="1">
      <c r="A51" s="121"/>
      <c r="B51" s="121"/>
      <c r="C51" s="121"/>
      <c r="D51" s="121"/>
      <c r="E51" s="121"/>
      <c r="F51" s="121"/>
      <c r="G51" s="121"/>
      <c r="H51" s="121"/>
      <c r="I51" s="121"/>
      <c r="J51" s="121"/>
      <c r="K51" s="121"/>
      <c r="L51" s="121"/>
      <c r="M51" s="121"/>
      <c r="N51" s="121"/>
      <c r="O51" s="121"/>
      <c r="P51" s="121"/>
      <c r="Q51" s="364"/>
      <c r="R51" s="969" t="s">
        <v>210</v>
      </c>
      <c r="S51" s="969"/>
      <c r="T51" s="969"/>
      <c r="U51" s="560">
        <v>0.3</v>
      </c>
      <c r="V51" s="537">
        <f>VLOOKUP($V$5,'Lookup Penetration Rate'!$B$8:$E$208,3)</f>
        <v>0.4</v>
      </c>
      <c r="W51" s="537">
        <f>VLOOKUP($V$5,'Lookup Penetration Rate'!$B$8:$E$208,4)</f>
        <v>0.46</v>
      </c>
      <c r="X51" s="537">
        <f>VLOOKUP($V$5,'Lookup Penetration Rate'!$B$8:$E$208,2)</f>
        <v>0.56000000000000005</v>
      </c>
      <c r="Y51" s="361"/>
      <c r="Z51" s="364"/>
      <c r="AA51" s="367"/>
      <c r="AB51"/>
      <c r="AC51"/>
      <c r="AD51"/>
      <c r="AE51"/>
    </row>
    <row r="52" spans="1:31" ht="12.75" customHeight="1">
      <c r="Q52" s="364"/>
      <c r="R52" s="364"/>
      <c r="S52" s="364"/>
      <c r="T52" s="364"/>
      <c r="U52" s="555"/>
      <c r="V52" s="555"/>
      <c r="W52" s="555"/>
      <c r="X52" s="555"/>
      <c r="Y52" s="555"/>
      <c r="Z52" s="364"/>
      <c r="AA52" s="367"/>
      <c r="AB52"/>
      <c r="AC52"/>
      <c r="AD52"/>
      <c r="AE52"/>
    </row>
    <row r="53" spans="1:31" ht="12.75" customHeight="1">
      <c r="Q53" s="668" t="s">
        <v>197</v>
      </c>
      <c r="R53" s="364" t="s">
        <v>208</v>
      </c>
      <c r="S53" s="364"/>
      <c r="T53" s="364"/>
      <c r="U53" s="555"/>
      <c r="V53" s="555"/>
      <c r="W53" s="555"/>
      <c r="X53" s="555"/>
      <c r="Y53" s="555"/>
      <c r="Z53" s="364"/>
      <c r="AA53" s="367"/>
      <c r="AB53"/>
      <c r="AC53"/>
      <c r="AD53"/>
      <c r="AE53"/>
    </row>
    <row r="54" spans="1:31" ht="12.75" customHeight="1">
      <c r="Q54" s="668"/>
      <c r="R54" s="962" t="s">
        <v>678</v>
      </c>
      <c r="S54" s="963"/>
      <c r="T54" s="964"/>
      <c r="U54" s="949" t="s">
        <v>500</v>
      </c>
      <c r="V54" s="938" t="s">
        <v>22</v>
      </c>
      <c r="W54" s="940" t="s">
        <v>579</v>
      </c>
      <c r="X54" s="942" t="s">
        <v>21</v>
      </c>
      <c r="Y54" s="361"/>
      <c r="Z54" s="364"/>
      <c r="AA54" s="367"/>
      <c r="AB54"/>
      <c r="AC54"/>
      <c r="AD54"/>
      <c r="AE54"/>
    </row>
    <row r="55" spans="1:31" ht="12.75" customHeight="1">
      <c r="Q55" s="668"/>
      <c r="R55" s="965"/>
      <c r="S55" s="966"/>
      <c r="T55" s="967"/>
      <c r="U55" s="950"/>
      <c r="V55" s="939"/>
      <c r="W55" s="941"/>
      <c r="X55" s="943"/>
      <c r="Y55" s="361"/>
      <c r="Z55" s="364"/>
      <c r="AA55" s="367"/>
      <c r="AB55"/>
      <c r="AC55"/>
      <c r="AD55"/>
      <c r="AE55"/>
    </row>
    <row r="56" spans="1:31" ht="12.75" customHeight="1">
      <c r="Q56" s="668"/>
      <c r="R56" s="969" t="s">
        <v>209</v>
      </c>
      <c r="S56" s="969"/>
      <c r="T56" s="969"/>
      <c r="U56" s="560">
        <f>$V$20/U51</f>
        <v>4</v>
      </c>
      <c r="V56" s="669">
        <f>$V$20/V51</f>
        <v>2.9999999999999996</v>
      </c>
      <c r="W56" s="669">
        <f>$V$20/W51</f>
        <v>2.6086956521739126</v>
      </c>
      <c r="X56" s="669">
        <f>$V$20/X51</f>
        <v>2.1428571428571428</v>
      </c>
      <c r="Y56" s="361"/>
      <c r="Z56" s="364"/>
      <c r="AA56" s="367"/>
      <c r="AB56"/>
      <c r="AC56"/>
      <c r="AD56"/>
      <c r="AE56"/>
    </row>
    <row r="57" spans="1:31" ht="12.75" customHeight="1">
      <c r="Q57" s="364"/>
      <c r="R57" s="364"/>
      <c r="S57" s="364"/>
      <c r="T57" s="364"/>
      <c r="U57" s="555"/>
      <c r="V57" s="555"/>
      <c r="W57" s="555"/>
      <c r="X57" s="555"/>
      <c r="Y57" s="555"/>
      <c r="Z57" s="364"/>
      <c r="AA57" s="367"/>
      <c r="AB57"/>
      <c r="AC57"/>
      <c r="AD57"/>
      <c r="AE57"/>
    </row>
    <row r="58" spans="1:31" ht="12.75" customHeight="1">
      <c r="Q58" s="563">
        <v>3.3</v>
      </c>
      <c r="R58" s="363" t="s">
        <v>211</v>
      </c>
      <c r="S58" s="363"/>
      <c r="T58" s="363"/>
      <c r="U58" s="363"/>
      <c r="V58" s="363"/>
      <c r="W58" s="363"/>
      <c r="X58" s="363"/>
      <c r="Y58" s="363"/>
      <c r="Z58" s="364"/>
      <c r="AA58" s="367"/>
      <c r="AB58"/>
      <c r="AC58"/>
      <c r="AD58"/>
      <c r="AE58"/>
    </row>
    <row r="59" spans="1:31" ht="12.75" customHeight="1">
      <c r="Q59" s="563"/>
      <c r="R59" s="962" t="s">
        <v>678</v>
      </c>
      <c r="S59" s="963"/>
      <c r="T59" s="964"/>
      <c r="U59" s="949" t="s">
        <v>500</v>
      </c>
      <c r="V59" s="938" t="s">
        <v>22</v>
      </c>
      <c r="W59" s="940" t="s">
        <v>579</v>
      </c>
      <c r="X59" s="942" t="s">
        <v>21</v>
      </c>
      <c r="Y59" s="361"/>
      <c r="Z59" s="364"/>
      <c r="AA59" s="367"/>
      <c r="AB59"/>
      <c r="AC59"/>
      <c r="AD59"/>
      <c r="AE59"/>
    </row>
    <row r="60" spans="1:31" ht="12.75" customHeight="1">
      <c r="Q60" s="563"/>
      <c r="R60" s="965"/>
      <c r="S60" s="966"/>
      <c r="T60" s="967"/>
      <c r="U60" s="950"/>
      <c r="V60" s="939"/>
      <c r="W60" s="941"/>
      <c r="X60" s="943"/>
      <c r="Y60" s="361"/>
      <c r="Z60" s="364"/>
      <c r="AA60" s="367"/>
      <c r="AB60"/>
      <c r="AC60"/>
      <c r="AD60"/>
      <c r="AE60"/>
    </row>
    <row r="61" spans="1:31" ht="12.75" customHeight="1">
      <c r="Q61" s="563"/>
      <c r="R61" s="969" t="s">
        <v>209</v>
      </c>
      <c r="S61" s="969"/>
      <c r="T61" s="969"/>
      <c r="U61" s="562">
        <f>(U56*$V$24)/$V$23</f>
        <v>160</v>
      </c>
      <c r="V61" s="670">
        <f>(V56*$V$24)/$V$23</f>
        <v>119.99999999999997</v>
      </c>
      <c r="W61" s="670">
        <f>(W56*$V$24)/$V$23</f>
        <v>104.3478260869565</v>
      </c>
      <c r="X61" s="670">
        <f>(X56*$V$24)/$V$23</f>
        <v>85.714285714285708</v>
      </c>
      <c r="Y61" s="361"/>
      <c r="Z61" s="364"/>
      <c r="AA61" s="367"/>
      <c r="AB61"/>
      <c r="AC61"/>
      <c r="AD61"/>
      <c r="AE61"/>
    </row>
    <row r="62" spans="1:31" ht="12.75" customHeight="1">
      <c r="Q62" s="563"/>
      <c r="R62" s="931" t="s">
        <v>212</v>
      </c>
      <c r="S62" s="931"/>
      <c r="T62" s="931"/>
      <c r="U62" s="537">
        <f>U61/60</f>
        <v>2.6666666666666665</v>
      </c>
      <c r="V62" s="557">
        <f>V61/60</f>
        <v>1.9999999999999996</v>
      </c>
      <c r="W62" s="557">
        <f>W61/60</f>
        <v>1.7391304347826084</v>
      </c>
      <c r="X62" s="557">
        <f>X61/60</f>
        <v>1.4285714285714284</v>
      </c>
      <c r="Y62" s="361"/>
      <c r="Z62" s="364"/>
      <c r="AA62" s="367"/>
      <c r="AB62"/>
      <c r="AC62"/>
      <c r="AD62"/>
      <c r="AE62"/>
    </row>
    <row r="63" spans="1:31" ht="12.75" customHeight="1">
      <c r="Q63" s="563"/>
      <c r="R63" s="363"/>
      <c r="S63" s="363"/>
      <c r="T63" s="363"/>
      <c r="U63" s="363"/>
      <c r="V63" s="363"/>
      <c r="W63" s="363"/>
      <c r="X63" s="363"/>
      <c r="Y63" s="363"/>
      <c r="Z63" s="364"/>
      <c r="AA63" s="367"/>
      <c r="AB63"/>
      <c r="AC63"/>
      <c r="AD63"/>
      <c r="AE63"/>
    </row>
    <row r="64" spans="1:31" ht="12.75" customHeight="1">
      <c r="Q64" s="388" t="s">
        <v>295</v>
      </c>
      <c r="R64" s="1015" t="s">
        <v>216</v>
      </c>
      <c r="S64" s="1015"/>
      <c r="T64" s="1015"/>
      <c r="U64" s="1015"/>
      <c r="V64" s="1015"/>
      <c r="W64" s="1015"/>
      <c r="X64" s="1015"/>
      <c r="Y64" s="1015"/>
      <c r="Z64" s="536"/>
      <c r="AA64" s="367"/>
      <c r="AB64"/>
      <c r="AC64"/>
      <c r="AD64"/>
      <c r="AE64"/>
    </row>
    <row r="65" spans="17:36" ht="12.75" customHeight="1">
      <c r="Q65" s="563"/>
      <c r="R65" s="363"/>
      <c r="S65" s="363"/>
      <c r="T65" s="363"/>
      <c r="U65" s="363"/>
      <c r="V65" s="363"/>
      <c r="W65" s="363"/>
      <c r="X65" s="363"/>
      <c r="Y65" s="363"/>
      <c r="Z65" s="364"/>
      <c r="AA65" s="367"/>
      <c r="AB65"/>
      <c r="AC65"/>
      <c r="AD65"/>
      <c r="AE65"/>
      <c r="AF65" s="23"/>
      <c r="AG65" s="23"/>
      <c r="AH65" s="23"/>
      <c r="AI65" s="23"/>
    </row>
    <row r="66" spans="17:36" ht="12.75" customHeight="1">
      <c r="Q66" s="360" t="s">
        <v>502</v>
      </c>
      <c r="R66" s="364" t="s">
        <v>527</v>
      </c>
      <c r="S66" s="364"/>
      <c r="T66" s="364"/>
      <c r="U66" s="555"/>
      <c r="V66" s="555"/>
      <c r="W66" s="555"/>
      <c r="X66" s="555"/>
      <c r="Y66" s="555"/>
      <c r="Z66" s="364"/>
      <c r="AA66" s="367"/>
      <c r="AB66"/>
      <c r="AC66"/>
      <c r="AD66"/>
      <c r="AE66"/>
      <c r="AJ66" s="17"/>
    </row>
    <row r="67" spans="17:36" ht="12.75" customHeight="1">
      <c r="Q67" s="360"/>
      <c r="R67" s="962" t="s">
        <v>678</v>
      </c>
      <c r="S67" s="963"/>
      <c r="T67" s="964"/>
      <c r="U67" s="949" t="s">
        <v>500</v>
      </c>
      <c r="V67" s="938" t="s">
        <v>22</v>
      </c>
      <c r="W67" s="940" t="s">
        <v>579</v>
      </c>
      <c r="X67" s="942" t="s">
        <v>21</v>
      </c>
      <c r="Y67" s="361"/>
      <c r="Z67" s="364"/>
      <c r="AA67" s="367"/>
      <c r="AB67"/>
      <c r="AC67"/>
      <c r="AD67"/>
      <c r="AE67"/>
      <c r="AJ67" s="17"/>
    </row>
    <row r="68" spans="17:36" ht="12.75" customHeight="1">
      <c r="Q68" s="360"/>
      <c r="R68" s="965"/>
      <c r="S68" s="966"/>
      <c r="T68" s="967"/>
      <c r="U68" s="950"/>
      <c r="V68" s="939"/>
      <c r="W68" s="941"/>
      <c r="X68" s="943"/>
      <c r="Y68" s="361"/>
      <c r="Z68" s="364"/>
      <c r="AA68" s="367"/>
      <c r="AB68"/>
      <c r="AC68"/>
      <c r="AD68"/>
      <c r="AE68"/>
      <c r="AJ68" s="17"/>
    </row>
    <row r="69" spans="17:36" ht="12.75" customHeight="1">
      <c r="Q69" s="360"/>
      <c r="R69" s="969" t="s">
        <v>63</v>
      </c>
      <c r="S69" s="969"/>
      <c r="T69" s="969"/>
      <c r="U69" s="369">
        <v>102</v>
      </c>
      <c r="V69" s="369">
        <f>VLOOKUP($V$5,'Lookup dBA'!$B$8:$E$208,3)</f>
        <v>108</v>
      </c>
      <c r="W69" s="369">
        <f>VLOOKUP($V$5,'Lookup dBA'!$B$8:$E$208,4)</f>
        <v>109</v>
      </c>
      <c r="X69" s="369">
        <f>VLOOKUP($V$5,'Lookup dBA'!$B$8:$E$208,2)</f>
        <v>116</v>
      </c>
      <c r="Y69" s="361"/>
      <c r="Z69" s="364"/>
      <c r="AA69" s="367"/>
      <c r="AB69"/>
      <c r="AC69"/>
      <c r="AD69"/>
      <c r="AE69"/>
      <c r="AJ69" s="32"/>
    </row>
    <row r="70" spans="17:36" ht="12.75" customHeight="1">
      <c r="Q70" s="360"/>
      <c r="R70" s="969" t="s">
        <v>64</v>
      </c>
      <c r="S70" s="969"/>
      <c r="T70" s="969"/>
      <c r="U70" s="369">
        <f>U69-PPE!$I$15</f>
        <v>89</v>
      </c>
      <c r="V70" s="369">
        <f>V69-PPE!$I$15</f>
        <v>95</v>
      </c>
      <c r="W70" s="369">
        <f>W69-PPE!$I$15</f>
        <v>96</v>
      </c>
      <c r="X70" s="369">
        <f>X69-PPE!$I$15</f>
        <v>103</v>
      </c>
      <c r="Y70" s="361"/>
      <c r="Z70" s="364"/>
      <c r="AA70" s="367"/>
      <c r="AB70"/>
      <c r="AC70"/>
      <c r="AD70"/>
      <c r="AE70"/>
      <c r="AJ70" s="32"/>
    </row>
    <row r="71" spans="17:36" ht="12.75" customHeight="1">
      <c r="Q71" s="360"/>
      <c r="R71" s="969" t="s">
        <v>529</v>
      </c>
      <c r="S71" s="969"/>
      <c r="T71" s="969"/>
      <c r="U71" s="369">
        <v>110</v>
      </c>
      <c r="V71" s="369">
        <v>110</v>
      </c>
      <c r="W71" s="369">
        <v>110</v>
      </c>
      <c r="X71" s="369">
        <v>110</v>
      </c>
      <c r="Y71" s="361"/>
      <c r="Z71" s="364"/>
      <c r="AA71" s="367"/>
      <c r="AB71"/>
      <c r="AC71"/>
      <c r="AD71"/>
      <c r="AE71"/>
      <c r="AJ71" s="32"/>
    </row>
    <row r="72" spans="17:36" ht="12.75" customHeight="1">
      <c r="Q72" s="360"/>
      <c r="R72" s="363"/>
      <c r="S72" s="363"/>
      <c r="T72" s="363"/>
      <c r="U72" s="363"/>
      <c r="V72" s="363"/>
      <c r="W72" s="363"/>
      <c r="X72" s="363"/>
      <c r="Y72" s="555"/>
      <c r="Z72" s="364"/>
      <c r="AA72" s="367"/>
      <c r="AB72"/>
      <c r="AC72"/>
      <c r="AD72"/>
      <c r="AE72"/>
      <c r="AJ72" s="17"/>
    </row>
    <row r="73" spans="17:36" ht="12.75" customHeight="1">
      <c r="Q73" s="360" t="s">
        <v>503</v>
      </c>
      <c r="R73" s="364" t="s">
        <v>528</v>
      </c>
      <c r="S73" s="364"/>
      <c r="T73" s="364"/>
      <c r="U73" s="555"/>
      <c r="V73" s="555"/>
      <c r="W73" s="555"/>
      <c r="X73" s="555"/>
      <c r="Y73" s="555"/>
      <c r="Z73" s="364"/>
      <c r="AA73" s="367"/>
      <c r="AB73"/>
      <c r="AC73"/>
      <c r="AD73"/>
      <c r="AE73"/>
      <c r="AJ73" s="17"/>
    </row>
    <row r="74" spans="17:36" ht="12.75" customHeight="1">
      <c r="Q74" s="360"/>
      <c r="R74" s="935" t="s">
        <v>678</v>
      </c>
      <c r="S74" s="935"/>
      <c r="T74" s="935"/>
      <c r="U74" s="930" t="s">
        <v>500</v>
      </c>
      <c r="V74" s="928" t="s">
        <v>22</v>
      </c>
      <c r="W74" s="929" t="s">
        <v>579</v>
      </c>
      <c r="X74" s="927" t="s">
        <v>21</v>
      </c>
      <c r="Y74" s="361"/>
      <c r="Z74" s="364"/>
      <c r="AA74" s="367"/>
      <c r="AB74"/>
      <c r="AC74"/>
      <c r="AD74"/>
      <c r="AE74"/>
      <c r="AJ74" s="17"/>
    </row>
    <row r="75" spans="17:36" ht="12.75" customHeight="1">
      <c r="Q75" s="360"/>
      <c r="R75" s="935"/>
      <c r="S75" s="935"/>
      <c r="T75" s="935"/>
      <c r="U75" s="930"/>
      <c r="V75" s="928"/>
      <c r="W75" s="929"/>
      <c r="X75" s="927"/>
      <c r="Y75" s="361"/>
      <c r="Z75" s="364"/>
      <c r="AA75" s="367"/>
      <c r="AB75"/>
      <c r="AC75"/>
      <c r="AD75"/>
      <c r="AE75"/>
      <c r="AJ75" s="17"/>
    </row>
    <row r="76" spans="17:36" ht="12.75" customHeight="1">
      <c r="Q76" s="360"/>
      <c r="R76" s="969" t="s">
        <v>63</v>
      </c>
      <c r="S76" s="969"/>
      <c r="T76" s="969"/>
      <c r="U76" s="369">
        <f>VLOOKUP($V$21,$R$309:$Z$314,5)</f>
        <v>108.02059991327964</v>
      </c>
      <c r="V76" s="369">
        <f>VLOOKUP($V$21,$R$309:$Z$314,3)</f>
        <v>114.02059991327963</v>
      </c>
      <c r="W76" s="369">
        <f>VLOOKUP($V$21,$R$309:$Z$314,4)</f>
        <v>115.02059991327963</v>
      </c>
      <c r="X76" s="369">
        <f>VLOOKUP($V$21,$R$309:$Z$314,2)</f>
        <v>122.02059991327964</v>
      </c>
      <c r="Y76" s="361"/>
      <c r="Z76" s="364"/>
      <c r="AA76" s="367"/>
      <c r="AB76"/>
      <c r="AC76"/>
      <c r="AD76"/>
      <c r="AE76"/>
      <c r="AJ76" s="17"/>
    </row>
    <row r="77" spans="17:36" ht="12.75" customHeight="1">
      <c r="Q77" s="360"/>
      <c r="R77" s="969" t="s">
        <v>64</v>
      </c>
      <c r="S77" s="969"/>
      <c r="T77" s="969"/>
      <c r="U77" s="369">
        <f>U76-PPE!$I$15</f>
        <v>95.020599913279639</v>
      </c>
      <c r="V77" s="369">
        <f>V76-PPE!$I$15</f>
        <v>101.02059991327963</v>
      </c>
      <c r="W77" s="369">
        <f>W76-PPE!$I$15</f>
        <v>102.02059991327963</v>
      </c>
      <c r="X77" s="369">
        <f>X76-PPE!$I$15</f>
        <v>109.02059991327964</v>
      </c>
      <c r="Y77" s="361"/>
      <c r="Z77" s="364"/>
      <c r="AA77" s="367"/>
      <c r="AB77"/>
      <c r="AC77"/>
      <c r="AD77"/>
      <c r="AE77"/>
      <c r="AJ77" s="17"/>
    </row>
    <row r="78" spans="17:36" ht="12.75" customHeight="1">
      <c r="Q78" s="360"/>
      <c r="R78" s="969" t="s">
        <v>529</v>
      </c>
      <c r="S78" s="969"/>
      <c r="T78" s="969"/>
      <c r="U78" s="369">
        <v>110</v>
      </c>
      <c r="V78" s="369">
        <v>110</v>
      </c>
      <c r="W78" s="369">
        <v>110</v>
      </c>
      <c r="X78" s="369">
        <v>110</v>
      </c>
      <c r="Y78" s="361"/>
      <c r="Z78" s="364"/>
      <c r="AA78" s="367"/>
      <c r="AB78"/>
      <c r="AC78"/>
      <c r="AD78"/>
      <c r="AE78"/>
      <c r="AJ78" s="17"/>
    </row>
    <row r="79" spans="17:36" ht="12.75" customHeight="1">
      <c r="Q79" s="360"/>
      <c r="R79" s="364"/>
      <c r="S79" s="364"/>
      <c r="T79" s="364"/>
      <c r="U79" s="555"/>
      <c r="V79" s="555"/>
      <c r="W79" s="555"/>
      <c r="X79" s="555"/>
      <c r="Y79" s="555"/>
      <c r="Z79" s="364"/>
      <c r="AA79" s="367"/>
      <c r="AB79"/>
      <c r="AC79"/>
      <c r="AD79"/>
      <c r="AE79"/>
      <c r="AJ79" s="17"/>
    </row>
    <row r="80" spans="17:36" ht="12.75" customHeight="1">
      <c r="Q80" s="385" t="s">
        <v>305</v>
      </c>
      <c r="R80" s="1008" t="s">
        <v>218</v>
      </c>
      <c r="S80" s="1008"/>
      <c r="T80" s="1008"/>
      <c r="U80" s="1008"/>
      <c r="V80" s="1008"/>
      <c r="W80" s="1008"/>
      <c r="X80" s="1008"/>
      <c r="Y80" s="1008"/>
      <c r="Z80" s="536"/>
      <c r="AA80" s="367"/>
      <c r="AB80"/>
      <c r="AC80"/>
      <c r="AD80"/>
      <c r="AE80"/>
      <c r="AJ80" s="43"/>
    </row>
    <row r="81" spans="17:36" ht="12.75" customHeight="1">
      <c r="Q81" s="546"/>
      <c r="R81" s="363"/>
      <c r="S81" s="363"/>
      <c r="T81" s="363"/>
      <c r="U81" s="363"/>
      <c r="V81" s="363"/>
      <c r="W81" s="363"/>
      <c r="X81" s="363"/>
      <c r="Y81" s="363"/>
      <c r="Z81" s="364"/>
      <c r="AA81" s="367"/>
      <c r="AB81"/>
      <c r="AC81"/>
      <c r="AD81"/>
      <c r="AE81"/>
      <c r="AJ81" s="43"/>
    </row>
    <row r="82" spans="17:36" ht="12.75" customHeight="1">
      <c r="Q82" s="546"/>
      <c r="R82" s="363" t="s">
        <v>436</v>
      </c>
      <c r="S82" s="363"/>
      <c r="T82" s="363"/>
      <c r="U82" s="363"/>
      <c r="V82" s="363"/>
      <c r="W82" s="363"/>
      <c r="X82" s="363"/>
      <c r="Y82" s="363"/>
      <c r="Z82" s="364"/>
      <c r="AA82" s="367"/>
      <c r="AB82"/>
      <c r="AC82"/>
      <c r="AD82"/>
      <c r="AE82"/>
      <c r="AJ82" s="43"/>
    </row>
    <row r="83" spans="17:36" ht="12.75" customHeight="1">
      <c r="Q83" s="360"/>
      <c r="R83" s="935" t="s">
        <v>678</v>
      </c>
      <c r="S83" s="935"/>
      <c r="T83" s="935"/>
      <c r="U83" s="949" t="s">
        <v>500</v>
      </c>
      <c r="V83" s="1011" t="s">
        <v>22</v>
      </c>
      <c r="W83" s="1013" t="s">
        <v>579</v>
      </c>
      <c r="X83" s="1009" t="s">
        <v>21</v>
      </c>
      <c r="Y83" s="361"/>
      <c r="Z83" s="364"/>
      <c r="AA83" s="367"/>
      <c r="AB83"/>
      <c r="AC83"/>
      <c r="AD83"/>
      <c r="AE83"/>
    </row>
    <row r="84" spans="17:36" ht="12.75" customHeight="1">
      <c r="Q84" s="360"/>
      <c r="R84" s="935"/>
      <c r="S84" s="935"/>
      <c r="T84" s="935"/>
      <c r="U84" s="950"/>
      <c r="V84" s="1012"/>
      <c r="W84" s="1014"/>
      <c r="X84" s="1010"/>
      <c r="Y84" s="361"/>
      <c r="Z84" s="364"/>
      <c r="AA84" s="367"/>
      <c r="AB84"/>
      <c r="AC84"/>
      <c r="AD84"/>
      <c r="AE84"/>
    </row>
    <row r="85" spans="17:36" ht="12.75" customHeight="1">
      <c r="Q85" s="360"/>
      <c r="R85" s="969" t="s">
        <v>63</v>
      </c>
      <c r="S85" s="969"/>
      <c r="T85" s="969"/>
      <c r="U85" s="369">
        <f>U414</f>
        <v>97.15</v>
      </c>
      <c r="V85" s="369">
        <f>U356</f>
        <v>101.95</v>
      </c>
      <c r="W85" s="369">
        <f>U385</f>
        <v>102.4</v>
      </c>
      <c r="X85" s="369">
        <f>U327</f>
        <v>108.5</v>
      </c>
      <c r="Y85" s="361"/>
      <c r="Z85" s="364"/>
      <c r="AA85" s="367"/>
      <c r="AB85"/>
      <c r="AC85"/>
      <c r="AD85"/>
      <c r="AE85"/>
    </row>
    <row r="86" spans="17:36" ht="12.75" customHeight="1">
      <c r="Q86" s="360"/>
      <c r="R86" s="969" t="s">
        <v>64</v>
      </c>
      <c r="S86" s="969"/>
      <c r="T86" s="969"/>
      <c r="U86" s="369">
        <f>U427</f>
        <v>84.15</v>
      </c>
      <c r="V86" s="369">
        <f>U369</f>
        <v>88.95</v>
      </c>
      <c r="W86" s="369">
        <f>U398</f>
        <v>89.3</v>
      </c>
      <c r="X86" s="369">
        <f>U340</f>
        <v>95.55</v>
      </c>
      <c r="Y86" s="361"/>
      <c r="Z86" s="364"/>
      <c r="AA86" s="367"/>
      <c r="AB86"/>
      <c r="AC86"/>
      <c r="AD86"/>
      <c r="AE86"/>
    </row>
    <row r="87" spans="17:36" ht="12.75" customHeight="1">
      <c r="Q87" s="360"/>
      <c r="R87" s="969" t="s">
        <v>530</v>
      </c>
      <c r="S87" s="969"/>
      <c r="T87" s="969"/>
      <c r="U87" s="369">
        <v>85</v>
      </c>
      <c r="V87" s="369">
        <v>85</v>
      </c>
      <c r="W87" s="369">
        <v>85</v>
      </c>
      <c r="X87" s="369">
        <v>85</v>
      </c>
      <c r="Y87" s="361"/>
      <c r="Z87" s="364"/>
      <c r="AA87" s="367"/>
      <c r="AB87"/>
      <c r="AC87"/>
      <c r="AD87"/>
      <c r="AE87"/>
    </row>
    <row r="88" spans="17:36" ht="12.75" customHeight="1">
      <c r="Q88" s="360"/>
      <c r="R88" s="363"/>
      <c r="S88" s="363"/>
      <c r="T88" s="363"/>
      <c r="U88" s="363"/>
      <c r="V88" s="363"/>
      <c r="W88" s="363"/>
      <c r="X88" s="363"/>
      <c r="Y88" s="363"/>
      <c r="Z88" s="364"/>
      <c r="AA88" s="367"/>
      <c r="AB88"/>
      <c r="AC88"/>
      <c r="AD88"/>
      <c r="AE88"/>
    </row>
    <row r="89" spans="17:36" ht="12.75" customHeight="1">
      <c r="Q89" s="360"/>
      <c r="R89" s="363" t="s">
        <v>437</v>
      </c>
      <c r="S89" s="363"/>
      <c r="T89" s="363"/>
      <c r="U89" s="363"/>
      <c r="V89" s="363"/>
      <c r="W89" s="363"/>
      <c r="X89" s="363"/>
      <c r="Y89" s="363"/>
      <c r="Z89" s="364"/>
      <c r="AA89" s="367"/>
      <c r="AB89"/>
      <c r="AC89"/>
      <c r="AD89"/>
      <c r="AE89"/>
    </row>
    <row r="90" spans="17:36" ht="12.75" customHeight="1">
      <c r="Q90" s="360"/>
      <c r="R90" s="935" t="s">
        <v>678</v>
      </c>
      <c r="S90" s="935"/>
      <c r="T90" s="935"/>
      <c r="U90" s="949" t="s">
        <v>500</v>
      </c>
      <c r="V90" s="1011" t="s">
        <v>22</v>
      </c>
      <c r="W90" s="1013" t="s">
        <v>579</v>
      </c>
      <c r="X90" s="1009" t="s">
        <v>21</v>
      </c>
      <c r="Y90" s="361"/>
      <c r="Z90" s="364"/>
      <c r="AA90" s="367"/>
      <c r="AB90"/>
      <c r="AC90"/>
      <c r="AD90"/>
      <c r="AE90"/>
    </row>
    <row r="91" spans="17:36" ht="12.75" customHeight="1">
      <c r="Q91" s="360"/>
      <c r="R91" s="935"/>
      <c r="S91" s="935"/>
      <c r="T91" s="935"/>
      <c r="U91" s="950"/>
      <c r="V91" s="1012"/>
      <c r="W91" s="1014"/>
      <c r="X91" s="1010"/>
      <c r="Y91" s="361"/>
      <c r="Z91" s="364"/>
      <c r="AA91" s="367"/>
      <c r="AB91"/>
      <c r="AC91"/>
      <c r="AD91"/>
      <c r="AE91"/>
    </row>
    <row r="92" spans="17:36" ht="12.75" customHeight="1">
      <c r="Q92" s="360"/>
      <c r="R92" s="969" t="s">
        <v>63</v>
      </c>
      <c r="S92" s="969"/>
      <c r="T92" s="969"/>
      <c r="U92" s="369">
        <f>U533</f>
        <v>103.15</v>
      </c>
      <c r="V92" s="369">
        <f>U475</f>
        <v>107.95</v>
      </c>
      <c r="W92" s="369">
        <f>U504</f>
        <v>108.4</v>
      </c>
      <c r="X92" s="369">
        <f>U446</f>
        <v>113.95</v>
      </c>
      <c r="Y92" s="361"/>
      <c r="Z92" s="364"/>
      <c r="AA92" s="367"/>
      <c r="AB92"/>
      <c r="AC92"/>
      <c r="AD92"/>
      <c r="AE92"/>
    </row>
    <row r="93" spans="17:36" ht="12.75" customHeight="1">
      <c r="Q93" s="360"/>
      <c r="R93" s="969" t="s">
        <v>64</v>
      </c>
      <c r="S93" s="969"/>
      <c r="T93" s="969"/>
      <c r="U93" s="369">
        <f>U546</f>
        <v>90.15</v>
      </c>
      <c r="V93" s="369">
        <f>U488</f>
        <v>94.95</v>
      </c>
      <c r="W93" s="369">
        <f>U517</f>
        <v>95.3</v>
      </c>
      <c r="X93" s="369">
        <f>U459</f>
        <v>101.55</v>
      </c>
      <c r="Y93" s="361"/>
      <c r="Z93" s="364"/>
      <c r="AA93" s="367"/>
      <c r="AB93"/>
      <c r="AC93"/>
      <c r="AD93"/>
      <c r="AE93"/>
    </row>
    <row r="94" spans="17:36" ht="12.75" customHeight="1">
      <c r="Q94" s="360"/>
      <c r="R94" s="969" t="s">
        <v>530</v>
      </c>
      <c r="S94" s="969"/>
      <c r="T94" s="969"/>
      <c r="U94" s="369">
        <v>85</v>
      </c>
      <c r="V94" s="369">
        <v>85</v>
      </c>
      <c r="W94" s="369">
        <v>85</v>
      </c>
      <c r="X94" s="369">
        <v>85</v>
      </c>
      <c r="Y94" s="361"/>
      <c r="Z94" s="364"/>
      <c r="AA94" s="367"/>
      <c r="AB94"/>
      <c r="AC94"/>
      <c r="AD94"/>
      <c r="AE94"/>
    </row>
    <row r="95" spans="17:36" ht="12.75" customHeight="1">
      <c r="Q95" s="360"/>
      <c r="R95" s="363"/>
      <c r="S95" s="363"/>
      <c r="T95" s="363"/>
      <c r="U95" s="363"/>
      <c r="V95" s="363"/>
      <c r="W95" s="363"/>
      <c r="X95" s="363"/>
      <c r="Y95" s="363"/>
      <c r="Z95" s="364"/>
      <c r="AA95" s="367"/>
      <c r="AB95"/>
      <c r="AC95"/>
      <c r="AD95"/>
      <c r="AE95"/>
    </row>
    <row r="96" spans="17:36" s="133" customFormat="1" ht="12.75" customHeight="1">
      <c r="Q96" s="385" t="s">
        <v>222</v>
      </c>
      <c r="R96" s="1008" t="s">
        <v>504</v>
      </c>
      <c r="S96" s="1008"/>
      <c r="T96" s="1008"/>
      <c r="U96" s="1008"/>
      <c r="V96" s="1008"/>
      <c r="W96" s="1008"/>
      <c r="X96" s="1008"/>
      <c r="Y96" s="1008"/>
      <c r="Z96" s="547"/>
      <c r="AA96" s="367"/>
      <c r="AB96"/>
      <c r="AC96"/>
      <c r="AD96"/>
      <c r="AE96"/>
    </row>
    <row r="97" spans="17:31" ht="12.75" customHeight="1">
      <c r="Q97" s="360"/>
      <c r="R97" s="363"/>
      <c r="S97" s="363"/>
      <c r="T97" s="363"/>
      <c r="U97" s="363"/>
      <c r="V97" s="363"/>
      <c r="W97" s="363"/>
      <c r="X97" s="363"/>
      <c r="Y97" s="363"/>
      <c r="Z97" s="364"/>
      <c r="AA97" s="367"/>
      <c r="AB97"/>
      <c r="AC97"/>
      <c r="AD97"/>
      <c r="AE97"/>
    </row>
    <row r="98" spans="17:31" ht="12.75" customHeight="1">
      <c r="Q98" s="360" t="s">
        <v>505</v>
      </c>
      <c r="R98" s="363" t="s">
        <v>514</v>
      </c>
      <c r="S98" s="363"/>
      <c r="T98" s="363"/>
      <c r="U98" s="363"/>
      <c r="V98" s="363"/>
      <c r="W98" s="363"/>
      <c r="X98" s="363"/>
      <c r="Y98" s="363"/>
      <c r="Z98" s="364"/>
      <c r="AA98" s="367"/>
      <c r="AB98"/>
      <c r="AC98"/>
      <c r="AD98"/>
      <c r="AE98"/>
    </row>
    <row r="99" spans="17:31" ht="12.75" customHeight="1">
      <c r="Q99" s="360"/>
      <c r="R99" s="363" t="s">
        <v>512</v>
      </c>
      <c r="S99" s="363"/>
      <c r="T99" s="363"/>
      <c r="U99" s="363"/>
      <c r="V99" s="363"/>
      <c r="W99" s="363"/>
      <c r="X99" s="363"/>
      <c r="Y99" s="363"/>
      <c r="Z99" s="364"/>
      <c r="AA99" s="367"/>
      <c r="AB99"/>
      <c r="AC99"/>
      <c r="AD99"/>
      <c r="AE99"/>
    </row>
    <row r="100" spans="17:31" ht="12.75" customHeight="1">
      <c r="Q100" s="360"/>
      <c r="R100" s="998" t="s">
        <v>191</v>
      </c>
      <c r="S100" s="999"/>
      <c r="T100" s="1000"/>
      <c r="U100" s="949" t="s">
        <v>500</v>
      </c>
      <c r="V100" s="938" t="s">
        <v>22</v>
      </c>
      <c r="W100" s="940" t="s">
        <v>579</v>
      </c>
      <c r="X100" s="942" t="s">
        <v>21</v>
      </c>
      <c r="Y100" s="361"/>
      <c r="Z100" s="364"/>
      <c r="AA100" s="367"/>
      <c r="AB100"/>
      <c r="AC100"/>
      <c r="AD100"/>
      <c r="AE100"/>
    </row>
    <row r="101" spans="17:31" ht="12.75" customHeight="1">
      <c r="Q101" s="360"/>
      <c r="R101" s="1001"/>
      <c r="S101" s="1002"/>
      <c r="T101" s="1003"/>
      <c r="U101" s="950"/>
      <c r="V101" s="939"/>
      <c r="W101" s="941"/>
      <c r="X101" s="943"/>
      <c r="Y101" s="361"/>
      <c r="Z101" s="364"/>
      <c r="AA101" s="367"/>
      <c r="AB101"/>
      <c r="AC101"/>
      <c r="AD101"/>
      <c r="AE101"/>
    </row>
    <row r="102" spans="17:31" ht="12.75" customHeight="1">
      <c r="Q102" s="360"/>
      <c r="R102" s="969" t="s">
        <v>63</v>
      </c>
      <c r="S102" s="969"/>
      <c r="T102" s="969"/>
      <c r="U102" s="537">
        <f>VLOOKUP(U69,'Lookup Exposure Time'!$B$12:$C$732,2)</f>
        <v>10</v>
      </c>
      <c r="V102" s="537">
        <f>VLOOKUP(V69,'Lookup Exposure Time'!$B$12:$C$732,2)</f>
        <v>2.5</v>
      </c>
      <c r="W102" s="537">
        <f>VLOOKUP(W69,'Lookup Exposure Time'!$B$12:$C$732,2)</f>
        <v>1.875</v>
      </c>
      <c r="X102" s="537">
        <f>VLOOKUP(X69,'Lookup Exposure Time'!$B$12:$C$732,2)</f>
        <v>0.39061999999999986</v>
      </c>
      <c r="Y102" s="361"/>
      <c r="Z102" s="364"/>
      <c r="AA102" s="367"/>
      <c r="AB102"/>
      <c r="AC102"/>
      <c r="AD102"/>
      <c r="AE102"/>
    </row>
    <row r="103" spans="17:31" ht="12.75" customHeight="1">
      <c r="Q103" s="360"/>
      <c r="R103" s="969" t="s">
        <v>64</v>
      </c>
      <c r="S103" s="969"/>
      <c r="T103" s="969"/>
      <c r="U103" s="537">
        <f>VLOOKUP(U70,'Lookup Exposure Time'!$B$12:$C$732,2)</f>
        <v>200</v>
      </c>
      <c r="V103" s="537">
        <f>VLOOKUP(V70,'Lookup Exposure Time'!$B$12:$C$732,2)</f>
        <v>50</v>
      </c>
      <c r="W103" s="537">
        <f>VLOOKUP(W70,'Lookup Exposure Time'!$B$12:$C$732,2)</f>
        <v>40</v>
      </c>
      <c r="X103" s="537">
        <f>VLOOKUP(X70,'Lookup Exposure Time'!$B$12:$C$732,2)</f>
        <v>7.5</v>
      </c>
      <c r="Y103" s="361"/>
      <c r="Z103" s="364"/>
      <c r="AA103" s="367"/>
      <c r="AB103"/>
      <c r="AC103"/>
      <c r="AD103"/>
      <c r="AE103"/>
    </row>
    <row r="104" spans="17:31" ht="12.75" customHeight="1">
      <c r="Q104" s="360"/>
      <c r="R104" s="364"/>
      <c r="S104" s="364"/>
      <c r="T104" s="364"/>
      <c r="U104" s="364"/>
      <c r="V104" s="364"/>
      <c r="W104" s="364"/>
      <c r="X104" s="364"/>
      <c r="Y104" s="363"/>
      <c r="Z104" s="364"/>
      <c r="AA104" s="367"/>
      <c r="AB104"/>
      <c r="AC104"/>
      <c r="AD104"/>
      <c r="AE104"/>
    </row>
    <row r="105" spans="17:31" ht="12.75" customHeight="1">
      <c r="Q105" s="360" t="s">
        <v>507</v>
      </c>
      <c r="R105" s="363" t="s">
        <v>513</v>
      </c>
      <c r="S105" s="363"/>
      <c r="T105" s="363"/>
      <c r="U105" s="363"/>
      <c r="V105" s="363"/>
      <c r="W105" s="363"/>
      <c r="X105" s="363"/>
      <c r="Y105" s="363"/>
      <c r="Z105" s="364"/>
      <c r="AA105" s="367"/>
      <c r="AB105"/>
      <c r="AC105"/>
      <c r="AD105"/>
      <c r="AE105"/>
    </row>
    <row r="106" spans="17:31" ht="12.75" customHeight="1">
      <c r="Q106" s="360"/>
      <c r="R106" s="998" t="s">
        <v>191</v>
      </c>
      <c r="S106" s="999"/>
      <c r="T106" s="1000"/>
      <c r="U106" s="949" t="s">
        <v>500</v>
      </c>
      <c r="V106" s="938" t="s">
        <v>22</v>
      </c>
      <c r="W106" s="940" t="s">
        <v>579</v>
      </c>
      <c r="X106" s="942" t="s">
        <v>21</v>
      </c>
      <c r="Y106" s="361"/>
      <c r="Z106" s="364"/>
      <c r="AA106" s="367"/>
      <c r="AB106"/>
      <c r="AC106"/>
      <c r="AD106"/>
      <c r="AE106"/>
    </row>
    <row r="107" spans="17:31" ht="12.75" customHeight="1">
      <c r="Q107" s="360"/>
      <c r="R107" s="1001"/>
      <c r="S107" s="1002"/>
      <c r="T107" s="1003"/>
      <c r="U107" s="950"/>
      <c r="V107" s="939"/>
      <c r="W107" s="941"/>
      <c r="X107" s="943"/>
      <c r="Y107" s="361"/>
      <c r="Z107" s="364"/>
      <c r="AA107" s="367"/>
      <c r="AB107"/>
      <c r="AC107"/>
      <c r="AD107"/>
      <c r="AE107"/>
    </row>
    <row r="108" spans="17:31" ht="12.75" customHeight="1">
      <c r="Q108" s="360"/>
      <c r="R108" s="969" t="s">
        <v>63</v>
      </c>
      <c r="S108" s="969"/>
      <c r="T108" s="969"/>
      <c r="U108" s="671">
        <f>VLOOKUP(U76,'Lookup Exposure Time'!$B$12:$C$732,2)</f>
        <v>2.5</v>
      </c>
      <c r="V108" s="671">
        <f>VLOOKUP(V76,'Lookup Exposure Time'!$B$12:$C$732,2)</f>
        <v>0.625</v>
      </c>
      <c r="W108" s="671">
        <f>VLOOKUP(W76,'Lookup Exposure Time'!$B$12:$C$732,2)</f>
        <v>0.46875</v>
      </c>
      <c r="X108" s="671">
        <f>VLOOKUP(X76,'Lookup Exposure Time'!$B$12:$C$732,2)</f>
        <v>9.765625E-2</v>
      </c>
      <c r="Y108" s="361"/>
      <c r="Z108" s="364"/>
      <c r="AA108" s="367"/>
      <c r="AB108"/>
      <c r="AC108"/>
      <c r="AD108"/>
      <c r="AE108"/>
    </row>
    <row r="109" spans="17:31" ht="12.75" customHeight="1">
      <c r="Q109" s="360"/>
      <c r="R109" s="969" t="s">
        <v>64</v>
      </c>
      <c r="S109" s="969"/>
      <c r="T109" s="969"/>
      <c r="U109" s="557">
        <f>VLOOKUP(U77,'Lookup Exposure Time'!$B$12:$C$732,2)</f>
        <v>50</v>
      </c>
      <c r="V109" s="557">
        <f>VLOOKUP(V77,'Lookup Exposure Time'!$B$12:$C$732,2)</f>
        <v>12.5</v>
      </c>
      <c r="W109" s="557">
        <f>VLOOKUP(W77,'Lookup Exposure Time'!$B$12:$C$732,2)</f>
        <v>10</v>
      </c>
      <c r="X109" s="557">
        <f>VLOOKUP(X77,'Lookup Exposure Time'!$B$12:$C$732,2)</f>
        <v>1.875</v>
      </c>
      <c r="Y109" s="361"/>
      <c r="Z109" s="364"/>
      <c r="AA109" s="367"/>
      <c r="AB109"/>
      <c r="AC109"/>
      <c r="AD109"/>
      <c r="AE109"/>
    </row>
    <row r="110" spans="17:31" ht="12.75" customHeight="1">
      <c r="Q110" s="360"/>
      <c r="R110" s="363"/>
      <c r="S110" s="363"/>
      <c r="T110" s="363"/>
      <c r="U110" s="363"/>
      <c r="V110" s="363"/>
      <c r="W110" s="363"/>
      <c r="X110" s="363"/>
      <c r="Y110" s="363"/>
      <c r="Z110" s="364"/>
      <c r="AA110" s="367"/>
      <c r="AB110"/>
      <c r="AC110"/>
      <c r="AD110"/>
      <c r="AE110"/>
    </row>
    <row r="111" spans="17:31" ht="12.75" customHeight="1">
      <c r="Q111" s="360" t="s">
        <v>508</v>
      </c>
      <c r="R111" s="363" t="s">
        <v>531</v>
      </c>
      <c r="S111" s="363"/>
      <c r="T111" s="363"/>
      <c r="U111" s="363"/>
      <c r="V111" s="363"/>
      <c r="W111" s="363"/>
      <c r="X111" s="363"/>
      <c r="Y111" s="363"/>
      <c r="Z111" s="364"/>
      <c r="AA111" s="367"/>
      <c r="AB111"/>
      <c r="AC111"/>
      <c r="AD111"/>
      <c r="AE111"/>
    </row>
    <row r="112" spans="17:31" ht="12.75" customHeight="1">
      <c r="Q112" s="360"/>
      <c r="R112" s="998" t="s">
        <v>191</v>
      </c>
      <c r="S112" s="999"/>
      <c r="T112" s="1000"/>
      <c r="U112" s="949" t="s">
        <v>500</v>
      </c>
      <c r="V112" s="938" t="s">
        <v>22</v>
      </c>
      <c r="W112" s="940" t="s">
        <v>579</v>
      </c>
      <c r="X112" s="942" t="s">
        <v>21</v>
      </c>
      <c r="Y112" s="361"/>
      <c r="Z112" s="364"/>
      <c r="AA112" s="367"/>
      <c r="AB112"/>
      <c r="AC112"/>
      <c r="AD112"/>
      <c r="AE112"/>
    </row>
    <row r="113" spans="17:31" ht="12.75" customHeight="1">
      <c r="Q113" s="360"/>
      <c r="R113" s="1001"/>
      <c r="S113" s="1002"/>
      <c r="T113" s="1003"/>
      <c r="U113" s="950"/>
      <c r="V113" s="939"/>
      <c r="W113" s="941"/>
      <c r="X113" s="943"/>
      <c r="Y113" s="361"/>
      <c r="Z113" s="364"/>
      <c r="AA113" s="367"/>
      <c r="AB113"/>
      <c r="AC113"/>
      <c r="AD113"/>
      <c r="AE113"/>
    </row>
    <row r="114" spans="17:31" ht="12.75" customHeight="1">
      <c r="Q114" s="360"/>
      <c r="R114" s="969" t="s">
        <v>63</v>
      </c>
      <c r="S114" s="969"/>
      <c r="T114" s="969"/>
      <c r="U114" s="537">
        <f t="shared" ref="U114:X115" si="0">U102/60</f>
        <v>0.16666666666666666</v>
      </c>
      <c r="V114" s="537">
        <f t="shared" si="0"/>
        <v>4.1666666666666664E-2</v>
      </c>
      <c r="W114" s="537">
        <f t="shared" si="0"/>
        <v>3.125E-2</v>
      </c>
      <c r="X114" s="537">
        <f t="shared" si="0"/>
        <v>6.5103333333333306E-3</v>
      </c>
      <c r="Y114" s="361"/>
      <c r="Z114" s="364"/>
      <c r="AA114" s="367"/>
      <c r="AB114"/>
      <c r="AC114"/>
      <c r="AD114"/>
      <c r="AE114"/>
    </row>
    <row r="115" spans="17:31" ht="12.75" customHeight="1">
      <c r="Q115" s="360"/>
      <c r="R115" s="969" t="s">
        <v>64</v>
      </c>
      <c r="S115" s="969"/>
      <c r="T115" s="969"/>
      <c r="U115" s="537">
        <f t="shared" si="0"/>
        <v>3.3333333333333335</v>
      </c>
      <c r="V115" s="537">
        <f t="shared" si="0"/>
        <v>0.83333333333333337</v>
      </c>
      <c r="W115" s="537">
        <f t="shared" si="0"/>
        <v>0.66666666666666663</v>
      </c>
      <c r="X115" s="537">
        <f t="shared" si="0"/>
        <v>0.125</v>
      </c>
      <c r="Y115" s="361"/>
      <c r="Z115" s="364"/>
      <c r="AA115" s="367"/>
      <c r="AB115"/>
      <c r="AC115"/>
      <c r="AD115"/>
      <c r="AE115"/>
    </row>
    <row r="116" spans="17:31" ht="12.75" customHeight="1">
      <c r="Q116" s="360"/>
      <c r="R116" s="364"/>
      <c r="S116" s="364"/>
      <c r="T116" s="364"/>
      <c r="U116" s="364"/>
      <c r="V116" s="364"/>
      <c r="W116" s="364"/>
      <c r="X116" s="364"/>
      <c r="Y116" s="363"/>
      <c r="Z116" s="364"/>
      <c r="AA116" s="367"/>
      <c r="AB116"/>
      <c r="AC116"/>
      <c r="AD116"/>
      <c r="AE116"/>
    </row>
    <row r="117" spans="17:31" ht="12.75" customHeight="1">
      <c r="Q117" s="360" t="s">
        <v>506</v>
      </c>
      <c r="R117" s="363" t="s">
        <v>532</v>
      </c>
      <c r="S117" s="363"/>
      <c r="T117" s="363"/>
      <c r="U117" s="363"/>
      <c r="V117" s="363"/>
      <c r="W117" s="363"/>
      <c r="X117" s="363"/>
      <c r="Y117" s="363"/>
      <c r="Z117" s="364"/>
      <c r="AA117" s="367"/>
      <c r="AB117"/>
      <c r="AC117"/>
      <c r="AD117"/>
      <c r="AE117"/>
    </row>
    <row r="118" spans="17:31" ht="12.75" customHeight="1">
      <c r="Q118" s="360"/>
      <c r="R118" s="998" t="s">
        <v>191</v>
      </c>
      <c r="S118" s="999"/>
      <c r="T118" s="1000"/>
      <c r="U118" s="949" t="s">
        <v>500</v>
      </c>
      <c r="V118" s="938" t="s">
        <v>22</v>
      </c>
      <c r="W118" s="940" t="s">
        <v>579</v>
      </c>
      <c r="X118" s="942" t="s">
        <v>21</v>
      </c>
      <c r="Y118" s="361"/>
      <c r="Z118" s="364"/>
      <c r="AA118" s="367"/>
      <c r="AB118"/>
      <c r="AC118"/>
      <c r="AD118"/>
      <c r="AE118"/>
    </row>
    <row r="119" spans="17:31" ht="12.75" customHeight="1">
      <c r="Q119" s="360"/>
      <c r="R119" s="1001"/>
      <c r="S119" s="1002"/>
      <c r="T119" s="1003"/>
      <c r="U119" s="950"/>
      <c r="V119" s="939"/>
      <c r="W119" s="941"/>
      <c r="X119" s="943"/>
      <c r="Y119" s="361"/>
      <c r="Z119" s="364"/>
      <c r="AA119" s="367"/>
      <c r="AB119"/>
      <c r="AC119"/>
      <c r="AD119"/>
      <c r="AE119"/>
    </row>
    <row r="120" spans="17:31" ht="12.75" customHeight="1">
      <c r="Q120" s="360"/>
      <c r="R120" s="969" t="s">
        <v>63</v>
      </c>
      <c r="S120" s="969"/>
      <c r="T120" s="969"/>
      <c r="U120" s="537">
        <f t="shared" ref="U120:X121" si="1">U108/60</f>
        <v>4.1666666666666664E-2</v>
      </c>
      <c r="V120" s="537">
        <f t="shared" si="1"/>
        <v>1.0416666666666666E-2</v>
      </c>
      <c r="W120" s="537">
        <f t="shared" si="1"/>
        <v>7.8125E-3</v>
      </c>
      <c r="X120" s="537">
        <f t="shared" si="1"/>
        <v>1.6276041666666667E-3</v>
      </c>
      <c r="Y120" s="361"/>
      <c r="Z120" s="364"/>
      <c r="AA120" s="367"/>
      <c r="AB120"/>
      <c r="AC120"/>
      <c r="AD120"/>
      <c r="AE120"/>
    </row>
    <row r="121" spans="17:31" ht="12.75" customHeight="1">
      <c r="Q121" s="360"/>
      <c r="R121" s="969" t="s">
        <v>64</v>
      </c>
      <c r="S121" s="969"/>
      <c r="T121" s="969"/>
      <c r="U121" s="537">
        <f t="shared" si="1"/>
        <v>0.83333333333333337</v>
      </c>
      <c r="V121" s="537">
        <f t="shared" si="1"/>
        <v>0.20833333333333334</v>
      </c>
      <c r="W121" s="537">
        <f t="shared" si="1"/>
        <v>0.16666666666666666</v>
      </c>
      <c r="X121" s="537">
        <f t="shared" si="1"/>
        <v>3.125E-2</v>
      </c>
      <c r="Y121" s="361"/>
      <c r="Z121" s="364"/>
      <c r="AA121" s="367"/>
      <c r="AB121"/>
      <c r="AC121"/>
      <c r="AD121"/>
      <c r="AE121"/>
    </row>
    <row r="122" spans="17:31" ht="12.75" customHeight="1">
      <c r="Q122" s="360"/>
      <c r="R122" s="363"/>
      <c r="S122" s="363"/>
      <c r="T122" s="363"/>
      <c r="U122" s="363"/>
      <c r="V122" s="363"/>
      <c r="W122" s="363"/>
      <c r="X122" s="363"/>
      <c r="Y122" s="363"/>
      <c r="Z122" s="364"/>
      <c r="AA122" s="367"/>
      <c r="AB122"/>
      <c r="AC122"/>
      <c r="AD122"/>
      <c r="AE122"/>
    </row>
    <row r="123" spans="17:31" ht="12.75" customHeight="1">
      <c r="Q123" s="546" t="s">
        <v>231</v>
      </c>
      <c r="R123" s="952" t="s">
        <v>232</v>
      </c>
      <c r="S123" s="952"/>
      <c r="T123" s="952"/>
      <c r="U123" s="952"/>
      <c r="V123" s="952"/>
      <c r="W123" s="952"/>
      <c r="X123" s="952"/>
      <c r="Y123" s="952"/>
      <c r="Z123" s="360"/>
      <c r="AA123" s="367"/>
      <c r="AB123"/>
      <c r="AC123"/>
      <c r="AD123"/>
      <c r="AE123"/>
    </row>
    <row r="124" spans="17:31" ht="12.75" customHeight="1">
      <c r="Q124" s="546"/>
      <c r="R124" s="360"/>
      <c r="S124" s="360"/>
      <c r="T124" s="360"/>
      <c r="U124" s="360"/>
      <c r="V124" s="360"/>
      <c r="W124" s="360"/>
      <c r="X124" s="360"/>
      <c r="Y124" s="360"/>
      <c r="Z124" s="360"/>
      <c r="AA124" s="367"/>
      <c r="AB124"/>
      <c r="AC124"/>
      <c r="AD124"/>
      <c r="AE124"/>
    </row>
    <row r="125" spans="17:31" ht="12.75" customHeight="1">
      <c r="Q125" s="546"/>
      <c r="R125" s="363" t="s">
        <v>233</v>
      </c>
      <c r="S125" s="363"/>
      <c r="T125" s="363"/>
      <c r="U125" s="363"/>
      <c r="V125" s="363"/>
      <c r="W125" s="363"/>
      <c r="X125" s="363"/>
      <c r="Y125" s="363"/>
      <c r="Z125" s="364"/>
      <c r="AA125" s="367"/>
      <c r="AB125"/>
      <c r="AC125"/>
      <c r="AD125"/>
      <c r="AE125"/>
    </row>
    <row r="126" spans="17:31" ht="12.75" customHeight="1">
      <c r="Q126" s="360"/>
      <c r="R126" s="998" t="s">
        <v>678</v>
      </c>
      <c r="S126" s="999"/>
      <c r="T126" s="1000"/>
      <c r="U126" s="949" t="s">
        <v>470</v>
      </c>
      <c r="V126" s="938" t="s">
        <v>22</v>
      </c>
      <c r="W126" s="940" t="s">
        <v>579</v>
      </c>
      <c r="X126" s="942" t="s">
        <v>21</v>
      </c>
      <c r="Y126" s="361"/>
      <c r="Z126" s="364"/>
      <c r="AA126" s="367"/>
      <c r="AB126"/>
      <c r="AC126"/>
      <c r="AD126"/>
      <c r="AE126"/>
    </row>
    <row r="127" spans="17:31" ht="12.75" customHeight="1">
      <c r="Q127" s="360"/>
      <c r="R127" s="1001"/>
      <c r="S127" s="1002"/>
      <c r="T127" s="1003"/>
      <c r="U127" s="950"/>
      <c r="V127" s="939"/>
      <c r="W127" s="941"/>
      <c r="X127" s="943"/>
      <c r="Y127" s="361"/>
      <c r="Z127" s="364"/>
      <c r="AA127" s="367"/>
      <c r="AB127"/>
      <c r="AC127"/>
      <c r="AD127"/>
      <c r="AE127"/>
    </row>
    <row r="128" spans="17:31" ht="12.75" customHeight="1">
      <c r="Q128" s="360"/>
      <c r="R128" s="969" t="s">
        <v>234</v>
      </c>
      <c r="S128" s="969"/>
      <c r="T128" s="969"/>
      <c r="U128" s="672">
        <v>8.3000000000000007</v>
      </c>
      <c r="V128" s="672">
        <f>VLOOKUP($V$5,'Lookup Vibration'!$B$8:$F$208,3)</f>
        <v>18.049999999999951</v>
      </c>
      <c r="W128" s="672">
        <f>VLOOKUP($V$5,'Lookup Vibration'!$B$8:$F$208,4)</f>
        <v>19.950000000000074</v>
      </c>
      <c r="X128" s="672">
        <f>VLOOKUP($V$5,'Lookup Vibration'!$B$8:$F$208,2)</f>
        <v>18.049999999999951</v>
      </c>
      <c r="Y128" s="361"/>
      <c r="Z128" s="364"/>
      <c r="AA128" s="367"/>
      <c r="AB128"/>
      <c r="AC128"/>
      <c r="AD128"/>
      <c r="AE128"/>
    </row>
    <row r="129" spans="17:31" ht="12.75" customHeight="1">
      <c r="Q129" s="360"/>
      <c r="R129" s="363"/>
      <c r="S129" s="363"/>
      <c r="T129" s="363"/>
      <c r="U129" s="363"/>
      <c r="V129" s="363"/>
      <c r="W129" s="363"/>
      <c r="X129" s="363"/>
      <c r="Y129" s="363"/>
      <c r="Z129" s="364"/>
      <c r="AA129" s="367"/>
      <c r="AB129"/>
      <c r="AC129"/>
      <c r="AD129"/>
      <c r="AE129"/>
    </row>
    <row r="130" spans="17:31" ht="12.75" customHeight="1">
      <c r="Q130" s="546" t="s">
        <v>235</v>
      </c>
      <c r="R130" s="952" t="s">
        <v>34</v>
      </c>
      <c r="S130" s="952"/>
      <c r="T130" s="952"/>
      <c r="U130" s="952"/>
      <c r="V130" s="952"/>
      <c r="W130" s="952"/>
      <c r="X130" s="952"/>
      <c r="Y130" s="952"/>
      <c r="Z130" s="360"/>
      <c r="AA130" s="367"/>
      <c r="AB130"/>
      <c r="AC130"/>
      <c r="AD130"/>
      <c r="AE130"/>
    </row>
    <row r="131" spans="17:31" ht="12.75" customHeight="1">
      <c r="Q131" s="546"/>
      <c r="R131" s="363"/>
      <c r="S131" s="363"/>
      <c r="T131" s="363"/>
      <c r="U131" s="363"/>
      <c r="V131" s="363"/>
      <c r="W131" s="363"/>
      <c r="X131" s="363"/>
      <c r="Y131" s="363"/>
      <c r="Z131" s="364"/>
      <c r="AA131" s="367"/>
      <c r="AB131"/>
      <c r="AC131"/>
      <c r="AD131"/>
      <c r="AE131"/>
    </row>
    <row r="132" spans="17:31" ht="12.75" customHeight="1">
      <c r="Q132" s="360"/>
      <c r="R132" s="998" t="s">
        <v>678</v>
      </c>
      <c r="S132" s="999"/>
      <c r="T132" s="1000"/>
      <c r="U132" s="949" t="s">
        <v>500</v>
      </c>
      <c r="V132" s="938" t="s">
        <v>22</v>
      </c>
      <c r="W132" s="940" t="s">
        <v>579</v>
      </c>
      <c r="X132" s="942" t="s">
        <v>21</v>
      </c>
      <c r="Y132" s="361"/>
      <c r="Z132" s="364"/>
      <c r="AA132" s="367"/>
      <c r="AB132"/>
      <c r="AC132"/>
      <c r="AD132"/>
      <c r="AE132"/>
    </row>
    <row r="133" spans="17:31" ht="12.75" customHeight="1">
      <c r="Q133" s="360"/>
      <c r="R133" s="1001"/>
      <c r="S133" s="1002"/>
      <c r="T133" s="1003"/>
      <c r="U133" s="950"/>
      <c r="V133" s="939"/>
      <c r="W133" s="941"/>
      <c r="X133" s="943"/>
      <c r="Y133" s="361"/>
      <c r="Z133" s="364"/>
      <c r="AA133" s="367"/>
      <c r="AB133"/>
      <c r="AC133"/>
      <c r="AD133"/>
      <c r="AE133"/>
    </row>
    <row r="134" spans="17:31" ht="12.75" customHeight="1">
      <c r="Q134" s="360"/>
      <c r="R134" s="1004" t="s">
        <v>298</v>
      </c>
      <c r="S134" s="1004"/>
      <c r="T134" s="1004"/>
      <c r="U134" s="673" t="s">
        <v>819</v>
      </c>
      <c r="V134" s="673" t="s">
        <v>818</v>
      </c>
      <c r="W134" s="673" t="s">
        <v>819</v>
      </c>
      <c r="X134" s="673" t="s">
        <v>818</v>
      </c>
      <c r="Y134" s="361"/>
      <c r="Z134" s="364"/>
      <c r="AA134" s="367"/>
      <c r="AB134"/>
      <c r="AC134"/>
      <c r="AD134"/>
      <c r="AE134"/>
    </row>
    <row r="135" spans="17:31" ht="12.75" customHeight="1">
      <c r="Q135" s="360"/>
      <c r="R135" s="931" t="s">
        <v>299</v>
      </c>
      <c r="S135" s="931"/>
      <c r="T135" s="931"/>
      <c r="U135" s="673" t="s">
        <v>297</v>
      </c>
      <c r="V135" s="673" t="s">
        <v>296</v>
      </c>
      <c r="W135" s="673" t="s">
        <v>296</v>
      </c>
      <c r="X135" s="673" t="s">
        <v>296</v>
      </c>
      <c r="Y135" s="361"/>
      <c r="Z135" s="364"/>
      <c r="AA135" s="367"/>
      <c r="AB135"/>
      <c r="AC135"/>
      <c r="AD135"/>
      <c r="AE135"/>
    </row>
    <row r="136" spans="17:31" ht="12.75" customHeight="1">
      <c r="Q136" s="360"/>
      <c r="R136" s="363"/>
      <c r="S136" s="363"/>
      <c r="T136" s="363"/>
      <c r="U136" s="363"/>
      <c r="V136" s="363"/>
      <c r="W136" s="363"/>
      <c r="X136" s="363"/>
      <c r="Y136" s="363"/>
      <c r="Z136" s="363"/>
      <c r="AA136" s="367"/>
      <c r="AB136"/>
      <c r="AC136"/>
      <c r="AD136"/>
      <c r="AE136"/>
    </row>
    <row r="137" spans="17:31" ht="12.75" customHeight="1">
      <c r="Q137" s="546" t="s">
        <v>236</v>
      </c>
      <c r="R137" s="952" t="s">
        <v>237</v>
      </c>
      <c r="S137" s="952"/>
      <c r="T137" s="952"/>
      <c r="U137" s="952"/>
      <c r="V137" s="952"/>
      <c r="W137" s="952"/>
      <c r="X137" s="952"/>
      <c r="Y137" s="952"/>
      <c r="Z137" s="360"/>
      <c r="AA137" s="367"/>
      <c r="AB137"/>
      <c r="AC137"/>
      <c r="AD137"/>
      <c r="AE137"/>
    </row>
    <row r="138" spans="17:31" ht="12.75" customHeight="1">
      <c r="Q138" s="360"/>
      <c r="R138" s="363"/>
      <c r="S138" s="363"/>
      <c r="T138" s="363"/>
      <c r="U138" s="363"/>
      <c r="V138" s="363"/>
      <c r="W138" s="363"/>
      <c r="X138" s="363"/>
      <c r="Y138" s="363"/>
      <c r="Z138" s="363"/>
      <c r="AA138" s="367"/>
      <c r="AB138"/>
      <c r="AC138"/>
      <c r="AD138"/>
      <c r="AE138"/>
    </row>
    <row r="139" spans="17:31" ht="12.75" customHeight="1">
      <c r="Q139" s="668" t="s">
        <v>238</v>
      </c>
      <c r="R139" s="364" t="s">
        <v>239</v>
      </c>
      <c r="S139" s="364"/>
      <c r="T139" s="364"/>
      <c r="U139" s="364"/>
      <c r="V139" s="364"/>
      <c r="W139" s="364"/>
      <c r="X139" s="364"/>
      <c r="Y139" s="364"/>
      <c r="Z139" s="364"/>
      <c r="AA139" s="367"/>
      <c r="AB139"/>
      <c r="AC139"/>
      <c r="AD139"/>
      <c r="AE139"/>
    </row>
    <row r="140" spans="17:31" ht="12.75" customHeight="1">
      <c r="Q140" s="668"/>
      <c r="R140" s="364" t="s">
        <v>469</v>
      </c>
      <c r="S140" s="364"/>
      <c r="T140" s="364"/>
      <c r="U140" s="364"/>
      <c r="V140" s="364"/>
      <c r="W140" s="364"/>
      <c r="X140" s="364"/>
      <c r="Y140" s="364"/>
      <c r="Z140" s="364"/>
      <c r="AA140" s="367"/>
      <c r="AB140"/>
      <c r="AC140"/>
      <c r="AD140"/>
      <c r="AE140"/>
    </row>
    <row r="141" spans="17:31" ht="12.75" customHeight="1">
      <c r="Q141" s="668"/>
      <c r="R141" s="364"/>
      <c r="S141" s="364"/>
      <c r="T141" s="364"/>
      <c r="U141" s="364"/>
      <c r="V141" s="364"/>
      <c r="W141" s="364"/>
      <c r="X141" s="364"/>
      <c r="Y141" s="364"/>
      <c r="Z141" s="364"/>
      <c r="AA141" s="367"/>
      <c r="AB141"/>
      <c r="AC141"/>
      <c r="AD141"/>
      <c r="AE141"/>
    </row>
    <row r="142" spans="17:31" ht="12.75" customHeight="1">
      <c r="Q142" s="668"/>
      <c r="R142" s="1005" t="s">
        <v>734</v>
      </c>
      <c r="S142" s="1006"/>
      <c r="T142" s="1006"/>
      <c r="U142" s="1006"/>
      <c r="V142" s="1006"/>
      <c r="W142" s="1007"/>
      <c r="X142" s="351">
        <f>'Compressor Input Data'!G5</f>
        <v>22800</v>
      </c>
      <c r="Y142" s="364"/>
      <c r="Z142" s="364"/>
      <c r="AA142" s="367"/>
      <c r="AB142"/>
      <c r="AC142"/>
      <c r="AD142"/>
      <c r="AE142"/>
    </row>
    <row r="143" spans="17:31" ht="12.75" customHeight="1">
      <c r="Q143" s="668"/>
      <c r="R143" s="990" t="s">
        <v>430</v>
      </c>
      <c r="S143" s="991"/>
      <c r="T143" s="992"/>
      <c r="U143" s="949" t="s">
        <v>500</v>
      </c>
      <c r="V143" s="938" t="s">
        <v>22</v>
      </c>
      <c r="W143" s="940" t="s">
        <v>579</v>
      </c>
      <c r="X143" s="942" t="s">
        <v>21</v>
      </c>
      <c r="Y143" s="361"/>
      <c r="Z143" s="364"/>
      <c r="AA143" s="367"/>
      <c r="AB143"/>
      <c r="AC143"/>
      <c r="AD143"/>
      <c r="AE143"/>
    </row>
    <row r="144" spans="17:31" ht="12.75" customHeight="1">
      <c r="Q144" s="668"/>
      <c r="R144" s="993"/>
      <c r="S144" s="994"/>
      <c r="T144" s="995"/>
      <c r="U144" s="950"/>
      <c r="V144" s="939"/>
      <c r="W144" s="941"/>
      <c r="X144" s="943"/>
      <c r="Y144" s="361"/>
      <c r="Z144" s="364"/>
      <c r="AA144" s="367"/>
      <c r="AB144"/>
      <c r="AC144"/>
      <c r="AD144"/>
      <c r="AE144"/>
    </row>
    <row r="145" spans="17:31" ht="12.75" customHeight="1">
      <c r="Q145" s="668"/>
      <c r="R145" s="973" t="s">
        <v>555</v>
      </c>
      <c r="S145" s="973"/>
      <c r="T145" s="973"/>
      <c r="U145" s="996"/>
      <c r="V145" s="544">
        <f>X145</f>
        <v>22800</v>
      </c>
      <c r="W145" s="544">
        <f>X145</f>
        <v>22800</v>
      </c>
      <c r="X145" s="544">
        <f>X142</f>
        <v>22800</v>
      </c>
      <c r="Y145" s="361"/>
      <c r="Z145" s="364"/>
      <c r="AA145" s="367"/>
      <c r="AB145"/>
      <c r="AC145"/>
      <c r="AD145"/>
      <c r="AE145"/>
    </row>
    <row r="146" spans="17:31" ht="12.75" customHeight="1">
      <c r="Q146" s="668"/>
      <c r="R146" s="973" t="s">
        <v>549</v>
      </c>
      <c r="S146" s="973"/>
      <c r="T146" s="973"/>
      <c r="U146" s="997"/>
      <c r="V146" s="544">
        <f>X146</f>
        <v>24</v>
      </c>
      <c r="W146" s="544">
        <f>V146</f>
        <v>24</v>
      </c>
      <c r="X146" s="544">
        <f>'Compressor Input Data'!J15</f>
        <v>24</v>
      </c>
      <c r="Y146" s="361"/>
      <c r="Z146" s="364"/>
      <c r="AA146" s="367"/>
      <c r="AB146"/>
      <c r="AC146"/>
      <c r="AD146"/>
      <c r="AE146"/>
    </row>
    <row r="147" spans="17:31" ht="12.75" customHeight="1">
      <c r="Q147" s="668"/>
      <c r="R147" s="970" t="s">
        <v>556</v>
      </c>
      <c r="S147" s="971"/>
      <c r="T147" s="972"/>
      <c r="U147" s="566">
        <f>U62</f>
        <v>2.6666666666666665</v>
      </c>
      <c r="V147" s="566">
        <f>V62</f>
        <v>1.9999999999999996</v>
      </c>
      <c r="W147" s="566">
        <f>W62</f>
        <v>1.7391304347826084</v>
      </c>
      <c r="X147" s="566">
        <f>X62</f>
        <v>1.4285714285714284</v>
      </c>
      <c r="Y147" s="361"/>
      <c r="Z147" s="364"/>
      <c r="AA147" s="367"/>
      <c r="AB147"/>
      <c r="AC147"/>
      <c r="AD147"/>
      <c r="AE147"/>
    </row>
    <row r="148" spans="17:31" ht="12.75" customHeight="1">
      <c r="Q148" s="668"/>
      <c r="R148" s="973" t="s">
        <v>575</v>
      </c>
      <c r="S148" s="973"/>
      <c r="T148" s="973"/>
      <c r="U148" s="531">
        <f>W148</f>
        <v>0.22500000000000001</v>
      </c>
      <c r="V148" s="531">
        <f>X148</f>
        <v>0.22500000000000001</v>
      </c>
      <c r="W148" s="531">
        <f>V148</f>
        <v>0.22500000000000001</v>
      </c>
      <c r="X148" s="531">
        <f>'Compressor Input Data'!J17</f>
        <v>0.22500000000000001</v>
      </c>
      <c r="Y148" s="361"/>
      <c r="Z148" s="364"/>
      <c r="AA148" s="367"/>
      <c r="AB148"/>
      <c r="AC148"/>
      <c r="AD148"/>
      <c r="AE148"/>
    </row>
    <row r="149" spans="17:31" ht="12.75" customHeight="1">
      <c r="Q149" s="668"/>
      <c r="R149" s="987"/>
      <c r="S149" s="988"/>
      <c r="T149" s="988"/>
      <c r="U149" s="988"/>
      <c r="V149" s="988"/>
      <c r="W149" s="988"/>
      <c r="X149" s="989"/>
      <c r="Y149" s="364"/>
      <c r="Z149" s="364"/>
      <c r="AA149" s="367"/>
      <c r="AB149"/>
      <c r="AC149"/>
      <c r="AD149"/>
      <c r="AE149"/>
    </row>
    <row r="150" spans="17:31" ht="12.75" customHeight="1">
      <c r="Q150" s="668"/>
      <c r="R150" s="990" t="s">
        <v>467</v>
      </c>
      <c r="S150" s="991"/>
      <c r="T150" s="992"/>
      <c r="U150" s="949" t="s">
        <v>500</v>
      </c>
      <c r="V150" s="938" t="s">
        <v>22</v>
      </c>
      <c r="W150" s="940" t="s">
        <v>579</v>
      </c>
      <c r="X150" s="942" t="s">
        <v>21</v>
      </c>
      <c r="Y150" s="361"/>
      <c r="Z150" s="364"/>
      <c r="AA150" s="367"/>
      <c r="AB150"/>
      <c r="AC150"/>
      <c r="AD150"/>
      <c r="AE150"/>
    </row>
    <row r="151" spans="17:31" ht="12.75" customHeight="1">
      <c r="Q151" s="668"/>
      <c r="R151" s="993"/>
      <c r="S151" s="994"/>
      <c r="T151" s="995"/>
      <c r="U151" s="950"/>
      <c r="V151" s="939"/>
      <c r="W151" s="941"/>
      <c r="X151" s="943"/>
      <c r="Y151" s="361"/>
      <c r="Z151" s="364"/>
      <c r="AA151" s="367"/>
      <c r="AB151"/>
      <c r="AC151"/>
      <c r="AD151"/>
      <c r="AE151"/>
    </row>
    <row r="152" spans="17:31" ht="12.75" customHeight="1">
      <c r="Q152" s="668"/>
      <c r="R152" s="973" t="s">
        <v>554</v>
      </c>
      <c r="S152" s="973"/>
      <c r="T152" s="973"/>
      <c r="U152" s="986"/>
      <c r="V152" s="569">
        <f>X152</f>
        <v>1</v>
      </c>
      <c r="W152" s="570">
        <f>V152</f>
        <v>1</v>
      </c>
      <c r="X152" s="570">
        <f>'Compressor Input Data'!J20</f>
        <v>1</v>
      </c>
      <c r="Y152" s="361"/>
      <c r="Z152" s="364"/>
      <c r="AA152" s="367"/>
      <c r="AB152"/>
      <c r="AC152"/>
      <c r="AD152"/>
      <c r="AE152"/>
    </row>
    <row r="153" spans="17:31" ht="12.75" customHeight="1">
      <c r="Q153" s="668"/>
      <c r="R153" s="983" t="s">
        <v>551</v>
      </c>
      <c r="S153" s="984"/>
      <c r="T153" s="985"/>
      <c r="U153" s="986"/>
      <c r="V153" s="571">
        <f>V147/V146</f>
        <v>8.3333333333333315E-2</v>
      </c>
      <c r="W153" s="571">
        <f>W147/W146</f>
        <v>7.2463768115942018E-2</v>
      </c>
      <c r="X153" s="571">
        <f>X147/X146</f>
        <v>5.9523809523809514E-2</v>
      </c>
      <c r="Y153" s="361"/>
      <c r="Z153" s="364"/>
      <c r="AA153" s="367"/>
      <c r="AB153"/>
      <c r="AC153"/>
      <c r="AD153"/>
      <c r="AE153"/>
    </row>
    <row r="154" spans="17:31" ht="12.75" customHeight="1">
      <c r="Q154" s="668"/>
      <c r="R154" s="973" t="s">
        <v>552</v>
      </c>
      <c r="S154" s="973"/>
      <c r="T154" s="973"/>
      <c r="U154" s="986"/>
      <c r="V154" s="572">
        <f>X154</f>
        <v>0.6</v>
      </c>
      <c r="W154" s="572">
        <f>V154</f>
        <v>0.6</v>
      </c>
      <c r="X154" s="572">
        <f>'Compressor Input Data'!J22</f>
        <v>0.6</v>
      </c>
      <c r="Y154" s="361"/>
      <c r="Z154" s="364"/>
      <c r="AA154" s="367"/>
      <c r="AB154"/>
      <c r="AC154"/>
      <c r="AD154"/>
      <c r="AE154"/>
    </row>
    <row r="155" spans="17:31" ht="12.75" customHeight="1">
      <c r="Q155" s="668"/>
      <c r="R155" s="987"/>
      <c r="S155" s="988"/>
      <c r="T155" s="988"/>
      <c r="U155" s="988"/>
      <c r="V155" s="988"/>
      <c r="W155" s="988"/>
      <c r="X155" s="989"/>
      <c r="Y155" s="364"/>
      <c r="Z155" s="364"/>
      <c r="AA155" s="367"/>
      <c r="AB155"/>
      <c r="AC155"/>
      <c r="AD155"/>
      <c r="AE155"/>
    </row>
    <row r="156" spans="17:31" ht="12.75" customHeight="1">
      <c r="Q156" s="668"/>
      <c r="R156" s="990" t="s">
        <v>468</v>
      </c>
      <c r="S156" s="991"/>
      <c r="T156" s="992"/>
      <c r="U156" s="949" t="s">
        <v>500</v>
      </c>
      <c r="V156" s="938" t="s">
        <v>22</v>
      </c>
      <c r="W156" s="940" t="s">
        <v>579</v>
      </c>
      <c r="X156" s="942" t="s">
        <v>21</v>
      </c>
      <c r="Y156" s="361"/>
      <c r="Z156" s="364"/>
      <c r="AA156" s="367"/>
      <c r="AB156"/>
      <c r="AC156"/>
      <c r="AD156"/>
      <c r="AE156"/>
    </row>
    <row r="157" spans="17:31" ht="12.75" customHeight="1">
      <c r="Q157" s="668"/>
      <c r="R157" s="993"/>
      <c r="S157" s="994"/>
      <c r="T157" s="995"/>
      <c r="U157" s="950"/>
      <c r="V157" s="939"/>
      <c r="W157" s="941"/>
      <c r="X157" s="943"/>
      <c r="Y157" s="361"/>
      <c r="Z157" s="364"/>
      <c r="AA157" s="367"/>
      <c r="AB157"/>
      <c r="AC157"/>
      <c r="AD157"/>
      <c r="AE157"/>
    </row>
    <row r="158" spans="17:31" ht="12.75" customHeight="1">
      <c r="Q158" s="668"/>
      <c r="R158" s="973" t="s">
        <v>554</v>
      </c>
      <c r="S158" s="973"/>
      <c r="T158" s="973"/>
      <c r="U158" s="980"/>
      <c r="V158" s="572">
        <f>X158</f>
        <v>0.5</v>
      </c>
      <c r="W158" s="572">
        <f>V158</f>
        <v>0.5</v>
      </c>
      <c r="X158" s="572">
        <f>'Compressor Input Data'!J25</f>
        <v>0.5</v>
      </c>
      <c r="Y158" s="361"/>
      <c r="Z158" s="364"/>
      <c r="AA158" s="367"/>
      <c r="AB158"/>
      <c r="AC158"/>
      <c r="AD158"/>
      <c r="AE158"/>
    </row>
    <row r="159" spans="17:31" ht="12.75" customHeight="1">
      <c r="Q159" s="668"/>
      <c r="R159" s="983" t="s">
        <v>551</v>
      </c>
      <c r="S159" s="984"/>
      <c r="T159" s="985"/>
      <c r="U159" s="981"/>
      <c r="V159" s="572">
        <f>V152-V153</f>
        <v>0.91666666666666674</v>
      </c>
      <c r="W159" s="572">
        <f>W152-W153</f>
        <v>0.92753623188405798</v>
      </c>
      <c r="X159" s="572">
        <f>X152-X153</f>
        <v>0.94047619047619047</v>
      </c>
      <c r="Y159" s="361"/>
      <c r="Z159" s="364"/>
      <c r="AA159" s="367"/>
      <c r="AB159"/>
      <c r="AC159"/>
      <c r="AD159"/>
      <c r="AE159"/>
    </row>
    <row r="160" spans="17:31" ht="12.75" customHeight="1">
      <c r="Q160" s="668"/>
      <c r="R160" s="973" t="s">
        <v>552</v>
      </c>
      <c r="S160" s="973"/>
      <c r="T160" s="973"/>
      <c r="U160" s="982"/>
      <c r="V160" s="572">
        <f>X160</f>
        <v>0.6</v>
      </c>
      <c r="W160" s="572">
        <f>V160</f>
        <v>0.6</v>
      </c>
      <c r="X160" s="572">
        <f>'Compressor Input Data'!J27</f>
        <v>0.6</v>
      </c>
      <c r="Y160" s="361"/>
      <c r="Z160" s="364"/>
      <c r="AA160" s="367"/>
      <c r="AB160"/>
      <c r="AC160"/>
      <c r="AD160"/>
      <c r="AE160"/>
    </row>
    <row r="161" spans="17:31" ht="12.75" customHeight="1">
      <c r="Q161" s="668"/>
      <c r="R161" s="567"/>
      <c r="S161" s="568"/>
      <c r="T161" s="568"/>
      <c r="U161" s="573"/>
      <c r="V161" s="573"/>
      <c r="W161" s="573"/>
      <c r="X161" s="574"/>
      <c r="Y161" s="364"/>
      <c r="Z161" s="364"/>
      <c r="AA161" s="367"/>
      <c r="AB161"/>
      <c r="AC161"/>
      <c r="AD161"/>
      <c r="AE161"/>
    </row>
    <row r="162" spans="17:31" ht="12.75" customHeight="1">
      <c r="Q162" s="668"/>
      <c r="R162" s="901" t="s">
        <v>471</v>
      </c>
      <c r="S162" s="901"/>
      <c r="T162" s="901"/>
      <c r="U162" s="930" t="s">
        <v>500</v>
      </c>
      <c r="V162" s="928" t="s">
        <v>22</v>
      </c>
      <c r="W162" s="929" t="s">
        <v>579</v>
      </c>
      <c r="X162" s="927" t="s">
        <v>21</v>
      </c>
      <c r="Y162" s="361"/>
      <c r="Z162" s="364"/>
      <c r="AA162" s="367"/>
      <c r="AB162"/>
      <c r="AC162"/>
      <c r="AD162"/>
      <c r="AE162"/>
    </row>
    <row r="163" spans="17:31" ht="12.75" customHeight="1">
      <c r="Q163" s="668"/>
      <c r="R163" s="901"/>
      <c r="S163" s="901"/>
      <c r="T163" s="901"/>
      <c r="U163" s="930"/>
      <c r="V163" s="928"/>
      <c r="W163" s="929"/>
      <c r="X163" s="927"/>
      <c r="Y163" s="361"/>
      <c r="Z163" s="364"/>
      <c r="AA163" s="367"/>
      <c r="AB163"/>
      <c r="AC163"/>
      <c r="AD163"/>
      <c r="AE163"/>
    </row>
    <row r="164" spans="17:31" ht="12.75" customHeight="1">
      <c r="Q164" s="668"/>
      <c r="R164" s="973" t="s">
        <v>472</v>
      </c>
      <c r="S164" s="973"/>
      <c r="T164" s="973"/>
      <c r="U164" s="544">
        <f>$V$224</f>
        <v>938.66666666666674</v>
      </c>
      <c r="V164" s="544">
        <f>($V$145*$V$146*$V$153*$V$152)/$V$154</f>
        <v>75999.999999999985</v>
      </c>
      <c r="W164" s="544">
        <f>($W$145*$W$146*$W$153*$W$152)/$W$154</f>
        <v>66086.956521739121</v>
      </c>
      <c r="X164" s="544">
        <f>($X$145*$X$146*$X$153*$X$152)/$X$154</f>
        <v>54285.714285714275</v>
      </c>
      <c r="Y164" s="361"/>
      <c r="Z164" s="364"/>
      <c r="AA164" s="367"/>
      <c r="AB164"/>
      <c r="AC164"/>
      <c r="AD164"/>
      <c r="AE164"/>
    </row>
    <row r="165" spans="17:31" ht="12.75" customHeight="1">
      <c r="Q165" s="668"/>
      <c r="R165" s="973" t="s">
        <v>473</v>
      </c>
      <c r="S165" s="973"/>
      <c r="T165" s="973"/>
      <c r="U165" s="543"/>
      <c r="V165" s="544">
        <f>($V$145*$V$146*$V$159*$V$158)/$V$160</f>
        <v>418000.00000000006</v>
      </c>
      <c r="W165" s="544">
        <f>($W$145*$W$146*$W$159*$W$158)/$W$160</f>
        <v>422956.52173913049</v>
      </c>
      <c r="X165" s="544">
        <f>($X$145*$X$146*$X$159*$X$158)/$X$160</f>
        <v>428857.14285714284</v>
      </c>
      <c r="Y165" s="361"/>
      <c r="Z165" s="364"/>
      <c r="AA165" s="367"/>
      <c r="AB165"/>
      <c r="AC165"/>
      <c r="AD165"/>
      <c r="AE165"/>
    </row>
    <row r="166" spans="17:31" ht="12.75" customHeight="1">
      <c r="Q166" s="668"/>
      <c r="R166" s="567"/>
      <c r="S166" s="568"/>
      <c r="T166" s="568"/>
      <c r="U166" s="573"/>
      <c r="V166" s="573"/>
      <c r="W166" s="573"/>
      <c r="X166" s="574"/>
      <c r="Y166" s="364"/>
      <c r="Z166" s="364"/>
      <c r="AA166" s="367"/>
      <c r="AB166"/>
      <c r="AC166"/>
      <c r="AD166"/>
      <c r="AE166"/>
    </row>
    <row r="167" spans="17:31" ht="12.75" customHeight="1">
      <c r="Q167" s="668"/>
      <c r="R167" s="901" t="s">
        <v>474</v>
      </c>
      <c r="S167" s="901"/>
      <c r="T167" s="901"/>
      <c r="U167" s="930" t="s">
        <v>500</v>
      </c>
      <c r="V167" s="928" t="s">
        <v>22</v>
      </c>
      <c r="W167" s="929" t="s">
        <v>579</v>
      </c>
      <c r="X167" s="927" t="s">
        <v>21</v>
      </c>
      <c r="Y167" s="361"/>
      <c r="Z167" s="364"/>
      <c r="AA167" s="367"/>
      <c r="AB167"/>
      <c r="AC167"/>
      <c r="AD167"/>
      <c r="AE167"/>
    </row>
    <row r="168" spans="17:31" ht="12.75" customHeight="1">
      <c r="Q168" s="668"/>
      <c r="R168" s="901"/>
      <c r="S168" s="901"/>
      <c r="T168" s="901"/>
      <c r="U168" s="930"/>
      <c r="V168" s="928"/>
      <c r="W168" s="929"/>
      <c r="X168" s="927"/>
      <c r="Y168" s="361"/>
      <c r="Z168" s="364"/>
      <c r="AA168" s="367"/>
      <c r="AB168"/>
      <c r="AC168"/>
      <c r="AD168"/>
      <c r="AE168"/>
    </row>
    <row r="169" spans="17:31" ht="12.75" customHeight="1">
      <c r="Q169" s="668"/>
      <c r="R169" s="973" t="s">
        <v>472</v>
      </c>
      <c r="S169" s="973"/>
      <c r="T169" s="973"/>
      <c r="U169" s="544">
        <f>U164*$V$11</f>
        <v>21589.333333333336</v>
      </c>
      <c r="V169" s="544">
        <f>V164*$V$11</f>
        <v>1747999.9999999998</v>
      </c>
      <c r="W169" s="544">
        <f>W164*$V$11</f>
        <v>1519999.9999999998</v>
      </c>
      <c r="X169" s="544">
        <f>X164*$V$11</f>
        <v>1248571.4285714284</v>
      </c>
      <c r="Y169" s="361"/>
      <c r="Z169" s="364"/>
      <c r="AA169" s="367"/>
      <c r="AB169"/>
      <c r="AC169"/>
      <c r="AD169"/>
      <c r="AE169"/>
    </row>
    <row r="170" spans="17:31" ht="12.75" customHeight="1">
      <c r="Q170" s="668"/>
      <c r="R170" s="973" t="s">
        <v>473</v>
      </c>
      <c r="S170" s="973"/>
      <c r="T170" s="973"/>
      <c r="U170" s="543"/>
      <c r="V170" s="544">
        <f>V165*$V$11</f>
        <v>9614000.0000000019</v>
      </c>
      <c r="W170" s="544">
        <f>W165*$V$11</f>
        <v>9728000.0000000019</v>
      </c>
      <c r="X170" s="544">
        <f>X165*$V$11</f>
        <v>9863714.2857142854</v>
      </c>
      <c r="Y170" s="361"/>
      <c r="Z170" s="364"/>
      <c r="AA170" s="367"/>
      <c r="AB170"/>
      <c r="AC170"/>
      <c r="AD170"/>
      <c r="AE170"/>
    </row>
    <row r="171" spans="17:31" ht="12.75" customHeight="1">
      <c r="Q171" s="668"/>
      <c r="R171" s="567"/>
      <c r="S171" s="568"/>
      <c r="T171" s="568"/>
      <c r="U171" s="573"/>
      <c r="V171" s="573"/>
      <c r="W171" s="573"/>
      <c r="X171" s="574"/>
      <c r="Y171" s="364"/>
      <c r="Z171" s="364"/>
      <c r="AA171" s="367"/>
      <c r="AB171"/>
      <c r="AC171"/>
      <c r="AD171"/>
      <c r="AE171"/>
    </row>
    <row r="172" spans="17:31" ht="12.75" customHeight="1">
      <c r="Q172" s="668"/>
      <c r="R172" s="901" t="s">
        <v>474</v>
      </c>
      <c r="S172" s="901"/>
      <c r="T172" s="901"/>
      <c r="U172" s="930" t="s">
        <v>500</v>
      </c>
      <c r="V172" s="928" t="s">
        <v>22</v>
      </c>
      <c r="W172" s="929" t="s">
        <v>579</v>
      </c>
      <c r="X172" s="927" t="s">
        <v>21</v>
      </c>
      <c r="Y172" s="361"/>
      <c r="Z172" s="364"/>
      <c r="AA172" s="367"/>
      <c r="AB172"/>
      <c r="AC172"/>
      <c r="AD172"/>
      <c r="AE172"/>
    </row>
    <row r="173" spans="17:31" ht="12.75" customHeight="1">
      <c r="Q173" s="668"/>
      <c r="R173" s="901"/>
      <c r="S173" s="901"/>
      <c r="T173" s="901"/>
      <c r="U173" s="930"/>
      <c r="V173" s="928"/>
      <c r="W173" s="929"/>
      <c r="X173" s="927"/>
      <c r="Y173" s="361"/>
      <c r="Z173" s="364"/>
      <c r="AA173" s="367"/>
      <c r="AB173"/>
      <c r="AC173"/>
      <c r="AD173"/>
      <c r="AE173"/>
    </row>
    <row r="174" spans="17:31" ht="12.75" customHeight="1">
      <c r="Q174" s="668"/>
      <c r="R174" s="973" t="s">
        <v>472</v>
      </c>
      <c r="S174" s="973"/>
      <c r="T174" s="973"/>
      <c r="U174" s="544">
        <f>U169*12</f>
        <v>259072.00000000003</v>
      </c>
      <c r="V174" s="544">
        <f>V169*12</f>
        <v>20975999.999999996</v>
      </c>
      <c r="W174" s="544">
        <f>W169*12</f>
        <v>18239999.999999996</v>
      </c>
      <c r="X174" s="544">
        <f>X169*12</f>
        <v>14982857.142857142</v>
      </c>
      <c r="Y174" s="361"/>
      <c r="Z174" s="364"/>
      <c r="AA174" s="367"/>
      <c r="AB174"/>
      <c r="AC174"/>
      <c r="AD174"/>
      <c r="AE174"/>
    </row>
    <row r="175" spans="17:31" ht="12.75" customHeight="1">
      <c r="Q175" s="668"/>
      <c r="R175" s="973" t="s">
        <v>473</v>
      </c>
      <c r="S175" s="973"/>
      <c r="T175" s="973"/>
      <c r="U175" s="543"/>
      <c r="V175" s="544">
        <f>V170*12</f>
        <v>115368000.00000003</v>
      </c>
      <c r="W175" s="544">
        <f>W170*12</f>
        <v>116736000.00000003</v>
      </c>
      <c r="X175" s="544">
        <f>X170*12</f>
        <v>118364571.42857143</v>
      </c>
      <c r="Y175" s="361"/>
      <c r="Z175" s="364"/>
      <c r="AA175" s="367"/>
      <c r="AB175"/>
      <c r="AC175"/>
      <c r="AD175"/>
      <c r="AE175"/>
    </row>
    <row r="176" spans="17:31" ht="12.75" customHeight="1">
      <c r="Q176" s="668"/>
      <c r="R176" s="381"/>
      <c r="S176" s="381"/>
      <c r="T176" s="381"/>
      <c r="U176" s="381"/>
      <c r="V176" s="381"/>
      <c r="W176" s="381"/>
      <c r="X176" s="381"/>
      <c r="Y176" s="364"/>
      <c r="Z176" s="364"/>
      <c r="AA176" s="367"/>
      <c r="AB176"/>
      <c r="AC176"/>
      <c r="AD176"/>
      <c r="AE176"/>
    </row>
    <row r="177" spans="17:31" ht="12.75" customHeight="1">
      <c r="Q177" s="668"/>
      <c r="R177" s="901" t="s">
        <v>433</v>
      </c>
      <c r="S177" s="901"/>
      <c r="T177" s="901"/>
      <c r="U177" s="949" t="s">
        <v>500</v>
      </c>
      <c r="V177" s="938" t="s">
        <v>22</v>
      </c>
      <c r="W177" s="940" t="s">
        <v>579</v>
      </c>
      <c r="X177" s="942" t="s">
        <v>21</v>
      </c>
      <c r="Y177" s="361"/>
      <c r="Z177" s="364"/>
      <c r="AA177" s="367"/>
      <c r="AB177"/>
      <c r="AC177"/>
      <c r="AD177"/>
      <c r="AE177"/>
    </row>
    <row r="178" spans="17:31" ht="12.75" customHeight="1">
      <c r="Q178" s="668"/>
      <c r="R178" s="901"/>
      <c r="S178" s="901"/>
      <c r="T178" s="901"/>
      <c r="U178" s="950"/>
      <c r="V178" s="939"/>
      <c r="W178" s="941"/>
      <c r="X178" s="943"/>
      <c r="Y178" s="361"/>
      <c r="Z178" s="364"/>
      <c r="AA178" s="367"/>
      <c r="AB178"/>
      <c r="AC178"/>
      <c r="AD178"/>
      <c r="AE178"/>
    </row>
    <row r="179" spans="17:31" ht="12.75" customHeight="1">
      <c r="Q179" s="668"/>
      <c r="R179" s="970" t="s">
        <v>459</v>
      </c>
      <c r="S179" s="971"/>
      <c r="T179" s="972"/>
      <c r="U179" s="544">
        <f>U164</f>
        <v>938.66666666666674</v>
      </c>
      <c r="V179" s="544">
        <f>V164+V165</f>
        <v>494000.00000000006</v>
      </c>
      <c r="W179" s="544">
        <f>W164+W165</f>
        <v>489043.47826086963</v>
      </c>
      <c r="X179" s="544">
        <f>X164+X165</f>
        <v>483142.8571428571</v>
      </c>
      <c r="Y179" s="361"/>
      <c r="Z179" s="364"/>
      <c r="AA179" s="367"/>
      <c r="AB179"/>
      <c r="AC179"/>
      <c r="AD179"/>
      <c r="AE179"/>
    </row>
    <row r="180" spans="17:31" ht="12.75" customHeight="1">
      <c r="Q180" s="668"/>
      <c r="R180" s="973" t="s">
        <v>307</v>
      </c>
      <c r="S180" s="973"/>
      <c r="T180" s="973"/>
      <c r="U180" s="544">
        <f>U169</f>
        <v>21589.333333333336</v>
      </c>
      <c r="V180" s="544">
        <f>V169+V170</f>
        <v>11362000.000000002</v>
      </c>
      <c r="W180" s="544">
        <f>W169+W170</f>
        <v>11248000.000000002</v>
      </c>
      <c r="X180" s="544">
        <f>X169+X170</f>
        <v>11112285.714285715</v>
      </c>
      <c r="Y180" s="361"/>
      <c r="Z180" s="364"/>
      <c r="AA180" s="367"/>
      <c r="AB180"/>
      <c r="AC180"/>
      <c r="AD180"/>
      <c r="AE180"/>
    </row>
    <row r="181" spans="17:31" ht="12.75" customHeight="1">
      <c r="Q181" s="668"/>
      <c r="R181" s="973" t="s">
        <v>308</v>
      </c>
      <c r="S181" s="973"/>
      <c r="T181" s="973"/>
      <c r="U181" s="544">
        <f>U174</f>
        <v>259072.00000000003</v>
      </c>
      <c r="V181" s="544">
        <f>V174+V175</f>
        <v>136344000.00000003</v>
      </c>
      <c r="W181" s="544">
        <f>W174+W175</f>
        <v>134976000.00000003</v>
      </c>
      <c r="X181" s="544">
        <f>X174+X175</f>
        <v>133347428.57142857</v>
      </c>
      <c r="Y181" s="361"/>
      <c r="Z181" s="364"/>
      <c r="AA181" s="367"/>
      <c r="AB181"/>
      <c r="AC181"/>
      <c r="AD181"/>
      <c r="AE181"/>
    </row>
    <row r="182" spans="17:31" ht="12.75" customHeight="1">
      <c r="Q182" s="668"/>
      <c r="R182" s="381"/>
      <c r="S182" s="381"/>
      <c r="T182" s="381"/>
      <c r="U182" s="381"/>
      <c r="V182" s="381"/>
      <c r="W182" s="381"/>
      <c r="X182" s="381"/>
      <c r="Y182" s="364"/>
      <c r="Z182" s="364"/>
      <c r="AA182" s="367"/>
      <c r="AB182"/>
      <c r="AC182"/>
      <c r="AD182" t="str">
        <f>R185</f>
        <v>"Fully Loaded" - Drilling Shift</v>
      </c>
      <c r="AE182" t="str">
        <f>R186</f>
        <v>"Un-loaded" - Off Shift</v>
      </c>
    </row>
    <row r="183" spans="17:31" ht="12.75" customHeight="1">
      <c r="Q183" s="668"/>
      <c r="R183" s="901" t="s">
        <v>475</v>
      </c>
      <c r="S183" s="901"/>
      <c r="T183" s="901"/>
      <c r="U183" s="930" t="s">
        <v>500</v>
      </c>
      <c r="V183" s="928" t="s">
        <v>22</v>
      </c>
      <c r="W183" s="929" t="s">
        <v>579</v>
      </c>
      <c r="X183" s="927" t="s">
        <v>21</v>
      </c>
      <c r="Y183" s="361"/>
      <c r="Z183" s="364"/>
      <c r="AA183" s="367"/>
      <c r="AB183" s="716" t="s">
        <v>500</v>
      </c>
      <c r="AC183"/>
      <c r="AD183" s="717">
        <f>U185</f>
        <v>211.20000000000002</v>
      </c>
      <c r="AE183"/>
    </row>
    <row r="184" spans="17:31" ht="12.75" customHeight="1">
      <c r="Q184" s="668"/>
      <c r="R184" s="901"/>
      <c r="S184" s="901"/>
      <c r="T184" s="901"/>
      <c r="U184" s="930"/>
      <c r="V184" s="928"/>
      <c r="W184" s="929"/>
      <c r="X184" s="927"/>
      <c r="Y184" s="361"/>
      <c r="Z184" s="364"/>
      <c r="AA184" s="367"/>
      <c r="AB184" s="716" t="s">
        <v>22</v>
      </c>
      <c r="AC184"/>
      <c r="AD184" s="717">
        <f>V185</f>
        <v>17099.999999999996</v>
      </c>
      <c r="AE184" s="717">
        <f>V186</f>
        <v>94050.000000000015</v>
      </c>
    </row>
    <row r="185" spans="17:31" ht="12.75" customHeight="1">
      <c r="Q185" s="668"/>
      <c r="R185" s="973" t="s">
        <v>472</v>
      </c>
      <c r="S185" s="973"/>
      <c r="T185" s="973"/>
      <c r="U185" s="593">
        <f>$V$224*$U$148</f>
        <v>211.20000000000002</v>
      </c>
      <c r="V185" s="593">
        <f>($V$145*$V$146*$V$153*$V$152*$V$148)/$V$154</f>
        <v>17099.999999999996</v>
      </c>
      <c r="W185" s="593">
        <f>($W$145*$W$146*$W$153*$W$152*$W$148)/$W$154</f>
        <v>14869.565217391304</v>
      </c>
      <c r="X185" s="593">
        <f>($X$145*$X$146*$X$153*$X$152*$X$148)/$X$154</f>
        <v>12214.285714285714</v>
      </c>
      <c r="Y185" s="361"/>
      <c r="Z185" s="364"/>
      <c r="AA185" s="367"/>
      <c r="AB185" s="716" t="s">
        <v>579</v>
      </c>
      <c r="AC185"/>
      <c r="AD185" s="717">
        <f>W185</f>
        <v>14869.565217391304</v>
      </c>
      <c r="AE185" s="717">
        <f>W186</f>
        <v>95165.217391304366</v>
      </c>
    </row>
    <row r="186" spans="17:31" ht="12.75" customHeight="1">
      <c r="Q186" s="668"/>
      <c r="R186" s="973" t="s">
        <v>473</v>
      </c>
      <c r="S186" s="973"/>
      <c r="T186" s="973"/>
      <c r="U186" s="543"/>
      <c r="V186" s="593">
        <f>($V$145*$V$146*$V$159*$V$158*$V$148)/$V$160</f>
        <v>94050.000000000015</v>
      </c>
      <c r="W186" s="593">
        <f>($W$145*$W$146*$W$159*$W$158*$W$148)/$W$160</f>
        <v>95165.217391304366</v>
      </c>
      <c r="X186" s="593">
        <f>($X$145*$X$146*$X$159*$X$158*$X$148)/$X$160</f>
        <v>96492.857142857145</v>
      </c>
      <c r="Y186" s="361"/>
      <c r="Z186" s="364"/>
      <c r="AA186" s="367"/>
      <c r="AB186" s="716" t="s">
        <v>21</v>
      </c>
      <c r="AC186"/>
      <c r="AD186" s="717">
        <f>X185</f>
        <v>12214.285714285714</v>
      </c>
      <c r="AE186" s="717">
        <f>X186</f>
        <v>96492.857142857145</v>
      </c>
    </row>
    <row r="187" spans="17:31" ht="12.75" customHeight="1">
      <c r="Q187" s="668"/>
      <c r="R187" s="381"/>
      <c r="S187" s="381"/>
      <c r="T187" s="381"/>
      <c r="U187" s="381"/>
      <c r="V187" s="381"/>
      <c r="W187" s="381"/>
      <c r="X187" s="381"/>
      <c r="Y187" s="552"/>
      <c r="Z187" s="364"/>
      <c r="AA187" s="367"/>
      <c r="AC187"/>
      <c r="AD187"/>
      <c r="AE187"/>
    </row>
    <row r="188" spans="17:31" ht="12.75" customHeight="1">
      <c r="Q188" s="668"/>
      <c r="R188" s="901" t="s">
        <v>476</v>
      </c>
      <c r="S188" s="901"/>
      <c r="T188" s="901"/>
      <c r="U188" s="930" t="s">
        <v>500</v>
      </c>
      <c r="V188" s="928" t="s">
        <v>22</v>
      </c>
      <c r="W188" s="929" t="s">
        <v>579</v>
      </c>
      <c r="X188" s="927" t="s">
        <v>21</v>
      </c>
      <c r="Y188" s="361"/>
      <c r="Z188" s="364"/>
      <c r="AA188" s="367"/>
      <c r="AB188"/>
      <c r="AC188"/>
      <c r="AD188"/>
      <c r="AE188"/>
    </row>
    <row r="189" spans="17:31" ht="12.75" customHeight="1">
      <c r="Q189" s="668"/>
      <c r="R189" s="901"/>
      <c r="S189" s="901"/>
      <c r="T189" s="901"/>
      <c r="U189" s="930"/>
      <c r="V189" s="928"/>
      <c r="W189" s="929"/>
      <c r="X189" s="927"/>
      <c r="Y189" s="361"/>
      <c r="Z189" s="364"/>
      <c r="AA189" s="367"/>
      <c r="AB189"/>
      <c r="AC189"/>
      <c r="AD189"/>
      <c r="AE189"/>
    </row>
    <row r="190" spans="17:31" ht="12.75" customHeight="1">
      <c r="Q190" s="668"/>
      <c r="R190" s="973" t="s">
        <v>472</v>
      </c>
      <c r="S190" s="973"/>
      <c r="T190" s="973"/>
      <c r="U190" s="593">
        <f>U185*$V$11</f>
        <v>4857.6000000000004</v>
      </c>
      <c r="V190" s="593">
        <f>V185*$V$11</f>
        <v>393299.99999999994</v>
      </c>
      <c r="W190" s="593">
        <f>W185*$V$11</f>
        <v>342000</v>
      </c>
      <c r="X190" s="593">
        <f>X185*$V$11</f>
        <v>280928.57142857142</v>
      </c>
      <c r="Y190" s="361"/>
      <c r="Z190" s="364"/>
      <c r="AA190" s="367"/>
      <c r="AB190"/>
      <c r="AC190"/>
      <c r="AD190"/>
      <c r="AE190"/>
    </row>
    <row r="191" spans="17:31" ht="12.75" customHeight="1">
      <c r="Q191" s="668"/>
      <c r="R191" s="973" t="s">
        <v>473</v>
      </c>
      <c r="S191" s="973"/>
      <c r="T191" s="973"/>
      <c r="U191" s="543"/>
      <c r="V191" s="593">
        <f>V186*$V$11</f>
        <v>2163150.0000000005</v>
      </c>
      <c r="W191" s="593">
        <f>W186*$V$11</f>
        <v>2188800.0000000005</v>
      </c>
      <c r="X191" s="593">
        <f>X186*$V$11</f>
        <v>2219335.7142857146</v>
      </c>
      <c r="Y191" s="361"/>
      <c r="Z191" s="364"/>
      <c r="AA191" s="367"/>
      <c r="AB191"/>
      <c r="AC191"/>
      <c r="AD191"/>
      <c r="AE191"/>
    </row>
    <row r="192" spans="17:31" ht="12.75" customHeight="1">
      <c r="Q192" s="668"/>
      <c r="R192" s="367"/>
      <c r="S192" s="367"/>
      <c r="T192" s="367"/>
      <c r="U192" s="367"/>
      <c r="V192" s="367"/>
      <c r="W192" s="367"/>
      <c r="X192" s="367"/>
      <c r="Y192" s="364"/>
      <c r="Z192" s="364"/>
      <c r="AA192" s="367"/>
      <c r="AB192"/>
      <c r="AC192"/>
      <c r="AD192"/>
      <c r="AE192"/>
    </row>
    <row r="193" spans="17:31" ht="12.75" customHeight="1">
      <c r="Q193" s="668"/>
      <c r="R193" s="901" t="s">
        <v>477</v>
      </c>
      <c r="S193" s="901"/>
      <c r="T193" s="901"/>
      <c r="U193" s="930" t="s">
        <v>500</v>
      </c>
      <c r="V193" s="928" t="s">
        <v>22</v>
      </c>
      <c r="W193" s="929" t="s">
        <v>579</v>
      </c>
      <c r="X193" s="927" t="s">
        <v>21</v>
      </c>
      <c r="Y193" s="361"/>
      <c r="Z193" s="364"/>
      <c r="AA193" s="367"/>
      <c r="AB193"/>
      <c r="AC193"/>
      <c r="AD193"/>
      <c r="AE193"/>
    </row>
    <row r="194" spans="17:31" ht="12.75" customHeight="1">
      <c r="Q194" s="668"/>
      <c r="R194" s="901"/>
      <c r="S194" s="901"/>
      <c r="T194" s="901"/>
      <c r="U194" s="930"/>
      <c r="V194" s="928"/>
      <c r="W194" s="929"/>
      <c r="X194" s="927"/>
      <c r="Y194" s="361"/>
      <c r="Z194" s="364"/>
      <c r="AA194" s="367"/>
      <c r="AB194"/>
      <c r="AC194"/>
      <c r="AD194"/>
      <c r="AE194"/>
    </row>
    <row r="195" spans="17:31" ht="12.75" customHeight="1">
      <c r="Q195" s="668"/>
      <c r="R195" s="973" t="s">
        <v>472</v>
      </c>
      <c r="S195" s="973"/>
      <c r="T195" s="973"/>
      <c r="U195" s="593">
        <f>U190*12</f>
        <v>58291.200000000004</v>
      </c>
      <c r="V195" s="593">
        <f>V190*12</f>
        <v>4719599.9999999991</v>
      </c>
      <c r="W195" s="593">
        <f>W190*12</f>
        <v>4104000</v>
      </c>
      <c r="X195" s="593">
        <f>X190*12</f>
        <v>3371142.8571428573</v>
      </c>
      <c r="Y195" s="361"/>
      <c r="Z195" s="364"/>
      <c r="AA195" s="367"/>
      <c r="AB195"/>
      <c r="AC195"/>
      <c r="AD195"/>
      <c r="AE195"/>
    </row>
    <row r="196" spans="17:31" ht="12.75" customHeight="1">
      <c r="Q196" s="668"/>
      <c r="R196" s="973" t="s">
        <v>473</v>
      </c>
      <c r="S196" s="973"/>
      <c r="T196" s="973"/>
      <c r="U196" s="543"/>
      <c r="V196" s="593">
        <f>V191*12</f>
        <v>25957800.000000007</v>
      </c>
      <c r="W196" s="593">
        <f>W191*12</f>
        <v>26265600.000000007</v>
      </c>
      <c r="X196" s="593">
        <f>X191*12</f>
        <v>26632028.571428575</v>
      </c>
      <c r="Y196" s="361"/>
      <c r="Z196" s="364"/>
      <c r="AA196" s="367"/>
      <c r="AB196"/>
      <c r="AC196"/>
      <c r="AD196"/>
      <c r="AE196"/>
    </row>
    <row r="197" spans="17:31" ht="12.75" customHeight="1">
      <c r="Q197" s="668"/>
      <c r="R197" s="367"/>
      <c r="S197" s="367"/>
      <c r="T197" s="367"/>
      <c r="U197" s="367"/>
      <c r="V197" s="367"/>
      <c r="W197" s="367"/>
      <c r="X197" s="367"/>
      <c r="Y197" s="364"/>
      <c r="Z197" s="364"/>
      <c r="AA197" s="367"/>
      <c r="AB197"/>
      <c r="AC197"/>
      <c r="AD197"/>
      <c r="AE197"/>
    </row>
    <row r="198" spans="17:31" ht="12.75" customHeight="1">
      <c r="Q198" s="668"/>
      <c r="R198" s="901" t="s">
        <v>116</v>
      </c>
      <c r="S198" s="901"/>
      <c r="T198" s="901"/>
      <c r="U198" s="949" t="s">
        <v>500</v>
      </c>
      <c r="V198" s="938" t="s">
        <v>22</v>
      </c>
      <c r="W198" s="940" t="s">
        <v>579</v>
      </c>
      <c r="X198" s="942" t="s">
        <v>21</v>
      </c>
      <c r="Y198" s="361"/>
      <c r="Z198" s="364"/>
      <c r="AA198" s="367"/>
      <c r="AB198"/>
      <c r="AC198"/>
      <c r="AD198"/>
      <c r="AE198"/>
    </row>
    <row r="199" spans="17:31" ht="12.75" customHeight="1">
      <c r="Q199" s="668"/>
      <c r="R199" s="901"/>
      <c r="S199" s="901"/>
      <c r="T199" s="901"/>
      <c r="U199" s="950"/>
      <c r="V199" s="939"/>
      <c r="W199" s="941"/>
      <c r="X199" s="943"/>
      <c r="Y199" s="361"/>
      <c r="Z199" s="364"/>
      <c r="AA199" s="367"/>
      <c r="AB199"/>
      <c r="AC199"/>
      <c r="AD199"/>
      <c r="AE199"/>
    </row>
    <row r="200" spans="17:31" ht="12.75" customHeight="1">
      <c r="Q200" s="668"/>
      <c r="R200" s="970" t="s">
        <v>459</v>
      </c>
      <c r="S200" s="971"/>
      <c r="T200" s="972"/>
      <c r="U200" s="593">
        <f>U185</f>
        <v>211.20000000000002</v>
      </c>
      <c r="V200" s="593">
        <f>V185+V186</f>
        <v>111150.00000000001</v>
      </c>
      <c r="W200" s="593">
        <f>W185+W186</f>
        <v>110034.78260869568</v>
      </c>
      <c r="X200" s="593">
        <f>X185+X186</f>
        <v>108707.14285714286</v>
      </c>
      <c r="Y200" s="361"/>
      <c r="Z200" s="364"/>
      <c r="AA200" s="367"/>
      <c r="AB200"/>
      <c r="AC200"/>
      <c r="AD200"/>
      <c r="AE200"/>
    </row>
    <row r="201" spans="17:31" ht="12.75" customHeight="1">
      <c r="Q201" s="668"/>
      <c r="R201" s="973" t="s">
        <v>307</v>
      </c>
      <c r="S201" s="973"/>
      <c r="T201" s="973"/>
      <c r="U201" s="593">
        <f>U190</f>
        <v>4857.6000000000004</v>
      </c>
      <c r="V201" s="593">
        <f>V190+V191</f>
        <v>2556450.0000000005</v>
      </c>
      <c r="W201" s="593">
        <f>W190+W191</f>
        <v>2530800.0000000005</v>
      </c>
      <c r="X201" s="593">
        <f>X190+X191</f>
        <v>2500264.2857142859</v>
      </c>
      <c r="Y201" s="361"/>
      <c r="Z201" s="364"/>
      <c r="AA201" s="367"/>
      <c r="AB201"/>
      <c r="AC201"/>
      <c r="AD201"/>
      <c r="AE201"/>
    </row>
    <row r="202" spans="17:31" ht="12.75" customHeight="1">
      <c r="Q202" s="668"/>
      <c r="R202" s="973" t="s">
        <v>308</v>
      </c>
      <c r="S202" s="973"/>
      <c r="T202" s="973"/>
      <c r="U202" s="593">
        <f>U195</f>
        <v>58291.200000000004</v>
      </c>
      <c r="V202" s="593">
        <f>V195+V196</f>
        <v>30677400.000000007</v>
      </c>
      <c r="W202" s="593">
        <f>W195+W196</f>
        <v>30369600.000000007</v>
      </c>
      <c r="X202" s="593">
        <f>X195+X196</f>
        <v>30003171.428571433</v>
      </c>
      <c r="Y202" s="361"/>
      <c r="Z202" s="364"/>
      <c r="AA202" s="367"/>
      <c r="AB202"/>
      <c r="AC202"/>
      <c r="AD202"/>
      <c r="AE202"/>
    </row>
    <row r="203" spans="17:31" ht="12.75" customHeight="1">
      <c r="Q203" s="668"/>
      <c r="R203" s="575"/>
      <c r="S203" s="575"/>
      <c r="T203" s="575"/>
      <c r="U203" s="382"/>
      <c r="V203" s="382"/>
      <c r="W203" s="382"/>
      <c r="X203" s="382"/>
      <c r="Y203" s="364"/>
      <c r="Z203" s="364"/>
      <c r="AA203" s="367"/>
      <c r="AB203"/>
      <c r="AC203"/>
      <c r="AD203"/>
      <c r="AE203"/>
    </row>
    <row r="204" spans="17:31" ht="12.75" customHeight="1">
      <c r="Q204" s="668"/>
      <c r="R204" s="974" t="s">
        <v>775</v>
      </c>
      <c r="S204" s="974"/>
      <c r="T204" s="974"/>
      <c r="U204" s="974"/>
      <c r="V204" s="974"/>
      <c r="W204" s="974"/>
      <c r="X204" s="974"/>
      <c r="Y204" s="974"/>
      <c r="Z204" s="364"/>
      <c r="AA204" s="367"/>
      <c r="AB204"/>
      <c r="AC204"/>
      <c r="AD204"/>
      <c r="AE204"/>
    </row>
    <row r="205" spans="17:31" ht="12.75" customHeight="1">
      <c r="Q205" s="668"/>
      <c r="R205" s="974"/>
      <c r="S205" s="974"/>
      <c r="T205" s="974"/>
      <c r="U205" s="974"/>
      <c r="V205" s="974"/>
      <c r="W205" s="974"/>
      <c r="X205" s="974"/>
      <c r="Y205" s="974"/>
      <c r="Z205" s="576"/>
      <c r="AA205" s="367"/>
      <c r="AB205"/>
      <c r="AC205"/>
      <c r="AD205"/>
      <c r="AE205"/>
    </row>
    <row r="206" spans="17:31" ht="12.75" customHeight="1">
      <c r="Q206" s="668"/>
      <c r="R206" s="974"/>
      <c r="S206" s="974"/>
      <c r="T206" s="974"/>
      <c r="U206" s="974"/>
      <c r="V206" s="974"/>
      <c r="W206" s="974"/>
      <c r="X206" s="974"/>
      <c r="Y206" s="974"/>
      <c r="Z206" s="576"/>
      <c r="AA206" s="367"/>
      <c r="AB206"/>
      <c r="AC206"/>
      <c r="AD206"/>
      <c r="AE206"/>
    </row>
    <row r="207" spans="17:31" ht="12.75" customHeight="1">
      <c r="Q207" s="668"/>
      <c r="R207" s="974"/>
      <c r="S207" s="974"/>
      <c r="T207" s="974"/>
      <c r="U207" s="974"/>
      <c r="V207" s="974"/>
      <c r="W207" s="974"/>
      <c r="X207" s="974"/>
      <c r="Y207" s="974"/>
      <c r="Z207" s="576"/>
      <c r="AA207" s="367"/>
      <c r="AB207"/>
      <c r="AC207"/>
      <c r="AD207"/>
      <c r="AE207"/>
    </row>
    <row r="208" spans="17:31" ht="12.75" customHeight="1">
      <c r="Q208" s="668"/>
      <c r="R208" s="974"/>
      <c r="S208" s="974"/>
      <c r="T208" s="974"/>
      <c r="U208" s="974"/>
      <c r="V208" s="974"/>
      <c r="W208" s="974"/>
      <c r="X208" s="974"/>
      <c r="Y208" s="974"/>
      <c r="Z208" s="576"/>
      <c r="AA208" s="367"/>
      <c r="AB208"/>
      <c r="AC208"/>
      <c r="AD208"/>
      <c r="AE208"/>
    </row>
    <row r="209" spans="17:31" ht="12.75" customHeight="1">
      <c r="Q209" s="668"/>
      <c r="R209" s="364"/>
      <c r="S209" s="375"/>
      <c r="T209" s="375"/>
      <c r="U209" s="577"/>
      <c r="V209" s="577"/>
      <c r="W209" s="577"/>
      <c r="X209" s="577"/>
      <c r="Y209" s="551"/>
      <c r="Z209" s="363"/>
      <c r="AA209" s="367"/>
      <c r="AB209"/>
      <c r="AC209"/>
      <c r="AD209"/>
      <c r="AE209"/>
    </row>
    <row r="210" spans="17:31" ht="12.75" customHeight="1">
      <c r="Q210" s="668"/>
      <c r="R210" s="975" t="s">
        <v>667</v>
      </c>
      <c r="S210" s="976"/>
      <c r="T210" s="976"/>
      <c r="U210" s="976"/>
      <c r="V210" s="976"/>
      <c r="W210" s="976"/>
      <c r="X210" s="979">
        <f>10*V25</f>
        <v>76800</v>
      </c>
      <c r="Y210" s="935" t="s">
        <v>668</v>
      </c>
      <c r="Z210" s="364"/>
      <c r="AA210" s="367"/>
      <c r="AB210"/>
      <c r="AC210"/>
      <c r="AD210"/>
      <c r="AE210"/>
    </row>
    <row r="211" spans="17:31" ht="12.75" customHeight="1">
      <c r="Q211" s="668"/>
      <c r="R211" s="977"/>
      <c r="S211" s="978"/>
      <c r="T211" s="978"/>
      <c r="U211" s="978"/>
      <c r="V211" s="978"/>
      <c r="W211" s="978"/>
      <c r="X211" s="979"/>
      <c r="Y211" s="935"/>
      <c r="Z211" s="364"/>
      <c r="AA211" s="367"/>
      <c r="AB211"/>
      <c r="AC211"/>
      <c r="AD211"/>
      <c r="AE211"/>
    </row>
    <row r="212" spans="17:31" ht="12.75" customHeight="1">
      <c r="Q212" s="668"/>
      <c r="R212" s="578"/>
      <c r="S212" s="578"/>
      <c r="T212" s="578"/>
      <c r="U212" s="578"/>
      <c r="V212" s="578"/>
      <c r="W212" s="578"/>
      <c r="X212" s="578"/>
      <c r="Y212" s="579"/>
      <c r="Z212" s="551"/>
      <c r="AA212" s="367"/>
      <c r="AB212"/>
      <c r="AC212"/>
      <c r="AD212"/>
      <c r="AE212"/>
    </row>
    <row r="213" spans="17:31" ht="12.75" customHeight="1">
      <c r="Q213" s="668"/>
      <c r="R213" s="937" t="s">
        <v>678</v>
      </c>
      <c r="S213" s="937"/>
      <c r="T213" s="937"/>
      <c r="U213" s="937"/>
      <c r="V213" s="949" t="s">
        <v>500</v>
      </c>
      <c r="W213" s="938" t="s">
        <v>22</v>
      </c>
      <c r="X213" s="940" t="s">
        <v>579</v>
      </c>
      <c r="Y213" s="942" t="s">
        <v>21</v>
      </c>
      <c r="Z213" s="361"/>
      <c r="AA213" s="367"/>
      <c r="AB213"/>
      <c r="AC213"/>
      <c r="AD213"/>
      <c r="AE213"/>
    </row>
    <row r="214" spans="17:31" ht="12.75" customHeight="1">
      <c r="Q214" s="668"/>
      <c r="R214" s="937"/>
      <c r="S214" s="937"/>
      <c r="T214" s="937"/>
      <c r="U214" s="937"/>
      <c r="V214" s="950"/>
      <c r="W214" s="939"/>
      <c r="X214" s="941"/>
      <c r="Y214" s="943"/>
      <c r="Z214" s="361"/>
      <c r="AA214" s="367"/>
      <c r="AB214"/>
      <c r="AC214"/>
      <c r="AD214"/>
      <c r="AE214"/>
    </row>
    <row r="215" spans="17:31" ht="12.75" customHeight="1">
      <c r="Q215" s="668"/>
      <c r="R215" s="968" t="s">
        <v>533</v>
      </c>
      <c r="S215" s="968"/>
      <c r="T215" s="968"/>
      <c r="U215" s="968"/>
      <c r="V215" s="580">
        <v>0.107</v>
      </c>
      <c r="W215" s="581">
        <f>VLOOKUP($V$5,'Lookup Energy kWhm'!$B$8:$E$208,3)</f>
        <v>0.13</v>
      </c>
      <c r="X215" s="581">
        <f>VLOOKUP($V$5,'Lookup Energy kWhm'!$B$8:$E$208,4)</f>
        <v>0.14799999999999999</v>
      </c>
      <c r="Y215" s="581">
        <f>VLOOKUP($V$5,'Lookup Energy kWhm'!$B$8:$E$208,2)</f>
        <v>0.1</v>
      </c>
      <c r="Z215" s="361"/>
      <c r="AA215" s="367"/>
      <c r="AB215"/>
      <c r="AC215"/>
      <c r="AD215"/>
      <c r="AE215"/>
    </row>
    <row r="216" spans="17:31" ht="12.75" customHeight="1">
      <c r="Q216" s="668"/>
      <c r="R216" s="969" t="s">
        <v>31</v>
      </c>
      <c r="S216" s="969"/>
      <c r="T216" s="969"/>
      <c r="U216" s="969"/>
      <c r="V216" s="556">
        <f t="shared" ref="V216:W219" si="2">X216</f>
        <v>1.2</v>
      </c>
      <c r="W216" s="556">
        <f t="shared" si="2"/>
        <v>1.2</v>
      </c>
      <c r="X216" s="556">
        <f>W216</f>
        <v>1.2</v>
      </c>
      <c r="Y216" s="556">
        <f>V20</f>
        <v>1.2</v>
      </c>
      <c r="Z216" s="361"/>
      <c r="AA216" s="367"/>
      <c r="AB216"/>
      <c r="AC216"/>
      <c r="AD216"/>
      <c r="AE216"/>
    </row>
    <row r="217" spans="17:31" ht="12.75" customHeight="1">
      <c r="Q217" s="668"/>
      <c r="R217" s="969" t="s">
        <v>314</v>
      </c>
      <c r="S217" s="969"/>
      <c r="T217" s="969"/>
      <c r="U217" s="969"/>
      <c r="V217" s="556">
        <f t="shared" si="2"/>
        <v>160</v>
      </c>
      <c r="W217" s="556">
        <f t="shared" si="2"/>
        <v>160</v>
      </c>
      <c r="X217" s="556">
        <f>W217</f>
        <v>160</v>
      </c>
      <c r="Y217" s="556">
        <f>V19</f>
        <v>160</v>
      </c>
      <c r="Z217" s="361"/>
      <c r="AA217" s="367"/>
      <c r="AB217"/>
      <c r="AC217"/>
      <c r="AD217"/>
      <c r="AE217"/>
    </row>
    <row r="218" spans="17:31" ht="12.75" customHeight="1">
      <c r="Q218" s="668"/>
      <c r="R218" s="969" t="s">
        <v>20</v>
      </c>
      <c r="S218" s="969"/>
      <c r="T218" s="969"/>
      <c r="U218" s="969"/>
      <c r="V218" s="556">
        <f t="shared" si="2"/>
        <v>40</v>
      </c>
      <c r="W218" s="556">
        <f t="shared" si="2"/>
        <v>40</v>
      </c>
      <c r="X218" s="556">
        <f>W218</f>
        <v>40</v>
      </c>
      <c r="Y218" s="556">
        <f>V22</f>
        <v>40</v>
      </c>
      <c r="Z218" s="361"/>
      <c r="AA218" s="367"/>
      <c r="AB218"/>
      <c r="AC218"/>
      <c r="AD218"/>
      <c r="AE218"/>
    </row>
    <row r="219" spans="17:31" ht="12.75" customHeight="1">
      <c r="Q219" s="668"/>
      <c r="R219" s="969" t="s">
        <v>310</v>
      </c>
      <c r="S219" s="969"/>
      <c r="T219" s="969"/>
      <c r="U219" s="969"/>
      <c r="V219" s="556">
        <f t="shared" si="2"/>
        <v>160</v>
      </c>
      <c r="W219" s="556">
        <f t="shared" si="2"/>
        <v>160</v>
      </c>
      <c r="X219" s="556">
        <f>W219</f>
        <v>160</v>
      </c>
      <c r="Y219" s="556">
        <f>V23</f>
        <v>160</v>
      </c>
      <c r="Z219" s="361"/>
      <c r="AA219" s="367"/>
      <c r="AB219"/>
      <c r="AC219"/>
      <c r="AD219"/>
      <c r="AE219"/>
    </row>
    <row r="220" spans="17:31" ht="12.75" customHeight="1">
      <c r="Q220" s="668"/>
      <c r="R220" s="968" t="s">
        <v>543</v>
      </c>
      <c r="S220" s="968"/>
      <c r="T220" s="968"/>
      <c r="U220" s="968"/>
      <c r="V220" s="582">
        <f>V215*V216*V217*V218</f>
        <v>821.75999999999988</v>
      </c>
      <c r="W220" s="582">
        <f>W215*W216*W217*W218</f>
        <v>998.40000000000009</v>
      </c>
      <c r="X220" s="582">
        <f>X215*X216*X217*X218</f>
        <v>1136.6399999999999</v>
      </c>
      <c r="Y220" s="582">
        <f>Y215*Y216*Y217*Y218</f>
        <v>768</v>
      </c>
      <c r="Z220" s="361"/>
      <c r="AA220" s="367"/>
      <c r="AB220"/>
      <c r="AC220"/>
      <c r="AD220"/>
      <c r="AE220"/>
    </row>
    <row r="221" spans="17:31" ht="12.75" customHeight="1">
      <c r="Q221" s="668"/>
      <c r="R221" s="968" t="s">
        <v>542</v>
      </c>
      <c r="S221" s="968"/>
      <c r="T221" s="968"/>
      <c r="U221" s="968"/>
      <c r="V221" s="583">
        <f>V220/V219</f>
        <v>5.1359999999999992</v>
      </c>
      <c r="W221" s="583">
        <f>W220/W219</f>
        <v>6.24</v>
      </c>
      <c r="X221" s="583">
        <f>X220/X219</f>
        <v>7.1039999999999992</v>
      </c>
      <c r="Y221" s="583">
        <f>Y220/Y219</f>
        <v>4.8</v>
      </c>
      <c r="Z221" s="361"/>
      <c r="AA221" s="367"/>
      <c r="AB221"/>
      <c r="AC221"/>
      <c r="AD221"/>
      <c r="AE221"/>
    </row>
    <row r="222" spans="17:31" ht="12.75" customHeight="1">
      <c r="Q222" s="668"/>
      <c r="R222" s="968" t="s">
        <v>538</v>
      </c>
      <c r="S222" s="968"/>
      <c r="T222" s="968"/>
      <c r="U222" s="968"/>
      <c r="V222" s="537">
        <f>U62</f>
        <v>2.6666666666666665</v>
      </c>
      <c r="W222" s="537">
        <f>V62</f>
        <v>1.9999999999999996</v>
      </c>
      <c r="X222" s="537">
        <f>W62</f>
        <v>1.7391304347826084</v>
      </c>
      <c r="Y222" s="537">
        <f>X62</f>
        <v>1.4285714285714284</v>
      </c>
      <c r="Z222" s="361"/>
      <c r="AA222" s="367"/>
      <c r="AB222"/>
      <c r="AC222"/>
      <c r="AD222"/>
      <c r="AE222"/>
    </row>
    <row r="223" spans="17:31" ht="12.75" customHeight="1">
      <c r="Q223" s="668"/>
      <c r="R223" s="968" t="s">
        <v>546</v>
      </c>
      <c r="S223" s="968"/>
      <c r="T223" s="968"/>
      <c r="U223" s="968"/>
      <c r="V223" s="584">
        <f>2.2*V222</f>
        <v>5.8666666666666671</v>
      </c>
      <c r="W223" s="584">
        <f>W222/W215</f>
        <v>15.384615384615381</v>
      </c>
      <c r="X223" s="584">
        <f>X222/X215</f>
        <v>11.750881316098706</v>
      </c>
      <c r="Y223" s="584">
        <f>Y222/Y215</f>
        <v>14.285714285714283</v>
      </c>
      <c r="Z223" s="361"/>
      <c r="AA223" s="367"/>
      <c r="AB223"/>
      <c r="AC223"/>
      <c r="AD223"/>
      <c r="AE223"/>
    </row>
    <row r="224" spans="17:31" ht="12.75" customHeight="1">
      <c r="Q224" s="668"/>
      <c r="R224" s="968" t="s">
        <v>544</v>
      </c>
      <c r="S224" s="968"/>
      <c r="T224" s="968"/>
      <c r="U224" s="968"/>
      <c r="V224" s="582">
        <f>V219*V223</f>
        <v>938.66666666666674</v>
      </c>
      <c r="W224" s="582">
        <f>W219*W223</f>
        <v>2461.538461538461</v>
      </c>
      <c r="X224" s="582">
        <f>X219*X223</f>
        <v>1880.141010575793</v>
      </c>
      <c r="Y224" s="674">
        <f>Y219*Y223</f>
        <v>2285.7142857142853</v>
      </c>
      <c r="Z224" s="361"/>
      <c r="AA224" s="367"/>
      <c r="AB224"/>
      <c r="AC224"/>
      <c r="AD224"/>
      <c r="AE224"/>
    </row>
    <row r="225" spans="17:31" ht="12.75" customHeight="1">
      <c r="Q225" s="668"/>
      <c r="R225" s="969" t="s">
        <v>535</v>
      </c>
      <c r="S225" s="969"/>
      <c r="T225" s="969"/>
      <c r="U225" s="969"/>
      <c r="V225" s="556">
        <f>V217/V222</f>
        <v>60</v>
      </c>
      <c r="W225" s="556">
        <f>W217/W222</f>
        <v>80.000000000000014</v>
      </c>
      <c r="X225" s="556">
        <f>X217/X222</f>
        <v>92.000000000000014</v>
      </c>
      <c r="Y225" s="556">
        <f>Y217/Y222</f>
        <v>112.00000000000001</v>
      </c>
      <c r="Z225" s="361"/>
      <c r="AA225" s="367"/>
      <c r="AB225"/>
      <c r="AC225"/>
      <c r="AD225"/>
      <c r="AE225"/>
    </row>
    <row r="226" spans="17:31" ht="12.75" customHeight="1">
      <c r="Q226" s="668"/>
      <c r="R226" s="969" t="s">
        <v>536</v>
      </c>
      <c r="S226" s="969"/>
      <c r="T226" s="969"/>
      <c r="U226" s="969"/>
      <c r="V226" s="675">
        <f>V216*V225</f>
        <v>72</v>
      </c>
      <c r="W226" s="675">
        <f>W216*W225</f>
        <v>96.000000000000014</v>
      </c>
      <c r="X226" s="675">
        <f>X216*X225</f>
        <v>110.40000000000002</v>
      </c>
      <c r="Y226" s="675">
        <f>Y216*Y225</f>
        <v>134.4</v>
      </c>
      <c r="Z226" s="361"/>
      <c r="AA226" s="367"/>
      <c r="AB226"/>
      <c r="AC226"/>
      <c r="AD226"/>
      <c r="AE226"/>
    </row>
    <row r="227" spans="17:31" ht="12.75" customHeight="1">
      <c r="Q227" s="668"/>
      <c r="R227" s="968" t="s">
        <v>534</v>
      </c>
      <c r="S227" s="968"/>
      <c r="T227" s="968"/>
      <c r="U227" s="968"/>
      <c r="V227" s="583">
        <f>U56</f>
        <v>4</v>
      </c>
      <c r="W227" s="583">
        <f>V56</f>
        <v>2.9999999999999996</v>
      </c>
      <c r="X227" s="583">
        <f>W56</f>
        <v>2.6086956521739126</v>
      </c>
      <c r="Y227" s="583">
        <f>X56</f>
        <v>2.1428571428571428</v>
      </c>
      <c r="Z227" s="361"/>
      <c r="AA227" s="367"/>
      <c r="AB227"/>
      <c r="AC227"/>
      <c r="AD227"/>
      <c r="AE227"/>
    </row>
    <row r="228" spans="17:31" ht="12.75" customHeight="1">
      <c r="Q228" s="668"/>
      <c r="R228" s="968" t="s">
        <v>537</v>
      </c>
      <c r="S228" s="968"/>
      <c r="T228" s="968"/>
      <c r="U228" s="968"/>
      <c r="V228" s="584">
        <f>V225*V227</f>
        <v>240</v>
      </c>
      <c r="W228" s="584">
        <f>W225*W227</f>
        <v>240</v>
      </c>
      <c r="X228" s="584">
        <f>X225*X227</f>
        <v>240</v>
      </c>
      <c r="Y228" s="584">
        <f>Y225*Y227</f>
        <v>240.00000000000003</v>
      </c>
      <c r="Z228" s="361"/>
      <c r="AA228" s="367"/>
      <c r="AB228"/>
      <c r="AC228"/>
      <c r="AD228"/>
      <c r="AE228"/>
    </row>
    <row r="229" spans="17:31" ht="12.75" customHeight="1">
      <c r="Q229" s="668"/>
      <c r="R229" s="968" t="s">
        <v>545</v>
      </c>
      <c r="S229" s="968"/>
      <c r="T229" s="968"/>
      <c r="U229" s="968"/>
      <c r="V229" s="585">
        <f>V221/V223</f>
        <v>0.87545454545454526</v>
      </c>
      <c r="W229" s="585">
        <f>W221/W223</f>
        <v>0.40560000000000007</v>
      </c>
      <c r="X229" s="585">
        <f>X221/X223</f>
        <v>0.60455040000000004</v>
      </c>
      <c r="Y229" s="585">
        <f>Y221/Y223</f>
        <v>0.33600000000000008</v>
      </c>
      <c r="Z229" s="361"/>
      <c r="AA229" s="367"/>
      <c r="AB229"/>
      <c r="AC229"/>
      <c r="AD229"/>
      <c r="AE229"/>
    </row>
    <row r="230" spans="17:31" ht="12.75" customHeight="1">
      <c r="Q230" s="668"/>
      <c r="R230" s="540" t="s">
        <v>547</v>
      </c>
      <c r="S230" s="540"/>
      <c r="T230" s="540"/>
      <c r="U230" s="540"/>
      <c r="V230" s="585"/>
      <c r="W230" s="586">
        <f>10*W217*W216*W218</f>
        <v>76800</v>
      </c>
      <c r="X230" s="586">
        <f>10*X217*X216*X218</f>
        <v>76800</v>
      </c>
      <c r="Y230" s="586">
        <f>10*Y217*Y216*Y218</f>
        <v>76800</v>
      </c>
      <c r="Z230" s="361"/>
      <c r="AA230" s="367"/>
      <c r="AB230"/>
      <c r="AC230"/>
      <c r="AD230"/>
      <c r="AE230"/>
    </row>
    <row r="231" spans="17:31" ht="12.75" customHeight="1">
      <c r="Q231" s="668"/>
      <c r="R231" s="968" t="s">
        <v>548</v>
      </c>
      <c r="S231" s="968"/>
      <c r="T231" s="968"/>
      <c r="U231" s="968"/>
      <c r="V231" s="585">
        <f>V229</f>
        <v>0.87545454545454526</v>
      </c>
      <c r="W231" s="585">
        <f>W220/W230</f>
        <v>1.3000000000000001E-2</v>
      </c>
      <c r="X231" s="585">
        <f>X220/X230</f>
        <v>1.4799999999999999E-2</v>
      </c>
      <c r="Y231" s="585">
        <f>Y220/Y230</f>
        <v>0.01</v>
      </c>
      <c r="Z231" s="361"/>
      <c r="AA231" s="367"/>
      <c r="AB231"/>
      <c r="AC231"/>
      <c r="AD231"/>
      <c r="AE231"/>
    </row>
    <row r="232" spans="17:31" ht="12.75" customHeight="1">
      <c r="Q232" s="668"/>
      <c r="R232" s="587"/>
      <c r="S232" s="587"/>
      <c r="T232" s="587"/>
      <c r="U232" s="587"/>
      <c r="V232" s="588"/>
      <c r="W232" s="588"/>
      <c r="X232" s="588"/>
      <c r="Y232" s="588"/>
      <c r="Z232" s="589"/>
      <c r="AA232" s="367"/>
      <c r="AB232"/>
      <c r="AC232"/>
      <c r="AD232"/>
      <c r="AE232"/>
    </row>
    <row r="233" spans="17:31" ht="12.75" customHeight="1">
      <c r="Q233" s="668"/>
      <c r="R233" s="587"/>
      <c r="S233" s="587"/>
      <c r="T233" s="587"/>
      <c r="U233" s="587"/>
      <c r="V233" s="676"/>
      <c r="W233" s="676"/>
      <c r="X233" s="676"/>
      <c r="Y233" s="588"/>
      <c r="Z233" s="364"/>
      <c r="AA233" s="367"/>
      <c r="AB233"/>
      <c r="AC233"/>
      <c r="AD233"/>
      <c r="AE233"/>
    </row>
    <row r="234" spans="17:31" ht="12.75" customHeight="1">
      <c r="Q234" s="668" t="s">
        <v>240</v>
      </c>
      <c r="R234" s="364" t="s">
        <v>241</v>
      </c>
      <c r="S234" s="364"/>
      <c r="T234" s="364"/>
      <c r="U234" s="364"/>
      <c r="V234" s="364"/>
      <c r="W234" s="364"/>
      <c r="X234" s="364"/>
      <c r="Y234" s="364"/>
      <c r="Z234" s="364"/>
      <c r="AA234" s="367"/>
      <c r="AB234"/>
      <c r="AC234"/>
      <c r="AD234"/>
      <c r="AE234"/>
    </row>
    <row r="235" spans="17:31" ht="12.75" customHeight="1">
      <c r="Q235" s="364"/>
      <c r="R235" s="962" t="s">
        <v>301</v>
      </c>
      <c r="S235" s="963"/>
      <c r="T235" s="964"/>
      <c r="U235" s="949" t="s">
        <v>500</v>
      </c>
      <c r="V235" s="938" t="s">
        <v>22</v>
      </c>
      <c r="W235" s="940" t="s">
        <v>579</v>
      </c>
      <c r="X235" s="942" t="s">
        <v>21</v>
      </c>
      <c r="Y235" s="361"/>
      <c r="Z235" s="364"/>
      <c r="AA235" s="367"/>
      <c r="AB235"/>
      <c r="AC235"/>
      <c r="AD235"/>
      <c r="AE235"/>
    </row>
    <row r="236" spans="17:31" ht="12.75" customHeight="1">
      <c r="Q236" s="364"/>
      <c r="R236" s="965"/>
      <c r="S236" s="966"/>
      <c r="T236" s="967"/>
      <c r="U236" s="950"/>
      <c r="V236" s="939"/>
      <c r="W236" s="941"/>
      <c r="X236" s="943"/>
      <c r="Y236" s="361"/>
      <c r="Z236" s="364"/>
      <c r="AA236" s="367"/>
      <c r="AB236"/>
      <c r="AC236"/>
      <c r="AD236"/>
      <c r="AE236"/>
    </row>
    <row r="237" spans="17:31" ht="12.75" customHeight="1">
      <c r="Q237" s="364"/>
      <c r="R237" s="931" t="s">
        <v>662</v>
      </c>
      <c r="S237" s="931"/>
      <c r="T237" s="931"/>
      <c r="U237" s="901" t="s">
        <v>427</v>
      </c>
      <c r="V237" s="562">
        <f>VLOOKUP($V$5,'Lookup Air Consumption'!$B$8:$E$208,3)</f>
        <v>38</v>
      </c>
      <c r="W237" s="562">
        <f>VLOOKUP($V$5,'Lookup Air Consumption'!$B$8:$E$208,4)</f>
        <v>50</v>
      </c>
      <c r="X237" s="562">
        <f>VLOOKUP($V$5,'Lookup Air Consumption'!$B$8:$E$208,2)</f>
        <v>41</v>
      </c>
      <c r="Y237" s="361"/>
      <c r="Z237" s="364"/>
      <c r="AA237" s="367"/>
      <c r="AB237"/>
      <c r="AC237"/>
      <c r="AD237"/>
      <c r="AE237"/>
    </row>
    <row r="238" spans="17:31" ht="12.75" customHeight="1">
      <c r="Q238" s="364"/>
      <c r="R238" s="931" t="s">
        <v>663</v>
      </c>
      <c r="S238" s="931"/>
      <c r="T238" s="931"/>
      <c r="U238" s="901"/>
      <c r="V238" s="590">
        <f>V237/1000</f>
        <v>3.7999999999999999E-2</v>
      </c>
      <c r="W238" s="590">
        <f>W237/1000</f>
        <v>0.05</v>
      </c>
      <c r="X238" s="590">
        <f>X237/1000</f>
        <v>4.1000000000000002E-2</v>
      </c>
      <c r="Y238" s="361"/>
      <c r="Z238" s="364"/>
      <c r="AA238" s="367"/>
      <c r="AB238"/>
      <c r="AC238"/>
      <c r="AD238"/>
      <c r="AE238"/>
    </row>
    <row r="239" spans="17:31" ht="12.75" customHeight="1">
      <c r="Q239" s="364"/>
      <c r="R239" s="931" t="s">
        <v>664</v>
      </c>
      <c r="S239" s="931"/>
      <c r="T239" s="931"/>
      <c r="U239" s="901"/>
      <c r="V239" s="560">
        <f>V238*35.31467</f>
        <v>1.3419574599999999</v>
      </c>
      <c r="W239" s="560">
        <f>W238*35.31467</f>
        <v>1.7657335000000001</v>
      </c>
      <c r="X239" s="560">
        <f>X238*35.31467</f>
        <v>1.4479014700000001</v>
      </c>
      <c r="Y239" s="361"/>
      <c r="Z239" s="364"/>
      <c r="AA239" s="367"/>
      <c r="AB239"/>
      <c r="AC239"/>
      <c r="AD239"/>
      <c r="AE239"/>
    </row>
    <row r="240" spans="17:31" ht="12.75" customHeight="1">
      <c r="Q240" s="360"/>
      <c r="R240" s="551"/>
      <c r="S240" s="551"/>
      <c r="T240" s="551"/>
      <c r="U240" s="591"/>
      <c r="V240" s="551"/>
      <c r="W240" s="551"/>
      <c r="X240" s="551"/>
      <c r="Y240" s="361"/>
      <c r="Z240" s="364"/>
      <c r="AA240" s="367"/>
      <c r="AB240"/>
      <c r="AC240"/>
      <c r="AD240"/>
      <c r="AE240"/>
    </row>
    <row r="241" spans="17:31" ht="12.75" customHeight="1">
      <c r="Q241" s="360"/>
      <c r="R241" s="962" t="s">
        <v>302</v>
      </c>
      <c r="S241" s="963"/>
      <c r="T241" s="964"/>
      <c r="U241" s="949" t="s">
        <v>500</v>
      </c>
      <c r="V241" s="938" t="s">
        <v>22</v>
      </c>
      <c r="W241" s="940" t="s">
        <v>579</v>
      </c>
      <c r="X241" s="942" t="s">
        <v>21</v>
      </c>
      <c r="Y241" s="361"/>
      <c r="Z241" s="364"/>
      <c r="AA241" s="367"/>
      <c r="AB241"/>
      <c r="AC241"/>
      <c r="AD241"/>
      <c r="AE241"/>
    </row>
    <row r="242" spans="17:31" ht="12.75" customHeight="1">
      <c r="Q242" s="360"/>
      <c r="R242" s="965"/>
      <c r="S242" s="966"/>
      <c r="T242" s="967"/>
      <c r="U242" s="950"/>
      <c r="V242" s="939"/>
      <c r="W242" s="941"/>
      <c r="X242" s="943"/>
      <c r="Y242" s="361"/>
      <c r="Z242" s="364"/>
      <c r="AA242" s="367"/>
      <c r="AB242"/>
      <c r="AC242"/>
      <c r="AD242"/>
      <c r="AE242"/>
    </row>
    <row r="243" spans="17:31" ht="12.75" customHeight="1">
      <c r="Q243" s="360"/>
      <c r="R243" s="931" t="s">
        <v>662</v>
      </c>
      <c r="S243" s="931"/>
      <c r="T243" s="931"/>
      <c r="U243" s="901" t="s">
        <v>427</v>
      </c>
      <c r="V243" s="549">
        <f t="shared" ref="V243:W245" si="3">V237*$V$23</f>
        <v>6080</v>
      </c>
      <c r="W243" s="549">
        <f t="shared" si="3"/>
        <v>8000</v>
      </c>
      <c r="X243" s="549">
        <f>X237*$V$23</f>
        <v>6560</v>
      </c>
      <c r="Y243" s="361"/>
      <c r="Z243" s="364"/>
      <c r="AA243" s="367"/>
      <c r="AB243"/>
      <c r="AC243"/>
      <c r="AD243"/>
      <c r="AE243"/>
    </row>
    <row r="244" spans="17:31" ht="12.75" customHeight="1">
      <c r="Q244" s="360"/>
      <c r="R244" s="931" t="s">
        <v>663</v>
      </c>
      <c r="S244" s="931"/>
      <c r="T244" s="931"/>
      <c r="U244" s="901"/>
      <c r="V244" s="560">
        <f t="shared" si="3"/>
        <v>6.08</v>
      </c>
      <c r="W244" s="560">
        <f t="shared" si="3"/>
        <v>8</v>
      </c>
      <c r="X244" s="560">
        <f>X238*$V$23</f>
        <v>6.5600000000000005</v>
      </c>
      <c r="Y244" s="361"/>
      <c r="Z244" s="364"/>
      <c r="AA244" s="367"/>
      <c r="AB244"/>
      <c r="AC244"/>
      <c r="AD244"/>
      <c r="AE244"/>
    </row>
    <row r="245" spans="17:31" ht="12.75" customHeight="1">
      <c r="Q245" s="360"/>
      <c r="R245" s="931" t="s">
        <v>664</v>
      </c>
      <c r="S245" s="931"/>
      <c r="T245" s="931"/>
      <c r="U245" s="901"/>
      <c r="V245" s="560">
        <f t="shared" si="3"/>
        <v>214.71319359999998</v>
      </c>
      <c r="W245" s="560">
        <f t="shared" si="3"/>
        <v>282.51736</v>
      </c>
      <c r="X245" s="560">
        <f>X239*$V$23</f>
        <v>231.66423520000001</v>
      </c>
      <c r="Y245" s="361"/>
      <c r="Z245" s="364"/>
      <c r="AA245" s="367"/>
      <c r="AB245"/>
      <c r="AC245"/>
      <c r="AD245"/>
      <c r="AE245"/>
    </row>
    <row r="246" spans="17:31" ht="12.75" customHeight="1">
      <c r="Q246" s="360"/>
      <c r="R246" s="364"/>
      <c r="S246" s="364"/>
      <c r="T246" s="364"/>
      <c r="U246" s="364"/>
      <c r="V246" s="555"/>
      <c r="W246" s="555"/>
      <c r="X246" s="555"/>
      <c r="Y246" s="361"/>
      <c r="Z246" s="364"/>
      <c r="AA246" s="367"/>
      <c r="AB246"/>
      <c r="AC246"/>
      <c r="AD246"/>
      <c r="AE246"/>
    </row>
    <row r="247" spans="17:31" ht="12.75" customHeight="1">
      <c r="Q247" s="360"/>
      <c r="R247" s="962" t="s">
        <v>303</v>
      </c>
      <c r="S247" s="963"/>
      <c r="T247" s="964"/>
      <c r="U247" s="949" t="s">
        <v>500</v>
      </c>
      <c r="V247" s="938" t="s">
        <v>22</v>
      </c>
      <c r="W247" s="940" t="s">
        <v>579</v>
      </c>
      <c r="X247" s="942" t="s">
        <v>21</v>
      </c>
      <c r="Y247" s="361"/>
      <c r="Z247" s="364"/>
      <c r="AA247" s="367"/>
      <c r="AB247"/>
      <c r="AC247"/>
      <c r="AD247"/>
      <c r="AE247"/>
    </row>
    <row r="248" spans="17:31" ht="12.75" customHeight="1">
      <c r="Q248" s="360"/>
      <c r="R248" s="965"/>
      <c r="S248" s="966"/>
      <c r="T248" s="967"/>
      <c r="U248" s="950"/>
      <c r="V248" s="939"/>
      <c r="W248" s="941"/>
      <c r="X248" s="943"/>
      <c r="Y248" s="361"/>
      <c r="Z248" s="364"/>
      <c r="AA248" s="367"/>
      <c r="AB248"/>
      <c r="AC248"/>
      <c r="AD248"/>
      <c r="AE248"/>
    </row>
    <row r="249" spans="17:31" ht="12.75" customHeight="1">
      <c r="Q249" s="563"/>
      <c r="R249" s="951" t="s">
        <v>517</v>
      </c>
      <c r="S249" s="951"/>
      <c r="T249" s="951"/>
      <c r="U249" s="901" t="s">
        <v>427</v>
      </c>
      <c r="V249" s="549">
        <f t="shared" ref="V249:X251" si="4">($V$25/$X$51)*60*V237</f>
        <v>31268571.428571429</v>
      </c>
      <c r="W249" s="549">
        <f t="shared" si="4"/>
        <v>41142857.142857142</v>
      </c>
      <c r="X249" s="549">
        <f t="shared" si="4"/>
        <v>33737142.857142858</v>
      </c>
      <c r="Y249" s="361"/>
      <c r="Z249" s="364"/>
      <c r="AA249" s="367"/>
      <c r="AB249"/>
      <c r="AC249"/>
      <c r="AD249"/>
      <c r="AE249"/>
    </row>
    <row r="250" spans="17:31" ht="12.75" customHeight="1">
      <c r="Q250" s="364"/>
      <c r="R250" s="951" t="s">
        <v>666</v>
      </c>
      <c r="S250" s="951"/>
      <c r="T250" s="951"/>
      <c r="U250" s="901"/>
      <c r="V250" s="549">
        <f t="shared" si="4"/>
        <v>31268.571428571428</v>
      </c>
      <c r="W250" s="549">
        <f t="shared" si="4"/>
        <v>41142.857142857145</v>
      </c>
      <c r="X250" s="549">
        <f t="shared" si="4"/>
        <v>33737.142857142855</v>
      </c>
      <c r="Y250" s="361"/>
      <c r="Z250" s="364"/>
      <c r="AA250" s="367"/>
      <c r="AB250"/>
      <c r="AC250"/>
      <c r="AD250"/>
      <c r="AE250"/>
    </row>
    <row r="251" spans="17:31" ht="12.75" customHeight="1">
      <c r="Q251" s="364"/>
      <c r="R251" s="951" t="s">
        <v>583</v>
      </c>
      <c r="S251" s="951"/>
      <c r="T251" s="951"/>
      <c r="U251" s="901"/>
      <c r="V251" s="549">
        <f t="shared" si="4"/>
        <v>1104239.2813714284</v>
      </c>
      <c r="W251" s="549">
        <f t="shared" si="4"/>
        <v>1452946.422857143</v>
      </c>
      <c r="X251" s="549">
        <f t="shared" si="4"/>
        <v>1191416.0667428572</v>
      </c>
      <c r="Y251" s="361"/>
      <c r="Z251" s="364"/>
      <c r="AA251" s="367"/>
      <c r="AB251"/>
      <c r="AC251"/>
      <c r="AD251"/>
      <c r="AE251"/>
    </row>
    <row r="252" spans="17:31" ht="12.75" customHeight="1">
      <c r="Q252" s="364"/>
      <c r="R252" s="364"/>
      <c r="S252" s="364"/>
      <c r="T252" s="364"/>
      <c r="U252" s="364"/>
      <c r="V252" s="364"/>
      <c r="W252" s="364"/>
      <c r="X252" s="364"/>
      <c r="Y252" s="361"/>
      <c r="Z252" s="364"/>
      <c r="AA252" s="367"/>
      <c r="AB252"/>
      <c r="AC252"/>
      <c r="AD252"/>
      <c r="AE252"/>
    </row>
    <row r="253" spans="17:31" ht="12.75" customHeight="1">
      <c r="Q253" s="668" t="s">
        <v>753</v>
      </c>
      <c r="R253" s="364" t="s">
        <v>300</v>
      </c>
      <c r="S253" s="364"/>
      <c r="T253" s="364"/>
      <c r="U253" s="364"/>
      <c r="V253" s="364"/>
      <c r="W253" s="364"/>
      <c r="X253" s="364"/>
      <c r="Y253" s="361"/>
      <c r="Z253" s="364"/>
      <c r="AA253" s="367"/>
      <c r="AB253"/>
      <c r="AC253"/>
      <c r="AD253"/>
      <c r="AE253"/>
    </row>
    <row r="254" spans="17:31" ht="12.75" customHeight="1">
      <c r="Q254" s="364"/>
      <c r="R254" s="957" t="s">
        <v>669</v>
      </c>
      <c r="S254" s="958"/>
      <c r="T254" s="959"/>
      <c r="U254" s="949" t="s">
        <v>500</v>
      </c>
      <c r="V254" s="938" t="s">
        <v>22</v>
      </c>
      <c r="W254" s="940" t="s">
        <v>579</v>
      </c>
      <c r="X254" s="942" t="s">
        <v>21</v>
      </c>
      <c r="Y254" s="361"/>
      <c r="Z254" s="364"/>
      <c r="AA254" s="367"/>
      <c r="AB254"/>
      <c r="AC254"/>
      <c r="AD254"/>
      <c r="AE254"/>
    </row>
    <row r="255" spans="17:31" ht="12.75" customHeight="1">
      <c r="Q255" s="364"/>
      <c r="R255" s="960"/>
      <c r="S255" s="961"/>
      <c r="T255" s="899"/>
      <c r="U255" s="950"/>
      <c r="V255" s="939"/>
      <c r="W255" s="941"/>
      <c r="X255" s="943"/>
      <c r="Y255" s="361"/>
      <c r="Z255" s="364"/>
      <c r="AA255" s="367"/>
      <c r="AB255"/>
      <c r="AC255"/>
      <c r="AD255"/>
      <c r="AE255"/>
    </row>
    <row r="256" spans="17:31" ht="12.75" customHeight="1">
      <c r="Q256" s="364"/>
      <c r="R256" s="541" t="s">
        <v>80</v>
      </c>
      <c r="S256" s="559"/>
      <c r="T256" s="559"/>
      <c r="U256" s="543">
        <v>6.5</v>
      </c>
      <c r="V256" s="669">
        <f>VLOOKUP($V$5,'Lookup Water Flow'!$B$8:$E$208,3)</f>
        <v>6.9</v>
      </c>
      <c r="W256" s="669">
        <f>VLOOKUP($V$5,'Lookup Water Flow'!$B$8:$E$208,4)</f>
        <v>12.1</v>
      </c>
      <c r="X256" s="669">
        <f>VLOOKUP($V$5,'Lookup Water Flow'!$B$8:$E$208,2)</f>
        <v>12.6</v>
      </c>
      <c r="Y256" s="361"/>
      <c r="Z256" s="364"/>
      <c r="AA256" s="367"/>
      <c r="AB256"/>
      <c r="AC256"/>
      <c r="AD256"/>
      <c r="AE256"/>
    </row>
    <row r="257" spans="17:31" ht="12.75" customHeight="1">
      <c r="Q257" s="364"/>
      <c r="R257" s="951" t="s">
        <v>81</v>
      </c>
      <c r="S257" s="951"/>
      <c r="T257" s="951"/>
      <c r="U257" s="677">
        <f>U256*V23</f>
        <v>1040</v>
      </c>
      <c r="V257" s="678">
        <f>V256*$V$23</f>
        <v>1104</v>
      </c>
      <c r="W257" s="678">
        <f>W256*$V$23</f>
        <v>1936</v>
      </c>
      <c r="X257" s="678">
        <f>X256*$V$23</f>
        <v>2016</v>
      </c>
      <c r="Y257" s="361"/>
      <c r="Z257" s="364"/>
      <c r="AA257" s="367"/>
      <c r="AB257"/>
      <c r="AC257"/>
      <c r="AD257"/>
      <c r="AE257"/>
    </row>
    <row r="258" spans="17:31" ht="12.75" customHeight="1">
      <c r="Q258" s="364"/>
      <c r="R258" s="592" t="s">
        <v>670</v>
      </c>
      <c r="S258" s="559"/>
      <c r="T258" s="559"/>
      <c r="U258" s="549">
        <f>(U256*U56*V24)+(24*2*V24)</f>
        <v>473600</v>
      </c>
      <c r="V258" s="679">
        <f>V256*$X$56*$V$24</f>
        <v>94628.571428571435</v>
      </c>
      <c r="W258" s="679">
        <f>W256*$X$56*$V$24</f>
        <v>165942.85714285713</v>
      </c>
      <c r="X258" s="679">
        <f>X256*$X$56*$V$24</f>
        <v>172800</v>
      </c>
      <c r="Y258" s="361"/>
      <c r="Z258" s="364"/>
      <c r="AA258" s="367"/>
      <c r="AB258"/>
      <c r="AC258"/>
      <c r="AD258"/>
      <c r="AE258"/>
    </row>
    <row r="259" spans="17:31" ht="12.75" customHeight="1">
      <c r="Q259" s="364"/>
      <c r="R259" s="364"/>
      <c r="S259" s="364"/>
      <c r="T259" s="364"/>
      <c r="U259" s="364"/>
      <c r="V259" s="364"/>
      <c r="W259" s="364"/>
      <c r="X259" s="364"/>
      <c r="Y259" s="364"/>
      <c r="Z259" s="364"/>
      <c r="AA259" s="367"/>
      <c r="AB259"/>
      <c r="AC259"/>
      <c r="AD259"/>
      <c r="AE259"/>
    </row>
    <row r="260" spans="17:31" ht="12.75" customHeight="1">
      <c r="Q260" s="680" t="s">
        <v>754</v>
      </c>
      <c r="R260" s="952" t="s">
        <v>309</v>
      </c>
      <c r="S260" s="952"/>
      <c r="T260" s="952"/>
      <c r="U260" s="952"/>
      <c r="V260" s="952"/>
      <c r="W260" s="952"/>
      <c r="X260" s="952"/>
      <c r="Y260" s="952"/>
      <c r="Z260" s="360"/>
      <c r="AA260" s="367"/>
      <c r="AB260"/>
      <c r="AC260"/>
      <c r="AD260"/>
      <c r="AE260"/>
    </row>
    <row r="261" spans="17:31" ht="12.75" customHeight="1">
      <c r="Q261" s="364"/>
      <c r="R261" s="364"/>
      <c r="S261" s="364"/>
      <c r="T261" s="364"/>
      <c r="U261" s="364"/>
      <c r="V261" s="364"/>
      <c r="W261" s="364"/>
      <c r="X261" s="364"/>
      <c r="Y261" s="364"/>
      <c r="Z261" s="364"/>
      <c r="AA261" s="367"/>
      <c r="AB261"/>
      <c r="AC261"/>
      <c r="AD261"/>
      <c r="AE261"/>
    </row>
    <row r="262" spans="17:31" ht="12.75" customHeight="1">
      <c r="Q262" s="668" t="s">
        <v>755</v>
      </c>
      <c r="R262" s="364" t="s">
        <v>239</v>
      </c>
      <c r="S262" s="364"/>
      <c r="T262" s="364"/>
      <c r="U262" s="364"/>
      <c r="V262" s="364"/>
      <c r="W262" s="364"/>
      <c r="X262" s="364"/>
      <c r="Y262" s="364"/>
      <c r="Z262" s="364"/>
      <c r="AA262" s="367"/>
      <c r="AB262"/>
      <c r="AC262"/>
      <c r="AD262"/>
      <c r="AE262"/>
    </row>
    <row r="263" spans="17:31" ht="12.75" customHeight="1">
      <c r="Q263" s="364"/>
      <c r="R263" s="364"/>
      <c r="S263" s="364"/>
      <c r="T263" s="364"/>
      <c r="U263" s="364"/>
      <c r="V263" s="364"/>
      <c r="W263" s="364"/>
      <c r="X263" s="364"/>
      <c r="Y263" s="364"/>
      <c r="Z263" s="364"/>
      <c r="AA263" s="367"/>
      <c r="AB263"/>
      <c r="AC263"/>
      <c r="AD263"/>
      <c r="AE263"/>
    </row>
    <row r="264" spans="17:31" ht="12.75" customHeight="1">
      <c r="Q264" s="364"/>
      <c r="R264" s="953" t="s">
        <v>676</v>
      </c>
      <c r="S264" s="954"/>
      <c r="T264" s="561" t="s">
        <v>320</v>
      </c>
      <c r="U264" s="935" t="s">
        <v>318</v>
      </c>
      <c r="V264" s="935"/>
      <c r="W264" s="681">
        <f>'Compressor Input Data'!G7</f>
        <v>0.19</v>
      </c>
      <c r="X264" s="594"/>
      <c r="Y264" s="595"/>
      <c r="Z264" s="363"/>
      <c r="AA264" s="367"/>
      <c r="AB264"/>
      <c r="AC264"/>
      <c r="AD264"/>
      <c r="AE264"/>
    </row>
    <row r="265" spans="17:31" ht="12.75" customHeight="1">
      <c r="Q265" s="364"/>
      <c r="R265" s="955"/>
      <c r="S265" s="956"/>
      <c r="T265" s="561" t="s">
        <v>321</v>
      </c>
      <c r="U265" s="935" t="s">
        <v>319</v>
      </c>
      <c r="V265" s="935"/>
      <c r="W265" s="681">
        <f>'Compressor Input Data'!G8</f>
        <v>0.33</v>
      </c>
      <c r="X265" s="594"/>
      <c r="Y265" s="595"/>
      <c r="Z265" s="595"/>
      <c r="AA265" s="367"/>
      <c r="AB265"/>
      <c r="AC265"/>
      <c r="AD265"/>
      <c r="AE265"/>
    </row>
    <row r="266" spans="17:31" ht="12.75" customHeight="1">
      <c r="Q266" s="364"/>
      <c r="R266" s="363"/>
      <c r="S266" s="363"/>
      <c r="T266" s="577"/>
      <c r="U266" s="577"/>
      <c r="V266" s="596"/>
      <c r="W266" s="363"/>
      <c r="X266" s="363"/>
      <c r="Y266" s="363"/>
      <c r="Z266" s="363"/>
      <c r="AA266" s="367"/>
      <c r="AB266"/>
      <c r="AC266"/>
      <c r="AD266"/>
      <c r="AE266"/>
    </row>
    <row r="267" spans="17:31" ht="12.75" customHeight="1">
      <c r="Q267" s="364"/>
      <c r="R267" s="935" t="s">
        <v>675</v>
      </c>
      <c r="S267" s="935"/>
      <c r="T267" s="935"/>
      <c r="U267" s="949" t="s">
        <v>500</v>
      </c>
      <c r="V267" s="938" t="s">
        <v>22</v>
      </c>
      <c r="W267" s="940" t="s">
        <v>579</v>
      </c>
      <c r="X267" s="942" t="s">
        <v>21</v>
      </c>
      <c r="Y267" s="361"/>
      <c r="Z267" s="364"/>
      <c r="AA267" s="367"/>
      <c r="AB267"/>
      <c r="AC267"/>
      <c r="AD267"/>
      <c r="AE267"/>
    </row>
    <row r="268" spans="17:31" ht="12.75" customHeight="1">
      <c r="Q268" s="364"/>
      <c r="R268" s="944" t="s">
        <v>320</v>
      </c>
      <c r="S268" s="947"/>
      <c r="T268" s="948"/>
      <c r="U268" s="950"/>
      <c r="V268" s="939"/>
      <c r="W268" s="941"/>
      <c r="X268" s="943"/>
      <c r="Y268" s="361"/>
      <c r="Z268" s="364"/>
      <c r="AA268" s="367"/>
      <c r="AB268"/>
      <c r="AC268"/>
      <c r="AD268"/>
      <c r="AE268"/>
    </row>
    <row r="269" spans="17:31" ht="12.75" customHeight="1">
      <c r="Q269" s="364"/>
      <c r="R269" s="945"/>
      <c r="S269" s="935" t="s">
        <v>306</v>
      </c>
      <c r="T269" s="935"/>
      <c r="U269" s="599">
        <f>U164*$W$264</f>
        <v>178.34666666666669</v>
      </c>
      <c r="V269" s="599">
        <f>V164*$W$264</f>
        <v>14439.999999999998</v>
      </c>
      <c r="W269" s="599">
        <f>W164*$W$264</f>
        <v>12556.521739130432</v>
      </c>
      <c r="X269" s="599">
        <f>X164*$W$264</f>
        <v>10314.285714285712</v>
      </c>
      <c r="Y269" s="361"/>
      <c r="Z269" s="364"/>
      <c r="AA269" s="367"/>
      <c r="AB269"/>
      <c r="AC269"/>
      <c r="AD269"/>
      <c r="AE269"/>
    </row>
    <row r="270" spans="17:31" ht="12.75" customHeight="1">
      <c r="Q270" s="364"/>
      <c r="R270" s="945"/>
      <c r="S270" s="935" t="s">
        <v>307</v>
      </c>
      <c r="T270" s="935"/>
      <c r="U270" s="599">
        <f>U269*$V$11</f>
        <v>4101.9733333333343</v>
      </c>
      <c r="V270" s="599">
        <f>V269*$V$11</f>
        <v>332119.99999999994</v>
      </c>
      <c r="W270" s="599">
        <f>W269*$V$11</f>
        <v>288799.99999999994</v>
      </c>
      <c r="X270" s="599">
        <f>X269*$V$11</f>
        <v>237228.57142857136</v>
      </c>
      <c r="Y270" s="361"/>
      <c r="Z270" s="364"/>
      <c r="AA270" s="367"/>
      <c r="AB270"/>
      <c r="AC270"/>
      <c r="AD270"/>
      <c r="AE270"/>
    </row>
    <row r="271" spans="17:31" ht="12.75" customHeight="1">
      <c r="Q271" s="364"/>
      <c r="R271" s="946"/>
      <c r="S271" s="935" t="s">
        <v>308</v>
      </c>
      <c r="T271" s="935"/>
      <c r="U271" s="599">
        <f>U270*9</f>
        <v>36917.760000000009</v>
      </c>
      <c r="V271" s="599">
        <f>V270*9</f>
        <v>2989079.9999999995</v>
      </c>
      <c r="W271" s="599">
        <f>W270*9</f>
        <v>2599199.9999999995</v>
      </c>
      <c r="X271" s="599">
        <f>X270*9</f>
        <v>2135057.1428571423</v>
      </c>
      <c r="Y271" s="361"/>
      <c r="Z271" s="364"/>
      <c r="AA271" s="367"/>
      <c r="AB271"/>
      <c r="AC271"/>
      <c r="AD271"/>
      <c r="AE271"/>
    </row>
    <row r="272" spans="17:31" ht="12.75" customHeight="1">
      <c r="Q272" s="597"/>
      <c r="R272" s="937"/>
      <c r="S272" s="937"/>
      <c r="T272" s="937"/>
      <c r="U272" s="937"/>
      <c r="V272" s="937"/>
      <c r="W272" s="937"/>
      <c r="X272" s="937"/>
      <c r="Y272" s="364"/>
      <c r="Z272" s="364"/>
      <c r="AA272" s="367"/>
      <c r="AB272"/>
      <c r="AC272"/>
      <c r="AD272"/>
      <c r="AE272"/>
    </row>
    <row r="273" spans="17:31" ht="12.75" customHeight="1">
      <c r="Q273" s="597"/>
      <c r="R273" s="935" t="s">
        <v>675</v>
      </c>
      <c r="S273" s="935"/>
      <c r="T273" s="935"/>
      <c r="U273" s="930" t="s">
        <v>500</v>
      </c>
      <c r="V273" s="928" t="s">
        <v>22</v>
      </c>
      <c r="W273" s="929" t="s">
        <v>579</v>
      </c>
      <c r="X273" s="927" t="s">
        <v>21</v>
      </c>
      <c r="Y273" s="361"/>
      <c r="Z273" s="364"/>
      <c r="AA273" s="367"/>
      <c r="AB273"/>
      <c r="AC273"/>
      <c r="AD273"/>
      <c r="AE273"/>
    </row>
    <row r="274" spans="17:31" ht="12.75" customHeight="1">
      <c r="Q274" s="597"/>
      <c r="R274" s="937" t="s">
        <v>321</v>
      </c>
      <c r="S274" s="937"/>
      <c r="T274" s="937"/>
      <c r="U274" s="930"/>
      <c r="V274" s="928"/>
      <c r="W274" s="929"/>
      <c r="X274" s="927"/>
      <c r="Y274" s="361"/>
      <c r="Z274" s="364"/>
      <c r="AA274" s="367"/>
      <c r="AB274"/>
      <c r="AC274"/>
      <c r="AD274"/>
      <c r="AE274"/>
    </row>
    <row r="275" spans="17:31" ht="12.75" customHeight="1">
      <c r="Q275" s="364"/>
      <c r="R275" s="937"/>
      <c r="S275" s="935" t="s">
        <v>306</v>
      </c>
      <c r="T275" s="935"/>
      <c r="U275" s="599">
        <f>U164*$W$265</f>
        <v>309.76000000000005</v>
      </c>
      <c r="V275" s="599">
        <f>V164*$W$265</f>
        <v>25079.999999999996</v>
      </c>
      <c r="W275" s="599">
        <f>W164*$W$265</f>
        <v>21808.695652173912</v>
      </c>
      <c r="X275" s="599">
        <f>X164*$W$265</f>
        <v>17914.28571428571</v>
      </c>
      <c r="Y275" s="361"/>
      <c r="Z275" s="364"/>
      <c r="AA275" s="367"/>
      <c r="AB275"/>
      <c r="AC275"/>
      <c r="AD275"/>
      <c r="AE275"/>
    </row>
    <row r="276" spans="17:31" ht="12.75" customHeight="1">
      <c r="Q276" s="597"/>
      <c r="R276" s="937"/>
      <c r="S276" s="935" t="s">
        <v>307</v>
      </c>
      <c r="T276" s="935"/>
      <c r="U276" s="599">
        <f>U275*$V$11</f>
        <v>7124.4800000000014</v>
      </c>
      <c r="V276" s="599">
        <f>V275*$V$11</f>
        <v>576839.99999999988</v>
      </c>
      <c r="W276" s="599">
        <f>W275*$V$11</f>
        <v>501600</v>
      </c>
      <c r="X276" s="599">
        <f>X275*$V$11</f>
        <v>412028.57142857136</v>
      </c>
      <c r="Y276" s="361"/>
      <c r="Z276" s="364"/>
      <c r="AA276" s="367"/>
      <c r="AB276"/>
      <c r="AC276"/>
      <c r="AD276"/>
      <c r="AE276"/>
    </row>
    <row r="277" spans="17:31" ht="12.75" customHeight="1">
      <c r="Q277" s="364"/>
      <c r="R277" s="937"/>
      <c r="S277" s="935" t="s">
        <v>308</v>
      </c>
      <c r="T277" s="935"/>
      <c r="U277" s="599">
        <f>U276*3</f>
        <v>21373.440000000002</v>
      </c>
      <c r="V277" s="599">
        <f>V276*3</f>
        <v>1730519.9999999995</v>
      </c>
      <c r="W277" s="599">
        <f>W276*3</f>
        <v>1504800</v>
      </c>
      <c r="X277" s="599">
        <f>X276*3</f>
        <v>1236085.7142857141</v>
      </c>
      <c r="Y277" s="361"/>
      <c r="Z277" s="364"/>
      <c r="AA277" s="367"/>
      <c r="AB277"/>
      <c r="AC277"/>
      <c r="AD277"/>
      <c r="AE277"/>
    </row>
    <row r="278" spans="17:31" ht="12.75" customHeight="1">
      <c r="Q278" s="364"/>
      <c r="R278" s="937"/>
      <c r="S278" s="937"/>
      <c r="T278" s="937"/>
      <c r="U278" s="937"/>
      <c r="V278" s="937"/>
      <c r="W278" s="937"/>
      <c r="X278" s="937"/>
      <c r="Y278" s="364"/>
      <c r="Z278" s="364"/>
      <c r="AA278" s="367"/>
      <c r="AB278"/>
      <c r="AC278"/>
      <c r="AD278"/>
      <c r="AE278"/>
    </row>
    <row r="279" spans="17:31" ht="12.75" customHeight="1">
      <c r="Q279" s="364"/>
      <c r="R279" s="935" t="s">
        <v>675</v>
      </c>
      <c r="S279" s="935"/>
      <c r="T279" s="935"/>
      <c r="U279" s="930" t="s">
        <v>500</v>
      </c>
      <c r="V279" s="928" t="s">
        <v>22</v>
      </c>
      <c r="W279" s="929" t="s">
        <v>579</v>
      </c>
      <c r="X279" s="927" t="s">
        <v>21</v>
      </c>
      <c r="Y279" s="361"/>
      <c r="Z279" s="364"/>
      <c r="AA279" s="367"/>
      <c r="AB279"/>
      <c r="AC279"/>
      <c r="AD279"/>
      <c r="AE279"/>
    </row>
    <row r="280" spans="17:31" ht="12.75" customHeight="1">
      <c r="Q280" s="364"/>
      <c r="R280" s="937" t="s">
        <v>322</v>
      </c>
      <c r="S280" s="937"/>
      <c r="T280" s="937"/>
      <c r="U280" s="930"/>
      <c r="V280" s="928"/>
      <c r="W280" s="929"/>
      <c r="X280" s="927"/>
      <c r="Y280" s="361"/>
      <c r="Z280" s="364"/>
      <c r="AA280" s="367"/>
      <c r="AB280"/>
      <c r="AC280"/>
      <c r="AD280"/>
      <c r="AE280"/>
    </row>
    <row r="281" spans="17:31" ht="12.75" customHeight="1">
      <c r="Q281" s="364"/>
      <c r="R281" s="937"/>
      <c r="S281" s="935" t="s">
        <v>306</v>
      </c>
      <c r="T281" s="935"/>
      <c r="U281" s="599">
        <f>U282/$V$11</f>
        <v>211.20000000000005</v>
      </c>
      <c r="V281" s="599">
        <f>V282/$V$11</f>
        <v>17099.999999999996</v>
      </c>
      <c r="W281" s="599">
        <f>W282/$V$11</f>
        <v>14869.565217391302</v>
      </c>
      <c r="X281" s="599">
        <f>X282/$V$11</f>
        <v>12214.285714285712</v>
      </c>
      <c r="Y281" s="361"/>
      <c r="Z281" s="364"/>
      <c r="AA281" s="367"/>
      <c r="AB281"/>
      <c r="AC281"/>
      <c r="AD281"/>
      <c r="AE281"/>
    </row>
    <row r="282" spans="17:31" ht="12.75" customHeight="1">
      <c r="Q282" s="364"/>
      <c r="R282" s="937"/>
      <c r="S282" s="935" t="s">
        <v>307</v>
      </c>
      <c r="T282" s="935"/>
      <c r="U282" s="599">
        <f>U283/12</f>
        <v>4857.6000000000013</v>
      </c>
      <c r="V282" s="599">
        <f>V283/12</f>
        <v>393299.99999999994</v>
      </c>
      <c r="W282" s="599">
        <f>W283/12</f>
        <v>341999.99999999994</v>
      </c>
      <c r="X282" s="599">
        <f>X283/12</f>
        <v>280928.57142857136</v>
      </c>
      <c r="Y282" s="361"/>
      <c r="Z282" s="364"/>
      <c r="AA282" s="367"/>
      <c r="AB282"/>
      <c r="AC282"/>
      <c r="AD282"/>
      <c r="AE282"/>
    </row>
    <row r="283" spans="17:31" ht="12.75" customHeight="1">
      <c r="Q283" s="364"/>
      <c r="R283" s="937"/>
      <c r="S283" s="935" t="s">
        <v>308</v>
      </c>
      <c r="T283" s="935"/>
      <c r="U283" s="599">
        <f>U271+U277</f>
        <v>58291.200000000012</v>
      </c>
      <c r="V283" s="599">
        <f>V271+V277</f>
        <v>4719599.9999999991</v>
      </c>
      <c r="W283" s="599">
        <f>W271+W277</f>
        <v>4103999.9999999995</v>
      </c>
      <c r="X283" s="599">
        <f>X271+X277</f>
        <v>3371142.8571428563</v>
      </c>
      <c r="Y283" s="361"/>
      <c r="Z283" s="364"/>
      <c r="AA283" s="367"/>
      <c r="AB283"/>
      <c r="AC283"/>
      <c r="AD283"/>
      <c r="AE283"/>
    </row>
    <row r="284" spans="17:31" ht="12.75" customHeight="1">
      <c r="Q284" s="364"/>
      <c r="R284" s="363"/>
      <c r="S284" s="363"/>
      <c r="T284" s="577"/>
      <c r="U284" s="577"/>
      <c r="V284" s="596"/>
      <c r="W284" s="363"/>
      <c r="X284" s="363"/>
      <c r="Y284" s="363"/>
      <c r="Z284" s="363"/>
      <c r="AA284" s="367"/>
      <c r="AB284"/>
      <c r="AC284"/>
      <c r="AD284"/>
      <c r="AE284"/>
    </row>
    <row r="285" spans="17:31" ht="12.75" customHeight="1">
      <c r="Q285" s="668" t="s">
        <v>756</v>
      </c>
      <c r="R285" s="363" t="s">
        <v>758</v>
      </c>
      <c r="S285" s="363"/>
      <c r="T285" s="577"/>
      <c r="U285" s="577"/>
      <c r="V285" s="596"/>
      <c r="W285" s="363"/>
      <c r="X285" s="363"/>
      <c r="Y285" s="363"/>
      <c r="Z285" s="363"/>
      <c r="AA285" s="367"/>
      <c r="AB285"/>
      <c r="AC285"/>
      <c r="AD285"/>
      <c r="AE285"/>
    </row>
    <row r="286" spans="17:31" ht="12.75" customHeight="1">
      <c r="Q286" s="364"/>
      <c r="R286" s="935" t="s">
        <v>678</v>
      </c>
      <c r="S286" s="935"/>
      <c r="T286" s="935"/>
      <c r="U286" s="935"/>
      <c r="V286" s="936" t="s">
        <v>500</v>
      </c>
      <c r="W286" s="936" t="s">
        <v>22</v>
      </c>
      <c r="X286" s="936" t="s">
        <v>579</v>
      </c>
      <c r="Y286" s="936" t="s">
        <v>21</v>
      </c>
      <c r="Z286" s="361"/>
      <c r="AA286" s="367"/>
      <c r="AB286"/>
      <c r="AC286"/>
      <c r="AD286"/>
      <c r="AE286"/>
    </row>
    <row r="287" spans="17:31" ht="12.75" customHeight="1">
      <c r="Q287" s="364"/>
      <c r="R287" s="935"/>
      <c r="S287" s="935"/>
      <c r="T287" s="935"/>
      <c r="U287" s="935"/>
      <c r="V287" s="936"/>
      <c r="W287" s="936"/>
      <c r="X287" s="936"/>
      <c r="Y287" s="936"/>
      <c r="Z287" s="361"/>
      <c r="AA287" s="367"/>
      <c r="AB287"/>
      <c r="AC287"/>
      <c r="AD287"/>
      <c r="AE287"/>
    </row>
    <row r="288" spans="17:31" ht="12.75" customHeight="1">
      <c r="Q288" s="364"/>
      <c r="R288" s="931" t="s">
        <v>35</v>
      </c>
      <c r="S288" s="931"/>
      <c r="T288" s="931"/>
      <c r="U288" s="931"/>
      <c r="V288" s="599">
        <f>AVERAGE(U196:W196)*5%</f>
        <v>1305585.0000000005</v>
      </c>
      <c r="W288" s="599">
        <f>V202*5%</f>
        <v>1533870.0000000005</v>
      </c>
      <c r="X288" s="599">
        <f>W202*5%</f>
        <v>1518480.0000000005</v>
      </c>
      <c r="Y288" s="599">
        <f>X202*5%</f>
        <v>1500158.5714285718</v>
      </c>
      <c r="Z288" s="361"/>
      <c r="AA288" s="367"/>
      <c r="AB288"/>
      <c r="AC288"/>
      <c r="AD288"/>
      <c r="AE288"/>
    </row>
    <row r="289" spans="17:31" ht="12.75" customHeight="1">
      <c r="Q289" s="364"/>
      <c r="R289" s="931" t="s">
        <v>481</v>
      </c>
      <c r="S289" s="931"/>
      <c r="T289" s="931"/>
      <c r="U289" s="931"/>
      <c r="V289" s="600" t="s">
        <v>479</v>
      </c>
      <c r="W289" s="599">
        <f>Y289</f>
        <v>1059840</v>
      </c>
      <c r="X289" s="600" t="s">
        <v>479</v>
      </c>
      <c r="Y289" s="599">
        <f>Consumables!E23*12</f>
        <v>1059840</v>
      </c>
      <c r="Z289" s="361"/>
      <c r="AA289" s="367"/>
      <c r="AB289"/>
      <c r="AC289"/>
      <c r="AD289"/>
      <c r="AE289"/>
    </row>
    <row r="290" spans="17:31" ht="12.75" customHeight="1">
      <c r="Q290" s="364"/>
      <c r="R290" s="931" t="s">
        <v>311</v>
      </c>
      <c r="S290" s="931"/>
      <c r="T290" s="931"/>
      <c r="U290" s="931"/>
      <c r="V290" s="600" t="s">
        <v>557</v>
      </c>
      <c r="W290" s="599">
        <f>Y290</f>
        <v>416000</v>
      </c>
      <c r="X290" s="599">
        <f>W290</f>
        <v>416000</v>
      </c>
      <c r="Y290" s="599">
        <f>Consumables!E21*12</f>
        <v>416000</v>
      </c>
      <c r="Z290" s="361"/>
      <c r="AA290" s="367"/>
      <c r="AB290"/>
      <c r="AC290"/>
      <c r="AD290"/>
      <c r="AE290"/>
    </row>
    <row r="291" spans="17:31" ht="12.75" customHeight="1">
      <c r="Q291" s="364"/>
      <c r="R291" s="931" t="s">
        <v>480</v>
      </c>
      <c r="S291" s="931"/>
      <c r="T291" s="931"/>
      <c r="U291" s="931"/>
      <c r="V291" s="599">
        <f>Consumables!H21*12</f>
        <v>3865001.2800000003</v>
      </c>
      <c r="W291" s="599">
        <v>0</v>
      </c>
      <c r="X291" s="599">
        <v>0</v>
      </c>
      <c r="Y291" s="599">
        <v>0</v>
      </c>
      <c r="Z291" s="361"/>
      <c r="AA291" s="367"/>
      <c r="AB291"/>
      <c r="AC291"/>
      <c r="AD291"/>
      <c r="AE291"/>
    </row>
    <row r="292" spans="17:31" ht="12.75" customHeight="1">
      <c r="Q292" s="364"/>
      <c r="R292" s="931" t="s">
        <v>312</v>
      </c>
      <c r="S292" s="931"/>
      <c r="T292" s="931"/>
      <c r="U292" s="931"/>
      <c r="V292" s="599">
        <f>Consumables!H20*12</f>
        <v>2691993.6000000001</v>
      </c>
      <c r="W292" s="599">
        <f>Y292</f>
        <v>2331648.0000000005</v>
      </c>
      <c r="X292" s="599">
        <f>W292</f>
        <v>2331648.0000000005</v>
      </c>
      <c r="Y292" s="599">
        <f>Consumables!E20*12</f>
        <v>2331648.0000000005</v>
      </c>
      <c r="Z292" s="361"/>
      <c r="AA292" s="367"/>
      <c r="AB292"/>
      <c r="AC292"/>
      <c r="AD292"/>
      <c r="AE292"/>
    </row>
    <row r="293" spans="17:31" ht="12.75" customHeight="1">
      <c r="Q293" s="364"/>
      <c r="R293" s="931" t="s">
        <v>313</v>
      </c>
      <c r="S293" s="931"/>
      <c r="T293" s="931"/>
      <c r="U293" s="931"/>
      <c r="V293" s="599">
        <f>Consumables!H19*12</f>
        <v>1674547.2000000002</v>
      </c>
      <c r="W293" s="599">
        <f>Y293</f>
        <v>1398988.8</v>
      </c>
      <c r="X293" s="599">
        <f>W293</f>
        <v>1398988.8</v>
      </c>
      <c r="Y293" s="599">
        <f>Consumables!E19*12</f>
        <v>1398988.8</v>
      </c>
      <c r="Z293" s="361"/>
      <c r="AA293" s="367"/>
      <c r="AB293"/>
      <c r="AC293"/>
      <c r="AD293"/>
      <c r="AE293"/>
    </row>
    <row r="294" spans="17:31" ht="12.75" customHeight="1">
      <c r="Q294" s="364"/>
      <c r="R294" s="931" t="s">
        <v>190</v>
      </c>
      <c r="S294" s="931"/>
      <c r="T294" s="931"/>
      <c r="U294" s="931"/>
      <c r="V294" s="599">
        <f>Consumables!H22*12</f>
        <v>8294400</v>
      </c>
      <c r="W294" s="599">
        <v>0</v>
      </c>
      <c r="X294" s="599">
        <v>0</v>
      </c>
      <c r="Y294" s="599">
        <v>0</v>
      </c>
      <c r="Z294" s="361"/>
      <c r="AA294" s="367"/>
      <c r="AB294"/>
      <c r="AC294"/>
      <c r="AD294"/>
      <c r="AE294"/>
    </row>
    <row r="295" spans="17:31" ht="12.75" customHeight="1">
      <c r="Q295" s="364"/>
      <c r="R295" s="931" t="s">
        <v>482</v>
      </c>
      <c r="S295" s="931"/>
      <c r="T295" s="931"/>
      <c r="U295" s="931"/>
      <c r="V295" s="599">
        <v>0</v>
      </c>
      <c r="W295" s="599">
        <f>Y295</f>
        <v>199600.00000000003</v>
      </c>
      <c r="X295" s="599">
        <f>W295</f>
        <v>199600.00000000003</v>
      </c>
      <c r="Y295" s="599">
        <f>Consumables!E25*12</f>
        <v>199600.00000000003</v>
      </c>
      <c r="Z295" s="361"/>
      <c r="AA295" s="367"/>
      <c r="AB295"/>
      <c r="AC295"/>
      <c r="AD295"/>
      <c r="AE295"/>
    </row>
    <row r="296" spans="17:31" ht="12.75" customHeight="1">
      <c r="Q296" s="364"/>
      <c r="R296" s="931" t="s">
        <v>483</v>
      </c>
      <c r="S296" s="931"/>
      <c r="T296" s="931"/>
      <c r="U296" s="931"/>
      <c r="V296" s="599">
        <v>0</v>
      </c>
      <c r="W296" s="599">
        <f>Y296</f>
        <v>40600</v>
      </c>
      <c r="X296" s="599">
        <f>W296</f>
        <v>40600</v>
      </c>
      <c r="Y296" s="599">
        <f>Consumables!E24*12</f>
        <v>40600</v>
      </c>
      <c r="Z296" s="361"/>
      <c r="AA296" s="367"/>
      <c r="AB296"/>
      <c r="AC296"/>
      <c r="AD296"/>
      <c r="AE296"/>
    </row>
    <row r="297" spans="17:31" ht="12.75" customHeight="1">
      <c r="Q297" s="364"/>
      <c r="R297" s="931" t="s">
        <v>478</v>
      </c>
      <c r="S297" s="931"/>
      <c r="T297" s="931"/>
      <c r="U297" s="931"/>
      <c r="V297" s="599">
        <f>U283</f>
        <v>58291.200000000012</v>
      </c>
      <c r="W297" s="599">
        <f>V283</f>
        <v>4719599.9999999991</v>
      </c>
      <c r="X297" s="599">
        <f>W283</f>
        <v>4103999.9999999995</v>
      </c>
      <c r="Y297" s="599">
        <f>X283</f>
        <v>3371142.8571428563</v>
      </c>
      <c r="Z297" s="361"/>
      <c r="AA297" s="367"/>
      <c r="AB297"/>
      <c r="AC297"/>
      <c r="AD297"/>
      <c r="AE297"/>
    </row>
    <row r="298" spans="17:31" ht="12.75" customHeight="1">
      <c r="Q298" s="364"/>
      <c r="R298" s="931" t="s">
        <v>484</v>
      </c>
      <c r="S298" s="931"/>
      <c r="T298" s="931"/>
      <c r="U298" s="931"/>
      <c r="V298" s="599">
        <f>'NIHL Compenation Cost'!AD21</f>
        <v>1715167.5</v>
      </c>
      <c r="W298" s="599">
        <f>'NIHL Compenation Cost'!Z21</f>
        <v>989115.00000000012</v>
      </c>
      <c r="X298" s="599">
        <f>'NIHL Compenation Cost'!AB21</f>
        <v>1087325</v>
      </c>
      <c r="Y298" s="599">
        <f>'NIHL Compenation Cost'!X21</f>
        <v>596275</v>
      </c>
      <c r="Z298" s="361"/>
      <c r="AA298" s="367"/>
      <c r="AB298"/>
      <c r="AC298"/>
      <c r="AD298"/>
      <c r="AE298"/>
    </row>
    <row r="299" spans="17:31" ht="12.75" customHeight="1">
      <c r="Q299" s="364"/>
      <c r="R299" s="932" t="s">
        <v>677</v>
      </c>
      <c r="S299" s="932"/>
      <c r="T299" s="932"/>
      <c r="U299" s="932"/>
      <c r="V299" s="599">
        <f>SUM(V288:V298)</f>
        <v>19604985.780000001</v>
      </c>
      <c r="W299" s="599">
        <f>SUM(W288:W298)</f>
        <v>12689261.800000001</v>
      </c>
      <c r="X299" s="599">
        <f>SUM(X288:X298)</f>
        <v>11096641.800000001</v>
      </c>
      <c r="Y299" s="599">
        <f>SUM(Y288:Y298)</f>
        <v>10914253.22857143</v>
      </c>
      <c r="Z299" s="361"/>
      <c r="AA299" s="367"/>
      <c r="AB299"/>
      <c r="AC299"/>
      <c r="AD299"/>
      <c r="AE299"/>
    </row>
    <row r="300" spans="17:31" ht="12.75" customHeight="1">
      <c r="Q300" s="364"/>
      <c r="R300" s="591"/>
      <c r="S300" s="591"/>
      <c r="T300" s="591"/>
      <c r="U300" s="591"/>
      <c r="V300" s="718"/>
      <c r="W300" s="718"/>
      <c r="X300" s="718"/>
      <c r="Y300" s="718"/>
      <c r="Z300" s="361"/>
      <c r="AA300" s="367"/>
      <c r="AB300"/>
      <c r="AC300"/>
      <c r="AD300"/>
      <c r="AE300"/>
    </row>
    <row r="301" spans="17:31" ht="12.75" customHeight="1">
      <c r="Q301" s="364"/>
      <c r="R301" s="591"/>
      <c r="S301" s="591"/>
      <c r="T301" s="933" t="s">
        <v>812</v>
      </c>
      <c r="U301" s="933"/>
      <c r="V301" s="718">
        <f>V299-V294</f>
        <v>11310585.780000001</v>
      </c>
      <c r="W301" s="718">
        <f>W299-W294</f>
        <v>12689261.800000001</v>
      </c>
      <c r="X301" s="718">
        <f>X299-X294</f>
        <v>11096641.800000001</v>
      </c>
      <c r="Y301" s="718">
        <f>Y299-Y294</f>
        <v>10914253.22857143</v>
      </c>
      <c r="Z301" s="361"/>
      <c r="AA301" s="367"/>
      <c r="AB301"/>
      <c r="AC301"/>
      <c r="AD301"/>
      <c r="AE301"/>
    </row>
    <row r="302" spans="17:31" ht="12.75" customHeight="1">
      <c r="Q302" s="364"/>
      <c r="R302" s="364"/>
      <c r="S302" s="364"/>
      <c r="T302" s="934" t="s">
        <v>350</v>
      </c>
      <c r="U302" s="934"/>
      <c r="V302" s="682">
        <f>V294</f>
        <v>8294400</v>
      </c>
      <c r="W302" s="682"/>
      <c r="X302" s="682"/>
      <c r="Y302" s="682"/>
      <c r="Z302" s="364"/>
      <c r="AA302" s="367"/>
      <c r="AB302"/>
      <c r="AC302"/>
      <c r="AD302"/>
      <c r="AE302"/>
    </row>
    <row r="303" spans="17:31" ht="12.75" customHeight="1">
      <c r="Q303" s="364">
        <v>10.3</v>
      </c>
      <c r="R303" s="363"/>
      <c r="S303" s="364"/>
      <c r="T303" s="364"/>
      <c r="U303" s="364"/>
      <c r="V303" s="682"/>
      <c r="W303" s="364"/>
      <c r="X303" s="362"/>
      <c r="Y303" s="682"/>
      <c r="Z303" s="364"/>
      <c r="AA303" s="367"/>
      <c r="AB303"/>
      <c r="AC303"/>
      <c r="AD303"/>
      <c r="AE303"/>
    </row>
    <row r="304" spans="17:31" ht="12.75" customHeight="1">
      <c r="Q304" s="364"/>
      <c r="R304" s="364"/>
      <c r="S304" s="364"/>
      <c r="T304" s="364"/>
      <c r="U304" s="364"/>
      <c r="V304" s="364"/>
      <c r="W304" s="364"/>
      <c r="X304" s="364"/>
      <c r="Y304" s="364"/>
      <c r="Z304" s="364"/>
      <c r="AA304" s="367"/>
      <c r="AB304"/>
      <c r="AC304"/>
      <c r="AD304"/>
      <c r="AE304"/>
    </row>
    <row r="305" spans="17:31" ht="12.75" customHeight="1">
      <c r="Q305" s="364"/>
      <c r="R305" s="935" t="s">
        <v>195</v>
      </c>
      <c r="S305" s="935"/>
      <c r="T305" s="935"/>
      <c r="U305" s="935"/>
      <c r="V305" s="935"/>
      <c r="W305" s="375"/>
      <c r="X305" s="683"/>
      <c r="Y305" s="375"/>
      <c r="Z305" s="375"/>
      <c r="AA305" s="367"/>
      <c r="AB305"/>
      <c r="AC305"/>
      <c r="AD305"/>
      <c r="AE305"/>
    </row>
    <row r="306" spans="17:31" ht="12.75" customHeight="1">
      <c r="Q306" s="364"/>
      <c r="R306" s="926" t="s">
        <v>509</v>
      </c>
      <c r="S306" s="927" t="s">
        <v>21</v>
      </c>
      <c r="T306" s="928" t="s">
        <v>22</v>
      </c>
      <c r="U306" s="929" t="s">
        <v>579</v>
      </c>
      <c r="V306" s="930" t="s">
        <v>500</v>
      </c>
      <c r="W306" s="363"/>
      <c r="X306" s="684"/>
      <c r="Y306" s="363"/>
      <c r="Z306" s="364"/>
      <c r="AA306" s="367"/>
      <c r="AB306"/>
      <c r="AC306"/>
      <c r="AD306"/>
      <c r="AE306"/>
    </row>
    <row r="307" spans="17:31" ht="12.75" customHeight="1">
      <c r="Q307" s="364"/>
      <c r="R307" s="926"/>
      <c r="S307" s="927"/>
      <c r="T307" s="928"/>
      <c r="U307" s="929"/>
      <c r="V307" s="930"/>
      <c r="W307" s="363"/>
      <c r="X307" s="684"/>
      <c r="Y307" s="363"/>
      <c r="Z307" s="364"/>
      <c r="AA307" s="367"/>
      <c r="AB307"/>
      <c r="AC307"/>
      <c r="AD307"/>
      <c r="AE307"/>
    </row>
    <row r="308" spans="17:31" ht="12.75" customHeight="1">
      <c r="Q308" s="364"/>
      <c r="R308" s="667" t="s">
        <v>204</v>
      </c>
      <c r="S308" s="667" t="s">
        <v>846</v>
      </c>
      <c r="T308" s="667" t="s">
        <v>846</v>
      </c>
      <c r="U308" s="667" t="s">
        <v>846</v>
      </c>
      <c r="V308" s="667" t="s">
        <v>846</v>
      </c>
      <c r="W308" s="363"/>
      <c r="X308" s="363"/>
      <c r="Y308" s="363"/>
      <c r="Z308" s="364"/>
      <c r="AA308" s="367"/>
      <c r="AB308"/>
      <c r="AC308"/>
      <c r="AD308"/>
      <c r="AE308"/>
    </row>
    <row r="309" spans="17:31" ht="12.75" customHeight="1">
      <c r="Q309" s="364"/>
      <c r="R309" s="600">
        <v>1</v>
      </c>
      <c r="S309" s="369">
        <f>$X$69</f>
        <v>116</v>
      </c>
      <c r="T309" s="584">
        <f>$V$69</f>
        <v>108</v>
      </c>
      <c r="U309" s="685">
        <f>$W$69</f>
        <v>109</v>
      </c>
      <c r="V309" s="369">
        <f>$U$69</f>
        <v>102</v>
      </c>
      <c r="W309" s="363"/>
      <c r="X309" s="363"/>
      <c r="Y309" s="363"/>
      <c r="Z309" s="364"/>
      <c r="AA309" s="367"/>
      <c r="AB309"/>
      <c r="AC309"/>
      <c r="AD309"/>
      <c r="AE309"/>
    </row>
    <row r="310" spans="17:31" ht="12.75" customHeight="1">
      <c r="Q310" s="364"/>
      <c r="R310" s="600">
        <v>2</v>
      </c>
      <c r="S310" s="584">
        <f>(LOG((10^(S309/10))+(10^(S309/10))))*10</f>
        <v>119.01029995663983</v>
      </c>
      <c r="T310" s="584">
        <f>(LOG((10^(T309/10))+(10^(T309/10))))*10</f>
        <v>111.01029995663981</v>
      </c>
      <c r="U310" s="584">
        <f>(LOG((10^(U309/10))+(10^(U309/10))))*10</f>
        <v>112.01029995663981</v>
      </c>
      <c r="V310" s="584">
        <f>(LOG((10^(V309/10))+(10^(V309/10))))*10</f>
        <v>105.01029995663983</v>
      </c>
      <c r="W310" s="363"/>
      <c r="X310" s="363"/>
      <c r="Y310" s="363"/>
      <c r="Z310" s="364"/>
      <c r="AA310" s="367"/>
      <c r="AB310"/>
      <c r="AC310"/>
      <c r="AD310"/>
      <c r="AE310"/>
    </row>
    <row r="311" spans="17:31" ht="12.75" customHeight="1">
      <c r="Q311" s="597"/>
      <c r="R311" s="600">
        <v>3</v>
      </c>
      <c r="S311" s="584">
        <f>(LOG((10^(S309/10))+(10^(S309/10))+(10^(S309/10)))*10)</f>
        <v>120.77121254719664</v>
      </c>
      <c r="T311" s="584">
        <f>(LOG((10^(T309/10))+(10^(T309/10))+(10^(T309/10)))*10)</f>
        <v>112.77121254719663</v>
      </c>
      <c r="U311" s="584">
        <f>(LOG((10^(U309/10))+(10^(U309/10))+(10^(U309/10)))*10)</f>
        <v>113.77121254719663</v>
      </c>
      <c r="V311" s="584">
        <f>(LOG((10^(V309/10))+(10^(V309/10))+(10^(V309/10)))*10)</f>
        <v>106.77121254719664</v>
      </c>
      <c r="W311" s="363"/>
      <c r="X311" s="363"/>
      <c r="Y311" s="363"/>
      <c r="Z311" s="364"/>
      <c r="AA311" s="367"/>
      <c r="AB311"/>
      <c r="AC311"/>
      <c r="AD311"/>
      <c r="AE311"/>
    </row>
    <row r="312" spans="17:31" ht="12.75" customHeight="1">
      <c r="Q312" s="364"/>
      <c r="R312" s="600">
        <v>4</v>
      </c>
      <c r="S312" s="584">
        <f>(LOG((10^(S309/10))+(10^(S309/10))+(10^(S309/10))+(10^(S309/10))))*10</f>
        <v>122.02059991327964</v>
      </c>
      <c r="T312" s="584">
        <f>(LOG((10^(T309/10))+(10^(T309/10))+(10^(T309/10))+(10^(T309/10))))*10</f>
        <v>114.02059991327963</v>
      </c>
      <c r="U312" s="584">
        <f>(LOG((10^(U309/10))+(10^(U309/10))+(10^(U309/10))+(10^(U309/10))))*10</f>
        <v>115.02059991327963</v>
      </c>
      <c r="V312" s="584">
        <f>(LOG((10^(V309/10))+(10^(V309/10))+(10^(V309/10))+(10^(V309/10))))*10</f>
        <v>108.02059991327964</v>
      </c>
      <c r="W312" s="363"/>
      <c r="X312" s="363"/>
      <c r="Y312" s="363"/>
      <c r="Z312" s="364"/>
      <c r="AA312" s="367"/>
      <c r="AB312"/>
      <c r="AC312"/>
      <c r="AD312"/>
      <c r="AE312"/>
    </row>
    <row r="313" spans="17:31" ht="12.75" customHeight="1">
      <c r="Q313" s="364"/>
      <c r="R313" s="600">
        <v>5</v>
      </c>
      <c r="S313" s="584">
        <f>(LOG((10^(S309/10))+(10^(S309/10))+(10^(S309/10))+(10^(S309/10))+(10^(S309/10))))*10</f>
        <v>122.9897000433602</v>
      </c>
      <c r="T313" s="584">
        <f>(LOG((10^(T309/10))+(10^(T309/10))+(10^(T309/10))+(10^(T309/10))+(10^(T309/10))))*10</f>
        <v>114.98970004336019</v>
      </c>
      <c r="U313" s="584">
        <f>(LOG((10^(U309/10))+(10^(U309/10))+(10^(U309/10))+(10^(U309/10))+(10^(U309/10))))*10</f>
        <v>115.98970004336019</v>
      </c>
      <c r="V313" s="584">
        <f>(LOG((10^(V309/10))+(10^(V309/10))+(10^(V309/10))+(10^(V309/10))+(10^(V309/10))))*10</f>
        <v>108.9897000433602</v>
      </c>
      <c r="W313" s="363"/>
      <c r="X313" s="363"/>
      <c r="Y313" s="363"/>
      <c r="Z313" s="364"/>
      <c r="AA313" s="367"/>
      <c r="AB313"/>
      <c r="AC313"/>
      <c r="AD313"/>
      <c r="AE313"/>
    </row>
    <row r="314" spans="17:31" ht="12.75" customHeight="1">
      <c r="Q314" s="364"/>
      <c r="R314" s="600">
        <v>6</v>
      </c>
      <c r="S314" s="584">
        <f>(LOG((10^(S309/10))+(10^(S309/10))+(10^(S309/10))+(10^(S309/10))+(10^(S309/10))+(10^(S309/10)))*10)</f>
        <v>123.78151250383645</v>
      </c>
      <c r="T314" s="584">
        <f>(LOG((10^(T309/10))+(10^(T309/10))+(10^(T309/10))+(10^(T309/10))+(10^(T309/10))+(10^(T309/10)))*10)</f>
        <v>115.78151250383644</v>
      </c>
      <c r="U314" s="584">
        <f>(LOG((10^(U309/10))+(10^(U309/10))+(10^(U309/10))+(10^(U309/10))+(10^(U309/10))+(10^(U309/10)))*10)</f>
        <v>116.78151250383644</v>
      </c>
      <c r="V314" s="584">
        <f>(LOG((10^(V309/10))+(10^(V309/10))+(10^(V309/10))+(10^(V309/10))+(10^(V309/10))+(10^(V309/10)))*10)</f>
        <v>109.78151250383645</v>
      </c>
      <c r="W314" s="363"/>
      <c r="X314" s="363"/>
      <c r="Y314" s="363"/>
      <c r="Z314" s="364"/>
      <c r="AA314" s="367"/>
      <c r="AB314"/>
      <c r="AC314"/>
      <c r="AD314"/>
      <c r="AE314"/>
    </row>
    <row r="315" spans="17:31" ht="12.75" customHeight="1" thickBot="1">
      <c r="Q315" s="364"/>
      <c r="R315" s="364"/>
      <c r="S315" s="364"/>
      <c r="T315" s="364"/>
      <c r="U315" s="364"/>
      <c r="V315" s="364"/>
      <c r="W315" s="364"/>
      <c r="X315" s="364"/>
      <c r="Y315" s="364"/>
      <c r="Z315" s="364"/>
      <c r="AA315" s="367"/>
      <c r="AB315"/>
      <c r="AC315"/>
      <c r="AD315"/>
      <c r="AE315"/>
    </row>
    <row r="316" spans="17:31" ht="12.75" customHeight="1" thickTop="1">
      <c r="Q316" s="364"/>
      <c r="R316" s="916" t="s">
        <v>428</v>
      </c>
      <c r="S316" s="917"/>
      <c r="T316" s="917"/>
      <c r="U316" s="917"/>
      <c r="V316" s="917"/>
      <c r="W316" s="918"/>
      <c r="X316" s="364"/>
      <c r="Y316" s="364"/>
      <c r="Z316" s="364"/>
      <c r="AA316" s="367"/>
      <c r="AB316"/>
      <c r="AC316"/>
      <c r="AD316"/>
      <c r="AE316"/>
    </row>
    <row r="317" spans="17:31" ht="12.75" customHeight="1">
      <c r="Q317" s="364"/>
      <c r="R317" s="919"/>
      <c r="S317" s="920"/>
      <c r="T317" s="920"/>
      <c r="U317" s="920"/>
      <c r="V317" s="920"/>
      <c r="W317" s="921"/>
      <c r="X317" s="364"/>
      <c r="Y317" s="364"/>
      <c r="Z317" s="364"/>
      <c r="AA317" s="367"/>
      <c r="AB317"/>
      <c r="AC317"/>
      <c r="AD317"/>
      <c r="AE317"/>
    </row>
    <row r="318" spans="17:31" ht="12.75" customHeight="1" thickBot="1">
      <c r="Q318" s="364"/>
      <c r="R318" s="922"/>
      <c r="S318" s="923"/>
      <c r="T318" s="923"/>
      <c r="U318" s="923"/>
      <c r="V318" s="923"/>
      <c r="W318" s="924"/>
      <c r="X318" s="364"/>
      <c r="Y318" s="364"/>
      <c r="Z318" s="364"/>
      <c r="AA318" s="367"/>
      <c r="AB318"/>
      <c r="AC318"/>
      <c r="AD318"/>
      <c r="AE318"/>
    </row>
    <row r="319" spans="17:31" ht="12.75" customHeight="1" thickTop="1">
      <c r="Q319" s="364"/>
      <c r="R319" s="925" t="str">
        <f>S306</f>
        <v>Seco S215</v>
      </c>
      <c r="S319" s="925"/>
      <c r="T319" s="925"/>
      <c r="U319" s="925"/>
      <c r="V319" s="925"/>
      <c r="W319" s="925"/>
      <c r="X319" s="364"/>
      <c r="Y319" s="364"/>
      <c r="Z319" s="364"/>
      <c r="AA319" s="367"/>
      <c r="AB319"/>
      <c r="AC319"/>
      <c r="AD319"/>
      <c r="AE319"/>
    </row>
    <row r="320" spans="17:31" ht="12.75" customHeight="1" thickBot="1">
      <c r="Q320" s="364"/>
      <c r="R320" s="910" t="s">
        <v>205</v>
      </c>
      <c r="S320" s="911"/>
      <c r="T320" s="911"/>
      <c r="U320" s="911"/>
      <c r="V320" s="911"/>
      <c r="W320" s="912"/>
      <c r="X320" s="364"/>
      <c r="Y320" s="364"/>
      <c r="Z320" s="364"/>
      <c r="AA320" s="367"/>
      <c r="AB320"/>
      <c r="AC320"/>
      <c r="AD320"/>
      <c r="AE320"/>
    </row>
    <row r="321" spans="17:31" ht="12.75" customHeight="1" thickBot="1">
      <c r="Q321" s="364"/>
      <c r="R321" s="686" t="s">
        <v>59</v>
      </c>
      <c r="S321" s="577"/>
      <c r="T321" s="687"/>
      <c r="U321" s="687"/>
      <c r="V321" s="687"/>
      <c r="W321" s="688"/>
      <c r="X321" s="364"/>
      <c r="Y321" s="364"/>
      <c r="Z321" s="364"/>
      <c r="AA321" s="367"/>
      <c r="AB321"/>
      <c r="AC321"/>
      <c r="AD321"/>
      <c r="AE321"/>
    </row>
    <row r="322" spans="17:31" ht="12.75" customHeight="1">
      <c r="Q322" s="364"/>
      <c r="R322" s="895" t="s">
        <v>845</v>
      </c>
      <c r="S322" s="896"/>
      <c r="T322" s="900" t="s">
        <v>835</v>
      </c>
      <c r="U322" s="900" t="s">
        <v>836</v>
      </c>
      <c r="V322" s="900" t="s">
        <v>837</v>
      </c>
      <c r="W322" s="902" t="s">
        <v>838</v>
      </c>
      <c r="X322" s="364"/>
      <c r="Y322" s="364"/>
      <c r="Z322" s="364"/>
      <c r="AA322" s="367"/>
      <c r="AB322"/>
      <c r="AC322"/>
      <c r="AD322"/>
      <c r="AE322"/>
    </row>
    <row r="323" spans="17:31" ht="12.75" customHeight="1">
      <c r="Q323" s="364"/>
      <c r="R323" s="892"/>
      <c r="S323" s="897"/>
      <c r="T323" s="904"/>
      <c r="U323" s="904"/>
      <c r="V323" s="904"/>
      <c r="W323" s="905"/>
      <c r="X323" s="364"/>
      <c r="Y323" s="364"/>
      <c r="Z323" s="364"/>
      <c r="AA323" s="367"/>
      <c r="AB323"/>
      <c r="AC323"/>
      <c r="AD323"/>
      <c r="AE323"/>
    </row>
    <row r="324" spans="17:31" ht="12.75" customHeight="1">
      <c r="Q324" s="364"/>
      <c r="R324" s="892"/>
      <c r="S324" s="897"/>
      <c r="T324" s="901"/>
      <c r="U324" s="901"/>
      <c r="V324" s="901"/>
      <c r="W324" s="903"/>
      <c r="X324" s="364"/>
      <c r="Y324" s="364"/>
      <c r="Z324" s="364"/>
      <c r="AA324" s="367"/>
      <c r="AB324"/>
      <c r="AC324"/>
      <c r="AD324"/>
      <c r="AE324"/>
    </row>
    <row r="325" spans="17:31" ht="12.75" customHeight="1">
      <c r="Q325" s="364"/>
      <c r="R325" s="892"/>
      <c r="S325" s="897"/>
      <c r="T325" s="689">
        <f>X69</f>
        <v>116</v>
      </c>
      <c r="U325" s="560">
        <f>X62</f>
        <v>1.4285714285714284</v>
      </c>
      <c r="V325" s="690">
        <f>IF(T325&gt;0,W325*U325," ")</f>
        <v>22857.142857142855</v>
      </c>
      <c r="W325" s="691">
        <f>IF(T325&gt;0,(VLOOKUP(T325,'Lookup Ready-reckoner'!$B$5:$E$1207,4))," ")</f>
        <v>16000</v>
      </c>
      <c r="X325" s="364"/>
      <c r="Y325" s="364"/>
      <c r="Z325" s="364"/>
      <c r="AA325" s="367"/>
      <c r="AB325"/>
      <c r="AC325"/>
      <c r="AD325"/>
      <c r="AE325"/>
    </row>
    <row r="326" spans="17:31" ht="12.75" customHeight="1">
      <c r="Q326" s="364"/>
      <c r="R326" s="898"/>
      <c r="S326" s="899"/>
      <c r="T326" s="447"/>
      <c r="U326" s="560"/>
      <c r="V326" s="690" t="str">
        <f>IF(T326&gt;0,W326*U326," ")</f>
        <v xml:space="preserve"> </v>
      </c>
      <c r="W326" s="691" t="str">
        <f>IF(T326&gt;0,(VLOOKUP(T326,'Lookup Ready-reckoner'!$B$5:$E$1007,4))," ")</f>
        <v xml:space="preserve"> </v>
      </c>
      <c r="X326" s="364"/>
      <c r="Y326" s="364"/>
      <c r="Z326" s="364"/>
      <c r="AA326" s="367"/>
      <c r="AB326"/>
      <c r="AC326"/>
      <c r="AD326"/>
      <c r="AE326"/>
    </row>
    <row r="327" spans="17:31" ht="12.75" customHeight="1" thickBot="1">
      <c r="Q327" s="364"/>
      <c r="R327" s="692" t="s">
        <v>839</v>
      </c>
      <c r="S327" s="693"/>
      <c r="T327" s="693"/>
      <c r="U327" s="694">
        <f>IF(T325&gt;0,(VLOOKUP(V327,'Lookup Ready-reckoner'!$L$5:$M$1207,2))," ")</f>
        <v>108.5</v>
      </c>
      <c r="V327" s="695">
        <f>IF(U325&gt;0,(SUM(V325:V326))," ")</f>
        <v>22857.142857142855</v>
      </c>
      <c r="W327" s="696"/>
      <c r="X327" s="364"/>
      <c r="Y327" s="364"/>
      <c r="Z327" s="364"/>
      <c r="AA327" s="367"/>
      <c r="AB327"/>
      <c r="AC327"/>
      <c r="AD327"/>
      <c r="AE327"/>
    </row>
    <row r="328" spans="17:31" ht="12.75" customHeight="1" thickBot="1">
      <c r="Q328" s="364"/>
      <c r="R328" s="892"/>
      <c r="S328" s="893"/>
      <c r="T328" s="893"/>
      <c r="U328" s="893"/>
      <c r="V328" s="893"/>
      <c r="W328" s="894"/>
      <c r="X328" s="364"/>
      <c r="Y328" s="364"/>
      <c r="Z328" s="364"/>
      <c r="AA328" s="367"/>
      <c r="AB328"/>
      <c r="AC328"/>
      <c r="AD328"/>
      <c r="AE328"/>
    </row>
    <row r="329" spans="17:31" ht="12.75" customHeight="1">
      <c r="Q329" s="364"/>
      <c r="R329" s="895" t="s">
        <v>886</v>
      </c>
      <c r="S329" s="896"/>
      <c r="T329" s="900" t="s">
        <v>835</v>
      </c>
      <c r="U329" s="900" t="s">
        <v>836</v>
      </c>
      <c r="V329" s="900" t="s">
        <v>837</v>
      </c>
      <c r="W329" s="902" t="s">
        <v>838</v>
      </c>
      <c r="X329" s="364"/>
      <c r="Y329" s="364"/>
      <c r="Z329" s="364"/>
      <c r="AA329" s="367"/>
      <c r="AB329"/>
      <c r="AC329"/>
      <c r="AD329"/>
      <c r="AE329"/>
    </row>
    <row r="330" spans="17:31" ht="12.75" customHeight="1">
      <c r="Q330" s="364"/>
      <c r="R330" s="892"/>
      <c r="S330" s="897"/>
      <c r="T330" s="901"/>
      <c r="U330" s="901"/>
      <c r="V330" s="901"/>
      <c r="W330" s="903"/>
      <c r="X330" s="364"/>
      <c r="Y330" s="364"/>
      <c r="Z330" s="364"/>
      <c r="AA330" s="367"/>
      <c r="AB330"/>
      <c r="AC330"/>
      <c r="AD330"/>
      <c r="AE330"/>
    </row>
    <row r="331" spans="17:31" ht="12.75" customHeight="1">
      <c r="Q331" s="364"/>
      <c r="R331" s="892"/>
      <c r="S331" s="897"/>
      <c r="T331" s="689">
        <f>T325*(1-0.0178*2)</f>
        <v>111.8704</v>
      </c>
      <c r="U331" s="560">
        <f>U325</f>
        <v>1.4285714285714284</v>
      </c>
      <c r="V331" s="690">
        <f>IF(T331&gt;0,W331*U331," ")</f>
        <v>8842.8571428571413</v>
      </c>
      <c r="W331" s="691">
        <f>IF(T331&gt;0,(VLOOKUP(T331,'Lookup Ready-reckoner'!$B$5:$E$1207,4))," ")</f>
        <v>6190</v>
      </c>
      <c r="X331" s="364"/>
      <c r="Y331" s="364"/>
      <c r="Z331" s="364"/>
      <c r="AA331" s="367"/>
      <c r="AB331"/>
      <c r="AC331"/>
      <c r="AD331"/>
      <c r="AE331"/>
    </row>
    <row r="332" spans="17:31" ht="12.75" customHeight="1">
      <c r="Q332" s="364"/>
      <c r="R332" s="898"/>
      <c r="S332" s="899"/>
      <c r="T332" s="447"/>
      <c r="U332" s="560"/>
      <c r="V332" s="690" t="str">
        <f>IF(T332&gt;0,W332*U332," ")</f>
        <v xml:space="preserve"> </v>
      </c>
      <c r="W332" s="691" t="str">
        <f>IF(T332&gt;0,(VLOOKUP(T332,'Lookup Ready-reckoner'!$B$5:$E$1007,4))," ")</f>
        <v xml:space="preserve"> </v>
      </c>
      <c r="X332" s="364"/>
      <c r="Y332" s="364"/>
      <c r="Z332" s="364"/>
      <c r="AA332" s="367"/>
      <c r="AB332"/>
      <c r="AC332"/>
      <c r="AD332"/>
      <c r="AE332"/>
    </row>
    <row r="333" spans="17:31" ht="12.75" customHeight="1" thickBot="1">
      <c r="Q333" s="364"/>
      <c r="R333" s="692" t="s">
        <v>839</v>
      </c>
      <c r="S333" s="693"/>
      <c r="T333" s="693"/>
      <c r="U333" s="694">
        <f>IF(T331&gt;0,(VLOOKUP(V333,'Lookup Ready-reckoner'!$L$5:$M$1207,2))," ")</f>
        <v>104.4</v>
      </c>
      <c r="V333" s="695">
        <f>IF(U331&gt;0,(SUM(V331:V332))," ")</f>
        <v>8842.8571428571413</v>
      </c>
      <c r="W333" s="696"/>
      <c r="X333" s="364"/>
      <c r="Y333" s="364"/>
      <c r="Z333" s="364"/>
      <c r="AA333" s="367"/>
      <c r="AB333"/>
      <c r="AC333"/>
      <c r="AD333"/>
      <c r="AE333"/>
    </row>
    <row r="334" spans="17:31" ht="12.75" customHeight="1">
      <c r="Q334" s="364"/>
      <c r="R334" s="697"/>
      <c r="S334" s="687"/>
      <c r="T334" s="687"/>
      <c r="U334" s="372"/>
      <c r="V334" s="374"/>
      <c r="W334" s="688"/>
      <c r="X334" s="364"/>
      <c r="Y334" s="364"/>
      <c r="Z334" s="364"/>
      <c r="AA334" s="367"/>
      <c r="AB334"/>
      <c r="AC334"/>
      <c r="AD334"/>
      <c r="AE334"/>
    </row>
    <row r="335" spans="17:31" ht="12.75" customHeight="1" thickBot="1">
      <c r="Q335" s="364"/>
      <c r="R335" s="686" t="s">
        <v>60</v>
      </c>
      <c r="S335" s="577"/>
      <c r="T335" s="577"/>
      <c r="U335" s="577"/>
      <c r="V335" s="577"/>
      <c r="W335" s="698"/>
      <c r="X335" s="364"/>
      <c r="Y335" s="364"/>
      <c r="Z335" s="364"/>
      <c r="AA335" s="367"/>
      <c r="AB335"/>
      <c r="AC335"/>
      <c r="AD335"/>
      <c r="AE335"/>
    </row>
    <row r="336" spans="17:31" ht="12.75" customHeight="1">
      <c r="Q336" s="364"/>
      <c r="R336" s="895" t="s">
        <v>845</v>
      </c>
      <c r="S336" s="896"/>
      <c r="T336" s="900" t="s">
        <v>835</v>
      </c>
      <c r="U336" s="900" t="s">
        <v>836</v>
      </c>
      <c r="V336" s="900" t="s">
        <v>837</v>
      </c>
      <c r="W336" s="902" t="s">
        <v>838</v>
      </c>
      <c r="X336" s="364"/>
      <c r="Y336" s="364"/>
      <c r="Z336" s="364"/>
      <c r="AA336" s="367"/>
      <c r="AB336"/>
      <c r="AC336"/>
      <c r="AD336"/>
      <c r="AE336"/>
    </row>
    <row r="337" spans="17:31" ht="12.75" customHeight="1">
      <c r="Q337" s="364"/>
      <c r="R337" s="892"/>
      <c r="S337" s="897"/>
      <c r="T337" s="901"/>
      <c r="U337" s="901"/>
      <c r="V337" s="901"/>
      <c r="W337" s="903"/>
      <c r="X337" s="364"/>
      <c r="Y337" s="364"/>
      <c r="Z337" s="364"/>
      <c r="AA337" s="367"/>
      <c r="AB337"/>
      <c r="AC337"/>
      <c r="AD337"/>
      <c r="AE337"/>
    </row>
    <row r="338" spans="17:31" ht="12.75" customHeight="1">
      <c r="Q338" s="364"/>
      <c r="R338" s="892"/>
      <c r="S338" s="897"/>
      <c r="T338" s="689">
        <f>T325-PPE!$I$15</f>
        <v>103</v>
      </c>
      <c r="U338" s="560">
        <f>U331</f>
        <v>1.4285714285714284</v>
      </c>
      <c r="V338" s="690">
        <f>IF(T338&gt;0,W338*U338," ")</f>
        <v>1142.8571428571427</v>
      </c>
      <c r="W338" s="691">
        <f>IF(T338&gt;0,(VLOOKUP(T338,'Lookup Ready-reckoner'!$B$5:$E$1207,4))," ")</f>
        <v>800</v>
      </c>
      <c r="X338" s="364"/>
      <c r="Y338" s="364"/>
      <c r="Z338" s="364"/>
      <c r="AA338" s="367"/>
      <c r="AB338"/>
      <c r="AC338"/>
      <c r="AD338"/>
      <c r="AE338"/>
    </row>
    <row r="339" spans="17:31" ht="12.75" customHeight="1">
      <c r="Q339" s="364"/>
      <c r="R339" s="898"/>
      <c r="S339" s="899"/>
      <c r="T339" s="447"/>
      <c r="U339" s="560"/>
      <c r="V339" s="690" t="str">
        <f>IF(T339&gt;0,W339*U339," ")</f>
        <v xml:space="preserve"> </v>
      </c>
      <c r="W339" s="691" t="str">
        <f>IF(T339&gt;0,(VLOOKUP(T339,'Lookup Ready-reckoner'!$B$5:$E$1007,4))," ")</f>
        <v xml:space="preserve"> </v>
      </c>
      <c r="X339" s="364"/>
      <c r="Y339" s="364"/>
      <c r="Z339" s="364"/>
      <c r="AA339" s="367"/>
      <c r="AB339"/>
      <c r="AC339"/>
      <c r="AD339"/>
      <c r="AE339"/>
    </row>
    <row r="340" spans="17:31" ht="12.75" customHeight="1" thickBot="1">
      <c r="Q340" s="364"/>
      <c r="R340" s="699" t="s">
        <v>839</v>
      </c>
      <c r="S340" s="693"/>
      <c r="T340" s="693"/>
      <c r="U340" s="694">
        <f>IF(T338&gt;0,(VLOOKUP(V340,'Lookup Ready-reckoner'!$L$5:$M$1207,2))," ")</f>
        <v>95.55</v>
      </c>
      <c r="V340" s="695">
        <f>IF(U338&gt;0,(SUM(V338:V339))," ")</f>
        <v>1142.8571428571427</v>
      </c>
      <c r="W340" s="696"/>
      <c r="X340" s="364"/>
      <c r="Y340" s="364"/>
      <c r="Z340" s="364"/>
      <c r="AA340" s="367"/>
      <c r="AB340"/>
      <c r="AC340"/>
      <c r="AD340"/>
      <c r="AE340"/>
    </row>
    <row r="341" spans="17:31" ht="12.75" customHeight="1" thickBot="1">
      <c r="Q341" s="364"/>
      <c r="R341" s="892"/>
      <c r="S341" s="893"/>
      <c r="T341" s="893"/>
      <c r="U341" s="893"/>
      <c r="V341" s="893"/>
      <c r="W341" s="894"/>
      <c r="X341" s="364"/>
      <c r="Y341" s="364"/>
      <c r="Z341" s="364"/>
      <c r="AA341" s="367"/>
      <c r="AB341"/>
      <c r="AC341"/>
      <c r="AD341"/>
      <c r="AE341"/>
    </row>
    <row r="342" spans="17:31" ht="12.75" customHeight="1">
      <c r="Q342" s="364"/>
      <c r="R342" s="895" t="s">
        <v>886</v>
      </c>
      <c r="S342" s="896"/>
      <c r="T342" s="900" t="s">
        <v>835</v>
      </c>
      <c r="U342" s="900" t="s">
        <v>836</v>
      </c>
      <c r="V342" s="900" t="s">
        <v>837</v>
      </c>
      <c r="W342" s="902" t="s">
        <v>838</v>
      </c>
      <c r="X342" s="364"/>
      <c r="Y342" s="364"/>
      <c r="Z342" s="364"/>
      <c r="AA342" s="367"/>
      <c r="AB342"/>
      <c r="AC342"/>
      <c r="AD342"/>
      <c r="AE342"/>
    </row>
    <row r="343" spans="17:31" ht="12.75" customHeight="1">
      <c r="Q343" s="364"/>
      <c r="R343" s="892"/>
      <c r="S343" s="897"/>
      <c r="T343" s="901"/>
      <c r="U343" s="901"/>
      <c r="V343" s="901"/>
      <c r="W343" s="903"/>
      <c r="X343" s="364"/>
      <c r="Y343" s="364"/>
      <c r="Z343" s="364"/>
      <c r="AA343" s="367"/>
      <c r="AB343"/>
      <c r="AC343"/>
      <c r="AD343"/>
      <c r="AE343"/>
    </row>
    <row r="344" spans="17:31" ht="12.75" customHeight="1">
      <c r="Q344" s="364"/>
      <c r="R344" s="892"/>
      <c r="S344" s="897"/>
      <c r="T344" s="689">
        <f>T331-PPE!$I$15</f>
        <v>98.870400000000004</v>
      </c>
      <c r="U344" s="560">
        <f>U338</f>
        <v>1.4285714285714284</v>
      </c>
      <c r="V344" s="690">
        <f>IF(T344&gt;0,W344*U344," ")</f>
        <v>433.03571428571422</v>
      </c>
      <c r="W344" s="691">
        <f>IF(T344&gt;0,(VLOOKUP(T344,'Lookup Ready-reckoner'!$B$5:$E$1207,4))," ")</f>
        <v>303.125</v>
      </c>
      <c r="X344" s="364"/>
      <c r="Y344" s="364"/>
      <c r="Z344" s="364"/>
      <c r="AA344" s="367"/>
      <c r="AB344"/>
      <c r="AC344"/>
      <c r="AD344"/>
      <c r="AE344"/>
    </row>
    <row r="345" spans="17:31" ht="12.75" customHeight="1">
      <c r="Q345" s="364"/>
      <c r="R345" s="898"/>
      <c r="S345" s="899"/>
      <c r="T345" s="447"/>
      <c r="U345" s="560"/>
      <c r="V345" s="690" t="str">
        <f>IF(T345&gt;0,W345*U345," ")</f>
        <v xml:space="preserve"> </v>
      </c>
      <c r="W345" s="691" t="str">
        <f>IF(T345&gt;0,(VLOOKUP(T345,'Lookup Ready-reckoner'!$B$5:$E$1007,4))," ")</f>
        <v xml:space="preserve"> </v>
      </c>
      <c r="X345" s="364"/>
      <c r="Y345" s="364"/>
      <c r="Z345" s="364"/>
      <c r="AA345" s="367"/>
      <c r="AB345"/>
      <c r="AC345"/>
      <c r="AD345"/>
      <c r="AE345"/>
    </row>
    <row r="346" spans="17:31" ht="12.75" customHeight="1" thickBot="1">
      <c r="Q346" s="364"/>
      <c r="R346" s="692" t="s">
        <v>839</v>
      </c>
      <c r="S346" s="693"/>
      <c r="T346" s="693"/>
      <c r="U346" s="694">
        <f>IF(T344&gt;0,(VLOOKUP(V346,'Lookup Ready-reckoner'!$L$5:$M$1207,2))," ")</f>
        <v>91.3</v>
      </c>
      <c r="V346" s="695">
        <f>IF(U344&gt;0,(SUM(V344:V345))," ")</f>
        <v>433.03571428571422</v>
      </c>
      <c r="W346" s="696"/>
      <c r="X346" s="364"/>
      <c r="Y346" s="364"/>
      <c r="Z346" s="364"/>
      <c r="AA346" s="367"/>
      <c r="AB346"/>
      <c r="AC346"/>
      <c r="AD346"/>
      <c r="AE346"/>
    </row>
    <row r="347" spans="17:31" ht="12.75" customHeight="1">
      <c r="Q347" s="364"/>
      <c r="R347" s="363"/>
      <c r="S347" s="363"/>
      <c r="T347" s="363"/>
      <c r="U347" s="363"/>
      <c r="V347" s="363"/>
      <c r="W347" s="363"/>
      <c r="X347" s="364"/>
      <c r="Y347" s="364"/>
      <c r="Z347" s="364"/>
      <c r="AA347" s="367"/>
      <c r="AB347"/>
      <c r="AC347"/>
      <c r="AD347"/>
      <c r="AE347"/>
    </row>
    <row r="348" spans="17:31" ht="12.75" customHeight="1" thickBot="1">
      <c r="Q348" s="364"/>
      <c r="R348" s="915" t="str">
        <f>T306</f>
        <v>Seco S215 Muffled</v>
      </c>
      <c r="S348" s="915"/>
      <c r="T348" s="915"/>
      <c r="U348" s="915"/>
      <c r="V348" s="915"/>
      <c r="W348" s="915"/>
      <c r="X348" s="364"/>
      <c r="Y348" s="363"/>
      <c r="Z348" s="363"/>
      <c r="AA348" s="367"/>
      <c r="AB348"/>
      <c r="AC348"/>
      <c r="AD348"/>
      <c r="AE348"/>
    </row>
    <row r="349" spans="17:31" ht="12.75" customHeight="1" thickBot="1">
      <c r="Q349" s="364"/>
      <c r="R349" s="906" t="s">
        <v>205</v>
      </c>
      <c r="S349" s="907"/>
      <c r="T349" s="907"/>
      <c r="U349" s="907"/>
      <c r="V349" s="907"/>
      <c r="W349" s="908"/>
      <c r="X349" s="364"/>
      <c r="Y349" s="363"/>
      <c r="Z349" s="363"/>
      <c r="AA349" s="367"/>
      <c r="AB349"/>
      <c r="AC349"/>
      <c r="AD349"/>
      <c r="AE349"/>
    </row>
    <row r="350" spans="17:31" ht="12.75" customHeight="1" thickBot="1">
      <c r="Q350" s="364"/>
      <c r="R350" s="686" t="s">
        <v>59</v>
      </c>
      <c r="S350" s="577"/>
      <c r="T350" s="687"/>
      <c r="U350" s="687"/>
      <c r="V350" s="687"/>
      <c r="W350" s="688"/>
      <c r="X350" s="364"/>
      <c r="Y350" s="363"/>
      <c r="Z350" s="363"/>
      <c r="AA350" s="367"/>
      <c r="AB350"/>
      <c r="AC350"/>
      <c r="AD350"/>
      <c r="AE350"/>
    </row>
    <row r="351" spans="17:31" ht="12.75" customHeight="1">
      <c r="Q351" s="364"/>
      <c r="R351" s="895" t="s">
        <v>845</v>
      </c>
      <c r="S351" s="896"/>
      <c r="T351" s="900" t="s">
        <v>835</v>
      </c>
      <c r="U351" s="900" t="s">
        <v>836</v>
      </c>
      <c r="V351" s="900" t="s">
        <v>837</v>
      </c>
      <c r="W351" s="902" t="s">
        <v>838</v>
      </c>
      <c r="X351" s="364"/>
      <c r="Y351" s="363"/>
      <c r="Z351" s="363"/>
      <c r="AA351" s="367"/>
      <c r="AB351"/>
      <c r="AC351"/>
      <c r="AD351"/>
      <c r="AE351"/>
    </row>
    <row r="352" spans="17:31" ht="12.75" customHeight="1">
      <c r="Q352" s="364"/>
      <c r="R352" s="892"/>
      <c r="S352" s="897"/>
      <c r="T352" s="904"/>
      <c r="U352" s="904"/>
      <c r="V352" s="904"/>
      <c r="W352" s="905"/>
      <c r="X352" s="364"/>
      <c r="Y352" s="363"/>
      <c r="Z352" s="363"/>
      <c r="AA352" s="367"/>
      <c r="AB352"/>
      <c r="AC352"/>
      <c r="AD352"/>
      <c r="AE352"/>
    </row>
    <row r="353" spans="17:31" ht="12.75" customHeight="1">
      <c r="Q353" s="364"/>
      <c r="R353" s="892"/>
      <c r="S353" s="897"/>
      <c r="T353" s="901"/>
      <c r="U353" s="901"/>
      <c r="V353" s="901"/>
      <c r="W353" s="903"/>
      <c r="X353" s="364"/>
      <c r="Y353" s="363"/>
      <c r="Z353" s="363"/>
      <c r="AA353" s="367"/>
      <c r="AB353"/>
      <c r="AC353"/>
      <c r="AD353"/>
      <c r="AE353"/>
    </row>
    <row r="354" spans="17:31" ht="12.75" customHeight="1">
      <c r="Q354" s="364"/>
      <c r="R354" s="892"/>
      <c r="S354" s="897"/>
      <c r="T354" s="700">
        <f>V69</f>
        <v>108</v>
      </c>
      <c r="U354" s="560">
        <f>V62</f>
        <v>1.9999999999999996</v>
      </c>
      <c r="V354" s="690">
        <f>IF(T354&gt;0,W354*U354," ")</f>
        <v>4999.9999999999991</v>
      </c>
      <c r="W354" s="691">
        <f>IF(T354&gt;0,(VLOOKUP(T354,'Lookup Ready-reckoner'!$B$5:$E$1207,4))," ")</f>
        <v>2500</v>
      </c>
      <c r="X354" s="364"/>
      <c r="Y354" s="363"/>
      <c r="Z354" s="363"/>
      <c r="AA354" s="367"/>
      <c r="AB354"/>
      <c r="AC354"/>
      <c r="AD354"/>
      <c r="AE354"/>
    </row>
    <row r="355" spans="17:31" ht="12.75" customHeight="1">
      <c r="Q355" s="364"/>
      <c r="R355" s="898"/>
      <c r="S355" s="899"/>
      <c r="T355" s="447"/>
      <c r="U355" s="560"/>
      <c r="V355" s="690" t="str">
        <f>IF(T355&gt;0,W355*U355," ")</f>
        <v xml:space="preserve"> </v>
      </c>
      <c r="W355" s="691" t="str">
        <f>IF(T355&gt;0,(VLOOKUP(T355,'Lookup Ready-reckoner'!$B$5:$E$1007,4))," ")</f>
        <v xml:space="preserve"> </v>
      </c>
      <c r="X355" s="364"/>
      <c r="Y355" s="363"/>
      <c r="Z355" s="363"/>
      <c r="AA355" s="367"/>
      <c r="AB355"/>
      <c r="AC355"/>
      <c r="AD355"/>
      <c r="AE355"/>
    </row>
    <row r="356" spans="17:31" ht="12.75" customHeight="1" thickBot="1">
      <c r="Q356" s="364"/>
      <c r="R356" s="699" t="s">
        <v>839</v>
      </c>
      <c r="S356" s="693"/>
      <c r="T356" s="693"/>
      <c r="U356" s="701">
        <f>IF(T354&gt;0,(VLOOKUP(V356,'Lookup Ready-reckoner'!$L$5:$M$1207,2))," ")</f>
        <v>101.95</v>
      </c>
      <c r="V356" s="695">
        <f>IF(U354&gt;0,(SUM(V354:V355))," ")</f>
        <v>4999.9999999999991</v>
      </c>
      <c r="W356" s="696"/>
      <c r="X356" s="364"/>
      <c r="Y356" s="363"/>
      <c r="Z356" s="363"/>
      <c r="AA356" s="367"/>
      <c r="AB356"/>
      <c r="AC356"/>
      <c r="AD356"/>
      <c r="AE356"/>
    </row>
    <row r="357" spans="17:31" ht="12.75" customHeight="1" thickBot="1">
      <c r="Q357" s="364"/>
      <c r="R357" s="892"/>
      <c r="S357" s="893"/>
      <c r="T357" s="893"/>
      <c r="U357" s="893"/>
      <c r="V357" s="893"/>
      <c r="W357" s="894"/>
      <c r="X357" s="364"/>
      <c r="Y357" s="363"/>
      <c r="Z357" s="363"/>
      <c r="AA357" s="367"/>
      <c r="AB357"/>
      <c r="AC357"/>
      <c r="AD357"/>
      <c r="AE357"/>
    </row>
    <row r="358" spans="17:31" ht="12.75" customHeight="1">
      <c r="Q358" s="364"/>
      <c r="R358" s="895" t="s">
        <v>886</v>
      </c>
      <c r="S358" s="896"/>
      <c r="T358" s="900" t="s">
        <v>835</v>
      </c>
      <c r="U358" s="900" t="s">
        <v>836</v>
      </c>
      <c r="V358" s="900" t="s">
        <v>837</v>
      </c>
      <c r="W358" s="902" t="s">
        <v>838</v>
      </c>
      <c r="X358" s="364"/>
      <c r="Y358" s="363"/>
      <c r="Z358" s="363"/>
      <c r="AA358" s="367"/>
      <c r="AB358"/>
      <c r="AC358"/>
      <c r="AD358"/>
      <c r="AE358"/>
    </row>
    <row r="359" spans="17:31" ht="12.75" customHeight="1">
      <c r="Q359" s="364"/>
      <c r="R359" s="892"/>
      <c r="S359" s="897"/>
      <c r="T359" s="901"/>
      <c r="U359" s="901"/>
      <c r="V359" s="901"/>
      <c r="W359" s="903"/>
      <c r="X359" s="364"/>
      <c r="Y359" s="363"/>
      <c r="Z359" s="363"/>
      <c r="AA359" s="367"/>
      <c r="AB359"/>
      <c r="AC359"/>
      <c r="AD359"/>
      <c r="AE359"/>
    </row>
    <row r="360" spans="17:31" ht="12.75" customHeight="1">
      <c r="Q360" s="364"/>
      <c r="R360" s="892"/>
      <c r="S360" s="897"/>
      <c r="T360" s="700">
        <f>T354*(1-0.0178*2)</f>
        <v>104.15520000000001</v>
      </c>
      <c r="U360" s="560">
        <f>U354</f>
        <v>1.9999999999999996</v>
      </c>
      <c r="V360" s="690">
        <f>IF(T360&gt;0,W360*U360," ")</f>
        <v>2074.9999999999995</v>
      </c>
      <c r="W360" s="691">
        <f>IF(T360&gt;0,(VLOOKUP(T360,'Lookup Ready-reckoner'!$B$5:$E$1207,4))," ")</f>
        <v>1037.5</v>
      </c>
      <c r="X360" s="364"/>
      <c r="Y360" s="363"/>
      <c r="Z360" s="363"/>
      <c r="AA360" s="367"/>
      <c r="AB360"/>
      <c r="AC360"/>
      <c r="AD360"/>
      <c r="AE360"/>
    </row>
    <row r="361" spans="17:31" ht="12.75" customHeight="1">
      <c r="Q361" s="364"/>
      <c r="R361" s="898"/>
      <c r="S361" s="899"/>
      <c r="T361" s="447"/>
      <c r="U361" s="560"/>
      <c r="V361" s="690" t="str">
        <f>IF(T361&gt;0,W361*U361," ")</f>
        <v xml:space="preserve"> </v>
      </c>
      <c r="W361" s="691" t="str">
        <f>IF(T361&gt;0,(VLOOKUP(T361,'Lookup Ready-reckoner'!$B$5:$E$1007,4))," ")</f>
        <v xml:space="preserve"> </v>
      </c>
      <c r="X361" s="364"/>
      <c r="Y361" s="363"/>
      <c r="Z361" s="363"/>
      <c r="AA361" s="367"/>
      <c r="AB361"/>
      <c r="AC361"/>
      <c r="AD361"/>
      <c r="AE361"/>
    </row>
    <row r="362" spans="17:31" ht="12.75" customHeight="1" thickBot="1">
      <c r="Q362" s="364"/>
      <c r="R362" s="692" t="s">
        <v>839</v>
      </c>
      <c r="S362" s="693"/>
      <c r="T362" s="693"/>
      <c r="U362" s="701">
        <f>IF(T360&gt;0,(VLOOKUP(V362,'Lookup Ready-reckoner'!$L$5:$M$1207,2))," ")</f>
        <v>98.1</v>
      </c>
      <c r="V362" s="695">
        <f>IF(U360&gt;0,(SUM(V360:V361))," ")</f>
        <v>2074.9999999999995</v>
      </c>
      <c r="W362" s="696"/>
      <c r="X362" s="364"/>
      <c r="Y362" s="363"/>
      <c r="Z362" s="363"/>
      <c r="AA362" s="367"/>
      <c r="AB362"/>
      <c r="AC362"/>
      <c r="AD362"/>
      <c r="AE362"/>
    </row>
    <row r="363" spans="17:31" ht="12.75" customHeight="1">
      <c r="Q363" s="364"/>
      <c r="R363" s="697"/>
      <c r="S363" s="687"/>
      <c r="T363" s="687"/>
      <c r="U363" s="372"/>
      <c r="V363" s="374"/>
      <c r="W363" s="688"/>
      <c r="X363" s="364"/>
      <c r="Y363" s="363"/>
      <c r="Z363" s="363"/>
      <c r="AA363" s="367"/>
      <c r="AB363"/>
      <c r="AC363"/>
      <c r="AD363"/>
      <c r="AE363"/>
    </row>
    <row r="364" spans="17:31" ht="12.75" customHeight="1" thickBot="1">
      <c r="Q364" s="364"/>
      <c r="R364" s="686" t="s">
        <v>60</v>
      </c>
      <c r="S364" s="577"/>
      <c r="T364" s="577"/>
      <c r="U364" s="577"/>
      <c r="V364" s="577"/>
      <c r="W364" s="698"/>
      <c r="X364" s="364"/>
      <c r="Y364" s="363"/>
      <c r="Z364" s="363"/>
      <c r="AA364" s="367"/>
      <c r="AB364"/>
      <c r="AC364"/>
      <c r="AD364"/>
      <c r="AE364"/>
    </row>
    <row r="365" spans="17:31" ht="12.75" customHeight="1">
      <c r="Q365" s="364"/>
      <c r="R365" s="895" t="s">
        <v>845</v>
      </c>
      <c r="S365" s="896"/>
      <c r="T365" s="900" t="s">
        <v>835</v>
      </c>
      <c r="U365" s="900" t="s">
        <v>836</v>
      </c>
      <c r="V365" s="900" t="s">
        <v>837</v>
      </c>
      <c r="W365" s="902" t="s">
        <v>838</v>
      </c>
      <c r="X365" s="364"/>
      <c r="Y365" s="363"/>
      <c r="Z365" s="363"/>
      <c r="AA365" s="367"/>
      <c r="AB365"/>
      <c r="AC365"/>
      <c r="AD365"/>
      <c r="AE365"/>
    </row>
    <row r="366" spans="17:31" ht="12.75" customHeight="1">
      <c r="Q366" s="364"/>
      <c r="R366" s="892"/>
      <c r="S366" s="897"/>
      <c r="T366" s="901"/>
      <c r="U366" s="901"/>
      <c r="V366" s="901"/>
      <c r="W366" s="903"/>
      <c r="X366" s="364"/>
      <c r="Y366" s="363"/>
      <c r="Z366" s="363"/>
      <c r="AA366" s="367"/>
      <c r="AB366"/>
      <c r="AC366"/>
      <c r="AD366"/>
      <c r="AE366"/>
    </row>
    <row r="367" spans="17:31" ht="12.75" customHeight="1">
      <c r="Q367" s="364"/>
      <c r="R367" s="892"/>
      <c r="S367" s="897"/>
      <c r="T367" s="700">
        <f>T354-PPE!$I$15</f>
        <v>95</v>
      </c>
      <c r="U367" s="560">
        <f>U360</f>
        <v>1.9999999999999996</v>
      </c>
      <c r="V367" s="690">
        <f>IF(T367&gt;0,W367*U367," ")</f>
        <v>249.99999999999994</v>
      </c>
      <c r="W367" s="691">
        <f>IF(T367&gt;0,(VLOOKUP(T367,'Lookup Ready-reckoner'!$B$5:$E$1207,4))," ")</f>
        <v>125</v>
      </c>
      <c r="X367" s="364"/>
      <c r="Y367" s="363"/>
      <c r="Z367" s="363"/>
      <c r="AA367" s="367"/>
      <c r="AB367"/>
      <c r="AC367"/>
      <c r="AD367"/>
      <c r="AE367"/>
    </row>
    <row r="368" spans="17:31" ht="12.75" customHeight="1">
      <c r="Q368" s="364"/>
      <c r="R368" s="898"/>
      <c r="S368" s="899"/>
      <c r="T368" s="447"/>
      <c r="U368" s="560"/>
      <c r="V368" s="690" t="str">
        <f>IF(T368&gt;0,W368*U368," ")</f>
        <v xml:space="preserve"> </v>
      </c>
      <c r="W368" s="691" t="str">
        <f>IF(T368&gt;0,(VLOOKUP(T368,'Lookup Ready-reckoner'!$B$5:$E$1007,4))," ")</f>
        <v xml:space="preserve"> </v>
      </c>
      <c r="X368" s="364"/>
      <c r="Y368" s="363"/>
      <c r="Z368" s="363"/>
      <c r="AA368" s="367"/>
      <c r="AB368"/>
      <c r="AC368"/>
      <c r="AD368"/>
      <c r="AE368"/>
    </row>
    <row r="369" spans="17:31" ht="12.75" customHeight="1" thickBot="1">
      <c r="Q369" s="364"/>
      <c r="R369" s="692" t="s">
        <v>839</v>
      </c>
      <c r="S369" s="693"/>
      <c r="T369" s="693"/>
      <c r="U369" s="701">
        <f>IF(T367&gt;0,(VLOOKUP(V369,'Lookup Ready-reckoner'!$L$5:$M$1207,2))," ")</f>
        <v>88.95</v>
      </c>
      <c r="V369" s="695">
        <f>IF(U367&gt;0,(SUM(V367:V368))," ")</f>
        <v>249.99999999999994</v>
      </c>
      <c r="W369" s="696"/>
      <c r="X369" s="364"/>
      <c r="Y369" s="363"/>
      <c r="Z369" s="363"/>
      <c r="AA369" s="367"/>
      <c r="AB369"/>
      <c r="AC369"/>
      <c r="AD369"/>
      <c r="AE369"/>
    </row>
    <row r="370" spans="17:31" ht="12.75" customHeight="1" thickBot="1">
      <c r="Q370" s="364"/>
      <c r="R370" s="892"/>
      <c r="S370" s="893"/>
      <c r="T370" s="893"/>
      <c r="U370" s="893"/>
      <c r="V370" s="893"/>
      <c r="W370" s="894"/>
      <c r="X370" s="364"/>
      <c r="Y370" s="363"/>
      <c r="Z370" s="363"/>
      <c r="AA370" s="367"/>
      <c r="AB370"/>
      <c r="AC370"/>
      <c r="AD370"/>
      <c r="AE370"/>
    </row>
    <row r="371" spans="17:31" ht="12.75" customHeight="1">
      <c r="Q371" s="364"/>
      <c r="R371" s="895" t="s">
        <v>886</v>
      </c>
      <c r="S371" s="896"/>
      <c r="T371" s="900" t="s">
        <v>835</v>
      </c>
      <c r="U371" s="900" t="s">
        <v>836</v>
      </c>
      <c r="V371" s="900" t="s">
        <v>837</v>
      </c>
      <c r="W371" s="902" t="s">
        <v>838</v>
      </c>
      <c r="X371" s="364"/>
      <c r="Y371" s="363"/>
      <c r="Z371" s="363"/>
      <c r="AA371" s="367"/>
      <c r="AB371"/>
      <c r="AC371"/>
      <c r="AD371"/>
      <c r="AE371"/>
    </row>
    <row r="372" spans="17:31" ht="12.75" customHeight="1">
      <c r="Q372" s="364"/>
      <c r="R372" s="892"/>
      <c r="S372" s="897"/>
      <c r="T372" s="901"/>
      <c r="U372" s="901"/>
      <c r="V372" s="901"/>
      <c r="W372" s="903"/>
      <c r="X372" s="364"/>
      <c r="Y372" s="363"/>
      <c r="Z372" s="363"/>
      <c r="AA372" s="367"/>
      <c r="AB372"/>
      <c r="AC372"/>
      <c r="AD372"/>
      <c r="AE372"/>
    </row>
    <row r="373" spans="17:31" ht="12.75" customHeight="1">
      <c r="Q373" s="364"/>
      <c r="R373" s="892"/>
      <c r="S373" s="897"/>
      <c r="T373" s="700">
        <f>T360-PPE!$I$15</f>
        <v>91.155200000000008</v>
      </c>
      <c r="U373" s="560">
        <f>U367</f>
        <v>1.9999999999999996</v>
      </c>
      <c r="V373" s="690">
        <f>IF(T373&gt;0,W373*U373," ")</f>
        <v>103.74999999999997</v>
      </c>
      <c r="W373" s="691">
        <f>IF(T373&gt;0,(VLOOKUP(T373,'Lookup Ready-reckoner'!$B$5:$E$1207,4))," ")</f>
        <v>51.875</v>
      </c>
      <c r="X373" s="364"/>
      <c r="Y373" s="363"/>
      <c r="Z373" s="363"/>
      <c r="AA373" s="367"/>
      <c r="AB373"/>
      <c r="AC373"/>
      <c r="AD373"/>
      <c r="AE373"/>
    </row>
    <row r="374" spans="17:31" ht="12.75" customHeight="1">
      <c r="Q374" s="364"/>
      <c r="R374" s="898"/>
      <c r="S374" s="899"/>
      <c r="T374" s="447"/>
      <c r="U374" s="560"/>
      <c r="V374" s="690" t="str">
        <f>IF(T374&gt;0,W374*U374," ")</f>
        <v xml:space="preserve"> </v>
      </c>
      <c r="W374" s="691" t="str">
        <f>IF(T374&gt;0,(VLOOKUP(T374,'Lookup Ready-reckoner'!$B$5:$E$1007,4))," ")</f>
        <v xml:space="preserve"> </v>
      </c>
      <c r="X374" s="364"/>
      <c r="Y374" s="363"/>
      <c r="Z374" s="363"/>
      <c r="AA374" s="367"/>
      <c r="AB374"/>
      <c r="AC374"/>
      <c r="AD374"/>
      <c r="AE374"/>
    </row>
    <row r="375" spans="17:31" ht="12.75" customHeight="1" thickBot="1">
      <c r="Q375" s="364"/>
      <c r="R375" s="692" t="s">
        <v>839</v>
      </c>
      <c r="S375" s="693"/>
      <c r="T375" s="693"/>
      <c r="U375" s="701">
        <f>IF(T373&gt;0,(VLOOKUP(V375,'Lookup Ready-reckoner'!$L$5:$M$1207,2))," ")</f>
        <v>85.1</v>
      </c>
      <c r="V375" s="695">
        <f>IF(U373&gt;0,(SUM(V373:V374))," ")</f>
        <v>103.74999999999997</v>
      </c>
      <c r="W375" s="696"/>
      <c r="X375" s="364"/>
      <c r="Y375" s="363"/>
      <c r="Z375" s="363"/>
      <c r="AA375" s="367"/>
      <c r="AB375"/>
      <c r="AC375"/>
      <c r="AD375"/>
      <c r="AE375"/>
    </row>
    <row r="376" spans="17:31" ht="12.75" customHeight="1">
      <c r="Q376" s="364"/>
      <c r="R376" s="363"/>
      <c r="S376" s="363"/>
      <c r="T376" s="363"/>
      <c r="U376" s="363"/>
      <c r="V376" s="363"/>
      <c r="W376" s="363"/>
      <c r="X376" s="364"/>
      <c r="Y376" s="364"/>
      <c r="Z376" s="364"/>
      <c r="AA376" s="367"/>
      <c r="AB376"/>
      <c r="AC376"/>
      <c r="AD376"/>
      <c r="AE376"/>
    </row>
    <row r="377" spans="17:31" ht="12.75" customHeight="1">
      <c r="Q377" s="364"/>
      <c r="R377" s="913" t="str">
        <f>U306</f>
        <v>Sulzer ADDS</v>
      </c>
      <c r="S377" s="914"/>
      <c r="T377" s="914"/>
      <c r="U377" s="914"/>
      <c r="V377" s="914"/>
      <c r="W377" s="914"/>
      <c r="X377" s="364"/>
      <c r="Y377" s="363"/>
      <c r="Z377" s="363"/>
      <c r="AA377" s="367"/>
      <c r="AB377"/>
      <c r="AC377"/>
      <c r="AD377"/>
      <c r="AE377"/>
    </row>
    <row r="378" spans="17:31" ht="12.75" customHeight="1" thickBot="1">
      <c r="Q378" s="364"/>
      <c r="R378" s="910" t="s">
        <v>205</v>
      </c>
      <c r="S378" s="911"/>
      <c r="T378" s="911"/>
      <c r="U378" s="911"/>
      <c r="V378" s="911"/>
      <c r="W378" s="912"/>
      <c r="X378" s="364"/>
      <c r="Y378" s="363"/>
      <c r="Z378" s="363"/>
      <c r="AA378" s="367"/>
      <c r="AB378"/>
      <c r="AC378"/>
      <c r="AD378"/>
      <c r="AE378"/>
    </row>
    <row r="379" spans="17:31" ht="12.75" customHeight="1" thickBot="1">
      <c r="Q379" s="364"/>
      <c r="R379" s="686" t="s">
        <v>59</v>
      </c>
      <c r="S379" s="577"/>
      <c r="T379" s="687"/>
      <c r="U379" s="687"/>
      <c r="V379" s="687"/>
      <c r="W379" s="688"/>
      <c r="X379" s="364"/>
      <c r="Y379" s="363"/>
      <c r="Z379" s="363"/>
      <c r="AA379" s="367"/>
      <c r="AB379"/>
      <c r="AC379"/>
      <c r="AD379"/>
      <c r="AE379"/>
    </row>
    <row r="380" spans="17:31" ht="12.75" customHeight="1">
      <c r="Q380" s="364"/>
      <c r="R380" s="895" t="s">
        <v>845</v>
      </c>
      <c r="S380" s="896"/>
      <c r="T380" s="900" t="s">
        <v>835</v>
      </c>
      <c r="U380" s="900" t="s">
        <v>836</v>
      </c>
      <c r="V380" s="900" t="s">
        <v>837</v>
      </c>
      <c r="W380" s="902" t="s">
        <v>838</v>
      </c>
      <c r="X380" s="364"/>
      <c r="Y380" s="363"/>
      <c r="Z380" s="363"/>
      <c r="AA380" s="367"/>
      <c r="AB380"/>
      <c r="AC380"/>
      <c r="AD380"/>
      <c r="AE380"/>
    </row>
    <row r="381" spans="17:31" ht="12.75" customHeight="1">
      <c r="Q381" s="364"/>
      <c r="R381" s="892"/>
      <c r="S381" s="897"/>
      <c r="T381" s="904"/>
      <c r="U381" s="904"/>
      <c r="V381" s="904"/>
      <c r="W381" s="905"/>
      <c r="X381" s="364"/>
      <c r="Y381" s="363"/>
      <c r="Z381" s="363"/>
      <c r="AA381" s="367"/>
      <c r="AB381"/>
      <c r="AC381"/>
      <c r="AD381"/>
      <c r="AE381"/>
    </row>
    <row r="382" spans="17:31" ht="12.75" customHeight="1">
      <c r="Q382" s="364"/>
      <c r="R382" s="892"/>
      <c r="S382" s="897"/>
      <c r="T382" s="901"/>
      <c r="U382" s="901"/>
      <c r="V382" s="901"/>
      <c r="W382" s="903"/>
      <c r="X382" s="364"/>
      <c r="Y382" s="363"/>
      <c r="Z382" s="363"/>
      <c r="AA382" s="367"/>
      <c r="AB382"/>
      <c r="AC382"/>
      <c r="AD382"/>
      <c r="AE382"/>
    </row>
    <row r="383" spans="17:31" ht="12.75" customHeight="1">
      <c r="Q383" s="364"/>
      <c r="R383" s="892"/>
      <c r="S383" s="897"/>
      <c r="T383" s="702">
        <f>W69</f>
        <v>109</v>
      </c>
      <c r="U383" s="560">
        <f>W62</f>
        <v>1.7391304347826084</v>
      </c>
      <c r="V383" s="690">
        <f>IF(T383&gt;0,W383*U383," ")</f>
        <v>5565.2173913043471</v>
      </c>
      <c r="W383" s="691">
        <f>IF(T383&gt;0,(VLOOKUP(T383,'Lookup Ready-reckoner'!$B$5:$E$1207,4))," ")</f>
        <v>3200</v>
      </c>
      <c r="X383" s="364"/>
      <c r="Y383" s="363"/>
      <c r="Z383" s="363"/>
      <c r="AA383" s="367"/>
      <c r="AB383"/>
      <c r="AC383"/>
      <c r="AD383"/>
      <c r="AE383"/>
    </row>
    <row r="384" spans="17:31" ht="12.75" customHeight="1">
      <c r="Q384" s="364"/>
      <c r="R384" s="898"/>
      <c r="S384" s="899"/>
      <c r="T384" s="447"/>
      <c r="U384" s="560"/>
      <c r="V384" s="690" t="str">
        <f>IF(T384&gt;0,W384*U384," ")</f>
        <v xml:space="preserve"> </v>
      </c>
      <c r="W384" s="691" t="str">
        <f>IF(T384&gt;0,(VLOOKUP(T384,'Lookup Ready-reckoner'!$B$5:$E$1007,4))," ")</f>
        <v xml:space="preserve"> </v>
      </c>
      <c r="X384" s="364"/>
      <c r="Y384" s="363"/>
      <c r="Z384" s="363"/>
      <c r="AA384" s="367"/>
      <c r="AB384"/>
      <c r="AC384"/>
      <c r="AD384"/>
      <c r="AE384"/>
    </row>
    <row r="385" spans="17:31" ht="12.75" customHeight="1" thickBot="1">
      <c r="Q385" s="364"/>
      <c r="R385" s="692" t="s">
        <v>839</v>
      </c>
      <c r="S385" s="693"/>
      <c r="T385" s="693"/>
      <c r="U385" s="703">
        <f>IF(T383&gt;0,(VLOOKUP(V385,'Lookup Ready-reckoner'!$L$5:$M$1207,2))," ")</f>
        <v>102.4</v>
      </c>
      <c r="V385" s="695">
        <f>IF(U383&gt;0,(SUM(V383:V384))," ")</f>
        <v>5565.2173913043471</v>
      </c>
      <c r="W385" s="696"/>
      <c r="X385" s="364"/>
      <c r="Y385" s="363"/>
      <c r="Z385" s="363"/>
      <c r="AA385" s="367"/>
      <c r="AB385"/>
      <c r="AC385"/>
      <c r="AD385"/>
      <c r="AE385"/>
    </row>
    <row r="386" spans="17:31" ht="12.75" customHeight="1" thickBot="1">
      <c r="Q386" s="364"/>
      <c r="R386" s="892"/>
      <c r="S386" s="893"/>
      <c r="T386" s="893"/>
      <c r="U386" s="893"/>
      <c r="V386" s="893"/>
      <c r="W386" s="894"/>
      <c r="X386" s="364"/>
      <c r="Y386" s="363"/>
      <c r="Z386" s="363"/>
      <c r="AA386" s="367"/>
      <c r="AB386"/>
      <c r="AC386"/>
      <c r="AD386"/>
      <c r="AE386"/>
    </row>
    <row r="387" spans="17:31" ht="12.75" customHeight="1">
      <c r="Q387" s="364"/>
      <c r="R387" s="895" t="s">
        <v>886</v>
      </c>
      <c r="S387" s="896"/>
      <c r="T387" s="900" t="s">
        <v>835</v>
      </c>
      <c r="U387" s="900" t="s">
        <v>836</v>
      </c>
      <c r="V387" s="900" t="s">
        <v>837</v>
      </c>
      <c r="W387" s="902" t="s">
        <v>838</v>
      </c>
      <c r="X387" s="364"/>
      <c r="Y387" s="363"/>
      <c r="Z387" s="363"/>
      <c r="AA387" s="367"/>
      <c r="AB387"/>
      <c r="AC387"/>
      <c r="AD387"/>
      <c r="AE387"/>
    </row>
    <row r="388" spans="17:31" ht="12.75" customHeight="1">
      <c r="Q388" s="364"/>
      <c r="R388" s="892"/>
      <c r="S388" s="897"/>
      <c r="T388" s="901"/>
      <c r="U388" s="901"/>
      <c r="V388" s="901"/>
      <c r="W388" s="903"/>
      <c r="X388" s="364"/>
      <c r="Y388" s="363"/>
      <c r="Z388" s="363"/>
      <c r="AA388" s="367"/>
      <c r="AB388"/>
      <c r="AC388"/>
      <c r="AD388"/>
      <c r="AE388"/>
    </row>
    <row r="389" spans="17:31" ht="12.75" customHeight="1">
      <c r="Q389" s="364"/>
      <c r="R389" s="892"/>
      <c r="S389" s="897"/>
      <c r="T389" s="702">
        <f>T383*(1-0.0178*2)</f>
        <v>105.11960000000001</v>
      </c>
      <c r="U389" s="560">
        <f>U383</f>
        <v>1.7391304347826084</v>
      </c>
      <c r="V389" s="690">
        <f>IF(T389&gt;0,W389*U389," ")</f>
        <v>2234.782608695652</v>
      </c>
      <c r="W389" s="691">
        <f>IF(T389&gt;0,(VLOOKUP(T389,'Lookup Ready-reckoner'!$B$5:$E$1207,4))," ")</f>
        <v>1285</v>
      </c>
      <c r="X389" s="364"/>
      <c r="Y389" s="363"/>
      <c r="Z389" s="363"/>
      <c r="AA389" s="367"/>
      <c r="AB389"/>
      <c r="AC389"/>
      <c r="AD389"/>
      <c r="AE389"/>
    </row>
    <row r="390" spans="17:31" ht="12.75" customHeight="1">
      <c r="Q390" s="364"/>
      <c r="R390" s="898"/>
      <c r="S390" s="899"/>
      <c r="T390" s="447"/>
      <c r="U390" s="560"/>
      <c r="V390" s="690" t="str">
        <f>IF(T390&gt;0,W390*U390," ")</f>
        <v xml:space="preserve"> </v>
      </c>
      <c r="W390" s="691" t="str">
        <f>IF(T390&gt;0,(VLOOKUP(T390,'Lookup Ready-reckoner'!$B$5:$E$1007,4))," ")</f>
        <v xml:space="preserve"> </v>
      </c>
      <c r="X390" s="364"/>
      <c r="Y390" s="363"/>
      <c r="Z390" s="363"/>
      <c r="AA390" s="367"/>
      <c r="AB390"/>
      <c r="AC390"/>
      <c r="AD390"/>
      <c r="AE390"/>
    </row>
    <row r="391" spans="17:31" ht="12.75" customHeight="1" thickBot="1">
      <c r="Q391" s="364"/>
      <c r="R391" s="692" t="s">
        <v>839</v>
      </c>
      <c r="S391" s="693"/>
      <c r="T391" s="693"/>
      <c r="U391" s="703">
        <f>IF(T389&gt;0,(VLOOKUP(V391,'Lookup Ready-reckoner'!$L$5:$M$1207,2))," ")</f>
        <v>98.45</v>
      </c>
      <c r="V391" s="695">
        <f>IF(U389&gt;0,(SUM(V389:V390))," ")</f>
        <v>2234.782608695652</v>
      </c>
      <c r="W391" s="696"/>
      <c r="X391" s="364"/>
      <c r="Y391" s="363"/>
      <c r="Z391" s="363"/>
      <c r="AA391" s="367"/>
      <c r="AB391"/>
      <c r="AC391"/>
      <c r="AD391"/>
      <c r="AE391"/>
    </row>
    <row r="392" spans="17:31" ht="12.75" customHeight="1">
      <c r="Q392" s="364"/>
      <c r="R392" s="697"/>
      <c r="S392" s="687"/>
      <c r="T392" s="687"/>
      <c r="U392" s="372"/>
      <c r="V392" s="374"/>
      <c r="W392" s="688"/>
      <c r="X392" s="364"/>
      <c r="Y392" s="363"/>
      <c r="Z392" s="363"/>
      <c r="AA392" s="367"/>
      <c r="AB392"/>
      <c r="AC392"/>
      <c r="AD392"/>
      <c r="AE392"/>
    </row>
    <row r="393" spans="17:31" ht="12.75" customHeight="1" thickBot="1">
      <c r="Q393" s="364"/>
      <c r="R393" s="686" t="s">
        <v>60</v>
      </c>
      <c r="S393" s="577"/>
      <c r="T393" s="577"/>
      <c r="U393" s="577"/>
      <c r="V393" s="577"/>
      <c r="W393" s="698"/>
      <c r="X393" s="364"/>
      <c r="Y393" s="363"/>
      <c r="Z393" s="363"/>
      <c r="AA393" s="367"/>
      <c r="AB393"/>
      <c r="AC393"/>
      <c r="AD393"/>
      <c r="AE393"/>
    </row>
    <row r="394" spans="17:31" ht="12.75" customHeight="1">
      <c r="Q394" s="364"/>
      <c r="R394" s="895" t="s">
        <v>845</v>
      </c>
      <c r="S394" s="896"/>
      <c r="T394" s="900" t="s">
        <v>835</v>
      </c>
      <c r="U394" s="900" t="s">
        <v>836</v>
      </c>
      <c r="V394" s="900" t="s">
        <v>837</v>
      </c>
      <c r="W394" s="902" t="s">
        <v>838</v>
      </c>
      <c r="X394" s="364"/>
      <c r="Y394" s="363"/>
      <c r="Z394" s="363"/>
      <c r="AA394" s="367"/>
      <c r="AB394"/>
      <c r="AC394"/>
      <c r="AD394"/>
      <c r="AE394"/>
    </row>
    <row r="395" spans="17:31" ht="12.75" customHeight="1">
      <c r="Q395" s="364"/>
      <c r="R395" s="892"/>
      <c r="S395" s="897"/>
      <c r="T395" s="901"/>
      <c r="U395" s="901"/>
      <c r="V395" s="901"/>
      <c r="W395" s="903"/>
      <c r="X395" s="364"/>
      <c r="Y395" s="363"/>
      <c r="Z395" s="363"/>
      <c r="AA395" s="367"/>
      <c r="AB395"/>
      <c r="AC395"/>
      <c r="AD395"/>
      <c r="AE395"/>
    </row>
    <row r="396" spans="17:31" ht="12.75" customHeight="1">
      <c r="Q396" s="364"/>
      <c r="R396" s="892"/>
      <c r="S396" s="897"/>
      <c r="T396" s="702">
        <f>T383-PPE!$I$15</f>
        <v>96</v>
      </c>
      <c r="U396" s="560">
        <f>U389</f>
        <v>1.7391304347826084</v>
      </c>
      <c r="V396" s="690">
        <f>IF(T396&gt;0,W396*U396," ")</f>
        <v>271.73913043478257</v>
      </c>
      <c r="W396" s="691">
        <f>IF(T396&gt;0,(VLOOKUP(T396,'Lookup Ready-reckoner'!$B$5:$E$1207,4))," ")</f>
        <v>156.25</v>
      </c>
      <c r="X396" s="364"/>
      <c r="Y396" s="363"/>
      <c r="Z396" s="363"/>
      <c r="AA396" s="367"/>
      <c r="AB396"/>
      <c r="AC396"/>
      <c r="AD396"/>
      <c r="AE396"/>
    </row>
    <row r="397" spans="17:31" ht="12.75" customHeight="1">
      <c r="Q397" s="364"/>
      <c r="R397" s="898"/>
      <c r="S397" s="899"/>
      <c r="T397" s="447"/>
      <c r="U397" s="560"/>
      <c r="V397" s="690" t="str">
        <f>IF(T397&gt;0,W397*U397," ")</f>
        <v xml:space="preserve"> </v>
      </c>
      <c r="W397" s="691" t="str">
        <f>IF(T397&gt;0,(VLOOKUP(T397,'Lookup Ready-reckoner'!$B$5:$E$1007,4))," ")</f>
        <v xml:space="preserve"> </v>
      </c>
      <c r="X397" s="364"/>
      <c r="Y397" s="363"/>
      <c r="Z397" s="363"/>
      <c r="AA397" s="367"/>
      <c r="AB397"/>
      <c r="AC397"/>
      <c r="AD397"/>
      <c r="AE397"/>
    </row>
    <row r="398" spans="17:31" ht="12.75" customHeight="1" thickBot="1">
      <c r="Q398" s="364"/>
      <c r="R398" s="692" t="s">
        <v>839</v>
      </c>
      <c r="S398" s="693"/>
      <c r="T398" s="693"/>
      <c r="U398" s="703">
        <f>IF(T396&gt;0,(VLOOKUP(V398,'Lookup Ready-reckoner'!$L$5:$M$1207,2))," ")</f>
        <v>89.3</v>
      </c>
      <c r="V398" s="695">
        <f>IF(U396&gt;0,(SUM(V396:V397))," ")</f>
        <v>271.73913043478257</v>
      </c>
      <c r="W398" s="696"/>
      <c r="X398" s="364"/>
      <c r="Y398" s="363"/>
      <c r="Z398" s="363"/>
      <c r="AA398" s="367"/>
      <c r="AB398"/>
      <c r="AC398"/>
      <c r="AD398"/>
      <c r="AE398"/>
    </row>
    <row r="399" spans="17:31" ht="12.75" customHeight="1" thickBot="1">
      <c r="Q399" s="364"/>
      <c r="R399" s="892"/>
      <c r="S399" s="893"/>
      <c r="T399" s="893"/>
      <c r="U399" s="893"/>
      <c r="V399" s="893"/>
      <c r="W399" s="894"/>
      <c r="X399" s="364"/>
      <c r="Y399" s="363"/>
      <c r="Z399" s="363"/>
      <c r="AA399" s="367"/>
      <c r="AB399"/>
      <c r="AC399"/>
      <c r="AD399"/>
      <c r="AE399"/>
    </row>
    <row r="400" spans="17:31" ht="12.75" customHeight="1">
      <c r="Q400" s="364"/>
      <c r="R400" s="895" t="s">
        <v>886</v>
      </c>
      <c r="S400" s="896"/>
      <c r="T400" s="900" t="s">
        <v>835</v>
      </c>
      <c r="U400" s="900" t="s">
        <v>836</v>
      </c>
      <c r="V400" s="900" t="s">
        <v>837</v>
      </c>
      <c r="W400" s="902" t="s">
        <v>838</v>
      </c>
      <c r="X400" s="364"/>
      <c r="Y400" s="363"/>
      <c r="Z400" s="363"/>
      <c r="AA400" s="367"/>
      <c r="AB400"/>
      <c r="AC400"/>
      <c r="AD400"/>
      <c r="AE400"/>
    </row>
    <row r="401" spans="17:31" ht="12.75" customHeight="1">
      <c r="Q401" s="364"/>
      <c r="R401" s="892"/>
      <c r="S401" s="897"/>
      <c r="T401" s="901"/>
      <c r="U401" s="901"/>
      <c r="V401" s="901"/>
      <c r="W401" s="903"/>
      <c r="X401" s="364"/>
      <c r="Y401" s="363"/>
      <c r="Z401" s="363"/>
      <c r="AA401" s="367"/>
      <c r="AB401"/>
      <c r="AC401"/>
      <c r="AD401"/>
      <c r="AE401"/>
    </row>
    <row r="402" spans="17:31" ht="12.75" customHeight="1">
      <c r="Q402" s="364"/>
      <c r="R402" s="892"/>
      <c r="S402" s="897"/>
      <c r="T402" s="702">
        <f>T389-PPE!$I$15</f>
        <v>92.119600000000005</v>
      </c>
      <c r="U402" s="560">
        <f>U396</f>
        <v>1.7391304347826084</v>
      </c>
      <c r="V402" s="690">
        <f>IF(T402&gt;0,W402*U402," ")</f>
        <v>111.52173913043477</v>
      </c>
      <c r="W402" s="691">
        <f>IF(T402&gt;0,(VLOOKUP(T402,'Lookup Ready-reckoner'!$B$5:$E$1207,4))," ")</f>
        <v>64.125</v>
      </c>
      <c r="X402" s="364"/>
      <c r="Y402" s="363"/>
      <c r="Z402" s="363"/>
      <c r="AA402" s="367"/>
      <c r="AB402"/>
      <c r="AC402"/>
      <c r="AD402"/>
      <c r="AE402"/>
    </row>
    <row r="403" spans="17:31" ht="12.75" customHeight="1">
      <c r="Q403" s="364"/>
      <c r="R403" s="898"/>
      <c r="S403" s="899"/>
      <c r="T403" s="447"/>
      <c r="U403" s="560"/>
      <c r="V403" s="690" t="str">
        <f>IF(T403&gt;0,W403*U403," ")</f>
        <v xml:space="preserve"> </v>
      </c>
      <c r="W403" s="691" t="str">
        <f>IF(T403&gt;0,(VLOOKUP(T403,'Lookup Ready-reckoner'!$B$5:$E$1007,4))," ")</f>
        <v xml:space="preserve"> </v>
      </c>
      <c r="X403" s="364"/>
      <c r="Y403" s="363"/>
      <c r="Z403" s="363"/>
      <c r="AA403" s="367"/>
      <c r="AB403"/>
      <c r="AC403"/>
      <c r="AD403"/>
      <c r="AE403"/>
    </row>
    <row r="404" spans="17:31" ht="12.75" customHeight="1" thickBot="1">
      <c r="Q404" s="364"/>
      <c r="R404" s="692" t="s">
        <v>839</v>
      </c>
      <c r="S404" s="693"/>
      <c r="T404" s="693"/>
      <c r="U404" s="703">
        <f>IF(T402&gt;0,(VLOOKUP(V404,'Lookup Ready-reckoner'!$L$5:$M$1207,2))," ")</f>
        <v>85.45</v>
      </c>
      <c r="V404" s="695">
        <f>IF(U402&gt;0,(SUM(V402:V403))," ")</f>
        <v>111.52173913043477</v>
      </c>
      <c r="W404" s="696"/>
      <c r="X404" s="364"/>
      <c r="Y404" s="363"/>
      <c r="Z404" s="363"/>
      <c r="AA404" s="367"/>
      <c r="AB404"/>
      <c r="AC404"/>
      <c r="AD404"/>
      <c r="AE404"/>
    </row>
    <row r="405" spans="17:31" ht="12.75" customHeight="1">
      <c r="Q405" s="364"/>
      <c r="R405" s="363"/>
      <c r="S405" s="363"/>
      <c r="T405" s="363"/>
      <c r="U405" s="363"/>
      <c r="V405" s="363"/>
      <c r="W405" s="363"/>
      <c r="X405" s="364"/>
      <c r="Y405" s="364"/>
      <c r="Z405" s="364"/>
      <c r="AA405" s="367"/>
      <c r="AB405"/>
      <c r="AC405"/>
      <c r="AD405"/>
      <c r="AE405"/>
    </row>
    <row r="406" spans="17:31" ht="12.75" customHeight="1">
      <c r="Q406" s="364"/>
      <c r="R406" s="909" t="str">
        <f>V306</f>
        <v xml:space="preserve">Hilti TE MD20 </v>
      </c>
      <c r="S406" s="909"/>
      <c r="T406" s="909"/>
      <c r="U406" s="909"/>
      <c r="V406" s="909"/>
      <c r="W406" s="909"/>
      <c r="X406" s="364"/>
      <c r="Y406" s="364"/>
      <c r="Z406" s="364"/>
      <c r="AA406" s="367"/>
      <c r="AB406"/>
      <c r="AC406"/>
      <c r="AD406"/>
      <c r="AE406"/>
    </row>
    <row r="407" spans="17:31" ht="12.75" customHeight="1" thickBot="1">
      <c r="Q407" s="364"/>
      <c r="R407" s="910" t="s">
        <v>205</v>
      </c>
      <c r="S407" s="911"/>
      <c r="T407" s="911"/>
      <c r="U407" s="911"/>
      <c r="V407" s="911"/>
      <c r="W407" s="912"/>
      <c r="X407" s="364"/>
      <c r="Y407" s="364"/>
      <c r="Z407" s="364"/>
      <c r="AA407" s="367"/>
      <c r="AB407"/>
      <c r="AC407"/>
      <c r="AD407"/>
      <c r="AE407"/>
    </row>
    <row r="408" spans="17:31" ht="12.75" customHeight="1" thickBot="1">
      <c r="Q408" s="364"/>
      <c r="R408" s="686" t="s">
        <v>59</v>
      </c>
      <c r="S408" s="577"/>
      <c r="T408" s="687"/>
      <c r="U408" s="687"/>
      <c r="V408" s="687"/>
      <c r="W408" s="688"/>
      <c r="X408" s="364"/>
      <c r="Y408" s="364"/>
      <c r="Z408" s="364"/>
      <c r="AA408" s="367"/>
      <c r="AB408"/>
      <c r="AC408"/>
      <c r="AD408"/>
      <c r="AE408"/>
    </row>
    <row r="409" spans="17:31" ht="12.75" customHeight="1">
      <c r="Q409" s="364"/>
      <c r="R409" s="895" t="s">
        <v>845</v>
      </c>
      <c r="S409" s="896"/>
      <c r="T409" s="900" t="s">
        <v>835</v>
      </c>
      <c r="U409" s="900" t="s">
        <v>836</v>
      </c>
      <c r="V409" s="900" t="s">
        <v>837</v>
      </c>
      <c r="W409" s="902" t="s">
        <v>838</v>
      </c>
      <c r="X409" s="364"/>
      <c r="Y409" s="364"/>
      <c r="Z409" s="364"/>
      <c r="AA409" s="367"/>
      <c r="AB409"/>
      <c r="AC409"/>
      <c r="AD409"/>
      <c r="AE409"/>
    </row>
    <row r="410" spans="17:31" ht="12.75" customHeight="1">
      <c r="Q410" s="364"/>
      <c r="R410" s="892"/>
      <c r="S410" s="897"/>
      <c r="T410" s="904"/>
      <c r="U410" s="904"/>
      <c r="V410" s="904"/>
      <c r="W410" s="905"/>
      <c r="X410" s="364"/>
      <c r="Y410" s="364"/>
      <c r="Z410" s="364"/>
      <c r="AA410" s="367"/>
      <c r="AB410"/>
      <c r="AC410"/>
      <c r="AD410"/>
      <c r="AE410"/>
    </row>
    <row r="411" spans="17:31" ht="12.75" customHeight="1">
      <c r="Q411" s="364"/>
      <c r="R411" s="892"/>
      <c r="S411" s="897"/>
      <c r="T411" s="901"/>
      <c r="U411" s="901"/>
      <c r="V411" s="901"/>
      <c r="W411" s="903"/>
      <c r="X411" s="364"/>
      <c r="Y411" s="364"/>
      <c r="Z411" s="364"/>
      <c r="AA411" s="367"/>
      <c r="AB411"/>
      <c r="AC411"/>
      <c r="AD411"/>
      <c r="AE411"/>
    </row>
    <row r="412" spans="17:31" ht="12.75" customHeight="1">
      <c r="Q412" s="364"/>
      <c r="R412" s="892"/>
      <c r="S412" s="897"/>
      <c r="T412" s="704">
        <f>U69</f>
        <v>102</v>
      </c>
      <c r="U412" s="560">
        <f>U62</f>
        <v>2.6666666666666665</v>
      </c>
      <c r="V412" s="690">
        <f>IF(T412&gt;0,W412*U412," ")</f>
        <v>1666.6666666666665</v>
      </c>
      <c r="W412" s="691">
        <f>IF(T412&gt;0,(VLOOKUP(T412,'Lookup Ready-reckoner'!$B$5:$E$1207,4))," ")</f>
        <v>625</v>
      </c>
      <c r="X412" s="364"/>
      <c r="Y412" s="364"/>
      <c r="Z412" s="364"/>
      <c r="AA412" s="367"/>
      <c r="AB412"/>
      <c r="AC412"/>
      <c r="AD412"/>
      <c r="AE412"/>
    </row>
    <row r="413" spans="17:31" ht="12.75" customHeight="1">
      <c r="Q413" s="364"/>
      <c r="R413" s="898"/>
      <c r="S413" s="899"/>
      <c r="T413" s="447"/>
      <c r="U413" s="560"/>
      <c r="V413" s="690" t="str">
        <f>IF(T413&gt;0,W413*U413," ")</f>
        <v xml:space="preserve"> </v>
      </c>
      <c r="W413" s="691" t="str">
        <f>IF(T413&gt;0,(VLOOKUP(T413,'Lookup Ready-reckoner'!$B$5:$E$1007,4))," ")</f>
        <v xml:space="preserve"> </v>
      </c>
      <c r="X413" s="364"/>
      <c r="Y413" s="364"/>
      <c r="Z413" s="364"/>
      <c r="AA413" s="367"/>
      <c r="AB413"/>
      <c r="AC413"/>
      <c r="AD413"/>
      <c r="AE413"/>
    </row>
    <row r="414" spans="17:31" ht="12.75" customHeight="1" thickBot="1">
      <c r="Q414" s="364"/>
      <c r="R414" s="692" t="s">
        <v>839</v>
      </c>
      <c r="S414" s="693"/>
      <c r="T414" s="693"/>
      <c r="U414" s="705">
        <f>IF(T412&gt;0,(VLOOKUP(V414,'Lookup Ready-reckoner'!$L$5:$M$1207,2))," ")</f>
        <v>97.15</v>
      </c>
      <c r="V414" s="695">
        <f>IF(U412&gt;0,(SUM(V412:V413))," ")</f>
        <v>1666.6666666666665</v>
      </c>
      <c r="W414" s="696"/>
      <c r="X414" s="364"/>
      <c r="Y414" s="364"/>
      <c r="Z414" s="364"/>
      <c r="AA414" s="367"/>
      <c r="AB414"/>
      <c r="AC414"/>
      <c r="AD414"/>
      <c r="AE414"/>
    </row>
    <row r="415" spans="17:31" ht="12.75" customHeight="1" thickBot="1">
      <c r="Q415" s="364"/>
      <c r="R415" s="906"/>
      <c r="S415" s="907"/>
      <c r="T415" s="907"/>
      <c r="U415" s="907"/>
      <c r="V415" s="907"/>
      <c r="W415" s="908"/>
      <c r="X415" s="364"/>
      <c r="Y415" s="364"/>
      <c r="Z415" s="364"/>
      <c r="AA415" s="367"/>
      <c r="AB415"/>
      <c r="AC415"/>
      <c r="AD415"/>
      <c r="AE415"/>
    </row>
    <row r="416" spans="17:31" ht="12.75" customHeight="1">
      <c r="Q416" s="364"/>
      <c r="R416" s="895" t="s">
        <v>886</v>
      </c>
      <c r="S416" s="896"/>
      <c r="T416" s="900" t="s">
        <v>835</v>
      </c>
      <c r="U416" s="900" t="s">
        <v>836</v>
      </c>
      <c r="V416" s="900" t="s">
        <v>837</v>
      </c>
      <c r="W416" s="902" t="s">
        <v>838</v>
      </c>
      <c r="X416" s="364"/>
      <c r="Y416" s="364"/>
      <c r="Z416" s="364"/>
      <c r="AA416" s="367"/>
      <c r="AB416"/>
      <c r="AC416"/>
      <c r="AD416"/>
      <c r="AE416"/>
    </row>
    <row r="417" spans="17:31" ht="12.75" customHeight="1">
      <c r="Q417" s="364"/>
      <c r="R417" s="892"/>
      <c r="S417" s="897"/>
      <c r="T417" s="901"/>
      <c r="U417" s="901"/>
      <c r="V417" s="901"/>
      <c r="W417" s="903"/>
      <c r="X417" s="364"/>
      <c r="Y417" s="364"/>
      <c r="Z417" s="364"/>
      <c r="AA417" s="367"/>
      <c r="AB417"/>
      <c r="AC417"/>
      <c r="AD417"/>
      <c r="AE417"/>
    </row>
    <row r="418" spans="17:31" ht="12.75" customHeight="1">
      <c r="Q418" s="364"/>
      <c r="R418" s="892"/>
      <c r="S418" s="897"/>
      <c r="T418" s="704">
        <f>T412*(1-0.0178*2)</f>
        <v>98.368800000000007</v>
      </c>
      <c r="U418" s="560">
        <f>U412</f>
        <v>2.6666666666666665</v>
      </c>
      <c r="V418" s="690">
        <f>IF(T418&gt;0,W418*U418," ")</f>
        <v>725</v>
      </c>
      <c r="W418" s="691">
        <f>IF(T418&gt;0,(VLOOKUP(T418,'Lookup Ready-reckoner'!$B$5:$E$1207,4))," ")</f>
        <v>271.875</v>
      </c>
      <c r="X418" s="364"/>
      <c r="Y418" s="364"/>
      <c r="Z418" s="364"/>
      <c r="AA418" s="367"/>
      <c r="AB418"/>
      <c r="AC418"/>
      <c r="AD418"/>
      <c r="AE418"/>
    </row>
    <row r="419" spans="17:31" ht="12.75" customHeight="1">
      <c r="Q419" s="364"/>
      <c r="R419" s="898"/>
      <c r="S419" s="899"/>
      <c r="T419" s="447"/>
      <c r="U419" s="560"/>
      <c r="V419" s="690" t="str">
        <f>IF(T419&gt;0,W419*U419," ")</f>
        <v xml:space="preserve"> </v>
      </c>
      <c r="W419" s="691" t="str">
        <f>IF(T419&gt;0,(VLOOKUP(T419,'Lookup Ready-reckoner'!$B$5:$E$1007,4))," ")</f>
        <v xml:space="preserve"> </v>
      </c>
      <c r="X419" s="364"/>
      <c r="Y419" s="364"/>
      <c r="Z419" s="364"/>
      <c r="AA419" s="367"/>
      <c r="AB419"/>
      <c r="AC419"/>
      <c r="AD419"/>
      <c r="AE419"/>
    </row>
    <row r="420" spans="17:31" ht="12.75" customHeight="1" thickBot="1">
      <c r="Q420" s="364"/>
      <c r="R420" s="692" t="s">
        <v>839</v>
      </c>
      <c r="S420" s="693"/>
      <c r="T420" s="693"/>
      <c r="U420" s="705">
        <f>IF(T418&gt;0,(VLOOKUP(V420,'Lookup Ready-reckoner'!$L$5:$M$1207,2))," ")</f>
        <v>93.55</v>
      </c>
      <c r="V420" s="695">
        <f>IF(U418&gt;0,(SUM(V418:V419))," ")</f>
        <v>725</v>
      </c>
      <c r="W420" s="696"/>
      <c r="X420" s="364"/>
      <c r="Y420" s="364"/>
      <c r="Z420" s="364"/>
      <c r="AA420" s="367"/>
      <c r="AB420"/>
      <c r="AC420"/>
      <c r="AD420"/>
      <c r="AE420"/>
    </row>
    <row r="421" spans="17:31" ht="12.75" customHeight="1">
      <c r="Q421" s="364"/>
      <c r="R421" s="697"/>
      <c r="S421" s="687"/>
      <c r="T421" s="687"/>
      <c r="U421" s="372"/>
      <c r="V421" s="374"/>
      <c r="W421" s="688"/>
      <c r="X421" s="364"/>
      <c r="Y421" s="364"/>
      <c r="Z421" s="364"/>
      <c r="AA421" s="367"/>
      <c r="AB421"/>
      <c r="AC421"/>
      <c r="AD421"/>
      <c r="AE421"/>
    </row>
    <row r="422" spans="17:31" ht="12.75" customHeight="1" thickBot="1">
      <c r="Q422" s="364"/>
      <c r="R422" s="686" t="s">
        <v>60</v>
      </c>
      <c r="S422" s="577"/>
      <c r="T422" s="577"/>
      <c r="U422" s="577"/>
      <c r="V422" s="577"/>
      <c r="W422" s="698"/>
      <c r="X422" s="364"/>
      <c r="Y422" s="364"/>
      <c r="Z422" s="364"/>
      <c r="AA422" s="367"/>
      <c r="AB422"/>
      <c r="AC422"/>
      <c r="AD422"/>
      <c r="AE422"/>
    </row>
    <row r="423" spans="17:31" ht="12.75" customHeight="1">
      <c r="Q423" s="364"/>
      <c r="R423" s="895" t="s">
        <v>845</v>
      </c>
      <c r="S423" s="896"/>
      <c r="T423" s="900" t="s">
        <v>835</v>
      </c>
      <c r="U423" s="900" t="s">
        <v>836</v>
      </c>
      <c r="V423" s="900" t="s">
        <v>837</v>
      </c>
      <c r="W423" s="902" t="s">
        <v>838</v>
      </c>
      <c r="X423" s="364"/>
      <c r="Y423" s="364"/>
      <c r="Z423" s="364"/>
      <c r="AA423" s="367"/>
      <c r="AB423"/>
      <c r="AC423"/>
      <c r="AD423"/>
      <c r="AE423"/>
    </row>
    <row r="424" spans="17:31" ht="12.75" customHeight="1">
      <c r="Q424" s="364"/>
      <c r="R424" s="892"/>
      <c r="S424" s="897"/>
      <c r="T424" s="901"/>
      <c r="U424" s="901"/>
      <c r="V424" s="901"/>
      <c r="W424" s="903"/>
      <c r="X424" s="364"/>
      <c r="Y424" s="364"/>
      <c r="Z424" s="364"/>
      <c r="AA424" s="367"/>
      <c r="AB424"/>
      <c r="AC424"/>
      <c r="AD424"/>
      <c r="AE424"/>
    </row>
    <row r="425" spans="17:31" ht="12.75" customHeight="1">
      <c r="Q425" s="364"/>
      <c r="R425" s="892"/>
      <c r="S425" s="897"/>
      <c r="T425" s="704">
        <f>T412-PPE!$I$15</f>
        <v>89</v>
      </c>
      <c r="U425" s="560">
        <f>U418</f>
        <v>2.6666666666666665</v>
      </c>
      <c r="V425" s="690">
        <f>IF(T425&gt;0,W425*U425," ")</f>
        <v>83.333333333333329</v>
      </c>
      <c r="W425" s="691">
        <f>IF(T425&gt;0,(VLOOKUP(T425,'Lookup Ready-reckoner'!$B$5:$E$1207,4))," ")</f>
        <v>31.25</v>
      </c>
      <c r="X425" s="364"/>
      <c r="Y425" s="364"/>
      <c r="Z425" s="364"/>
      <c r="AA425" s="367"/>
      <c r="AB425"/>
      <c r="AC425"/>
      <c r="AD425"/>
      <c r="AE425"/>
    </row>
    <row r="426" spans="17:31" ht="12.75" customHeight="1">
      <c r="Q426" s="364"/>
      <c r="R426" s="898"/>
      <c r="S426" s="899"/>
      <c r="T426" s="447"/>
      <c r="U426" s="560"/>
      <c r="V426" s="690" t="str">
        <f>IF(T426&gt;0,W426*U426," ")</f>
        <v xml:space="preserve"> </v>
      </c>
      <c r="W426" s="691" t="str">
        <f>IF(T426&gt;0,(VLOOKUP(T426,'Lookup Ready-reckoner'!$B$5:$E$1007,4))," ")</f>
        <v xml:space="preserve"> </v>
      </c>
      <c r="X426" s="364"/>
      <c r="Y426" s="364"/>
      <c r="Z426" s="364"/>
      <c r="AA426" s="367"/>
      <c r="AB426"/>
      <c r="AC426"/>
      <c r="AD426"/>
      <c r="AE426"/>
    </row>
    <row r="427" spans="17:31" ht="12.75" customHeight="1" thickBot="1">
      <c r="Q427" s="364"/>
      <c r="R427" s="692" t="s">
        <v>839</v>
      </c>
      <c r="S427" s="693"/>
      <c r="T427" s="693"/>
      <c r="U427" s="705">
        <f>IF(T425&gt;0,(VLOOKUP(V427,'Lookup Ready-reckoner'!$L$5:$M$1207,2))," ")</f>
        <v>84.15</v>
      </c>
      <c r="V427" s="695">
        <f>IF(U425&gt;0,(SUM(V425:V426))," ")</f>
        <v>83.333333333333329</v>
      </c>
      <c r="W427" s="696"/>
      <c r="X427" s="364"/>
      <c r="Y427" s="364"/>
      <c r="Z427" s="364"/>
      <c r="AA427" s="367"/>
      <c r="AB427"/>
      <c r="AC427"/>
      <c r="AD427"/>
      <c r="AE427"/>
    </row>
    <row r="428" spans="17:31" ht="12.75" customHeight="1" thickBot="1">
      <c r="Q428" s="364"/>
      <c r="R428" s="892"/>
      <c r="S428" s="893"/>
      <c r="T428" s="893"/>
      <c r="U428" s="893"/>
      <c r="V428" s="893"/>
      <c r="W428" s="894"/>
      <c r="X428" s="364"/>
      <c r="Y428" s="364"/>
      <c r="Z428" s="364"/>
      <c r="AA428" s="367"/>
      <c r="AB428"/>
      <c r="AC428"/>
      <c r="AD428"/>
      <c r="AE428"/>
    </row>
    <row r="429" spans="17:31" ht="12.75" customHeight="1">
      <c r="Q429" s="364"/>
      <c r="R429" s="895" t="s">
        <v>886</v>
      </c>
      <c r="S429" s="896"/>
      <c r="T429" s="900" t="s">
        <v>835</v>
      </c>
      <c r="U429" s="900" t="s">
        <v>836</v>
      </c>
      <c r="V429" s="900" t="s">
        <v>837</v>
      </c>
      <c r="W429" s="902" t="s">
        <v>838</v>
      </c>
      <c r="X429" s="364"/>
      <c r="Y429" s="364"/>
      <c r="Z429" s="364"/>
      <c r="AA429" s="367"/>
      <c r="AB429"/>
      <c r="AC429"/>
      <c r="AD429"/>
      <c r="AE429"/>
    </row>
    <row r="430" spans="17:31" ht="12.75" customHeight="1">
      <c r="Q430" s="364"/>
      <c r="R430" s="892"/>
      <c r="S430" s="897"/>
      <c r="T430" s="901"/>
      <c r="U430" s="901"/>
      <c r="V430" s="901"/>
      <c r="W430" s="903"/>
      <c r="X430" s="364"/>
      <c r="Y430" s="364"/>
      <c r="Z430" s="364"/>
      <c r="AA430" s="367"/>
      <c r="AB430"/>
      <c r="AC430"/>
      <c r="AD430"/>
      <c r="AE430"/>
    </row>
    <row r="431" spans="17:31" ht="12.75" customHeight="1">
      <c r="Q431" s="364"/>
      <c r="R431" s="892"/>
      <c r="S431" s="897"/>
      <c r="T431" s="704">
        <f>T418-PPE!$I$15</f>
        <v>85.368800000000007</v>
      </c>
      <c r="U431" s="560">
        <f>U425</f>
        <v>2.6666666666666665</v>
      </c>
      <c r="V431" s="690">
        <f>IF(T431&gt;0,W431*U431," ")</f>
        <v>36.25</v>
      </c>
      <c r="W431" s="691">
        <f>IF(T431&gt;0,(VLOOKUP(T431,'Lookup Ready-reckoner'!$B$5:$E$1207,4))," ")</f>
        <v>13.59375</v>
      </c>
      <c r="X431" s="364"/>
      <c r="Y431" s="364"/>
      <c r="Z431" s="364"/>
      <c r="AA431" s="367"/>
      <c r="AB431"/>
      <c r="AC431"/>
      <c r="AD431"/>
      <c r="AE431"/>
    </row>
    <row r="432" spans="17:31" ht="12.75" customHeight="1">
      <c r="Q432" s="364"/>
      <c r="R432" s="898"/>
      <c r="S432" s="899"/>
      <c r="T432" s="447"/>
      <c r="U432" s="560"/>
      <c r="V432" s="690" t="str">
        <f>IF(T432&gt;0,W432*U432," ")</f>
        <v xml:space="preserve"> </v>
      </c>
      <c r="W432" s="691" t="str">
        <f>IF(T432&gt;0,(VLOOKUP(T432,'Lookup Ready-reckoner'!$B$5:$E$1007,4))," ")</f>
        <v xml:space="preserve"> </v>
      </c>
      <c r="X432" s="364"/>
      <c r="Y432" s="364"/>
      <c r="Z432" s="364"/>
      <c r="AA432" s="367"/>
      <c r="AB432"/>
      <c r="AC432"/>
      <c r="AD432"/>
      <c r="AE432"/>
    </row>
    <row r="433" spans="17:31" ht="12.75" customHeight="1" thickBot="1">
      <c r="Q433" s="364"/>
      <c r="R433" s="692" t="s">
        <v>839</v>
      </c>
      <c r="S433" s="693"/>
      <c r="T433" s="693"/>
      <c r="U433" s="705">
        <f>IF(T431&gt;0,(VLOOKUP(V433,'Lookup Ready-reckoner'!$L$5:$M$1207,2))," ")</f>
        <v>80.5</v>
      </c>
      <c r="V433" s="695">
        <f>IF(U431&gt;0,(SUM(V431:V432))," ")</f>
        <v>36.25</v>
      </c>
      <c r="W433" s="696"/>
      <c r="X433" s="364"/>
      <c r="Y433" s="364"/>
      <c r="Z433" s="364"/>
      <c r="AA433" s="367"/>
      <c r="AB433"/>
      <c r="AC433"/>
      <c r="AD433"/>
      <c r="AE433"/>
    </row>
    <row r="434" spans="17:31" ht="12.75" customHeight="1" thickBot="1">
      <c r="Q434" s="364"/>
      <c r="R434" s="364"/>
      <c r="S434" s="364"/>
      <c r="T434" s="364"/>
      <c r="U434" s="364"/>
      <c r="V434" s="364"/>
      <c r="W434" s="364"/>
      <c r="X434" s="364"/>
      <c r="Y434" s="364"/>
      <c r="Z434" s="364"/>
      <c r="AA434" s="367"/>
      <c r="AB434"/>
      <c r="AC434"/>
      <c r="AD434"/>
      <c r="AE434"/>
    </row>
    <row r="435" spans="17:31" ht="12.75" customHeight="1" thickTop="1">
      <c r="Q435" s="364"/>
      <c r="R435" s="916" t="s">
        <v>429</v>
      </c>
      <c r="S435" s="917"/>
      <c r="T435" s="917"/>
      <c r="U435" s="917"/>
      <c r="V435" s="917"/>
      <c r="W435" s="918"/>
      <c r="X435" s="364"/>
      <c r="Y435" s="364"/>
      <c r="Z435" s="364"/>
      <c r="AA435" s="367"/>
      <c r="AB435"/>
      <c r="AC435"/>
      <c r="AD435"/>
      <c r="AE435"/>
    </row>
    <row r="436" spans="17:31" ht="12.75" customHeight="1">
      <c r="Q436" s="364"/>
      <c r="R436" s="919"/>
      <c r="S436" s="920"/>
      <c r="T436" s="920"/>
      <c r="U436" s="920"/>
      <c r="V436" s="920"/>
      <c r="W436" s="921"/>
      <c r="X436" s="364"/>
      <c r="Y436" s="364"/>
      <c r="Z436" s="364"/>
      <c r="AA436" s="367"/>
      <c r="AB436"/>
      <c r="AC436"/>
      <c r="AD436"/>
      <c r="AE436"/>
    </row>
    <row r="437" spans="17:31" ht="12.75" customHeight="1" thickBot="1">
      <c r="Q437" s="364"/>
      <c r="R437" s="922"/>
      <c r="S437" s="923"/>
      <c r="T437" s="923"/>
      <c r="U437" s="923"/>
      <c r="V437" s="923"/>
      <c r="W437" s="924"/>
      <c r="X437" s="364"/>
      <c r="Y437" s="364"/>
      <c r="Z437" s="364"/>
      <c r="AA437" s="367"/>
      <c r="AB437"/>
      <c r="AC437"/>
      <c r="AD437"/>
      <c r="AE437"/>
    </row>
    <row r="438" spans="17:31" ht="12.75" customHeight="1" thickTop="1">
      <c r="Q438" s="364"/>
      <c r="R438" s="925" t="str">
        <f>R319</f>
        <v>Seco S215</v>
      </c>
      <c r="S438" s="925"/>
      <c r="T438" s="925"/>
      <c r="U438" s="925"/>
      <c r="V438" s="925"/>
      <c r="W438" s="925"/>
      <c r="X438" s="364"/>
      <c r="Y438" s="364"/>
      <c r="Z438" s="364"/>
      <c r="AA438" s="367"/>
      <c r="AB438"/>
      <c r="AC438"/>
      <c r="AD438"/>
      <c r="AE438"/>
    </row>
    <row r="439" spans="17:31" ht="12.75" customHeight="1" thickBot="1">
      <c r="Q439" s="364"/>
      <c r="R439" s="910" t="s">
        <v>205</v>
      </c>
      <c r="S439" s="911"/>
      <c r="T439" s="911"/>
      <c r="U439" s="911"/>
      <c r="V439" s="911"/>
      <c r="W439" s="912"/>
      <c r="X439" s="364"/>
      <c r="Y439" s="364"/>
      <c r="Z439" s="364"/>
      <c r="AA439" s="367"/>
      <c r="AB439"/>
      <c r="AC439"/>
      <c r="AD439"/>
      <c r="AE439"/>
    </row>
    <row r="440" spans="17:31" ht="12.75" customHeight="1" thickBot="1">
      <c r="Q440" s="364"/>
      <c r="R440" s="686" t="s">
        <v>59</v>
      </c>
      <c r="S440" s="577"/>
      <c r="T440" s="687"/>
      <c r="U440" s="687"/>
      <c r="V440" s="687"/>
      <c r="W440" s="688"/>
      <c r="X440" s="364"/>
      <c r="Y440" s="364"/>
      <c r="Z440" s="364"/>
      <c r="AA440" s="367"/>
      <c r="AB440"/>
      <c r="AC440"/>
      <c r="AD440"/>
      <c r="AE440"/>
    </row>
    <row r="441" spans="17:31" ht="12.75" customHeight="1">
      <c r="Q441" s="364"/>
      <c r="R441" s="895" t="s">
        <v>845</v>
      </c>
      <c r="S441" s="896"/>
      <c r="T441" s="900" t="s">
        <v>835</v>
      </c>
      <c r="U441" s="900" t="s">
        <v>836</v>
      </c>
      <c r="V441" s="900" t="s">
        <v>837</v>
      </c>
      <c r="W441" s="902" t="s">
        <v>838</v>
      </c>
      <c r="X441" s="364"/>
      <c r="Y441" s="364"/>
      <c r="Z441" s="364"/>
      <c r="AA441" s="367"/>
      <c r="AB441"/>
      <c r="AC441"/>
      <c r="AD441"/>
      <c r="AE441"/>
    </row>
    <row r="442" spans="17:31" ht="12.75" customHeight="1">
      <c r="Q442" s="364"/>
      <c r="R442" s="892"/>
      <c r="S442" s="897"/>
      <c r="T442" s="904"/>
      <c r="U442" s="904"/>
      <c r="V442" s="904"/>
      <c r="W442" s="905"/>
      <c r="X442" s="364"/>
      <c r="Y442" s="364"/>
      <c r="Z442" s="364"/>
      <c r="AA442" s="367"/>
      <c r="AB442"/>
      <c r="AC442"/>
      <c r="AD442"/>
      <c r="AE442"/>
    </row>
    <row r="443" spans="17:31" ht="12.75" customHeight="1">
      <c r="Q443" s="364"/>
      <c r="R443" s="892"/>
      <c r="S443" s="897"/>
      <c r="T443" s="901"/>
      <c r="U443" s="901"/>
      <c r="V443" s="901"/>
      <c r="W443" s="903"/>
      <c r="X443" s="364"/>
      <c r="Y443" s="364"/>
      <c r="Z443" s="364"/>
      <c r="AA443" s="367"/>
      <c r="AB443"/>
      <c r="AC443"/>
      <c r="AD443"/>
      <c r="AE443"/>
    </row>
    <row r="444" spans="17:31" ht="12.75" customHeight="1">
      <c r="Q444" s="364"/>
      <c r="R444" s="892"/>
      <c r="S444" s="897"/>
      <c r="T444" s="689">
        <f>X76</f>
        <v>122.02059991327964</v>
      </c>
      <c r="U444" s="560">
        <f>X62</f>
        <v>1.4285714285714284</v>
      </c>
      <c r="V444" s="690">
        <f>IF(T444&gt;0,W444*U444," ")</f>
        <v>79999.999999999985</v>
      </c>
      <c r="W444" s="691">
        <f>IF(T444&gt;0,(VLOOKUP(T444,'Lookup Ready-reckoner'!$B$5:$E$1207,4))," ")</f>
        <v>56000</v>
      </c>
      <c r="X444" s="364"/>
      <c r="Y444" s="364"/>
      <c r="Z444" s="364"/>
      <c r="AA444" s="367"/>
      <c r="AB444"/>
      <c r="AC444"/>
      <c r="AD444"/>
      <c r="AE444"/>
    </row>
    <row r="445" spans="17:31" ht="12.75" customHeight="1">
      <c r="Q445" s="364"/>
      <c r="R445" s="898"/>
      <c r="S445" s="899"/>
      <c r="T445" s="447"/>
      <c r="U445" s="560"/>
      <c r="V445" s="690" t="str">
        <f>IF(T445&gt;0,W445*U445," ")</f>
        <v xml:space="preserve"> </v>
      </c>
      <c r="W445" s="691" t="str">
        <f>IF(T445&gt;0,(VLOOKUP(T445,'Lookup Ready-reckoner'!$B$5:$E$1007,4))," ")</f>
        <v xml:space="preserve"> </v>
      </c>
      <c r="X445" s="364"/>
      <c r="Y445" s="364"/>
      <c r="Z445" s="364"/>
      <c r="AA445" s="367"/>
      <c r="AB445"/>
      <c r="AC445"/>
      <c r="AD445"/>
      <c r="AE445"/>
    </row>
    <row r="446" spans="17:31" ht="12.75" customHeight="1" thickBot="1">
      <c r="Q446" s="364"/>
      <c r="R446" s="692" t="s">
        <v>839</v>
      </c>
      <c r="S446" s="693"/>
      <c r="T446" s="693"/>
      <c r="U446" s="694">
        <f>IF(T444&gt;0,(VLOOKUP(V446,'Lookup Ready-reckoner'!$L$5:$M$1207,2))," ")</f>
        <v>113.95</v>
      </c>
      <c r="V446" s="695">
        <f>IF(U444&gt;0,(SUM(V444:V445))," ")</f>
        <v>79999.999999999985</v>
      </c>
      <c r="W446" s="696"/>
      <c r="X446" s="364"/>
      <c r="Y446" s="364"/>
      <c r="Z446" s="364"/>
      <c r="AA446" s="367"/>
      <c r="AB446"/>
      <c r="AC446"/>
      <c r="AD446"/>
      <c r="AE446"/>
    </row>
    <row r="447" spans="17:31" ht="12.75" customHeight="1" thickBot="1">
      <c r="Q447" s="364"/>
      <c r="R447" s="892"/>
      <c r="S447" s="893"/>
      <c r="T447" s="893"/>
      <c r="U447" s="893"/>
      <c r="V447" s="893"/>
      <c r="W447" s="894"/>
      <c r="X447" s="364"/>
      <c r="Y447" s="364"/>
      <c r="Z447" s="364"/>
      <c r="AA447" s="367"/>
      <c r="AB447"/>
      <c r="AC447"/>
      <c r="AD447"/>
      <c r="AE447"/>
    </row>
    <row r="448" spans="17:31" ht="12.75" customHeight="1">
      <c r="Q448" s="364"/>
      <c r="R448" s="895" t="s">
        <v>886</v>
      </c>
      <c r="S448" s="896"/>
      <c r="T448" s="900" t="s">
        <v>835</v>
      </c>
      <c r="U448" s="900" t="s">
        <v>836</v>
      </c>
      <c r="V448" s="900" t="s">
        <v>837</v>
      </c>
      <c r="W448" s="902" t="s">
        <v>838</v>
      </c>
      <c r="X448" s="364"/>
      <c r="Y448" s="364"/>
      <c r="Z448" s="364"/>
      <c r="AA448" s="367"/>
      <c r="AB448"/>
      <c r="AC448"/>
      <c r="AD448"/>
      <c r="AE448"/>
    </row>
    <row r="449" spans="17:31" ht="12.75" customHeight="1">
      <c r="Q449" s="364"/>
      <c r="R449" s="892"/>
      <c r="S449" s="897"/>
      <c r="T449" s="901"/>
      <c r="U449" s="901"/>
      <c r="V449" s="901"/>
      <c r="W449" s="903"/>
      <c r="X449" s="364"/>
      <c r="Y449" s="364"/>
      <c r="Z449" s="364"/>
      <c r="AA449" s="367"/>
      <c r="AB449"/>
      <c r="AC449"/>
      <c r="AD449"/>
      <c r="AE449"/>
    </row>
    <row r="450" spans="17:31" ht="12.75" customHeight="1">
      <c r="Q450" s="364"/>
      <c r="R450" s="892"/>
      <c r="S450" s="897"/>
      <c r="T450" s="689">
        <f>T444*(1-0.0178*2)</f>
        <v>117.67666655636688</v>
      </c>
      <c r="U450" s="560">
        <f>U444</f>
        <v>1.4285714285714284</v>
      </c>
      <c r="V450" s="690">
        <f>IF(T450&gt;0,W450*U450," ")</f>
        <v>33771.428571428565</v>
      </c>
      <c r="W450" s="691">
        <f>IF(T450&gt;0,(VLOOKUP(T450,'Lookup Ready-reckoner'!$B$5:$E$1207,4))," ")</f>
        <v>23640</v>
      </c>
      <c r="X450" s="364"/>
      <c r="Y450" s="364"/>
      <c r="Z450" s="364"/>
      <c r="AA450" s="367"/>
      <c r="AB450"/>
      <c r="AC450"/>
      <c r="AD450"/>
      <c r="AE450"/>
    </row>
    <row r="451" spans="17:31" ht="12.75" customHeight="1">
      <c r="Q451" s="364"/>
      <c r="R451" s="898"/>
      <c r="S451" s="899"/>
      <c r="T451" s="447"/>
      <c r="U451" s="560"/>
      <c r="V451" s="690" t="str">
        <f>IF(T451&gt;0,W451*U451," ")</f>
        <v xml:space="preserve"> </v>
      </c>
      <c r="W451" s="691" t="str">
        <f>IF(T451&gt;0,(VLOOKUP(T451,'Lookup Ready-reckoner'!$B$5:$E$1007,4))," ")</f>
        <v xml:space="preserve"> </v>
      </c>
      <c r="X451" s="364"/>
      <c r="Y451" s="364"/>
      <c r="Z451" s="364"/>
      <c r="AA451" s="367"/>
      <c r="AB451"/>
      <c r="AC451"/>
      <c r="AD451"/>
      <c r="AE451"/>
    </row>
    <row r="452" spans="17:31" ht="12.75" customHeight="1" thickBot="1">
      <c r="Q452" s="364"/>
      <c r="R452" s="692" t="s">
        <v>839</v>
      </c>
      <c r="S452" s="693"/>
      <c r="T452" s="693"/>
      <c r="U452" s="694">
        <f>IF(T450&gt;0,(VLOOKUP(V452,'Lookup Ready-reckoner'!$L$5:$M$1207,2))," ")</f>
        <v>110.2</v>
      </c>
      <c r="V452" s="695">
        <f>IF(U450&gt;0,(SUM(V450:V451))," ")</f>
        <v>33771.428571428565</v>
      </c>
      <c r="W452" s="696"/>
      <c r="X452" s="364"/>
      <c r="Y452" s="364"/>
      <c r="Z452" s="364"/>
      <c r="AA452" s="367"/>
      <c r="AB452"/>
      <c r="AC452"/>
      <c r="AD452"/>
      <c r="AE452"/>
    </row>
    <row r="453" spans="17:31" ht="12.75" customHeight="1">
      <c r="Q453" s="364"/>
      <c r="R453" s="697"/>
      <c r="S453" s="687"/>
      <c r="T453" s="687"/>
      <c r="U453" s="372"/>
      <c r="V453" s="374"/>
      <c r="W453" s="688"/>
      <c r="X453" s="364"/>
      <c r="Y453" s="364"/>
      <c r="Z453" s="364"/>
      <c r="AA453" s="367"/>
      <c r="AB453"/>
      <c r="AC453"/>
      <c r="AD453"/>
      <c r="AE453"/>
    </row>
    <row r="454" spans="17:31" ht="12.75" customHeight="1" thickBot="1">
      <c r="Q454" s="364"/>
      <c r="R454" s="686" t="s">
        <v>60</v>
      </c>
      <c r="S454" s="577"/>
      <c r="T454" s="577"/>
      <c r="U454" s="577"/>
      <c r="V454" s="577"/>
      <c r="W454" s="698"/>
      <c r="X454" s="364"/>
      <c r="Y454" s="364"/>
      <c r="Z454" s="364"/>
      <c r="AA454" s="367"/>
      <c r="AB454"/>
      <c r="AC454"/>
      <c r="AD454"/>
      <c r="AE454"/>
    </row>
    <row r="455" spans="17:31" ht="12.75" customHeight="1">
      <c r="Q455" s="364"/>
      <c r="R455" s="895" t="s">
        <v>845</v>
      </c>
      <c r="S455" s="896"/>
      <c r="T455" s="900" t="s">
        <v>835</v>
      </c>
      <c r="U455" s="900" t="s">
        <v>836</v>
      </c>
      <c r="V455" s="900" t="s">
        <v>837</v>
      </c>
      <c r="W455" s="902" t="s">
        <v>838</v>
      </c>
      <c r="X455" s="364"/>
      <c r="Y455" s="364"/>
      <c r="Z455" s="364"/>
      <c r="AA455" s="367"/>
      <c r="AB455"/>
      <c r="AC455"/>
      <c r="AD455"/>
      <c r="AE455"/>
    </row>
    <row r="456" spans="17:31" ht="12.75" customHeight="1">
      <c r="Q456" s="364"/>
      <c r="R456" s="892"/>
      <c r="S456" s="897"/>
      <c r="T456" s="901"/>
      <c r="U456" s="901"/>
      <c r="V456" s="901"/>
      <c r="W456" s="903"/>
      <c r="X456" s="364"/>
      <c r="Y456" s="364"/>
      <c r="Z456" s="364"/>
      <c r="AA456" s="367"/>
      <c r="AB456"/>
      <c r="AC456"/>
      <c r="AD456"/>
      <c r="AE456"/>
    </row>
    <row r="457" spans="17:31" ht="12.75" customHeight="1">
      <c r="Q457" s="364"/>
      <c r="R457" s="892"/>
      <c r="S457" s="897"/>
      <c r="T457" s="689">
        <f>T444-PPE!$I$15</f>
        <v>109.02059991327964</v>
      </c>
      <c r="U457" s="560">
        <f>U450</f>
        <v>1.4285714285714284</v>
      </c>
      <c r="V457" s="690">
        <f>IF(T457&gt;0,W457*U457," ")</f>
        <v>4571.4285714285706</v>
      </c>
      <c r="W457" s="691">
        <f>IF(T457&gt;0,(VLOOKUP(T457,'Lookup Ready-reckoner'!$B$5:$E$1207,4))," ")</f>
        <v>3200</v>
      </c>
      <c r="X457" s="364"/>
      <c r="Y457" s="364"/>
      <c r="Z457" s="364"/>
      <c r="AA457" s="367"/>
      <c r="AB457"/>
      <c r="AC457"/>
      <c r="AD457"/>
      <c r="AE457"/>
    </row>
    <row r="458" spans="17:31" ht="12.75" customHeight="1">
      <c r="Q458" s="364"/>
      <c r="R458" s="898"/>
      <c r="S458" s="899"/>
      <c r="T458" s="447"/>
      <c r="U458" s="560"/>
      <c r="V458" s="690" t="str">
        <f>IF(T458&gt;0,W458*U458," ")</f>
        <v xml:space="preserve"> </v>
      </c>
      <c r="W458" s="691" t="str">
        <f>IF(T458&gt;0,(VLOOKUP(T458,'Lookup Ready-reckoner'!$B$5:$E$1007,4))," ")</f>
        <v xml:space="preserve"> </v>
      </c>
      <c r="X458" s="364"/>
      <c r="Y458" s="364"/>
      <c r="Z458" s="364"/>
      <c r="AA458" s="367"/>
      <c r="AB458"/>
      <c r="AC458"/>
      <c r="AD458"/>
      <c r="AE458"/>
    </row>
    <row r="459" spans="17:31" ht="12.75" customHeight="1" thickBot="1">
      <c r="Q459" s="364"/>
      <c r="R459" s="699" t="s">
        <v>839</v>
      </c>
      <c r="S459" s="693"/>
      <c r="T459" s="693"/>
      <c r="U459" s="694">
        <f>IF(T457&gt;0,(VLOOKUP(V459,'Lookup Ready-reckoner'!$L$5:$M$1207,2))," ")</f>
        <v>101.55</v>
      </c>
      <c r="V459" s="695">
        <f>IF(U457&gt;0,(SUM(V457:V458))," ")</f>
        <v>4571.4285714285706</v>
      </c>
      <c r="W459" s="696"/>
      <c r="X459" s="364"/>
      <c r="Y459" s="364"/>
      <c r="Z459" s="364"/>
      <c r="AA459" s="367"/>
      <c r="AB459"/>
      <c r="AC459"/>
      <c r="AD459"/>
      <c r="AE459"/>
    </row>
    <row r="460" spans="17:31" ht="12.75" customHeight="1" thickBot="1">
      <c r="Q460" s="364"/>
      <c r="R460" s="892"/>
      <c r="S460" s="893"/>
      <c r="T460" s="893"/>
      <c r="U460" s="893"/>
      <c r="V460" s="893"/>
      <c r="W460" s="894"/>
      <c r="X460" s="364"/>
      <c r="Y460" s="364"/>
      <c r="Z460" s="364"/>
      <c r="AA460" s="367"/>
      <c r="AB460"/>
      <c r="AC460"/>
      <c r="AD460"/>
      <c r="AE460"/>
    </row>
    <row r="461" spans="17:31" ht="12.75" customHeight="1">
      <c r="Q461" s="364"/>
      <c r="R461" s="895" t="s">
        <v>886</v>
      </c>
      <c r="S461" s="896"/>
      <c r="T461" s="900" t="s">
        <v>835</v>
      </c>
      <c r="U461" s="900" t="s">
        <v>836</v>
      </c>
      <c r="V461" s="900" t="s">
        <v>837</v>
      </c>
      <c r="W461" s="902" t="s">
        <v>838</v>
      </c>
      <c r="X461" s="364"/>
      <c r="Y461" s="364"/>
      <c r="Z461" s="364"/>
      <c r="AA461" s="367"/>
      <c r="AB461"/>
      <c r="AC461"/>
      <c r="AD461"/>
      <c r="AE461"/>
    </row>
    <row r="462" spans="17:31" ht="12.75" customHeight="1">
      <c r="Q462" s="364"/>
      <c r="R462" s="892"/>
      <c r="S462" s="897"/>
      <c r="T462" s="901"/>
      <c r="U462" s="901"/>
      <c r="V462" s="901"/>
      <c r="W462" s="903"/>
      <c r="X462" s="364"/>
      <c r="Y462" s="364"/>
      <c r="Z462" s="364"/>
      <c r="AA462" s="367"/>
      <c r="AB462"/>
      <c r="AC462"/>
      <c r="AD462"/>
      <c r="AE462"/>
    </row>
    <row r="463" spans="17:31" ht="12.75" customHeight="1">
      <c r="Q463" s="364"/>
      <c r="R463" s="892"/>
      <c r="S463" s="897"/>
      <c r="T463" s="689">
        <f>T450-PPE!$I$15</f>
        <v>104.67666655636688</v>
      </c>
      <c r="U463" s="560">
        <f>U457</f>
        <v>1.4285714285714284</v>
      </c>
      <c r="V463" s="690">
        <f>IF(T463&gt;0,W463*U463," ")</f>
        <v>1660.7142857142856</v>
      </c>
      <c r="W463" s="691">
        <f>IF(T463&gt;0,(VLOOKUP(T463,'Lookup Ready-reckoner'!$B$5:$E$1207,4))," ")</f>
        <v>1162.5</v>
      </c>
      <c r="X463" s="364"/>
      <c r="Y463" s="364"/>
      <c r="Z463" s="364"/>
      <c r="AA463" s="367"/>
      <c r="AB463"/>
      <c r="AC463"/>
      <c r="AD463"/>
      <c r="AE463"/>
    </row>
    <row r="464" spans="17:31" ht="12.75" customHeight="1">
      <c r="Q464" s="364"/>
      <c r="R464" s="898"/>
      <c r="S464" s="899"/>
      <c r="T464" s="447"/>
      <c r="U464" s="560"/>
      <c r="V464" s="690" t="str">
        <f>IF(T464&gt;0,W464*U464," ")</f>
        <v xml:space="preserve"> </v>
      </c>
      <c r="W464" s="691" t="str">
        <f>IF(T464&gt;0,(VLOOKUP(T464,'Lookup Ready-reckoner'!$B$5:$E$1007,4))," ")</f>
        <v xml:space="preserve"> </v>
      </c>
      <c r="X464" s="364"/>
      <c r="Y464" s="364"/>
      <c r="Z464" s="364"/>
      <c r="AA464" s="367"/>
      <c r="AB464"/>
      <c r="AC464"/>
      <c r="AD464"/>
      <c r="AE464"/>
    </row>
    <row r="465" spans="17:31" ht="12.75" customHeight="1" thickBot="1">
      <c r="Q465" s="364"/>
      <c r="R465" s="692" t="s">
        <v>839</v>
      </c>
      <c r="S465" s="693"/>
      <c r="T465" s="693"/>
      <c r="U465" s="694">
        <f>IF(T463&gt;0,(VLOOKUP(V465,'Lookup Ready-reckoner'!$L$5:$M$1207,2))," ")</f>
        <v>97.15</v>
      </c>
      <c r="V465" s="695">
        <f>IF(U463&gt;0,(SUM(V463:V464))," ")</f>
        <v>1660.7142857142856</v>
      </c>
      <c r="W465" s="696"/>
      <c r="X465" s="364"/>
      <c r="Y465" s="364"/>
      <c r="Z465" s="364"/>
      <c r="AA465" s="367"/>
      <c r="AB465"/>
      <c r="AC465"/>
      <c r="AD465"/>
      <c r="AE465"/>
    </row>
    <row r="466" spans="17:31" ht="12.75" customHeight="1">
      <c r="Q466" s="364"/>
      <c r="R466" s="363"/>
      <c r="S466" s="363"/>
      <c r="T466" s="363"/>
      <c r="U466" s="363"/>
      <c r="V466" s="363"/>
      <c r="W466" s="363"/>
      <c r="X466" s="364"/>
      <c r="Y466" s="364"/>
      <c r="Z466" s="364"/>
      <c r="AA466" s="367"/>
      <c r="AB466"/>
      <c r="AC466"/>
      <c r="AD466"/>
      <c r="AE466"/>
    </row>
    <row r="467" spans="17:31" ht="12.75" customHeight="1" thickBot="1">
      <c r="Q467" s="364"/>
      <c r="R467" s="915" t="str">
        <f>R348</f>
        <v>Seco S215 Muffled</v>
      </c>
      <c r="S467" s="915"/>
      <c r="T467" s="915"/>
      <c r="U467" s="915"/>
      <c r="V467" s="915"/>
      <c r="W467" s="915"/>
      <c r="X467" s="364"/>
      <c r="Y467" s="364"/>
      <c r="Z467" s="364"/>
      <c r="AA467" s="367"/>
      <c r="AB467"/>
      <c r="AC467"/>
      <c r="AD467"/>
      <c r="AE467"/>
    </row>
    <row r="468" spans="17:31" ht="12.75" customHeight="1" thickBot="1">
      <c r="Q468" s="364"/>
      <c r="R468" s="906" t="s">
        <v>205</v>
      </c>
      <c r="S468" s="907"/>
      <c r="T468" s="907"/>
      <c r="U468" s="907"/>
      <c r="V468" s="907"/>
      <c r="W468" s="908"/>
      <c r="X468" s="364"/>
      <c r="Y468" s="364"/>
      <c r="Z468" s="364"/>
      <c r="AA468" s="367"/>
      <c r="AB468"/>
      <c r="AC468"/>
      <c r="AD468"/>
      <c r="AE468"/>
    </row>
    <row r="469" spans="17:31" ht="12.75" customHeight="1" thickBot="1">
      <c r="Q469" s="364"/>
      <c r="R469" s="686" t="s">
        <v>59</v>
      </c>
      <c r="S469" s="577"/>
      <c r="T469" s="687"/>
      <c r="U469" s="687"/>
      <c r="V469" s="687"/>
      <c r="W469" s="688"/>
      <c r="X469" s="364"/>
      <c r="Y469" s="364"/>
      <c r="Z469" s="364"/>
      <c r="AA469" s="367"/>
      <c r="AB469"/>
      <c r="AC469"/>
      <c r="AD469"/>
      <c r="AE469"/>
    </row>
    <row r="470" spans="17:31" ht="12.75" customHeight="1">
      <c r="Q470" s="364"/>
      <c r="R470" s="895" t="s">
        <v>845</v>
      </c>
      <c r="S470" s="896"/>
      <c r="T470" s="900" t="s">
        <v>835</v>
      </c>
      <c r="U470" s="900" t="s">
        <v>836</v>
      </c>
      <c r="V470" s="900" t="s">
        <v>837</v>
      </c>
      <c r="W470" s="902" t="s">
        <v>838</v>
      </c>
      <c r="X470" s="364"/>
      <c r="Y470" s="364"/>
      <c r="Z470" s="364"/>
      <c r="AA470" s="367"/>
      <c r="AB470"/>
      <c r="AC470"/>
      <c r="AD470"/>
      <c r="AE470"/>
    </row>
    <row r="471" spans="17:31" ht="12.75" customHeight="1">
      <c r="Q471" s="364"/>
      <c r="R471" s="892"/>
      <c r="S471" s="897"/>
      <c r="T471" s="904"/>
      <c r="U471" s="904"/>
      <c r="V471" s="904"/>
      <c r="W471" s="905"/>
      <c r="X471" s="364"/>
      <c r="Y471" s="364"/>
      <c r="Z471" s="364"/>
      <c r="AA471" s="367"/>
      <c r="AB471"/>
      <c r="AC471"/>
      <c r="AD471"/>
      <c r="AE471"/>
    </row>
    <row r="472" spans="17:31" ht="12.75" customHeight="1">
      <c r="Q472" s="364"/>
      <c r="R472" s="892"/>
      <c r="S472" s="897"/>
      <c r="T472" s="901"/>
      <c r="U472" s="901"/>
      <c r="V472" s="901"/>
      <c r="W472" s="903"/>
      <c r="X472" s="364"/>
      <c r="Y472" s="364"/>
      <c r="Z472" s="364"/>
      <c r="AA472" s="367"/>
      <c r="AB472"/>
      <c r="AC472"/>
      <c r="AD472"/>
      <c r="AE472"/>
    </row>
    <row r="473" spans="17:31" ht="12.75" customHeight="1">
      <c r="Q473" s="364"/>
      <c r="R473" s="892"/>
      <c r="S473" s="897"/>
      <c r="T473" s="700">
        <f>V76</f>
        <v>114.02059991327963</v>
      </c>
      <c r="U473" s="560">
        <f>V62</f>
        <v>1.9999999999999996</v>
      </c>
      <c r="V473" s="690">
        <f>IF(T473&gt;0,W473*U473," ")</f>
        <v>19999.999999999996</v>
      </c>
      <c r="W473" s="691">
        <f>IF(T473&gt;0,(VLOOKUP(T473,'Lookup Ready-reckoner'!$B$5:$E$1207,4))," ")</f>
        <v>10000</v>
      </c>
      <c r="X473" s="364"/>
      <c r="Y473" s="364"/>
      <c r="Z473" s="364"/>
      <c r="AA473" s="367"/>
      <c r="AB473"/>
      <c r="AC473"/>
      <c r="AD473"/>
      <c r="AE473"/>
    </row>
    <row r="474" spans="17:31" ht="12.75" customHeight="1">
      <c r="Q474" s="364"/>
      <c r="R474" s="898"/>
      <c r="S474" s="899"/>
      <c r="T474" s="447"/>
      <c r="U474" s="560"/>
      <c r="V474" s="690" t="str">
        <f>IF(T474&gt;0,W474*U474," ")</f>
        <v xml:space="preserve"> </v>
      </c>
      <c r="W474" s="691" t="str">
        <f>IF(T474&gt;0,(VLOOKUP(T474,'Lookup Ready-reckoner'!$B$5:$E$1007,4))," ")</f>
        <v xml:space="preserve"> </v>
      </c>
      <c r="X474" s="364"/>
      <c r="Y474" s="364"/>
      <c r="Z474" s="364"/>
      <c r="AA474" s="367"/>
      <c r="AB474"/>
      <c r="AC474"/>
      <c r="AD474"/>
      <c r="AE474"/>
    </row>
    <row r="475" spans="17:31" ht="12.75" customHeight="1" thickBot="1">
      <c r="Q475" s="364"/>
      <c r="R475" s="699" t="s">
        <v>839</v>
      </c>
      <c r="S475" s="693"/>
      <c r="T475" s="693"/>
      <c r="U475" s="701">
        <f>IF(T473&gt;0,(VLOOKUP(V475,'Lookup Ready-reckoner'!$L$5:$M$1207,2))," ")</f>
        <v>107.95</v>
      </c>
      <c r="V475" s="695">
        <f>IF(U473&gt;0,(SUM(V473:V474))," ")</f>
        <v>19999.999999999996</v>
      </c>
      <c r="W475" s="696"/>
      <c r="X475" s="364"/>
      <c r="Y475" s="364"/>
      <c r="Z475" s="364"/>
      <c r="AA475" s="367"/>
      <c r="AB475"/>
      <c r="AC475"/>
      <c r="AD475"/>
      <c r="AE475"/>
    </row>
    <row r="476" spans="17:31" ht="12.75" customHeight="1" thickBot="1">
      <c r="Q476" s="364"/>
      <c r="R476" s="892"/>
      <c r="S476" s="893"/>
      <c r="T476" s="893"/>
      <c r="U476" s="893"/>
      <c r="V476" s="893"/>
      <c r="W476" s="894"/>
      <c r="X476" s="364"/>
      <c r="Y476" s="364"/>
      <c r="Z476" s="364"/>
      <c r="AA476" s="367"/>
      <c r="AB476"/>
      <c r="AC476"/>
      <c r="AD476"/>
      <c r="AE476"/>
    </row>
    <row r="477" spans="17:31" ht="12.75" customHeight="1">
      <c r="Q477" s="364"/>
      <c r="R477" s="895" t="s">
        <v>886</v>
      </c>
      <c r="S477" s="896"/>
      <c r="T477" s="900" t="s">
        <v>835</v>
      </c>
      <c r="U477" s="900" t="s">
        <v>836</v>
      </c>
      <c r="V477" s="900" t="s">
        <v>837</v>
      </c>
      <c r="W477" s="902" t="s">
        <v>838</v>
      </c>
      <c r="X477" s="364"/>
      <c r="Y477" s="364"/>
      <c r="Z477" s="364"/>
      <c r="AA477" s="367"/>
      <c r="AB477"/>
      <c r="AC477"/>
      <c r="AD477"/>
      <c r="AE477"/>
    </row>
    <row r="478" spans="17:31" ht="12.75" customHeight="1">
      <c r="Q478" s="364"/>
      <c r="R478" s="892"/>
      <c r="S478" s="897"/>
      <c r="T478" s="901"/>
      <c r="U478" s="901"/>
      <c r="V478" s="901"/>
      <c r="W478" s="903"/>
      <c r="X478" s="364"/>
      <c r="Y478" s="364"/>
      <c r="Z478" s="364"/>
      <c r="AA478" s="367"/>
      <c r="AB478"/>
      <c r="AC478"/>
      <c r="AD478"/>
      <c r="AE478"/>
    </row>
    <row r="479" spans="17:31" ht="12.75" customHeight="1">
      <c r="Q479" s="364"/>
      <c r="R479" s="892"/>
      <c r="S479" s="897"/>
      <c r="T479" s="700">
        <f>T473*(1-0.0178*2)</f>
        <v>109.96146655636687</v>
      </c>
      <c r="U479" s="560">
        <f>U473</f>
        <v>1.9999999999999996</v>
      </c>
      <c r="V479" s="690">
        <f>IF(T479&gt;0,W479*U479," ")</f>
        <v>7919.9999999999982</v>
      </c>
      <c r="W479" s="691">
        <f>IF(T479&gt;0,(VLOOKUP(T479,'Lookup Ready-reckoner'!$B$5:$E$1207,4))," ")</f>
        <v>3960</v>
      </c>
      <c r="X479" s="364"/>
      <c r="Y479" s="364"/>
      <c r="Z479" s="364"/>
      <c r="AA479" s="367"/>
      <c r="AB479"/>
      <c r="AC479"/>
      <c r="AD479"/>
      <c r="AE479"/>
    </row>
    <row r="480" spans="17:31" ht="12.75" customHeight="1">
      <c r="Q480" s="364"/>
      <c r="R480" s="898"/>
      <c r="S480" s="899"/>
      <c r="T480" s="447"/>
      <c r="U480" s="560"/>
      <c r="V480" s="690" t="str">
        <f>IF(T480&gt;0,W480*U480," ")</f>
        <v xml:space="preserve"> </v>
      </c>
      <c r="W480" s="691" t="str">
        <f>IF(T480&gt;0,(VLOOKUP(T480,'Lookup Ready-reckoner'!$B$5:$E$1007,4))," ")</f>
        <v xml:space="preserve"> </v>
      </c>
      <c r="X480" s="364"/>
      <c r="Y480" s="364"/>
      <c r="Z480" s="364"/>
      <c r="AA480" s="367"/>
      <c r="AB480"/>
      <c r="AC480"/>
      <c r="AD480"/>
      <c r="AE480"/>
    </row>
    <row r="481" spans="17:31" ht="12.75" customHeight="1" thickBot="1">
      <c r="Q481" s="364"/>
      <c r="R481" s="692" t="s">
        <v>839</v>
      </c>
      <c r="S481" s="693"/>
      <c r="T481" s="693"/>
      <c r="U481" s="701">
        <f>IF(T479&gt;0,(VLOOKUP(V481,'Lookup Ready-reckoner'!$L$5:$M$1207,2))," ")</f>
        <v>103.9</v>
      </c>
      <c r="V481" s="695">
        <f>IF(U479&gt;0,(SUM(V479:V480))," ")</f>
        <v>7919.9999999999982</v>
      </c>
      <c r="W481" s="696"/>
      <c r="X481" s="364"/>
      <c r="Y481" s="364"/>
      <c r="Z481" s="364"/>
      <c r="AA481" s="367"/>
      <c r="AB481"/>
      <c r="AC481"/>
      <c r="AD481"/>
      <c r="AE481"/>
    </row>
    <row r="482" spans="17:31" ht="12.75" customHeight="1">
      <c r="Q482" s="364"/>
      <c r="R482" s="697"/>
      <c r="S482" s="687"/>
      <c r="T482" s="687"/>
      <c r="U482" s="372"/>
      <c r="V482" s="374"/>
      <c r="W482" s="688"/>
      <c r="X482" s="364"/>
      <c r="Y482" s="364"/>
      <c r="Z482" s="364"/>
      <c r="AA482" s="367"/>
      <c r="AB482"/>
      <c r="AC482"/>
      <c r="AD482"/>
      <c r="AE482"/>
    </row>
    <row r="483" spans="17:31" ht="12.75" customHeight="1" thickBot="1">
      <c r="Q483" s="364"/>
      <c r="R483" s="686" t="s">
        <v>60</v>
      </c>
      <c r="S483" s="577"/>
      <c r="T483" s="577"/>
      <c r="U483" s="577"/>
      <c r="V483" s="577"/>
      <c r="W483" s="698"/>
      <c r="X483" s="364"/>
      <c r="Y483" s="364"/>
      <c r="Z483" s="364"/>
      <c r="AA483" s="367"/>
      <c r="AB483"/>
      <c r="AC483"/>
      <c r="AD483"/>
      <c r="AE483"/>
    </row>
    <row r="484" spans="17:31" ht="12.75" customHeight="1">
      <c r="Q484" s="364"/>
      <c r="R484" s="895" t="s">
        <v>845</v>
      </c>
      <c r="S484" s="896"/>
      <c r="T484" s="900" t="s">
        <v>835</v>
      </c>
      <c r="U484" s="900" t="s">
        <v>836</v>
      </c>
      <c r="V484" s="900" t="s">
        <v>837</v>
      </c>
      <c r="W484" s="902" t="s">
        <v>838</v>
      </c>
      <c r="X484" s="364"/>
      <c r="Y484" s="364"/>
      <c r="Z484" s="364"/>
      <c r="AA484" s="367"/>
      <c r="AB484"/>
      <c r="AC484"/>
      <c r="AD484"/>
      <c r="AE484"/>
    </row>
    <row r="485" spans="17:31" ht="12.75" customHeight="1">
      <c r="Q485" s="364"/>
      <c r="R485" s="892"/>
      <c r="S485" s="897"/>
      <c r="T485" s="901"/>
      <c r="U485" s="901"/>
      <c r="V485" s="901"/>
      <c r="W485" s="903"/>
      <c r="X485" s="364"/>
      <c r="Y485" s="364"/>
      <c r="Z485" s="364"/>
      <c r="AA485" s="367"/>
      <c r="AB485"/>
      <c r="AC485"/>
      <c r="AD485"/>
      <c r="AE485"/>
    </row>
    <row r="486" spans="17:31" ht="12.75" customHeight="1">
      <c r="Q486" s="364"/>
      <c r="R486" s="892"/>
      <c r="S486" s="897"/>
      <c r="T486" s="700">
        <f>T473-PPE!$I$15</f>
        <v>101.02059991327963</v>
      </c>
      <c r="U486" s="560">
        <f>U479</f>
        <v>1.9999999999999996</v>
      </c>
      <c r="V486" s="690">
        <f>IF(T486&gt;0,W486*U486," ")</f>
        <v>999.99999999999977</v>
      </c>
      <c r="W486" s="691">
        <f>IF(T486&gt;0,(VLOOKUP(T486,'Lookup Ready-reckoner'!$B$5:$E$1207,4))," ")</f>
        <v>500</v>
      </c>
      <c r="X486" s="364"/>
      <c r="Y486" s="364"/>
      <c r="Z486" s="364"/>
      <c r="AA486" s="367"/>
      <c r="AB486"/>
      <c r="AC486"/>
      <c r="AD486"/>
      <c r="AE486"/>
    </row>
    <row r="487" spans="17:31" ht="12.75" customHeight="1">
      <c r="Q487" s="364"/>
      <c r="R487" s="898"/>
      <c r="S487" s="899"/>
      <c r="T487" s="447"/>
      <c r="U487" s="560"/>
      <c r="V487" s="690" t="str">
        <f>IF(T487&gt;0,W487*U487," ")</f>
        <v xml:space="preserve"> </v>
      </c>
      <c r="W487" s="691" t="str">
        <f>IF(T487&gt;0,(VLOOKUP(T487,'Lookup Ready-reckoner'!$B$5:$E$1007,4))," ")</f>
        <v xml:space="preserve"> </v>
      </c>
      <c r="X487" s="364"/>
      <c r="Y487" s="364"/>
      <c r="Z487" s="364"/>
      <c r="AA487" s="367"/>
      <c r="AB487"/>
      <c r="AC487"/>
      <c r="AD487"/>
      <c r="AE487"/>
    </row>
    <row r="488" spans="17:31" ht="12.75" customHeight="1" thickBot="1">
      <c r="Q488" s="364"/>
      <c r="R488" s="692" t="s">
        <v>839</v>
      </c>
      <c r="S488" s="693"/>
      <c r="T488" s="693"/>
      <c r="U488" s="701">
        <f>IF(T486&gt;0,(VLOOKUP(V488,'Lookup Ready-reckoner'!$L$5:$M$1207,2))," ")</f>
        <v>94.95</v>
      </c>
      <c r="V488" s="695">
        <f>IF(U486&gt;0,(SUM(V486:V487))," ")</f>
        <v>999.99999999999977</v>
      </c>
      <c r="W488" s="696"/>
      <c r="X488" s="364"/>
      <c r="Y488" s="364"/>
      <c r="Z488" s="364"/>
      <c r="AA488" s="367"/>
      <c r="AB488"/>
      <c r="AC488"/>
      <c r="AD488"/>
      <c r="AE488"/>
    </row>
    <row r="489" spans="17:31" ht="12.75" customHeight="1" thickBot="1">
      <c r="Q489" s="364"/>
      <c r="R489" s="892"/>
      <c r="S489" s="893"/>
      <c r="T489" s="893"/>
      <c r="U489" s="893"/>
      <c r="V489" s="893"/>
      <c r="W489" s="894"/>
      <c r="X489" s="364"/>
      <c r="Y489" s="364"/>
      <c r="Z489" s="364"/>
      <c r="AA489" s="367"/>
      <c r="AB489"/>
      <c r="AC489"/>
      <c r="AD489"/>
      <c r="AE489"/>
    </row>
    <row r="490" spans="17:31" ht="12.75" customHeight="1">
      <c r="Q490" s="364"/>
      <c r="R490" s="895" t="s">
        <v>886</v>
      </c>
      <c r="S490" s="896"/>
      <c r="T490" s="900" t="s">
        <v>835</v>
      </c>
      <c r="U490" s="900" t="s">
        <v>836</v>
      </c>
      <c r="V490" s="900" t="s">
        <v>837</v>
      </c>
      <c r="W490" s="902" t="s">
        <v>838</v>
      </c>
      <c r="X490" s="364"/>
      <c r="Y490" s="364"/>
      <c r="Z490" s="364"/>
      <c r="AA490" s="367"/>
      <c r="AB490"/>
      <c r="AC490"/>
      <c r="AD490"/>
      <c r="AE490"/>
    </row>
    <row r="491" spans="17:31" ht="12.75" customHeight="1">
      <c r="Q491" s="364"/>
      <c r="R491" s="892"/>
      <c r="S491" s="897"/>
      <c r="T491" s="901"/>
      <c r="U491" s="901"/>
      <c r="V491" s="901"/>
      <c r="W491" s="903"/>
      <c r="X491" s="364"/>
      <c r="Y491" s="364"/>
      <c r="Z491" s="364"/>
      <c r="AA491" s="367"/>
      <c r="AB491"/>
      <c r="AC491"/>
      <c r="AD491"/>
      <c r="AE491"/>
    </row>
    <row r="492" spans="17:31" ht="12.75" customHeight="1">
      <c r="Q492" s="364"/>
      <c r="R492" s="892"/>
      <c r="S492" s="897"/>
      <c r="T492" s="700">
        <f>T479-PPE!$I$15</f>
        <v>96.961466556366872</v>
      </c>
      <c r="U492" s="560">
        <f>U486</f>
        <v>1.9999999999999996</v>
      </c>
      <c r="V492" s="690">
        <f>IF(T492&gt;0,W492*U492," ")</f>
        <v>395.62499999999989</v>
      </c>
      <c r="W492" s="691">
        <f>IF(T492&gt;0,(VLOOKUP(T492,'Lookup Ready-reckoner'!$B$5:$E$1207,4))," ")</f>
        <v>197.8125</v>
      </c>
      <c r="X492" s="364"/>
      <c r="Y492" s="364"/>
      <c r="Z492" s="364"/>
      <c r="AA492" s="367"/>
      <c r="AB492"/>
      <c r="AC492"/>
      <c r="AD492"/>
      <c r="AE492"/>
    </row>
    <row r="493" spans="17:31" ht="12.75" customHeight="1">
      <c r="Q493" s="364"/>
      <c r="R493" s="898"/>
      <c r="S493" s="899"/>
      <c r="T493" s="447"/>
      <c r="U493" s="560"/>
      <c r="V493" s="690" t="str">
        <f>IF(T493&gt;0,W493*U493," ")</f>
        <v xml:space="preserve"> </v>
      </c>
      <c r="W493" s="691" t="str">
        <f>IF(T493&gt;0,(VLOOKUP(T493,'Lookup Ready-reckoner'!$B$5:$E$1007,4))," ")</f>
        <v xml:space="preserve"> </v>
      </c>
      <c r="X493" s="364"/>
      <c r="Y493" s="364"/>
      <c r="Z493" s="364"/>
      <c r="AA493" s="367"/>
      <c r="AB493"/>
      <c r="AC493"/>
      <c r="AD493"/>
      <c r="AE493"/>
    </row>
    <row r="494" spans="17:31" ht="12.75" customHeight="1" thickBot="1">
      <c r="Q494" s="364"/>
      <c r="R494" s="692" t="s">
        <v>839</v>
      </c>
      <c r="S494" s="693"/>
      <c r="T494" s="693"/>
      <c r="U494" s="701">
        <f>IF(T492&gt;0,(VLOOKUP(V494,'Lookup Ready-reckoner'!$L$5:$M$1207,2))," ")</f>
        <v>90.9</v>
      </c>
      <c r="V494" s="695">
        <f>IF(U492&gt;0,(SUM(V492:V493))," ")</f>
        <v>395.62499999999989</v>
      </c>
      <c r="W494" s="696"/>
      <c r="X494" s="364"/>
      <c r="Y494" s="364"/>
      <c r="Z494" s="364"/>
      <c r="AA494" s="367"/>
      <c r="AB494"/>
      <c r="AC494"/>
      <c r="AD494"/>
      <c r="AE494"/>
    </row>
    <row r="495" spans="17:31" ht="12.75" customHeight="1">
      <c r="Q495" s="364"/>
      <c r="R495" s="363"/>
      <c r="S495" s="363"/>
      <c r="T495" s="363"/>
      <c r="U495" s="363"/>
      <c r="V495" s="363"/>
      <c r="W495" s="363"/>
      <c r="X495" s="364"/>
      <c r="Y495" s="364"/>
      <c r="Z495" s="364"/>
      <c r="AA495" s="367"/>
      <c r="AB495"/>
      <c r="AC495"/>
      <c r="AD495"/>
      <c r="AE495"/>
    </row>
    <row r="496" spans="17:31" ht="12.75" customHeight="1">
      <c r="Q496" s="364"/>
      <c r="R496" s="913" t="str">
        <f>R377</f>
        <v>Sulzer ADDS</v>
      </c>
      <c r="S496" s="914"/>
      <c r="T496" s="914"/>
      <c r="U496" s="914"/>
      <c r="V496" s="914"/>
      <c r="W496" s="914"/>
      <c r="X496" s="364"/>
      <c r="Y496" s="364"/>
      <c r="Z496" s="364"/>
      <c r="AA496" s="367"/>
      <c r="AB496"/>
      <c r="AC496"/>
      <c r="AD496"/>
      <c r="AE496"/>
    </row>
    <row r="497" spans="17:31" ht="12.75" customHeight="1" thickBot="1">
      <c r="Q497" s="364"/>
      <c r="R497" s="910" t="s">
        <v>205</v>
      </c>
      <c r="S497" s="911"/>
      <c r="T497" s="911"/>
      <c r="U497" s="911"/>
      <c r="V497" s="911"/>
      <c r="W497" s="912"/>
      <c r="X497" s="364"/>
      <c r="Y497" s="364"/>
      <c r="Z497" s="364"/>
      <c r="AA497" s="367"/>
      <c r="AB497"/>
      <c r="AC497"/>
      <c r="AD497"/>
      <c r="AE497"/>
    </row>
    <row r="498" spans="17:31" ht="12.75" customHeight="1" thickBot="1">
      <c r="Q498" s="364"/>
      <c r="R498" s="686" t="s">
        <v>59</v>
      </c>
      <c r="S498" s="577"/>
      <c r="T498" s="687"/>
      <c r="U498" s="687"/>
      <c r="V498" s="687"/>
      <c r="W498" s="688"/>
      <c r="X498" s="364"/>
      <c r="Y498" s="364"/>
      <c r="Z498" s="364"/>
      <c r="AA498" s="367"/>
      <c r="AB498"/>
      <c r="AC498"/>
      <c r="AD498"/>
      <c r="AE498"/>
    </row>
    <row r="499" spans="17:31" ht="12.75" customHeight="1">
      <c r="Q499" s="364"/>
      <c r="R499" s="895" t="s">
        <v>845</v>
      </c>
      <c r="S499" s="896"/>
      <c r="T499" s="900" t="s">
        <v>835</v>
      </c>
      <c r="U499" s="900" t="s">
        <v>836</v>
      </c>
      <c r="V499" s="900" t="s">
        <v>837</v>
      </c>
      <c r="W499" s="902" t="s">
        <v>838</v>
      </c>
      <c r="X499" s="364"/>
      <c r="Y499" s="364"/>
      <c r="Z499" s="364"/>
      <c r="AA499" s="367"/>
      <c r="AB499"/>
      <c r="AC499"/>
      <c r="AD499"/>
      <c r="AE499"/>
    </row>
    <row r="500" spans="17:31" ht="12.75" customHeight="1">
      <c r="Q500" s="364"/>
      <c r="R500" s="892"/>
      <c r="S500" s="897"/>
      <c r="T500" s="904"/>
      <c r="U500" s="904"/>
      <c r="V500" s="904"/>
      <c r="W500" s="905"/>
      <c r="X500" s="364"/>
      <c r="Y500" s="364"/>
      <c r="Z500" s="364"/>
      <c r="AA500" s="367"/>
      <c r="AB500"/>
      <c r="AC500"/>
      <c r="AD500"/>
      <c r="AE500"/>
    </row>
    <row r="501" spans="17:31" ht="12.75" customHeight="1">
      <c r="Q501" s="364"/>
      <c r="R501" s="892"/>
      <c r="S501" s="897"/>
      <c r="T501" s="901"/>
      <c r="U501" s="901"/>
      <c r="V501" s="901"/>
      <c r="W501" s="903"/>
      <c r="X501" s="364"/>
      <c r="Y501" s="364"/>
      <c r="Z501" s="364"/>
      <c r="AA501" s="367"/>
      <c r="AB501"/>
      <c r="AC501"/>
      <c r="AD501"/>
      <c r="AE501"/>
    </row>
    <row r="502" spans="17:31" ht="12.75" customHeight="1">
      <c r="Q502" s="364"/>
      <c r="R502" s="892"/>
      <c r="S502" s="897"/>
      <c r="T502" s="702">
        <f>W76</f>
        <v>115.02059991327963</v>
      </c>
      <c r="U502" s="560">
        <f>W62</f>
        <v>1.7391304347826084</v>
      </c>
      <c r="V502" s="690">
        <f>IF(T502&gt;0,W502*U502," ")</f>
        <v>22260.869565217388</v>
      </c>
      <c r="W502" s="691">
        <f>IF(T502&gt;0,(VLOOKUP(T502,'Lookup Ready-reckoner'!$B$5:$E$1207,4))," ")</f>
        <v>12800</v>
      </c>
      <c r="X502" s="364"/>
      <c r="Y502" s="364"/>
      <c r="Z502" s="364"/>
      <c r="AA502" s="367"/>
      <c r="AB502"/>
      <c r="AC502"/>
      <c r="AD502"/>
      <c r="AE502"/>
    </row>
    <row r="503" spans="17:31" ht="12.75" customHeight="1">
      <c r="Q503" s="364"/>
      <c r="R503" s="898"/>
      <c r="S503" s="899"/>
      <c r="T503" s="447"/>
      <c r="U503" s="560"/>
      <c r="V503" s="690" t="str">
        <f>IF(T503&gt;0,W503*U503," ")</f>
        <v xml:space="preserve"> </v>
      </c>
      <c r="W503" s="691" t="str">
        <f>IF(T503&gt;0,(VLOOKUP(T503,'Lookup Ready-reckoner'!$B$5:$E$1007,4))," ")</f>
        <v xml:space="preserve"> </v>
      </c>
      <c r="X503" s="364"/>
      <c r="Y503" s="364"/>
      <c r="Z503" s="364"/>
      <c r="AA503" s="367"/>
      <c r="AB503"/>
      <c r="AC503"/>
      <c r="AD503"/>
      <c r="AE503"/>
    </row>
    <row r="504" spans="17:31" ht="12.75" customHeight="1" thickBot="1">
      <c r="Q504" s="364"/>
      <c r="R504" s="692" t="s">
        <v>839</v>
      </c>
      <c r="S504" s="693"/>
      <c r="T504" s="693"/>
      <c r="U504" s="703">
        <f>IF(T502&gt;0,(VLOOKUP(V504,'Lookup Ready-reckoner'!$L$5:$M$1207,2))," ")</f>
        <v>108.4</v>
      </c>
      <c r="V504" s="695">
        <f>IF(U502&gt;0,(SUM(V502:V503))," ")</f>
        <v>22260.869565217388</v>
      </c>
      <c r="W504" s="696"/>
      <c r="X504" s="364"/>
      <c r="Y504" s="364"/>
      <c r="Z504" s="364"/>
      <c r="AA504" s="367"/>
      <c r="AB504"/>
      <c r="AC504"/>
      <c r="AD504"/>
      <c r="AE504"/>
    </row>
    <row r="505" spans="17:31" ht="12.75" customHeight="1" thickBot="1">
      <c r="Q505" s="364"/>
      <c r="R505" s="892"/>
      <c r="S505" s="893"/>
      <c r="T505" s="893"/>
      <c r="U505" s="893"/>
      <c r="V505" s="893"/>
      <c r="W505" s="894"/>
      <c r="X505" s="364"/>
      <c r="Y505" s="364"/>
      <c r="Z505" s="364"/>
      <c r="AA505" s="367"/>
      <c r="AB505"/>
      <c r="AC505"/>
      <c r="AD505"/>
      <c r="AE505"/>
    </row>
    <row r="506" spans="17:31" ht="12.75" customHeight="1">
      <c r="Q506" s="364"/>
      <c r="R506" s="895" t="s">
        <v>886</v>
      </c>
      <c r="S506" s="896"/>
      <c r="T506" s="900" t="s">
        <v>835</v>
      </c>
      <c r="U506" s="900" t="s">
        <v>836</v>
      </c>
      <c r="V506" s="900" t="s">
        <v>837</v>
      </c>
      <c r="W506" s="902" t="s">
        <v>838</v>
      </c>
      <c r="X506" s="364"/>
      <c r="Y506" s="364"/>
      <c r="Z506" s="364"/>
      <c r="AA506" s="367"/>
      <c r="AB506"/>
      <c r="AC506"/>
      <c r="AD506"/>
      <c r="AE506"/>
    </row>
    <row r="507" spans="17:31" ht="12.75" customHeight="1">
      <c r="Q507" s="364"/>
      <c r="R507" s="892"/>
      <c r="S507" s="897"/>
      <c r="T507" s="901"/>
      <c r="U507" s="901"/>
      <c r="V507" s="901"/>
      <c r="W507" s="903"/>
      <c r="X507" s="364"/>
      <c r="Y507" s="364"/>
      <c r="Z507" s="364"/>
      <c r="AA507" s="367"/>
      <c r="AB507"/>
      <c r="AC507"/>
      <c r="AD507"/>
      <c r="AE507"/>
    </row>
    <row r="508" spans="17:31" ht="12.75" customHeight="1">
      <c r="Q508" s="364"/>
      <c r="R508" s="892"/>
      <c r="S508" s="897"/>
      <c r="T508" s="702">
        <f>T502*(1-0.0178*2)</f>
        <v>110.92586655636687</v>
      </c>
      <c r="U508" s="560">
        <f>U502</f>
        <v>1.7391304347826084</v>
      </c>
      <c r="V508" s="690">
        <f>IF(T508&gt;0,W508*U508," ")</f>
        <v>8521.7391304347821</v>
      </c>
      <c r="W508" s="691">
        <f>IF(T508&gt;0,(VLOOKUP(T508,'Lookup Ready-reckoner'!$B$5:$E$1207,4))," ")</f>
        <v>4900</v>
      </c>
      <c r="X508" s="364"/>
      <c r="Y508" s="364"/>
      <c r="Z508" s="364"/>
      <c r="AA508" s="367"/>
      <c r="AB508"/>
      <c r="AC508"/>
      <c r="AD508"/>
      <c r="AE508"/>
    </row>
    <row r="509" spans="17:31" ht="12.75" customHeight="1">
      <c r="Q509" s="364"/>
      <c r="R509" s="898"/>
      <c r="S509" s="899"/>
      <c r="T509" s="447"/>
      <c r="U509" s="560"/>
      <c r="V509" s="690" t="str">
        <f>IF(T509&gt;0,W509*U509," ")</f>
        <v xml:space="preserve"> </v>
      </c>
      <c r="W509" s="691" t="str">
        <f>IF(T509&gt;0,(VLOOKUP(T509,'Lookup Ready-reckoner'!$B$5:$E$1007,4))," ")</f>
        <v xml:space="preserve"> </v>
      </c>
      <c r="X509" s="364"/>
      <c r="Y509" s="364"/>
      <c r="Z509" s="364"/>
      <c r="AA509" s="367"/>
      <c r="AB509"/>
      <c r="AC509"/>
      <c r="AD509"/>
      <c r="AE509"/>
    </row>
    <row r="510" spans="17:31" ht="12.75" customHeight="1" thickBot="1">
      <c r="Q510" s="364"/>
      <c r="R510" s="692" t="s">
        <v>839</v>
      </c>
      <c r="S510" s="693"/>
      <c r="T510" s="693"/>
      <c r="U510" s="703">
        <f>IF(T508&gt;0,(VLOOKUP(V510,'Lookup Ready-reckoner'!$L$5:$M$1207,2))," ")</f>
        <v>104.25</v>
      </c>
      <c r="V510" s="695">
        <f>IF(U508&gt;0,(SUM(V508:V509))," ")</f>
        <v>8521.7391304347821</v>
      </c>
      <c r="W510" s="696"/>
      <c r="X510" s="364"/>
      <c r="Y510" s="364"/>
      <c r="Z510" s="364"/>
      <c r="AA510" s="367"/>
      <c r="AB510"/>
      <c r="AC510"/>
      <c r="AD510"/>
      <c r="AE510"/>
    </row>
    <row r="511" spans="17:31" ht="12.75" customHeight="1">
      <c r="Q511" s="364"/>
      <c r="R511" s="697"/>
      <c r="S511" s="687"/>
      <c r="T511" s="687"/>
      <c r="U511" s="372"/>
      <c r="V511" s="374"/>
      <c r="W511" s="688"/>
      <c r="X511" s="364"/>
      <c r="Y511" s="364"/>
      <c r="Z511" s="364"/>
      <c r="AA511" s="367"/>
      <c r="AB511"/>
      <c r="AC511"/>
      <c r="AD511"/>
      <c r="AE511"/>
    </row>
    <row r="512" spans="17:31" ht="12.75" customHeight="1" thickBot="1">
      <c r="Q512" s="364"/>
      <c r="R512" s="686" t="s">
        <v>60</v>
      </c>
      <c r="S512" s="577"/>
      <c r="T512" s="577"/>
      <c r="U512" s="577"/>
      <c r="V512" s="577"/>
      <c r="W512" s="698"/>
      <c r="X512" s="364"/>
      <c r="Y512" s="364"/>
      <c r="Z512" s="364"/>
      <c r="AA512" s="367"/>
      <c r="AB512"/>
      <c r="AC512"/>
      <c r="AD512"/>
      <c r="AE512"/>
    </row>
    <row r="513" spans="17:31" ht="12.75" customHeight="1">
      <c r="Q513" s="364"/>
      <c r="R513" s="895" t="s">
        <v>845</v>
      </c>
      <c r="S513" s="896"/>
      <c r="T513" s="900" t="s">
        <v>835</v>
      </c>
      <c r="U513" s="900" t="s">
        <v>836</v>
      </c>
      <c r="V513" s="900" t="s">
        <v>837</v>
      </c>
      <c r="W513" s="902" t="s">
        <v>838</v>
      </c>
      <c r="X513" s="364"/>
      <c r="Y513" s="364"/>
      <c r="Z513" s="364"/>
      <c r="AA513" s="367"/>
      <c r="AB513"/>
      <c r="AC513"/>
      <c r="AD513"/>
      <c r="AE513"/>
    </row>
    <row r="514" spans="17:31" ht="12.75" customHeight="1">
      <c r="Q514" s="364"/>
      <c r="R514" s="892"/>
      <c r="S514" s="897"/>
      <c r="T514" s="901"/>
      <c r="U514" s="901"/>
      <c r="V514" s="901"/>
      <c r="W514" s="903"/>
      <c r="X514" s="364"/>
      <c r="Y514" s="364"/>
      <c r="Z514" s="364"/>
      <c r="AA514" s="367"/>
      <c r="AB514"/>
      <c r="AC514"/>
      <c r="AD514"/>
      <c r="AE514"/>
    </row>
    <row r="515" spans="17:31" ht="12.75" customHeight="1">
      <c r="Q515" s="364"/>
      <c r="R515" s="892"/>
      <c r="S515" s="897"/>
      <c r="T515" s="702">
        <f>T502-PPE!$I$15</f>
        <v>102.02059991327963</v>
      </c>
      <c r="U515" s="560">
        <f>U508</f>
        <v>1.7391304347826084</v>
      </c>
      <c r="V515" s="690">
        <f>IF(T515&gt;0,W515*U515," ")</f>
        <v>1086.9565217391303</v>
      </c>
      <c r="W515" s="691">
        <f>IF(T515&gt;0,(VLOOKUP(T515,'Lookup Ready-reckoner'!$B$5:$E$1207,4))," ")</f>
        <v>625</v>
      </c>
      <c r="X515" s="364"/>
      <c r="Y515" s="364"/>
      <c r="Z515" s="364"/>
      <c r="AA515" s="367"/>
      <c r="AB515"/>
      <c r="AC515"/>
      <c r="AD515"/>
      <c r="AE515"/>
    </row>
    <row r="516" spans="17:31" ht="12.75" customHeight="1">
      <c r="Q516" s="364"/>
      <c r="R516" s="898"/>
      <c r="S516" s="899"/>
      <c r="T516" s="447"/>
      <c r="U516" s="560"/>
      <c r="V516" s="690" t="str">
        <f>IF(T516&gt;0,W516*U516," ")</f>
        <v xml:space="preserve"> </v>
      </c>
      <c r="W516" s="691" t="str">
        <f>IF(T516&gt;0,(VLOOKUP(T516,'Lookup Ready-reckoner'!$B$5:$E$1007,4))," ")</f>
        <v xml:space="preserve"> </v>
      </c>
      <c r="X516" s="364"/>
      <c r="Y516" s="364"/>
      <c r="Z516" s="364"/>
      <c r="AA516" s="367"/>
      <c r="AB516"/>
      <c r="AC516"/>
      <c r="AD516"/>
      <c r="AE516"/>
    </row>
    <row r="517" spans="17:31" ht="12.75" customHeight="1" thickBot="1">
      <c r="Q517" s="364"/>
      <c r="R517" s="692" t="s">
        <v>839</v>
      </c>
      <c r="S517" s="693"/>
      <c r="T517" s="693"/>
      <c r="U517" s="703">
        <f>IF(T515&gt;0,(VLOOKUP(V517,'Lookup Ready-reckoner'!$L$5:$M$1207,2))," ")</f>
        <v>95.3</v>
      </c>
      <c r="V517" s="695">
        <f>IF(U515&gt;0,(SUM(V515:V516))," ")</f>
        <v>1086.9565217391303</v>
      </c>
      <c r="W517" s="696"/>
      <c r="X517" s="364"/>
      <c r="Y517" s="364"/>
      <c r="Z517" s="364"/>
      <c r="AA517" s="367"/>
      <c r="AB517"/>
      <c r="AC517"/>
      <c r="AD517"/>
      <c r="AE517"/>
    </row>
    <row r="518" spans="17:31" ht="12.75" customHeight="1" thickBot="1">
      <c r="Q518" s="364"/>
      <c r="R518" s="892"/>
      <c r="S518" s="893"/>
      <c r="T518" s="893"/>
      <c r="U518" s="893"/>
      <c r="V518" s="893"/>
      <c r="W518" s="894"/>
      <c r="X518" s="364"/>
      <c r="Y518" s="364"/>
      <c r="Z518" s="364"/>
      <c r="AA518" s="367"/>
      <c r="AB518"/>
      <c r="AC518"/>
      <c r="AD518"/>
      <c r="AE518"/>
    </row>
    <row r="519" spans="17:31" ht="12.75" customHeight="1">
      <c r="Q519" s="364"/>
      <c r="R519" s="895" t="s">
        <v>886</v>
      </c>
      <c r="S519" s="896"/>
      <c r="T519" s="900" t="s">
        <v>835</v>
      </c>
      <c r="U519" s="900" t="s">
        <v>836</v>
      </c>
      <c r="V519" s="900" t="s">
        <v>837</v>
      </c>
      <c r="W519" s="902" t="s">
        <v>838</v>
      </c>
      <c r="X519" s="364"/>
      <c r="Y519" s="364"/>
      <c r="Z519" s="364"/>
      <c r="AA519" s="367"/>
      <c r="AB519"/>
      <c r="AC519"/>
      <c r="AD519"/>
      <c r="AE519"/>
    </row>
    <row r="520" spans="17:31" ht="12.75" customHeight="1">
      <c r="Q520" s="364"/>
      <c r="R520" s="892"/>
      <c r="S520" s="897"/>
      <c r="T520" s="901"/>
      <c r="U520" s="901"/>
      <c r="V520" s="901"/>
      <c r="W520" s="903"/>
      <c r="X520" s="364"/>
      <c r="Y520" s="364"/>
      <c r="Z520" s="364"/>
      <c r="AA520" s="367"/>
      <c r="AB520"/>
      <c r="AC520"/>
      <c r="AD520"/>
      <c r="AE520"/>
    </row>
    <row r="521" spans="17:31" ht="12.75" customHeight="1">
      <c r="Q521" s="364"/>
      <c r="R521" s="892"/>
      <c r="S521" s="897"/>
      <c r="T521" s="702">
        <f>T508-PPE!$I$15</f>
        <v>97.92586655636687</v>
      </c>
      <c r="U521" s="560">
        <f>U515</f>
        <v>1.7391304347826084</v>
      </c>
      <c r="V521" s="690">
        <f>IF(T521&gt;0,W521*U521," ")</f>
        <v>426.08695652173907</v>
      </c>
      <c r="W521" s="691">
        <f>IF(T521&gt;0,(VLOOKUP(T521,'Lookup Ready-reckoner'!$B$5:$E$1207,4))," ")</f>
        <v>245</v>
      </c>
      <c r="X521" s="364"/>
      <c r="Y521" s="364"/>
      <c r="Z521" s="364"/>
      <c r="AA521" s="367"/>
      <c r="AB521"/>
      <c r="AC521"/>
      <c r="AD521"/>
      <c r="AE521"/>
    </row>
    <row r="522" spans="17:31" ht="12.75" customHeight="1">
      <c r="Q522" s="364"/>
      <c r="R522" s="898"/>
      <c r="S522" s="899"/>
      <c r="T522" s="447"/>
      <c r="U522" s="560"/>
      <c r="V522" s="690" t="str">
        <f>IF(T522&gt;0,W522*U522," ")</f>
        <v xml:space="preserve"> </v>
      </c>
      <c r="W522" s="691" t="str">
        <f>IF(T522&gt;0,(VLOOKUP(T522,'Lookup Ready-reckoner'!$B$5:$E$1007,4))," ")</f>
        <v xml:space="preserve"> </v>
      </c>
      <c r="X522" s="364"/>
      <c r="Y522" s="364"/>
      <c r="Z522" s="364"/>
      <c r="AA522" s="367"/>
      <c r="AB522"/>
      <c r="AC522"/>
      <c r="AD522"/>
      <c r="AE522"/>
    </row>
    <row r="523" spans="17:31" ht="12.75" customHeight="1" thickBot="1">
      <c r="Q523" s="364"/>
      <c r="R523" s="692" t="s">
        <v>839</v>
      </c>
      <c r="S523" s="693"/>
      <c r="T523" s="693"/>
      <c r="U523" s="703">
        <f>IF(T521&gt;0,(VLOOKUP(V523,'Lookup Ready-reckoner'!$L$5:$M$1207,2))," ")</f>
        <v>91.25</v>
      </c>
      <c r="V523" s="695">
        <f>IF(U521&gt;0,(SUM(V521:V522))," ")</f>
        <v>426.08695652173907</v>
      </c>
      <c r="W523" s="696"/>
      <c r="X523" s="364"/>
      <c r="Y523" s="364"/>
      <c r="Z523" s="364"/>
      <c r="AA523" s="367"/>
      <c r="AB523"/>
      <c r="AC523"/>
      <c r="AD523"/>
      <c r="AE523"/>
    </row>
    <row r="524" spans="17:31" ht="12.75" customHeight="1">
      <c r="Q524" s="364"/>
      <c r="R524" s="363"/>
      <c r="S524" s="363"/>
      <c r="T524" s="363"/>
      <c r="U524" s="363"/>
      <c r="V524" s="363"/>
      <c r="W524" s="363"/>
      <c r="X524" s="364"/>
      <c r="Y524" s="364"/>
      <c r="Z524" s="364"/>
      <c r="AA524" s="367"/>
      <c r="AB524"/>
      <c r="AC524"/>
      <c r="AD524"/>
      <c r="AE524"/>
    </row>
    <row r="525" spans="17:31" ht="12.75" customHeight="1">
      <c r="Q525" s="364"/>
      <c r="R525" s="909" t="str">
        <f>R406</f>
        <v xml:space="preserve">Hilti TE MD20 </v>
      </c>
      <c r="S525" s="909"/>
      <c r="T525" s="909"/>
      <c r="U525" s="909"/>
      <c r="V525" s="909"/>
      <c r="W525" s="909"/>
      <c r="X525" s="364"/>
      <c r="Y525" s="364"/>
      <c r="Z525" s="364"/>
      <c r="AA525" s="367"/>
      <c r="AB525"/>
      <c r="AC525"/>
      <c r="AD525"/>
      <c r="AE525"/>
    </row>
    <row r="526" spans="17:31" ht="12.75" customHeight="1" thickBot="1">
      <c r="Q526" s="364"/>
      <c r="R526" s="910" t="s">
        <v>205</v>
      </c>
      <c r="S526" s="911"/>
      <c r="T526" s="911"/>
      <c r="U526" s="911"/>
      <c r="V526" s="911"/>
      <c r="W526" s="912"/>
      <c r="X526" s="364"/>
      <c r="Y526" s="364"/>
      <c r="Z526" s="364"/>
      <c r="AA526" s="367"/>
      <c r="AB526"/>
      <c r="AC526"/>
      <c r="AD526"/>
      <c r="AE526"/>
    </row>
    <row r="527" spans="17:31" ht="12.75" customHeight="1" thickBot="1">
      <c r="Q527" s="364"/>
      <c r="R527" s="686" t="s">
        <v>59</v>
      </c>
      <c r="S527" s="577"/>
      <c r="T527" s="687"/>
      <c r="U527" s="687"/>
      <c r="V527" s="687"/>
      <c r="W527" s="688"/>
      <c r="X527" s="364"/>
      <c r="Y527" s="364"/>
      <c r="Z527" s="364"/>
      <c r="AA527" s="367"/>
      <c r="AB527"/>
      <c r="AC527"/>
      <c r="AD527"/>
      <c r="AE527"/>
    </row>
    <row r="528" spans="17:31" ht="12.75" customHeight="1">
      <c r="Q528" s="364"/>
      <c r="R528" s="895" t="s">
        <v>845</v>
      </c>
      <c r="S528" s="896"/>
      <c r="T528" s="900" t="s">
        <v>835</v>
      </c>
      <c r="U528" s="900" t="s">
        <v>836</v>
      </c>
      <c r="V528" s="900" t="s">
        <v>837</v>
      </c>
      <c r="W528" s="902" t="s">
        <v>838</v>
      </c>
      <c r="X528" s="364"/>
      <c r="Y528" s="364"/>
      <c r="Z528" s="364"/>
      <c r="AA528" s="367"/>
      <c r="AB528"/>
      <c r="AC528"/>
      <c r="AD528"/>
      <c r="AE528"/>
    </row>
    <row r="529" spans="17:31" ht="12.75" customHeight="1">
      <c r="Q529" s="364"/>
      <c r="R529" s="892"/>
      <c r="S529" s="897"/>
      <c r="T529" s="904"/>
      <c r="U529" s="904"/>
      <c r="V529" s="904"/>
      <c r="W529" s="905"/>
      <c r="X529" s="364"/>
      <c r="Y529" s="364"/>
      <c r="Z529" s="364"/>
      <c r="AA529" s="367"/>
      <c r="AB529"/>
      <c r="AC529"/>
      <c r="AD529"/>
      <c r="AE529"/>
    </row>
    <row r="530" spans="17:31" ht="12.75" customHeight="1">
      <c r="Q530" s="364"/>
      <c r="R530" s="892"/>
      <c r="S530" s="897"/>
      <c r="T530" s="901"/>
      <c r="U530" s="901"/>
      <c r="V530" s="901"/>
      <c r="W530" s="903"/>
      <c r="X530" s="364"/>
      <c r="Y530" s="364"/>
      <c r="Z530" s="364"/>
      <c r="AA530" s="367"/>
      <c r="AB530"/>
      <c r="AC530"/>
      <c r="AD530"/>
      <c r="AE530"/>
    </row>
    <row r="531" spans="17:31" ht="12.75" customHeight="1">
      <c r="Q531" s="364"/>
      <c r="R531" s="892"/>
      <c r="S531" s="897"/>
      <c r="T531" s="704">
        <f>U76</f>
        <v>108.02059991327964</v>
      </c>
      <c r="U531" s="560">
        <f>U62</f>
        <v>2.6666666666666665</v>
      </c>
      <c r="V531" s="690">
        <f>IF(T531&gt;0,W531*U531," ")</f>
        <v>6666.6666666666661</v>
      </c>
      <c r="W531" s="691">
        <f>IF(T531&gt;0,(VLOOKUP(T531,'Lookup Ready-reckoner'!$B$5:$E$1207,4))," ")</f>
        <v>2500</v>
      </c>
      <c r="X531" s="364"/>
      <c r="Y531" s="364"/>
      <c r="Z531" s="364"/>
      <c r="AA531" s="367"/>
      <c r="AB531"/>
      <c r="AC531"/>
      <c r="AD531"/>
      <c r="AE531"/>
    </row>
    <row r="532" spans="17:31" ht="12.75" customHeight="1">
      <c r="Q532" s="364"/>
      <c r="R532" s="898"/>
      <c r="S532" s="899"/>
      <c r="T532" s="447"/>
      <c r="U532" s="560"/>
      <c r="V532" s="690" t="str">
        <f>IF(T532&gt;0,W532*U532," ")</f>
        <v xml:space="preserve"> </v>
      </c>
      <c r="W532" s="691" t="str">
        <f>IF(T532&gt;0,(VLOOKUP(T532,'Lookup Ready-reckoner'!$B$5:$E$1007,4))," ")</f>
        <v xml:space="preserve"> </v>
      </c>
      <c r="X532" s="364"/>
      <c r="Y532" s="364"/>
      <c r="Z532" s="364"/>
      <c r="AA532" s="367"/>
      <c r="AB532"/>
      <c r="AC532"/>
      <c r="AD532"/>
      <c r="AE532"/>
    </row>
    <row r="533" spans="17:31" ht="12.75" customHeight="1" thickBot="1">
      <c r="Q533" s="364"/>
      <c r="R533" s="692" t="s">
        <v>839</v>
      </c>
      <c r="S533" s="693"/>
      <c r="T533" s="693"/>
      <c r="U533" s="705">
        <f>IF(T531&gt;0,(VLOOKUP(V533,'Lookup Ready-reckoner'!$L$5:$M$1207,2))," ")</f>
        <v>103.15</v>
      </c>
      <c r="V533" s="695">
        <f>IF(U531&gt;0,(SUM(V531:V532))," ")</f>
        <v>6666.6666666666661</v>
      </c>
      <c r="W533" s="696"/>
      <c r="X533" s="364"/>
      <c r="Y533" s="364"/>
      <c r="Z533" s="364"/>
      <c r="AA533" s="367"/>
      <c r="AB533"/>
      <c r="AC533"/>
      <c r="AD533"/>
      <c r="AE533"/>
    </row>
    <row r="534" spans="17:31" ht="12.75" customHeight="1" thickBot="1">
      <c r="Q534" s="364"/>
      <c r="R534" s="906"/>
      <c r="S534" s="907"/>
      <c r="T534" s="907"/>
      <c r="U534" s="907"/>
      <c r="V534" s="907"/>
      <c r="W534" s="908"/>
      <c r="X534" s="364"/>
      <c r="Y534" s="364"/>
      <c r="Z534" s="364"/>
      <c r="AA534" s="367"/>
      <c r="AB534"/>
      <c r="AC534"/>
      <c r="AD534"/>
      <c r="AE534"/>
    </row>
    <row r="535" spans="17:31" ht="12.75" customHeight="1">
      <c r="Q535" s="364"/>
      <c r="R535" s="895" t="s">
        <v>886</v>
      </c>
      <c r="S535" s="896"/>
      <c r="T535" s="900" t="s">
        <v>835</v>
      </c>
      <c r="U535" s="900" t="s">
        <v>836</v>
      </c>
      <c r="V535" s="900" t="s">
        <v>837</v>
      </c>
      <c r="W535" s="902" t="s">
        <v>838</v>
      </c>
      <c r="X535" s="364"/>
      <c r="Y535" s="364"/>
      <c r="Z535" s="364"/>
      <c r="AA535" s="367"/>
      <c r="AB535"/>
      <c r="AC535"/>
      <c r="AD535"/>
      <c r="AE535"/>
    </row>
    <row r="536" spans="17:31" ht="12.75" customHeight="1">
      <c r="Q536" s="364"/>
      <c r="R536" s="892"/>
      <c r="S536" s="897"/>
      <c r="T536" s="901"/>
      <c r="U536" s="901"/>
      <c r="V536" s="901"/>
      <c r="W536" s="903"/>
      <c r="X536" s="364"/>
      <c r="Y536" s="364"/>
      <c r="Z536" s="364"/>
      <c r="AA536" s="367"/>
      <c r="AB536"/>
      <c r="AC536"/>
      <c r="AD536"/>
      <c r="AE536"/>
    </row>
    <row r="537" spans="17:31" ht="12.75" customHeight="1">
      <c r="Q537" s="364"/>
      <c r="R537" s="892"/>
      <c r="S537" s="897"/>
      <c r="T537" s="704">
        <f>T531*(1-0.0178*2)</f>
        <v>104.17506655636689</v>
      </c>
      <c r="U537" s="560">
        <f>U531</f>
        <v>2.6666666666666665</v>
      </c>
      <c r="V537" s="690">
        <f>IF(T537&gt;0,W537*U537," ")</f>
        <v>2766.6666666666665</v>
      </c>
      <c r="W537" s="691">
        <f>IF(T537&gt;0,(VLOOKUP(T537,'Lookup Ready-reckoner'!$B$5:$E$1207,4))," ")</f>
        <v>1037.5</v>
      </c>
      <c r="X537" s="364"/>
      <c r="Y537" s="364"/>
      <c r="Z537" s="364"/>
      <c r="AA537" s="367"/>
      <c r="AB537"/>
      <c r="AC537"/>
      <c r="AD537"/>
      <c r="AE537"/>
    </row>
    <row r="538" spans="17:31" ht="12.75" customHeight="1">
      <c r="Q538" s="364"/>
      <c r="R538" s="898"/>
      <c r="S538" s="899"/>
      <c r="T538" s="447"/>
      <c r="U538" s="560"/>
      <c r="V538" s="690" t="str">
        <f>IF(T538&gt;0,W538*U538," ")</f>
        <v xml:space="preserve"> </v>
      </c>
      <c r="W538" s="691" t="str">
        <f>IF(T538&gt;0,(VLOOKUP(T538,'Lookup Ready-reckoner'!$B$5:$E$1007,4))," ")</f>
        <v xml:space="preserve"> </v>
      </c>
      <c r="X538" s="364"/>
      <c r="Y538" s="364"/>
      <c r="Z538" s="364"/>
      <c r="AA538" s="367"/>
      <c r="AB538"/>
      <c r="AC538"/>
      <c r="AD538"/>
      <c r="AE538"/>
    </row>
    <row r="539" spans="17:31" ht="12.75" customHeight="1" thickBot="1">
      <c r="Q539" s="364"/>
      <c r="R539" s="692" t="s">
        <v>839</v>
      </c>
      <c r="S539" s="693"/>
      <c r="T539" s="693"/>
      <c r="U539" s="705">
        <f>IF(T537&gt;0,(VLOOKUP(V539,'Lookup Ready-reckoner'!$L$5:$M$1207,2))," ")</f>
        <v>99.35</v>
      </c>
      <c r="V539" s="695">
        <f>IF(U537&gt;0,(SUM(V537:V538))," ")</f>
        <v>2766.6666666666665</v>
      </c>
      <c r="W539" s="696"/>
      <c r="X539" s="364"/>
      <c r="Y539" s="364"/>
      <c r="Z539" s="364"/>
      <c r="AA539" s="367"/>
      <c r="AB539"/>
      <c r="AC539"/>
      <c r="AD539"/>
      <c r="AE539"/>
    </row>
    <row r="540" spans="17:31" ht="12.75" customHeight="1">
      <c r="Q540" s="364"/>
      <c r="R540" s="697"/>
      <c r="S540" s="687"/>
      <c r="T540" s="687"/>
      <c r="U540" s="372"/>
      <c r="V540" s="374"/>
      <c r="W540" s="688"/>
      <c r="X540" s="364"/>
      <c r="Y540" s="364"/>
      <c r="Z540" s="364"/>
      <c r="AA540" s="367"/>
      <c r="AB540"/>
      <c r="AC540"/>
      <c r="AD540"/>
      <c r="AE540"/>
    </row>
    <row r="541" spans="17:31" ht="12.75" customHeight="1" thickBot="1">
      <c r="Q541" s="364"/>
      <c r="R541" s="686" t="s">
        <v>60</v>
      </c>
      <c r="S541" s="577"/>
      <c r="T541" s="577"/>
      <c r="U541" s="577"/>
      <c r="V541" s="577"/>
      <c r="W541" s="698"/>
      <c r="X541" s="364"/>
      <c r="Y541" s="364"/>
      <c r="Z541" s="364"/>
      <c r="AA541" s="367"/>
      <c r="AB541"/>
      <c r="AC541"/>
      <c r="AD541"/>
      <c r="AE541"/>
    </row>
    <row r="542" spans="17:31" ht="12.75" customHeight="1">
      <c r="Q542" s="364"/>
      <c r="R542" s="895" t="s">
        <v>845</v>
      </c>
      <c r="S542" s="896"/>
      <c r="T542" s="900" t="s">
        <v>835</v>
      </c>
      <c r="U542" s="900" t="s">
        <v>836</v>
      </c>
      <c r="V542" s="900" t="s">
        <v>837</v>
      </c>
      <c r="W542" s="902" t="s">
        <v>838</v>
      </c>
      <c r="X542" s="364"/>
      <c r="Y542" s="364"/>
      <c r="Z542" s="364"/>
      <c r="AA542" s="367"/>
      <c r="AB542"/>
      <c r="AC542"/>
      <c r="AD542"/>
      <c r="AE542"/>
    </row>
    <row r="543" spans="17:31" ht="12.75" customHeight="1">
      <c r="Q543" s="364"/>
      <c r="R543" s="892"/>
      <c r="S543" s="897"/>
      <c r="T543" s="901"/>
      <c r="U543" s="901"/>
      <c r="V543" s="901"/>
      <c r="W543" s="903"/>
      <c r="X543" s="364"/>
      <c r="Y543" s="364"/>
      <c r="Z543" s="364"/>
      <c r="AA543" s="367"/>
      <c r="AB543"/>
      <c r="AC543"/>
      <c r="AD543"/>
      <c r="AE543"/>
    </row>
    <row r="544" spans="17:31" ht="12.75" customHeight="1">
      <c r="Q544" s="364"/>
      <c r="R544" s="892"/>
      <c r="S544" s="897"/>
      <c r="T544" s="704">
        <f>T531-PPE!$I$15</f>
        <v>95.020599913279639</v>
      </c>
      <c r="U544" s="560">
        <f>U537</f>
        <v>2.6666666666666665</v>
      </c>
      <c r="V544" s="690">
        <f>IF(T544&gt;0,W544*U544," ")</f>
        <v>333.33333333333331</v>
      </c>
      <c r="W544" s="691">
        <f>IF(T544&gt;0,(VLOOKUP(T544,'Lookup Ready-reckoner'!$B$5:$E$1207,4))," ")</f>
        <v>125</v>
      </c>
      <c r="X544" s="364"/>
      <c r="Y544" s="364"/>
      <c r="Z544" s="364"/>
      <c r="AA544" s="367"/>
      <c r="AB544"/>
      <c r="AC544"/>
      <c r="AD544"/>
      <c r="AE544"/>
    </row>
    <row r="545" spans="17:31" ht="12.75" customHeight="1">
      <c r="Q545" s="364"/>
      <c r="R545" s="898"/>
      <c r="S545" s="899"/>
      <c r="T545" s="447"/>
      <c r="U545" s="560"/>
      <c r="V545" s="690" t="str">
        <f>IF(T545&gt;0,W545*U545," ")</f>
        <v xml:space="preserve"> </v>
      </c>
      <c r="W545" s="691" t="str">
        <f>IF(T545&gt;0,(VLOOKUP(T545,'Lookup Ready-reckoner'!$B$5:$E$1007,4))," ")</f>
        <v xml:space="preserve"> </v>
      </c>
      <c r="X545" s="364"/>
      <c r="Y545" s="364"/>
      <c r="Z545" s="364"/>
      <c r="AA545" s="367"/>
      <c r="AB545"/>
      <c r="AC545"/>
      <c r="AD545"/>
      <c r="AE545"/>
    </row>
    <row r="546" spans="17:31" ht="12.75" customHeight="1" thickBot="1">
      <c r="Q546" s="364"/>
      <c r="R546" s="692" t="s">
        <v>839</v>
      </c>
      <c r="S546" s="693"/>
      <c r="T546" s="693"/>
      <c r="U546" s="705">
        <f>IF(T544&gt;0,(VLOOKUP(V546,'Lookup Ready-reckoner'!$L$5:$M$1207,2))," ")</f>
        <v>90.15</v>
      </c>
      <c r="V546" s="695">
        <f>IF(U544&gt;0,(SUM(V544:V545))," ")</f>
        <v>333.33333333333331</v>
      </c>
      <c r="W546" s="696"/>
      <c r="X546" s="364"/>
      <c r="Y546" s="364"/>
      <c r="Z546" s="364"/>
      <c r="AA546" s="367"/>
      <c r="AB546"/>
      <c r="AC546"/>
      <c r="AD546"/>
      <c r="AE546"/>
    </row>
    <row r="547" spans="17:31" ht="12.75" customHeight="1" thickBot="1">
      <c r="Q547" s="364"/>
      <c r="R547" s="892"/>
      <c r="S547" s="893"/>
      <c r="T547" s="893"/>
      <c r="U547" s="893"/>
      <c r="V547" s="893"/>
      <c r="W547" s="894"/>
      <c r="X547" s="364"/>
      <c r="Y547" s="364"/>
      <c r="Z547" s="364"/>
      <c r="AA547" s="367"/>
      <c r="AB547"/>
      <c r="AC547"/>
      <c r="AD547"/>
      <c r="AE547"/>
    </row>
    <row r="548" spans="17:31" ht="12.75" customHeight="1">
      <c r="Q548" s="364"/>
      <c r="R548" s="895" t="s">
        <v>886</v>
      </c>
      <c r="S548" s="896"/>
      <c r="T548" s="900" t="s">
        <v>835</v>
      </c>
      <c r="U548" s="900" t="s">
        <v>836</v>
      </c>
      <c r="V548" s="900" t="s">
        <v>837</v>
      </c>
      <c r="W548" s="902" t="s">
        <v>838</v>
      </c>
      <c r="X548" s="364"/>
      <c r="Y548" s="364"/>
      <c r="Z548" s="364"/>
      <c r="AA548" s="367"/>
      <c r="AB548"/>
      <c r="AC548"/>
      <c r="AD548"/>
      <c r="AE548"/>
    </row>
    <row r="549" spans="17:31" ht="12.75" customHeight="1">
      <c r="Q549" s="364"/>
      <c r="R549" s="892"/>
      <c r="S549" s="897"/>
      <c r="T549" s="901"/>
      <c r="U549" s="901"/>
      <c r="V549" s="901"/>
      <c r="W549" s="903"/>
      <c r="X549" s="364"/>
      <c r="Y549" s="364"/>
      <c r="Z549" s="364"/>
      <c r="AA549" s="367"/>
      <c r="AB549"/>
      <c r="AC549"/>
      <c r="AD549"/>
      <c r="AE549"/>
    </row>
    <row r="550" spans="17:31" ht="12.75" customHeight="1">
      <c r="Q550" s="364"/>
      <c r="R550" s="892"/>
      <c r="S550" s="897"/>
      <c r="T550" s="704">
        <f>T537-PPE!$I$15</f>
        <v>91.175066556366886</v>
      </c>
      <c r="U550" s="560">
        <f>U544</f>
        <v>2.6666666666666665</v>
      </c>
      <c r="V550" s="690">
        <f>IF(T550&gt;0,W550*U550," ")</f>
        <v>138.33333333333331</v>
      </c>
      <c r="W550" s="691">
        <f>IF(T550&gt;0,(VLOOKUP(T550,'Lookup Ready-reckoner'!$B$5:$E$1207,4))," ")</f>
        <v>51.875</v>
      </c>
      <c r="X550" s="364"/>
      <c r="Y550" s="364"/>
      <c r="Z550" s="364"/>
      <c r="AA550" s="367"/>
      <c r="AB550"/>
      <c r="AC550"/>
      <c r="AD550"/>
      <c r="AE550"/>
    </row>
    <row r="551" spans="17:31" ht="12.75" customHeight="1">
      <c r="Q551" s="364"/>
      <c r="R551" s="898"/>
      <c r="S551" s="899"/>
      <c r="T551" s="447"/>
      <c r="U551" s="560"/>
      <c r="V551" s="690" t="str">
        <f>IF(T551&gt;0,W551*U551," ")</f>
        <v xml:space="preserve"> </v>
      </c>
      <c r="W551" s="691" t="str">
        <f>IF(T551&gt;0,(VLOOKUP(T551,'Lookup Ready-reckoner'!$B$5:$E$1007,4))," ")</f>
        <v xml:space="preserve"> </v>
      </c>
      <c r="X551" s="364"/>
      <c r="Y551" s="364"/>
      <c r="Z551" s="364"/>
      <c r="AA551" s="367"/>
      <c r="AB551"/>
      <c r="AC551"/>
      <c r="AD551"/>
      <c r="AE551"/>
    </row>
    <row r="552" spans="17:31" ht="12.75" customHeight="1" thickBot="1">
      <c r="Q552" s="364"/>
      <c r="R552" s="692" t="s">
        <v>839</v>
      </c>
      <c r="S552" s="693"/>
      <c r="T552" s="693"/>
      <c r="U552" s="705">
        <f>IF(T550&gt;0,(VLOOKUP(V552,'Lookup Ready-reckoner'!$L$5:$M$1207,2))," ")</f>
        <v>86.35</v>
      </c>
      <c r="V552" s="695">
        <f>IF(U550&gt;0,(SUM(V550:V551))," ")</f>
        <v>138.33333333333331</v>
      </c>
      <c r="W552" s="696"/>
      <c r="X552" s="364"/>
      <c r="Y552" s="364"/>
      <c r="Z552" s="364"/>
      <c r="AA552" s="367"/>
      <c r="AB552"/>
      <c r="AC552"/>
      <c r="AD552"/>
      <c r="AE552"/>
    </row>
    <row r="553" spans="17:31" ht="12.75" customHeight="1">
      <c r="Q553" s="364"/>
      <c r="R553" s="364"/>
      <c r="S553" s="364"/>
      <c r="T553" s="364"/>
      <c r="U553" s="364"/>
      <c r="V553" s="364"/>
      <c r="W553" s="364"/>
      <c r="X553" s="364"/>
      <c r="Y553" s="364"/>
      <c r="Z553" s="364"/>
      <c r="AA553" s="367"/>
      <c r="AB553"/>
      <c r="AC553"/>
      <c r="AD553"/>
      <c r="AE553"/>
    </row>
    <row r="554" spans="17:31" ht="12.75" customHeight="1">
      <c r="Q554" s="23"/>
      <c r="R554" s="23"/>
      <c r="S554" s="23"/>
      <c r="T554" s="23"/>
      <c r="U554" s="23"/>
      <c r="V554" s="23"/>
      <c r="W554" s="23"/>
      <c r="X554" s="23"/>
      <c r="Y554" s="23"/>
      <c r="Z554" s="23"/>
      <c r="AA554"/>
      <c r="AB554"/>
      <c r="AC554"/>
      <c r="AD554"/>
      <c r="AE554"/>
    </row>
    <row r="555" spans="17:31" ht="12.75" customHeight="1">
      <c r="Q555" s="23"/>
      <c r="R555" s="23"/>
      <c r="S555" s="23"/>
      <c r="T555" s="23"/>
      <c r="U555" s="23"/>
      <c r="V555" s="23"/>
      <c r="W555" s="23"/>
      <c r="X555" s="23"/>
      <c r="Y555" s="23"/>
      <c r="Z555" s="23"/>
      <c r="AA555"/>
      <c r="AB555"/>
      <c r="AC555"/>
      <c r="AD555"/>
      <c r="AE555"/>
    </row>
    <row r="556" spans="17:31" ht="12.75" customHeight="1">
      <c r="Q556" s="23"/>
      <c r="R556" s="23"/>
      <c r="S556" s="23"/>
      <c r="T556" s="23"/>
      <c r="U556" s="23"/>
      <c r="V556" s="23"/>
      <c r="W556" s="23"/>
      <c r="X556" s="23"/>
      <c r="Y556" s="23"/>
      <c r="Z556" s="23"/>
      <c r="AA556"/>
      <c r="AB556"/>
      <c r="AC556"/>
      <c r="AD556"/>
      <c r="AE556"/>
    </row>
    <row r="557" spans="17:31" ht="12.75" customHeight="1">
      <c r="Q557" s="23"/>
      <c r="R557" s="23"/>
      <c r="S557" s="23"/>
      <c r="T557" s="23"/>
      <c r="U557" s="23"/>
      <c r="V557" s="23"/>
      <c r="W557" s="23"/>
      <c r="X557" s="23"/>
      <c r="Y557" s="23"/>
      <c r="Z557" s="23"/>
      <c r="AA557"/>
      <c r="AB557"/>
      <c r="AC557"/>
      <c r="AD557"/>
      <c r="AE557"/>
    </row>
    <row r="558" spans="17:31" ht="12.75" customHeight="1">
      <c r="Q558" s="23"/>
      <c r="R558" s="23"/>
      <c r="S558" s="23"/>
      <c r="T558" s="23"/>
      <c r="U558" s="23"/>
      <c r="V558" s="23"/>
      <c r="W558" s="23"/>
      <c r="X558" s="23"/>
      <c r="Y558" s="23"/>
      <c r="Z558" s="23"/>
      <c r="AA558"/>
      <c r="AB558"/>
      <c r="AC558"/>
      <c r="AD558"/>
      <c r="AE558"/>
    </row>
    <row r="559" spans="17:31" ht="12.75" customHeight="1">
      <c r="Q559"/>
      <c r="R559"/>
      <c r="S559"/>
      <c r="T559"/>
      <c r="U559"/>
      <c r="V559"/>
      <c r="W559"/>
      <c r="X559"/>
      <c r="Y559"/>
      <c r="Z559"/>
      <c r="AA559"/>
      <c r="AB559"/>
      <c r="AC559"/>
    </row>
    <row r="560" spans="17:31" ht="12.75" customHeight="1">
      <c r="Q560"/>
      <c r="R560"/>
      <c r="S560"/>
      <c r="T560"/>
      <c r="U560"/>
      <c r="V560"/>
      <c r="W560"/>
      <c r="X560"/>
      <c r="Y560"/>
      <c r="Z560"/>
      <c r="AA560"/>
      <c r="AB560"/>
      <c r="AC560"/>
    </row>
    <row r="561" spans="17:29" ht="12.75" customHeight="1">
      <c r="Q561"/>
      <c r="R561"/>
      <c r="S561"/>
      <c r="T561"/>
      <c r="U561"/>
      <c r="V561"/>
      <c r="W561"/>
      <c r="X561"/>
      <c r="Y561"/>
      <c r="Z561"/>
      <c r="AA561"/>
      <c r="AB561"/>
      <c r="AC561"/>
    </row>
    <row r="562" spans="17:29" ht="12.75" customHeight="1">
      <c r="Q562"/>
      <c r="R562"/>
      <c r="S562"/>
      <c r="T562"/>
      <c r="U562"/>
      <c r="V562"/>
      <c r="W562"/>
      <c r="X562"/>
      <c r="Y562"/>
      <c r="Z562"/>
      <c r="AA562"/>
      <c r="AB562"/>
      <c r="AC562"/>
    </row>
    <row r="563" spans="17:29" ht="12.75" customHeight="1">
      <c r="Q563"/>
      <c r="R563"/>
      <c r="S563"/>
      <c r="T563"/>
      <c r="U563"/>
      <c r="V563"/>
      <c r="W563"/>
      <c r="X563"/>
      <c r="Y563"/>
      <c r="Z563"/>
      <c r="AA563"/>
      <c r="AB563"/>
      <c r="AC563"/>
    </row>
    <row r="564" spans="17:29" ht="12.75" customHeight="1">
      <c r="Q564"/>
      <c r="R564"/>
      <c r="S564"/>
      <c r="T564"/>
      <c r="U564"/>
      <c r="V564"/>
      <c r="W564"/>
      <c r="X564"/>
      <c r="Y564"/>
      <c r="Z564"/>
      <c r="AA564"/>
      <c r="AB564"/>
      <c r="AC564"/>
    </row>
    <row r="565" spans="17:29" ht="12.75" customHeight="1">
      <c r="Q565"/>
      <c r="R565"/>
      <c r="S565"/>
      <c r="T565"/>
      <c r="U565"/>
      <c r="V565"/>
      <c r="W565"/>
      <c r="X565"/>
      <c r="Y565"/>
      <c r="Z565"/>
      <c r="AA565"/>
      <c r="AB565"/>
      <c r="AC565"/>
    </row>
    <row r="566" spans="17:29" ht="12.75" customHeight="1">
      <c r="Q566"/>
      <c r="R566"/>
      <c r="S566"/>
      <c r="T566"/>
      <c r="U566"/>
      <c r="V566"/>
      <c r="W566"/>
      <c r="X566"/>
      <c r="Y566"/>
      <c r="Z566"/>
      <c r="AA566"/>
      <c r="AB566"/>
      <c r="AC566"/>
    </row>
    <row r="567" spans="17:29" ht="12.75" customHeight="1">
      <c r="Q567"/>
      <c r="R567"/>
      <c r="S567"/>
      <c r="T567"/>
      <c r="U567"/>
      <c r="V567"/>
      <c r="W567"/>
      <c r="X567"/>
      <c r="Y567"/>
      <c r="Z567"/>
      <c r="AA567"/>
      <c r="AB567"/>
      <c r="AC567"/>
    </row>
    <row r="568" spans="17:29" ht="12.75" customHeight="1">
      <c r="Q568"/>
      <c r="R568"/>
      <c r="S568"/>
      <c r="T568"/>
      <c r="U568"/>
      <c r="V568"/>
      <c r="W568"/>
      <c r="X568"/>
      <c r="Y568"/>
      <c r="Z568"/>
      <c r="AA568"/>
      <c r="AB568"/>
      <c r="AC568"/>
    </row>
    <row r="569" spans="17:29" ht="12.75" customHeight="1">
      <c r="Q569"/>
      <c r="R569"/>
      <c r="S569"/>
      <c r="T569"/>
      <c r="U569"/>
      <c r="V569"/>
      <c r="W569"/>
      <c r="X569"/>
      <c r="Y569"/>
      <c r="Z569"/>
      <c r="AA569"/>
      <c r="AB569"/>
      <c r="AC569"/>
    </row>
    <row r="570" spans="17:29" ht="12.75" customHeight="1">
      <c r="Q570"/>
      <c r="R570"/>
      <c r="S570"/>
      <c r="T570"/>
      <c r="U570"/>
      <c r="V570"/>
      <c r="W570"/>
      <c r="X570"/>
      <c r="Y570"/>
      <c r="Z570"/>
      <c r="AA570"/>
      <c r="AB570"/>
      <c r="AC570"/>
    </row>
    <row r="571" spans="17:29" ht="12.75" customHeight="1">
      <c r="Q571"/>
      <c r="R571"/>
      <c r="S571"/>
      <c r="T571"/>
      <c r="U571"/>
      <c r="V571"/>
      <c r="W571"/>
      <c r="X571"/>
      <c r="Y571"/>
      <c r="Z571"/>
      <c r="AA571"/>
      <c r="AB571"/>
      <c r="AC571"/>
    </row>
    <row r="572" spans="17:29" ht="12.75" customHeight="1">
      <c r="Q572"/>
      <c r="R572"/>
      <c r="S572"/>
      <c r="T572"/>
      <c r="U572"/>
      <c r="V572"/>
      <c r="W572"/>
      <c r="X572"/>
      <c r="Y572"/>
      <c r="Z572"/>
      <c r="AA572"/>
      <c r="AB572"/>
      <c r="AC572"/>
    </row>
    <row r="573" spans="17:29" ht="12.75" customHeight="1">
      <c r="Q573"/>
      <c r="R573"/>
      <c r="S573"/>
      <c r="T573"/>
      <c r="U573"/>
      <c r="V573"/>
      <c r="W573"/>
      <c r="X573"/>
      <c r="Y573"/>
      <c r="Z573"/>
      <c r="AA573"/>
      <c r="AB573"/>
      <c r="AC573"/>
    </row>
    <row r="574" spans="17:29" ht="12.75" customHeight="1">
      <c r="Q574"/>
      <c r="R574"/>
      <c r="S574"/>
      <c r="T574"/>
      <c r="U574"/>
      <c r="V574"/>
      <c r="W574"/>
      <c r="X574"/>
      <c r="Y574"/>
      <c r="Z574"/>
      <c r="AA574"/>
      <c r="AB574"/>
      <c r="AC574"/>
    </row>
    <row r="575" spans="17:29" ht="12.75" customHeight="1">
      <c r="Q575"/>
      <c r="R575"/>
      <c r="S575"/>
      <c r="T575"/>
      <c r="U575"/>
      <c r="V575"/>
      <c r="W575"/>
      <c r="X575"/>
      <c r="Y575"/>
      <c r="Z575"/>
      <c r="AA575"/>
      <c r="AB575"/>
      <c r="AC575"/>
    </row>
    <row r="576" spans="17:29" ht="12.75" customHeight="1">
      <c r="Q576"/>
      <c r="R576"/>
      <c r="S576"/>
      <c r="T576"/>
      <c r="U576"/>
      <c r="V576"/>
      <c r="W576"/>
      <c r="X576"/>
      <c r="Y576"/>
      <c r="Z576"/>
      <c r="AA576"/>
      <c r="AB576"/>
      <c r="AC576"/>
    </row>
    <row r="577" spans="17:29" ht="12.75" customHeight="1">
      <c r="Q577"/>
      <c r="R577"/>
      <c r="S577"/>
      <c r="T577"/>
      <c r="U577"/>
      <c r="V577"/>
      <c r="W577"/>
      <c r="X577"/>
      <c r="Y577"/>
      <c r="Z577"/>
      <c r="AA577"/>
      <c r="AB577"/>
      <c r="AC577"/>
    </row>
    <row r="578" spans="17:29" ht="12.75" customHeight="1">
      <c r="Q578"/>
      <c r="R578"/>
      <c r="S578"/>
      <c r="T578"/>
      <c r="U578"/>
      <c r="V578"/>
      <c r="W578"/>
      <c r="X578"/>
      <c r="Y578"/>
      <c r="Z578"/>
      <c r="AA578"/>
      <c r="AB578"/>
      <c r="AC578"/>
    </row>
    <row r="579" spans="17:29" ht="12.75" customHeight="1">
      <c r="Q579"/>
      <c r="R579"/>
      <c r="S579"/>
      <c r="T579"/>
      <c r="U579"/>
      <c r="V579"/>
      <c r="W579"/>
      <c r="X579"/>
      <c r="Y579"/>
      <c r="Z579"/>
      <c r="AA579"/>
      <c r="AB579"/>
      <c r="AC579"/>
    </row>
    <row r="580" spans="17:29" ht="12.75" customHeight="1">
      <c r="Q580"/>
      <c r="R580"/>
      <c r="S580"/>
      <c r="T580"/>
      <c r="U580"/>
      <c r="V580"/>
      <c r="W580"/>
      <c r="X580"/>
      <c r="Y580"/>
      <c r="Z580"/>
      <c r="AA580"/>
      <c r="AB580"/>
      <c r="AC580"/>
    </row>
    <row r="581" spans="17:29" ht="12.75" customHeight="1">
      <c r="Q581"/>
      <c r="R581"/>
      <c r="S581"/>
      <c r="T581"/>
      <c r="U581"/>
      <c r="V581"/>
      <c r="W581"/>
      <c r="X581"/>
      <c r="Y581"/>
      <c r="Z581"/>
      <c r="AA581"/>
      <c r="AB581"/>
      <c r="AC581"/>
    </row>
    <row r="582" spans="17:29" ht="12.75" customHeight="1">
      <c r="Q582"/>
      <c r="R582"/>
      <c r="S582"/>
      <c r="T582"/>
      <c r="U582"/>
      <c r="V582"/>
      <c r="W582"/>
      <c r="X582"/>
      <c r="Y582"/>
      <c r="Z582"/>
      <c r="AA582"/>
      <c r="AB582"/>
      <c r="AC582"/>
    </row>
    <row r="583" spans="17:29" ht="12.75" customHeight="1">
      <c r="Q583"/>
      <c r="R583"/>
      <c r="S583"/>
      <c r="T583"/>
      <c r="U583"/>
      <c r="V583"/>
      <c r="W583"/>
      <c r="X583"/>
      <c r="Y583"/>
      <c r="Z583"/>
      <c r="AA583"/>
      <c r="AB583"/>
      <c r="AC583"/>
    </row>
    <row r="584" spans="17:29" ht="12.75" customHeight="1">
      <c r="Q584"/>
      <c r="R584"/>
      <c r="S584"/>
      <c r="T584"/>
      <c r="U584"/>
      <c r="V584"/>
      <c r="W584"/>
      <c r="X584"/>
      <c r="Y584"/>
      <c r="Z584"/>
      <c r="AA584"/>
      <c r="AB584"/>
      <c r="AC584"/>
    </row>
    <row r="585" spans="17:29" ht="12.75" customHeight="1">
      <c r="Q585"/>
      <c r="R585"/>
      <c r="S585"/>
      <c r="T585"/>
      <c r="U585"/>
      <c r="V585"/>
      <c r="W585"/>
      <c r="X585"/>
      <c r="Y585"/>
      <c r="Z585"/>
      <c r="AA585"/>
      <c r="AB585"/>
      <c r="AC585"/>
    </row>
    <row r="586" spans="17:29" ht="12.75" customHeight="1">
      <c r="Q586"/>
      <c r="R586"/>
      <c r="S586"/>
      <c r="T586"/>
      <c r="U586"/>
      <c r="V586"/>
      <c r="W586"/>
      <c r="X586"/>
      <c r="Y586"/>
      <c r="Z586"/>
      <c r="AA586"/>
      <c r="AB586"/>
      <c r="AC586"/>
    </row>
    <row r="587" spans="17:29" ht="12.75" customHeight="1">
      <c r="Q587"/>
      <c r="R587"/>
      <c r="S587"/>
      <c r="T587"/>
      <c r="U587"/>
      <c r="V587"/>
      <c r="W587"/>
      <c r="X587"/>
      <c r="Y587"/>
      <c r="Z587"/>
      <c r="AA587"/>
      <c r="AB587"/>
      <c r="AC587"/>
    </row>
    <row r="588" spans="17:29" ht="12.75" customHeight="1">
      <c r="Q588"/>
      <c r="R588"/>
      <c r="S588"/>
      <c r="T588"/>
      <c r="U588"/>
      <c r="V588"/>
      <c r="W588"/>
      <c r="X588"/>
      <c r="Y588"/>
      <c r="Z588"/>
      <c r="AA588"/>
      <c r="AB588"/>
      <c r="AC588"/>
    </row>
    <row r="589" spans="17:29" ht="12.75" customHeight="1">
      <c r="Q589"/>
      <c r="R589"/>
      <c r="S589"/>
      <c r="T589"/>
      <c r="U589"/>
      <c r="V589"/>
      <c r="W589"/>
      <c r="X589"/>
      <c r="Y589"/>
      <c r="Z589"/>
      <c r="AA589"/>
      <c r="AB589"/>
      <c r="AC589"/>
    </row>
    <row r="590" spans="17:29" ht="12.75" customHeight="1">
      <c r="Q590"/>
      <c r="R590"/>
      <c r="S590"/>
      <c r="T590"/>
      <c r="U590"/>
      <c r="V590"/>
      <c r="W590"/>
      <c r="X590"/>
      <c r="Y590"/>
      <c r="Z590"/>
      <c r="AA590"/>
      <c r="AB590"/>
      <c r="AC590"/>
    </row>
    <row r="591" spans="17:29" ht="12.75" customHeight="1">
      <c r="Q591"/>
      <c r="R591"/>
      <c r="S591"/>
      <c r="T591"/>
      <c r="U591"/>
      <c r="V591"/>
      <c r="W591"/>
      <c r="X591"/>
      <c r="Y591"/>
      <c r="Z591"/>
      <c r="AA591"/>
      <c r="AB591"/>
      <c r="AC591"/>
    </row>
    <row r="592" spans="17:29" ht="12.75" customHeight="1">
      <c r="Q592"/>
      <c r="R592"/>
      <c r="S592"/>
      <c r="T592"/>
      <c r="U592"/>
      <c r="V592"/>
      <c r="W592"/>
      <c r="X592"/>
      <c r="Y592"/>
      <c r="Z592"/>
      <c r="AA592"/>
      <c r="AB592"/>
      <c r="AC592"/>
    </row>
    <row r="593" spans="17:29" ht="12.75" customHeight="1">
      <c r="Q593"/>
      <c r="R593"/>
      <c r="S593"/>
      <c r="T593"/>
      <c r="U593"/>
      <c r="V593"/>
      <c r="W593"/>
      <c r="X593"/>
      <c r="Y593"/>
      <c r="Z593"/>
      <c r="AA593"/>
      <c r="AB593"/>
      <c r="AC593"/>
    </row>
    <row r="594" spans="17:29" ht="12.75" customHeight="1">
      <c r="Q594"/>
      <c r="R594"/>
      <c r="S594"/>
      <c r="T594"/>
      <c r="U594"/>
      <c r="V594"/>
      <c r="W594"/>
      <c r="X594"/>
      <c r="Y594"/>
      <c r="Z594"/>
      <c r="AA594"/>
      <c r="AB594"/>
      <c r="AC594"/>
    </row>
    <row r="595" spans="17:29" ht="12.75" customHeight="1">
      <c r="Q595"/>
      <c r="R595"/>
      <c r="S595"/>
      <c r="T595"/>
      <c r="U595"/>
      <c r="V595"/>
      <c r="W595"/>
      <c r="X595"/>
      <c r="Y595"/>
      <c r="Z595"/>
      <c r="AA595"/>
      <c r="AB595"/>
      <c r="AC595"/>
    </row>
    <row r="596" spans="17:29" ht="12.75" customHeight="1">
      <c r="Q596"/>
      <c r="R596"/>
      <c r="S596"/>
      <c r="T596"/>
      <c r="U596"/>
      <c r="V596"/>
      <c r="W596"/>
      <c r="X596"/>
      <c r="Y596"/>
      <c r="Z596"/>
      <c r="AA596"/>
      <c r="AB596"/>
      <c r="AC596"/>
    </row>
    <row r="597" spans="17:29" ht="12.75" customHeight="1">
      <c r="Q597"/>
      <c r="R597"/>
      <c r="S597"/>
      <c r="T597"/>
      <c r="U597"/>
      <c r="V597"/>
      <c r="W597"/>
      <c r="X597"/>
      <c r="Y597"/>
      <c r="Z597"/>
      <c r="AA597"/>
      <c r="AB597"/>
      <c r="AC597"/>
    </row>
    <row r="598" spans="17:29" ht="12.75" customHeight="1">
      <c r="Q598"/>
      <c r="R598"/>
      <c r="S598"/>
      <c r="T598"/>
      <c r="U598"/>
      <c r="V598"/>
      <c r="W598"/>
      <c r="X598"/>
      <c r="Y598"/>
      <c r="Z598"/>
      <c r="AA598"/>
      <c r="AB598"/>
      <c r="AC598"/>
    </row>
    <row r="599" spans="17:29" ht="12.75" customHeight="1">
      <c r="Q599"/>
      <c r="R599"/>
      <c r="S599"/>
      <c r="T599"/>
      <c r="U599"/>
      <c r="V599"/>
      <c r="W599"/>
      <c r="X599"/>
      <c r="Y599"/>
      <c r="Z599"/>
      <c r="AA599"/>
      <c r="AB599"/>
      <c r="AC599"/>
    </row>
    <row r="600" spans="17:29" ht="12.75" customHeight="1">
      <c r="Q600"/>
      <c r="R600"/>
      <c r="S600"/>
      <c r="T600"/>
      <c r="U600"/>
      <c r="V600"/>
      <c r="W600"/>
      <c r="X600"/>
      <c r="Y600"/>
      <c r="Z600"/>
      <c r="AA600"/>
      <c r="AB600"/>
      <c r="AC600"/>
    </row>
    <row r="601" spans="17:29" ht="12.75" customHeight="1">
      <c r="Q601"/>
      <c r="R601"/>
      <c r="S601"/>
      <c r="T601"/>
      <c r="U601"/>
      <c r="V601"/>
      <c r="W601"/>
      <c r="X601"/>
      <c r="Y601"/>
      <c r="Z601"/>
      <c r="AA601"/>
      <c r="AB601"/>
      <c r="AC601"/>
    </row>
    <row r="602" spans="17:29" ht="12.75" customHeight="1">
      <c r="Q602"/>
      <c r="R602"/>
      <c r="S602"/>
      <c r="T602"/>
      <c r="U602"/>
      <c r="V602"/>
      <c r="W602"/>
      <c r="X602"/>
      <c r="Y602"/>
      <c r="Z602"/>
      <c r="AA602"/>
      <c r="AB602"/>
      <c r="AC602"/>
    </row>
    <row r="603" spans="17:29" ht="12.75" customHeight="1">
      <c r="Q603"/>
      <c r="R603"/>
      <c r="S603"/>
      <c r="T603"/>
      <c r="U603"/>
      <c r="V603"/>
      <c r="W603"/>
      <c r="X603"/>
      <c r="Y603"/>
      <c r="Z603"/>
      <c r="AA603"/>
      <c r="AB603"/>
      <c r="AC603"/>
    </row>
    <row r="604" spans="17:29" ht="12.75" customHeight="1">
      <c r="Q604"/>
      <c r="R604"/>
      <c r="S604"/>
      <c r="T604"/>
      <c r="U604"/>
      <c r="V604"/>
      <c r="W604"/>
      <c r="X604"/>
      <c r="Y604"/>
      <c r="Z604"/>
      <c r="AA604"/>
      <c r="AB604"/>
      <c r="AC604"/>
    </row>
    <row r="605" spans="17:29" ht="12.75" customHeight="1">
      <c r="Q605"/>
      <c r="R605"/>
      <c r="S605"/>
      <c r="T605"/>
      <c r="U605"/>
      <c r="V605"/>
      <c r="W605"/>
      <c r="X605"/>
      <c r="Y605"/>
      <c r="Z605"/>
      <c r="AA605"/>
      <c r="AB605"/>
      <c r="AC605"/>
    </row>
    <row r="606" spans="17:29" ht="12.75" customHeight="1">
      <c r="Q606"/>
      <c r="R606"/>
      <c r="S606"/>
      <c r="T606"/>
      <c r="U606"/>
      <c r="V606"/>
      <c r="W606"/>
      <c r="X606"/>
      <c r="Y606"/>
      <c r="Z606"/>
      <c r="AA606"/>
      <c r="AB606"/>
      <c r="AC606"/>
    </row>
    <row r="607" spans="17:29" ht="12.75" customHeight="1">
      <c r="Q607"/>
      <c r="R607"/>
      <c r="S607"/>
      <c r="T607"/>
      <c r="U607"/>
      <c r="V607"/>
      <c r="W607"/>
      <c r="X607"/>
      <c r="Y607"/>
      <c r="Z607"/>
      <c r="AA607"/>
      <c r="AB607"/>
      <c r="AC607"/>
    </row>
    <row r="608" spans="17:29" ht="12.75" customHeight="1">
      <c r="Q608"/>
      <c r="R608"/>
      <c r="S608"/>
      <c r="T608"/>
      <c r="U608"/>
      <c r="V608"/>
      <c r="W608"/>
      <c r="X608"/>
      <c r="Y608"/>
      <c r="Z608"/>
      <c r="AA608"/>
      <c r="AB608"/>
      <c r="AC608"/>
    </row>
    <row r="609" spans="17:29" ht="12.75" customHeight="1">
      <c r="Q609"/>
      <c r="R609"/>
      <c r="S609"/>
      <c r="T609"/>
      <c r="U609"/>
      <c r="V609"/>
      <c r="W609"/>
      <c r="X609"/>
      <c r="Y609"/>
      <c r="Z609"/>
      <c r="AA609"/>
      <c r="AB609"/>
      <c r="AC609"/>
    </row>
    <row r="610" spans="17:29" ht="12.75" customHeight="1">
      <c r="Q610"/>
      <c r="R610"/>
      <c r="S610"/>
      <c r="T610"/>
      <c r="U610"/>
      <c r="V610"/>
      <c r="W610"/>
      <c r="X610"/>
      <c r="Y610"/>
      <c r="Z610"/>
      <c r="AA610"/>
      <c r="AB610"/>
      <c r="AC610"/>
    </row>
    <row r="611" spans="17:29" ht="12.75" customHeight="1">
      <c r="Q611"/>
      <c r="R611"/>
      <c r="S611"/>
      <c r="T611"/>
      <c r="U611"/>
      <c r="V611"/>
      <c r="W611"/>
      <c r="X611"/>
      <c r="Y611"/>
      <c r="Z611"/>
      <c r="AA611"/>
      <c r="AB611"/>
      <c r="AC611"/>
    </row>
    <row r="612" spans="17:29" ht="12.75" customHeight="1">
      <c r="Q612"/>
      <c r="R612"/>
      <c r="S612"/>
      <c r="T612"/>
      <c r="U612"/>
      <c r="V612"/>
      <c r="W612"/>
      <c r="X612"/>
      <c r="Y612"/>
      <c r="Z612"/>
      <c r="AA612"/>
      <c r="AB612"/>
      <c r="AC612"/>
    </row>
    <row r="613" spans="17:29" ht="12.75" customHeight="1">
      <c r="Q613"/>
      <c r="R613"/>
      <c r="S613"/>
      <c r="T613"/>
      <c r="U613"/>
      <c r="V613"/>
      <c r="W613"/>
      <c r="X613"/>
      <c r="Y613"/>
      <c r="Z613"/>
      <c r="AA613"/>
      <c r="AB613"/>
      <c r="AC613"/>
    </row>
    <row r="614" spans="17:29" ht="12.75" customHeight="1">
      <c r="Q614"/>
      <c r="R614"/>
      <c r="S614"/>
      <c r="T614"/>
      <c r="U614"/>
      <c r="V614"/>
      <c r="W614"/>
      <c r="X614"/>
      <c r="Y614"/>
      <c r="Z614"/>
      <c r="AA614"/>
      <c r="AB614"/>
      <c r="AC614"/>
    </row>
    <row r="615" spans="17:29" ht="12.75" customHeight="1">
      <c r="Q615"/>
      <c r="R615"/>
      <c r="S615"/>
      <c r="T615"/>
      <c r="U615"/>
      <c r="V615"/>
      <c r="W615"/>
      <c r="X615"/>
      <c r="Y615"/>
      <c r="Z615"/>
      <c r="AA615"/>
      <c r="AB615"/>
      <c r="AC615"/>
    </row>
    <row r="616" spans="17:29" ht="12.75" customHeight="1">
      <c r="Q616"/>
      <c r="R616"/>
      <c r="S616"/>
      <c r="T616"/>
      <c r="U616"/>
      <c r="V616"/>
      <c r="W616"/>
      <c r="X616"/>
      <c r="Y616"/>
      <c r="Z616"/>
      <c r="AA616"/>
      <c r="AB616"/>
      <c r="AC616"/>
    </row>
    <row r="617" spans="17:29" ht="12.75" customHeight="1">
      <c r="Q617"/>
      <c r="R617"/>
      <c r="S617"/>
      <c r="T617"/>
      <c r="U617"/>
      <c r="V617"/>
      <c r="W617"/>
      <c r="X617"/>
      <c r="Y617"/>
      <c r="Z617"/>
      <c r="AA617"/>
      <c r="AB617"/>
      <c r="AC617"/>
    </row>
    <row r="618" spans="17:29" ht="12.75" customHeight="1">
      <c r="Q618"/>
      <c r="R618"/>
      <c r="S618"/>
      <c r="T618"/>
      <c r="U618"/>
      <c r="V618"/>
      <c r="W618"/>
      <c r="X618"/>
      <c r="Y618"/>
      <c r="Z618"/>
      <c r="AA618"/>
      <c r="AB618"/>
      <c r="AC618"/>
    </row>
    <row r="619" spans="17:29" ht="12.75" customHeight="1">
      <c r="Q619"/>
      <c r="R619"/>
      <c r="S619"/>
      <c r="T619"/>
      <c r="U619"/>
      <c r="V619"/>
      <c r="W619"/>
      <c r="X619"/>
      <c r="Y619"/>
      <c r="Z619"/>
      <c r="AA619"/>
      <c r="AB619"/>
      <c r="AC619"/>
    </row>
    <row r="620" spans="17:29" ht="12.75" customHeight="1">
      <c r="Q620"/>
      <c r="R620"/>
      <c r="S620"/>
      <c r="T620"/>
      <c r="U620"/>
      <c r="V620"/>
      <c r="W620"/>
      <c r="X620"/>
      <c r="Y620"/>
      <c r="Z620"/>
      <c r="AA620"/>
      <c r="AB620"/>
      <c r="AC620"/>
    </row>
    <row r="621" spans="17:29" ht="12.75" customHeight="1">
      <c r="Q621"/>
      <c r="R621"/>
      <c r="S621"/>
      <c r="T621"/>
      <c r="U621"/>
      <c r="V621"/>
      <c r="W621"/>
      <c r="X621"/>
      <c r="Y621"/>
      <c r="Z621"/>
      <c r="AA621"/>
      <c r="AB621"/>
      <c r="AC621"/>
    </row>
    <row r="622" spans="17:29" ht="12.75" customHeight="1">
      <c r="Q622"/>
      <c r="R622"/>
      <c r="S622"/>
      <c r="T622"/>
      <c r="U622"/>
      <c r="V622"/>
      <c r="W622"/>
      <c r="X622"/>
      <c r="Y622"/>
      <c r="Z622"/>
      <c r="AA622"/>
      <c r="AB622"/>
      <c r="AC622"/>
    </row>
    <row r="623" spans="17:29" ht="12.75" customHeight="1">
      <c r="Q623"/>
      <c r="R623"/>
      <c r="S623"/>
      <c r="T623"/>
      <c r="U623"/>
      <c r="V623"/>
      <c r="W623"/>
      <c r="X623"/>
      <c r="Y623"/>
      <c r="Z623"/>
      <c r="AA623"/>
      <c r="AB623"/>
      <c r="AC623"/>
    </row>
    <row r="624" spans="17:29" ht="12.75" customHeight="1">
      <c r="Q624"/>
      <c r="R624"/>
      <c r="S624"/>
      <c r="T624"/>
      <c r="U624"/>
      <c r="V624"/>
      <c r="W624"/>
      <c r="X624"/>
      <c r="Y624"/>
      <c r="Z624"/>
      <c r="AA624"/>
      <c r="AB624"/>
      <c r="AC624"/>
    </row>
    <row r="625" spans="17:29" ht="12.75" customHeight="1">
      <c r="Q625"/>
      <c r="R625"/>
      <c r="S625"/>
      <c r="T625"/>
      <c r="U625"/>
      <c r="V625"/>
      <c r="W625"/>
      <c r="X625"/>
      <c r="Y625"/>
      <c r="Z625"/>
      <c r="AA625"/>
      <c r="AB625"/>
      <c r="AC625"/>
    </row>
    <row r="626" spans="17:29" ht="12.75" customHeight="1">
      <c r="Q626"/>
      <c r="R626"/>
      <c r="S626"/>
      <c r="T626"/>
      <c r="U626"/>
      <c r="V626"/>
      <c r="W626"/>
      <c r="X626"/>
      <c r="Y626"/>
      <c r="Z626"/>
      <c r="AA626"/>
      <c r="AB626"/>
      <c r="AC626"/>
    </row>
    <row r="627" spans="17:29" ht="12.75" customHeight="1">
      <c r="Q627"/>
      <c r="R627"/>
      <c r="S627"/>
      <c r="T627"/>
      <c r="U627"/>
      <c r="V627"/>
      <c r="W627"/>
      <c r="X627"/>
      <c r="Y627"/>
      <c r="Z627"/>
      <c r="AA627"/>
      <c r="AB627"/>
      <c r="AC627"/>
    </row>
    <row r="628" spans="17:29" ht="12.75" customHeight="1">
      <c r="Q628"/>
      <c r="R628"/>
      <c r="S628"/>
      <c r="T628"/>
      <c r="U628"/>
      <c r="V628"/>
      <c r="W628"/>
      <c r="X628"/>
      <c r="Y628"/>
      <c r="Z628"/>
      <c r="AA628"/>
      <c r="AB628"/>
      <c r="AC628"/>
    </row>
    <row r="629" spans="17:29" ht="12.75" customHeight="1">
      <c r="Q629"/>
      <c r="R629"/>
      <c r="S629"/>
      <c r="T629"/>
      <c r="U629"/>
      <c r="V629"/>
      <c r="W629"/>
      <c r="X629"/>
      <c r="Y629"/>
      <c r="Z629"/>
      <c r="AA629"/>
      <c r="AB629"/>
      <c r="AC629"/>
    </row>
    <row r="630" spans="17:29" ht="12.75" customHeight="1">
      <c r="Q630"/>
      <c r="R630"/>
      <c r="S630"/>
      <c r="T630"/>
      <c r="U630"/>
      <c r="V630"/>
      <c r="W630"/>
      <c r="X630"/>
      <c r="Y630"/>
      <c r="Z630"/>
      <c r="AA630"/>
      <c r="AB630"/>
      <c r="AC630"/>
    </row>
    <row r="631" spans="17:29" ht="12.75" customHeight="1">
      <c r="Q631"/>
      <c r="R631"/>
      <c r="S631"/>
      <c r="T631"/>
      <c r="U631"/>
      <c r="V631"/>
      <c r="W631"/>
      <c r="X631"/>
      <c r="Y631"/>
      <c r="Z631"/>
      <c r="AA631"/>
      <c r="AB631"/>
      <c r="AC631"/>
    </row>
    <row r="632" spans="17:29" ht="12.75" customHeight="1">
      <c r="Q632"/>
      <c r="R632"/>
      <c r="S632"/>
      <c r="T632"/>
      <c r="U632"/>
      <c r="V632"/>
      <c r="W632"/>
      <c r="X632"/>
      <c r="Y632"/>
      <c r="Z632"/>
      <c r="AA632"/>
      <c r="AB632"/>
      <c r="AC632"/>
    </row>
    <row r="633" spans="17:29" ht="12.75" customHeight="1">
      <c r="Q633"/>
      <c r="R633"/>
      <c r="S633"/>
      <c r="T633"/>
      <c r="U633"/>
      <c r="V633"/>
      <c r="W633"/>
      <c r="X633"/>
      <c r="Y633"/>
      <c r="Z633"/>
      <c r="AA633"/>
      <c r="AB633"/>
      <c r="AC633"/>
    </row>
    <row r="634" spans="17:29" ht="12.75" customHeight="1">
      <c r="Q634"/>
      <c r="R634"/>
      <c r="S634"/>
      <c r="T634"/>
      <c r="U634"/>
      <c r="V634"/>
      <c r="W634"/>
      <c r="X634"/>
      <c r="Y634"/>
      <c r="Z634"/>
      <c r="AA634"/>
      <c r="AB634"/>
      <c r="AC634"/>
    </row>
    <row r="635" spans="17:29" ht="12.75" customHeight="1">
      <c r="Q635"/>
      <c r="R635"/>
      <c r="S635"/>
      <c r="T635"/>
      <c r="U635"/>
      <c r="V635"/>
      <c r="W635"/>
      <c r="X635"/>
      <c r="Y635"/>
      <c r="Z635"/>
      <c r="AA635"/>
      <c r="AB635"/>
      <c r="AC635"/>
    </row>
    <row r="636" spans="17:29" ht="12.75" customHeight="1">
      <c r="Q636"/>
      <c r="R636"/>
      <c r="S636"/>
      <c r="T636"/>
      <c r="U636"/>
      <c r="V636"/>
      <c r="W636"/>
      <c r="X636"/>
      <c r="Y636"/>
      <c r="Z636"/>
      <c r="AA636"/>
      <c r="AB636"/>
      <c r="AC636"/>
    </row>
    <row r="637" spans="17:29" ht="12.75" customHeight="1">
      <c r="Q637"/>
      <c r="R637"/>
      <c r="S637"/>
      <c r="T637"/>
      <c r="U637"/>
      <c r="V637"/>
      <c r="W637"/>
      <c r="X637"/>
      <c r="Y637"/>
      <c r="Z637"/>
      <c r="AA637"/>
      <c r="AB637"/>
      <c r="AC637"/>
    </row>
    <row r="638" spans="17:29" ht="12.75" customHeight="1">
      <c r="Q638"/>
      <c r="R638"/>
      <c r="S638"/>
      <c r="T638"/>
      <c r="U638"/>
      <c r="V638"/>
      <c r="W638"/>
      <c r="X638"/>
      <c r="Y638"/>
      <c r="Z638"/>
      <c r="AA638"/>
      <c r="AB638"/>
      <c r="AC638"/>
    </row>
    <row r="639" spans="17:29" ht="12.75" customHeight="1">
      <c r="Q639"/>
      <c r="R639"/>
      <c r="S639"/>
      <c r="T639"/>
      <c r="U639"/>
      <c r="V639"/>
      <c r="W639"/>
      <c r="X639"/>
      <c r="Y639"/>
      <c r="Z639"/>
      <c r="AA639"/>
      <c r="AB639"/>
      <c r="AC639"/>
    </row>
    <row r="640" spans="17:29" ht="12.75" customHeight="1">
      <c r="Q640"/>
      <c r="R640"/>
      <c r="S640"/>
      <c r="T640"/>
      <c r="U640"/>
      <c r="V640"/>
      <c r="W640"/>
      <c r="X640"/>
      <c r="Y640"/>
      <c r="Z640"/>
      <c r="AA640"/>
      <c r="AB640"/>
      <c r="AC640"/>
    </row>
    <row r="641" spans="17:29" ht="12.75" customHeight="1">
      <c r="Q641"/>
      <c r="R641"/>
      <c r="S641"/>
      <c r="T641"/>
      <c r="U641"/>
      <c r="V641"/>
      <c r="W641"/>
      <c r="X641"/>
      <c r="Y641"/>
      <c r="Z641"/>
      <c r="AA641"/>
      <c r="AB641"/>
      <c r="AC641"/>
    </row>
    <row r="642" spans="17:29" ht="12.75" customHeight="1">
      <c r="Q642"/>
      <c r="R642"/>
      <c r="S642"/>
      <c r="T642"/>
      <c r="U642"/>
      <c r="V642"/>
      <c r="W642"/>
      <c r="X642"/>
      <c r="Y642"/>
      <c r="Z642"/>
      <c r="AA642"/>
      <c r="AB642"/>
      <c r="AC642"/>
    </row>
    <row r="643" spans="17:29" ht="12.75" customHeight="1">
      <c r="Q643"/>
      <c r="R643"/>
      <c r="S643"/>
      <c r="T643"/>
      <c r="U643"/>
      <c r="V643"/>
      <c r="W643"/>
      <c r="X643"/>
      <c r="Y643"/>
      <c r="Z643"/>
      <c r="AA643"/>
      <c r="AB643"/>
      <c r="AC643"/>
    </row>
    <row r="644" spans="17:29" ht="12.75" customHeight="1">
      <c r="Q644"/>
      <c r="R644"/>
      <c r="S644"/>
      <c r="T644"/>
      <c r="U644"/>
      <c r="V644"/>
      <c r="W644"/>
      <c r="X644"/>
      <c r="Y644"/>
      <c r="Z644"/>
      <c r="AA644"/>
      <c r="AB644"/>
      <c r="AC644"/>
    </row>
    <row r="645" spans="17:29" ht="12.75" customHeight="1">
      <c r="Q645"/>
      <c r="R645"/>
      <c r="S645"/>
      <c r="T645"/>
      <c r="U645"/>
      <c r="V645"/>
      <c r="W645"/>
      <c r="X645"/>
      <c r="Y645"/>
      <c r="Z645"/>
      <c r="AA645"/>
      <c r="AB645"/>
      <c r="AC645"/>
    </row>
    <row r="646" spans="17:29" ht="12.75" customHeight="1">
      <c r="Q646"/>
      <c r="R646"/>
      <c r="S646"/>
      <c r="T646"/>
      <c r="U646"/>
      <c r="V646"/>
      <c r="W646"/>
      <c r="X646"/>
      <c r="Y646"/>
      <c r="Z646"/>
      <c r="AA646"/>
      <c r="AB646"/>
      <c r="AC646"/>
    </row>
    <row r="647" spans="17:29" ht="12.75" customHeight="1">
      <c r="Q647"/>
      <c r="R647"/>
      <c r="S647"/>
      <c r="T647"/>
      <c r="U647"/>
      <c r="V647"/>
      <c r="W647"/>
      <c r="X647"/>
      <c r="Y647"/>
      <c r="Z647"/>
      <c r="AA647"/>
      <c r="AB647"/>
      <c r="AC647"/>
    </row>
    <row r="648" spans="17:29" ht="12.75" customHeight="1">
      <c r="Q648"/>
      <c r="R648"/>
      <c r="S648"/>
      <c r="T648"/>
      <c r="U648"/>
      <c r="V648"/>
      <c r="W648"/>
      <c r="X648"/>
      <c r="Y648"/>
      <c r="Z648"/>
      <c r="AA648"/>
      <c r="AB648"/>
      <c r="AC648"/>
    </row>
    <row r="649" spans="17:29" ht="12.75" customHeight="1">
      <c r="Q649"/>
      <c r="R649"/>
      <c r="S649"/>
      <c r="T649"/>
      <c r="U649"/>
      <c r="V649"/>
      <c r="W649"/>
      <c r="X649"/>
      <c r="Y649"/>
      <c r="Z649"/>
      <c r="AA649"/>
      <c r="AB649"/>
      <c r="AC649"/>
    </row>
    <row r="650" spans="17:29" ht="12.75" customHeight="1">
      <c r="Q650"/>
      <c r="R650"/>
      <c r="S650"/>
      <c r="T650"/>
      <c r="U650"/>
      <c r="V650"/>
      <c r="W650"/>
      <c r="X650"/>
      <c r="Y650"/>
      <c r="Z650"/>
      <c r="AA650"/>
      <c r="AB650"/>
      <c r="AC650"/>
    </row>
    <row r="651" spans="17:29" ht="12.75" customHeight="1">
      <c r="Q651"/>
      <c r="R651"/>
      <c r="S651"/>
      <c r="T651"/>
      <c r="U651"/>
      <c r="V651"/>
      <c r="W651"/>
      <c r="X651"/>
      <c r="Y651"/>
      <c r="Z651"/>
      <c r="AA651"/>
      <c r="AB651"/>
      <c r="AC651"/>
    </row>
    <row r="652" spans="17:29" ht="12.75" customHeight="1">
      <c r="Q652"/>
      <c r="R652"/>
      <c r="S652"/>
      <c r="T652"/>
      <c r="U652"/>
      <c r="V652"/>
      <c r="W652"/>
      <c r="X652"/>
      <c r="Y652"/>
      <c r="Z652"/>
      <c r="AA652"/>
      <c r="AB652"/>
      <c r="AC652"/>
    </row>
    <row r="653" spans="17:29" ht="12.75" customHeight="1">
      <c r="Q653"/>
      <c r="R653"/>
      <c r="S653"/>
      <c r="T653"/>
      <c r="U653"/>
      <c r="V653"/>
      <c r="W653"/>
      <c r="X653"/>
      <c r="Y653"/>
      <c r="Z653"/>
      <c r="AA653"/>
      <c r="AB653"/>
      <c r="AC653"/>
    </row>
    <row r="654" spans="17:29" ht="12.75" customHeight="1">
      <c r="Q654"/>
      <c r="R654"/>
      <c r="S654"/>
      <c r="T654"/>
      <c r="U654"/>
      <c r="V654"/>
      <c r="W654"/>
      <c r="X654"/>
      <c r="Y654"/>
      <c r="Z654"/>
      <c r="AA654"/>
      <c r="AB654"/>
      <c r="AC654"/>
    </row>
    <row r="655" spans="17:29" ht="12.75" customHeight="1">
      <c r="Q655"/>
      <c r="R655"/>
      <c r="S655"/>
      <c r="T655"/>
      <c r="U655"/>
      <c r="V655"/>
      <c r="W655"/>
      <c r="X655"/>
      <c r="Y655"/>
      <c r="Z655"/>
      <c r="AA655"/>
      <c r="AB655"/>
      <c r="AC655"/>
    </row>
    <row r="656" spans="17:29" ht="12.75" customHeight="1">
      <c r="Q656"/>
      <c r="R656"/>
      <c r="S656"/>
      <c r="T656"/>
      <c r="U656"/>
      <c r="V656"/>
      <c r="W656"/>
      <c r="X656"/>
      <c r="Y656"/>
      <c r="Z656"/>
      <c r="AA656"/>
      <c r="AB656"/>
      <c r="AC656"/>
    </row>
    <row r="657" spans="17:29" ht="12.75" customHeight="1">
      <c r="Q657"/>
      <c r="R657"/>
      <c r="S657"/>
      <c r="T657"/>
      <c r="U657"/>
      <c r="V657"/>
      <c r="W657"/>
      <c r="X657"/>
      <c r="Y657"/>
      <c r="Z657"/>
      <c r="AA657"/>
      <c r="AB657"/>
      <c r="AC657"/>
    </row>
    <row r="658" spans="17:29" ht="12.75" customHeight="1">
      <c r="Q658"/>
      <c r="R658"/>
      <c r="S658"/>
      <c r="T658"/>
      <c r="U658"/>
      <c r="V658"/>
      <c r="W658"/>
      <c r="X658"/>
      <c r="Y658"/>
      <c r="Z658"/>
      <c r="AA658"/>
      <c r="AB658"/>
      <c r="AC658"/>
    </row>
    <row r="659" spans="17:29" ht="12.75" customHeight="1">
      <c r="Q659"/>
      <c r="R659"/>
      <c r="S659"/>
      <c r="T659"/>
      <c r="U659"/>
      <c r="V659"/>
      <c r="W659"/>
      <c r="X659"/>
      <c r="Y659"/>
      <c r="Z659"/>
      <c r="AA659"/>
      <c r="AB659"/>
      <c r="AC659"/>
    </row>
    <row r="660" spans="17:29" ht="12.75" customHeight="1">
      <c r="Q660"/>
      <c r="R660"/>
      <c r="S660"/>
      <c r="T660"/>
      <c r="U660"/>
      <c r="V660"/>
      <c r="W660"/>
      <c r="X660"/>
      <c r="Y660"/>
      <c r="Z660"/>
      <c r="AA660"/>
      <c r="AB660"/>
      <c r="AC660"/>
    </row>
    <row r="661" spans="17:29" ht="12.75" customHeight="1">
      <c r="Q661"/>
      <c r="R661"/>
      <c r="S661"/>
      <c r="T661"/>
      <c r="U661"/>
      <c r="V661"/>
      <c r="W661"/>
      <c r="X661"/>
      <c r="Y661"/>
      <c r="Z661"/>
      <c r="AA661"/>
      <c r="AB661"/>
      <c r="AC661"/>
    </row>
    <row r="662" spans="17:29" ht="12.75" customHeight="1">
      <c r="Q662"/>
      <c r="R662"/>
      <c r="S662"/>
      <c r="T662"/>
      <c r="U662"/>
      <c r="V662"/>
      <c r="W662"/>
      <c r="X662"/>
      <c r="Y662"/>
      <c r="Z662"/>
      <c r="AA662"/>
      <c r="AB662"/>
      <c r="AC662"/>
    </row>
    <row r="663" spans="17:29" ht="12.75" customHeight="1">
      <c r="Q663"/>
      <c r="R663"/>
      <c r="S663"/>
      <c r="T663"/>
      <c r="U663"/>
      <c r="V663"/>
      <c r="W663"/>
      <c r="X663"/>
      <c r="Y663"/>
      <c r="Z663"/>
      <c r="AA663"/>
      <c r="AB663"/>
      <c r="AC663"/>
    </row>
    <row r="664" spans="17:29" ht="12.75" customHeight="1">
      <c r="Q664"/>
      <c r="R664"/>
      <c r="S664"/>
      <c r="T664"/>
      <c r="U664"/>
      <c r="V664"/>
      <c r="W664"/>
      <c r="X664"/>
      <c r="Y664"/>
      <c r="Z664"/>
      <c r="AA664"/>
      <c r="AB664"/>
      <c r="AC664"/>
    </row>
    <row r="665" spans="17:29" ht="12.75" customHeight="1">
      <c r="Q665"/>
      <c r="R665"/>
      <c r="S665"/>
      <c r="T665"/>
      <c r="U665"/>
      <c r="V665"/>
      <c r="W665"/>
      <c r="X665"/>
      <c r="Y665"/>
      <c r="Z665"/>
      <c r="AA665"/>
      <c r="AB665"/>
      <c r="AC665"/>
    </row>
    <row r="666" spans="17:29" ht="12.75" customHeight="1">
      <c r="Q666"/>
      <c r="R666"/>
      <c r="S666"/>
      <c r="T666"/>
      <c r="U666"/>
      <c r="V666"/>
      <c r="W666"/>
      <c r="X666"/>
      <c r="Y666"/>
      <c r="Z666"/>
      <c r="AA666"/>
      <c r="AB666"/>
      <c r="AC666"/>
    </row>
    <row r="667" spans="17:29" ht="12.75" customHeight="1">
      <c r="Q667"/>
      <c r="R667"/>
      <c r="S667"/>
      <c r="T667"/>
      <c r="U667"/>
      <c r="V667"/>
      <c r="W667"/>
      <c r="X667"/>
      <c r="Y667"/>
      <c r="Z667"/>
      <c r="AA667"/>
      <c r="AB667"/>
      <c r="AC667"/>
    </row>
    <row r="668" spans="17:29" ht="12.75" customHeight="1">
      <c r="Q668"/>
      <c r="R668"/>
      <c r="S668"/>
      <c r="T668"/>
      <c r="U668"/>
      <c r="V668"/>
      <c r="W668"/>
      <c r="X668"/>
      <c r="Y668"/>
      <c r="Z668"/>
      <c r="AA668"/>
      <c r="AB668"/>
      <c r="AC668"/>
    </row>
    <row r="669" spans="17:29" ht="12.75" customHeight="1">
      <c r="Q669"/>
      <c r="R669"/>
      <c r="S669"/>
      <c r="T669"/>
      <c r="U669"/>
      <c r="V669"/>
      <c r="W669"/>
      <c r="X669"/>
      <c r="Y669"/>
      <c r="Z669"/>
      <c r="AA669"/>
      <c r="AB669"/>
      <c r="AC669"/>
    </row>
    <row r="670" spans="17:29" ht="12.75" customHeight="1">
      <c r="Q670"/>
      <c r="R670"/>
      <c r="S670"/>
      <c r="T670"/>
      <c r="U670"/>
      <c r="V670"/>
      <c r="W670"/>
      <c r="X670"/>
      <c r="Y670"/>
      <c r="Z670"/>
      <c r="AA670"/>
      <c r="AB670"/>
      <c r="AC670"/>
    </row>
    <row r="671" spans="17:29" ht="12.75" customHeight="1">
      <c r="Q671"/>
      <c r="R671"/>
      <c r="S671"/>
      <c r="T671"/>
      <c r="U671"/>
      <c r="V671"/>
      <c r="W671"/>
      <c r="X671"/>
      <c r="Y671"/>
      <c r="Z671"/>
      <c r="AA671"/>
      <c r="AB671"/>
      <c r="AC671"/>
    </row>
    <row r="672" spans="17:29" ht="12.75" customHeight="1">
      <c r="Q672"/>
      <c r="R672"/>
      <c r="S672"/>
      <c r="T672"/>
      <c r="U672"/>
      <c r="V672"/>
      <c r="W672"/>
      <c r="X672"/>
      <c r="Y672"/>
      <c r="Z672"/>
      <c r="AA672"/>
      <c r="AB672"/>
      <c r="AC672"/>
    </row>
    <row r="673" spans="17:29" ht="12.75" customHeight="1">
      <c r="Q673"/>
      <c r="R673"/>
      <c r="S673"/>
      <c r="T673"/>
      <c r="U673"/>
      <c r="V673"/>
      <c r="W673"/>
      <c r="X673"/>
      <c r="Y673"/>
      <c r="Z673"/>
      <c r="AA673"/>
      <c r="AB673"/>
      <c r="AC673"/>
    </row>
    <row r="674" spans="17:29" ht="12.75" customHeight="1">
      <c r="Q674"/>
      <c r="R674"/>
      <c r="S674"/>
      <c r="T674"/>
      <c r="U674"/>
      <c r="V674"/>
      <c r="W674"/>
      <c r="X674"/>
      <c r="Y674"/>
      <c r="Z674"/>
      <c r="AA674"/>
      <c r="AB674"/>
      <c r="AC674"/>
    </row>
    <row r="675" spans="17:29" ht="12.75" customHeight="1">
      <c r="Q675"/>
      <c r="R675"/>
      <c r="S675"/>
      <c r="T675"/>
      <c r="U675"/>
      <c r="V675"/>
      <c r="W675"/>
      <c r="X675"/>
      <c r="Y675"/>
      <c r="Z675"/>
      <c r="AA675"/>
      <c r="AB675"/>
      <c r="AC675"/>
    </row>
    <row r="676" spans="17:29" ht="12.75" customHeight="1">
      <c r="Q676"/>
      <c r="R676"/>
      <c r="S676"/>
      <c r="T676"/>
      <c r="U676"/>
      <c r="V676"/>
      <c r="W676"/>
      <c r="X676"/>
      <c r="Y676"/>
      <c r="Z676"/>
      <c r="AA676"/>
      <c r="AB676"/>
      <c r="AC676"/>
    </row>
    <row r="677" spans="17:29" ht="12.75" customHeight="1">
      <c r="Q677"/>
      <c r="R677"/>
      <c r="S677"/>
      <c r="T677"/>
      <c r="U677"/>
      <c r="V677"/>
      <c r="W677"/>
      <c r="X677"/>
      <c r="Y677"/>
      <c r="Z677"/>
      <c r="AA677"/>
      <c r="AB677"/>
      <c r="AC677"/>
    </row>
    <row r="678" spans="17:29" ht="12.75" customHeight="1">
      <c r="Q678"/>
      <c r="R678"/>
      <c r="S678"/>
      <c r="T678"/>
      <c r="U678"/>
      <c r="V678"/>
      <c r="W678"/>
      <c r="X678"/>
      <c r="Y678"/>
      <c r="Z678"/>
      <c r="AA678"/>
      <c r="AB678"/>
      <c r="AC678"/>
    </row>
    <row r="679" spans="17:29" ht="12.75" customHeight="1">
      <c r="Q679"/>
      <c r="R679"/>
      <c r="S679"/>
      <c r="T679"/>
      <c r="U679"/>
      <c r="V679"/>
      <c r="W679"/>
      <c r="X679"/>
      <c r="Y679"/>
      <c r="Z679"/>
      <c r="AA679"/>
      <c r="AB679"/>
      <c r="AC679"/>
    </row>
    <row r="680" spans="17:29" ht="12.75" customHeight="1">
      <c r="Q680"/>
      <c r="R680"/>
      <c r="S680"/>
      <c r="T680"/>
      <c r="U680"/>
      <c r="V680"/>
      <c r="W680"/>
      <c r="X680"/>
      <c r="Y680"/>
      <c r="Z680"/>
      <c r="AA680"/>
      <c r="AB680"/>
      <c r="AC680"/>
    </row>
    <row r="681" spans="17:29" ht="12.75" customHeight="1">
      <c r="Q681"/>
      <c r="R681"/>
      <c r="S681"/>
      <c r="T681"/>
      <c r="U681"/>
      <c r="V681"/>
      <c r="W681"/>
      <c r="X681"/>
      <c r="Y681"/>
      <c r="Z681"/>
      <c r="AA681"/>
      <c r="AB681"/>
      <c r="AC681"/>
    </row>
    <row r="682" spans="17:29" ht="12.75" customHeight="1">
      <c r="Q682"/>
      <c r="R682"/>
      <c r="S682"/>
      <c r="T682"/>
      <c r="U682"/>
      <c r="V682"/>
      <c r="W682"/>
      <c r="X682"/>
      <c r="Y682"/>
      <c r="Z682"/>
      <c r="AA682"/>
      <c r="AB682"/>
      <c r="AC682"/>
    </row>
    <row r="683" spans="17:29" ht="12.75" customHeight="1">
      <c r="Q683"/>
      <c r="R683"/>
      <c r="S683"/>
      <c r="T683"/>
      <c r="U683"/>
      <c r="V683"/>
      <c r="W683"/>
      <c r="X683"/>
      <c r="Y683"/>
      <c r="Z683"/>
      <c r="AA683"/>
      <c r="AB683"/>
      <c r="AC683"/>
    </row>
    <row r="684" spans="17:29" ht="12.75" customHeight="1">
      <c r="Q684"/>
      <c r="R684"/>
      <c r="S684"/>
      <c r="T684"/>
      <c r="U684"/>
      <c r="V684"/>
      <c r="W684"/>
      <c r="X684"/>
      <c r="Y684"/>
      <c r="Z684"/>
      <c r="AA684"/>
      <c r="AB684"/>
      <c r="AC684"/>
    </row>
    <row r="685" spans="17:29" ht="12.75" customHeight="1">
      <c r="Q685"/>
      <c r="R685"/>
      <c r="S685"/>
      <c r="T685"/>
      <c r="U685"/>
      <c r="V685"/>
      <c r="W685"/>
      <c r="X685"/>
      <c r="Y685"/>
      <c r="Z685"/>
      <c r="AA685"/>
      <c r="AB685"/>
      <c r="AC685"/>
    </row>
    <row r="686" spans="17:29" ht="12.75" customHeight="1">
      <c r="Q686"/>
      <c r="R686"/>
      <c r="S686"/>
      <c r="T686"/>
      <c r="U686"/>
      <c r="V686"/>
      <c r="W686"/>
      <c r="X686"/>
      <c r="Y686"/>
      <c r="Z686"/>
      <c r="AA686"/>
      <c r="AB686"/>
      <c r="AC686"/>
    </row>
    <row r="687" spans="17:29" ht="12.75" customHeight="1">
      <c r="Q687"/>
      <c r="R687"/>
      <c r="S687"/>
      <c r="T687"/>
      <c r="U687"/>
      <c r="V687"/>
      <c r="W687"/>
      <c r="X687"/>
      <c r="Y687"/>
      <c r="Z687"/>
      <c r="AA687"/>
      <c r="AB687"/>
      <c r="AC687"/>
    </row>
    <row r="688" spans="17:29" ht="12.75" customHeight="1">
      <c r="Q688"/>
      <c r="R688"/>
      <c r="S688"/>
      <c r="T688"/>
      <c r="U688"/>
      <c r="V688"/>
      <c r="W688"/>
      <c r="X688"/>
      <c r="Y688"/>
      <c r="Z688"/>
      <c r="AA688"/>
      <c r="AB688"/>
      <c r="AC688"/>
    </row>
    <row r="689" spans="17:29" ht="12.75" customHeight="1">
      <c r="Q689"/>
      <c r="R689"/>
      <c r="S689"/>
      <c r="T689"/>
      <c r="U689"/>
      <c r="V689"/>
      <c r="W689"/>
      <c r="X689"/>
      <c r="Y689"/>
      <c r="Z689"/>
      <c r="AA689"/>
      <c r="AB689"/>
      <c r="AC689"/>
    </row>
    <row r="690" spans="17:29" ht="12.75" customHeight="1">
      <c r="Q690"/>
      <c r="R690"/>
      <c r="S690"/>
      <c r="T690"/>
      <c r="U690"/>
      <c r="V690"/>
      <c r="W690"/>
      <c r="X690"/>
      <c r="Y690"/>
      <c r="Z690"/>
      <c r="AA690"/>
      <c r="AB690"/>
      <c r="AC690"/>
    </row>
    <row r="691" spans="17:29" ht="12.75" customHeight="1">
      <c r="Q691"/>
      <c r="R691"/>
      <c r="S691"/>
      <c r="T691"/>
      <c r="U691"/>
      <c r="V691"/>
      <c r="W691"/>
      <c r="X691"/>
      <c r="Y691"/>
      <c r="Z691"/>
      <c r="AA691"/>
      <c r="AB691"/>
      <c r="AC691"/>
    </row>
    <row r="692" spans="17:29" ht="12.75" customHeight="1">
      <c r="Q692"/>
      <c r="R692"/>
      <c r="S692"/>
      <c r="T692"/>
      <c r="U692"/>
      <c r="V692"/>
      <c r="W692"/>
      <c r="X692"/>
      <c r="Y692"/>
      <c r="Z692"/>
      <c r="AA692"/>
      <c r="AB692"/>
      <c r="AC692"/>
    </row>
    <row r="693" spans="17:29" ht="12.75" customHeight="1">
      <c r="Q693"/>
      <c r="R693"/>
      <c r="S693"/>
      <c r="T693"/>
      <c r="U693"/>
      <c r="V693"/>
      <c r="W693"/>
      <c r="X693"/>
      <c r="Y693"/>
      <c r="Z693"/>
      <c r="AA693"/>
      <c r="AB693"/>
      <c r="AC693"/>
    </row>
    <row r="694" spans="17:29" ht="12.75" customHeight="1">
      <c r="Q694"/>
      <c r="R694"/>
      <c r="S694"/>
      <c r="T694"/>
      <c r="U694"/>
      <c r="V694"/>
      <c r="W694"/>
      <c r="X694"/>
      <c r="Y694"/>
      <c r="Z694"/>
      <c r="AA694"/>
      <c r="AB694"/>
      <c r="AC694"/>
    </row>
    <row r="695" spans="17:29" ht="12.75" customHeight="1">
      <c r="Q695"/>
      <c r="R695"/>
      <c r="S695"/>
      <c r="T695"/>
      <c r="U695"/>
      <c r="V695"/>
      <c r="W695"/>
      <c r="X695"/>
      <c r="Y695"/>
      <c r="Z695"/>
      <c r="AA695"/>
      <c r="AB695"/>
      <c r="AC695"/>
    </row>
    <row r="696" spans="17:29" ht="12.75" customHeight="1">
      <c r="Q696"/>
      <c r="R696"/>
      <c r="S696"/>
      <c r="T696"/>
      <c r="U696"/>
      <c r="V696"/>
      <c r="W696"/>
      <c r="X696"/>
      <c r="Y696"/>
      <c r="Z696"/>
      <c r="AA696"/>
      <c r="AB696"/>
      <c r="AC696"/>
    </row>
    <row r="697" spans="17:29">
      <c r="Q697"/>
      <c r="R697"/>
      <c r="S697"/>
      <c r="T697"/>
      <c r="U697"/>
      <c r="V697"/>
      <c r="W697"/>
      <c r="X697"/>
      <c r="Y697"/>
      <c r="Z697"/>
      <c r="AA697"/>
      <c r="AB697"/>
      <c r="AC697"/>
    </row>
    <row r="698" spans="17:29">
      <c r="Q698"/>
      <c r="R698"/>
      <c r="S698"/>
      <c r="T698"/>
      <c r="U698"/>
      <c r="V698"/>
      <c r="W698"/>
      <c r="X698"/>
      <c r="Y698"/>
      <c r="Z698"/>
      <c r="AA698"/>
      <c r="AB698"/>
      <c r="AC698"/>
    </row>
    <row r="699" spans="17:29">
      <c r="Q699"/>
      <c r="R699"/>
      <c r="S699"/>
      <c r="T699"/>
      <c r="U699"/>
      <c r="V699"/>
      <c r="W699"/>
      <c r="X699"/>
      <c r="Y699"/>
      <c r="Z699"/>
      <c r="AA699"/>
      <c r="AB699"/>
      <c r="AC699"/>
    </row>
    <row r="700" spans="17:29">
      <c r="Q700"/>
      <c r="R700"/>
      <c r="S700"/>
      <c r="T700"/>
      <c r="U700"/>
      <c r="V700"/>
      <c r="W700"/>
      <c r="X700"/>
      <c r="Y700"/>
      <c r="Z700"/>
      <c r="AA700"/>
      <c r="AB700"/>
      <c r="AC700"/>
    </row>
    <row r="701" spans="17:29">
      <c r="Q701"/>
      <c r="R701"/>
      <c r="S701"/>
      <c r="T701"/>
      <c r="U701"/>
      <c r="V701"/>
      <c r="W701"/>
      <c r="X701"/>
      <c r="Y701"/>
      <c r="Z701"/>
      <c r="AA701"/>
      <c r="AB701"/>
      <c r="AC701"/>
    </row>
    <row r="702" spans="17:29">
      <c r="Q702"/>
      <c r="R702"/>
      <c r="S702"/>
      <c r="T702"/>
      <c r="U702"/>
      <c r="V702"/>
      <c r="W702"/>
      <c r="X702"/>
      <c r="Y702"/>
      <c r="Z702"/>
      <c r="AA702"/>
      <c r="AB702"/>
      <c r="AC702"/>
    </row>
    <row r="703" spans="17:29">
      <c r="Q703"/>
      <c r="R703"/>
      <c r="S703"/>
      <c r="T703"/>
      <c r="U703"/>
      <c r="V703"/>
      <c r="W703"/>
      <c r="X703"/>
      <c r="Y703"/>
      <c r="Z703"/>
      <c r="AA703"/>
      <c r="AB703"/>
      <c r="AC703"/>
    </row>
    <row r="704" spans="17:29">
      <c r="Q704"/>
      <c r="R704"/>
      <c r="S704"/>
      <c r="T704"/>
      <c r="U704"/>
      <c r="V704"/>
      <c r="W704"/>
      <c r="X704"/>
      <c r="Y704"/>
      <c r="Z704"/>
      <c r="AA704"/>
      <c r="AB704"/>
      <c r="AC704"/>
    </row>
    <row r="705" spans="17:29">
      <c r="Q705"/>
      <c r="R705"/>
      <c r="S705"/>
      <c r="T705"/>
      <c r="U705"/>
      <c r="V705"/>
      <c r="W705"/>
      <c r="X705"/>
      <c r="Y705"/>
      <c r="Z705"/>
      <c r="AA705"/>
      <c r="AB705"/>
      <c r="AC705"/>
    </row>
    <row r="706" spans="17:29">
      <c r="Q706"/>
      <c r="R706"/>
      <c r="S706"/>
      <c r="T706"/>
      <c r="U706"/>
      <c r="V706"/>
      <c r="W706"/>
      <c r="X706"/>
      <c r="Y706"/>
      <c r="Z706"/>
      <c r="AA706"/>
      <c r="AB706"/>
      <c r="AC706"/>
    </row>
    <row r="707" spans="17:29">
      <c r="Q707"/>
      <c r="R707"/>
      <c r="S707"/>
      <c r="T707"/>
      <c r="U707"/>
      <c r="V707"/>
      <c r="W707"/>
      <c r="X707"/>
      <c r="Y707"/>
      <c r="Z707"/>
      <c r="AA707"/>
      <c r="AB707"/>
      <c r="AC707"/>
    </row>
    <row r="708" spans="17:29">
      <c r="Q708"/>
      <c r="R708"/>
      <c r="S708"/>
      <c r="T708"/>
      <c r="U708"/>
      <c r="V708"/>
      <c r="W708"/>
      <c r="X708"/>
      <c r="Y708"/>
      <c r="Z708"/>
      <c r="AA708"/>
      <c r="AB708"/>
      <c r="AC708"/>
    </row>
    <row r="709" spans="17:29">
      <c r="Q709"/>
      <c r="R709"/>
      <c r="S709"/>
      <c r="T709"/>
      <c r="U709"/>
      <c r="V709"/>
      <c r="W709"/>
      <c r="X709"/>
      <c r="Y709"/>
      <c r="Z709"/>
      <c r="AA709"/>
      <c r="AB709"/>
      <c r="AC709"/>
    </row>
    <row r="710" spans="17:29">
      <c r="Q710"/>
      <c r="R710"/>
      <c r="S710"/>
      <c r="T710"/>
      <c r="U710"/>
      <c r="V710"/>
      <c r="W710"/>
      <c r="X710"/>
      <c r="Y710"/>
      <c r="Z710"/>
      <c r="AA710"/>
      <c r="AB710"/>
      <c r="AC710"/>
    </row>
    <row r="711" spans="17:29">
      <c r="Q711"/>
      <c r="R711"/>
      <c r="S711"/>
      <c r="T711"/>
      <c r="U711"/>
      <c r="V711"/>
      <c r="W711"/>
      <c r="X711"/>
      <c r="Y711"/>
      <c r="Z711"/>
      <c r="AA711"/>
      <c r="AB711"/>
      <c r="AC711"/>
    </row>
    <row r="712" spans="17:29">
      <c r="Q712"/>
      <c r="R712"/>
      <c r="S712"/>
      <c r="T712"/>
      <c r="U712"/>
      <c r="V712"/>
      <c r="W712"/>
      <c r="X712"/>
      <c r="Y712"/>
      <c r="Z712"/>
      <c r="AA712"/>
      <c r="AB712"/>
      <c r="AC712"/>
    </row>
    <row r="713" spans="17:29">
      <c r="Q713"/>
      <c r="R713"/>
      <c r="S713"/>
      <c r="T713"/>
      <c r="U713"/>
      <c r="V713"/>
      <c r="W713"/>
      <c r="X713"/>
      <c r="Y713"/>
      <c r="Z713"/>
      <c r="AA713"/>
      <c r="AB713"/>
      <c r="AC713"/>
    </row>
    <row r="714" spans="17:29">
      <c r="Q714"/>
      <c r="R714"/>
      <c r="S714"/>
      <c r="T714"/>
      <c r="U714"/>
      <c r="V714"/>
      <c r="W714"/>
      <c r="X714"/>
      <c r="Y714"/>
      <c r="Z714"/>
      <c r="AA714"/>
      <c r="AB714"/>
      <c r="AC714"/>
    </row>
    <row r="715" spans="17:29">
      <c r="Q715"/>
      <c r="R715"/>
      <c r="S715"/>
      <c r="T715"/>
      <c r="U715"/>
      <c r="V715"/>
      <c r="W715"/>
      <c r="X715"/>
      <c r="Y715"/>
      <c r="Z715"/>
      <c r="AA715"/>
      <c r="AB715"/>
      <c r="AC715"/>
    </row>
    <row r="716" spans="17:29">
      <c r="Q716" s="23"/>
      <c r="R716" s="1"/>
      <c r="S716" s="1"/>
      <c r="T716" s="1"/>
      <c r="U716" s="1"/>
      <c r="V716" s="1"/>
      <c r="W716" s="1"/>
      <c r="X716" s="1"/>
      <c r="Y716" s="1"/>
      <c r="Z716" s="1"/>
    </row>
    <row r="717" spans="17:29">
      <c r="Q717" s="23"/>
      <c r="R717" s="1"/>
      <c r="S717" s="1"/>
      <c r="T717" s="1"/>
      <c r="U717" s="1"/>
      <c r="V717" s="1"/>
      <c r="W717" s="1"/>
      <c r="X717" s="1"/>
      <c r="Y717" s="1"/>
      <c r="Z717" s="1"/>
    </row>
    <row r="718" spans="17:29">
      <c r="Q718" s="23"/>
      <c r="R718" s="1"/>
      <c r="S718" s="1"/>
      <c r="T718" s="1"/>
      <c r="U718" s="1"/>
      <c r="V718" s="1"/>
      <c r="W718" s="1"/>
      <c r="X718" s="1"/>
      <c r="Y718" s="1"/>
      <c r="Z718" s="1"/>
    </row>
    <row r="719" spans="17:29">
      <c r="Q719" s="23"/>
      <c r="R719" s="1"/>
      <c r="S719" s="1"/>
      <c r="T719" s="1"/>
      <c r="U719" s="1"/>
      <c r="V719" s="1"/>
      <c r="W719" s="1"/>
      <c r="X719" s="1"/>
      <c r="Y719" s="1"/>
      <c r="Z719" s="1"/>
    </row>
    <row r="720" spans="17:29">
      <c r="Q720" s="23"/>
      <c r="R720" s="1"/>
      <c r="S720" s="1"/>
      <c r="T720" s="1"/>
      <c r="U720" s="1"/>
      <c r="V720" s="1"/>
      <c r="W720" s="1"/>
      <c r="X720" s="1"/>
      <c r="Y720" s="1"/>
      <c r="Z720" s="1"/>
    </row>
    <row r="721" spans="17:26">
      <c r="Q721" s="23"/>
      <c r="R721" s="1"/>
      <c r="S721" s="1"/>
      <c r="T721" s="1"/>
      <c r="U721" s="1"/>
      <c r="V721" s="1"/>
      <c r="W721" s="1"/>
      <c r="X721" s="1"/>
      <c r="Y721" s="1"/>
      <c r="Z721" s="1"/>
    </row>
    <row r="722" spans="17:26">
      <c r="Q722" s="23"/>
      <c r="R722" s="1"/>
      <c r="S722" s="1"/>
      <c r="T722" s="1"/>
      <c r="U722" s="1"/>
      <c r="V722" s="1"/>
      <c r="W722" s="1"/>
      <c r="X722" s="1"/>
      <c r="Y722" s="1"/>
      <c r="Z722" s="1"/>
    </row>
    <row r="723" spans="17:26">
      <c r="Q723" s="23"/>
      <c r="R723" s="1"/>
      <c r="S723" s="1"/>
      <c r="T723" s="1"/>
      <c r="U723" s="1"/>
      <c r="V723" s="1"/>
      <c r="W723" s="1"/>
      <c r="X723" s="1"/>
      <c r="Y723" s="1"/>
      <c r="Z723" s="1"/>
    </row>
    <row r="724" spans="17:26">
      <c r="Q724" s="23"/>
      <c r="R724" s="1"/>
      <c r="S724" s="1"/>
      <c r="T724" s="1"/>
      <c r="U724" s="1"/>
      <c r="V724" s="1"/>
      <c r="W724" s="1"/>
      <c r="X724" s="1"/>
      <c r="Y724" s="1"/>
      <c r="Z724" s="1"/>
    </row>
    <row r="725" spans="17:26">
      <c r="Q725" s="23"/>
      <c r="R725" s="1"/>
      <c r="S725" s="1"/>
      <c r="T725" s="1"/>
      <c r="U725" s="1"/>
      <c r="V725" s="1"/>
      <c r="W725" s="1"/>
      <c r="X725" s="1"/>
      <c r="Y725" s="1"/>
      <c r="Z725" s="1"/>
    </row>
    <row r="726" spans="17:26">
      <c r="Q726" s="23"/>
      <c r="R726" s="1"/>
      <c r="S726" s="1"/>
      <c r="T726" s="1"/>
      <c r="U726" s="1"/>
      <c r="V726" s="1"/>
      <c r="W726" s="1"/>
      <c r="X726" s="1"/>
      <c r="Y726" s="1"/>
      <c r="Z726" s="1"/>
    </row>
    <row r="727" spans="17:26">
      <c r="Q727" s="23"/>
      <c r="R727" s="1"/>
      <c r="S727" s="1"/>
      <c r="T727" s="1"/>
      <c r="U727" s="1"/>
      <c r="V727" s="1"/>
      <c r="W727" s="1"/>
      <c r="X727" s="1"/>
      <c r="Y727" s="1"/>
      <c r="Z727" s="1"/>
    </row>
    <row r="728" spans="17:26">
      <c r="Q728" s="23"/>
      <c r="R728" s="1"/>
      <c r="S728" s="1"/>
      <c r="T728" s="1"/>
      <c r="U728" s="1"/>
      <c r="V728" s="1"/>
      <c r="W728" s="1"/>
      <c r="X728" s="1"/>
      <c r="Y728" s="1"/>
      <c r="Z728" s="1"/>
    </row>
    <row r="729" spans="17:26">
      <c r="Q729" s="23"/>
      <c r="R729" s="1"/>
      <c r="S729" s="1"/>
      <c r="T729" s="1"/>
      <c r="U729" s="1"/>
      <c r="V729" s="1"/>
      <c r="W729" s="1"/>
      <c r="X729" s="1"/>
      <c r="Y729" s="1"/>
      <c r="Z729" s="1"/>
    </row>
    <row r="730" spans="17:26">
      <c r="Q730" s="23"/>
      <c r="R730" s="1"/>
      <c r="S730" s="1"/>
      <c r="T730" s="1"/>
      <c r="U730" s="1"/>
      <c r="V730" s="1"/>
      <c r="W730" s="1"/>
      <c r="X730" s="1"/>
      <c r="Y730" s="1"/>
      <c r="Z730" s="1"/>
    </row>
    <row r="731" spans="17:26">
      <c r="Q731" s="23"/>
      <c r="R731" s="1"/>
      <c r="S731" s="1"/>
      <c r="T731" s="1"/>
      <c r="U731" s="1"/>
      <c r="V731" s="1"/>
      <c r="W731" s="1"/>
      <c r="X731" s="1"/>
      <c r="Y731" s="1"/>
      <c r="Z731" s="1"/>
    </row>
    <row r="732" spans="17:26">
      <c r="Q732" s="23"/>
      <c r="R732" s="1"/>
      <c r="S732" s="1"/>
      <c r="T732" s="1"/>
      <c r="U732" s="1"/>
      <c r="V732" s="1"/>
      <c r="W732" s="1"/>
      <c r="X732" s="1"/>
      <c r="Y732" s="1"/>
      <c r="Z732" s="1"/>
    </row>
    <row r="733" spans="17:26">
      <c r="Q733" s="23"/>
      <c r="R733" s="1"/>
      <c r="S733" s="1"/>
      <c r="T733" s="1"/>
      <c r="U733" s="1"/>
      <c r="V733" s="1"/>
      <c r="W733" s="1"/>
      <c r="X733" s="1"/>
      <c r="Y733" s="1"/>
      <c r="Z733" s="1"/>
    </row>
    <row r="734" spans="17:26">
      <c r="Q734" s="23"/>
      <c r="R734" s="1"/>
      <c r="S734" s="1"/>
      <c r="T734" s="1"/>
      <c r="U734" s="1"/>
      <c r="V734" s="1"/>
      <c r="W734" s="1"/>
      <c r="X734" s="1"/>
      <c r="Y734" s="1"/>
      <c r="Z734" s="1"/>
    </row>
    <row r="735" spans="17:26">
      <c r="Q735" s="23"/>
      <c r="R735" s="1"/>
      <c r="S735" s="1"/>
      <c r="T735" s="1"/>
      <c r="U735" s="1"/>
      <c r="V735" s="1"/>
      <c r="W735" s="1"/>
      <c r="X735" s="1"/>
      <c r="Y735" s="1"/>
      <c r="Z735" s="1"/>
    </row>
    <row r="736" spans="17:26">
      <c r="Q736" s="23"/>
      <c r="R736" s="1"/>
      <c r="S736" s="1"/>
      <c r="T736" s="1"/>
      <c r="U736" s="1"/>
      <c r="V736" s="1"/>
      <c r="W736" s="1"/>
      <c r="X736" s="1"/>
      <c r="Y736" s="1"/>
      <c r="Z736" s="1"/>
    </row>
    <row r="737" spans="17:26">
      <c r="Q737" s="23"/>
      <c r="R737" s="1"/>
      <c r="S737" s="1"/>
      <c r="T737" s="1"/>
      <c r="U737" s="1"/>
      <c r="V737" s="1"/>
      <c r="W737" s="1"/>
      <c r="X737" s="1"/>
      <c r="Y737" s="1"/>
      <c r="Z737" s="1"/>
    </row>
    <row r="738" spans="17:26">
      <c r="Q738" s="23"/>
      <c r="R738" s="1"/>
      <c r="S738" s="1"/>
      <c r="T738" s="1"/>
      <c r="U738" s="1"/>
      <c r="V738" s="1"/>
      <c r="W738" s="1"/>
      <c r="X738" s="1"/>
      <c r="Y738" s="1"/>
      <c r="Z738" s="1"/>
    </row>
    <row r="739" spans="17:26">
      <c r="Q739" s="23"/>
      <c r="R739" s="1"/>
      <c r="S739" s="1"/>
      <c r="T739" s="1"/>
      <c r="U739" s="1"/>
      <c r="V739" s="1"/>
      <c r="W739" s="1"/>
      <c r="X739" s="1"/>
      <c r="Y739" s="1"/>
      <c r="Z739" s="1"/>
    </row>
    <row r="740" spans="17:26">
      <c r="Q740" s="23"/>
      <c r="R740" s="1"/>
      <c r="S740" s="1"/>
      <c r="T740" s="1"/>
      <c r="U740" s="1"/>
      <c r="V740" s="1"/>
      <c r="W740" s="1"/>
      <c r="X740" s="1"/>
      <c r="Y740" s="1"/>
      <c r="Z740" s="1"/>
    </row>
    <row r="741" spans="17:26">
      <c r="Q741" s="23"/>
      <c r="R741" s="1"/>
      <c r="S741" s="1"/>
      <c r="T741" s="1"/>
      <c r="U741" s="1"/>
      <c r="V741" s="1"/>
      <c r="W741" s="1"/>
      <c r="X741" s="1"/>
      <c r="Y741" s="1"/>
      <c r="Z741" s="1"/>
    </row>
    <row r="742" spans="17:26">
      <c r="Q742" s="23"/>
      <c r="R742" s="1"/>
      <c r="S742" s="1"/>
      <c r="T742" s="1"/>
      <c r="U742" s="1"/>
      <c r="V742" s="1"/>
      <c r="W742" s="1"/>
      <c r="X742" s="1"/>
      <c r="Y742" s="1"/>
      <c r="Z742" s="1"/>
    </row>
    <row r="743" spans="17:26">
      <c r="Q743" s="23"/>
      <c r="R743" s="1"/>
      <c r="S743" s="1"/>
      <c r="T743" s="1"/>
      <c r="U743" s="1"/>
      <c r="V743" s="1"/>
      <c r="W743" s="1"/>
      <c r="X743" s="1"/>
      <c r="Y743" s="1"/>
      <c r="Z743" s="1"/>
    </row>
    <row r="744" spans="17:26">
      <c r="Q744" s="23"/>
      <c r="R744" s="1"/>
      <c r="S744" s="1"/>
      <c r="T744" s="1"/>
      <c r="U744" s="1"/>
      <c r="V744" s="1"/>
      <c r="W744" s="1"/>
      <c r="X744" s="1"/>
      <c r="Y744" s="1"/>
      <c r="Z744" s="1"/>
    </row>
    <row r="745" spans="17:26">
      <c r="Q745" s="23"/>
      <c r="R745" s="1"/>
      <c r="S745" s="1"/>
      <c r="T745" s="1"/>
      <c r="U745" s="1"/>
      <c r="V745" s="1"/>
      <c r="W745" s="1"/>
      <c r="X745" s="1"/>
      <c r="Y745" s="1"/>
      <c r="Z745" s="1"/>
    </row>
    <row r="746" spans="17:26">
      <c r="Q746" s="23"/>
      <c r="R746" s="1"/>
      <c r="S746" s="1"/>
      <c r="T746" s="1"/>
      <c r="U746" s="1"/>
      <c r="V746" s="1"/>
      <c r="W746" s="1"/>
      <c r="X746" s="1"/>
      <c r="Y746" s="1"/>
      <c r="Z746" s="1"/>
    </row>
    <row r="747" spans="17:26">
      <c r="Q747" s="23"/>
      <c r="R747" s="1"/>
      <c r="S747" s="1"/>
      <c r="T747" s="1"/>
      <c r="U747" s="1"/>
      <c r="V747" s="1"/>
      <c r="W747" s="1"/>
      <c r="X747" s="1"/>
      <c r="Y747" s="1"/>
      <c r="Z747" s="1"/>
    </row>
    <row r="748" spans="17:26">
      <c r="Q748" s="23"/>
      <c r="R748" s="1"/>
      <c r="S748" s="1"/>
      <c r="T748" s="1"/>
      <c r="U748" s="1"/>
      <c r="V748" s="1"/>
      <c r="W748" s="1"/>
      <c r="X748" s="1"/>
      <c r="Y748" s="1"/>
      <c r="Z748" s="1"/>
    </row>
    <row r="749" spans="17:26">
      <c r="Q749" s="23"/>
      <c r="R749" s="1"/>
      <c r="S749" s="1"/>
      <c r="T749" s="1"/>
      <c r="U749" s="1"/>
      <c r="V749" s="1"/>
      <c r="W749" s="1"/>
      <c r="X749" s="1"/>
      <c r="Y749" s="1"/>
      <c r="Z749" s="1"/>
    </row>
    <row r="750" spans="17:26">
      <c r="Q750" s="23"/>
      <c r="R750" s="1"/>
      <c r="S750" s="1"/>
      <c r="T750" s="1"/>
      <c r="U750" s="1"/>
      <c r="V750" s="1"/>
      <c r="W750" s="1"/>
      <c r="X750" s="1"/>
      <c r="Y750" s="1"/>
      <c r="Z750" s="1"/>
    </row>
    <row r="751" spans="17:26">
      <c r="Q751" s="23"/>
      <c r="R751" s="1"/>
      <c r="S751" s="1"/>
      <c r="T751" s="1"/>
      <c r="U751" s="1"/>
      <c r="V751" s="1"/>
      <c r="W751" s="1"/>
      <c r="X751" s="1"/>
      <c r="Y751" s="1"/>
      <c r="Z751" s="1"/>
    </row>
    <row r="752" spans="17:26">
      <c r="Q752" s="23"/>
      <c r="R752" s="1"/>
      <c r="S752" s="1"/>
      <c r="T752" s="1"/>
      <c r="U752" s="1"/>
      <c r="V752" s="1"/>
      <c r="W752" s="1"/>
      <c r="X752" s="1"/>
      <c r="Y752" s="1"/>
      <c r="Z752" s="1"/>
    </row>
    <row r="753" spans="17:26">
      <c r="Q753" s="23"/>
      <c r="R753" s="1"/>
      <c r="S753" s="1"/>
      <c r="T753" s="1"/>
      <c r="U753" s="1"/>
      <c r="V753" s="1"/>
      <c r="W753" s="1"/>
      <c r="X753" s="1"/>
      <c r="Y753" s="1"/>
      <c r="Z753" s="1"/>
    </row>
    <row r="754" spans="17:26">
      <c r="Q754" s="23"/>
      <c r="R754" s="1"/>
      <c r="S754" s="1"/>
      <c r="T754" s="1"/>
      <c r="U754" s="1"/>
      <c r="V754" s="1"/>
      <c r="W754" s="1"/>
      <c r="X754" s="1"/>
      <c r="Y754" s="1"/>
      <c r="Z754" s="1"/>
    </row>
    <row r="755" spans="17:26">
      <c r="Q755" s="23"/>
      <c r="R755" s="1"/>
      <c r="S755" s="1"/>
      <c r="T755" s="1"/>
      <c r="U755" s="1"/>
      <c r="V755" s="1"/>
      <c r="W755" s="1"/>
      <c r="X755" s="1"/>
      <c r="Y755" s="1"/>
      <c r="Z755" s="1"/>
    </row>
    <row r="756" spans="17:26">
      <c r="Q756" s="23"/>
      <c r="R756" s="1"/>
      <c r="S756" s="1"/>
      <c r="T756" s="1"/>
      <c r="U756" s="1"/>
      <c r="V756" s="1"/>
      <c r="W756" s="1"/>
      <c r="X756" s="1"/>
      <c r="Y756" s="1"/>
      <c r="Z756" s="1"/>
    </row>
    <row r="757" spans="17:26">
      <c r="Q757" s="23"/>
      <c r="R757" s="1"/>
      <c r="S757" s="1"/>
      <c r="T757" s="1"/>
      <c r="U757" s="1"/>
      <c r="V757" s="1"/>
      <c r="W757" s="1"/>
      <c r="X757" s="1"/>
      <c r="Y757" s="1"/>
      <c r="Z757" s="1"/>
    </row>
    <row r="758" spans="17:26">
      <c r="Q758" s="23"/>
      <c r="R758" s="1"/>
      <c r="S758" s="1"/>
      <c r="T758" s="1"/>
      <c r="U758" s="1"/>
      <c r="V758" s="1"/>
      <c r="W758" s="1"/>
      <c r="X758" s="1"/>
      <c r="Y758" s="1"/>
      <c r="Z758" s="1"/>
    </row>
    <row r="759" spans="17:26">
      <c r="Q759" s="23"/>
      <c r="R759" s="1"/>
      <c r="S759" s="1"/>
      <c r="T759" s="1"/>
      <c r="U759" s="1"/>
      <c r="V759" s="1"/>
      <c r="W759" s="1"/>
      <c r="X759" s="1"/>
      <c r="Y759" s="1"/>
      <c r="Z759" s="1"/>
    </row>
    <row r="760" spans="17:26">
      <c r="Q760" s="23"/>
      <c r="R760" s="1"/>
      <c r="S760" s="1"/>
      <c r="T760" s="1"/>
      <c r="U760" s="1"/>
      <c r="V760" s="1"/>
      <c r="W760" s="1"/>
      <c r="X760" s="1"/>
      <c r="Y760" s="1"/>
      <c r="Z760" s="1"/>
    </row>
    <row r="761" spans="17:26">
      <c r="Q761" s="23"/>
      <c r="R761" s="1"/>
      <c r="S761" s="1"/>
      <c r="T761" s="1"/>
      <c r="U761" s="1"/>
      <c r="V761" s="1"/>
      <c r="W761" s="1"/>
      <c r="X761" s="1"/>
      <c r="Y761" s="1"/>
      <c r="Z761" s="1"/>
    </row>
    <row r="762" spans="17:26">
      <c r="Q762" s="23"/>
      <c r="R762" s="1"/>
      <c r="S762" s="1"/>
      <c r="T762" s="1"/>
      <c r="U762" s="1"/>
      <c r="V762" s="1"/>
      <c r="W762" s="1"/>
      <c r="X762" s="1"/>
      <c r="Y762" s="1"/>
      <c r="Z762" s="1"/>
    </row>
    <row r="763" spans="17:26">
      <c r="Q763" s="23"/>
      <c r="R763" s="1"/>
      <c r="S763" s="1"/>
      <c r="T763" s="1"/>
      <c r="U763" s="1"/>
      <c r="V763" s="1"/>
      <c r="W763" s="1"/>
      <c r="X763" s="1"/>
      <c r="Y763" s="1"/>
      <c r="Z763" s="1"/>
    </row>
    <row r="764" spans="17:26">
      <c r="Q764" s="23"/>
      <c r="R764" s="1"/>
      <c r="S764" s="1"/>
      <c r="T764" s="1"/>
      <c r="U764" s="1"/>
      <c r="V764" s="1"/>
      <c r="W764" s="1"/>
      <c r="X764" s="1"/>
      <c r="Y764" s="1"/>
      <c r="Z764" s="1"/>
    </row>
    <row r="765" spans="17:26">
      <c r="Q765" s="23"/>
      <c r="R765" s="1"/>
      <c r="S765" s="1"/>
      <c r="T765" s="1"/>
      <c r="U765" s="1"/>
      <c r="V765" s="1"/>
      <c r="W765" s="1"/>
      <c r="X765" s="1"/>
      <c r="Y765" s="1"/>
      <c r="Z765" s="1"/>
    </row>
    <row r="766" spans="17:26">
      <c r="Q766" s="23"/>
      <c r="R766" s="1"/>
      <c r="S766" s="1"/>
      <c r="T766" s="1"/>
      <c r="U766" s="1"/>
      <c r="V766" s="1"/>
      <c r="W766" s="1"/>
      <c r="X766" s="1"/>
      <c r="Y766" s="1"/>
      <c r="Z766" s="1"/>
    </row>
    <row r="767" spans="17:26">
      <c r="Q767" s="23"/>
      <c r="R767" s="1"/>
      <c r="S767" s="1"/>
      <c r="T767" s="1"/>
      <c r="U767" s="1"/>
      <c r="V767" s="1"/>
      <c r="W767" s="1"/>
      <c r="X767" s="1"/>
      <c r="Y767" s="1"/>
      <c r="Z767" s="1"/>
    </row>
    <row r="768" spans="17:26">
      <c r="Q768" s="23"/>
      <c r="R768" s="1"/>
      <c r="S768" s="1"/>
      <c r="T768" s="1"/>
      <c r="U768" s="1"/>
      <c r="V768" s="1"/>
      <c r="W768" s="1"/>
      <c r="X768" s="1"/>
      <c r="Y768" s="1"/>
      <c r="Z768" s="1"/>
    </row>
    <row r="769" spans="17:26">
      <c r="Q769" s="23"/>
      <c r="R769" s="1"/>
      <c r="S769" s="1"/>
      <c r="T769" s="1"/>
      <c r="U769" s="1"/>
      <c r="V769" s="1"/>
      <c r="W769" s="1"/>
      <c r="X769" s="1"/>
      <c r="Y769" s="1"/>
      <c r="Z769" s="1"/>
    </row>
    <row r="770" spans="17:26">
      <c r="Q770" s="23"/>
      <c r="R770" s="1"/>
      <c r="S770" s="1"/>
      <c r="T770" s="1"/>
      <c r="U770" s="1"/>
      <c r="V770" s="1"/>
      <c r="W770" s="1"/>
      <c r="X770" s="1"/>
      <c r="Y770" s="1"/>
      <c r="Z770" s="1"/>
    </row>
    <row r="771" spans="17:26">
      <c r="Q771" s="23"/>
      <c r="R771" s="1"/>
      <c r="S771" s="1"/>
      <c r="T771" s="1"/>
      <c r="U771" s="1"/>
      <c r="V771" s="1"/>
      <c r="W771" s="1"/>
      <c r="X771" s="1"/>
      <c r="Y771" s="1"/>
      <c r="Z771" s="1"/>
    </row>
    <row r="772" spans="17:26">
      <c r="Q772" s="23"/>
      <c r="R772" s="1"/>
      <c r="S772" s="1"/>
      <c r="T772" s="1"/>
      <c r="U772" s="1"/>
      <c r="V772" s="1"/>
      <c r="W772" s="1"/>
      <c r="X772" s="1"/>
      <c r="Y772" s="1"/>
      <c r="Z772" s="1"/>
    </row>
    <row r="773" spans="17:26">
      <c r="Q773" s="23"/>
      <c r="R773" s="1"/>
      <c r="S773" s="1"/>
      <c r="T773" s="1"/>
      <c r="U773" s="1"/>
      <c r="V773" s="1"/>
      <c r="W773" s="1"/>
      <c r="X773" s="1"/>
      <c r="Y773" s="1"/>
      <c r="Z773" s="1"/>
    </row>
    <row r="774" spans="17:26">
      <c r="Q774" s="23"/>
      <c r="R774" s="1"/>
      <c r="S774" s="1"/>
      <c r="T774" s="1"/>
      <c r="U774" s="1"/>
      <c r="V774" s="1"/>
      <c r="W774" s="1"/>
      <c r="X774" s="1"/>
      <c r="Y774" s="1"/>
      <c r="Z774" s="1"/>
    </row>
    <row r="775" spans="17:26">
      <c r="Q775" s="23"/>
      <c r="R775" s="1"/>
      <c r="S775" s="1"/>
      <c r="T775" s="1"/>
      <c r="U775" s="1"/>
      <c r="V775" s="1"/>
      <c r="W775" s="1"/>
      <c r="X775" s="1"/>
      <c r="Y775" s="1"/>
      <c r="Z775" s="1"/>
    </row>
    <row r="776" spans="17:26">
      <c r="Q776" s="23"/>
      <c r="R776" s="1"/>
      <c r="S776" s="1"/>
      <c r="T776" s="1"/>
      <c r="U776" s="1"/>
      <c r="V776" s="1"/>
      <c r="W776" s="1"/>
      <c r="X776" s="1"/>
      <c r="Y776" s="1"/>
      <c r="Z776" s="1"/>
    </row>
    <row r="777" spans="17:26">
      <c r="Q777" s="23"/>
      <c r="R777" s="1"/>
      <c r="S777" s="1"/>
      <c r="T777" s="1"/>
      <c r="U777" s="1"/>
      <c r="V777" s="1"/>
      <c r="W777" s="1"/>
      <c r="X777" s="1"/>
      <c r="Y777" s="1"/>
      <c r="Z777" s="1"/>
    </row>
    <row r="778" spans="17:26">
      <c r="Q778" s="23"/>
      <c r="R778" s="1"/>
      <c r="S778" s="1"/>
      <c r="T778" s="1"/>
      <c r="U778" s="1"/>
      <c r="V778" s="1"/>
      <c r="W778" s="1"/>
      <c r="X778" s="1"/>
      <c r="Y778" s="1"/>
      <c r="Z778" s="1"/>
    </row>
    <row r="779" spans="17:26">
      <c r="Q779" s="23"/>
      <c r="R779" s="1"/>
      <c r="S779" s="1"/>
      <c r="T779" s="1"/>
      <c r="U779" s="1"/>
      <c r="V779" s="1"/>
      <c r="W779" s="1"/>
      <c r="X779" s="1"/>
      <c r="Y779" s="1"/>
      <c r="Z779" s="1"/>
    </row>
    <row r="780" spans="17:26">
      <c r="Q780" s="23"/>
      <c r="R780" s="1"/>
      <c r="S780" s="1"/>
      <c r="T780" s="1"/>
      <c r="U780" s="1"/>
      <c r="V780" s="1"/>
      <c r="W780" s="1"/>
      <c r="X780" s="1"/>
      <c r="Y780" s="1"/>
      <c r="Z780" s="1"/>
    </row>
    <row r="781" spans="17:26">
      <c r="Q781" s="23"/>
      <c r="R781" s="1"/>
      <c r="S781" s="1"/>
      <c r="T781" s="1"/>
      <c r="U781" s="1"/>
      <c r="V781" s="1"/>
      <c r="W781" s="1"/>
      <c r="X781" s="1"/>
      <c r="Y781" s="1"/>
      <c r="Z781" s="1"/>
    </row>
    <row r="782" spans="17:26">
      <c r="Q782" s="23"/>
      <c r="R782" s="1"/>
      <c r="S782" s="1"/>
      <c r="T782" s="1"/>
      <c r="U782" s="1"/>
      <c r="V782" s="1"/>
      <c r="W782" s="1"/>
      <c r="X782" s="1"/>
      <c r="Y782" s="1"/>
      <c r="Z782" s="1"/>
    </row>
    <row r="783" spans="17:26">
      <c r="Q783" s="23"/>
      <c r="R783" s="1"/>
      <c r="S783" s="1"/>
      <c r="T783" s="1"/>
      <c r="U783" s="1"/>
      <c r="V783" s="1"/>
      <c r="W783" s="1"/>
      <c r="X783" s="1"/>
      <c r="Y783" s="1"/>
      <c r="Z783" s="1"/>
    </row>
    <row r="784" spans="17:26">
      <c r="Q784" s="23"/>
      <c r="R784" s="1"/>
      <c r="S784" s="1"/>
      <c r="T784" s="1"/>
      <c r="U784" s="1"/>
      <c r="V784" s="1"/>
      <c r="W784" s="1"/>
      <c r="X784" s="1"/>
      <c r="Y784" s="1"/>
      <c r="Z784" s="1"/>
    </row>
    <row r="785" spans="17:26">
      <c r="Q785" s="23"/>
      <c r="R785" s="1"/>
      <c r="S785" s="1"/>
      <c r="T785" s="1"/>
      <c r="U785" s="1"/>
      <c r="V785" s="1"/>
      <c r="W785" s="1"/>
      <c r="X785" s="1"/>
      <c r="Y785" s="1"/>
      <c r="Z785" s="1"/>
    </row>
    <row r="786" spans="17:26">
      <c r="Q786" s="23"/>
      <c r="R786" s="1"/>
      <c r="S786" s="1"/>
      <c r="T786" s="1"/>
      <c r="U786" s="1"/>
      <c r="V786" s="1"/>
      <c r="W786" s="1"/>
      <c r="X786" s="1"/>
      <c r="Y786" s="1"/>
      <c r="Z786" s="1"/>
    </row>
    <row r="787" spans="17:26">
      <c r="Q787" s="23"/>
      <c r="R787" s="1"/>
      <c r="S787" s="1"/>
      <c r="T787" s="1"/>
      <c r="U787" s="1"/>
      <c r="V787" s="1"/>
      <c r="W787" s="1"/>
      <c r="X787" s="1"/>
      <c r="Y787" s="1"/>
      <c r="Z787" s="1"/>
    </row>
    <row r="788" spans="17:26">
      <c r="Q788" s="23"/>
      <c r="R788" s="1"/>
      <c r="S788" s="1"/>
      <c r="T788" s="1"/>
      <c r="U788" s="1"/>
      <c r="V788" s="1"/>
      <c r="W788" s="1"/>
      <c r="X788" s="1"/>
      <c r="Y788" s="1"/>
      <c r="Z788" s="1"/>
    </row>
    <row r="789" spans="17:26">
      <c r="Q789" s="23"/>
      <c r="R789" s="1"/>
      <c r="S789" s="1"/>
      <c r="T789" s="1"/>
      <c r="U789" s="1"/>
      <c r="V789" s="1"/>
      <c r="W789" s="1"/>
      <c r="X789" s="1"/>
      <c r="Y789" s="1"/>
      <c r="Z789" s="1"/>
    </row>
    <row r="790" spans="17:26">
      <c r="Q790" s="23"/>
      <c r="R790" s="1"/>
      <c r="S790" s="1"/>
      <c r="T790" s="1"/>
      <c r="U790" s="1"/>
      <c r="V790" s="1"/>
      <c r="W790" s="1"/>
      <c r="X790" s="1"/>
      <c r="Y790" s="1"/>
      <c r="Z790" s="1"/>
    </row>
    <row r="791" spans="17:26">
      <c r="Q791" s="23"/>
      <c r="R791" s="1"/>
      <c r="S791" s="1"/>
      <c r="T791" s="1"/>
      <c r="U791" s="1"/>
      <c r="V791" s="1"/>
      <c r="W791" s="1"/>
      <c r="X791" s="1"/>
      <c r="Y791" s="1"/>
      <c r="Z791" s="1"/>
    </row>
    <row r="792" spans="17:26">
      <c r="Q792" s="23"/>
      <c r="R792" s="1"/>
      <c r="S792" s="1"/>
      <c r="T792" s="1"/>
      <c r="U792" s="1"/>
      <c r="V792" s="1"/>
      <c r="W792" s="1"/>
      <c r="X792" s="1"/>
      <c r="Y792" s="1"/>
      <c r="Z792" s="1"/>
    </row>
    <row r="793" spans="17:26">
      <c r="Q793" s="23"/>
      <c r="R793" s="1"/>
      <c r="S793" s="1"/>
      <c r="T793" s="1"/>
      <c r="U793" s="1"/>
      <c r="V793" s="1"/>
      <c r="W793" s="1"/>
      <c r="X793" s="1"/>
      <c r="Y793" s="1"/>
      <c r="Z793" s="1"/>
    </row>
    <row r="794" spans="17:26">
      <c r="Q794" s="23"/>
      <c r="R794" s="1"/>
      <c r="S794" s="1"/>
      <c r="T794" s="1"/>
      <c r="U794" s="1"/>
      <c r="V794" s="1"/>
      <c r="W794" s="1"/>
      <c r="X794" s="1"/>
      <c r="Y794" s="1"/>
      <c r="Z794" s="1"/>
    </row>
    <row r="795" spans="17:26">
      <c r="Q795" s="23"/>
      <c r="R795" s="1"/>
      <c r="S795" s="1"/>
      <c r="T795" s="1"/>
      <c r="U795" s="1"/>
      <c r="V795" s="1"/>
      <c r="W795" s="1"/>
      <c r="X795" s="1"/>
      <c r="Y795" s="1"/>
      <c r="Z795" s="1"/>
    </row>
    <row r="796" spans="17:26">
      <c r="Q796" s="23"/>
      <c r="R796" s="1"/>
      <c r="S796" s="1"/>
      <c r="T796" s="1"/>
      <c r="U796" s="1"/>
      <c r="V796" s="1"/>
      <c r="W796" s="1"/>
      <c r="X796" s="1"/>
      <c r="Y796" s="1"/>
      <c r="Z796" s="1"/>
    </row>
    <row r="797" spans="17:26">
      <c r="Q797" s="23"/>
      <c r="R797" s="1"/>
      <c r="S797" s="1"/>
      <c r="T797" s="1"/>
      <c r="U797" s="1"/>
      <c r="V797" s="1"/>
      <c r="W797" s="1"/>
      <c r="X797" s="1"/>
      <c r="Y797" s="1"/>
      <c r="Z797" s="1"/>
    </row>
    <row r="798" spans="17:26">
      <c r="Q798" s="23"/>
      <c r="R798" s="1"/>
      <c r="S798" s="1"/>
      <c r="T798" s="1"/>
      <c r="U798" s="1"/>
      <c r="V798" s="1"/>
      <c r="W798" s="1"/>
      <c r="X798" s="1"/>
      <c r="Y798" s="1"/>
      <c r="Z798" s="1"/>
    </row>
    <row r="799" spans="17:26">
      <c r="Q799" s="23"/>
      <c r="R799" s="1"/>
      <c r="S799" s="1"/>
      <c r="T799" s="1"/>
      <c r="U799" s="1"/>
      <c r="V799" s="1"/>
      <c r="W799" s="1"/>
      <c r="X799" s="1"/>
      <c r="Y799" s="1"/>
      <c r="Z799" s="1"/>
    </row>
    <row r="800" spans="17:26">
      <c r="Q800" s="23"/>
      <c r="R800" s="1"/>
      <c r="S800" s="1"/>
      <c r="T800" s="1"/>
      <c r="U800" s="1"/>
      <c r="V800" s="1"/>
      <c r="W800" s="1"/>
      <c r="X800" s="1"/>
      <c r="Y800" s="1"/>
      <c r="Z800" s="1"/>
    </row>
    <row r="801" spans="17:26">
      <c r="Q801" s="23"/>
      <c r="R801" s="1"/>
      <c r="S801" s="1"/>
      <c r="T801" s="1"/>
      <c r="U801" s="1"/>
      <c r="V801" s="1"/>
      <c r="W801" s="1"/>
      <c r="X801" s="1"/>
      <c r="Y801" s="1"/>
      <c r="Z801" s="1"/>
    </row>
    <row r="802" spans="17:26">
      <c r="Q802" s="23"/>
      <c r="R802" s="1"/>
      <c r="S802" s="1"/>
      <c r="T802" s="1"/>
      <c r="U802" s="1"/>
      <c r="V802" s="1"/>
      <c r="W802" s="1"/>
      <c r="X802" s="1"/>
      <c r="Y802" s="1"/>
      <c r="Z802" s="1"/>
    </row>
    <row r="803" spans="17:26">
      <c r="Q803" s="23"/>
      <c r="R803" s="1"/>
      <c r="S803" s="1"/>
      <c r="T803" s="1"/>
      <c r="U803" s="1"/>
      <c r="V803" s="1"/>
      <c r="W803" s="1"/>
      <c r="X803" s="1"/>
      <c r="Y803" s="1"/>
      <c r="Z803" s="1"/>
    </row>
    <row r="804" spans="17:26">
      <c r="Q804" s="23"/>
      <c r="R804" s="1"/>
      <c r="S804" s="1"/>
      <c r="T804" s="1"/>
      <c r="U804" s="1"/>
      <c r="V804" s="1"/>
      <c r="W804" s="1"/>
      <c r="X804" s="1"/>
      <c r="Y804" s="1"/>
      <c r="Z804" s="1"/>
    </row>
    <row r="805" spans="17:26">
      <c r="Q805" s="23"/>
      <c r="R805" s="1"/>
      <c r="S805" s="1"/>
      <c r="T805" s="1"/>
      <c r="U805" s="1"/>
      <c r="V805" s="1"/>
      <c r="W805" s="1"/>
      <c r="X805" s="1"/>
      <c r="Y805" s="1"/>
      <c r="Z805" s="1"/>
    </row>
    <row r="806" spans="17:26">
      <c r="Q806" s="23"/>
      <c r="R806" s="1"/>
      <c r="S806" s="1"/>
      <c r="T806" s="1"/>
      <c r="U806" s="1"/>
      <c r="V806" s="1"/>
      <c r="W806" s="1"/>
      <c r="X806" s="1"/>
      <c r="Y806" s="1"/>
      <c r="Z806" s="1"/>
    </row>
    <row r="807" spans="17:26">
      <c r="Q807" s="23"/>
      <c r="R807" s="1"/>
      <c r="S807" s="1"/>
      <c r="T807" s="1"/>
      <c r="U807" s="1"/>
      <c r="V807" s="1"/>
      <c r="W807" s="1"/>
      <c r="X807" s="1"/>
      <c r="Y807" s="1"/>
      <c r="Z807" s="1"/>
    </row>
    <row r="808" spans="17:26">
      <c r="Q808" s="23"/>
      <c r="R808" s="1"/>
      <c r="S808" s="1"/>
      <c r="T808" s="1"/>
      <c r="U808" s="1"/>
      <c r="V808" s="1"/>
      <c r="W808" s="1"/>
      <c r="X808" s="1"/>
      <c r="Y808" s="1"/>
      <c r="Z808" s="1"/>
    </row>
    <row r="809" spans="17:26">
      <c r="Q809" s="23"/>
      <c r="R809" s="1"/>
      <c r="S809" s="1"/>
      <c r="T809" s="1"/>
      <c r="U809" s="1"/>
      <c r="V809" s="1"/>
      <c r="W809" s="1"/>
      <c r="X809" s="1"/>
      <c r="Y809" s="1"/>
      <c r="Z809" s="1"/>
    </row>
    <row r="810" spans="17:26">
      <c r="Q810" s="23"/>
      <c r="R810" s="1"/>
      <c r="S810" s="1"/>
      <c r="T810" s="1"/>
      <c r="U810" s="1"/>
      <c r="V810" s="1"/>
      <c r="W810" s="1"/>
      <c r="X810" s="1"/>
      <c r="Y810" s="1"/>
      <c r="Z810" s="1"/>
    </row>
    <row r="811" spans="17:26">
      <c r="Q811" s="23"/>
      <c r="R811" s="1"/>
      <c r="S811" s="1"/>
      <c r="T811" s="1"/>
      <c r="U811" s="1"/>
      <c r="V811" s="1"/>
      <c r="W811" s="1"/>
      <c r="X811" s="1"/>
      <c r="Y811" s="1"/>
      <c r="Z811" s="1"/>
    </row>
    <row r="812" spans="17:26">
      <c r="Q812" s="23"/>
      <c r="R812" s="1"/>
      <c r="S812" s="1"/>
      <c r="T812" s="1"/>
      <c r="U812" s="1"/>
      <c r="V812" s="1"/>
      <c r="W812" s="1"/>
      <c r="X812" s="1"/>
      <c r="Y812" s="1"/>
      <c r="Z812" s="1"/>
    </row>
    <row r="813" spans="17:26">
      <c r="Q813" s="23"/>
      <c r="R813" s="1"/>
      <c r="S813" s="1"/>
      <c r="T813" s="1"/>
      <c r="U813" s="1"/>
      <c r="V813" s="1"/>
      <c r="W813" s="1"/>
      <c r="X813" s="1"/>
      <c r="Y813" s="1"/>
      <c r="Z813" s="1"/>
    </row>
    <row r="814" spans="17:26">
      <c r="Q814" s="23"/>
      <c r="R814" s="1"/>
      <c r="S814" s="1"/>
      <c r="T814" s="1"/>
      <c r="U814" s="1"/>
      <c r="V814" s="1"/>
      <c r="W814" s="1"/>
      <c r="X814" s="1"/>
      <c r="Y814" s="1"/>
      <c r="Z814" s="1"/>
    </row>
    <row r="815" spans="17:26">
      <c r="Q815" s="23"/>
      <c r="R815" s="1"/>
      <c r="S815" s="1"/>
      <c r="T815" s="1"/>
      <c r="U815" s="1"/>
      <c r="V815" s="1"/>
      <c r="W815" s="1"/>
      <c r="X815" s="1"/>
      <c r="Y815" s="1"/>
      <c r="Z815" s="1"/>
    </row>
    <row r="816" spans="17:26">
      <c r="Q816" s="23"/>
      <c r="R816" s="1"/>
      <c r="S816" s="1"/>
      <c r="T816" s="1"/>
      <c r="U816" s="1"/>
      <c r="V816" s="1"/>
      <c r="W816" s="1"/>
      <c r="X816" s="1"/>
      <c r="Y816" s="1"/>
      <c r="Z816" s="1"/>
    </row>
    <row r="817" spans="17:26">
      <c r="Q817" s="23"/>
      <c r="R817" s="1"/>
      <c r="S817" s="1"/>
      <c r="T817" s="1"/>
      <c r="U817" s="1"/>
      <c r="V817" s="1"/>
      <c r="W817" s="1"/>
      <c r="X817" s="1"/>
      <c r="Y817" s="1"/>
      <c r="Z817" s="1"/>
    </row>
    <row r="818" spans="17:26">
      <c r="Q818" s="23"/>
      <c r="R818" s="1"/>
      <c r="S818" s="1"/>
      <c r="T818" s="1"/>
      <c r="U818" s="1"/>
      <c r="V818" s="1"/>
      <c r="W818" s="1"/>
      <c r="X818" s="1"/>
      <c r="Y818" s="1"/>
      <c r="Z818" s="1"/>
    </row>
    <row r="819" spans="17:26">
      <c r="Q819" s="23"/>
      <c r="R819" s="1"/>
      <c r="S819" s="1"/>
      <c r="T819" s="1"/>
      <c r="U819" s="1"/>
      <c r="V819" s="1"/>
      <c r="W819" s="1"/>
      <c r="X819" s="1"/>
      <c r="Y819" s="1"/>
      <c r="Z819" s="1"/>
    </row>
    <row r="820" spans="17:26">
      <c r="Q820" s="23"/>
      <c r="R820" s="1"/>
      <c r="S820" s="1"/>
      <c r="T820" s="1"/>
      <c r="U820" s="1"/>
      <c r="V820" s="1"/>
      <c r="W820" s="1"/>
      <c r="X820" s="1"/>
      <c r="Y820" s="1"/>
      <c r="Z820" s="1"/>
    </row>
    <row r="821" spans="17:26">
      <c r="Q821" s="23"/>
      <c r="R821" s="1"/>
      <c r="S821" s="1"/>
      <c r="T821" s="1"/>
      <c r="U821" s="1"/>
      <c r="V821" s="1"/>
      <c r="W821" s="1"/>
      <c r="X821" s="1"/>
      <c r="Y821" s="1"/>
      <c r="Z821" s="1"/>
    </row>
    <row r="822" spans="17:26">
      <c r="Q822" s="23"/>
      <c r="R822" s="1"/>
      <c r="S822" s="1"/>
      <c r="T822" s="1"/>
      <c r="U822" s="1"/>
      <c r="V822" s="1"/>
      <c r="W822" s="1"/>
      <c r="X822" s="1"/>
      <c r="Y822" s="1"/>
      <c r="Z822" s="1"/>
    </row>
    <row r="823" spans="17:26">
      <c r="Q823" s="23"/>
      <c r="R823" s="1"/>
      <c r="S823" s="1"/>
      <c r="T823" s="1"/>
      <c r="U823" s="1"/>
      <c r="V823" s="1"/>
      <c r="W823" s="1"/>
      <c r="X823" s="1"/>
      <c r="Y823" s="1"/>
      <c r="Z823" s="1"/>
    </row>
    <row r="824" spans="17:26">
      <c r="Q824" s="23"/>
      <c r="R824" s="1"/>
      <c r="S824" s="1"/>
      <c r="T824" s="1"/>
      <c r="U824" s="1"/>
      <c r="V824" s="1"/>
      <c r="W824" s="1"/>
      <c r="X824" s="1"/>
      <c r="Y824" s="1"/>
      <c r="Z824" s="1"/>
    </row>
    <row r="825" spans="17:26">
      <c r="Q825" s="23"/>
      <c r="R825" s="1"/>
      <c r="S825" s="1"/>
      <c r="T825" s="1"/>
      <c r="U825" s="1"/>
      <c r="V825" s="1"/>
      <c r="W825" s="1"/>
      <c r="X825" s="1"/>
      <c r="Y825" s="1"/>
      <c r="Z825" s="1"/>
    </row>
    <row r="826" spans="17:26">
      <c r="Q826" s="23"/>
      <c r="R826" s="1"/>
      <c r="S826" s="1"/>
      <c r="T826" s="1"/>
      <c r="U826" s="1"/>
      <c r="V826" s="1"/>
      <c r="W826" s="1"/>
      <c r="X826" s="1"/>
      <c r="Y826" s="1"/>
      <c r="Z826" s="1"/>
    </row>
    <row r="827" spans="17:26">
      <c r="Q827" s="23"/>
      <c r="R827" s="1"/>
      <c r="S827" s="1"/>
      <c r="T827" s="1"/>
      <c r="U827" s="1"/>
      <c r="V827" s="1"/>
      <c r="W827" s="1"/>
      <c r="X827" s="1"/>
      <c r="Y827" s="1"/>
      <c r="Z827" s="1"/>
    </row>
    <row r="828" spans="17:26">
      <c r="Q828" s="23"/>
      <c r="R828" s="1"/>
      <c r="S828" s="1"/>
      <c r="T828" s="1"/>
      <c r="U828" s="1"/>
      <c r="V828" s="1"/>
      <c r="W828" s="1"/>
      <c r="X828" s="1"/>
      <c r="Y828" s="1"/>
      <c r="Z828" s="1"/>
    </row>
    <row r="829" spans="17:26">
      <c r="Q829" s="23"/>
      <c r="R829" s="1"/>
      <c r="S829" s="1"/>
      <c r="T829" s="1"/>
      <c r="U829" s="1"/>
      <c r="V829" s="1"/>
      <c r="W829" s="1"/>
      <c r="X829" s="1"/>
      <c r="Y829" s="1"/>
      <c r="Z829" s="1"/>
    </row>
    <row r="830" spans="17:26">
      <c r="Q830" s="23"/>
      <c r="R830" s="1"/>
      <c r="S830" s="1"/>
      <c r="T830" s="1"/>
      <c r="U830" s="1"/>
      <c r="V830" s="1"/>
      <c r="W830" s="1"/>
      <c r="X830" s="1"/>
      <c r="Y830" s="1"/>
      <c r="Z830" s="1"/>
    </row>
    <row r="831" spans="17:26">
      <c r="Q831" s="23"/>
      <c r="R831" s="1"/>
      <c r="S831" s="1"/>
      <c r="T831" s="1"/>
      <c r="U831" s="1"/>
      <c r="V831" s="1"/>
      <c r="W831" s="1"/>
      <c r="X831" s="1"/>
      <c r="Y831" s="1"/>
      <c r="Z831" s="1"/>
    </row>
    <row r="832" spans="17:26">
      <c r="Q832" s="23"/>
      <c r="R832" s="1"/>
      <c r="S832" s="1"/>
      <c r="T832" s="1"/>
      <c r="U832" s="1"/>
      <c r="V832" s="1"/>
      <c r="W832" s="1"/>
      <c r="X832" s="1"/>
      <c r="Y832" s="1"/>
      <c r="Z832" s="1"/>
    </row>
    <row r="833" spans="17:26">
      <c r="Q833" s="23"/>
      <c r="R833" s="1"/>
      <c r="S833" s="1"/>
      <c r="T833" s="1"/>
      <c r="U833" s="1"/>
      <c r="V833" s="1"/>
      <c r="W833" s="1"/>
      <c r="X833" s="1"/>
      <c r="Y833" s="1"/>
      <c r="Z833" s="1"/>
    </row>
    <row r="834" spans="17:26">
      <c r="Q834" s="23"/>
      <c r="R834" s="1"/>
      <c r="S834" s="1"/>
      <c r="T834" s="1"/>
      <c r="U834" s="1"/>
      <c r="V834" s="1"/>
      <c r="W834" s="1"/>
      <c r="X834" s="1"/>
      <c r="Y834" s="1"/>
      <c r="Z834" s="1"/>
    </row>
    <row r="835" spans="17:26">
      <c r="Q835" s="23"/>
      <c r="R835" s="1"/>
      <c r="S835" s="1"/>
      <c r="T835" s="1"/>
      <c r="U835" s="1"/>
      <c r="V835" s="1"/>
      <c r="W835" s="1"/>
      <c r="X835" s="1"/>
      <c r="Y835" s="1"/>
      <c r="Z835" s="1"/>
    </row>
    <row r="836" spans="17:26">
      <c r="Q836" s="23"/>
      <c r="R836" s="1"/>
      <c r="S836" s="1"/>
      <c r="T836" s="1"/>
      <c r="U836" s="1"/>
      <c r="V836" s="1"/>
      <c r="W836" s="1"/>
      <c r="X836" s="1"/>
      <c r="Y836" s="1"/>
      <c r="Z836" s="1"/>
    </row>
    <row r="837" spans="17:26">
      <c r="Q837" s="23"/>
      <c r="R837" s="1"/>
      <c r="S837" s="1"/>
      <c r="T837" s="1"/>
      <c r="U837" s="1"/>
      <c r="V837" s="1"/>
      <c r="W837" s="1"/>
      <c r="X837" s="1"/>
      <c r="Y837" s="1"/>
      <c r="Z837" s="1"/>
    </row>
    <row r="838" spans="17:26">
      <c r="Q838" s="23"/>
      <c r="R838" s="1"/>
      <c r="S838" s="1"/>
      <c r="T838" s="1"/>
      <c r="U838" s="1"/>
      <c r="V838" s="1"/>
      <c r="W838" s="1"/>
      <c r="X838" s="1"/>
      <c r="Y838" s="1"/>
      <c r="Z838" s="1"/>
    </row>
    <row r="839" spans="17:26">
      <c r="Q839" s="23"/>
      <c r="R839" s="1"/>
      <c r="S839" s="1"/>
      <c r="T839" s="1"/>
      <c r="U839" s="1"/>
      <c r="V839" s="1"/>
      <c r="W839" s="1"/>
      <c r="X839" s="1"/>
      <c r="Y839" s="1"/>
      <c r="Z839" s="1"/>
    </row>
    <row r="840" spans="17:26">
      <c r="Q840" s="23"/>
      <c r="R840" s="1"/>
      <c r="S840" s="1"/>
      <c r="T840" s="1"/>
      <c r="U840" s="1"/>
      <c r="V840" s="1"/>
      <c r="W840" s="1"/>
      <c r="X840" s="1"/>
      <c r="Y840" s="1"/>
      <c r="Z840" s="1"/>
    </row>
    <row r="841" spans="17:26">
      <c r="Q841" s="23"/>
      <c r="R841" s="1"/>
      <c r="S841" s="1"/>
      <c r="T841" s="1"/>
      <c r="U841" s="1"/>
      <c r="V841" s="1"/>
      <c r="W841" s="1"/>
      <c r="X841" s="1"/>
      <c r="Y841" s="1"/>
      <c r="Z841" s="1"/>
    </row>
    <row r="842" spans="17:26">
      <c r="Q842" s="23"/>
      <c r="R842" s="1"/>
      <c r="S842" s="1"/>
      <c r="T842" s="1"/>
      <c r="U842" s="1"/>
      <c r="V842" s="1"/>
      <c r="W842" s="1"/>
      <c r="X842" s="1"/>
      <c r="Y842" s="1"/>
      <c r="Z842" s="1"/>
    </row>
    <row r="843" spans="17:26">
      <c r="Q843" s="23"/>
      <c r="R843" s="1"/>
      <c r="S843" s="1"/>
      <c r="T843" s="1"/>
      <c r="U843" s="1"/>
      <c r="V843" s="1"/>
      <c r="W843" s="1"/>
      <c r="X843" s="1"/>
      <c r="Y843" s="1"/>
      <c r="Z843" s="1"/>
    </row>
    <row r="844" spans="17:26">
      <c r="Q844" s="23"/>
      <c r="R844" s="1"/>
      <c r="S844" s="1"/>
      <c r="T844" s="1"/>
      <c r="U844" s="1"/>
      <c r="V844" s="1"/>
      <c r="W844" s="1"/>
      <c r="X844" s="1"/>
      <c r="Y844" s="1"/>
      <c r="Z844" s="1"/>
    </row>
    <row r="845" spans="17:26">
      <c r="Q845" s="23"/>
      <c r="R845" s="1"/>
      <c r="S845" s="1"/>
      <c r="T845" s="1"/>
      <c r="U845" s="1"/>
      <c r="V845" s="1"/>
      <c r="W845" s="1"/>
      <c r="X845" s="1"/>
      <c r="Y845" s="1"/>
      <c r="Z845" s="1"/>
    </row>
    <row r="846" spans="17:26">
      <c r="Q846" s="23"/>
      <c r="R846" s="1"/>
      <c r="S846" s="1"/>
      <c r="T846" s="1"/>
      <c r="U846" s="1"/>
      <c r="V846" s="1"/>
      <c r="W846" s="1"/>
      <c r="X846" s="1"/>
      <c r="Y846" s="1"/>
      <c r="Z846" s="1"/>
    </row>
    <row r="847" spans="17:26">
      <c r="Q847" s="23"/>
      <c r="R847" s="1"/>
      <c r="S847" s="1"/>
      <c r="T847" s="1"/>
      <c r="U847" s="1"/>
      <c r="V847" s="1"/>
      <c r="W847" s="1"/>
      <c r="X847" s="1"/>
      <c r="Y847" s="1"/>
      <c r="Z847" s="1"/>
    </row>
    <row r="848" spans="17:26">
      <c r="Q848" s="23"/>
      <c r="R848" s="1"/>
      <c r="S848" s="1"/>
      <c r="T848" s="1"/>
      <c r="U848" s="1"/>
      <c r="V848" s="1"/>
      <c r="W848" s="1"/>
      <c r="X848" s="1"/>
      <c r="Y848" s="1"/>
      <c r="Z848" s="1"/>
    </row>
    <row r="849" spans="17:26">
      <c r="Q849" s="23"/>
      <c r="R849" s="1"/>
      <c r="S849" s="1"/>
      <c r="T849" s="1"/>
      <c r="U849" s="1"/>
      <c r="V849" s="1"/>
      <c r="W849" s="1"/>
      <c r="X849" s="1"/>
      <c r="Y849" s="1"/>
      <c r="Z849" s="1"/>
    </row>
    <row r="850" spans="17:26">
      <c r="Q850" s="23"/>
      <c r="R850" s="1"/>
      <c r="S850" s="1"/>
      <c r="T850" s="1"/>
      <c r="U850" s="1"/>
      <c r="V850" s="1"/>
      <c r="W850" s="1"/>
      <c r="X850" s="1"/>
      <c r="Y850" s="1"/>
      <c r="Z850" s="1"/>
    </row>
    <row r="851" spans="17:26">
      <c r="Q851" s="23"/>
      <c r="R851" s="1"/>
      <c r="S851" s="1"/>
      <c r="T851" s="1"/>
      <c r="U851" s="1"/>
      <c r="V851" s="1"/>
      <c r="W851" s="1"/>
      <c r="X851" s="1"/>
      <c r="Y851" s="1"/>
      <c r="Z851" s="1"/>
    </row>
    <row r="852" spans="17:26">
      <c r="Q852" s="23"/>
      <c r="R852" s="1"/>
      <c r="S852" s="1"/>
      <c r="T852" s="1"/>
      <c r="U852" s="1"/>
      <c r="V852" s="1"/>
      <c r="W852" s="1"/>
      <c r="X852" s="1"/>
      <c r="Y852" s="1"/>
      <c r="Z852" s="1"/>
    </row>
    <row r="853" spans="17:26">
      <c r="Q853" s="23"/>
      <c r="R853" s="1"/>
      <c r="S853" s="1"/>
      <c r="T853" s="1"/>
      <c r="U853" s="1"/>
      <c r="V853" s="1"/>
      <c r="W853" s="1"/>
      <c r="X853" s="1"/>
      <c r="Y853" s="1"/>
      <c r="Z853" s="1"/>
    </row>
    <row r="854" spans="17:26">
      <c r="Q854" s="23"/>
      <c r="R854" s="1"/>
      <c r="S854" s="1"/>
      <c r="T854" s="1"/>
      <c r="U854" s="1"/>
      <c r="V854" s="1"/>
      <c r="W854" s="1"/>
      <c r="X854" s="1"/>
      <c r="Y854" s="1"/>
      <c r="Z854" s="1"/>
    </row>
    <row r="855" spans="17:26">
      <c r="Q855" s="23"/>
      <c r="R855" s="1"/>
      <c r="S855" s="1"/>
      <c r="T855" s="1"/>
      <c r="U855" s="1"/>
      <c r="V855" s="1"/>
      <c r="W855" s="1"/>
      <c r="X855" s="1"/>
      <c r="Y855" s="1"/>
      <c r="Z855" s="1"/>
    </row>
    <row r="856" spans="17:26">
      <c r="Q856" s="23"/>
      <c r="R856" s="1"/>
      <c r="S856" s="1"/>
      <c r="T856" s="1"/>
      <c r="U856" s="1"/>
      <c r="V856" s="1"/>
      <c r="W856" s="1"/>
      <c r="X856" s="1"/>
      <c r="Y856" s="1"/>
      <c r="Z856" s="1"/>
    </row>
    <row r="857" spans="17:26">
      <c r="Q857" s="23"/>
      <c r="R857" s="1"/>
      <c r="S857" s="1"/>
      <c r="T857" s="1"/>
      <c r="U857" s="1"/>
      <c r="V857" s="1"/>
      <c r="W857" s="1"/>
      <c r="X857" s="1"/>
      <c r="Y857" s="1"/>
      <c r="Z857" s="1"/>
    </row>
    <row r="858" spans="17:26">
      <c r="Q858" s="23"/>
      <c r="R858" s="1"/>
      <c r="S858" s="1"/>
      <c r="T858" s="1"/>
      <c r="U858" s="1"/>
      <c r="V858" s="1"/>
      <c r="W858" s="1"/>
      <c r="X858" s="1"/>
      <c r="Y858" s="1"/>
      <c r="Z858" s="1"/>
    </row>
    <row r="859" spans="17:26">
      <c r="Q859" s="23"/>
      <c r="R859" s="1"/>
      <c r="S859" s="1"/>
      <c r="T859" s="1"/>
      <c r="U859" s="1"/>
      <c r="V859" s="1"/>
      <c r="W859" s="1"/>
      <c r="X859" s="1"/>
      <c r="Y859" s="1"/>
      <c r="Z859" s="1"/>
    </row>
    <row r="860" spans="17:26">
      <c r="Q860" s="23"/>
      <c r="R860" s="1"/>
      <c r="S860" s="1"/>
      <c r="T860" s="1"/>
      <c r="U860" s="1"/>
      <c r="V860" s="1"/>
      <c r="W860" s="1"/>
      <c r="X860" s="1"/>
      <c r="Y860" s="1"/>
      <c r="Z860" s="1"/>
    </row>
    <row r="861" spans="17:26">
      <c r="Q861" s="23"/>
      <c r="R861" s="1"/>
      <c r="S861" s="1"/>
      <c r="T861" s="1"/>
      <c r="U861" s="1"/>
      <c r="V861" s="1"/>
      <c r="W861" s="1"/>
      <c r="X861" s="1"/>
      <c r="Y861" s="1"/>
      <c r="Z861" s="1"/>
    </row>
    <row r="862" spans="17:26">
      <c r="Q862" s="23"/>
      <c r="R862" s="1"/>
      <c r="S862" s="1"/>
      <c r="T862" s="1"/>
      <c r="U862" s="1"/>
      <c r="V862" s="1"/>
      <c r="W862" s="1"/>
      <c r="X862" s="1"/>
      <c r="Y862" s="1"/>
      <c r="Z862" s="1"/>
    </row>
    <row r="863" spans="17:26">
      <c r="Q863" s="23"/>
      <c r="R863" s="1"/>
      <c r="S863" s="1"/>
      <c r="T863" s="1"/>
      <c r="U863" s="1"/>
      <c r="V863" s="1"/>
      <c r="W863" s="1"/>
      <c r="X863" s="1"/>
      <c r="Y863" s="1"/>
      <c r="Z863" s="1"/>
    </row>
    <row r="864" spans="17:26">
      <c r="Q864" s="23"/>
      <c r="R864" s="1"/>
      <c r="S864" s="1"/>
      <c r="T864" s="1"/>
      <c r="U864" s="1"/>
      <c r="V864" s="1"/>
      <c r="W864" s="1"/>
      <c r="X864" s="1"/>
      <c r="Y864" s="1"/>
      <c r="Z864" s="1"/>
    </row>
    <row r="865" spans="17:26">
      <c r="Q865" s="23"/>
      <c r="R865" s="1"/>
      <c r="S865" s="1"/>
      <c r="T865" s="1"/>
      <c r="U865" s="1"/>
      <c r="V865" s="1"/>
      <c r="W865" s="1"/>
      <c r="X865" s="1"/>
      <c r="Y865" s="1"/>
      <c r="Z865" s="1"/>
    </row>
    <row r="866" spans="17:26">
      <c r="Q866" s="23"/>
      <c r="R866" s="1"/>
      <c r="S866" s="1"/>
      <c r="T866" s="1"/>
      <c r="U866" s="1"/>
      <c r="V866" s="1"/>
      <c r="W866" s="1"/>
      <c r="X866" s="1"/>
      <c r="Y866" s="1"/>
      <c r="Z866" s="1"/>
    </row>
    <row r="867" spans="17:26">
      <c r="Q867" s="23"/>
      <c r="R867" s="1"/>
      <c r="S867" s="1"/>
      <c r="T867" s="1"/>
      <c r="U867" s="1"/>
      <c r="V867" s="1"/>
      <c r="W867" s="1"/>
      <c r="X867" s="1"/>
      <c r="Y867" s="1"/>
      <c r="Z867" s="1"/>
    </row>
    <row r="868" spans="17:26">
      <c r="Q868" s="23"/>
      <c r="R868" s="1"/>
      <c r="S868" s="1"/>
      <c r="T868" s="1"/>
      <c r="U868" s="1"/>
      <c r="V868" s="1"/>
      <c r="W868" s="1"/>
      <c r="X868" s="1"/>
      <c r="Y868" s="1"/>
      <c r="Z868" s="1"/>
    </row>
    <row r="869" spans="17:26">
      <c r="Q869" s="23"/>
      <c r="R869" s="1"/>
      <c r="S869" s="1"/>
      <c r="T869" s="1"/>
      <c r="U869" s="1"/>
      <c r="V869" s="1"/>
      <c r="W869" s="1"/>
      <c r="X869" s="1"/>
      <c r="Y869" s="1"/>
      <c r="Z869" s="1"/>
    </row>
    <row r="870" spans="17:26">
      <c r="Q870" s="23"/>
      <c r="R870" s="1"/>
      <c r="S870" s="1"/>
      <c r="T870" s="1"/>
      <c r="U870" s="1"/>
      <c r="V870" s="1"/>
      <c r="W870" s="1"/>
      <c r="X870" s="1"/>
      <c r="Y870" s="1"/>
      <c r="Z870" s="1"/>
    </row>
    <row r="871" spans="17:26">
      <c r="Q871" s="23"/>
      <c r="R871" s="1"/>
      <c r="S871" s="1"/>
      <c r="T871" s="1"/>
      <c r="U871" s="1"/>
      <c r="V871" s="1"/>
      <c r="W871" s="1"/>
      <c r="X871" s="1"/>
      <c r="Y871" s="1"/>
      <c r="Z871" s="1"/>
    </row>
    <row r="872" spans="17:26">
      <c r="Q872" s="23"/>
      <c r="R872" s="1"/>
      <c r="S872" s="1"/>
      <c r="T872" s="1"/>
      <c r="U872" s="1"/>
      <c r="V872" s="1"/>
      <c r="W872" s="1"/>
      <c r="X872" s="1"/>
      <c r="Y872" s="1"/>
      <c r="Z872" s="1"/>
    </row>
    <row r="873" spans="17:26">
      <c r="Q873" s="23"/>
      <c r="R873" s="1"/>
      <c r="S873" s="1"/>
      <c r="T873" s="1"/>
      <c r="U873" s="1"/>
      <c r="V873" s="1"/>
      <c r="W873" s="1"/>
      <c r="X873" s="1"/>
      <c r="Y873" s="1"/>
      <c r="Z873" s="1"/>
    </row>
    <row r="874" spans="17:26">
      <c r="Q874" s="23"/>
      <c r="R874" s="1"/>
      <c r="S874" s="1"/>
      <c r="T874" s="1"/>
      <c r="U874" s="1"/>
      <c r="V874" s="1"/>
      <c r="W874" s="1"/>
      <c r="X874" s="1"/>
      <c r="Y874" s="1"/>
      <c r="Z874" s="1"/>
    </row>
    <row r="875" spans="17:26">
      <c r="Q875" s="23"/>
      <c r="R875" s="1"/>
      <c r="S875" s="1"/>
      <c r="T875" s="1"/>
      <c r="U875" s="1"/>
      <c r="V875" s="1"/>
      <c r="W875" s="1"/>
      <c r="X875" s="1"/>
      <c r="Y875" s="1"/>
      <c r="Z875" s="1"/>
    </row>
    <row r="876" spans="17:26">
      <c r="Q876" s="23"/>
      <c r="R876" s="1"/>
      <c r="S876" s="1"/>
      <c r="T876" s="1"/>
      <c r="U876" s="1"/>
      <c r="V876" s="1"/>
      <c r="W876" s="1"/>
      <c r="X876" s="1"/>
      <c r="Y876" s="1"/>
      <c r="Z876" s="1"/>
    </row>
    <row r="877" spans="17:26">
      <c r="Q877" s="23"/>
      <c r="R877" s="1"/>
      <c r="S877" s="1"/>
      <c r="T877" s="1"/>
      <c r="U877" s="1"/>
      <c r="V877" s="1"/>
      <c r="W877" s="1"/>
      <c r="X877" s="1"/>
      <c r="Y877" s="1"/>
      <c r="Z877" s="1"/>
    </row>
    <row r="878" spans="17:26">
      <c r="Q878" s="23"/>
      <c r="R878" s="1"/>
      <c r="S878" s="1"/>
      <c r="T878" s="1"/>
      <c r="U878" s="1"/>
      <c r="V878" s="1"/>
      <c r="W878" s="1"/>
      <c r="X878" s="1"/>
      <c r="Y878" s="1"/>
      <c r="Z878" s="1"/>
    </row>
    <row r="879" spans="17:26">
      <c r="Q879" s="23"/>
      <c r="R879" s="1"/>
      <c r="S879" s="1"/>
      <c r="T879" s="1"/>
      <c r="U879" s="1"/>
      <c r="V879" s="1"/>
      <c r="W879" s="1"/>
      <c r="X879" s="1"/>
      <c r="Y879" s="1"/>
      <c r="Z879" s="1"/>
    </row>
    <row r="880" spans="17:26">
      <c r="Q880" s="23"/>
      <c r="R880" s="1"/>
      <c r="S880" s="1"/>
      <c r="T880" s="1"/>
      <c r="U880" s="1"/>
      <c r="V880" s="1"/>
      <c r="W880" s="1"/>
      <c r="X880" s="1"/>
      <c r="Y880" s="1"/>
      <c r="Z880" s="1"/>
    </row>
    <row r="881" spans="17:26">
      <c r="Q881" s="23"/>
      <c r="R881" s="1"/>
      <c r="S881" s="1"/>
      <c r="T881" s="1"/>
      <c r="U881" s="1"/>
      <c r="V881" s="1"/>
      <c r="W881" s="1"/>
      <c r="X881" s="1"/>
      <c r="Y881" s="1"/>
      <c r="Z881" s="1"/>
    </row>
    <row r="882" spans="17:26">
      <c r="Q882" s="23"/>
      <c r="R882" s="1"/>
      <c r="S882" s="1"/>
      <c r="T882" s="1"/>
      <c r="U882" s="1"/>
      <c r="V882" s="1"/>
      <c r="W882" s="1"/>
      <c r="X882" s="1"/>
      <c r="Y882" s="1"/>
      <c r="Z882" s="1"/>
    </row>
    <row r="883" spans="17:26">
      <c r="Q883" s="23"/>
      <c r="R883" s="1"/>
      <c r="S883" s="1"/>
      <c r="T883" s="1"/>
      <c r="U883" s="1"/>
      <c r="V883" s="1"/>
      <c r="W883" s="1"/>
      <c r="X883" s="1"/>
      <c r="Y883" s="1"/>
      <c r="Z883" s="1"/>
    </row>
    <row r="884" spans="17:26">
      <c r="Q884" s="23"/>
      <c r="R884" s="1"/>
      <c r="S884" s="1"/>
      <c r="T884" s="1"/>
      <c r="U884" s="1"/>
      <c r="V884" s="1"/>
      <c r="W884" s="1"/>
      <c r="X884" s="1"/>
      <c r="Y884" s="1"/>
      <c r="Z884" s="1"/>
    </row>
    <row r="885" spans="17:26">
      <c r="Q885" s="23"/>
      <c r="R885" s="1"/>
      <c r="S885" s="1"/>
      <c r="T885" s="1"/>
      <c r="U885" s="1"/>
      <c r="V885" s="1"/>
      <c r="W885" s="1"/>
      <c r="X885" s="1"/>
      <c r="Y885" s="1"/>
      <c r="Z885" s="1"/>
    </row>
    <row r="886" spans="17:26">
      <c r="Q886" s="23"/>
      <c r="R886" s="1"/>
      <c r="S886" s="1"/>
      <c r="T886" s="1"/>
      <c r="U886" s="1"/>
      <c r="V886" s="1"/>
      <c r="W886" s="1"/>
      <c r="X886" s="1"/>
      <c r="Y886" s="1"/>
      <c r="Z886" s="1"/>
    </row>
    <row r="887" spans="17:26">
      <c r="Q887" s="23"/>
      <c r="R887" s="1"/>
      <c r="S887" s="1"/>
      <c r="T887" s="1"/>
      <c r="U887" s="1"/>
      <c r="V887" s="1"/>
      <c r="W887" s="1"/>
      <c r="X887" s="1"/>
      <c r="Y887" s="1"/>
      <c r="Z887" s="1"/>
    </row>
    <row r="888" spans="17:26">
      <c r="Q888" s="23"/>
      <c r="R888" s="1"/>
      <c r="S888" s="1"/>
      <c r="T888" s="1"/>
      <c r="U888" s="1"/>
      <c r="V888" s="1"/>
      <c r="W888" s="1"/>
      <c r="X888" s="1"/>
      <c r="Y888" s="1"/>
      <c r="Z888" s="1"/>
    </row>
    <row r="889" spans="17:26">
      <c r="Q889" s="23"/>
      <c r="R889" s="1"/>
      <c r="S889" s="1"/>
      <c r="T889" s="1"/>
      <c r="U889" s="1"/>
      <c r="V889" s="1"/>
      <c r="W889" s="1"/>
      <c r="X889" s="1"/>
      <c r="Y889" s="1"/>
      <c r="Z889" s="1"/>
    </row>
    <row r="890" spans="17:26">
      <c r="Q890" s="23"/>
      <c r="R890" s="1"/>
      <c r="S890" s="1"/>
      <c r="T890" s="1"/>
      <c r="U890" s="1"/>
      <c r="V890" s="1"/>
      <c r="W890" s="1"/>
      <c r="X890" s="1"/>
      <c r="Y890" s="1"/>
      <c r="Z890" s="1"/>
    </row>
    <row r="891" spans="17:26">
      <c r="Q891" s="23"/>
      <c r="R891" s="1"/>
      <c r="S891" s="1"/>
      <c r="T891" s="1"/>
      <c r="U891" s="1"/>
      <c r="V891" s="1"/>
      <c r="W891" s="1"/>
      <c r="X891" s="1"/>
      <c r="Y891" s="1"/>
      <c r="Z891" s="1"/>
    </row>
    <row r="892" spans="17:26">
      <c r="Q892" s="23"/>
      <c r="R892" s="1"/>
      <c r="S892" s="1"/>
      <c r="T892" s="1"/>
      <c r="U892" s="1"/>
      <c r="V892" s="1"/>
      <c r="W892" s="1"/>
      <c r="X892" s="1"/>
      <c r="Y892" s="1"/>
      <c r="Z892" s="1"/>
    </row>
    <row r="893" spans="17:26">
      <c r="Q893" s="23"/>
      <c r="R893" s="1"/>
      <c r="S893" s="1"/>
      <c r="T893" s="1"/>
      <c r="U893" s="1"/>
      <c r="V893" s="1"/>
      <c r="W893" s="1"/>
      <c r="X893" s="1"/>
      <c r="Y893" s="1"/>
      <c r="Z893" s="1"/>
    </row>
    <row r="894" spans="17:26">
      <c r="Q894" s="23"/>
      <c r="R894" s="1"/>
      <c r="S894" s="1"/>
      <c r="T894" s="1"/>
      <c r="U894" s="1"/>
      <c r="V894" s="1"/>
      <c r="W894" s="1"/>
      <c r="X894" s="1"/>
      <c r="Y894" s="1"/>
      <c r="Z894" s="1"/>
    </row>
    <row r="895" spans="17:26">
      <c r="Q895" s="23"/>
      <c r="R895" s="1"/>
      <c r="S895" s="1"/>
      <c r="T895" s="1"/>
      <c r="U895" s="1"/>
      <c r="V895" s="1"/>
      <c r="W895" s="1"/>
      <c r="X895" s="1"/>
      <c r="Y895" s="1"/>
      <c r="Z895" s="1"/>
    </row>
    <row r="896" spans="17:26">
      <c r="Q896" s="23"/>
      <c r="R896" s="1"/>
      <c r="S896" s="1"/>
      <c r="T896" s="1"/>
      <c r="U896" s="1"/>
      <c r="V896" s="1"/>
      <c r="W896" s="1"/>
      <c r="X896" s="1"/>
      <c r="Y896" s="1"/>
      <c r="Z896" s="1"/>
    </row>
    <row r="897" spans="17:26">
      <c r="Q897" s="23"/>
      <c r="R897" s="1"/>
      <c r="S897" s="1"/>
      <c r="T897" s="1"/>
      <c r="U897" s="1"/>
      <c r="V897" s="1"/>
      <c r="W897" s="1"/>
      <c r="X897" s="1"/>
      <c r="Y897" s="1"/>
      <c r="Z897" s="1"/>
    </row>
    <row r="898" spans="17:26">
      <c r="Q898" s="23"/>
      <c r="R898" s="1"/>
      <c r="S898" s="1"/>
      <c r="T898" s="1"/>
      <c r="U898" s="1"/>
      <c r="V898" s="1"/>
      <c r="W898" s="1"/>
      <c r="X898" s="1"/>
      <c r="Y898" s="1"/>
      <c r="Z898" s="1"/>
    </row>
    <row r="899" spans="17:26">
      <c r="Q899" s="23"/>
      <c r="R899" s="1"/>
      <c r="S899" s="1"/>
      <c r="T899" s="1"/>
      <c r="U899" s="1"/>
      <c r="V899" s="1"/>
      <c r="W899" s="1"/>
      <c r="X899" s="1"/>
      <c r="Y899" s="1"/>
      <c r="Z899" s="1"/>
    </row>
    <row r="900" spans="17:26">
      <c r="Q900" s="23"/>
      <c r="R900" s="1"/>
      <c r="S900" s="1"/>
      <c r="T900" s="1"/>
      <c r="U900" s="1"/>
      <c r="V900" s="1"/>
      <c r="W900" s="1"/>
      <c r="X900" s="1"/>
      <c r="Y900" s="1"/>
      <c r="Z900" s="1"/>
    </row>
    <row r="901" spans="17:26">
      <c r="Q901" s="23"/>
      <c r="R901" s="1"/>
      <c r="S901" s="1"/>
      <c r="T901" s="1"/>
      <c r="U901" s="1"/>
      <c r="V901" s="1"/>
      <c r="W901" s="1"/>
      <c r="X901" s="1"/>
      <c r="Y901" s="1"/>
      <c r="Z901" s="1"/>
    </row>
    <row r="902" spans="17:26">
      <c r="Q902" s="23"/>
      <c r="R902" s="1"/>
      <c r="S902" s="1"/>
      <c r="T902" s="1"/>
      <c r="U902" s="1"/>
      <c r="V902" s="1"/>
      <c r="W902" s="1"/>
      <c r="X902" s="1"/>
      <c r="Y902" s="1"/>
      <c r="Z902" s="1"/>
    </row>
    <row r="903" spans="17:26">
      <c r="Q903" s="23"/>
      <c r="R903" s="1"/>
      <c r="S903" s="1"/>
      <c r="T903" s="1"/>
      <c r="U903" s="1"/>
      <c r="V903" s="1"/>
      <c r="W903" s="1"/>
      <c r="X903" s="1"/>
      <c r="Y903" s="1"/>
      <c r="Z903" s="1"/>
    </row>
    <row r="904" spans="17:26">
      <c r="Q904" s="23"/>
      <c r="R904" s="1"/>
      <c r="S904" s="1"/>
      <c r="T904" s="1"/>
      <c r="U904" s="1"/>
      <c r="V904" s="1"/>
      <c r="W904" s="1"/>
      <c r="X904" s="1"/>
      <c r="Y904" s="1"/>
      <c r="Z904" s="1"/>
    </row>
    <row r="905" spans="17:26">
      <c r="Q905" s="23"/>
      <c r="R905" s="1"/>
      <c r="S905" s="1"/>
      <c r="T905" s="1"/>
      <c r="U905" s="1"/>
      <c r="V905" s="1"/>
      <c r="W905" s="1"/>
      <c r="X905" s="1"/>
      <c r="Y905" s="1"/>
      <c r="Z905" s="1"/>
    </row>
    <row r="906" spans="17:26">
      <c r="Q906" s="1"/>
      <c r="R906" s="1"/>
      <c r="S906" s="1"/>
      <c r="T906" s="1"/>
      <c r="U906" s="1"/>
      <c r="V906" s="1"/>
      <c r="W906" s="1"/>
      <c r="X906" s="1"/>
      <c r="Y906" s="1"/>
      <c r="Z906" s="1"/>
    </row>
    <row r="907" spans="17:26">
      <c r="Q907" s="1"/>
      <c r="R907" s="1"/>
      <c r="S907" s="1"/>
      <c r="T907" s="1"/>
      <c r="U907" s="1"/>
      <c r="V907" s="1"/>
      <c r="W907" s="1"/>
      <c r="X907" s="1"/>
      <c r="Y907" s="1"/>
      <c r="Z907" s="1"/>
    </row>
    <row r="908" spans="17:26">
      <c r="Q908" s="1"/>
      <c r="R908" s="1"/>
      <c r="S908" s="1"/>
      <c r="T908" s="1"/>
      <c r="U908" s="1"/>
      <c r="V908" s="1"/>
      <c r="W908" s="1"/>
      <c r="X908" s="1"/>
      <c r="Y908" s="1"/>
      <c r="Z908" s="1"/>
    </row>
    <row r="909" spans="17:26">
      <c r="Q909" s="1"/>
      <c r="R909" s="1"/>
      <c r="S909" s="1"/>
      <c r="T909" s="1"/>
      <c r="U909" s="1"/>
      <c r="V909" s="1"/>
      <c r="W909" s="1"/>
      <c r="X909" s="1"/>
      <c r="Y909" s="1"/>
      <c r="Z909" s="1"/>
    </row>
    <row r="910" spans="17:26">
      <c r="Q910" s="1"/>
      <c r="R910" s="1"/>
      <c r="S910" s="1"/>
      <c r="T910" s="1"/>
      <c r="U910" s="1"/>
      <c r="V910" s="1"/>
      <c r="W910" s="1"/>
      <c r="X910" s="1"/>
      <c r="Y910" s="1"/>
      <c r="Z910" s="1"/>
    </row>
    <row r="911" spans="17:26">
      <c r="Q911" s="1"/>
      <c r="R911" s="1"/>
      <c r="S911" s="1"/>
      <c r="T911" s="1"/>
      <c r="U911" s="1"/>
      <c r="V911" s="1"/>
      <c r="W911" s="1"/>
      <c r="X911" s="1"/>
      <c r="Y911" s="1"/>
      <c r="Z911" s="1"/>
    </row>
    <row r="912" spans="17:26">
      <c r="Q912" s="1"/>
      <c r="R912" s="1"/>
      <c r="S912" s="1"/>
      <c r="T912" s="1"/>
      <c r="U912" s="1"/>
      <c r="V912" s="1"/>
      <c r="W912" s="1"/>
      <c r="X912" s="1"/>
      <c r="Y912" s="1"/>
      <c r="Z912" s="1"/>
    </row>
    <row r="913" spans="17:26">
      <c r="Q913" s="1"/>
      <c r="R913" s="1"/>
      <c r="S913" s="1"/>
      <c r="T913" s="1"/>
      <c r="U913" s="1"/>
      <c r="V913" s="1"/>
      <c r="W913" s="1"/>
      <c r="X913" s="1"/>
      <c r="Y913" s="1"/>
      <c r="Z913" s="1"/>
    </row>
    <row r="914" spans="17:26">
      <c r="Q914" s="1"/>
      <c r="R914" s="1"/>
      <c r="S914" s="1"/>
      <c r="T914" s="1"/>
      <c r="U914" s="1"/>
      <c r="V914" s="1"/>
      <c r="W914" s="1"/>
      <c r="X914" s="1"/>
      <c r="Y914" s="1"/>
      <c r="Z914" s="1"/>
    </row>
  </sheetData>
  <mergeCells count="540">
    <mergeCell ref="W535:W536"/>
    <mergeCell ref="R547:W547"/>
    <mergeCell ref="R548:S551"/>
    <mergeCell ref="T548:T549"/>
    <mergeCell ref="U548:U549"/>
    <mergeCell ref="V548:V549"/>
    <mergeCell ref="W548:W549"/>
    <mergeCell ref="R535:S538"/>
    <mergeCell ref="T535:T536"/>
    <mergeCell ref="U535:U536"/>
    <mergeCell ref="V519:V520"/>
    <mergeCell ref="V499:V501"/>
    <mergeCell ref="W528:W530"/>
    <mergeCell ref="R534:W534"/>
    <mergeCell ref="R525:W525"/>
    <mergeCell ref="R526:W526"/>
    <mergeCell ref="W499:W501"/>
    <mergeCell ref="R505:W505"/>
    <mergeCell ref="R506:S509"/>
    <mergeCell ref="T506:T507"/>
    <mergeCell ref="U506:U507"/>
    <mergeCell ref="V506:V507"/>
    <mergeCell ref="W506:W507"/>
    <mergeCell ref="R499:S503"/>
    <mergeCell ref="T499:T501"/>
    <mergeCell ref="U499:U501"/>
    <mergeCell ref="U490:U491"/>
    <mergeCell ref="V490:V491"/>
    <mergeCell ref="V470:V472"/>
    <mergeCell ref="W490:W491"/>
    <mergeCell ref="W470:W472"/>
    <mergeCell ref="R476:W476"/>
    <mergeCell ref="R477:S480"/>
    <mergeCell ref="T477:T478"/>
    <mergeCell ref="U477:U478"/>
    <mergeCell ref="V477:V478"/>
    <mergeCell ref="W477:W478"/>
    <mergeCell ref="R470:S474"/>
    <mergeCell ref="T470:T472"/>
    <mergeCell ref="U470:U472"/>
    <mergeCell ref="U441:U443"/>
    <mergeCell ref="T461:T462"/>
    <mergeCell ref="U461:U462"/>
    <mergeCell ref="V461:V462"/>
    <mergeCell ref="R447:W447"/>
    <mergeCell ref="R448:S451"/>
    <mergeCell ref="T448:T449"/>
    <mergeCell ref="U448:U449"/>
    <mergeCell ref="V448:V449"/>
    <mergeCell ref="W448:W449"/>
    <mergeCell ref="V441:V443"/>
    <mergeCell ref="U429:U430"/>
    <mergeCell ref="V429:V430"/>
    <mergeCell ref="W429:W430"/>
    <mergeCell ref="R439:W439"/>
    <mergeCell ref="R435:W437"/>
    <mergeCell ref="R438:W438"/>
    <mergeCell ref="W441:W443"/>
    <mergeCell ref="R441:S445"/>
    <mergeCell ref="T441:T443"/>
    <mergeCell ref="W409:W411"/>
    <mergeCell ref="R415:W415"/>
    <mergeCell ref="R416:S419"/>
    <mergeCell ref="T416:T417"/>
    <mergeCell ref="U416:U417"/>
    <mergeCell ref="V416:V417"/>
    <mergeCell ref="W416:W417"/>
    <mergeCell ref="R409:S413"/>
    <mergeCell ref="T409:T411"/>
    <mergeCell ref="U409:U411"/>
    <mergeCell ref="T400:T401"/>
    <mergeCell ref="U400:U401"/>
    <mergeCell ref="V400:V401"/>
    <mergeCell ref="W400:W401"/>
    <mergeCell ref="V409:V411"/>
    <mergeCell ref="R406:W406"/>
    <mergeCell ref="W380:W382"/>
    <mergeCell ref="R386:W386"/>
    <mergeCell ref="R387:S390"/>
    <mergeCell ref="T387:T388"/>
    <mergeCell ref="U387:U388"/>
    <mergeCell ref="V387:V388"/>
    <mergeCell ref="W387:W388"/>
    <mergeCell ref="R380:S384"/>
    <mergeCell ref="T380:T382"/>
    <mergeCell ref="U380:U382"/>
    <mergeCell ref="T371:T372"/>
    <mergeCell ref="U371:U372"/>
    <mergeCell ref="V371:V372"/>
    <mergeCell ref="W371:W372"/>
    <mergeCell ref="W351:W353"/>
    <mergeCell ref="R357:W357"/>
    <mergeCell ref="R358:S361"/>
    <mergeCell ref="T358:T359"/>
    <mergeCell ref="U358:U359"/>
    <mergeCell ref="V358:V359"/>
    <mergeCell ref="W358:W359"/>
    <mergeCell ref="R351:S355"/>
    <mergeCell ref="T351:T353"/>
    <mergeCell ref="U351:U353"/>
    <mergeCell ref="T342:T343"/>
    <mergeCell ref="U342:U343"/>
    <mergeCell ref="V342:V343"/>
    <mergeCell ref="W342:W343"/>
    <mergeCell ref="V351:V353"/>
    <mergeCell ref="R348:W348"/>
    <mergeCell ref="W322:W324"/>
    <mergeCell ref="R328:W328"/>
    <mergeCell ref="R329:S332"/>
    <mergeCell ref="T329:T330"/>
    <mergeCell ref="U329:U330"/>
    <mergeCell ref="V329:V330"/>
    <mergeCell ref="W329:W330"/>
    <mergeCell ref="R322:S326"/>
    <mergeCell ref="T322:T324"/>
    <mergeCell ref="U322:U324"/>
    <mergeCell ref="R319:W319"/>
    <mergeCell ref="R320:W320"/>
    <mergeCell ref="R306:R307"/>
    <mergeCell ref="S306:S307"/>
    <mergeCell ref="T306:T307"/>
    <mergeCell ref="U306:U307"/>
    <mergeCell ref="V286:V287"/>
    <mergeCell ref="W286:W287"/>
    <mergeCell ref="X286:X287"/>
    <mergeCell ref="Y286:Y287"/>
    <mergeCell ref="X254:X255"/>
    <mergeCell ref="R257:T257"/>
    <mergeCell ref="R260:Y260"/>
    <mergeCell ref="R264:S265"/>
    <mergeCell ref="U264:V264"/>
    <mergeCell ref="U265:V265"/>
    <mergeCell ref="R254:T255"/>
    <mergeCell ref="U254:U255"/>
    <mergeCell ref="V254:V255"/>
    <mergeCell ref="W254:W255"/>
    <mergeCell ref="R228:U228"/>
    <mergeCell ref="X247:X248"/>
    <mergeCell ref="R249:T249"/>
    <mergeCell ref="U249:U251"/>
    <mergeCell ref="R250:T250"/>
    <mergeCell ref="R251:T251"/>
    <mergeCell ref="R247:T248"/>
    <mergeCell ref="U247:U248"/>
    <mergeCell ref="V247:V248"/>
    <mergeCell ref="W247:W248"/>
    <mergeCell ref="X198:X199"/>
    <mergeCell ref="R200:T200"/>
    <mergeCell ref="R201:T201"/>
    <mergeCell ref="R202:T202"/>
    <mergeCell ref="V198:V199"/>
    <mergeCell ref="W198:W199"/>
    <mergeCell ref="R193:T194"/>
    <mergeCell ref="U193:U194"/>
    <mergeCell ref="V193:V194"/>
    <mergeCell ref="W193:W194"/>
    <mergeCell ref="X193:X194"/>
    <mergeCell ref="R190:T190"/>
    <mergeCell ref="V188:V189"/>
    <mergeCell ref="R185:T185"/>
    <mergeCell ref="U183:U184"/>
    <mergeCell ref="W188:W189"/>
    <mergeCell ref="X188:X189"/>
    <mergeCell ref="R191:T191"/>
    <mergeCell ref="R155:X155"/>
    <mergeCell ref="U158:U160"/>
    <mergeCell ref="R160:T160"/>
    <mergeCell ref="R162:T163"/>
    <mergeCell ref="U162:U163"/>
    <mergeCell ref="V162:V163"/>
    <mergeCell ref="W162:W163"/>
    <mergeCell ref="X162:X163"/>
    <mergeCell ref="W143:W144"/>
    <mergeCell ref="X143:X144"/>
    <mergeCell ref="R145:T145"/>
    <mergeCell ref="U145:U146"/>
    <mergeCell ref="R146:T146"/>
    <mergeCell ref="X118:X119"/>
    <mergeCell ref="R120:T120"/>
    <mergeCell ref="R121:T121"/>
    <mergeCell ref="R123:Y123"/>
    <mergeCell ref="R118:T119"/>
    <mergeCell ref="W118:W119"/>
    <mergeCell ref="R86:T86"/>
    <mergeCell ref="R87:T87"/>
    <mergeCell ref="R83:T84"/>
    <mergeCell ref="U83:U84"/>
    <mergeCell ref="W106:W107"/>
    <mergeCell ref="V100:V101"/>
    <mergeCell ref="W100:W101"/>
    <mergeCell ref="R64:Y64"/>
    <mergeCell ref="V54:V55"/>
    <mergeCell ref="X67:X68"/>
    <mergeCell ref="R76:T76"/>
    <mergeCell ref="R67:T68"/>
    <mergeCell ref="U67:U68"/>
    <mergeCell ref="V67:V68"/>
    <mergeCell ref="W67:W68"/>
    <mergeCell ref="R69:T69"/>
    <mergeCell ref="R70:T70"/>
    <mergeCell ref="V59:V60"/>
    <mergeCell ref="W59:W60"/>
    <mergeCell ref="X59:X60"/>
    <mergeCell ref="R56:T56"/>
    <mergeCell ref="W31:W32"/>
    <mergeCell ref="X49:X50"/>
    <mergeCell ref="W54:W55"/>
    <mergeCell ref="X54:X55"/>
    <mergeCell ref="X31:X32"/>
    <mergeCell ref="R51:T51"/>
    <mergeCell ref="R26:U26"/>
    <mergeCell ref="R28:Y28"/>
    <mergeCell ref="X39:X40"/>
    <mergeCell ref="R31:T32"/>
    <mergeCell ref="U31:U32"/>
    <mergeCell ref="R39:T40"/>
    <mergeCell ref="U39:U40"/>
    <mergeCell ref="V39:V40"/>
    <mergeCell ref="W39:W40"/>
    <mergeCell ref="V31:V32"/>
    <mergeCell ref="W542:W543"/>
    <mergeCell ref="R528:S532"/>
    <mergeCell ref="T528:T530"/>
    <mergeCell ref="U528:U530"/>
    <mergeCell ref="V528:V530"/>
    <mergeCell ref="R542:S545"/>
    <mergeCell ref="T542:T543"/>
    <mergeCell ref="U542:U543"/>
    <mergeCell ref="V542:V543"/>
    <mergeCell ref="V535:V536"/>
    <mergeCell ref="W513:W514"/>
    <mergeCell ref="R518:W518"/>
    <mergeCell ref="R519:S522"/>
    <mergeCell ref="T519:T520"/>
    <mergeCell ref="R513:S516"/>
    <mergeCell ref="T513:T514"/>
    <mergeCell ref="U513:U514"/>
    <mergeCell ref="V513:V514"/>
    <mergeCell ref="W519:W520"/>
    <mergeCell ref="U519:U520"/>
    <mergeCell ref="R496:W496"/>
    <mergeCell ref="R497:W497"/>
    <mergeCell ref="R484:S487"/>
    <mergeCell ref="T484:T485"/>
    <mergeCell ref="U484:U485"/>
    <mergeCell ref="V484:V485"/>
    <mergeCell ref="W484:W485"/>
    <mergeCell ref="R489:W489"/>
    <mergeCell ref="R490:S493"/>
    <mergeCell ref="T490:T491"/>
    <mergeCell ref="R467:W467"/>
    <mergeCell ref="R468:W468"/>
    <mergeCell ref="R455:S458"/>
    <mergeCell ref="T455:T456"/>
    <mergeCell ref="U455:U456"/>
    <mergeCell ref="V455:V456"/>
    <mergeCell ref="W455:W456"/>
    <mergeCell ref="R460:W460"/>
    <mergeCell ref="R461:S464"/>
    <mergeCell ref="W461:W462"/>
    <mergeCell ref="W423:W424"/>
    <mergeCell ref="R428:W428"/>
    <mergeCell ref="R429:S432"/>
    <mergeCell ref="T429:T430"/>
    <mergeCell ref="R423:S426"/>
    <mergeCell ref="T423:T424"/>
    <mergeCell ref="U423:U424"/>
    <mergeCell ref="V423:V424"/>
    <mergeCell ref="R407:W407"/>
    <mergeCell ref="R394:S397"/>
    <mergeCell ref="T394:T395"/>
    <mergeCell ref="U394:U395"/>
    <mergeCell ref="V394:V395"/>
    <mergeCell ref="W394:W395"/>
    <mergeCell ref="R399:W399"/>
    <mergeCell ref="R400:S403"/>
    <mergeCell ref="V380:V382"/>
    <mergeCell ref="R377:W377"/>
    <mergeCell ref="R378:W378"/>
    <mergeCell ref="R365:S368"/>
    <mergeCell ref="T365:T366"/>
    <mergeCell ref="U365:U366"/>
    <mergeCell ref="V365:V366"/>
    <mergeCell ref="W365:W366"/>
    <mergeCell ref="R370:W370"/>
    <mergeCell ref="R371:S374"/>
    <mergeCell ref="R349:W349"/>
    <mergeCell ref="R336:S339"/>
    <mergeCell ref="T336:T337"/>
    <mergeCell ref="U336:U337"/>
    <mergeCell ref="V336:V337"/>
    <mergeCell ref="W336:W337"/>
    <mergeCell ref="R341:W341"/>
    <mergeCell ref="R342:S345"/>
    <mergeCell ref="V322:V324"/>
    <mergeCell ref="R296:U296"/>
    <mergeCell ref="R297:U297"/>
    <mergeCell ref="R298:U298"/>
    <mergeCell ref="R299:U299"/>
    <mergeCell ref="T301:U301"/>
    <mergeCell ref="T302:U302"/>
    <mergeCell ref="R305:V305"/>
    <mergeCell ref="V306:V307"/>
    <mergeCell ref="R316:W318"/>
    <mergeCell ref="R295:U295"/>
    <mergeCell ref="R288:U288"/>
    <mergeCell ref="R289:U289"/>
    <mergeCell ref="R290:U290"/>
    <mergeCell ref="R291:U291"/>
    <mergeCell ref="R292:U292"/>
    <mergeCell ref="R293:U293"/>
    <mergeCell ref="R294:U294"/>
    <mergeCell ref="R286:U287"/>
    <mergeCell ref="R280:R283"/>
    <mergeCell ref="S280:T280"/>
    <mergeCell ref="S281:T281"/>
    <mergeCell ref="S282:T282"/>
    <mergeCell ref="S283:T283"/>
    <mergeCell ref="U279:U280"/>
    <mergeCell ref="V279:V280"/>
    <mergeCell ref="W279:W280"/>
    <mergeCell ref="X279:X280"/>
    <mergeCell ref="S276:T276"/>
    <mergeCell ref="S277:T277"/>
    <mergeCell ref="R278:X278"/>
    <mergeCell ref="R279:T279"/>
    <mergeCell ref="R272:X272"/>
    <mergeCell ref="R273:T273"/>
    <mergeCell ref="U273:U274"/>
    <mergeCell ref="V273:V274"/>
    <mergeCell ref="W273:W274"/>
    <mergeCell ref="X273:X274"/>
    <mergeCell ref="R274:R277"/>
    <mergeCell ref="S274:T274"/>
    <mergeCell ref="S275:T275"/>
    <mergeCell ref="X267:X268"/>
    <mergeCell ref="R268:R271"/>
    <mergeCell ref="S268:T268"/>
    <mergeCell ref="S269:T269"/>
    <mergeCell ref="S270:T270"/>
    <mergeCell ref="R267:T267"/>
    <mergeCell ref="U267:U268"/>
    <mergeCell ref="V267:V268"/>
    <mergeCell ref="W267:W268"/>
    <mergeCell ref="S271:T271"/>
    <mergeCell ref="X241:X242"/>
    <mergeCell ref="R243:T243"/>
    <mergeCell ref="U243:U245"/>
    <mergeCell ref="R244:T244"/>
    <mergeCell ref="R245:T245"/>
    <mergeCell ref="R241:T242"/>
    <mergeCell ref="U241:U242"/>
    <mergeCell ref="V241:V242"/>
    <mergeCell ref="W241:W242"/>
    <mergeCell ref="X235:X236"/>
    <mergeCell ref="R237:T237"/>
    <mergeCell ref="U237:U239"/>
    <mergeCell ref="R238:T238"/>
    <mergeCell ref="R239:T239"/>
    <mergeCell ref="R235:T236"/>
    <mergeCell ref="U235:U236"/>
    <mergeCell ref="V235:V236"/>
    <mergeCell ref="W235:W236"/>
    <mergeCell ref="R229:U229"/>
    <mergeCell ref="R231:U231"/>
    <mergeCell ref="R225:U225"/>
    <mergeCell ref="R220:U220"/>
    <mergeCell ref="R221:U221"/>
    <mergeCell ref="R222:U222"/>
    <mergeCell ref="R223:U223"/>
    <mergeCell ref="R224:U224"/>
    <mergeCell ref="R226:U226"/>
    <mergeCell ref="R227:U227"/>
    <mergeCell ref="R216:U216"/>
    <mergeCell ref="R217:U217"/>
    <mergeCell ref="R218:U218"/>
    <mergeCell ref="R219:U219"/>
    <mergeCell ref="R215:U215"/>
    <mergeCell ref="R213:U214"/>
    <mergeCell ref="R204:Y208"/>
    <mergeCell ref="R210:W211"/>
    <mergeCell ref="X210:X211"/>
    <mergeCell ref="Y210:Y211"/>
    <mergeCell ref="V213:V214"/>
    <mergeCell ref="W213:W214"/>
    <mergeCell ref="X213:X214"/>
    <mergeCell ref="Y213:Y214"/>
    <mergeCell ref="R195:T195"/>
    <mergeCell ref="R196:T196"/>
    <mergeCell ref="R198:T199"/>
    <mergeCell ref="U198:U199"/>
    <mergeCell ref="W183:W184"/>
    <mergeCell ref="X183:X184"/>
    <mergeCell ref="V183:V184"/>
    <mergeCell ref="R186:T186"/>
    <mergeCell ref="R188:T189"/>
    <mergeCell ref="U188:U189"/>
    <mergeCell ref="W177:W178"/>
    <mergeCell ref="X177:X178"/>
    <mergeCell ref="R179:T179"/>
    <mergeCell ref="R180:T180"/>
    <mergeCell ref="R181:T181"/>
    <mergeCell ref="R183:T184"/>
    <mergeCell ref="R175:T175"/>
    <mergeCell ref="R177:T178"/>
    <mergeCell ref="U177:U178"/>
    <mergeCell ref="V177:V178"/>
    <mergeCell ref="R174:T174"/>
    <mergeCell ref="R172:T173"/>
    <mergeCell ref="U172:U173"/>
    <mergeCell ref="V172:V173"/>
    <mergeCell ref="W172:W173"/>
    <mergeCell ref="X172:X173"/>
    <mergeCell ref="R169:T169"/>
    <mergeCell ref="R170:T170"/>
    <mergeCell ref="R167:T168"/>
    <mergeCell ref="U167:U168"/>
    <mergeCell ref="V167:V168"/>
    <mergeCell ref="W167:W168"/>
    <mergeCell ref="X167:X168"/>
    <mergeCell ref="R164:T164"/>
    <mergeCell ref="R165:T165"/>
    <mergeCell ref="X156:X157"/>
    <mergeCell ref="R158:T158"/>
    <mergeCell ref="R159:T159"/>
    <mergeCell ref="R156:T157"/>
    <mergeCell ref="U156:U157"/>
    <mergeCell ref="V156:V157"/>
    <mergeCell ref="W156:W157"/>
    <mergeCell ref="R152:T152"/>
    <mergeCell ref="U152:U154"/>
    <mergeCell ref="R153:T153"/>
    <mergeCell ref="R154:T154"/>
    <mergeCell ref="R149:X149"/>
    <mergeCell ref="R150:T151"/>
    <mergeCell ref="U150:U151"/>
    <mergeCell ref="V150:V151"/>
    <mergeCell ref="W150:W151"/>
    <mergeCell ref="X150:X151"/>
    <mergeCell ref="X132:X133"/>
    <mergeCell ref="R147:T147"/>
    <mergeCell ref="R148:T148"/>
    <mergeCell ref="R143:T144"/>
    <mergeCell ref="U143:U144"/>
    <mergeCell ref="R134:T134"/>
    <mergeCell ref="R135:T135"/>
    <mergeCell ref="R137:Y137"/>
    <mergeCell ref="R142:W142"/>
    <mergeCell ref="V143:V144"/>
    <mergeCell ref="R132:T133"/>
    <mergeCell ref="U132:U133"/>
    <mergeCell ref="V132:V133"/>
    <mergeCell ref="W132:W133"/>
    <mergeCell ref="V126:V127"/>
    <mergeCell ref="W126:W127"/>
    <mergeCell ref="R128:T128"/>
    <mergeCell ref="R130:Y130"/>
    <mergeCell ref="X126:X127"/>
    <mergeCell ref="R126:T127"/>
    <mergeCell ref="U126:U127"/>
    <mergeCell ref="X112:X113"/>
    <mergeCell ref="R114:T114"/>
    <mergeCell ref="R115:T115"/>
    <mergeCell ref="R112:T113"/>
    <mergeCell ref="U112:U113"/>
    <mergeCell ref="V112:V113"/>
    <mergeCell ref="W112:W113"/>
    <mergeCell ref="U118:U119"/>
    <mergeCell ref="V118:V119"/>
    <mergeCell ref="X106:X107"/>
    <mergeCell ref="R108:T108"/>
    <mergeCell ref="R109:T109"/>
    <mergeCell ref="R103:T103"/>
    <mergeCell ref="R106:T107"/>
    <mergeCell ref="U106:U107"/>
    <mergeCell ref="V106:V107"/>
    <mergeCell ref="X100:X101"/>
    <mergeCell ref="R102:T102"/>
    <mergeCell ref="R100:T101"/>
    <mergeCell ref="U100:U101"/>
    <mergeCell ref="R96:Y96"/>
    <mergeCell ref="R90:T91"/>
    <mergeCell ref="U90:U91"/>
    <mergeCell ref="V90:V91"/>
    <mergeCell ref="W90:W91"/>
    <mergeCell ref="R94:T94"/>
    <mergeCell ref="X90:X91"/>
    <mergeCell ref="R92:T92"/>
    <mergeCell ref="R93:T93"/>
    <mergeCell ref="X83:X84"/>
    <mergeCell ref="R85:T85"/>
    <mergeCell ref="V74:V75"/>
    <mergeCell ref="W74:W75"/>
    <mergeCell ref="X74:X75"/>
    <mergeCell ref="R77:T77"/>
    <mergeCell ref="R78:T78"/>
    <mergeCell ref="R80:Y80"/>
    <mergeCell ref="V83:V84"/>
    <mergeCell ref="W83:W84"/>
    <mergeCell ref="R71:T71"/>
    <mergeCell ref="R74:T75"/>
    <mergeCell ref="U74:U75"/>
    <mergeCell ref="R59:T60"/>
    <mergeCell ref="U59:U60"/>
    <mergeCell ref="R54:T55"/>
    <mergeCell ref="U54:U55"/>
    <mergeCell ref="R61:T61"/>
    <mergeCell ref="R62:T62"/>
    <mergeCell ref="R41:T41"/>
    <mergeCell ref="R42:T42"/>
    <mergeCell ref="R43:T43"/>
    <mergeCell ref="R46:Y46"/>
    <mergeCell ref="R44:T44"/>
    <mergeCell ref="R49:T50"/>
    <mergeCell ref="U49:U50"/>
    <mergeCell ref="V49:V50"/>
    <mergeCell ref="W49:W50"/>
    <mergeCell ref="R35:T35"/>
    <mergeCell ref="R36:T36"/>
    <mergeCell ref="R20:U20"/>
    <mergeCell ref="R21:U21"/>
    <mergeCell ref="R22:U22"/>
    <mergeCell ref="R23:U23"/>
    <mergeCell ref="R33:T33"/>
    <mergeCell ref="R34:T34"/>
    <mergeCell ref="R24:U24"/>
    <mergeCell ref="R25:U25"/>
    <mergeCell ref="R19:U19"/>
    <mergeCell ref="R10:U10"/>
    <mergeCell ref="R13:U13"/>
    <mergeCell ref="R14:U14"/>
    <mergeCell ref="R15:U15"/>
    <mergeCell ref="R11:U11"/>
    <mergeCell ref="R12:U12"/>
    <mergeCell ref="R7:Y7"/>
    <mergeCell ref="B2:K3"/>
    <mergeCell ref="B5:D5"/>
    <mergeCell ref="R5:U5"/>
    <mergeCell ref="R2:Y3"/>
    <mergeCell ref="R16:U16"/>
  </mergeCells>
  <phoneticPr fontId="0" type="noConversion"/>
  <conditionalFormatting sqref="X254:X255 X106:X107 X247:X248 X49:X50 X235:X236 X54:X55 X67:X68 X74:X75 X100:X101 X112:X113 X118:X119 X132:X133 X279:X280 X126:X127 X241:X242 X59:X60 Y286:Y287 S306:S307 X143:X144 X183:X184 X177:X178 X267:X268 X273:X274 Y213:Y214 X83 X90 X156:X157 X150:X151 X198:X199 X162:X163 X167:X168 X172:X173 X188:X189 X193:X194 AB186">
    <cfRule type="cellIs" dxfId="71" priority="1" stopIfTrue="1" operator="equal">
      <formula>$U$31</formula>
    </cfRule>
    <cfRule type="cellIs" dxfId="70" priority="2" stopIfTrue="1" operator="equal">
      <formula>$W$31</formula>
    </cfRule>
    <cfRule type="cellIs" dxfId="69" priority="3" stopIfTrue="1" operator="equal">
      <formula>$Y$31</formula>
    </cfRule>
  </conditionalFormatting>
  <conditionalFormatting sqref="V106:V107 V247:V248 V49:V50 V241:V242 V54:V55 V59:V60 V67:V68 V74:V75 W286:W287 V100:V101 V112:V113 V118:V119 V126:V127 V132:V133 V279:V280 V235:V236 V254:V255 T306:T307 V143:V144 V183:V184 V177:V178 V267:V268 V273:V274 W213:W214 V83 V90 V156:V157 V150:V151 V198:V199 V162:V163 V167:V168 V172:V173 V188:V189 V193:V194 AB184">
    <cfRule type="cellIs" dxfId="68" priority="4" stopIfTrue="1" operator="equal">
      <formula>$R$6</formula>
    </cfRule>
    <cfRule type="cellIs" dxfId="67" priority="5" stopIfTrue="1" operator="equal">
      <formula>$V$33</formula>
    </cfRule>
    <cfRule type="cellIs" dxfId="66" priority="6" stopIfTrue="1" operator="equal">
      <formula>$R$8</formula>
    </cfRule>
  </conditionalFormatting>
  <conditionalFormatting sqref="W106:W107 W126:W127 W247:W248 W49:W50 W241:W242 W54:W55 W59:W60 W67:W68 W74:W75 X286:X287 W100:W101 W112:W113 W118:W119 W132:W133 W279:W280 W235:W236 W254:W255 U306:U307 W143:W144 W183:W184 W177:W178 W267:W268 W273:W274 X213:X214 W83 W90 W156:W157 W150:W151 W198:W199 W162:W163 W167:W168 W172:W173 W188:W189 W193:W194 AB185">
    <cfRule type="cellIs" dxfId="65" priority="7" stopIfTrue="1" operator="equal">
      <formula>$R$6</formula>
    </cfRule>
    <cfRule type="cellIs" dxfId="64" priority="8" stopIfTrue="1" operator="equal">
      <formula>$R$7</formula>
    </cfRule>
    <cfRule type="cellIs" dxfId="63" priority="9" stopIfTrue="1" operator="equal">
      <formula>$W$33</formula>
    </cfRule>
  </conditionalFormatting>
  <conditionalFormatting sqref="R36 R44">
    <cfRule type="cellIs" dxfId="62" priority="10" stopIfTrue="1" operator="equal">
      <formula>$AI$31</formula>
    </cfRule>
    <cfRule type="cellIs" dxfId="61" priority="11" stopIfTrue="1" operator="equal">
      <formula>$AK$31</formula>
    </cfRule>
    <cfRule type="cellIs" dxfId="60" priority="12" stopIfTrue="1" operator="equal">
      <formula>$AM$31</formula>
    </cfRule>
  </conditionalFormatting>
  <conditionalFormatting sqref="R34 R42">
    <cfRule type="cellIs" dxfId="59" priority="13" stopIfTrue="1" operator="equal">
      <formula>$AF$6</formula>
    </cfRule>
    <cfRule type="cellIs" dxfId="58" priority="14" stopIfTrue="1" operator="equal">
      <formula>$AJ$33</formula>
    </cfRule>
    <cfRule type="cellIs" dxfId="57" priority="15" stopIfTrue="1" operator="equal">
      <formula>$AF$8</formula>
    </cfRule>
  </conditionalFormatting>
  <conditionalFormatting sqref="R35 R43">
    <cfRule type="cellIs" dxfId="56" priority="16" stopIfTrue="1" operator="equal">
      <formula>$AF$6</formula>
    </cfRule>
    <cfRule type="cellIs" dxfId="55" priority="17" stopIfTrue="1" operator="equal">
      <formula>$AF$7</formula>
    </cfRule>
    <cfRule type="cellIs" dxfId="54" priority="18" stopIfTrue="1" operator="equal">
      <formula>$AK$33</formula>
    </cfRule>
  </conditionalFormatting>
  <conditionalFormatting sqref="U108:X109">
    <cfRule type="cellIs" dxfId="53" priority="19" stopIfTrue="1" operator="equal">
      <formula>"yes"</formula>
    </cfRule>
    <cfRule type="cellIs" dxfId="52" priority="20" stopIfTrue="1" operator="equal">
      <formula>"no"</formula>
    </cfRule>
  </conditionalFormatting>
  <pageMargins left="0" right="0" top="0.59055118110236227" bottom="0.39370078740157483" header="0.51181102362204722" footer="0.51181102362204722"/>
  <pageSetup paperSize="9" scale="96" fitToHeight="6" orientation="portrait"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sheetPr codeName="Sheet31"/>
  <dimension ref="A1:E13"/>
  <sheetViews>
    <sheetView workbookViewId="0">
      <selection activeCell="D10" sqref="D10"/>
    </sheetView>
  </sheetViews>
  <sheetFormatPr defaultRowHeight="12.75"/>
  <cols>
    <col min="2" max="5" width="10.7109375" customWidth="1"/>
  </cols>
  <sheetData>
    <row r="1" spans="1:5">
      <c r="B1" s="1343" t="s">
        <v>823</v>
      </c>
      <c r="C1" s="1343"/>
      <c r="D1" s="1343"/>
      <c r="E1" s="1343"/>
    </row>
    <row r="2" spans="1:5">
      <c r="B2" s="1344" t="s">
        <v>824</v>
      </c>
      <c r="C2" s="1344" t="s">
        <v>825</v>
      </c>
      <c r="D2" s="1344" t="s">
        <v>826</v>
      </c>
      <c r="E2" s="1344" t="s">
        <v>23</v>
      </c>
    </row>
    <row r="3" spans="1:5">
      <c r="B3" s="1344"/>
      <c r="C3" s="1344"/>
      <c r="D3" s="1344"/>
      <c r="E3" s="1344"/>
    </row>
    <row r="4" spans="1:5">
      <c r="A4" t="s">
        <v>822</v>
      </c>
      <c r="B4" s="14">
        <v>21.25</v>
      </c>
      <c r="C4" s="14">
        <v>17.399999999999999</v>
      </c>
      <c r="D4" s="14">
        <v>5</v>
      </c>
      <c r="E4" s="14">
        <f>SUM(B4:D4)</f>
        <v>43.65</v>
      </c>
    </row>
    <row r="5" spans="1:5">
      <c r="A5" t="s">
        <v>827</v>
      </c>
      <c r="B5" s="14">
        <v>22.35</v>
      </c>
      <c r="C5" s="14">
        <v>17.399999999999999</v>
      </c>
      <c r="D5" s="14">
        <v>5</v>
      </c>
      <c r="E5" s="14">
        <f>SUM(B5:D5)</f>
        <v>44.75</v>
      </c>
    </row>
    <row r="6" spans="1:5">
      <c r="A6" t="s">
        <v>829</v>
      </c>
      <c r="B6" s="14">
        <v>22.15</v>
      </c>
      <c r="C6" s="14">
        <v>18.149999999999999</v>
      </c>
      <c r="D6" s="14">
        <v>5</v>
      </c>
      <c r="E6" s="14">
        <f>SUM(B6:D6)</f>
        <v>45.3</v>
      </c>
    </row>
    <row r="7" spans="1:5">
      <c r="A7" t="s">
        <v>830</v>
      </c>
      <c r="B7" s="14">
        <v>23.9</v>
      </c>
      <c r="C7" s="14">
        <v>15.4</v>
      </c>
      <c r="D7" s="14">
        <v>4.8</v>
      </c>
      <c r="E7" s="14">
        <f>SUM(B7:D7)</f>
        <v>44.099999999999994</v>
      </c>
    </row>
    <row r="8" spans="1:5">
      <c r="B8" s="27"/>
      <c r="C8" s="27"/>
      <c r="D8" s="27"/>
      <c r="E8" s="27"/>
    </row>
    <row r="9" spans="1:5">
      <c r="B9" s="1343" t="s">
        <v>294</v>
      </c>
      <c r="C9" s="1343"/>
      <c r="D9" s="1343"/>
      <c r="E9" s="1343"/>
    </row>
    <row r="10" spans="1:5">
      <c r="A10" t="s">
        <v>822</v>
      </c>
      <c r="B10" s="14">
        <v>0.71</v>
      </c>
      <c r="C10" s="14">
        <v>1.03</v>
      </c>
      <c r="D10" s="14">
        <v>1.29</v>
      </c>
      <c r="E10" s="14">
        <f>SUM(B10:D10)</f>
        <v>3.0300000000000002</v>
      </c>
    </row>
    <row r="11" spans="1:5">
      <c r="A11" t="s">
        <v>827</v>
      </c>
      <c r="B11" s="14">
        <v>0.71499999999999997</v>
      </c>
      <c r="C11" s="14">
        <v>1.03</v>
      </c>
      <c r="D11" s="14">
        <v>1.29</v>
      </c>
      <c r="E11" s="14">
        <f>SUM(B11:D11)</f>
        <v>3.0350000000000001</v>
      </c>
    </row>
    <row r="12" spans="1:5">
      <c r="A12" t="s">
        <v>829</v>
      </c>
      <c r="B12" s="14">
        <v>0.755</v>
      </c>
      <c r="C12" s="14">
        <v>1.07</v>
      </c>
      <c r="D12" s="14">
        <v>1.2949999999999999</v>
      </c>
      <c r="E12" s="14">
        <f>SUM(B12:D12)</f>
        <v>3.12</v>
      </c>
    </row>
    <row r="13" spans="1:5">
      <c r="A13" t="s">
        <v>830</v>
      </c>
      <c r="B13" s="14">
        <v>0.74</v>
      </c>
      <c r="C13" s="14">
        <v>0.78</v>
      </c>
      <c r="D13" s="14">
        <v>1.26</v>
      </c>
      <c r="E13" s="14">
        <f>SUM(B13:D13)</f>
        <v>2.7800000000000002</v>
      </c>
    </row>
  </sheetData>
  <sheetProtection password="C9F1" sheet="1" objects="1" scenarios="1"/>
  <mergeCells count="6">
    <mergeCell ref="B1:E1"/>
    <mergeCell ref="B9:E9"/>
    <mergeCell ref="B2:B3"/>
    <mergeCell ref="C2:C3"/>
    <mergeCell ref="D2:D3"/>
    <mergeCell ref="E2:E3"/>
  </mergeCells>
  <phoneticPr fontId="0" type="noConversion"/>
  <pageMargins left="0.75" right="0.75" top="1" bottom="1" header="0.5" footer="0.5"/>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sheetPr codeName="Sheet33">
    <pageSetUpPr fitToPage="1"/>
  </sheetPr>
  <dimension ref="B1:L94"/>
  <sheetViews>
    <sheetView workbookViewId="0"/>
  </sheetViews>
  <sheetFormatPr defaultRowHeight="12.75"/>
  <cols>
    <col min="1" max="1" width="3.85546875" customWidth="1"/>
    <col min="2" max="2" width="11" customWidth="1"/>
    <col min="3" max="12" width="7.7109375" customWidth="1"/>
  </cols>
  <sheetData>
    <row r="1" spans="2:12" ht="15" customHeight="1">
      <c r="B1" s="1354" t="s">
        <v>834</v>
      </c>
      <c r="C1" s="1354"/>
      <c r="D1" s="1354"/>
      <c r="E1" s="1354"/>
      <c r="F1" s="1354"/>
      <c r="G1" s="1354"/>
      <c r="H1" s="1354"/>
      <c r="I1" s="1354"/>
      <c r="J1" s="1354"/>
    </row>
    <row r="2" spans="2:12" ht="15" customHeight="1">
      <c r="B2" s="1354"/>
      <c r="C2" s="1354"/>
      <c r="D2" s="1354"/>
      <c r="E2" s="1354"/>
      <c r="F2" s="1354"/>
      <c r="G2" s="1354"/>
      <c r="H2" s="1354"/>
      <c r="I2" s="1354"/>
      <c r="J2" s="1354"/>
    </row>
    <row r="3" spans="2:12" ht="15" customHeight="1">
      <c r="B3" s="1345" t="s">
        <v>45</v>
      </c>
      <c r="C3" s="1348" t="s">
        <v>833</v>
      </c>
      <c r="D3" s="1349"/>
      <c r="E3" s="1349"/>
      <c r="F3" s="1349"/>
      <c r="G3" s="1349"/>
      <c r="H3" s="1349"/>
      <c r="I3" s="1349"/>
      <c r="J3" s="1350"/>
    </row>
    <row r="4" spans="2:12" ht="15" customHeight="1">
      <c r="B4" s="1346"/>
      <c r="C4" s="1348"/>
      <c r="D4" s="1349"/>
      <c r="E4" s="1349"/>
      <c r="F4" s="1349"/>
      <c r="G4" s="1349"/>
      <c r="H4" s="1349"/>
      <c r="I4" s="1349"/>
      <c r="J4" s="1350"/>
    </row>
    <row r="5" spans="2:12" ht="15" customHeight="1">
      <c r="B5" s="1347"/>
      <c r="C5" s="1351"/>
      <c r="D5" s="1352"/>
      <c r="E5" s="1352"/>
      <c r="F5" s="1352"/>
      <c r="G5" s="1352"/>
      <c r="H5" s="1352"/>
      <c r="I5" s="1352"/>
      <c r="J5" s="1353"/>
    </row>
    <row r="6" spans="2:12" ht="15" customHeight="1">
      <c r="B6" s="225">
        <v>1</v>
      </c>
      <c r="C6" s="225">
        <v>2</v>
      </c>
      <c r="D6" s="225">
        <v>3</v>
      </c>
      <c r="E6" s="225">
        <v>4</v>
      </c>
      <c r="F6" s="225">
        <v>5</v>
      </c>
      <c r="G6" s="225">
        <v>6</v>
      </c>
      <c r="H6" s="225">
        <v>7</v>
      </c>
      <c r="I6" s="225">
        <v>8</v>
      </c>
      <c r="J6" s="225">
        <v>9</v>
      </c>
      <c r="K6" s="225">
        <v>10</v>
      </c>
      <c r="L6" s="225">
        <v>11</v>
      </c>
    </row>
    <row r="7" spans="2:12" ht="15" customHeight="1">
      <c r="B7" s="1356" t="s">
        <v>848</v>
      </c>
      <c r="C7" s="1355" t="s">
        <v>847</v>
      </c>
      <c r="D7" s="1355"/>
      <c r="E7" s="1355"/>
      <c r="F7" s="1355"/>
      <c r="G7" s="1355"/>
      <c r="H7" s="1355"/>
      <c r="I7" s="1355"/>
      <c r="J7" s="1355"/>
      <c r="K7" s="1355"/>
      <c r="L7" s="1355"/>
    </row>
    <row r="8" spans="2:12" ht="14.25">
      <c r="B8" s="1356"/>
      <c r="C8" s="56">
        <v>0</v>
      </c>
      <c r="D8" s="56">
        <v>5</v>
      </c>
      <c r="E8" s="56">
        <v>10</v>
      </c>
      <c r="F8" s="56">
        <v>15</v>
      </c>
      <c r="G8" s="56">
        <v>20</v>
      </c>
      <c r="H8" s="56">
        <v>25</v>
      </c>
      <c r="I8" s="56">
        <v>30</v>
      </c>
      <c r="J8" s="56">
        <v>35</v>
      </c>
      <c r="K8" s="56">
        <v>40</v>
      </c>
      <c r="L8" s="56">
        <v>45</v>
      </c>
    </row>
    <row r="9" spans="2:12" ht="14.25">
      <c r="B9" s="131">
        <v>70</v>
      </c>
      <c r="C9" s="57">
        <v>0</v>
      </c>
      <c r="D9" s="57">
        <v>0</v>
      </c>
      <c r="E9" s="57">
        <v>0</v>
      </c>
      <c r="F9" s="57">
        <v>0</v>
      </c>
      <c r="G9" s="57">
        <v>0</v>
      </c>
      <c r="H9" s="57">
        <v>0</v>
      </c>
      <c r="I9" s="57">
        <v>0</v>
      </c>
      <c r="J9" s="57">
        <v>0</v>
      </c>
      <c r="K9" s="57">
        <v>0</v>
      </c>
      <c r="L9" s="57">
        <v>0</v>
      </c>
    </row>
    <row r="10" spans="2:12" ht="14.25">
      <c r="B10" s="131">
        <v>71</v>
      </c>
      <c r="C10" s="57">
        <v>0</v>
      </c>
      <c r="D10" s="57">
        <v>0</v>
      </c>
      <c r="E10" s="57">
        <v>0</v>
      </c>
      <c r="F10" s="57">
        <v>0</v>
      </c>
      <c r="G10" s="57">
        <v>0</v>
      </c>
      <c r="H10" s="57">
        <v>0</v>
      </c>
      <c r="I10" s="57">
        <v>0</v>
      </c>
      <c r="J10" s="57">
        <v>0</v>
      </c>
      <c r="K10" s="57">
        <v>0</v>
      </c>
      <c r="L10" s="57">
        <v>0</v>
      </c>
    </row>
    <row r="11" spans="2:12" ht="14.25">
      <c r="B11" s="131">
        <v>72</v>
      </c>
      <c r="C11" s="57">
        <v>0</v>
      </c>
      <c r="D11" s="57">
        <v>0</v>
      </c>
      <c r="E11" s="57">
        <v>0</v>
      </c>
      <c r="F11" s="57">
        <v>0</v>
      </c>
      <c r="G11" s="57">
        <v>0</v>
      </c>
      <c r="H11" s="57">
        <v>0</v>
      </c>
      <c r="I11" s="57">
        <v>0</v>
      </c>
      <c r="J11" s="57">
        <v>0</v>
      </c>
      <c r="K11" s="57">
        <v>0</v>
      </c>
      <c r="L11" s="57">
        <v>0</v>
      </c>
    </row>
    <row r="12" spans="2:12" ht="14.25">
      <c r="B12" s="131">
        <v>73</v>
      </c>
      <c r="C12" s="57">
        <v>0</v>
      </c>
      <c r="D12" s="57">
        <v>0</v>
      </c>
      <c r="E12" s="57">
        <v>0</v>
      </c>
      <c r="F12" s="57">
        <v>0</v>
      </c>
      <c r="G12" s="57">
        <v>0</v>
      </c>
      <c r="H12" s="57">
        <v>0</v>
      </c>
      <c r="I12" s="57">
        <v>0</v>
      </c>
      <c r="J12" s="57">
        <v>0</v>
      </c>
      <c r="K12" s="57">
        <v>0</v>
      </c>
      <c r="L12" s="57">
        <v>0</v>
      </c>
    </row>
    <row r="13" spans="2:12" ht="14.25">
      <c r="B13" s="131">
        <v>74</v>
      </c>
      <c r="C13" s="57">
        <v>0</v>
      </c>
      <c r="D13" s="57">
        <v>0</v>
      </c>
      <c r="E13" s="57">
        <v>0</v>
      </c>
      <c r="F13" s="57">
        <v>0</v>
      </c>
      <c r="G13" s="57">
        <v>0</v>
      </c>
      <c r="H13" s="57">
        <v>0</v>
      </c>
      <c r="I13" s="57">
        <v>0</v>
      </c>
      <c r="J13" s="57">
        <v>0</v>
      </c>
      <c r="K13" s="57">
        <v>0</v>
      </c>
      <c r="L13" s="57">
        <v>0</v>
      </c>
    </row>
    <row r="14" spans="2:12" ht="14.25">
      <c r="B14" s="131">
        <v>75</v>
      </c>
      <c r="C14" s="57">
        <v>0</v>
      </c>
      <c r="D14" s="57">
        <v>0</v>
      </c>
      <c r="E14" s="57">
        <v>0</v>
      </c>
      <c r="F14" s="57">
        <v>0</v>
      </c>
      <c r="G14" s="57">
        <v>0</v>
      </c>
      <c r="H14" s="57">
        <v>0</v>
      </c>
      <c r="I14" s="57">
        <v>0</v>
      </c>
      <c r="J14" s="57">
        <v>0</v>
      </c>
      <c r="K14" s="57">
        <v>0</v>
      </c>
      <c r="L14" s="57">
        <v>0</v>
      </c>
    </row>
    <row r="15" spans="2:12" ht="14.25">
      <c r="B15" s="131">
        <v>76</v>
      </c>
      <c r="C15" s="57">
        <v>0</v>
      </c>
      <c r="D15" s="57">
        <v>0</v>
      </c>
      <c r="E15" s="57">
        <v>0</v>
      </c>
      <c r="F15" s="57">
        <v>0</v>
      </c>
      <c r="G15" s="57">
        <v>0</v>
      </c>
      <c r="H15" s="57">
        <v>0</v>
      </c>
      <c r="I15" s="57">
        <v>0</v>
      </c>
      <c r="J15" s="57">
        <v>0</v>
      </c>
      <c r="K15" s="57">
        <v>0</v>
      </c>
      <c r="L15" s="57">
        <v>0</v>
      </c>
    </row>
    <row r="16" spans="2:12" ht="14.25">
      <c r="B16" s="131">
        <v>77</v>
      </c>
      <c r="C16" s="57">
        <v>0</v>
      </c>
      <c r="D16" s="57">
        <v>0</v>
      </c>
      <c r="E16" s="57">
        <v>0</v>
      </c>
      <c r="F16" s="57">
        <v>0</v>
      </c>
      <c r="G16" s="57">
        <v>0</v>
      </c>
      <c r="H16" s="57">
        <v>0</v>
      </c>
      <c r="I16" s="57">
        <v>0</v>
      </c>
      <c r="J16" s="57">
        <v>0</v>
      </c>
      <c r="K16" s="57">
        <v>0</v>
      </c>
      <c r="L16" s="57">
        <v>0</v>
      </c>
    </row>
    <row r="17" spans="2:12" ht="14.25">
      <c r="B17" s="131">
        <v>78</v>
      </c>
      <c r="C17" s="57">
        <v>0</v>
      </c>
      <c r="D17" s="57">
        <v>0</v>
      </c>
      <c r="E17" s="57">
        <v>0</v>
      </c>
      <c r="F17" s="57">
        <v>0</v>
      </c>
      <c r="G17" s="57">
        <v>0</v>
      </c>
      <c r="H17" s="57">
        <v>0</v>
      </c>
      <c r="I17" s="57">
        <v>0</v>
      </c>
      <c r="J17" s="57">
        <v>0</v>
      </c>
      <c r="K17" s="57">
        <v>0</v>
      </c>
      <c r="L17" s="57">
        <v>0</v>
      </c>
    </row>
    <row r="18" spans="2:12" ht="14.25">
      <c r="B18" s="131">
        <v>79</v>
      </c>
      <c r="C18" s="57">
        <v>0</v>
      </c>
      <c r="D18" s="57">
        <v>0</v>
      </c>
      <c r="E18" s="57">
        <v>0</v>
      </c>
      <c r="F18" s="57">
        <v>0</v>
      </c>
      <c r="G18" s="57">
        <v>0</v>
      </c>
      <c r="H18" s="57">
        <v>0</v>
      </c>
      <c r="I18" s="57">
        <v>0</v>
      </c>
      <c r="J18" s="57">
        <v>0</v>
      </c>
      <c r="K18" s="57">
        <v>0</v>
      </c>
      <c r="L18" s="57">
        <v>0</v>
      </c>
    </row>
    <row r="19" spans="2:12" ht="14.25">
      <c r="B19" s="14">
        <v>80</v>
      </c>
      <c r="C19" s="57">
        <v>0</v>
      </c>
      <c r="D19" s="57">
        <v>0</v>
      </c>
      <c r="E19" s="57">
        <v>0</v>
      </c>
      <c r="F19" s="57">
        <v>0</v>
      </c>
      <c r="G19" s="57">
        <v>0</v>
      </c>
      <c r="H19" s="57">
        <v>0</v>
      </c>
      <c r="I19" s="57">
        <v>0</v>
      </c>
      <c r="J19" s="57">
        <v>0</v>
      </c>
      <c r="K19" s="57">
        <v>0</v>
      </c>
      <c r="L19" s="57">
        <v>0</v>
      </c>
    </row>
    <row r="20" spans="2:12" ht="14.25">
      <c r="B20" s="14">
        <v>81</v>
      </c>
      <c r="C20" s="57">
        <v>0</v>
      </c>
      <c r="D20" s="57">
        <f>D19+((D24-D19)/5)</f>
        <v>0.3</v>
      </c>
      <c r="E20" s="57">
        <f t="shared" ref="E20:L20" si="0">E19+((E24-E19)/5)</f>
        <v>0.7</v>
      </c>
      <c r="F20" s="57">
        <f t="shared" si="0"/>
        <v>1.1000000000000001</v>
      </c>
      <c r="G20" s="57">
        <f t="shared" si="0"/>
        <v>1.3</v>
      </c>
      <c r="H20" s="57">
        <f t="shared" si="0"/>
        <v>1.5</v>
      </c>
      <c r="I20" s="57">
        <f t="shared" si="0"/>
        <v>1.7</v>
      </c>
      <c r="J20" s="57">
        <f t="shared" si="0"/>
        <v>1.9</v>
      </c>
      <c r="K20" s="57">
        <f t="shared" si="0"/>
        <v>2.1</v>
      </c>
      <c r="L20" s="57">
        <f t="shared" si="0"/>
        <v>1.5</v>
      </c>
    </row>
    <row r="21" spans="2:12" ht="14.25">
      <c r="B21" s="14">
        <v>82</v>
      </c>
      <c r="C21" s="57">
        <v>0</v>
      </c>
      <c r="D21" s="57">
        <f>D20+(D20-D19)</f>
        <v>0.6</v>
      </c>
      <c r="E21" s="57">
        <f>E20+(E20-E19)</f>
        <v>1.4</v>
      </c>
      <c r="F21" s="57">
        <f>F20+(F20-F19)</f>
        <v>2.2000000000000002</v>
      </c>
      <c r="G21" s="57">
        <f t="shared" ref="G21:L21" si="1">G20+(G20-G19)</f>
        <v>2.6</v>
      </c>
      <c r="H21" s="57">
        <f t="shared" si="1"/>
        <v>3</v>
      </c>
      <c r="I21" s="57">
        <f t="shared" si="1"/>
        <v>3.4</v>
      </c>
      <c r="J21" s="57">
        <f t="shared" si="1"/>
        <v>3.8</v>
      </c>
      <c r="K21" s="57">
        <f t="shared" si="1"/>
        <v>4.2</v>
      </c>
      <c r="L21" s="57">
        <f t="shared" si="1"/>
        <v>3</v>
      </c>
    </row>
    <row r="22" spans="2:12" ht="14.25">
      <c r="B22" s="14">
        <v>83</v>
      </c>
      <c r="C22" s="57">
        <v>0</v>
      </c>
      <c r="D22" s="57">
        <f>D21+(($D$24-$D$19)/5)</f>
        <v>0.89999999999999991</v>
      </c>
      <c r="E22" s="57">
        <f>E21+0.7</f>
        <v>2.0999999999999996</v>
      </c>
      <c r="F22" s="57">
        <f>F21+(F21-F20)</f>
        <v>3.3000000000000003</v>
      </c>
      <c r="G22" s="57">
        <f t="shared" ref="G22:L22" si="2">G21+(G21-G20)</f>
        <v>3.9000000000000004</v>
      </c>
      <c r="H22" s="57">
        <f t="shared" si="2"/>
        <v>4.5</v>
      </c>
      <c r="I22" s="57">
        <f t="shared" si="2"/>
        <v>5.0999999999999996</v>
      </c>
      <c r="J22" s="57">
        <f t="shared" si="2"/>
        <v>5.6999999999999993</v>
      </c>
      <c r="K22" s="57">
        <f t="shared" si="2"/>
        <v>6.3000000000000007</v>
      </c>
      <c r="L22" s="57">
        <f t="shared" si="2"/>
        <v>4.5</v>
      </c>
    </row>
    <row r="23" spans="2:12" ht="14.25">
      <c r="B23" s="14">
        <v>84</v>
      </c>
      <c r="C23" s="57">
        <v>0</v>
      </c>
      <c r="D23" s="57">
        <f>D22+(($D$24-$D$19)/5)</f>
        <v>1.2</v>
      </c>
      <c r="E23" s="57">
        <f>E22+0.7</f>
        <v>2.8</v>
      </c>
      <c r="F23" s="57">
        <f>F22+(F22-F21)</f>
        <v>4.4000000000000004</v>
      </c>
      <c r="G23" s="57">
        <f t="shared" ref="G23:L23" si="3">G22+(G22-G21)</f>
        <v>5.2000000000000011</v>
      </c>
      <c r="H23" s="57">
        <f t="shared" si="3"/>
        <v>6</v>
      </c>
      <c r="I23" s="57">
        <f t="shared" si="3"/>
        <v>6.7999999999999989</v>
      </c>
      <c r="J23" s="57">
        <f t="shared" si="3"/>
        <v>7.5999999999999988</v>
      </c>
      <c r="K23" s="57">
        <f t="shared" si="3"/>
        <v>8.4000000000000021</v>
      </c>
      <c r="L23" s="57">
        <f t="shared" si="3"/>
        <v>6</v>
      </c>
    </row>
    <row r="24" spans="2:12" ht="14.25">
      <c r="B24" s="14">
        <v>85</v>
      </c>
      <c r="C24" s="57">
        <v>0</v>
      </c>
      <c r="D24" s="57">
        <v>1.5</v>
      </c>
      <c r="E24" s="57">
        <v>3.5</v>
      </c>
      <c r="F24" s="57">
        <v>5.5</v>
      </c>
      <c r="G24" s="57">
        <v>6.5</v>
      </c>
      <c r="H24" s="57">
        <v>7.5</v>
      </c>
      <c r="I24" s="57">
        <v>8.5</v>
      </c>
      <c r="J24" s="57">
        <v>9.5</v>
      </c>
      <c r="K24" s="57">
        <v>10.5</v>
      </c>
      <c r="L24" s="57">
        <v>7.5</v>
      </c>
    </row>
    <row r="25" spans="2:12" ht="14.25">
      <c r="B25" s="14">
        <v>86</v>
      </c>
      <c r="C25" s="57">
        <v>0</v>
      </c>
      <c r="D25" s="57">
        <f t="shared" ref="D25:L25" si="4">D24+((D29-D24)/5)</f>
        <v>2.2000000000000002</v>
      </c>
      <c r="E25" s="57">
        <f t="shared" si="4"/>
        <v>5</v>
      </c>
      <c r="F25" s="57">
        <f t="shared" si="4"/>
        <v>7.4</v>
      </c>
      <c r="G25" s="57">
        <f t="shared" si="4"/>
        <v>8.6</v>
      </c>
      <c r="H25" s="57">
        <f t="shared" si="4"/>
        <v>9.4</v>
      </c>
      <c r="I25" s="57">
        <f t="shared" si="4"/>
        <v>10.6</v>
      </c>
      <c r="J25" s="57">
        <f t="shared" si="4"/>
        <v>11.8</v>
      </c>
      <c r="K25" s="57">
        <f t="shared" si="4"/>
        <v>12.8</v>
      </c>
      <c r="L25" s="57">
        <f t="shared" si="4"/>
        <v>9.1999999999999993</v>
      </c>
    </row>
    <row r="26" spans="2:12" ht="14.25">
      <c r="B26" s="14">
        <v>87</v>
      </c>
      <c r="C26" s="57">
        <v>0</v>
      </c>
      <c r="D26" s="57">
        <f t="shared" ref="D26:L28" si="5">D25+(D25-D24)</f>
        <v>2.9000000000000004</v>
      </c>
      <c r="E26" s="57">
        <f t="shared" si="5"/>
        <v>6.5</v>
      </c>
      <c r="F26" s="57">
        <f t="shared" si="5"/>
        <v>9.3000000000000007</v>
      </c>
      <c r="G26" s="57">
        <f t="shared" si="5"/>
        <v>10.7</v>
      </c>
      <c r="H26" s="57">
        <f t="shared" si="5"/>
        <v>11.3</v>
      </c>
      <c r="I26" s="57">
        <f t="shared" si="5"/>
        <v>12.7</v>
      </c>
      <c r="J26" s="57">
        <f t="shared" si="5"/>
        <v>14.100000000000001</v>
      </c>
      <c r="K26" s="57">
        <f t="shared" si="5"/>
        <v>15.100000000000001</v>
      </c>
      <c r="L26" s="57">
        <f t="shared" si="5"/>
        <v>10.899999999999999</v>
      </c>
    </row>
    <row r="27" spans="2:12" ht="14.25">
      <c r="B27" s="14">
        <v>88</v>
      </c>
      <c r="C27" s="57">
        <v>0</v>
      </c>
      <c r="D27" s="57">
        <f t="shared" si="5"/>
        <v>3.6000000000000005</v>
      </c>
      <c r="E27" s="57">
        <f t="shared" si="5"/>
        <v>8</v>
      </c>
      <c r="F27" s="57">
        <f t="shared" si="5"/>
        <v>11.200000000000001</v>
      </c>
      <c r="G27" s="57">
        <f t="shared" si="5"/>
        <v>12.799999999999999</v>
      </c>
      <c r="H27" s="57">
        <f t="shared" si="5"/>
        <v>13.200000000000001</v>
      </c>
      <c r="I27" s="57">
        <f t="shared" si="5"/>
        <v>14.799999999999999</v>
      </c>
      <c r="J27" s="57">
        <f t="shared" si="5"/>
        <v>16.400000000000002</v>
      </c>
      <c r="K27" s="57">
        <f t="shared" si="5"/>
        <v>17.400000000000002</v>
      </c>
      <c r="L27" s="57">
        <f t="shared" si="5"/>
        <v>12.599999999999998</v>
      </c>
    </row>
    <row r="28" spans="2:12" ht="14.25">
      <c r="B28" s="14">
        <v>89</v>
      </c>
      <c r="C28" s="57">
        <v>0</v>
      </c>
      <c r="D28" s="57">
        <f t="shared" si="5"/>
        <v>4.3000000000000007</v>
      </c>
      <c r="E28" s="57">
        <f t="shared" si="5"/>
        <v>9.5</v>
      </c>
      <c r="F28" s="57">
        <f t="shared" si="5"/>
        <v>13.100000000000001</v>
      </c>
      <c r="G28" s="57">
        <f t="shared" si="5"/>
        <v>14.899999999999999</v>
      </c>
      <c r="H28" s="57">
        <f t="shared" si="5"/>
        <v>15.100000000000001</v>
      </c>
      <c r="I28" s="57">
        <f t="shared" si="5"/>
        <v>16.899999999999999</v>
      </c>
      <c r="J28" s="57">
        <f t="shared" si="5"/>
        <v>18.700000000000003</v>
      </c>
      <c r="K28" s="57">
        <f t="shared" si="5"/>
        <v>19.700000000000003</v>
      </c>
      <c r="L28" s="57">
        <f t="shared" si="5"/>
        <v>14.299999999999997</v>
      </c>
    </row>
    <row r="29" spans="2:12" ht="14.25">
      <c r="B29" s="14">
        <v>90</v>
      </c>
      <c r="C29" s="57">
        <v>0</v>
      </c>
      <c r="D29" s="57">
        <v>5</v>
      </c>
      <c r="E29" s="57">
        <v>11</v>
      </c>
      <c r="F29" s="57">
        <v>15</v>
      </c>
      <c r="G29" s="57">
        <v>17</v>
      </c>
      <c r="H29" s="57">
        <v>17</v>
      </c>
      <c r="I29" s="57">
        <v>19</v>
      </c>
      <c r="J29" s="57">
        <v>21</v>
      </c>
      <c r="K29" s="57">
        <v>22</v>
      </c>
      <c r="L29" s="57">
        <v>16</v>
      </c>
    </row>
    <row r="30" spans="2:12" ht="14.25">
      <c r="B30" s="14">
        <v>91</v>
      </c>
      <c r="C30" s="57">
        <v>0</v>
      </c>
      <c r="D30" s="57">
        <f t="shared" ref="D30:L30" si="6">D29+((D34-D29)/5)</f>
        <v>5.8</v>
      </c>
      <c r="E30" s="57">
        <f t="shared" si="6"/>
        <v>12.6</v>
      </c>
      <c r="F30" s="57">
        <f t="shared" si="6"/>
        <v>17.2</v>
      </c>
      <c r="G30" s="57">
        <f t="shared" si="6"/>
        <v>19.600000000000001</v>
      </c>
      <c r="H30" s="57">
        <f t="shared" si="6"/>
        <v>19.8</v>
      </c>
      <c r="I30" s="57">
        <f t="shared" si="6"/>
        <v>21.8</v>
      </c>
      <c r="J30" s="57">
        <f t="shared" si="6"/>
        <v>23.6</v>
      </c>
      <c r="K30" s="57">
        <f t="shared" si="6"/>
        <v>23.8</v>
      </c>
      <c r="L30" s="57">
        <f t="shared" si="6"/>
        <v>17.8</v>
      </c>
    </row>
    <row r="31" spans="2:12" ht="14.25">
      <c r="B31" s="14">
        <v>92</v>
      </c>
      <c r="C31" s="57">
        <v>0</v>
      </c>
      <c r="D31" s="57">
        <f t="shared" ref="D31:L33" si="7">D30+(D30-D29)</f>
        <v>6.6</v>
      </c>
      <c r="E31" s="57">
        <f t="shared" si="7"/>
        <v>14.2</v>
      </c>
      <c r="F31" s="57">
        <f t="shared" si="7"/>
        <v>19.399999999999999</v>
      </c>
      <c r="G31" s="57">
        <f t="shared" si="7"/>
        <v>22.200000000000003</v>
      </c>
      <c r="H31" s="57">
        <f t="shared" si="7"/>
        <v>22.6</v>
      </c>
      <c r="I31" s="57">
        <f t="shared" si="7"/>
        <v>24.6</v>
      </c>
      <c r="J31" s="57">
        <f t="shared" si="7"/>
        <v>26.200000000000003</v>
      </c>
      <c r="K31" s="57">
        <f t="shared" si="7"/>
        <v>25.6</v>
      </c>
      <c r="L31" s="57">
        <f t="shared" si="7"/>
        <v>19.600000000000001</v>
      </c>
    </row>
    <row r="32" spans="2:12" ht="14.25">
      <c r="B32" s="14">
        <v>93</v>
      </c>
      <c r="C32" s="57">
        <v>0</v>
      </c>
      <c r="D32" s="57">
        <f t="shared" si="7"/>
        <v>7.3999999999999995</v>
      </c>
      <c r="E32" s="57">
        <f t="shared" si="7"/>
        <v>15.799999999999999</v>
      </c>
      <c r="F32" s="57">
        <f t="shared" si="7"/>
        <v>21.599999999999998</v>
      </c>
      <c r="G32" s="57">
        <f t="shared" si="7"/>
        <v>24.800000000000004</v>
      </c>
      <c r="H32" s="57">
        <f t="shared" si="7"/>
        <v>25.400000000000002</v>
      </c>
      <c r="I32" s="57">
        <f t="shared" si="7"/>
        <v>27.400000000000002</v>
      </c>
      <c r="J32" s="57">
        <f t="shared" si="7"/>
        <v>28.800000000000004</v>
      </c>
      <c r="K32" s="57">
        <f t="shared" si="7"/>
        <v>27.400000000000002</v>
      </c>
      <c r="L32" s="57">
        <f t="shared" si="7"/>
        <v>21.400000000000002</v>
      </c>
    </row>
    <row r="33" spans="2:12" ht="14.25">
      <c r="B33" s="14">
        <v>94</v>
      </c>
      <c r="C33" s="57">
        <v>0</v>
      </c>
      <c r="D33" s="57">
        <f t="shared" si="7"/>
        <v>8.1999999999999993</v>
      </c>
      <c r="E33" s="57">
        <f t="shared" si="7"/>
        <v>17.399999999999999</v>
      </c>
      <c r="F33" s="57">
        <f t="shared" si="7"/>
        <v>23.799999999999997</v>
      </c>
      <c r="G33" s="57">
        <f t="shared" si="7"/>
        <v>27.400000000000006</v>
      </c>
      <c r="H33" s="57">
        <f t="shared" si="7"/>
        <v>28.200000000000003</v>
      </c>
      <c r="I33" s="57">
        <f t="shared" si="7"/>
        <v>30.200000000000003</v>
      </c>
      <c r="J33" s="57">
        <f t="shared" si="7"/>
        <v>31.400000000000006</v>
      </c>
      <c r="K33" s="57">
        <f t="shared" si="7"/>
        <v>29.200000000000003</v>
      </c>
      <c r="L33" s="57">
        <f t="shared" si="7"/>
        <v>23.200000000000003</v>
      </c>
    </row>
    <row r="34" spans="2:12" ht="14.25">
      <c r="B34" s="14">
        <v>95</v>
      </c>
      <c r="C34" s="57">
        <v>0</v>
      </c>
      <c r="D34" s="57">
        <v>9</v>
      </c>
      <c r="E34" s="57">
        <v>19</v>
      </c>
      <c r="F34" s="57">
        <v>26</v>
      </c>
      <c r="G34" s="57">
        <v>30</v>
      </c>
      <c r="H34" s="57">
        <v>31</v>
      </c>
      <c r="I34" s="57">
        <v>33</v>
      </c>
      <c r="J34" s="57">
        <v>34</v>
      </c>
      <c r="K34" s="57">
        <v>31</v>
      </c>
      <c r="L34" s="57">
        <v>25</v>
      </c>
    </row>
    <row r="35" spans="2:12" ht="14.25">
      <c r="B35" s="14">
        <v>96</v>
      </c>
      <c r="C35" s="57">
        <v>0</v>
      </c>
      <c r="D35" s="57">
        <f t="shared" ref="D35:L35" si="8">D34+((D39-D34)/5)</f>
        <v>10.1</v>
      </c>
      <c r="E35" s="57">
        <f t="shared" si="8"/>
        <v>21.5</v>
      </c>
      <c r="F35" s="57">
        <f t="shared" si="8"/>
        <v>28.7</v>
      </c>
      <c r="G35" s="57">
        <f t="shared" si="8"/>
        <v>32.9</v>
      </c>
      <c r="H35" s="57">
        <f t="shared" si="8"/>
        <v>33.9</v>
      </c>
      <c r="I35" s="57">
        <f t="shared" si="8"/>
        <v>35.700000000000003</v>
      </c>
      <c r="J35" s="57">
        <f t="shared" si="8"/>
        <v>36.5</v>
      </c>
      <c r="K35" s="57">
        <f t="shared" si="8"/>
        <v>33.5</v>
      </c>
      <c r="L35" s="57">
        <f t="shared" si="8"/>
        <v>27.1</v>
      </c>
    </row>
    <row r="36" spans="2:12" ht="14.25">
      <c r="B36" s="14">
        <v>97</v>
      </c>
      <c r="C36" s="57">
        <v>0</v>
      </c>
      <c r="D36" s="57">
        <f t="shared" ref="D36:L38" si="9">D35+(D35-D34)</f>
        <v>11.2</v>
      </c>
      <c r="E36" s="57">
        <f t="shared" si="9"/>
        <v>24</v>
      </c>
      <c r="F36" s="57">
        <f t="shared" si="9"/>
        <v>31.4</v>
      </c>
      <c r="G36" s="57">
        <f t="shared" si="9"/>
        <v>35.799999999999997</v>
      </c>
      <c r="H36" s="57">
        <f t="shared" si="9"/>
        <v>36.799999999999997</v>
      </c>
      <c r="I36" s="57">
        <f t="shared" si="9"/>
        <v>38.400000000000006</v>
      </c>
      <c r="J36" s="57">
        <f t="shared" si="9"/>
        <v>39</v>
      </c>
      <c r="K36" s="57">
        <f t="shared" si="9"/>
        <v>36</v>
      </c>
      <c r="L36" s="57">
        <f t="shared" si="9"/>
        <v>29.200000000000003</v>
      </c>
    </row>
    <row r="37" spans="2:12" ht="14.25">
      <c r="B37" s="14">
        <v>98</v>
      </c>
      <c r="C37" s="57">
        <v>0</v>
      </c>
      <c r="D37" s="57">
        <f t="shared" si="9"/>
        <v>12.299999999999999</v>
      </c>
      <c r="E37" s="57">
        <f t="shared" si="9"/>
        <v>26.5</v>
      </c>
      <c r="F37" s="57">
        <f t="shared" si="9"/>
        <v>34.099999999999994</v>
      </c>
      <c r="G37" s="57">
        <f t="shared" si="9"/>
        <v>38.699999999999996</v>
      </c>
      <c r="H37" s="57">
        <f t="shared" si="9"/>
        <v>39.699999999999996</v>
      </c>
      <c r="I37" s="57">
        <f t="shared" si="9"/>
        <v>41.100000000000009</v>
      </c>
      <c r="J37" s="57">
        <f t="shared" si="9"/>
        <v>41.5</v>
      </c>
      <c r="K37" s="57">
        <f t="shared" si="9"/>
        <v>38.5</v>
      </c>
      <c r="L37" s="57">
        <f t="shared" si="9"/>
        <v>31.300000000000004</v>
      </c>
    </row>
    <row r="38" spans="2:12" ht="14.25">
      <c r="B38" s="14">
        <v>99</v>
      </c>
      <c r="C38" s="57">
        <v>0</v>
      </c>
      <c r="D38" s="57">
        <f t="shared" si="9"/>
        <v>13.399999999999999</v>
      </c>
      <c r="E38" s="57">
        <f t="shared" si="9"/>
        <v>29</v>
      </c>
      <c r="F38" s="57">
        <f t="shared" si="9"/>
        <v>36.79999999999999</v>
      </c>
      <c r="G38" s="57">
        <f t="shared" si="9"/>
        <v>41.599999999999994</v>
      </c>
      <c r="H38" s="57">
        <f t="shared" si="9"/>
        <v>42.599999999999994</v>
      </c>
      <c r="I38" s="57">
        <f t="shared" si="9"/>
        <v>43.800000000000011</v>
      </c>
      <c r="J38" s="57">
        <f t="shared" si="9"/>
        <v>44</v>
      </c>
      <c r="K38" s="57">
        <f t="shared" si="9"/>
        <v>41</v>
      </c>
      <c r="L38" s="57">
        <f t="shared" si="9"/>
        <v>33.400000000000006</v>
      </c>
    </row>
    <row r="39" spans="2:12" ht="14.25">
      <c r="B39" s="14">
        <v>100</v>
      </c>
      <c r="C39" s="57">
        <v>0</v>
      </c>
      <c r="D39" s="57">
        <v>14.5</v>
      </c>
      <c r="E39" s="57">
        <v>31.5</v>
      </c>
      <c r="F39" s="57">
        <v>39.5</v>
      </c>
      <c r="G39" s="57">
        <v>44.5</v>
      </c>
      <c r="H39" s="57">
        <v>45.5</v>
      </c>
      <c r="I39" s="57">
        <v>46.5</v>
      </c>
      <c r="J39" s="57">
        <v>46.5</v>
      </c>
      <c r="K39" s="57">
        <v>43.5</v>
      </c>
      <c r="L39" s="57">
        <v>35.5</v>
      </c>
    </row>
    <row r="40" spans="2:12" ht="14.25">
      <c r="B40" s="14">
        <v>101</v>
      </c>
      <c r="C40" s="57">
        <v>0</v>
      </c>
      <c r="D40" s="57">
        <f t="shared" ref="D40:L40" si="10">D39+((D44-D39)/5)</f>
        <v>15.7</v>
      </c>
      <c r="E40" s="57">
        <f t="shared" si="10"/>
        <v>34.1</v>
      </c>
      <c r="F40" s="57">
        <f t="shared" si="10"/>
        <v>42.7</v>
      </c>
      <c r="G40" s="57">
        <f t="shared" si="10"/>
        <v>47.7</v>
      </c>
      <c r="H40" s="57">
        <f t="shared" si="10"/>
        <v>48.9</v>
      </c>
      <c r="I40" s="57">
        <f t="shared" si="10"/>
        <v>50.1</v>
      </c>
      <c r="J40" s="57">
        <f t="shared" si="10"/>
        <v>49.9</v>
      </c>
      <c r="K40" s="57">
        <f t="shared" si="10"/>
        <v>46.1</v>
      </c>
      <c r="L40" s="57">
        <f t="shared" si="10"/>
        <v>37.1</v>
      </c>
    </row>
    <row r="41" spans="2:12" ht="14.25">
      <c r="B41" s="14">
        <v>102</v>
      </c>
      <c r="C41" s="57">
        <v>0</v>
      </c>
      <c r="D41" s="57">
        <f t="shared" ref="D41:L43" si="11">D40+(D40-D39)</f>
        <v>16.899999999999999</v>
      </c>
      <c r="E41" s="57">
        <f t="shared" si="11"/>
        <v>36.700000000000003</v>
      </c>
      <c r="F41" s="57">
        <f t="shared" si="11"/>
        <v>45.900000000000006</v>
      </c>
      <c r="G41" s="57">
        <f t="shared" si="11"/>
        <v>50.900000000000006</v>
      </c>
      <c r="H41" s="57">
        <f t="shared" si="11"/>
        <v>52.3</v>
      </c>
      <c r="I41" s="57">
        <f t="shared" si="11"/>
        <v>53.7</v>
      </c>
      <c r="J41" s="57">
        <f t="shared" si="11"/>
        <v>53.3</v>
      </c>
      <c r="K41" s="57">
        <f t="shared" si="11"/>
        <v>48.7</v>
      </c>
      <c r="L41" s="57">
        <f t="shared" si="11"/>
        <v>38.700000000000003</v>
      </c>
    </row>
    <row r="42" spans="2:12" ht="14.25">
      <c r="B42" s="14">
        <v>103</v>
      </c>
      <c r="C42" s="57">
        <v>0</v>
      </c>
      <c r="D42" s="57">
        <f t="shared" si="11"/>
        <v>18.099999999999998</v>
      </c>
      <c r="E42" s="57">
        <f t="shared" si="11"/>
        <v>39.300000000000004</v>
      </c>
      <c r="F42" s="57">
        <f t="shared" si="11"/>
        <v>49.100000000000009</v>
      </c>
      <c r="G42" s="57">
        <f t="shared" si="11"/>
        <v>54.100000000000009</v>
      </c>
      <c r="H42" s="57">
        <f t="shared" si="11"/>
        <v>55.699999999999996</v>
      </c>
      <c r="I42" s="57">
        <f t="shared" si="11"/>
        <v>57.300000000000004</v>
      </c>
      <c r="J42" s="57">
        <f t="shared" si="11"/>
        <v>56.699999999999996</v>
      </c>
      <c r="K42" s="57">
        <f t="shared" si="11"/>
        <v>51.300000000000004</v>
      </c>
      <c r="L42" s="57">
        <f t="shared" si="11"/>
        <v>40.300000000000004</v>
      </c>
    </row>
    <row r="43" spans="2:12" ht="14.25">
      <c r="B43" s="14">
        <v>104</v>
      </c>
      <c r="C43" s="57">
        <v>0</v>
      </c>
      <c r="D43" s="57">
        <f t="shared" si="11"/>
        <v>19.299999999999997</v>
      </c>
      <c r="E43" s="57">
        <f t="shared" si="11"/>
        <v>41.900000000000006</v>
      </c>
      <c r="F43" s="57">
        <f t="shared" si="11"/>
        <v>52.300000000000011</v>
      </c>
      <c r="G43" s="57">
        <f t="shared" si="11"/>
        <v>57.300000000000011</v>
      </c>
      <c r="H43" s="57">
        <f t="shared" si="11"/>
        <v>59.099999999999994</v>
      </c>
      <c r="I43" s="57">
        <f t="shared" si="11"/>
        <v>60.900000000000006</v>
      </c>
      <c r="J43" s="57">
        <f t="shared" si="11"/>
        <v>60.099999999999994</v>
      </c>
      <c r="K43" s="57">
        <f t="shared" si="11"/>
        <v>53.900000000000006</v>
      </c>
      <c r="L43" s="57">
        <f t="shared" si="11"/>
        <v>41.900000000000006</v>
      </c>
    </row>
    <row r="44" spans="2:12" ht="14.25">
      <c r="B44" s="14">
        <v>105</v>
      </c>
      <c r="C44" s="57">
        <v>0</v>
      </c>
      <c r="D44" s="57">
        <v>20.5</v>
      </c>
      <c r="E44" s="57">
        <v>44.5</v>
      </c>
      <c r="F44" s="57">
        <v>55.5</v>
      </c>
      <c r="G44" s="57">
        <v>60.5</v>
      </c>
      <c r="H44" s="57">
        <v>62.5</v>
      </c>
      <c r="I44" s="57">
        <v>64.5</v>
      </c>
      <c r="J44" s="57">
        <v>63.5</v>
      </c>
      <c r="K44" s="57">
        <v>56.5</v>
      </c>
      <c r="L44" s="57">
        <v>43.5</v>
      </c>
    </row>
    <row r="45" spans="2:12" ht="14.25">
      <c r="B45" s="14">
        <v>106</v>
      </c>
      <c r="C45" s="57">
        <v>0</v>
      </c>
      <c r="D45" s="57">
        <f t="shared" ref="D45:L45" si="12">D44+((D49-D44)/5)</f>
        <v>22.1</v>
      </c>
      <c r="E45" s="57">
        <f t="shared" si="12"/>
        <v>47.1</v>
      </c>
      <c r="F45" s="57">
        <f t="shared" si="12"/>
        <v>59.1</v>
      </c>
      <c r="G45" s="57">
        <f t="shared" si="12"/>
        <v>64.5</v>
      </c>
      <c r="H45" s="57">
        <f t="shared" si="12"/>
        <v>66.099999999999994</v>
      </c>
      <c r="I45" s="57">
        <f t="shared" si="12"/>
        <v>67.5</v>
      </c>
      <c r="J45" s="57">
        <f t="shared" si="12"/>
        <v>65.7</v>
      </c>
      <c r="K45" s="57">
        <f t="shared" si="12"/>
        <v>58.1</v>
      </c>
      <c r="L45" s="57">
        <f t="shared" si="12"/>
        <v>44.3</v>
      </c>
    </row>
    <row r="46" spans="2:12" ht="14.25">
      <c r="B46" s="14">
        <v>107</v>
      </c>
      <c r="C46" s="57">
        <v>0</v>
      </c>
      <c r="D46" s="57">
        <f t="shared" ref="D46:L48" si="13">D45+(D45-D44)</f>
        <v>23.700000000000003</v>
      </c>
      <c r="E46" s="57">
        <f t="shared" si="13"/>
        <v>49.7</v>
      </c>
      <c r="F46" s="57">
        <f t="shared" si="13"/>
        <v>62.7</v>
      </c>
      <c r="G46" s="57">
        <f t="shared" si="13"/>
        <v>68.5</v>
      </c>
      <c r="H46" s="57">
        <f t="shared" si="13"/>
        <v>69.699999999999989</v>
      </c>
      <c r="I46" s="57">
        <f t="shared" si="13"/>
        <v>70.5</v>
      </c>
      <c r="J46" s="57">
        <f t="shared" si="13"/>
        <v>67.900000000000006</v>
      </c>
      <c r="K46" s="57">
        <f t="shared" si="13"/>
        <v>59.7</v>
      </c>
      <c r="L46" s="57">
        <f t="shared" si="13"/>
        <v>45.099999999999994</v>
      </c>
    </row>
    <row r="47" spans="2:12" ht="14.25">
      <c r="B47" s="14">
        <v>108</v>
      </c>
      <c r="C47" s="57">
        <v>0</v>
      </c>
      <c r="D47" s="57">
        <f t="shared" si="13"/>
        <v>25.300000000000004</v>
      </c>
      <c r="E47" s="57">
        <f t="shared" si="13"/>
        <v>52.300000000000004</v>
      </c>
      <c r="F47" s="57">
        <f t="shared" si="13"/>
        <v>66.300000000000011</v>
      </c>
      <c r="G47" s="57">
        <f t="shared" si="13"/>
        <v>72.5</v>
      </c>
      <c r="H47" s="57">
        <f t="shared" si="13"/>
        <v>73.299999999999983</v>
      </c>
      <c r="I47" s="57">
        <f t="shared" si="13"/>
        <v>73.5</v>
      </c>
      <c r="J47" s="57">
        <f t="shared" si="13"/>
        <v>70.100000000000009</v>
      </c>
      <c r="K47" s="57">
        <f t="shared" si="13"/>
        <v>61.300000000000004</v>
      </c>
      <c r="L47" s="57">
        <f t="shared" si="13"/>
        <v>45.899999999999991</v>
      </c>
    </row>
    <row r="48" spans="2:12" ht="14.25">
      <c r="B48" s="14">
        <v>109</v>
      </c>
      <c r="C48" s="57">
        <v>0</v>
      </c>
      <c r="D48" s="57">
        <f t="shared" si="13"/>
        <v>26.900000000000006</v>
      </c>
      <c r="E48" s="57">
        <f t="shared" si="13"/>
        <v>54.900000000000006</v>
      </c>
      <c r="F48" s="57">
        <f t="shared" si="13"/>
        <v>69.90000000000002</v>
      </c>
      <c r="G48" s="57">
        <f t="shared" si="13"/>
        <v>76.5</v>
      </c>
      <c r="H48" s="57">
        <f t="shared" si="13"/>
        <v>76.899999999999977</v>
      </c>
      <c r="I48" s="57">
        <f t="shared" si="13"/>
        <v>76.5</v>
      </c>
      <c r="J48" s="57">
        <f t="shared" si="13"/>
        <v>72.300000000000011</v>
      </c>
      <c r="K48" s="57">
        <f t="shared" si="13"/>
        <v>62.900000000000006</v>
      </c>
      <c r="L48" s="57">
        <f t="shared" si="13"/>
        <v>46.699999999999989</v>
      </c>
    </row>
    <row r="49" spans="2:12" ht="14.25">
      <c r="B49" s="14">
        <v>110</v>
      </c>
      <c r="C49" s="57">
        <v>0</v>
      </c>
      <c r="D49" s="57">
        <v>28.5</v>
      </c>
      <c r="E49" s="57">
        <v>57.5</v>
      </c>
      <c r="F49" s="57">
        <v>73.5</v>
      </c>
      <c r="G49" s="57">
        <v>80.5</v>
      </c>
      <c r="H49" s="57">
        <v>80.5</v>
      </c>
      <c r="I49" s="57">
        <v>79.5</v>
      </c>
      <c r="J49" s="57">
        <v>74.5</v>
      </c>
      <c r="K49" s="57">
        <v>64.5</v>
      </c>
      <c r="L49" s="57">
        <v>47.5</v>
      </c>
    </row>
    <row r="50" spans="2:12" ht="14.25">
      <c r="B50" s="14">
        <v>111</v>
      </c>
      <c r="C50" s="57">
        <v>0</v>
      </c>
      <c r="D50" s="57">
        <f t="shared" ref="D50:L50" si="14">D49+((D54-D49)/5)</f>
        <v>30.5</v>
      </c>
      <c r="E50" s="57">
        <f t="shared" si="14"/>
        <v>60.7</v>
      </c>
      <c r="F50" s="57">
        <f t="shared" si="14"/>
        <v>75.900000000000006</v>
      </c>
      <c r="G50" s="57">
        <f t="shared" si="14"/>
        <v>82.3</v>
      </c>
      <c r="H50" s="57">
        <f t="shared" si="14"/>
        <v>81.7</v>
      </c>
      <c r="I50" s="57">
        <f t="shared" si="14"/>
        <v>80.3</v>
      </c>
      <c r="J50" s="57">
        <f t="shared" si="14"/>
        <v>75.099999999999994</v>
      </c>
      <c r="K50" s="57">
        <f t="shared" si="14"/>
        <v>64.900000000000006</v>
      </c>
      <c r="L50" s="57">
        <f t="shared" si="14"/>
        <v>47.9</v>
      </c>
    </row>
    <row r="51" spans="2:12" ht="14.25">
      <c r="B51" s="14">
        <v>112</v>
      </c>
      <c r="C51" s="57">
        <v>0</v>
      </c>
      <c r="D51" s="57">
        <f t="shared" ref="D51:L53" si="15">D50+(D50-D49)</f>
        <v>32.5</v>
      </c>
      <c r="E51" s="57">
        <f t="shared" si="15"/>
        <v>63.900000000000006</v>
      </c>
      <c r="F51" s="57">
        <f t="shared" si="15"/>
        <v>78.300000000000011</v>
      </c>
      <c r="G51" s="57">
        <f t="shared" si="15"/>
        <v>84.1</v>
      </c>
      <c r="H51" s="57">
        <f t="shared" si="15"/>
        <v>82.9</v>
      </c>
      <c r="I51" s="57">
        <f t="shared" si="15"/>
        <v>81.099999999999994</v>
      </c>
      <c r="J51" s="57">
        <f t="shared" si="15"/>
        <v>75.699999999999989</v>
      </c>
      <c r="K51" s="57">
        <f t="shared" si="15"/>
        <v>65.300000000000011</v>
      </c>
      <c r="L51" s="57">
        <f t="shared" si="15"/>
        <v>48.3</v>
      </c>
    </row>
    <row r="52" spans="2:12" ht="14.25">
      <c r="B52" s="14">
        <v>113</v>
      </c>
      <c r="C52" s="57">
        <v>0</v>
      </c>
      <c r="D52" s="57">
        <f t="shared" si="15"/>
        <v>34.5</v>
      </c>
      <c r="E52" s="57">
        <f t="shared" si="15"/>
        <v>67.100000000000009</v>
      </c>
      <c r="F52" s="57">
        <f t="shared" si="15"/>
        <v>80.700000000000017</v>
      </c>
      <c r="G52" s="57">
        <f t="shared" si="15"/>
        <v>85.899999999999991</v>
      </c>
      <c r="H52" s="57">
        <f t="shared" si="15"/>
        <v>84.100000000000009</v>
      </c>
      <c r="I52" s="57">
        <f t="shared" si="15"/>
        <v>81.899999999999991</v>
      </c>
      <c r="J52" s="57">
        <f t="shared" si="15"/>
        <v>76.299999999999983</v>
      </c>
      <c r="K52" s="57">
        <f t="shared" si="15"/>
        <v>65.700000000000017</v>
      </c>
      <c r="L52" s="57">
        <f t="shared" si="15"/>
        <v>48.699999999999996</v>
      </c>
    </row>
    <row r="53" spans="2:12" ht="14.25">
      <c r="B53" s="14">
        <v>114</v>
      </c>
      <c r="C53" s="57">
        <v>0</v>
      </c>
      <c r="D53" s="57">
        <f t="shared" si="15"/>
        <v>36.5</v>
      </c>
      <c r="E53" s="57">
        <f t="shared" si="15"/>
        <v>70.300000000000011</v>
      </c>
      <c r="F53" s="57">
        <f t="shared" si="15"/>
        <v>83.100000000000023</v>
      </c>
      <c r="G53" s="57">
        <f t="shared" si="15"/>
        <v>87.699999999999989</v>
      </c>
      <c r="H53" s="57">
        <f t="shared" si="15"/>
        <v>85.300000000000011</v>
      </c>
      <c r="I53" s="57">
        <f t="shared" si="15"/>
        <v>82.699999999999989</v>
      </c>
      <c r="J53" s="57">
        <f t="shared" si="15"/>
        <v>76.899999999999977</v>
      </c>
      <c r="K53" s="57">
        <f t="shared" si="15"/>
        <v>66.100000000000023</v>
      </c>
      <c r="L53" s="57">
        <f t="shared" si="15"/>
        <v>49.099999999999994</v>
      </c>
    </row>
    <row r="54" spans="2:12" ht="14.25">
      <c r="B54" s="14">
        <v>115</v>
      </c>
      <c r="C54" s="57">
        <v>0</v>
      </c>
      <c r="D54" s="57">
        <v>38.5</v>
      </c>
      <c r="E54" s="57">
        <v>73.5</v>
      </c>
      <c r="F54" s="57">
        <v>85.5</v>
      </c>
      <c r="G54" s="57">
        <v>89.5</v>
      </c>
      <c r="H54" s="57">
        <v>86.5</v>
      </c>
      <c r="I54" s="57">
        <v>83.5</v>
      </c>
      <c r="J54" s="57">
        <v>77.5</v>
      </c>
      <c r="K54" s="57">
        <v>66.5</v>
      </c>
      <c r="L54" s="57">
        <v>49.5</v>
      </c>
    </row>
    <row r="56" spans="2:12" ht="15">
      <c r="B56" s="54"/>
      <c r="C56" s="55"/>
    </row>
    <row r="57" spans="2:12" ht="15">
      <c r="B57" s="54"/>
      <c r="C57" s="55"/>
    </row>
    <row r="58" spans="2:12" ht="15">
      <c r="B58" s="54"/>
      <c r="C58" s="55"/>
    </row>
    <row r="59" spans="2:12" ht="15">
      <c r="B59" s="54"/>
      <c r="C59" s="55"/>
    </row>
    <row r="60" spans="2:12" ht="15">
      <c r="B60" s="54"/>
      <c r="C60" s="55"/>
    </row>
    <row r="61" spans="2:12" ht="15">
      <c r="B61" s="54"/>
      <c r="C61" s="55"/>
    </row>
    <row r="62" spans="2:12" ht="15">
      <c r="B62" s="54"/>
      <c r="C62" s="55"/>
    </row>
    <row r="63" spans="2:12" ht="15">
      <c r="B63" s="54"/>
      <c r="C63" s="55"/>
    </row>
    <row r="64" spans="2:12" ht="15">
      <c r="B64" s="54"/>
      <c r="C64" s="55"/>
    </row>
    <row r="65" spans="2:3" ht="15">
      <c r="B65" s="54"/>
      <c r="C65" s="55"/>
    </row>
    <row r="66" spans="2:3" ht="15">
      <c r="B66" s="54"/>
      <c r="C66" s="55"/>
    </row>
    <row r="67" spans="2:3" ht="15">
      <c r="B67" s="54"/>
      <c r="C67" s="55"/>
    </row>
    <row r="68" spans="2:3" ht="15">
      <c r="B68" s="54"/>
      <c r="C68" s="55"/>
    </row>
    <row r="69" spans="2:3" ht="15">
      <c r="B69" s="54"/>
      <c r="C69" s="55"/>
    </row>
    <row r="70" spans="2:3" ht="15">
      <c r="B70" s="54"/>
      <c r="C70" s="55"/>
    </row>
    <row r="71" spans="2:3" ht="15">
      <c r="B71" s="54"/>
      <c r="C71" s="55"/>
    </row>
    <row r="72" spans="2:3" ht="15">
      <c r="B72" s="54"/>
      <c r="C72" s="55"/>
    </row>
    <row r="73" spans="2:3" ht="15">
      <c r="B73" s="54"/>
      <c r="C73" s="55"/>
    </row>
    <row r="74" spans="2:3" ht="15">
      <c r="B74" s="54"/>
      <c r="C74" s="55"/>
    </row>
    <row r="75" spans="2:3" ht="15">
      <c r="B75" s="54"/>
      <c r="C75" s="55"/>
    </row>
    <row r="76" spans="2:3" ht="15">
      <c r="B76" s="54"/>
      <c r="C76" s="55"/>
    </row>
    <row r="77" spans="2:3" ht="15">
      <c r="B77" s="54"/>
      <c r="C77" s="55"/>
    </row>
    <row r="78" spans="2:3" ht="15">
      <c r="B78" s="54"/>
      <c r="C78" s="55"/>
    </row>
    <row r="79" spans="2:3" ht="15">
      <c r="B79" s="54"/>
      <c r="C79" s="55"/>
    </row>
    <row r="80" spans="2:3" ht="15">
      <c r="B80" s="54"/>
      <c r="C80" s="55"/>
    </row>
    <row r="81" spans="2:3" ht="15">
      <c r="B81" s="54"/>
      <c r="C81" s="55"/>
    </row>
    <row r="82" spans="2:3" ht="15">
      <c r="B82" s="54"/>
      <c r="C82" s="55"/>
    </row>
    <row r="83" spans="2:3" ht="15">
      <c r="B83" s="54"/>
      <c r="C83" s="55"/>
    </row>
    <row r="84" spans="2:3" ht="15">
      <c r="B84" s="54"/>
      <c r="C84" s="55"/>
    </row>
    <row r="85" spans="2:3" ht="15">
      <c r="B85" s="54"/>
      <c r="C85" s="55"/>
    </row>
    <row r="86" spans="2:3" ht="15">
      <c r="B86" s="54"/>
      <c r="C86" s="55"/>
    </row>
    <row r="87" spans="2:3" ht="15">
      <c r="B87" s="54"/>
      <c r="C87" s="55"/>
    </row>
    <row r="88" spans="2:3" ht="15">
      <c r="B88" s="54"/>
      <c r="C88" s="55"/>
    </row>
    <row r="89" spans="2:3" ht="15">
      <c r="B89" s="54"/>
      <c r="C89" s="55"/>
    </row>
    <row r="90" spans="2:3" ht="15">
      <c r="B90" s="54"/>
      <c r="C90" s="55"/>
    </row>
    <row r="91" spans="2:3" ht="15">
      <c r="B91" s="54"/>
      <c r="C91" s="55"/>
    </row>
    <row r="92" spans="2:3" ht="15">
      <c r="B92" s="54"/>
      <c r="C92" s="55"/>
    </row>
    <row r="93" spans="2:3" ht="15">
      <c r="B93" s="54"/>
      <c r="C93" s="55"/>
    </row>
    <row r="94" spans="2:3" ht="15">
      <c r="B94" s="54"/>
      <c r="C94" s="55"/>
    </row>
  </sheetData>
  <sheetProtection password="C9F1" sheet="1" objects="1" scenarios="1"/>
  <mergeCells count="5">
    <mergeCell ref="B3:B5"/>
    <mergeCell ref="C3:J5"/>
    <mergeCell ref="B1:J2"/>
    <mergeCell ref="C7:L7"/>
    <mergeCell ref="B7:B8"/>
  </mergeCells>
  <phoneticPr fontId="0" type="noConversion"/>
  <pageMargins left="0.75" right="0.75" top="1" bottom="1" header="0.5" footer="0.5"/>
  <pageSetup paperSize="9" scale="87" fitToHeight="2" orientation="portrait" r:id="rId1"/>
  <headerFooter alignWithMargins="0"/>
</worksheet>
</file>

<file path=xl/worksheets/sheet43.xml><?xml version="1.0" encoding="utf-8"?>
<worksheet xmlns="http://schemas.openxmlformats.org/spreadsheetml/2006/main" xmlns:r="http://schemas.openxmlformats.org/officeDocument/2006/relationships">
  <sheetPr codeName="Sheet39">
    <pageSetUpPr fitToPage="1"/>
  </sheetPr>
  <dimension ref="A1:M6372"/>
  <sheetViews>
    <sheetView workbookViewId="0">
      <selection activeCell="B1" sqref="B1:M1"/>
    </sheetView>
  </sheetViews>
  <sheetFormatPr defaultRowHeight="12.75"/>
  <cols>
    <col min="1" max="1" width="8.140625" customWidth="1"/>
    <col min="2" max="2" width="13.7109375" customWidth="1"/>
    <col min="3" max="8" width="8.7109375" customWidth="1"/>
    <col min="11" max="11" width="3.7109375" customWidth="1"/>
    <col min="12" max="13" width="14.7109375" customWidth="1"/>
  </cols>
  <sheetData>
    <row r="1" spans="1:13">
      <c r="B1" s="1357" t="s">
        <v>840</v>
      </c>
      <c r="C1" s="1357"/>
      <c r="D1" s="1357"/>
      <c r="E1" s="1357"/>
      <c r="F1" s="1357"/>
      <c r="G1" s="1357"/>
      <c r="H1" s="1357"/>
      <c r="I1" s="1357"/>
      <c r="J1" s="1357"/>
      <c r="K1" s="1357"/>
      <c r="L1" s="1357"/>
      <c r="M1" s="1357"/>
    </row>
    <row r="3" spans="1:13" ht="15" customHeight="1">
      <c r="B3" s="1344" t="s">
        <v>843</v>
      </c>
      <c r="C3" s="1358" t="s">
        <v>841</v>
      </c>
      <c r="D3" s="1358"/>
      <c r="E3" s="1358"/>
      <c r="F3" s="1358"/>
      <c r="G3" s="1358"/>
      <c r="H3" s="1358"/>
      <c r="I3" s="1358"/>
      <c r="J3" s="1358"/>
      <c r="L3" s="1359" t="s">
        <v>842</v>
      </c>
      <c r="M3" s="1359" t="s">
        <v>844</v>
      </c>
    </row>
    <row r="4" spans="1:13" ht="15" customHeight="1">
      <c r="B4" s="1344"/>
      <c r="C4" s="14">
        <v>0.25</v>
      </c>
      <c r="D4" s="14">
        <v>0.5</v>
      </c>
      <c r="E4" s="14">
        <v>1</v>
      </c>
      <c r="F4" s="14">
        <v>2</v>
      </c>
      <c r="G4" s="14">
        <v>4</v>
      </c>
      <c r="H4" s="39">
        <v>8</v>
      </c>
      <c r="I4" s="14">
        <v>10</v>
      </c>
      <c r="J4" s="14">
        <v>12</v>
      </c>
      <c r="L4" s="1359"/>
      <c r="M4" s="1359"/>
    </row>
    <row r="5" spans="1:13" ht="15" customHeight="1">
      <c r="B5" s="69">
        <v>50</v>
      </c>
      <c r="C5" s="83">
        <f t="shared" ref="C5:G6" si="0">D5/2</f>
        <v>3.125E-2</v>
      </c>
      <c r="D5" s="83">
        <f t="shared" si="0"/>
        <v>6.25E-2</v>
      </c>
      <c r="E5" s="83">
        <f t="shared" si="0"/>
        <v>0.125</v>
      </c>
      <c r="F5" s="83">
        <f t="shared" si="0"/>
        <v>0.25</v>
      </c>
      <c r="G5" s="83">
        <f t="shared" si="0"/>
        <v>0.5</v>
      </c>
      <c r="H5" s="84">
        <v>1</v>
      </c>
      <c r="I5" s="83">
        <f>E5*10</f>
        <v>1.25</v>
      </c>
      <c r="J5" s="83">
        <f>E5*12</f>
        <v>1.5</v>
      </c>
      <c r="L5" s="45">
        <v>1</v>
      </c>
      <c r="M5" s="45">
        <v>50</v>
      </c>
    </row>
    <row r="6" spans="1:13" ht="15" customHeight="1">
      <c r="B6" s="69">
        <v>60</v>
      </c>
      <c r="C6" s="83">
        <f t="shared" si="0"/>
        <v>6.25E-2</v>
      </c>
      <c r="D6" s="83">
        <f t="shared" si="0"/>
        <v>0.125</v>
      </c>
      <c r="E6" s="83">
        <f t="shared" si="0"/>
        <v>0.25</v>
      </c>
      <c r="F6" s="83">
        <f t="shared" si="0"/>
        <v>0.5</v>
      </c>
      <c r="G6" s="83">
        <f t="shared" si="0"/>
        <v>1</v>
      </c>
      <c r="H6" s="84">
        <v>2</v>
      </c>
      <c r="I6" s="83">
        <f>E6*10</f>
        <v>2.5</v>
      </c>
      <c r="J6" s="83">
        <f>E6*12</f>
        <v>3</v>
      </c>
      <c r="L6" s="45">
        <v>2</v>
      </c>
      <c r="M6" s="45">
        <v>60</v>
      </c>
    </row>
    <row r="7" spans="1:13" ht="15" customHeight="1">
      <c r="A7" s="52"/>
      <c r="B7" s="92">
        <v>70</v>
      </c>
      <c r="C7" s="83">
        <f t="shared" ref="C7:G25" si="1">D7/2</f>
        <v>9.375E-2</v>
      </c>
      <c r="D7" s="83">
        <f t="shared" si="1"/>
        <v>0.1875</v>
      </c>
      <c r="E7" s="83">
        <f t="shared" si="1"/>
        <v>0.375</v>
      </c>
      <c r="F7" s="83">
        <f t="shared" si="1"/>
        <v>0.75</v>
      </c>
      <c r="G7" s="83">
        <f t="shared" si="1"/>
        <v>1.5</v>
      </c>
      <c r="H7" s="85">
        <f>H67/2</f>
        <v>3</v>
      </c>
      <c r="I7" s="83">
        <f>E7*10</f>
        <v>3.75</v>
      </c>
      <c r="J7" s="83">
        <f>E7*12</f>
        <v>4.5</v>
      </c>
      <c r="L7" s="45">
        <f>+H7</f>
        <v>3</v>
      </c>
      <c r="M7" s="92">
        <v>70</v>
      </c>
    </row>
    <row r="8" spans="1:13" ht="15" customHeight="1">
      <c r="A8" s="52"/>
      <c r="B8" s="92">
        <v>70.05</v>
      </c>
      <c r="C8" s="83">
        <f>D8/2</f>
        <v>9.5312499999999994E-2</v>
      </c>
      <c r="D8" s="83">
        <f>E8/2</f>
        <v>0.19062499999999999</v>
      </c>
      <c r="E8" s="83">
        <f>F8/2</f>
        <v>0.38124999999999998</v>
      </c>
      <c r="F8" s="83">
        <f>G8/2</f>
        <v>0.76249999999999996</v>
      </c>
      <c r="G8" s="83">
        <f>H8/2</f>
        <v>1.5249999999999999</v>
      </c>
      <c r="H8" s="85">
        <f>H7+((H9-H7)/2)</f>
        <v>3.05</v>
      </c>
      <c r="I8" s="83">
        <f>E8*10</f>
        <v>3.8125</v>
      </c>
      <c r="J8" s="83">
        <f>E8*12</f>
        <v>4.5749999999999993</v>
      </c>
      <c r="L8" s="45">
        <f t="shared" ref="L8:L71" si="2">+H8</f>
        <v>3.05</v>
      </c>
      <c r="M8" s="92">
        <v>70.05</v>
      </c>
    </row>
    <row r="9" spans="1:13" ht="15" customHeight="1">
      <c r="A9" s="52"/>
      <c r="B9" s="92">
        <v>70.099999999999994</v>
      </c>
      <c r="C9" s="83">
        <f t="shared" si="1"/>
        <v>9.6875000000000003E-2</v>
      </c>
      <c r="D9" s="83">
        <f t="shared" si="1"/>
        <v>0.19375000000000001</v>
      </c>
      <c r="E9" s="83">
        <f t="shared" si="1"/>
        <v>0.38750000000000001</v>
      </c>
      <c r="F9" s="83">
        <f t="shared" si="1"/>
        <v>0.77500000000000002</v>
      </c>
      <c r="G9" s="83">
        <f t="shared" si="1"/>
        <v>1.55</v>
      </c>
      <c r="H9" s="85">
        <f>H7+(($H$27-$H$7)/10)</f>
        <v>3.1</v>
      </c>
      <c r="I9" s="83">
        <f t="shared" ref="I9:I135" si="3">E9*10</f>
        <v>3.875</v>
      </c>
      <c r="J9" s="83">
        <f t="shared" ref="J9:J135" si="4">E9*12</f>
        <v>4.6500000000000004</v>
      </c>
      <c r="L9" s="45">
        <f t="shared" si="2"/>
        <v>3.1</v>
      </c>
      <c r="M9" s="92">
        <v>70.099999999999994</v>
      </c>
    </row>
    <row r="10" spans="1:13" ht="15" customHeight="1">
      <c r="A10" s="52"/>
      <c r="B10" s="92">
        <v>70.150000000000006</v>
      </c>
      <c r="C10" s="83">
        <f t="shared" si="1"/>
        <v>9.8437500000000011E-2</v>
      </c>
      <c r="D10" s="83">
        <f t="shared" si="1"/>
        <v>0.19687500000000002</v>
      </c>
      <c r="E10" s="83">
        <f t="shared" si="1"/>
        <v>0.39375000000000004</v>
      </c>
      <c r="F10" s="83">
        <f t="shared" si="1"/>
        <v>0.78750000000000009</v>
      </c>
      <c r="G10" s="83">
        <f t="shared" si="1"/>
        <v>1.5750000000000002</v>
      </c>
      <c r="H10" s="85">
        <f>H9+((H11-H9)/2)</f>
        <v>3.1500000000000004</v>
      </c>
      <c r="I10" s="83">
        <f>E10*10</f>
        <v>3.9375000000000004</v>
      </c>
      <c r="J10" s="83">
        <f>E10*12</f>
        <v>4.7250000000000005</v>
      </c>
      <c r="L10" s="45">
        <f t="shared" si="2"/>
        <v>3.1500000000000004</v>
      </c>
      <c r="M10" s="92">
        <v>70.150000000000006</v>
      </c>
    </row>
    <row r="11" spans="1:13" ht="15" customHeight="1">
      <c r="A11" s="52"/>
      <c r="B11" s="92">
        <v>70.2</v>
      </c>
      <c r="C11" s="83">
        <f t="shared" si="1"/>
        <v>0.1</v>
      </c>
      <c r="D11" s="83">
        <f t="shared" si="1"/>
        <v>0.2</v>
      </c>
      <c r="E11" s="83">
        <f t="shared" si="1"/>
        <v>0.4</v>
      </c>
      <c r="F11" s="83">
        <f t="shared" si="1"/>
        <v>0.8</v>
      </c>
      <c r="G11" s="83">
        <f t="shared" si="1"/>
        <v>1.6</v>
      </c>
      <c r="H11" s="85">
        <f>H9+(($H$27-$H$7)/10)</f>
        <v>3.2</v>
      </c>
      <c r="I11" s="83">
        <f t="shared" si="3"/>
        <v>4</v>
      </c>
      <c r="J11" s="83">
        <f t="shared" si="4"/>
        <v>4.8000000000000007</v>
      </c>
      <c r="L11" s="45">
        <f t="shared" si="2"/>
        <v>3.2</v>
      </c>
      <c r="M11" s="92">
        <v>70.2</v>
      </c>
    </row>
    <row r="12" spans="1:13" ht="15" customHeight="1">
      <c r="A12" s="52"/>
      <c r="B12" s="92">
        <v>70.25</v>
      </c>
      <c r="C12" s="83">
        <f t="shared" si="1"/>
        <v>0.1015625</v>
      </c>
      <c r="D12" s="83">
        <f t="shared" si="1"/>
        <v>0.203125</v>
      </c>
      <c r="E12" s="83">
        <f t="shared" si="1"/>
        <v>0.40625</v>
      </c>
      <c r="F12" s="83">
        <f t="shared" si="1"/>
        <v>0.8125</v>
      </c>
      <c r="G12" s="83">
        <f t="shared" si="1"/>
        <v>1.625</v>
      </c>
      <c r="H12" s="85">
        <f>H11+((H13-H11)/2)</f>
        <v>3.25</v>
      </c>
      <c r="I12" s="83">
        <f>E12*10</f>
        <v>4.0625</v>
      </c>
      <c r="J12" s="83">
        <f>E12*12</f>
        <v>4.875</v>
      </c>
      <c r="L12" s="45">
        <f t="shared" si="2"/>
        <v>3.25</v>
      </c>
      <c r="M12" s="92">
        <v>70.25</v>
      </c>
    </row>
    <row r="13" spans="1:13" ht="15" customHeight="1">
      <c r="A13" s="52"/>
      <c r="B13" s="92">
        <v>70.3</v>
      </c>
      <c r="C13" s="83">
        <f t="shared" si="1"/>
        <v>0.10312500000000001</v>
      </c>
      <c r="D13" s="83">
        <f t="shared" si="1"/>
        <v>0.20625000000000002</v>
      </c>
      <c r="E13" s="83">
        <f t="shared" si="1"/>
        <v>0.41250000000000003</v>
      </c>
      <c r="F13" s="83">
        <f t="shared" si="1"/>
        <v>0.82500000000000007</v>
      </c>
      <c r="G13" s="83">
        <f t="shared" si="1"/>
        <v>1.6500000000000001</v>
      </c>
      <c r="H13" s="85">
        <f>H11+(($H$27-$H$7)/10)</f>
        <v>3.3000000000000003</v>
      </c>
      <c r="I13" s="83">
        <f t="shared" si="3"/>
        <v>4.125</v>
      </c>
      <c r="J13" s="83">
        <f t="shared" si="4"/>
        <v>4.95</v>
      </c>
      <c r="L13" s="45">
        <f t="shared" si="2"/>
        <v>3.3000000000000003</v>
      </c>
      <c r="M13" s="92">
        <v>70.3</v>
      </c>
    </row>
    <row r="14" spans="1:13" ht="15" customHeight="1">
      <c r="A14" s="52"/>
      <c r="B14" s="92">
        <v>70.349999999999994</v>
      </c>
      <c r="C14" s="83">
        <f t="shared" si="1"/>
        <v>0.10468750000000002</v>
      </c>
      <c r="D14" s="83">
        <f t="shared" si="1"/>
        <v>0.20937500000000003</v>
      </c>
      <c r="E14" s="83">
        <f t="shared" si="1"/>
        <v>0.41875000000000007</v>
      </c>
      <c r="F14" s="83">
        <f t="shared" si="1"/>
        <v>0.83750000000000013</v>
      </c>
      <c r="G14" s="83">
        <f t="shared" si="1"/>
        <v>1.6750000000000003</v>
      </c>
      <c r="H14" s="85">
        <f>H13+((H15-H13)/2)</f>
        <v>3.3500000000000005</v>
      </c>
      <c r="I14" s="83">
        <f>E14*10</f>
        <v>4.1875000000000009</v>
      </c>
      <c r="J14" s="83">
        <f>E14*12</f>
        <v>5.0250000000000004</v>
      </c>
      <c r="L14" s="45">
        <f t="shared" si="2"/>
        <v>3.3500000000000005</v>
      </c>
      <c r="M14" s="92">
        <v>70.349999999999994</v>
      </c>
    </row>
    <row r="15" spans="1:13" ht="15" customHeight="1">
      <c r="A15" s="52"/>
      <c r="B15" s="92">
        <v>70.400000000000006</v>
      </c>
      <c r="C15" s="83">
        <f t="shared" si="1"/>
        <v>0.10625000000000001</v>
      </c>
      <c r="D15" s="83">
        <f t="shared" si="1"/>
        <v>0.21250000000000002</v>
      </c>
      <c r="E15" s="83">
        <f t="shared" si="1"/>
        <v>0.42500000000000004</v>
      </c>
      <c r="F15" s="83">
        <f t="shared" si="1"/>
        <v>0.85000000000000009</v>
      </c>
      <c r="G15" s="83">
        <f t="shared" si="1"/>
        <v>1.7000000000000002</v>
      </c>
      <c r="H15" s="85">
        <f>H13+(($H$27-$H$7)/10)</f>
        <v>3.4000000000000004</v>
      </c>
      <c r="I15" s="83">
        <f t="shared" si="3"/>
        <v>4.25</v>
      </c>
      <c r="J15" s="83">
        <f t="shared" si="4"/>
        <v>5.1000000000000005</v>
      </c>
      <c r="L15" s="45">
        <f t="shared" si="2"/>
        <v>3.4000000000000004</v>
      </c>
      <c r="M15" s="92">
        <v>70.400000000000006</v>
      </c>
    </row>
    <row r="16" spans="1:13" ht="15" customHeight="1">
      <c r="A16" s="52"/>
      <c r="B16" s="92">
        <v>70.45</v>
      </c>
      <c r="C16" s="83">
        <f t="shared" si="1"/>
        <v>0.10781250000000001</v>
      </c>
      <c r="D16" s="83">
        <f t="shared" si="1"/>
        <v>0.21562500000000001</v>
      </c>
      <c r="E16" s="83">
        <f t="shared" si="1"/>
        <v>0.43125000000000002</v>
      </c>
      <c r="F16" s="83">
        <f t="shared" si="1"/>
        <v>0.86250000000000004</v>
      </c>
      <c r="G16" s="83">
        <f t="shared" si="1"/>
        <v>1.7250000000000001</v>
      </c>
      <c r="H16" s="85">
        <f>H15+((H17-H15)/2)</f>
        <v>3.45</v>
      </c>
      <c r="I16" s="83">
        <f>E16*10</f>
        <v>4.3125</v>
      </c>
      <c r="J16" s="83">
        <f>E16*12</f>
        <v>5.1750000000000007</v>
      </c>
      <c r="L16" s="45">
        <f t="shared" si="2"/>
        <v>3.45</v>
      </c>
      <c r="M16" s="92">
        <v>70.45</v>
      </c>
    </row>
    <row r="17" spans="1:13" ht="15" customHeight="1">
      <c r="A17" s="52"/>
      <c r="B17" s="92">
        <v>70.5</v>
      </c>
      <c r="C17" s="83">
        <f t="shared" si="1"/>
        <v>0.10937500000000001</v>
      </c>
      <c r="D17" s="83">
        <f t="shared" si="1"/>
        <v>0.21875000000000003</v>
      </c>
      <c r="E17" s="83">
        <f t="shared" si="1"/>
        <v>0.43750000000000006</v>
      </c>
      <c r="F17" s="83">
        <f t="shared" si="1"/>
        <v>0.87500000000000011</v>
      </c>
      <c r="G17" s="83">
        <f t="shared" si="1"/>
        <v>1.7500000000000002</v>
      </c>
      <c r="H17" s="85">
        <f>H15+(($H$27-$H$7)/10)</f>
        <v>3.5000000000000004</v>
      </c>
      <c r="I17" s="83">
        <f t="shared" si="3"/>
        <v>4.3750000000000009</v>
      </c>
      <c r="J17" s="83">
        <f t="shared" si="4"/>
        <v>5.2500000000000009</v>
      </c>
      <c r="L17" s="45">
        <f t="shared" si="2"/>
        <v>3.5000000000000004</v>
      </c>
      <c r="M17" s="92">
        <v>70.5</v>
      </c>
    </row>
    <row r="18" spans="1:13" ht="15" customHeight="1">
      <c r="A18" s="52"/>
      <c r="B18" s="92">
        <v>70.55</v>
      </c>
      <c r="C18" s="83">
        <f t="shared" si="1"/>
        <v>0.11093750000000002</v>
      </c>
      <c r="D18" s="83">
        <f t="shared" si="1"/>
        <v>0.22187500000000004</v>
      </c>
      <c r="E18" s="83">
        <f t="shared" si="1"/>
        <v>0.44375000000000009</v>
      </c>
      <c r="F18" s="83">
        <f t="shared" si="1"/>
        <v>0.88750000000000018</v>
      </c>
      <c r="G18" s="83">
        <f t="shared" si="1"/>
        <v>1.7750000000000004</v>
      </c>
      <c r="H18" s="85">
        <f>H17+((H19-H17)/2)</f>
        <v>3.5500000000000007</v>
      </c>
      <c r="I18" s="83">
        <f>E18*10</f>
        <v>4.4375000000000009</v>
      </c>
      <c r="J18" s="83">
        <f>E18*12</f>
        <v>5.3250000000000011</v>
      </c>
      <c r="L18" s="45">
        <f t="shared" si="2"/>
        <v>3.5500000000000007</v>
      </c>
      <c r="M18" s="92">
        <v>70.55</v>
      </c>
    </row>
    <row r="19" spans="1:13" ht="15" customHeight="1">
      <c r="A19" s="46"/>
      <c r="B19" s="92">
        <v>70.599999999999994</v>
      </c>
      <c r="C19" s="83">
        <f t="shared" si="1"/>
        <v>0.11250000000000002</v>
      </c>
      <c r="D19" s="83">
        <f t="shared" si="1"/>
        <v>0.22500000000000003</v>
      </c>
      <c r="E19" s="83">
        <f t="shared" si="1"/>
        <v>0.45000000000000007</v>
      </c>
      <c r="F19" s="83">
        <f t="shared" si="1"/>
        <v>0.90000000000000013</v>
      </c>
      <c r="G19" s="83">
        <f t="shared" si="1"/>
        <v>1.8000000000000003</v>
      </c>
      <c r="H19" s="85">
        <f>H17+(($H$27-$H$7)/10)</f>
        <v>3.6000000000000005</v>
      </c>
      <c r="I19" s="83">
        <f t="shared" si="3"/>
        <v>4.5000000000000009</v>
      </c>
      <c r="J19" s="83">
        <f t="shared" si="4"/>
        <v>5.4</v>
      </c>
      <c r="L19" s="45">
        <f t="shared" si="2"/>
        <v>3.6000000000000005</v>
      </c>
      <c r="M19" s="92">
        <v>70.599999999999994</v>
      </c>
    </row>
    <row r="20" spans="1:13" ht="15" customHeight="1">
      <c r="A20" s="46"/>
      <c r="B20" s="92">
        <v>70.650000000000006</v>
      </c>
      <c r="C20" s="83">
        <f t="shared" si="1"/>
        <v>0.11406250000000001</v>
      </c>
      <c r="D20" s="83">
        <f t="shared" si="1"/>
        <v>0.22812500000000002</v>
      </c>
      <c r="E20" s="83">
        <f t="shared" si="1"/>
        <v>0.45625000000000004</v>
      </c>
      <c r="F20" s="83">
        <f t="shared" si="1"/>
        <v>0.91250000000000009</v>
      </c>
      <c r="G20" s="83">
        <f t="shared" si="1"/>
        <v>1.8250000000000002</v>
      </c>
      <c r="H20" s="85">
        <f>H19+((H21-H19)/2)</f>
        <v>3.6500000000000004</v>
      </c>
      <c r="I20" s="83">
        <f>E20*10</f>
        <v>4.5625</v>
      </c>
      <c r="J20" s="83">
        <f>E20*12</f>
        <v>5.4750000000000005</v>
      </c>
      <c r="L20" s="45">
        <f t="shared" si="2"/>
        <v>3.6500000000000004</v>
      </c>
      <c r="M20" s="92">
        <v>70.650000000000006</v>
      </c>
    </row>
    <row r="21" spans="1:13" ht="15" customHeight="1">
      <c r="A21" s="46"/>
      <c r="B21" s="92">
        <v>70.7</v>
      </c>
      <c r="C21" s="83">
        <f t="shared" si="1"/>
        <v>0.11562500000000002</v>
      </c>
      <c r="D21" s="83">
        <f t="shared" si="1"/>
        <v>0.23125000000000004</v>
      </c>
      <c r="E21" s="83">
        <f t="shared" si="1"/>
        <v>0.46250000000000008</v>
      </c>
      <c r="F21" s="83">
        <f t="shared" si="1"/>
        <v>0.92500000000000016</v>
      </c>
      <c r="G21" s="83">
        <f t="shared" si="1"/>
        <v>1.8500000000000003</v>
      </c>
      <c r="H21" s="85">
        <f>H19+(($H$27-$H$7)/10)</f>
        <v>3.7000000000000006</v>
      </c>
      <c r="I21" s="83">
        <f t="shared" si="3"/>
        <v>4.6250000000000009</v>
      </c>
      <c r="J21" s="83">
        <f t="shared" si="4"/>
        <v>5.5500000000000007</v>
      </c>
      <c r="L21" s="45">
        <f t="shared" si="2"/>
        <v>3.7000000000000006</v>
      </c>
      <c r="M21" s="92">
        <v>70.7</v>
      </c>
    </row>
    <row r="22" spans="1:13" ht="15" customHeight="1">
      <c r="A22" s="46"/>
      <c r="B22" s="92">
        <v>70.75</v>
      </c>
      <c r="C22" s="83">
        <f t="shared" si="1"/>
        <v>0.11718750000000003</v>
      </c>
      <c r="D22" s="83">
        <f t="shared" si="1"/>
        <v>0.23437500000000006</v>
      </c>
      <c r="E22" s="83">
        <f t="shared" si="1"/>
        <v>0.46875000000000011</v>
      </c>
      <c r="F22" s="83">
        <f t="shared" si="1"/>
        <v>0.93750000000000022</v>
      </c>
      <c r="G22" s="83">
        <f t="shared" si="1"/>
        <v>1.8750000000000004</v>
      </c>
      <c r="H22" s="85">
        <f>H21+((H23-H21)/2)</f>
        <v>3.7500000000000009</v>
      </c>
      <c r="I22" s="83">
        <f>E22*10</f>
        <v>4.6875000000000009</v>
      </c>
      <c r="J22" s="83">
        <f>E22*12</f>
        <v>5.6250000000000018</v>
      </c>
      <c r="L22" s="45">
        <f t="shared" si="2"/>
        <v>3.7500000000000009</v>
      </c>
      <c r="M22" s="92">
        <v>70.75</v>
      </c>
    </row>
    <row r="23" spans="1:13" ht="15" customHeight="1">
      <c r="A23" s="46"/>
      <c r="B23" s="92">
        <v>70.8</v>
      </c>
      <c r="C23" s="83">
        <f t="shared" si="1"/>
        <v>0.11875000000000002</v>
      </c>
      <c r="D23" s="83">
        <f t="shared" si="1"/>
        <v>0.23750000000000004</v>
      </c>
      <c r="E23" s="83">
        <f t="shared" si="1"/>
        <v>0.47500000000000009</v>
      </c>
      <c r="F23" s="83">
        <f t="shared" si="1"/>
        <v>0.95000000000000018</v>
      </c>
      <c r="G23" s="83">
        <f t="shared" si="1"/>
        <v>1.9000000000000004</v>
      </c>
      <c r="H23" s="85">
        <f>H21+(($H$27-$H$7)/10)</f>
        <v>3.8000000000000007</v>
      </c>
      <c r="I23" s="83">
        <f t="shared" si="3"/>
        <v>4.7500000000000009</v>
      </c>
      <c r="J23" s="83">
        <f t="shared" si="4"/>
        <v>5.7000000000000011</v>
      </c>
      <c r="L23" s="45">
        <f t="shared" si="2"/>
        <v>3.8000000000000007</v>
      </c>
      <c r="M23" s="92">
        <v>70.8</v>
      </c>
    </row>
    <row r="24" spans="1:13" ht="15" customHeight="1">
      <c r="A24" s="46"/>
      <c r="B24" s="92">
        <v>70.849999999999994</v>
      </c>
      <c r="C24" s="83">
        <f t="shared" si="1"/>
        <v>0.12031250000000002</v>
      </c>
      <c r="D24" s="83">
        <f t="shared" si="1"/>
        <v>0.24062500000000003</v>
      </c>
      <c r="E24" s="83">
        <f t="shared" si="1"/>
        <v>0.48125000000000007</v>
      </c>
      <c r="F24" s="83">
        <f t="shared" si="1"/>
        <v>0.96250000000000013</v>
      </c>
      <c r="G24" s="83">
        <f t="shared" si="1"/>
        <v>1.9250000000000003</v>
      </c>
      <c r="H24" s="85">
        <f>H23+((H25-H23)/2)</f>
        <v>3.8500000000000005</v>
      </c>
      <c r="I24" s="83">
        <f>E24*10</f>
        <v>4.8125000000000009</v>
      </c>
      <c r="J24" s="83">
        <f>E24*12</f>
        <v>5.7750000000000004</v>
      </c>
      <c r="L24" s="45">
        <f t="shared" si="2"/>
        <v>3.8500000000000005</v>
      </c>
      <c r="M24" s="92">
        <v>70.849999999999994</v>
      </c>
    </row>
    <row r="25" spans="1:13" ht="15" customHeight="1">
      <c r="A25" s="46"/>
      <c r="B25" s="92">
        <v>70.900000000000006</v>
      </c>
      <c r="C25" s="83">
        <f t="shared" si="1"/>
        <v>0.12187500000000002</v>
      </c>
      <c r="D25" s="83">
        <f t="shared" si="1"/>
        <v>0.24375000000000005</v>
      </c>
      <c r="E25" s="83">
        <f t="shared" si="1"/>
        <v>0.4875000000000001</v>
      </c>
      <c r="F25" s="83">
        <f t="shared" si="1"/>
        <v>0.9750000000000002</v>
      </c>
      <c r="G25" s="83">
        <f t="shared" si="1"/>
        <v>1.9500000000000004</v>
      </c>
      <c r="H25" s="85">
        <f>H23+(($H$27-$H$7)/10)</f>
        <v>3.9000000000000008</v>
      </c>
      <c r="I25" s="83">
        <f t="shared" si="3"/>
        <v>4.8750000000000009</v>
      </c>
      <c r="J25" s="83">
        <f t="shared" si="4"/>
        <v>5.8500000000000014</v>
      </c>
      <c r="L25" s="45">
        <f t="shared" si="2"/>
        <v>3.9000000000000008</v>
      </c>
      <c r="M25" s="92">
        <v>70.900000000000006</v>
      </c>
    </row>
    <row r="26" spans="1:13" ht="15" customHeight="1">
      <c r="A26" s="46"/>
      <c r="B26" s="92">
        <v>70.95</v>
      </c>
      <c r="C26" s="83">
        <f>D26/2</f>
        <v>0.12343750000000001</v>
      </c>
      <c r="D26" s="83">
        <f>E26/2</f>
        <v>0.24687500000000001</v>
      </c>
      <c r="E26" s="83">
        <f>F26/2</f>
        <v>0.49375000000000002</v>
      </c>
      <c r="F26" s="83">
        <f>G26/2</f>
        <v>0.98750000000000004</v>
      </c>
      <c r="G26" s="83">
        <f>H26/2</f>
        <v>1.9750000000000001</v>
      </c>
      <c r="H26" s="85">
        <f>H25+((H27-H25)/2)</f>
        <v>3.95</v>
      </c>
      <c r="I26" s="83">
        <f>E26*10</f>
        <v>4.9375</v>
      </c>
      <c r="J26" s="83">
        <f>E26*12</f>
        <v>5.9250000000000007</v>
      </c>
      <c r="L26" s="45">
        <f t="shared" si="2"/>
        <v>3.95</v>
      </c>
      <c r="M26" s="92">
        <v>70.95</v>
      </c>
    </row>
    <row r="27" spans="1:13" ht="15" customHeight="1">
      <c r="A27" s="46"/>
      <c r="B27" s="92">
        <v>71</v>
      </c>
      <c r="C27" s="83">
        <f t="shared" ref="C27:G45" si="5">D27/2</f>
        <v>0.125</v>
      </c>
      <c r="D27" s="83">
        <f t="shared" si="5"/>
        <v>0.25</v>
      </c>
      <c r="E27" s="83">
        <f t="shared" si="5"/>
        <v>0.5</v>
      </c>
      <c r="F27" s="83">
        <f t="shared" si="5"/>
        <v>1</v>
      </c>
      <c r="G27" s="83">
        <f t="shared" si="5"/>
        <v>2</v>
      </c>
      <c r="H27" s="85">
        <f>H87/2</f>
        <v>4</v>
      </c>
      <c r="I27" s="83">
        <f t="shared" si="3"/>
        <v>5</v>
      </c>
      <c r="J27" s="83">
        <f t="shared" si="4"/>
        <v>6</v>
      </c>
      <c r="L27" s="45">
        <f t="shared" si="2"/>
        <v>4</v>
      </c>
      <c r="M27" s="92">
        <v>71</v>
      </c>
    </row>
    <row r="28" spans="1:13" ht="15" customHeight="1">
      <c r="A28" s="46"/>
      <c r="B28" s="92">
        <v>71.05</v>
      </c>
      <c r="C28" s="83">
        <f t="shared" si="5"/>
        <v>0.12656249999999999</v>
      </c>
      <c r="D28" s="83">
        <f t="shared" si="5"/>
        <v>0.25312499999999999</v>
      </c>
      <c r="E28" s="83">
        <f t="shared" si="5"/>
        <v>0.50624999999999998</v>
      </c>
      <c r="F28" s="83">
        <f t="shared" si="5"/>
        <v>1.0125</v>
      </c>
      <c r="G28" s="83">
        <f t="shared" si="5"/>
        <v>2.0249999999999999</v>
      </c>
      <c r="H28" s="85">
        <f>H27+((H29-H27)/2)</f>
        <v>4.05</v>
      </c>
      <c r="I28" s="83">
        <f>E28*10</f>
        <v>5.0625</v>
      </c>
      <c r="J28" s="83">
        <f>E28*12</f>
        <v>6.0749999999999993</v>
      </c>
      <c r="L28" s="45">
        <f t="shared" si="2"/>
        <v>4.05</v>
      </c>
      <c r="M28" s="92">
        <v>71.05</v>
      </c>
    </row>
    <row r="29" spans="1:13" ht="15" customHeight="1">
      <c r="A29" s="46"/>
      <c r="B29" s="92">
        <v>71.099999999999994</v>
      </c>
      <c r="C29" s="83">
        <f t="shared" si="5"/>
        <v>0.12812499999999999</v>
      </c>
      <c r="D29" s="83">
        <f t="shared" si="5"/>
        <v>0.25624999999999998</v>
      </c>
      <c r="E29" s="83">
        <f t="shared" si="5"/>
        <v>0.51249999999999996</v>
      </c>
      <c r="F29" s="83">
        <f t="shared" si="5"/>
        <v>1.0249999999999999</v>
      </c>
      <c r="G29" s="83">
        <f t="shared" si="5"/>
        <v>2.0499999999999998</v>
      </c>
      <c r="H29" s="85">
        <f>H27+(($H$47-$H$27)/10)</f>
        <v>4.0999999999999996</v>
      </c>
      <c r="I29" s="83">
        <f t="shared" si="3"/>
        <v>5.125</v>
      </c>
      <c r="J29" s="83">
        <f t="shared" si="4"/>
        <v>6.1499999999999995</v>
      </c>
      <c r="L29" s="45">
        <f t="shared" si="2"/>
        <v>4.0999999999999996</v>
      </c>
      <c r="M29" s="92">
        <v>71.099999999999994</v>
      </c>
    </row>
    <row r="30" spans="1:13" ht="15" customHeight="1">
      <c r="A30" s="46"/>
      <c r="B30" s="92">
        <v>71.150000000000006</v>
      </c>
      <c r="C30" s="83">
        <f t="shared" si="5"/>
        <v>0.12968749999999998</v>
      </c>
      <c r="D30" s="83">
        <f t="shared" si="5"/>
        <v>0.25937499999999997</v>
      </c>
      <c r="E30" s="83">
        <f t="shared" si="5"/>
        <v>0.51874999999999993</v>
      </c>
      <c r="F30" s="83">
        <f t="shared" si="5"/>
        <v>1.0374999999999999</v>
      </c>
      <c r="G30" s="83">
        <f t="shared" si="5"/>
        <v>2.0749999999999997</v>
      </c>
      <c r="H30" s="85">
        <f>H29+((H31-H29)/2)</f>
        <v>4.1499999999999995</v>
      </c>
      <c r="I30" s="83">
        <f>E30*10</f>
        <v>5.1874999999999991</v>
      </c>
      <c r="J30" s="83">
        <f>E30*12</f>
        <v>6.2249999999999996</v>
      </c>
      <c r="L30" s="45">
        <f t="shared" si="2"/>
        <v>4.1499999999999995</v>
      </c>
      <c r="M30" s="92">
        <v>71.150000000000006</v>
      </c>
    </row>
    <row r="31" spans="1:13" ht="15" customHeight="1">
      <c r="A31" s="46"/>
      <c r="B31" s="92">
        <v>71.2</v>
      </c>
      <c r="C31" s="83">
        <f t="shared" si="5"/>
        <v>0.13124999999999998</v>
      </c>
      <c r="D31" s="83">
        <f t="shared" si="5"/>
        <v>0.26249999999999996</v>
      </c>
      <c r="E31" s="83">
        <f t="shared" si="5"/>
        <v>0.52499999999999991</v>
      </c>
      <c r="F31" s="83">
        <f t="shared" si="5"/>
        <v>1.0499999999999998</v>
      </c>
      <c r="G31" s="83">
        <f t="shared" si="5"/>
        <v>2.0999999999999996</v>
      </c>
      <c r="H31" s="85">
        <f>H29+(($H$47-$H$27)/10)</f>
        <v>4.1999999999999993</v>
      </c>
      <c r="I31" s="83">
        <f t="shared" si="3"/>
        <v>5.2499999999999991</v>
      </c>
      <c r="J31" s="83">
        <f t="shared" si="4"/>
        <v>6.2999999999999989</v>
      </c>
      <c r="L31" s="45">
        <f t="shared" si="2"/>
        <v>4.1999999999999993</v>
      </c>
      <c r="M31" s="92">
        <v>71.2</v>
      </c>
    </row>
    <row r="32" spans="1:13" ht="15" customHeight="1">
      <c r="A32" s="46"/>
      <c r="B32" s="92">
        <v>71.25</v>
      </c>
      <c r="C32" s="83">
        <f t="shared" si="5"/>
        <v>0.13281249999999997</v>
      </c>
      <c r="D32" s="83">
        <f t="shared" si="5"/>
        <v>0.26562499999999994</v>
      </c>
      <c r="E32" s="83">
        <f t="shared" si="5"/>
        <v>0.53124999999999989</v>
      </c>
      <c r="F32" s="83">
        <f t="shared" si="5"/>
        <v>1.0624999999999998</v>
      </c>
      <c r="G32" s="83">
        <f t="shared" si="5"/>
        <v>2.1249999999999996</v>
      </c>
      <c r="H32" s="85">
        <f>H31+((H33-H31)/2)</f>
        <v>4.2499999999999991</v>
      </c>
      <c r="I32" s="83">
        <f>E32*10</f>
        <v>5.3124999999999991</v>
      </c>
      <c r="J32" s="83">
        <f>E32*12</f>
        <v>6.3749999999999982</v>
      </c>
      <c r="L32" s="45">
        <f t="shared" si="2"/>
        <v>4.2499999999999991</v>
      </c>
      <c r="M32" s="92">
        <v>71.25</v>
      </c>
    </row>
    <row r="33" spans="1:13" ht="15" customHeight="1">
      <c r="A33" s="46"/>
      <c r="B33" s="92">
        <v>71.3</v>
      </c>
      <c r="C33" s="83">
        <f t="shared" si="5"/>
        <v>0.13437499999999997</v>
      </c>
      <c r="D33" s="83">
        <f t="shared" si="5"/>
        <v>0.26874999999999993</v>
      </c>
      <c r="E33" s="83">
        <f t="shared" si="5"/>
        <v>0.53749999999999987</v>
      </c>
      <c r="F33" s="83">
        <f t="shared" si="5"/>
        <v>1.0749999999999997</v>
      </c>
      <c r="G33" s="83">
        <f t="shared" si="5"/>
        <v>2.1499999999999995</v>
      </c>
      <c r="H33" s="85">
        <f>H31+(($H$47-$H$27)/10)</f>
        <v>4.2999999999999989</v>
      </c>
      <c r="I33" s="83">
        <f t="shared" si="3"/>
        <v>5.3749999999999982</v>
      </c>
      <c r="J33" s="83">
        <f t="shared" si="4"/>
        <v>6.4499999999999984</v>
      </c>
      <c r="L33" s="45">
        <f t="shared" si="2"/>
        <v>4.2999999999999989</v>
      </c>
      <c r="M33" s="92">
        <v>71.3</v>
      </c>
    </row>
    <row r="34" spans="1:13" ht="15" customHeight="1">
      <c r="A34" s="46"/>
      <c r="B34" s="92">
        <v>71.349999999999994</v>
      </c>
      <c r="C34" s="83">
        <f t="shared" si="5"/>
        <v>0.13593749999999996</v>
      </c>
      <c r="D34" s="83">
        <f t="shared" si="5"/>
        <v>0.27187499999999992</v>
      </c>
      <c r="E34" s="83">
        <f t="shared" si="5"/>
        <v>0.54374999999999984</v>
      </c>
      <c r="F34" s="83">
        <f t="shared" si="5"/>
        <v>1.0874999999999997</v>
      </c>
      <c r="G34" s="83">
        <f t="shared" si="5"/>
        <v>2.1749999999999994</v>
      </c>
      <c r="H34" s="85">
        <f>H33+((H35-H33)/2)</f>
        <v>4.3499999999999988</v>
      </c>
      <c r="I34" s="83">
        <f>E34*10</f>
        <v>5.4374999999999982</v>
      </c>
      <c r="J34" s="83">
        <f>E34*12</f>
        <v>6.5249999999999986</v>
      </c>
      <c r="L34" s="45">
        <f t="shared" si="2"/>
        <v>4.3499999999999988</v>
      </c>
      <c r="M34" s="92">
        <v>71.349999999999994</v>
      </c>
    </row>
    <row r="35" spans="1:13" ht="15" customHeight="1">
      <c r="A35" s="46"/>
      <c r="B35" s="92">
        <v>71.400000000000006</v>
      </c>
      <c r="C35" s="83">
        <f t="shared" si="5"/>
        <v>0.13749999999999996</v>
      </c>
      <c r="D35" s="83">
        <f t="shared" si="5"/>
        <v>0.27499999999999991</v>
      </c>
      <c r="E35" s="83">
        <f t="shared" si="5"/>
        <v>0.54999999999999982</v>
      </c>
      <c r="F35" s="83">
        <f t="shared" si="5"/>
        <v>1.0999999999999996</v>
      </c>
      <c r="G35" s="83">
        <f t="shared" si="5"/>
        <v>2.1999999999999993</v>
      </c>
      <c r="H35" s="85">
        <f>H33+(($H$47-$H$27)/10)</f>
        <v>4.3999999999999986</v>
      </c>
      <c r="I35" s="83">
        <f t="shared" si="3"/>
        <v>5.4999999999999982</v>
      </c>
      <c r="J35" s="83">
        <f t="shared" si="4"/>
        <v>6.5999999999999979</v>
      </c>
      <c r="L35" s="45">
        <f t="shared" si="2"/>
        <v>4.3999999999999986</v>
      </c>
      <c r="M35" s="92">
        <v>71.400000000000006</v>
      </c>
    </row>
    <row r="36" spans="1:13" ht="15" customHeight="1">
      <c r="A36" s="46"/>
      <c r="B36" s="92">
        <v>71.45</v>
      </c>
      <c r="C36" s="83">
        <f t="shared" si="5"/>
        <v>0.13906249999999995</v>
      </c>
      <c r="D36" s="83">
        <f t="shared" si="5"/>
        <v>0.2781249999999999</v>
      </c>
      <c r="E36" s="83">
        <f t="shared" si="5"/>
        <v>0.5562499999999998</v>
      </c>
      <c r="F36" s="83">
        <f t="shared" si="5"/>
        <v>1.1124999999999996</v>
      </c>
      <c r="G36" s="83">
        <f t="shared" si="5"/>
        <v>2.2249999999999992</v>
      </c>
      <c r="H36" s="85">
        <f>H35+((H37-H35)/2)</f>
        <v>4.4499999999999984</v>
      </c>
      <c r="I36" s="83">
        <f>E36*10</f>
        <v>5.5624999999999982</v>
      </c>
      <c r="J36" s="83">
        <f>E36*12</f>
        <v>6.6749999999999972</v>
      </c>
      <c r="L36" s="45">
        <f t="shared" si="2"/>
        <v>4.4499999999999984</v>
      </c>
      <c r="M36" s="92">
        <v>71.45</v>
      </c>
    </row>
    <row r="37" spans="1:13" ht="15" customHeight="1">
      <c r="A37" s="46"/>
      <c r="B37" s="92">
        <v>71.5</v>
      </c>
      <c r="C37" s="83">
        <f t="shared" si="5"/>
        <v>0.14062499999999994</v>
      </c>
      <c r="D37" s="83">
        <f t="shared" si="5"/>
        <v>0.28124999999999989</v>
      </c>
      <c r="E37" s="83">
        <f t="shared" si="5"/>
        <v>0.56249999999999978</v>
      </c>
      <c r="F37" s="83">
        <f t="shared" si="5"/>
        <v>1.1249999999999996</v>
      </c>
      <c r="G37" s="83">
        <f t="shared" si="5"/>
        <v>2.2499999999999991</v>
      </c>
      <c r="H37" s="85">
        <f>H35+(($H$47-$H$27)/10)</f>
        <v>4.4999999999999982</v>
      </c>
      <c r="I37" s="83">
        <f t="shared" si="3"/>
        <v>5.6249999999999982</v>
      </c>
      <c r="J37" s="83">
        <f t="shared" si="4"/>
        <v>6.7499999999999973</v>
      </c>
      <c r="L37" s="45">
        <f t="shared" si="2"/>
        <v>4.4999999999999982</v>
      </c>
      <c r="M37" s="92">
        <v>71.5</v>
      </c>
    </row>
    <row r="38" spans="1:13" ht="15" customHeight="1">
      <c r="A38" s="46"/>
      <c r="B38" s="92">
        <v>71.55</v>
      </c>
      <c r="C38" s="83">
        <f t="shared" si="5"/>
        <v>0.14218749999999994</v>
      </c>
      <c r="D38" s="83">
        <f t="shared" si="5"/>
        <v>0.28437499999999988</v>
      </c>
      <c r="E38" s="83">
        <f t="shared" si="5"/>
        <v>0.56874999999999976</v>
      </c>
      <c r="F38" s="83">
        <f t="shared" si="5"/>
        <v>1.1374999999999995</v>
      </c>
      <c r="G38" s="83">
        <f t="shared" si="5"/>
        <v>2.274999999999999</v>
      </c>
      <c r="H38" s="85">
        <f>H37+((H39-H37)/2)</f>
        <v>4.549999999999998</v>
      </c>
      <c r="I38" s="83">
        <f>E38*10</f>
        <v>5.6874999999999973</v>
      </c>
      <c r="J38" s="83">
        <f>E38*12</f>
        <v>6.8249999999999975</v>
      </c>
      <c r="L38" s="45">
        <f t="shared" si="2"/>
        <v>4.549999999999998</v>
      </c>
      <c r="M38" s="92">
        <v>71.55</v>
      </c>
    </row>
    <row r="39" spans="1:13" ht="15" customHeight="1">
      <c r="A39" s="46"/>
      <c r="B39" s="92">
        <v>71.599999999999994</v>
      </c>
      <c r="C39" s="83">
        <f t="shared" si="5"/>
        <v>0.14374999999999993</v>
      </c>
      <c r="D39" s="83">
        <f t="shared" si="5"/>
        <v>0.28749999999999987</v>
      </c>
      <c r="E39" s="83">
        <f t="shared" si="5"/>
        <v>0.57499999999999973</v>
      </c>
      <c r="F39" s="83">
        <f t="shared" si="5"/>
        <v>1.1499999999999995</v>
      </c>
      <c r="G39" s="83">
        <f t="shared" si="5"/>
        <v>2.2999999999999989</v>
      </c>
      <c r="H39" s="85">
        <f>H37+(($H$47-$H$27)/10)</f>
        <v>4.5999999999999979</v>
      </c>
      <c r="I39" s="83">
        <f t="shared" si="3"/>
        <v>5.7499999999999973</v>
      </c>
      <c r="J39" s="83">
        <f t="shared" si="4"/>
        <v>6.8999999999999968</v>
      </c>
      <c r="L39" s="45">
        <f t="shared" si="2"/>
        <v>4.5999999999999979</v>
      </c>
      <c r="M39" s="92">
        <v>71.599999999999994</v>
      </c>
    </row>
    <row r="40" spans="1:13" ht="15" customHeight="1">
      <c r="A40" s="46"/>
      <c r="B40" s="92">
        <v>71.650000000000006</v>
      </c>
      <c r="C40" s="83">
        <f t="shared" si="5"/>
        <v>0.14531249999999993</v>
      </c>
      <c r="D40" s="83">
        <f t="shared" si="5"/>
        <v>0.29062499999999986</v>
      </c>
      <c r="E40" s="83">
        <f t="shared" si="5"/>
        <v>0.58124999999999971</v>
      </c>
      <c r="F40" s="83">
        <f t="shared" si="5"/>
        <v>1.1624999999999994</v>
      </c>
      <c r="G40" s="83">
        <f t="shared" si="5"/>
        <v>2.3249999999999988</v>
      </c>
      <c r="H40" s="85">
        <f>H39+((H41-H39)/2)</f>
        <v>4.6499999999999977</v>
      </c>
      <c r="I40" s="83">
        <f>E40*10</f>
        <v>5.8124999999999973</v>
      </c>
      <c r="J40" s="83">
        <f>E40*12</f>
        <v>6.9749999999999961</v>
      </c>
      <c r="L40" s="45">
        <f t="shared" si="2"/>
        <v>4.6499999999999977</v>
      </c>
      <c r="M40" s="92">
        <v>71.650000000000006</v>
      </c>
    </row>
    <row r="41" spans="1:13" ht="15" customHeight="1">
      <c r="A41" s="46"/>
      <c r="B41" s="92">
        <v>71.7</v>
      </c>
      <c r="C41" s="83">
        <f t="shared" si="5"/>
        <v>0.14687499999999992</v>
      </c>
      <c r="D41" s="83">
        <f t="shared" si="5"/>
        <v>0.29374999999999984</v>
      </c>
      <c r="E41" s="83">
        <f t="shared" si="5"/>
        <v>0.58749999999999969</v>
      </c>
      <c r="F41" s="83">
        <f t="shared" si="5"/>
        <v>1.1749999999999994</v>
      </c>
      <c r="G41" s="83">
        <f t="shared" si="5"/>
        <v>2.3499999999999988</v>
      </c>
      <c r="H41" s="85">
        <f>H39+(($H$47-$H$27)/10)</f>
        <v>4.6999999999999975</v>
      </c>
      <c r="I41" s="83">
        <f t="shared" si="3"/>
        <v>5.8749999999999964</v>
      </c>
      <c r="J41" s="83">
        <f t="shared" si="4"/>
        <v>7.0499999999999963</v>
      </c>
      <c r="L41" s="45">
        <f t="shared" si="2"/>
        <v>4.6999999999999975</v>
      </c>
      <c r="M41" s="92">
        <v>71.7</v>
      </c>
    </row>
    <row r="42" spans="1:13" ht="15" customHeight="1">
      <c r="A42" s="46"/>
      <c r="B42" s="92">
        <v>71.75</v>
      </c>
      <c r="C42" s="83">
        <f t="shared" si="5"/>
        <v>0.14843749999999992</v>
      </c>
      <c r="D42" s="83">
        <f t="shared" si="5"/>
        <v>0.29687499999999983</v>
      </c>
      <c r="E42" s="83">
        <f t="shared" si="5"/>
        <v>0.59374999999999967</v>
      </c>
      <c r="F42" s="83">
        <f t="shared" si="5"/>
        <v>1.1874999999999993</v>
      </c>
      <c r="G42" s="83">
        <f t="shared" si="5"/>
        <v>2.3749999999999987</v>
      </c>
      <c r="H42" s="85">
        <f>H41+((H43-H41)/2)</f>
        <v>4.7499999999999973</v>
      </c>
      <c r="I42" s="83">
        <f>E42*10</f>
        <v>5.9374999999999964</v>
      </c>
      <c r="J42" s="83">
        <f>E42*12</f>
        <v>7.1249999999999964</v>
      </c>
      <c r="L42" s="45">
        <f t="shared" si="2"/>
        <v>4.7499999999999973</v>
      </c>
      <c r="M42" s="92">
        <v>71.75</v>
      </c>
    </row>
    <row r="43" spans="1:13" ht="15" customHeight="1">
      <c r="A43" s="46"/>
      <c r="B43" s="92">
        <v>71.8</v>
      </c>
      <c r="C43" s="83">
        <f t="shared" si="5"/>
        <v>0.14999999999999991</v>
      </c>
      <c r="D43" s="83">
        <f t="shared" si="5"/>
        <v>0.29999999999999982</v>
      </c>
      <c r="E43" s="83">
        <f t="shared" si="5"/>
        <v>0.59999999999999964</v>
      </c>
      <c r="F43" s="83">
        <f t="shared" si="5"/>
        <v>1.1999999999999993</v>
      </c>
      <c r="G43" s="83">
        <f t="shared" si="5"/>
        <v>2.3999999999999986</v>
      </c>
      <c r="H43" s="85">
        <f>H41+(($H$47-$H$27)/10)</f>
        <v>4.7999999999999972</v>
      </c>
      <c r="I43" s="83">
        <f t="shared" si="3"/>
        <v>5.9999999999999964</v>
      </c>
      <c r="J43" s="83">
        <f t="shared" si="4"/>
        <v>7.1999999999999957</v>
      </c>
      <c r="L43" s="45">
        <f t="shared" si="2"/>
        <v>4.7999999999999972</v>
      </c>
      <c r="M43" s="92">
        <v>71.8</v>
      </c>
    </row>
    <row r="44" spans="1:13" ht="15" customHeight="1">
      <c r="A44" s="46"/>
      <c r="B44" s="92">
        <v>71.849999999999994</v>
      </c>
      <c r="C44" s="83">
        <f t="shared" si="5"/>
        <v>0.15156249999999991</v>
      </c>
      <c r="D44" s="83">
        <f t="shared" si="5"/>
        <v>0.30312499999999981</v>
      </c>
      <c r="E44" s="83">
        <f t="shared" si="5"/>
        <v>0.60624999999999962</v>
      </c>
      <c r="F44" s="83">
        <f t="shared" si="5"/>
        <v>1.2124999999999992</v>
      </c>
      <c r="G44" s="83">
        <f t="shared" si="5"/>
        <v>2.4249999999999985</v>
      </c>
      <c r="H44" s="85">
        <f>H43+((H45-H43)/2)</f>
        <v>4.849999999999997</v>
      </c>
      <c r="I44" s="83">
        <f>E44*10</f>
        <v>6.0624999999999964</v>
      </c>
      <c r="J44" s="83">
        <f>E44*12</f>
        <v>7.274999999999995</v>
      </c>
      <c r="L44" s="45">
        <f t="shared" si="2"/>
        <v>4.849999999999997</v>
      </c>
      <c r="M44" s="92">
        <v>71.849999999999994</v>
      </c>
    </row>
    <row r="45" spans="1:13" ht="15" customHeight="1">
      <c r="A45" s="46"/>
      <c r="B45" s="92">
        <v>71.900000000000006</v>
      </c>
      <c r="C45" s="83">
        <f t="shared" si="5"/>
        <v>0.1531249999999999</v>
      </c>
      <c r="D45" s="83">
        <f t="shared" si="5"/>
        <v>0.3062499999999998</v>
      </c>
      <c r="E45" s="83">
        <f t="shared" si="5"/>
        <v>0.6124999999999996</v>
      </c>
      <c r="F45" s="83">
        <f t="shared" si="5"/>
        <v>1.2249999999999992</v>
      </c>
      <c r="G45" s="83">
        <f t="shared" si="5"/>
        <v>2.4499999999999984</v>
      </c>
      <c r="H45" s="85">
        <f>H43+(($H$47-$H$27)/10)</f>
        <v>4.8999999999999968</v>
      </c>
      <c r="I45" s="83">
        <f t="shared" si="3"/>
        <v>6.1249999999999964</v>
      </c>
      <c r="J45" s="83">
        <f t="shared" si="4"/>
        <v>7.3499999999999952</v>
      </c>
      <c r="L45" s="45">
        <f t="shared" si="2"/>
        <v>4.8999999999999968</v>
      </c>
      <c r="M45" s="92">
        <v>71.900000000000006</v>
      </c>
    </row>
    <row r="46" spans="1:13" ht="15" customHeight="1">
      <c r="A46" s="46"/>
      <c r="B46" s="92">
        <v>71.95</v>
      </c>
      <c r="C46" s="83">
        <f>D46/2</f>
        <v>0.15468749999999995</v>
      </c>
      <c r="D46" s="83">
        <f>E46/2</f>
        <v>0.3093749999999999</v>
      </c>
      <c r="E46" s="83">
        <f>F46/2</f>
        <v>0.6187499999999998</v>
      </c>
      <c r="F46" s="83">
        <f>G46/2</f>
        <v>1.2374999999999996</v>
      </c>
      <c r="G46" s="83">
        <f>H46/2</f>
        <v>2.4749999999999992</v>
      </c>
      <c r="H46" s="85">
        <f>H45+((H47-H45)/2)</f>
        <v>4.9499999999999984</v>
      </c>
      <c r="I46" s="83">
        <f>E46*10</f>
        <v>6.1874999999999982</v>
      </c>
      <c r="J46" s="83">
        <f>E46*12</f>
        <v>7.4249999999999972</v>
      </c>
      <c r="L46" s="45">
        <f t="shared" si="2"/>
        <v>4.9499999999999984</v>
      </c>
      <c r="M46" s="92">
        <v>71.95</v>
      </c>
    </row>
    <row r="47" spans="1:13" ht="15" customHeight="1">
      <c r="A47" s="46"/>
      <c r="B47" s="92">
        <v>72</v>
      </c>
      <c r="C47" s="83">
        <f t="shared" ref="C47:G65" si="6">D47/2</f>
        <v>0.15625</v>
      </c>
      <c r="D47" s="83">
        <f t="shared" si="6"/>
        <v>0.3125</v>
      </c>
      <c r="E47" s="83">
        <f t="shared" si="6"/>
        <v>0.625</v>
      </c>
      <c r="F47" s="83">
        <f t="shared" si="6"/>
        <v>1.25</v>
      </c>
      <c r="G47" s="83">
        <f t="shared" si="6"/>
        <v>2.5</v>
      </c>
      <c r="H47" s="85">
        <f>H107/2</f>
        <v>5</v>
      </c>
      <c r="I47" s="83">
        <f t="shared" si="3"/>
        <v>6.25</v>
      </c>
      <c r="J47" s="83">
        <f t="shared" si="4"/>
        <v>7.5</v>
      </c>
      <c r="L47" s="45">
        <f t="shared" si="2"/>
        <v>5</v>
      </c>
      <c r="M47" s="92">
        <v>72</v>
      </c>
    </row>
    <row r="48" spans="1:13" ht="15" customHeight="1">
      <c r="A48" s="46"/>
      <c r="B48" s="92">
        <v>72.05</v>
      </c>
      <c r="C48" s="83">
        <f t="shared" si="6"/>
        <v>0.15781249999999999</v>
      </c>
      <c r="D48" s="83">
        <f t="shared" si="6"/>
        <v>0.31562499999999999</v>
      </c>
      <c r="E48" s="83">
        <f t="shared" si="6"/>
        <v>0.63124999999999998</v>
      </c>
      <c r="F48" s="83">
        <f t="shared" si="6"/>
        <v>1.2625</v>
      </c>
      <c r="G48" s="83">
        <f t="shared" si="6"/>
        <v>2.5249999999999999</v>
      </c>
      <c r="H48" s="85">
        <f>H47+((H49-H47)/2)</f>
        <v>5.05</v>
      </c>
      <c r="I48" s="83">
        <f>E48*10</f>
        <v>6.3125</v>
      </c>
      <c r="J48" s="83">
        <f>E48*12</f>
        <v>7.5749999999999993</v>
      </c>
      <c r="L48" s="45">
        <f t="shared" si="2"/>
        <v>5.05</v>
      </c>
      <c r="M48" s="92">
        <v>72.05</v>
      </c>
    </row>
    <row r="49" spans="1:13" ht="15" customHeight="1">
      <c r="A49" s="46"/>
      <c r="B49" s="92">
        <v>72.099999999999994</v>
      </c>
      <c r="C49" s="83">
        <f t="shared" si="6"/>
        <v>0.15937499999999999</v>
      </c>
      <c r="D49" s="83">
        <f t="shared" si="6"/>
        <v>0.31874999999999998</v>
      </c>
      <c r="E49" s="83">
        <f t="shared" si="6"/>
        <v>0.63749999999999996</v>
      </c>
      <c r="F49" s="83">
        <f t="shared" si="6"/>
        <v>1.2749999999999999</v>
      </c>
      <c r="G49" s="83">
        <f t="shared" si="6"/>
        <v>2.5499999999999998</v>
      </c>
      <c r="H49" s="85">
        <f>H47+(($H$67-$H$47)/10)</f>
        <v>5.0999999999999996</v>
      </c>
      <c r="I49" s="83">
        <f t="shared" si="3"/>
        <v>6.375</v>
      </c>
      <c r="J49" s="83">
        <f t="shared" si="4"/>
        <v>7.6499999999999995</v>
      </c>
      <c r="L49" s="45">
        <f t="shared" si="2"/>
        <v>5.0999999999999996</v>
      </c>
      <c r="M49" s="92">
        <v>72.099999999999994</v>
      </c>
    </row>
    <row r="50" spans="1:13" ht="15" customHeight="1">
      <c r="A50" s="46"/>
      <c r="B50" s="92">
        <v>72.150000000000006</v>
      </c>
      <c r="C50" s="83">
        <f t="shared" si="6"/>
        <v>0.16093749999999998</v>
      </c>
      <c r="D50" s="83">
        <f t="shared" si="6"/>
        <v>0.32187499999999997</v>
      </c>
      <c r="E50" s="83">
        <f t="shared" si="6"/>
        <v>0.64374999999999993</v>
      </c>
      <c r="F50" s="83">
        <f t="shared" si="6"/>
        <v>1.2874999999999999</v>
      </c>
      <c r="G50" s="83">
        <f t="shared" si="6"/>
        <v>2.5749999999999997</v>
      </c>
      <c r="H50" s="85">
        <f>H49+((H51-H49)/2)</f>
        <v>5.1499999999999995</v>
      </c>
      <c r="I50" s="83">
        <f>E50*10</f>
        <v>6.4374999999999991</v>
      </c>
      <c r="J50" s="83">
        <f>E50*12</f>
        <v>7.7249999999999996</v>
      </c>
      <c r="L50" s="45">
        <f t="shared" si="2"/>
        <v>5.1499999999999995</v>
      </c>
      <c r="M50" s="92">
        <v>72.150000000000006</v>
      </c>
    </row>
    <row r="51" spans="1:13" ht="15" customHeight="1">
      <c r="A51" s="46"/>
      <c r="B51" s="92">
        <v>72.2</v>
      </c>
      <c r="C51" s="83">
        <f t="shared" si="6"/>
        <v>0.16249999999999998</v>
      </c>
      <c r="D51" s="83">
        <f t="shared" si="6"/>
        <v>0.32499999999999996</v>
      </c>
      <c r="E51" s="83">
        <f t="shared" si="6"/>
        <v>0.64999999999999991</v>
      </c>
      <c r="F51" s="83">
        <f t="shared" si="6"/>
        <v>1.2999999999999998</v>
      </c>
      <c r="G51" s="83">
        <f t="shared" si="6"/>
        <v>2.5999999999999996</v>
      </c>
      <c r="H51" s="85">
        <f>H49+(($H$67-$H$47)/10)</f>
        <v>5.1999999999999993</v>
      </c>
      <c r="I51" s="83">
        <f t="shared" si="3"/>
        <v>6.4999999999999991</v>
      </c>
      <c r="J51" s="83">
        <f t="shared" si="4"/>
        <v>7.7999999999999989</v>
      </c>
      <c r="L51" s="45">
        <f t="shared" si="2"/>
        <v>5.1999999999999993</v>
      </c>
      <c r="M51" s="92">
        <v>72.2</v>
      </c>
    </row>
    <row r="52" spans="1:13" ht="15" customHeight="1">
      <c r="A52" s="46"/>
      <c r="B52" s="92">
        <v>72.25</v>
      </c>
      <c r="C52" s="83">
        <f t="shared" si="6"/>
        <v>0.16406249999999997</v>
      </c>
      <c r="D52" s="83">
        <f t="shared" si="6"/>
        <v>0.32812499999999994</v>
      </c>
      <c r="E52" s="83">
        <f t="shared" si="6"/>
        <v>0.65624999999999989</v>
      </c>
      <c r="F52" s="83">
        <f t="shared" si="6"/>
        <v>1.3124999999999998</v>
      </c>
      <c r="G52" s="83">
        <f t="shared" si="6"/>
        <v>2.6249999999999996</v>
      </c>
      <c r="H52" s="85">
        <f>H51+((H53-H51)/2)</f>
        <v>5.2499999999999991</v>
      </c>
      <c r="I52" s="83">
        <f>E52*10</f>
        <v>6.5624999999999991</v>
      </c>
      <c r="J52" s="83">
        <f>E52*12</f>
        <v>7.8749999999999982</v>
      </c>
      <c r="L52" s="45">
        <f t="shared" si="2"/>
        <v>5.2499999999999991</v>
      </c>
      <c r="M52" s="92">
        <v>72.25</v>
      </c>
    </row>
    <row r="53" spans="1:13" ht="15" customHeight="1">
      <c r="A53" s="46"/>
      <c r="B53" s="92">
        <v>72.3</v>
      </c>
      <c r="C53" s="83">
        <f t="shared" si="6"/>
        <v>0.16562499999999997</v>
      </c>
      <c r="D53" s="83">
        <f t="shared" si="6"/>
        <v>0.33124999999999993</v>
      </c>
      <c r="E53" s="83">
        <f t="shared" si="6"/>
        <v>0.66249999999999987</v>
      </c>
      <c r="F53" s="83">
        <f t="shared" si="6"/>
        <v>1.3249999999999997</v>
      </c>
      <c r="G53" s="83">
        <f t="shared" si="6"/>
        <v>2.6499999999999995</v>
      </c>
      <c r="H53" s="85">
        <f>H51+(($H$67-$H$47)/10)</f>
        <v>5.2999999999999989</v>
      </c>
      <c r="I53" s="83">
        <f t="shared" si="3"/>
        <v>6.6249999999999982</v>
      </c>
      <c r="J53" s="83">
        <f t="shared" si="4"/>
        <v>7.9499999999999984</v>
      </c>
      <c r="L53" s="45">
        <f t="shared" si="2"/>
        <v>5.2999999999999989</v>
      </c>
      <c r="M53" s="92">
        <v>72.3</v>
      </c>
    </row>
    <row r="54" spans="1:13" ht="15" customHeight="1">
      <c r="A54" s="46"/>
      <c r="B54" s="92">
        <v>72.349999999999994</v>
      </c>
      <c r="C54" s="83">
        <f t="shared" si="6"/>
        <v>0.16718749999999996</v>
      </c>
      <c r="D54" s="83">
        <f t="shared" si="6"/>
        <v>0.33437499999999992</v>
      </c>
      <c r="E54" s="83">
        <f t="shared" si="6"/>
        <v>0.66874999999999984</v>
      </c>
      <c r="F54" s="83">
        <f t="shared" si="6"/>
        <v>1.3374999999999997</v>
      </c>
      <c r="G54" s="83">
        <f t="shared" si="6"/>
        <v>2.6749999999999994</v>
      </c>
      <c r="H54" s="85">
        <f>H53+((H55-H53)/2)</f>
        <v>5.3499999999999988</v>
      </c>
      <c r="I54" s="83">
        <f>E54*10</f>
        <v>6.6874999999999982</v>
      </c>
      <c r="J54" s="83">
        <f>E54*12</f>
        <v>8.0249999999999986</v>
      </c>
      <c r="L54" s="45">
        <f t="shared" si="2"/>
        <v>5.3499999999999988</v>
      </c>
      <c r="M54" s="92">
        <v>72.349999999999994</v>
      </c>
    </row>
    <row r="55" spans="1:13" ht="15" customHeight="1">
      <c r="A55" s="46"/>
      <c r="B55" s="92">
        <v>72.400000000000006</v>
      </c>
      <c r="C55" s="83">
        <f t="shared" si="6"/>
        <v>0.16874999999999996</v>
      </c>
      <c r="D55" s="83">
        <f t="shared" si="6"/>
        <v>0.33749999999999991</v>
      </c>
      <c r="E55" s="83">
        <f t="shared" si="6"/>
        <v>0.67499999999999982</v>
      </c>
      <c r="F55" s="83">
        <f t="shared" si="6"/>
        <v>1.3499999999999996</v>
      </c>
      <c r="G55" s="83">
        <f t="shared" si="6"/>
        <v>2.6999999999999993</v>
      </c>
      <c r="H55" s="85">
        <f>H53+(($H$67-$H$47)/10)</f>
        <v>5.3999999999999986</v>
      </c>
      <c r="I55" s="83">
        <f t="shared" si="3"/>
        <v>6.7499999999999982</v>
      </c>
      <c r="J55" s="83">
        <f t="shared" si="4"/>
        <v>8.0999999999999979</v>
      </c>
      <c r="L55" s="45">
        <f t="shared" si="2"/>
        <v>5.3999999999999986</v>
      </c>
      <c r="M55" s="92">
        <v>72.400000000000006</v>
      </c>
    </row>
    <row r="56" spans="1:13" ht="15" customHeight="1">
      <c r="A56" s="46"/>
      <c r="B56" s="92">
        <v>72.45</v>
      </c>
      <c r="C56" s="83">
        <f t="shared" si="6"/>
        <v>0.17031249999999995</v>
      </c>
      <c r="D56" s="83">
        <f t="shared" si="6"/>
        <v>0.3406249999999999</v>
      </c>
      <c r="E56" s="83">
        <f t="shared" si="6"/>
        <v>0.6812499999999998</v>
      </c>
      <c r="F56" s="83">
        <f t="shared" si="6"/>
        <v>1.3624999999999996</v>
      </c>
      <c r="G56" s="83">
        <f t="shared" si="6"/>
        <v>2.7249999999999992</v>
      </c>
      <c r="H56" s="85">
        <f>H55+((H57-H55)/2)</f>
        <v>5.4499999999999984</v>
      </c>
      <c r="I56" s="83">
        <f>E56*10</f>
        <v>6.8124999999999982</v>
      </c>
      <c r="J56" s="83">
        <f>E56*12</f>
        <v>8.1749999999999972</v>
      </c>
      <c r="L56" s="45">
        <f t="shared" si="2"/>
        <v>5.4499999999999984</v>
      </c>
      <c r="M56" s="92">
        <v>72.45</v>
      </c>
    </row>
    <row r="57" spans="1:13" ht="15" customHeight="1">
      <c r="A57" s="46"/>
      <c r="B57" s="92">
        <v>72.5</v>
      </c>
      <c r="C57" s="83">
        <f t="shared" si="6"/>
        <v>0.17187499999999994</v>
      </c>
      <c r="D57" s="83">
        <f t="shared" si="6"/>
        <v>0.34374999999999989</v>
      </c>
      <c r="E57" s="83">
        <f t="shared" si="6"/>
        <v>0.68749999999999978</v>
      </c>
      <c r="F57" s="83">
        <f t="shared" si="6"/>
        <v>1.3749999999999996</v>
      </c>
      <c r="G57" s="83">
        <f t="shared" si="6"/>
        <v>2.7499999999999991</v>
      </c>
      <c r="H57" s="85">
        <f>H55+(($H$67-$H$47)/10)</f>
        <v>5.4999999999999982</v>
      </c>
      <c r="I57" s="83">
        <f t="shared" si="3"/>
        <v>6.8749999999999982</v>
      </c>
      <c r="J57" s="83">
        <f t="shared" si="4"/>
        <v>8.2499999999999964</v>
      </c>
      <c r="L57" s="45">
        <f t="shared" si="2"/>
        <v>5.4999999999999982</v>
      </c>
      <c r="M57" s="92">
        <v>72.5</v>
      </c>
    </row>
    <row r="58" spans="1:13" ht="15" customHeight="1">
      <c r="A58" s="46"/>
      <c r="B58" s="92">
        <v>72.55</v>
      </c>
      <c r="C58" s="83">
        <f t="shared" si="6"/>
        <v>0.17343749999999994</v>
      </c>
      <c r="D58" s="83">
        <f t="shared" si="6"/>
        <v>0.34687499999999988</v>
      </c>
      <c r="E58" s="83">
        <f t="shared" si="6"/>
        <v>0.69374999999999976</v>
      </c>
      <c r="F58" s="83">
        <f t="shared" si="6"/>
        <v>1.3874999999999995</v>
      </c>
      <c r="G58" s="83">
        <f t="shared" si="6"/>
        <v>2.774999999999999</v>
      </c>
      <c r="H58" s="85">
        <f>H57+((H59-H57)/2)</f>
        <v>5.549999999999998</v>
      </c>
      <c r="I58" s="83">
        <f>E58*10</f>
        <v>6.9374999999999973</v>
      </c>
      <c r="J58" s="83">
        <f>E58*12</f>
        <v>8.3249999999999975</v>
      </c>
      <c r="L58" s="45">
        <f t="shared" si="2"/>
        <v>5.549999999999998</v>
      </c>
      <c r="M58" s="92">
        <v>72.55</v>
      </c>
    </row>
    <row r="59" spans="1:13" ht="15" customHeight="1">
      <c r="A59" s="46"/>
      <c r="B59" s="92">
        <v>72.599999999999994</v>
      </c>
      <c r="C59" s="83">
        <f t="shared" si="6"/>
        <v>0.17499999999999993</v>
      </c>
      <c r="D59" s="83">
        <f t="shared" si="6"/>
        <v>0.34999999999999987</v>
      </c>
      <c r="E59" s="83">
        <f t="shared" si="6"/>
        <v>0.69999999999999973</v>
      </c>
      <c r="F59" s="83">
        <f t="shared" si="6"/>
        <v>1.3999999999999995</v>
      </c>
      <c r="G59" s="83">
        <f t="shared" si="6"/>
        <v>2.7999999999999989</v>
      </c>
      <c r="H59" s="85">
        <f>H57+(($H$67-$H$47)/10)</f>
        <v>5.5999999999999979</v>
      </c>
      <c r="I59" s="83">
        <f t="shared" si="3"/>
        <v>6.9999999999999973</v>
      </c>
      <c r="J59" s="83">
        <f t="shared" si="4"/>
        <v>8.3999999999999968</v>
      </c>
      <c r="L59" s="45">
        <f t="shared" si="2"/>
        <v>5.5999999999999979</v>
      </c>
      <c r="M59" s="92">
        <v>72.599999999999994</v>
      </c>
    </row>
    <row r="60" spans="1:13" ht="15" customHeight="1">
      <c r="A60" s="46"/>
      <c r="B60" s="92">
        <v>72.650000000000006</v>
      </c>
      <c r="C60" s="83">
        <f t="shared" si="6"/>
        <v>0.17656249999999993</v>
      </c>
      <c r="D60" s="83">
        <f t="shared" si="6"/>
        <v>0.35312499999999986</v>
      </c>
      <c r="E60" s="83">
        <f t="shared" si="6"/>
        <v>0.70624999999999971</v>
      </c>
      <c r="F60" s="83">
        <f t="shared" si="6"/>
        <v>1.4124999999999994</v>
      </c>
      <c r="G60" s="83">
        <f t="shared" si="6"/>
        <v>2.8249999999999988</v>
      </c>
      <c r="H60" s="85">
        <f>H59+((H61-H59)/2)</f>
        <v>5.6499999999999977</v>
      </c>
      <c r="I60" s="83">
        <f>E60*10</f>
        <v>7.0624999999999973</v>
      </c>
      <c r="J60" s="83">
        <f>E60*12</f>
        <v>8.4749999999999961</v>
      </c>
      <c r="L60" s="45">
        <f t="shared" si="2"/>
        <v>5.6499999999999977</v>
      </c>
      <c r="M60" s="92">
        <v>72.650000000000006</v>
      </c>
    </row>
    <row r="61" spans="1:13" ht="15" customHeight="1">
      <c r="A61" s="46"/>
      <c r="B61" s="92">
        <v>72.7</v>
      </c>
      <c r="C61" s="83">
        <f t="shared" si="6"/>
        <v>0.17812499999999992</v>
      </c>
      <c r="D61" s="83">
        <f t="shared" si="6"/>
        <v>0.35624999999999984</v>
      </c>
      <c r="E61" s="83">
        <f t="shared" si="6"/>
        <v>0.71249999999999969</v>
      </c>
      <c r="F61" s="83">
        <f t="shared" si="6"/>
        <v>1.4249999999999994</v>
      </c>
      <c r="G61" s="83">
        <f t="shared" si="6"/>
        <v>2.8499999999999988</v>
      </c>
      <c r="H61" s="85">
        <f>H59+(($H$67-$H$47)/10)</f>
        <v>5.6999999999999975</v>
      </c>
      <c r="I61" s="83">
        <f t="shared" si="3"/>
        <v>7.1249999999999964</v>
      </c>
      <c r="J61" s="83">
        <f t="shared" si="4"/>
        <v>8.5499999999999972</v>
      </c>
      <c r="L61" s="45">
        <f t="shared" si="2"/>
        <v>5.6999999999999975</v>
      </c>
      <c r="M61" s="92">
        <v>72.7</v>
      </c>
    </row>
    <row r="62" spans="1:13" ht="15" customHeight="1">
      <c r="A62" s="46"/>
      <c r="B62" s="92">
        <v>72.75</v>
      </c>
      <c r="C62" s="83">
        <f t="shared" si="6"/>
        <v>0.17968749999999992</v>
      </c>
      <c r="D62" s="83">
        <f t="shared" si="6"/>
        <v>0.35937499999999983</v>
      </c>
      <c r="E62" s="83">
        <f t="shared" si="6"/>
        <v>0.71874999999999967</v>
      </c>
      <c r="F62" s="83">
        <f t="shared" si="6"/>
        <v>1.4374999999999993</v>
      </c>
      <c r="G62" s="83">
        <f t="shared" si="6"/>
        <v>2.8749999999999987</v>
      </c>
      <c r="H62" s="85">
        <f>H61+((H63-H61)/2)</f>
        <v>5.7499999999999973</v>
      </c>
      <c r="I62" s="83">
        <f>E62*10</f>
        <v>7.1874999999999964</v>
      </c>
      <c r="J62" s="83">
        <f>E62*12</f>
        <v>8.6249999999999964</v>
      </c>
      <c r="L62" s="45">
        <f t="shared" si="2"/>
        <v>5.7499999999999973</v>
      </c>
      <c r="M62" s="92">
        <v>72.75</v>
      </c>
    </row>
    <row r="63" spans="1:13" ht="15" customHeight="1">
      <c r="A63" s="46"/>
      <c r="B63" s="92">
        <v>72.8</v>
      </c>
      <c r="C63" s="83">
        <f t="shared" si="6"/>
        <v>0.18124999999999991</v>
      </c>
      <c r="D63" s="83">
        <f t="shared" si="6"/>
        <v>0.36249999999999982</v>
      </c>
      <c r="E63" s="83">
        <f t="shared" si="6"/>
        <v>0.72499999999999964</v>
      </c>
      <c r="F63" s="83">
        <f t="shared" si="6"/>
        <v>1.4499999999999993</v>
      </c>
      <c r="G63" s="83">
        <f t="shared" si="6"/>
        <v>2.8999999999999986</v>
      </c>
      <c r="H63" s="85">
        <f>H61+(($H$67-$H$47)/10)</f>
        <v>5.7999999999999972</v>
      </c>
      <c r="I63" s="83">
        <f t="shared" si="3"/>
        <v>7.2499999999999964</v>
      </c>
      <c r="J63" s="83">
        <f t="shared" si="4"/>
        <v>8.6999999999999957</v>
      </c>
      <c r="L63" s="45">
        <f t="shared" si="2"/>
        <v>5.7999999999999972</v>
      </c>
      <c r="M63" s="92">
        <v>72.8</v>
      </c>
    </row>
    <row r="64" spans="1:13" ht="15" customHeight="1">
      <c r="A64" s="46"/>
      <c r="B64" s="92">
        <v>72.849999999999994</v>
      </c>
      <c r="C64" s="83">
        <f t="shared" si="6"/>
        <v>0.18281249999999991</v>
      </c>
      <c r="D64" s="83">
        <f t="shared" si="6"/>
        <v>0.36562499999999981</v>
      </c>
      <c r="E64" s="83">
        <f t="shared" si="6"/>
        <v>0.73124999999999962</v>
      </c>
      <c r="F64" s="83">
        <f t="shared" si="6"/>
        <v>1.4624999999999992</v>
      </c>
      <c r="G64" s="83">
        <f t="shared" si="6"/>
        <v>2.9249999999999985</v>
      </c>
      <c r="H64" s="85">
        <f>H63+((H65-H63)/2)</f>
        <v>5.849999999999997</v>
      </c>
      <c r="I64" s="83">
        <f>E64*10</f>
        <v>7.3124999999999964</v>
      </c>
      <c r="J64" s="83">
        <f>E64*12</f>
        <v>8.774999999999995</v>
      </c>
      <c r="L64" s="45">
        <f t="shared" si="2"/>
        <v>5.849999999999997</v>
      </c>
      <c r="M64" s="92">
        <v>72.849999999999994</v>
      </c>
    </row>
    <row r="65" spans="1:13" ht="15" customHeight="1">
      <c r="A65" s="46"/>
      <c r="B65" s="92">
        <v>72.900000000000006</v>
      </c>
      <c r="C65" s="83">
        <f t="shared" si="6"/>
        <v>0.1843749999999999</v>
      </c>
      <c r="D65" s="83">
        <f t="shared" si="6"/>
        <v>0.3687499999999998</v>
      </c>
      <c r="E65" s="83">
        <f t="shared" si="6"/>
        <v>0.7374999999999996</v>
      </c>
      <c r="F65" s="83">
        <f t="shared" si="6"/>
        <v>1.4749999999999992</v>
      </c>
      <c r="G65" s="83">
        <f t="shared" si="6"/>
        <v>2.9499999999999984</v>
      </c>
      <c r="H65" s="85">
        <f>H63+(($H$67-$H$47)/10)</f>
        <v>5.8999999999999968</v>
      </c>
      <c r="I65" s="83">
        <f t="shared" si="3"/>
        <v>7.3749999999999964</v>
      </c>
      <c r="J65" s="83">
        <f t="shared" si="4"/>
        <v>8.8499999999999943</v>
      </c>
      <c r="L65" s="45">
        <f t="shared" si="2"/>
        <v>5.8999999999999968</v>
      </c>
      <c r="M65" s="92">
        <v>72.900000000000006</v>
      </c>
    </row>
    <row r="66" spans="1:13" ht="15" customHeight="1">
      <c r="A66" s="46"/>
      <c r="B66" s="92">
        <v>72.95</v>
      </c>
      <c r="C66" s="83">
        <f>D66/2</f>
        <v>0.18593749999999995</v>
      </c>
      <c r="D66" s="83">
        <f>E66/2</f>
        <v>0.3718749999999999</v>
      </c>
      <c r="E66" s="83">
        <f>F66/2</f>
        <v>0.7437499999999998</v>
      </c>
      <c r="F66" s="83">
        <f>G66/2</f>
        <v>1.4874999999999996</v>
      </c>
      <c r="G66" s="83">
        <f>H66/2</f>
        <v>2.9749999999999992</v>
      </c>
      <c r="H66" s="85">
        <f>H65+((H67-H65)/2)</f>
        <v>5.9499999999999984</v>
      </c>
      <c r="I66" s="83">
        <f>E66*10</f>
        <v>7.4374999999999982</v>
      </c>
      <c r="J66" s="83">
        <f>E66*12</f>
        <v>8.9249999999999972</v>
      </c>
      <c r="L66" s="45">
        <f t="shared" si="2"/>
        <v>5.9499999999999984</v>
      </c>
      <c r="M66" s="92">
        <v>72.95</v>
      </c>
    </row>
    <row r="67" spans="1:13" ht="15" customHeight="1">
      <c r="A67" s="46"/>
      <c r="B67" s="92">
        <v>73</v>
      </c>
      <c r="C67" s="83">
        <f t="shared" ref="C67:G85" si="7">D67/2</f>
        <v>0.1875</v>
      </c>
      <c r="D67" s="83">
        <f t="shared" si="7"/>
        <v>0.375</v>
      </c>
      <c r="E67" s="83">
        <f t="shared" si="7"/>
        <v>0.75</v>
      </c>
      <c r="F67" s="83">
        <f t="shared" si="7"/>
        <v>1.5</v>
      </c>
      <c r="G67" s="83">
        <f t="shared" si="7"/>
        <v>3</v>
      </c>
      <c r="H67" s="85">
        <f>H127/2</f>
        <v>6</v>
      </c>
      <c r="I67" s="83">
        <f t="shared" si="3"/>
        <v>7.5</v>
      </c>
      <c r="J67" s="83">
        <f t="shared" si="4"/>
        <v>9</v>
      </c>
      <c r="L67" s="45">
        <f t="shared" si="2"/>
        <v>6</v>
      </c>
      <c r="M67" s="92">
        <v>73</v>
      </c>
    </row>
    <row r="68" spans="1:13" ht="15" customHeight="1">
      <c r="A68" s="46"/>
      <c r="B68" s="92">
        <v>73.05</v>
      </c>
      <c r="C68" s="83">
        <f t="shared" si="7"/>
        <v>0.19062499999999999</v>
      </c>
      <c r="D68" s="83">
        <f t="shared" si="7"/>
        <v>0.38124999999999998</v>
      </c>
      <c r="E68" s="83">
        <f t="shared" si="7"/>
        <v>0.76249999999999996</v>
      </c>
      <c r="F68" s="83">
        <f t="shared" si="7"/>
        <v>1.5249999999999999</v>
      </c>
      <c r="G68" s="83">
        <f t="shared" si="7"/>
        <v>3.05</v>
      </c>
      <c r="H68" s="85">
        <f>H67+((H69-H67)/2)</f>
        <v>6.1</v>
      </c>
      <c r="I68" s="83">
        <f>E68*10</f>
        <v>7.625</v>
      </c>
      <c r="J68" s="83">
        <f>E68*12</f>
        <v>9.1499999999999986</v>
      </c>
      <c r="L68" s="45">
        <f t="shared" si="2"/>
        <v>6.1</v>
      </c>
      <c r="M68" s="92">
        <v>73.05</v>
      </c>
    </row>
    <row r="69" spans="1:13" ht="15" customHeight="1">
      <c r="A69" s="46"/>
      <c r="B69" s="92">
        <v>73.099999999999994</v>
      </c>
      <c r="C69" s="83">
        <f t="shared" si="7"/>
        <v>0.19375000000000001</v>
      </c>
      <c r="D69" s="83">
        <f t="shared" si="7"/>
        <v>0.38750000000000001</v>
      </c>
      <c r="E69" s="83">
        <f t="shared" si="7"/>
        <v>0.77500000000000002</v>
      </c>
      <c r="F69" s="83">
        <f t="shared" si="7"/>
        <v>1.55</v>
      </c>
      <c r="G69" s="83">
        <f t="shared" si="7"/>
        <v>3.1</v>
      </c>
      <c r="H69" s="85">
        <f>H67+(($H$87-$H$67)/10)</f>
        <v>6.2</v>
      </c>
      <c r="I69" s="83">
        <f t="shared" si="3"/>
        <v>7.75</v>
      </c>
      <c r="J69" s="83">
        <f t="shared" si="4"/>
        <v>9.3000000000000007</v>
      </c>
      <c r="L69" s="45">
        <f t="shared" si="2"/>
        <v>6.2</v>
      </c>
      <c r="M69" s="92">
        <v>73.099999999999994</v>
      </c>
    </row>
    <row r="70" spans="1:13" ht="15" customHeight="1">
      <c r="A70" s="46"/>
      <c r="B70" s="92">
        <v>73.150000000000006</v>
      </c>
      <c r="C70" s="83">
        <f t="shared" si="7"/>
        <v>0.19687500000000002</v>
      </c>
      <c r="D70" s="83">
        <f t="shared" si="7"/>
        <v>0.39375000000000004</v>
      </c>
      <c r="E70" s="83">
        <f t="shared" si="7"/>
        <v>0.78750000000000009</v>
      </c>
      <c r="F70" s="83">
        <f t="shared" si="7"/>
        <v>1.5750000000000002</v>
      </c>
      <c r="G70" s="83">
        <f t="shared" si="7"/>
        <v>3.1500000000000004</v>
      </c>
      <c r="H70" s="85">
        <f>H69+((H71-H69)/2)</f>
        <v>6.3000000000000007</v>
      </c>
      <c r="I70" s="83">
        <f>E70*10</f>
        <v>7.8750000000000009</v>
      </c>
      <c r="J70" s="83">
        <f>E70*12</f>
        <v>9.4500000000000011</v>
      </c>
      <c r="L70" s="45">
        <f t="shared" si="2"/>
        <v>6.3000000000000007</v>
      </c>
      <c r="M70" s="92">
        <v>73.150000000000006</v>
      </c>
    </row>
    <row r="71" spans="1:13" ht="15" customHeight="1">
      <c r="A71" s="46"/>
      <c r="B71" s="92">
        <v>73.2</v>
      </c>
      <c r="C71" s="83">
        <f t="shared" si="7"/>
        <v>0.2</v>
      </c>
      <c r="D71" s="83">
        <f t="shared" si="7"/>
        <v>0.4</v>
      </c>
      <c r="E71" s="83">
        <f t="shared" si="7"/>
        <v>0.8</v>
      </c>
      <c r="F71" s="83">
        <f t="shared" si="7"/>
        <v>1.6</v>
      </c>
      <c r="G71" s="83">
        <f t="shared" si="7"/>
        <v>3.2</v>
      </c>
      <c r="H71" s="85">
        <f>H69+(($H$87-$H$67)/10)</f>
        <v>6.4</v>
      </c>
      <c r="I71" s="83">
        <f t="shared" si="3"/>
        <v>8</v>
      </c>
      <c r="J71" s="83">
        <f t="shared" si="4"/>
        <v>9.6000000000000014</v>
      </c>
      <c r="L71" s="45">
        <f t="shared" si="2"/>
        <v>6.4</v>
      </c>
      <c r="M71" s="92">
        <v>73.2</v>
      </c>
    </row>
    <row r="72" spans="1:13" ht="15" customHeight="1">
      <c r="A72" s="46"/>
      <c r="B72" s="92">
        <v>73.25</v>
      </c>
      <c r="C72" s="83">
        <f t="shared" si="7"/>
        <v>0.203125</v>
      </c>
      <c r="D72" s="83">
        <f t="shared" si="7"/>
        <v>0.40625</v>
      </c>
      <c r="E72" s="83">
        <f t="shared" si="7"/>
        <v>0.8125</v>
      </c>
      <c r="F72" s="83">
        <f t="shared" si="7"/>
        <v>1.625</v>
      </c>
      <c r="G72" s="83">
        <f t="shared" si="7"/>
        <v>3.25</v>
      </c>
      <c r="H72" s="85">
        <f>H71+((H73-H71)/2)</f>
        <v>6.5</v>
      </c>
      <c r="I72" s="83">
        <f>E72*10</f>
        <v>8.125</v>
      </c>
      <c r="J72" s="83">
        <f>E72*12</f>
        <v>9.75</v>
      </c>
      <c r="L72" s="45">
        <f t="shared" ref="L72:L135" si="8">+H72</f>
        <v>6.5</v>
      </c>
      <c r="M72" s="92">
        <v>73.25</v>
      </c>
    </row>
    <row r="73" spans="1:13" ht="15" customHeight="1">
      <c r="A73" s="46"/>
      <c r="B73" s="92">
        <v>73.3</v>
      </c>
      <c r="C73" s="83">
        <f t="shared" si="7"/>
        <v>0.20625000000000002</v>
      </c>
      <c r="D73" s="83">
        <f t="shared" si="7"/>
        <v>0.41250000000000003</v>
      </c>
      <c r="E73" s="83">
        <f t="shared" si="7"/>
        <v>0.82500000000000007</v>
      </c>
      <c r="F73" s="83">
        <f t="shared" si="7"/>
        <v>1.6500000000000001</v>
      </c>
      <c r="G73" s="83">
        <f t="shared" si="7"/>
        <v>3.3000000000000003</v>
      </c>
      <c r="H73" s="85">
        <f>H71+(($H$87-$H$67)/10)</f>
        <v>6.6000000000000005</v>
      </c>
      <c r="I73" s="83">
        <f t="shared" si="3"/>
        <v>8.25</v>
      </c>
      <c r="J73" s="83">
        <f t="shared" si="4"/>
        <v>9.9</v>
      </c>
      <c r="L73" s="45">
        <f t="shared" si="8"/>
        <v>6.6000000000000005</v>
      </c>
      <c r="M73" s="92">
        <v>73.3</v>
      </c>
    </row>
    <row r="74" spans="1:13" ht="15" customHeight="1">
      <c r="A74" s="46"/>
      <c r="B74" s="92">
        <v>73.349999999999994</v>
      </c>
      <c r="C74" s="83">
        <f t="shared" si="7"/>
        <v>0.20937500000000003</v>
      </c>
      <c r="D74" s="83">
        <f t="shared" si="7"/>
        <v>0.41875000000000007</v>
      </c>
      <c r="E74" s="83">
        <f t="shared" si="7"/>
        <v>0.83750000000000013</v>
      </c>
      <c r="F74" s="83">
        <f t="shared" si="7"/>
        <v>1.6750000000000003</v>
      </c>
      <c r="G74" s="83">
        <f t="shared" si="7"/>
        <v>3.3500000000000005</v>
      </c>
      <c r="H74" s="85">
        <f>H73+((H75-H73)/2)</f>
        <v>6.7000000000000011</v>
      </c>
      <c r="I74" s="83">
        <f>E74*10</f>
        <v>8.3750000000000018</v>
      </c>
      <c r="J74" s="83">
        <f>E74*12</f>
        <v>10.050000000000001</v>
      </c>
      <c r="L74" s="45">
        <f t="shared" si="8"/>
        <v>6.7000000000000011</v>
      </c>
      <c r="M74" s="92">
        <v>73.349999999999994</v>
      </c>
    </row>
    <row r="75" spans="1:13" ht="15" customHeight="1">
      <c r="A75" s="46"/>
      <c r="B75" s="92">
        <v>73.400000000000006</v>
      </c>
      <c r="C75" s="83">
        <f t="shared" si="7"/>
        <v>0.21250000000000002</v>
      </c>
      <c r="D75" s="83">
        <f t="shared" si="7"/>
        <v>0.42500000000000004</v>
      </c>
      <c r="E75" s="83">
        <f t="shared" si="7"/>
        <v>0.85000000000000009</v>
      </c>
      <c r="F75" s="83">
        <f t="shared" si="7"/>
        <v>1.7000000000000002</v>
      </c>
      <c r="G75" s="83">
        <f t="shared" si="7"/>
        <v>3.4000000000000004</v>
      </c>
      <c r="H75" s="85">
        <f>H73+(($H$87-$H$67)/10)</f>
        <v>6.8000000000000007</v>
      </c>
      <c r="I75" s="83">
        <f t="shared" si="3"/>
        <v>8.5</v>
      </c>
      <c r="J75" s="83">
        <f t="shared" si="4"/>
        <v>10.200000000000001</v>
      </c>
      <c r="L75" s="45">
        <f t="shared" si="8"/>
        <v>6.8000000000000007</v>
      </c>
      <c r="M75" s="92">
        <v>73.400000000000006</v>
      </c>
    </row>
    <row r="76" spans="1:13" ht="15" customHeight="1">
      <c r="A76" s="46"/>
      <c r="B76" s="92">
        <v>73.45</v>
      </c>
      <c r="C76" s="83">
        <f t="shared" si="7"/>
        <v>0.21562500000000001</v>
      </c>
      <c r="D76" s="83">
        <f t="shared" si="7"/>
        <v>0.43125000000000002</v>
      </c>
      <c r="E76" s="83">
        <f t="shared" si="7"/>
        <v>0.86250000000000004</v>
      </c>
      <c r="F76" s="83">
        <f t="shared" si="7"/>
        <v>1.7250000000000001</v>
      </c>
      <c r="G76" s="83">
        <f t="shared" si="7"/>
        <v>3.45</v>
      </c>
      <c r="H76" s="85">
        <f>H75+((H77-H75)/2)</f>
        <v>6.9</v>
      </c>
      <c r="I76" s="83">
        <f>E76*10</f>
        <v>8.625</v>
      </c>
      <c r="J76" s="83">
        <f>E76*12</f>
        <v>10.350000000000001</v>
      </c>
      <c r="L76" s="45">
        <f t="shared" si="8"/>
        <v>6.9</v>
      </c>
      <c r="M76" s="92">
        <v>73.45</v>
      </c>
    </row>
    <row r="77" spans="1:13" ht="15" customHeight="1">
      <c r="A77" s="46"/>
      <c r="B77" s="92">
        <v>73.5</v>
      </c>
      <c r="C77" s="83">
        <f t="shared" si="7"/>
        <v>0.21875000000000003</v>
      </c>
      <c r="D77" s="83">
        <f t="shared" si="7"/>
        <v>0.43750000000000006</v>
      </c>
      <c r="E77" s="83">
        <f t="shared" si="7"/>
        <v>0.87500000000000011</v>
      </c>
      <c r="F77" s="83">
        <f t="shared" si="7"/>
        <v>1.7500000000000002</v>
      </c>
      <c r="G77" s="83">
        <f t="shared" si="7"/>
        <v>3.5000000000000004</v>
      </c>
      <c r="H77" s="85">
        <f>H75+(($H$87-$H$67)/10)</f>
        <v>7.0000000000000009</v>
      </c>
      <c r="I77" s="83">
        <f t="shared" si="3"/>
        <v>8.7500000000000018</v>
      </c>
      <c r="J77" s="83">
        <f t="shared" si="4"/>
        <v>10.500000000000002</v>
      </c>
      <c r="L77" s="45">
        <f t="shared" si="8"/>
        <v>7.0000000000000009</v>
      </c>
      <c r="M77" s="92">
        <v>73.5</v>
      </c>
    </row>
    <row r="78" spans="1:13" ht="15" customHeight="1">
      <c r="A78" s="46"/>
      <c r="B78" s="92">
        <v>73.55</v>
      </c>
      <c r="C78" s="83">
        <f t="shared" si="7"/>
        <v>0.22187500000000004</v>
      </c>
      <c r="D78" s="83">
        <f t="shared" si="7"/>
        <v>0.44375000000000009</v>
      </c>
      <c r="E78" s="83">
        <f t="shared" si="7"/>
        <v>0.88750000000000018</v>
      </c>
      <c r="F78" s="83">
        <f t="shared" si="7"/>
        <v>1.7750000000000004</v>
      </c>
      <c r="G78" s="83">
        <f t="shared" si="7"/>
        <v>3.5500000000000007</v>
      </c>
      <c r="H78" s="85">
        <f>H77+((H79-H77)/2)</f>
        <v>7.1000000000000014</v>
      </c>
      <c r="I78" s="83">
        <f>E78*10</f>
        <v>8.8750000000000018</v>
      </c>
      <c r="J78" s="83">
        <f>E78*12</f>
        <v>10.650000000000002</v>
      </c>
      <c r="L78" s="45">
        <f t="shared" si="8"/>
        <v>7.1000000000000014</v>
      </c>
      <c r="M78" s="92">
        <v>73.55</v>
      </c>
    </row>
    <row r="79" spans="1:13" ht="15" customHeight="1">
      <c r="A79" s="46"/>
      <c r="B79" s="92">
        <v>73.599999999999994</v>
      </c>
      <c r="C79" s="83">
        <f t="shared" si="7"/>
        <v>0.22500000000000003</v>
      </c>
      <c r="D79" s="83">
        <f t="shared" si="7"/>
        <v>0.45000000000000007</v>
      </c>
      <c r="E79" s="83">
        <f t="shared" si="7"/>
        <v>0.90000000000000013</v>
      </c>
      <c r="F79" s="83">
        <f t="shared" si="7"/>
        <v>1.8000000000000003</v>
      </c>
      <c r="G79" s="83">
        <f t="shared" si="7"/>
        <v>3.6000000000000005</v>
      </c>
      <c r="H79" s="85">
        <f>H77+(($H$87-$H$67)/10)</f>
        <v>7.2000000000000011</v>
      </c>
      <c r="I79" s="83">
        <f t="shared" si="3"/>
        <v>9.0000000000000018</v>
      </c>
      <c r="J79" s="83">
        <f t="shared" si="4"/>
        <v>10.8</v>
      </c>
      <c r="L79" s="45">
        <f t="shared" si="8"/>
        <v>7.2000000000000011</v>
      </c>
      <c r="M79" s="92">
        <v>73.599999999999994</v>
      </c>
    </row>
    <row r="80" spans="1:13" ht="15" customHeight="1">
      <c r="A80" s="46"/>
      <c r="B80" s="92">
        <v>73.650000000000006</v>
      </c>
      <c r="C80" s="83">
        <f t="shared" si="7"/>
        <v>0.22812500000000002</v>
      </c>
      <c r="D80" s="83">
        <f t="shared" si="7"/>
        <v>0.45625000000000004</v>
      </c>
      <c r="E80" s="83">
        <f t="shared" si="7"/>
        <v>0.91250000000000009</v>
      </c>
      <c r="F80" s="83">
        <f t="shared" si="7"/>
        <v>1.8250000000000002</v>
      </c>
      <c r="G80" s="83">
        <f t="shared" si="7"/>
        <v>3.6500000000000004</v>
      </c>
      <c r="H80" s="85">
        <f>H79+((H81-H79)/2)</f>
        <v>7.3000000000000007</v>
      </c>
      <c r="I80" s="83">
        <f>E80*10</f>
        <v>9.125</v>
      </c>
      <c r="J80" s="83">
        <f>E80*12</f>
        <v>10.950000000000001</v>
      </c>
      <c r="L80" s="45">
        <f t="shared" si="8"/>
        <v>7.3000000000000007</v>
      </c>
      <c r="M80" s="92">
        <v>73.650000000000006</v>
      </c>
    </row>
    <row r="81" spans="1:13" ht="15" customHeight="1">
      <c r="A81" s="46"/>
      <c r="B81" s="92">
        <v>73.7</v>
      </c>
      <c r="C81" s="83">
        <f t="shared" si="7"/>
        <v>0.23125000000000004</v>
      </c>
      <c r="D81" s="83">
        <f t="shared" si="7"/>
        <v>0.46250000000000008</v>
      </c>
      <c r="E81" s="83">
        <f t="shared" si="7"/>
        <v>0.92500000000000016</v>
      </c>
      <c r="F81" s="83">
        <f t="shared" si="7"/>
        <v>1.8500000000000003</v>
      </c>
      <c r="G81" s="83">
        <f t="shared" si="7"/>
        <v>3.7000000000000006</v>
      </c>
      <c r="H81" s="85">
        <f>H79+(($H$87-$H$67)/10)</f>
        <v>7.4000000000000012</v>
      </c>
      <c r="I81" s="83">
        <f t="shared" si="3"/>
        <v>9.2500000000000018</v>
      </c>
      <c r="J81" s="83">
        <f t="shared" si="4"/>
        <v>11.100000000000001</v>
      </c>
      <c r="L81" s="45">
        <f t="shared" si="8"/>
        <v>7.4000000000000012</v>
      </c>
      <c r="M81" s="92">
        <v>73.7</v>
      </c>
    </row>
    <row r="82" spans="1:13" ht="15" customHeight="1">
      <c r="A82" s="46"/>
      <c r="B82" s="92">
        <v>73.75</v>
      </c>
      <c r="C82" s="83">
        <f t="shared" si="7"/>
        <v>0.23437500000000006</v>
      </c>
      <c r="D82" s="83">
        <f t="shared" si="7"/>
        <v>0.46875000000000011</v>
      </c>
      <c r="E82" s="83">
        <f t="shared" si="7"/>
        <v>0.93750000000000022</v>
      </c>
      <c r="F82" s="83">
        <f t="shared" si="7"/>
        <v>1.8750000000000004</v>
      </c>
      <c r="G82" s="83">
        <f t="shared" si="7"/>
        <v>3.7500000000000009</v>
      </c>
      <c r="H82" s="85">
        <f>H81+((H83-H81)/2)</f>
        <v>7.5000000000000018</v>
      </c>
      <c r="I82" s="83">
        <f>E82*10</f>
        <v>9.3750000000000018</v>
      </c>
      <c r="J82" s="83">
        <f>E82*12</f>
        <v>11.250000000000004</v>
      </c>
      <c r="L82" s="45">
        <f t="shared" si="8"/>
        <v>7.5000000000000018</v>
      </c>
      <c r="M82" s="92">
        <v>73.75</v>
      </c>
    </row>
    <row r="83" spans="1:13" ht="15" customHeight="1">
      <c r="A83" s="46"/>
      <c r="B83" s="92">
        <v>73.8</v>
      </c>
      <c r="C83" s="83">
        <f t="shared" si="7"/>
        <v>0.23750000000000004</v>
      </c>
      <c r="D83" s="83">
        <f t="shared" si="7"/>
        <v>0.47500000000000009</v>
      </c>
      <c r="E83" s="83">
        <f t="shared" si="7"/>
        <v>0.95000000000000018</v>
      </c>
      <c r="F83" s="83">
        <f t="shared" si="7"/>
        <v>1.9000000000000004</v>
      </c>
      <c r="G83" s="83">
        <f t="shared" si="7"/>
        <v>3.8000000000000007</v>
      </c>
      <c r="H83" s="85">
        <f>H81+(($H$87-$H$67)/10)</f>
        <v>7.6000000000000014</v>
      </c>
      <c r="I83" s="83">
        <f t="shared" si="3"/>
        <v>9.5000000000000018</v>
      </c>
      <c r="J83" s="83">
        <f t="shared" si="4"/>
        <v>11.400000000000002</v>
      </c>
      <c r="L83" s="45">
        <f t="shared" si="8"/>
        <v>7.6000000000000014</v>
      </c>
      <c r="M83" s="92">
        <v>73.8</v>
      </c>
    </row>
    <row r="84" spans="1:13" ht="15" customHeight="1">
      <c r="A84" s="46"/>
      <c r="B84" s="92">
        <v>73.849999999999994</v>
      </c>
      <c r="C84" s="83">
        <f t="shared" si="7"/>
        <v>0.24062500000000003</v>
      </c>
      <c r="D84" s="83">
        <f t="shared" si="7"/>
        <v>0.48125000000000007</v>
      </c>
      <c r="E84" s="83">
        <f t="shared" si="7"/>
        <v>0.96250000000000013</v>
      </c>
      <c r="F84" s="83">
        <f t="shared" si="7"/>
        <v>1.9250000000000003</v>
      </c>
      <c r="G84" s="83">
        <f t="shared" si="7"/>
        <v>3.8500000000000005</v>
      </c>
      <c r="H84" s="85">
        <f>H83+((H85-H83)/2)</f>
        <v>7.7000000000000011</v>
      </c>
      <c r="I84" s="83">
        <f>E84*10</f>
        <v>9.6250000000000018</v>
      </c>
      <c r="J84" s="83">
        <f>E84*12</f>
        <v>11.55</v>
      </c>
      <c r="L84" s="45">
        <f t="shared" si="8"/>
        <v>7.7000000000000011</v>
      </c>
      <c r="M84" s="92">
        <v>73.849999999999994</v>
      </c>
    </row>
    <row r="85" spans="1:13" ht="15" customHeight="1">
      <c r="A85" s="46"/>
      <c r="B85" s="92">
        <v>73.900000000000006</v>
      </c>
      <c r="C85" s="83">
        <f t="shared" si="7"/>
        <v>0.24375000000000005</v>
      </c>
      <c r="D85" s="83">
        <f t="shared" si="7"/>
        <v>0.4875000000000001</v>
      </c>
      <c r="E85" s="83">
        <f t="shared" si="7"/>
        <v>0.9750000000000002</v>
      </c>
      <c r="F85" s="83">
        <f t="shared" si="7"/>
        <v>1.9500000000000004</v>
      </c>
      <c r="G85" s="83">
        <f t="shared" si="7"/>
        <v>3.9000000000000008</v>
      </c>
      <c r="H85" s="85">
        <f>H83+(($H$87-$H$67)/10)</f>
        <v>7.8000000000000016</v>
      </c>
      <c r="I85" s="83">
        <f t="shared" si="3"/>
        <v>9.7500000000000018</v>
      </c>
      <c r="J85" s="83">
        <f t="shared" si="4"/>
        <v>11.700000000000003</v>
      </c>
      <c r="L85" s="45">
        <f t="shared" si="8"/>
        <v>7.8000000000000016</v>
      </c>
      <c r="M85" s="92">
        <v>73.900000000000006</v>
      </c>
    </row>
    <row r="86" spans="1:13" ht="15" customHeight="1">
      <c r="A86" s="46"/>
      <c r="B86" s="92">
        <v>73.95</v>
      </c>
      <c r="C86" s="83">
        <f>D86/2</f>
        <v>0.24687500000000001</v>
      </c>
      <c r="D86" s="83">
        <f>E86/2</f>
        <v>0.49375000000000002</v>
      </c>
      <c r="E86" s="83">
        <f>F86/2</f>
        <v>0.98750000000000004</v>
      </c>
      <c r="F86" s="83">
        <f>G86/2</f>
        <v>1.9750000000000001</v>
      </c>
      <c r="G86" s="83">
        <f>H86/2</f>
        <v>3.95</v>
      </c>
      <c r="H86" s="85">
        <f>H85+((H87-H85)/2)</f>
        <v>7.9</v>
      </c>
      <c r="I86" s="83">
        <f>E86*10</f>
        <v>9.875</v>
      </c>
      <c r="J86" s="83">
        <f>E86*12</f>
        <v>11.850000000000001</v>
      </c>
      <c r="L86" s="45">
        <f t="shared" si="8"/>
        <v>7.9</v>
      </c>
      <c r="M86" s="92">
        <v>73.95</v>
      </c>
    </row>
    <row r="87" spans="1:13" ht="15" customHeight="1">
      <c r="A87" s="46"/>
      <c r="B87" s="92">
        <v>74</v>
      </c>
      <c r="C87" s="83">
        <f t="shared" ref="C87:G105" si="9">D87/2</f>
        <v>0.25</v>
      </c>
      <c r="D87" s="83">
        <f t="shared" si="9"/>
        <v>0.5</v>
      </c>
      <c r="E87" s="83">
        <f t="shared" si="9"/>
        <v>1</v>
      </c>
      <c r="F87" s="83">
        <f t="shared" si="9"/>
        <v>2</v>
      </c>
      <c r="G87" s="83">
        <f t="shared" si="9"/>
        <v>4</v>
      </c>
      <c r="H87" s="85">
        <f>H147/2</f>
        <v>8</v>
      </c>
      <c r="I87" s="83">
        <f t="shared" si="3"/>
        <v>10</v>
      </c>
      <c r="J87" s="83">
        <f t="shared" si="4"/>
        <v>12</v>
      </c>
      <c r="L87" s="45">
        <f t="shared" si="8"/>
        <v>8</v>
      </c>
      <c r="M87" s="92">
        <v>74</v>
      </c>
    </row>
    <row r="88" spans="1:13" ht="15" customHeight="1">
      <c r="A88" s="46"/>
      <c r="B88" s="92">
        <v>74.05</v>
      </c>
      <c r="C88" s="83">
        <f t="shared" si="9"/>
        <v>0.25312499999999999</v>
      </c>
      <c r="D88" s="83">
        <f t="shared" si="9"/>
        <v>0.50624999999999998</v>
      </c>
      <c r="E88" s="83">
        <f t="shared" si="9"/>
        <v>1.0125</v>
      </c>
      <c r="F88" s="83">
        <f t="shared" si="9"/>
        <v>2.0249999999999999</v>
      </c>
      <c r="G88" s="83">
        <f t="shared" si="9"/>
        <v>4.05</v>
      </c>
      <c r="H88" s="85">
        <f>H87+((H89-H87)/2)</f>
        <v>8.1</v>
      </c>
      <c r="I88" s="83">
        <f>E88*10</f>
        <v>10.125</v>
      </c>
      <c r="J88" s="83">
        <f>E88*12</f>
        <v>12.149999999999999</v>
      </c>
      <c r="L88" s="45">
        <f t="shared" si="8"/>
        <v>8.1</v>
      </c>
      <c r="M88" s="92">
        <v>74.05</v>
      </c>
    </row>
    <row r="89" spans="1:13" ht="15" customHeight="1">
      <c r="A89" s="46"/>
      <c r="B89" s="92">
        <v>74.099999999999994</v>
      </c>
      <c r="C89" s="83">
        <f t="shared" si="9"/>
        <v>0.25624999999999998</v>
      </c>
      <c r="D89" s="83">
        <f t="shared" si="9"/>
        <v>0.51249999999999996</v>
      </c>
      <c r="E89" s="83">
        <f t="shared" si="9"/>
        <v>1.0249999999999999</v>
      </c>
      <c r="F89" s="83">
        <f t="shared" si="9"/>
        <v>2.0499999999999998</v>
      </c>
      <c r="G89" s="83">
        <f t="shared" si="9"/>
        <v>4.0999999999999996</v>
      </c>
      <c r="H89" s="85">
        <f>H87+((H107-H87)/10)</f>
        <v>8.1999999999999993</v>
      </c>
      <c r="I89" s="83">
        <f t="shared" si="3"/>
        <v>10.25</v>
      </c>
      <c r="J89" s="83">
        <f t="shared" si="4"/>
        <v>12.299999999999999</v>
      </c>
      <c r="L89" s="45">
        <f t="shared" si="8"/>
        <v>8.1999999999999993</v>
      </c>
      <c r="M89" s="92">
        <v>74.099999999999994</v>
      </c>
    </row>
    <row r="90" spans="1:13" ht="15" customHeight="1">
      <c r="A90" s="46"/>
      <c r="B90" s="92">
        <v>74.150000000000006</v>
      </c>
      <c r="C90" s="83">
        <f t="shared" si="9"/>
        <v>0.25937499999999997</v>
      </c>
      <c r="D90" s="83">
        <f t="shared" si="9"/>
        <v>0.51874999999999993</v>
      </c>
      <c r="E90" s="83">
        <f t="shared" si="9"/>
        <v>1.0374999999999999</v>
      </c>
      <c r="F90" s="83">
        <f t="shared" si="9"/>
        <v>2.0749999999999997</v>
      </c>
      <c r="G90" s="83">
        <f t="shared" si="9"/>
        <v>4.1499999999999995</v>
      </c>
      <c r="H90" s="85">
        <f>H89+((H91-H89)/2)</f>
        <v>8.2999999999999989</v>
      </c>
      <c r="I90" s="83">
        <f>E90*10</f>
        <v>10.374999999999998</v>
      </c>
      <c r="J90" s="83">
        <f>E90*12</f>
        <v>12.45</v>
      </c>
      <c r="L90" s="45">
        <f t="shared" si="8"/>
        <v>8.2999999999999989</v>
      </c>
      <c r="M90" s="92">
        <v>74.150000000000006</v>
      </c>
    </row>
    <row r="91" spans="1:13" ht="15" customHeight="1">
      <c r="A91" s="46"/>
      <c r="B91" s="92">
        <v>74.2</v>
      </c>
      <c r="C91" s="83">
        <f t="shared" si="9"/>
        <v>0.26249999999999996</v>
      </c>
      <c r="D91" s="83">
        <f t="shared" si="9"/>
        <v>0.52499999999999991</v>
      </c>
      <c r="E91" s="83">
        <f t="shared" si="9"/>
        <v>1.0499999999999998</v>
      </c>
      <c r="F91" s="83">
        <f t="shared" si="9"/>
        <v>2.0999999999999996</v>
      </c>
      <c r="G91" s="83">
        <f t="shared" si="9"/>
        <v>4.1999999999999993</v>
      </c>
      <c r="H91" s="85">
        <f>H89+0.2</f>
        <v>8.3999999999999986</v>
      </c>
      <c r="I91" s="83">
        <f t="shared" si="3"/>
        <v>10.499999999999998</v>
      </c>
      <c r="J91" s="83">
        <f t="shared" si="4"/>
        <v>12.599999999999998</v>
      </c>
      <c r="L91" s="45">
        <f t="shared" si="8"/>
        <v>8.3999999999999986</v>
      </c>
      <c r="M91" s="92">
        <v>74.2</v>
      </c>
    </row>
    <row r="92" spans="1:13" ht="15" customHeight="1">
      <c r="A92" s="46"/>
      <c r="B92" s="92">
        <v>74.25</v>
      </c>
      <c r="C92" s="83">
        <f t="shared" si="9"/>
        <v>0.26562499999999994</v>
      </c>
      <c r="D92" s="83">
        <f t="shared" si="9"/>
        <v>0.53124999999999989</v>
      </c>
      <c r="E92" s="83">
        <f t="shared" si="9"/>
        <v>1.0624999999999998</v>
      </c>
      <c r="F92" s="83">
        <f t="shared" si="9"/>
        <v>2.1249999999999996</v>
      </c>
      <c r="G92" s="83">
        <f t="shared" si="9"/>
        <v>4.2499999999999991</v>
      </c>
      <c r="H92" s="85">
        <f>H91+((H93-H91)/2)</f>
        <v>8.4999999999999982</v>
      </c>
      <c r="I92" s="83">
        <f>E92*10</f>
        <v>10.624999999999998</v>
      </c>
      <c r="J92" s="83">
        <f>E92*12</f>
        <v>12.749999999999996</v>
      </c>
      <c r="L92" s="45">
        <f t="shared" si="8"/>
        <v>8.4999999999999982</v>
      </c>
      <c r="M92" s="92">
        <v>74.25</v>
      </c>
    </row>
    <row r="93" spans="1:13" ht="15" customHeight="1">
      <c r="A93" s="46"/>
      <c r="B93" s="92">
        <v>74.3</v>
      </c>
      <c r="C93" s="83">
        <f t="shared" si="9"/>
        <v>0.26874999999999993</v>
      </c>
      <c r="D93" s="83">
        <f t="shared" si="9"/>
        <v>0.53749999999999987</v>
      </c>
      <c r="E93" s="83">
        <f t="shared" si="9"/>
        <v>1.0749999999999997</v>
      </c>
      <c r="F93" s="83">
        <f t="shared" si="9"/>
        <v>2.1499999999999995</v>
      </c>
      <c r="G93" s="83">
        <f t="shared" si="9"/>
        <v>4.2999999999999989</v>
      </c>
      <c r="H93" s="85">
        <f>H91+0.2</f>
        <v>8.5999999999999979</v>
      </c>
      <c r="I93" s="83">
        <f t="shared" si="3"/>
        <v>10.749999999999996</v>
      </c>
      <c r="J93" s="83">
        <f t="shared" si="4"/>
        <v>12.899999999999997</v>
      </c>
      <c r="L93" s="45">
        <f t="shared" si="8"/>
        <v>8.5999999999999979</v>
      </c>
      <c r="M93" s="92">
        <v>74.3</v>
      </c>
    </row>
    <row r="94" spans="1:13" ht="15" customHeight="1">
      <c r="A94" s="46"/>
      <c r="B94" s="92">
        <v>74.349999999999994</v>
      </c>
      <c r="C94" s="83">
        <f t="shared" si="9"/>
        <v>0.27187499999999992</v>
      </c>
      <c r="D94" s="83">
        <f t="shared" si="9"/>
        <v>0.54374999999999984</v>
      </c>
      <c r="E94" s="83">
        <f t="shared" si="9"/>
        <v>1.0874999999999997</v>
      </c>
      <c r="F94" s="83">
        <f t="shared" si="9"/>
        <v>2.1749999999999994</v>
      </c>
      <c r="G94" s="83">
        <f t="shared" si="9"/>
        <v>4.3499999999999988</v>
      </c>
      <c r="H94" s="85">
        <f>H93+((H95-H93)/2)</f>
        <v>8.6999999999999975</v>
      </c>
      <c r="I94" s="83">
        <f>E94*10</f>
        <v>10.874999999999996</v>
      </c>
      <c r="J94" s="83">
        <f>E94*12</f>
        <v>13.049999999999997</v>
      </c>
      <c r="L94" s="45">
        <f t="shared" si="8"/>
        <v>8.6999999999999975</v>
      </c>
      <c r="M94" s="92">
        <v>74.349999999999994</v>
      </c>
    </row>
    <row r="95" spans="1:13" ht="15" customHeight="1">
      <c r="A95" s="46"/>
      <c r="B95" s="92">
        <v>74.400000000000006</v>
      </c>
      <c r="C95" s="83">
        <f t="shared" si="9"/>
        <v>0.27499999999999991</v>
      </c>
      <c r="D95" s="83">
        <f t="shared" si="9"/>
        <v>0.54999999999999982</v>
      </c>
      <c r="E95" s="83">
        <f t="shared" si="9"/>
        <v>1.0999999999999996</v>
      </c>
      <c r="F95" s="83">
        <f t="shared" si="9"/>
        <v>2.1999999999999993</v>
      </c>
      <c r="G95" s="83">
        <f t="shared" si="9"/>
        <v>4.3999999999999986</v>
      </c>
      <c r="H95" s="85">
        <f>H93+0.2</f>
        <v>8.7999999999999972</v>
      </c>
      <c r="I95" s="83">
        <f t="shared" si="3"/>
        <v>10.999999999999996</v>
      </c>
      <c r="J95" s="83">
        <f t="shared" si="4"/>
        <v>13.199999999999996</v>
      </c>
      <c r="L95" s="45">
        <f t="shared" si="8"/>
        <v>8.7999999999999972</v>
      </c>
      <c r="M95" s="92">
        <v>74.400000000000006</v>
      </c>
    </row>
    <row r="96" spans="1:13" ht="15" customHeight="1">
      <c r="A96" s="46"/>
      <c r="B96" s="92">
        <v>74.45</v>
      </c>
      <c r="C96" s="83">
        <f t="shared" si="9"/>
        <v>0.2781249999999999</v>
      </c>
      <c r="D96" s="83">
        <f t="shared" si="9"/>
        <v>0.5562499999999998</v>
      </c>
      <c r="E96" s="83">
        <f t="shared" si="9"/>
        <v>1.1124999999999996</v>
      </c>
      <c r="F96" s="83">
        <f t="shared" si="9"/>
        <v>2.2249999999999992</v>
      </c>
      <c r="G96" s="83">
        <f t="shared" si="9"/>
        <v>4.4499999999999984</v>
      </c>
      <c r="H96" s="85">
        <f>H95+((H97-H95)/2)</f>
        <v>8.8999999999999968</v>
      </c>
      <c r="I96" s="83">
        <f>E96*10</f>
        <v>11.124999999999996</v>
      </c>
      <c r="J96" s="83">
        <f>E96*12</f>
        <v>13.349999999999994</v>
      </c>
      <c r="L96" s="45">
        <f t="shared" si="8"/>
        <v>8.8999999999999968</v>
      </c>
      <c r="M96" s="92">
        <v>74.45</v>
      </c>
    </row>
    <row r="97" spans="1:13" ht="15" customHeight="1">
      <c r="A97" s="46"/>
      <c r="B97" s="92">
        <v>74.5</v>
      </c>
      <c r="C97" s="83">
        <f t="shared" si="9"/>
        <v>0.28124999999999989</v>
      </c>
      <c r="D97" s="83">
        <f t="shared" si="9"/>
        <v>0.56249999999999978</v>
      </c>
      <c r="E97" s="83">
        <f t="shared" si="9"/>
        <v>1.1249999999999996</v>
      </c>
      <c r="F97" s="83">
        <f t="shared" si="9"/>
        <v>2.2499999999999991</v>
      </c>
      <c r="G97" s="83">
        <f t="shared" si="9"/>
        <v>4.4999999999999982</v>
      </c>
      <c r="H97" s="85">
        <f>H95+0.2</f>
        <v>8.9999999999999964</v>
      </c>
      <c r="I97" s="83">
        <f t="shared" si="3"/>
        <v>11.249999999999996</v>
      </c>
      <c r="J97" s="83">
        <f t="shared" si="4"/>
        <v>13.499999999999995</v>
      </c>
      <c r="L97" s="45">
        <f t="shared" si="8"/>
        <v>8.9999999999999964</v>
      </c>
      <c r="M97" s="92">
        <v>74.5</v>
      </c>
    </row>
    <row r="98" spans="1:13" ht="15" customHeight="1">
      <c r="A98" s="46"/>
      <c r="B98" s="92">
        <v>74.55</v>
      </c>
      <c r="C98" s="83">
        <f t="shared" si="9"/>
        <v>0.28437499999999988</v>
      </c>
      <c r="D98" s="83">
        <f t="shared" si="9"/>
        <v>0.56874999999999976</v>
      </c>
      <c r="E98" s="83">
        <f t="shared" si="9"/>
        <v>1.1374999999999995</v>
      </c>
      <c r="F98" s="83">
        <f t="shared" si="9"/>
        <v>2.274999999999999</v>
      </c>
      <c r="G98" s="83">
        <f t="shared" si="9"/>
        <v>4.549999999999998</v>
      </c>
      <c r="H98" s="85">
        <f>H97+((H99-H97)/2)</f>
        <v>9.0999999999999961</v>
      </c>
      <c r="I98" s="83">
        <f>E98*10</f>
        <v>11.374999999999995</v>
      </c>
      <c r="J98" s="83">
        <f>E98*12</f>
        <v>13.649999999999995</v>
      </c>
      <c r="L98" s="45">
        <f t="shared" si="8"/>
        <v>9.0999999999999961</v>
      </c>
      <c r="M98" s="92">
        <v>74.55</v>
      </c>
    </row>
    <row r="99" spans="1:13" ht="15" customHeight="1">
      <c r="A99" s="46"/>
      <c r="B99" s="92">
        <v>74.599999999999994</v>
      </c>
      <c r="C99" s="83">
        <f t="shared" si="9"/>
        <v>0.28749999999999987</v>
      </c>
      <c r="D99" s="83">
        <f t="shared" si="9"/>
        <v>0.57499999999999973</v>
      </c>
      <c r="E99" s="83">
        <f t="shared" si="9"/>
        <v>1.1499999999999995</v>
      </c>
      <c r="F99" s="83">
        <f t="shared" si="9"/>
        <v>2.2999999999999989</v>
      </c>
      <c r="G99" s="83">
        <f t="shared" si="9"/>
        <v>4.5999999999999979</v>
      </c>
      <c r="H99" s="85">
        <f>H97+0.2</f>
        <v>9.1999999999999957</v>
      </c>
      <c r="I99" s="83">
        <f t="shared" si="3"/>
        <v>11.499999999999995</v>
      </c>
      <c r="J99" s="83">
        <f t="shared" si="4"/>
        <v>13.799999999999994</v>
      </c>
      <c r="L99" s="45">
        <f t="shared" si="8"/>
        <v>9.1999999999999957</v>
      </c>
      <c r="M99" s="92">
        <v>74.599999999999994</v>
      </c>
    </row>
    <row r="100" spans="1:13" ht="15" customHeight="1">
      <c r="A100" s="46"/>
      <c r="B100" s="92">
        <v>74.650000000000006</v>
      </c>
      <c r="C100" s="83">
        <f t="shared" si="9"/>
        <v>0.29062499999999986</v>
      </c>
      <c r="D100" s="83">
        <f t="shared" si="9"/>
        <v>0.58124999999999971</v>
      </c>
      <c r="E100" s="83">
        <f t="shared" si="9"/>
        <v>1.1624999999999994</v>
      </c>
      <c r="F100" s="83">
        <f t="shared" si="9"/>
        <v>2.3249999999999988</v>
      </c>
      <c r="G100" s="83">
        <f t="shared" si="9"/>
        <v>4.6499999999999977</v>
      </c>
      <c r="H100" s="85">
        <f>H99+((H101-H99)/2)</f>
        <v>9.2999999999999954</v>
      </c>
      <c r="I100" s="83">
        <f>E100*10</f>
        <v>11.624999999999995</v>
      </c>
      <c r="J100" s="83">
        <f>E100*12</f>
        <v>13.949999999999992</v>
      </c>
      <c r="L100" s="45">
        <f t="shared" si="8"/>
        <v>9.2999999999999954</v>
      </c>
      <c r="M100" s="92">
        <v>74.650000000000006</v>
      </c>
    </row>
    <row r="101" spans="1:13" ht="15" customHeight="1">
      <c r="A101" s="46"/>
      <c r="B101" s="92">
        <v>74.7</v>
      </c>
      <c r="C101" s="83">
        <f t="shared" si="9"/>
        <v>0.29374999999999984</v>
      </c>
      <c r="D101" s="83">
        <f t="shared" si="9"/>
        <v>0.58749999999999969</v>
      </c>
      <c r="E101" s="83">
        <f t="shared" si="9"/>
        <v>1.1749999999999994</v>
      </c>
      <c r="F101" s="83">
        <f t="shared" si="9"/>
        <v>2.3499999999999988</v>
      </c>
      <c r="G101" s="83">
        <f t="shared" si="9"/>
        <v>4.6999999999999975</v>
      </c>
      <c r="H101" s="85">
        <f>H99+0.2</f>
        <v>9.399999999999995</v>
      </c>
      <c r="I101" s="83">
        <f t="shared" si="3"/>
        <v>11.749999999999993</v>
      </c>
      <c r="J101" s="83">
        <f t="shared" si="4"/>
        <v>14.099999999999993</v>
      </c>
      <c r="L101" s="45">
        <f t="shared" si="8"/>
        <v>9.399999999999995</v>
      </c>
      <c r="M101" s="92">
        <v>74.7</v>
      </c>
    </row>
    <row r="102" spans="1:13" ht="15" customHeight="1">
      <c r="A102" s="46"/>
      <c r="B102" s="92">
        <v>74.75</v>
      </c>
      <c r="C102" s="83">
        <f t="shared" si="9"/>
        <v>0.29687499999999983</v>
      </c>
      <c r="D102" s="83">
        <f t="shared" si="9"/>
        <v>0.59374999999999967</v>
      </c>
      <c r="E102" s="83">
        <f t="shared" si="9"/>
        <v>1.1874999999999993</v>
      </c>
      <c r="F102" s="83">
        <f t="shared" si="9"/>
        <v>2.3749999999999987</v>
      </c>
      <c r="G102" s="83">
        <f t="shared" si="9"/>
        <v>4.7499999999999973</v>
      </c>
      <c r="H102" s="85">
        <f>H101+((H103-H101)/2)</f>
        <v>9.4999999999999947</v>
      </c>
      <c r="I102" s="83">
        <f>E102*10</f>
        <v>11.874999999999993</v>
      </c>
      <c r="J102" s="83">
        <f>E102*12</f>
        <v>14.249999999999993</v>
      </c>
      <c r="L102" s="45">
        <f t="shared" si="8"/>
        <v>9.4999999999999947</v>
      </c>
      <c r="M102" s="92">
        <v>74.75</v>
      </c>
    </row>
    <row r="103" spans="1:13" ht="15" customHeight="1">
      <c r="A103" s="46"/>
      <c r="B103" s="92">
        <v>74.8</v>
      </c>
      <c r="C103" s="83">
        <f t="shared" si="9"/>
        <v>0.29999999999999982</v>
      </c>
      <c r="D103" s="83">
        <f t="shared" si="9"/>
        <v>0.59999999999999964</v>
      </c>
      <c r="E103" s="83">
        <f t="shared" si="9"/>
        <v>1.1999999999999993</v>
      </c>
      <c r="F103" s="83">
        <f t="shared" si="9"/>
        <v>2.3999999999999986</v>
      </c>
      <c r="G103" s="83">
        <f t="shared" si="9"/>
        <v>4.7999999999999972</v>
      </c>
      <c r="H103" s="85">
        <f>H101+0.2</f>
        <v>9.5999999999999943</v>
      </c>
      <c r="I103" s="83">
        <f t="shared" si="3"/>
        <v>11.999999999999993</v>
      </c>
      <c r="J103" s="83">
        <f t="shared" si="4"/>
        <v>14.399999999999991</v>
      </c>
      <c r="L103" s="45">
        <f t="shared" si="8"/>
        <v>9.5999999999999943</v>
      </c>
      <c r="M103" s="92">
        <v>74.8</v>
      </c>
    </row>
    <row r="104" spans="1:13" ht="15" customHeight="1">
      <c r="A104" s="46"/>
      <c r="B104" s="92">
        <v>74.849999999999994</v>
      </c>
      <c r="C104" s="83">
        <f t="shared" si="9"/>
        <v>0.30312499999999981</v>
      </c>
      <c r="D104" s="83">
        <f t="shared" si="9"/>
        <v>0.60624999999999962</v>
      </c>
      <c r="E104" s="83">
        <f t="shared" si="9"/>
        <v>1.2124999999999992</v>
      </c>
      <c r="F104" s="83">
        <f t="shared" si="9"/>
        <v>2.4249999999999985</v>
      </c>
      <c r="G104" s="83">
        <f t="shared" si="9"/>
        <v>4.849999999999997</v>
      </c>
      <c r="H104" s="85">
        <f>H103+((H105-H103)/2)</f>
        <v>9.699999999999994</v>
      </c>
      <c r="I104" s="83">
        <f>E104*10</f>
        <v>12.124999999999993</v>
      </c>
      <c r="J104" s="83">
        <f>E104*12</f>
        <v>14.54999999999999</v>
      </c>
      <c r="L104" s="45">
        <f t="shared" si="8"/>
        <v>9.699999999999994</v>
      </c>
      <c r="M104" s="92">
        <v>74.849999999999994</v>
      </c>
    </row>
    <row r="105" spans="1:13" ht="15" customHeight="1">
      <c r="A105" s="46"/>
      <c r="B105" s="92">
        <v>74.900000000000006</v>
      </c>
      <c r="C105" s="83">
        <f t="shared" si="9"/>
        <v>0.3062499999999998</v>
      </c>
      <c r="D105" s="83">
        <f t="shared" si="9"/>
        <v>0.6124999999999996</v>
      </c>
      <c r="E105" s="83">
        <f t="shared" si="9"/>
        <v>1.2249999999999992</v>
      </c>
      <c r="F105" s="83">
        <f t="shared" si="9"/>
        <v>2.4499999999999984</v>
      </c>
      <c r="G105" s="83">
        <f t="shared" si="9"/>
        <v>4.8999999999999968</v>
      </c>
      <c r="H105" s="85">
        <f>H103+0.2</f>
        <v>9.7999999999999936</v>
      </c>
      <c r="I105" s="83">
        <f t="shared" si="3"/>
        <v>12.249999999999993</v>
      </c>
      <c r="J105" s="83">
        <f t="shared" si="4"/>
        <v>14.69999999999999</v>
      </c>
      <c r="L105" s="45">
        <f t="shared" si="8"/>
        <v>9.7999999999999936</v>
      </c>
      <c r="M105" s="92">
        <v>74.900000000000006</v>
      </c>
    </row>
    <row r="106" spans="1:13" ht="15" customHeight="1">
      <c r="A106" s="46"/>
      <c r="B106" s="92">
        <v>74.95</v>
      </c>
      <c r="C106" s="83">
        <f>D106/2</f>
        <v>0.3093749999999999</v>
      </c>
      <c r="D106" s="83">
        <f>E106/2</f>
        <v>0.6187499999999998</v>
      </c>
      <c r="E106" s="83">
        <f>F106/2</f>
        <v>1.2374999999999996</v>
      </c>
      <c r="F106" s="83">
        <f>G106/2</f>
        <v>2.4749999999999992</v>
      </c>
      <c r="G106" s="83">
        <f>H106/2</f>
        <v>4.9499999999999984</v>
      </c>
      <c r="H106" s="85">
        <f>H105+((H107-H105)/2)</f>
        <v>9.8999999999999968</v>
      </c>
      <c r="I106" s="83">
        <f>E106*10</f>
        <v>12.374999999999996</v>
      </c>
      <c r="J106" s="83">
        <f>E106*12</f>
        <v>14.849999999999994</v>
      </c>
      <c r="L106" s="45">
        <f t="shared" si="8"/>
        <v>9.8999999999999968</v>
      </c>
      <c r="M106" s="92">
        <v>74.95</v>
      </c>
    </row>
    <row r="107" spans="1:13" ht="15" customHeight="1">
      <c r="A107" s="46"/>
      <c r="B107" s="92">
        <v>75</v>
      </c>
      <c r="C107" s="83">
        <f t="shared" ref="C107:G125" si="10">D107/2</f>
        <v>0.3125</v>
      </c>
      <c r="D107" s="83">
        <f t="shared" si="10"/>
        <v>0.625</v>
      </c>
      <c r="E107" s="83">
        <f t="shared" si="10"/>
        <v>1.25</v>
      </c>
      <c r="F107" s="83">
        <f t="shared" si="10"/>
        <v>2.5</v>
      </c>
      <c r="G107" s="83">
        <f t="shared" si="10"/>
        <v>5</v>
      </c>
      <c r="H107" s="86">
        <v>10</v>
      </c>
      <c r="I107" s="83">
        <f t="shared" si="3"/>
        <v>12.5</v>
      </c>
      <c r="J107" s="83">
        <f t="shared" si="4"/>
        <v>15</v>
      </c>
      <c r="L107" s="45">
        <f t="shared" si="8"/>
        <v>10</v>
      </c>
      <c r="M107" s="92">
        <v>75</v>
      </c>
    </row>
    <row r="108" spans="1:13" ht="15" customHeight="1">
      <c r="A108" s="46"/>
      <c r="B108" s="92">
        <v>75.05</v>
      </c>
      <c r="C108" s="83">
        <f t="shared" si="10"/>
        <v>0.31562499999999999</v>
      </c>
      <c r="D108" s="83">
        <f t="shared" si="10"/>
        <v>0.63124999999999998</v>
      </c>
      <c r="E108" s="83">
        <f t="shared" si="10"/>
        <v>1.2625</v>
      </c>
      <c r="F108" s="83">
        <f t="shared" si="10"/>
        <v>2.5249999999999999</v>
      </c>
      <c r="G108" s="83">
        <f t="shared" si="10"/>
        <v>5.05</v>
      </c>
      <c r="H108" s="85">
        <f>H107+((H109-H107)/2)</f>
        <v>10.1</v>
      </c>
      <c r="I108" s="83">
        <f>E108*10</f>
        <v>12.625</v>
      </c>
      <c r="J108" s="83">
        <f>E108*12</f>
        <v>15.149999999999999</v>
      </c>
      <c r="L108" s="45">
        <f t="shared" si="8"/>
        <v>10.1</v>
      </c>
      <c r="M108" s="92">
        <v>75.05</v>
      </c>
    </row>
    <row r="109" spans="1:13" ht="15" customHeight="1">
      <c r="A109" s="46"/>
      <c r="B109" s="92">
        <v>75.099999999999994</v>
      </c>
      <c r="C109" s="83">
        <f t="shared" si="10"/>
        <v>0.31874999999999998</v>
      </c>
      <c r="D109" s="83">
        <f t="shared" si="10"/>
        <v>0.63749999999999996</v>
      </c>
      <c r="E109" s="83">
        <f t="shared" si="10"/>
        <v>1.2749999999999999</v>
      </c>
      <c r="F109" s="83">
        <f t="shared" si="10"/>
        <v>2.5499999999999998</v>
      </c>
      <c r="G109" s="83">
        <f t="shared" si="10"/>
        <v>5.0999999999999996</v>
      </c>
      <c r="H109" s="85">
        <f>H107+((H127-H107)/10)</f>
        <v>10.199999999999999</v>
      </c>
      <c r="I109" s="83">
        <f t="shared" si="3"/>
        <v>12.75</v>
      </c>
      <c r="J109" s="83">
        <f t="shared" si="4"/>
        <v>15.299999999999999</v>
      </c>
      <c r="L109" s="45">
        <f t="shared" si="8"/>
        <v>10.199999999999999</v>
      </c>
      <c r="M109" s="92">
        <v>75.099999999999994</v>
      </c>
    </row>
    <row r="110" spans="1:13" ht="15" customHeight="1">
      <c r="A110" s="46"/>
      <c r="B110" s="92">
        <v>75.150000000000006</v>
      </c>
      <c r="C110" s="83">
        <f t="shared" si="10"/>
        <v>0.32187499999999997</v>
      </c>
      <c r="D110" s="83">
        <f t="shared" si="10"/>
        <v>0.64374999999999993</v>
      </c>
      <c r="E110" s="83">
        <f t="shared" si="10"/>
        <v>1.2874999999999999</v>
      </c>
      <c r="F110" s="83">
        <f t="shared" si="10"/>
        <v>2.5749999999999997</v>
      </c>
      <c r="G110" s="83">
        <f t="shared" si="10"/>
        <v>5.1499999999999995</v>
      </c>
      <c r="H110" s="85">
        <f>H109+((H111-H109)/2)</f>
        <v>10.299999999999999</v>
      </c>
      <c r="I110" s="83">
        <f>E110*10</f>
        <v>12.874999999999998</v>
      </c>
      <c r="J110" s="83">
        <f>E110*12</f>
        <v>15.45</v>
      </c>
      <c r="L110" s="45">
        <f t="shared" si="8"/>
        <v>10.299999999999999</v>
      </c>
      <c r="M110" s="92">
        <v>75.150000000000006</v>
      </c>
    </row>
    <row r="111" spans="1:13" ht="15" customHeight="1">
      <c r="A111" s="46"/>
      <c r="B111" s="92">
        <v>75.2</v>
      </c>
      <c r="C111" s="83">
        <f t="shared" si="10"/>
        <v>0.32499999999999996</v>
      </c>
      <c r="D111" s="83">
        <f t="shared" si="10"/>
        <v>0.64999999999999991</v>
      </c>
      <c r="E111" s="83">
        <f t="shared" si="10"/>
        <v>1.2999999999999998</v>
      </c>
      <c r="F111" s="83">
        <f t="shared" si="10"/>
        <v>2.5999999999999996</v>
      </c>
      <c r="G111" s="83">
        <f t="shared" si="10"/>
        <v>5.1999999999999993</v>
      </c>
      <c r="H111" s="86">
        <f>H109+0.2</f>
        <v>10.399999999999999</v>
      </c>
      <c r="I111" s="83">
        <f t="shared" si="3"/>
        <v>12.999999999999998</v>
      </c>
      <c r="J111" s="83">
        <f t="shared" si="4"/>
        <v>15.599999999999998</v>
      </c>
      <c r="L111" s="45">
        <f t="shared" si="8"/>
        <v>10.399999999999999</v>
      </c>
      <c r="M111" s="92">
        <v>75.2</v>
      </c>
    </row>
    <row r="112" spans="1:13" ht="15" customHeight="1">
      <c r="A112" s="46"/>
      <c r="B112" s="92">
        <v>75.25</v>
      </c>
      <c r="C112" s="83">
        <f t="shared" si="10"/>
        <v>0.32812499999999994</v>
      </c>
      <c r="D112" s="83">
        <f t="shared" si="10"/>
        <v>0.65624999999999989</v>
      </c>
      <c r="E112" s="83">
        <f t="shared" si="10"/>
        <v>1.3124999999999998</v>
      </c>
      <c r="F112" s="83">
        <f t="shared" si="10"/>
        <v>2.6249999999999996</v>
      </c>
      <c r="G112" s="83">
        <f t="shared" si="10"/>
        <v>5.2499999999999991</v>
      </c>
      <c r="H112" s="85">
        <f>H111+((H113-H111)/2)</f>
        <v>10.499999999999998</v>
      </c>
      <c r="I112" s="83">
        <f>E112*10</f>
        <v>13.124999999999998</v>
      </c>
      <c r="J112" s="83">
        <f>E112*12</f>
        <v>15.749999999999996</v>
      </c>
      <c r="L112" s="45">
        <f t="shared" si="8"/>
        <v>10.499999999999998</v>
      </c>
      <c r="M112" s="92">
        <v>75.25</v>
      </c>
    </row>
    <row r="113" spans="1:13" ht="15" customHeight="1">
      <c r="A113" s="46"/>
      <c r="B113" s="92">
        <v>75.3</v>
      </c>
      <c r="C113" s="83">
        <f t="shared" si="10"/>
        <v>0.33124999999999993</v>
      </c>
      <c r="D113" s="83">
        <f t="shared" si="10"/>
        <v>0.66249999999999987</v>
      </c>
      <c r="E113" s="83">
        <f t="shared" si="10"/>
        <v>1.3249999999999997</v>
      </c>
      <c r="F113" s="83">
        <f t="shared" si="10"/>
        <v>2.6499999999999995</v>
      </c>
      <c r="G113" s="83">
        <f t="shared" si="10"/>
        <v>5.2999999999999989</v>
      </c>
      <c r="H113" s="86">
        <f>H111+0.2</f>
        <v>10.599999999999998</v>
      </c>
      <c r="I113" s="83">
        <f t="shared" si="3"/>
        <v>13.249999999999996</v>
      </c>
      <c r="J113" s="83">
        <f t="shared" si="4"/>
        <v>15.899999999999997</v>
      </c>
      <c r="L113" s="45">
        <f t="shared" si="8"/>
        <v>10.599999999999998</v>
      </c>
      <c r="M113" s="92">
        <v>75.3</v>
      </c>
    </row>
    <row r="114" spans="1:13" ht="15" customHeight="1">
      <c r="A114" s="46"/>
      <c r="B114" s="92">
        <v>75.349999999999994</v>
      </c>
      <c r="C114" s="83">
        <f t="shared" si="10"/>
        <v>0.33437499999999992</v>
      </c>
      <c r="D114" s="83">
        <f t="shared" si="10"/>
        <v>0.66874999999999984</v>
      </c>
      <c r="E114" s="83">
        <f t="shared" si="10"/>
        <v>1.3374999999999997</v>
      </c>
      <c r="F114" s="83">
        <f t="shared" si="10"/>
        <v>2.6749999999999994</v>
      </c>
      <c r="G114" s="83">
        <f t="shared" si="10"/>
        <v>5.3499999999999988</v>
      </c>
      <c r="H114" s="85">
        <f>H113+((H115-H113)/2)</f>
        <v>10.699999999999998</v>
      </c>
      <c r="I114" s="83">
        <f>E114*10</f>
        <v>13.374999999999996</v>
      </c>
      <c r="J114" s="83">
        <f>E114*12</f>
        <v>16.049999999999997</v>
      </c>
      <c r="L114" s="45">
        <f t="shared" si="8"/>
        <v>10.699999999999998</v>
      </c>
      <c r="M114" s="92">
        <v>75.349999999999994</v>
      </c>
    </row>
    <row r="115" spans="1:13" ht="15" customHeight="1">
      <c r="A115" s="46"/>
      <c r="B115" s="92">
        <v>75.400000000000006</v>
      </c>
      <c r="C115" s="83">
        <f t="shared" si="10"/>
        <v>0.33749999999999991</v>
      </c>
      <c r="D115" s="83">
        <f t="shared" si="10"/>
        <v>0.67499999999999982</v>
      </c>
      <c r="E115" s="83">
        <f t="shared" si="10"/>
        <v>1.3499999999999996</v>
      </c>
      <c r="F115" s="83">
        <f t="shared" si="10"/>
        <v>2.6999999999999993</v>
      </c>
      <c r="G115" s="83">
        <f t="shared" si="10"/>
        <v>5.3999999999999986</v>
      </c>
      <c r="H115" s="86">
        <f>H113+0.2</f>
        <v>10.799999999999997</v>
      </c>
      <c r="I115" s="83">
        <f t="shared" si="3"/>
        <v>13.499999999999996</v>
      </c>
      <c r="J115" s="83">
        <f t="shared" si="4"/>
        <v>16.199999999999996</v>
      </c>
      <c r="L115" s="45">
        <f t="shared" si="8"/>
        <v>10.799999999999997</v>
      </c>
      <c r="M115" s="92">
        <v>75.400000000000006</v>
      </c>
    </row>
    <row r="116" spans="1:13" ht="15" customHeight="1">
      <c r="A116" s="46"/>
      <c r="B116" s="92">
        <v>75.45</v>
      </c>
      <c r="C116" s="83">
        <f t="shared" si="10"/>
        <v>0.3406249999999999</v>
      </c>
      <c r="D116" s="83">
        <f t="shared" si="10"/>
        <v>0.6812499999999998</v>
      </c>
      <c r="E116" s="83">
        <f t="shared" si="10"/>
        <v>1.3624999999999996</v>
      </c>
      <c r="F116" s="83">
        <f t="shared" si="10"/>
        <v>2.7249999999999992</v>
      </c>
      <c r="G116" s="83">
        <f t="shared" si="10"/>
        <v>5.4499999999999984</v>
      </c>
      <c r="H116" s="85">
        <f>H115+((H117-H115)/2)</f>
        <v>10.899999999999997</v>
      </c>
      <c r="I116" s="83">
        <f>E116*10</f>
        <v>13.624999999999996</v>
      </c>
      <c r="J116" s="83">
        <f>E116*12</f>
        <v>16.349999999999994</v>
      </c>
      <c r="L116" s="45">
        <f t="shared" si="8"/>
        <v>10.899999999999997</v>
      </c>
      <c r="M116" s="92">
        <v>75.45</v>
      </c>
    </row>
    <row r="117" spans="1:13" ht="15" customHeight="1">
      <c r="A117" s="46"/>
      <c r="B117" s="92">
        <v>75.5</v>
      </c>
      <c r="C117" s="83">
        <f t="shared" si="10"/>
        <v>0.34374999999999989</v>
      </c>
      <c r="D117" s="83">
        <f t="shared" si="10"/>
        <v>0.68749999999999978</v>
      </c>
      <c r="E117" s="83">
        <f t="shared" si="10"/>
        <v>1.3749999999999996</v>
      </c>
      <c r="F117" s="83">
        <f t="shared" si="10"/>
        <v>2.7499999999999991</v>
      </c>
      <c r="G117" s="83">
        <f t="shared" si="10"/>
        <v>5.4999999999999982</v>
      </c>
      <c r="H117" s="86">
        <f>H115+0.2</f>
        <v>10.999999999999996</v>
      </c>
      <c r="I117" s="83">
        <f t="shared" si="3"/>
        <v>13.749999999999996</v>
      </c>
      <c r="J117" s="83">
        <f t="shared" si="4"/>
        <v>16.499999999999993</v>
      </c>
      <c r="L117" s="45">
        <f t="shared" si="8"/>
        <v>10.999999999999996</v>
      </c>
      <c r="M117" s="92">
        <v>75.5</v>
      </c>
    </row>
    <row r="118" spans="1:13" ht="15" customHeight="1">
      <c r="A118" s="46"/>
      <c r="B118" s="92">
        <v>75.55</v>
      </c>
      <c r="C118" s="83">
        <f t="shared" si="10"/>
        <v>0.34687499999999988</v>
      </c>
      <c r="D118" s="83">
        <f t="shared" si="10"/>
        <v>0.69374999999999976</v>
      </c>
      <c r="E118" s="83">
        <f t="shared" si="10"/>
        <v>1.3874999999999995</v>
      </c>
      <c r="F118" s="83">
        <f t="shared" si="10"/>
        <v>2.774999999999999</v>
      </c>
      <c r="G118" s="83">
        <f t="shared" si="10"/>
        <v>5.549999999999998</v>
      </c>
      <c r="H118" s="85">
        <f>H117+((H119-H117)/2)</f>
        <v>11.099999999999996</v>
      </c>
      <c r="I118" s="83">
        <f>E118*10</f>
        <v>13.874999999999995</v>
      </c>
      <c r="J118" s="83">
        <f>E118*12</f>
        <v>16.649999999999995</v>
      </c>
      <c r="L118" s="45">
        <f t="shared" si="8"/>
        <v>11.099999999999996</v>
      </c>
      <c r="M118" s="92">
        <v>75.55</v>
      </c>
    </row>
    <row r="119" spans="1:13" ht="15" customHeight="1">
      <c r="A119" s="46"/>
      <c r="B119" s="92">
        <v>75.599999999999994</v>
      </c>
      <c r="C119" s="83">
        <f t="shared" si="10"/>
        <v>0.34999999999999987</v>
      </c>
      <c r="D119" s="83">
        <f t="shared" si="10"/>
        <v>0.69999999999999973</v>
      </c>
      <c r="E119" s="83">
        <f t="shared" si="10"/>
        <v>1.3999999999999995</v>
      </c>
      <c r="F119" s="83">
        <f t="shared" si="10"/>
        <v>2.7999999999999989</v>
      </c>
      <c r="G119" s="83">
        <f t="shared" si="10"/>
        <v>5.5999999999999979</v>
      </c>
      <c r="H119" s="86">
        <f>H117+0.2</f>
        <v>11.199999999999996</v>
      </c>
      <c r="I119" s="83">
        <f t="shared" si="3"/>
        <v>13.999999999999995</v>
      </c>
      <c r="J119" s="83">
        <f t="shared" si="4"/>
        <v>16.799999999999994</v>
      </c>
      <c r="L119" s="45">
        <f t="shared" si="8"/>
        <v>11.199999999999996</v>
      </c>
      <c r="M119" s="92">
        <v>75.599999999999994</v>
      </c>
    </row>
    <row r="120" spans="1:13" ht="15" customHeight="1">
      <c r="A120" s="46"/>
      <c r="B120" s="92">
        <v>75.650000000000006</v>
      </c>
      <c r="C120" s="83">
        <f t="shared" si="10"/>
        <v>0.35312499999999986</v>
      </c>
      <c r="D120" s="83">
        <f t="shared" si="10"/>
        <v>0.70624999999999971</v>
      </c>
      <c r="E120" s="83">
        <f t="shared" si="10"/>
        <v>1.4124999999999994</v>
      </c>
      <c r="F120" s="83">
        <f t="shared" si="10"/>
        <v>2.8249999999999988</v>
      </c>
      <c r="G120" s="83">
        <f t="shared" si="10"/>
        <v>5.6499999999999977</v>
      </c>
      <c r="H120" s="85">
        <f>H119+((H121-H119)/2)</f>
        <v>11.299999999999995</v>
      </c>
      <c r="I120" s="83">
        <f>E120*10</f>
        <v>14.124999999999995</v>
      </c>
      <c r="J120" s="83">
        <f>E120*12</f>
        <v>16.949999999999992</v>
      </c>
      <c r="L120" s="45">
        <f t="shared" si="8"/>
        <v>11.299999999999995</v>
      </c>
      <c r="M120" s="92">
        <v>75.650000000000006</v>
      </c>
    </row>
    <row r="121" spans="1:13" ht="15" customHeight="1">
      <c r="A121" s="46"/>
      <c r="B121" s="92">
        <v>75.7</v>
      </c>
      <c r="C121" s="83">
        <f t="shared" si="10"/>
        <v>0.35624999999999984</v>
      </c>
      <c r="D121" s="83">
        <f t="shared" si="10"/>
        <v>0.71249999999999969</v>
      </c>
      <c r="E121" s="83">
        <f t="shared" si="10"/>
        <v>1.4249999999999994</v>
      </c>
      <c r="F121" s="83">
        <f t="shared" si="10"/>
        <v>2.8499999999999988</v>
      </c>
      <c r="G121" s="83">
        <f t="shared" si="10"/>
        <v>5.6999999999999975</v>
      </c>
      <c r="H121" s="86">
        <f>H119+0.2</f>
        <v>11.399999999999995</v>
      </c>
      <c r="I121" s="83">
        <f t="shared" si="3"/>
        <v>14.249999999999993</v>
      </c>
      <c r="J121" s="83">
        <f t="shared" si="4"/>
        <v>17.099999999999994</v>
      </c>
      <c r="L121" s="45">
        <f t="shared" si="8"/>
        <v>11.399999999999995</v>
      </c>
      <c r="M121" s="92">
        <v>75.7</v>
      </c>
    </row>
    <row r="122" spans="1:13" ht="15" customHeight="1">
      <c r="A122" s="46"/>
      <c r="B122" s="92">
        <v>75.75</v>
      </c>
      <c r="C122" s="83">
        <f t="shared" si="10"/>
        <v>0.35937499999999983</v>
      </c>
      <c r="D122" s="83">
        <f t="shared" si="10"/>
        <v>0.71874999999999967</v>
      </c>
      <c r="E122" s="83">
        <f t="shared" si="10"/>
        <v>1.4374999999999993</v>
      </c>
      <c r="F122" s="83">
        <f t="shared" si="10"/>
        <v>2.8749999999999987</v>
      </c>
      <c r="G122" s="83">
        <f t="shared" si="10"/>
        <v>5.7499999999999973</v>
      </c>
      <c r="H122" s="85">
        <f>H121+((H123-H121)/2)</f>
        <v>11.499999999999995</v>
      </c>
      <c r="I122" s="83">
        <f>E122*10</f>
        <v>14.374999999999993</v>
      </c>
      <c r="J122" s="83">
        <f>E122*12</f>
        <v>17.249999999999993</v>
      </c>
      <c r="L122" s="45">
        <f t="shared" si="8"/>
        <v>11.499999999999995</v>
      </c>
      <c r="M122" s="92">
        <v>75.75</v>
      </c>
    </row>
    <row r="123" spans="1:13" ht="15" customHeight="1">
      <c r="A123" s="46"/>
      <c r="B123" s="92">
        <v>75.8</v>
      </c>
      <c r="C123" s="83">
        <f t="shared" si="10"/>
        <v>0.36249999999999982</v>
      </c>
      <c r="D123" s="83">
        <f t="shared" si="10"/>
        <v>0.72499999999999964</v>
      </c>
      <c r="E123" s="83">
        <f t="shared" si="10"/>
        <v>1.4499999999999993</v>
      </c>
      <c r="F123" s="83">
        <f t="shared" si="10"/>
        <v>2.8999999999999986</v>
      </c>
      <c r="G123" s="83">
        <f t="shared" si="10"/>
        <v>5.7999999999999972</v>
      </c>
      <c r="H123" s="86">
        <f>H121+0.2</f>
        <v>11.599999999999994</v>
      </c>
      <c r="I123" s="83">
        <f t="shared" si="3"/>
        <v>14.499999999999993</v>
      </c>
      <c r="J123" s="83">
        <f t="shared" si="4"/>
        <v>17.399999999999991</v>
      </c>
      <c r="L123" s="45">
        <f t="shared" si="8"/>
        <v>11.599999999999994</v>
      </c>
      <c r="M123" s="92">
        <v>75.8</v>
      </c>
    </row>
    <row r="124" spans="1:13" ht="15" customHeight="1">
      <c r="A124" s="46"/>
      <c r="B124" s="92">
        <v>75.849999999999994</v>
      </c>
      <c r="C124" s="83">
        <f t="shared" si="10"/>
        <v>0.36562499999999981</v>
      </c>
      <c r="D124" s="83">
        <f t="shared" si="10"/>
        <v>0.73124999999999962</v>
      </c>
      <c r="E124" s="83">
        <f t="shared" si="10"/>
        <v>1.4624999999999992</v>
      </c>
      <c r="F124" s="83">
        <f t="shared" si="10"/>
        <v>2.9249999999999985</v>
      </c>
      <c r="G124" s="83">
        <f t="shared" si="10"/>
        <v>5.849999999999997</v>
      </c>
      <c r="H124" s="85">
        <f>H123+((H125-H123)/2)</f>
        <v>11.699999999999994</v>
      </c>
      <c r="I124" s="83">
        <f>E124*10</f>
        <v>14.624999999999993</v>
      </c>
      <c r="J124" s="83">
        <f>E124*12</f>
        <v>17.54999999999999</v>
      </c>
      <c r="L124" s="45">
        <f t="shared" si="8"/>
        <v>11.699999999999994</v>
      </c>
      <c r="M124" s="92">
        <v>75.849999999999994</v>
      </c>
    </row>
    <row r="125" spans="1:13" ht="15" customHeight="1">
      <c r="A125" s="46"/>
      <c r="B125" s="92">
        <v>75.900000000000006</v>
      </c>
      <c r="C125" s="83">
        <f t="shared" si="10"/>
        <v>0.3687499999999998</v>
      </c>
      <c r="D125" s="83">
        <f t="shared" si="10"/>
        <v>0.7374999999999996</v>
      </c>
      <c r="E125" s="83">
        <f t="shared" si="10"/>
        <v>1.4749999999999992</v>
      </c>
      <c r="F125" s="83">
        <f t="shared" si="10"/>
        <v>2.9499999999999984</v>
      </c>
      <c r="G125" s="83">
        <f t="shared" si="10"/>
        <v>5.8999999999999968</v>
      </c>
      <c r="H125" s="86">
        <f>H123+0.2</f>
        <v>11.799999999999994</v>
      </c>
      <c r="I125" s="83">
        <f t="shared" si="3"/>
        <v>14.749999999999993</v>
      </c>
      <c r="J125" s="83">
        <f t="shared" si="4"/>
        <v>17.699999999999989</v>
      </c>
      <c r="L125" s="45">
        <f t="shared" si="8"/>
        <v>11.799999999999994</v>
      </c>
      <c r="M125" s="92">
        <v>75.900000000000006</v>
      </c>
    </row>
    <row r="126" spans="1:13" ht="15" customHeight="1">
      <c r="A126" s="46"/>
      <c r="B126" s="92">
        <v>75.95</v>
      </c>
      <c r="C126" s="83">
        <f>D126/2</f>
        <v>0.3718749999999999</v>
      </c>
      <c r="D126" s="83">
        <f>E126/2</f>
        <v>0.7437499999999998</v>
      </c>
      <c r="E126" s="83">
        <f>F126/2</f>
        <v>1.4874999999999996</v>
      </c>
      <c r="F126" s="83">
        <f>G126/2</f>
        <v>2.9749999999999992</v>
      </c>
      <c r="G126" s="83">
        <f>H126/2</f>
        <v>5.9499999999999984</v>
      </c>
      <c r="H126" s="85">
        <f>H125+((H127-H125)/2)</f>
        <v>11.899999999999997</v>
      </c>
      <c r="I126" s="83">
        <f>E126*10</f>
        <v>14.874999999999996</v>
      </c>
      <c r="J126" s="83">
        <f>E126*12</f>
        <v>17.849999999999994</v>
      </c>
      <c r="L126" s="45">
        <f t="shared" si="8"/>
        <v>11.899999999999997</v>
      </c>
      <c r="M126" s="92">
        <v>75.95</v>
      </c>
    </row>
    <row r="127" spans="1:13" ht="15" customHeight="1">
      <c r="A127" s="46"/>
      <c r="B127" s="92">
        <v>76</v>
      </c>
      <c r="C127" s="83">
        <f t="shared" ref="C127:G145" si="11">D127/2</f>
        <v>0.375</v>
      </c>
      <c r="D127" s="83">
        <f t="shared" si="11"/>
        <v>0.75</v>
      </c>
      <c r="E127" s="83">
        <f t="shared" si="11"/>
        <v>1.5</v>
      </c>
      <c r="F127" s="83">
        <f t="shared" si="11"/>
        <v>3</v>
      </c>
      <c r="G127" s="83">
        <f t="shared" si="11"/>
        <v>6</v>
      </c>
      <c r="H127" s="86">
        <v>12</v>
      </c>
      <c r="I127" s="83">
        <f t="shared" si="3"/>
        <v>15</v>
      </c>
      <c r="J127" s="83">
        <f t="shared" si="4"/>
        <v>18</v>
      </c>
      <c r="L127" s="45">
        <f t="shared" si="8"/>
        <v>12</v>
      </c>
      <c r="M127" s="92">
        <v>76</v>
      </c>
    </row>
    <row r="128" spans="1:13" ht="15" customHeight="1">
      <c r="A128" s="46"/>
      <c r="B128" s="92">
        <v>76.05</v>
      </c>
      <c r="C128" s="83">
        <f t="shared" si="11"/>
        <v>0.38124999999999998</v>
      </c>
      <c r="D128" s="83">
        <f t="shared" si="11"/>
        <v>0.76249999999999996</v>
      </c>
      <c r="E128" s="83">
        <f t="shared" si="11"/>
        <v>1.5249999999999999</v>
      </c>
      <c r="F128" s="83">
        <f t="shared" si="11"/>
        <v>3.05</v>
      </c>
      <c r="G128" s="83">
        <f t="shared" si="11"/>
        <v>6.1</v>
      </c>
      <c r="H128" s="85">
        <f>H127+((H129-H127)/2)</f>
        <v>12.2</v>
      </c>
      <c r="I128" s="83">
        <f>E128*10</f>
        <v>15.25</v>
      </c>
      <c r="J128" s="83">
        <f>E128*12</f>
        <v>18.299999999999997</v>
      </c>
      <c r="L128" s="45">
        <f t="shared" si="8"/>
        <v>12.2</v>
      </c>
      <c r="M128" s="92">
        <v>76.05</v>
      </c>
    </row>
    <row r="129" spans="1:13" ht="15" customHeight="1">
      <c r="A129" s="46"/>
      <c r="B129" s="92">
        <v>76.099999999999994</v>
      </c>
      <c r="C129" s="83">
        <f t="shared" si="11"/>
        <v>0.38750000000000001</v>
      </c>
      <c r="D129" s="83">
        <f t="shared" si="11"/>
        <v>0.77500000000000002</v>
      </c>
      <c r="E129" s="83">
        <f t="shared" si="11"/>
        <v>1.55</v>
      </c>
      <c r="F129" s="83">
        <f t="shared" si="11"/>
        <v>3.1</v>
      </c>
      <c r="G129" s="83">
        <f t="shared" si="11"/>
        <v>6.2</v>
      </c>
      <c r="H129" s="85">
        <f>H127+((H147-H127)/10)</f>
        <v>12.4</v>
      </c>
      <c r="I129" s="83">
        <f t="shared" si="3"/>
        <v>15.5</v>
      </c>
      <c r="J129" s="83">
        <f t="shared" si="4"/>
        <v>18.600000000000001</v>
      </c>
      <c r="L129" s="45">
        <f t="shared" si="8"/>
        <v>12.4</v>
      </c>
      <c r="M129" s="92">
        <v>76.099999999999994</v>
      </c>
    </row>
    <row r="130" spans="1:13" ht="15" customHeight="1">
      <c r="A130" s="46"/>
      <c r="B130" s="92">
        <v>76.150000000000006</v>
      </c>
      <c r="C130" s="83">
        <f t="shared" si="11"/>
        <v>0.39375000000000004</v>
      </c>
      <c r="D130" s="83">
        <f t="shared" si="11"/>
        <v>0.78750000000000009</v>
      </c>
      <c r="E130" s="83">
        <f t="shared" si="11"/>
        <v>1.5750000000000002</v>
      </c>
      <c r="F130" s="83">
        <f t="shared" si="11"/>
        <v>3.1500000000000004</v>
      </c>
      <c r="G130" s="83">
        <f t="shared" si="11"/>
        <v>6.3000000000000007</v>
      </c>
      <c r="H130" s="85">
        <f>H129+((H131-H129)/2)</f>
        <v>12.600000000000001</v>
      </c>
      <c r="I130" s="83">
        <f>E130*10</f>
        <v>15.750000000000002</v>
      </c>
      <c r="J130" s="83">
        <f>E130*12</f>
        <v>18.900000000000002</v>
      </c>
      <c r="L130" s="45">
        <f t="shared" si="8"/>
        <v>12.600000000000001</v>
      </c>
      <c r="M130" s="92">
        <v>76.150000000000006</v>
      </c>
    </row>
    <row r="131" spans="1:13" ht="15" customHeight="1">
      <c r="A131" s="46"/>
      <c r="B131" s="92">
        <v>76.2</v>
      </c>
      <c r="C131" s="83">
        <f t="shared" si="11"/>
        <v>0.4</v>
      </c>
      <c r="D131" s="83">
        <f t="shared" si="11"/>
        <v>0.8</v>
      </c>
      <c r="E131" s="83">
        <f t="shared" si="11"/>
        <v>1.6</v>
      </c>
      <c r="F131" s="83">
        <f t="shared" si="11"/>
        <v>3.2</v>
      </c>
      <c r="G131" s="83">
        <f t="shared" si="11"/>
        <v>6.4</v>
      </c>
      <c r="H131" s="86">
        <f>H129+0.4</f>
        <v>12.8</v>
      </c>
      <c r="I131" s="83">
        <f t="shared" si="3"/>
        <v>16</v>
      </c>
      <c r="J131" s="83">
        <f t="shared" si="4"/>
        <v>19.200000000000003</v>
      </c>
      <c r="L131" s="45">
        <f t="shared" si="8"/>
        <v>12.8</v>
      </c>
      <c r="M131" s="92">
        <v>76.2</v>
      </c>
    </row>
    <row r="132" spans="1:13" ht="15" customHeight="1">
      <c r="A132" s="46"/>
      <c r="B132" s="92">
        <v>76.25</v>
      </c>
      <c r="C132" s="83">
        <f t="shared" si="11"/>
        <v>0.40625</v>
      </c>
      <c r="D132" s="83">
        <f t="shared" si="11"/>
        <v>0.8125</v>
      </c>
      <c r="E132" s="83">
        <f t="shared" si="11"/>
        <v>1.625</v>
      </c>
      <c r="F132" s="83">
        <f t="shared" si="11"/>
        <v>3.25</v>
      </c>
      <c r="G132" s="83">
        <f t="shared" si="11"/>
        <v>6.5</v>
      </c>
      <c r="H132" s="85">
        <f>H131+((H133-H131)/2)</f>
        <v>13</v>
      </c>
      <c r="I132" s="83">
        <f>E132*10</f>
        <v>16.25</v>
      </c>
      <c r="J132" s="83">
        <f>E132*12</f>
        <v>19.5</v>
      </c>
      <c r="L132" s="45">
        <f t="shared" si="8"/>
        <v>13</v>
      </c>
      <c r="M132" s="92">
        <v>76.25</v>
      </c>
    </row>
    <row r="133" spans="1:13" ht="15" customHeight="1">
      <c r="A133" s="46"/>
      <c r="B133" s="92">
        <v>76.3</v>
      </c>
      <c r="C133" s="83">
        <f t="shared" si="11"/>
        <v>0.41250000000000003</v>
      </c>
      <c r="D133" s="83">
        <f t="shared" si="11"/>
        <v>0.82500000000000007</v>
      </c>
      <c r="E133" s="83">
        <f t="shared" si="11"/>
        <v>1.6500000000000001</v>
      </c>
      <c r="F133" s="83">
        <f t="shared" si="11"/>
        <v>3.3000000000000003</v>
      </c>
      <c r="G133" s="83">
        <f t="shared" si="11"/>
        <v>6.6000000000000005</v>
      </c>
      <c r="H133" s="86">
        <f>H131+0.4</f>
        <v>13.200000000000001</v>
      </c>
      <c r="I133" s="83">
        <f t="shared" si="3"/>
        <v>16.5</v>
      </c>
      <c r="J133" s="83">
        <f t="shared" si="4"/>
        <v>19.8</v>
      </c>
      <c r="L133" s="45">
        <f t="shared" si="8"/>
        <v>13.200000000000001</v>
      </c>
      <c r="M133" s="92">
        <v>76.3</v>
      </c>
    </row>
    <row r="134" spans="1:13" ht="15" customHeight="1">
      <c r="A134" s="46"/>
      <c r="B134" s="92">
        <v>76.349999999999994</v>
      </c>
      <c r="C134" s="83">
        <f t="shared" si="11"/>
        <v>0.41875000000000007</v>
      </c>
      <c r="D134" s="83">
        <f t="shared" si="11"/>
        <v>0.83750000000000013</v>
      </c>
      <c r="E134" s="83">
        <f t="shared" si="11"/>
        <v>1.6750000000000003</v>
      </c>
      <c r="F134" s="83">
        <f t="shared" si="11"/>
        <v>3.3500000000000005</v>
      </c>
      <c r="G134" s="83">
        <f t="shared" si="11"/>
        <v>6.7000000000000011</v>
      </c>
      <c r="H134" s="85">
        <f>H133+((H135-H133)/2)</f>
        <v>13.400000000000002</v>
      </c>
      <c r="I134" s="83">
        <f>E134*10</f>
        <v>16.750000000000004</v>
      </c>
      <c r="J134" s="83">
        <f>E134*12</f>
        <v>20.100000000000001</v>
      </c>
      <c r="L134" s="45">
        <f t="shared" si="8"/>
        <v>13.400000000000002</v>
      </c>
      <c r="M134" s="92">
        <v>76.349999999999994</v>
      </c>
    </row>
    <row r="135" spans="1:13" ht="15" customHeight="1">
      <c r="A135" s="46"/>
      <c r="B135" s="92">
        <v>76.400000000000006</v>
      </c>
      <c r="C135" s="83">
        <f t="shared" si="11"/>
        <v>0.42500000000000004</v>
      </c>
      <c r="D135" s="83">
        <f t="shared" si="11"/>
        <v>0.85000000000000009</v>
      </c>
      <c r="E135" s="83">
        <f t="shared" si="11"/>
        <v>1.7000000000000002</v>
      </c>
      <c r="F135" s="83">
        <f t="shared" si="11"/>
        <v>3.4000000000000004</v>
      </c>
      <c r="G135" s="83">
        <f t="shared" si="11"/>
        <v>6.8000000000000007</v>
      </c>
      <c r="H135" s="86">
        <f>H133+0.4</f>
        <v>13.600000000000001</v>
      </c>
      <c r="I135" s="83">
        <f t="shared" si="3"/>
        <v>17</v>
      </c>
      <c r="J135" s="83">
        <f t="shared" si="4"/>
        <v>20.400000000000002</v>
      </c>
      <c r="L135" s="45">
        <f t="shared" si="8"/>
        <v>13.600000000000001</v>
      </c>
      <c r="M135" s="92">
        <v>76.400000000000006</v>
      </c>
    </row>
    <row r="136" spans="1:13" ht="15" customHeight="1">
      <c r="A136" s="46"/>
      <c r="B136" s="92">
        <v>76.45</v>
      </c>
      <c r="C136" s="83">
        <f t="shared" si="11"/>
        <v>0.43125000000000002</v>
      </c>
      <c r="D136" s="83">
        <f t="shared" si="11"/>
        <v>0.86250000000000004</v>
      </c>
      <c r="E136" s="83">
        <f t="shared" si="11"/>
        <v>1.7250000000000001</v>
      </c>
      <c r="F136" s="83">
        <f t="shared" si="11"/>
        <v>3.45</v>
      </c>
      <c r="G136" s="83">
        <f t="shared" si="11"/>
        <v>6.9</v>
      </c>
      <c r="H136" s="85">
        <f>H135+((H137-H135)/2)</f>
        <v>13.8</v>
      </c>
      <c r="I136" s="83">
        <f>E136*10</f>
        <v>17.25</v>
      </c>
      <c r="J136" s="83">
        <f>E136*12</f>
        <v>20.700000000000003</v>
      </c>
      <c r="L136" s="45">
        <f t="shared" ref="L136:L199" si="12">+H136</f>
        <v>13.8</v>
      </c>
      <c r="M136" s="92">
        <v>76.45</v>
      </c>
    </row>
    <row r="137" spans="1:13" ht="15" customHeight="1">
      <c r="A137" s="46"/>
      <c r="B137" s="92">
        <v>76.5</v>
      </c>
      <c r="C137" s="83">
        <f t="shared" si="11"/>
        <v>0.43750000000000006</v>
      </c>
      <c r="D137" s="83">
        <f t="shared" si="11"/>
        <v>0.87500000000000011</v>
      </c>
      <c r="E137" s="83">
        <f t="shared" si="11"/>
        <v>1.7500000000000002</v>
      </c>
      <c r="F137" s="83">
        <f t="shared" si="11"/>
        <v>3.5000000000000004</v>
      </c>
      <c r="G137" s="83">
        <f t="shared" si="11"/>
        <v>7.0000000000000009</v>
      </c>
      <c r="H137" s="86">
        <f>H135+0.4</f>
        <v>14.000000000000002</v>
      </c>
      <c r="I137" s="83">
        <f t="shared" ref="I137:I263" si="13">E137*10</f>
        <v>17.500000000000004</v>
      </c>
      <c r="J137" s="83">
        <f t="shared" ref="J137:J263" si="14">E137*12</f>
        <v>21.000000000000004</v>
      </c>
      <c r="L137" s="45">
        <f t="shared" si="12"/>
        <v>14.000000000000002</v>
      </c>
      <c r="M137" s="92">
        <v>76.5</v>
      </c>
    </row>
    <row r="138" spans="1:13" ht="15" customHeight="1">
      <c r="A138" s="46"/>
      <c r="B138" s="92">
        <v>76.55</v>
      </c>
      <c r="C138" s="83">
        <f t="shared" si="11"/>
        <v>0.44375000000000009</v>
      </c>
      <c r="D138" s="83">
        <f t="shared" si="11"/>
        <v>0.88750000000000018</v>
      </c>
      <c r="E138" s="83">
        <f t="shared" si="11"/>
        <v>1.7750000000000004</v>
      </c>
      <c r="F138" s="83">
        <f t="shared" si="11"/>
        <v>3.5500000000000007</v>
      </c>
      <c r="G138" s="83">
        <f t="shared" si="11"/>
        <v>7.1000000000000014</v>
      </c>
      <c r="H138" s="85">
        <f>H137+((H139-H137)/2)</f>
        <v>14.200000000000003</v>
      </c>
      <c r="I138" s="83">
        <f>E138*10</f>
        <v>17.750000000000004</v>
      </c>
      <c r="J138" s="83">
        <f>E138*12</f>
        <v>21.300000000000004</v>
      </c>
      <c r="L138" s="45">
        <f t="shared" si="12"/>
        <v>14.200000000000003</v>
      </c>
      <c r="M138" s="92">
        <v>76.55</v>
      </c>
    </row>
    <row r="139" spans="1:13" ht="15" customHeight="1">
      <c r="A139" s="46"/>
      <c r="B139" s="92">
        <v>76.599999999999994</v>
      </c>
      <c r="C139" s="83">
        <f t="shared" si="11"/>
        <v>0.45000000000000007</v>
      </c>
      <c r="D139" s="83">
        <f t="shared" si="11"/>
        <v>0.90000000000000013</v>
      </c>
      <c r="E139" s="83">
        <f t="shared" si="11"/>
        <v>1.8000000000000003</v>
      </c>
      <c r="F139" s="83">
        <f t="shared" si="11"/>
        <v>3.6000000000000005</v>
      </c>
      <c r="G139" s="83">
        <f t="shared" si="11"/>
        <v>7.2000000000000011</v>
      </c>
      <c r="H139" s="86">
        <f>H137+0.4</f>
        <v>14.400000000000002</v>
      </c>
      <c r="I139" s="83">
        <f t="shared" si="13"/>
        <v>18.000000000000004</v>
      </c>
      <c r="J139" s="83">
        <f t="shared" si="14"/>
        <v>21.6</v>
      </c>
      <c r="L139" s="45">
        <f t="shared" si="12"/>
        <v>14.400000000000002</v>
      </c>
      <c r="M139" s="92">
        <v>76.599999999999994</v>
      </c>
    </row>
    <row r="140" spans="1:13" ht="15" customHeight="1">
      <c r="A140" s="46"/>
      <c r="B140" s="92">
        <v>76.650000000000006</v>
      </c>
      <c r="C140" s="83">
        <f t="shared" si="11"/>
        <v>0.45625000000000004</v>
      </c>
      <c r="D140" s="83">
        <f t="shared" si="11"/>
        <v>0.91250000000000009</v>
      </c>
      <c r="E140" s="83">
        <f t="shared" si="11"/>
        <v>1.8250000000000002</v>
      </c>
      <c r="F140" s="83">
        <f t="shared" si="11"/>
        <v>3.6500000000000004</v>
      </c>
      <c r="G140" s="83">
        <f t="shared" si="11"/>
        <v>7.3000000000000007</v>
      </c>
      <c r="H140" s="85">
        <f>H139+((H141-H139)/2)</f>
        <v>14.600000000000001</v>
      </c>
      <c r="I140" s="83">
        <f>E140*10</f>
        <v>18.25</v>
      </c>
      <c r="J140" s="83">
        <f>E140*12</f>
        <v>21.900000000000002</v>
      </c>
      <c r="L140" s="45">
        <f t="shared" si="12"/>
        <v>14.600000000000001</v>
      </c>
      <c r="M140" s="92">
        <v>76.650000000000006</v>
      </c>
    </row>
    <row r="141" spans="1:13" ht="15" customHeight="1">
      <c r="A141" s="46"/>
      <c r="B141" s="92">
        <v>76.7</v>
      </c>
      <c r="C141" s="83">
        <f t="shared" si="11"/>
        <v>0.46250000000000008</v>
      </c>
      <c r="D141" s="83">
        <f t="shared" si="11"/>
        <v>0.92500000000000016</v>
      </c>
      <c r="E141" s="83">
        <f t="shared" si="11"/>
        <v>1.8500000000000003</v>
      </c>
      <c r="F141" s="83">
        <f t="shared" si="11"/>
        <v>3.7000000000000006</v>
      </c>
      <c r="G141" s="83">
        <f t="shared" si="11"/>
        <v>7.4000000000000012</v>
      </c>
      <c r="H141" s="86">
        <f>H139+0.4</f>
        <v>14.800000000000002</v>
      </c>
      <c r="I141" s="83">
        <f t="shared" si="13"/>
        <v>18.500000000000004</v>
      </c>
      <c r="J141" s="83">
        <f t="shared" si="14"/>
        <v>22.200000000000003</v>
      </c>
      <c r="L141" s="45">
        <f t="shared" si="12"/>
        <v>14.800000000000002</v>
      </c>
      <c r="M141" s="92">
        <v>76.7</v>
      </c>
    </row>
    <row r="142" spans="1:13" ht="15" customHeight="1">
      <c r="A142" s="46"/>
      <c r="B142" s="92">
        <v>76.75</v>
      </c>
      <c r="C142" s="83">
        <f t="shared" si="11"/>
        <v>0.46875000000000011</v>
      </c>
      <c r="D142" s="83">
        <f t="shared" si="11"/>
        <v>0.93750000000000022</v>
      </c>
      <c r="E142" s="83">
        <f t="shared" si="11"/>
        <v>1.8750000000000004</v>
      </c>
      <c r="F142" s="83">
        <f t="shared" si="11"/>
        <v>3.7500000000000009</v>
      </c>
      <c r="G142" s="83">
        <f t="shared" si="11"/>
        <v>7.5000000000000018</v>
      </c>
      <c r="H142" s="85">
        <f>H141+((H143-H141)/2)</f>
        <v>15.000000000000004</v>
      </c>
      <c r="I142" s="83">
        <f>E142*10</f>
        <v>18.750000000000004</v>
      </c>
      <c r="J142" s="83">
        <f>E142*12</f>
        <v>22.500000000000007</v>
      </c>
      <c r="L142" s="45">
        <f t="shared" si="12"/>
        <v>15.000000000000004</v>
      </c>
      <c r="M142" s="92">
        <v>76.75</v>
      </c>
    </row>
    <row r="143" spans="1:13" ht="15" customHeight="1">
      <c r="A143" s="46"/>
      <c r="B143" s="92">
        <v>76.8</v>
      </c>
      <c r="C143" s="83">
        <f t="shared" si="11"/>
        <v>0.47500000000000009</v>
      </c>
      <c r="D143" s="83">
        <f t="shared" si="11"/>
        <v>0.95000000000000018</v>
      </c>
      <c r="E143" s="83">
        <f t="shared" si="11"/>
        <v>1.9000000000000004</v>
      </c>
      <c r="F143" s="83">
        <f t="shared" si="11"/>
        <v>3.8000000000000007</v>
      </c>
      <c r="G143" s="83">
        <f t="shared" si="11"/>
        <v>7.6000000000000014</v>
      </c>
      <c r="H143" s="86">
        <f>H141+0.4</f>
        <v>15.200000000000003</v>
      </c>
      <c r="I143" s="83">
        <f t="shared" si="13"/>
        <v>19.000000000000004</v>
      </c>
      <c r="J143" s="83">
        <f t="shared" si="14"/>
        <v>22.800000000000004</v>
      </c>
      <c r="L143" s="45">
        <f t="shared" si="12"/>
        <v>15.200000000000003</v>
      </c>
      <c r="M143" s="92">
        <v>76.8</v>
      </c>
    </row>
    <row r="144" spans="1:13" ht="15" customHeight="1">
      <c r="A144" s="46"/>
      <c r="B144" s="92">
        <v>76.849999999999994</v>
      </c>
      <c r="C144" s="83">
        <f t="shared" si="11"/>
        <v>0.48125000000000007</v>
      </c>
      <c r="D144" s="83">
        <f t="shared" si="11"/>
        <v>0.96250000000000013</v>
      </c>
      <c r="E144" s="83">
        <f t="shared" si="11"/>
        <v>1.9250000000000003</v>
      </c>
      <c r="F144" s="83">
        <f t="shared" si="11"/>
        <v>3.8500000000000005</v>
      </c>
      <c r="G144" s="83">
        <f t="shared" si="11"/>
        <v>7.7000000000000011</v>
      </c>
      <c r="H144" s="85">
        <f>H143+((H145-H143)/2)</f>
        <v>15.400000000000002</v>
      </c>
      <c r="I144" s="83">
        <f>E144*10</f>
        <v>19.250000000000004</v>
      </c>
      <c r="J144" s="83">
        <f>E144*12</f>
        <v>23.1</v>
      </c>
      <c r="L144" s="45">
        <f t="shared" si="12"/>
        <v>15.400000000000002</v>
      </c>
      <c r="M144" s="92">
        <v>76.849999999999994</v>
      </c>
    </row>
    <row r="145" spans="1:13" ht="15" customHeight="1">
      <c r="A145" s="46"/>
      <c r="B145" s="92">
        <v>76.900000000000006</v>
      </c>
      <c r="C145" s="83">
        <f t="shared" si="11"/>
        <v>0.4875000000000001</v>
      </c>
      <c r="D145" s="83">
        <f t="shared" si="11"/>
        <v>0.9750000000000002</v>
      </c>
      <c r="E145" s="83">
        <f t="shared" si="11"/>
        <v>1.9500000000000004</v>
      </c>
      <c r="F145" s="83">
        <f t="shared" si="11"/>
        <v>3.9000000000000008</v>
      </c>
      <c r="G145" s="83">
        <f t="shared" si="11"/>
        <v>7.8000000000000016</v>
      </c>
      <c r="H145" s="86">
        <f>H143+0.4</f>
        <v>15.600000000000003</v>
      </c>
      <c r="I145" s="83">
        <f t="shared" si="13"/>
        <v>19.500000000000004</v>
      </c>
      <c r="J145" s="83">
        <f t="shared" si="14"/>
        <v>23.400000000000006</v>
      </c>
      <c r="L145" s="45">
        <f t="shared" si="12"/>
        <v>15.600000000000003</v>
      </c>
      <c r="M145" s="92">
        <v>76.900000000000006</v>
      </c>
    </row>
    <row r="146" spans="1:13" ht="15" customHeight="1">
      <c r="A146" s="46"/>
      <c r="B146" s="92">
        <v>76.95</v>
      </c>
      <c r="C146" s="83">
        <f>D146/2</f>
        <v>0.49375000000000002</v>
      </c>
      <c r="D146" s="83">
        <f>E146/2</f>
        <v>0.98750000000000004</v>
      </c>
      <c r="E146" s="83">
        <f>F146/2</f>
        <v>1.9750000000000001</v>
      </c>
      <c r="F146" s="83">
        <f>G146/2</f>
        <v>3.95</v>
      </c>
      <c r="G146" s="83">
        <f>H146/2</f>
        <v>7.9</v>
      </c>
      <c r="H146" s="85">
        <f>H145+((H147-H145)/2)</f>
        <v>15.8</v>
      </c>
      <c r="I146" s="83">
        <f>E146*10</f>
        <v>19.75</v>
      </c>
      <c r="J146" s="83">
        <f>E146*12</f>
        <v>23.700000000000003</v>
      </c>
      <c r="L146" s="45">
        <f t="shared" si="12"/>
        <v>15.8</v>
      </c>
      <c r="M146" s="92">
        <v>76.95</v>
      </c>
    </row>
    <row r="147" spans="1:13" ht="15" customHeight="1">
      <c r="A147" s="46"/>
      <c r="B147" s="92">
        <v>77</v>
      </c>
      <c r="C147" s="83">
        <f t="shared" ref="C147:G165" si="15">D147/2</f>
        <v>0.5</v>
      </c>
      <c r="D147" s="83">
        <f t="shared" si="15"/>
        <v>1</v>
      </c>
      <c r="E147" s="83">
        <f t="shared" si="15"/>
        <v>2</v>
      </c>
      <c r="F147" s="83">
        <f t="shared" si="15"/>
        <v>4</v>
      </c>
      <c r="G147" s="83">
        <f t="shared" si="15"/>
        <v>8</v>
      </c>
      <c r="H147" s="86">
        <v>16</v>
      </c>
      <c r="I147" s="83">
        <f t="shared" si="13"/>
        <v>20</v>
      </c>
      <c r="J147" s="83">
        <f t="shared" si="14"/>
        <v>24</v>
      </c>
      <c r="L147" s="45">
        <f t="shared" si="12"/>
        <v>16</v>
      </c>
      <c r="M147" s="92">
        <v>77</v>
      </c>
    </row>
    <row r="148" spans="1:13" ht="15" customHeight="1">
      <c r="A148" s="46"/>
      <c r="B148" s="92">
        <v>77.05</v>
      </c>
      <c r="C148" s="83">
        <f t="shared" si="15"/>
        <v>0.50624999999999998</v>
      </c>
      <c r="D148" s="83">
        <f t="shared" si="15"/>
        <v>1.0125</v>
      </c>
      <c r="E148" s="83">
        <f t="shared" si="15"/>
        <v>2.0249999999999999</v>
      </c>
      <c r="F148" s="83">
        <f t="shared" si="15"/>
        <v>4.05</v>
      </c>
      <c r="G148" s="83">
        <f t="shared" si="15"/>
        <v>8.1</v>
      </c>
      <c r="H148" s="85">
        <f>H147+((H149-H147)/2)</f>
        <v>16.2</v>
      </c>
      <c r="I148" s="83">
        <f>E148*10</f>
        <v>20.25</v>
      </c>
      <c r="J148" s="83">
        <f>E148*12</f>
        <v>24.299999999999997</v>
      </c>
      <c r="L148" s="45">
        <f t="shared" si="12"/>
        <v>16.2</v>
      </c>
      <c r="M148" s="92">
        <v>77.05</v>
      </c>
    </row>
    <row r="149" spans="1:13" ht="15" customHeight="1">
      <c r="A149" s="46"/>
      <c r="B149" s="92">
        <v>77.099999999999994</v>
      </c>
      <c r="C149" s="83">
        <f t="shared" si="15"/>
        <v>0.51249999999999996</v>
      </c>
      <c r="D149" s="83">
        <f t="shared" si="15"/>
        <v>1.0249999999999999</v>
      </c>
      <c r="E149" s="83">
        <f t="shared" si="15"/>
        <v>2.0499999999999998</v>
      </c>
      <c r="F149" s="83">
        <f t="shared" si="15"/>
        <v>4.0999999999999996</v>
      </c>
      <c r="G149" s="83">
        <f t="shared" si="15"/>
        <v>8.1999999999999993</v>
      </c>
      <c r="H149" s="85">
        <f>H147+((H167-H147)/10)</f>
        <v>16.399999999999999</v>
      </c>
      <c r="I149" s="83">
        <f t="shared" si="13"/>
        <v>20.5</v>
      </c>
      <c r="J149" s="83">
        <f t="shared" si="14"/>
        <v>24.599999999999998</v>
      </c>
      <c r="L149" s="45">
        <f t="shared" si="12"/>
        <v>16.399999999999999</v>
      </c>
      <c r="M149" s="92">
        <v>77.099999999999994</v>
      </c>
    </row>
    <row r="150" spans="1:13" ht="15" customHeight="1">
      <c r="A150" s="46"/>
      <c r="B150" s="92">
        <v>77.150000000000006</v>
      </c>
      <c r="C150" s="83">
        <f t="shared" si="15"/>
        <v>0.51874999999999993</v>
      </c>
      <c r="D150" s="83">
        <f t="shared" si="15"/>
        <v>1.0374999999999999</v>
      </c>
      <c r="E150" s="83">
        <f t="shared" si="15"/>
        <v>2.0749999999999997</v>
      </c>
      <c r="F150" s="83">
        <f t="shared" si="15"/>
        <v>4.1499999999999995</v>
      </c>
      <c r="G150" s="83">
        <f t="shared" si="15"/>
        <v>8.2999999999999989</v>
      </c>
      <c r="H150" s="85">
        <f>H149+((H151-H149)/2)</f>
        <v>16.599999999999998</v>
      </c>
      <c r="I150" s="83">
        <f>E150*10</f>
        <v>20.749999999999996</v>
      </c>
      <c r="J150" s="83">
        <f>E150*12</f>
        <v>24.9</v>
      </c>
      <c r="L150" s="45">
        <f t="shared" si="12"/>
        <v>16.599999999999998</v>
      </c>
      <c r="M150" s="92">
        <v>77.150000000000006</v>
      </c>
    </row>
    <row r="151" spans="1:13" ht="15" customHeight="1">
      <c r="A151" s="46"/>
      <c r="B151" s="92">
        <v>77.2</v>
      </c>
      <c r="C151" s="83">
        <f t="shared" si="15"/>
        <v>0.52499999999999991</v>
      </c>
      <c r="D151" s="83">
        <f t="shared" si="15"/>
        <v>1.0499999999999998</v>
      </c>
      <c r="E151" s="83">
        <f t="shared" si="15"/>
        <v>2.0999999999999996</v>
      </c>
      <c r="F151" s="83">
        <f t="shared" si="15"/>
        <v>4.1999999999999993</v>
      </c>
      <c r="G151" s="83">
        <f t="shared" si="15"/>
        <v>8.3999999999999986</v>
      </c>
      <c r="H151" s="86">
        <f>H149+0.4</f>
        <v>16.799999999999997</v>
      </c>
      <c r="I151" s="83">
        <f t="shared" si="13"/>
        <v>20.999999999999996</v>
      </c>
      <c r="J151" s="83">
        <f t="shared" si="14"/>
        <v>25.199999999999996</v>
      </c>
      <c r="L151" s="45">
        <f t="shared" si="12"/>
        <v>16.799999999999997</v>
      </c>
      <c r="M151" s="92">
        <v>77.2</v>
      </c>
    </row>
    <row r="152" spans="1:13" ht="15" customHeight="1">
      <c r="A152" s="46"/>
      <c r="B152" s="92">
        <v>77.25</v>
      </c>
      <c r="C152" s="83">
        <f t="shared" si="15"/>
        <v>0.53124999999999989</v>
      </c>
      <c r="D152" s="83">
        <f t="shared" si="15"/>
        <v>1.0624999999999998</v>
      </c>
      <c r="E152" s="83">
        <f t="shared" si="15"/>
        <v>2.1249999999999996</v>
      </c>
      <c r="F152" s="83">
        <f t="shared" si="15"/>
        <v>4.2499999999999991</v>
      </c>
      <c r="G152" s="83">
        <f t="shared" si="15"/>
        <v>8.4999999999999982</v>
      </c>
      <c r="H152" s="85">
        <f>H151+((H153-H151)/2)</f>
        <v>16.999999999999996</v>
      </c>
      <c r="I152" s="83">
        <f>E152*10</f>
        <v>21.249999999999996</v>
      </c>
      <c r="J152" s="83">
        <f>E152*12</f>
        <v>25.499999999999993</v>
      </c>
      <c r="L152" s="45">
        <f t="shared" si="12"/>
        <v>16.999999999999996</v>
      </c>
      <c r="M152" s="92">
        <v>77.25</v>
      </c>
    </row>
    <row r="153" spans="1:13" ht="15" customHeight="1">
      <c r="A153" s="46"/>
      <c r="B153" s="92">
        <v>77.3</v>
      </c>
      <c r="C153" s="83">
        <f t="shared" si="15"/>
        <v>0.53749999999999987</v>
      </c>
      <c r="D153" s="83">
        <f t="shared" si="15"/>
        <v>1.0749999999999997</v>
      </c>
      <c r="E153" s="83">
        <f t="shared" si="15"/>
        <v>2.1499999999999995</v>
      </c>
      <c r="F153" s="83">
        <f t="shared" si="15"/>
        <v>4.2999999999999989</v>
      </c>
      <c r="G153" s="83">
        <f t="shared" si="15"/>
        <v>8.5999999999999979</v>
      </c>
      <c r="H153" s="86">
        <f>H151+0.4</f>
        <v>17.199999999999996</v>
      </c>
      <c r="I153" s="83">
        <f t="shared" si="13"/>
        <v>21.499999999999993</v>
      </c>
      <c r="J153" s="83">
        <f t="shared" si="14"/>
        <v>25.799999999999994</v>
      </c>
      <c r="L153" s="45">
        <f t="shared" si="12"/>
        <v>17.199999999999996</v>
      </c>
      <c r="M153" s="92">
        <v>77.3</v>
      </c>
    </row>
    <row r="154" spans="1:13" ht="15" customHeight="1">
      <c r="A154" s="46"/>
      <c r="B154" s="92">
        <v>77.349999999999994</v>
      </c>
      <c r="C154" s="83">
        <f t="shared" si="15"/>
        <v>0.54374999999999984</v>
      </c>
      <c r="D154" s="83">
        <f t="shared" si="15"/>
        <v>1.0874999999999997</v>
      </c>
      <c r="E154" s="83">
        <f t="shared" si="15"/>
        <v>2.1749999999999994</v>
      </c>
      <c r="F154" s="83">
        <f t="shared" si="15"/>
        <v>4.3499999999999988</v>
      </c>
      <c r="G154" s="83">
        <f t="shared" si="15"/>
        <v>8.6999999999999975</v>
      </c>
      <c r="H154" s="85">
        <f>H153+((H155-H153)/2)</f>
        <v>17.399999999999995</v>
      </c>
      <c r="I154" s="83">
        <f>E154*10</f>
        <v>21.749999999999993</v>
      </c>
      <c r="J154" s="83">
        <f>E154*12</f>
        <v>26.099999999999994</v>
      </c>
      <c r="L154" s="45">
        <f t="shared" si="12"/>
        <v>17.399999999999995</v>
      </c>
      <c r="M154" s="92">
        <v>77.349999999999994</v>
      </c>
    </row>
    <row r="155" spans="1:13" ht="15" customHeight="1">
      <c r="A155" s="46"/>
      <c r="B155" s="92">
        <v>77.400000000000006</v>
      </c>
      <c r="C155" s="83">
        <f t="shared" si="15"/>
        <v>0.54999999999999982</v>
      </c>
      <c r="D155" s="83">
        <f t="shared" si="15"/>
        <v>1.0999999999999996</v>
      </c>
      <c r="E155" s="83">
        <f t="shared" si="15"/>
        <v>2.1999999999999993</v>
      </c>
      <c r="F155" s="83">
        <f t="shared" si="15"/>
        <v>4.3999999999999986</v>
      </c>
      <c r="G155" s="83">
        <f t="shared" si="15"/>
        <v>8.7999999999999972</v>
      </c>
      <c r="H155" s="86">
        <f>H153+0.4</f>
        <v>17.599999999999994</v>
      </c>
      <c r="I155" s="83">
        <f t="shared" si="13"/>
        <v>21.999999999999993</v>
      </c>
      <c r="J155" s="83">
        <f t="shared" si="14"/>
        <v>26.399999999999991</v>
      </c>
      <c r="L155" s="45">
        <f t="shared" si="12"/>
        <v>17.599999999999994</v>
      </c>
      <c r="M155" s="92">
        <v>77.400000000000006</v>
      </c>
    </row>
    <row r="156" spans="1:13" ht="15" customHeight="1">
      <c r="A156" s="46"/>
      <c r="B156" s="92">
        <v>77.45</v>
      </c>
      <c r="C156" s="83">
        <f t="shared" si="15"/>
        <v>0.5562499999999998</v>
      </c>
      <c r="D156" s="83">
        <f t="shared" si="15"/>
        <v>1.1124999999999996</v>
      </c>
      <c r="E156" s="83">
        <f t="shared" si="15"/>
        <v>2.2249999999999992</v>
      </c>
      <c r="F156" s="83">
        <f t="shared" si="15"/>
        <v>4.4499999999999984</v>
      </c>
      <c r="G156" s="83">
        <f t="shared" si="15"/>
        <v>8.8999999999999968</v>
      </c>
      <c r="H156" s="85">
        <f>H155+((H157-H155)/2)</f>
        <v>17.799999999999994</v>
      </c>
      <c r="I156" s="83">
        <f>E156*10</f>
        <v>22.249999999999993</v>
      </c>
      <c r="J156" s="83">
        <f>E156*12</f>
        <v>26.699999999999989</v>
      </c>
      <c r="L156" s="45">
        <f t="shared" si="12"/>
        <v>17.799999999999994</v>
      </c>
      <c r="M156" s="92">
        <v>77.45</v>
      </c>
    </row>
    <row r="157" spans="1:13" ht="15" customHeight="1">
      <c r="A157" s="46"/>
      <c r="B157" s="92">
        <v>77.5</v>
      </c>
      <c r="C157" s="83">
        <f t="shared" si="15"/>
        <v>0.56249999999999978</v>
      </c>
      <c r="D157" s="83">
        <f t="shared" si="15"/>
        <v>1.1249999999999996</v>
      </c>
      <c r="E157" s="83">
        <f t="shared" si="15"/>
        <v>2.2499999999999991</v>
      </c>
      <c r="F157" s="83">
        <f t="shared" si="15"/>
        <v>4.4999999999999982</v>
      </c>
      <c r="G157" s="83">
        <f t="shared" si="15"/>
        <v>8.9999999999999964</v>
      </c>
      <c r="H157" s="86">
        <f>H155+0.4</f>
        <v>17.999999999999993</v>
      </c>
      <c r="I157" s="83">
        <f t="shared" si="13"/>
        <v>22.499999999999993</v>
      </c>
      <c r="J157" s="83">
        <f t="shared" si="14"/>
        <v>26.999999999999989</v>
      </c>
      <c r="L157" s="45">
        <f t="shared" si="12"/>
        <v>17.999999999999993</v>
      </c>
      <c r="M157" s="92">
        <v>77.5</v>
      </c>
    </row>
    <row r="158" spans="1:13" ht="15" customHeight="1">
      <c r="A158" s="46"/>
      <c r="B158" s="92">
        <v>77.55</v>
      </c>
      <c r="C158" s="83">
        <f t="shared" si="15"/>
        <v>0.56874999999999976</v>
      </c>
      <c r="D158" s="83">
        <f t="shared" si="15"/>
        <v>1.1374999999999995</v>
      </c>
      <c r="E158" s="83">
        <f t="shared" si="15"/>
        <v>2.274999999999999</v>
      </c>
      <c r="F158" s="83">
        <f t="shared" si="15"/>
        <v>4.549999999999998</v>
      </c>
      <c r="G158" s="83">
        <f t="shared" si="15"/>
        <v>9.0999999999999961</v>
      </c>
      <c r="H158" s="85">
        <f>H157+((H159-H157)/2)</f>
        <v>18.199999999999992</v>
      </c>
      <c r="I158" s="83">
        <f>E158*10</f>
        <v>22.749999999999989</v>
      </c>
      <c r="J158" s="83">
        <f>E158*12</f>
        <v>27.29999999999999</v>
      </c>
      <c r="L158" s="45">
        <f t="shared" si="12"/>
        <v>18.199999999999992</v>
      </c>
      <c r="M158" s="92">
        <v>77.55</v>
      </c>
    </row>
    <row r="159" spans="1:13" ht="15" customHeight="1">
      <c r="A159" s="46"/>
      <c r="B159" s="92">
        <v>77.599999999999994</v>
      </c>
      <c r="C159" s="83">
        <f t="shared" si="15"/>
        <v>0.57499999999999973</v>
      </c>
      <c r="D159" s="83">
        <f t="shared" si="15"/>
        <v>1.1499999999999995</v>
      </c>
      <c r="E159" s="83">
        <f t="shared" si="15"/>
        <v>2.2999999999999989</v>
      </c>
      <c r="F159" s="83">
        <f t="shared" si="15"/>
        <v>4.5999999999999979</v>
      </c>
      <c r="G159" s="83">
        <f t="shared" si="15"/>
        <v>9.1999999999999957</v>
      </c>
      <c r="H159" s="86">
        <f>H157+0.4</f>
        <v>18.399999999999991</v>
      </c>
      <c r="I159" s="83">
        <f t="shared" si="13"/>
        <v>22.999999999999989</v>
      </c>
      <c r="J159" s="83">
        <f t="shared" si="14"/>
        <v>27.599999999999987</v>
      </c>
      <c r="L159" s="45">
        <f t="shared" si="12"/>
        <v>18.399999999999991</v>
      </c>
      <c r="M159" s="92">
        <v>77.599999999999994</v>
      </c>
    </row>
    <row r="160" spans="1:13" ht="15" customHeight="1">
      <c r="A160" s="46"/>
      <c r="B160" s="92">
        <v>77.650000000000006</v>
      </c>
      <c r="C160" s="83">
        <f t="shared" si="15"/>
        <v>0.58124999999999971</v>
      </c>
      <c r="D160" s="83">
        <f t="shared" si="15"/>
        <v>1.1624999999999994</v>
      </c>
      <c r="E160" s="83">
        <f t="shared" si="15"/>
        <v>2.3249999999999988</v>
      </c>
      <c r="F160" s="83">
        <f t="shared" si="15"/>
        <v>4.6499999999999977</v>
      </c>
      <c r="G160" s="83">
        <f t="shared" si="15"/>
        <v>9.2999999999999954</v>
      </c>
      <c r="H160" s="85">
        <f>H159+((H161-H159)/2)</f>
        <v>18.599999999999991</v>
      </c>
      <c r="I160" s="83">
        <f>E160*10</f>
        <v>23.249999999999989</v>
      </c>
      <c r="J160" s="83">
        <f>E160*12</f>
        <v>27.899999999999984</v>
      </c>
      <c r="L160" s="45">
        <f t="shared" si="12"/>
        <v>18.599999999999991</v>
      </c>
      <c r="M160" s="92">
        <v>77.650000000000006</v>
      </c>
    </row>
    <row r="161" spans="1:13" ht="15" customHeight="1">
      <c r="A161" s="46"/>
      <c r="B161" s="92">
        <v>77.7</v>
      </c>
      <c r="C161" s="83">
        <f t="shared" si="15"/>
        <v>0.58749999999999969</v>
      </c>
      <c r="D161" s="83">
        <f t="shared" si="15"/>
        <v>1.1749999999999994</v>
      </c>
      <c r="E161" s="83">
        <f t="shared" si="15"/>
        <v>2.3499999999999988</v>
      </c>
      <c r="F161" s="83">
        <f t="shared" si="15"/>
        <v>4.6999999999999975</v>
      </c>
      <c r="G161" s="83">
        <f t="shared" si="15"/>
        <v>9.399999999999995</v>
      </c>
      <c r="H161" s="86">
        <f>H159+0.4</f>
        <v>18.79999999999999</v>
      </c>
      <c r="I161" s="83">
        <f t="shared" si="13"/>
        <v>23.499999999999986</v>
      </c>
      <c r="J161" s="83">
        <f t="shared" si="14"/>
        <v>28.199999999999985</v>
      </c>
      <c r="L161" s="45">
        <f t="shared" si="12"/>
        <v>18.79999999999999</v>
      </c>
      <c r="M161" s="92">
        <v>77.7</v>
      </c>
    </row>
    <row r="162" spans="1:13" ht="15" customHeight="1">
      <c r="A162" s="46"/>
      <c r="B162" s="92">
        <v>77.75</v>
      </c>
      <c r="C162" s="83">
        <f t="shared" si="15"/>
        <v>0.59374999999999967</v>
      </c>
      <c r="D162" s="83">
        <f t="shared" si="15"/>
        <v>1.1874999999999993</v>
      </c>
      <c r="E162" s="83">
        <f t="shared" si="15"/>
        <v>2.3749999999999987</v>
      </c>
      <c r="F162" s="83">
        <f t="shared" si="15"/>
        <v>4.7499999999999973</v>
      </c>
      <c r="G162" s="83">
        <f t="shared" si="15"/>
        <v>9.4999999999999947</v>
      </c>
      <c r="H162" s="85">
        <f>H161+((H163-H161)/2)</f>
        <v>18.999999999999989</v>
      </c>
      <c r="I162" s="83">
        <f>E162*10</f>
        <v>23.749999999999986</v>
      </c>
      <c r="J162" s="83">
        <f>E162*12</f>
        <v>28.499999999999986</v>
      </c>
      <c r="L162" s="45">
        <f t="shared" si="12"/>
        <v>18.999999999999989</v>
      </c>
      <c r="M162" s="92">
        <v>77.75</v>
      </c>
    </row>
    <row r="163" spans="1:13" ht="15" customHeight="1">
      <c r="A163" s="46"/>
      <c r="B163" s="92">
        <v>77.8</v>
      </c>
      <c r="C163" s="83">
        <f t="shared" si="15"/>
        <v>0.59999999999999964</v>
      </c>
      <c r="D163" s="83">
        <f t="shared" si="15"/>
        <v>1.1999999999999993</v>
      </c>
      <c r="E163" s="83">
        <f t="shared" si="15"/>
        <v>2.3999999999999986</v>
      </c>
      <c r="F163" s="83">
        <f t="shared" si="15"/>
        <v>4.7999999999999972</v>
      </c>
      <c r="G163" s="83">
        <f t="shared" si="15"/>
        <v>9.5999999999999943</v>
      </c>
      <c r="H163" s="86">
        <f>H161+0.4</f>
        <v>19.199999999999989</v>
      </c>
      <c r="I163" s="83">
        <f t="shared" si="13"/>
        <v>23.999999999999986</v>
      </c>
      <c r="J163" s="83">
        <f t="shared" si="14"/>
        <v>28.799999999999983</v>
      </c>
      <c r="L163" s="45">
        <f t="shared" si="12"/>
        <v>19.199999999999989</v>
      </c>
      <c r="M163" s="92">
        <v>77.8</v>
      </c>
    </row>
    <row r="164" spans="1:13" ht="15" customHeight="1">
      <c r="A164" s="46"/>
      <c r="B164" s="92">
        <v>77.849999999999994</v>
      </c>
      <c r="C164" s="83">
        <f t="shared" si="15"/>
        <v>0.60624999999999962</v>
      </c>
      <c r="D164" s="83">
        <f t="shared" si="15"/>
        <v>1.2124999999999992</v>
      </c>
      <c r="E164" s="83">
        <f t="shared" si="15"/>
        <v>2.4249999999999985</v>
      </c>
      <c r="F164" s="83">
        <f t="shared" si="15"/>
        <v>4.849999999999997</v>
      </c>
      <c r="G164" s="83">
        <f t="shared" si="15"/>
        <v>9.699999999999994</v>
      </c>
      <c r="H164" s="85">
        <f>H163+((H165-H163)/2)</f>
        <v>19.399999999999988</v>
      </c>
      <c r="I164" s="83">
        <f>E164*10</f>
        <v>24.249999999999986</v>
      </c>
      <c r="J164" s="83">
        <f>E164*12</f>
        <v>29.09999999999998</v>
      </c>
      <c r="L164" s="45">
        <f t="shared" si="12"/>
        <v>19.399999999999988</v>
      </c>
      <c r="M164" s="92">
        <v>77.849999999999994</v>
      </c>
    </row>
    <row r="165" spans="1:13" ht="15" customHeight="1">
      <c r="A165" s="46"/>
      <c r="B165" s="92">
        <v>77.900000000000006</v>
      </c>
      <c r="C165" s="83">
        <f t="shared" si="15"/>
        <v>0.6124999999999996</v>
      </c>
      <c r="D165" s="83">
        <f t="shared" si="15"/>
        <v>1.2249999999999992</v>
      </c>
      <c r="E165" s="83">
        <f t="shared" si="15"/>
        <v>2.4499999999999984</v>
      </c>
      <c r="F165" s="83">
        <f t="shared" si="15"/>
        <v>4.8999999999999968</v>
      </c>
      <c r="G165" s="83">
        <f t="shared" si="15"/>
        <v>9.7999999999999936</v>
      </c>
      <c r="H165" s="86">
        <f>H163+0.4</f>
        <v>19.599999999999987</v>
      </c>
      <c r="I165" s="83">
        <f t="shared" si="13"/>
        <v>24.499999999999986</v>
      </c>
      <c r="J165" s="83">
        <f t="shared" si="14"/>
        <v>29.399999999999981</v>
      </c>
      <c r="L165" s="45">
        <f t="shared" si="12"/>
        <v>19.599999999999987</v>
      </c>
      <c r="M165" s="92">
        <v>77.900000000000006</v>
      </c>
    </row>
    <row r="166" spans="1:13" ht="15" customHeight="1">
      <c r="A166" s="46"/>
      <c r="B166" s="92">
        <v>77.95</v>
      </c>
      <c r="C166" s="83">
        <f>D166/2</f>
        <v>0.6187499999999998</v>
      </c>
      <c r="D166" s="83">
        <f>E166/2</f>
        <v>1.2374999999999996</v>
      </c>
      <c r="E166" s="83">
        <f>F166/2</f>
        <v>2.4749999999999992</v>
      </c>
      <c r="F166" s="83">
        <f>G166/2</f>
        <v>4.9499999999999984</v>
      </c>
      <c r="G166" s="83">
        <f>H166/2</f>
        <v>9.8999999999999968</v>
      </c>
      <c r="H166" s="85">
        <f>H165+((H167-H165)/2)</f>
        <v>19.799999999999994</v>
      </c>
      <c r="I166" s="83">
        <f>E166*10</f>
        <v>24.749999999999993</v>
      </c>
      <c r="J166" s="83">
        <f>E166*12</f>
        <v>29.699999999999989</v>
      </c>
      <c r="L166" s="45">
        <f t="shared" si="12"/>
        <v>19.799999999999994</v>
      </c>
      <c r="M166" s="92">
        <v>77.95</v>
      </c>
    </row>
    <row r="167" spans="1:13" ht="15" customHeight="1">
      <c r="A167" s="46"/>
      <c r="B167" s="92">
        <v>78</v>
      </c>
      <c r="C167" s="83">
        <f t="shared" ref="C167:G185" si="16">D167/2</f>
        <v>0.625</v>
      </c>
      <c r="D167" s="83">
        <f t="shared" si="16"/>
        <v>1.25</v>
      </c>
      <c r="E167" s="83">
        <f t="shared" si="16"/>
        <v>2.5</v>
      </c>
      <c r="F167" s="83">
        <f t="shared" si="16"/>
        <v>5</v>
      </c>
      <c r="G167" s="83">
        <f t="shared" si="16"/>
        <v>10</v>
      </c>
      <c r="H167" s="86">
        <v>20</v>
      </c>
      <c r="I167" s="83">
        <f t="shared" si="13"/>
        <v>25</v>
      </c>
      <c r="J167" s="83">
        <f t="shared" si="14"/>
        <v>30</v>
      </c>
      <c r="L167" s="45">
        <f t="shared" si="12"/>
        <v>20</v>
      </c>
      <c r="M167" s="92">
        <v>78</v>
      </c>
    </row>
    <row r="168" spans="1:13" ht="15" customHeight="1">
      <c r="A168" s="46"/>
      <c r="B168" s="92">
        <v>78.05</v>
      </c>
      <c r="C168" s="83">
        <f t="shared" si="16"/>
        <v>0.6328125</v>
      </c>
      <c r="D168" s="83">
        <f t="shared" si="16"/>
        <v>1.265625</v>
      </c>
      <c r="E168" s="83">
        <f t="shared" si="16"/>
        <v>2.53125</v>
      </c>
      <c r="F168" s="83">
        <f t="shared" si="16"/>
        <v>5.0625</v>
      </c>
      <c r="G168" s="83">
        <f t="shared" si="16"/>
        <v>10.125</v>
      </c>
      <c r="H168" s="85">
        <f>H167+((H169-H167)/2)</f>
        <v>20.25</v>
      </c>
      <c r="I168" s="83">
        <f>E168*10</f>
        <v>25.3125</v>
      </c>
      <c r="J168" s="83">
        <f>E168*12</f>
        <v>30.375</v>
      </c>
      <c r="L168" s="45">
        <f t="shared" si="12"/>
        <v>20.25</v>
      </c>
      <c r="M168" s="92">
        <v>78.05</v>
      </c>
    </row>
    <row r="169" spans="1:13" ht="15" customHeight="1">
      <c r="A169" s="46"/>
      <c r="B169" s="92">
        <v>78.099999999999994</v>
      </c>
      <c r="C169" s="83">
        <f t="shared" si="16"/>
        <v>0.640625</v>
      </c>
      <c r="D169" s="83">
        <f t="shared" si="16"/>
        <v>1.28125</v>
      </c>
      <c r="E169" s="83">
        <f t="shared" si="16"/>
        <v>2.5625</v>
      </c>
      <c r="F169" s="83">
        <f t="shared" si="16"/>
        <v>5.125</v>
      </c>
      <c r="G169" s="83">
        <f t="shared" si="16"/>
        <v>10.25</v>
      </c>
      <c r="H169" s="85">
        <f>H167+((H187-H167)/10)</f>
        <v>20.5</v>
      </c>
      <c r="I169" s="83">
        <f t="shared" si="13"/>
        <v>25.625</v>
      </c>
      <c r="J169" s="83">
        <f t="shared" si="14"/>
        <v>30.75</v>
      </c>
      <c r="L169" s="45">
        <f t="shared" si="12"/>
        <v>20.5</v>
      </c>
      <c r="M169" s="92">
        <v>78.099999999999994</v>
      </c>
    </row>
    <row r="170" spans="1:13" ht="15" customHeight="1">
      <c r="A170" s="46"/>
      <c r="B170" s="92">
        <v>78.150000000000006</v>
      </c>
      <c r="C170" s="83">
        <f t="shared" si="16"/>
        <v>0.6484375</v>
      </c>
      <c r="D170" s="83">
        <f t="shared" si="16"/>
        <v>1.296875</v>
      </c>
      <c r="E170" s="83">
        <f t="shared" si="16"/>
        <v>2.59375</v>
      </c>
      <c r="F170" s="83">
        <f t="shared" si="16"/>
        <v>5.1875</v>
      </c>
      <c r="G170" s="83">
        <f t="shared" si="16"/>
        <v>10.375</v>
      </c>
      <c r="H170" s="85">
        <f>H169+((H171-H169)/2)</f>
        <v>20.75</v>
      </c>
      <c r="I170" s="83">
        <f>E170*10</f>
        <v>25.9375</v>
      </c>
      <c r="J170" s="83">
        <f>E170*12</f>
        <v>31.125</v>
      </c>
      <c r="L170" s="45">
        <f t="shared" si="12"/>
        <v>20.75</v>
      </c>
      <c r="M170" s="92">
        <v>78.150000000000006</v>
      </c>
    </row>
    <row r="171" spans="1:13" ht="15" customHeight="1">
      <c r="A171" s="46"/>
      <c r="B171" s="92">
        <v>78.2</v>
      </c>
      <c r="C171" s="83">
        <f t="shared" si="16"/>
        <v>0.65625</v>
      </c>
      <c r="D171" s="83">
        <f t="shared" si="16"/>
        <v>1.3125</v>
      </c>
      <c r="E171" s="83">
        <f t="shared" si="16"/>
        <v>2.625</v>
      </c>
      <c r="F171" s="83">
        <f t="shared" si="16"/>
        <v>5.25</v>
      </c>
      <c r="G171" s="83">
        <f t="shared" si="16"/>
        <v>10.5</v>
      </c>
      <c r="H171" s="86">
        <f>H169+0.5</f>
        <v>21</v>
      </c>
      <c r="I171" s="83">
        <f t="shared" si="13"/>
        <v>26.25</v>
      </c>
      <c r="J171" s="83">
        <f t="shared" si="14"/>
        <v>31.5</v>
      </c>
      <c r="L171" s="45">
        <f t="shared" si="12"/>
        <v>21</v>
      </c>
      <c r="M171" s="92">
        <v>78.2</v>
      </c>
    </row>
    <row r="172" spans="1:13" ht="15" customHeight="1">
      <c r="A172" s="46"/>
      <c r="B172" s="92">
        <v>78.25</v>
      </c>
      <c r="C172" s="83">
        <f t="shared" si="16"/>
        <v>0.6640625</v>
      </c>
      <c r="D172" s="83">
        <f t="shared" si="16"/>
        <v>1.328125</v>
      </c>
      <c r="E172" s="83">
        <f t="shared" si="16"/>
        <v>2.65625</v>
      </c>
      <c r="F172" s="83">
        <f t="shared" si="16"/>
        <v>5.3125</v>
      </c>
      <c r="G172" s="83">
        <f t="shared" si="16"/>
        <v>10.625</v>
      </c>
      <c r="H172" s="85">
        <f>H171+((H173-H171)/2)</f>
        <v>21.25</v>
      </c>
      <c r="I172" s="83">
        <f>E172*10</f>
        <v>26.5625</v>
      </c>
      <c r="J172" s="83">
        <f>E172*12</f>
        <v>31.875</v>
      </c>
      <c r="L172" s="45">
        <f t="shared" si="12"/>
        <v>21.25</v>
      </c>
      <c r="M172" s="92">
        <v>78.25</v>
      </c>
    </row>
    <row r="173" spans="1:13" ht="15" customHeight="1">
      <c r="A173" s="46"/>
      <c r="B173" s="92">
        <v>78.3</v>
      </c>
      <c r="C173" s="83">
        <f t="shared" si="16"/>
        <v>0.671875</v>
      </c>
      <c r="D173" s="83">
        <f t="shared" si="16"/>
        <v>1.34375</v>
      </c>
      <c r="E173" s="83">
        <f t="shared" si="16"/>
        <v>2.6875</v>
      </c>
      <c r="F173" s="83">
        <f t="shared" si="16"/>
        <v>5.375</v>
      </c>
      <c r="G173" s="83">
        <f t="shared" si="16"/>
        <v>10.75</v>
      </c>
      <c r="H173" s="86">
        <f>H171+0.5</f>
        <v>21.5</v>
      </c>
      <c r="I173" s="83">
        <f t="shared" si="13"/>
        <v>26.875</v>
      </c>
      <c r="J173" s="83">
        <f t="shared" si="14"/>
        <v>32.25</v>
      </c>
      <c r="L173" s="45">
        <f t="shared" si="12"/>
        <v>21.5</v>
      </c>
      <c r="M173" s="92">
        <v>78.3</v>
      </c>
    </row>
    <row r="174" spans="1:13" ht="15" customHeight="1">
      <c r="A174" s="46"/>
      <c r="B174" s="92">
        <v>78.349999999999994</v>
      </c>
      <c r="C174" s="83">
        <f t="shared" si="16"/>
        <v>0.6796875</v>
      </c>
      <c r="D174" s="83">
        <f t="shared" si="16"/>
        <v>1.359375</v>
      </c>
      <c r="E174" s="83">
        <f t="shared" si="16"/>
        <v>2.71875</v>
      </c>
      <c r="F174" s="83">
        <f t="shared" si="16"/>
        <v>5.4375</v>
      </c>
      <c r="G174" s="83">
        <f t="shared" si="16"/>
        <v>10.875</v>
      </c>
      <c r="H174" s="85">
        <f>H173+((H175-H173)/2)</f>
        <v>21.75</v>
      </c>
      <c r="I174" s="83">
        <f>E174*10</f>
        <v>27.1875</v>
      </c>
      <c r="J174" s="83">
        <f>E174*12</f>
        <v>32.625</v>
      </c>
      <c r="L174" s="45">
        <f t="shared" si="12"/>
        <v>21.75</v>
      </c>
      <c r="M174" s="92">
        <v>78.349999999999994</v>
      </c>
    </row>
    <row r="175" spans="1:13" ht="15" customHeight="1">
      <c r="A175" s="46"/>
      <c r="B175" s="92">
        <v>78.400000000000006</v>
      </c>
      <c r="C175" s="83">
        <f t="shared" si="16"/>
        <v>0.6875</v>
      </c>
      <c r="D175" s="83">
        <f t="shared" si="16"/>
        <v>1.375</v>
      </c>
      <c r="E175" s="83">
        <f t="shared" si="16"/>
        <v>2.75</v>
      </c>
      <c r="F175" s="83">
        <f t="shared" si="16"/>
        <v>5.5</v>
      </c>
      <c r="G175" s="83">
        <f t="shared" si="16"/>
        <v>11</v>
      </c>
      <c r="H175" s="86">
        <f>H173+0.5</f>
        <v>22</v>
      </c>
      <c r="I175" s="83">
        <f t="shared" si="13"/>
        <v>27.5</v>
      </c>
      <c r="J175" s="83">
        <f t="shared" si="14"/>
        <v>33</v>
      </c>
      <c r="L175" s="45">
        <f t="shared" si="12"/>
        <v>22</v>
      </c>
      <c r="M175" s="92">
        <v>78.400000000000006</v>
      </c>
    </row>
    <row r="176" spans="1:13" ht="15" customHeight="1">
      <c r="A176" s="46"/>
      <c r="B176" s="92">
        <v>78.45</v>
      </c>
      <c r="C176" s="83">
        <f t="shared" si="16"/>
        <v>0.6953125</v>
      </c>
      <c r="D176" s="83">
        <f t="shared" si="16"/>
        <v>1.390625</v>
      </c>
      <c r="E176" s="83">
        <f t="shared" si="16"/>
        <v>2.78125</v>
      </c>
      <c r="F176" s="83">
        <f t="shared" si="16"/>
        <v>5.5625</v>
      </c>
      <c r="G176" s="83">
        <f t="shared" si="16"/>
        <v>11.125</v>
      </c>
      <c r="H176" s="85">
        <f>H175+((H177-H175)/2)</f>
        <v>22.25</v>
      </c>
      <c r="I176" s="83">
        <f>E176*10</f>
        <v>27.8125</v>
      </c>
      <c r="J176" s="83">
        <f>E176*12</f>
        <v>33.375</v>
      </c>
      <c r="L176" s="45">
        <f t="shared" si="12"/>
        <v>22.25</v>
      </c>
      <c r="M176" s="92">
        <v>78.45</v>
      </c>
    </row>
    <row r="177" spans="1:13" ht="15" customHeight="1">
      <c r="A177" s="46"/>
      <c r="B177" s="92">
        <v>78.5</v>
      </c>
      <c r="C177" s="83">
        <f t="shared" si="16"/>
        <v>0.703125</v>
      </c>
      <c r="D177" s="83">
        <f t="shared" si="16"/>
        <v>1.40625</v>
      </c>
      <c r="E177" s="83">
        <f t="shared" si="16"/>
        <v>2.8125</v>
      </c>
      <c r="F177" s="83">
        <f t="shared" si="16"/>
        <v>5.625</v>
      </c>
      <c r="G177" s="83">
        <f t="shared" si="16"/>
        <v>11.25</v>
      </c>
      <c r="H177" s="86">
        <f>H175+0.5</f>
        <v>22.5</v>
      </c>
      <c r="I177" s="83">
        <f t="shared" si="13"/>
        <v>28.125</v>
      </c>
      <c r="J177" s="83">
        <f t="shared" si="14"/>
        <v>33.75</v>
      </c>
      <c r="L177" s="45">
        <f t="shared" si="12"/>
        <v>22.5</v>
      </c>
      <c r="M177" s="92">
        <v>78.5</v>
      </c>
    </row>
    <row r="178" spans="1:13" ht="15" customHeight="1">
      <c r="A178" s="46"/>
      <c r="B178" s="92">
        <v>78.55</v>
      </c>
      <c r="C178" s="83">
        <f t="shared" si="16"/>
        <v>0.7109375</v>
      </c>
      <c r="D178" s="83">
        <f t="shared" si="16"/>
        <v>1.421875</v>
      </c>
      <c r="E178" s="83">
        <f t="shared" si="16"/>
        <v>2.84375</v>
      </c>
      <c r="F178" s="83">
        <f t="shared" si="16"/>
        <v>5.6875</v>
      </c>
      <c r="G178" s="83">
        <f t="shared" si="16"/>
        <v>11.375</v>
      </c>
      <c r="H178" s="85">
        <f>H177+((H179-H177)/2)</f>
        <v>22.75</v>
      </c>
      <c r="I178" s="83">
        <f>E178*10</f>
        <v>28.4375</v>
      </c>
      <c r="J178" s="83">
        <f>E178*12</f>
        <v>34.125</v>
      </c>
      <c r="L178" s="45">
        <f t="shared" si="12"/>
        <v>22.75</v>
      </c>
      <c r="M178" s="92">
        <v>78.55</v>
      </c>
    </row>
    <row r="179" spans="1:13" ht="15" customHeight="1">
      <c r="A179" s="46"/>
      <c r="B179" s="92">
        <v>78.599999999999994</v>
      </c>
      <c r="C179" s="83">
        <f t="shared" si="16"/>
        <v>0.71875</v>
      </c>
      <c r="D179" s="83">
        <f t="shared" si="16"/>
        <v>1.4375</v>
      </c>
      <c r="E179" s="83">
        <f t="shared" si="16"/>
        <v>2.875</v>
      </c>
      <c r="F179" s="83">
        <f t="shared" si="16"/>
        <v>5.75</v>
      </c>
      <c r="G179" s="83">
        <f t="shared" si="16"/>
        <v>11.5</v>
      </c>
      <c r="H179" s="86">
        <f>H177+0.5</f>
        <v>23</v>
      </c>
      <c r="I179" s="83">
        <f t="shared" si="13"/>
        <v>28.75</v>
      </c>
      <c r="J179" s="83">
        <f t="shared" si="14"/>
        <v>34.5</v>
      </c>
      <c r="L179" s="45">
        <f t="shared" si="12"/>
        <v>23</v>
      </c>
      <c r="M179" s="92">
        <v>78.599999999999994</v>
      </c>
    </row>
    <row r="180" spans="1:13" ht="15" customHeight="1">
      <c r="A180" s="46"/>
      <c r="B180" s="92">
        <v>78.650000000000006</v>
      </c>
      <c r="C180" s="83">
        <f t="shared" si="16"/>
        <v>0.7265625</v>
      </c>
      <c r="D180" s="83">
        <f t="shared" si="16"/>
        <v>1.453125</v>
      </c>
      <c r="E180" s="83">
        <f t="shared" si="16"/>
        <v>2.90625</v>
      </c>
      <c r="F180" s="83">
        <f t="shared" si="16"/>
        <v>5.8125</v>
      </c>
      <c r="G180" s="83">
        <f t="shared" si="16"/>
        <v>11.625</v>
      </c>
      <c r="H180" s="85">
        <f>H179+((H181-H179)/2)</f>
        <v>23.25</v>
      </c>
      <c r="I180" s="83">
        <f>E180*10</f>
        <v>29.0625</v>
      </c>
      <c r="J180" s="83">
        <f>E180*12</f>
        <v>34.875</v>
      </c>
      <c r="L180" s="45">
        <f t="shared" si="12"/>
        <v>23.25</v>
      </c>
      <c r="M180" s="92">
        <v>78.650000000000006</v>
      </c>
    </row>
    <row r="181" spans="1:13" ht="15" customHeight="1">
      <c r="A181" s="46"/>
      <c r="B181" s="92">
        <v>78.7</v>
      </c>
      <c r="C181" s="83">
        <f t="shared" si="16"/>
        <v>0.734375</v>
      </c>
      <c r="D181" s="83">
        <f t="shared" si="16"/>
        <v>1.46875</v>
      </c>
      <c r="E181" s="83">
        <f t="shared" si="16"/>
        <v>2.9375</v>
      </c>
      <c r="F181" s="83">
        <f t="shared" si="16"/>
        <v>5.875</v>
      </c>
      <c r="G181" s="83">
        <f t="shared" si="16"/>
        <v>11.75</v>
      </c>
      <c r="H181" s="86">
        <f>H179+0.5</f>
        <v>23.5</v>
      </c>
      <c r="I181" s="83">
        <f t="shared" si="13"/>
        <v>29.375</v>
      </c>
      <c r="J181" s="83">
        <f t="shared" si="14"/>
        <v>35.25</v>
      </c>
      <c r="L181" s="45">
        <f t="shared" si="12"/>
        <v>23.5</v>
      </c>
      <c r="M181" s="92">
        <v>78.7</v>
      </c>
    </row>
    <row r="182" spans="1:13" ht="15" customHeight="1">
      <c r="A182" s="46"/>
      <c r="B182" s="92">
        <v>78.75</v>
      </c>
      <c r="C182" s="83">
        <f t="shared" si="16"/>
        <v>0.7421875</v>
      </c>
      <c r="D182" s="83">
        <f t="shared" si="16"/>
        <v>1.484375</v>
      </c>
      <c r="E182" s="83">
        <f t="shared" si="16"/>
        <v>2.96875</v>
      </c>
      <c r="F182" s="83">
        <f t="shared" si="16"/>
        <v>5.9375</v>
      </c>
      <c r="G182" s="83">
        <f t="shared" si="16"/>
        <v>11.875</v>
      </c>
      <c r="H182" s="85">
        <f>H181+((H183-H181)/2)</f>
        <v>23.75</v>
      </c>
      <c r="I182" s="83">
        <f>E182*10</f>
        <v>29.6875</v>
      </c>
      <c r="J182" s="83">
        <f>E182*12</f>
        <v>35.625</v>
      </c>
      <c r="L182" s="45">
        <f t="shared" si="12"/>
        <v>23.75</v>
      </c>
      <c r="M182" s="92">
        <v>78.75</v>
      </c>
    </row>
    <row r="183" spans="1:13" ht="15" customHeight="1">
      <c r="A183" s="46"/>
      <c r="B183" s="92">
        <v>78.8</v>
      </c>
      <c r="C183" s="83">
        <f t="shared" si="16"/>
        <v>0.75</v>
      </c>
      <c r="D183" s="83">
        <f t="shared" si="16"/>
        <v>1.5</v>
      </c>
      <c r="E183" s="83">
        <f t="shared" si="16"/>
        <v>3</v>
      </c>
      <c r="F183" s="83">
        <f t="shared" si="16"/>
        <v>6</v>
      </c>
      <c r="G183" s="83">
        <f t="shared" si="16"/>
        <v>12</v>
      </c>
      <c r="H183" s="86">
        <f>H181+0.5</f>
        <v>24</v>
      </c>
      <c r="I183" s="83">
        <f t="shared" si="13"/>
        <v>30</v>
      </c>
      <c r="J183" s="83">
        <f t="shared" si="14"/>
        <v>36</v>
      </c>
      <c r="L183" s="45">
        <f t="shared" si="12"/>
        <v>24</v>
      </c>
      <c r="M183" s="92">
        <v>78.8</v>
      </c>
    </row>
    <row r="184" spans="1:13" ht="15" customHeight="1">
      <c r="A184" s="46"/>
      <c r="B184" s="92">
        <v>78.849999999999994</v>
      </c>
      <c r="C184" s="83">
        <f t="shared" si="16"/>
        <v>0.7578125</v>
      </c>
      <c r="D184" s="83">
        <f t="shared" si="16"/>
        <v>1.515625</v>
      </c>
      <c r="E184" s="83">
        <f t="shared" si="16"/>
        <v>3.03125</v>
      </c>
      <c r="F184" s="83">
        <f t="shared" si="16"/>
        <v>6.0625</v>
      </c>
      <c r="G184" s="83">
        <f t="shared" si="16"/>
        <v>12.125</v>
      </c>
      <c r="H184" s="85">
        <f>H183+((H185-H183)/2)</f>
        <v>24.25</v>
      </c>
      <c r="I184" s="83">
        <f>E184*10</f>
        <v>30.3125</v>
      </c>
      <c r="J184" s="83">
        <f>E184*12</f>
        <v>36.375</v>
      </c>
      <c r="L184" s="45">
        <f t="shared" si="12"/>
        <v>24.25</v>
      </c>
      <c r="M184" s="92">
        <v>78.849999999999994</v>
      </c>
    </row>
    <row r="185" spans="1:13" ht="15" customHeight="1">
      <c r="A185" s="46"/>
      <c r="B185" s="92">
        <v>78.900000000000006</v>
      </c>
      <c r="C185" s="83">
        <f t="shared" si="16"/>
        <v>0.765625</v>
      </c>
      <c r="D185" s="83">
        <f t="shared" si="16"/>
        <v>1.53125</v>
      </c>
      <c r="E185" s="83">
        <f t="shared" si="16"/>
        <v>3.0625</v>
      </c>
      <c r="F185" s="83">
        <f t="shared" si="16"/>
        <v>6.125</v>
      </c>
      <c r="G185" s="83">
        <f t="shared" si="16"/>
        <v>12.25</v>
      </c>
      <c r="H185" s="86">
        <f>H183+0.5</f>
        <v>24.5</v>
      </c>
      <c r="I185" s="83">
        <f t="shared" si="13"/>
        <v>30.625</v>
      </c>
      <c r="J185" s="83">
        <f t="shared" si="14"/>
        <v>36.75</v>
      </c>
      <c r="L185" s="45">
        <f t="shared" si="12"/>
        <v>24.5</v>
      </c>
      <c r="M185" s="92">
        <v>78.900000000000006</v>
      </c>
    </row>
    <row r="186" spans="1:13" ht="15" customHeight="1">
      <c r="A186" s="46"/>
      <c r="B186" s="92">
        <v>78.95</v>
      </c>
      <c r="C186" s="83">
        <f>D186/2</f>
        <v>0.7734375</v>
      </c>
      <c r="D186" s="83">
        <f>E186/2</f>
        <v>1.546875</v>
      </c>
      <c r="E186" s="83">
        <f>F186/2</f>
        <v>3.09375</v>
      </c>
      <c r="F186" s="83">
        <f>G186/2</f>
        <v>6.1875</v>
      </c>
      <c r="G186" s="83">
        <f>H186/2</f>
        <v>12.375</v>
      </c>
      <c r="H186" s="85">
        <f>H185+((H187-H185)/2)</f>
        <v>24.75</v>
      </c>
      <c r="I186" s="83">
        <f>E186*10</f>
        <v>30.9375</v>
      </c>
      <c r="J186" s="83">
        <f>E186*12</f>
        <v>37.125</v>
      </c>
      <c r="L186" s="45">
        <f t="shared" si="12"/>
        <v>24.75</v>
      </c>
      <c r="M186" s="92">
        <v>78.95</v>
      </c>
    </row>
    <row r="187" spans="1:13" ht="15" customHeight="1">
      <c r="A187" s="46"/>
      <c r="B187" s="92">
        <v>79</v>
      </c>
      <c r="C187" s="83">
        <f t="shared" ref="C187:G205" si="17">D187/2</f>
        <v>0.78125</v>
      </c>
      <c r="D187" s="83">
        <f t="shared" si="17"/>
        <v>1.5625</v>
      </c>
      <c r="E187" s="83">
        <f t="shared" si="17"/>
        <v>3.125</v>
      </c>
      <c r="F187" s="83">
        <f t="shared" si="17"/>
        <v>6.25</v>
      </c>
      <c r="G187" s="83">
        <f t="shared" si="17"/>
        <v>12.5</v>
      </c>
      <c r="H187" s="86">
        <v>25</v>
      </c>
      <c r="I187" s="83">
        <f t="shared" si="13"/>
        <v>31.25</v>
      </c>
      <c r="J187" s="83">
        <f t="shared" si="14"/>
        <v>37.5</v>
      </c>
      <c r="L187" s="45">
        <f t="shared" si="12"/>
        <v>25</v>
      </c>
      <c r="M187" s="92">
        <v>79</v>
      </c>
    </row>
    <row r="188" spans="1:13" ht="15" customHeight="1">
      <c r="A188" s="46"/>
      <c r="B188" s="92">
        <v>79.05</v>
      </c>
      <c r="C188" s="83">
        <f t="shared" si="17"/>
        <v>0.79218750000000004</v>
      </c>
      <c r="D188" s="83">
        <f t="shared" si="17"/>
        <v>1.5843750000000001</v>
      </c>
      <c r="E188" s="83">
        <f t="shared" si="17"/>
        <v>3.1687500000000002</v>
      </c>
      <c r="F188" s="83">
        <f t="shared" si="17"/>
        <v>6.3375000000000004</v>
      </c>
      <c r="G188" s="83">
        <f t="shared" si="17"/>
        <v>12.675000000000001</v>
      </c>
      <c r="H188" s="85">
        <f>H187+((H189-H187)/2)</f>
        <v>25.35</v>
      </c>
      <c r="I188" s="83">
        <f>E188*10</f>
        <v>31.6875</v>
      </c>
      <c r="J188" s="83">
        <f>E188*12</f>
        <v>38.025000000000006</v>
      </c>
      <c r="L188" s="45">
        <f t="shared" si="12"/>
        <v>25.35</v>
      </c>
      <c r="M188" s="92">
        <v>79.05</v>
      </c>
    </row>
    <row r="189" spans="1:13" ht="15" customHeight="1">
      <c r="A189" s="46"/>
      <c r="B189" s="92">
        <v>79.099999999999994</v>
      </c>
      <c r="C189" s="83">
        <f t="shared" si="17"/>
        <v>0.80312499999999998</v>
      </c>
      <c r="D189" s="83">
        <f t="shared" si="17"/>
        <v>1.60625</v>
      </c>
      <c r="E189" s="83">
        <f t="shared" si="17"/>
        <v>3.2124999999999999</v>
      </c>
      <c r="F189" s="83">
        <f t="shared" si="17"/>
        <v>6.4249999999999998</v>
      </c>
      <c r="G189" s="83">
        <f t="shared" si="17"/>
        <v>12.85</v>
      </c>
      <c r="H189" s="85">
        <f>H187+((H207-H187)/10)</f>
        <v>25.7</v>
      </c>
      <c r="I189" s="83">
        <f t="shared" si="13"/>
        <v>32.125</v>
      </c>
      <c r="J189" s="83">
        <f t="shared" si="14"/>
        <v>38.549999999999997</v>
      </c>
      <c r="L189" s="45">
        <f t="shared" si="12"/>
        <v>25.7</v>
      </c>
      <c r="M189" s="92">
        <v>79.099999999999994</v>
      </c>
    </row>
    <row r="190" spans="1:13" ht="15" customHeight="1">
      <c r="A190" s="46"/>
      <c r="B190" s="92">
        <v>79.150000000000006</v>
      </c>
      <c r="C190" s="83">
        <f t="shared" si="17"/>
        <v>0.81406249999999991</v>
      </c>
      <c r="D190" s="83">
        <f t="shared" si="17"/>
        <v>1.6281249999999998</v>
      </c>
      <c r="E190" s="83">
        <f t="shared" si="17"/>
        <v>3.2562499999999996</v>
      </c>
      <c r="F190" s="83">
        <f t="shared" si="17"/>
        <v>6.5124999999999993</v>
      </c>
      <c r="G190" s="83">
        <f t="shared" si="17"/>
        <v>13.024999999999999</v>
      </c>
      <c r="H190" s="85">
        <f>H189+((H191-H189)/2)</f>
        <v>26.049999999999997</v>
      </c>
      <c r="I190" s="83">
        <f>E190*10</f>
        <v>32.5625</v>
      </c>
      <c r="J190" s="83">
        <f>E190*12</f>
        <v>39.074999999999996</v>
      </c>
      <c r="L190" s="45">
        <f t="shared" si="12"/>
        <v>26.049999999999997</v>
      </c>
      <c r="M190" s="92">
        <v>79.150000000000006</v>
      </c>
    </row>
    <row r="191" spans="1:13" ht="15" customHeight="1">
      <c r="A191" s="46"/>
      <c r="B191" s="92">
        <v>79.2</v>
      </c>
      <c r="C191" s="83">
        <f t="shared" si="17"/>
        <v>0.82499999999999996</v>
      </c>
      <c r="D191" s="83">
        <f t="shared" si="17"/>
        <v>1.65</v>
      </c>
      <c r="E191" s="83">
        <f t="shared" si="17"/>
        <v>3.3</v>
      </c>
      <c r="F191" s="83">
        <f t="shared" si="17"/>
        <v>6.6</v>
      </c>
      <c r="G191" s="83">
        <f t="shared" si="17"/>
        <v>13.2</v>
      </c>
      <c r="H191" s="86">
        <f>H189+0.7</f>
        <v>26.4</v>
      </c>
      <c r="I191" s="83">
        <f t="shared" si="13"/>
        <v>33</v>
      </c>
      <c r="J191" s="83">
        <f t="shared" si="14"/>
        <v>39.599999999999994</v>
      </c>
      <c r="L191" s="45">
        <f t="shared" si="12"/>
        <v>26.4</v>
      </c>
      <c r="M191" s="92">
        <v>79.2</v>
      </c>
    </row>
    <row r="192" spans="1:13" ht="15" customHeight="1">
      <c r="A192" s="46"/>
      <c r="B192" s="92">
        <v>79.25</v>
      </c>
      <c r="C192" s="83">
        <f t="shared" si="17"/>
        <v>0.8359375</v>
      </c>
      <c r="D192" s="83">
        <f t="shared" si="17"/>
        <v>1.671875</v>
      </c>
      <c r="E192" s="83">
        <f t="shared" si="17"/>
        <v>3.34375</v>
      </c>
      <c r="F192" s="83">
        <f t="shared" si="17"/>
        <v>6.6875</v>
      </c>
      <c r="G192" s="83">
        <f t="shared" si="17"/>
        <v>13.375</v>
      </c>
      <c r="H192" s="85">
        <f>H191+((H193-H191)/2)</f>
        <v>26.75</v>
      </c>
      <c r="I192" s="83">
        <f>E192*10</f>
        <v>33.4375</v>
      </c>
      <c r="J192" s="83">
        <f>E192*12</f>
        <v>40.125</v>
      </c>
      <c r="L192" s="45">
        <f t="shared" si="12"/>
        <v>26.75</v>
      </c>
      <c r="M192" s="92">
        <v>79.25</v>
      </c>
    </row>
    <row r="193" spans="1:13" ht="15" customHeight="1">
      <c r="A193" s="46"/>
      <c r="B193" s="92">
        <v>79.3</v>
      </c>
      <c r="C193" s="83">
        <f t="shared" si="17"/>
        <v>0.84687499999999993</v>
      </c>
      <c r="D193" s="83">
        <f t="shared" si="17"/>
        <v>1.6937499999999999</v>
      </c>
      <c r="E193" s="83">
        <f t="shared" si="17"/>
        <v>3.3874999999999997</v>
      </c>
      <c r="F193" s="83">
        <f t="shared" si="17"/>
        <v>6.7749999999999995</v>
      </c>
      <c r="G193" s="83">
        <f t="shared" si="17"/>
        <v>13.549999999999999</v>
      </c>
      <c r="H193" s="86">
        <f>H191+0.7</f>
        <v>27.099999999999998</v>
      </c>
      <c r="I193" s="83">
        <f t="shared" si="13"/>
        <v>33.875</v>
      </c>
      <c r="J193" s="83">
        <f t="shared" si="14"/>
        <v>40.65</v>
      </c>
      <c r="L193" s="45">
        <f t="shared" si="12"/>
        <v>27.099999999999998</v>
      </c>
      <c r="M193" s="92">
        <v>79.3</v>
      </c>
    </row>
    <row r="194" spans="1:13" ht="15" customHeight="1">
      <c r="A194" s="46"/>
      <c r="B194" s="92">
        <v>79.349999999999994</v>
      </c>
      <c r="C194" s="83">
        <f t="shared" si="17"/>
        <v>0.85781249999999987</v>
      </c>
      <c r="D194" s="83">
        <f t="shared" si="17"/>
        <v>1.7156249999999997</v>
      </c>
      <c r="E194" s="83">
        <f t="shared" si="17"/>
        <v>3.4312499999999995</v>
      </c>
      <c r="F194" s="83">
        <f t="shared" si="17"/>
        <v>6.8624999999999989</v>
      </c>
      <c r="G194" s="83">
        <f t="shared" si="17"/>
        <v>13.724999999999998</v>
      </c>
      <c r="H194" s="85">
        <f>H193+((H195-H193)/2)</f>
        <v>27.449999999999996</v>
      </c>
      <c r="I194" s="83">
        <f>E194*10</f>
        <v>34.312499999999993</v>
      </c>
      <c r="J194" s="83">
        <f>E194*12</f>
        <v>41.174999999999997</v>
      </c>
      <c r="L194" s="45">
        <f t="shared" si="12"/>
        <v>27.449999999999996</v>
      </c>
      <c r="M194" s="92">
        <v>79.349999999999994</v>
      </c>
    </row>
    <row r="195" spans="1:13" ht="15" customHeight="1">
      <c r="A195" s="46"/>
      <c r="B195" s="92">
        <v>79.400000000000006</v>
      </c>
      <c r="C195" s="83">
        <f t="shared" si="17"/>
        <v>0.86874999999999991</v>
      </c>
      <c r="D195" s="83">
        <f t="shared" si="17"/>
        <v>1.7374999999999998</v>
      </c>
      <c r="E195" s="83">
        <f t="shared" si="17"/>
        <v>3.4749999999999996</v>
      </c>
      <c r="F195" s="83">
        <f t="shared" si="17"/>
        <v>6.9499999999999993</v>
      </c>
      <c r="G195" s="83">
        <f t="shared" si="17"/>
        <v>13.899999999999999</v>
      </c>
      <c r="H195" s="86">
        <f>H193+0.7</f>
        <v>27.799999999999997</v>
      </c>
      <c r="I195" s="83">
        <f t="shared" si="13"/>
        <v>34.75</v>
      </c>
      <c r="J195" s="83">
        <f t="shared" si="14"/>
        <v>41.699999999999996</v>
      </c>
      <c r="L195" s="45">
        <f t="shared" si="12"/>
        <v>27.799999999999997</v>
      </c>
      <c r="M195" s="92">
        <v>79.400000000000006</v>
      </c>
    </row>
    <row r="196" spans="1:13" ht="15" customHeight="1">
      <c r="A196" s="46"/>
      <c r="B196" s="92">
        <v>79.45</v>
      </c>
      <c r="C196" s="83">
        <f t="shared" si="17"/>
        <v>0.87968749999999996</v>
      </c>
      <c r="D196" s="83">
        <f t="shared" si="17"/>
        <v>1.7593749999999999</v>
      </c>
      <c r="E196" s="83">
        <f t="shared" si="17"/>
        <v>3.5187499999999998</v>
      </c>
      <c r="F196" s="83">
        <f t="shared" si="17"/>
        <v>7.0374999999999996</v>
      </c>
      <c r="G196" s="83">
        <f t="shared" si="17"/>
        <v>14.074999999999999</v>
      </c>
      <c r="H196" s="85">
        <f>H195+((H197-H195)/2)</f>
        <v>28.15</v>
      </c>
      <c r="I196" s="83">
        <f>E196*10</f>
        <v>35.1875</v>
      </c>
      <c r="J196" s="83">
        <f>E196*12</f>
        <v>42.224999999999994</v>
      </c>
      <c r="L196" s="45">
        <f t="shared" si="12"/>
        <v>28.15</v>
      </c>
      <c r="M196" s="92">
        <v>79.45</v>
      </c>
    </row>
    <row r="197" spans="1:13" ht="15" customHeight="1">
      <c r="A197" s="46"/>
      <c r="B197" s="92">
        <v>79.5</v>
      </c>
      <c r="C197" s="83">
        <f t="shared" si="17"/>
        <v>0.89062499999999989</v>
      </c>
      <c r="D197" s="83">
        <f t="shared" si="17"/>
        <v>1.7812499999999998</v>
      </c>
      <c r="E197" s="83">
        <f t="shared" si="17"/>
        <v>3.5624999999999996</v>
      </c>
      <c r="F197" s="83">
        <f t="shared" si="17"/>
        <v>7.1249999999999991</v>
      </c>
      <c r="G197" s="83">
        <f t="shared" si="17"/>
        <v>14.249999999999998</v>
      </c>
      <c r="H197" s="86">
        <f>H195+0.7</f>
        <v>28.499999999999996</v>
      </c>
      <c r="I197" s="83">
        <f t="shared" si="13"/>
        <v>35.624999999999993</v>
      </c>
      <c r="J197" s="83">
        <f t="shared" si="14"/>
        <v>42.749999999999993</v>
      </c>
      <c r="L197" s="45">
        <f t="shared" si="12"/>
        <v>28.499999999999996</v>
      </c>
      <c r="M197" s="92">
        <v>79.5</v>
      </c>
    </row>
    <row r="198" spans="1:13" ht="15" customHeight="1">
      <c r="A198" s="46"/>
      <c r="B198" s="92">
        <v>79.55</v>
      </c>
      <c r="C198" s="83">
        <f t="shared" si="17"/>
        <v>0.90156249999999982</v>
      </c>
      <c r="D198" s="83">
        <f t="shared" si="17"/>
        <v>1.8031249999999996</v>
      </c>
      <c r="E198" s="83">
        <f t="shared" si="17"/>
        <v>3.6062499999999993</v>
      </c>
      <c r="F198" s="83">
        <f t="shared" si="17"/>
        <v>7.2124999999999986</v>
      </c>
      <c r="G198" s="83">
        <f t="shared" si="17"/>
        <v>14.424999999999997</v>
      </c>
      <c r="H198" s="85">
        <f>H197+((H199-H197)/2)</f>
        <v>28.849999999999994</v>
      </c>
      <c r="I198" s="83">
        <f>E198*10</f>
        <v>36.062499999999993</v>
      </c>
      <c r="J198" s="83">
        <f>E198*12</f>
        <v>43.274999999999991</v>
      </c>
      <c r="L198" s="45">
        <f t="shared" si="12"/>
        <v>28.849999999999994</v>
      </c>
      <c r="M198" s="92">
        <v>79.55</v>
      </c>
    </row>
    <row r="199" spans="1:13" ht="15" customHeight="1">
      <c r="A199" s="46"/>
      <c r="B199" s="92">
        <v>79.599999999999994</v>
      </c>
      <c r="C199" s="83">
        <f t="shared" si="17"/>
        <v>0.91249999999999987</v>
      </c>
      <c r="D199" s="83">
        <f t="shared" si="17"/>
        <v>1.8249999999999997</v>
      </c>
      <c r="E199" s="83">
        <f t="shared" si="17"/>
        <v>3.6499999999999995</v>
      </c>
      <c r="F199" s="83">
        <f t="shared" si="17"/>
        <v>7.2999999999999989</v>
      </c>
      <c r="G199" s="83">
        <f t="shared" si="17"/>
        <v>14.599999999999998</v>
      </c>
      <c r="H199" s="86">
        <f>H197+0.7</f>
        <v>29.199999999999996</v>
      </c>
      <c r="I199" s="83">
        <f t="shared" si="13"/>
        <v>36.499999999999993</v>
      </c>
      <c r="J199" s="83">
        <f t="shared" si="14"/>
        <v>43.8</v>
      </c>
      <c r="L199" s="45">
        <f t="shared" si="12"/>
        <v>29.199999999999996</v>
      </c>
      <c r="M199" s="92">
        <v>79.599999999999994</v>
      </c>
    </row>
    <row r="200" spans="1:13" ht="15" customHeight="1">
      <c r="A200" s="46"/>
      <c r="B200" s="92">
        <v>79.650000000000006</v>
      </c>
      <c r="C200" s="83">
        <f t="shared" si="17"/>
        <v>0.92343749999999991</v>
      </c>
      <c r="D200" s="83">
        <f t="shared" si="17"/>
        <v>1.8468749999999998</v>
      </c>
      <c r="E200" s="83">
        <f t="shared" si="17"/>
        <v>3.6937499999999996</v>
      </c>
      <c r="F200" s="83">
        <f t="shared" si="17"/>
        <v>7.3874999999999993</v>
      </c>
      <c r="G200" s="83">
        <f t="shared" si="17"/>
        <v>14.774999999999999</v>
      </c>
      <c r="H200" s="85">
        <f>H199+((H201-H199)/2)</f>
        <v>29.549999999999997</v>
      </c>
      <c r="I200" s="83">
        <f>E200*10</f>
        <v>36.9375</v>
      </c>
      <c r="J200" s="83">
        <f>E200*12</f>
        <v>44.324999999999996</v>
      </c>
      <c r="L200" s="45">
        <f t="shared" ref="L200:L263" si="18">+H200</f>
        <v>29.549999999999997</v>
      </c>
      <c r="M200" s="92">
        <v>79.650000000000006</v>
      </c>
    </row>
    <row r="201" spans="1:13" ht="15" customHeight="1">
      <c r="A201" s="46"/>
      <c r="B201" s="92">
        <v>79.7</v>
      </c>
      <c r="C201" s="83">
        <f t="shared" si="17"/>
        <v>0.93437499999999984</v>
      </c>
      <c r="D201" s="83">
        <f t="shared" si="17"/>
        <v>1.8687499999999997</v>
      </c>
      <c r="E201" s="83">
        <f t="shared" si="17"/>
        <v>3.7374999999999994</v>
      </c>
      <c r="F201" s="83">
        <f t="shared" si="17"/>
        <v>7.4749999999999988</v>
      </c>
      <c r="G201" s="83">
        <f t="shared" si="17"/>
        <v>14.949999999999998</v>
      </c>
      <c r="H201" s="86">
        <f>H199+0.7</f>
        <v>29.899999999999995</v>
      </c>
      <c r="I201" s="83">
        <f t="shared" si="13"/>
        <v>37.374999999999993</v>
      </c>
      <c r="J201" s="83">
        <f t="shared" si="14"/>
        <v>44.849999999999994</v>
      </c>
      <c r="L201" s="45">
        <f t="shared" si="18"/>
        <v>29.899999999999995</v>
      </c>
      <c r="M201" s="92">
        <v>79.7</v>
      </c>
    </row>
    <row r="202" spans="1:13" ht="15" customHeight="1">
      <c r="A202" s="46"/>
      <c r="B202" s="92">
        <v>79.75</v>
      </c>
      <c r="C202" s="83">
        <f t="shared" si="17"/>
        <v>0.94531249999999978</v>
      </c>
      <c r="D202" s="83">
        <f t="shared" si="17"/>
        <v>1.8906249999999996</v>
      </c>
      <c r="E202" s="83">
        <f t="shared" si="17"/>
        <v>3.7812499999999991</v>
      </c>
      <c r="F202" s="83">
        <f t="shared" si="17"/>
        <v>7.5624999999999982</v>
      </c>
      <c r="G202" s="83">
        <f t="shared" si="17"/>
        <v>15.124999999999996</v>
      </c>
      <c r="H202" s="85">
        <f>H201+((H203-H201)/2)</f>
        <v>30.249999999999993</v>
      </c>
      <c r="I202" s="83">
        <f>E202*10</f>
        <v>37.812499999999993</v>
      </c>
      <c r="J202" s="83">
        <f>E202*12</f>
        <v>45.374999999999986</v>
      </c>
      <c r="L202" s="45">
        <f t="shared" si="18"/>
        <v>30.249999999999993</v>
      </c>
      <c r="M202" s="92">
        <v>79.75</v>
      </c>
    </row>
    <row r="203" spans="1:13" ht="15" customHeight="1">
      <c r="A203" s="46"/>
      <c r="B203" s="92">
        <v>79.8</v>
      </c>
      <c r="C203" s="83">
        <f t="shared" si="17"/>
        <v>0.95624999999999982</v>
      </c>
      <c r="D203" s="83">
        <f t="shared" si="17"/>
        <v>1.9124999999999996</v>
      </c>
      <c r="E203" s="83">
        <f t="shared" si="17"/>
        <v>3.8249999999999993</v>
      </c>
      <c r="F203" s="83">
        <f t="shared" si="17"/>
        <v>7.6499999999999986</v>
      </c>
      <c r="G203" s="83">
        <f t="shared" si="17"/>
        <v>15.299999999999997</v>
      </c>
      <c r="H203" s="86">
        <f>H201+0.7</f>
        <v>30.599999999999994</v>
      </c>
      <c r="I203" s="83">
        <f t="shared" si="13"/>
        <v>38.249999999999993</v>
      </c>
      <c r="J203" s="83">
        <f t="shared" si="14"/>
        <v>45.899999999999991</v>
      </c>
      <c r="L203" s="45">
        <f t="shared" si="18"/>
        <v>30.599999999999994</v>
      </c>
      <c r="M203" s="92">
        <v>79.8</v>
      </c>
    </row>
    <row r="204" spans="1:13" ht="15" customHeight="1">
      <c r="A204" s="46"/>
      <c r="B204" s="92">
        <v>79.849999999999994</v>
      </c>
      <c r="C204" s="83">
        <f t="shared" si="17"/>
        <v>0.96718749999999987</v>
      </c>
      <c r="D204" s="83">
        <f t="shared" si="17"/>
        <v>1.9343749999999997</v>
      </c>
      <c r="E204" s="83">
        <f t="shared" si="17"/>
        <v>3.8687499999999995</v>
      </c>
      <c r="F204" s="83">
        <f t="shared" si="17"/>
        <v>7.7374999999999989</v>
      </c>
      <c r="G204" s="83">
        <f t="shared" si="17"/>
        <v>15.474999999999998</v>
      </c>
      <c r="H204" s="85">
        <f>H203+((H205-H203)/2)</f>
        <v>30.949999999999996</v>
      </c>
      <c r="I204" s="83">
        <f>E204*10</f>
        <v>38.687499999999993</v>
      </c>
      <c r="J204" s="83">
        <f>E204*12</f>
        <v>46.424999999999997</v>
      </c>
      <c r="L204" s="45">
        <f t="shared" si="18"/>
        <v>30.949999999999996</v>
      </c>
      <c r="M204" s="92">
        <v>79.849999999999994</v>
      </c>
    </row>
    <row r="205" spans="1:13" ht="15" customHeight="1">
      <c r="A205" s="46"/>
      <c r="B205" s="92">
        <v>79.900000000000006</v>
      </c>
      <c r="C205" s="83">
        <f t="shared" si="17"/>
        <v>0.9781249999999998</v>
      </c>
      <c r="D205" s="83">
        <f t="shared" si="17"/>
        <v>1.9562499999999996</v>
      </c>
      <c r="E205" s="83">
        <f t="shared" si="17"/>
        <v>3.9124999999999992</v>
      </c>
      <c r="F205" s="83">
        <f t="shared" si="17"/>
        <v>7.8249999999999984</v>
      </c>
      <c r="G205" s="83">
        <f t="shared" si="17"/>
        <v>15.649999999999997</v>
      </c>
      <c r="H205" s="86">
        <f>H203+0.7</f>
        <v>31.299999999999994</v>
      </c>
      <c r="I205" s="83">
        <f t="shared" si="13"/>
        <v>39.124999999999993</v>
      </c>
      <c r="J205" s="83">
        <f t="shared" si="14"/>
        <v>46.949999999999989</v>
      </c>
      <c r="L205" s="45">
        <f t="shared" si="18"/>
        <v>31.299999999999994</v>
      </c>
      <c r="M205" s="92">
        <v>79.900000000000006</v>
      </c>
    </row>
    <row r="206" spans="1:13" ht="15" customHeight="1">
      <c r="A206" s="46"/>
      <c r="B206" s="92">
        <v>79.95</v>
      </c>
      <c r="C206" s="83">
        <f>D206/2</f>
        <v>0.98906249999999996</v>
      </c>
      <c r="D206" s="83">
        <f>E206/2</f>
        <v>1.9781249999999999</v>
      </c>
      <c r="E206" s="83">
        <f>F206/2</f>
        <v>3.9562499999999998</v>
      </c>
      <c r="F206" s="83">
        <f>G206/2</f>
        <v>7.9124999999999996</v>
      </c>
      <c r="G206" s="83">
        <f>H206/2</f>
        <v>15.824999999999999</v>
      </c>
      <c r="H206" s="85">
        <f>H205+((H207-H205)/2)</f>
        <v>31.65</v>
      </c>
      <c r="I206" s="83">
        <f>E206*10</f>
        <v>39.5625</v>
      </c>
      <c r="J206" s="83">
        <f>E206*12</f>
        <v>47.474999999999994</v>
      </c>
      <c r="L206" s="45">
        <f t="shared" si="18"/>
        <v>31.65</v>
      </c>
      <c r="M206" s="92">
        <v>79.95</v>
      </c>
    </row>
    <row r="207" spans="1:13" ht="15" customHeight="1">
      <c r="A207" s="46"/>
      <c r="B207" s="92">
        <v>80</v>
      </c>
      <c r="C207" s="83">
        <f t="shared" ref="C207:G225" si="19">D207/2</f>
        <v>1</v>
      </c>
      <c r="D207" s="83">
        <f t="shared" si="19"/>
        <v>2</v>
      </c>
      <c r="E207" s="83">
        <f t="shared" si="19"/>
        <v>4</v>
      </c>
      <c r="F207" s="83">
        <f t="shared" si="19"/>
        <v>8</v>
      </c>
      <c r="G207" s="83">
        <f t="shared" si="19"/>
        <v>16</v>
      </c>
      <c r="H207" s="86">
        <v>32</v>
      </c>
      <c r="I207" s="83">
        <f t="shared" si="13"/>
        <v>40</v>
      </c>
      <c r="J207" s="83">
        <f t="shared" si="14"/>
        <v>48</v>
      </c>
      <c r="L207" s="45">
        <f t="shared" si="18"/>
        <v>32</v>
      </c>
      <c r="M207" s="92">
        <v>80</v>
      </c>
    </row>
    <row r="208" spans="1:13" ht="15" customHeight="1">
      <c r="A208" s="46"/>
      <c r="B208" s="92">
        <v>80.05</v>
      </c>
      <c r="C208" s="83">
        <f t="shared" si="19"/>
        <v>1.0125</v>
      </c>
      <c r="D208" s="83">
        <f t="shared" si="19"/>
        <v>2.0249999999999999</v>
      </c>
      <c r="E208" s="83">
        <f t="shared" si="19"/>
        <v>4.05</v>
      </c>
      <c r="F208" s="83">
        <f t="shared" si="19"/>
        <v>8.1</v>
      </c>
      <c r="G208" s="83">
        <f t="shared" si="19"/>
        <v>16.2</v>
      </c>
      <c r="H208" s="85">
        <f>H207+((H209-H207)/2)</f>
        <v>32.4</v>
      </c>
      <c r="I208" s="83">
        <f>E208*10</f>
        <v>40.5</v>
      </c>
      <c r="J208" s="83">
        <f>E208*12</f>
        <v>48.599999999999994</v>
      </c>
      <c r="L208" s="45">
        <f t="shared" si="18"/>
        <v>32.4</v>
      </c>
      <c r="M208" s="92">
        <v>80.05</v>
      </c>
    </row>
    <row r="209" spans="1:13" ht="15" customHeight="1">
      <c r="A209" s="46"/>
      <c r="B209" s="92">
        <v>80.099999999999994</v>
      </c>
      <c r="C209" s="83">
        <f t="shared" si="19"/>
        <v>1.0249999999999999</v>
      </c>
      <c r="D209" s="83">
        <f t="shared" si="19"/>
        <v>2.0499999999999998</v>
      </c>
      <c r="E209" s="83">
        <f t="shared" si="19"/>
        <v>4.0999999999999996</v>
      </c>
      <c r="F209" s="83">
        <f t="shared" si="19"/>
        <v>8.1999999999999993</v>
      </c>
      <c r="G209" s="83">
        <f t="shared" si="19"/>
        <v>16.399999999999999</v>
      </c>
      <c r="H209" s="85">
        <f>H207+((H227-H207)/10)</f>
        <v>32.799999999999997</v>
      </c>
      <c r="I209" s="83">
        <f t="shared" si="13"/>
        <v>41</v>
      </c>
      <c r="J209" s="83">
        <f t="shared" si="14"/>
        <v>49.199999999999996</v>
      </c>
      <c r="L209" s="45">
        <f t="shared" si="18"/>
        <v>32.799999999999997</v>
      </c>
      <c r="M209" s="92">
        <v>80.099999999999994</v>
      </c>
    </row>
    <row r="210" spans="1:13" ht="15" customHeight="1">
      <c r="A210" s="46"/>
      <c r="B210" s="92">
        <v>80.150000000000006</v>
      </c>
      <c r="C210" s="83">
        <f t="shared" si="19"/>
        <v>1.0374999999999999</v>
      </c>
      <c r="D210" s="83">
        <f t="shared" si="19"/>
        <v>2.0749999999999997</v>
      </c>
      <c r="E210" s="83">
        <f t="shared" si="19"/>
        <v>4.1499999999999995</v>
      </c>
      <c r="F210" s="83">
        <f t="shared" si="19"/>
        <v>8.2999999999999989</v>
      </c>
      <c r="G210" s="83">
        <f t="shared" si="19"/>
        <v>16.599999999999998</v>
      </c>
      <c r="H210" s="85">
        <f>H209+((H211-H209)/2)</f>
        <v>33.199999999999996</v>
      </c>
      <c r="I210" s="83">
        <f>E210*10</f>
        <v>41.499999999999993</v>
      </c>
      <c r="J210" s="83">
        <f>E210*12</f>
        <v>49.8</v>
      </c>
      <c r="L210" s="45">
        <f t="shared" si="18"/>
        <v>33.199999999999996</v>
      </c>
      <c r="M210" s="92">
        <v>80.150000000000006</v>
      </c>
    </row>
    <row r="211" spans="1:13" ht="15" customHeight="1">
      <c r="A211" s="46"/>
      <c r="B211" s="92">
        <v>80.2</v>
      </c>
      <c r="C211" s="83">
        <f t="shared" si="19"/>
        <v>1.0499999999999998</v>
      </c>
      <c r="D211" s="83">
        <f t="shared" si="19"/>
        <v>2.0999999999999996</v>
      </c>
      <c r="E211" s="83">
        <f t="shared" si="19"/>
        <v>4.1999999999999993</v>
      </c>
      <c r="F211" s="83">
        <f t="shared" si="19"/>
        <v>8.3999999999999986</v>
      </c>
      <c r="G211" s="83">
        <f t="shared" si="19"/>
        <v>16.799999999999997</v>
      </c>
      <c r="H211" s="86">
        <f>H209+0.8</f>
        <v>33.599999999999994</v>
      </c>
      <c r="I211" s="83">
        <f t="shared" si="13"/>
        <v>41.999999999999993</v>
      </c>
      <c r="J211" s="83">
        <f t="shared" si="14"/>
        <v>50.399999999999991</v>
      </c>
      <c r="L211" s="45">
        <f t="shared" si="18"/>
        <v>33.599999999999994</v>
      </c>
      <c r="M211" s="92">
        <v>80.2</v>
      </c>
    </row>
    <row r="212" spans="1:13" ht="15" customHeight="1">
      <c r="A212" s="46"/>
      <c r="B212" s="92">
        <v>80.25</v>
      </c>
      <c r="C212" s="83">
        <f t="shared" si="19"/>
        <v>1.0624999999999998</v>
      </c>
      <c r="D212" s="83">
        <f t="shared" si="19"/>
        <v>2.1249999999999996</v>
      </c>
      <c r="E212" s="83">
        <f t="shared" si="19"/>
        <v>4.2499999999999991</v>
      </c>
      <c r="F212" s="83">
        <f t="shared" si="19"/>
        <v>8.4999999999999982</v>
      </c>
      <c r="G212" s="83">
        <f t="shared" si="19"/>
        <v>16.999999999999996</v>
      </c>
      <c r="H212" s="85">
        <f>H211+((H213-H211)/2)</f>
        <v>33.999999999999993</v>
      </c>
      <c r="I212" s="83">
        <f>E212*10</f>
        <v>42.499999999999993</v>
      </c>
      <c r="J212" s="83">
        <f>E212*12</f>
        <v>50.999999999999986</v>
      </c>
      <c r="L212" s="45">
        <f t="shared" si="18"/>
        <v>33.999999999999993</v>
      </c>
      <c r="M212" s="92">
        <v>80.25</v>
      </c>
    </row>
    <row r="213" spans="1:13" ht="15" customHeight="1">
      <c r="A213" s="46"/>
      <c r="B213" s="92">
        <v>80.3</v>
      </c>
      <c r="C213" s="83">
        <f t="shared" si="19"/>
        <v>1.0749999999999997</v>
      </c>
      <c r="D213" s="83">
        <f t="shared" si="19"/>
        <v>2.1499999999999995</v>
      </c>
      <c r="E213" s="83">
        <f t="shared" si="19"/>
        <v>4.2999999999999989</v>
      </c>
      <c r="F213" s="83">
        <f t="shared" si="19"/>
        <v>8.5999999999999979</v>
      </c>
      <c r="G213" s="83">
        <f t="shared" si="19"/>
        <v>17.199999999999996</v>
      </c>
      <c r="H213" s="86">
        <f>H211+0.8</f>
        <v>34.399999999999991</v>
      </c>
      <c r="I213" s="83">
        <f t="shared" si="13"/>
        <v>42.999999999999986</v>
      </c>
      <c r="J213" s="83">
        <f t="shared" si="14"/>
        <v>51.599999999999987</v>
      </c>
      <c r="L213" s="45">
        <f t="shared" si="18"/>
        <v>34.399999999999991</v>
      </c>
      <c r="M213" s="92">
        <v>80.3</v>
      </c>
    </row>
    <row r="214" spans="1:13" ht="15" customHeight="1">
      <c r="A214" s="46"/>
      <c r="B214" s="92">
        <v>80.349999999999994</v>
      </c>
      <c r="C214" s="83">
        <f t="shared" si="19"/>
        <v>1.0874999999999997</v>
      </c>
      <c r="D214" s="83">
        <f t="shared" si="19"/>
        <v>2.1749999999999994</v>
      </c>
      <c r="E214" s="83">
        <f t="shared" si="19"/>
        <v>4.3499999999999988</v>
      </c>
      <c r="F214" s="83">
        <f t="shared" si="19"/>
        <v>8.6999999999999975</v>
      </c>
      <c r="G214" s="83">
        <f t="shared" si="19"/>
        <v>17.399999999999995</v>
      </c>
      <c r="H214" s="85">
        <f>H213+((H215-H213)/2)</f>
        <v>34.79999999999999</v>
      </c>
      <c r="I214" s="83">
        <f>E214*10</f>
        <v>43.499999999999986</v>
      </c>
      <c r="J214" s="83">
        <f>E214*12</f>
        <v>52.199999999999989</v>
      </c>
      <c r="L214" s="45">
        <f t="shared" si="18"/>
        <v>34.79999999999999</v>
      </c>
      <c r="M214" s="92">
        <v>80.349999999999994</v>
      </c>
    </row>
    <row r="215" spans="1:13" ht="15" customHeight="1">
      <c r="A215" s="46"/>
      <c r="B215" s="92">
        <v>80.400000000000006</v>
      </c>
      <c r="C215" s="83">
        <f t="shared" si="19"/>
        <v>1.0999999999999996</v>
      </c>
      <c r="D215" s="83">
        <f t="shared" si="19"/>
        <v>2.1999999999999993</v>
      </c>
      <c r="E215" s="83">
        <f t="shared" si="19"/>
        <v>4.3999999999999986</v>
      </c>
      <c r="F215" s="83">
        <f t="shared" si="19"/>
        <v>8.7999999999999972</v>
      </c>
      <c r="G215" s="83">
        <f t="shared" si="19"/>
        <v>17.599999999999994</v>
      </c>
      <c r="H215" s="86">
        <f>H213+0.8</f>
        <v>35.199999999999989</v>
      </c>
      <c r="I215" s="83">
        <f t="shared" si="13"/>
        <v>43.999999999999986</v>
      </c>
      <c r="J215" s="83">
        <f t="shared" si="14"/>
        <v>52.799999999999983</v>
      </c>
      <c r="L215" s="45">
        <f t="shared" si="18"/>
        <v>35.199999999999989</v>
      </c>
      <c r="M215" s="92">
        <v>80.400000000000006</v>
      </c>
    </row>
    <row r="216" spans="1:13" ht="15" customHeight="1">
      <c r="A216" s="46"/>
      <c r="B216" s="92">
        <v>80.45</v>
      </c>
      <c r="C216" s="83">
        <f t="shared" si="19"/>
        <v>1.1124999999999996</v>
      </c>
      <c r="D216" s="83">
        <f t="shared" si="19"/>
        <v>2.2249999999999992</v>
      </c>
      <c r="E216" s="83">
        <f t="shared" si="19"/>
        <v>4.4499999999999984</v>
      </c>
      <c r="F216" s="83">
        <f t="shared" si="19"/>
        <v>8.8999999999999968</v>
      </c>
      <c r="G216" s="83">
        <f t="shared" si="19"/>
        <v>17.799999999999994</v>
      </c>
      <c r="H216" s="85">
        <f>H215+((H217-H215)/2)</f>
        <v>35.599999999999987</v>
      </c>
      <c r="I216" s="83">
        <f>E216*10</f>
        <v>44.499999999999986</v>
      </c>
      <c r="J216" s="83">
        <f>E216*12</f>
        <v>53.399999999999977</v>
      </c>
      <c r="L216" s="45">
        <f t="shared" si="18"/>
        <v>35.599999999999987</v>
      </c>
      <c r="M216" s="92">
        <v>80.45</v>
      </c>
    </row>
    <row r="217" spans="1:13" ht="15" customHeight="1">
      <c r="A217" s="46"/>
      <c r="B217" s="92">
        <v>80.5</v>
      </c>
      <c r="C217" s="83">
        <f t="shared" si="19"/>
        <v>1.1249999999999996</v>
      </c>
      <c r="D217" s="83">
        <f t="shared" si="19"/>
        <v>2.2499999999999991</v>
      </c>
      <c r="E217" s="83">
        <f t="shared" si="19"/>
        <v>4.4999999999999982</v>
      </c>
      <c r="F217" s="83">
        <f t="shared" si="19"/>
        <v>8.9999999999999964</v>
      </c>
      <c r="G217" s="83">
        <f t="shared" si="19"/>
        <v>17.999999999999993</v>
      </c>
      <c r="H217" s="86">
        <f>H215+0.8</f>
        <v>35.999999999999986</v>
      </c>
      <c r="I217" s="83">
        <f t="shared" si="13"/>
        <v>44.999999999999986</v>
      </c>
      <c r="J217" s="83">
        <f t="shared" si="14"/>
        <v>53.999999999999979</v>
      </c>
      <c r="L217" s="45">
        <f t="shared" si="18"/>
        <v>35.999999999999986</v>
      </c>
      <c r="M217" s="92">
        <v>80.5</v>
      </c>
    </row>
    <row r="218" spans="1:13" ht="15" customHeight="1">
      <c r="A218" s="46"/>
      <c r="B218" s="92">
        <v>80.55</v>
      </c>
      <c r="C218" s="83">
        <f t="shared" si="19"/>
        <v>1.1374999999999995</v>
      </c>
      <c r="D218" s="83">
        <f t="shared" si="19"/>
        <v>2.274999999999999</v>
      </c>
      <c r="E218" s="83">
        <f t="shared" si="19"/>
        <v>4.549999999999998</v>
      </c>
      <c r="F218" s="83">
        <f t="shared" si="19"/>
        <v>9.0999999999999961</v>
      </c>
      <c r="G218" s="83">
        <f t="shared" si="19"/>
        <v>18.199999999999992</v>
      </c>
      <c r="H218" s="85">
        <f>H217+((H219-H217)/2)</f>
        <v>36.399999999999984</v>
      </c>
      <c r="I218" s="83">
        <f>E218*10</f>
        <v>45.499999999999979</v>
      </c>
      <c r="J218" s="83">
        <f>E218*12</f>
        <v>54.59999999999998</v>
      </c>
      <c r="L218" s="45">
        <f t="shared" si="18"/>
        <v>36.399999999999984</v>
      </c>
      <c r="M218" s="92">
        <v>80.55</v>
      </c>
    </row>
    <row r="219" spans="1:13" ht="15" customHeight="1">
      <c r="A219" s="46"/>
      <c r="B219" s="92">
        <v>80.599999999999994</v>
      </c>
      <c r="C219" s="83">
        <f t="shared" si="19"/>
        <v>1.1499999999999995</v>
      </c>
      <c r="D219" s="83">
        <f t="shared" si="19"/>
        <v>2.2999999999999989</v>
      </c>
      <c r="E219" s="83">
        <f t="shared" si="19"/>
        <v>4.5999999999999979</v>
      </c>
      <c r="F219" s="83">
        <f t="shared" si="19"/>
        <v>9.1999999999999957</v>
      </c>
      <c r="G219" s="83">
        <f t="shared" si="19"/>
        <v>18.399999999999991</v>
      </c>
      <c r="H219" s="86">
        <f>H217+0.8</f>
        <v>36.799999999999983</v>
      </c>
      <c r="I219" s="83">
        <f t="shared" si="13"/>
        <v>45.999999999999979</v>
      </c>
      <c r="J219" s="83">
        <f t="shared" si="14"/>
        <v>55.199999999999974</v>
      </c>
      <c r="L219" s="45">
        <f t="shared" si="18"/>
        <v>36.799999999999983</v>
      </c>
      <c r="M219" s="92">
        <v>80.599999999999994</v>
      </c>
    </row>
    <row r="220" spans="1:13" ht="15" customHeight="1">
      <c r="A220" s="46"/>
      <c r="B220" s="92">
        <v>80.650000000000006</v>
      </c>
      <c r="C220" s="83">
        <f t="shared" si="19"/>
        <v>1.1624999999999994</v>
      </c>
      <c r="D220" s="83">
        <f t="shared" si="19"/>
        <v>2.3249999999999988</v>
      </c>
      <c r="E220" s="83">
        <f t="shared" si="19"/>
        <v>4.6499999999999977</v>
      </c>
      <c r="F220" s="83">
        <f t="shared" si="19"/>
        <v>9.2999999999999954</v>
      </c>
      <c r="G220" s="83">
        <f t="shared" si="19"/>
        <v>18.599999999999991</v>
      </c>
      <c r="H220" s="85">
        <f>H219+((H221-H219)/2)</f>
        <v>37.199999999999982</v>
      </c>
      <c r="I220" s="83">
        <f>E220*10</f>
        <v>46.499999999999979</v>
      </c>
      <c r="J220" s="83">
        <f>E220*12</f>
        <v>55.799999999999969</v>
      </c>
      <c r="L220" s="45">
        <f t="shared" si="18"/>
        <v>37.199999999999982</v>
      </c>
      <c r="M220" s="92">
        <v>80.650000000000006</v>
      </c>
    </row>
    <row r="221" spans="1:13" ht="15" customHeight="1">
      <c r="A221" s="46"/>
      <c r="B221" s="92">
        <v>80.7</v>
      </c>
      <c r="C221" s="83">
        <f t="shared" si="19"/>
        <v>1.1749999999999994</v>
      </c>
      <c r="D221" s="83">
        <f t="shared" si="19"/>
        <v>2.3499999999999988</v>
      </c>
      <c r="E221" s="83">
        <f t="shared" si="19"/>
        <v>4.6999999999999975</v>
      </c>
      <c r="F221" s="83">
        <f t="shared" si="19"/>
        <v>9.399999999999995</v>
      </c>
      <c r="G221" s="83">
        <f t="shared" si="19"/>
        <v>18.79999999999999</v>
      </c>
      <c r="H221" s="86">
        <f>H219+0.8</f>
        <v>37.59999999999998</v>
      </c>
      <c r="I221" s="83">
        <f t="shared" si="13"/>
        <v>46.999999999999972</v>
      </c>
      <c r="J221" s="83">
        <f t="shared" si="14"/>
        <v>56.39999999999997</v>
      </c>
      <c r="L221" s="45">
        <f t="shared" si="18"/>
        <v>37.59999999999998</v>
      </c>
      <c r="M221" s="92">
        <v>80.7</v>
      </c>
    </row>
    <row r="222" spans="1:13" ht="15" customHeight="1">
      <c r="A222" s="46"/>
      <c r="B222" s="92">
        <v>80.75</v>
      </c>
      <c r="C222" s="83">
        <f t="shared" si="19"/>
        <v>1.1874999999999993</v>
      </c>
      <c r="D222" s="83">
        <f t="shared" si="19"/>
        <v>2.3749999999999987</v>
      </c>
      <c r="E222" s="83">
        <f t="shared" si="19"/>
        <v>4.7499999999999973</v>
      </c>
      <c r="F222" s="83">
        <f t="shared" si="19"/>
        <v>9.4999999999999947</v>
      </c>
      <c r="G222" s="83">
        <f t="shared" si="19"/>
        <v>18.999999999999989</v>
      </c>
      <c r="H222" s="85">
        <f>H221+((H223-H221)/2)</f>
        <v>37.999999999999979</v>
      </c>
      <c r="I222" s="83">
        <f>E222*10</f>
        <v>47.499999999999972</v>
      </c>
      <c r="J222" s="83">
        <f>E222*12</f>
        <v>56.999999999999972</v>
      </c>
      <c r="L222" s="45">
        <f t="shared" si="18"/>
        <v>37.999999999999979</v>
      </c>
      <c r="M222" s="92">
        <v>80.75</v>
      </c>
    </row>
    <row r="223" spans="1:13" ht="15" customHeight="1">
      <c r="A223" s="46"/>
      <c r="B223" s="92">
        <v>80.8</v>
      </c>
      <c r="C223" s="83">
        <f t="shared" si="19"/>
        <v>1.1999999999999993</v>
      </c>
      <c r="D223" s="83">
        <f t="shared" si="19"/>
        <v>2.3999999999999986</v>
      </c>
      <c r="E223" s="83">
        <f t="shared" si="19"/>
        <v>4.7999999999999972</v>
      </c>
      <c r="F223" s="83">
        <f t="shared" si="19"/>
        <v>9.5999999999999943</v>
      </c>
      <c r="G223" s="83">
        <f t="shared" si="19"/>
        <v>19.199999999999989</v>
      </c>
      <c r="H223" s="86">
        <f>H221+0.8</f>
        <v>38.399999999999977</v>
      </c>
      <c r="I223" s="83">
        <f t="shared" si="13"/>
        <v>47.999999999999972</v>
      </c>
      <c r="J223" s="83">
        <f t="shared" si="14"/>
        <v>57.599999999999966</v>
      </c>
      <c r="L223" s="45">
        <f t="shared" si="18"/>
        <v>38.399999999999977</v>
      </c>
      <c r="M223" s="92">
        <v>80.8</v>
      </c>
    </row>
    <row r="224" spans="1:13" ht="15" customHeight="1">
      <c r="A224" s="46"/>
      <c r="B224" s="92">
        <v>80.849999999999994</v>
      </c>
      <c r="C224" s="83">
        <f t="shared" si="19"/>
        <v>1.2124999999999992</v>
      </c>
      <c r="D224" s="83">
        <f t="shared" si="19"/>
        <v>2.4249999999999985</v>
      </c>
      <c r="E224" s="83">
        <f t="shared" si="19"/>
        <v>4.849999999999997</v>
      </c>
      <c r="F224" s="83">
        <f t="shared" si="19"/>
        <v>9.699999999999994</v>
      </c>
      <c r="G224" s="83">
        <f t="shared" si="19"/>
        <v>19.399999999999988</v>
      </c>
      <c r="H224" s="85">
        <f>H223+((H225-H223)/2)</f>
        <v>38.799999999999976</v>
      </c>
      <c r="I224" s="83">
        <f>E224*10</f>
        <v>48.499999999999972</v>
      </c>
      <c r="J224" s="83">
        <f>E224*12</f>
        <v>58.19999999999996</v>
      </c>
      <c r="L224" s="45">
        <f t="shared" si="18"/>
        <v>38.799999999999976</v>
      </c>
      <c r="M224" s="92">
        <v>80.849999999999994</v>
      </c>
    </row>
    <row r="225" spans="1:13" ht="15" customHeight="1">
      <c r="A225" s="46"/>
      <c r="B225" s="92">
        <v>80.900000000000006</v>
      </c>
      <c r="C225" s="83">
        <f t="shared" si="19"/>
        <v>1.2249999999999992</v>
      </c>
      <c r="D225" s="83">
        <f t="shared" si="19"/>
        <v>2.4499999999999984</v>
      </c>
      <c r="E225" s="83">
        <f t="shared" si="19"/>
        <v>4.8999999999999968</v>
      </c>
      <c r="F225" s="83">
        <f t="shared" si="19"/>
        <v>9.7999999999999936</v>
      </c>
      <c r="G225" s="83">
        <f t="shared" si="19"/>
        <v>19.599999999999987</v>
      </c>
      <c r="H225" s="86">
        <f>H223+0.8</f>
        <v>39.199999999999974</v>
      </c>
      <c r="I225" s="83">
        <f t="shared" si="13"/>
        <v>48.999999999999972</v>
      </c>
      <c r="J225" s="83">
        <f t="shared" si="14"/>
        <v>58.799999999999962</v>
      </c>
      <c r="L225" s="45">
        <f t="shared" si="18"/>
        <v>39.199999999999974</v>
      </c>
      <c r="M225" s="92">
        <v>80.900000000000006</v>
      </c>
    </row>
    <row r="226" spans="1:13" ht="15" customHeight="1">
      <c r="A226" s="46"/>
      <c r="B226" s="92">
        <v>80.95</v>
      </c>
      <c r="C226" s="83">
        <f>D226/2</f>
        <v>1.2374999999999996</v>
      </c>
      <c r="D226" s="83">
        <f>E226/2</f>
        <v>2.4749999999999992</v>
      </c>
      <c r="E226" s="83">
        <f>F226/2</f>
        <v>4.9499999999999984</v>
      </c>
      <c r="F226" s="83">
        <f>G226/2</f>
        <v>9.8999999999999968</v>
      </c>
      <c r="G226" s="83">
        <f>H226/2</f>
        <v>19.799999999999994</v>
      </c>
      <c r="H226" s="85">
        <f>H225+((H227-H225)/2)</f>
        <v>39.599999999999987</v>
      </c>
      <c r="I226" s="83">
        <f>E226*10</f>
        <v>49.499999999999986</v>
      </c>
      <c r="J226" s="83">
        <f>E226*12</f>
        <v>59.399999999999977</v>
      </c>
      <c r="L226" s="45">
        <f t="shared" si="18"/>
        <v>39.599999999999987</v>
      </c>
      <c r="M226" s="92">
        <v>80.95</v>
      </c>
    </row>
    <row r="227" spans="1:13" ht="15" customHeight="1">
      <c r="A227" s="46"/>
      <c r="B227" s="92">
        <v>81</v>
      </c>
      <c r="C227" s="83">
        <f t="shared" ref="C227:G245" si="20">D227/2</f>
        <v>1.25</v>
      </c>
      <c r="D227" s="83">
        <f t="shared" si="20"/>
        <v>2.5</v>
      </c>
      <c r="E227" s="83">
        <f t="shared" si="20"/>
        <v>5</v>
      </c>
      <c r="F227" s="83">
        <f t="shared" si="20"/>
        <v>10</v>
      </c>
      <c r="G227" s="83">
        <f t="shared" si="20"/>
        <v>20</v>
      </c>
      <c r="H227" s="86">
        <v>40</v>
      </c>
      <c r="I227" s="83">
        <f t="shared" si="13"/>
        <v>50</v>
      </c>
      <c r="J227" s="83">
        <f t="shared" si="14"/>
        <v>60</v>
      </c>
      <c r="L227" s="45">
        <f t="shared" si="18"/>
        <v>40</v>
      </c>
      <c r="M227" s="92">
        <v>81</v>
      </c>
    </row>
    <row r="228" spans="1:13" ht="15" customHeight="1">
      <c r="A228" s="46"/>
      <c r="B228" s="92">
        <v>81.05</v>
      </c>
      <c r="C228" s="83">
        <f t="shared" si="20"/>
        <v>1.265625</v>
      </c>
      <c r="D228" s="83">
        <f t="shared" si="20"/>
        <v>2.53125</v>
      </c>
      <c r="E228" s="83">
        <f t="shared" si="20"/>
        <v>5.0625</v>
      </c>
      <c r="F228" s="83">
        <f t="shared" si="20"/>
        <v>10.125</v>
      </c>
      <c r="G228" s="83">
        <f t="shared" si="20"/>
        <v>20.25</v>
      </c>
      <c r="H228" s="85">
        <f>H227+((H229-H227)/2)</f>
        <v>40.5</v>
      </c>
      <c r="I228" s="83">
        <f>E228*10</f>
        <v>50.625</v>
      </c>
      <c r="J228" s="83">
        <f>E228*12</f>
        <v>60.75</v>
      </c>
      <c r="L228" s="45">
        <f t="shared" si="18"/>
        <v>40.5</v>
      </c>
      <c r="M228" s="92">
        <v>81.05</v>
      </c>
    </row>
    <row r="229" spans="1:13" ht="15" customHeight="1">
      <c r="A229" s="46"/>
      <c r="B229" s="92">
        <v>81.099999999999994</v>
      </c>
      <c r="C229" s="83">
        <f t="shared" si="20"/>
        <v>1.28125</v>
      </c>
      <c r="D229" s="83">
        <f t="shared" si="20"/>
        <v>2.5625</v>
      </c>
      <c r="E229" s="83">
        <f t="shared" si="20"/>
        <v>5.125</v>
      </c>
      <c r="F229" s="83">
        <f t="shared" si="20"/>
        <v>10.25</v>
      </c>
      <c r="G229" s="83">
        <f t="shared" si="20"/>
        <v>20.5</v>
      </c>
      <c r="H229" s="85">
        <f>H227+((H247-H227)/10)</f>
        <v>41</v>
      </c>
      <c r="I229" s="83">
        <f t="shared" si="13"/>
        <v>51.25</v>
      </c>
      <c r="J229" s="83">
        <f t="shared" si="14"/>
        <v>61.5</v>
      </c>
      <c r="L229" s="45">
        <f t="shared" si="18"/>
        <v>41</v>
      </c>
      <c r="M229" s="92">
        <v>81.099999999999994</v>
      </c>
    </row>
    <row r="230" spans="1:13" ht="15" customHeight="1">
      <c r="A230" s="46"/>
      <c r="B230" s="92">
        <v>81.150000000000006</v>
      </c>
      <c r="C230" s="83">
        <f t="shared" si="20"/>
        <v>1.296875</v>
      </c>
      <c r="D230" s="83">
        <f t="shared" si="20"/>
        <v>2.59375</v>
      </c>
      <c r="E230" s="83">
        <f t="shared" si="20"/>
        <v>5.1875</v>
      </c>
      <c r="F230" s="83">
        <f t="shared" si="20"/>
        <v>10.375</v>
      </c>
      <c r="G230" s="83">
        <f t="shared" si="20"/>
        <v>20.75</v>
      </c>
      <c r="H230" s="85">
        <f>H229+((H231-H229)/2)</f>
        <v>41.5</v>
      </c>
      <c r="I230" s="83">
        <f>E230*10</f>
        <v>51.875</v>
      </c>
      <c r="J230" s="83">
        <f>E230*12</f>
        <v>62.25</v>
      </c>
      <c r="L230" s="45">
        <f t="shared" si="18"/>
        <v>41.5</v>
      </c>
      <c r="M230" s="92">
        <v>81.150000000000006</v>
      </c>
    </row>
    <row r="231" spans="1:13" ht="15" customHeight="1">
      <c r="A231" s="46"/>
      <c r="B231" s="92">
        <v>81.2</v>
      </c>
      <c r="C231" s="83">
        <f t="shared" si="20"/>
        <v>1.3125</v>
      </c>
      <c r="D231" s="83">
        <f t="shared" si="20"/>
        <v>2.625</v>
      </c>
      <c r="E231" s="83">
        <f t="shared" si="20"/>
        <v>5.25</v>
      </c>
      <c r="F231" s="83">
        <f t="shared" si="20"/>
        <v>10.5</v>
      </c>
      <c r="G231" s="83">
        <f t="shared" si="20"/>
        <v>21</v>
      </c>
      <c r="H231" s="86">
        <f>H229+1</f>
        <v>42</v>
      </c>
      <c r="I231" s="83">
        <f t="shared" si="13"/>
        <v>52.5</v>
      </c>
      <c r="J231" s="83">
        <f t="shared" si="14"/>
        <v>63</v>
      </c>
      <c r="L231" s="45">
        <f t="shared" si="18"/>
        <v>42</v>
      </c>
      <c r="M231" s="92">
        <v>81.2</v>
      </c>
    </row>
    <row r="232" spans="1:13" ht="15" customHeight="1">
      <c r="A232" s="46"/>
      <c r="B232" s="92">
        <v>81.25</v>
      </c>
      <c r="C232" s="83">
        <f t="shared" si="20"/>
        <v>1.328125</v>
      </c>
      <c r="D232" s="83">
        <f t="shared" si="20"/>
        <v>2.65625</v>
      </c>
      <c r="E232" s="83">
        <f t="shared" si="20"/>
        <v>5.3125</v>
      </c>
      <c r="F232" s="83">
        <f t="shared" si="20"/>
        <v>10.625</v>
      </c>
      <c r="G232" s="83">
        <f t="shared" si="20"/>
        <v>21.25</v>
      </c>
      <c r="H232" s="85">
        <f>H231+((H233-H231)/2)</f>
        <v>42.5</v>
      </c>
      <c r="I232" s="83">
        <f>E232*10</f>
        <v>53.125</v>
      </c>
      <c r="J232" s="83">
        <f>E232*12</f>
        <v>63.75</v>
      </c>
      <c r="L232" s="45">
        <f t="shared" si="18"/>
        <v>42.5</v>
      </c>
      <c r="M232" s="92">
        <v>81.25</v>
      </c>
    </row>
    <row r="233" spans="1:13" ht="15" customHeight="1">
      <c r="A233" s="46"/>
      <c r="B233" s="92">
        <v>81.3</v>
      </c>
      <c r="C233" s="83">
        <f t="shared" si="20"/>
        <v>1.34375</v>
      </c>
      <c r="D233" s="83">
        <f t="shared" si="20"/>
        <v>2.6875</v>
      </c>
      <c r="E233" s="83">
        <f t="shared" si="20"/>
        <v>5.375</v>
      </c>
      <c r="F233" s="83">
        <f t="shared" si="20"/>
        <v>10.75</v>
      </c>
      <c r="G233" s="83">
        <f t="shared" si="20"/>
        <v>21.5</v>
      </c>
      <c r="H233" s="86">
        <f>H231+1</f>
        <v>43</v>
      </c>
      <c r="I233" s="83">
        <f t="shared" si="13"/>
        <v>53.75</v>
      </c>
      <c r="J233" s="83">
        <f t="shared" si="14"/>
        <v>64.5</v>
      </c>
      <c r="L233" s="45">
        <f t="shared" si="18"/>
        <v>43</v>
      </c>
      <c r="M233" s="92">
        <v>81.3</v>
      </c>
    </row>
    <row r="234" spans="1:13" ht="15" customHeight="1">
      <c r="A234" s="46"/>
      <c r="B234" s="92">
        <v>81.349999999999994</v>
      </c>
      <c r="C234" s="83">
        <f t="shared" si="20"/>
        <v>1.359375</v>
      </c>
      <c r="D234" s="83">
        <f t="shared" si="20"/>
        <v>2.71875</v>
      </c>
      <c r="E234" s="83">
        <f t="shared" si="20"/>
        <v>5.4375</v>
      </c>
      <c r="F234" s="83">
        <f t="shared" si="20"/>
        <v>10.875</v>
      </c>
      <c r="G234" s="83">
        <f t="shared" si="20"/>
        <v>21.75</v>
      </c>
      <c r="H234" s="85">
        <f>H233+((H235-H233)/2)</f>
        <v>43.5</v>
      </c>
      <c r="I234" s="83">
        <f>E234*10</f>
        <v>54.375</v>
      </c>
      <c r="J234" s="83">
        <f>E234*12</f>
        <v>65.25</v>
      </c>
      <c r="L234" s="45">
        <f t="shared" si="18"/>
        <v>43.5</v>
      </c>
      <c r="M234" s="92">
        <v>81.349999999999994</v>
      </c>
    </row>
    <row r="235" spans="1:13" ht="15" customHeight="1">
      <c r="A235" s="46"/>
      <c r="B235" s="92">
        <v>81.400000000000006</v>
      </c>
      <c r="C235" s="83">
        <f t="shared" si="20"/>
        <v>1.375</v>
      </c>
      <c r="D235" s="83">
        <f t="shared" si="20"/>
        <v>2.75</v>
      </c>
      <c r="E235" s="83">
        <f t="shared" si="20"/>
        <v>5.5</v>
      </c>
      <c r="F235" s="83">
        <f t="shared" si="20"/>
        <v>11</v>
      </c>
      <c r="G235" s="83">
        <f t="shared" si="20"/>
        <v>22</v>
      </c>
      <c r="H235" s="86">
        <f>H233+1</f>
        <v>44</v>
      </c>
      <c r="I235" s="83">
        <f t="shared" si="13"/>
        <v>55</v>
      </c>
      <c r="J235" s="83">
        <f t="shared" si="14"/>
        <v>66</v>
      </c>
      <c r="L235" s="45">
        <f t="shared" si="18"/>
        <v>44</v>
      </c>
      <c r="M235" s="92">
        <v>81.400000000000006</v>
      </c>
    </row>
    <row r="236" spans="1:13" ht="15" customHeight="1">
      <c r="A236" s="46"/>
      <c r="B236" s="92">
        <v>81.45</v>
      </c>
      <c r="C236" s="83">
        <f t="shared" si="20"/>
        <v>1.390625</v>
      </c>
      <c r="D236" s="83">
        <f t="shared" si="20"/>
        <v>2.78125</v>
      </c>
      <c r="E236" s="83">
        <f t="shared" si="20"/>
        <v>5.5625</v>
      </c>
      <c r="F236" s="83">
        <f t="shared" si="20"/>
        <v>11.125</v>
      </c>
      <c r="G236" s="83">
        <f t="shared" si="20"/>
        <v>22.25</v>
      </c>
      <c r="H236" s="85">
        <f>H235+((H237-H235)/2)</f>
        <v>44.5</v>
      </c>
      <c r="I236" s="83">
        <f>E236*10</f>
        <v>55.625</v>
      </c>
      <c r="J236" s="83">
        <f>E236*12</f>
        <v>66.75</v>
      </c>
      <c r="L236" s="45">
        <f t="shared" si="18"/>
        <v>44.5</v>
      </c>
      <c r="M236" s="92">
        <v>81.45</v>
      </c>
    </row>
    <row r="237" spans="1:13" ht="15" customHeight="1">
      <c r="A237" s="46"/>
      <c r="B237" s="92">
        <v>81.5</v>
      </c>
      <c r="C237" s="83">
        <f t="shared" si="20"/>
        <v>1.40625</v>
      </c>
      <c r="D237" s="83">
        <f t="shared" si="20"/>
        <v>2.8125</v>
      </c>
      <c r="E237" s="83">
        <f t="shared" si="20"/>
        <v>5.625</v>
      </c>
      <c r="F237" s="83">
        <f t="shared" si="20"/>
        <v>11.25</v>
      </c>
      <c r="G237" s="83">
        <f t="shared" si="20"/>
        <v>22.5</v>
      </c>
      <c r="H237" s="86">
        <f>H235+1</f>
        <v>45</v>
      </c>
      <c r="I237" s="83">
        <f t="shared" si="13"/>
        <v>56.25</v>
      </c>
      <c r="J237" s="83">
        <f t="shared" si="14"/>
        <v>67.5</v>
      </c>
      <c r="L237" s="45">
        <f t="shared" si="18"/>
        <v>45</v>
      </c>
      <c r="M237" s="92">
        <v>81.5</v>
      </c>
    </row>
    <row r="238" spans="1:13" ht="15" customHeight="1">
      <c r="A238" s="46"/>
      <c r="B238" s="92">
        <v>81.55</v>
      </c>
      <c r="C238" s="83">
        <f t="shared" si="20"/>
        <v>1.421875</v>
      </c>
      <c r="D238" s="83">
        <f t="shared" si="20"/>
        <v>2.84375</v>
      </c>
      <c r="E238" s="83">
        <f t="shared" si="20"/>
        <v>5.6875</v>
      </c>
      <c r="F238" s="83">
        <f t="shared" si="20"/>
        <v>11.375</v>
      </c>
      <c r="G238" s="83">
        <f t="shared" si="20"/>
        <v>22.75</v>
      </c>
      <c r="H238" s="85">
        <f>H237+((H239-H237)/2)</f>
        <v>45.5</v>
      </c>
      <c r="I238" s="83">
        <f>E238*10</f>
        <v>56.875</v>
      </c>
      <c r="J238" s="83">
        <f>E238*12</f>
        <v>68.25</v>
      </c>
      <c r="L238" s="45">
        <f t="shared" si="18"/>
        <v>45.5</v>
      </c>
      <c r="M238" s="92">
        <v>81.55</v>
      </c>
    </row>
    <row r="239" spans="1:13" ht="15" customHeight="1">
      <c r="A239" s="46"/>
      <c r="B239" s="92">
        <v>81.599999999999994</v>
      </c>
      <c r="C239" s="83">
        <f t="shared" si="20"/>
        <v>1.4375</v>
      </c>
      <c r="D239" s="83">
        <f t="shared" si="20"/>
        <v>2.875</v>
      </c>
      <c r="E239" s="83">
        <f t="shared" si="20"/>
        <v>5.75</v>
      </c>
      <c r="F239" s="83">
        <f t="shared" si="20"/>
        <v>11.5</v>
      </c>
      <c r="G239" s="83">
        <f t="shared" si="20"/>
        <v>23</v>
      </c>
      <c r="H239" s="86">
        <f>H237+1</f>
        <v>46</v>
      </c>
      <c r="I239" s="83">
        <f t="shared" si="13"/>
        <v>57.5</v>
      </c>
      <c r="J239" s="83">
        <f t="shared" si="14"/>
        <v>69</v>
      </c>
      <c r="L239" s="45">
        <f t="shared" si="18"/>
        <v>46</v>
      </c>
      <c r="M239" s="92">
        <v>81.599999999999994</v>
      </c>
    </row>
    <row r="240" spans="1:13" ht="15" customHeight="1">
      <c r="A240" s="46"/>
      <c r="B240" s="92">
        <v>81.650000000000006</v>
      </c>
      <c r="C240" s="83">
        <f t="shared" si="20"/>
        <v>1.453125</v>
      </c>
      <c r="D240" s="83">
        <f t="shared" si="20"/>
        <v>2.90625</v>
      </c>
      <c r="E240" s="83">
        <f t="shared" si="20"/>
        <v>5.8125</v>
      </c>
      <c r="F240" s="83">
        <f t="shared" si="20"/>
        <v>11.625</v>
      </c>
      <c r="G240" s="83">
        <f t="shared" si="20"/>
        <v>23.25</v>
      </c>
      <c r="H240" s="85">
        <f>H239+((H241-H239)/2)</f>
        <v>46.5</v>
      </c>
      <c r="I240" s="83">
        <f>E240*10</f>
        <v>58.125</v>
      </c>
      <c r="J240" s="83">
        <f>E240*12</f>
        <v>69.75</v>
      </c>
      <c r="L240" s="45">
        <f t="shared" si="18"/>
        <v>46.5</v>
      </c>
      <c r="M240" s="92">
        <v>81.650000000000006</v>
      </c>
    </row>
    <row r="241" spans="1:13" ht="15" customHeight="1">
      <c r="A241" s="46"/>
      <c r="B241" s="92">
        <v>81.7</v>
      </c>
      <c r="C241" s="83">
        <f t="shared" si="20"/>
        <v>1.46875</v>
      </c>
      <c r="D241" s="83">
        <f t="shared" si="20"/>
        <v>2.9375</v>
      </c>
      <c r="E241" s="83">
        <f t="shared" si="20"/>
        <v>5.875</v>
      </c>
      <c r="F241" s="83">
        <f t="shared" si="20"/>
        <v>11.75</v>
      </c>
      <c r="G241" s="83">
        <f t="shared" si="20"/>
        <v>23.5</v>
      </c>
      <c r="H241" s="86">
        <f>H239+1</f>
        <v>47</v>
      </c>
      <c r="I241" s="83">
        <f t="shared" si="13"/>
        <v>58.75</v>
      </c>
      <c r="J241" s="83">
        <f t="shared" si="14"/>
        <v>70.5</v>
      </c>
      <c r="L241" s="45">
        <f t="shared" si="18"/>
        <v>47</v>
      </c>
      <c r="M241" s="92">
        <v>81.7</v>
      </c>
    </row>
    <row r="242" spans="1:13" ht="15" customHeight="1">
      <c r="A242" s="46"/>
      <c r="B242" s="92">
        <v>81.75</v>
      </c>
      <c r="C242" s="83">
        <f t="shared" si="20"/>
        <v>1.484375</v>
      </c>
      <c r="D242" s="83">
        <f t="shared" si="20"/>
        <v>2.96875</v>
      </c>
      <c r="E242" s="83">
        <f t="shared" si="20"/>
        <v>5.9375</v>
      </c>
      <c r="F242" s="83">
        <f t="shared" si="20"/>
        <v>11.875</v>
      </c>
      <c r="G242" s="83">
        <f t="shared" si="20"/>
        <v>23.75</v>
      </c>
      <c r="H242" s="85">
        <f>H241+((H243-H241)/2)</f>
        <v>47.5</v>
      </c>
      <c r="I242" s="83">
        <f>E242*10</f>
        <v>59.375</v>
      </c>
      <c r="J242" s="83">
        <f>E242*12</f>
        <v>71.25</v>
      </c>
      <c r="L242" s="45">
        <f t="shared" si="18"/>
        <v>47.5</v>
      </c>
      <c r="M242" s="92">
        <v>81.75</v>
      </c>
    </row>
    <row r="243" spans="1:13" ht="15" customHeight="1">
      <c r="A243" s="46"/>
      <c r="B243" s="92">
        <v>81.8</v>
      </c>
      <c r="C243" s="83">
        <f t="shared" si="20"/>
        <v>1.5</v>
      </c>
      <c r="D243" s="83">
        <f t="shared" si="20"/>
        <v>3</v>
      </c>
      <c r="E243" s="83">
        <f t="shared" si="20"/>
        <v>6</v>
      </c>
      <c r="F243" s="83">
        <f t="shared" si="20"/>
        <v>12</v>
      </c>
      <c r="G243" s="83">
        <f t="shared" si="20"/>
        <v>24</v>
      </c>
      <c r="H243" s="86">
        <f>H241+1</f>
        <v>48</v>
      </c>
      <c r="I243" s="83">
        <f t="shared" si="13"/>
        <v>60</v>
      </c>
      <c r="J243" s="83">
        <f t="shared" si="14"/>
        <v>72</v>
      </c>
      <c r="L243" s="45">
        <f t="shared" si="18"/>
        <v>48</v>
      </c>
      <c r="M243" s="92">
        <v>81.8</v>
      </c>
    </row>
    <row r="244" spans="1:13" ht="15" customHeight="1">
      <c r="A244" s="46"/>
      <c r="B244" s="92">
        <v>81.849999999999994</v>
      </c>
      <c r="C244" s="83">
        <f t="shared" si="20"/>
        <v>1.515625</v>
      </c>
      <c r="D244" s="83">
        <f t="shared" si="20"/>
        <v>3.03125</v>
      </c>
      <c r="E244" s="83">
        <f t="shared" si="20"/>
        <v>6.0625</v>
      </c>
      <c r="F244" s="83">
        <f t="shared" si="20"/>
        <v>12.125</v>
      </c>
      <c r="G244" s="83">
        <f t="shared" si="20"/>
        <v>24.25</v>
      </c>
      <c r="H244" s="85">
        <f>H243+((H245-H243)/2)</f>
        <v>48.5</v>
      </c>
      <c r="I244" s="83">
        <f>E244*10</f>
        <v>60.625</v>
      </c>
      <c r="J244" s="83">
        <f>E244*12</f>
        <v>72.75</v>
      </c>
      <c r="L244" s="45">
        <f t="shared" si="18"/>
        <v>48.5</v>
      </c>
      <c r="M244" s="92">
        <v>81.849999999999994</v>
      </c>
    </row>
    <row r="245" spans="1:13" ht="15" customHeight="1">
      <c r="A245" s="46"/>
      <c r="B245" s="92">
        <v>81.900000000000006</v>
      </c>
      <c r="C245" s="83">
        <f t="shared" si="20"/>
        <v>1.53125</v>
      </c>
      <c r="D245" s="83">
        <f t="shared" si="20"/>
        <v>3.0625</v>
      </c>
      <c r="E245" s="83">
        <f t="shared" si="20"/>
        <v>6.125</v>
      </c>
      <c r="F245" s="83">
        <f t="shared" si="20"/>
        <v>12.25</v>
      </c>
      <c r="G245" s="83">
        <f t="shared" si="20"/>
        <v>24.5</v>
      </c>
      <c r="H245" s="86">
        <f>H243+1</f>
        <v>49</v>
      </c>
      <c r="I245" s="83">
        <f t="shared" si="13"/>
        <v>61.25</v>
      </c>
      <c r="J245" s="83">
        <f t="shared" si="14"/>
        <v>73.5</v>
      </c>
      <c r="L245" s="45">
        <f t="shared" si="18"/>
        <v>49</v>
      </c>
      <c r="M245" s="92">
        <v>81.900000000000006</v>
      </c>
    </row>
    <row r="246" spans="1:13" ht="15" customHeight="1">
      <c r="A246" s="46"/>
      <c r="B246" s="92">
        <v>81.95</v>
      </c>
      <c r="C246" s="83">
        <f>D246/2</f>
        <v>1.546875</v>
      </c>
      <c r="D246" s="83">
        <f>E246/2</f>
        <v>3.09375</v>
      </c>
      <c r="E246" s="83">
        <f>F246/2</f>
        <v>6.1875</v>
      </c>
      <c r="F246" s="83">
        <f>G246/2</f>
        <v>12.375</v>
      </c>
      <c r="G246" s="83">
        <f>H246/2</f>
        <v>24.75</v>
      </c>
      <c r="H246" s="85">
        <f>H245+((H247-H245)/2)</f>
        <v>49.5</v>
      </c>
      <c r="I246" s="83">
        <f>E246*10</f>
        <v>61.875</v>
      </c>
      <c r="J246" s="83">
        <f>E246*12</f>
        <v>74.25</v>
      </c>
      <c r="L246" s="45">
        <f t="shared" si="18"/>
        <v>49.5</v>
      </c>
      <c r="M246" s="92">
        <v>81.95</v>
      </c>
    </row>
    <row r="247" spans="1:13" ht="15" customHeight="1">
      <c r="A247" s="46"/>
      <c r="B247" s="92">
        <v>82</v>
      </c>
      <c r="C247" s="83">
        <f t="shared" ref="C247:G265" si="21">D247/2</f>
        <v>1.5625</v>
      </c>
      <c r="D247" s="83">
        <f t="shared" si="21"/>
        <v>3.125</v>
      </c>
      <c r="E247" s="83">
        <f t="shared" si="21"/>
        <v>6.25</v>
      </c>
      <c r="F247" s="83">
        <f t="shared" si="21"/>
        <v>12.5</v>
      </c>
      <c r="G247" s="83">
        <f t="shared" si="21"/>
        <v>25</v>
      </c>
      <c r="H247" s="86">
        <v>50</v>
      </c>
      <c r="I247" s="83">
        <f t="shared" si="13"/>
        <v>62.5</v>
      </c>
      <c r="J247" s="83">
        <f t="shared" si="14"/>
        <v>75</v>
      </c>
      <c r="L247" s="45">
        <f t="shared" si="18"/>
        <v>50</v>
      </c>
      <c r="M247" s="92">
        <v>82</v>
      </c>
    </row>
    <row r="248" spans="1:13" ht="15" customHeight="1">
      <c r="A248" s="46"/>
      <c r="B248" s="92">
        <v>82.05</v>
      </c>
      <c r="C248" s="83">
        <f t="shared" si="21"/>
        <v>1.5859375</v>
      </c>
      <c r="D248" s="83">
        <f t="shared" si="21"/>
        <v>3.171875</v>
      </c>
      <c r="E248" s="83">
        <f t="shared" si="21"/>
        <v>6.34375</v>
      </c>
      <c r="F248" s="83">
        <f t="shared" si="21"/>
        <v>12.6875</v>
      </c>
      <c r="G248" s="83">
        <f t="shared" si="21"/>
        <v>25.375</v>
      </c>
      <c r="H248" s="85">
        <f>H247+((H249-H247)/2)</f>
        <v>50.75</v>
      </c>
      <c r="I248" s="83">
        <f>E248*10</f>
        <v>63.4375</v>
      </c>
      <c r="J248" s="83">
        <f>E248*12</f>
        <v>76.125</v>
      </c>
      <c r="L248" s="45">
        <f t="shared" si="18"/>
        <v>50.75</v>
      </c>
      <c r="M248" s="92">
        <v>82.05</v>
      </c>
    </row>
    <row r="249" spans="1:13" ht="15" customHeight="1">
      <c r="A249" s="46"/>
      <c r="B249" s="92">
        <v>82.1</v>
      </c>
      <c r="C249" s="83">
        <f t="shared" si="21"/>
        <v>1.609375</v>
      </c>
      <c r="D249" s="83">
        <f t="shared" si="21"/>
        <v>3.21875</v>
      </c>
      <c r="E249" s="83">
        <f t="shared" si="21"/>
        <v>6.4375</v>
      </c>
      <c r="F249" s="83">
        <f t="shared" si="21"/>
        <v>12.875</v>
      </c>
      <c r="G249" s="83">
        <f t="shared" si="21"/>
        <v>25.75</v>
      </c>
      <c r="H249" s="85">
        <f>H247+((H267-H247)/10)</f>
        <v>51.5</v>
      </c>
      <c r="I249" s="83">
        <f t="shared" si="13"/>
        <v>64.375</v>
      </c>
      <c r="J249" s="83">
        <f t="shared" si="14"/>
        <v>77.25</v>
      </c>
      <c r="L249" s="45">
        <f t="shared" si="18"/>
        <v>51.5</v>
      </c>
      <c r="M249" s="92">
        <v>82.1</v>
      </c>
    </row>
    <row r="250" spans="1:13" ht="15" customHeight="1">
      <c r="A250" s="46"/>
      <c r="B250" s="92">
        <v>82.15</v>
      </c>
      <c r="C250" s="83">
        <f t="shared" si="21"/>
        <v>1.6328125</v>
      </c>
      <c r="D250" s="83">
        <f t="shared" si="21"/>
        <v>3.265625</v>
      </c>
      <c r="E250" s="83">
        <f t="shared" si="21"/>
        <v>6.53125</v>
      </c>
      <c r="F250" s="83">
        <f t="shared" si="21"/>
        <v>13.0625</v>
      </c>
      <c r="G250" s="83">
        <f t="shared" si="21"/>
        <v>26.125</v>
      </c>
      <c r="H250" s="85">
        <f>H249+((H251-H249)/2)</f>
        <v>52.25</v>
      </c>
      <c r="I250" s="83">
        <f>E250*10</f>
        <v>65.3125</v>
      </c>
      <c r="J250" s="83">
        <f>E250*12</f>
        <v>78.375</v>
      </c>
      <c r="L250" s="45">
        <f t="shared" si="18"/>
        <v>52.25</v>
      </c>
      <c r="M250" s="92">
        <v>82.15</v>
      </c>
    </row>
    <row r="251" spans="1:13" ht="15" customHeight="1">
      <c r="A251" s="46"/>
      <c r="B251" s="92">
        <v>82.2</v>
      </c>
      <c r="C251" s="83">
        <f t="shared" si="21"/>
        <v>1.65625</v>
      </c>
      <c r="D251" s="83">
        <f t="shared" si="21"/>
        <v>3.3125</v>
      </c>
      <c r="E251" s="83">
        <f t="shared" si="21"/>
        <v>6.625</v>
      </c>
      <c r="F251" s="83">
        <f t="shared" si="21"/>
        <v>13.25</v>
      </c>
      <c r="G251" s="83">
        <f t="shared" si="21"/>
        <v>26.5</v>
      </c>
      <c r="H251" s="86">
        <f>H249+1.5</f>
        <v>53</v>
      </c>
      <c r="I251" s="83">
        <f t="shared" si="13"/>
        <v>66.25</v>
      </c>
      <c r="J251" s="83">
        <f t="shared" si="14"/>
        <v>79.5</v>
      </c>
      <c r="L251" s="45">
        <f t="shared" si="18"/>
        <v>53</v>
      </c>
      <c r="M251" s="92">
        <v>82.2</v>
      </c>
    </row>
    <row r="252" spans="1:13" ht="15" customHeight="1">
      <c r="A252" s="46"/>
      <c r="B252" s="92">
        <v>82.25</v>
      </c>
      <c r="C252" s="83">
        <f t="shared" si="21"/>
        <v>1.6796875</v>
      </c>
      <c r="D252" s="83">
        <f t="shared" si="21"/>
        <v>3.359375</v>
      </c>
      <c r="E252" s="83">
        <f t="shared" si="21"/>
        <v>6.71875</v>
      </c>
      <c r="F252" s="83">
        <f t="shared" si="21"/>
        <v>13.4375</v>
      </c>
      <c r="G252" s="83">
        <f t="shared" si="21"/>
        <v>26.875</v>
      </c>
      <c r="H252" s="85">
        <f>H251+((H253-H251)/2)</f>
        <v>53.75</v>
      </c>
      <c r="I252" s="83">
        <f>E252*10</f>
        <v>67.1875</v>
      </c>
      <c r="J252" s="83">
        <f>E252*12</f>
        <v>80.625</v>
      </c>
      <c r="L252" s="45">
        <f t="shared" si="18"/>
        <v>53.75</v>
      </c>
      <c r="M252" s="92">
        <v>82.25</v>
      </c>
    </row>
    <row r="253" spans="1:13" ht="15" customHeight="1">
      <c r="A253" s="46"/>
      <c r="B253" s="92">
        <v>82.3</v>
      </c>
      <c r="C253" s="83">
        <f t="shared" si="21"/>
        <v>1.703125</v>
      </c>
      <c r="D253" s="83">
        <f t="shared" si="21"/>
        <v>3.40625</v>
      </c>
      <c r="E253" s="83">
        <f t="shared" si="21"/>
        <v>6.8125</v>
      </c>
      <c r="F253" s="83">
        <f t="shared" si="21"/>
        <v>13.625</v>
      </c>
      <c r="G253" s="83">
        <f t="shared" si="21"/>
        <v>27.25</v>
      </c>
      <c r="H253" s="86">
        <f>H251+1.5</f>
        <v>54.5</v>
      </c>
      <c r="I253" s="83">
        <f t="shared" si="13"/>
        <v>68.125</v>
      </c>
      <c r="J253" s="83">
        <f t="shared" si="14"/>
        <v>81.75</v>
      </c>
      <c r="L253" s="45">
        <f t="shared" si="18"/>
        <v>54.5</v>
      </c>
      <c r="M253" s="92">
        <v>82.3</v>
      </c>
    </row>
    <row r="254" spans="1:13" ht="15" customHeight="1">
      <c r="A254" s="46"/>
      <c r="B254" s="92">
        <v>82.35</v>
      </c>
      <c r="C254" s="83">
        <f t="shared" si="21"/>
        <v>1.7265625</v>
      </c>
      <c r="D254" s="83">
        <f t="shared" si="21"/>
        <v>3.453125</v>
      </c>
      <c r="E254" s="83">
        <f t="shared" si="21"/>
        <v>6.90625</v>
      </c>
      <c r="F254" s="83">
        <f t="shared" si="21"/>
        <v>13.8125</v>
      </c>
      <c r="G254" s="83">
        <f t="shared" si="21"/>
        <v>27.625</v>
      </c>
      <c r="H254" s="85">
        <f>H253+((H255-H253)/2)</f>
        <v>55.25</v>
      </c>
      <c r="I254" s="83">
        <f>E254*10</f>
        <v>69.0625</v>
      </c>
      <c r="J254" s="83">
        <f>E254*12</f>
        <v>82.875</v>
      </c>
      <c r="L254" s="45">
        <f t="shared" si="18"/>
        <v>55.25</v>
      </c>
      <c r="M254" s="92">
        <v>82.35</v>
      </c>
    </row>
    <row r="255" spans="1:13" ht="15" customHeight="1">
      <c r="A255" s="46"/>
      <c r="B255" s="92">
        <v>82.4</v>
      </c>
      <c r="C255" s="83">
        <f t="shared" si="21"/>
        <v>1.75</v>
      </c>
      <c r="D255" s="83">
        <f t="shared" si="21"/>
        <v>3.5</v>
      </c>
      <c r="E255" s="83">
        <f t="shared" si="21"/>
        <v>7</v>
      </c>
      <c r="F255" s="83">
        <f t="shared" si="21"/>
        <v>14</v>
      </c>
      <c r="G255" s="83">
        <f t="shared" si="21"/>
        <v>28</v>
      </c>
      <c r="H255" s="86">
        <f>H253+1.5</f>
        <v>56</v>
      </c>
      <c r="I255" s="83">
        <f t="shared" si="13"/>
        <v>70</v>
      </c>
      <c r="J255" s="83">
        <f t="shared" si="14"/>
        <v>84</v>
      </c>
      <c r="L255" s="45">
        <f t="shared" si="18"/>
        <v>56</v>
      </c>
      <c r="M255" s="92">
        <v>82.4</v>
      </c>
    </row>
    <row r="256" spans="1:13" ht="15" customHeight="1">
      <c r="A256" s="46"/>
      <c r="B256" s="92">
        <v>82.45</v>
      </c>
      <c r="C256" s="83">
        <f t="shared" si="21"/>
        <v>1.7734375</v>
      </c>
      <c r="D256" s="83">
        <f t="shared" si="21"/>
        <v>3.546875</v>
      </c>
      <c r="E256" s="83">
        <f t="shared" si="21"/>
        <v>7.09375</v>
      </c>
      <c r="F256" s="83">
        <f t="shared" si="21"/>
        <v>14.1875</v>
      </c>
      <c r="G256" s="83">
        <f t="shared" si="21"/>
        <v>28.375</v>
      </c>
      <c r="H256" s="85">
        <f>H255+((H257-H255)/2)</f>
        <v>56.75</v>
      </c>
      <c r="I256" s="83">
        <f>E256*10</f>
        <v>70.9375</v>
      </c>
      <c r="J256" s="83">
        <f>E256*12</f>
        <v>85.125</v>
      </c>
      <c r="L256" s="45">
        <f t="shared" si="18"/>
        <v>56.75</v>
      </c>
      <c r="M256" s="92">
        <v>82.45</v>
      </c>
    </row>
    <row r="257" spans="1:13" ht="15" customHeight="1">
      <c r="A257" s="46"/>
      <c r="B257" s="92">
        <v>82.5</v>
      </c>
      <c r="C257" s="83">
        <f t="shared" si="21"/>
        <v>1.796875</v>
      </c>
      <c r="D257" s="83">
        <f t="shared" si="21"/>
        <v>3.59375</v>
      </c>
      <c r="E257" s="83">
        <f t="shared" si="21"/>
        <v>7.1875</v>
      </c>
      <c r="F257" s="83">
        <f t="shared" si="21"/>
        <v>14.375</v>
      </c>
      <c r="G257" s="83">
        <f t="shared" si="21"/>
        <v>28.75</v>
      </c>
      <c r="H257" s="86">
        <f>H255+1.5</f>
        <v>57.5</v>
      </c>
      <c r="I257" s="83">
        <f t="shared" si="13"/>
        <v>71.875</v>
      </c>
      <c r="J257" s="83">
        <f t="shared" si="14"/>
        <v>86.25</v>
      </c>
      <c r="L257" s="45">
        <f t="shared" si="18"/>
        <v>57.5</v>
      </c>
      <c r="M257" s="92">
        <v>82.5</v>
      </c>
    </row>
    <row r="258" spans="1:13" ht="15" customHeight="1">
      <c r="A258" s="46"/>
      <c r="B258" s="92">
        <v>82.55</v>
      </c>
      <c r="C258" s="83">
        <f t="shared" si="21"/>
        <v>1.8203125</v>
      </c>
      <c r="D258" s="83">
        <f t="shared" si="21"/>
        <v>3.640625</v>
      </c>
      <c r="E258" s="83">
        <f t="shared" si="21"/>
        <v>7.28125</v>
      </c>
      <c r="F258" s="83">
        <f t="shared" si="21"/>
        <v>14.5625</v>
      </c>
      <c r="G258" s="83">
        <f t="shared" si="21"/>
        <v>29.125</v>
      </c>
      <c r="H258" s="85">
        <f>H257+((H259-H257)/2)</f>
        <v>58.25</v>
      </c>
      <c r="I258" s="83">
        <f>E258*10</f>
        <v>72.8125</v>
      </c>
      <c r="J258" s="83">
        <f>E258*12</f>
        <v>87.375</v>
      </c>
      <c r="L258" s="45">
        <f t="shared" si="18"/>
        <v>58.25</v>
      </c>
      <c r="M258" s="92">
        <v>82.55</v>
      </c>
    </row>
    <row r="259" spans="1:13" ht="15" customHeight="1">
      <c r="A259" s="46"/>
      <c r="B259" s="92">
        <v>82.6</v>
      </c>
      <c r="C259" s="83">
        <f t="shared" si="21"/>
        <v>1.84375</v>
      </c>
      <c r="D259" s="83">
        <f t="shared" si="21"/>
        <v>3.6875</v>
      </c>
      <c r="E259" s="83">
        <f t="shared" si="21"/>
        <v>7.375</v>
      </c>
      <c r="F259" s="83">
        <f t="shared" si="21"/>
        <v>14.75</v>
      </c>
      <c r="G259" s="83">
        <f t="shared" si="21"/>
        <v>29.5</v>
      </c>
      <c r="H259" s="86">
        <f>H257+1.5</f>
        <v>59</v>
      </c>
      <c r="I259" s="83">
        <f t="shared" si="13"/>
        <v>73.75</v>
      </c>
      <c r="J259" s="83">
        <f t="shared" si="14"/>
        <v>88.5</v>
      </c>
      <c r="L259" s="45">
        <f t="shared" si="18"/>
        <v>59</v>
      </c>
      <c r="M259" s="92">
        <v>82.6</v>
      </c>
    </row>
    <row r="260" spans="1:13" ht="15" customHeight="1">
      <c r="A260" s="46"/>
      <c r="B260" s="92">
        <v>82.65</v>
      </c>
      <c r="C260" s="83">
        <f t="shared" si="21"/>
        <v>1.8671875</v>
      </c>
      <c r="D260" s="83">
        <f t="shared" si="21"/>
        <v>3.734375</v>
      </c>
      <c r="E260" s="83">
        <f t="shared" si="21"/>
        <v>7.46875</v>
      </c>
      <c r="F260" s="83">
        <f t="shared" si="21"/>
        <v>14.9375</v>
      </c>
      <c r="G260" s="83">
        <f t="shared" si="21"/>
        <v>29.875</v>
      </c>
      <c r="H260" s="85">
        <f>H259+((H261-H259)/2)</f>
        <v>59.75</v>
      </c>
      <c r="I260" s="83">
        <f>E260*10</f>
        <v>74.6875</v>
      </c>
      <c r="J260" s="83">
        <f>E260*12</f>
        <v>89.625</v>
      </c>
      <c r="L260" s="45">
        <f t="shared" si="18"/>
        <v>59.75</v>
      </c>
      <c r="M260" s="92">
        <v>82.65</v>
      </c>
    </row>
    <row r="261" spans="1:13" ht="15" customHeight="1">
      <c r="A261" s="46"/>
      <c r="B261" s="92">
        <v>82.7</v>
      </c>
      <c r="C261" s="83">
        <f t="shared" si="21"/>
        <v>1.890625</v>
      </c>
      <c r="D261" s="83">
        <f t="shared" si="21"/>
        <v>3.78125</v>
      </c>
      <c r="E261" s="83">
        <f t="shared" si="21"/>
        <v>7.5625</v>
      </c>
      <c r="F261" s="83">
        <f t="shared" si="21"/>
        <v>15.125</v>
      </c>
      <c r="G261" s="83">
        <f t="shared" si="21"/>
        <v>30.25</v>
      </c>
      <c r="H261" s="86">
        <f>H259+1.5</f>
        <v>60.5</v>
      </c>
      <c r="I261" s="83">
        <f t="shared" si="13"/>
        <v>75.625</v>
      </c>
      <c r="J261" s="83">
        <f t="shared" si="14"/>
        <v>90.75</v>
      </c>
      <c r="L261" s="45">
        <f t="shared" si="18"/>
        <v>60.5</v>
      </c>
      <c r="M261" s="92">
        <v>82.7</v>
      </c>
    </row>
    <row r="262" spans="1:13" ht="15" customHeight="1">
      <c r="A262" s="46"/>
      <c r="B262" s="92">
        <v>82.75</v>
      </c>
      <c r="C262" s="83">
        <f t="shared" si="21"/>
        <v>1.9140625</v>
      </c>
      <c r="D262" s="83">
        <f t="shared" si="21"/>
        <v>3.828125</v>
      </c>
      <c r="E262" s="83">
        <f t="shared" si="21"/>
        <v>7.65625</v>
      </c>
      <c r="F262" s="83">
        <f t="shared" si="21"/>
        <v>15.3125</v>
      </c>
      <c r="G262" s="83">
        <f t="shared" si="21"/>
        <v>30.625</v>
      </c>
      <c r="H262" s="85">
        <f>H261+((H263-H261)/2)</f>
        <v>61.25</v>
      </c>
      <c r="I262" s="83">
        <f>E262*10</f>
        <v>76.5625</v>
      </c>
      <c r="J262" s="83">
        <f>E262*12</f>
        <v>91.875</v>
      </c>
      <c r="L262" s="45">
        <f t="shared" si="18"/>
        <v>61.25</v>
      </c>
      <c r="M262" s="92">
        <v>82.75</v>
      </c>
    </row>
    <row r="263" spans="1:13" ht="15" customHeight="1">
      <c r="A263" s="46"/>
      <c r="B263" s="92">
        <v>82.8</v>
      </c>
      <c r="C263" s="83">
        <f t="shared" si="21"/>
        <v>1.9375</v>
      </c>
      <c r="D263" s="83">
        <f t="shared" si="21"/>
        <v>3.875</v>
      </c>
      <c r="E263" s="83">
        <f t="shared" si="21"/>
        <v>7.75</v>
      </c>
      <c r="F263" s="83">
        <f t="shared" si="21"/>
        <v>15.5</v>
      </c>
      <c r="G263" s="83">
        <f t="shared" si="21"/>
        <v>31</v>
      </c>
      <c r="H263" s="86">
        <f>H261+1.5</f>
        <v>62</v>
      </c>
      <c r="I263" s="83">
        <f t="shared" si="13"/>
        <v>77.5</v>
      </c>
      <c r="J263" s="83">
        <f t="shared" si="14"/>
        <v>93</v>
      </c>
      <c r="L263" s="45">
        <f t="shared" si="18"/>
        <v>62</v>
      </c>
      <c r="M263" s="92">
        <v>82.8</v>
      </c>
    </row>
    <row r="264" spans="1:13" ht="15" customHeight="1">
      <c r="A264" s="46"/>
      <c r="B264" s="92">
        <v>82.85</v>
      </c>
      <c r="C264" s="83">
        <f t="shared" si="21"/>
        <v>1.9609375</v>
      </c>
      <c r="D264" s="83">
        <f t="shared" si="21"/>
        <v>3.921875</v>
      </c>
      <c r="E264" s="83">
        <f t="shared" si="21"/>
        <v>7.84375</v>
      </c>
      <c r="F264" s="83">
        <f t="shared" si="21"/>
        <v>15.6875</v>
      </c>
      <c r="G264" s="83">
        <f t="shared" si="21"/>
        <v>31.375</v>
      </c>
      <c r="H264" s="85">
        <f>H263+((H265-H263)/2)</f>
        <v>62.75</v>
      </c>
      <c r="I264" s="83">
        <f>E264*10</f>
        <v>78.4375</v>
      </c>
      <c r="J264" s="83">
        <f>E264*12</f>
        <v>94.125</v>
      </c>
      <c r="L264" s="45">
        <f t="shared" ref="L264:L327" si="22">+H264</f>
        <v>62.75</v>
      </c>
      <c r="M264" s="92">
        <v>82.85</v>
      </c>
    </row>
    <row r="265" spans="1:13" ht="15" customHeight="1">
      <c r="A265" s="46"/>
      <c r="B265" s="92">
        <v>82.9</v>
      </c>
      <c r="C265" s="83">
        <f t="shared" si="21"/>
        <v>1.984375</v>
      </c>
      <c r="D265" s="83">
        <f t="shared" si="21"/>
        <v>3.96875</v>
      </c>
      <c r="E265" s="83">
        <f t="shared" si="21"/>
        <v>7.9375</v>
      </c>
      <c r="F265" s="83">
        <f t="shared" si="21"/>
        <v>15.875</v>
      </c>
      <c r="G265" s="83">
        <f t="shared" si="21"/>
        <v>31.75</v>
      </c>
      <c r="H265" s="86">
        <f>H263+1.5</f>
        <v>63.5</v>
      </c>
      <c r="I265" s="83">
        <f t="shared" ref="I265:I391" si="23">E265*10</f>
        <v>79.375</v>
      </c>
      <c r="J265" s="83">
        <f t="shared" ref="J265:J391" si="24">E265*12</f>
        <v>95.25</v>
      </c>
      <c r="L265" s="45">
        <f t="shared" si="22"/>
        <v>63.5</v>
      </c>
      <c r="M265" s="92">
        <v>82.9</v>
      </c>
    </row>
    <row r="266" spans="1:13" ht="15" customHeight="1">
      <c r="A266" s="46"/>
      <c r="B266" s="92">
        <v>82.95</v>
      </c>
      <c r="C266" s="83">
        <f>D266/2</f>
        <v>2.0078125</v>
      </c>
      <c r="D266" s="83">
        <f>E266/2</f>
        <v>4.015625</v>
      </c>
      <c r="E266" s="83">
        <f>F266/2</f>
        <v>8.03125</v>
      </c>
      <c r="F266" s="83">
        <f>G266/2</f>
        <v>16.0625</v>
      </c>
      <c r="G266" s="83">
        <f>H266/2</f>
        <v>32.125</v>
      </c>
      <c r="H266" s="85">
        <f>H265+((H267-H265)/2)</f>
        <v>64.25</v>
      </c>
      <c r="I266" s="83">
        <f>E266*10</f>
        <v>80.3125</v>
      </c>
      <c r="J266" s="83">
        <f>E266*12</f>
        <v>96.375</v>
      </c>
      <c r="L266" s="45">
        <f t="shared" si="22"/>
        <v>64.25</v>
      </c>
      <c r="M266" s="92">
        <v>82.95</v>
      </c>
    </row>
    <row r="267" spans="1:13" ht="15" customHeight="1">
      <c r="A267" s="46"/>
      <c r="B267" s="92">
        <v>83</v>
      </c>
      <c r="C267" s="83">
        <f t="shared" ref="C267:G285" si="25">D267/2</f>
        <v>2.03125</v>
      </c>
      <c r="D267" s="83">
        <f t="shared" si="25"/>
        <v>4.0625</v>
      </c>
      <c r="E267" s="83">
        <f t="shared" si="25"/>
        <v>8.125</v>
      </c>
      <c r="F267" s="83">
        <f t="shared" si="25"/>
        <v>16.25</v>
      </c>
      <c r="G267" s="83">
        <f t="shared" si="25"/>
        <v>32.5</v>
      </c>
      <c r="H267" s="86">
        <v>65</v>
      </c>
      <c r="I267" s="83">
        <f t="shared" si="23"/>
        <v>81.25</v>
      </c>
      <c r="J267" s="83">
        <f t="shared" si="24"/>
        <v>97.5</v>
      </c>
      <c r="L267" s="45">
        <f t="shared" si="22"/>
        <v>65</v>
      </c>
      <c r="M267" s="92">
        <v>83</v>
      </c>
    </row>
    <row r="268" spans="1:13" ht="15" customHeight="1">
      <c r="A268" s="46"/>
      <c r="B268" s="92">
        <v>83.05</v>
      </c>
      <c r="C268" s="83">
        <f t="shared" si="25"/>
        <v>2.0546875</v>
      </c>
      <c r="D268" s="83">
        <f t="shared" si="25"/>
        <v>4.109375</v>
      </c>
      <c r="E268" s="83">
        <f t="shared" si="25"/>
        <v>8.21875</v>
      </c>
      <c r="F268" s="83">
        <f t="shared" si="25"/>
        <v>16.4375</v>
      </c>
      <c r="G268" s="83">
        <f t="shared" si="25"/>
        <v>32.875</v>
      </c>
      <c r="H268" s="85">
        <f>H267+((H269-H267)/2)</f>
        <v>65.75</v>
      </c>
      <c r="I268" s="83">
        <f>E268*10</f>
        <v>82.1875</v>
      </c>
      <c r="J268" s="83">
        <f>E268*12</f>
        <v>98.625</v>
      </c>
      <c r="L268" s="45">
        <f t="shared" si="22"/>
        <v>65.75</v>
      </c>
      <c r="M268" s="92">
        <v>83.05</v>
      </c>
    </row>
    <row r="269" spans="1:13" ht="15" customHeight="1">
      <c r="A269" s="46"/>
      <c r="B269" s="92">
        <v>83.1</v>
      </c>
      <c r="C269" s="83">
        <f t="shared" si="25"/>
        <v>2.078125</v>
      </c>
      <c r="D269" s="83">
        <f t="shared" si="25"/>
        <v>4.15625</v>
      </c>
      <c r="E269" s="83">
        <f t="shared" si="25"/>
        <v>8.3125</v>
      </c>
      <c r="F269" s="83">
        <f t="shared" si="25"/>
        <v>16.625</v>
      </c>
      <c r="G269" s="83">
        <f t="shared" si="25"/>
        <v>33.25</v>
      </c>
      <c r="H269" s="85">
        <f>H267+((H287-H267)/10)</f>
        <v>66.5</v>
      </c>
      <c r="I269" s="83">
        <f t="shared" si="23"/>
        <v>83.125</v>
      </c>
      <c r="J269" s="83">
        <f t="shared" si="24"/>
        <v>99.75</v>
      </c>
      <c r="L269" s="45">
        <f t="shared" si="22"/>
        <v>66.5</v>
      </c>
      <c r="M269" s="92">
        <v>83.1</v>
      </c>
    </row>
    <row r="270" spans="1:13" ht="15" customHeight="1">
      <c r="A270" s="46"/>
      <c r="B270" s="92">
        <v>83.15</v>
      </c>
      <c r="C270" s="83">
        <f t="shared" si="25"/>
        <v>2.1015625</v>
      </c>
      <c r="D270" s="83">
        <f t="shared" si="25"/>
        <v>4.203125</v>
      </c>
      <c r="E270" s="83">
        <f t="shared" si="25"/>
        <v>8.40625</v>
      </c>
      <c r="F270" s="83">
        <f t="shared" si="25"/>
        <v>16.8125</v>
      </c>
      <c r="G270" s="83">
        <f t="shared" si="25"/>
        <v>33.625</v>
      </c>
      <c r="H270" s="85">
        <f>H269+((H271-H269)/2)</f>
        <v>67.25</v>
      </c>
      <c r="I270" s="83">
        <f>E270*10</f>
        <v>84.0625</v>
      </c>
      <c r="J270" s="83">
        <f>E270*12</f>
        <v>100.875</v>
      </c>
      <c r="L270" s="45">
        <f t="shared" si="22"/>
        <v>67.25</v>
      </c>
      <c r="M270" s="92">
        <v>83.15</v>
      </c>
    </row>
    <row r="271" spans="1:13" ht="15" customHeight="1">
      <c r="A271" s="46"/>
      <c r="B271" s="92">
        <v>83.2</v>
      </c>
      <c r="C271" s="83">
        <f t="shared" si="25"/>
        <v>2.125</v>
      </c>
      <c r="D271" s="83">
        <f t="shared" si="25"/>
        <v>4.25</v>
      </c>
      <c r="E271" s="83">
        <f t="shared" si="25"/>
        <v>8.5</v>
      </c>
      <c r="F271" s="83">
        <f t="shared" si="25"/>
        <v>17</v>
      </c>
      <c r="G271" s="83">
        <f t="shared" si="25"/>
        <v>34</v>
      </c>
      <c r="H271" s="86">
        <f>H269+1.5</f>
        <v>68</v>
      </c>
      <c r="I271" s="83">
        <f t="shared" si="23"/>
        <v>85</v>
      </c>
      <c r="J271" s="83">
        <f t="shared" si="24"/>
        <v>102</v>
      </c>
      <c r="L271" s="45">
        <f t="shared" si="22"/>
        <v>68</v>
      </c>
      <c r="M271" s="92">
        <v>83.2</v>
      </c>
    </row>
    <row r="272" spans="1:13" ht="15" customHeight="1">
      <c r="A272" s="46"/>
      <c r="B272" s="92">
        <v>83.25</v>
      </c>
      <c r="C272" s="83">
        <f t="shared" si="25"/>
        <v>2.1484375</v>
      </c>
      <c r="D272" s="83">
        <f t="shared" si="25"/>
        <v>4.296875</v>
      </c>
      <c r="E272" s="83">
        <f t="shared" si="25"/>
        <v>8.59375</v>
      </c>
      <c r="F272" s="83">
        <f t="shared" si="25"/>
        <v>17.1875</v>
      </c>
      <c r="G272" s="83">
        <f t="shared" si="25"/>
        <v>34.375</v>
      </c>
      <c r="H272" s="85">
        <f>H271+((H273-H271)/2)</f>
        <v>68.75</v>
      </c>
      <c r="I272" s="83">
        <f>E272*10</f>
        <v>85.9375</v>
      </c>
      <c r="J272" s="83">
        <f>E272*12</f>
        <v>103.125</v>
      </c>
      <c r="L272" s="45">
        <f t="shared" si="22"/>
        <v>68.75</v>
      </c>
      <c r="M272" s="92">
        <v>83.25</v>
      </c>
    </row>
    <row r="273" spans="1:13" ht="15" customHeight="1">
      <c r="A273" s="46"/>
      <c r="B273" s="92">
        <v>83.3</v>
      </c>
      <c r="C273" s="83">
        <f t="shared" si="25"/>
        <v>2.171875</v>
      </c>
      <c r="D273" s="83">
        <f t="shared" si="25"/>
        <v>4.34375</v>
      </c>
      <c r="E273" s="83">
        <f t="shared" si="25"/>
        <v>8.6875</v>
      </c>
      <c r="F273" s="83">
        <f t="shared" si="25"/>
        <v>17.375</v>
      </c>
      <c r="G273" s="83">
        <f t="shared" si="25"/>
        <v>34.75</v>
      </c>
      <c r="H273" s="86">
        <f>H271+1.5</f>
        <v>69.5</v>
      </c>
      <c r="I273" s="83">
        <f t="shared" si="23"/>
        <v>86.875</v>
      </c>
      <c r="J273" s="83">
        <f t="shared" si="24"/>
        <v>104.25</v>
      </c>
      <c r="L273" s="45">
        <f t="shared" si="22"/>
        <v>69.5</v>
      </c>
      <c r="M273" s="92">
        <v>83.3</v>
      </c>
    </row>
    <row r="274" spans="1:13" ht="15" customHeight="1">
      <c r="A274" s="46"/>
      <c r="B274" s="92">
        <v>83.35</v>
      </c>
      <c r="C274" s="83">
        <f t="shared" si="25"/>
        <v>2.1953125</v>
      </c>
      <c r="D274" s="83">
        <f t="shared" si="25"/>
        <v>4.390625</v>
      </c>
      <c r="E274" s="83">
        <f t="shared" si="25"/>
        <v>8.78125</v>
      </c>
      <c r="F274" s="83">
        <f t="shared" si="25"/>
        <v>17.5625</v>
      </c>
      <c r="G274" s="83">
        <f t="shared" si="25"/>
        <v>35.125</v>
      </c>
      <c r="H274" s="85">
        <f>H273+((H275-H273)/2)</f>
        <v>70.25</v>
      </c>
      <c r="I274" s="83">
        <f>E274*10</f>
        <v>87.8125</v>
      </c>
      <c r="J274" s="83">
        <f>E274*12</f>
        <v>105.375</v>
      </c>
      <c r="L274" s="45">
        <f t="shared" si="22"/>
        <v>70.25</v>
      </c>
      <c r="M274" s="92">
        <v>83.35</v>
      </c>
    </row>
    <row r="275" spans="1:13" ht="15" customHeight="1">
      <c r="A275" s="46"/>
      <c r="B275" s="92">
        <v>83.4</v>
      </c>
      <c r="C275" s="83">
        <f t="shared" si="25"/>
        <v>2.21875</v>
      </c>
      <c r="D275" s="83">
        <f t="shared" si="25"/>
        <v>4.4375</v>
      </c>
      <c r="E275" s="83">
        <f t="shared" si="25"/>
        <v>8.875</v>
      </c>
      <c r="F275" s="83">
        <f t="shared" si="25"/>
        <v>17.75</v>
      </c>
      <c r="G275" s="83">
        <f t="shared" si="25"/>
        <v>35.5</v>
      </c>
      <c r="H275" s="86">
        <f>H273+1.5</f>
        <v>71</v>
      </c>
      <c r="I275" s="83">
        <f t="shared" si="23"/>
        <v>88.75</v>
      </c>
      <c r="J275" s="83">
        <f t="shared" si="24"/>
        <v>106.5</v>
      </c>
      <c r="L275" s="45">
        <f t="shared" si="22"/>
        <v>71</v>
      </c>
      <c r="M275" s="92">
        <v>83.4</v>
      </c>
    </row>
    <row r="276" spans="1:13" ht="15" customHeight="1">
      <c r="A276" s="46"/>
      <c r="B276" s="92">
        <v>83.45</v>
      </c>
      <c r="C276" s="83">
        <f t="shared" si="25"/>
        <v>2.2421875</v>
      </c>
      <c r="D276" s="83">
        <f t="shared" si="25"/>
        <v>4.484375</v>
      </c>
      <c r="E276" s="83">
        <f t="shared" si="25"/>
        <v>8.96875</v>
      </c>
      <c r="F276" s="83">
        <f t="shared" si="25"/>
        <v>17.9375</v>
      </c>
      <c r="G276" s="83">
        <f t="shared" si="25"/>
        <v>35.875</v>
      </c>
      <c r="H276" s="85">
        <f>H275+((H277-H275)/2)</f>
        <v>71.75</v>
      </c>
      <c r="I276" s="83">
        <f>E276*10</f>
        <v>89.6875</v>
      </c>
      <c r="J276" s="83">
        <f>E276*12</f>
        <v>107.625</v>
      </c>
      <c r="L276" s="45">
        <f t="shared" si="22"/>
        <v>71.75</v>
      </c>
      <c r="M276" s="92">
        <v>83.45</v>
      </c>
    </row>
    <row r="277" spans="1:13" ht="15" customHeight="1">
      <c r="A277" s="46"/>
      <c r="B277" s="92">
        <v>83.5</v>
      </c>
      <c r="C277" s="83">
        <f t="shared" si="25"/>
        <v>2.265625</v>
      </c>
      <c r="D277" s="83">
        <f t="shared" si="25"/>
        <v>4.53125</v>
      </c>
      <c r="E277" s="83">
        <f t="shared" si="25"/>
        <v>9.0625</v>
      </c>
      <c r="F277" s="83">
        <f t="shared" si="25"/>
        <v>18.125</v>
      </c>
      <c r="G277" s="83">
        <f t="shared" si="25"/>
        <v>36.25</v>
      </c>
      <c r="H277" s="86">
        <f>H275+1.5</f>
        <v>72.5</v>
      </c>
      <c r="I277" s="83">
        <f t="shared" si="23"/>
        <v>90.625</v>
      </c>
      <c r="J277" s="83">
        <f t="shared" si="24"/>
        <v>108.75</v>
      </c>
      <c r="L277" s="45">
        <f t="shared" si="22"/>
        <v>72.5</v>
      </c>
      <c r="M277" s="92">
        <v>83.5</v>
      </c>
    </row>
    <row r="278" spans="1:13" ht="15" customHeight="1">
      <c r="A278" s="46"/>
      <c r="B278" s="92">
        <v>83.55</v>
      </c>
      <c r="C278" s="83">
        <f t="shared" si="25"/>
        <v>2.2890625</v>
      </c>
      <c r="D278" s="83">
        <f t="shared" si="25"/>
        <v>4.578125</v>
      </c>
      <c r="E278" s="83">
        <f t="shared" si="25"/>
        <v>9.15625</v>
      </c>
      <c r="F278" s="83">
        <f t="shared" si="25"/>
        <v>18.3125</v>
      </c>
      <c r="G278" s="83">
        <f t="shared" si="25"/>
        <v>36.625</v>
      </c>
      <c r="H278" s="85">
        <f>H277+((H279-H277)/2)</f>
        <v>73.25</v>
      </c>
      <c r="I278" s="83">
        <f>E278*10</f>
        <v>91.5625</v>
      </c>
      <c r="J278" s="83">
        <f>E278*12</f>
        <v>109.875</v>
      </c>
      <c r="L278" s="45">
        <f t="shared" si="22"/>
        <v>73.25</v>
      </c>
      <c r="M278" s="92">
        <v>83.55</v>
      </c>
    </row>
    <row r="279" spans="1:13" ht="15" customHeight="1">
      <c r="A279" s="46"/>
      <c r="B279" s="92">
        <v>83.6</v>
      </c>
      <c r="C279" s="83">
        <f t="shared" si="25"/>
        <v>2.3125</v>
      </c>
      <c r="D279" s="83">
        <f t="shared" si="25"/>
        <v>4.625</v>
      </c>
      <c r="E279" s="83">
        <f t="shared" si="25"/>
        <v>9.25</v>
      </c>
      <c r="F279" s="83">
        <f t="shared" si="25"/>
        <v>18.5</v>
      </c>
      <c r="G279" s="83">
        <f t="shared" si="25"/>
        <v>37</v>
      </c>
      <c r="H279" s="86">
        <f>H277+1.5</f>
        <v>74</v>
      </c>
      <c r="I279" s="83">
        <f t="shared" si="23"/>
        <v>92.5</v>
      </c>
      <c r="J279" s="83">
        <f t="shared" si="24"/>
        <v>111</v>
      </c>
      <c r="L279" s="45">
        <f t="shared" si="22"/>
        <v>74</v>
      </c>
      <c r="M279" s="92">
        <v>83.6</v>
      </c>
    </row>
    <row r="280" spans="1:13" ht="15" customHeight="1">
      <c r="A280" s="46"/>
      <c r="B280" s="92">
        <v>83.65</v>
      </c>
      <c r="C280" s="83">
        <f t="shared" si="25"/>
        <v>2.3359375</v>
      </c>
      <c r="D280" s="83">
        <f t="shared" si="25"/>
        <v>4.671875</v>
      </c>
      <c r="E280" s="83">
        <f t="shared" si="25"/>
        <v>9.34375</v>
      </c>
      <c r="F280" s="83">
        <f t="shared" si="25"/>
        <v>18.6875</v>
      </c>
      <c r="G280" s="83">
        <f t="shared" si="25"/>
        <v>37.375</v>
      </c>
      <c r="H280" s="85">
        <f>H279+((H281-H279)/2)</f>
        <v>74.75</v>
      </c>
      <c r="I280" s="83">
        <f>E280*10</f>
        <v>93.4375</v>
      </c>
      <c r="J280" s="83">
        <f>E280*12</f>
        <v>112.125</v>
      </c>
      <c r="L280" s="45">
        <f t="shared" si="22"/>
        <v>74.75</v>
      </c>
      <c r="M280" s="92">
        <v>83.65</v>
      </c>
    </row>
    <row r="281" spans="1:13" ht="15" customHeight="1">
      <c r="A281" s="46"/>
      <c r="B281" s="92">
        <v>83.7</v>
      </c>
      <c r="C281" s="83">
        <f t="shared" si="25"/>
        <v>2.359375</v>
      </c>
      <c r="D281" s="83">
        <f t="shared" si="25"/>
        <v>4.71875</v>
      </c>
      <c r="E281" s="83">
        <f t="shared" si="25"/>
        <v>9.4375</v>
      </c>
      <c r="F281" s="83">
        <f t="shared" si="25"/>
        <v>18.875</v>
      </c>
      <c r="G281" s="83">
        <f t="shared" si="25"/>
        <v>37.75</v>
      </c>
      <c r="H281" s="86">
        <f>H279+1.5</f>
        <v>75.5</v>
      </c>
      <c r="I281" s="83">
        <f t="shared" si="23"/>
        <v>94.375</v>
      </c>
      <c r="J281" s="83">
        <f t="shared" si="24"/>
        <v>113.25</v>
      </c>
      <c r="L281" s="45">
        <f t="shared" si="22"/>
        <v>75.5</v>
      </c>
      <c r="M281" s="92">
        <v>83.7</v>
      </c>
    </row>
    <row r="282" spans="1:13" ht="15" customHeight="1">
      <c r="A282" s="46"/>
      <c r="B282" s="92">
        <v>83.75</v>
      </c>
      <c r="C282" s="83">
        <f t="shared" si="25"/>
        <v>2.3828125</v>
      </c>
      <c r="D282" s="83">
        <f t="shared" si="25"/>
        <v>4.765625</v>
      </c>
      <c r="E282" s="83">
        <f t="shared" si="25"/>
        <v>9.53125</v>
      </c>
      <c r="F282" s="83">
        <f t="shared" si="25"/>
        <v>19.0625</v>
      </c>
      <c r="G282" s="83">
        <f t="shared" si="25"/>
        <v>38.125</v>
      </c>
      <c r="H282" s="85">
        <f>H281+((H283-H281)/2)</f>
        <v>76.25</v>
      </c>
      <c r="I282" s="83">
        <f>E282*10</f>
        <v>95.3125</v>
      </c>
      <c r="J282" s="83">
        <f>E282*12</f>
        <v>114.375</v>
      </c>
      <c r="L282" s="45">
        <f t="shared" si="22"/>
        <v>76.25</v>
      </c>
      <c r="M282" s="92">
        <v>83.75</v>
      </c>
    </row>
    <row r="283" spans="1:13" ht="15" customHeight="1">
      <c r="A283" s="46"/>
      <c r="B283" s="92">
        <v>83.8</v>
      </c>
      <c r="C283" s="83">
        <f t="shared" si="25"/>
        <v>2.40625</v>
      </c>
      <c r="D283" s="83">
        <f t="shared" si="25"/>
        <v>4.8125</v>
      </c>
      <c r="E283" s="83">
        <f t="shared" si="25"/>
        <v>9.625</v>
      </c>
      <c r="F283" s="83">
        <f t="shared" si="25"/>
        <v>19.25</v>
      </c>
      <c r="G283" s="83">
        <f t="shared" si="25"/>
        <v>38.5</v>
      </c>
      <c r="H283" s="86">
        <f>H281+1.5</f>
        <v>77</v>
      </c>
      <c r="I283" s="83">
        <f t="shared" si="23"/>
        <v>96.25</v>
      </c>
      <c r="J283" s="83">
        <f t="shared" si="24"/>
        <v>115.5</v>
      </c>
      <c r="L283" s="45">
        <f t="shared" si="22"/>
        <v>77</v>
      </c>
      <c r="M283" s="92">
        <v>83.8</v>
      </c>
    </row>
    <row r="284" spans="1:13" ht="15" customHeight="1">
      <c r="A284" s="46"/>
      <c r="B284" s="92">
        <v>83.85</v>
      </c>
      <c r="C284" s="83">
        <f t="shared" si="25"/>
        <v>2.4296875</v>
      </c>
      <c r="D284" s="83">
        <f t="shared" si="25"/>
        <v>4.859375</v>
      </c>
      <c r="E284" s="83">
        <f t="shared" si="25"/>
        <v>9.71875</v>
      </c>
      <c r="F284" s="83">
        <f t="shared" si="25"/>
        <v>19.4375</v>
      </c>
      <c r="G284" s="83">
        <f t="shared" si="25"/>
        <v>38.875</v>
      </c>
      <c r="H284" s="85">
        <f>H283+((H285-H283)/2)</f>
        <v>77.75</v>
      </c>
      <c r="I284" s="83">
        <f>E284*10</f>
        <v>97.1875</v>
      </c>
      <c r="J284" s="83">
        <f>E284*12</f>
        <v>116.625</v>
      </c>
      <c r="L284" s="45">
        <f t="shared" si="22"/>
        <v>77.75</v>
      </c>
      <c r="M284" s="92">
        <v>83.85</v>
      </c>
    </row>
    <row r="285" spans="1:13" ht="15" customHeight="1">
      <c r="A285" s="46"/>
      <c r="B285" s="92">
        <v>83.9</v>
      </c>
      <c r="C285" s="83">
        <f t="shared" si="25"/>
        <v>2.453125</v>
      </c>
      <c r="D285" s="83">
        <f t="shared" si="25"/>
        <v>4.90625</v>
      </c>
      <c r="E285" s="83">
        <f t="shared" si="25"/>
        <v>9.8125</v>
      </c>
      <c r="F285" s="83">
        <f t="shared" si="25"/>
        <v>19.625</v>
      </c>
      <c r="G285" s="83">
        <f t="shared" si="25"/>
        <v>39.25</v>
      </c>
      <c r="H285" s="86">
        <f>H283+1.5</f>
        <v>78.5</v>
      </c>
      <c r="I285" s="83">
        <f t="shared" si="23"/>
        <v>98.125</v>
      </c>
      <c r="J285" s="83">
        <f t="shared" si="24"/>
        <v>117.75</v>
      </c>
      <c r="L285" s="45">
        <f t="shared" si="22"/>
        <v>78.5</v>
      </c>
      <c r="M285" s="92">
        <v>83.9</v>
      </c>
    </row>
    <row r="286" spans="1:13" ht="15" customHeight="1">
      <c r="A286" s="46"/>
      <c r="B286" s="92">
        <v>83.95</v>
      </c>
      <c r="C286" s="83">
        <f>D286/2</f>
        <v>2.4765625</v>
      </c>
      <c r="D286" s="83">
        <f>E286/2</f>
        <v>4.953125</v>
      </c>
      <c r="E286" s="83">
        <f>F286/2</f>
        <v>9.90625</v>
      </c>
      <c r="F286" s="83">
        <f>G286/2</f>
        <v>19.8125</v>
      </c>
      <c r="G286" s="83">
        <f>H286/2</f>
        <v>39.625</v>
      </c>
      <c r="H286" s="85">
        <f>H285+((H287-H285)/2)</f>
        <v>79.25</v>
      </c>
      <c r="I286" s="83">
        <f>E286*10</f>
        <v>99.0625</v>
      </c>
      <c r="J286" s="83">
        <f>E286*12</f>
        <v>118.875</v>
      </c>
      <c r="L286" s="45">
        <f t="shared" si="22"/>
        <v>79.25</v>
      </c>
      <c r="M286" s="92">
        <v>83.95</v>
      </c>
    </row>
    <row r="287" spans="1:13" ht="15" customHeight="1">
      <c r="A287" s="46"/>
      <c r="B287" s="92">
        <v>84</v>
      </c>
      <c r="C287" s="83">
        <f t="shared" ref="C287:G305" si="26">D287/2</f>
        <v>2.5</v>
      </c>
      <c r="D287" s="83">
        <f t="shared" si="26"/>
        <v>5</v>
      </c>
      <c r="E287" s="83">
        <f t="shared" si="26"/>
        <v>10</v>
      </c>
      <c r="F287" s="83">
        <f t="shared" si="26"/>
        <v>20</v>
      </c>
      <c r="G287" s="83">
        <f t="shared" si="26"/>
        <v>40</v>
      </c>
      <c r="H287" s="86">
        <v>80</v>
      </c>
      <c r="I287" s="83">
        <f t="shared" si="23"/>
        <v>100</v>
      </c>
      <c r="J287" s="83">
        <f t="shared" si="24"/>
        <v>120</v>
      </c>
      <c r="L287" s="45">
        <f t="shared" si="22"/>
        <v>80</v>
      </c>
      <c r="M287" s="92">
        <v>84</v>
      </c>
    </row>
    <row r="288" spans="1:13" ht="15" customHeight="1">
      <c r="A288" s="46"/>
      <c r="B288" s="92">
        <v>84.05</v>
      </c>
      <c r="C288" s="83">
        <f t="shared" si="26"/>
        <v>2.53125</v>
      </c>
      <c r="D288" s="83">
        <f t="shared" si="26"/>
        <v>5.0625</v>
      </c>
      <c r="E288" s="83">
        <f t="shared" si="26"/>
        <v>10.125</v>
      </c>
      <c r="F288" s="83">
        <f t="shared" si="26"/>
        <v>20.25</v>
      </c>
      <c r="G288" s="83">
        <f t="shared" si="26"/>
        <v>40.5</v>
      </c>
      <c r="H288" s="85">
        <f>H287+((H289-H287)/2)</f>
        <v>81</v>
      </c>
      <c r="I288" s="83">
        <f>E288*10</f>
        <v>101.25</v>
      </c>
      <c r="J288" s="83">
        <f>E288*12</f>
        <v>121.5</v>
      </c>
      <c r="L288" s="45">
        <f t="shared" si="22"/>
        <v>81</v>
      </c>
      <c r="M288" s="92">
        <v>84.05</v>
      </c>
    </row>
    <row r="289" spans="1:13" ht="15" customHeight="1">
      <c r="A289" s="46"/>
      <c r="B289" s="92">
        <v>84.1</v>
      </c>
      <c r="C289" s="83">
        <f t="shared" si="26"/>
        <v>2.5625</v>
      </c>
      <c r="D289" s="83">
        <f t="shared" si="26"/>
        <v>5.125</v>
      </c>
      <c r="E289" s="83">
        <f t="shared" si="26"/>
        <v>10.25</v>
      </c>
      <c r="F289" s="83">
        <f t="shared" si="26"/>
        <v>20.5</v>
      </c>
      <c r="G289" s="83">
        <f t="shared" si="26"/>
        <v>41</v>
      </c>
      <c r="H289" s="85">
        <f>H287+((H307-H287)/10)</f>
        <v>82</v>
      </c>
      <c r="I289" s="83">
        <f t="shared" si="23"/>
        <v>102.5</v>
      </c>
      <c r="J289" s="83">
        <f t="shared" si="24"/>
        <v>123</v>
      </c>
      <c r="L289" s="45">
        <f t="shared" si="22"/>
        <v>82</v>
      </c>
      <c r="M289" s="92">
        <v>84.1</v>
      </c>
    </row>
    <row r="290" spans="1:13" ht="15" customHeight="1">
      <c r="A290" s="46"/>
      <c r="B290" s="92">
        <v>84.15</v>
      </c>
      <c r="C290" s="83">
        <f t="shared" si="26"/>
        <v>2.59375</v>
      </c>
      <c r="D290" s="83">
        <f t="shared" si="26"/>
        <v>5.1875</v>
      </c>
      <c r="E290" s="83">
        <f t="shared" si="26"/>
        <v>10.375</v>
      </c>
      <c r="F290" s="83">
        <f t="shared" si="26"/>
        <v>20.75</v>
      </c>
      <c r="G290" s="83">
        <f t="shared" si="26"/>
        <v>41.5</v>
      </c>
      <c r="H290" s="85">
        <f>H289+((H291-H289)/2)</f>
        <v>83</v>
      </c>
      <c r="I290" s="83">
        <f>E290*10</f>
        <v>103.75</v>
      </c>
      <c r="J290" s="83">
        <f>E290*12</f>
        <v>124.5</v>
      </c>
      <c r="L290" s="45">
        <f t="shared" si="22"/>
        <v>83</v>
      </c>
      <c r="M290" s="92">
        <v>84.15</v>
      </c>
    </row>
    <row r="291" spans="1:13" ht="15" customHeight="1">
      <c r="A291" s="46"/>
      <c r="B291" s="92">
        <v>84.2</v>
      </c>
      <c r="C291" s="83">
        <f t="shared" si="26"/>
        <v>2.625</v>
      </c>
      <c r="D291" s="83">
        <f t="shared" si="26"/>
        <v>5.25</v>
      </c>
      <c r="E291" s="83">
        <f t="shared" si="26"/>
        <v>10.5</v>
      </c>
      <c r="F291" s="83">
        <f t="shared" si="26"/>
        <v>21</v>
      </c>
      <c r="G291" s="83">
        <f t="shared" si="26"/>
        <v>42</v>
      </c>
      <c r="H291" s="86">
        <f>H289+2</f>
        <v>84</v>
      </c>
      <c r="I291" s="83">
        <f t="shared" si="23"/>
        <v>105</v>
      </c>
      <c r="J291" s="83">
        <f t="shared" si="24"/>
        <v>126</v>
      </c>
      <c r="L291" s="45">
        <f t="shared" si="22"/>
        <v>84</v>
      </c>
      <c r="M291" s="92">
        <v>84.2</v>
      </c>
    </row>
    <row r="292" spans="1:13" ht="15" customHeight="1">
      <c r="A292" s="46"/>
      <c r="B292" s="92">
        <v>84.25</v>
      </c>
      <c r="C292" s="83">
        <f t="shared" si="26"/>
        <v>2.65625</v>
      </c>
      <c r="D292" s="83">
        <f t="shared" si="26"/>
        <v>5.3125</v>
      </c>
      <c r="E292" s="83">
        <f t="shared" si="26"/>
        <v>10.625</v>
      </c>
      <c r="F292" s="83">
        <f t="shared" si="26"/>
        <v>21.25</v>
      </c>
      <c r="G292" s="83">
        <f t="shared" si="26"/>
        <v>42.5</v>
      </c>
      <c r="H292" s="85">
        <f>H291+((H293-H291)/2)</f>
        <v>85</v>
      </c>
      <c r="I292" s="83">
        <f>E292*10</f>
        <v>106.25</v>
      </c>
      <c r="J292" s="83">
        <f>E292*12</f>
        <v>127.5</v>
      </c>
      <c r="L292" s="45">
        <f t="shared" si="22"/>
        <v>85</v>
      </c>
      <c r="M292" s="92">
        <v>84.25</v>
      </c>
    </row>
    <row r="293" spans="1:13" ht="15" customHeight="1">
      <c r="A293" s="46"/>
      <c r="B293" s="92">
        <v>84.3</v>
      </c>
      <c r="C293" s="83">
        <f t="shared" si="26"/>
        <v>2.6875</v>
      </c>
      <c r="D293" s="83">
        <f t="shared" si="26"/>
        <v>5.375</v>
      </c>
      <c r="E293" s="83">
        <f t="shared" si="26"/>
        <v>10.75</v>
      </c>
      <c r="F293" s="83">
        <f t="shared" si="26"/>
        <v>21.5</v>
      </c>
      <c r="G293" s="83">
        <f t="shared" si="26"/>
        <v>43</v>
      </c>
      <c r="H293" s="86">
        <f>H291+2</f>
        <v>86</v>
      </c>
      <c r="I293" s="83">
        <f t="shared" si="23"/>
        <v>107.5</v>
      </c>
      <c r="J293" s="83">
        <f t="shared" si="24"/>
        <v>129</v>
      </c>
      <c r="L293" s="45">
        <f t="shared" si="22"/>
        <v>86</v>
      </c>
      <c r="M293" s="92">
        <v>84.3</v>
      </c>
    </row>
    <row r="294" spans="1:13" ht="15" customHeight="1">
      <c r="A294" s="46"/>
      <c r="B294" s="92">
        <v>84.35</v>
      </c>
      <c r="C294" s="83">
        <f t="shared" si="26"/>
        <v>2.71875</v>
      </c>
      <c r="D294" s="83">
        <f t="shared" si="26"/>
        <v>5.4375</v>
      </c>
      <c r="E294" s="83">
        <f t="shared" si="26"/>
        <v>10.875</v>
      </c>
      <c r="F294" s="83">
        <f t="shared" si="26"/>
        <v>21.75</v>
      </c>
      <c r="G294" s="83">
        <f t="shared" si="26"/>
        <v>43.5</v>
      </c>
      <c r="H294" s="85">
        <f>H293+((H295-H293)/2)</f>
        <v>87</v>
      </c>
      <c r="I294" s="83">
        <f>E294*10</f>
        <v>108.75</v>
      </c>
      <c r="J294" s="83">
        <f>E294*12</f>
        <v>130.5</v>
      </c>
      <c r="L294" s="45">
        <f t="shared" si="22"/>
        <v>87</v>
      </c>
      <c r="M294" s="92">
        <v>84.35</v>
      </c>
    </row>
    <row r="295" spans="1:13" ht="15" customHeight="1">
      <c r="A295" s="46"/>
      <c r="B295" s="92">
        <v>84.4</v>
      </c>
      <c r="C295" s="83">
        <f t="shared" si="26"/>
        <v>2.75</v>
      </c>
      <c r="D295" s="83">
        <f t="shared" si="26"/>
        <v>5.5</v>
      </c>
      <c r="E295" s="83">
        <f t="shared" si="26"/>
        <v>11</v>
      </c>
      <c r="F295" s="83">
        <f t="shared" si="26"/>
        <v>22</v>
      </c>
      <c r="G295" s="83">
        <f t="shared" si="26"/>
        <v>44</v>
      </c>
      <c r="H295" s="86">
        <f>H293+2</f>
        <v>88</v>
      </c>
      <c r="I295" s="83">
        <f t="shared" si="23"/>
        <v>110</v>
      </c>
      <c r="J295" s="83">
        <f t="shared" si="24"/>
        <v>132</v>
      </c>
      <c r="L295" s="45">
        <f t="shared" si="22"/>
        <v>88</v>
      </c>
      <c r="M295" s="92">
        <v>84.4</v>
      </c>
    </row>
    <row r="296" spans="1:13" ht="15" customHeight="1">
      <c r="A296" s="46"/>
      <c r="B296" s="92">
        <v>84.45</v>
      </c>
      <c r="C296" s="83">
        <f t="shared" si="26"/>
        <v>2.78125</v>
      </c>
      <c r="D296" s="83">
        <f t="shared" si="26"/>
        <v>5.5625</v>
      </c>
      <c r="E296" s="83">
        <f t="shared" si="26"/>
        <v>11.125</v>
      </c>
      <c r="F296" s="83">
        <f t="shared" si="26"/>
        <v>22.25</v>
      </c>
      <c r="G296" s="83">
        <f t="shared" si="26"/>
        <v>44.5</v>
      </c>
      <c r="H296" s="85">
        <f>H295+((H297-H295)/2)</f>
        <v>89</v>
      </c>
      <c r="I296" s="83">
        <f>E296*10</f>
        <v>111.25</v>
      </c>
      <c r="J296" s="83">
        <f>E296*12</f>
        <v>133.5</v>
      </c>
      <c r="L296" s="45">
        <f t="shared" si="22"/>
        <v>89</v>
      </c>
      <c r="M296" s="92">
        <v>84.45</v>
      </c>
    </row>
    <row r="297" spans="1:13" ht="15" customHeight="1">
      <c r="A297" s="46"/>
      <c r="B297" s="92">
        <v>84.5</v>
      </c>
      <c r="C297" s="83">
        <f t="shared" si="26"/>
        <v>2.8125</v>
      </c>
      <c r="D297" s="83">
        <f t="shared" si="26"/>
        <v>5.625</v>
      </c>
      <c r="E297" s="83">
        <f t="shared" si="26"/>
        <v>11.25</v>
      </c>
      <c r="F297" s="83">
        <f t="shared" si="26"/>
        <v>22.5</v>
      </c>
      <c r="G297" s="83">
        <f t="shared" si="26"/>
        <v>45</v>
      </c>
      <c r="H297" s="86">
        <f>H295+2</f>
        <v>90</v>
      </c>
      <c r="I297" s="83">
        <f t="shared" si="23"/>
        <v>112.5</v>
      </c>
      <c r="J297" s="83">
        <f t="shared" si="24"/>
        <v>135</v>
      </c>
      <c r="L297" s="45">
        <f t="shared" si="22"/>
        <v>90</v>
      </c>
      <c r="M297" s="92">
        <v>84.5</v>
      </c>
    </row>
    <row r="298" spans="1:13" ht="15" customHeight="1">
      <c r="A298" s="46"/>
      <c r="B298" s="92">
        <v>84.55</v>
      </c>
      <c r="C298" s="83">
        <f t="shared" si="26"/>
        <v>2.84375</v>
      </c>
      <c r="D298" s="83">
        <f t="shared" si="26"/>
        <v>5.6875</v>
      </c>
      <c r="E298" s="83">
        <f t="shared" si="26"/>
        <v>11.375</v>
      </c>
      <c r="F298" s="83">
        <f t="shared" si="26"/>
        <v>22.75</v>
      </c>
      <c r="G298" s="83">
        <f t="shared" si="26"/>
        <v>45.5</v>
      </c>
      <c r="H298" s="85">
        <f>H297+((H299-H297)/2)</f>
        <v>91</v>
      </c>
      <c r="I298" s="83">
        <f>E298*10</f>
        <v>113.75</v>
      </c>
      <c r="J298" s="83">
        <f>E298*12</f>
        <v>136.5</v>
      </c>
      <c r="L298" s="45">
        <f t="shared" si="22"/>
        <v>91</v>
      </c>
      <c r="M298" s="92">
        <v>84.55</v>
      </c>
    </row>
    <row r="299" spans="1:13" ht="15" customHeight="1">
      <c r="A299" s="46"/>
      <c r="B299" s="92">
        <v>84.6</v>
      </c>
      <c r="C299" s="83">
        <f t="shared" si="26"/>
        <v>2.875</v>
      </c>
      <c r="D299" s="83">
        <f t="shared" si="26"/>
        <v>5.75</v>
      </c>
      <c r="E299" s="83">
        <f t="shared" si="26"/>
        <v>11.5</v>
      </c>
      <c r="F299" s="83">
        <f t="shared" si="26"/>
        <v>23</v>
      </c>
      <c r="G299" s="83">
        <f t="shared" si="26"/>
        <v>46</v>
      </c>
      <c r="H299" s="86">
        <f>H297+2</f>
        <v>92</v>
      </c>
      <c r="I299" s="83">
        <f t="shared" si="23"/>
        <v>115</v>
      </c>
      <c r="J299" s="83">
        <f t="shared" si="24"/>
        <v>138</v>
      </c>
      <c r="L299" s="45">
        <f t="shared" si="22"/>
        <v>92</v>
      </c>
      <c r="M299" s="92">
        <v>84.6</v>
      </c>
    </row>
    <row r="300" spans="1:13" ht="15" customHeight="1">
      <c r="A300" s="46"/>
      <c r="B300" s="92">
        <v>84.65</v>
      </c>
      <c r="C300" s="83">
        <f t="shared" si="26"/>
        <v>2.90625</v>
      </c>
      <c r="D300" s="83">
        <f t="shared" si="26"/>
        <v>5.8125</v>
      </c>
      <c r="E300" s="83">
        <f t="shared" si="26"/>
        <v>11.625</v>
      </c>
      <c r="F300" s="83">
        <f t="shared" si="26"/>
        <v>23.25</v>
      </c>
      <c r="G300" s="83">
        <f t="shared" si="26"/>
        <v>46.5</v>
      </c>
      <c r="H300" s="85">
        <f>H299+((H301-H299)/2)</f>
        <v>93</v>
      </c>
      <c r="I300" s="83">
        <f>E300*10</f>
        <v>116.25</v>
      </c>
      <c r="J300" s="83">
        <f>E300*12</f>
        <v>139.5</v>
      </c>
      <c r="L300" s="45">
        <f t="shared" si="22"/>
        <v>93</v>
      </c>
      <c r="M300" s="92">
        <v>84.65</v>
      </c>
    </row>
    <row r="301" spans="1:13" ht="15" customHeight="1">
      <c r="A301" s="46"/>
      <c r="B301" s="92">
        <v>84.7</v>
      </c>
      <c r="C301" s="83">
        <f t="shared" si="26"/>
        <v>2.9375</v>
      </c>
      <c r="D301" s="83">
        <f t="shared" si="26"/>
        <v>5.875</v>
      </c>
      <c r="E301" s="83">
        <f t="shared" si="26"/>
        <v>11.75</v>
      </c>
      <c r="F301" s="83">
        <f t="shared" si="26"/>
        <v>23.5</v>
      </c>
      <c r="G301" s="83">
        <f t="shared" si="26"/>
        <v>47</v>
      </c>
      <c r="H301" s="86">
        <f>H299+2</f>
        <v>94</v>
      </c>
      <c r="I301" s="83">
        <f t="shared" si="23"/>
        <v>117.5</v>
      </c>
      <c r="J301" s="83">
        <f t="shared" si="24"/>
        <v>141</v>
      </c>
      <c r="L301" s="45">
        <f t="shared" si="22"/>
        <v>94</v>
      </c>
      <c r="M301" s="92">
        <v>84.7</v>
      </c>
    </row>
    <row r="302" spans="1:13" ht="15" customHeight="1">
      <c r="A302" s="46"/>
      <c r="B302" s="92">
        <v>84.75</v>
      </c>
      <c r="C302" s="83">
        <f t="shared" si="26"/>
        <v>2.96875</v>
      </c>
      <c r="D302" s="83">
        <f t="shared" si="26"/>
        <v>5.9375</v>
      </c>
      <c r="E302" s="83">
        <f t="shared" si="26"/>
        <v>11.875</v>
      </c>
      <c r="F302" s="83">
        <f t="shared" si="26"/>
        <v>23.75</v>
      </c>
      <c r="G302" s="83">
        <f t="shared" si="26"/>
        <v>47.5</v>
      </c>
      <c r="H302" s="85">
        <f>H301+((H303-H301)/2)</f>
        <v>95</v>
      </c>
      <c r="I302" s="83">
        <f>E302*10</f>
        <v>118.75</v>
      </c>
      <c r="J302" s="83">
        <f>E302*12</f>
        <v>142.5</v>
      </c>
      <c r="L302" s="45">
        <f t="shared" si="22"/>
        <v>95</v>
      </c>
      <c r="M302" s="92">
        <v>84.75</v>
      </c>
    </row>
    <row r="303" spans="1:13" ht="15" customHeight="1">
      <c r="A303" s="46"/>
      <c r="B303" s="92">
        <v>84.8</v>
      </c>
      <c r="C303" s="83">
        <f t="shared" si="26"/>
        <v>3</v>
      </c>
      <c r="D303" s="83">
        <f t="shared" si="26"/>
        <v>6</v>
      </c>
      <c r="E303" s="83">
        <f t="shared" si="26"/>
        <v>12</v>
      </c>
      <c r="F303" s="83">
        <f t="shared" si="26"/>
        <v>24</v>
      </c>
      <c r="G303" s="83">
        <f t="shared" si="26"/>
        <v>48</v>
      </c>
      <c r="H303" s="86">
        <f>H301+2</f>
        <v>96</v>
      </c>
      <c r="I303" s="83">
        <f t="shared" si="23"/>
        <v>120</v>
      </c>
      <c r="J303" s="83">
        <f t="shared" si="24"/>
        <v>144</v>
      </c>
      <c r="L303" s="45">
        <f t="shared" si="22"/>
        <v>96</v>
      </c>
      <c r="M303" s="92">
        <v>84.8</v>
      </c>
    </row>
    <row r="304" spans="1:13" ht="15" customHeight="1">
      <c r="A304" s="46"/>
      <c r="B304" s="92">
        <v>84.85</v>
      </c>
      <c r="C304" s="83">
        <f t="shared" si="26"/>
        <v>3.03125</v>
      </c>
      <c r="D304" s="83">
        <f t="shared" si="26"/>
        <v>6.0625</v>
      </c>
      <c r="E304" s="83">
        <f t="shared" si="26"/>
        <v>12.125</v>
      </c>
      <c r="F304" s="83">
        <f t="shared" si="26"/>
        <v>24.25</v>
      </c>
      <c r="G304" s="83">
        <f t="shared" si="26"/>
        <v>48.5</v>
      </c>
      <c r="H304" s="85">
        <f>H303+((H305-H303)/2)</f>
        <v>97</v>
      </c>
      <c r="I304" s="83">
        <f>E304*10</f>
        <v>121.25</v>
      </c>
      <c r="J304" s="83">
        <f>E304*12</f>
        <v>145.5</v>
      </c>
      <c r="L304" s="45">
        <f t="shared" si="22"/>
        <v>97</v>
      </c>
      <c r="M304" s="92">
        <v>84.85</v>
      </c>
    </row>
    <row r="305" spans="1:13" ht="15" customHeight="1">
      <c r="A305" s="46"/>
      <c r="B305" s="92">
        <v>84.9</v>
      </c>
      <c r="C305" s="83">
        <f t="shared" si="26"/>
        <v>3.0625</v>
      </c>
      <c r="D305" s="83">
        <f t="shared" si="26"/>
        <v>6.125</v>
      </c>
      <c r="E305" s="83">
        <f t="shared" si="26"/>
        <v>12.25</v>
      </c>
      <c r="F305" s="83">
        <f t="shared" si="26"/>
        <v>24.5</v>
      </c>
      <c r="G305" s="83">
        <f t="shared" si="26"/>
        <v>49</v>
      </c>
      <c r="H305" s="86">
        <f>H303+2</f>
        <v>98</v>
      </c>
      <c r="I305" s="83">
        <f t="shared" si="23"/>
        <v>122.5</v>
      </c>
      <c r="J305" s="83">
        <f t="shared" si="24"/>
        <v>147</v>
      </c>
      <c r="L305" s="45">
        <f t="shared" si="22"/>
        <v>98</v>
      </c>
      <c r="M305" s="92">
        <v>84.9</v>
      </c>
    </row>
    <row r="306" spans="1:13" ht="15" customHeight="1">
      <c r="A306" s="46"/>
      <c r="B306" s="92">
        <v>84.95</v>
      </c>
      <c r="C306" s="83">
        <f>D306/2</f>
        <v>3.09375</v>
      </c>
      <c r="D306" s="83">
        <f>E306/2</f>
        <v>6.1875</v>
      </c>
      <c r="E306" s="83">
        <f>F306/2</f>
        <v>12.375</v>
      </c>
      <c r="F306" s="83">
        <f>G306/2</f>
        <v>24.75</v>
      </c>
      <c r="G306" s="83">
        <f>H306/2</f>
        <v>49.5</v>
      </c>
      <c r="H306" s="85">
        <f>H305+((H307-H305)/2)</f>
        <v>99</v>
      </c>
      <c r="I306" s="83">
        <f>E306*10</f>
        <v>123.75</v>
      </c>
      <c r="J306" s="83">
        <f>E306*12</f>
        <v>148.5</v>
      </c>
      <c r="L306" s="45">
        <f t="shared" si="22"/>
        <v>99</v>
      </c>
      <c r="M306" s="92">
        <v>84.95</v>
      </c>
    </row>
    <row r="307" spans="1:13" ht="15" customHeight="1">
      <c r="A307" s="46"/>
      <c r="B307" s="92">
        <v>85</v>
      </c>
      <c r="C307" s="83">
        <f t="shared" ref="C307:G325" si="27">D307/2</f>
        <v>3.125</v>
      </c>
      <c r="D307" s="83">
        <f t="shared" si="27"/>
        <v>6.25</v>
      </c>
      <c r="E307" s="83">
        <f t="shared" si="27"/>
        <v>12.5</v>
      </c>
      <c r="F307" s="83">
        <f t="shared" si="27"/>
        <v>25</v>
      </c>
      <c r="G307" s="83">
        <f t="shared" si="27"/>
        <v>50</v>
      </c>
      <c r="H307" s="86">
        <v>100</v>
      </c>
      <c r="I307" s="83">
        <f t="shared" si="23"/>
        <v>125</v>
      </c>
      <c r="J307" s="83">
        <f t="shared" si="24"/>
        <v>150</v>
      </c>
      <c r="L307" s="45">
        <f t="shared" si="22"/>
        <v>100</v>
      </c>
      <c r="M307" s="92">
        <v>85</v>
      </c>
    </row>
    <row r="308" spans="1:13" ht="15" customHeight="1">
      <c r="A308" s="46"/>
      <c r="B308" s="92">
        <v>85.05</v>
      </c>
      <c r="C308" s="83">
        <f t="shared" si="27"/>
        <v>3.1640625</v>
      </c>
      <c r="D308" s="83">
        <f t="shared" si="27"/>
        <v>6.328125</v>
      </c>
      <c r="E308" s="83">
        <f t="shared" si="27"/>
        <v>12.65625</v>
      </c>
      <c r="F308" s="83">
        <f t="shared" si="27"/>
        <v>25.3125</v>
      </c>
      <c r="G308" s="83">
        <f t="shared" si="27"/>
        <v>50.625</v>
      </c>
      <c r="H308" s="85">
        <f>H307+((H309-H307)/2)</f>
        <v>101.25</v>
      </c>
      <c r="I308" s="83">
        <f>E308*10</f>
        <v>126.5625</v>
      </c>
      <c r="J308" s="83">
        <f>E308*12</f>
        <v>151.875</v>
      </c>
      <c r="L308" s="45">
        <f t="shared" si="22"/>
        <v>101.25</v>
      </c>
      <c r="M308" s="92">
        <v>85.05</v>
      </c>
    </row>
    <row r="309" spans="1:13" ht="15" customHeight="1">
      <c r="A309" s="46"/>
      <c r="B309" s="92">
        <v>85.1</v>
      </c>
      <c r="C309" s="83">
        <f t="shared" si="27"/>
        <v>3.203125</v>
      </c>
      <c r="D309" s="83">
        <f t="shared" si="27"/>
        <v>6.40625</v>
      </c>
      <c r="E309" s="83">
        <f t="shared" si="27"/>
        <v>12.8125</v>
      </c>
      <c r="F309" s="83">
        <f t="shared" si="27"/>
        <v>25.625</v>
      </c>
      <c r="G309" s="83">
        <f t="shared" si="27"/>
        <v>51.25</v>
      </c>
      <c r="H309" s="85">
        <f>H307+((H327-H307)/10)</f>
        <v>102.5</v>
      </c>
      <c r="I309" s="83">
        <f t="shared" si="23"/>
        <v>128.125</v>
      </c>
      <c r="J309" s="83">
        <f t="shared" si="24"/>
        <v>153.75</v>
      </c>
      <c r="L309" s="45">
        <f t="shared" si="22"/>
        <v>102.5</v>
      </c>
      <c r="M309" s="92">
        <v>85.1</v>
      </c>
    </row>
    <row r="310" spans="1:13" ht="15" customHeight="1">
      <c r="A310" s="46"/>
      <c r="B310" s="92">
        <v>85.15</v>
      </c>
      <c r="C310" s="83">
        <f t="shared" si="27"/>
        <v>3.2421875</v>
      </c>
      <c r="D310" s="83">
        <f t="shared" si="27"/>
        <v>6.484375</v>
      </c>
      <c r="E310" s="83">
        <f t="shared" si="27"/>
        <v>12.96875</v>
      </c>
      <c r="F310" s="83">
        <f t="shared" si="27"/>
        <v>25.9375</v>
      </c>
      <c r="G310" s="83">
        <f t="shared" si="27"/>
        <v>51.875</v>
      </c>
      <c r="H310" s="85">
        <f>H309+((H311-H309)/2)</f>
        <v>103.75</v>
      </c>
      <c r="I310" s="83">
        <f>E310*10</f>
        <v>129.6875</v>
      </c>
      <c r="J310" s="83">
        <f>E310*12</f>
        <v>155.625</v>
      </c>
      <c r="L310" s="45">
        <f t="shared" si="22"/>
        <v>103.75</v>
      </c>
      <c r="M310" s="92">
        <v>85.15</v>
      </c>
    </row>
    <row r="311" spans="1:13" ht="15" customHeight="1">
      <c r="A311" s="46"/>
      <c r="B311" s="92">
        <v>85.2</v>
      </c>
      <c r="C311" s="83">
        <f t="shared" si="27"/>
        <v>3.28125</v>
      </c>
      <c r="D311" s="83">
        <f t="shared" si="27"/>
        <v>6.5625</v>
      </c>
      <c r="E311" s="83">
        <f t="shared" si="27"/>
        <v>13.125</v>
      </c>
      <c r="F311" s="83">
        <f t="shared" si="27"/>
        <v>26.25</v>
      </c>
      <c r="G311" s="83">
        <f t="shared" si="27"/>
        <v>52.5</v>
      </c>
      <c r="H311" s="86">
        <f>H309+2.5</f>
        <v>105</v>
      </c>
      <c r="I311" s="83">
        <f t="shared" si="23"/>
        <v>131.25</v>
      </c>
      <c r="J311" s="83">
        <f t="shared" si="24"/>
        <v>157.5</v>
      </c>
      <c r="L311" s="45">
        <f t="shared" si="22"/>
        <v>105</v>
      </c>
      <c r="M311" s="92">
        <v>85.2</v>
      </c>
    </row>
    <row r="312" spans="1:13" ht="15" customHeight="1">
      <c r="A312" s="46"/>
      <c r="B312" s="92">
        <v>85.25</v>
      </c>
      <c r="C312" s="83">
        <f t="shared" si="27"/>
        <v>3.3203125</v>
      </c>
      <c r="D312" s="83">
        <f t="shared" si="27"/>
        <v>6.640625</v>
      </c>
      <c r="E312" s="83">
        <f t="shared" si="27"/>
        <v>13.28125</v>
      </c>
      <c r="F312" s="83">
        <f t="shared" si="27"/>
        <v>26.5625</v>
      </c>
      <c r="G312" s="83">
        <f t="shared" si="27"/>
        <v>53.125</v>
      </c>
      <c r="H312" s="85">
        <f>H311+((H313-H311)/2)</f>
        <v>106.25</v>
      </c>
      <c r="I312" s="83">
        <f>E312*10</f>
        <v>132.8125</v>
      </c>
      <c r="J312" s="83">
        <f>E312*12</f>
        <v>159.375</v>
      </c>
      <c r="L312" s="45">
        <f t="shared" si="22"/>
        <v>106.25</v>
      </c>
      <c r="M312" s="92">
        <v>85.25</v>
      </c>
    </row>
    <row r="313" spans="1:13" ht="15" customHeight="1">
      <c r="A313" s="46"/>
      <c r="B313" s="92">
        <v>85.3</v>
      </c>
      <c r="C313" s="83">
        <f t="shared" si="27"/>
        <v>3.359375</v>
      </c>
      <c r="D313" s="83">
        <f t="shared" si="27"/>
        <v>6.71875</v>
      </c>
      <c r="E313" s="83">
        <f t="shared" si="27"/>
        <v>13.4375</v>
      </c>
      <c r="F313" s="83">
        <f t="shared" si="27"/>
        <v>26.875</v>
      </c>
      <c r="G313" s="83">
        <f t="shared" si="27"/>
        <v>53.75</v>
      </c>
      <c r="H313" s="86">
        <f>H311+2.5</f>
        <v>107.5</v>
      </c>
      <c r="I313" s="83">
        <f t="shared" si="23"/>
        <v>134.375</v>
      </c>
      <c r="J313" s="83">
        <f t="shared" si="24"/>
        <v>161.25</v>
      </c>
      <c r="L313" s="45">
        <f t="shared" si="22"/>
        <v>107.5</v>
      </c>
      <c r="M313" s="92">
        <v>85.3</v>
      </c>
    </row>
    <row r="314" spans="1:13" ht="15" customHeight="1">
      <c r="A314" s="46"/>
      <c r="B314" s="92">
        <v>85.35</v>
      </c>
      <c r="C314" s="83">
        <f t="shared" si="27"/>
        <v>3.3984375</v>
      </c>
      <c r="D314" s="83">
        <f t="shared" si="27"/>
        <v>6.796875</v>
      </c>
      <c r="E314" s="83">
        <f t="shared" si="27"/>
        <v>13.59375</v>
      </c>
      <c r="F314" s="83">
        <f t="shared" si="27"/>
        <v>27.1875</v>
      </c>
      <c r="G314" s="83">
        <f t="shared" si="27"/>
        <v>54.375</v>
      </c>
      <c r="H314" s="85">
        <f>H313+((H315-H313)/2)</f>
        <v>108.75</v>
      </c>
      <c r="I314" s="83">
        <f>E314*10</f>
        <v>135.9375</v>
      </c>
      <c r="J314" s="83">
        <f>E314*12</f>
        <v>163.125</v>
      </c>
      <c r="L314" s="45">
        <f t="shared" si="22"/>
        <v>108.75</v>
      </c>
      <c r="M314" s="92">
        <v>85.35</v>
      </c>
    </row>
    <row r="315" spans="1:13" ht="15" customHeight="1">
      <c r="A315" s="46"/>
      <c r="B315" s="92">
        <v>85.4</v>
      </c>
      <c r="C315" s="83">
        <f t="shared" si="27"/>
        <v>3.4375</v>
      </c>
      <c r="D315" s="83">
        <f t="shared" si="27"/>
        <v>6.875</v>
      </c>
      <c r="E315" s="83">
        <f t="shared" si="27"/>
        <v>13.75</v>
      </c>
      <c r="F315" s="83">
        <f t="shared" si="27"/>
        <v>27.5</v>
      </c>
      <c r="G315" s="83">
        <f t="shared" si="27"/>
        <v>55</v>
      </c>
      <c r="H315" s="86">
        <f>H313+2.5</f>
        <v>110</v>
      </c>
      <c r="I315" s="83">
        <f t="shared" si="23"/>
        <v>137.5</v>
      </c>
      <c r="J315" s="83">
        <f t="shared" si="24"/>
        <v>165</v>
      </c>
      <c r="L315" s="45">
        <f t="shared" si="22"/>
        <v>110</v>
      </c>
      <c r="M315" s="92">
        <v>85.4</v>
      </c>
    </row>
    <row r="316" spans="1:13" ht="15" customHeight="1">
      <c r="A316" s="46"/>
      <c r="B316" s="92">
        <v>85.45</v>
      </c>
      <c r="C316" s="83">
        <f t="shared" si="27"/>
        <v>3.4765625</v>
      </c>
      <c r="D316" s="83">
        <f t="shared" si="27"/>
        <v>6.953125</v>
      </c>
      <c r="E316" s="83">
        <f t="shared" si="27"/>
        <v>13.90625</v>
      </c>
      <c r="F316" s="83">
        <f t="shared" si="27"/>
        <v>27.8125</v>
      </c>
      <c r="G316" s="83">
        <f t="shared" si="27"/>
        <v>55.625</v>
      </c>
      <c r="H316" s="85">
        <f>H315+((H317-H315)/2)</f>
        <v>111.25</v>
      </c>
      <c r="I316" s="83">
        <f>E316*10</f>
        <v>139.0625</v>
      </c>
      <c r="J316" s="83">
        <f>E316*12</f>
        <v>166.875</v>
      </c>
      <c r="L316" s="45">
        <f t="shared" si="22"/>
        <v>111.25</v>
      </c>
      <c r="M316" s="92">
        <v>85.45</v>
      </c>
    </row>
    <row r="317" spans="1:13" ht="15" customHeight="1">
      <c r="A317" s="46"/>
      <c r="B317" s="92">
        <v>85.5</v>
      </c>
      <c r="C317" s="83">
        <f t="shared" si="27"/>
        <v>3.515625</v>
      </c>
      <c r="D317" s="83">
        <f t="shared" si="27"/>
        <v>7.03125</v>
      </c>
      <c r="E317" s="83">
        <f t="shared" si="27"/>
        <v>14.0625</v>
      </c>
      <c r="F317" s="83">
        <f t="shared" si="27"/>
        <v>28.125</v>
      </c>
      <c r="G317" s="83">
        <f t="shared" si="27"/>
        <v>56.25</v>
      </c>
      <c r="H317" s="86">
        <f>H315+2.5</f>
        <v>112.5</v>
      </c>
      <c r="I317" s="83">
        <f t="shared" si="23"/>
        <v>140.625</v>
      </c>
      <c r="J317" s="83">
        <f t="shared" si="24"/>
        <v>168.75</v>
      </c>
      <c r="L317" s="45">
        <f t="shared" si="22"/>
        <v>112.5</v>
      </c>
      <c r="M317" s="92">
        <v>85.5</v>
      </c>
    </row>
    <row r="318" spans="1:13" ht="15" customHeight="1">
      <c r="A318" s="46"/>
      <c r="B318" s="92">
        <v>85.55</v>
      </c>
      <c r="C318" s="83">
        <f t="shared" si="27"/>
        <v>3.5546875</v>
      </c>
      <c r="D318" s="83">
        <f t="shared" si="27"/>
        <v>7.109375</v>
      </c>
      <c r="E318" s="83">
        <f t="shared" si="27"/>
        <v>14.21875</v>
      </c>
      <c r="F318" s="83">
        <f t="shared" si="27"/>
        <v>28.4375</v>
      </c>
      <c r="G318" s="83">
        <f t="shared" si="27"/>
        <v>56.875</v>
      </c>
      <c r="H318" s="85">
        <f>H317+((H319-H317)/2)</f>
        <v>113.75</v>
      </c>
      <c r="I318" s="83">
        <f>E318*10</f>
        <v>142.1875</v>
      </c>
      <c r="J318" s="83">
        <f>E318*12</f>
        <v>170.625</v>
      </c>
      <c r="L318" s="45">
        <f t="shared" si="22"/>
        <v>113.75</v>
      </c>
      <c r="M318" s="92">
        <v>85.55</v>
      </c>
    </row>
    <row r="319" spans="1:13" ht="15" customHeight="1">
      <c r="A319" s="46"/>
      <c r="B319" s="92">
        <v>85.6</v>
      </c>
      <c r="C319" s="83">
        <f t="shared" si="27"/>
        <v>3.59375</v>
      </c>
      <c r="D319" s="83">
        <f t="shared" si="27"/>
        <v>7.1875</v>
      </c>
      <c r="E319" s="83">
        <f t="shared" si="27"/>
        <v>14.375</v>
      </c>
      <c r="F319" s="83">
        <f t="shared" si="27"/>
        <v>28.75</v>
      </c>
      <c r="G319" s="83">
        <f t="shared" si="27"/>
        <v>57.5</v>
      </c>
      <c r="H319" s="86">
        <f>H317+2.5</f>
        <v>115</v>
      </c>
      <c r="I319" s="83">
        <f t="shared" si="23"/>
        <v>143.75</v>
      </c>
      <c r="J319" s="83">
        <f t="shared" si="24"/>
        <v>172.5</v>
      </c>
      <c r="L319" s="45">
        <f t="shared" si="22"/>
        <v>115</v>
      </c>
      <c r="M319" s="92">
        <v>85.6</v>
      </c>
    </row>
    <row r="320" spans="1:13" ht="15" customHeight="1">
      <c r="A320" s="46"/>
      <c r="B320" s="92">
        <v>85.65</v>
      </c>
      <c r="C320" s="83">
        <f t="shared" si="27"/>
        <v>3.6328125</v>
      </c>
      <c r="D320" s="83">
        <f t="shared" si="27"/>
        <v>7.265625</v>
      </c>
      <c r="E320" s="83">
        <f t="shared" si="27"/>
        <v>14.53125</v>
      </c>
      <c r="F320" s="83">
        <f t="shared" si="27"/>
        <v>29.0625</v>
      </c>
      <c r="G320" s="83">
        <f t="shared" si="27"/>
        <v>58.125</v>
      </c>
      <c r="H320" s="85">
        <f>H319+((H321-H319)/2)</f>
        <v>116.25</v>
      </c>
      <c r="I320" s="83">
        <f>E320*10</f>
        <v>145.3125</v>
      </c>
      <c r="J320" s="83">
        <f>E320*12</f>
        <v>174.375</v>
      </c>
      <c r="L320" s="45">
        <f t="shared" si="22"/>
        <v>116.25</v>
      </c>
      <c r="M320" s="92">
        <v>85.65</v>
      </c>
    </row>
    <row r="321" spans="1:13" ht="15" customHeight="1">
      <c r="A321" s="46"/>
      <c r="B321" s="92">
        <v>85.7</v>
      </c>
      <c r="C321" s="83">
        <f t="shared" si="27"/>
        <v>3.671875</v>
      </c>
      <c r="D321" s="83">
        <f t="shared" si="27"/>
        <v>7.34375</v>
      </c>
      <c r="E321" s="83">
        <f t="shared" si="27"/>
        <v>14.6875</v>
      </c>
      <c r="F321" s="83">
        <f t="shared" si="27"/>
        <v>29.375</v>
      </c>
      <c r="G321" s="83">
        <f t="shared" si="27"/>
        <v>58.75</v>
      </c>
      <c r="H321" s="86">
        <f>H319+2.5</f>
        <v>117.5</v>
      </c>
      <c r="I321" s="83">
        <f t="shared" si="23"/>
        <v>146.875</v>
      </c>
      <c r="J321" s="83">
        <f t="shared" si="24"/>
        <v>176.25</v>
      </c>
      <c r="L321" s="45">
        <f t="shared" si="22"/>
        <v>117.5</v>
      </c>
      <c r="M321" s="92">
        <v>85.7</v>
      </c>
    </row>
    <row r="322" spans="1:13" ht="15" customHeight="1">
      <c r="A322" s="46"/>
      <c r="B322" s="92">
        <v>85.75</v>
      </c>
      <c r="C322" s="83">
        <f t="shared" si="27"/>
        <v>3.7109375</v>
      </c>
      <c r="D322" s="83">
        <f t="shared" si="27"/>
        <v>7.421875</v>
      </c>
      <c r="E322" s="83">
        <f t="shared" si="27"/>
        <v>14.84375</v>
      </c>
      <c r="F322" s="83">
        <f t="shared" si="27"/>
        <v>29.6875</v>
      </c>
      <c r="G322" s="83">
        <f t="shared" si="27"/>
        <v>59.375</v>
      </c>
      <c r="H322" s="85">
        <f>H321+((H323-H321)/2)</f>
        <v>118.75</v>
      </c>
      <c r="I322" s="83">
        <f>E322*10</f>
        <v>148.4375</v>
      </c>
      <c r="J322" s="83">
        <f>E322*12</f>
        <v>178.125</v>
      </c>
      <c r="L322" s="45">
        <f t="shared" si="22"/>
        <v>118.75</v>
      </c>
      <c r="M322" s="92">
        <v>85.75</v>
      </c>
    </row>
    <row r="323" spans="1:13" ht="15" customHeight="1">
      <c r="A323" s="46"/>
      <c r="B323" s="92">
        <v>85.8</v>
      </c>
      <c r="C323" s="83">
        <f t="shared" si="27"/>
        <v>3.75</v>
      </c>
      <c r="D323" s="83">
        <f t="shared" si="27"/>
        <v>7.5</v>
      </c>
      <c r="E323" s="83">
        <f t="shared" si="27"/>
        <v>15</v>
      </c>
      <c r="F323" s="83">
        <f t="shared" si="27"/>
        <v>30</v>
      </c>
      <c r="G323" s="83">
        <f t="shared" si="27"/>
        <v>60</v>
      </c>
      <c r="H323" s="86">
        <f>H321+2.5</f>
        <v>120</v>
      </c>
      <c r="I323" s="83">
        <f t="shared" si="23"/>
        <v>150</v>
      </c>
      <c r="J323" s="83">
        <f t="shared" si="24"/>
        <v>180</v>
      </c>
      <c r="L323" s="45">
        <f t="shared" si="22"/>
        <v>120</v>
      </c>
      <c r="M323" s="92">
        <v>85.8</v>
      </c>
    </row>
    <row r="324" spans="1:13" ht="15" customHeight="1">
      <c r="A324" s="46"/>
      <c r="B324" s="92">
        <v>85.85</v>
      </c>
      <c r="C324" s="83">
        <f t="shared" si="27"/>
        <v>3.7890625</v>
      </c>
      <c r="D324" s="83">
        <f t="shared" si="27"/>
        <v>7.578125</v>
      </c>
      <c r="E324" s="83">
        <f t="shared" si="27"/>
        <v>15.15625</v>
      </c>
      <c r="F324" s="83">
        <f t="shared" si="27"/>
        <v>30.3125</v>
      </c>
      <c r="G324" s="83">
        <f t="shared" si="27"/>
        <v>60.625</v>
      </c>
      <c r="H324" s="85">
        <f>H323+((H325-H323)/2)</f>
        <v>121.25</v>
      </c>
      <c r="I324" s="83">
        <f>E324*10</f>
        <v>151.5625</v>
      </c>
      <c r="J324" s="83">
        <f>E324*12</f>
        <v>181.875</v>
      </c>
      <c r="L324" s="45">
        <f t="shared" si="22"/>
        <v>121.25</v>
      </c>
      <c r="M324" s="92">
        <v>85.85</v>
      </c>
    </row>
    <row r="325" spans="1:13" ht="15" customHeight="1">
      <c r="A325" s="46"/>
      <c r="B325" s="92">
        <v>85.9</v>
      </c>
      <c r="C325" s="83">
        <f t="shared" si="27"/>
        <v>3.828125</v>
      </c>
      <c r="D325" s="83">
        <f t="shared" si="27"/>
        <v>7.65625</v>
      </c>
      <c r="E325" s="83">
        <f t="shared" si="27"/>
        <v>15.3125</v>
      </c>
      <c r="F325" s="83">
        <f t="shared" si="27"/>
        <v>30.625</v>
      </c>
      <c r="G325" s="83">
        <f t="shared" si="27"/>
        <v>61.25</v>
      </c>
      <c r="H325" s="86">
        <f>H323+2.5</f>
        <v>122.5</v>
      </c>
      <c r="I325" s="83">
        <f t="shared" si="23"/>
        <v>153.125</v>
      </c>
      <c r="J325" s="83">
        <f t="shared" si="24"/>
        <v>183.75</v>
      </c>
      <c r="L325" s="45">
        <f t="shared" si="22"/>
        <v>122.5</v>
      </c>
      <c r="M325" s="92">
        <v>85.9</v>
      </c>
    </row>
    <row r="326" spans="1:13" ht="15" customHeight="1">
      <c r="A326" s="46"/>
      <c r="B326" s="92">
        <v>85.95</v>
      </c>
      <c r="C326" s="83">
        <f>D326/2</f>
        <v>3.8671875</v>
      </c>
      <c r="D326" s="83">
        <f>E326/2</f>
        <v>7.734375</v>
      </c>
      <c r="E326" s="83">
        <f>F326/2</f>
        <v>15.46875</v>
      </c>
      <c r="F326" s="83">
        <f>G326/2</f>
        <v>30.9375</v>
      </c>
      <c r="G326" s="83">
        <f>H326/2</f>
        <v>61.875</v>
      </c>
      <c r="H326" s="85">
        <f>H325+((H327-H325)/2)</f>
        <v>123.75</v>
      </c>
      <c r="I326" s="83">
        <f>E326*10</f>
        <v>154.6875</v>
      </c>
      <c r="J326" s="83">
        <f>E326*12</f>
        <v>185.625</v>
      </c>
      <c r="L326" s="45">
        <f t="shared" si="22"/>
        <v>123.75</v>
      </c>
      <c r="M326" s="92">
        <v>85.95</v>
      </c>
    </row>
    <row r="327" spans="1:13" ht="15" customHeight="1">
      <c r="A327" s="46"/>
      <c r="B327" s="92">
        <v>86</v>
      </c>
      <c r="C327" s="83">
        <f t="shared" ref="C327:G345" si="28">D327/2</f>
        <v>3.90625</v>
      </c>
      <c r="D327" s="83">
        <f t="shared" si="28"/>
        <v>7.8125</v>
      </c>
      <c r="E327" s="83">
        <f t="shared" si="28"/>
        <v>15.625</v>
      </c>
      <c r="F327" s="83">
        <f t="shared" si="28"/>
        <v>31.25</v>
      </c>
      <c r="G327" s="83">
        <f t="shared" si="28"/>
        <v>62.5</v>
      </c>
      <c r="H327" s="86">
        <v>125</v>
      </c>
      <c r="I327" s="83">
        <f t="shared" si="23"/>
        <v>156.25</v>
      </c>
      <c r="J327" s="83">
        <f t="shared" si="24"/>
        <v>187.5</v>
      </c>
      <c r="L327" s="45">
        <f t="shared" si="22"/>
        <v>125</v>
      </c>
      <c r="M327" s="92">
        <v>86</v>
      </c>
    </row>
    <row r="328" spans="1:13" ht="15" customHeight="1">
      <c r="A328" s="46"/>
      <c r="B328" s="92">
        <v>86.05</v>
      </c>
      <c r="C328" s="83">
        <f t="shared" si="28"/>
        <v>3.9609375</v>
      </c>
      <c r="D328" s="83">
        <f t="shared" si="28"/>
        <v>7.921875</v>
      </c>
      <c r="E328" s="83">
        <f t="shared" si="28"/>
        <v>15.84375</v>
      </c>
      <c r="F328" s="83">
        <f t="shared" si="28"/>
        <v>31.6875</v>
      </c>
      <c r="G328" s="83">
        <f t="shared" si="28"/>
        <v>63.375</v>
      </c>
      <c r="H328" s="85">
        <f>H327+((H329-H327)/2)</f>
        <v>126.75</v>
      </c>
      <c r="I328" s="83">
        <f>E328*10</f>
        <v>158.4375</v>
      </c>
      <c r="J328" s="83">
        <f>E328*12</f>
        <v>190.125</v>
      </c>
      <c r="L328" s="45">
        <f t="shared" ref="L328:L391" si="29">+H328</f>
        <v>126.75</v>
      </c>
      <c r="M328" s="92">
        <v>86.05</v>
      </c>
    </row>
    <row r="329" spans="1:13" ht="15" customHeight="1">
      <c r="A329" s="46"/>
      <c r="B329" s="92">
        <v>86.1</v>
      </c>
      <c r="C329" s="83">
        <f t="shared" si="28"/>
        <v>4.015625</v>
      </c>
      <c r="D329" s="83">
        <f t="shared" si="28"/>
        <v>8.03125</v>
      </c>
      <c r="E329" s="83">
        <f t="shared" si="28"/>
        <v>16.0625</v>
      </c>
      <c r="F329" s="83">
        <f t="shared" si="28"/>
        <v>32.125</v>
      </c>
      <c r="G329" s="83">
        <f t="shared" si="28"/>
        <v>64.25</v>
      </c>
      <c r="H329" s="85">
        <f>H327+((H347-H327)/10)</f>
        <v>128.5</v>
      </c>
      <c r="I329" s="83">
        <f t="shared" si="23"/>
        <v>160.625</v>
      </c>
      <c r="J329" s="83">
        <f t="shared" si="24"/>
        <v>192.75</v>
      </c>
      <c r="L329" s="45">
        <f t="shared" si="29"/>
        <v>128.5</v>
      </c>
      <c r="M329" s="92">
        <v>86.1</v>
      </c>
    </row>
    <row r="330" spans="1:13" ht="15" customHeight="1">
      <c r="A330" s="46"/>
      <c r="B330" s="92">
        <v>86.15</v>
      </c>
      <c r="C330" s="83">
        <f t="shared" si="28"/>
        <v>4.0703125</v>
      </c>
      <c r="D330" s="83">
        <f t="shared" si="28"/>
        <v>8.140625</v>
      </c>
      <c r="E330" s="83">
        <f t="shared" si="28"/>
        <v>16.28125</v>
      </c>
      <c r="F330" s="83">
        <f t="shared" si="28"/>
        <v>32.5625</v>
      </c>
      <c r="G330" s="83">
        <f t="shared" si="28"/>
        <v>65.125</v>
      </c>
      <c r="H330" s="85">
        <f>H329+((H331-H329)/2)</f>
        <v>130.25</v>
      </c>
      <c r="I330" s="83">
        <f>E330*10</f>
        <v>162.8125</v>
      </c>
      <c r="J330" s="83">
        <f>E330*12</f>
        <v>195.375</v>
      </c>
      <c r="L330" s="45">
        <f t="shared" si="29"/>
        <v>130.25</v>
      </c>
      <c r="M330" s="92">
        <v>86.15</v>
      </c>
    </row>
    <row r="331" spans="1:13" ht="15" customHeight="1">
      <c r="A331" s="46"/>
      <c r="B331" s="92">
        <v>86.2</v>
      </c>
      <c r="C331" s="83">
        <f t="shared" si="28"/>
        <v>4.125</v>
      </c>
      <c r="D331" s="83">
        <f t="shared" si="28"/>
        <v>8.25</v>
      </c>
      <c r="E331" s="83">
        <f t="shared" si="28"/>
        <v>16.5</v>
      </c>
      <c r="F331" s="83">
        <f t="shared" si="28"/>
        <v>33</v>
      </c>
      <c r="G331" s="83">
        <f t="shared" si="28"/>
        <v>66</v>
      </c>
      <c r="H331" s="86">
        <f>H329+3.5</f>
        <v>132</v>
      </c>
      <c r="I331" s="83">
        <f t="shared" si="23"/>
        <v>165</v>
      </c>
      <c r="J331" s="83">
        <f t="shared" si="24"/>
        <v>198</v>
      </c>
      <c r="L331" s="45">
        <f t="shared" si="29"/>
        <v>132</v>
      </c>
      <c r="M331" s="92">
        <v>86.2</v>
      </c>
    </row>
    <row r="332" spans="1:13" ht="15" customHeight="1">
      <c r="A332" s="46"/>
      <c r="B332" s="92">
        <v>86.25</v>
      </c>
      <c r="C332" s="83">
        <f t="shared" si="28"/>
        <v>4.1796875</v>
      </c>
      <c r="D332" s="83">
        <f t="shared" si="28"/>
        <v>8.359375</v>
      </c>
      <c r="E332" s="83">
        <f t="shared" si="28"/>
        <v>16.71875</v>
      </c>
      <c r="F332" s="83">
        <f t="shared" si="28"/>
        <v>33.4375</v>
      </c>
      <c r="G332" s="83">
        <f t="shared" si="28"/>
        <v>66.875</v>
      </c>
      <c r="H332" s="85">
        <f>H331+((H333-H331)/2)</f>
        <v>133.75</v>
      </c>
      <c r="I332" s="83">
        <f>E332*10</f>
        <v>167.1875</v>
      </c>
      <c r="J332" s="83">
        <f>E332*12</f>
        <v>200.625</v>
      </c>
      <c r="L332" s="45">
        <f t="shared" si="29"/>
        <v>133.75</v>
      </c>
      <c r="M332" s="92">
        <v>86.25</v>
      </c>
    </row>
    <row r="333" spans="1:13" ht="15" customHeight="1">
      <c r="A333" s="46"/>
      <c r="B333" s="92">
        <v>86.3</v>
      </c>
      <c r="C333" s="83">
        <f t="shared" si="28"/>
        <v>4.234375</v>
      </c>
      <c r="D333" s="83">
        <f t="shared" si="28"/>
        <v>8.46875</v>
      </c>
      <c r="E333" s="83">
        <f t="shared" si="28"/>
        <v>16.9375</v>
      </c>
      <c r="F333" s="83">
        <f t="shared" si="28"/>
        <v>33.875</v>
      </c>
      <c r="G333" s="83">
        <f t="shared" si="28"/>
        <v>67.75</v>
      </c>
      <c r="H333" s="86">
        <f>H331+3.5</f>
        <v>135.5</v>
      </c>
      <c r="I333" s="83">
        <f t="shared" si="23"/>
        <v>169.375</v>
      </c>
      <c r="J333" s="83">
        <f t="shared" si="24"/>
        <v>203.25</v>
      </c>
      <c r="L333" s="45">
        <f t="shared" si="29"/>
        <v>135.5</v>
      </c>
      <c r="M333" s="92">
        <v>86.3</v>
      </c>
    </row>
    <row r="334" spans="1:13" ht="15" customHeight="1">
      <c r="A334" s="46"/>
      <c r="B334" s="92">
        <v>86.35</v>
      </c>
      <c r="C334" s="83">
        <f t="shared" si="28"/>
        <v>4.2890625</v>
      </c>
      <c r="D334" s="83">
        <f t="shared" si="28"/>
        <v>8.578125</v>
      </c>
      <c r="E334" s="83">
        <f t="shared" si="28"/>
        <v>17.15625</v>
      </c>
      <c r="F334" s="83">
        <f t="shared" si="28"/>
        <v>34.3125</v>
      </c>
      <c r="G334" s="83">
        <f t="shared" si="28"/>
        <v>68.625</v>
      </c>
      <c r="H334" s="85">
        <f>H333+((H335-H333)/2)</f>
        <v>137.25</v>
      </c>
      <c r="I334" s="83">
        <f>E334*10</f>
        <v>171.5625</v>
      </c>
      <c r="J334" s="83">
        <f>E334*12</f>
        <v>205.875</v>
      </c>
      <c r="L334" s="45">
        <f t="shared" si="29"/>
        <v>137.25</v>
      </c>
      <c r="M334" s="92">
        <v>86.35</v>
      </c>
    </row>
    <row r="335" spans="1:13" ht="15" customHeight="1">
      <c r="A335" s="46"/>
      <c r="B335" s="92">
        <v>86.4</v>
      </c>
      <c r="C335" s="83">
        <f t="shared" si="28"/>
        <v>4.34375</v>
      </c>
      <c r="D335" s="83">
        <f t="shared" si="28"/>
        <v>8.6875</v>
      </c>
      <c r="E335" s="83">
        <f t="shared" si="28"/>
        <v>17.375</v>
      </c>
      <c r="F335" s="83">
        <f t="shared" si="28"/>
        <v>34.75</v>
      </c>
      <c r="G335" s="83">
        <f t="shared" si="28"/>
        <v>69.5</v>
      </c>
      <c r="H335" s="86">
        <f>H333+3.5</f>
        <v>139</v>
      </c>
      <c r="I335" s="83">
        <f t="shared" si="23"/>
        <v>173.75</v>
      </c>
      <c r="J335" s="83">
        <f t="shared" si="24"/>
        <v>208.5</v>
      </c>
      <c r="L335" s="45">
        <f t="shared" si="29"/>
        <v>139</v>
      </c>
      <c r="M335" s="92">
        <v>86.4</v>
      </c>
    </row>
    <row r="336" spans="1:13" ht="15" customHeight="1">
      <c r="A336" s="46"/>
      <c r="B336" s="92">
        <v>86.45</v>
      </c>
      <c r="C336" s="83">
        <f t="shared" si="28"/>
        <v>4.3984375</v>
      </c>
      <c r="D336" s="83">
        <f t="shared" si="28"/>
        <v>8.796875</v>
      </c>
      <c r="E336" s="83">
        <f t="shared" si="28"/>
        <v>17.59375</v>
      </c>
      <c r="F336" s="83">
        <f t="shared" si="28"/>
        <v>35.1875</v>
      </c>
      <c r="G336" s="83">
        <f t="shared" si="28"/>
        <v>70.375</v>
      </c>
      <c r="H336" s="85">
        <f>H335+((H337-H335)/2)</f>
        <v>140.75</v>
      </c>
      <c r="I336" s="83">
        <f>E336*10</f>
        <v>175.9375</v>
      </c>
      <c r="J336" s="83">
        <f>E336*12</f>
        <v>211.125</v>
      </c>
      <c r="L336" s="45">
        <f t="shared" si="29"/>
        <v>140.75</v>
      </c>
      <c r="M336" s="92">
        <v>86.45</v>
      </c>
    </row>
    <row r="337" spans="1:13" ht="15" customHeight="1">
      <c r="A337" s="46"/>
      <c r="B337" s="92">
        <v>86.5</v>
      </c>
      <c r="C337" s="83">
        <f t="shared" si="28"/>
        <v>4.453125</v>
      </c>
      <c r="D337" s="83">
        <f t="shared" si="28"/>
        <v>8.90625</v>
      </c>
      <c r="E337" s="83">
        <f t="shared" si="28"/>
        <v>17.8125</v>
      </c>
      <c r="F337" s="83">
        <f t="shared" si="28"/>
        <v>35.625</v>
      </c>
      <c r="G337" s="83">
        <f t="shared" si="28"/>
        <v>71.25</v>
      </c>
      <c r="H337" s="86">
        <f>H335+3.5</f>
        <v>142.5</v>
      </c>
      <c r="I337" s="83">
        <f t="shared" si="23"/>
        <v>178.125</v>
      </c>
      <c r="J337" s="83">
        <f t="shared" si="24"/>
        <v>213.75</v>
      </c>
      <c r="L337" s="45">
        <f t="shared" si="29"/>
        <v>142.5</v>
      </c>
      <c r="M337" s="92">
        <v>86.5</v>
      </c>
    </row>
    <row r="338" spans="1:13" ht="15" customHeight="1">
      <c r="A338" s="46"/>
      <c r="B338" s="92">
        <v>86.55</v>
      </c>
      <c r="C338" s="83">
        <f t="shared" si="28"/>
        <v>4.5078125</v>
      </c>
      <c r="D338" s="83">
        <f t="shared" si="28"/>
        <v>9.015625</v>
      </c>
      <c r="E338" s="83">
        <f t="shared" si="28"/>
        <v>18.03125</v>
      </c>
      <c r="F338" s="83">
        <f t="shared" si="28"/>
        <v>36.0625</v>
      </c>
      <c r="G338" s="83">
        <f t="shared" si="28"/>
        <v>72.125</v>
      </c>
      <c r="H338" s="85">
        <f>H337+((H339-H337)/2)</f>
        <v>144.25</v>
      </c>
      <c r="I338" s="83">
        <f>E338*10</f>
        <v>180.3125</v>
      </c>
      <c r="J338" s="83">
        <f>E338*12</f>
        <v>216.375</v>
      </c>
      <c r="L338" s="45">
        <f t="shared" si="29"/>
        <v>144.25</v>
      </c>
      <c r="M338" s="92">
        <v>86.55</v>
      </c>
    </row>
    <row r="339" spans="1:13" ht="15" customHeight="1">
      <c r="A339" s="46"/>
      <c r="B339" s="92">
        <v>86.6</v>
      </c>
      <c r="C339" s="83">
        <f t="shared" si="28"/>
        <v>4.5625</v>
      </c>
      <c r="D339" s="83">
        <f t="shared" si="28"/>
        <v>9.125</v>
      </c>
      <c r="E339" s="83">
        <f t="shared" si="28"/>
        <v>18.25</v>
      </c>
      <c r="F339" s="83">
        <f t="shared" si="28"/>
        <v>36.5</v>
      </c>
      <c r="G339" s="83">
        <f t="shared" si="28"/>
        <v>73</v>
      </c>
      <c r="H339" s="86">
        <f>H337+3.5</f>
        <v>146</v>
      </c>
      <c r="I339" s="83">
        <f t="shared" si="23"/>
        <v>182.5</v>
      </c>
      <c r="J339" s="83">
        <f t="shared" si="24"/>
        <v>219</v>
      </c>
      <c r="L339" s="45">
        <f t="shared" si="29"/>
        <v>146</v>
      </c>
      <c r="M339" s="92">
        <v>86.6</v>
      </c>
    </row>
    <row r="340" spans="1:13" ht="15" customHeight="1">
      <c r="A340" s="46"/>
      <c r="B340" s="92">
        <v>86.65</v>
      </c>
      <c r="C340" s="83">
        <f t="shared" si="28"/>
        <v>4.6171875</v>
      </c>
      <c r="D340" s="83">
        <f t="shared" si="28"/>
        <v>9.234375</v>
      </c>
      <c r="E340" s="83">
        <f t="shared" si="28"/>
        <v>18.46875</v>
      </c>
      <c r="F340" s="83">
        <f t="shared" si="28"/>
        <v>36.9375</v>
      </c>
      <c r="G340" s="83">
        <f t="shared" si="28"/>
        <v>73.875</v>
      </c>
      <c r="H340" s="85">
        <f>H339+((H341-H339)/2)</f>
        <v>147.75</v>
      </c>
      <c r="I340" s="83">
        <f>E340*10</f>
        <v>184.6875</v>
      </c>
      <c r="J340" s="83">
        <f>E340*12</f>
        <v>221.625</v>
      </c>
      <c r="L340" s="45">
        <f t="shared" si="29"/>
        <v>147.75</v>
      </c>
      <c r="M340" s="92">
        <v>86.65</v>
      </c>
    </row>
    <row r="341" spans="1:13" ht="15" customHeight="1">
      <c r="A341" s="46"/>
      <c r="B341" s="92">
        <v>86.7</v>
      </c>
      <c r="C341" s="83">
        <f t="shared" si="28"/>
        <v>4.671875</v>
      </c>
      <c r="D341" s="83">
        <f t="shared" si="28"/>
        <v>9.34375</v>
      </c>
      <c r="E341" s="83">
        <f t="shared" si="28"/>
        <v>18.6875</v>
      </c>
      <c r="F341" s="83">
        <f t="shared" si="28"/>
        <v>37.375</v>
      </c>
      <c r="G341" s="83">
        <f t="shared" si="28"/>
        <v>74.75</v>
      </c>
      <c r="H341" s="86">
        <f>H339+3.5</f>
        <v>149.5</v>
      </c>
      <c r="I341" s="83">
        <f t="shared" si="23"/>
        <v>186.875</v>
      </c>
      <c r="J341" s="83">
        <f t="shared" si="24"/>
        <v>224.25</v>
      </c>
      <c r="L341" s="45">
        <f t="shared" si="29"/>
        <v>149.5</v>
      </c>
      <c r="M341" s="92">
        <v>86.7</v>
      </c>
    </row>
    <row r="342" spans="1:13" ht="15" customHeight="1">
      <c r="A342" s="46"/>
      <c r="B342" s="92">
        <v>86.75</v>
      </c>
      <c r="C342" s="83">
        <f t="shared" si="28"/>
        <v>4.7265625</v>
      </c>
      <c r="D342" s="83">
        <f t="shared" si="28"/>
        <v>9.453125</v>
      </c>
      <c r="E342" s="83">
        <f t="shared" si="28"/>
        <v>18.90625</v>
      </c>
      <c r="F342" s="83">
        <f t="shared" si="28"/>
        <v>37.8125</v>
      </c>
      <c r="G342" s="83">
        <f t="shared" si="28"/>
        <v>75.625</v>
      </c>
      <c r="H342" s="85">
        <f>H341+((H343-H341)/2)</f>
        <v>151.25</v>
      </c>
      <c r="I342" s="83">
        <f>E342*10</f>
        <v>189.0625</v>
      </c>
      <c r="J342" s="83">
        <f>E342*12</f>
        <v>226.875</v>
      </c>
      <c r="L342" s="45">
        <f t="shared" si="29"/>
        <v>151.25</v>
      </c>
      <c r="M342" s="92">
        <v>86.75</v>
      </c>
    </row>
    <row r="343" spans="1:13" ht="15" customHeight="1">
      <c r="A343" s="46"/>
      <c r="B343" s="92">
        <v>86.8</v>
      </c>
      <c r="C343" s="83">
        <f t="shared" si="28"/>
        <v>4.78125</v>
      </c>
      <c r="D343" s="83">
        <f t="shared" si="28"/>
        <v>9.5625</v>
      </c>
      <c r="E343" s="83">
        <f t="shared" si="28"/>
        <v>19.125</v>
      </c>
      <c r="F343" s="83">
        <f t="shared" si="28"/>
        <v>38.25</v>
      </c>
      <c r="G343" s="83">
        <f t="shared" si="28"/>
        <v>76.5</v>
      </c>
      <c r="H343" s="86">
        <f>H341+3.5</f>
        <v>153</v>
      </c>
      <c r="I343" s="83">
        <f t="shared" si="23"/>
        <v>191.25</v>
      </c>
      <c r="J343" s="83">
        <f t="shared" si="24"/>
        <v>229.5</v>
      </c>
      <c r="L343" s="45">
        <f t="shared" si="29"/>
        <v>153</v>
      </c>
      <c r="M343" s="92">
        <v>86.8</v>
      </c>
    </row>
    <row r="344" spans="1:13" ht="15" customHeight="1">
      <c r="A344" s="46"/>
      <c r="B344" s="92">
        <v>86.85</v>
      </c>
      <c r="C344" s="83">
        <f t="shared" si="28"/>
        <v>4.8359375</v>
      </c>
      <c r="D344" s="83">
        <f t="shared" si="28"/>
        <v>9.671875</v>
      </c>
      <c r="E344" s="83">
        <f t="shared" si="28"/>
        <v>19.34375</v>
      </c>
      <c r="F344" s="83">
        <f t="shared" si="28"/>
        <v>38.6875</v>
      </c>
      <c r="G344" s="83">
        <f t="shared" si="28"/>
        <v>77.375</v>
      </c>
      <c r="H344" s="85">
        <f>H343+((H345-H343)/2)</f>
        <v>154.75</v>
      </c>
      <c r="I344" s="83">
        <f>E344*10</f>
        <v>193.4375</v>
      </c>
      <c r="J344" s="83">
        <f>E344*12</f>
        <v>232.125</v>
      </c>
      <c r="L344" s="45">
        <f t="shared" si="29"/>
        <v>154.75</v>
      </c>
      <c r="M344" s="92">
        <v>86.85</v>
      </c>
    </row>
    <row r="345" spans="1:13" ht="15" customHeight="1">
      <c r="A345" s="46"/>
      <c r="B345" s="92">
        <v>86.9</v>
      </c>
      <c r="C345" s="83">
        <f t="shared" si="28"/>
        <v>4.890625</v>
      </c>
      <c r="D345" s="83">
        <f t="shared" si="28"/>
        <v>9.78125</v>
      </c>
      <c r="E345" s="83">
        <f t="shared" si="28"/>
        <v>19.5625</v>
      </c>
      <c r="F345" s="83">
        <f t="shared" si="28"/>
        <v>39.125</v>
      </c>
      <c r="G345" s="83">
        <f t="shared" si="28"/>
        <v>78.25</v>
      </c>
      <c r="H345" s="86">
        <f>H343+3.5</f>
        <v>156.5</v>
      </c>
      <c r="I345" s="83">
        <f t="shared" si="23"/>
        <v>195.625</v>
      </c>
      <c r="J345" s="83">
        <f t="shared" si="24"/>
        <v>234.75</v>
      </c>
      <c r="L345" s="45">
        <f t="shared" si="29"/>
        <v>156.5</v>
      </c>
      <c r="M345" s="92">
        <v>86.9</v>
      </c>
    </row>
    <row r="346" spans="1:13" ht="15" customHeight="1">
      <c r="A346" s="46"/>
      <c r="B346" s="92">
        <v>86.95</v>
      </c>
      <c r="C346" s="83">
        <f>D346/2</f>
        <v>4.9453125</v>
      </c>
      <c r="D346" s="83">
        <f>E346/2</f>
        <v>9.890625</v>
      </c>
      <c r="E346" s="83">
        <f>F346/2</f>
        <v>19.78125</v>
      </c>
      <c r="F346" s="83">
        <f>G346/2</f>
        <v>39.5625</v>
      </c>
      <c r="G346" s="83">
        <f>H346/2</f>
        <v>79.125</v>
      </c>
      <c r="H346" s="85">
        <f>H345+((H347-H345)/2)</f>
        <v>158.25</v>
      </c>
      <c r="I346" s="83">
        <f>E346*10</f>
        <v>197.8125</v>
      </c>
      <c r="J346" s="83">
        <f>E346*12</f>
        <v>237.375</v>
      </c>
      <c r="L346" s="45">
        <f t="shared" si="29"/>
        <v>158.25</v>
      </c>
      <c r="M346" s="92">
        <v>86.95</v>
      </c>
    </row>
    <row r="347" spans="1:13" ht="15" customHeight="1">
      <c r="A347" s="46"/>
      <c r="B347" s="92">
        <v>87</v>
      </c>
      <c r="C347" s="83">
        <f t="shared" ref="C347:G365" si="30">D347/2</f>
        <v>5</v>
      </c>
      <c r="D347" s="83">
        <f t="shared" si="30"/>
        <v>10</v>
      </c>
      <c r="E347" s="83">
        <f t="shared" si="30"/>
        <v>20</v>
      </c>
      <c r="F347" s="83">
        <f t="shared" si="30"/>
        <v>40</v>
      </c>
      <c r="G347" s="83">
        <f t="shared" si="30"/>
        <v>80</v>
      </c>
      <c r="H347" s="86">
        <v>160</v>
      </c>
      <c r="I347" s="83">
        <f t="shared" si="23"/>
        <v>200</v>
      </c>
      <c r="J347" s="83">
        <f t="shared" si="24"/>
        <v>240</v>
      </c>
      <c r="L347" s="45">
        <f t="shared" si="29"/>
        <v>160</v>
      </c>
      <c r="M347" s="92">
        <v>87</v>
      </c>
    </row>
    <row r="348" spans="1:13" ht="15" customHeight="1">
      <c r="A348" s="46"/>
      <c r="B348" s="92">
        <v>87.05</v>
      </c>
      <c r="C348" s="83">
        <f t="shared" si="30"/>
        <v>5.0625</v>
      </c>
      <c r="D348" s="83">
        <f t="shared" si="30"/>
        <v>10.125</v>
      </c>
      <c r="E348" s="83">
        <f t="shared" si="30"/>
        <v>20.25</v>
      </c>
      <c r="F348" s="83">
        <f t="shared" si="30"/>
        <v>40.5</v>
      </c>
      <c r="G348" s="83">
        <f t="shared" si="30"/>
        <v>81</v>
      </c>
      <c r="H348" s="85">
        <f>H347+((H349-H347)/2)</f>
        <v>162</v>
      </c>
      <c r="I348" s="83">
        <f>E348*10</f>
        <v>202.5</v>
      </c>
      <c r="J348" s="83">
        <f>E348*12</f>
        <v>243</v>
      </c>
      <c r="L348" s="45">
        <f t="shared" si="29"/>
        <v>162</v>
      </c>
      <c r="M348" s="92">
        <v>87.05</v>
      </c>
    </row>
    <row r="349" spans="1:13" ht="15" customHeight="1">
      <c r="A349" s="46"/>
      <c r="B349" s="92">
        <v>87.1</v>
      </c>
      <c r="C349" s="83">
        <f t="shared" si="30"/>
        <v>5.125</v>
      </c>
      <c r="D349" s="83">
        <f t="shared" si="30"/>
        <v>10.25</v>
      </c>
      <c r="E349" s="83">
        <f t="shared" si="30"/>
        <v>20.5</v>
      </c>
      <c r="F349" s="83">
        <f t="shared" si="30"/>
        <v>41</v>
      </c>
      <c r="G349" s="83">
        <f t="shared" si="30"/>
        <v>82</v>
      </c>
      <c r="H349" s="85">
        <f>H347+((H367-H347)/10)</f>
        <v>164</v>
      </c>
      <c r="I349" s="83">
        <f t="shared" si="23"/>
        <v>205</v>
      </c>
      <c r="J349" s="83">
        <f t="shared" si="24"/>
        <v>246</v>
      </c>
      <c r="L349" s="45">
        <f t="shared" si="29"/>
        <v>164</v>
      </c>
      <c r="M349" s="92">
        <v>87.1</v>
      </c>
    </row>
    <row r="350" spans="1:13" ht="15" customHeight="1">
      <c r="A350" s="46"/>
      <c r="B350" s="92">
        <v>87.15</v>
      </c>
      <c r="C350" s="83">
        <f t="shared" si="30"/>
        <v>5.1875</v>
      </c>
      <c r="D350" s="83">
        <f t="shared" si="30"/>
        <v>10.375</v>
      </c>
      <c r="E350" s="83">
        <f t="shared" si="30"/>
        <v>20.75</v>
      </c>
      <c r="F350" s="83">
        <f t="shared" si="30"/>
        <v>41.5</v>
      </c>
      <c r="G350" s="83">
        <f t="shared" si="30"/>
        <v>83</v>
      </c>
      <c r="H350" s="85">
        <f>H349+((H351-H349)/2)</f>
        <v>166</v>
      </c>
      <c r="I350" s="83">
        <f>E350*10</f>
        <v>207.5</v>
      </c>
      <c r="J350" s="83">
        <f>E350*12</f>
        <v>249</v>
      </c>
      <c r="L350" s="45">
        <f t="shared" si="29"/>
        <v>166</v>
      </c>
      <c r="M350" s="92">
        <v>87.15</v>
      </c>
    </row>
    <row r="351" spans="1:13" ht="15" customHeight="1">
      <c r="A351" s="46"/>
      <c r="B351" s="92">
        <v>87.2</v>
      </c>
      <c r="C351" s="83">
        <f t="shared" si="30"/>
        <v>5.25</v>
      </c>
      <c r="D351" s="83">
        <f t="shared" si="30"/>
        <v>10.5</v>
      </c>
      <c r="E351" s="83">
        <f t="shared" si="30"/>
        <v>21</v>
      </c>
      <c r="F351" s="83">
        <f t="shared" si="30"/>
        <v>42</v>
      </c>
      <c r="G351" s="83">
        <f t="shared" si="30"/>
        <v>84</v>
      </c>
      <c r="H351" s="86">
        <f>H349+4</f>
        <v>168</v>
      </c>
      <c r="I351" s="83">
        <f t="shared" si="23"/>
        <v>210</v>
      </c>
      <c r="J351" s="83">
        <f t="shared" si="24"/>
        <v>252</v>
      </c>
      <c r="L351" s="45">
        <f t="shared" si="29"/>
        <v>168</v>
      </c>
      <c r="M351" s="92">
        <v>87.2</v>
      </c>
    </row>
    <row r="352" spans="1:13" ht="15" customHeight="1">
      <c r="A352" s="46"/>
      <c r="B352" s="92">
        <v>87.25</v>
      </c>
      <c r="C352" s="83">
        <f t="shared" si="30"/>
        <v>5.3125</v>
      </c>
      <c r="D352" s="83">
        <f t="shared" si="30"/>
        <v>10.625</v>
      </c>
      <c r="E352" s="83">
        <f t="shared" si="30"/>
        <v>21.25</v>
      </c>
      <c r="F352" s="83">
        <f t="shared" si="30"/>
        <v>42.5</v>
      </c>
      <c r="G352" s="83">
        <f t="shared" si="30"/>
        <v>85</v>
      </c>
      <c r="H352" s="85">
        <f>H351+((H353-H351)/2)</f>
        <v>170</v>
      </c>
      <c r="I352" s="83">
        <f>E352*10</f>
        <v>212.5</v>
      </c>
      <c r="J352" s="83">
        <f>E352*12</f>
        <v>255</v>
      </c>
      <c r="L352" s="45">
        <f t="shared" si="29"/>
        <v>170</v>
      </c>
      <c r="M352" s="92">
        <v>87.25</v>
      </c>
    </row>
    <row r="353" spans="1:13" ht="15" customHeight="1">
      <c r="A353" s="46"/>
      <c r="B353" s="92">
        <v>87.3</v>
      </c>
      <c r="C353" s="83">
        <f t="shared" si="30"/>
        <v>5.375</v>
      </c>
      <c r="D353" s="83">
        <f t="shared" si="30"/>
        <v>10.75</v>
      </c>
      <c r="E353" s="83">
        <f t="shared" si="30"/>
        <v>21.5</v>
      </c>
      <c r="F353" s="83">
        <f t="shared" si="30"/>
        <v>43</v>
      </c>
      <c r="G353" s="83">
        <f t="shared" si="30"/>
        <v>86</v>
      </c>
      <c r="H353" s="86">
        <f>H351+4</f>
        <v>172</v>
      </c>
      <c r="I353" s="83">
        <f t="shared" si="23"/>
        <v>215</v>
      </c>
      <c r="J353" s="83">
        <f t="shared" si="24"/>
        <v>258</v>
      </c>
      <c r="L353" s="45">
        <f t="shared" si="29"/>
        <v>172</v>
      </c>
      <c r="M353" s="92">
        <v>87.3</v>
      </c>
    </row>
    <row r="354" spans="1:13" ht="15" customHeight="1">
      <c r="A354" s="46"/>
      <c r="B354" s="92">
        <v>87.35</v>
      </c>
      <c r="C354" s="83">
        <f t="shared" si="30"/>
        <v>5.4375</v>
      </c>
      <c r="D354" s="83">
        <f t="shared" si="30"/>
        <v>10.875</v>
      </c>
      <c r="E354" s="83">
        <f t="shared" si="30"/>
        <v>21.75</v>
      </c>
      <c r="F354" s="83">
        <f t="shared" si="30"/>
        <v>43.5</v>
      </c>
      <c r="G354" s="83">
        <f t="shared" si="30"/>
        <v>87</v>
      </c>
      <c r="H354" s="85">
        <f>H353+((H355-H353)/2)</f>
        <v>174</v>
      </c>
      <c r="I354" s="83">
        <f>E354*10</f>
        <v>217.5</v>
      </c>
      <c r="J354" s="83">
        <f>E354*12</f>
        <v>261</v>
      </c>
      <c r="L354" s="45">
        <f t="shared" si="29"/>
        <v>174</v>
      </c>
      <c r="M354" s="92">
        <v>87.35</v>
      </c>
    </row>
    <row r="355" spans="1:13" ht="15" customHeight="1">
      <c r="A355" s="46"/>
      <c r="B355" s="92">
        <v>87.4</v>
      </c>
      <c r="C355" s="83">
        <f t="shared" si="30"/>
        <v>5.5</v>
      </c>
      <c r="D355" s="83">
        <f t="shared" si="30"/>
        <v>11</v>
      </c>
      <c r="E355" s="83">
        <f t="shared" si="30"/>
        <v>22</v>
      </c>
      <c r="F355" s="83">
        <f t="shared" si="30"/>
        <v>44</v>
      </c>
      <c r="G355" s="83">
        <f t="shared" si="30"/>
        <v>88</v>
      </c>
      <c r="H355" s="86">
        <f>H353+4</f>
        <v>176</v>
      </c>
      <c r="I355" s="83">
        <f t="shared" si="23"/>
        <v>220</v>
      </c>
      <c r="J355" s="83">
        <f t="shared" si="24"/>
        <v>264</v>
      </c>
      <c r="L355" s="45">
        <f t="shared" si="29"/>
        <v>176</v>
      </c>
      <c r="M355" s="92">
        <v>87.4</v>
      </c>
    </row>
    <row r="356" spans="1:13" ht="15" customHeight="1">
      <c r="A356" s="46"/>
      <c r="B356" s="92">
        <v>87.45</v>
      </c>
      <c r="C356" s="83">
        <f t="shared" si="30"/>
        <v>5.5625</v>
      </c>
      <c r="D356" s="83">
        <f t="shared" si="30"/>
        <v>11.125</v>
      </c>
      <c r="E356" s="83">
        <f t="shared" si="30"/>
        <v>22.25</v>
      </c>
      <c r="F356" s="83">
        <f t="shared" si="30"/>
        <v>44.5</v>
      </c>
      <c r="G356" s="83">
        <f t="shared" si="30"/>
        <v>89</v>
      </c>
      <c r="H356" s="85">
        <f>H355+((H357-H355)/2)</f>
        <v>178</v>
      </c>
      <c r="I356" s="83">
        <f>E356*10</f>
        <v>222.5</v>
      </c>
      <c r="J356" s="83">
        <f>E356*12</f>
        <v>267</v>
      </c>
      <c r="L356" s="45">
        <f t="shared" si="29"/>
        <v>178</v>
      </c>
      <c r="M356" s="92">
        <v>87.45</v>
      </c>
    </row>
    <row r="357" spans="1:13" ht="15" customHeight="1">
      <c r="A357" s="46"/>
      <c r="B357" s="92">
        <v>87.5</v>
      </c>
      <c r="C357" s="83">
        <f t="shared" si="30"/>
        <v>5.625</v>
      </c>
      <c r="D357" s="83">
        <f t="shared" si="30"/>
        <v>11.25</v>
      </c>
      <c r="E357" s="83">
        <f t="shared" si="30"/>
        <v>22.5</v>
      </c>
      <c r="F357" s="83">
        <f t="shared" si="30"/>
        <v>45</v>
      </c>
      <c r="G357" s="83">
        <f t="shared" si="30"/>
        <v>90</v>
      </c>
      <c r="H357" s="86">
        <f>H355+4</f>
        <v>180</v>
      </c>
      <c r="I357" s="83">
        <f t="shared" si="23"/>
        <v>225</v>
      </c>
      <c r="J357" s="83">
        <f t="shared" si="24"/>
        <v>270</v>
      </c>
      <c r="L357" s="45">
        <f t="shared" si="29"/>
        <v>180</v>
      </c>
      <c r="M357" s="92">
        <v>87.5</v>
      </c>
    </row>
    <row r="358" spans="1:13" ht="15" customHeight="1">
      <c r="A358" s="46"/>
      <c r="B358" s="92">
        <v>87.55</v>
      </c>
      <c r="C358" s="83">
        <f t="shared" si="30"/>
        <v>5.6875</v>
      </c>
      <c r="D358" s="83">
        <f t="shared" si="30"/>
        <v>11.375</v>
      </c>
      <c r="E358" s="83">
        <f t="shared" si="30"/>
        <v>22.75</v>
      </c>
      <c r="F358" s="83">
        <f t="shared" si="30"/>
        <v>45.5</v>
      </c>
      <c r="G358" s="83">
        <f t="shared" si="30"/>
        <v>91</v>
      </c>
      <c r="H358" s="85">
        <f>H357+((H359-H357)/2)</f>
        <v>182</v>
      </c>
      <c r="I358" s="83">
        <f>E358*10</f>
        <v>227.5</v>
      </c>
      <c r="J358" s="83">
        <f>E358*12</f>
        <v>273</v>
      </c>
      <c r="L358" s="45">
        <f t="shared" si="29"/>
        <v>182</v>
      </c>
      <c r="M358" s="92">
        <v>87.55</v>
      </c>
    </row>
    <row r="359" spans="1:13" ht="15" customHeight="1">
      <c r="A359" s="46"/>
      <c r="B359" s="92">
        <v>87.6</v>
      </c>
      <c r="C359" s="83">
        <f t="shared" si="30"/>
        <v>5.75</v>
      </c>
      <c r="D359" s="83">
        <f t="shared" si="30"/>
        <v>11.5</v>
      </c>
      <c r="E359" s="83">
        <f t="shared" si="30"/>
        <v>23</v>
      </c>
      <c r="F359" s="83">
        <f t="shared" si="30"/>
        <v>46</v>
      </c>
      <c r="G359" s="83">
        <f t="shared" si="30"/>
        <v>92</v>
      </c>
      <c r="H359" s="86">
        <f>H357+4</f>
        <v>184</v>
      </c>
      <c r="I359" s="83">
        <f t="shared" si="23"/>
        <v>230</v>
      </c>
      <c r="J359" s="83">
        <f t="shared" si="24"/>
        <v>276</v>
      </c>
      <c r="L359" s="45">
        <f t="shared" si="29"/>
        <v>184</v>
      </c>
      <c r="M359" s="92">
        <v>87.6</v>
      </c>
    </row>
    <row r="360" spans="1:13" ht="15" customHeight="1">
      <c r="A360" s="46"/>
      <c r="B360" s="92">
        <v>87.65</v>
      </c>
      <c r="C360" s="83">
        <f t="shared" si="30"/>
        <v>5.8125</v>
      </c>
      <c r="D360" s="83">
        <f t="shared" si="30"/>
        <v>11.625</v>
      </c>
      <c r="E360" s="83">
        <f t="shared" si="30"/>
        <v>23.25</v>
      </c>
      <c r="F360" s="83">
        <f t="shared" si="30"/>
        <v>46.5</v>
      </c>
      <c r="G360" s="83">
        <f t="shared" si="30"/>
        <v>93</v>
      </c>
      <c r="H360" s="85">
        <f>H359+((H361-H359)/2)</f>
        <v>186</v>
      </c>
      <c r="I360" s="83">
        <f>E360*10</f>
        <v>232.5</v>
      </c>
      <c r="J360" s="83">
        <f>E360*12</f>
        <v>279</v>
      </c>
      <c r="L360" s="45">
        <f t="shared" si="29"/>
        <v>186</v>
      </c>
      <c r="M360" s="92">
        <v>87.65</v>
      </c>
    </row>
    <row r="361" spans="1:13" ht="15" customHeight="1">
      <c r="A361" s="46"/>
      <c r="B361" s="92">
        <v>87.7</v>
      </c>
      <c r="C361" s="83">
        <f t="shared" si="30"/>
        <v>5.875</v>
      </c>
      <c r="D361" s="83">
        <f t="shared" si="30"/>
        <v>11.75</v>
      </c>
      <c r="E361" s="83">
        <f t="shared" si="30"/>
        <v>23.5</v>
      </c>
      <c r="F361" s="83">
        <f t="shared" si="30"/>
        <v>47</v>
      </c>
      <c r="G361" s="83">
        <f t="shared" si="30"/>
        <v>94</v>
      </c>
      <c r="H361" s="86">
        <f>H359+4</f>
        <v>188</v>
      </c>
      <c r="I361" s="83">
        <f t="shared" si="23"/>
        <v>235</v>
      </c>
      <c r="J361" s="83">
        <f t="shared" si="24"/>
        <v>282</v>
      </c>
      <c r="L361" s="45">
        <f t="shared" si="29"/>
        <v>188</v>
      </c>
      <c r="M361" s="92">
        <v>87.7</v>
      </c>
    </row>
    <row r="362" spans="1:13" ht="15" customHeight="1">
      <c r="A362" s="46"/>
      <c r="B362" s="92">
        <v>87.75</v>
      </c>
      <c r="C362" s="83">
        <f t="shared" si="30"/>
        <v>5.9375</v>
      </c>
      <c r="D362" s="83">
        <f t="shared" si="30"/>
        <v>11.875</v>
      </c>
      <c r="E362" s="83">
        <f t="shared" si="30"/>
        <v>23.75</v>
      </c>
      <c r="F362" s="83">
        <f t="shared" si="30"/>
        <v>47.5</v>
      </c>
      <c r="G362" s="83">
        <f t="shared" si="30"/>
        <v>95</v>
      </c>
      <c r="H362" s="85">
        <f>H361+((H363-H361)/2)</f>
        <v>190</v>
      </c>
      <c r="I362" s="83">
        <f>E362*10</f>
        <v>237.5</v>
      </c>
      <c r="J362" s="83">
        <f>E362*12</f>
        <v>285</v>
      </c>
      <c r="L362" s="45">
        <f t="shared" si="29"/>
        <v>190</v>
      </c>
      <c r="M362" s="92">
        <v>87.75</v>
      </c>
    </row>
    <row r="363" spans="1:13" ht="15" customHeight="1">
      <c r="A363" s="46"/>
      <c r="B363" s="92">
        <v>87.8</v>
      </c>
      <c r="C363" s="83">
        <f t="shared" si="30"/>
        <v>6</v>
      </c>
      <c r="D363" s="83">
        <f t="shared" si="30"/>
        <v>12</v>
      </c>
      <c r="E363" s="83">
        <f t="shared" si="30"/>
        <v>24</v>
      </c>
      <c r="F363" s="83">
        <f t="shared" si="30"/>
        <v>48</v>
      </c>
      <c r="G363" s="83">
        <f t="shared" si="30"/>
        <v>96</v>
      </c>
      <c r="H363" s="86">
        <f>H361+4</f>
        <v>192</v>
      </c>
      <c r="I363" s="83">
        <f t="shared" si="23"/>
        <v>240</v>
      </c>
      <c r="J363" s="83">
        <f t="shared" si="24"/>
        <v>288</v>
      </c>
      <c r="L363" s="45">
        <f t="shared" si="29"/>
        <v>192</v>
      </c>
      <c r="M363" s="92">
        <v>87.8</v>
      </c>
    </row>
    <row r="364" spans="1:13" ht="15" customHeight="1">
      <c r="A364" s="46"/>
      <c r="B364" s="92">
        <v>87.85</v>
      </c>
      <c r="C364" s="83">
        <f t="shared" si="30"/>
        <v>6.0625</v>
      </c>
      <c r="D364" s="83">
        <f t="shared" si="30"/>
        <v>12.125</v>
      </c>
      <c r="E364" s="83">
        <f t="shared" si="30"/>
        <v>24.25</v>
      </c>
      <c r="F364" s="83">
        <f t="shared" si="30"/>
        <v>48.5</v>
      </c>
      <c r="G364" s="83">
        <f t="shared" si="30"/>
        <v>97</v>
      </c>
      <c r="H364" s="85">
        <f>H363+((H365-H363)/2)</f>
        <v>194</v>
      </c>
      <c r="I364" s="83">
        <f>E364*10</f>
        <v>242.5</v>
      </c>
      <c r="J364" s="83">
        <f>E364*12</f>
        <v>291</v>
      </c>
      <c r="L364" s="45">
        <f t="shared" si="29"/>
        <v>194</v>
      </c>
      <c r="M364" s="92">
        <v>87.85</v>
      </c>
    </row>
    <row r="365" spans="1:13" ht="15" customHeight="1">
      <c r="A365" s="46"/>
      <c r="B365" s="92">
        <v>87.9</v>
      </c>
      <c r="C365" s="83">
        <f t="shared" si="30"/>
        <v>6.125</v>
      </c>
      <c r="D365" s="83">
        <f t="shared" si="30"/>
        <v>12.25</v>
      </c>
      <c r="E365" s="83">
        <f t="shared" si="30"/>
        <v>24.5</v>
      </c>
      <c r="F365" s="83">
        <f t="shared" si="30"/>
        <v>49</v>
      </c>
      <c r="G365" s="83">
        <f t="shared" si="30"/>
        <v>98</v>
      </c>
      <c r="H365" s="86">
        <f>H363+4</f>
        <v>196</v>
      </c>
      <c r="I365" s="83">
        <f t="shared" si="23"/>
        <v>245</v>
      </c>
      <c r="J365" s="83">
        <f t="shared" si="24"/>
        <v>294</v>
      </c>
      <c r="L365" s="45">
        <f t="shared" si="29"/>
        <v>196</v>
      </c>
      <c r="M365" s="92">
        <v>87.9</v>
      </c>
    </row>
    <row r="366" spans="1:13" ht="15" customHeight="1">
      <c r="A366" s="46"/>
      <c r="B366" s="92">
        <v>87.95</v>
      </c>
      <c r="C366" s="83">
        <f>D366/2</f>
        <v>6.1875</v>
      </c>
      <c r="D366" s="83">
        <f>E366/2</f>
        <v>12.375</v>
      </c>
      <c r="E366" s="83">
        <f>F366/2</f>
        <v>24.75</v>
      </c>
      <c r="F366" s="83">
        <f>G366/2</f>
        <v>49.5</v>
      </c>
      <c r="G366" s="83">
        <f>H366/2</f>
        <v>99</v>
      </c>
      <c r="H366" s="85">
        <f>H365+((H367-H365)/2)</f>
        <v>198</v>
      </c>
      <c r="I366" s="83">
        <f>E366*10</f>
        <v>247.5</v>
      </c>
      <c r="J366" s="83">
        <f>E366*12</f>
        <v>297</v>
      </c>
      <c r="L366" s="45">
        <f t="shared" si="29"/>
        <v>198</v>
      </c>
      <c r="M366" s="92">
        <v>87.95</v>
      </c>
    </row>
    <row r="367" spans="1:13" ht="15" customHeight="1">
      <c r="A367" s="46"/>
      <c r="B367" s="92">
        <v>88</v>
      </c>
      <c r="C367" s="83">
        <f t="shared" ref="C367:G385" si="31">D367/2</f>
        <v>6.25</v>
      </c>
      <c r="D367" s="83">
        <f t="shared" si="31"/>
        <v>12.5</v>
      </c>
      <c r="E367" s="83">
        <f t="shared" si="31"/>
        <v>25</v>
      </c>
      <c r="F367" s="83">
        <f t="shared" si="31"/>
        <v>50</v>
      </c>
      <c r="G367" s="83">
        <f t="shared" si="31"/>
        <v>100</v>
      </c>
      <c r="H367" s="86">
        <v>200</v>
      </c>
      <c r="I367" s="83">
        <f t="shared" si="23"/>
        <v>250</v>
      </c>
      <c r="J367" s="83">
        <f t="shared" si="24"/>
        <v>300</v>
      </c>
      <c r="L367" s="45">
        <f t="shared" si="29"/>
        <v>200</v>
      </c>
      <c r="M367" s="92">
        <v>88</v>
      </c>
    </row>
    <row r="368" spans="1:13" ht="15" customHeight="1">
      <c r="A368" s="46"/>
      <c r="B368" s="92">
        <v>88.05</v>
      </c>
      <c r="C368" s="83">
        <f t="shared" si="31"/>
        <v>6.328125</v>
      </c>
      <c r="D368" s="83">
        <f t="shared" si="31"/>
        <v>12.65625</v>
      </c>
      <c r="E368" s="83">
        <f t="shared" si="31"/>
        <v>25.3125</v>
      </c>
      <c r="F368" s="83">
        <f t="shared" si="31"/>
        <v>50.625</v>
      </c>
      <c r="G368" s="83">
        <f t="shared" si="31"/>
        <v>101.25</v>
      </c>
      <c r="H368" s="85">
        <f>H367+((H369-H367)/2)</f>
        <v>202.5</v>
      </c>
      <c r="I368" s="83">
        <f>E368*10</f>
        <v>253.125</v>
      </c>
      <c r="J368" s="83">
        <f>E368*12</f>
        <v>303.75</v>
      </c>
      <c r="L368" s="45">
        <f t="shared" si="29"/>
        <v>202.5</v>
      </c>
      <c r="M368" s="92">
        <v>88.05</v>
      </c>
    </row>
    <row r="369" spans="1:13" ht="15" customHeight="1">
      <c r="A369" s="46"/>
      <c r="B369" s="92">
        <v>88.1</v>
      </c>
      <c r="C369" s="83">
        <f t="shared" si="31"/>
        <v>6.40625</v>
      </c>
      <c r="D369" s="83">
        <f t="shared" si="31"/>
        <v>12.8125</v>
      </c>
      <c r="E369" s="83">
        <f t="shared" si="31"/>
        <v>25.625</v>
      </c>
      <c r="F369" s="83">
        <f t="shared" si="31"/>
        <v>51.25</v>
      </c>
      <c r="G369" s="83">
        <f t="shared" si="31"/>
        <v>102.5</v>
      </c>
      <c r="H369" s="85">
        <f>H367+((H387-H367)/10)</f>
        <v>205</v>
      </c>
      <c r="I369" s="83">
        <f t="shared" si="23"/>
        <v>256.25</v>
      </c>
      <c r="J369" s="83">
        <f t="shared" si="24"/>
        <v>307.5</v>
      </c>
      <c r="L369" s="45">
        <f t="shared" si="29"/>
        <v>205</v>
      </c>
      <c r="M369" s="92">
        <v>88.1</v>
      </c>
    </row>
    <row r="370" spans="1:13" ht="15" customHeight="1">
      <c r="A370" s="46"/>
      <c r="B370" s="92">
        <v>88.15</v>
      </c>
      <c r="C370" s="83">
        <f t="shared" si="31"/>
        <v>6.484375</v>
      </c>
      <c r="D370" s="83">
        <f t="shared" si="31"/>
        <v>12.96875</v>
      </c>
      <c r="E370" s="83">
        <f t="shared" si="31"/>
        <v>25.9375</v>
      </c>
      <c r="F370" s="83">
        <f t="shared" si="31"/>
        <v>51.875</v>
      </c>
      <c r="G370" s="83">
        <f t="shared" si="31"/>
        <v>103.75</v>
      </c>
      <c r="H370" s="85">
        <f>H369+((H371-H369)/2)</f>
        <v>207.5</v>
      </c>
      <c r="I370" s="83">
        <f>E370*10</f>
        <v>259.375</v>
      </c>
      <c r="J370" s="83">
        <f>E370*12</f>
        <v>311.25</v>
      </c>
      <c r="L370" s="45">
        <f t="shared" si="29"/>
        <v>207.5</v>
      </c>
      <c r="M370" s="92">
        <v>88.15</v>
      </c>
    </row>
    <row r="371" spans="1:13" ht="15" customHeight="1">
      <c r="A371" s="46"/>
      <c r="B371" s="92">
        <v>88.2</v>
      </c>
      <c r="C371" s="83">
        <f t="shared" si="31"/>
        <v>6.5625</v>
      </c>
      <c r="D371" s="83">
        <f t="shared" si="31"/>
        <v>13.125</v>
      </c>
      <c r="E371" s="83">
        <f t="shared" si="31"/>
        <v>26.25</v>
      </c>
      <c r="F371" s="83">
        <f t="shared" si="31"/>
        <v>52.5</v>
      </c>
      <c r="G371" s="83">
        <f t="shared" si="31"/>
        <v>105</v>
      </c>
      <c r="H371" s="86">
        <f>H369+5</f>
        <v>210</v>
      </c>
      <c r="I371" s="83">
        <f t="shared" si="23"/>
        <v>262.5</v>
      </c>
      <c r="J371" s="83">
        <f t="shared" si="24"/>
        <v>315</v>
      </c>
      <c r="L371" s="45">
        <f t="shared" si="29"/>
        <v>210</v>
      </c>
      <c r="M371" s="92">
        <v>88.2</v>
      </c>
    </row>
    <row r="372" spans="1:13" ht="15" customHeight="1">
      <c r="A372" s="46"/>
      <c r="B372" s="92">
        <v>88.25</v>
      </c>
      <c r="C372" s="83">
        <f t="shared" si="31"/>
        <v>6.640625</v>
      </c>
      <c r="D372" s="83">
        <f t="shared" si="31"/>
        <v>13.28125</v>
      </c>
      <c r="E372" s="83">
        <f t="shared" si="31"/>
        <v>26.5625</v>
      </c>
      <c r="F372" s="83">
        <f t="shared" si="31"/>
        <v>53.125</v>
      </c>
      <c r="G372" s="83">
        <f t="shared" si="31"/>
        <v>106.25</v>
      </c>
      <c r="H372" s="85">
        <f>H371+((H373-H371)/2)</f>
        <v>212.5</v>
      </c>
      <c r="I372" s="83">
        <f>E372*10</f>
        <v>265.625</v>
      </c>
      <c r="J372" s="83">
        <f>E372*12</f>
        <v>318.75</v>
      </c>
      <c r="L372" s="45">
        <f t="shared" si="29"/>
        <v>212.5</v>
      </c>
      <c r="M372" s="92">
        <v>88.25</v>
      </c>
    </row>
    <row r="373" spans="1:13" ht="15" customHeight="1">
      <c r="A373" s="46"/>
      <c r="B373" s="92">
        <v>88.3</v>
      </c>
      <c r="C373" s="83">
        <f t="shared" si="31"/>
        <v>6.71875</v>
      </c>
      <c r="D373" s="83">
        <f t="shared" si="31"/>
        <v>13.4375</v>
      </c>
      <c r="E373" s="83">
        <f t="shared" si="31"/>
        <v>26.875</v>
      </c>
      <c r="F373" s="83">
        <f t="shared" si="31"/>
        <v>53.75</v>
      </c>
      <c r="G373" s="83">
        <f t="shared" si="31"/>
        <v>107.5</v>
      </c>
      <c r="H373" s="86">
        <f>H371+5</f>
        <v>215</v>
      </c>
      <c r="I373" s="83">
        <f t="shared" si="23"/>
        <v>268.75</v>
      </c>
      <c r="J373" s="83">
        <f t="shared" si="24"/>
        <v>322.5</v>
      </c>
      <c r="L373" s="45">
        <f t="shared" si="29"/>
        <v>215</v>
      </c>
      <c r="M373" s="92">
        <v>88.3</v>
      </c>
    </row>
    <row r="374" spans="1:13" ht="15" customHeight="1">
      <c r="A374" s="46"/>
      <c r="B374" s="92">
        <v>88.35</v>
      </c>
      <c r="C374" s="83">
        <f t="shared" si="31"/>
        <v>6.796875</v>
      </c>
      <c r="D374" s="83">
        <f t="shared" si="31"/>
        <v>13.59375</v>
      </c>
      <c r="E374" s="83">
        <f t="shared" si="31"/>
        <v>27.1875</v>
      </c>
      <c r="F374" s="83">
        <f t="shared" si="31"/>
        <v>54.375</v>
      </c>
      <c r="G374" s="83">
        <f t="shared" si="31"/>
        <v>108.75</v>
      </c>
      <c r="H374" s="85">
        <f>H373+((H375-H373)/2)</f>
        <v>217.5</v>
      </c>
      <c r="I374" s="83">
        <f>E374*10</f>
        <v>271.875</v>
      </c>
      <c r="J374" s="83">
        <f>E374*12</f>
        <v>326.25</v>
      </c>
      <c r="L374" s="45">
        <f t="shared" si="29"/>
        <v>217.5</v>
      </c>
      <c r="M374" s="92">
        <v>88.35</v>
      </c>
    </row>
    <row r="375" spans="1:13" ht="15" customHeight="1">
      <c r="A375" s="46"/>
      <c r="B375" s="92">
        <v>88.4</v>
      </c>
      <c r="C375" s="83">
        <f t="shared" si="31"/>
        <v>6.875</v>
      </c>
      <c r="D375" s="83">
        <f t="shared" si="31"/>
        <v>13.75</v>
      </c>
      <c r="E375" s="83">
        <f t="shared" si="31"/>
        <v>27.5</v>
      </c>
      <c r="F375" s="83">
        <f t="shared" si="31"/>
        <v>55</v>
      </c>
      <c r="G375" s="83">
        <f t="shared" si="31"/>
        <v>110</v>
      </c>
      <c r="H375" s="86">
        <f>H373+5</f>
        <v>220</v>
      </c>
      <c r="I375" s="83">
        <f t="shared" si="23"/>
        <v>275</v>
      </c>
      <c r="J375" s="83">
        <f t="shared" si="24"/>
        <v>330</v>
      </c>
      <c r="L375" s="45">
        <f t="shared" si="29"/>
        <v>220</v>
      </c>
      <c r="M375" s="92">
        <v>88.4</v>
      </c>
    </row>
    <row r="376" spans="1:13" ht="15" customHeight="1">
      <c r="A376" s="46"/>
      <c r="B376" s="92">
        <v>88.45</v>
      </c>
      <c r="C376" s="83">
        <f t="shared" si="31"/>
        <v>6.953125</v>
      </c>
      <c r="D376" s="83">
        <f t="shared" si="31"/>
        <v>13.90625</v>
      </c>
      <c r="E376" s="83">
        <f t="shared" si="31"/>
        <v>27.8125</v>
      </c>
      <c r="F376" s="83">
        <f t="shared" si="31"/>
        <v>55.625</v>
      </c>
      <c r="G376" s="83">
        <f t="shared" si="31"/>
        <v>111.25</v>
      </c>
      <c r="H376" s="85">
        <f>H375+((H377-H375)/2)</f>
        <v>222.5</v>
      </c>
      <c r="I376" s="83">
        <f>E376*10</f>
        <v>278.125</v>
      </c>
      <c r="J376" s="83">
        <f>E376*12</f>
        <v>333.75</v>
      </c>
      <c r="L376" s="45">
        <f t="shared" si="29"/>
        <v>222.5</v>
      </c>
      <c r="M376" s="92">
        <v>88.45</v>
      </c>
    </row>
    <row r="377" spans="1:13" ht="15" customHeight="1">
      <c r="A377" s="46"/>
      <c r="B377" s="92">
        <v>88.5</v>
      </c>
      <c r="C377" s="83">
        <f t="shared" si="31"/>
        <v>7.03125</v>
      </c>
      <c r="D377" s="83">
        <f t="shared" si="31"/>
        <v>14.0625</v>
      </c>
      <c r="E377" s="83">
        <f t="shared" si="31"/>
        <v>28.125</v>
      </c>
      <c r="F377" s="83">
        <f t="shared" si="31"/>
        <v>56.25</v>
      </c>
      <c r="G377" s="83">
        <f t="shared" si="31"/>
        <v>112.5</v>
      </c>
      <c r="H377" s="86">
        <f>H375+5</f>
        <v>225</v>
      </c>
      <c r="I377" s="83">
        <f t="shared" si="23"/>
        <v>281.25</v>
      </c>
      <c r="J377" s="83">
        <f t="shared" si="24"/>
        <v>337.5</v>
      </c>
      <c r="L377" s="45">
        <f t="shared" si="29"/>
        <v>225</v>
      </c>
      <c r="M377" s="92">
        <v>88.5</v>
      </c>
    </row>
    <row r="378" spans="1:13" ht="15" customHeight="1">
      <c r="A378" s="46"/>
      <c r="B378" s="92">
        <v>88.55</v>
      </c>
      <c r="C378" s="83">
        <f t="shared" si="31"/>
        <v>7.109375</v>
      </c>
      <c r="D378" s="83">
        <f t="shared" si="31"/>
        <v>14.21875</v>
      </c>
      <c r="E378" s="83">
        <f t="shared" si="31"/>
        <v>28.4375</v>
      </c>
      <c r="F378" s="83">
        <f t="shared" si="31"/>
        <v>56.875</v>
      </c>
      <c r="G378" s="83">
        <f t="shared" si="31"/>
        <v>113.75</v>
      </c>
      <c r="H378" s="85">
        <f>H377+((H379-H377)/2)</f>
        <v>227.5</v>
      </c>
      <c r="I378" s="83">
        <f>E378*10</f>
        <v>284.375</v>
      </c>
      <c r="J378" s="83">
        <f>E378*12</f>
        <v>341.25</v>
      </c>
      <c r="L378" s="45">
        <f t="shared" si="29"/>
        <v>227.5</v>
      </c>
      <c r="M378" s="92">
        <v>88.55</v>
      </c>
    </row>
    <row r="379" spans="1:13" ht="15" customHeight="1">
      <c r="A379" s="46"/>
      <c r="B379" s="92">
        <v>88.6</v>
      </c>
      <c r="C379" s="83">
        <f t="shared" si="31"/>
        <v>7.1875</v>
      </c>
      <c r="D379" s="83">
        <f t="shared" si="31"/>
        <v>14.375</v>
      </c>
      <c r="E379" s="83">
        <f t="shared" si="31"/>
        <v>28.75</v>
      </c>
      <c r="F379" s="83">
        <f t="shared" si="31"/>
        <v>57.5</v>
      </c>
      <c r="G379" s="83">
        <f t="shared" si="31"/>
        <v>115</v>
      </c>
      <c r="H379" s="86">
        <f>H377+5</f>
        <v>230</v>
      </c>
      <c r="I379" s="83">
        <f t="shared" si="23"/>
        <v>287.5</v>
      </c>
      <c r="J379" s="83">
        <f t="shared" si="24"/>
        <v>345</v>
      </c>
      <c r="L379" s="45">
        <f t="shared" si="29"/>
        <v>230</v>
      </c>
      <c r="M379" s="92">
        <v>88.6</v>
      </c>
    </row>
    <row r="380" spans="1:13" ht="15" customHeight="1">
      <c r="A380" s="46"/>
      <c r="B380" s="92">
        <v>88.65</v>
      </c>
      <c r="C380" s="83">
        <f t="shared" si="31"/>
        <v>7.265625</v>
      </c>
      <c r="D380" s="83">
        <f t="shared" si="31"/>
        <v>14.53125</v>
      </c>
      <c r="E380" s="83">
        <f t="shared" si="31"/>
        <v>29.0625</v>
      </c>
      <c r="F380" s="83">
        <f t="shared" si="31"/>
        <v>58.125</v>
      </c>
      <c r="G380" s="83">
        <f t="shared" si="31"/>
        <v>116.25</v>
      </c>
      <c r="H380" s="85">
        <f>H379+((H381-H379)/2)</f>
        <v>232.5</v>
      </c>
      <c r="I380" s="83">
        <f>E380*10</f>
        <v>290.625</v>
      </c>
      <c r="J380" s="83">
        <f>E380*12</f>
        <v>348.75</v>
      </c>
      <c r="L380" s="45">
        <f t="shared" si="29"/>
        <v>232.5</v>
      </c>
      <c r="M380" s="92">
        <v>88.65</v>
      </c>
    </row>
    <row r="381" spans="1:13" ht="15" customHeight="1">
      <c r="A381" s="46"/>
      <c r="B381" s="92">
        <v>88.7</v>
      </c>
      <c r="C381" s="83">
        <f t="shared" si="31"/>
        <v>7.34375</v>
      </c>
      <c r="D381" s="83">
        <f t="shared" si="31"/>
        <v>14.6875</v>
      </c>
      <c r="E381" s="83">
        <f t="shared" si="31"/>
        <v>29.375</v>
      </c>
      <c r="F381" s="83">
        <f t="shared" si="31"/>
        <v>58.75</v>
      </c>
      <c r="G381" s="83">
        <f t="shared" si="31"/>
        <v>117.5</v>
      </c>
      <c r="H381" s="86">
        <f>H379+5</f>
        <v>235</v>
      </c>
      <c r="I381" s="83">
        <f t="shared" si="23"/>
        <v>293.75</v>
      </c>
      <c r="J381" s="83">
        <f t="shared" si="24"/>
        <v>352.5</v>
      </c>
      <c r="L381" s="45">
        <f t="shared" si="29"/>
        <v>235</v>
      </c>
      <c r="M381" s="92">
        <v>88.7</v>
      </c>
    </row>
    <row r="382" spans="1:13" ht="15" customHeight="1">
      <c r="A382" s="46"/>
      <c r="B382" s="92">
        <v>88.75</v>
      </c>
      <c r="C382" s="83">
        <f t="shared" si="31"/>
        <v>7.421875</v>
      </c>
      <c r="D382" s="83">
        <f t="shared" si="31"/>
        <v>14.84375</v>
      </c>
      <c r="E382" s="83">
        <f t="shared" si="31"/>
        <v>29.6875</v>
      </c>
      <c r="F382" s="83">
        <f t="shared" si="31"/>
        <v>59.375</v>
      </c>
      <c r="G382" s="83">
        <f t="shared" si="31"/>
        <v>118.75</v>
      </c>
      <c r="H382" s="85">
        <f>H381+((H383-H381)/2)</f>
        <v>237.5</v>
      </c>
      <c r="I382" s="83">
        <f>E382*10</f>
        <v>296.875</v>
      </c>
      <c r="J382" s="83">
        <f>E382*12</f>
        <v>356.25</v>
      </c>
      <c r="L382" s="45">
        <f t="shared" si="29"/>
        <v>237.5</v>
      </c>
      <c r="M382" s="92">
        <v>88.75</v>
      </c>
    </row>
    <row r="383" spans="1:13" ht="15" customHeight="1">
      <c r="A383" s="46"/>
      <c r="B383" s="92">
        <v>88.8</v>
      </c>
      <c r="C383" s="83">
        <f t="shared" si="31"/>
        <v>7.5</v>
      </c>
      <c r="D383" s="83">
        <f t="shared" si="31"/>
        <v>15</v>
      </c>
      <c r="E383" s="83">
        <f t="shared" si="31"/>
        <v>30</v>
      </c>
      <c r="F383" s="83">
        <f t="shared" si="31"/>
        <v>60</v>
      </c>
      <c r="G383" s="83">
        <f t="shared" si="31"/>
        <v>120</v>
      </c>
      <c r="H383" s="86">
        <f>H381+5</f>
        <v>240</v>
      </c>
      <c r="I383" s="83">
        <f t="shared" si="23"/>
        <v>300</v>
      </c>
      <c r="J383" s="83">
        <f t="shared" si="24"/>
        <v>360</v>
      </c>
      <c r="L383" s="45">
        <f t="shared" si="29"/>
        <v>240</v>
      </c>
      <c r="M383" s="92">
        <v>88.8</v>
      </c>
    </row>
    <row r="384" spans="1:13" ht="15" customHeight="1">
      <c r="A384" s="46"/>
      <c r="B384" s="92">
        <v>88.85</v>
      </c>
      <c r="C384" s="83">
        <f t="shared" si="31"/>
        <v>7.578125</v>
      </c>
      <c r="D384" s="83">
        <f t="shared" si="31"/>
        <v>15.15625</v>
      </c>
      <c r="E384" s="83">
        <f t="shared" si="31"/>
        <v>30.3125</v>
      </c>
      <c r="F384" s="83">
        <f t="shared" si="31"/>
        <v>60.625</v>
      </c>
      <c r="G384" s="83">
        <f t="shared" si="31"/>
        <v>121.25</v>
      </c>
      <c r="H384" s="85">
        <f>H383+((H385-H383)/2)</f>
        <v>242.5</v>
      </c>
      <c r="I384" s="83">
        <f>E384*10</f>
        <v>303.125</v>
      </c>
      <c r="J384" s="83">
        <f>E384*12</f>
        <v>363.75</v>
      </c>
      <c r="L384" s="45">
        <f t="shared" si="29"/>
        <v>242.5</v>
      </c>
      <c r="M384" s="92">
        <v>88.85</v>
      </c>
    </row>
    <row r="385" spans="1:13" ht="15" customHeight="1">
      <c r="A385" s="46"/>
      <c r="B385" s="92">
        <v>88.9</v>
      </c>
      <c r="C385" s="83">
        <f t="shared" si="31"/>
        <v>7.65625</v>
      </c>
      <c r="D385" s="83">
        <f t="shared" si="31"/>
        <v>15.3125</v>
      </c>
      <c r="E385" s="83">
        <f t="shared" si="31"/>
        <v>30.625</v>
      </c>
      <c r="F385" s="83">
        <f t="shared" si="31"/>
        <v>61.25</v>
      </c>
      <c r="G385" s="83">
        <f t="shared" si="31"/>
        <v>122.5</v>
      </c>
      <c r="H385" s="86">
        <f>H383+5</f>
        <v>245</v>
      </c>
      <c r="I385" s="83">
        <f t="shared" si="23"/>
        <v>306.25</v>
      </c>
      <c r="J385" s="83">
        <f t="shared" si="24"/>
        <v>367.5</v>
      </c>
      <c r="L385" s="45">
        <f t="shared" si="29"/>
        <v>245</v>
      </c>
      <c r="M385" s="92">
        <v>88.9</v>
      </c>
    </row>
    <row r="386" spans="1:13" ht="15" customHeight="1">
      <c r="A386" s="46"/>
      <c r="B386" s="92">
        <v>88.95</v>
      </c>
      <c r="C386" s="83">
        <f>D386/2</f>
        <v>7.734375</v>
      </c>
      <c r="D386" s="83">
        <f>E386/2</f>
        <v>15.46875</v>
      </c>
      <c r="E386" s="83">
        <f>F386/2</f>
        <v>30.9375</v>
      </c>
      <c r="F386" s="83">
        <f>G386/2</f>
        <v>61.875</v>
      </c>
      <c r="G386" s="83">
        <f>H386/2</f>
        <v>123.75</v>
      </c>
      <c r="H386" s="85">
        <f>H385+((H387-H385)/2)</f>
        <v>247.5</v>
      </c>
      <c r="I386" s="83">
        <f>E386*10</f>
        <v>309.375</v>
      </c>
      <c r="J386" s="83">
        <f>E386*12</f>
        <v>371.25</v>
      </c>
      <c r="L386" s="45">
        <f t="shared" si="29"/>
        <v>247.5</v>
      </c>
      <c r="M386" s="92">
        <v>88.95</v>
      </c>
    </row>
    <row r="387" spans="1:13" ht="15" customHeight="1">
      <c r="A387" s="46"/>
      <c r="B387" s="92">
        <v>89</v>
      </c>
      <c r="C387" s="83">
        <f t="shared" ref="C387:G405" si="32">D387/2</f>
        <v>7.8125</v>
      </c>
      <c r="D387" s="83">
        <f t="shared" si="32"/>
        <v>15.625</v>
      </c>
      <c r="E387" s="83">
        <f t="shared" si="32"/>
        <v>31.25</v>
      </c>
      <c r="F387" s="83">
        <f t="shared" si="32"/>
        <v>62.5</v>
      </c>
      <c r="G387" s="83">
        <f t="shared" si="32"/>
        <v>125</v>
      </c>
      <c r="H387" s="86">
        <v>250</v>
      </c>
      <c r="I387" s="83">
        <f t="shared" si="23"/>
        <v>312.5</v>
      </c>
      <c r="J387" s="83">
        <f t="shared" si="24"/>
        <v>375</v>
      </c>
      <c r="L387" s="45">
        <f t="shared" si="29"/>
        <v>250</v>
      </c>
      <c r="M387" s="92">
        <v>89</v>
      </c>
    </row>
    <row r="388" spans="1:13" ht="15" customHeight="1">
      <c r="A388" s="46"/>
      <c r="B388" s="92">
        <v>89.05</v>
      </c>
      <c r="C388" s="83">
        <f t="shared" si="32"/>
        <v>7.921875</v>
      </c>
      <c r="D388" s="83">
        <f t="shared" si="32"/>
        <v>15.84375</v>
      </c>
      <c r="E388" s="83">
        <f t="shared" si="32"/>
        <v>31.6875</v>
      </c>
      <c r="F388" s="83">
        <f t="shared" si="32"/>
        <v>63.375</v>
      </c>
      <c r="G388" s="83">
        <f t="shared" si="32"/>
        <v>126.75</v>
      </c>
      <c r="H388" s="85">
        <f>H387+((H389-H387)/2)</f>
        <v>253.5</v>
      </c>
      <c r="I388" s="83">
        <f>E388*10</f>
        <v>316.875</v>
      </c>
      <c r="J388" s="83">
        <f>E388*12</f>
        <v>380.25</v>
      </c>
      <c r="L388" s="45">
        <f t="shared" si="29"/>
        <v>253.5</v>
      </c>
      <c r="M388" s="92">
        <v>89.05</v>
      </c>
    </row>
    <row r="389" spans="1:13" ht="15" customHeight="1">
      <c r="A389" s="46"/>
      <c r="B389" s="92">
        <v>89.1</v>
      </c>
      <c r="C389" s="83">
        <f t="shared" si="32"/>
        <v>8.03125</v>
      </c>
      <c r="D389" s="83">
        <f t="shared" si="32"/>
        <v>16.0625</v>
      </c>
      <c r="E389" s="83">
        <f t="shared" si="32"/>
        <v>32.125</v>
      </c>
      <c r="F389" s="83">
        <f t="shared" si="32"/>
        <v>64.25</v>
      </c>
      <c r="G389" s="83">
        <f t="shared" si="32"/>
        <v>128.5</v>
      </c>
      <c r="H389" s="85">
        <f>H387+((H407-H387)/10)</f>
        <v>257</v>
      </c>
      <c r="I389" s="83">
        <f t="shared" si="23"/>
        <v>321.25</v>
      </c>
      <c r="J389" s="83">
        <f t="shared" si="24"/>
        <v>385.5</v>
      </c>
      <c r="L389" s="45">
        <f t="shared" si="29"/>
        <v>257</v>
      </c>
      <c r="M389" s="92">
        <v>89.1</v>
      </c>
    </row>
    <row r="390" spans="1:13" ht="15" customHeight="1">
      <c r="A390" s="46"/>
      <c r="B390" s="92">
        <v>89.15</v>
      </c>
      <c r="C390" s="83">
        <f t="shared" si="32"/>
        <v>8.140625</v>
      </c>
      <c r="D390" s="83">
        <f t="shared" si="32"/>
        <v>16.28125</v>
      </c>
      <c r="E390" s="83">
        <f t="shared" si="32"/>
        <v>32.5625</v>
      </c>
      <c r="F390" s="83">
        <f t="shared" si="32"/>
        <v>65.125</v>
      </c>
      <c r="G390" s="83">
        <f t="shared" si="32"/>
        <v>130.25</v>
      </c>
      <c r="H390" s="85">
        <f>H389+((H391-H389)/2)</f>
        <v>260.5</v>
      </c>
      <c r="I390" s="83">
        <f>E390*10</f>
        <v>325.625</v>
      </c>
      <c r="J390" s="83">
        <f>E390*12</f>
        <v>390.75</v>
      </c>
      <c r="L390" s="45">
        <f t="shared" si="29"/>
        <v>260.5</v>
      </c>
      <c r="M390" s="92">
        <v>89.15</v>
      </c>
    </row>
    <row r="391" spans="1:13" ht="15" customHeight="1">
      <c r="A391" s="46"/>
      <c r="B391" s="92">
        <v>89.2</v>
      </c>
      <c r="C391" s="83">
        <f t="shared" si="32"/>
        <v>8.25</v>
      </c>
      <c r="D391" s="83">
        <f t="shared" si="32"/>
        <v>16.5</v>
      </c>
      <c r="E391" s="83">
        <f t="shared" si="32"/>
        <v>33</v>
      </c>
      <c r="F391" s="83">
        <f t="shared" si="32"/>
        <v>66</v>
      </c>
      <c r="G391" s="83">
        <f t="shared" si="32"/>
        <v>132</v>
      </c>
      <c r="H391" s="86">
        <f>H389+7</f>
        <v>264</v>
      </c>
      <c r="I391" s="83">
        <f t="shared" si="23"/>
        <v>330</v>
      </c>
      <c r="J391" s="83">
        <f t="shared" si="24"/>
        <v>396</v>
      </c>
      <c r="L391" s="45">
        <f t="shared" si="29"/>
        <v>264</v>
      </c>
      <c r="M391" s="92">
        <v>89.2</v>
      </c>
    </row>
    <row r="392" spans="1:13" ht="15" customHeight="1">
      <c r="A392" s="46"/>
      <c r="B392" s="92">
        <v>89.25</v>
      </c>
      <c r="C392" s="83">
        <f t="shared" si="32"/>
        <v>8.359375</v>
      </c>
      <c r="D392" s="83">
        <f t="shared" si="32"/>
        <v>16.71875</v>
      </c>
      <c r="E392" s="83">
        <f t="shared" si="32"/>
        <v>33.4375</v>
      </c>
      <c r="F392" s="83">
        <f t="shared" si="32"/>
        <v>66.875</v>
      </c>
      <c r="G392" s="83">
        <f t="shared" si="32"/>
        <v>133.75</v>
      </c>
      <c r="H392" s="85">
        <f>H391+((H393-H391)/2)</f>
        <v>267.5</v>
      </c>
      <c r="I392" s="83">
        <f>E392*10</f>
        <v>334.375</v>
      </c>
      <c r="J392" s="83">
        <f>E392*12</f>
        <v>401.25</v>
      </c>
      <c r="L392" s="45">
        <f t="shared" ref="L392:L455" si="33">+H392</f>
        <v>267.5</v>
      </c>
      <c r="M392" s="92">
        <v>89.25</v>
      </c>
    </row>
    <row r="393" spans="1:13" ht="15" customHeight="1">
      <c r="A393" s="46"/>
      <c r="B393" s="92">
        <v>89.3</v>
      </c>
      <c r="C393" s="83">
        <f t="shared" si="32"/>
        <v>8.46875</v>
      </c>
      <c r="D393" s="83">
        <f t="shared" si="32"/>
        <v>16.9375</v>
      </c>
      <c r="E393" s="83">
        <f t="shared" si="32"/>
        <v>33.875</v>
      </c>
      <c r="F393" s="83">
        <f t="shared" si="32"/>
        <v>67.75</v>
      </c>
      <c r="G393" s="83">
        <f t="shared" si="32"/>
        <v>135.5</v>
      </c>
      <c r="H393" s="86">
        <f>H391+7</f>
        <v>271</v>
      </c>
      <c r="I393" s="83">
        <f t="shared" ref="I393:I519" si="34">E393*10</f>
        <v>338.75</v>
      </c>
      <c r="J393" s="83">
        <f t="shared" ref="J393:J519" si="35">E393*12</f>
        <v>406.5</v>
      </c>
      <c r="L393" s="45">
        <f t="shared" si="33"/>
        <v>271</v>
      </c>
      <c r="M393" s="92">
        <v>89.3</v>
      </c>
    </row>
    <row r="394" spans="1:13" ht="15" customHeight="1">
      <c r="A394" s="46"/>
      <c r="B394" s="92">
        <v>89.35</v>
      </c>
      <c r="C394" s="83">
        <f t="shared" si="32"/>
        <v>8.578125</v>
      </c>
      <c r="D394" s="83">
        <f t="shared" si="32"/>
        <v>17.15625</v>
      </c>
      <c r="E394" s="83">
        <f t="shared" si="32"/>
        <v>34.3125</v>
      </c>
      <c r="F394" s="83">
        <f t="shared" si="32"/>
        <v>68.625</v>
      </c>
      <c r="G394" s="83">
        <f t="shared" si="32"/>
        <v>137.25</v>
      </c>
      <c r="H394" s="85">
        <f>H393+((H395-H393)/2)</f>
        <v>274.5</v>
      </c>
      <c r="I394" s="83">
        <f>E394*10</f>
        <v>343.125</v>
      </c>
      <c r="J394" s="83">
        <f>E394*12</f>
        <v>411.75</v>
      </c>
      <c r="L394" s="45">
        <f t="shared" si="33"/>
        <v>274.5</v>
      </c>
      <c r="M394" s="92">
        <v>89.35</v>
      </c>
    </row>
    <row r="395" spans="1:13" ht="15" customHeight="1">
      <c r="A395" s="46"/>
      <c r="B395" s="92">
        <v>89.4</v>
      </c>
      <c r="C395" s="83">
        <f t="shared" si="32"/>
        <v>8.6875</v>
      </c>
      <c r="D395" s="83">
        <f t="shared" si="32"/>
        <v>17.375</v>
      </c>
      <c r="E395" s="83">
        <f t="shared" si="32"/>
        <v>34.75</v>
      </c>
      <c r="F395" s="83">
        <f t="shared" si="32"/>
        <v>69.5</v>
      </c>
      <c r="G395" s="83">
        <f t="shared" si="32"/>
        <v>139</v>
      </c>
      <c r="H395" s="86">
        <f>H393+7</f>
        <v>278</v>
      </c>
      <c r="I395" s="83">
        <f t="shared" si="34"/>
        <v>347.5</v>
      </c>
      <c r="J395" s="83">
        <f t="shared" si="35"/>
        <v>417</v>
      </c>
      <c r="L395" s="45">
        <f t="shared" si="33"/>
        <v>278</v>
      </c>
      <c r="M395" s="92">
        <v>89.4</v>
      </c>
    </row>
    <row r="396" spans="1:13" ht="15" customHeight="1">
      <c r="A396" s="46"/>
      <c r="B396" s="92">
        <v>89.45</v>
      </c>
      <c r="C396" s="83">
        <f t="shared" si="32"/>
        <v>8.796875</v>
      </c>
      <c r="D396" s="83">
        <f t="shared" si="32"/>
        <v>17.59375</v>
      </c>
      <c r="E396" s="83">
        <f t="shared" si="32"/>
        <v>35.1875</v>
      </c>
      <c r="F396" s="83">
        <f t="shared" si="32"/>
        <v>70.375</v>
      </c>
      <c r="G396" s="83">
        <f t="shared" si="32"/>
        <v>140.75</v>
      </c>
      <c r="H396" s="85">
        <f>H395+((H397-H395)/2)</f>
        <v>281.5</v>
      </c>
      <c r="I396" s="83">
        <f>E396*10</f>
        <v>351.875</v>
      </c>
      <c r="J396" s="83">
        <f>E396*12</f>
        <v>422.25</v>
      </c>
      <c r="L396" s="45">
        <f t="shared" si="33"/>
        <v>281.5</v>
      </c>
      <c r="M396" s="92">
        <v>89.45</v>
      </c>
    </row>
    <row r="397" spans="1:13" ht="15" customHeight="1">
      <c r="A397" s="46"/>
      <c r="B397" s="92">
        <v>89.5</v>
      </c>
      <c r="C397" s="83">
        <f t="shared" si="32"/>
        <v>8.90625</v>
      </c>
      <c r="D397" s="83">
        <f t="shared" si="32"/>
        <v>17.8125</v>
      </c>
      <c r="E397" s="83">
        <f t="shared" si="32"/>
        <v>35.625</v>
      </c>
      <c r="F397" s="83">
        <f t="shared" si="32"/>
        <v>71.25</v>
      </c>
      <c r="G397" s="83">
        <f t="shared" si="32"/>
        <v>142.5</v>
      </c>
      <c r="H397" s="86">
        <f>H395+7</f>
        <v>285</v>
      </c>
      <c r="I397" s="83">
        <f t="shared" si="34"/>
        <v>356.25</v>
      </c>
      <c r="J397" s="83">
        <f t="shared" si="35"/>
        <v>427.5</v>
      </c>
      <c r="L397" s="45">
        <f t="shared" si="33"/>
        <v>285</v>
      </c>
      <c r="M397" s="92">
        <v>89.5</v>
      </c>
    </row>
    <row r="398" spans="1:13" ht="15" customHeight="1">
      <c r="A398" s="46"/>
      <c r="B398" s="92">
        <v>89.55</v>
      </c>
      <c r="C398" s="83">
        <f t="shared" si="32"/>
        <v>9.015625</v>
      </c>
      <c r="D398" s="83">
        <f t="shared" si="32"/>
        <v>18.03125</v>
      </c>
      <c r="E398" s="83">
        <f t="shared" si="32"/>
        <v>36.0625</v>
      </c>
      <c r="F398" s="83">
        <f t="shared" si="32"/>
        <v>72.125</v>
      </c>
      <c r="G398" s="83">
        <f t="shared" si="32"/>
        <v>144.25</v>
      </c>
      <c r="H398" s="85">
        <f>H397+((H399-H397)/2)</f>
        <v>288.5</v>
      </c>
      <c r="I398" s="83">
        <f>E398*10</f>
        <v>360.625</v>
      </c>
      <c r="J398" s="83">
        <f>E398*12</f>
        <v>432.75</v>
      </c>
      <c r="L398" s="45">
        <f t="shared" si="33"/>
        <v>288.5</v>
      </c>
      <c r="M398" s="92">
        <v>89.55</v>
      </c>
    </row>
    <row r="399" spans="1:13" ht="15" customHeight="1">
      <c r="A399" s="46"/>
      <c r="B399" s="92">
        <v>89.6</v>
      </c>
      <c r="C399" s="83">
        <f t="shared" si="32"/>
        <v>9.125</v>
      </c>
      <c r="D399" s="83">
        <f t="shared" si="32"/>
        <v>18.25</v>
      </c>
      <c r="E399" s="83">
        <f t="shared" si="32"/>
        <v>36.5</v>
      </c>
      <c r="F399" s="83">
        <f t="shared" si="32"/>
        <v>73</v>
      </c>
      <c r="G399" s="83">
        <f t="shared" si="32"/>
        <v>146</v>
      </c>
      <c r="H399" s="86">
        <f>H397+7</f>
        <v>292</v>
      </c>
      <c r="I399" s="83">
        <f t="shared" si="34"/>
        <v>365</v>
      </c>
      <c r="J399" s="83">
        <f t="shared" si="35"/>
        <v>438</v>
      </c>
      <c r="L399" s="45">
        <f t="shared" si="33"/>
        <v>292</v>
      </c>
      <c r="M399" s="92">
        <v>89.6</v>
      </c>
    </row>
    <row r="400" spans="1:13" ht="15" customHeight="1">
      <c r="A400" s="46"/>
      <c r="B400" s="92">
        <v>89.65</v>
      </c>
      <c r="C400" s="83">
        <f t="shared" si="32"/>
        <v>9.234375</v>
      </c>
      <c r="D400" s="83">
        <f t="shared" si="32"/>
        <v>18.46875</v>
      </c>
      <c r="E400" s="83">
        <f t="shared" si="32"/>
        <v>36.9375</v>
      </c>
      <c r="F400" s="83">
        <f t="shared" si="32"/>
        <v>73.875</v>
      </c>
      <c r="G400" s="83">
        <f t="shared" si="32"/>
        <v>147.75</v>
      </c>
      <c r="H400" s="85">
        <f>H399+((H401-H399)/2)</f>
        <v>295.5</v>
      </c>
      <c r="I400" s="83">
        <f>E400*10</f>
        <v>369.375</v>
      </c>
      <c r="J400" s="83">
        <f>E400*12</f>
        <v>443.25</v>
      </c>
      <c r="L400" s="45">
        <f t="shared" si="33"/>
        <v>295.5</v>
      </c>
      <c r="M400" s="92">
        <v>89.65</v>
      </c>
    </row>
    <row r="401" spans="1:13" ht="15" customHeight="1">
      <c r="A401" s="46"/>
      <c r="B401" s="92">
        <v>89.7</v>
      </c>
      <c r="C401" s="83">
        <f t="shared" si="32"/>
        <v>9.34375</v>
      </c>
      <c r="D401" s="83">
        <f t="shared" si="32"/>
        <v>18.6875</v>
      </c>
      <c r="E401" s="83">
        <f t="shared" si="32"/>
        <v>37.375</v>
      </c>
      <c r="F401" s="83">
        <f t="shared" si="32"/>
        <v>74.75</v>
      </c>
      <c r="G401" s="83">
        <f t="shared" si="32"/>
        <v>149.5</v>
      </c>
      <c r="H401" s="86">
        <f>H399+7</f>
        <v>299</v>
      </c>
      <c r="I401" s="83">
        <f t="shared" si="34"/>
        <v>373.75</v>
      </c>
      <c r="J401" s="83">
        <f t="shared" si="35"/>
        <v>448.5</v>
      </c>
      <c r="L401" s="45">
        <f t="shared" si="33"/>
        <v>299</v>
      </c>
      <c r="M401" s="92">
        <v>89.7</v>
      </c>
    </row>
    <row r="402" spans="1:13" ht="15" customHeight="1">
      <c r="A402" s="46"/>
      <c r="B402" s="92">
        <v>89.75</v>
      </c>
      <c r="C402" s="83">
        <f t="shared" si="32"/>
        <v>9.453125</v>
      </c>
      <c r="D402" s="83">
        <f t="shared" si="32"/>
        <v>18.90625</v>
      </c>
      <c r="E402" s="83">
        <f t="shared" si="32"/>
        <v>37.8125</v>
      </c>
      <c r="F402" s="83">
        <f t="shared" si="32"/>
        <v>75.625</v>
      </c>
      <c r="G402" s="83">
        <f t="shared" si="32"/>
        <v>151.25</v>
      </c>
      <c r="H402" s="85">
        <f>H401+((H403-H401)/2)</f>
        <v>302.5</v>
      </c>
      <c r="I402" s="83">
        <f>E402*10</f>
        <v>378.125</v>
      </c>
      <c r="J402" s="83">
        <f>E402*12</f>
        <v>453.75</v>
      </c>
      <c r="L402" s="45">
        <f t="shared" si="33"/>
        <v>302.5</v>
      </c>
      <c r="M402" s="92">
        <v>89.75</v>
      </c>
    </row>
    <row r="403" spans="1:13" ht="15" customHeight="1">
      <c r="A403" s="46"/>
      <c r="B403" s="92">
        <v>89.8</v>
      </c>
      <c r="C403" s="83">
        <f t="shared" si="32"/>
        <v>9.5625</v>
      </c>
      <c r="D403" s="83">
        <f t="shared" si="32"/>
        <v>19.125</v>
      </c>
      <c r="E403" s="83">
        <f t="shared" si="32"/>
        <v>38.25</v>
      </c>
      <c r="F403" s="83">
        <f t="shared" si="32"/>
        <v>76.5</v>
      </c>
      <c r="G403" s="83">
        <f t="shared" si="32"/>
        <v>153</v>
      </c>
      <c r="H403" s="86">
        <f>H401+7</f>
        <v>306</v>
      </c>
      <c r="I403" s="83">
        <f t="shared" si="34"/>
        <v>382.5</v>
      </c>
      <c r="J403" s="83">
        <f t="shared" si="35"/>
        <v>459</v>
      </c>
      <c r="L403" s="45">
        <f t="shared" si="33"/>
        <v>306</v>
      </c>
      <c r="M403" s="92">
        <v>89.8</v>
      </c>
    </row>
    <row r="404" spans="1:13" ht="15" customHeight="1">
      <c r="A404" s="46"/>
      <c r="B404" s="92">
        <v>89.85</v>
      </c>
      <c r="C404" s="83">
        <f t="shared" si="32"/>
        <v>9.671875</v>
      </c>
      <c r="D404" s="83">
        <f t="shared" si="32"/>
        <v>19.34375</v>
      </c>
      <c r="E404" s="83">
        <f t="shared" si="32"/>
        <v>38.6875</v>
      </c>
      <c r="F404" s="83">
        <f t="shared" si="32"/>
        <v>77.375</v>
      </c>
      <c r="G404" s="83">
        <f t="shared" si="32"/>
        <v>154.75</v>
      </c>
      <c r="H404" s="85">
        <f>H403+((H405-H403)/2)</f>
        <v>309.5</v>
      </c>
      <c r="I404" s="83">
        <f>E404*10</f>
        <v>386.875</v>
      </c>
      <c r="J404" s="83">
        <f>E404*12</f>
        <v>464.25</v>
      </c>
      <c r="L404" s="45">
        <f t="shared" si="33"/>
        <v>309.5</v>
      </c>
      <c r="M404" s="92">
        <v>89.85</v>
      </c>
    </row>
    <row r="405" spans="1:13" ht="15" customHeight="1">
      <c r="A405" s="46"/>
      <c r="B405" s="92">
        <v>89.9</v>
      </c>
      <c r="C405" s="83">
        <f t="shared" si="32"/>
        <v>9.78125</v>
      </c>
      <c r="D405" s="83">
        <f t="shared" si="32"/>
        <v>19.5625</v>
      </c>
      <c r="E405" s="83">
        <f t="shared" si="32"/>
        <v>39.125</v>
      </c>
      <c r="F405" s="83">
        <f t="shared" si="32"/>
        <v>78.25</v>
      </c>
      <c r="G405" s="83">
        <f t="shared" si="32"/>
        <v>156.5</v>
      </c>
      <c r="H405" s="86">
        <f>H403+7</f>
        <v>313</v>
      </c>
      <c r="I405" s="83">
        <f t="shared" si="34"/>
        <v>391.25</v>
      </c>
      <c r="J405" s="83">
        <f t="shared" si="35"/>
        <v>469.5</v>
      </c>
      <c r="L405" s="45">
        <f t="shared" si="33"/>
        <v>313</v>
      </c>
      <c r="M405" s="92">
        <v>89.9</v>
      </c>
    </row>
    <row r="406" spans="1:13" ht="15" customHeight="1">
      <c r="A406" s="46"/>
      <c r="B406" s="92">
        <v>89.95</v>
      </c>
      <c r="C406" s="83">
        <f>D406/2</f>
        <v>9.890625</v>
      </c>
      <c r="D406" s="83">
        <f>E406/2</f>
        <v>19.78125</v>
      </c>
      <c r="E406" s="83">
        <f>F406/2</f>
        <v>39.5625</v>
      </c>
      <c r="F406" s="83">
        <f>G406/2</f>
        <v>79.125</v>
      </c>
      <c r="G406" s="83">
        <f>H406/2</f>
        <v>158.25</v>
      </c>
      <c r="H406" s="85">
        <f>H405+((H407-H405)/2)</f>
        <v>316.5</v>
      </c>
      <c r="I406" s="83">
        <f>E406*10</f>
        <v>395.625</v>
      </c>
      <c r="J406" s="83">
        <f>E406*12</f>
        <v>474.75</v>
      </c>
      <c r="L406" s="45">
        <f t="shared" si="33"/>
        <v>316.5</v>
      </c>
      <c r="M406" s="92">
        <v>89.95</v>
      </c>
    </row>
    <row r="407" spans="1:13" ht="15" customHeight="1">
      <c r="A407" s="46"/>
      <c r="B407" s="92">
        <v>90</v>
      </c>
      <c r="C407" s="83">
        <f t="shared" ref="C407:G425" si="36">D407/2</f>
        <v>10</v>
      </c>
      <c r="D407" s="83">
        <f t="shared" si="36"/>
        <v>20</v>
      </c>
      <c r="E407" s="83">
        <f t="shared" si="36"/>
        <v>40</v>
      </c>
      <c r="F407" s="83">
        <f t="shared" si="36"/>
        <v>80</v>
      </c>
      <c r="G407" s="83">
        <f t="shared" si="36"/>
        <v>160</v>
      </c>
      <c r="H407" s="86">
        <v>320</v>
      </c>
      <c r="I407" s="83">
        <f t="shared" si="34"/>
        <v>400</v>
      </c>
      <c r="J407" s="83">
        <f t="shared" si="35"/>
        <v>480</v>
      </c>
      <c r="L407" s="45">
        <f t="shared" si="33"/>
        <v>320</v>
      </c>
      <c r="M407" s="92">
        <v>90</v>
      </c>
    </row>
    <row r="408" spans="1:13" ht="15" customHeight="1">
      <c r="A408" s="46"/>
      <c r="B408" s="92">
        <v>90.05</v>
      </c>
      <c r="C408" s="83">
        <f t="shared" si="36"/>
        <v>10.125</v>
      </c>
      <c r="D408" s="83">
        <f t="shared" si="36"/>
        <v>20.25</v>
      </c>
      <c r="E408" s="83">
        <f t="shared" si="36"/>
        <v>40.5</v>
      </c>
      <c r="F408" s="83">
        <f t="shared" si="36"/>
        <v>81</v>
      </c>
      <c r="G408" s="83">
        <f t="shared" si="36"/>
        <v>162</v>
      </c>
      <c r="H408" s="85">
        <f>H407+((H409-H407)/2)</f>
        <v>324</v>
      </c>
      <c r="I408" s="83">
        <f>E408*10</f>
        <v>405</v>
      </c>
      <c r="J408" s="83">
        <f>E408*12</f>
        <v>486</v>
      </c>
      <c r="L408" s="45">
        <f t="shared" si="33"/>
        <v>324</v>
      </c>
      <c r="M408" s="92">
        <v>90.05</v>
      </c>
    </row>
    <row r="409" spans="1:13" ht="15" customHeight="1">
      <c r="A409" s="46"/>
      <c r="B409" s="92">
        <v>90.1</v>
      </c>
      <c r="C409" s="83">
        <f t="shared" si="36"/>
        <v>10.25</v>
      </c>
      <c r="D409" s="83">
        <f t="shared" si="36"/>
        <v>20.5</v>
      </c>
      <c r="E409" s="83">
        <f t="shared" si="36"/>
        <v>41</v>
      </c>
      <c r="F409" s="83">
        <f t="shared" si="36"/>
        <v>82</v>
      </c>
      <c r="G409" s="83">
        <f t="shared" si="36"/>
        <v>164</v>
      </c>
      <c r="H409" s="85">
        <f>H407+((H427-H407)/10)</f>
        <v>328</v>
      </c>
      <c r="I409" s="83">
        <f t="shared" si="34"/>
        <v>410</v>
      </c>
      <c r="J409" s="83">
        <f t="shared" si="35"/>
        <v>492</v>
      </c>
      <c r="L409" s="45">
        <f t="shared" si="33"/>
        <v>328</v>
      </c>
      <c r="M409" s="92">
        <v>90.1</v>
      </c>
    </row>
    <row r="410" spans="1:13" ht="15" customHeight="1">
      <c r="A410" s="46"/>
      <c r="B410" s="92">
        <v>90.15</v>
      </c>
      <c r="C410" s="83">
        <f t="shared" si="36"/>
        <v>10.375</v>
      </c>
      <c r="D410" s="83">
        <f t="shared" si="36"/>
        <v>20.75</v>
      </c>
      <c r="E410" s="83">
        <f t="shared" si="36"/>
        <v>41.5</v>
      </c>
      <c r="F410" s="83">
        <f t="shared" si="36"/>
        <v>83</v>
      </c>
      <c r="G410" s="83">
        <f t="shared" si="36"/>
        <v>166</v>
      </c>
      <c r="H410" s="85">
        <f>H409+((H411-H409)/2)</f>
        <v>332</v>
      </c>
      <c r="I410" s="83">
        <f>E410*10</f>
        <v>415</v>
      </c>
      <c r="J410" s="83">
        <f>E410*12</f>
        <v>498</v>
      </c>
      <c r="L410" s="45">
        <f t="shared" si="33"/>
        <v>332</v>
      </c>
      <c r="M410" s="92">
        <v>90.15</v>
      </c>
    </row>
    <row r="411" spans="1:13" ht="15" customHeight="1">
      <c r="A411" s="46"/>
      <c r="B411" s="92">
        <v>90.2</v>
      </c>
      <c r="C411" s="83">
        <f t="shared" si="36"/>
        <v>10.5</v>
      </c>
      <c r="D411" s="83">
        <f t="shared" si="36"/>
        <v>21</v>
      </c>
      <c r="E411" s="83">
        <f t="shared" si="36"/>
        <v>42</v>
      </c>
      <c r="F411" s="83">
        <f t="shared" si="36"/>
        <v>84</v>
      </c>
      <c r="G411" s="83">
        <f t="shared" si="36"/>
        <v>168</v>
      </c>
      <c r="H411" s="86">
        <f>H409+8</f>
        <v>336</v>
      </c>
      <c r="I411" s="83">
        <f t="shared" si="34"/>
        <v>420</v>
      </c>
      <c r="J411" s="83">
        <f t="shared" si="35"/>
        <v>504</v>
      </c>
      <c r="L411" s="45">
        <f t="shared" si="33"/>
        <v>336</v>
      </c>
      <c r="M411" s="92">
        <v>90.2</v>
      </c>
    </row>
    <row r="412" spans="1:13" ht="15" customHeight="1">
      <c r="A412" s="46"/>
      <c r="B412" s="92">
        <v>90.25</v>
      </c>
      <c r="C412" s="83">
        <f t="shared" si="36"/>
        <v>10.625</v>
      </c>
      <c r="D412" s="83">
        <f t="shared" si="36"/>
        <v>21.25</v>
      </c>
      <c r="E412" s="83">
        <f t="shared" si="36"/>
        <v>42.5</v>
      </c>
      <c r="F412" s="83">
        <f t="shared" si="36"/>
        <v>85</v>
      </c>
      <c r="G412" s="83">
        <f t="shared" si="36"/>
        <v>170</v>
      </c>
      <c r="H412" s="85">
        <f>H411+((H413-H411)/2)</f>
        <v>340</v>
      </c>
      <c r="I412" s="83">
        <f>E412*10</f>
        <v>425</v>
      </c>
      <c r="J412" s="83">
        <f>E412*12</f>
        <v>510</v>
      </c>
      <c r="L412" s="45">
        <f t="shared" si="33"/>
        <v>340</v>
      </c>
      <c r="M412" s="92">
        <v>90.25</v>
      </c>
    </row>
    <row r="413" spans="1:13" ht="15" customHeight="1">
      <c r="A413" s="46"/>
      <c r="B413" s="92">
        <v>90.3</v>
      </c>
      <c r="C413" s="83">
        <f t="shared" si="36"/>
        <v>10.75</v>
      </c>
      <c r="D413" s="83">
        <f t="shared" si="36"/>
        <v>21.5</v>
      </c>
      <c r="E413" s="83">
        <f t="shared" si="36"/>
        <v>43</v>
      </c>
      <c r="F413" s="83">
        <f t="shared" si="36"/>
        <v>86</v>
      </c>
      <c r="G413" s="83">
        <f t="shared" si="36"/>
        <v>172</v>
      </c>
      <c r="H413" s="86">
        <f>H411+8</f>
        <v>344</v>
      </c>
      <c r="I413" s="83">
        <f t="shared" si="34"/>
        <v>430</v>
      </c>
      <c r="J413" s="83">
        <f t="shared" si="35"/>
        <v>516</v>
      </c>
      <c r="L413" s="45">
        <f t="shared" si="33"/>
        <v>344</v>
      </c>
      <c r="M413" s="92">
        <v>90.3</v>
      </c>
    </row>
    <row r="414" spans="1:13" ht="15" customHeight="1">
      <c r="A414" s="46"/>
      <c r="B414" s="92">
        <v>90.35</v>
      </c>
      <c r="C414" s="83">
        <f t="shared" si="36"/>
        <v>10.875</v>
      </c>
      <c r="D414" s="83">
        <f t="shared" si="36"/>
        <v>21.75</v>
      </c>
      <c r="E414" s="83">
        <f t="shared" si="36"/>
        <v>43.5</v>
      </c>
      <c r="F414" s="83">
        <f t="shared" si="36"/>
        <v>87</v>
      </c>
      <c r="G414" s="83">
        <f t="shared" si="36"/>
        <v>174</v>
      </c>
      <c r="H414" s="85">
        <f>H413+((H415-H413)/2)</f>
        <v>348</v>
      </c>
      <c r="I414" s="83">
        <f>E414*10</f>
        <v>435</v>
      </c>
      <c r="J414" s="83">
        <f>E414*12</f>
        <v>522</v>
      </c>
      <c r="L414" s="45">
        <f t="shared" si="33"/>
        <v>348</v>
      </c>
      <c r="M414" s="92">
        <v>90.35</v>
      </c>
    </row>
    <row r="415" spans="1:13" ht="15" customHeight="1">
      <c r="A415" s="46"/>
      <c r="B415" s="92">
        <v>90.4</v>
      </c>
      <c r="C415" s="83">
        <f t="shared" si="36"/>
        <v>11</v>
      </c>
      <c r="D415" s="83">
        <f t="shared" si="36"/>
        <v>22</v>
      </c>
      <c r="E415" s="83">
        <f t="shared" si="36"/>
        <v>44</v>
      </c>
      <c r="F415" s="83">
        <f t="shared" si="36"/>
        <v>88</v>
      </c>
      <c r="G415" s="83">
        <f t="shared" si="36"/>
        <v>176</v>
      </c>
      <c r="H415" s="86">
        <f>H413+8</f>
        <v>352</v>
      </c>
      <c r="I415" s="83">
        <f t="shared" si="34"/>
        <v>440</v>
      </c>
      <c r="J415" s="83">
        <f t="shared" si="35"/>
        <v>528</v>
      </c>
      <c r="L415" s="45">
        <f t="shared" si="33"/>
        <v>352</v>
      </c>
      <c r="M415" s="92">
        <v>90.4</v>
      </c>
    </row>
    <row r="416" spans="1:13" ht="15" customHeight="1">
      <c r="A416" s="46"/>
      <c r="B416" s="92">
        <v>90.45</v>
      </c>
      <c r="C416" s="83">
        <f t="shared" si="36"/>
        <v>11.125</v>
      </c>
      <c r="D416" s="83">
        <f t="shared" si="36"/>
        <v>22.25</v>
      </c>
      <c r="E416" s="83">
        <f t="shared" si="36"/>
        <v>44.5</v>
      </c>
      <c r="F416" s="83">
        <f t="shared" si="36"/>
        <v>89</v>
      </c>
      <c r="G416" s="83">
        <f t="shared" si="36"/>
        <v>178</v>
      </c>
      <c r="H416" s="85">
        <f>H415+((H417-H415)/2)</f>
        <v>356</v>
      </c>
      <c r="I416" s="83">
        <f>E416*10</f>
        <v>445</v>
      </c>
      <c r="J416" s="83">
        <f>E416*12</f>
        <v>534</v>
      </c>
      <c r="L416" s="45">
        <f t="shared" si="33"/>
        <v>356</v>
      </c>
      <c r="M416" s="92">
        <v>90.45</v>
      </c>
    </row>
    <row r="417" spans="1:13" ht="15" customHeight="1">
      <c r="A417" s="46"/>
      <c r="B417" s="92">
        <v>90.5</v>
      </c>
      <c r="C417" s="83">
        <f t="shared" si="36"/>
        <v>11.25</v>
      </c>
      <c r="D417" s="83">
        <f t="shared" si="36"/>
        <v>22.5</v>
      </c>
      <c r="E417" s="83">
        <f t="shared" si="36"/>
        <v>45</v>
      </c>
      <c r="F417" s="83">
        <f t="shared" si="36"/>
        <v>90</v>
      </c>
      <c r="G417" s="83">
        <f t="shared" si="36"/>
        <v>180</v>
      </c>
      <c r="H417" s="86">
        <f>H415+8</f>
        <v>360</v>
      </c>
      <c r="I417" s="83">
        <f t="shared" si="34"/>
        <v>450</v>
      </c>
      <c r="J417" s="83">
        <f t="shared" si="35"/>
        <v>540</v>
      </c>
      <c r="L417" s="45">
        <f t="shared" si="33"/>
        <v>360</v>
      </c>
      <c r="M417" s="92">
        <v>90.5</v>
      </c>
    </row>
    <row r="418" spans="1:13" ht="15" customHeight="1">
      <c r="A418" s="46"/>
      <c r="B418" s="92">
        <v>90.55</v>
      </c>
      <c r="C418" s="83">
        <f t="shared" si="36"/>
        <v>11.375</v>
      </c>
      <c r="D418" s="83">
        <f t="shared" si="36"/>
        <v>22.75</v>
      </c>
      <c r="E418" s="83">
        <f t="shared" si="36"/>
        <v>45.5</v>
      </c>
      <c r="F418" s="83">
        <f t="shared" si="36"/>
        <v>91</v>
      </c>
      <c r="G418" s="83">
        <f t="shared" si="36"/>
        <v>182</v>
      </c>
      <c r="H418" s="85">
        <f>H417+((H419-H417)/2)</f>
        <v>364</v>
      </c>
      <c r="I418" s="83">
        <f>E418*10</f>
        <v>455</v>
      </c>
      <c r="J418" s="83">
        <f>E418*12</f>
        <v>546</v>
      </c>
      <c r="L418" s="45">
        <f t="shared" si="33"/>
        <v>364</v>
      </c>
      <c r="M418" s="92">
        <v>90.55</v>
      </c>
    </row>
    <row r="419" spans="1:13" ht="15" customHeight="1">
      <c r="A419" s="46"/>
      <c r="B419" s="92">
        <v>90.6</v>
      </c>
      <c r="C419" s="83">
        <f t="shared" si="36"/>
        <v>11.5</v>
      </c>
      <c r="D419" s="83">
        <f t="shared" si="36"/>
        <v>23</v>
      </c>
      <c r="E419" s="83">
        <f t="shared" si="36"/>
        <v>46</v>
      </c>
      <c r="F419" s="83">
        <f t="shared" si="36"/>
        <v>92</v>
      </c>
      <c r="G419" s="83">
        <f t="shared" si="36"/>
        <v>184</v>
      </c>
      <c r="H419" s="86">
        <f>H417+8</f>
        <v>368</v>
      </c>
      <c r="I419" s="83">
        <f t="shared" si="34"/>
        <v>460</v>
      </c>
      <c r="J419" s="83">
        <f t="shared" si="35"/>
        <v>552</v>
      </c>
      <c r="L419" s="45">
        <f t="shared" si="33"/>
        <v>368</v>
      </c>
      <c r="M419" s="92">
        <v>90.6</v>
      </c>
    </row>
    <row r="420" spans="1:13" ht="15" customHeight="1">
      <c r="A420" s="46"/>
      <c r="B420" s="92">
        <v>90.65</v>
      </c>
      <c r="C420" s="83">
        <f t="shared" si="36"/>
        <v>11.625</v>
      </c>
      <c r="D420" s="83">
        <f t="shared" si="36"/>
        <v>23.25</v>
      </c>
      <c r="E420" s="83">
        <f t="shared" si="36"/>
        <v>46.5</v>
      </c>
      <c r="F420" s="83">
        <f t="shared" si="36"/>
        <v>93</v>
      </c>
      <c r="G420" s="83">
        <f t="shared" si="36"/>
        <v>186</v>
      </c>
      <c r="H420" s="85">
        <f>H419+((H421-H419)/2)</f>
        <v>372</v>
      </c>
      <c r="I420" s="83">
        <f>E420*10</f>
        <v>465</v>
      </c>
      <c r="J420" s="83">
        <f>E420*12</f>
        <v>558</v>
      </c>
      <c r="L420" s="45">
        <f t="shared" si="33"/>
        <v>372</v>
      </c>
      <c r="M420" s="92">
        <v>90.65</v>
      </c>
    </row>
    <row r="421" spans="1:13" ht="15" customHeight="1">
      <c r="A421" s="46"/>
      <c r="B421" s="92">
        <v>90.7</v>
      </c>
      <c r="C421" s="83">
        <f t="shared" si="36"/>
        <v>11.75</v>
      </c>
      <c r="D421" s="83">
        <f t="shared" si="36"/>
        <v>23.5</v>
      </c>
      <c r="E421" s="83">
        <f t="shared" si="36"/>
        <v>47</v>
      </c>
      <c r="F421" s="83">
        <f t="shared" si="36"/>
        <v>94</v>
      </c>
      <c r="G421" s="83">
        <f t="shared" si="36"/>
        <v>188</v>
      </c>
      <c r="H421" s="86">
        <f>H419+8</f>
        <v>376</v>
      </c>
      <c r="I421" s="83">
        <f t="shared" si="34"/>
        <v>470</v>
      </c>
      <c r="J421" s="83">
        <f t="shared" si="35"/>
        <v>564</v>
      </c>
      <c r="L421" s="45">
        <f t="shared" si="33"/>
        <v>376</v>
      </c>
      <c r="M421" s="92">
        <v>90.7</v>
      </c>
    </row>
    <row r="422" spans="1:13" ht="15" customHeight="1">
      <c r="A422" s="46"/>
      <c r="B422" s="92">
        <v>90.75</v>
      </c>
      <c r="C422" s="83">
        <f t="shared" si="36"/>
        <v>11.875</v>
      </c>
      <c r="D422" s="83">
        <f t="shared" si="36"/>
        <v>23.75</v>
      </c>
      <c r="E422" s="83">
        <f t="shared" si="36"/>
        <v>47.5</v>
      </c>
      <c r="F422" s="83">
        <f t="shared" si="36"/>
        <v>95</v>
      </c>
      <c r="G422" s="83">
        <f t="shared" si="36"/>
        <v>190</v>
      </c>
      <c r="H422" s="85">
        <f>H421+((H423-H421)/2)</f>
        <v>380</v>
      </c>
      <c r="I422" s="83">
        <f>E422*10</f>
        <v>475</v>
      </c>
      <c r="J422" s="83">
        <f>E422*12</f>
        <v>570</v>
      </c>
      <c r="L422" s="45">
        <f t="shared" si="33"/>
        <v>380</v>
      </c>
      <c r="M422" s="92">
        <v>90.75</v>
      </c>
    </row>
    <row r="423" spans="1:13" ht="15" customHeight="1">
      <c r="A423" s="46"/>
      <c r="B423" s="92">
        <v>90.8</v>
      </c>
      <c r="C423" s="83">
        <f t="shared" si="36"/>
        <v>12</v>
      </c>
      <c r="D423" s="83">
        <f t="shared" si="36"/>
        <v>24</v>
      </c>
      <c r="E423" s="83">
        <f t="shared" si="36"/>
        <v>48</v>
      </c>
      <c r="F423" s="83">
        <f t="shared" si="36"/>
        <v>96</v>
      </c>
      <c r="G423" s="83">
        <f t="shared" si="36"/>
        <v>192</v>
      </c>
      <c r="H423" s="86">
        <f>H421+8</f>
        <v>384</v>
      </c>
      <c r="I423" s="83">
        <f t="shared" si="34"/>
        <v>480</v>
      </c>
      <c r="J423" s="83">
        <f t="shared" si="35"/>
        <v>576</v>
      </c>
      <c r="L423" s="45">
        <f t="shared" si="33"/>
        <v>384</v>
      </c>
      <c r="M423" s="92">
        <v>90.8</v>
      </c>
    </row>
    <row r="424" spans="1:13" ht="15" customHeight="1">
      <c r="A424" s="46"/>
      <c r="B424" s="92">
        <v>90.85</v>
      </c>
      <c r="C424" s="83">
        <f t="shared" si="36"/>
        <v>12.125</v>
      </c>
      <c r="D424" s="83">
        <f t="shared" si="36"/>
        <v>24.25</v>
      </c>
      <c r="E424" s="83">
        <f t="shared" si="36"/>
        <v>48.5</v>
      </c>
      <c r="F424" s="83">
        <f t="shared" si="36"/>
        <v>97</v>
      </c>
      <c r="G424" s="83">
        <f t="shared" si="36"/>
        <v>194</v>
      </c>
      <c r="H424" s="85">
        <f>H423+((H425-H423)/2)</f>
        <v>388</v>
      </c>
      <c r="I424" s="83">
        <f>E424*10</f>
        <v>485</v>
      </c>
      <c r="J424" s="83">
        <f>E424*12</f>
        <v>582</v>
      </c>
      <c r="L424" s="45">
        <f t="shared" si="33"/>
        <v>388</v>
      </c>
      <c r="M424" s="92">
        <v>90.85</v>
      </c>
    </row>
    <row r="425" spans="1:13" ht="15" customHeight="1">
      <c r="A425" s="46"/>
      <c r="B425" s="92">
        <v>90.9</v>
      </c>
      <c r="C425" s="83">
        <f t="shared" si="36"/>
        <v>12.25</v>
      </c>
      <c r="D425" s="83">
        <f t="shared" si="36"/>
        <v>24.5</v>
      </c>
      <c r="E425" s="83">
        <f t="shared" si="36"/>
        <v>49</v>
      </c>
      <c r="F425" s="83">
        <f t="shared" si="36"/>
        <v>98</v>
      </c>
      <c r="G425" s="83">
        <f t="shared" si="36"/>
        <v>196</v>
      </c>
      <c r="H425" s="86">
        <f>H423+8</f>
        <v>392</v>
      </c>
      <c r="I425" s="83">
        <f t="shared" si="34"/>
        <v>490</v>
      </c>
      <c r="J425" s="83">
        <f t="shared" si="35"/>
        <v>588</v>
      </c>
      <c r="L425" s="45">
        <f t="shared" si="33"/>
        <v>392</v>
      </c>
      <c r="M425" s="92">
        <v>90.9</v>
      </c>
    </row>
    <row r="426" spans="1:13" ht="15" customHeight="1">
      <c r="A426" s="46"/>
      <c r="B426" s="92">
        <v>90.95</v>
      </c>
      <c r="C426" s="83">
        <f>D426/2</f>
        <v>12.375</v>
      </c>
      <c r="D426" s="83">
        <f>E426/2</f>
        <v>24.75</v>
      </c>
      <c r="E426" s="83">
        <f>F426/2</f>
        <v>49.5</v>
      </c>
      <c r="F426" s="83">
        <f>G426/2</f>
        <v>99</v>
      </c>
      <c r="G426" s="83">
        <f>H426/2</f>
        <v>198</v>
      </c>
      <c r="H426" s="85">
        <f>H425+((H427-H425)/2)</f>
        <v>396</v>
      </c>
      <c r="I426" s="83">
        <f>E426*10</f>
        <v>495</v>
      </c>
      <c r="J426" s="83">
        <f>E426*12</f>
        <v>594</v>
      </c>
      <c r="L426" s="45">
        <f t="shared" si="33"/>
        <v>396</v>
      </c>
      <c r="M426" s="92">
        <v>90.95</v>
      </c>
    </row>
    <row r="427" spans="1:13" ht="15" customHeight="1">
      <c r="A427" s="46"/>
      <c r="B427" s="92">
        <v>91</v>
      </c>
      <c r="C427" s="83">
        <f t="shared" ref="C427:G445" si="37">D427/2</f>
        <v>12.5</v>
      </c>
      <c r="D427" s="83">
        <f t="shared" si="37"/>
        <v>25</v>
      </c>
      <c r="E427" s="83">
        <f t="shared" si="37"/>
        <v>50</v>
      </c>
      <c r="F427" s="83">
        <f t="shared" si="37"/>
        <v>100</v>
      </c>
      <c r="G427" s="83">
        <f t="shared" si="37"/>
        <v>200</v>
      </c>
      <c r="H427" s="86">
        <v>400</v>
      </c>
      <c r="I427" s="83">
        <f t="shared" si="34"/>
        <v>500</v>
      </c>
      <c r="J427" s="83">
        <f t="shared" si="35"/>
        <v>600</v>
      </c>
      <c r="L427" s="45">
        <f t="shared" si="33"/>
        <v>400</v>
      </c>
      <c r="M427" s="92">
        <v>91</v>
      </c>
    </row>
    <row r="428" spans="1:13" ht="15" customHeight="1">
      <c r="A428" s="46"/>
      <c r="B428" s="92">
        <v>91.05</v>
      </c>
      <c r="C428" s="83">
        <f t="shared" si="37"/>
        <v>12.65625</v>
      </c>
      <c r="D428" s="83">
        <f t="shared" si="37"/>
        <v>25.3125</v>
      </c>
      <c r="E428" s="83">
        <f t="shared" si="37"/>
        <v>50.625</v>
      </c>
      <c r="F428" s="83">
        <f t="shared" si="37"/>
        <v>101.25</v>
      </c>
      <c r="G428" s="83">
        <f t="shared" si="37"/>
        <v>202.5</v>
      </c>
      <c r="H428" s="85">
        <f>H427+((H429-H427)/2)</f>
        <v>405</v>
      </c>
      <c r="I428" s="83">
        <f>E428*10</f>
        <v>506.25</v>
      </c>
      <c r="J428" s="83">
        <f>E428*12</f>
        <v>607.5</v>
      </c>
      <c r="L428" s="45">
        <f t="shared" si="33"/>
        <v>405</v>
      </c>
      <c r="M428" s="92">
        <v>91.05</v>
      </c>
    </row>
    <row r="429" spans="1:13" ht="15" customHeight="1">
      <c r="A429" s="46"/>
      <c r="B429" s="92">
        <v>91.1</v>
      </c>
      <c r="C429" s="83">
        <f t="shared" si="37"/>
        <v>12.8125</v>
      </c>
      <c r="D429" s="83">
        <f t="shared" si="37"/>
        <v>25.625</v>
      </c>
      <c r="E429" s="83">
        <f t="shared" si="37"/>
        <v>51.25</v>
      </c>
      <c r="F429" s="83">
        <f t="shared" si="37"/>
        <v>102.5</v>
      </c>
      <c r="G429" s="83">
        <f t="shared" si="37"/>
        <v>205</v>
      </c>
      <c r="H429" s="85">
        <f>H427+((H447-H427)/10)</f>
        <v>410</v>
      </c>
      <c r="I429" s="83">
        <f t="shared" si="34"/>
        <v>512.5</v>
      </c>
      <c r="J429" s="83">
        <f t="shared" si="35"/>
        <v>615</v>
      </c>
      <c r="L429" s="45">
        <f t="shared" si="33"/>
        <v>410</v>
      </c>
      <c r="M429" s="92">
        <v>91.1</v>
      </c>
    </row>
    <row r="430" spans="1:13" ht="15" customHeight="1">
      <c r="A430" s="46"/>
      <c r="B430" s="92">
        <v>91.15</v>
      </c>
      <c r="C430" s="83">
        <f t="shared" si="37"/>
        <v>12.96875</v>
      </c>
      <c r="D430" s="83">
        <f t="shared" si="37"/>
        <v>25.9375</v>
      </c>
      <c r="E430" s="83">
        <f t="shared" si="37"/>
        <v>51.875</v>
      </c>
      <c r="F430" s="83">
        <f t="shared" si="37"/>
        <v>103.75</v>
      </c>
      <c r="G430" s="83">
        <f t="shared" si="37"/>
        <v>207.5</v>
      </c>
      <c r="H430" s="85">
        <f>H429+((H431-H429)/2)</f>
        <v>415</v>
      </c>
      <c r="I430" s="83">
        <f>E430*10</f>
        <v>518.75</v>
      </c>
      <c r="J430" s="83">
        <f>E430*12</f>
        <v>622.5</v>
      </c>
      <c r="L430" s="45">
        <f t="shared" si="33"/>
        <v>415</v>
      </c>
      <c r="M430" s="92">
        <v>91.15</v>
      </c>
    </row>
    <row r="431" spans="1:13" ht="15" customHeight="1">
      <c r="A431" s="46"/>
      <c r="B431" s="92">
        <v>91.2</v>
      </c>
      <c r="C431" s="83">
        <f t="shared" si="37"/>
        <v>13.125</v>
      </c>
      <c r="D431" s="83">
        <f t="shared" si="37"/>
        <v>26.25</v>
      </c>
      <c r="E431" s="83">
        <f t="shared" si="37"/>
        <v>52.5</v>
      </c>
      <c r="F431" s="83">
        <f t="shared" si="37"/>
        <v>105</v>
      </c>
      <c r="G431" s="83">
        <f t="shared" si="37"/>
        <v>210</v>
      </c>
      <c r="H431" s="86">
        <f>H429+10</f>
        <v>420</v>
      </c>
      <c r="I431" s="83">
        <f t="shared" si="34"/>
        <v>525</v>
      </c>
      <c r="J431" s="83">
        <f t="shared" si="35"/>
        <v>630</v>
      </c>
      <c r="L431" s="45">
        <f t="shared" si="33"/>
        <v>420</v>
      </c>
      <c r="M431" s="92">
        <v>91.2</v>
      </c>
    </row>
    <row r="432" spans="1:13" ht="15" customHeight="1">
      <c r="A432" s="46"/>
      <c r="B432" s="92">
        <v>91.25</v>
      </c>
      <c r="C432" s="83">
        <f t="shared" si="37"/>
        <v>13.28125</v>
      </c>
      <c r="D432" s="83">
        <f t="shared" si="37"/>
        <v>26.5625</v>
      </c>
      <c r="E432" s="83">
        <f t="shared" si="37"/>
        <v>53.125</v>
      </c>
      <c r="F432" s="83">
        <f t="shared" si="37"/>
        <v>106.25</v>
      </c>
      <c r="G432" s="83">
        <f t="shared" si="37"/>
        <v>212.5</v>
      </c>
      <c r="H432" s="85">
        <f>H431+((H433-H431)/2)</f>
        <v>425</v>
      </c>
      <c r="I432" s="83">
        <f>E432*10</f>
        <v>531.25</v>
      </c>
      <c r="J432" s="83">
        <f>E432*12</f>
        <v>637.5</v>
      </c>
      <c r="L432" s="45">
        <f t="shared" si="33"/>
        <v>425</v>
      </c>
      <c r="M432" s="92">
        <v>91.25</v>
      </c>
    </row>
    <row r="433" spans="1:13" ht="15" customHeight="1">
      <c r="A433" s="46"/>
      <c r="B433" s="92">
        <v>91.3</v>
      </c>
      <c r="C433" s="83">
        <f t="shared" si="37"/>
        <v>13.4375</v>
      </c>
      <c r="D433" s="83">
        <f t="shared" si="37"/>
        <v>26.875</v>
      </c>
      <c r="E433" s="83">
        <f t="shared" si="37"/>
        <v>53.75</v>
      </c>
      <c r="F433" s="83">
        <f t="shared" si="37"/>
        <v>107.5</v>
      </c>
      <c r="G433" s="83">
        <f t="shared" si="37"/>
        <v>215</v>
      </c>
      <c r="H433" s="86">
        <f>H431+10</f>
        <v>430</v>
      </c>
      <c r="I433" s="83">
        <f t="shared" si="34"/>
        <v>537.5</v>
      </c>
      <c r="J433" s="83">
        <f t="shared" si="35"/>
        <v>645</v>
      </c>
      <c r="L433" s="45">
        <f t="shared" si="33"/>
        <v>430</v>
      </c>
      <c r="M433" s="92">
        <v>91.3</v>
      </c>
    </row>
    <row r="434" spans="1:13" ht="15" customHeight="1">
      <c r="A434" s="46"/>
      <c r="B434" s="92">
        <v>91.35</v>
      </c>
      <c r="C434" s="83">
        <f t="shared" si="37"/>
        <v>13.59375</v>
      </c>
      <c r="D434" s="83">
        <f t="shared" si="37"/>
        <v>27.1875</v>
      </c>
      <c r="E434" s="83">
        <f t="shared" si="37"/>
        <v>54.375</v>
      </c>
      <c r="F434" s="83">
        <f t="shared" si="37"/>
        <v>108.75</v>
      </c>
      <c r="G434" s="83">
        <f t="shared" si="37"/>
        <v>217.5</v>
      </c>
      <c r="H434" s="85">
        <f>H433+((H435-H433)/2)</f>
        <v>435</v>
      </c>
      <c r="I434" s="83">
        <f>E434*10</f>
        <v>543.75</v>
      </c>
      <c r="J434" s="83">
        <f>E434*12</f>
        <v>652.5</v>
      </c>
      <c r="L434" s="45">
        <f t="shared" si="33"/>
        <v>435</v>
      </c>
      <c r="M434" s="92">
        <v>91.35</v>
      </c>
    </row>
    <row r="435" spans="1:13" ht="15" customHeight="1">
      <c r="A435" s="46"/>
      <c r="B435" s="92">
        <v>91.4</v>
      </c>
      <c r="C435" s="83">
        <f t="shared" si="37"/>
        <v>13.75</v>
      </c>
      <c r="D435" s="83">
        <f t="shared" si="37"/>
        <v>27.5</v>
      </c>
      <c r="E435" s="83">
        <f t="shared" si="37"/>
        <v>55</v>
      </c>
      <c r="F435" s="83">
        <f t="shared" si="37"/>
        <v>110</v>
      </c>
      <c r="G435" s="83">
        <f t="shared" si="37"/>
        <v>220</v>
      </c>
      <c r="H435" s="86">
        <f>H433+10</f>
        <v>440</v>
      </c>
      <c r="I435" s="83">
        <f t="shared" si="34"/>
        <v>550</v>
      </c>
      <c r="J435" s="83">
        <f t="shared" si="35"/>
        <v>660</v>
      </c>
      <c r="L435" s="45">
        <f t="shared" si="33"/>
        <v>440</v>
      </c>
      <c r="M435" s="92">
        <v>91.4</v>
      </c>
    </row>
    <row r="436" spans="1:13" ht="15" customHeight="1">
      <c r="A436" s="46"/>
      <c r="B436" s="92">
        <v>91.45</v>
      </c>
      <c r="C436" s="83">
        <f t="shared" si="37"/>
        <v>13.90625</v>
      </c>
      <c r="D436" s="83">
        <f t="shared" si="37"/>
        <v>27.8125</v>
      </c>
      <c r="E436" s="83">
        <f t="shared" si="37"/>
        <v>55.625</v>
      </c>
      <c r="F436" s="83">
        <f t="shared" si="37"/>
        <v>111.25</v>
      </c>
      <c r="G436" s="83">
        <f t="shared" si="37"/>
        <v>222.5</v>
      </c>
      <c r="H436" s="85">
        <f>H435+((H437-H435)/2)</f>
        <v>445</v>
      </c>
      <c r="I436" s="83">
        <f>E436*10</f>
        <v>556.25</v>
      </c>
      <c r="J436" s="83">
        <f>E436*12</f>
        <v>667.5</v>
      </c>
      <c r="L436" s="45">
        <f t="shared" si="33"/>
        <v>445</v>
      </c>
      <c r="M436" s="92">
        <v>91.45</v>
      </c>
    </row>
    <row r="437" spans="1:13" ht="15" customHeight="1">
      <c r="A437" s="46"/>
      <c r="B437" s="92">
        <v>91.5</v>
      </c>
      <c r="C437" s="83">
        <f t="shared" si="37"/>
        <v>14.0625</v>
      </c>
      <c r="D437" s="83">
        <f t="shared" si="37"/>
        <v>28.125</v>
      </c>
      <c r="E437" s="83">
        <f t="shared" si="37"/>
        <v>56.25</v>
      </c>
      <c r="F437" s="83">
        <f t="shared" si="37"/>
        <v>112.5</v>
      </c>
      <c r="G437" s="83">
        <f t="shared" si="37"/>
        <v>225</v>
      </c>
      <c r="H437" s="86">
        <f>H435+10</f>
        <v>450</v>
      </c>
      <c r="I437" s="83">
        <f t="shared" si="34"/>
        <v>562.5</v>
      </c>
      <c r="J437" s="83">
        <f t="shared" si="35"/>
        <v>675</v>
      </c>
      <c r="L437" s="45">
        <f t="shared" si="33"/>
        <v>450</v>
      </c>
      <c r="M437" s="92">
        <v>91.5</v>
      </c>
    </row>
    <row r="438" spans="1:13" ht="15" customHeight="1">
      <c r="A438" s="46"/>
      <c r="B438" s="92">
        <v>91.55</v>
      </c>
      <c r="C438" s="83">
        <f t="shared" si="37"/>
        <v>14.21875</v>
      </c>
      <c r="D438" s="83">
        <f t="shared" si="37"/>
        <v>28.4375</v>
      </c>
      <c r="E438" s="83">
        <f t="shared" si="37"/>
        <v>56.875</v>
      </c>
      <c r="F438" s="83">
        <f t="shared" si="37"/>
        <v>113.75</v>
      </c>
      <c r="G438" s="83">
        <f t="shared" si="37"/>
        <v>227.5</v>
      </c>
      <c r="H438" s="85">
        <f>H437+((H439-H437)/2)</f>
        <v>455</v>
      </c>
      <c r="I438" s="83">
        <f>E438*10</f>
        <v>568.75</v>
      </c>
      <c r="J438" s="83">
        <f>E438*12</f>
        <v>682.5</v>
      </c>
      <c r="L438" s="45">
        <f t="shared" si="33"/>
        <v>455</v>
      </c>
      <c r="M438" s="92">
        <v>91.55</v>
      </c>
    </row>
    <row r="439" spans="1:13" ht="15" customHeight="1">
      <c r="A439" s="46"/>
      <c r="B439" s="92">
        <v>91.6</v>
      </c>
      <c r="C439" s="83">
        <f t="shared" si="37"/>
        <v>14.375</v>
      </c>
      <c r="D439" s="83">
        <f t="shared" si="37"/>
        <v>28.75</v>
      </c>
      <c r="E439" s="83">
        <f t="shared" si="37"/>
        <v>57.5</v>
      </c>
      <c r="F439" s="83">
        <f t="shared" si="37"/>
        <v>115</v>
      </c>
      <c r="G439" s="83">
        <f t="shared" si="37"/>
        <v>230</v>
      </c>
      <c r="H439" s="86">
        <f>H437+10</f>
        <v>460</v>
      </c>
      <c r="I439" s="83">
        <f t="shared" si="34"/>
        <v>575</v>
      </c>
      <c r="J439" s="83">
        <f t="shared" si="35"/>
        <v>690</v>
      </c>
      <c r="L439" s="45">
        <f t="shared" si="33"/>
        <v>460</v>
      </c>
      <c r="M439" s="92">
        <v>91.6</v>
      </c>
    </row>
    <row r="440" spans="1:13" ht="15" customHeight="1">
      <c r="A440" s="46"/>
      <c r="B440" s="92">
        <v>91.65</v>
      </c>
      <c r="C440" s="83">
        <f t="shared" si="37"/>
        <v>14.53125</v>
      </c>
      <c r="D440" s="83">
        <f t="shared" si="37"/>
        <v>29.0625</v>
      </c>
      <c r="E440" s="83">
        <f t="shared" si="37"/>
        <v>58.125</v>
      </c>
      <c r="F440" s="83">
        <f t="shared" si="37"/>
        <v>116.25</v>
      </c>
      <c r="G440" s="83">
        <f t="shared" si="37"/>
        <v>232.5</v>
      </c>
      <c r="H440" s="85">
        <f>H439+((H441-H439)/2)</f>
        <v>465</v>
      </c>
      <c r="I440" s="83">
        <f>E440*10</f>
        <v>581.25</v>
      </c>
      <c r="J440" s="83">
        <f>E440*12</f>
        <v>697.5</v>
      </c>
      <c r="L440" s="45">
        <f t="shared" si="33"/>
        <v>465</v>
      </c>
      <c r="M440" s="92">
        <v>91.65</v>
      </c>
    </row>
    <row r="441" spans="1:13" ht="15" customHeight="1">
      <c r="A441" s="46"/>
      <c r="B441" s="92">
        <v>91.7</v>
      </c>
      <c r="C441" s="83">
        <f t="shared" si="37"/>
        <v>14.6875</v>
      </c>
      <c r="D441" s="83">
        <f t="shared" si="37"/>
        <v>29.375</v>
      </c>
      <c r="E441" s="83">
        <f t="shared" si="37"/>
        <v>58.75</v>
      </c>
      <c r="F441" s="83">
        <f t="shared" si="37"/>
        <v>117.5</v>
      </c>
      <c r="G441" s="83">
        <f t="shared" si="37"/>
        <v>235</v>
      </c>
      <c r="H441" s="86">
        <f>H439+10</f>
        <v>470</v>
      </c>
      <c r="I441" s="83">
        <f t="shared" si="34"/>
        <v>587.5</v>
      </c>
      <c r="J441" s="83">
        <f t="shared" si="35"/>
        <v>705</v>
      </c>
      <c r="L441" s="45">
        <f t="shared" si="33"/>
        <v>470</v>
      </c>
      <c r="M441" s="92">
        <v>91.7</v>
      </c>
    </row>
    <row r="442" spans="1:13" ht="15" customHeight="1">
      <c r="A442" s="46"/>
      <c r="B442" s="92">
        <v>91.75</v>
      </c>
      <c r="C442" s="83">
        <f t="shared" si="37"/>
        <v>14.84375</v>
      </c>
      <c r="D442" s="83">
        <f t="shared" si="37"/>
        <v>29.6875</v>
      </c>
      <c r="E442" s="83">
        <f t="shared" si="37"/>
        <v>59.375</v>
      </c>
      <c r="F442" s="83">
        <f t="shared" si="37"/>
        <v>118.75</v>
      </c>
      <c r="G442" s="83">
        <f t="shared" si="37"/>
        <v>237.5</v>
      </c>
      <c r="H442" s="85">
        <f>H441+((H443-H441)/2)</f>
        <v>475</v>
      </c>
      <c r="I442" s="83">
        <f>E442*10</f>
        <v>593.75</v>
      </c>
      <c r="J442" s="83">
        <f>E442*12</f>
        <v>712.5</v>
      </c>
      <c r="L442" s="45">
        <f t="shared" si="33"/>
        <v>475</v>
      </c>
      <c r="M442" s="92">
        <v>91.75</v>
      </c>
    </row>
    <row r="443" spans="1:13" ht="15" customHeight="1">
      <c r="A443" s="46"/>
      <c r="B443" s="92">
        <v>91.8</v>
      </c>
      <c r="C443" s="83">
        <f t="shared" si="37"/>
        <v>15</v>
      </c>
      <c r="D443" s="83">
        <f t="shared" si="37"/>
        <v>30</v>
      </c>
      <c r="E443" s="83">
        <f t="shared" si="37"/>
        <v>60</v>
      </c>
      <c r="F443" s="83">
        <f t="shared" si="37"/>
        <v>120</v>
      </c>
      <c r="G443" s="83">
        <f t="shared" si="37"/>
        <v>240</v>
      </c>
      <c r="H443" s="86">
        <f>H441+10</f>
        <v>480</v>
      </c>
      <c r="I443" s="83">
        <f t="shared" si="34"/>
        <v>600</v>
      </c>
      <c r="J443" s="83">
        <f t="shared" si="35"/>
        <v>720</v>
      </c>
      <c r="L443" s="45">
        <f t="shared" si="33"/>
        <v>480</v>
      </c>
      <c r="M443" s="92">
        <v>91.8</v>
      </c>
    </row>
    <row r="444" spans="1:13" ht="15" customHeight="1">
      <c r="A444" s="46"/>
      <c r="B444" s="92">
        <v>91.85</v>
      </c>
      <c r="C444" s="83">
        <f t="shared" si="37"/>
        <v>15.15625</v>
      </c>
      <c r="D444" s="83">
        <f t="shared" si="37"/>
        <v>30.3125</v>
      </c>
      <c r="E444" s="83">
        <f t="shared" si="37"/>
        <v>60.625</v>
      </c>
      <c r="F444" s="83">
        <f t="shared" si="37"/>
        <v>121.25</v>
      </c>
      <c r="G444" s="83">
        <f t="shared" si="37"/>
        <v>242.5</v>
      </c>
      <c r="H444" s="85">
        <f>H443+((H445-H443)/2)</f>
        <v>485</v>
      </c>
      <c r="I444" s="83">
        <f>E444*10</f>
        <v>606.25</v>
      </c>
      <c r="J444" s="83">
        <f>E444*12</f>
        <v>727.5</v>
      </c>
      <c r="L444" s="45">
        <f t="shared" si="33"/>
        <v>485</v>
      </c>
      <c r="M444" s="92">
        <v>91.85</v>
      </c>
    </row>
    <row r="445" spans="1:13" ht="15" customHeight="1">
      <c r="A445" s="46"/>
      <c r="B445" s="92">
        <v>91.9</v>
      </c>
      <c r="C445" s="83">
        <f t="shared" si="37"/>
        <v>15.3125</v>
      </c>
      <c r="D445" s="83">
        <f t="shared" si="37"/>
        <v>30.625</v>
      </c>
      <c r="E445" s="83">
        <f t="shared" si="37"/>
        <v>61.25</v>
      </c>
      <c r="F445" s="83">
        <f t="shared" si="37"/>
        <v>122.5</v>
      </c>
      <c r="G445" s="83">
        <f t="shared" si="37"/>
        <v>245</v>
      </c>
      <c r="H445" s="86">
        <f>H443+10</f>
        <v>490</v>
      </c>
      <c r="I445" s="83">
        <f t="shared" si="34"/>
        <v>612.5</v>
      </c>
      <c r="J445" s="83">
        <f t="shared" si="35"/>
        <v>735</v>
      </c>
      <c r="L445" s="45">
        <f t="shared" si="33"/>
        <v>490</v>
      </c>
      <c r="M445" s="92">
        <v>91.9</v>
      </c>
    </row>
    <row r="446" spans="1:13" ht="15" customHeight="1">
      <c r="A446" s="46"/>
      <c r="B446" s="92">
        <v>91.95</v>
      </c>
      <c r="C446" s="83">
        <f>D446/2</f>
        <v>15.46875</v>
      </c>
      <c r="D446" s="83">
        <f>E446/2</f>
        <v>30.9375</v>
      </c>
      <c r="E446" s="83">
        <f>F446/2</f>
        <v>61.875</v>
      </c>
      <c r="F446" s="83">
        <f>G446/2</f>
        <v>123.75</v>
      </c>
      <c r="G446" s="83">
        <f>H446/2</f>
        <v>247.5</v>
      </c>
      <c r="H446" s="85">
        <f>H445+((H447-H445)/2)</f>
        <v>495</v>
      </c>
      <c r="I446" s="83">
        <f>E446*10</f>
        <v>618.75</v>
      </c>
      <c r="J446" s="83">
        <f>E446*12</f>
        <v>742.5</v>
      </c>
      <c r="L446" s="45">
        <f t="shared" si="33"/>
        <v>495</v>
      </c>
      <c r="M446" s="92">
        <v>91.95</v>
      </c>
    </row>
    <row r="447" spans="1:13" ht="15" customHeight="1">
      <c r="A447" s="46"/>
      <c r="B447" s="92">
        <v>92</v>
      </c>
      <c r="C447" s="83">
        <f t="shared" ref="C447:G465" si="38">D447/2</f>
        <v>15.625</v>
      </c>
      <c r="D447" s="83">
        <f t="shared" si="38"/>
        <v>31.25</v>
      </c>
      <c r="E447" s="83">
        <f t="shared" si="38"/>
        <v>62.5</v>
      </c>
      <c r="F447" s="83">
        <f t="shared" si="38"/>
        <v>125</v>
      </c>
      <c r="G447" s="83">
        <f t="shared" si="38"/>
        <v>250</v>
      </c>
      <c r="H447" s="86">
        <v>500</v>
      </c>
      <c r="I447" s="83">
        <f t="shared" si="34"/>
        <v>625</v>
      </c>
      <c r="J447" s="83">
        <f t="shared" si="35"/>
        <v>750</v>
      </c>
      <c r="L447" s="45">
        <f t="shared" si="33"/>
        <v>500</v>
      </c>
      <c r="M447" s="92">
        <v>92</v>
      </c>
    </row>
    <row r="448" spans="1:13" ht="15" customHeight="1">
      <c r="A448" s="46"/>
      <c r="B448" s="92">
        <v>92.05</v>
      </c>
      <c r="C448" s="83">
        <f t="shared" si="38"/>
        <v>15.828125</v>
      </c>
      <c r="D448" s="83">
        <f t="shared" si="38"/>
        <v>31.65625</v>
      </c>
      <c r="E448" s="83">
        <f t="shared" si="38"/>
        <v>63.3125</v>
      </c>
      <c r="F448" s="83">
        <f t="shared" si="38"/>
        <v>126.625</v>
      </c>
      <c r="G448" s="83">
        <f t="shared" si="38"/>
        <v>253.25</v>
      </c>
      <c r="H448" s="85">
        <f>H447+((H449-H447)/2)</f>
        <v>506.5</v>
      </c>
      <c r="I448" s="83">
        <f>E448*10</f>
        <v>633.125</v>
      </c>
      <c r="J448" s="83">
        <f>E448*12</f>
        <v>759.75</v>
      </c>
      <c r="L448" s="45">
        <f t="shared" si="33"/>
        <v>506.5</v>
      </c>
      <c r="M448" s="92">
        <v>92.05</v>
      </c>
    </row>
    <row r="449" spans="1:13" ht="15" customHeight="1">
      <c r="A449" s="46"/>
      <c r="B449" s="92">
        <v>92.1</v>
      </c>
      <c r="C449" s="83">
        <f t="shared" si="38"/>
        <v>16.03125</v>
      </c>
      <c r="D449" s="83">
        <f t="shared" si="38"/>
        <v>32.0625</v>
      </c>
      <c r="E449" s="83">
        <f t="shared" si="38"/>
        <v>64.125</v>
      </c>
      <c r="F449" s="83">
        <f t="shared" si="38"/>
        <v>128.25</v>
      </c>
      <c r="G449" s="83">
        <f t="shared" si="38"/>
        <v>256.5</v>
      </c>
      <c r="H449" s="85">
        <f>H447+((H467-H447)/10)</f>
        <v>513</v>
      </c>
      <c r="I449" s="83">
        <f t="shared" si="34"/>
        <v>641.25</v>
      </c>
      <c r="J449" s="83">
        <f t="shared" si="35"/>
        <v>769.5</v>
      </c>
      <c r="L449" s="45">
        <f t="shared" si="33"/>
        <v>513</v>
      </c>
      <c r="M449" s="92">
        <v>92.1</v>
      </c>
    </row>
    <row r="450" spans="1:13" ht="15" customHeight="1">
      <c r="A450" s="46"/>
      <c r="B450" s="92">
        <v>92.15</v>
      </c>
      <c r="C450" s="83">
        <f t="shared" si="38"/>
        <v>16.234375</v>
      </c>
      <c r="D450" s="83">
        <f t="shared" si="38"/>
        <v>32.46875</v>
      </c>
      <c r="E450" s="83">
        <f t="shared" si="38"/>
        <v>64.9375</v>
      </c>
      <c r="F450" s="83">
        <f t="shared" si="38"/>
        <v>129.875</v>
      </c>
      <c r="G450" s="83">
        <f t="shared" si="38"/>
        <v>259.75</v>
      </c>
      <c r="H450" s="85">
        <f>H449+((H451-H449)/2)</f>
        <v>519.5</v>
      </c>
      <c r="I450" s="83">
        <f>E450*10</f>
        <v>649.375</v>
      </c>
      <c r="J450" s="83">
        <f>E450*12</f>
        <v>779.25</v>
      </c>
      <c r="L450" s="45">
        <f t="shared" si="33"/>
        <v>519.5</v>
      </c>
      <c r="M450" s="92">
        <v>92.15</v>
      </c>
    </row>
    <row r="451" spans="1:13" ht="15" customHeight="1">
      <c r="A451" s="46"/>
      <c r="B451" s="92">
        <v>92.2</v>
      </c>
      <c r="C451" s="83">
        <f t="shared" si="38"/>
        <v>16.4375</v>
      </c>
      <c r="D451" s="83">
        <f t="shared" si="38"/>
        <v>32.875</v>
      </c>
      <c r="E451" s="83">
        <f t="shared" si="38"/>
        <v>65.75</v>
      </c>
      <c r="F451" s="83">
        <f t="shared" si="38"/>
        <v>131.5</v>
      </c>
      <c r="G451" s="83">
        <f t="shared" si="38"/>
        <v>263</v>
      </c>
      <c r="H451" s="86">
        <f>H449+13</f>
        <v>526</v>
      </c>
      <c r="I451" s="83">
        <f t="shared" si="34"/>
        <v>657.5</v>
      </c>
      <c r="J451" s="83">
        <f t="shared" si="35"/>
        <v>789</v>
      </c>
      <c r="L451" s="45">
        <f t="shared" si="33"/>
        <v>526</v>
      </c>
      <c r="M451" s="92">
        <v>92.2</v>
      </c>
    </row>
    <row r="452" spans="1:13" ht="15" customHeight="1">
      <c r="A452" s="46"/>
      <c r="B452" s="92">
        <v>92.25</v>
      </c>
      <c r="C452" s="83">
        <f t="shared" si="38"/>
        <v>16.640625</v>
      </c>
      <c r="D452" s="83">
        <f t="shared" si="38"/>
        <v>33.28125</v>
      </c>
      <c r="E452" s="83">
        <f t="shared" si="38"/>
        <v>66.5625</v>
      </c>
      <c r="F452" s="83">
        <f t="shared" si="38"/>
        <v>133.125</v>
      </c>
      <c r="G452" s="83">
        <f t="shared" si="38"/>
        <v>266.25</v>
      </c>
      <c r="H452" s="85">
        <f>H451+((H453-H451)/2)</f>
        <v>532.5</v>
      </c>
      <c r="I452" s="83">
        <f>E452*10</f>
        <v>665.625</v>
      </c>
      <c r="J452" s="83">
        <f>E452*12</f>
        <v>798.75</v>
      </c>
      <c r="L452" s="45">
        <f t="shared" si="33"/>
        <v>532.5</v>
      </c>
      <c r="M452" s="92">
        <v>92.25</v>
      </c>
    </row>
    <row r="453" spans="1:13" ht="15" customHeight="1">
      <c r="A453" s="46"/>
      <c r="B453" s="92">
        <v>92.3</v>
      </c>
      <c r="C453" s="83">
        <f t="shared" si="38"/>
        <v>16.84375</v>
      </c>
      <c r="D453" s="83">
        <f t="shared" si="38"/>
        <v>33.6875</v>
      </c>
      <c r="E453" s="83">
        <f t="shared" si="38"/>
        <v>67.375</v>
      </c>
      <c r="F453" s="83">
        <f t="shared" si="38"/>
        <v>134.75</v>
      </c>
      <c r="G453" s="83">
        <f t="shared" si="38"/>
        <v>269.5</v>
      </c>
      <c r="H453" s="86">
        <f>H451+13</f>
        <v>539</v>
      </c>
      <c r="I453" s="83">
        <f t="shared" si="34"/>
        <v>673.75</v>
      </c>
      <c r="J453" s="83">
        <f t="shared" si="35"/>
        <v>808.5</v>
      </c>
      <c r="L453" s="45">
        <f t="shared" si="33"/>
        <v>539</v>
      </c>
      <c r="M453" s="92">
        <v>92.3</v>
      </c>
    </row>
    <row r="454" spans="1:13" ht="15" customHeight="1">
      <c r="A454" s="46"/>
      <c r="B454" s="92">
        <v>92.35</v>
      </c>
      <c r="C454" s="83">
        <f t="shared" si="38"/>
        <v>17.046875</v>
      </c>
      <c r="D454" s="83">
        <f t="shared" si="38"/>
        <v>34.09375</v>
      </c>
      <c r="E454" s="83">
        <f t="shared" si="38"/>
        <v>68.1875</v>
      </c>
      <c r="F454" s="83">
        <f t="shared" si="38"/>
        <v>136.375</v>
      </c>
      <c r="G454" s="83">
        <f t="shared" si="38"/>
        <v>272.75</v>
      </c>
      <c r="H454" s="85">
        <f>H453+((H455-H453)/2)</f>
        <v>545.5</v>
      </c>
      <c r="I454" s="83">
        <f>E454*10</f>
        <v>681.875</v>
      </c>
      <c r="J454" s="83">
        <f>E454*12</f>
        <v>818.25</v>
      </c>
      <c r="L454" s="45">
        <f t="shared" si="33"/>
        <v>545.5</v>
      </c>
      <c r="M454" s="92">
        <v>92.35</v>
      </c>
    </row>
    <row r="455" spans="1:13" ht="15" customHeight="1">
      <c r="A455" s="46"/>
      <c r="B455" s="92">
        <v>92.4</v>
      </c>
      <c r="C455" s="83">
        <f t="shared" si="38"/>
        <v>17.25</v>
      </c>
      <c r="D455" s="83">
        <f t="shared" si="38"/>
        <v>34.5</v>
      </c>
      <c r="E455" s="83">
        <f t="shared" si="38"/>
        <v>69</v>
      </c>
      <c r="F455" s="83">
        <f t="shared" si="38"/>
        <v>138</v>
      </c>
      <c r="G455" s="83">
        <f t="shared" si="38"/>
        <v>276</v>
      </c>
      <c r="H455" s="86">
        <f>H453+13</f>
        <v>552</v>
      </c>
      <c r="I455" s="83">
        <f t="shared" si="34"/>
        <v>690</v>
      </c>
      <c r="J455" s="83">
        <f t="shared" si="35"/>
        <v>828</v>
      </c>
      <c r="L455" s="45">
        <f t="shared" si="33"/>
        <v>552</v>
      </c>
      <c r="M455" s="92">
        <v>92.4</v>
      </c>
    </row>
    <row r="456" spans="1:13" ht="15" customHeight="1">
      <c r="A456" s="46"/>
      <c r="B456" s="92">
        <v>92.45</v>
      </c>
      <c r="C456" s="83">
        <f t="shared" si="38"/>
        <v>17.453125</v>
      </c>
      <c r="D456" s="83">
        <f t="shared" si="38"/>
        <v>34.90625</v>
      </c>
      <c r="E456" s="83">
        <f t="shared" si="38"/>
        <v>69.8125</v>
      </c>
      <c r="F456" s="83">
        <f t="shared" si="38"/>
        <v>139.625</v>
      </c>
      <c r="G456" s="83">
        <f t="shared" si="38"/>
        <v>279.25</v>
      </c>
      <c r="H456" s="85">
        <f>H455+((H457-H455)/2)</f>
        <v>558.5</v>
      </c>
      <c r="I456" s="83">
        <f>E456*10</f>
        <v>698.125</v>
      </c>
      <c r="J456" s="83">
        <f>E456*12</f>
        <v>837.75</v>
      </c>
      <c r="L456" s="45">
        <f t="shared" ref="L456:L519" si="39">+H456</f>
        <v>558.5</v>
      </c>
      <c r="M456" s="92">
        <v>92.45</v>
      </c>
    </row>
    <row r="457" spans="1:13" ht="15" customHeight="1">
      <c r="A457" s="46"/>
      <c r="B457" s="92">
        <v>92.5</v>
      </c>
      <c r="C457" s="83">
        <f t="shared" si="38"/>
        <v>17.65625</v>
      </c>
      <c r="D457" s="83">
        <f t="shared" si="38"/>
        <v>35.3125</v>
      </c>
      <c r="E457" s="83">
        <f t="shared" si="38"/>
        <v>70.625</v>
      </c>
      <c r="F457" s="83">
        <f t="shared" si="38"/>
        <v>141.25</v>
      </c>
      <c r="G457" s="83">
        <f t="shared" si="38"/>
        <v>282.5</v>
      </c>
      <c r="H457" s="86">
        <f>H455+13</f>
        <v>565</v>
      </c>
      <c r="I457" s="83">
        <f t="shared" si="34"/>
        <v>706.25</v>
      </c>
      <c r="J457" s="83">
        <f t="shared" si="35"/>
        <v>847.5</v>
      </c>
      <c r="L457" s="45">
        <f t="shared" si="39"/>
        <v>565</v>
      </c>
      <c r="M457" s="92">
        <v>92.5</v>
      </c>
    </row>
    <row r="458" spans="1:13" ht="15" customHeight="1">
      <c r="A458" s="46"/>
      <c r="B458" s="92">
        <v>92.55</v>
      </c>
      <c r="C458" s="83">
        <f t="shared" si="38"/>
        <v>17.859375</v>
      </c>
      <c r="D458" s="83">
        <f t="shared" si="38"/>
        <v>35.71875</v>
      </c>
      <c r="E458" s="83">
        <f t="shared" si="38"/>
        <v>71.4375</v>
      </c>
      <c r="F458" s="83">
        <f t="shared" si="38"/>
        <v>142.875</v>
      </c>
      <c r="G458" s="83">
        <f t="shared" si="38"/>
        <v>285.75</v>
      </c>
      <c r="H458" s="85">
        <f>H457+((H459-H457)/2)</f>
        <v>571.5</v>
      </c>
      <c r="I458" s="83">
        <f>E458*10</f>
        <v>714.375</v>
      </c>
      <c r="J458" s="83">
        <f>E458*12</f>
        <v>857.25</v>
      </c>
      <c r="L458" s="45">
        <f t="shared" si="39"/>
        <v>571.5</v>
      </c>
      <c r="M458" s="92">
        <v>92.55</v>
      </c>
    </row>
    <row r="459" spans="1:13" ht="15" customHeight="1">
      <c r="A459" s="46"/>
      <c r="B459" s="92">
        <v>92.6</v>
      </c>
      <c r="C459" s="83">
        <f t="shared" si="38"/>
        <v>18.0625</v>
      </c>
      <c r="D459" s="83">
        <f t="shared" si="38"/>
        <v>36.125</v>
      </c>
      <c r="E459" s="83">
        <f t="shared" si="38"/>
        <v>72.25</v>
      </c>
      <c r="F459" s="83">
        <f t="shared" si="38"/>
        <v>144.5</v>
      </c>
      <c r="G459" s="83">
        <f t="shared" si="38"/>
        <v>289</v>
      </c>
      <c r="H459" s="86">
        <f>H457+13</f>
        <v>578</v>
      </c>
      <c r="I459" s="83">
        <f t="shared" si="34"/>
        <v>722.5</v>
      </c>
      <c r="J459" s="83">
        <f t="shared" si="35"/>
        <v>867</v>
      </c>
      <c r="L459" s="45">
        <f t="shared" si="39"/>
        <v>578</v>
      </c>
      <c r="M459" s="92">
        <v>92.6</v>
      </c>
    </row>
    <row r="460" spans="1:13" ht="15" customHeight="1">
      <c r="A460" s="46"/>
      <c r="B460" s="92">
        <v>92.65</v>
      </c>
      <c r="C460" s="83">
        <f t="shared" si="38"/>
        <v>18.265625</v>
      </c>
      <c r="D460" s="83">
        <f t="shared" si="38"/>
        <v>36.53125</v>
      </c>
      <c r="E460" s="83">
        <f t="shared" si="38"/>
        <v>73.0625</v>
      </c>
      <c r="F460" s="83">
        <f t="shared" si="38"/>
        <v>146.125</v>
      </c>
      <c r="G460" s="83">
        <f t="shared" si="38"/>
        <v>292.25</v>
      </c>
      <c r="H460" s="85">
        <f>H459+((H461-H459)/2)</f>
        <v>584.5</v>
      </c>
      <c r="I460" s="83">
        <f>E460*10</f>
        <v>730.625</v>
      </c>
      <c r="J460" s="83">
        <f>E460*12</f>
        <v>876.75</v>
      </c>
      <c r="L460" s="45">
        <f t="shared" si="39"/>
        <v>584.5</v>
      </c>
      <c r="M460" s="92">
        <v>92.65</v>
      </c>
    </row>
    <row r="461" spans="1:13" ht="15" customHeight="1">
      <c r="A461" s="46"/>
      <c r="B461" s="92">
        <v>92.7</v>
      </c>
      <c r="C461" s="83">
        <f t="shared" si="38"/>
        <v>18.46875</v>
      </c>
      <c r="D461" s="83">
        <f t="shared" si="38"/>
        <v>36.9375</v>
      </c>
      <c r="E461" s="83">
        <f t="shared" si="38"/>
        <v>73.875</v>
      </c>
      <c r="F461" s="83">
        <f t="shared" si="38"/>
        <v>147.75</v>
      </c>
      <c r="G461" s="83">
        <f t="shared" si="38"/>
        <v>295.5</v>
      </c>
      <c r="H461" s="86">
        <f>H459+13</f>
        <v>591</v>
      </c>
      <c r="I461" s="83">
        <f t="shared" si="34"/>
        <v>738.75</v>
      </c>
      <c r="J461" s="83">
        <f t="shared" si="35"/>
        <v>886.5</v>
      </c>
      <c r="L461" s="45">
        <f t="shared" si="39"/>
        <v>591</v>
      </c>
      <c r="M461" s="92">
        <v>92.7</v>
      </c>
    </row>
    <row r="462" spans="1:13" ht="15" customHeight="1">
      <c r="A462" s="46"/>
      <c r="B462" s="92">
        <v>92.75</v>
      </c>
      <c r="C462" s="83">
        <f t="shared" si="38"/>
        <v>18.671875</v>
      </c>
      <c r="D462" s="83">
        <f t="shared" si="38"/>
        <v>37.34375</v>
      </c>
      <c r="E462" s="83">
        <f t="shared" si="38"/>
        <v>74.6875</v>
      </c>
      <c r="F462" s="83">
        <f t="shared" si="38"/>
        <v>149.375</v>
      </c>
      <c r="G462" s="83">
        <f t="shared" si="38"/>
        <v>298.75</v>
      </c>
      <c r="H462" s="85">
        <f>H461+((H463-H461)/2)</f>
        <v>597.5</v>
      </c>
      <c r="I462" s="83">
        <f>E462*10</f>
        <v>746.875</v>
      </c>
      <c r="J462" s="83">
        <f>E462*12</f>
        <v>896.25</v>
      </c>
      <c r="L462" s="45">
        <f t="shared" si="39"/>
        <v>597.5</v>
      </c>
      <c r="M462" s="92">
        <v>92.75</v>
      </c>
    </row>
    <row r="463" spans="1:13" ht="15" customHeight="1">
      <c r="A463" s="46"/>
      <c r="B463" s="92">
        <v>92.8</v>
      </c>
      <c r="C463" s="83">
        <f t="shared" si="38"/>
        <v>18.875</v>
      </c>
      <c r="D463" s="83">
        <f t="shared" si="38"/>
        <v>37.75</v>
      </c>
      <c r="E463" s="83">
        <f t="shared" si="38"/>
        <v>75.5</v>
      </c>
      <c r="F463" s="83">
        <f t="shared" si="38"/>
        <v>151</v>
      </c>
      <c r="G463" s="83">
        <f t="shared" si="38"/>
        <v>302</v>
      </c>
      <c r="H463" s="86">
        <f>H461+13</f>
        <v>604</v>
      </c>
      <c r="I463" s="83">
        <f t="shared" si="34"/>
        <v>755</v>
      </c>
      <c r="J463" s="83">
        <f t="shared" si="35"/>
        <v>906</v>
      </c>
      <c r="L463" s="45">
        <f t="shared" si="39"/>
        <v>604</v>
      </c>
      <c r="M463" s="92">
        <v>92.8</v>
      </c>
    </row>
    <row r="464" spans="1:13" ht="15" customHeight="1">
      <c r="A464" s="46"/>
      <c r="B464" s="92">
        <v>92.85</v>
      </c>
      <c r="C464" s="83">
        <f t="shared" si="38"/>
        <v>19.078125</v>
      </c>
      <c r="D464" s="83">
        <f t="shared" si="38"/>
        <v>38.15625</v>
      </c>
      <c r="E464" s="83">
        <f t="shared" si="38"/>
        <v>76.3125</v>
      </c>
      <c r="F464" s="83">
        <f t="shared" si="38"/>
        <v>152.625</v>
      </c>
      <c r="G464" s="83">
        <f t="shared" si="38"/>
        <v>305.25</v>
      </c>
      <c r="H464" s="85">
        <f>H463+((H465-H463)/2)</f>
        <v>610.5</v>
      </c>
      <c r="I464" s="83">
        <f>E464*10</f>
        <v>763.125</v>
      </c>
      <c r="J464" s="83">
        <f>E464*12</f>
        <v>915.75</v>
      </c>
      <c r="L464" s="45">
        <f t="shared" si="39"/>
        <v>610.5</v>
      </c>
      <c r="M464" s="92">
        <v>92.85</v>
      </c>
    </row>
    <row r="465" spans="1:13" ht="15" customHeight="1">
      <c r="A465" s="46"/>
      <c r="B465" s="92">
        <v>92.9</v>
      </c>
      <c r="C465" s="83">
        <f t="shared" si="38"/>
        <v>19.28125</v>
      </c>
      <c r="D465" s="83">
        <f t="shared" si="38"/>
        <v>38.5625</v>
      </c>
      <c r="E465" s="83">
        <f t="shared" si="38"/>
        <v>77.125</v>
      </c>
      <c r="F465" s="83">
        <f t="shared" si="38"/>
        <v>154.25</v>
      </c>
      <c r="G465" s="83">
        <f t="shared" si="38"/>
        <v>308.5</v>
      </c>
      <c r="H465" s="86">
        <f>H463+13</f>
        <v>617</v>
      </c>
      <c r="I465" s="83">
        <f t="shared" si="34"/>
        <v>771.25</v>
      </c>
      <c r="J465" s="83">
        <f t="shared" si="35"/>
        <v>925.5</v>
      </c>
      <c r="L465" s="45">
        <f t="shared" si="39"/>
        <v>617</v>
      </c>
      <c r="M465" s="92">
        <v>92.9</v>
      </c>
    </row>
    <row r="466" spans="1:13" ht="15" customHeight="1">
      <c r="A466" s="46"/>
      <c r="B466" s="92">
        <v>92.95</v>
      </c>
      <c r="C466" s="83">
        <f>D466/2</f>
        <v>19.484375</v>
      </c>
      <c r="D466" s="83">
        <f>E466/2</f>
        <v>38.96875</v>
      </c>
      <c r="E466" s="83">
        <f>F466/2</f>
        <v>77.9375</v>
      </c>
      <c r="F466" s="83">
        <f>G466/2</f>
        <v>155.875</v>
      </c>
      <c r="G466" s="83">
        <f>H466/2</f>
        <v>311.75</v>
      </c>
      <c r="H466" s="85">
        <f>H465+((H467-H465)/2)</f>
        <v>623.5</v>
      </c>
      <c r="I466" s="83">
        <f>E466*10</f>
        <v>779.375</v>
      </c>
      <c r="J466" s="83">
        <f>E466*12</f>
        <v>935.25</v>
      </c>
      <c r="L466" s="45">
        <f t="shared" si="39"/>
        <v>623.5</v>
      </c>
      <c r="M466" s="92">
        <v>92.95</v>
      </c>
    </row>
    <row r="467" spans="1:13" ht="15" customHeight="1">
      <c r="A467" s="46"/>
      <c r="B467" s="92">
        <v>93</v>
      </c>
      <c r="C467" s="83">
        <f t="shared" ref="C467:G485" si="40">D467/2</f>
        <v>19.6875</v>
      </c>
      <c r="D467" s="83">
        <f t="shared" si="40"/>
        <v>39.375</v>
      </c>
      <c r="E467" s="83">
        <f t="shared" si="40"/>
        <v>78.75</v>
      </c>
      <c r="F467" s="83">
        <f t="shared" si="40"/>
        <v>157.5</v>
      </c>
      <c r="G467" s="83">
        <f t="shared" si="40"/>
        <v>315</v>
      </c>
      <c r="H467" s="86">
        <v>630</v>
      </c>
      <c r="I467" s="83">
        <f t="shared" si="34"/>
        <v>787.5</v>
      </c>
      <c r="J467" s="83">
        <f t="shared" si="35"/>
        <v>945</v>
      </c>
      <c r="L467" s="45">
        <f t="shared" si="39"/>
        <v>630</v>
      </c>
      <c r="M467" s="92">
        <v>93</v>
      </c>
    </row>
    <row r="468" spans="1:13" ht="15" customHeight="1">
      <c r="A468" s="46"/>
      <c r="B468" s="92">
        <v>93.05</v>
      </c>
      <c r="C468" s="83">
        <f t="shared" si="40"/>
        <v>19.953125</v>
      </c>
      <c r="D468" s="83">
        <f t="shared" si="40"/>
        <v>39.90625</v>
      </c>
      <c r="E468" s="83">
        <f t="shared" si="40"/>
        <v>79.8125</v>
      </c>
      <c r="F468" s="83">
        <f t="shared" si="40"/>
        <v>159.625</v>
      </c>
      <c r="G468" s="83">
        <f t="shared" si="40"/>
        <v>319.25</v>
      </c>
      <c r="H468" s="85">
        <f>H467+((H469-H467)/2)</f>
        <v>638.5</v>
      </c>
      <c r="I468" s="83">
        <f>E468*10</f>
        <v>798.125</v>
      </c>
      <c r="J468" s="83">
        <f>E468*12</f>
        <v>957.75</v>
      </c>
      <c r="L468" s="45">
        <f t="shared" si="39"/>
        <v>638.5</v>
      </c>
      <c r="M468" s="92">
        <v>93.05</v>
      </c>
    </row>
    <row r="469" spans="1:13" ht="15" customHeight="1">
      <c r="A469" s="46"/>
      <c r="B469" s="92">
        <v>93.1</v>
      </c>
      <c r="C469" s="83">
        <f t="shared" si="40"/>
        <v>20.21875</v>
      </c>
      <c r="D469" s="83">
        <f t="shared" si="40"/>
        <v>40.4375</v>
      </c>
      <c r="E469" s="83">
        <f t="shared" si="40"/>
        <v>80.875</v>
      </c>
      <c r="F469" s="83">
        <f t="shared" si="40"/>
        <v>161.75</v>
      </c>
      <c r="G469" s="83">
        <f t="shared" si="40"/>
        <v>323.5</v>
      </c>
      <c r="H469" s="85">
        <f>H467+((H487-H467)/10)</f>
        <v>647</v>
      </c>
      <c r="I469" s="83">
        <f t="shared" si="34"/>
        <v>808.75</v>
      </c>
      <c r="J469" s="83">
        <f t="shared" si="35"/>
        <v>970.5</v>
      </c>
      <c r="L469" s="45">
        <f t="shared" si="39"/>
        <v>647</v>
      </c>
      <c r="M469" s="92">
        <v>93.1</v>
      </c>
    </row>
    <row r="470" spans="1:13" ht="15" customHeight="1">
      <c r="A470" s="46"/>
      <c r="B470" s="92">
        <v>93.15</v>
      </c>
      <c r="C470" s="83">
        <f t="shared" si="40"/>
        <v>20.484375</v>
      </c>
      <c r="D470" s="83">
        <f t="shared" si="40"/>
        <v>40.96875</v>
      </c>
      <c r="E470" s="83">
        <f t="shared" si="40"/>
        <v>81.9375</v>
      </c>
      <c r="F470" s="83">
        <f t="shared" si="40"/>
        <v>163.875</v>
      </c>
      <c r="G470" s="83">
        <f t="shared" si="40"/>
        <v>327.75</v>
      </c>
      <c r="H470" s="85">
        <f>H469+((H471-H469)/2)</f>
        <v>655.5</v>
      </c>
      <c r="I470" s="83">
        <f>E470*10</f>
        <v>819.375</v>
      </c>
      <c r="J470" s="83">
        <f>E470*12</f>
        <v>983.25</v>
      </c>
      <c r="L470" s="45">
        <f t="shared" si="39"/>
        <v>655.5</v>
      </c>
      <c r="M470" s="92">
        <v>93.15</v>
      </c>
    </row>
    <row r="471" spans="1:13" ht="15" customHeight="1">
      <c r="A471" s="46"/>
      <c r="B471" s="92">
        <v>93.2</v>
      </c>
      <c r="C471" s="83">
        <f t="shared" si="40"/>
        <v>20.75</v>
      </c>
      <c r="D471" s="83">
        <f t="shared" si="40"/>
        <v>41.5</v>
      </c>
      <c r="E471" s="83">
        <f t="shared" si="40"/>
        <v>83</v>
      </c>
      <c r="F471" s="83">
        <f t="shared" si="40"/>
        <v>166</v>
      </c>
      <c r="G471" s="83">
        <f t="shared" si="40"/>
        <v>332</v>
      </c>
      <c r="H471" s="86">
        <f>H469+17</f>
        <v>664</v>
      </c>
      <c r="I471" s="83">
        <f t="shared" si="34"/>
        <v>830</v>
      </c>
      <c r="J471" s="83">
        <f t="shared" si="35"/>
        <v>996</v>
      </c>
      <c r="L471" s="45">
        <f t="shared" si="39"/>
        <v>664</v>
      </c>
      <c r="M471" s="92">
        <v>93.2</v>
      </c>
    </row>
    <row r="472" spans="1:13" ht="15" customHeight="1">
      <c r="A472" s="46"/>
      <c r="B472" s="92">
        <v>93.25</v>
      </c>
      <c r="C472" s="83">
        <f t="shared" si="40"/>
        <v>21.015625</v>
      </c>
      <c r="D472" s="83">
        <f t="shared" si="40"/>
        <v>42.03125</v>
      </c>
      <c r="E472" s="83">
        <f t="shared" si="40"/>
        <v>84.0625</v>
      </c>
      <c r="F472" s="83">
        <f t="shared" si="40"/>
        <v>168.125</v>
      </c>
      <c r="G472" s="83">
        <f t="shared" si="40"/>
        <v>336.25</v>
      </c>
      <c r="H472" s="85">
        <f>H471+((H473-H471)/2)</f>
        <v>672.5</v>
      </c>
      <c r="I472" s="83">
        <f>E472*10</f>
        <v>840.625</v>
      </c>
      <c r="J472" s="83">
        <f>E472*12</f>
        <v>1008.75</v>
      </c>
      <c r="L472" s="45">
        <f t="shared" si="39"/>
        <v>672.5</v>
      </c>
      <c r="M472" s="92">
        <v>93.25</v>
      </c>
    </row>
    <row r="473" spans="1:13" ht="15" customHeight="1">
      <c r="A473" s="46"/>
      <c r="B473" s="92">
        <v>93.3</v>
      </c>
      <c r="C473" s="83">
        <f t="shared" si="40"/>
        <v>21.28125</v>
      </c>
      <c r="D473" s="83">
        <f t="shared" si="40"/>
        <v>42.5625</v>
      </c>
      <c r="E473" s="83">
        <f t="shared" si="40"/>
        <v>85.125</v>
      </c>
      <c r="F473" s="83">
        <f t="shared" si="40"/>
        <v>170.25</v>
      </c>
      <c r="G473" s="83">
        <f t="shared" si="40"/>
        <v>340.5</v>
      </c>
      <c r="H473" s="86">
        <f>H471+17</f>
        <v>681</v>
      </c>
      <c r="I473" s="83">
        <f t="shared" si="34"/>
        <v>851.25</v>
      </c>
      <c r="J473" s="83">
        <f t="shared" si="35"/>
        <v>1021.5</v>
      </c>
      <c r="L473" s="45">
        <f t="shared" si="39"/>
        <v>681</v>
      </c>
      <c r="M473" s="92">
        <v>93.3</v>
      </c>
    </row>
    <row r="474" spans="1:13" ht="15" customHeight="1">
      <c r="A474" s="46"/>
      <c r="B474" s="92">
        <v>93.35</v>
      </c>
      <c r="C474" s="83">
        <f t="shared" si="40"/>
        <v>21.546875</v>
      </c>
      <c r="D474" s="83">
        <f t="shared" si="40"/>
        <v>43.09375</v>
      </c>
      <c r="E474" s="83">
        <f t="shared" si="40"/>
        <v>86.1875</v>
      </c>
      <c r="F474" s="83">
        <f t="shared" si="40"/>
        <v>172.375</v>
      </c>
      <c r="G474" s="83">
        <f t="shared" si="40"/>
        <v>344.75</v>
      </c>
      <c r="H474" s="85">
        <f>H473+((H475-H473)/2)</f>
        <v>689.5</v>
      </c>
      <c r="I474" s="83">
        <f>E474*10</f>
        <v>861.875</v>
      </c>
      <c r="J474" s="83">
        <f>E474*12</f>
        <v>1034.25</v>
      </c>
      <c r="L474" s="45">
        <f t="shared" si="39"/>
        <v>689.5</v>
      </c>
      <c r="M474" s="92">
        <v>93.35</v>
      </c>
    </row>
    <row r="475" spans="1:13" ht="15" customHeight="1">
      <c r="A475" s="46"/>
      <c r="B475" s="92">
        <v>93.4</v>
      </c>
      <c r="C475" s="83">
        <f t="shared" si="40"/>
        <v>21.8125</v>
      </c>
      <c r="D475" s="83">
        <f t="shared" si="40"/>
        <v>43.625</v>
      </c>
      <c r="E475" s="83">
        <f t="shared" si="40"/>
        <v>87.25</v>
      </c>
      <c r="F475" s="83">
        <f t="shared" si="40"/>
        <v>174.5</v>
      </c>
      <c r="G475" s="83">
        <f t="shared" si="40"/>
        <v>349</v>
      </c>
      <c r="H475" s="86">
        <f>H473+17</f>
        <v>698</v>
      </c>
      <c r="I475" s="83">
        <f t="shared" si="34"/>
        <v>872.5</v>
      </c>
      <c r="J475" s="83">
        <f t="shared" si="35"/>
        <v>1047</v>
      </c>
      <c r="L475" s="45">
        <f t="shared" si="39"/>
        <v>698</v>
      </c>
      <c r="M475" s="92">
        <v>93.4</v>
      </c>
    </row>
    <row r="476" spans="1:13" ht="15" customHeight="1">
      <c r="A476" s="46"/>
      <c r="B476" s="92">
        <v>93.45</v>
      </c>
      <c r="C476" s="83">
        <f t="shared" si="40"/>
        <v>22.078125</v>
      </c>
      <c r="D476" s="83">
        <f t="shared" si="40"/>
        <v>44.15625</v>
      </c>
      <c r="E476" s="83">
        <f t="shared" si="40"/>
        <v>88.3125</v>
      </c>
      <c r="F476" s="83">
        <f t="shared" si="40"/>
        <v>176.625</v>
      </c>
      <c r="G476" s="83">
        <f t="shared" si="40"/>
        <v>353.25</v>
      </c>
      <c r="H476" s="85">
        <f>H475+((H477-H475)/2)</f>
        <v>706.5</v>
      </c>
      <c r="I476" s="83">
        <f>E476*10</f>
        <v>883.125</v>
      </c>
      <c r="J476" s="83">
        <f>E476*12</f>
        <v>1059.75</v>
      </c>
      <c r="L476" s="45">
        <f t="shared" si="39"/>
        <v>706.5</v>
      </c>
      <c r="M476" s="92">
        <v>93.45</v>
      </c>
    </row>
    <row r="477" spans="1:13" ht="15" customHeight="1">
      <c r="A477" s="46"/>
      <c r="B477" s="92">
        <v>93.5</v>
      </c>
      <c r="C477" s="83">
        <f t="shared" si="40"/>
        <v>22.34375</v>
      </c>
      <c r="D477" s="83">
        <f t="shared" si="40"/>
        <v>44.6875</v>
      </c>
      <c r="E477" s="83">
        <f t="shared" si="40"/>
        <v>89.375</v>
      </c>
      <c r="F477" s="83">
        <f t="shared" si="40"/>
        <v>178.75</v>
      </c>
      <c r="G477" s="83">
        <f t="shared" si="40"/>
        <v>357.5</v>
      </c>
      <c r="H477" s="86">
        <f>H475+17</f>
        <v>715</v>
      </c>
      <c r="I477" s="83">
        <f t="shared" si="34"/>
        <v>893.75</v>
      </c>
      <c r="J477" s="83">
        <f t="shared" si="35"/>
        <v>1072.5</v>
      </c>
      <c r="L477" s="45">
        <f t="shared" si="39"/>
        <v>715</v>
      </c>
      <c r="M477" s="92">
        <v>93.5</v>
      </c>
    </row>
    <row r="478" spans="1:13" ht="15" customHeight="1">
      <c r="A478" s="46"/>
      <c r="B478" s="92">
        <v>93.55</v>
      </c>
      <c r="C478" s="83">
        <f t="shared" si="40"/>
        <v>22.609375</v>
      </c>
      <c r="D478" s="83">
        <f t="shared" si="40"/>
        <v>45.21875</v>
      </c>
      <c r="E478" s="83">
        <f t="shared" si="40"/>
        <v>90.4375</v>
      </c>
      <c r="F478" s="83">
        <f t="shared" si="40"/>
        <v>180.875</v>
      </c>
      <c r="G478" s="83">
        <f t="shared" si="40"/>
        <v>361.75</v>
      </c>
      <c r="H478" s="85">
        <f>H477+((H479-H477)/2)</f>
        <v>723.5</v>
      </c>
      <c r="I478" s="83">
        <f>E478*10</f>
        <v>904.375</v>
      </c>
      <c r="J478" s="83">
        <f>E478*12</f>
        <v>1085.25</v>
      </c>
      <c r="L478" s="45">
        <f t="shared" si="39"/>
        <v>723.5</v>
      </c>
      <c r="M478" s="92">
        <v>93.55</v>
      </c>
    </row>
    <row r="479" spans="1:13" ht="15" customHeight="1">
      <c r="A479" s="46"/>
      <c r="B479" s="92">
        <v>93.6</v>
      </c>
      <c r="C479" s="83">
        <f t="shared" si="40"/>
        <v>22.875</v>
      </c>
      <c r="D479" s="83">
        <f t="shared" si="40"/>
        <v>45.75</v>
      </c>
      <c r="E479" s="83">
        <f t="shared" si="40"/>
        <v>91.5</v>
      </c>
      <c r="F479" s="83">
        <f t="shared" si="40"/>
        <v>183</v>
      </c>
      <c r="G479" s="83">
        <f t="shared" si="40"/>
        <v>366</v>
      </c>
      <c r="H479" s="86">
        <f>H477+17</f>
        <v>732</v>
      </c>
      <c r="I479" s="83">
        <f t="shared" si="34"/>
        <v>915</v>
      </c>
      <c r="J479" s="83">
        <f t="shared" si="35"/>
        <v>1098</v>
      </c>
      <c r="L479" s="45">
        <f t="shared" si="39"/>
        <v>732</v>
      </c>
      <c r="M479" s="92">
        <v>93.6</v>
      </c>
    </row>
    <row r="480" spans="1:13" ht="15" customHeight="1">
      <c r="A480" s="46"/>
      <c r="B480" s="92">
        <v>93.65</v>
      </c>
      <c r="C480" s="83">
        <f t="shared" si="40"/>
        <v>23.140625</v>
      </c>
      <c r="D480" s="83">
        <f t="shared" si="40"/>
        <v>46.28125</v>
      </c>
      <c r="E480" s="83">
        <f t="shared" si="40"/>
        <v>92.5625</v>
      </c>
      <c r="F480" s="83">
        <f t="shared" si="40"/>
        <v>185.125</v>
      </c>
      <c r="G480" s="83">
        <f t="shared" si="40"/>
        <v>370.25</v>
      </c>
      <c r="H480" s="85">
        <f>H479+((H481-H479)/2)</f>
        <v>740.5</v>
      </c>
      <c r="I480" s="83">
        <f>E480*10</f>
        <v>925.625</v>
      </c>
      <c r="J480" s="83">
        <f>E480*12</f>
        <v>1110.75</v>
      </c>
      <c r="L480" s="45">
        <f t="shared" si="39"/>
        <v>740.5</v>
      </c>
      <c r="M480" s="92">
        <v>93.65</v>
      </c>
    </row>
    <row r="481" spans="1:13" ht="15" customHeight="1">
      <c r="A481" s="46"/>
      <c r="B481" s="92">
        <v>93.7</v>
      </c>
      <c r="C481" s="83">
        <f t="shared" si="40"/>
        <v>23.40625</v>
      </c>
      <c r="D481" s="83">
        <f t="shared" si="40"/>
        <v>46.8125</v>
      </c>
      <c r="E481" s="83">
        <f t="shared" si="40"/>
        <v>93.625</v>
      </c>
      <c r="F481" s="83">
        <f t="shared" si="40"/>
        <v>187.25</v>
      </c>
      <c r="G481" s="83">
        <f t="shared" si="40"/>
        <v>374.5</v>
      </c>
      <c r="H481" s="86">
        <f>H479+17</f>
        <v>749</v>
      </c>
      <c r="I481" s="83">
        <f t="shared" si="34"/>
        <v>936.25</v>
      </c>
      <c r="J481" s="83">
        <f t="shared" si="35"/>
        <v>1123.5</v>
      </c>
      <c r="L481" s="45">
        <f t="shared" si="39"/>
        <v>749</v>
      </c>
      <c r="M481" s="92">
        <v>93.7</v>
      </c>
    </row>
    <row r="482" spans="1:13" ht="15" customHeight="1">
      <c r="A482" s="46"/>
      <c r="B482" s="92">
        <v>93.75</v>
      </c>
      <c r="C482" s="83">
        <f t="shared" si="40"/>
        <v>23.671875</v>
      </c>
      <c r="D482" s="83">
        <f t="shared" si="40"/>
        <v>47.34375</v>
      </c>
      <c r="E482" s="83">
        <f t="shared" si="40"/>
        <v>94.6875</v>
      </c>
      <c r="F482" s="83">
        <f t="shared" si="40"/>
        <v>189.375</v>
      </c>
      <c r="G482" s="83">
        <f t="shared" si="40"/>
        <v>378.75</v>
      </c>
      <c r="H482" s="85">
        <f>H481+((H483-H481)/2)</f>
        <v>757.5</v>
      </c>
      <c r="I482" s="83">
        <f>E482*10</f>
        <v>946.875</v>
      </c>
      <c r="J482" s="83">
        <f>E482*12</f>
        <v>1136.25</v>
      </c>
      <c r="L482" s="45">
        <f t="shared" si="39"/>
        <v>757.5</v>
      </c>
      <c r="M482" s="92">
        <v>93.75</v>
      </c>
    </row>
    <row r="483" spans="1:13" ht="15" customHeight="1">
      <c r="A483" s="46"/>
      <c r="B483" s="92">
        <v>93.8</v>
      </c>
      <c r="C483" s="83">
        <f t="shared" si="40"/>
        <v>23.9375</v>
      </c>
      <c r="D483" s="83">
        <f t="shared" si="40"/>
        <v>47.875</v>
      </c>
      <c r="E483" s="83">
        <f t="shared" si="40"/>
        <v>95.75</v>
      </c>
      <c r="F483" s="83">
        <f t="shared" si="40"/>
        <v>191.5</v>
      </c>
      <c r="G483" s="83">
        <f t="shared" si="40"/>
        <v>383</v>
      </c>
      <c r="H483" s="86">
        <f>H481+17</f>
        <v>766</v>
      </c>
      <c r="I483" s="83">
        <f t="shared" si="34"/>
        <v>957.5</v>
      </c>
      <c r="J483" s="83">
        <f t="shared" si="35"/>
        <v>1149</v>
      </c>
      <c r="L483" s="45">
        <f t="shared" si="39"/>
        <v>766</v>
      </c>
      <c r="M483" s="92">
        <v>93.8</v>
      </c>
    </row>
    <row r="484" spans="1:13" ht="15" customHeight="1">
      <c r="A484" s="46"/>
      <c r="B484" s="92">
        <v>93.85</v>
      </c>
      <c r="C484" s="83">
        <f t="shared" si="40"/>
        <v>24.203125</v>
      </c>
      <c r="D484" s="83">
        <f t="shared" si="40"/>
        <v>48.40625</v>
      </c>
      <c r="E484" s="83">
        <f t="shared" si="40"/>
        <v>96.8125</v>
      </c>
      <c r="F484" s="83">
        <f t="shared" si="40"/>
        <v>193.625</v>
      </c>
      <c r="G484" s="83">
        <f t="shared" si="40"/>
        <v>387.25</v>
      </c>
      <c r="H484" s="85">
        <f>H483+((H485-H483)/2)</f>
        <v>774.5</v>
      </c>
      <c r="I484" s="83">
        <f>E484*10</f>
        <v>968.125</v>
      </c>
      <c r="J484" s="83">
        <f>E484*12</f>
        <v>1161.75</v>
      </c>
      <c r="L484" s="45">
        <f t="shared" si="39"/>
        <v>774.5</v>
      </c>
      <c r="M484" s="92">
        <v>93.85</v>
      </c>
    </row>
    <row r="485" spans="1:13" ht="15" customHeight="1">
      <c r="A485" s="46"/>
      <c r="B485" s="92">
        <v>93.9</v>
      </c>
      <c r="C485" s="83">
        <f t="shared" si="40"/>
        <v>24.46875</v>
      </c>
      <c r="D485" s="83">
        <f t="shared" si="40"/>
        <v>48.9375</v>
      </c>
      <c r="E485" s="83">
        <f t="shared" si="40"/>
        <v>97.875</v>
      </c>
      <c r="F485" s="83">
        <f t="shared" si="40"/>
        <v>195.75</v>
      </c>
      <c r="G485" s="83">
        <f t="shared" si="40"/>
        <v>391.5</v>
      </c>
      <c r="H485" s="86">
        <f>H483+17</f>
        <v>783</v>
      </c>
      <c r="I485" s="83">
        <f t="shared" si="34"/>
        <v>978.75</v>
      </c>
      <c r="J485" s="83">
        <f t="shared" si="35"/>
        <v>1174.5</v>
      </c>
      <c r="L485" s="45">
        <f t="shared" si="39"/>
        <v>783</v>
      </c>
      <c r="M485" s="92">
        <v>93.9</v>
      </c>
    </row>
    <row r="486" spans="1:13" ht="15" customHeight="1">
      <c r="A486" s="46"/>
      <c r="B486" s="92">
        <v>93.95</v>
      </c>
      <c r="C486" s="83">
        <f>D486/2</f>
        <v>24.734375</v>
      </c>
      <c r="D486" s="83">
        <f>E486/2</f>
        <v>49.46875</v>
      </c>
      <c r="E486" s="83">
        <f>F486/2</f>
        <v>98.9375</v>
      </c>
      <c r="F486" s="83">
        <f>G486/2</f>
        <v>197.875</v>
      </c>
      <c r="G486" s="83">
        <f>H486/2</f>
        <v>395.75</v>
      </c>
      <c r="H486" s="85">
        <f>H485+((H487-H485)/2)</f>
        <v>791.5</v>
      </c>
      <c r="I486" s="83">
        <f>E486*10</f>
        <v>989.375</v>
      </c>
      <c r="J486" s="83">
        <f>E486*12</f>
        <v>1187.25</v>
      </c>
      <c r="L486" s="45">
        <f t="shared" si="39"/>
        <v>791.5</v>
      </c>
      <c r="M486" s="92">
        <v>93.95</v>
      </c>
    </row>
    <row r="487" spans="1:13" ht="15" customHeight="1">
      <c r="A487" s="46"/>
      <c r="B487" s="92">
        <v>94</v>
      </c>
      <c r="C487" s="83">
        <f t="shared" ref="C487:G505" si="41">D487/2</f>
        <v>25</v>
      </c>
      <c r="D487" s="83">
        <f t="shared" si="41"/>
        <v>50</v>
      </c>
      <c r="E487" s="83">
        <f t="shared" si="41"/>
        <v>100</v>
      </c>
      <c r="F487" s="83">
        <f t="shared" si="41"/>
        <v>200</v>
      </c>
      <c r="G487" s="83">
        <f t="shared" si="41"/>
        <v>400</v>
      </c>
      <c r="H487" s="86">
        <v>800</v>
      </c>
      <c r="I487" s="83">
        <f t="shared" si="34"/>
        <v>1000</v>
      </c>
      <c r="J487" s="83">
        <f t="shared" si="35"/>
        <v>1200</v>
      </c>
      <c r="L487" s="45">
        <f t="shared" si="39"/>
        <v>800</v>
      </c>
      <c r="M487" s="92">
        <v>94</v>
      </c>
    </row>
    <row r="488" spans="1:13" ht="15" customHeight="1">
      <c r="A488" s="46"/>
      <c r="B488" s="92">
        <v>94.05</v>
      </c>
      <c r="C488" s="83">
        <f t="shared" si="41"/>
        <v>25.3125</v>
      </c>
      <c r="D488" s="83">
        <f t="shared" si="41"/>
        <v>50.625</v>
      </c>
      <c r="E488" s="83">
        <f t="shared" si="41"/>
        <v>101.25</v>
      </c>
      <c r="F488" s="83">
        <f t="shared" si="41"/>
        <v>202.5</v>
      </c>
      <c r="G488" s="83">
        <f t="shared" si="41"/>
        <v>405</v>
      </c>
      <c r="H488" s="85">
        <f>H487+((H489-H487)/2)</f>
        <v>810</v>
      </c>
      <c r="I488" s="83">
        <f>E488*10</f>
        <v>1012.5</v>
      </c>
      <c r="J488" s="83">
        <f>E488*12</f>
        <v>1215</v>
      </c>
      <c r="L488" s="45">
        <f t="shared" si="39"/>
        <v>810</v>
      </c>
      <c r="M488" s="92">
        <v>94.05</v>
      </c>
    </row>
    <row r="489" spans="1:13" ht="15" customHeight="1">
      <c r="A489" s="46"/>
      <c r="B489" s="92">
        <v>94.1</v>
      </c>
      <c r="C489" s="83">
        <f t="shared" si="41"/>
        <v>25.625</v>
      </c>
      <c r="D489" s="83">
        <f t="shared" si="41"/>
        <v>51.25</v>
      </c>
      <c r="E489" s="83">
        <f t="shared" si="41"/>
        <v>102.5</v>
      </c>
      <c r="F489" s="83">
        <f t="shared" si="41"/>
        <v>205</v>
      </c>
      <c r="G489" s="83">
        <f t="shared" si="41"/>
        <v>410</v>
      </c>
      <c r="H489" s="85">
        <f>H487+((H507-H487)/10)</f>
        <v>820</v>
      </c>
      <c r="I489" s="83">
        <f t="shared" si="34"/>
        <v>1025</v>
      </c>
      <c r="J489" s="83">
        <f t="shared" si="35"/>
        <v>1230</v>
      </c>
      <c r="L489" s="45">
        <f t="shared" si="39"/>
        <v>820</v>
      </c>
      <c r="M489" s="92">
        <v>94.1</v>
      </c>
    </row>
    <row r="490" spans="1:13" ht="15" customHeight="1">
      <c r="A490" s="46"/>
      <c r="B490" s="92">
        <v>94.15</v>
      </c>
      <c r="C490" s="83">
        <f t="shared" si="41"/>
        <v>25.9375</v>
      </c>
      <c r="D490" s="83">
        <f t="shared" si="41"/>
        <v>51.875</v>
      </c>
      <c r="E490" s="83">
        <f t="shared" si="41"/>
        <v>103.75</v>
      </c>
      <c r="F490" s="83">
        <f t="shared" si="41"/>
        <v>207.5</v>
      </c>
      <c r="G490" s="83">
        <f t="shared" si="41"/>
        <v>415</v>
      </c>
      <c r="H490" s="85">
        <f>H489+((H491-H489)/2)</f>
        <v>830</v>
      </c>
      <c r="I490" s="83">
        <f>E490*10</f>
        <v>1037.5</v>
      </c>
      <c r="J490" s="83">
        <f>E490*12</f>
        <v>1245</v>
      </c>
      <c r="L490" s="45">
        <f t="shared" si="39"/>
        <v>830</v>
      </c>
      <c r="M490" s="92">
        <v>94.15</v>
      </c>
    </row>
    <row r="491" spans="1:13" ht="15" customHeight="1">
      <c r="A491" s="46"/>
      <c r="B491" s="92">
        <v>94.2</v>
      </c>
      <c r="C491" s="83">
        <f t="shared" si="41"/>
        <v>26.25</v>
      </c>
      <c r="D491" s="83">
        <f t="shared" si="41"/>
        <v>52.5</v>
      </c>
      <c r="E491" s="83">
        <f t="shared" si="41"/>
        <v>105</v>
      </c>
      <c r="F491" s="83">
        <f t="shared" si="41"/>
        <v>210</v>
      </c>
      <c r="G491" s="83">
        <f t="shared" si="41"/>
        <v>420</v>
      </c>
      <c r="H491" s="86">
        <f>H489+20</f>
        <v>840</v>
      </c>
      <c r="I491" s="83">
        <f t="shared" si="34"/>
        <v>1050</v>
      </c>
      <c r="J491" s="83">
        <f t="shared" si="35"/>
        <v>1260</v>
      </c>
      <c r="L491" s="45">
        <f t="shared" si="39"/>
        <v>840</v>
      </c>
      <c r="M491" s="92">
        <v>94.2</v>
      </c>
    </row>
    <row r="492" spans="1:13" ht="15" customHeight="1">
      <c r="A492" s="46"/>
      <c r="B492" s="92">
        <v>94.25</v>
      </c>
      <c r="C492" s="83">
        <f t="shared" si="41"/>
        <v>26.5625</v>
      </c>
      <c r="D492" s="83">
        <f t="shared" si="41"/>
        <v>53.125</v>
      </c>
      <c r="E492" s="83">
        <f t="shared" si="41"/>
        <v>106.25</v>
      </c>
      <c r="F492" s="83">
        <f t="shared" si="41"/>
        <v>212.5</v>
      </c>
      <c r="G492" s="83">
        <f t="shared" si="41"/>
        <v>425</v>
      </c>
      <c r="H492" s="85">
        <f>H491+((H493-H491)/2)</f>
        <v>850</v>
      </c>
      <c r="I492" s="83">
        <f>E492*10</f>
        <v>1062.5</v>
      </c>
      <c r="J492" s="83">
        <f>E492*12</f>
        <v>1275</v>
      </c>
      <c r="L492" s="45">
        <f t="shared" si="39"/>
        <v>850</v>
      </c>
      <c r="M492" s="92">
        <v>94.25</v>
      </c>
    </row>
    <row r="493" spans="1:13" ht="15" customHeight="1">
      <c r="A493" s="46"/>
      <c r="B493" s="92">
        <v>94.3</v>
      </c>
      <c r="C493" s="83">
        <f t="shared" si="41"/>
        <v>26.875</v>
      </c>
      <c r="D493" s="83">
        <f t="shared" si="41"/>
        <v>53.75</v>
      </c>
      <c r="E493" s="83">
        <f t="shared" si="41"/>
        <v>107.5</v>
      </c>
      <c r="F493" s="83">
        <f t="shared" si="41"/>
        <v>215</v>
      </c>
      <c r="G493" s="83">
        <f t="shared" si="41"/>
        <v>430</v>
      </c>
      <c r="H493" s="86">
        <f>H491+20</f>
        <v>860</v>
      </c>
      <c r="I493" s="83">
        <f t="shared" si="34"/>
        <v>1075</v>
      </c>
      <c r="J493" s="83">
        <f t="shared" si="35"/>
        <v>1290</v>
      </c>
      <c r="L493" s="45">
        <f t="shared" si="39"/>
        <v>860</v>
      </c>
      <c r="M493" s="92">
        <v>94.3</v>
      </c>
    </row>
    <row r="494" spans="1:13" ht="15" customHeight="1">
      <c r="A494" s="46"/>
      <c r="B494" s="92">
        <v>94.35</v>
      </c>
      <c r="C494" s="83">
        <f t="shared" si="41"/>
        <v>27.1875</v>
      </c>
      <c r="D494" s="83">
        <f t="shared" si="41"/>
        <v>54.375</v>
      </c>
      <c r="E494" s="83">
        <f t="shared" si="41"/>
        <v>108.75</v>
      </c>
      <c r="F494" s="83">
        <f t="shared" si="41"/>
        <v>217.5</v>
      </c>
      <c r="G494" s="83">
        <f t="shared" si="41"/>
        <v>435</v>
      </c>
      <c r="H494" s="85">
        <f>H493+((H495-H493)/2)</f>
        <v>870</v>
      </c>
      <c r="I494" s="83">
        <f>E494*10</f>
        <v>1087.5</v>
      </c>
      <c r="J494" s="83">
        <f>E494*12</f>
        <v>1305</v>
      </c>
      <c r="L494" s="45">
        <f t="shared" si="39"/>
        <v>870</v>
      </c>
      <c r="M494" s="92">
        <v>94.35</v>
      </c>
    </row>
    <row r="495" spans="1:13" ht="15" customHeight="1">
      <c r="A495" s="46"/>
      <c r="B495" s="92">
        <v>94.4</v>
      </c>
      <c r="C495" s="83">
        <f t="shared" si="41"/>
        <v>27.5</v>
      </c>
      <c r="D495" s="83">
        <f t="shared" si="41"/>
        <v>55</v>
      </c>
      <c r="E495" s="83">
        <f t="shared" si="41"/>
        <v>110</v>
      </c>
      <c r="F495" s="83">
        <f t="shared" si="41"/>
        <v>220</v>
      </c>
      <c r="G495" s="83">
        <f t="shared" si="41"/>
        <v>440</v>
      </c>
      <c r="H495" s="86">
        <f>H493+20</f>
        <v>880</v>
      </c>
      <c r="I495" s="83">
        <f t="shared" si="34"/>
        <v>1100</v>
      </c>
      <c r="J495" s="83">
        <f t="shared" si="35"/>
        <v>1320</v>
      </c>
      <c r="L495" s="45">
        <f t="shared" si="39"/>
        <v>880</v>
      </c>
      <c r="M495" s="92">
        <v>94.4</v>
      </c>
    </row>
    <row r="496" spans="1:13" ht="15" customHeight="1">
      <c r="A496" s="46"/>
      <c r="B496" s="92">
        <v>94.45</v>
      </c>
      <c r="C496" s="83">
        <f t="shared" si="41"/>
        <v>27.8125</v>
      </c>
      <c r="D496" s="83">
        <f t="shared" si="41"/>
        <v>55.625</v>
      </c>
      <c r="E496" s="83">
        <f t="shared" si="41"/>
        <v>111.25</v>
      </c>
      <c r="F496" s="83">
        <f t="shared" si="41"/>
        <v>222.5</v>
      </c>
      <c r="G496" s="83">
        <f t="shared" si="41"/>
        <v>445</v>
      </c>
      <c r="H496" s="85">
        <f>H495+((H497-H495)/2)</f>
        <v>890</v>
      </c>
      <c r="I496" s="83">
        <f>E496*10</f>
        <v>1112.5</v>
      </c>
      <c r="J496" s="83">
        <f>E496*12</f>
        <v>1335</v>
      </c>
      <c r="L496" s="45">
        <f t="shared" si="39"/>
        <v>890</v>
      </c>
      <c r="M496" s="92">
        <v>94.45</v>
      </c>
    </row>
    <row r="497" spans="1:13" ht="15" customHeight="1">
      <c r="A497" s="46"/>
      <c r="B497" s="92">
        <v>94.5</v>
      </c>
      <c r="C497" s="83">
        <f t="shared" si="41"/>
        <v>28.125</v>
      </c>
      <c r="D497" s="83">
        <f t="shared" si="41"/>
        <v>56.25</v>
      </c>
      <c r="E497" s="83">
        <f t="shared" si="41"/>
        <v>112.5</v>
      </c>
      <c r="F497" s="83">
        <f t="shared" si="41"/>
        <v>225</v>
      </c>
      <c r="G497" s="83">
        <f t="shared" si="41"/>
        <v>450</v>
      </c>
      <c r="H497" s="86">
        <f>H495+20</f>
        <v>900</v>
      </c>
      <c r="I497" s="83">
        <f t="shared" si="34"/>
        <v>1125</v>
      </c>
      <c r="J497" s="83">
        <f t="shared" si="35"/>
        <v>1350</v>
      </c>
      <c r="L497" s="45">
        <f t="shared" si="39"/>
        <v>900</v>
      </c>
      <c r="M497" s="92">
        <v>94.5</v>
      </c>
    </row>
    <row r="498" spans="1:13" ht="15" customHeight="1">
      <c r="A498" s="46"/>
      <c r="B498" s="92">
        <v>94.55</v>
      </c>
      <c r="C498" s="83">
        <f t="shared" si="41"/>
        <v>28.4375</v>
      </c>
      <c r="D498" s="83">
        <f t="shared" si="41"/>
        <v>56.875</v>
      </c>
      <c r="E498" s="83">
        <f t="shared" si="41"/>
        <v>113.75</v>
      </c>
      <c r="F498" s="83">
        <f t="shared" si="41"/>
        <v>227.5</v>
      </c>
      <c r="G498" s="83">
        <f t="shared" si="41"/>
        <v>455</v>
      </c>
      <c r="H498" s="85">
        <f>H497+((H499-H497)/2)</f>
        <v>910</v>
      </c>
      <c r="I498" s="83">
        <f>E498*10</f>
        <v>1137.5</v>
      </c>
      <c r="J498" s="83">
        <f>E498*12</f>
        <v>1365</v>
      </c>
      <c r="L498" s="45">
        <f t="shared" si="39"/>
        <v>910</v>
      </c>
      <c r="M498" s="92">
        <v>94.55</v>
      </c>
    </row>
    <row r="499" spans="1:13" ht="15" customHeight="1">
      <c r="A499" s="46"/>
      <c r="B499" s="92">
        <v>94.6</v>
      </c>
      <c r="C499" s="83">
        <f t="shared" si="41"/>
        <v>28.75</v>
      </c>
      <c r="D499" s="83">
        <f t="shared" si="41"/>
        <v>57.5</v>
      </c>
      <c r="E499" s="83">
        <f t="shared" si="41"/>
        <v>115</v>
      </c>
      <c r="F499" s="83">
        <f t="shared" si="41"/>
        <v>230</v>
      </c>
      <c r="G499" s="83">
        <f t="shared" si="41"/>
        <v>460</v>
      </c>
      <c r="H499" s="86">
        <f>H497+20</f>
        <v>920</v>
      </c>
      <c r="I499" s="83">
        <f t="shared" si="34"/>
        <v>1150</v>
      </c>
      <c r="J499" s="83">
        <f t="shared" si="35"/>
        <v>1380</v>
      </c>
      <c r="L499" s="45">
        <f t="shared" si="39"/>
        <v>920</v>
      </c>
      <c r="M499" s="92">
        <v>94.6</v>
      </c>
    </row>
    <row r="500" spans="1:13" ht="15" customHeight="1">
      <c r="A500" s="46"/>
      <c r="B500" s="92">
        <v>94.65</v>
      </c>
      <c r="C500" s="83">
        <f t="shared" si="41"/>
        <v>29.0625</v>
      </c>
      <c r="D500" s="83">
        <f t="shared" si="41"/>
        <v>58.125</v>
      </c>
      <c r="E500" s="83">
        <f t="shared" si="41"/>
        <v>116.25</v>
      </c>
      <c r="F500" s="83">
        <f t="shared" si="41"/>
        <v>232.5</v>
      </c>
      <c r="G500" s="83">
        <f t="shared" si="41"/>
        <v>465</v>
      </c>
      <c r="H500" s="85">
        <f>H499+((H501-H499)/2)</f>
        <v>930</v>
      </c>
      <c r="I500" s="83">
        <f>E500*10</f>
        <v>1162.5</v>
      </c>
      <c r="J500" s="83">
        <f>E500*12</f>
        <v>1395</v>
      </c>
      <c r="L500" s="45">
        <f t="shared" si="39"/>
        <v>930</v>
      </c>
      <c r="M500" s="92">
        <v>94.65</v>
      </c>
    </row>
    <row r="501" spans="1:13" ht="15" customHeight="1">
      <c r="A501" s="46"/>
      <c r="B501" s="92">
        <v>94.7</v>
      </c>
      <c r="C501" s="83">
        <f t="shared" si="41"/>
        <v>29.375</v>
      </c>
      <c r="D501" s="83">
        <f t="shared" si="41"/>
        <v>58.75</v>
      </c>
      <c r="E501" s="83">
        <f t="shared" si="41"/>
        <v>117.5</v>
      </c>
      <c r="F501" s="83">
        <f t="shared" si="41"/>
        <v>235</v>
      </c>
      <c r="G501" s="83">
        <f t="shared" si="41"/>
        <v>470</v>
      </c>
      <c r="H501" s="86">
        <f>H499+20</f>
        <v>940</v>
      </c>
      <c r="I501" s="83">
        <f t="shared" si="34"/>
        <v>1175</v>
      </c>
      <c r="J501" s="83">
        <f t="shared" si="35"/>
        <v>1410</v>
      </c>
      <c r="L501" s="45">
        <f t="shared" si="39"/>
        <v>940</v>
      </c>
      <c r="M501" s="92">
        <v>94.7</v>
      </c>
    </row>
    <row r="502" spans="1:13" ht="15" customHeight="1">
      <c r="A502" s="46"/>
      <c r="B502" s="92">
        <v>94.75</v>
      </c>
      <c r="C502" s="83">
        <f t="shared" si="41"/>
        <v>29.6875</v>
      </c>
      <c r="D502" s="83">
        <f t="shared" si="41"/>
        <v>59.375</v>
      </c>
      <c r="E502" s="83">
        <f t="shared" si="41"/>
        <v>118.75</v>
      </c>
      <c r="F502" s="83">
        <f t="shared" si="41"/>
        <v>237.5</v>
      </c>
      <c r="G502" s="83">
        <f t="shared" si="41"/>
        <v>475</v>
      </c>
      <c r="H502" s="85">
        <f>H501+((H503-H501)/2)</f>
        <v>950</v>
      </c>
      <c r="I502" s="83">
        <f>E502*10</f>
        <v>1187.5</v>
      </c>
      <c r="J502" s="83">
        <f>E502*12</f>
        <v>1425</v>
      </c>
      <c r="L502" s="45">
        <f t="shared" si="39"/>
        <v>950</v>
      </c>
      <c r="M502" s="92">
        <v>94.75</v>
      </c>
    </row>
    <row r="503" spans="1:13" ht="15" customHeight="1">
      <c r="A503" s="46"/>
      <c r="B503" s="92">
        <v>94.8</v>
      </c>
      <c r="C503" s="83">
        <f t="shared" si="41"/>
        <v>30</v>
      </c>
      <c r="D503" s="83">
        <f t="shared" si="41"/>
        <v>60</v>
      </c>
      <c r="E503" s="83">
        <f t="shared" si="41"/>
        <v>120</v>
      </c>
      <c r="F503" s="83">
        <f t="shared" si="41"/>
        <v>240</v>
      </c>
      <c r="G503" s="83">
        <f t="shared" si="41"/>
        <v>480</v>
      </c>
      <c r="H503" s="86">
        <f>H501+20</f>
        <v>960</v>
      </c>
      <c r="I503" s="83">
        <f t="shared" si="34"/>
        <v>1200</v>
      </c>
      <c r="J503" s="83">
        <f t="shared" si="35"/>
        <v>1440</v>
      </c>
      <c r="L503" s="45">
        <f t="shared" si="39"/>
        <v>960</v>
      </c>
      <c r="M503" s="92">
        <v>94.8</v>
      </c>
    </row>
    <row r="504" spans="1:13" ht="15" customHeight="1">
      <c r="A504" s="46"/>
      <c r="B504" s="92">
        <v>94.85</v>
      </c>
      <c r="C504" s="83">
        <f t="shared" si="41"/>
        <v>30.3125</v>
      </c>
      <c r="D504" s="83">
        <f t="shared" si="41"/>
        <v>60.625</v>
      </c>
      <c r="E504" s="83">
        <f t="shared" si="41"/>
        <v>121.25</v>
      </c>
      <c r="F504" s="83">
        <f t="shared" si="41"/>
        <v>242.5</v>
      </c>
      <c r="G504" s="83">
        <f t="shared" si="41"/>
        <v>485</v>
      </c>
      <c r="H504" s="85">
        <f>H503+((H505-H503)/2)</f>
        <v>970</v>
      </c>
      <c r="I504" s="83">
        <f>E504*10</f>
        <v>1212.5</v>
      </c>
      <c r="J504" s="83">
        <f>E504*12</f>
        <v>1455</v>
      </c>
      <c r="L504" s="45">
        <f t="shared" si="39"/>
        <v>970</v>
      </c>
      <c r="M504" s="92">
        <v>94.85</v>
      </c>
    </row>
    <row r="505" spans="1:13" ht="15" customHeight="1">
      <c r="A505" s="46"/>
      <c r="B505" s="92">
        <v>94.9</v>
      </c>
      <c r="C505" s="83">
        <f t="shared" si="41"/>
        <v>30.625</v>
      </c>
      <c r="D505" s="83">
        <f t="shared" si="41"/>
        <v>61.25</v>
      </c>
      <c r="E505" s="83">
        <f t="shared" si="41"/>
        <v>122.5</v>
      </c>
      <c r="F505" s="83">
        <f t="shared" si="41"/>
        <v>245</v>
      </c>
      <c r="G505" s="83">
        <f t="shared" si="41"/>
        <v>490</v>
      </c>
      <c r="H505" s="86">
        <f>H503+20</f>
        <v>980</v>
      </c>
      <c r="I505" s="83">
        <f t="shared" si="34"/>
        <v>1225</v>
      </c>
      <c r="J505" s="83">
        <f t="shared" si="35"/>
        <v>1470</v>
      </c>
      <c r="L505" s="45">
        <f t="shared" si="39"/>
        <v>980</v>
      </c>
      <c r="M505" s="92">
        <v>94.9</v>
      </c>
    </row>
    <row r="506" spans="1:13" ht="15" customHeight="1">
      <c r="A506" s="46"/>
      <c r="B506" s="92">
        <v>94.95</v>
      </c>
      <c r="C506" s="83">
        <f>D506/2</f>
        <v>30.9375</v>
      </c>
      <c r="D506" s="83">
        <f>E506/2</f>
        <v>61.875</v>
      </c>
      <c r="E506" s="83">
        <f>F506/2</f>
        <v>123.75</v>
      </c>
      <c r="F506" s="83">
        <f>G506/2</f>
        <v>247.5</v>
      </c>
      <c r="G506" s="83">
        <f>H506/2</f>
        <v>495</v>
      </c>
      <c r="H506" s="85">
        <f>H505+((H507-H505)/2)</f>
        <v>990</v>
      </c>
      <c r="I506" s="83">
        <f>E506*10</f>
        <v>1237.5</v>
      </c>
      <c r="J506" s="83">
        <f>E506*12</f>
        <v>1485</v>
      </c>
      <c r="L506" s="45">
        <f t="shared" si="39"/>
        <v>990</v>
      </c>
      <c r="M506" s="92">
        <v>94.95</v>
      </c>
    </row>
    <row r="507" spans="1:13" ht="15" customHeight="1">
      <c r="A507" s="46"/>
      <c r="B507" s="92">
        <v>95</v>
      </c>
      <c r="C507" s="83">
        <f t="shared" ref="C507:G525" si="42">D507/2</f>
        <v>31.25</v>
      </c>
      <c r="D507" s="83">
        <f t="shared" si="42"/>
        <v>62.5</v>
      </c>
      <c r="E507" s="83">
        <f t="shared" si="42"/>
        <v>125</v>
      </c>
      <c r="F507" s="83">
        <f t="shared" si="42"/>
        <v>250</v>
      </c>
      <c r="G507" s="83">
        <f t="shared" si="42"/>
        <v>500</v>
      </c>
      <c r="H507" s="86">
        <v>1000</v>
      </c>
      <c r="I507" s="83">
        <f t="shared" si="34"/>
        <v>1250</v>
      </c>
      <c r="J507" s="83">
        <f t="shared" si="35"/>
        <v>1500</v>
      </c>
      <c r="L507" s="45">
        <f t="shared" si="39"/>
        <v>1000</v>
      </c>
      <c r="M507" s="92">
        <v>95</v>
      </c>
    </row>
    <row r="508" spans="1:13" ht="15" customHeight="1">
      <c r="A508" s="46"/>
      <c r="B508" s="92">
        <v>95.05</v>
      </c>
      <c r="C508" s="83">
        <f t="shared" si="42"/>
        <v>31.640625</v>
      </c>
      <c r="D508" s="83">
        <f t="shared" si="42"/>
        <v>63.28125</v>
      </c>
      <c r="E508" s="83">
        <f t="shared" si="42"/>
        <v>126.5625</v>
      </c>
      <c r="F508" s="83">
        <f t="shared" si="42"/>
        <v>253.125</v>
      </c>
      <c r="G508" s="83">
        <f t="shared" si="42"/>
        <v>506.25</v>
      </c>
      <c r="H508" s="85">
        <f>H507+((H509-H507)/2)</f>
        <v>1012.5</v>
      </c>
      <c r="I508" s="83">
        <f>E508*10</f>
        <v>1265.625</v>
      </c>
      <c r="J508" s="83">
        <f>E508*12</f>
        <v>1518.75</v>
      </c>
      <c r="L508" s="45">
        <f t="shared" si="39"/>
        <v>1012.5</v>
      </c>
      <c r="M508" s="92">
        <v>95.05</v>
      </c>
    </row>
    <row r="509" spans="1:13" ht="15" customHeight="1">
      <c r="A509" s="46"/>
      <c r="B509" s="92">
        <v>95.1</v>
      </c>
      <c r="C509" s="83">
        <f t="shared" si="42"/>
        <v>32.03125</v>
      </c>
      <c r="D509" s="83">
        <f t="shared" si="42"/>
        <v>64.0625</v>
      </c>
      <c r="E509" s="83">
        <f t="shared" si="42"/>
        <v>128.125</v>
      </c>
      <c r="F509" s="83">
        <f t="shared" si="42"/>
        <v>256.25</v>
      </c>
      <c r="G509" s="83">
        <f t="shared" si="42"/>
        <v>512.5</v>
      </c>
      <c r="H509" s="85">
        <f>H507+((H527-H507)/10)</f>
        <v>1025</v>
      </c>
      <c r="I509" s="83">
        <f t="shared" si="34"/>
        <v>1281.25</v>
      </c>
      <c r="J509" s="83">
        <f t="shared" si="35"/>
        <v>1537.5</v>
      </c>
      <c r="L509" s="45">
        <f t="shared" si="39"/>
        <v>1025</v>
      </c>
      <c r="M509" s="92">
        <v>95.1</v>
      </c>
    </row>
    <row r="510" spans="1:13" ht="15" customHeight="1">
      <c r="A510" s="46"/>
      <c r="B510" s="92">
        <v>95.15</v>
      </c>
      <c r="C510" s="83">
        <f t="shared" si="42"/>
        <v>32.421875</v>
      </c>
      <c r="D510" s="83">
        <f t="shared" si="42"/>
        <v>64.84375</v>
      </c>
      <c r="E510" s="83">
        <f t="shared" si="42"/>
        <v>129.6875</v>
      </c>
      <c r="F510" s="83">
        <f t="shared" si="42"/>
        <v>259.375</v>
      </c>
      <c r="G510" s="83">
        <f t="shared" si="42"/>
        <v>518.75</v>
      </c>
      <c r="H510" s="85">
        <f>H509+((H511-H509)/2)</f>
        <v>1037.5</v>
      </c>
      <c r="I510" s="83">
        <f>E510*10</f>
        <v>1296.875</v>
      </c>
      <c r="J510" s="83">
        <f>E510*12</f>
        <v>1556.25</v>
      </c>
      <c r="L510" s="45">
        <f t="shared" si="39"/>
        <v>1037.5</v>
      </c>
      <c r="M510" s="92">
        <v>95.15</v>
      </c>
    </row>
    <row r="511" spans="1:13" ht="15" customHeight="1">
      <c r="A511" s="46"/>
      <c r="B511" s="92">
        <v>95.2</v>
      </c>
      <c r="C511" s="83">
        <f t="shared" si="42"/>
        <v>32.8125</v>
      </c>
      <c r="D511" s="83">
        <f t="shared" si="42"/>
        <v>65.625</v>
      </c>
      <c r="E511" s="83">
        <f t="shared" si="42"/>
        <v>131.25</v>
      </c>
      <c r="F511" s="83">
        <f t="shared" si="42"/>
        <v>262.5</v>
      </c>
      <c r="G511" s="83">
        <f t="shared" si="42"/>
        <v>525</v>
      </c>
      <c r="H511" s="86">
        <f>H509+25</f>
        <v>1050</v>
      </c>
      <c r="I511" s="83">
        <f t="shared" si="34"/>
        <v>1312.5</v>
      </c>
      <c r="J511" s="83">
        <f t="shared" si="35"/>
        <v>1575</v>
      </c>
      <c r="L511" s="45">
        <f t="shared" si="39"/>
        <v>1050</v>
      </c>
      <c r="M511" s="92">
        <v>95.2</v>
      </c>
    </row>
    <row r="512" spans="1:13" ht="15" customHeight="1">
      <c r="A512" s="46"/>
      <c r="B512" s="92">
        <v>95.25</v>
      </c>
      <c r="C512" s="83">
        <f>D512/2</f>
        <v>33.203125</v>
      </c>
      <c r="D512" s="83">
        <f>E512/2</f>
        <v>66.40625</v>
      </c>
      <c r="E512" s="83">
        <f>F512/2</f>
        <v>132.8125</v>
      </c>
      <c r="F512" s="83">
        <f>G512/2</f>
        <v>265.625</v>
      </c>
      <c r="G512" s="83">
        <f>H512/2</f>
        <v>531.25</v>
      </c>
      <c r="H512" s="85">
        <f>H511+((H513-H511)/2)</f>
        <v>1062.5</v>
      </c>
      <c r="I512" s="83">
        <f>E512*10</f>
        <v>1328.125</v>
      </c>
      <c r="J512" s="83">
        <f>E512*12</f>
        <v>1593.75</v>
      </c>
      <c r="L512" s="45">
        <f t="shared" si="39"/>
        <v>1062.5</v>
      </c>
      <c r="M512" s="92">
        <v>95.25</v>
      </c>
    </row>
    <row r="513" spans="1:13" ht="15" customHeight="1">
      <c r="A513" s="46"/>
      <c r="B513" s="92">
        <v>95.3</v>
      </c>
      <c r="C513" s="83">
        <f t="shared" si="42"/>
        <v>33.59375</v>
      </c>
      <c r="D513" s="83">
        <f t="shared" si="42"/>
        <v>67.1875</v>
      </c>
      <c r="E513" s="83">
        <f t="shared" si="42"/>
        <v>134.375</v>
      </c>
      <c r="F513" s="83">
        <f t="shared" si="42"/>
        <v>268.75</v>
      </c>
      <c r="G513" s="83">
        <f t="shared" si="42"/>
        <v>537.5</v>
      </c>
      <c r="H513" s="86">
        <f>H511+25</f>
        <v>1075</v>
      </c>
      <c r="I513" s="83">
        <f t="shared" si="34"/>
        <v>1343.75</v>
      </c>
      <c r="J513" s="83">
        <f t="shared" si="35"/>
        <v>1612.5</v>
      </c>
      <c r="L513" s="45">
        <f t="shared" si="39"/>
        <v>1075</v>
      </c>
      <c r="M513" s="92">
        <v>95.3</v>
      </c>
    </row>
    <row r="514" spans="1:13" ht="15" customHeight="1">
      <c r="A514" s="46"/>
      <c r="B514" s="92">
        <v>95.35</v>
      </c>
      <c r="C514" s="83">
        <f>D514/2</f>
        <v>33.984375</v>
      </c>
      <c r="D514" s="83">
        <f>E514/2</f>
        <v>67.96875</v>
      </c>
      <c r="E514" s="83">
        <f>F514/2</f>
        <v>135.9375</v>
      </c>
      <c r="F514" s="83">
        <f>G514/2</f>
        <v>271.875</v>
      </c>
      <c r="G514" s="83">
        <f>H514/2</f>
        <v>543.75</v>
      </c>
      <c r="H514" s="85">
        <f>H513+((H515-H513)/2)</f>
        <v>1087.5</v>
      </c>
      <c r="I514" s="83">
        <f>E514*10</f>
        <v>1359.375</v>
      </c>
      <c r="J514" s="83">
        <f>E514*12</f>
        <v>1631.25</v>
      </c>
      <c r="L514" s="45">
        <f t="shared" si="39"/>
        <v>1087.5</v>
      </c>
      <c r="M514" s="92">
        <v>95.35</v>
      </c>
    </row>
    <row r="515" spans="1:13" ht="15" customHeight="1">
      <c r="A515" s="46"/>
      <c r="B515" s="92">
        <v>95.4</v>
      </c>
      <c r="C515" s="83">
        <f t="shared" si="42"/>
        <v>34.375</v>
      </c>
      <c r="D515" s="83">
        <f t="shared" si="42"/>
        <v>68.75</v>
      </c>
      <c r="E515" s="83">
        <f t="shared" si="42"/>
        <v>137.5</v>
      </c>
      <c r="F515" s="83">
        <f t="shared" si="42"/>
        <v>275</v>
      </c>
      <c r="G515" s="83">
        <f t="shared" si="42"/>
        <v>550</v>
      </c>
      <c r="H515" s="86">
        <f>H513+25</f>
        <v>1100</v>
      </c>
      <c r="I515" s="83">
        <f t="shared" si="34"/>
        <v>1375</v>
      </c>
      <c r="J515" s="83">
        <f t="shared" si="35"/>
        <v>1650</v>
      </c>
      <c r="L515" s="45">
        <f t="shared" si="39"/>
        <v>1100</v>
      </c>
      <c r="M515" s="92">
        <v>95.4</v>
      </c>
    </row>
    <row r="516" spans="1:13" ht="15" customHeight="1">
      <c r="A516" s="46"/>
      <c r="B516" s="92">
        <v>95.45</v>
      </c>
      <c r="C516" s="83">
        <f>D516/2</f>
        <v>34.765625</v>
      </c>
      <c r="D516" s="83">
        <f>E516/2</f>
        <v>69.53125</v>
      </c>
      <c r="E516" s="83">
        <f>F516/2</f>
        <v>139.0625</v>
      </c>
      <c r="F516" s="83">
        <f>G516/2</f>
        <v>278.125</v>
      </c>
      <c r="G516" s="83">
        <f>H516/2</f>
        <v>556.25</v>
      </c>
      <c r="H516" s="85">
        <f>H515+((H517-H515)/2)</f>
        <v>1112.5</v>
      </c>
      <c r="I516" s="83">
        <f>E516*10</f>
        <v>1390.625</v>
      </c>
      <c r="J516" s="83">
        <f>E516*12</f>
        <v>1668.75</v>
      </c>
      <c r="L516" s="45">
        <f t="shared" si="39"/>
        <v>1112.5</v>
      </c>
      <c r="M516" s="92">
        <v>95.45</v>
      </c>
    </row>
    <row r="517" spans="1:13" ht="15" customHeight="1">
      <c r="A517" s="46"/>
      <c r="B517" s="92">
        <v>95.5</v>
      </c>
      <c r="C517" s="83">
        <f t="shared" si="42"/>
        <v>35.15625</v>
      </c>
      <c r="D517" s="83">
        <f t="shared" si="42"/>
        <v>70.3125</v>
      </c>
      <c r="E517" s="83">
        <f t="shared" si="42"/>
        <v>140.625</v>
      </c>
      <c r="F517" s="83">
        <f t="shared" si="42"/>
        <v>281.25</v>
      </c>
      <c r="G517" s="83">
        <f t="shared" si="42"/>
        <v>562.5</v>
      </c>
      <c r="H517" s="86">
        <f>H515+25</f>
        <v>1125</v>
      </c>
      <c r="I517" s="83">
        <f t="shared" si="34"/>
        <v>1406.25</v>
      </c>
      <c r="J517" s="83">
        <f t="shared" si="35"/>
        <v>1687.5</v>
      </c>
      <c r="L517" s="45">
        <f t="shared" si="39"/>
        <v>1125</v>
      </c>
      <c r="M517" s="92">
        <v>95.5</v>
      </c>
    </row>
    <row r="518" spans="1:13" ht="15" customHeight="1">
      <c r="A518" s="46"/>
      <c r="B518" s="92">
        <v>95.55</v>
      </c>
      <c r="C518" s="83">
        <f>D518/2</f>
        <v>35.546875</v>
      </c>
      <c r="D518" s="83">
        <f>E518/2</f>
        <v>71.09375</v>
      </c>
      <c r="E518" s="83">
        <f>F518/2</f>
        <v>142.1875</v>
      </c>
      <c r="F518" s="83">
        <f>G518/2</f>
        <v>284.375</v>
      </c>
      <c r="G518" s="83">
        <f>H518/2</f>
        <v>568.75</v>
      </c>
      <c r="H518" s="85">
        <f>H517+((H519-H517)/2)</f>
        <v>1137.5</v>
      </c>
      <c r="I518" s="83">
        <f>E518*10</f>
        <v>1421.875</v>
      </c>
      <c r="J518" s="83">
        <f>E518*12</f>
        <v>1706.25</v>
      </c>
      <c r="L518" s="45">
        <f t="shared" si="39"/>
        <v>1137.5</v>
      </c>
      <c r="M518" s="92">
        <v>95.55</v>
      </c>
    </row>
    <row r="519" spans="1:13" ht="15" customHeight="1">
      <c r="A519" s="46"/>
      <c r="B519" s="92">
        <v>95.6</v>
      </c>
      <c r="C519" s="83">
        <f t="shared" si="42"/>
        <v>35.9375</v>
      </c>
      <c r="D519" s="83">
        <f t="shared" si="42"/>
        <v>71.875</v>
      </c>
      <c r="E519" s="83">
        <f t="shared" si="42"/>
        <v>143.75</v>
      </c>
      <c r="F519" s="83">
        <f t="shared" si="42"/>
        <v>287.5</v>
      </c>
      <c r="G519" s="83">
        <f t="shared" si="42"/>
        <v>575</v>
      </c>
      <c r="H519" s="86">
        <f>H517+25</f>
        <v>1150</v>
      </c>
      <c r="I519" s="83">
        <f t="shared" si="34"/>
        <v>1437.5</v>
      </c>
      <c r="J519" s="83">
        <f t="shared" si="35"/>
        <v>1725</v>
      </c>
      <c r="L519" s="45">
        <f t="shared" si="39"/>
        <v>1150</v>
      </c>
      <c r="M519" s="92">
        <v>95.6</v>
      </c>
    </row>
    <row r="520" spans="1:13" ht="15" customHeight="1">
      <c r="A520" s="46"/>
      <c r="B520" s="92">
        <v>95.65</v>
      </c>
      <c r="C520" s="83">
        <f>D520/2</f>
        <v>36.328125</v>
      </c>
      <c r="D520" s="83">
        <f>E520/2</f>
        <v>72.65625</v>
      </c>
      <c r="E520" s="83">
        <f>F520/2</f>
        <v>145.3125</v>
      </c>
      <c r="F520" s="83">
        <f>G520/2</f>
        <v>290.625</v>
      </c>
      <c r="G520" s="83">
        <f>H520/2</f>
        <v>581.25</v>
      </c>
      <c r="H520" s="85">
        <f>H519+((H521-H519)/2)</f>
        <v>1162.5</v>
      </c>
      <c r="I520" s="83">
        <f>E520*10</f>
        <v>1453.125</v>
      </c>
      <c r="J520" s="83">
        <f>E520*12</f>
        <v>1743.75</v>
      </c>
      <c r="L520" s="45">
        <f t="shared" ref="L520:L583" si="43">+H520</f>
        <v>1162.5</v>
      </c>
      <c r="M520" s="92">
        <v>95.65</v>
      </c>
    </row>
    <row r="521" spans="1:13" ht="15" customHeight="1">
      <c r="A521" s="46"/>
      <c r="B521" s="92">
        <v>95.7</v>
      </c>
      <c r="C521" s="83">
        <f t="shared" si="42"/>
        <v>36.71875</v>
      </c>
      <c r="D521" s="83">
        <f t="shared" si="42"/>
        <v>73.4375</v>
      </c>
      <c r="E521" s="83">
        <f t="shared" si="42"/>
        <v>146.875</v>
      </c>
      <c r="F521" s="83">
        <f t="shared" si="42"/>
        <v>293.75</v>
      </c>
      <c r="G521" s="83">
        <f t="shared" si="42"/>
        <v>587.5</v>
      </c>
      <c r="H521" s="86">
        <f>H519+25</f>
        <v>1175</v>
      </c>
      <c r="I521" s="83">
        <f t="shared" ref="I521:I647" si="44">E521*10</f>
        <v>1468.75</v>
      </c>
      <c r="J521" s="83">
        <f t="shared" ref="J521:J647" si="45">E521*12</f>
        <v>1762.5</v>
      </c>
      <c r="L521" s="45">
        <f t="shared" si="43"/>
        <v>1175</v>
      </c>
      <c r="M521" s="92">
        <v>95.7</v>
      </c>
    </row>
    <row r="522" spans="1:13" ht="15" customHeight="1">
      <c r="A522" s="46"/>
      <c r="B522" s="92">
        <v>95.75</v>
      </c>
      <c r="C522" s="83">
        <f>D522/2</f>
        <v>37.109375</v>
      </c>
      <c r="D522" s="83">
        <f>E522/2</f>
        <v>74.21875</v>
      </c>
      <c r="E522" s="83">
        <f>F522/2</f>
        <v>148.4375</v>
      </c>
      <c r="F522" s="83">
        <f>G522/2</f>
        <v>296.875</v>
      </c>
      <c r="G522" s="83">
        <f>H522/2</f>
        <v>593.75</v>
      </c>
      <c r="H522" s="85">
        <f>H521+((H523-H521)/2)</f>
        <v>1187.5</v>
      </c>
      <c r="I522" s="83">
        <f>E522*10</f>
        <v>1484.375</v>
      </c>
      <c r="J522" s="83">
        <f>E522*12</f>
        <v>1781.25</v>
      </c>
      <c r="L522" s="45">
        <f t="shared" si="43"/>
        <v>1187.5</v>
      </c>
      <c r="M522" s="92">
        <v>95.75</v>
      </c>
    </row>
    <row r="523" spans="1:13" ht="15" customHeight="1">
      <c r="A523" s="46"/>
      <c r="B523" s="92">
        <v>95.8</v>
      </c>
      <c r="C523" s="83">
        <f t="shared" si="42"/>
        <v>37.5</v>
      </c>
      <c r="D523" s="83">
        <f t="shared" si="42"/>
        <v>75</v>
      </c>
      <c r="E523" s="83">
        <f t="shared" si="42"/>
        <v>150</v>
      </c>
      <c r="F523" s="83">
        <f t="shared" si="42"/>
        <v>300</v>
      </c>
      <c r="G523" s="83">
        <f t="shared" si="42"/>
        <v>600</v>
      </c>
      <c r="H523" s="86">
        <f>H521+25</f>
        <v>1200</v>
      </c>
      <c r="I523" s="83">
        <f t="shared" si="44"/>
        <v>1500</v>
      </c>
      <c r="J523" s="83">
        <f t="shared" si="45"/>
        <v>1800</v>
      </c>
      <c r="L523" s="45">
        <f t="shared" si="43"/>
        <v>1200</v>
      </c>
      <c r="M523" s="92">
        <v>95.8</v>
      </c>
    </row>
    <row r="524" spans="1:13" ht="15" customHeight="1">
      <c r="A524" s="46"/>
      <c r="B524" s="92">
        <v>95.85</v>
      </c>
      <c r="C524" s="83">
        <f>D524/2</f>
        <v>37.890625</v>
      </c>
      <c r="D524" s="83">
        <f>E524/2</f>
        <v>75.78125</v>
      </c>
      <c r="E524" s="83">
        <f>F524/2</f>
        <v>151.5625</v>
      </c>
      <c r="F524" s="83">
        <f>G524/2</f>
        <v>303.125</v>
      </c>
      <c r="G524" s="83">
        <f>H524/2</f>
        <v>606.25</v>
      </c>
      <c r="H524" s="85">
        <f>H523+((H525-H523)/2)</f>
        <v>1212.5</v>
      </c>
      <c r="I524" s="83">
        <f>E524*10</f>
        <v>1515.625</v>
      </c>
      <c r="J524" s="83">
        <f>E524*12</f>
        <v>1818.75</v>
      </c>
      <c r="L524" s="45">
        <f t="shared" si="43"/>
        <v>1212.5</v>
      </c>
      <c r="M524" s="92">
        <v>95.85</v>
      </c>
    </row>
    <row r="525" spans="1:13" ht="15" customHeight="1">
      <c r="A525" s="46"/>
      <c r="B525" s="92">
        <v>95.9</v>
      </c>
      <c r="C525" s="83">
        <f t="shared" si="42"/>
        <v>38.28125</v>
      </c>
      <c r="D525" s="83">
        <f t="shared" si="42"/>
        <v>76.5625</v>
      </c>
      <c r="E525" s="83">
        <f t="shared" si="42"/>
        <v>153.125</v>
      </c>
      <c r="F525" s="83">
        <f t="shared" si="42"/>
        <v>306.25</v>
      </c>
      <c r="G525" s="83">
        <f t="shared" si="42"/>
        <v>612.5</v>
      </c>
      <c r="H525" s="86">
        <f>H523+25</f>
        <v>1225</v>
      </c>
      <c r="I525" s="83">
        <f t="shared" si="44"/>
        <v>1531.25</v>
      </c>
      <c r="J525" s="83">
        <f t="shared" si="45"/>
        <v>1837.5</v>
      </c>
      <c r="L525" s="45">
        <f t="shared" si="43"/>
        <v>1225</v>
      </c>
      <c r="M525" s="92">
        <v>95.9</v>
      </c>
    </row>
    <row r="526" spans="1:13" ht="15" customHeight="1">
      <c r="A526" s="46"/>
      <c r="B526" s="92">
        <v>95.95</v>
      </c>
      <c r="C526" s="83">
        <f>D526/2</f>
        <v>38.671875</v>
      </c>
      <c r="D526" s="83">
        <f>E526/2</f>
        <v>77.34375</v>
      </c>
      <c r="E526" s="83">
        <f>F526/2</f>
        <v>154.6875</v>
      </c>
      <c r="F526" s="83">
        <f>G526/2</f>
        <v>309.375</v>
      </c>
      <c r="G526" s="83">
        <f>H526/2</f>
        <v>618.75</v>
      </c>
      <c r="H526" s="85">
        <f>H525+((H527-H525)/2)</f>
        <v>1237.5</v>
      </c>
      <c r="I526" s="83">
        <f>E526*10</f>
        <v>1546.875</v>
      </c>
      <c r="J526" s="83">
        <f>E526*12</f>
        <v>1856.25</v>
      </c>
      <c r="L526" s="45">
        <f t="shared" si="43"/>
        <v>1237.5</v>
      </c>
      <c r="M526" s="92">
        <v>95.95</v>
      </c>
    </row>
    <row r="527" spans="1:13" ht="15" customHeight="1">
      <c r="A527" s="46"/>
      <c r="B527" s="92">
        <v>96</v>
      </c>
      <c r="C527" s="83">
        <f t="shared" ref="C527:G545" si="46">D527/2</f>
        <v>39.0625</v>
      </c>
      <c r="D527" s="83">
        <f t="shared" si="46"/>
        <v>78.125</v>
      </c>
      <c r="E527" s="83">
        <f t="shared" si="46"/>
        <v>156.25</v>
      </c>
      <c r="F527" s="83">
        <f t="shared" si="46"/>
        <v>312.5</v>
      </c>
      <c r="G527" s="83">
        <f t="shared" si="46"/>
        <v>625</v>
      </c>
      <c r="H527" s="86">
        <v>1250</v>
      </c>
      <c r="I527" s="83">
        <f t="shared" si="44"/>
        <v>1562.5</v>
      </c>
      <c r="J527" s="83">
        <f t="shared" si="45"/>
        <v>1875</v>
      </c>
      <c r="L527" s="45">
        <f t="shared" si="43"/>
        <v>1250</v>
      </c>
      <c r="M527" s="92">
        <v>96</v>
      </c>
    </row>
    <row r="528" spans="1:13" ht="15" customHeight="1">
      <c r="A528" s="46"/>
      <c r="B528" s="92">
        <v>96.05</v>
      </c>
      <c r="C528" s="83">
        <f t="shared" si="46"/>
        <v>39.609375</v>
      </c>
      <c r="D528" s="83">
        <f t="shared" si="46"/>
        <v>79.21875</v>
      </c>
      <c r="E528" s="83">
        <f t="shared" si="46"/>
        <v>158.4375</v>
      </c>
      <c r="F528" s="83">
        <f t="shared" si="46"/>
        <v>316.875</v>
      </c>
      <c r="G528" s="83">
        <f t="shared" si="46"/>
        <v>633.75</v>
      </c>
      <c r="H528" s="85">
        <f>H527+((H529-H527)/2)</f>
        <v>1267.5</v>
      </c>
      <c r="I528" s="83">
        <f>E528*10</f>
        <v>1584.375</v>
      </c>
      <c r="J528" s="83">
        <f>E528*12</f>
        <v>1901.25</v>
      </c>
      <c r="L528" s="45">
        <f t="shared" si="43"/>
        <v>1267.5</v>
      </c>
      <c r="M528" s="92">
        <v>96.05</v>
      </c>
    </row>
    <row r="529" spans="1:13" ht="15" customHeight="1">
      <c r="A529" s="46"/>
      <c r="B529" s="92">
        <v>96.1</v>
      </c>
      <c r="C529" s="83">
        <f t="shared" si="46"/>
        <v>40.15625</v>
      </c>
      <c r="D529" s="83">
        <f t="shared" si="46"/>
        <v>80.3125</v>
      </c>
      <c r="E529" s="83">
        <f t="shared" si="46"/>
        <v>160.625</v>
      </c>
      <c r="F529" s="83">
        <f t="shared" si="46"/>
        <v>321.25</v>
      </c>
      <c r="G529" s="83">
        <f t="shared" si="46"/>
        <v>642.5</v>
      </c>
      <c r="H529" s="85">
        <f>H527+((H547-H527)/10)</f>
        <v>1285</v>
      </c>
      <c r="I529" s="83">
        <f t="shared" si="44"/>
        <v>1606.25</v>
      </c>
      <c r="J529" s="83">
        <f t="shared" si="45"/>
        <v>1927.5</v>
      </c>
      <c r="L529" s="45">
        <f t="shared" si="43"/>
        <v>1285</v>
      </c>
      <c r="M529" s="92">
        <v>96.1</v>
      </c>
    </row>
    <row r="530" spans="1:13" ht="15" customHeight="1">
      <c r="A530" s="46"/>
      <c r="B530" s="92">
        <v>96.15</v>
      </c>
      <c r="C530" s="83">
        <f t="shared" si="46"/>
        <v>40.703125</v>
      </c>
      <c r="D530" s="83">
        <f t="shared" si="46"/>
        <v>81.40625</v>
      </c>
      <c r="E530" s="83">
        <f t="shared" si="46"/>
        <v>162.8125</v>
      </c>
      <c r="F530" s="83">
        <f t="shared" si="46"/>
        <v>325.625</v>
      </c>
      <c r="G530" s="83">
        <f t="shared" si="46"/>
        <v>651.25</v>
      </c>
      <c r="H530" s="85">
        <f>H529+((H531-H529)/2)</f>
        <v>1302.5</v>
      </c>
      <c r="I530" s="83">
        <f>E530*10</f>
        <v>1628.125</v>
      </c>
      <c r="J530" s="83">
        <f>E530*12</f>
        <v>1953.75</v>
      </c>
      <c r="L530" s="45">
        <f t="shared" si="43"/>
        <v>1302.5</v>
      </c>
      <c r="M530" s="92">
        <v>96.15</v>
      </c>
    </row>
    <row r="531" spans="1:13" ht="15" customHeight="1">
      <c r="A531" s="46"/>
      <c r="B531" s="92">
        <v>96.2</v>
      </c>
      <c r="C531" s="83">
        <f t="shared" si="46"/>
        <v>41.25</v>
      </c>
      <c r="D531" s="83">
        <f t="shared" si="46"/>
        <v>82.5</v>
      </c>
      <c r="E531" s="83">
        <f t="shared" si="46"/>
        <v>165</v>
      </c>
      <c r="F531" s="83">
        <f t="shared" si="46"/>
        <v>330</v>
      </c>
      <c r="G531" s="83">
        <f t="shared" si="46"/>
        <v>660</v>
      </c>
      <c r="H531" s="86">
        <f>H529+35</f>
        <v>1320</v>
      </c>
      <c r="I531" s="83">
        <f t="shared" si="44"/>
        <v>1650</v>
      </c>
      <c r="J531" s="83">
        <f t="shared" si="45"/>
        <v>1980</v>
      </c>
      <c r="L531" s="45">
        <f t="shared" si="43"/>
        <v>1320</v>
      </c>
      <c r="M531" s="92">
        <v>96.2</v>
      </c>
    </row>
    <row r="532" spans="1:13" ht="15" customHeight="1">
      <c r="A532" s="46"/>
      <c r="B532" s="92">
        <v>96.25</v>
      </c>
      <c r="C532" s="83">
        <f t="shared" si="46"/>
        <v>41.796875</v>
      </c>
      <c r="D532" s="83">
        <f t="shared" si="46"/>
        <v>83.59375</v>
      </c>
      <c r="E532" s="83">
        <f t="shared" si="46"/>
        <v>167.1875</v>
      </c>
      <c r="F532" s="83">
        <f t="shared" si="46"/>
        <v>334.375</v>
      </c>
      <c r="G532" s="83">
        <f t="shared" si="46"/>
        <v>668.75</v>
      </c>
      <c r="H532" s="85">
        <f>H531+((H533-H531)/2)</f>
        <v>1337.5</v>
      </c>
      <c r="I532" s="83">
        <f>E532*10</f>
        <v>1671.875</v>
      </c>
      <c r="J532" s="83">
        <f>E532*12</f>
        <v>2006.25</v>
      </c>
      <c r="L532" s="45">
        <f t="shared" si="43"/>
        <v>1337.5</v>
      </c>
      <c r="M532" s="92">
        <v>96.25</v>
      </c>
    </row>
    <row r="533" spans="1:13" ht="15" customHeight="1">
      <c r="A533" s="46"/>
      <c r="B533" s="92">
        <v>96.3</v>
      </c>
      <c r="C533" s="83">
        <f t="shared" si="46"/>
        <v>42.34375</v>
      </c>
      <c r="D533" s="83">
        <f t="shared" si="46"/>
        <v>84.6875</v>
      </c>
      <c r="E533" s="83">
        <f t="shared" si="46"/>
        <v>169.375</v>
      </c>
      <c r="F533" s="83">
        <f t="shared" si="46"/>
        <v>338.75</v>
      </c>
      <c r="G533" s="83">
        <f t="shared" si="46"/>
        <v>677.5</v>
      </c>
      <c r="H533" s="86">
        <f>H531+35</f>
        <v>1355</v>
      </c>
      <c r="I533" s="83">
        <f t="shared" si="44"/>
        <v>1693.75</v>
      </c>
      <c r="J533" s="83">
        <f t="shared" si="45"/>
        <v>2032.5</v>
      </c>
      <c r="L533" s="45">
        <f t="shared" si="43"/>
        <v>1355</v>
      </c>
      <c r="M533" s="92">
        <v>96.3</v>
      </c>
    </row>
    <row r="534" spans="1:13" ht="15" customHeight="1">
      <c r="A534" s="46"/>
      <c r="B534" s="92">
        <v>96.35</v>
      </c>
      <c r="C534" s="83">
        <f t="shared" si="46"/>
        <v>42.890625</v>
      </c>
      <c r="D534" s="83">
        <f t="shared" si="46"/>
        <v>85.78125</v>
      </c>
      <c r="E534" s="83">
        <f t="shared" si="46"/>
        <v>171.5625</v>
      </c>
      <c r="F534" s="83">
        <f t="shared" si="46"/>
        <v>343.125</v>
      </c>
      <c r="G534" s="83">
        <f t="shared" si="46"/>
        <v>686.25</v>
      </c>
      <c r="H534" s="85">
        <f>H533+((H535-H533)/2)</f>
        <v>1372.5</v>
      </c>
      <c r="I534" s="83">
        <f>E534*10</f>
        <v>1715.625</v>
      </c>
      <c r="J534" s="83">
        <f>E534*12</f>
        <v>2058.75</v>
      </c>
      <c r="L534" s="45">
        <f t="shared" si="43"/>
        <v>1372.5</v>
      </c>
      <c r="M534" s="92">
        <v>96.35</v>
      </c>
    </row>
    <row r="535" spans="1:13" ht="15" customHeight="1">
      <c r="A535" s="46"/>
      <c r="B535" s="92">
        <v>96.4</v>
      </c>
      <c r="C535" s="83">
        <f t="shared" si="46"/>
        <v>43.4375</v>
      </c>
      <c r="D535" s="83">
        <f t="shared" si="46"/>
        <v>86.875</v>
      </c>
      <c r="E535" s="83">
        <f t="shared" si="46"/>
        <v>173.75</v>
      </c>
      <c r="F535" s="83">
        <f t="shared" si="46"/>
        <v>347.5</v>
      </c>
      <c r="G535" s="83">
        <f t="shared" si="46"/>
        <v>695</v>
      </c>
      <c r="H535" s="86">
        <f>H533+35</f>
        <v>1390</v>
      </c>
      <c r="I535" s="83">
        <f t="shared" si="44"/>
        <v>1737.5</v>
      </c>
      <c r="J535" s="83">
        <f t="shared" si="45"/>
        <v>2085</v>
      </c>
      <c r="L535" s="45">
        <f t="shared" si="43"/>
        <v>1390</v>
      </c>
      <c r="M535" s="92">
        <v>96.4</v>
      </c>
    </row>
    <row r="536" spans="1:13" ht="15" customHeight="1">
      <c r="A536" s="46"/>
      <c r="B536" s="92">
        <v>96.45</v>
      </c>
      <c r="C536" s="83">
        <f t="shared" si="46"/>
        <v>43.984375</v>
      </c>
      <c r="D536" s="83">
        <f t="shared" si="46"/>
        <v>87.96875</v>
      </c>
      <c r="E536" s="83">
        <f t="shared" si="46"/>
        <v>175.9375</v>
      </c>
      <c r="F536" s="83">
        <f t="shared" si="46"/>
        <v>351.875</v>
      </c>
      <c r="G536" s="83">
        <f t="shared" si="46"/>
        <v>703.75</v>
      </c>
      <c r="H536" s="85">
        <f>H535+((H537-H535)/2)</f>
        <v>1407.5</v>
      </c>
      <c r="I536" s="83">
        <f>E536*10</f>
        <v>1759.375</v>
      </c>
      <c r="J536" s="83">
        <f>E536*12</f>
        <v>2111.25</v>
      </c>
      <c r="L536" s="45">
        <f t="shared" si="43"/>
        <v>1407.5</v>
      </c>
      <c r="M536" s="92">
        <v>96.45</v>
      </c>
    </row>
    <row r="537" spans="1:13" ht="15" customHeight="1">
      <c r="A537" s="46"/>
      <c r="B537" s="92">
        <v>96.5</v>
      </c>
      <c r="C537" s="83">
        <f t="shared" si="46"/>
        <v>44.53125</v>
      </c>
      <c r="D537" s="83">
        <f t="shared" si="46"/>
        <v>89.0625</v>
      </c>
      <c r="E537" s="83">
        <f t="shared" si="46"/>
        <v>178.125</v>
      </c>
      <c r="F537" s="83">
        <f t="shared" si="46"/>
        <v>356.25</v>
      </c>
      <c r="G537" s="83">
        <f t="shared" si="46"/>
        <v>712.5</v>
      </c>
      <c r="H537" s="86">
        <f>H535+35</f>
        <v>1425</v>
      </c>
      <c r="I537" s="83">
        <f t="shared" si="44"/>
        <v>1781.25</v>
      </c>
      <c r="J537" s="83">
        <f t="shared" si="45"/>
        <v>2137.5</v>
      </c>
      <c r="L537" s="45">
        <f t="shared" si="43"/>
        <v>1425</v>
      </c>
      <c r="M537" s="92">
        <v>96.5</v>
      </c>
    </row>
    <row r="538" spans="1:13" ht="15" customHeight="1">
      <c r="A538" s="46"/>
      <c r="B538" s="92">
        <v>96.55</v>
      </c>
      <c r="C538" s="83">
        <f t="shared" si="46"/>
        <v>45.078125</v>
      </c>
      <c r="D538" s="83">
        <f t="shared" si="46"/>
        <v>90.15625</v>
      </c>
      <c r="E538" s="83">
        <f t="shared" si="46"/>
        <v>180.3125</v>
      </c>
      <c r="F538" s="83">
        <f t="shared" si="46"/>
        <v>360.625</v>
      </c>
      <c r="G538" s="83">
        <f t="shared" si="46"/>
        <v>721.25</v>
      </c>
      <c r="H538" s="85">
        <f>H537+((H539-H537)/2)</f>
        <v>1442.5</v>
      </c>
      <c r="I538" s="83">
        <f>E538*10</f>
        <v>1803.125</v>
      </c>
      <c r="J538" s="83">
        <f>E538*12</f>
        <v>2163.75</v>
      </c>
      <c r="L538" s="45">
        <f t="shared" si="43"/>
        <v>1442.5</v>
      </c>
      <c r="M538" s="92">
        <v>96.55</v>
      </c>
    </row>
    <row r="539" spans="1:13" ht="15" customHeight="1">
      <c r="A539" s="46"/>
      <c r="B539" s="92">
        <v>96.6</v>
      </c>
      <c r="C539" s="83">
        <f t="shared" si="46"/>
        <v>45.625</v>
      </c>
      <c r="D539" s="83">
        <f t="shared" si="46"/>
        <v>91.25</v>
      </c>
      <c r="E539" s="83">
        <f t="shared" si="46"/>
        <v>182.5</v>
      </c>
      <c r="F539" s="83">
        <f t="shared" si="46"/>
        <v>365</v>
      </c>
      <c r="G539" s="83">
        <f t="shared" si="46"/>
        <v>730</v>
      </c>
      <c r="H539" s="86">
        <f>H537+35</f>
        <v>1460</v>
      </c>
      <c r="I539" s="83">
        <f t="shared" si="44"/>
        <v>1825</v>
      </c>
      <c r="J539" s="83">
        <f t="shared" si="45"/>
        <v>2190</v>
      </c>
      <c r="L539" s="45">
        <f t="shared" si="43"/>
        <v>1460</v>
      </c>
      <c r="M539" s="92">
        <v>96.6</v>
      </c>
    </row>
    <row r="540" spans="1:13" ht="15" customHeight="1">
      <c r="A540" s="46"/>
      <c r="B540" s="92">
        <v>96.65</v>
      </c>
      <c r="C540" s="83">
        <f t="shared" si="46"/>
        <v>46.171875</v>
      </c>
      <c r="D540" s="83">
        <f t="shared" si="46"/>
        <v>92.34375</v>
      </c>
      <c r="E540" s="83">
        <f t="shared" si="46"/>
        <v>184.6875</v>
      </c>
      <c r="F540" s="83">
        <f t="shared" si="46"/>
        <v>369.375</v>
      </c>
      <c r="G540" s="83">
        <f t="shared" si="46"/>
        <v>738.75</v>
      </c>
      <c r="H540" s="85">
        <f>H539+((H541-H539)/2)</f>
        <v>1477.5</v>
      </c>
      <c r="I540" s="83">
        <f>E540*10</f>
        <v>1846.875</v>
      </c>
      <c r="J540" s="83">
        <f>E540*12</f>
        <v>2216.25</v>
      </c>
      <c r="L540" s="45">
        <f t="shared" si="43"/>
        <v>1477.5</v>
      </c>
      <c r="M540" s="92">
        <v>96.65</v>
      </c>
    </row>
    <row r="541" spans="1:13" ht="15" customHeight="1">
      <c r="A541" s="46"/>
      <c r="B541" s="92">
        <v>96.7</v>
      </c>
      <c r="C541" s="83">
        <f t="shared" si="46"/>
        <v>46.71875</v>
      </c>
      <c r="D541" s="83">
        <f t="shared" si="46"/>
        <v>93.4375</v>
      </c>
      <c r="E541" s="83">
        <f t="shared" si="46"/>
        <v>186.875</v>
      </c>
      <c r="F541" s="83">
        <f t="shared" si="46"/>
        <v>373.75</v>
      </c>
      <c r="G541" s="83">
        <f t="shared" si="46"/>
        <v>747.5</v>
      </c>
      <c r="H541" s="86">
        <f>H539+35</f>
        <v>1495</v>
      </c>
      <c r="I541" s="83">
        <f t="shared" si="44"/>
        <v>1868.75</v>
      </c>
      <c r="J541" s="83">
        <f t="shared" si="45"/>
        <v>2242.5</v>
      </c>
      <c r="L541" s="45">
        <f t="shared" si="43"/>
        <v>1495</v>
      </c>
      <c r="M541" s="92">
        <v>96.7</v>
      </c>
    </row>
    <row r="542" spans="1:13" ht="15" customHeight="1">
      <c r="A542" s="46"/>
      <c r="B542" s="92">
        <v>96.75</v>
      </c>
      <c r="C542" s="83">
        <f t="shared" si="46"/>
        <v>47.265625</v>
      </c>
      <c r="D542" s="83">
        <f t="shared" si="46"/>
        <v>94.53125</v>
      </c>
      <c r="E542" s="83">
        <f t="shared" si="46"/>
        <v>189.0625</v>
      </c>
      <c r="F542" s="83">
        <f t="shared" si="46"/>
        <v>378.125</v>
      </c>
      <c r="G542" s="83">
        <f t="shared" si="46"/>
        <v>756.25</v>
      </c>
      <c r="H542" s="85">
        <f>H541+((H543-H541)/2)</f>
        <v>1512.5</v>
      </c>
      <c r="I542" s="83">
        <f>E542*10</f>
        <v>1890.625</v>
      </c>
      <c r="J542" s="83">
        <f>E542*12</f>
        <v>2268.75</v>
      </c>
      <c r="L542" s="45">
        <f t="shared" si="43"/>
        <v>1512.5</v>
      </c>
      <c r="M542" s="92">
        <v>96.75</v>
      </c>
    </row>
    <row r="543" spans="1:13" ht="15" customHeight="1">
      <c r="A543" s="46"/>
      <c r="B543" s="92">
        <v>96.8</v>
      </c>
      <c r="C543" s="83">
        <f t="shared" si="46"/>
        <v>47.8125</v>
      </c>
      <c r="D543" s="83">
        <f t="shared" si="46"/>
        <v>95.625</v>
      </c>
      <c r="E543" s="83">
        <f t="shared" si="46"/>
        <v>191.25</v>
      </c>
      <c r="F543" s="83">
        <f t="shared" si="46"/>
        <v>382.5</v>
      </c>
      <c r="G543" s="83">
        <f t="shared" si="46"/>
        <v>765</v>
      </c>
      <c r="H543" s="86">
        <f>H541+35</f>
        <v>1530</v>
      </c>
      <c r="I543" s="83">
        <f t="shared" si="44"/>
        <v>1912.5</v>
      </c>
      <c r="J543" s="83">
        <f t="shared" si="45"/>
        <v>2295</v>
      </c>
      <c r="L543" s="45">
        <f t="shared" si="43"/>
        <v>1530</v>
      </c>
      <c r="M543" s="92">
        <v>96.8</v>
      </c>
    </row>
    <row r="544" spans="1:13" ht="15" customHeight="1">
      <c r="A544" s="46"/>
      <c r="B544" s="92">
        <v>96.85</v>
      </c>
      <c r="C544" s="83">
        <f t="shared" si="46"/>
        <v>48.359375</v>
      </c>
      <c r="D544" s="83">
        <f t="shared" si="46"/>
        <v>96.71875</v>
      </c>
      <c r="E544" s="83">
        <f t="shared" si="46"/>
        <v>193.4375</v>
      </c>
      <c r="F544" s="83">
        <f t="shared" si="46"/>
        <v>386.875</v>
      </c>
      <c r="G544" s="83">
        <f t="shared" si="46"/>
        <v>773.75</v>
      </c>
      <c r="H544" s="85">
        <f>H543+((H545-H543)/2)</f>
        <v>1547.5</v>
      </c>
      <c r="I544" s="83">
        <f>E544*10</f>
        <v>1934.375</v>
      </c>
      <c r="J544" s="83">
        <f>E544*12</f>
        <v>2321.25</v>
      </c>
      <c r="L544" s="45">
        <f t="shared" si="43"/>
        <v>1547.5</v>
      </c>
      <c r="M544" s="92">
        <v>96.85</v>
      </c>
    </row>
    <row r="545" spans="1:13" ht="15" customHeight="1">
      <c r="A545" s="46"/>
      <c r="B545" s="92">
        <v>96.9</v>
      </c>
      <c r="C545" s="83">
        <f t="shared" si="46"/>
        <v>48.90625</v>
      </c>
      <c r="D545" s="83">
        <f t="shared" si="46"/>
        <v>97.8125</v>
      </c>
      <c r="E545" s="83">
        <f t="shared" si="46"/>
        <v>195.625</v>
      </c>
      <c r="F545" s="83">
        <f t="shared" si="46"/>
        <v>391.25</v>
      </c>
      <c r="G545" s="83">
        <f t="shared" si="46"/>
        <v>782.5</v>
      </c>
      <c r="H545" s="86">
        <f>H543+35</f>
        <v>1565</v>
      </c>
      <c r="I545" s="83">
        <f t="shared" si="44"/>
        <v>1956.25</v>
      </c>
      <c r="J545" s="83">
        <f t="shared" si="45"/>
        <v>2347.5</v>
      </c>
      <c r="L545" s="45">
        <f t="shared" si="43"/>
        <v>1565</v>
      </c>
      <c r="M545" s="92">
        <v>96.9</v>
      </c>
    </row>
    <row r="546" spans="1:13" ht="15" customHeight="1">
      <c r="A546" s="46"/>
      <c r="B546" s="92">
        <v>96.95</v>
      </c>
      <c r="C546" s="83">
        <f>D546/2</f>
        <v>49.453125</v>
      </c>
      <c r="D546" s="83">
        <f>E546/2</f>
        <v>98.90625</v>
      </c>
      <c r="E546" s="83">
        <f>F546/2</f>
        <v>197.8125</v>
      </c>
      <c r="F546" s="83">
        <f>G546/2</f>
        <v>395.625</v>
      </c>
      <c r="G546" s="83">
        <f>H546/2</f>
        <v>791.25</v>
      </c>
      <c r="H546" s="85">
        <f>H545+((H547-H545)/2)</f>
        <v>1582.5</v>
      </c>
      <c r="I546" s="83">
        <f>E546*10</f>
        <v>1978.125</v>
      </c>
      <c r="J546" s="83">
        <f>E546*12</f>
        <v>2373.75</v>
      </c>
      <c r="L546" s="45">
        <f t="shared" si="43"/>
        <v>1582.5</v>
      </c>
      <c r="M546" s="92">
        <v>96.95</v>
      </c>
    </row>
    <row r="547" spans="1:13" ht="15" customHeight="1">
      <c r="A547" s="46"/>
      <c r="B547" s="92">
        <v>97</v>
      </c>
      <c r="C547" s="83">
        <f t="shared" ref="C547:G565" si="47">D547/2</f>
        <v>50</v>
      </c>
      <c r="D547" s="83">
        <f t="shared" si="47"/>
        <v>100</v>
      </c>
      <c r="E547" s="83">
        <f t="shared" si="47"/>
        <v>200</v>
      </c>
      <c r="F547" s="83">
        <f t="shared" si="47"/>
        <v>400</v>
      </c>
      <c r="G547" s="83">
        <f t="shared" si="47"/>
        <v>800</v>
      </c>
      <c r="H547" s="86">
        <f>H487*2</f>
        <v>1600</v>
      </c>
      <c r="I547" s="83">
        <f t="shared" si="44"/>
        <v>2000</v>
      </c>
      <c r="J547" s="83">
        <f t="shared" si="45"/>
        <v>2400</v>
      </c>
      <c r="L547" s="45">
        <f t="shared" si="43"/>
        <v>1600</v>
      </c>
      <c r="M547" s="92">
        <v>97</v>
      </c>
    </row>
    <row r="548" spans="1:13" ht="15" customHeight="1">
      <c r="A548" s="46"/>
      <c r="B548" s="92">
        <v>97.05</v>
      </c>
      <c r="C548" s="83">
        <f t="shared" si="47"/>
        <v>50.625</v>
      </c>
      <c r="D548" s="83">
        <f t="shared" si="47"/>
        <v>101.25</v>
      </c>
      <c r="E548" s="83">
        <f t="shared" si="47"/>
        <v>202.5</v>
      </c>
      <c r="F548" s="83">
        <f t="shared" si="47"/>
        <v>405</v>
      </c>
      <c r="G548" s="83">
        <f t="shared" si="47"/>
        <v>810</v>
      </c>
      <c r="H548" s="85">
        <f>H547+((H549-H547)/2)</f>
        <v>1620</v>
      </c>
      <c r="I548" s="83">
        <f>E548*10</f>
        <v>2025</v>
      </c>
      <c r="J548" s="83">
        <f>E548*12</f>
        <v>2430</v>
      </c>
      <c r="L548" s="45">
        <f t="shared" si="43"/>
        <v>1620</v>
      </c>
      <c r="M548" s="92">
        <v>97.05</v>
      </c>
    </row>
    <row r="549" spans="1:13" ht="15" customHeight="1">
      <c r="A549" s="46"/>
      <c r="B549" s="92">
        <v>97.1</v>
      </c>
      <c r="C549" s="83">
        <f t="shared" si="47"/>
        <v>51.25</v>
      </c>
      <c r="D549" s="83">
        <f t="shared" si="47"/>
        <v>102.5</v>
      </c>
      <c r="E549" s="83">
        <f t="shared" si="47"/>
        <v>205</v>
      </c>
      <c r="F549" s="83">
        <f t="shared" si="47"/>
        <v>410</v>
      </c>
      <c r="G549" s="83">
        <f t="shared" si="47"/>
        <v>820</v>
      </c>
      <c r="H549" s="85">
        <f>H547+((H567-H547)/10)</f>
        <v>1640</v>
      </c>
      <c r="I549" s="83">
        <f t="shared" si="44"/>
        <v>2050</v>
      </c>
      <c r="J549" s="83">
        <f t="shared" si="45"/>
        <v>2460</v>
      </c>
      <c r="L549" s="45">
        <f t="shared" si="43"/>
        <v>1640</v>
      </c>
      <c r="M549" s="92">
        <v>97.1</v>
      </c>
    </row>
    <row r="550" spans="1:13" ht="15" customHeight="1">
      <c r="A550" s="46"/>
      <c r="B550" s="92">
        <v>97.15</v>
      </c>
      <c r="C550" s="83">
        <f t="shared" si="47"/>
        <v>51.875</v>
      </c>
      <c r="D550" s="83">
        <f t="shared" si="47"/>
        <v>103.75</v>
      </c>
      <c r="E550" s="83">
        <f t="shared" si="47"/>
        <v>207.5</v>
      </c>
      <c r="F550" s="83">
        <f t="shared" si="47"/>
        <v>415</v>
      </c>
      <c r="G550" s="83">
        <f t="shared" si="47"/>
        <v>830</v>
      </c>
      <c r="H550" s="85">
        <f>H549+((H551-H549)/2)</f>
        <v>1660</v>
      </c>
      <c r="I550" s="83">
        <f>E550*10</f>
        <v>2075</v>
      </c>
      <c r="J550" s="83">
        <f>E550*12</f>
        <v>2490</v>
      </c>
      <c r="L550" s="45">
        <f t="shared" si="43"/>
        <v>1660</v>
      </c>
      <c r="M550" s="92">
        <v>97.15</v>
      </c>
    </row>
    <row r="551" spans="1:13" ht="15" customHeight="1">
      <c r="A551" s="46"/>
      <c r="B551" s="92">
        <v>97.2</v>
      </c>
      <c r="C551" s="83">
        <f t="shared" si="47"/>
        <v>52.5</v>
      </c>
      <c r="D551" s="83">
        <f t="shared" si="47"/>
        <v>105</v>
      </c>
      <c r="E551" s="83">
        <f t="shared" si="47"/>
        <v>210</v>
      </c>
      <c r="F551" s="83">
        <f t="shared" si="47"/>
        <v>420</v>
      </c>
      <c r="G551" s="83">
        <f t="shared" si="47"/>
        <v>840</v>
      </c>
      <c r="H551" s="86">
        <f>H549+40</f>
        <v>1680</v>
      </c>
      <c r="I551" s="83">
        <f t="shared" si="44"/>
        <v>2100</v>
      </c>
      <c r="J551" s="83">
        <f t="shared" si="45"/>
        <v>2520</v>
      </c>
      <c r="L551" s="45">
        <f t="shared" si="43"/>
        <v>1680</v>
      </c>
      <c r="M551" s="92">
        <v>97.2</v>
      </c>
    </row>
    <row r="552" spans="1:13" ht="15" customHeight="1">
      <c r="A552" s="46"/>
      <c r="B552" s="92">
        <v>97.25</v>
      </c>
      <c r="C552" s="83">
        <f t="shared" si="47"/>
        <v>53.125</v>
      </c>
      <c r="D552" s="83">
        <f t="shared" si="47"/>
        <v>106.25</v>
      </c>
      <c r="E552" s="83">
        <f t="shared" si="47"/>
        <v>212.5</v>
      </c>
      <c r="F552" s="83">
        <f t="shared" si="47"/>
        <v>425</v>
      </c>
      <c r="G552" s="83">
        <f t="shared" si="47"/>
        <v>850</v>
      </c>
      <c r="H552" s="85">
        <f>H551+((H553-H551)/2)</f>
        <v>1700</v>
      </c>
      <c r="I552" s="83">
        <f>E552*10</f>
        <v>2125</v>
      </c>
      <c r="J552" s="83">
        <f>E552*12</f>
        <v>2550</v>
      </c>
      <c r="L552" s="45">
        <f t="shared" si="43"/>
        <v>1700</v>
      </c>
      <c r="M552" s="92">
        <v>97.25</v>
      </c>
    </row>
    <row r="553" spans="1:13" ht="15" customHeight="1">
      <c r="A553" s="46"/>
      <c r="B553" s="92">
        <v>97.3</v>
      </c>
      <c r="C553" s="83">
        <f t="shared" si="47"/>
        <v>53.75</v>
      </c>
      <c r="D553" s="83">
        <f t="shared" si="47"/>
        <v>107.5</v>
      </c>
      <c r="E553" s="83">
        <f t="shared" si="47"/>
        <v>215</v>
      </c>
      <c r="F553" s="83">
        <f t="shared" si="47"/>
        <v>430</v>
      </c>
      <c r="G553" s="83">
        <f t="shared" si="47"/>
        <v>860</v>
      </c>
      <c r="H553" s="86">
        <f>H551+40</f>
        <v>1720</v>
      </c>
      <c r="I553" s="83">
        <f t="shared" si="44"/>
        <v>2150</v>
      </c>
      <c r="J553" s="83">
        <f t="shared" si="45"/>
        <v>2580</v>
      </c>
      <c r="L553" s="45">
        <f t="shared" si="43"/>
        <v>1720</v>
      </c>
      <c r="M553" s="92">
        <v>97.3</v>
      </c>
    </row>
    <row r="554" spans="1:13" ht="15" customHeight="1">
      <c r="A554" s="46"/>
      <c r="B554" s="92">
        <v>97.35</v>
      </c>
      <c r="C554" s="83">
        <f t="shared" si="47"/>
        <v>54.375</v>
      </c>
      <c r="D554" s="83">
        <f t="shared" si="47"/>
        <v>108.75</v>
      </c>
      <c r="E554" s="83">
        <f t="shared" si="47"/>
        <v>217.5</v>
      </c>
      <c r="F554" s="83">
        <f t="shared" si="47"/>
        <v>435</v>
      </c>
      <c r="G554" s="83">
        <f t="shared" si="47"/>
        <v>870</v>
      </c>
      <c r="H554" s="85">
        <f>H553+((H555-H553)/2)</f>
        <v>1740</v>
      </c>
      <c r="I554" s="83">
        <f>E554*10</f>
        <v>2175</v>
      </c>
      <c r="J554" s="83">
        <f>E554*12</f>
        <v>2610</v>
      </c>
      <c r="L554" s="45">
        <f t="shared" si="43"/>
        <v>1740</v>
      </c>
      <c r="M554" s="92">
        <v>97.35</v>
      </c>
    </row>
    <row r="555" spans="1:13" ht="15" customHeight="1">
      <c r="A555" s="46"/>
      <c r="B555" s="92">
        <v>97.4</v>
      </c>
      <c r="C555" s="83">
        <f t="shared" si="47"/>
        <v>55</v>
      </c>
      <c r="D555" s="83">
        <f t="shared" si="47"/>
        <v>110</v>
      </c>
      <c r="E555" s="83">
        <f t="shared" si="47"/>
        <v>220</v>
      </c>
      <c r="F555" s="83">
        <f t="shared" si="47"/>
        <v>440</v>
      </c>
      <c r="G555" s="83">
        <f t="shared" si="47"/>
        <v>880</v>
      </c>
      <c r="H555" s="86">
        <f>H553+40</f>
        <v>1760</v>
      </c>
      <c r="I555" s="83">
        <f t="shared" si="44"/>
        <v>2200</v>
      </c>
      <c r="J555" s="83">
        <f t="shared" si="45"/>
        <v>2640</v>
      </c>
      <c r="L555" s="45">
        <f t="shared" si="43"/>
        <v>1760</v>
      </c>
      <c r="M555" s="92">
        <v>97.4</v>
      </c>
    </row>
    <row r="556" spans="1:13" ht="15" customHeight="1">
      <c r="A556" s="46"/>
      <c r="B556" s="92">
        <v>97.45</v>
      </c>
      <c r="C556" s="83">
        <f t="shared" si="47"/>
        <v>55.625</v>
      </c>
      <c r="D556" s="83">
        <f t="shared" si="47"/>
        <v>111.25</v>
      </c>
      <c r="E556" s="83">
        <f t="shared" si="47"/>
        <v>222.5</v>
      </c>
      <c r="F556" s="83">
        <f t="shared" si="47"/>
        <v>445</v>
      </c>
      <c r="G556" s="83">
        <f t="shared" si="47"/>
        <v>890</v>
      </c>
      <c r="H556" s="85">
        <f>H555+((H557-H555)/2)</f>
        <v>1780</v>
      </c>
      <c r="I556" s="83">
        <f>E556*10</f>
        <v>2225</v>
      </c>
      <c r="J556" s="83">
        <f>E556*12</f>
        <v>2670</v>
      </c>
      <c r="L556" s="45">
        <f t="shared" si="43"/>
        <v>1780</v>
      </c>
      <c r="M556" s="92">
        <v>97.45</v>
      </c>
    </row>
    <row r="557" spans="1:13" ht="15" customHeight="1">
      <c r="A557" s="46"/>
      <c r="B557" s="92">
        <v>97.5</v>
      </c>
      <c r="C557" s="83">
        <f t="shared" si="47"/>
        <v>56.25</v>
      </c>
      <c r="D557" s="83">
        <f t="shared" si="47"/>
        <v>112.5</v>
      </c>
      <c r="E557" s="83">
        <f t="shared" si="47"/>
        <v>225</v>
      </c>
      <c r="F557" s="83">
        <f t="shared" si="47"/>
        <v>450</v>
      </c>
      <c r="G557" s="83">
        <f t="shared" si="47"/>
        <v>900</v>
      </c>
      <c r="H557" s="86">
        <f>H555+40</f>
        <v>1800</v>
      </c>
      <c r="I557" s="83">
        <f t="shared" si="44"/>
        <v>2250</v>
      </c>
      <c r="J557" s="83">
        <f t="shared" si="45"/>
        <v>2700</v>
      </c>
      <c r="L557" s="45">
        <f t="shared" si="43"/>
        <v>1800</v>
      </c>
      <c r="M557" s="92">
        <v>97.5</v>
      </c>
    </row>
    <row r="558" spans="1:13" ht="15" customHeight="1">
      <c r="A558" s="46"/>
      <c r="B558" s="92">
        <v>97.55</v>
      </c>
      <c r="C558" s="83">
        <f t="shared" si="47"/>
        <v>56.875</v>
      </c>
      <c r="D558" s="83">
        <f t="shared" si="47"/>
        <v>113.75</v>
      </c>
      <c r="E558" s="83">
        <f t="shared" si="47"/>
        <v>227.5</v>
      </c>
      <c r="F558" s="83">
        <f t="shared" si="47"/>
        <v>455</v>
      </c>
      <c r="G558" s="83">
        <f t="shared" si="47"/>
        <v>910</v>
      </c>
      <c r="H558" s="85">
        <f>H557+((H559-H557)/2)</f>
        <v>1820</v>
      </c>
      <c r="I558" s="83">
        <f>E558*10</f>
        <v>2275</v>
      </c>
      <c r="J558" s="83">
        <f>E558*12</f>
        <v>2730</v>
      </c>
      <c r="L558" s="45">
        <f t="shared" si="43"/>
        <v>1820</v>
      </c>
      <c r="M558" s="92">
        <v>97.55</v>
      </c>
    </row>
    <row r="559" spans="1:13" ht="15" customHeight="1">
      <c r="A559" s="46"/>
      <c r="B559" s="92">
        <v>97.6</v>
      </c>
      <c r="C559" s="83">
        <f t="shared" si="47"/>
        <v>57.5</v>
      </c>
      <c r="D559" s="83">
        <f t="shared" si="47"/>
        <v>115</v>
      </c>
      <c r="E559" s="83">
        <f t="shared" si="47"/>
        <v>230</v>
      </c>
      <c r="F559" s="83">
        <f t="shared" si="47"/>
        <v>460</v>
      </c>
      <c r="G559" s="83">
        <f t="shared" si="47"/>
        <v>920</v>
      </c>
      <c r="H559" s="86">
        <f>H557+40</f>
        <v>1840</v>
      </c>
      <c r="I559" s="83">
        <f t="shared" si="44"/>
        <v>2300</v>
      </c>
      <c r="J559" s="83">
        <f t="shared" si="45"/>
        <v>2760</v>
      </c>
      <c r="L559" s="45">
        <f t="shared" si="43"/>
        <v>1840</v>
      </c>
      <c r="M559" s="92">
        <v>97.6</v>
      </c>
    </row>
    <row r="560" spans="1:13" ht="15" customHeight="1">
      <c r="A560" s="46"/>
      <c r="B560" s="92">
        <v>97.65</v>
      </c>
      <c r="C560" s="83">
        <f t="shared" si="47"/>
        <v>58.125</v>
      </c>
      <c r="D560" s="83">
        <f t="shared" si="47"/>
        <v>116.25</v>
      </c>
      <c r="E560" s="83">
        <f t="shared" si="47"/>
        <v>232.5</v>
      </c>
      <c r="F560" s="83">
        <f t="shared" si="47"/>
        <v>465</v>
      </c>
      <c r="G560" s="83">
        <f t="shared" si="47"/>
        <v>930</v>
      </c>
      <c r="H560" s="85">
        <f>H559+((H561-H559)/2)</f>
        <v>1860</v>
      </c>
      <c r="I560" s="83">
        <f>E560*10</f>
        <v>2325</v>
      </c>
      <c r="J560" s="83">
        <f>E560*12</f>
        <v>2790</v>
      </c>
      <c r="L560" s="45">
        <f t="shared" si="43"/>
        <v>1860</v>
      </c>
      <c r="M560" s="92">
        <v>97.65</v>
      </c>
    </row>
    <row r="561" spans="1:13" ht="15" customHeight="1">
      <c r="A561" s="46"/>
      <c r="B561" s="92">
        <v>97.7</v>
      </c>
      <c r="C561" s="83">
        <f t="shared" si="47"/>
        <v>58.75</v>
      </c>
      <c r="D561" s="83">
        <f t="shared" si="47"/>
        <v>117.5</v>
      </c>
      <c r="E561" s="83">
        <f t="shared" si="47"/>
        <v>235</v>
      </c>
      <c r="F561" s="83">
        <f t="shared" si="47"/>
        <v>470</v>
      </c>
      <c r="G561" s="83">
        <f t="shared" si="47"/>
        <v>940</v>
      </c>
      <c r="H561" s="86">
        <f>H559+40</f>
        <v>1880</v>
      </c>
      <c r="I561" s="83">
        <f t="shared" si="44"/>
        <v>2350</v>
      </c>
      <c r="J561" s="83">
        <f t="shared" si="45"/>
        <v>2820</v>
      </c>
      <c r="L561" s="45">
        <f t="shared" si="43"/>
        <v>1880</v>
      </c>
      <c r="M561" s="92">
        <v>97.7</v>
      </c>
    </row>
    <row r="562" spans="1:13" ht="15" customHeight="1">
      <c r="A562" s="46"/>
      <c r="B562" s="92">
        <v>97.75</v>
      </c>
      <c r="C562" s="83">
        <f t="shared" si="47"/>
        <v>59.375</v>
      </c>
      <c r="D562" s="83">
        <f t="shared" si="47"/>
        <v>118.75</v>
      </c>
      <c r="E562" s="83">
        <f t="shared" si="47"/>
        <v>237.5</v>
      </c>
      <c r="F562" s="83">
        <f t="shared" si="47"/>
        <v>475</v>
      </c>
      <c r="G562" s="83">
        <f t="shared" si="47"/>
        <v>950</v>
      </c>
      <c r="H562" s="85">
        <f>H561+((H563-H561)/2)</f>
        <v>1900</v>
      </c>
      <c r="I562" s="83">
        <f>E562*10</f>
        <v>2375</v>
      </c>
      <c r="J562" s="83">
        <f>E562*12</f>
        <v>2850</v>
      </c>
      <c r="L562" s="45">
        <f t="shared" si="43"/>
        <v>1900</v>
      </c>
      <c r="M562" s="92">
        <v>97.75</v>
      </c>
    </row>
    <row r="563" spans="1:13" ht="15" customHeight="1">
      <c r="A563" s="46"/>
      <c r="B563" s="92">
        <v>97.8</v>
      </c>
      <c r="C563" s="83">
        <f t="shared" si="47"/>
        <v>60</v>
      </c>
      <c r="D563" s="83">
        <f t="shared" si="47"/>
        <v>120</v>
      </c>
      <c r="E563" s="83">
        <f t="shared" si="47"/>
        <v>240</v>
      </c>
      <c r="F563" s="83">
        <f t="shared" si="47"/>
        <v>480</v>
      </c>
      <c r="G563" s="83">
        <f t="shared" si="47"/>
        <v>960</v>
      </c>
      <c r="H563" s="86">
        <f>H561+40</f>
        <v>1920</v>
      </c>
      <c r="I563" s="83">
        <f t="shared" si="44"/>
        <v>2400</v>
      </c>
      <c r="J563" s="83">
        <f t="shared" si="45"/>
        <v>2880</v>
      </c>
      <c r="L563" s="45">
        <f t="shared" si="43"/>
        <v>1920</v>
      </c>
      <c r="M563" s="92">
        <v>97.8</v>
      </c>
    </row>
    <row r="564" spans="1:13" ht="15" customHeight="1">
      <c r="A564" s="46"/>
      <c r="B564" s="92">
        <v>97.85</v>
      </c>
      <c r="C564" s="83">
        <f t="shared" si="47"/>
        <v>60.625</v>
      </c>
      <c r="D564" s="83">
        <f t="shared" si="47"/>
        <v>121.25</v>
      </c>
      <c r="E564" s="83">
        <f t="shared" si="47"/>
        <v>242.5</v>
      </c>
      <c r="F564" s="83">
        <f t="shared" si="47"/>
        <v>485</v>
      </c>
      <c r="G564" s="83">
        <f t="shared" si="47"/>
        <v>970</v>
      </c>
      <c r="H564" s="85">
        <f>H563+((H565-H563)/2)</f>
        <v>1940</v>
      </c>
      <c r="I564" s="83">
        <f>E564*10</f>
        <v>2425</v>
      </c>
      <c r="J564" s="83">
        <f>E564*12</f>
        <v>2910</v>
      </c>
      <c r="L564" s="45">
        <f t="shared" si="43"/>
        <v>1940</v>
      </c>
      <c r="M564" s="92">
        <v>97.85</v>
      </c>
    </row>
    <row r="565" spans="1:13" ht="15" customHeight="1">
      <c r="A565" s="46"/>
      <c r="B565" s="92">
        <v>97.9</v>
      </c>
      <c r="C565" s="83">
        <f t="shared" si="47"/>
        <v>61.25</v>
      </c>
      <c r="D565" s="83">
        <f t="shared" si="47"/>
        <v>122.5</v>
      </c>
      <c r="E565" s="83">
        <f t="shared" si="47"/>
        <v>245</v>
      </c>
      <c r="F565" s="83">
        <f t="shared" si="47"/>
        <v>490</v>
      </c>
      <c r="G565" s="83">
        <f t="shared" si="47"/>
        <v>980</v>
      </c>
      <c r="H565" s="86">
        <f>H563+40</f>
        <v>1960</v>
      </c>
      <c r="I565" s="83">
        <f t="shared" si="44"/>
        <v>2450</v>
      </c>
      <c r="J565" s="83">
        <f t="shared" si="45"/>
        <v>2940</v>
      </c>
      <c r="L565" s="45">
        <f t="shared" si="43"/>
        <v>1960</v>
      </c>
      <c r="M565" s="92">
        <v>97.9</v>
      </c>
    </row>
    <row r="566" spans="1:13" ht="15" customHeight="1">
      <c r="A566" s="46"/>
      <c r="B566" s="92">
        <v>97.95</v>
      </c>
      <c r="C566" s="83">
        <f>D566/2</f>
        <v>61.875</v>
      </c>
      <c r="D566" s="83">
        <f>E566/2</f>
        <v>123.75</v>
      </c>
      <c r="E566" s="83">
        <f>F566/2</f>
        <v>247.5</v>
      </c>
      <c r="F566" s="83">
        <f>G566/2</f>
        <v>495</v>
      </c>
      <c r="G566" s="83">
        <f>H566/2</f>
        <v>990</v>
      </c>
      <c r="H566" s="85">
        <f>H565+((H567-H565)/2)</f>
        <v>1980</v>
      </c>
      <c r="I566" s="83">
        <f>E566*10</f>
        <v>2475</v>
      </c>
      <c r="J566" s="83">
        <f>E566*12</f>
        <v>2970</v>
      </c>
      <c r="L566" s="45">
        <f t="shared" si="43"/>
        <v>1980</v>
      </c>
      <c r="M566" s="92">
        <v>97.95</v>
      </c>
    </row>
    <row r="567" spans="1:13" ht="15" customHeight="1">
      <c r="A567" s="46"/>
      <c r="B567" s="92">
        <v>98</v>
      </c>
      <c r="C567" s="83">
        <f t="shared" ref="C567:G585" si="48">D567/2</f>
        <v>62.5</v>
      </c>
      <c r="D567" s="83">
        <f t="shared" si="48"/>
        <v>125</v>
      </c>
      <c r="E567" s="83">
        <f t="shared" si="48"/>
        <v>250</v>
      </c>
      <c r="F567" s="83">
        <f t="shared" si="48"/>
        <v>500</v>
      </c>
      <c r="G567" s="83">
        <f t="shared" si="48"/>
        <v>1000</v>
      </c>
      <c r="H567" s="86">
        <f>H507*2</f>
        <v>2000</v>
      </c>
      <c r="I567" s="83">
        <f t="shared" si="44"/>
        <v>2500</v>
      </c>
      <c r="J567" s="83">
        <f t="shared" si="45"/>
        <v>3000</v>
      </c>
      <c r="L567" s="45">
        <f t="shared" si="43"/>
        <v>2000</v>
      </c>
      <c r="M567" s="92">
        <v>98</v>
      </c>
    </row>
    <row r="568" spans="1:13" ht="15" customHeight="1">
      <c r="A568" s="46"/>
      <c r="B568" s="92">
        <v>98.05</v>
      </c>
      <c r="C568" s="83">
        <f t="shared" si="48"/>
        <v>63.28125</v>
      </c>
      <c r="D568" s="83">
        <f t="shared" si="48"/>
        <v>126.5625</v>
      </c>
      <c r="E568" s="83">
        <f t="shared" si="48"/>
        <v>253.125</v>
      </c>
      <c r="F568" s="83">
        <f t="shared" si="48"/>
        <v>506.25</v>
      </c>
      <c r="G568" s="83">
        <f t="shared" si="48"/>
        <v>1012.5</v>
      </c>
      <c r="H568" s="85">
        <f>H567+((H569-H567)/2)</f>
        <v>2025</v>
      </c>
      <c r="I568" s="83">
        <f>E568*10</f>
        <v>2531.25</v>
      </c>
      <c r="J568" s="83">
        <f>E568*12</f>
        <v>3037.5</v>
      </c>
      <c r="L568" s="45">
        <f t="shared" si="43"/>
        <v>2025</v>
      </c>
      <c r="M568" s="92">
        <v>98.05</v>
      </c>
    </row>
    <row r="569" spans="1:13" ht="15" customHeight="1">
      <c r="A569" s="46"/>
      <c r="B569" s="92">
        <v>98.1</v>
      </c>
      <c r="C569" s="83">
        <f t="shared" si="48"/>
        <v>64.0625</v>
      </c>
      <c r="D569" s="83">
        <f t="shared" si="48"/>
        <v>128.125</v>
      </c>
      <c r="E569" s="83">
        <f t="shared" si="48"/>
        <v>256.25</v>
      </c>
      <c r="F569" s="83">
        <f t="shared" si="48"/>
        <v>512.5</v>
      </c>
      <c r="G569" s="83">
        <f t="shared" si="48"/>
        <v>1025</v>
      </c>
      <c r="H569" s="85">
        <f>H567+((H587-H567)/10)</f>
        <v>2050</v>
      </c>
      <c r="I569" s="83">
        <f t="shared" si="44"/>
        <v>2562.5</v>
      </c>
      <c r="J569" s="83">
        <f t="shared" si="45"/>
        <v>3075</v>
      </c>
      <c r="L569" s="45">
        <f t="shared" si="43"/>
        <v>2050</v>
      </c>
      <c r="M569" s="92">
        <v>98.1</v>
      </c>
    </row>
    <row r="570" spans="1:13" ht="15" customHeight="1">
      <c r="A570" s="46"/>
      <c r="B570" s="92">
        <v>98.15</v>
      </c>
      <c r="C570" s="83">
        <f t="shared" si="48"/>
        <v>64.84375</v>
      </c>
      <c r="D570" s="83">
        <f t="shared" si="48"/>
        <v>129.6875</v>
      </c>
      <c r="E570" s="83">
        <f t="shared" si="48"/>
        <v>259.375</v>
      </c>
      <c r="F570" s="83">
        <f t="shared" si="48"/>
        <v>518.75</v>
      </c>
      <c r="G570" s="83">
        <f t="shared" si="48"/>
        <v>1037.5</v>
      </c>
      <c r="H570" s="85">
        <f>H569+((H571-H569)/2)</f>
        <v>2075</v>
      </c>
      <c r="I570" s="83">
        <f>E570*10</f>
        <v>2593.75</v>
      </c>
      <c r="J570" s="83">
        <f>E570*12</f>
        <v>3112.5</v>
      </c>
      <c r="L570" s="45">
        <f t="shared" si="43"/>
        <v>2075</v>
      </c>
      <c r="M570" s="92">
        <v>98.15</v>
      </c>
    </row>
    <row r="571" spans="1:13" ht="15" customHeight="1">
      <c r="A571" s="46"/>
      <c r="B571" s="92">
        <v>98.2</v>
      </c>
      <c r="C571" s="83">
        <f t="shared" si="48"/>
        <v>65.625</v>
      </c>
      <c r="D571" s="83">
        <f t="shared" si="48"/>
        <v>131.25</v>
      </c>
      <c r="E571" s="83">
        <f t="shared" si="48"/>
        <v>262.5</v>
      </c>
      <c r="F571" s="83">
        <f t="shared" si="48"/>
        <v>525</v>
      </c>
      <c r="G571" s="83">
        <f t="shared" si="48"/>
        <v>1050</v>
      </c>
      <c r="H571" s="86">
        <f>H569+50</f>
        <v>2100</v>
      </c>
      <c r="I571" s="83">
        <f t="shared" si="44"/>
        <v>2625</v>
      </c>
      <c r="J571" s="83">
        <f t="shared" si="45"/>
        <v>3150</v>
      </c>
      <c r="L571" s="45">
        <f t="shared" si="43"/>
        <v>2100</v>
      </c>
      <c r="M571" s="92">
        <v>98.2</v>
      </c>
    </row>
    <row r="572" spans="1:13" ht="15" customHeight="1">
      <c r="A572" s="46"/>
      <c r="B572" s="92">
        <v>98.25</v>
      </c>
      <c r="C572" s="83">
        <f t="shared" si="48"/>
        <v>66.40625</v>
      </c>
      <c r="D572" s="83">
        <f t="shared" si="48"/>
        <v>132.8125</v>
      </c>
      <c r="E572" s="83">
        <f t="shared" si="48"/>
        <v>265.625</v>
      </c>
      <c r="F572" s="83">
        <f t="shared" si="48"/>
        <v>531.25</v>
      </c>
      <c r="G572" s="83">
        <f t="shared" si="48"/>
        <v>1062.5</v>
      </c>
      <c r="H572" s="85">
        <f>H571+((H573-H571)/2)</f>
        <v>2125</v>
      </c>
      <c r="I572" s="83">
        <f>E572*10</f>
        <v>2656.25</v>
      </c>
      <c r="J572" s="83">
        <f>E572*12</f>
        <v>3187.5</v>
      </c>
      <c r="L572" s="45">
        <f t="shared" si="43"/>
        <v>2125</v>
      </c>
      <c r="M572" s="92">
        <v>98.25</v>
      </c>
    </row>
    <row r="573" spans="1:13" ht="15" customHeight="1">
      <c r="A573" s="46"/>
      <c r="B573" s="92">
        <v>98.3</v>
      </c>
      <c r="C573" s="83">
        <f t="shared" si="48"/>
        <v>67.1875</v>
      </c>
      <c r="D573" s="83">
        <f t="shared" si="48"/>
        <v>134.375</v>
      </c>
      <c r="E573" s="83">
        <f t="shared" si="48"/>
        <v>268.75</v>
      </c>
      <c r="F573" s="83">
        <f t="shared" si="48"/>
        <v>537.5</v>
      </c>
      <c r="G573" s="83">
        <f t="shared" si="48"/>
        <v>1075</v>
      </c>
      <c r="H573" s="86">
        <f>H571+50</f>
        <v>2150</v>
      </c>
      <c r="I573" s="83">
        <f t="shared" si="44"/>
        <v>2687.5</v>
      </c>
      <c r="J573" s="83">
        <f t="shared" si="45"/>
        <v>3225</v>
      </c>
      <c r="L573" s="45">
        <f t="shared" si="43"/>
        <v>2150</v>
      </c>
      <c r="M573" s="92">
        <v>98.3</v>
      </c>
    </row>
    <row r="574" spans="1:13" ht="15" customHeight="1">
      <c r="A574" s="46"/>
      <c r="B574" s="92">
        <v>98.35</v>
      </c>
      <c r="C574" s="83">
        <f t="shared" si="48"/>
        <v>67.96875</v>
      </c>
      <c r="D574" s="83">
        <f t="shared" si="48"/>
        <v>135.9375</v>
      </c>
      <c r="E574" s="83">
        <f t="shared" si="48"/>
        <v>271.875</v>
      </c>
      <c r="F574" s="83">
        <f t="shared" si="48"/>
        <v>543.75</v>
      </c>
      <c r="G574" s="83">
        <f t="shared" si="48"/>
        <v>1087.5</v>
      </c>
      <c r="H574" s="85">
        <f>H573+((H575-H573)/2)</f>
        <v>2175</v>
      </c>
      <c r="I574" s="83">
        <f>E574*10</f>
        <v>2718.75</v>
      </c>
      <c r="J574" s="83">
        <f>E574*12</f>
        <v>3262.5</v>
      </c>
      <c r="L574" s="45">
        <f t="shared" si="43"/>
        <v>2175</v>
      </c>
      <c r="M574" s="92">
        <v>98.35</v>
      </c>
    </row>
    <row r="575" spans="1:13" ht="15" customHeight="1">
      <c r="A575" s="46"/>
      <c r="B575" s="92">
        <v>98.4</v>
      </c>
      <c r="C575" s="83">
        <f t="shared" si="48"/>
        <v>68.75</v>
      </c>
      <c r="D575" s="83">
        <f t="shared" si="48"/>
        <v>137.5</v>
      </c>
      <c r="E575" s="83">
        <f t="shared" si="48"/>
        <v>275</v>
      </c>
      <c r="F575" s="83">
        <f t="shared" si="48"/>
        <v>550</v>
      </c>
      <c r="G575" s="83">
        <f t="shared" si="48"/>
        <v>1100</v>
      </c>
      <c r="H575" s="86">
        <f>H573+50</f>
        <v>2200</v>
      </c>
      <c r="I575" s="83">
        <f t="shared" si="44"/>
        <v>2750</v>
      </c>
      <c r="J575" s="83">
        <f t="shared" si="45"/>
        <v>3300</v>
      </c>
      <c r="L575" s="45">
        <f t="shared" si="43"/>
        <v>2200</v>
      </c>
      <c r="M575" s="92">
        <v>98.4</v>
      </c>
    </row>
    <row r="576" spans="1:13" ht="15" customHeight="1">
      <c r="A576" s="46"/>
      <c r="B576" s="92">
        <v>98.45</v>
      </c>
      <c r="C576" s="83">
        <f t="shared" si="48"/>
        <v>69.53125</v>
      </c>
      <c r="D576" s="83">
        <f t="shared" si="48"/>
        <v>139.0625</v>
      </c>
      <c r="E576" s="83">
        <f t="shared" si="48"/>
        <v>278.125</v>
      </c>
      <c r="F576" s="83">
        <f t="shared" si="48"/>
        <v>556.25</v>
      </c>
      <c r="G576" s="83">
        <f t="shared" si="48"/>
        <v>1112.5</v>
      </c>
      <c r="H576" s="85">
        <f>H575+((H577-H575)/2)</f>
        <v>2225</v>
      </c>
      <c r="I576" s="83">
        <f>E576*10</f>
        <v>2781.25</v>
      </c>
      <c r="J576" s="83">
        <f>E576*12</f>
        <v>3337.5</v>
      </c>
      <c r="L576" s="45">
        <f t="shared" si="43"/>
        <v>2225</v>
      </c>
      <c r="M576" s="92">
        <v>98.45</v>
      </c>
    </row>
    <row r="577" spans="1:13" ht="15" customHeight="1">
      <c r="A577" s="46"/>
      <c r="B577" s="92">
        <v>98.5</v>
      </c>
      <c r="C577" s="83">
        <f t="shared" si="48"/>
        <v>70.3125</v>
      </c>
      <c r="D577" s="83">
        <f t="shared" si="48"/>
        <v>140.625</v>
      </c>
      <c r="E577" s="83">
        <f t="shared" si="48"/>
        <v>281.25</v>
      </c>
      <c r="F577" s="83">
        <f t="shared" si="48"/>
        <v>562.5</v>
      </c>
      <c r="G577" s="83">
        <f t="shared" si="48"/>
        <v>1125</v>
      </c>
      <c r="H577" s="86">
        <f>H575+50</f>
        <v>2250</v>
      </c>
      <c r="I577" s="83">
        <f t="shared" si="44"/>
        <v>2812.5</v>
      </c>
      <c r="J577" s="83">
        <f t="shared" si="45"/>
        <v>3375</v>
      </c>
      <c r="L577" s="45">
        <f t="shared" si="43"/>
        <v>2250</v>
      </c>
      <c r="M577" s="92">
        <v>98.5</v>
      </c>
    </row>
    <row r="578" spans="1:13" ht="15" customHeight="1">
      <c r="A578" s="46"/>
      <c r="B578" s="92">
        <v>98.55</v>
      </c>
      <c r="C578" s="83">
        <f t="shared" si="48"/>
        <v>71.09375</v>
      </c>
      <c r="D578" s="83">
        <f t="shared" si="48"/>
        <v>142.1875</v>
      </c>
      <c r="E578" s="83">
        <f t="shared" si="48"/>
        <v>284.375</v>
      </c>
      <c r="F578" s="83">
        <f t="shared" si="48"/>
        <v>568.75</v>
      </c>
      <c r="G578" s="83">
        <f t="shared" si="48"/>
        <v>1137.5</v>
      </c>
      <c r="H578" s="85">
        <f>H577+((H579-H577)/2)</f>
        <v>2275</v>
      </c>
      <c r="I578" s="83">
        <f>E578*10</f>
        <v>2843.75</v>
      </c>
      <c r="J578" s="83">
        <f>E578*12</f>
        <v>3412.5</v>
      </c>
      <c r="L578" s="45">
        <f t="shared" si="43"/>
        <v>2275</v>
      </c>
      <c r="M578" s="92">
        <v>98.55</v>
      </c>
    </row>
    <row r="579" spans="1:13" ht="15" customHeight="1">
      <c r="A579" s="46"/>
      <c r="B579" s="92">
        <v>98.6</v>
      </c>
      <c r="C579" s="83">
        <f t="shared" si="48"/>
        <v>71.875</v>
      </c>
      <c r="D579" s="83">
        <f t="shared" si="48"/>
        <v>143.75</v>
      </c>
      <c r="E579" s="83">
        <f t="shared" si="48"/>
        <v>287.5</v>
      </c>
      <c r="F579" s="83">
        <f t="shared" si="48"/>
        <v>575</v>
      </c>
      <c r="G579" s="83">
        <f t="shared" si="48"/>
        <v>1150</v>
      </c>
      <c r="H579" s="86">
        <f>H577+50</f>
        <v>2300</v>
      </c>
      <c r="I579" s="83">
        <f t="shared" si="44"/>
        <v>2875</v>
      </c>
      <c r="J579" s="83">
        <f t="shared" si="45"/>
        <v>3450</v>
      </c>
      <c r="L579" s="45">
        <f t="shared" si="43"/>
        <v>2300</v>
      </c>
      <c r="M579" s="92">
        <v>98.6</v>
      </c>
    </row>
    <row r="580" spans="1:13" ht="15" customHeight="1">
      <c r="A580" s="46"/>
      <c r="B580" s="92">
        <v>98.65</v>
      </c>
      <c r="C580" s="83">
        <f t="shared" si="48"/>
        <v>72.65625</v>
      </c>
      <c r="D580" s="83">
        <f t="shared" si="48"/>
        <v>145.3125</v>
      </c>
      <c r="E580" s="83">
        <f t="shared" si="48"/>
        <v>290.625</v>
      </c>
      <c r="F580" s="83">
        <f t="shared" si="48"/>
        <v>581.25</v>
      </c>
      <c r="G580" s="83">
        <f t="shared" si="48"/>
        <v>1162.5</v>
      </c>
      <c r="H580" s="85">
        <f>H579+((H581-H579)/2)</f>
        <v>2325</v>
      </c>
      <c r="I580" s="83">
        <f>E580*10</f>
        <v>2906.25</v>
      </c>
      <c r="J580" s="83">
        <f>E580*12</f>
        <v>3487.5</v>
      </c>
      <c r="L580" s="45">
        <f t="shared" si="43"/>
        <v>2325</v>
      </c>
      <c r="M580" s="92">
        <v>98.65</v>
      </c>
    </row>
    <row r="581" spans="1:13" ht="15" customHeight="1">
      <c r="A581" s="46"/>
      <c r="B581" s="92">
        <v>98.7</v>
      </c>
      <c r="C581" s="83">
        <f t="shared" si="48"/>
        <v>73.4375</v>
      </c>
      <c r="D581" s="83">
        <f t="shared" si="48"/>
        <v>146.875</v>
      </c>
      <c r="E581" s="83">
        <f t="shared" si="48"/>
        <v>293.75</v>
      </c>
      <c r="F581" s="83">
        <f t="shared" si="48"/>
        <v>587.5</v>
      </c>
      <c r="G581" s="83">
        <f t="shared" si="48"/>
        <v>1175</v>
      </c>
      <c r="H581" s="86">
        <f>H579+50</f>
        <v>2350</v>
      </c>
      <c r="I581" s="83">
        <f t="shared" si="44"/>
        <v>2937.5</v>
      </c>
      <c r="J581" s="83">
        <f t="shared" si="45"/>
        <v>3525</v>
      </c>
      <c r="L581" s="45">
        <f t="shared" si="43"/>
        <v>2350</v>
      </c>
      <c r="M581" s="92">
        <v>98.7</v>
      </c>
    </row>
    <row r="582" spans="1:13" ht="15" customHeight="1">
      <c r="A582" s="46"/>
      <c r="B582" s="92">
        <v>98.75</v>
      </c>
      <c r="C582" s="83">
        <f t="shared" si="48"/>
        <v>74.21875</v>
      </c>
      <c r="D582" s="83">
        <f t="shared" si="48"/>
        <v>148.4375</v>
      </c>
      <c r="E582" s="83">
        <f t="shared" si="48"/>
        <v>296.875</v>
      </c>
      <c r="F582" s="83">
        <f t="shared" si="48"/>
        <v>593.75</v>
      </c>
      <c r="G582" s="83">
        <f t="shared" si="48"/>
        <v>1187.5</v>
      </c>
      <c r="H582" s="85">
        <f>H581+((H583-H581)/2)</f>
        <v>2375</v>
      </c>
      <c r="I582" s="83">
        <f>E582*10</f>
        <v>2968.75</v>
      </c>
      <c r="J582" s="83">
        <f>E582*12</f>
        <v>3562.5</v>
      </c>
      <c r="L582" s="45">
        <f t="shared" si="43"/>
        <v>2375</v>
      </c>
      <c r="M582" s="92">
        <v>98.75</v>
      </c>
    </row>
    <row r="583" spans="1:13" ht="15" customHeight="1">
      <c r="A583" s="46"/>
      <c r="B583" s="92">
        <v>98.8</v>
      </c>
      <c r="C583" s="83">
        <f t="shared" si="48"/>
        <v>75</v>
      </c>
      <c r="D583" s="83">
        <f t="shared" si="48"/>
        <v>150</v>
      </c>
      <c r="E583" s="83">
        <f t="shared" si="48"/>
        <v>300</v>
      </c>
      <c r="F583" s="83">
        <f t="shared" si="48"/>
        <v>600</v>
      </c>
      <c r="G583" s="83">
        <f t="shared" si="48"/>
        <v>1200</v>
      </c>
      <c r="H583" s="86">
        <f>H581+50</f>
        <v>2400</v>
      </c>
      <c r="I583" s="83">
        <f t="shared" si="44"/>
        <v>3000</v>
      </c>
      <c r="J583" s="83">
        <f t="shared" si="45"/>
        <v>3600</v>
      </c>
      <c r="L583" s="45">
        <f t="shared" si="43"/>
        <v>2400</v>
      </c>
      <c r="M583" s="92">
        <v>98.8</v>
      </c>
    </row>
    <row r="584" spans="1:13" ht="15" customHeight="1">
      <c r="A584" s="46"/>
      <c r="B584" s="92">
        <v>98.85</v>
      </c>
      <c r="C584" s="83">
        <f t="shared" si="48"/>
        <v>75.78125</v>
      </c>
      <c r="D584" s="83">
        <f t="shared" si="48"/>
        <v>151.5625</v>
      </c>
      <c r="E584" s="83">
        <f t="shared" si="48"/>
        <v>303.125</v>
      </c>
      <c r="F584" s="83">
        <f t="shared" si="48"/>
        <v>606.25</v>
      </c>
      <c r="G584" s="83">
        <f t="shared" si="48"/>
        <v>1212.5</v>
      </c>
      <c r="H584" s="85">
        <f>H583+((H585-H583)/2)</f>
        <v>2425</v>
      </c>
      <c r="I584" s="83">
        <f>E584*10</f>
        <v>3031.25</v>
      </c>
      <c r="J584" s="83">
        <f>E584*12</f>
        <v>3637.5</v>
      </c>
      <c r="L584" s="45">
        <f t="shared" ref="L584:L647" si="49">+H584</f>
        <v>2425</v>
      </c>
      <c r="M584" s="92">
        <v>98.85</v>
      </c>
    </row>
    <row r="585" spans="1:13" ht="15" customHeight="1">
      <c r="A585" s="46"/>
      <c r="B585" s="92">
        <v>98.9</v>
      </c>
      <c r="C585" s="83">
        <f t="shared" si="48"/>
        <v>76.5625</v>
      </c>
      <c r="D585" s="83">
        <f t="shared" si="48"/>
        <v>153.125</v>
      </c>
      <c r="E585" s="83">
        <f t="shared" si="48"/>
        <v>306.25</v>
      </c>
      <c r="F585" s="83">
        <f t="shared" si="48"/>
        <v>612.5</v>
      </c>
      <c r="G585" s="83">
        <f t="shared" si="48"/>
        <v>1225</v>
      </c>
      <c r="H585" s="86">
        <f>H583+50</f>
        <v>2450</v>
      </c>
      <c r="I585" s="83">
        <f t="shared" si="44"/>
        <v>3062.5</v>
      </c>
      <c r="J585" s="83">
        <f t="shared" si="45"/>
        <v>3675</v>
      </c>
      <c r="L585" s="45">
        <f t="shared" si="49"/>
        <v>2450</v>
      </c>
      <c r="M585" s="92">
        <v>98.9</v>
      </c>
    </row>
    <row r="586" spans="1:13" ht="15" customHeight="1">
      <c r="A586" s="46"/>
      <c r="B586" s="92">
        <v>98.95</v>
      </c>
      <c r="C586" s="83">
        <f>D586/2</f>
        <v>77.34375</v>
      </c>
      <c r="D586" s="83">
        <f>E586/2</f>
        <v>154.6875</v>
      </c>
      <c r="E586" s="83">
        <f>F586/2</f>
        <v>309.375</v>
      </c>
      <c r="F586" s="83">
        <f>G586/2</f>
        <v>618.75</v>
      </c>
      <c r="G586" s="83">
        <f>H586/2</f>
        <v>1237.5</v>
      </c>
      <c r="H586" s="85">
        <f>H585+((H587-H585)/2)</f>
        <v>2475</v>
      </c>
      <c r="I586" s="83">
        <f>E586*10</f>
        <v>3093.75</v>
      </c>
      <c r="J586" s="83">
        <f>E586*12</f>
        <v>3712.5</v>
      </c>
      <c r="L586" s="45">
        <f t="shared" si="49"/>
        <v>2475</v>
      </c>
      <c r="M586" s="92">
        <v>98.95</v>
      </c>
    </row>
    <row r="587" spans="1:13" ht="15" customHeight="1">
      <c r="A587" s="46"/>
      <c r="B587" s="92">
        <v>99</v>
      </c>
      <c r="C587" s="83">
        <f t="shared" ref="C587:G605" si="50">D587/2</f>
        <v>78.125</v>
      </c>
      <c r="D587" s="83">
        <f t="shared" si="50"/>
        <v>156.25</v>
      </c>
      <c r="E587" s="83">
        <f t="shared" si="50"/>
        <v>312.5</v>
      </c>
      <c r="F587" s="83">
        <f t="shared" si="50"/>
        <v>625</v>
      </c>
      <c r="G587" s="83">
        <f t="shared" si="50"/>
        <v>1250</v>
      </c>
      <c r="H587" s="86">
        <f>H527*2</f>
        <v>2500</v>
      </c>
      <c r="I587" s="83">
        <f t="shared" si="44"/>
        <v>3125</v>
      </c>
      <c r="J587" s="83">
        <f t="shared" si="45"/>
        <v>3750</v>
      </c>
      <c r="L587" s="45">
        <f t="shared" si="49"/>
        <v>2500</v>
      </c>
      <c r="M587" s="92">
        <v>99</v>
      </c>
    </row>
    <row r="588" spans="1:13" ht="15" customHeight="1">
      <c r="A588" s="46"/>
      <c r="B588" s="92">
        <v>99.05</v>
      </c>
      <c r="C588" s="83">
        <f t="shared" si="50"/>
        <v>79.21875</v>
      </c>
      <c r="D588" s="83">
        <f t="shared" si="50"/>
        <v>158.4375</v>
      </c>
      <c r="E588" s="83">
        <f t="shared" si="50"/>
        <v>316.875</v>
      </c>
      <c r="F588" s="83">
        <f t="shared" si="50"/>
        <v>633.75</v>
      </c>
      <c r="G588" s="83">
        <f t="shared" si="50"/>
        <v>1267.5</v>
      </c>
      <c r="H588" s="85">
        <f>H587+((H589-H587)/2)</f>
        <v>2535</v>
      </c>
      <c r="I588" s="83">
        <f>E588*10</f>
        <v>3168.75</v>
      </c>
      <c r="J588" s="83">
        <f>E588*12</f>
        <v>3802.5</v>
      </c>
      <c r="L588" s="45">
        <f t="shared" si="49"/>
        <v>2535</v>
      </c>
      <c r="M588" s="92">
        <v>99.05</v>
      </c>
    </row>
    <row r="589" spans="1:13" ht="15" customHeight="1">
      <c r="A589" s="46"/>
      <c r="B589" s="92">
        <v>99.1</v>
      </c>
      <c r="C589" s="83">
        <f t="shared" si="50"/>
        <v>80.3125</v>
      </c>
      <c r="D589" s="83">
        <f t="shared" si="50"/>
        <v>160.625</v>
      </c>
      <c r="E589" s="83">
        <f t="shared" si="50"/>
        <v>321.25</v>
      </c>
      <c r="F589" s="83">
        <f t="shared" si="50"/>
        <v>642.5</v>
      </c>
      <c r="G589" s="83">
        <f t="shared" si="50"/>
        <v>1285</v>
      </c>
      <c r="H589" s="85">
        <f>H587+((H607-H587)/10)</f>
        <v>2570</v>
      </c>
      <c r="I589" s="83">
        <f t="shared" si="44"/>
        <v>3212.5</v>
      </c>
      <c r="J589" s="83">
        <f t="shared" si="45"/>
        <v>3855</v>
      </c>
      <c r="L589" s="45">
        <f t="shared" si="49"/>
        <v>2570</v>
      </c>
      <c r="M589" s="92">
        <v>99.1</v>
      </c>
    </row>
    <row r="590" spans="1:13" ht="15" customHeight="1">
      <c r="A590" s="46"/>
      <c r="B590" s="92">
        <v>99.15</v>
      </c>
      <c r="C590" s="83">
        <f t="shared" si="50"/>
        <v>81.40625</v>
      </c>
      <c r="D590" s="83">
        <f t="shared" si="50"/>
        <v>162.8125</v>
      </c>
      <c r="E590" s="83">
        <f t="shared" si="50"/>
        <v>325.625</v>
      </c>
      <c r="F590" s="83">
        <f t="shared" si="50"/>
        <v>651.25</v>
      </c>
      <c r="G590" s="83">
        <f t="shared" si="50"/>
        <v>1302.5</v>
      </c>
      <c r="H590" s="85">
        <f>H589+((H591-H589)/2)</f>
        <v>2605</v>
      </c>
      <c r="I590" s="83">
        <f>E590*10</f>
        <v>3256.25</v>
      </c>
      <c r="J590" s="83">
        <f>E590*12</f>
        <v>3907.5</v>
      </c>
      <c r="L590" s="45">
        <f t="shared" si="49"/>
        <v>2605</v>
      </c>
      <c r="M590" s="92">
        <v>99.15</v>
      </c>
    </row>
    <row r="591" spans="1:13" ht="15" customHeight="1">
      <c r="A591" s="46"/>
      <c r="B591" s="92">
        <v>99.2</v>
      </c>
      <c r="C591" s="83">
        <f t="shared" si="50"/>
        <v>82.5</v>
      </c>
      <c r="D591" s="83">
        <f t="shared" si="50"/>
        <v>165</v>
      </c>
      <c r="E591" s="83">
        <f t="shared" si="50"/>
        <v>330</v>
      </c>
      <c r="F591" s="83">
        <f t="shared" si="50"/>
        <v>660</v>
      </c>
      <c r="G591" s="83">
        <f t="shared" si="50"/>
        <v>1320</v>
      </c>
      <c r="H591" s="86">
        <f>H589+70</f>
        <v>2640</v>
      </c>
      <c r="I591" s="83">
        <f t="shared" si="44"/>
        <v>3300</v>
      </c>
      <c r="J591" s="83">
        <f t="shared" si="45"/>
        <v>3960</v>
      </c>
      <c r="L591" s="45">
        <f t="shared" si="49"/>
        <v>2640</v>
      </c>
      <c r="M591" s="92">
        <v>99.2</v>
      </c>
    </row>
    <row r="592" spans="1:13" ht="15" customHeight="1">
      <c r="A592" s="46"/>
      <c r="B592" s="92">
        <v>99.25</v>
      </c>
      <c r="C592" s="83">
        <f t="shared" si="50"/>
        <v>83.59375</v>
      </c>
      <c r="D592" s="83">
        <f t="shared" si="50"/>
        <v>167.1875</v>
      </c>
      <c r="E592" s="83">
        <f t="shared" si="50"/>
        <v>334.375</v>
      </c>
      <c r="F592" s="83">
        <f t="shared" si="50"/>
        <v>668.75</v>
      </c>
      <c r="G592" s="83">
        <f t="shared" si="50"/>
        <v>1337.5</v>
      </c>
      <c r="H592" s="85">
        <f>H591+((H593-H591)/2)</f>
        <v>2675</v>
      </c>
      <c r="I592" s="83">
        <f>E592*10</f>
        <v>3343.75</v>
      </c>
      <c r="J592" s="83">
        <f>E592*12</f>
        <v>4012.5</v>
      </c>
      <c r="L592" s="45">
        <f t="shared" si="49"/>
        <v>2675</v>
      </c>
      <c r="M592" s="92">
        <v>99.25</v>
      </c>
    </row>
    <row r="593" spans="1:13" ht="15" customHeight="1">
      <c r="A593" s="46"/>
      <c r="B593" s="92">
        <v>99.3</v>
      </c>
      <c r="C593" s="83">
        <f t="shared" si="50"/>
        <v>84.6875</v>
      </c>
      <c r="D593" s="83">
        <f t="shared" si="50"/>
        <v>169.375</v>
      </c>
      <c r="E593" s="83">
        <f t="shared" si="50"/>
        <v>338.75</v>
      </c>
      <c r="F593" s="83">
        <f t="shared" si="50"/>
        <v>677.5</v>
      </c>
      <c r="G593" s="83">
        <f t="shared" si="50"/>
        <v>1355</v>
      </c>
      <c r="H593" s="86">
        <f>H591+70</f>
        <v>2710</v>
      </c>
      <c r="I593" s="83">
        <f t="shared" si="44"/>
        <v>3387.5</v>
      </c>
      <c r="J593" s="83">
        <f t="shared" si="45"/>
        <v>4065</v>
      </c>
      <c r="L593" s="45">
        <f t="shared" si="49"/>
        <v>2710</v>
      </c>
      <c r="M593" s="92">
        <v>99.3</v>
      </c>
    </row>
    <row r="594" spans="1:13" ht="15" customHeight="1">
      <c r="A594" s="46"/>
      <c r="B594" s="92">
        <v>99.35</v>
      </c>
      <c r="C594" s="83">
        <f t="shared" si="50"/>
        <v>85.78125</v>
      </c>
      <c r="D594" s="83">
        <f t="shared" si="50"/>
        <v>171.5625</v>
      </c>
      <c r="E594" s="83">
        <f t="shared" si="50"/>
        <v>343.125</v>
      </c>
      <c r="F594" s="83">
        <f t="shared" si="50"/>
        <v>686.25</v>
      </c>
      <c r="G594" s="83">
        <f t="shared" si="50"/>
        <v>1372.5</v>
      </c>
      <c r="H594" s="85">
        <f>H593+((H595-H593)/2)</f>
        <v>2745</v>
      </c>
      <c r="I594" s="83">
        <f>E594*10</f>
        <v>3431.25</v>
      </c>
      <c r="J594" s="83">
        <f>E594*12</f>
        <v>4117.5</v>
      </c>
      <c r="L594" s="45">
        <f t="shared" si="49"/>
        <v>2745</v>
      </c>
      <c r="M594" s="92">
        <v>99.35</v>
      </c>
    </row>
    <row r="595" spans="1:13" ht="15" customHeight="1">
      <c r="A595" s="46"/>
      <c r="B595" s="92">
        <v>99.4</v>
      </c>
      <c r="C595" s="83">
        <f t="shared" si="50"/>
        <v>86.875</v>
      </c>
      <c r="D595" s="83">
        <f t="shared" si="50"/>
        <v>173.75</v>
      </c>
      <c r="E595" s="83">
        <f t="shared" si="50"/>
        <v>347.5</v>
      </c>
      <c r="F595" s="83">
        <f t="shared" si="50"/>
        <v>695</v>
      </c>
      <c r="G595" s="83">
        <f t="shared" si="50"/>
        <v>1390</v>
      </c>
      <c r="H595" s="86">
        <f>H593+70</f>
        <v>2780</v>
      </c>
      <c r="I595" s="83">
        <f t="shared" si="44"/>
        <v>3475</v>
      </c>
      <c r="J595" s="83">
        <f t="shared" si="45"/>
        <v>4170</v>
      </c>
      <c r="L595" s="45">
        <f t="shared" si="49"/>
        <v>2780</v>
      </c>
      <c r="M595" s="92">
        <v>99.4</v>
      </c>
    </row>
    <row r="596" spans="1:13" ht="15" customHeight="1">
      <c r="A596" s="46"/>
      <c r="B596" s="92">
        <v>99.45</v>
      </c>
      <c r="C596" s="83">
        <f t="shared" si="50"/>
        <v>87.96875</v>
      </c>
      <c r="D596" s="83">
        <f t="shared" si="50"/>
        <v>175.9375</v>
      </c>
      <c r="E596" s="83">
        <f t="shared" si="50"/>
        <v>351.875</v>
      </c>
      <c r="F596" s="83">
        <f t="shared" si="50"/>
        <v>703.75</v>
      </c>
      <c r="G596" s="83">
        <f t="shared" si="50"/>
        <v>1407.5</v>
      </c>
      <c r="H596" s="85">
        <f>H595+((H597-H595)/2)</f>
        <v>2815</v>
      </c>
      <c r="I596" s="83">
        <f>E596*10</f>
        <v>3518.75</v>
      </c>
      <c r="J596" s="83">
        <f>E596*12</f>
        <v>4222.5</v>
      </c>
      <c r="L596" s="45">
        <f t="shared" si="49"/>
        <v>2815</v>
      </c>
      <c r="M596" s="92">
        <v>99.45</v>
      </c>
    </row>
    <row r="597" spans="1:13" ht="15" customHeight="1">
      <c r="A597" s="46"/>
      <c r="B597" s="92">
        <v>99.5</v>
      </c>
      <c r="C597" s="83">
        <f t="shared" si="50"/>
        <v>89.0625</v>
      </c>
      <c r="D597" s="83">
        <f t="shared" si="50"/>
        <v>178.125</v>
      </c>
      <c r="E597" s="83">
        <f t="shared" si="50"/>
        <v>356.25</v>
      </c>
      <c r="F597" s="83">
        <f t="shared" si="50"/>
        <v>712.5</v>
      </c>
      <c r="G597" s="83">
        <f t="shared" si="50"/>
        <v>1425</v>
      </c>
      <c r="H597" s="86">
        <f>H595+70</f>
        <v>2850</v>
      </c>
      <c r="I597" s="83">
        <f t="shared" si="44"/>
        <v>3562.5</v>
      </c>
      <c r="J597" s="83">
        <f t="shared" si="45"/>
        <v>4275</v>
      </c>
      <c r="L597" s="45">
        <f t="shared" si="49"/>
        <v>2850</v>
      </c>
      <c r="M597" s="92">
        <v>99.5</v>
      </c>
    </row>
    <row r="598" spans="1:13" ht="15" customHeight="1">
      <c r="A598" s="46"/>
      <c r="B598" s="92">
        <v>99.55</v>
      </c>
      <c r="C598" s="83">
        <f t="shared" si="50"/>
        <v>90.15625</v>
      </c>
      <c r="D598" s="83">
        <f t="shared" si="50"/>
        <v>180.3125</v>
      </c>
      <c r="E598" s="83">
        <f t="shared" si="50"/>
        <v>360.625</v>
      </c>
      <c r="F598" s="83">
        <f t="shared" si="50"/>
        <v>721.25</v>
      </c>
      <c r="G598" s="83">
        <f t="shared" si="50"/>
        <v>1442.5</v>
      </c>
      <c r="H598" s="85">
        <f>H597+((H599-H597)/2)</f>
        <v>2885</v>
      </c>
      <c r="I598" s="83">
        <f>E598*10</f>
        <v>3606.25</v>
      </c>
      <c r="J598" s="83">
        <f>E598*12</f>
        <v>4327.5</v>
      </c>
      <c r="L598" s="45">
        <f t="shared" si="49"/>
        <v>2885</v>
      </c>
      <c r="M598" s="92">
        <v>99.55</v>
      </c>
    </row>
    <row r="599" spans="1:13" ht="15" customHeight="1">
      <c r="A599" s="46"/>
      <c r="B599" s="92">
        <v>99.6</v>
      </c>
      <c r="C599" s="83">
        <f t="shared" si="50"/>
        <v>91.25</v>
      </c>
      <c r="D599" s="83">
        <f t="shared" si="50"/>
        <v>182.5</v>
      </c>
      <c r="E599" s="83">
        <f t="shared" si="50"/>
        <v>365</v>
      </c>
      <c r="F599" s="83">
        <f t="shared" si="50"/>
        <v>730</v>
      </c>
      <c r="G599" s="83">
        <f t="shared" si="50"/>
        <v>1460</v>
      </c>
      <c r="H599" s="86">
        <f>H597+70</f>
        <v>2920</v>
      </c>
      <c r="I599" s="83">
        <f t="shared" si="44"/>
        <v>3650</v>
      </c>
      <c r="J599" s="83">
        <f t="shared" si="45"/>
        <v>4380</v>
      </c>
      <c r="L599" s="45">
        <f t="shared" si="49"/>
        <v>2920</v>
      </c>
      <c r="M599" s="92">
        <v>99.6</v>
      </c>
    </row>
    <row r="600" spans="1:13" ht="15" customHeight="1">
      <c r="A600" s="46"/>
      <c r="B600" s="92">
        <v>99.65</v>
      </c>
      <c r="C600" s="83">
        <f t="shared" si="50"/>
        <v>92.34375</v>
      </c>
      <c r="D600" s="83">
        <f t="shared" si="50"/>
        <v>184.6875</v>
      </c>
      <c r="E600" s="83">
        <f t="shared" si="50"/>
        <v>369.375</v>
      </c>
      <c r="F600" s="83">
        <f t="shared" si="50"/>
        <v>738.75</v>
      </c>
      <c r="G600" s="83">
        <f t="shared" si="50"/>
        <v>1477.5</v>
      </c>
      <c r="H600" s="85">
        <f>H599+((H601-H599)/2)</f>
        <v>2955</v>
      </c>
      <c r="I600" s="83">
        <f>E600*10</f>
        <v>3693.75</v>
      </c>
      <c r="J600" s="83">
        <f>E600*12</f>
        <v>4432.5</v>
      </c>
      <c r="L600" s="45">
        <f t="shared" si="49"/>
        <v>2955</v>
      </c>
      <c r="M600" s="92">
        <v>99.65</v>
      </c>
    </row>
    <row r="601" spans="1:13" ht="15" customHeight="1">
      <c r="A601" s="46"/>
      <c r="B601" s="92">
        <v>99.7</v>
      </c>
      <c r="C601" s="83">
        <f t="shared" si="50"/>
        <v>93.4375</v>
      </c>
      <c r="D601" s="83">
        <f t="shared" si="50"/>
        <v>186.875</v>
      </c>
      <c r="E601" s="83">
        <f t="shared" si="50"/>
        <v>373.75</v>
      </c>
      <c r="F601" s="83">
        <f t="shared" si="50"/>
        <v>747.5</v>
      </c>
      <c r="G601" s="83">
        <f t="shared" si="50"/>
        <v>1495</v>
      </c>
      <c r="H601" s="86">
        <f>H599+70</f>
        <v>2990</v>
      </c>
      <c r="I601" s="83">
        <f t="shared" si="44"/>
        <v>3737.5</v>
      </c>
      <c r="J601" s="83">
        <f t="shared" si="45"/>
        <v>4485</v>
      </c>
      <c r="L601" s="45">
        <f t="shared" si="49"/>
        <v>2990</v>
      </c>
      <c r="M601" s="92">
        <v>99.7</v>
      </c>
    </row>
    <row r="602" spans="1:13" ht="15" customHeight="1">
      <c r="A602" s="46"/>
      <c r="B602" s="92">
        <v>99.75</v>
      </c>
      <c r="C602" s="83">
        <f t="shared" si="50"/>
        <v>94.53125</v>
      </c>
      <c r="D602" s="83">
        <f t="shared" si="50"/>
        <v>189.0625</v>
      </c>
      <c r="E602" s="83">
        <f t="shared" si="50"/>
        <v>378.125</v>
      </c>
      <c r="F602" s="83">
        <f t="shared" si="50"/>
        <v>756.25</v>
      </c>
      <c r="G602" s="83">
        <f t="shared" si="50"/>
        <v>1512.5</v>
      </c>
      <c r="H602" s="85">
        <f>H601+((H603-H601)/2)</f>
        <v>3025</v>
      </c>
      <c r="I602" s="83">
        <f>E602*10</f>
        <v>3781.25</v>
      </c>
      <c r="J602" s="83">
        <f>E602*12</f>
        <v>4537.5</v>
      </c>
      <c r="L602" s="45">
        <f t="shared" si="49"/>
        <v>3025</v>
      </c>
      <c r="M602" s="92">
        <v>99.75</v>
      </c>
    </row>
    <row r="603" spans="1:13" ht="15" customHeight="1">
      <c r="A603" s="46"/>
      <c r="B603" s="92">
        <v>99.8</v>
      </c>
      <c r="C603" s="83">
        <f t="shared" si="50"/>
        <v>95.625</v>
      </c>
      <c r="D603" s="83">
        <f t="shared" si="50"/>
        <v>191.25</v>
      </c>
      <c r="E603" s="83">
        <f t="shared" si="50"/>
        <v>382.5</v>
      </c>
      <c r="F603" s="83">
        <f t="shared" si="50"/>
        <v>765</v>
      </c>
      <c r="G603" s="83">
        <f t="shared" si="50"/>
        <v>1530</v>
      </c>
      <c r="H603" s="86">
        <f>H601+70</f>
        <v>3060</v>
      </c>
      <c r="I603" s="83">
        <f t="shared" si="44"/>
        <v>3825</v>
      </c>
      <c r="J603" s="83">
        <f t="shared" si="45"/>
        <v>4590</v>
      </c>
      <c r="L603" s="45">
        <f t="shared" si="49"/>
        <v>3060</v>
      </c>
      <c r="M603" s="92">
        <v>99.8</v>
      </c>
    </row>
    <row r="604" spans="1:13" ht="15" customHeight="1">
      <c r="A604" s="46"/>
      <c r="B604" s="92">
        <v>99.85</v>
      </c>
      <c r="C604" s="83">
        <f t="shared" si="50"/>
        <v>96.71875</v>
      </c>
      <c r="D604" s="83">
        <f t="shared" si="50"/>
        <v>193.4375</v>
      </c>
      <c r="E604" s="83">
        <f t="shared" si="50"/>
        <v>386.875</v>
      </c>
      <c r="F604" s="83">
        <f t="shared" si="50"/>
        <v>773.75</v>
      </c>
      <c r="G604" s="83">
        <f t="shared" si="50"/>
        <v>1547.5</v>
      </c>
      <c r="H604" s="85">
        <f>H603+((H605-H603)/2)</f>
        <v>3095</v>
      </c>
      <c r="I604" s="83">
        <f>E604*10</f>
        <v>3868.75</v>
      </c>
      <c r="J604" s="83">
        <f>E604*12</f>
        <v>4642.5</v>
      </c>
      <c r="L604" s="45">
        <f t="shared" si="49"/>
        <v>3095</v>
      </c>
      <c r="M604" s="92">
        <v>99.85</v>
      </c>
    </row>
    <row r="605" spans="1:13" ht="15" customHeight="1">
      <c r="A605" s="46"/>
      <c r="B605" s="92">
        <v>99.9</v>
      </c>
      <c r="C605" s="83">
        <f t="shared" si="50"/>
        <v>97.8125</v>
      </c>
      <c r="D605" s="83">
        <f t="shared" si="50"/>
        <v>195.625</v>
      </c>
      <c r="E605" s="83">
        <f t="shared" si="50"/>
        <v>391.25</v>
      </c>
      <c r="F605" s="83">
        <f t="shared" si="50"/>
        <v>782.5</v>
      </c>
      <c r="G605" s="83">
        <f t="shared" si="50"/>
        <v>1565</v>
      </c>
      <c r="H605" s="86">
        <f>H603+70</f>
        <v>3130</v>
      </c>
      <c r="I605" s="83">
        <f t="shared" si="44"/>
        <v>3912.5</v>
      </c>
      <c r="J605" s="83">
        <f t="shared" si="45"/>
        <v>4695</v>
      </c>
      <c r="L605" s="45">
        <f t="shared" si="49"/>
        <v>3130</v>
      </c>
      <c r="M605" s="92">
        <v>99.9</v>
      </c>
    </row>
    <row r="606" spans="1:13" ht="15" customHeight="1">
      <c r="A606" s="46"/>
      <c r="B606" s="92">
        <v>99.95</v>
      </c>
      <c r="C606" s="83">
        <f>D606/2</f>
        <v>98.90625</v>
      </c>
      <c r="D606" s="83">
        <f>E606/2</f>
        <v>197.8125</v>
      </c>
      <c r="E606" s="83">
        <f>F606/2</f>
        <v>395.625</v>
      </c>
      <c r="F606" s="83">
        <f>G606/2</f>
        <v>791.25</v>
      </c>
      <c r="G606" s="83">
        <f>H606/2</f>
        <v>1582.5</v>
      </c>
      <c r="H606" s="85">
        <f>H605+((H607-H605)/2)</f>
        <v>3165</v>
      </c>
      <c r="I606" s="83">
        <f>E606*10</f>
        <v>3956.25</v>
      </c>
      <c r="J606" s="83">
        <f>E606*12</f>
        <v>4747.5</v>
      </c>
      <c r="L606" s="45">
        <f t="shared" si="49"/>
        <v>3165</v>
      </c>
      <c r="M606" s="92">
        <v>99.95</v>
      </c>
    </row>
    <row r="607" spans="1:13" ht="15" customHeight="1">
      <c r="A607" s="46"/>
      <c r="B607" s="92">
        <v>100</v>
      </c>
      <c r="C607" s="83">
        <f t="shared" ref="C607:G625" si="51">D607/2</f>
        <v>100</v>
      </c>
      <c r="D607" s="83">
        <f t="shared" si="51"/>
        <v>200</v>
      </c>
      <c r="E607" s="83">
        <f t="shared" si="51"/>
        <v>400</v>
      </c>
      <c r="F607" s="83">
        <f t="shared" si="51"/>
        <v>800</v>
      </c>
      <c r="G607" s="83">
        <f t="shared" si="51"/>
        <v>1600</v>
      </c>
      <c r="H607" s="86">
        <f>H547*2</f>
        <v>3200</v>
      </c>
      <c r="I607" s="83">
        <f t="shared" si="44"/>
        <v>4000</v>
      </c>
      <c r="J607" s="83">
        <f t="shared" si="45"/>
        <v>4800</v>
      </c>
      <c r="L607" s="45">
        <f t="shared" si="49"/>
        <v>3200</v>
      </c>
      <c r="M607" s="92">
        <v>100</v>
      </c>
    </row>
    <row r="608" spans="1:13" ht="15" customHeight="1">
      <c r="A608" s="46"/>
      <c r="B608" s="92">
        <v>100.05</v>
      </c>
      <c r="C608" s="83">
        <f t="shared" si="51"/>
        <v>101.25</v>
      </c>
      <c r="D608" s="83">
        <f t="shared" si="51"/>
        <v>202.5</v>
      </c>
      <c r="E608" s="83">
        <f t="shared" si="51"/>
        <v>405</v>
      </c>
      <c r="F608" s="83">
        <f t="shared" si="51"/>
        <v>810</v>
      </c>
      <c r="G608" s="83">
        <f t="shared" si="51"/>
        <v>1620</v>
      </c>
      <c r="H608" s="85">
        <f>H607+((H609-H607)/2)</f>
        <v>3240</v>
      </c>
      <c r="I608" s="83">
        <f>E608*10</f>
        <v>4050</v>
      </c>
      <c r="J608" s="83">
        <f>E608*12</f>
        <v>4860</v>
      </c>
      <c r="L608" s="45">
        <f t="shared" si="49"/>
        <v>3240</v>
      </c>
      <c r="M608" s="92">
        <v>100.05</v>
      </c>
    </row>
    <row r="609" spans="1:13" ht="15" customHeight="1">
      <c r="A609" s="46"/>
      <c r="B609" s="92">
        <v>100.1</v>
      </c>
      <c r="C609" s="83">
        <f t="shared" si="51"/>
        <v>102.5</v>
      </c>
      <c r="D609" s="83">
        <f t="shared" si="51"/>
        <v>205</v>
      </c>
      <c r="E609" s="83">
        <f t="shared" si="51"/>
        <v>410</v>
      </c>
      <c r="F609" s="83">
        <f t="shared" si="51"/>
        <v>820</v>
      </c>
      <c r="G609" s="83">
        <f t="shared" si="51"/>
        <v>1640</v>
      </c>
      <c r="H609" s="85">
        <f>H607+((H627-H607)/10)</f>
        <v>3280</v>
      </c>
      <c r="I609" s="83">
        <f t="shared" si="44"/>
        <v>4100</v>
      </c>
      <c r="J609" s="83">
        <f t="shared" si="45"/>
        <v>4920</v>
      </c>
      <c r="L609" s="45">
        <f t="shared" si="49"/>
        <v>3280</v>
      </c>
      <c r="M609" s="92">
        <v>100.1</v>
      </c>
    </row>
    <row r="610" spans="1:13" ht="15" customHeight="1">
      <c r="A610" s="46"/>
      <c r="B610" s="92">
        <v>100.15</v>
      </c>
      <c r="C610" s="83">
        <f t="shared" si="51"/>
        <v>103.75</v>
      </c>
      <c r="D610" s="83">
        <f t="shared" si="51"/>
        <v>207.5</v>
      </c>
      <c r="E610" s="83">
        <f t="shared" si="51"/>
        <v>415</v>
      </c>
      <c r="F610" s="83">
        <f t="shared" si="51"/>
        <v>830</v>
      </c>
      <c r="G610" s="83">
        <f t="shared" si="51"/>
        <v>1660</v>
      </c>
      <c r="H610" s="85">
        <f>H609+((H611-H609)/2)</f>
        <v>3320</v>
      </c>
      <c r="I610" s="83">
        <f>E610*10</f>
        <v>4150</v>
      </c>
      <c r="J610" s="83">
        <f>E610*12</f>
        <v>4980</v>
      </c>
      <c r="L610" s="45">
        <f t="shared" si="49"/>
        <v>3320</v>
      </c>
      <c r="M610" s="92">
        <v>100.15</v>
      </c>
    </row>
    <row r="611" spans="1:13" ht="15" customHeight="1">
      <c r="A611" s="46"/>
      <c r="B611" s="92">
        <v>100.2</v>
      </c>
      <c r="C611" s="83">
        <f t="shared" si="51"/>
        <v>105</v>
      </c>
      <c r="D611" s="83">
        <f t="shared" si="51"/>
        <v>210</v>
      </c>
      <c r="E611" s="83">
        <f t="shared" si="51"/>
        <v>420</v>
      </c>
      <c r="F611" s="83">
        <f t="shared" si="51"/>
        <v>840</v>
      </c>
      <c r="G611" s="83">
        <f t="shared" si="51"/>
        <v>1680</v>
      </c>
      <c r="H611" s="86">
        <f>H609+80</f>
        <v>3360</v>
      </c>
      <c r="I611" s="83">
        <f t="shared" si="44"/>
        <v>4200</v>
      </c>
      <c r="J611" s="83">
        <f t="shared" si="45"/>
        <v>5040</v>
      </c>
      <c r="L611" s="45">
        <f t="shared" si="49"/>
        <v>3360</v>
      </c>
      <c r="M611" s="92">
        <v>100.2</v>
      </c>
    </row>
    <row r="612" spans="1:13" ht="15" customHeight="1">
      <c r="A612" s="46"/>
      <c r="B612" s="92">
        <v>100.25</v>
      </c>
      <c r="C612" s="83">
        <f t="shared" si="51"/>
        <v>106.25</v>
      </c>
      <c r="D612" s="83">
        <f t="shared" si="51"/>
        <v>212.5</v>
      </c>
      <c r="E612" s="83">
        <f t="shared" si="51"/>
        <v>425</v>
      </c>
      <c r="F612" s="83">
        <f t="shared" si="51"/>
        <v>850</v>
      </c>
      <c r="G612" s="83">
        <f t="shared" si="51"/>
        <v>1700</v>
      </c>
      <c r="H612" s="85">
        <f>H611+((H613-H611)/2)</f>
        <v>3400</v>
      </c>
      <c r="I612" s="83">
        <f>E612*10</f>
        <v>4250</v>
      </c>
      <c r="J612" s="83">
        <f>E612*12</f>
        <v>5100</v>
      </c>
      <c r="L612" s="45">
        <f t="shared" si="49"/>
        <v>3400</v>
      </c>
      <c r="M612" s="92">
        <v>100.25</v>
      </c>
    </row>
    <row r="613" spans="1:13" ht="15" customHeight="1">
      <c r="A613" s="46"/>
      <c r="B613" s="92">
        <v>100.3</v>
      </c>
      <c r="C613" s="83">
        <f t="shared" si="51"/>
        <v>107.5</v>
      </c>
      <c r="D613" s="83">
        <f t="shared" si="51"/>
        <v>215</v>
      </c>
      <c r="E613" s="83">
        <f t="shared" si="51"/>
        <v>430</v>
      </c>
      <c r="F613" s="83">
        <f t="shared" si="51"/>
        <v>860</v>
      </c>
      <c r="G613" s="83">
        <f t="shared" si="51"/>
        <v>1720</v>
      </c>
      <c r="H613" s="86">
        <f>H611+80</f>
        <v>3440</v>
      </c>
      <c r="I613" s="83">
        <f t="shared" si="44"/>
        <v>4300</v>
      </c>
      <c r="J613" s="83">
        <f t="shared" si="45"/>
        <v>5160</v>
      </c>
      <c r="L613" s="45">
        <f t="shared" si="49"/>
        <v>3440</v>
      </c>
      <c r="M613" s="92">
        <v>100.3</v>
      </c>
    </row>
    <row r="614" spans="1:13" ht="15" customHeight="1">
      <c r="A614" s="46"/>
      <c r="B614" s="92">
        <v>100.35</v>
      </c>
      <c r="C614" s="83">
        <f>D614/2</f>
        <v>108.75</v>
      </c>
      <c r="D614" s="83">
        <f>E614/2</f>
        <v>217.5</v>
      </c>
      <c r="E614" s="83">
        <f>F614/2</f>
        <v>435</v>
      </c>
      <c r="F614" s="83">
        <f>G614/2</f>
        <v>870</v>
      </c>
      <c r="G614" s="83">
        <f>H614/2</f>
        <v>1740</v>
      </c>
      <c r="H614" s="85">
        <f>H613+((H615-H613)/2)</f>
        <v>3480</v>
      </c>
      <c r="I614" s="83">
        <f>E614*10</f>
        <v>4350</v>
      </c>
      <c r="J614" s="83">
        <f>E614*12</f>
        <v>5220</v>
      </c>
      <c r="L614" s="45">
        <f t="shared" si="49"/>
        <v>3480</v>
      </c>
      <c r="M614" s="92">
        <v>100.35</v>
      </c>
    </row>
    <row r="615" spans="1:13" ht="15" customHeight="1">
      <c r="A615" s="46"/>
      <c r="B615" s="92">
        <v>100.4</v>
      </c>
      <c r="C615" s="83">
        <f t="shared" si="51"/>
        <v>110</v>
      </c>
      <c r="D615" s="83">
        <f t="shared" si="51"/>
        <v>220</v>
      </c>
      <c r="E615" s="83">
        <f t="shared" si="51"/>
        <v>440</v>
      </c>
      <c r="F615" s="83">
        <f t="shared" si="51"/>
        <v>880</v>
      </c>
      <c r="G615" s="83">
        <f t="shared" si="51"/>
        <v>1760</v>
      </c>
      <c r="H615" s="86">
        <f>H613+80</f>
        <v>3520</v>
      </c>
      <c r="I615" s="83">
        <f t="shared" si="44"/>
        <v>4400</v>
      </c>
      <c r="J615" s="83">
        <f t="shared" si="45"/>
        <v>5280</v>
      </c>
      <c r="L615" s="45">
        <f t="shared" si="49"/>
        <v>3520</v>
      </c>
      <c r="M615" s="92">
        <v>100.4</v>
      </c>
    </row>
    <row r="616" spans="1:13" ht="15" customHeight="1">
      <c r="A616" s="46"/>
      <c r="B616" s="92">
        <v>100.45</v>
      </c>
      <c r="C616" s="83">
        <f>D616/2</f>
        <v>111.25</v>
      </c>
      <c r="D616" s="83">
        <f>E616/2</f>
        <v>222.5</v>
      </c>
      <c r="E616" s="83">
        <f>F616/2</f>
        <v>445</v>
      </c>
      <c r="F616" s="83">
        <f>G616/2</f>
        <v>890</v>
      </c>
      <c r="G616" s="83">
        <f>H616/2</f>
        <v>1780</v>
      </c>
      <c r="H616" s="85">
        <f>H615+((H617-H615)/2)</f>
        <v>3560</v>
      </c>
      <c r="I616" s="83">
        <f>E616*10</f>
        <v>4450</v>
      </c>
      <c r="J616" s="83">
        <f>E616*12</f>
        <v>5340</v>
      </c>
      <c r="L616" s="45">
        <f t="shared" si="49"/>
        <v>3560</v>
      </c>
      <c r="M616" s="92">
        <v>100.45</v>
      </c>
    </row>
    <row r="617" spans="1:13" ht="15" customHeight="1">
      <c r="A617" s="46"/>
      <c r="B617" s="92">
        <v>100.5</v>
      </c>
      <c r="C617" s="83">
        <f t="shared" si="51"/>
        <v>112.5</v>
      </c>
      <c r="D617" s="83">
        <f t="shared" si="51"/>
        <v>225</v>
      </c>
      <c r="E617" s="83">
        <f t="shared" si="51"/>
        <v>450</v>
      </c>
      <c r="F617" s="83">
        <f t="shared" si="51"/>
        <v>900</v>
      </c>
      <c r="G617" s="83">
        <f t="shared" si="51"/>
        <v>1800</v>
      </c>
      <c r="H617" s="86">
        <f>H615+80</f>
        <v>3600</v>
      </c>
      <c r="I617" s="83">
        <f t="shared" si="44"/>
        <v>4500</v>
      </c>
      <c r="J617" s="83">
        <f t="shared" si="45"/>
        <v>5400</v>
      </c>
      <c r="L617" s="45">
        <f t="shared" si="49"/>
        <v>3600</v>
      </c>
      <c r="M617" s="92">
        <v>100.5</v>
      </c>
    </row>
    <row r="618" spans="1:13" ht="15" customHeight="1">
      <c r="A618" s="46"/>
      <c r="B618" s="92">
        <v>100.55</v>
      </c>
      <c r="C618" s="83">
        <f>D618/2</f>
        <v>113.75</v>
      </c>
      <c r="D618" s="83">
        <f>E618/2</f>
        <v>227.5</v>
      </c>
      <c r="E618" s="83">
        <f>F618/2</f>
        <v>455</v>
      </c>
      <c r="F618" s="83">
        <f>G618/2</f>
        <v>910</v>
      </c>
      <c r="G618" s="83">
        <f>H618/2</f>
        <v>1820</v>
      </c>
      <c r="H618" s="85">
        <f>H617+((H619-H617)/2)</f>
        <v>3640</v>
      </c>
      <c r="I618" s="83">
        <f>E618*10</f>
        <v>4550</v>
      </c>
      <c r="J618" s="83">
        <f>E618*12</f>
        <v>5460</v>
      </c>
      <c r="L618" s="45">
        <f t="shared" si="49"/>
        <v>3640</v>
      </c>
      <c r="M618" s="92">
        <v>100.55</v>
      </c>
    </row>
    <row r="619" spans="1:13" ht="15" customHeight="1">
      <c r="A619" s="46"/>
      <c r="B619" s="92">
        <v>100.6</v>
      </c>
      <c r="C619" s="83">
        <f t="shared" si="51"/>
        <v>115</v>
      </c>
      <c r="D619" s="83">
        <f t="shared" si="51"/>
        <v>230</v>
      </c>
      <c r="E619" s="83">
        <f t="shared" si="51"/>
        <v>460</v>
      </c>
      <c r="F619" s="83">
        <f t="shared" si="51"/>
        <v>920</v>
      </c>
      <c r="G619" s="83">
        <f t="shared" si="51"/>
        <v>1840</v>
      </c>
      <c r="H619" s="86">
        <f>H617+80</f>
        <v>3680</v>
      </c>
      <c r="I619" s="83">
        <f t="shared" si="44"/>
        <v>4600</v>
      </c>
      <c r="J619" s="83">
        <f t="shared" si="45"/>
        <v>5520</v>
      </c>
      <c r="L619" s="45">
        <f t="shared" si="49"/>
        <v>3680</v>
      </c>
      <c r="M619" s="92">
        <v>100.6</v>
      </c>
    </row>
    <row r="620" spans="1:13" ht="15" customHeight="1">
      <c r="A620" s="46"/>
      <c r="B620" s="92">
        <v>100.65</v>
      </c>
      <c r="C620" s="83">
        <f>D620/2</f>
        <v>116.25</v>
      </c>
      <c r="D620" s="83">
        <f>E620/2</f>
        <v>232.5</v>
      </c>
      <c r="E620" s="83">
        <f>F620/2</f>
        <v>465</v>
      </c>
      <c r="F620" s="83">
        <f>G620/2</f>
        <v>930</v>
      </c>
      <c r="G620" s="83">
        <f>H620/2</f>
        <v>1860</v>
      </c>
      <c r="H620" s="85">
        <f>H619+((H621-H619)/2)</f>
        <v>3720</v>
      </c>
      <c r="I620" s="83">
        <f>E620*10</f>
        <v>4650</v>
      </c>
      <c r="J620" s="83">
        <f>E620*12</f>
        <v>5580</v>
      </c>
      <c r="L620" s="45">
        <f t="shared" si="49"/>
        <v>3720</v>
      </c>
      <c r="M620" s="92">
        <v>100.65</v>
      </c>
    </row>
    <row r="621" spans="1:13" ht="15" customHeight="1">
      <c r="A621" s="46"/>
      <c r="B621" s="92">
        <v>100.7</v>
      </c>
      <c r="C621" s="83">
        <f t="shared" si="51"/>
        <v>117.5</v>
      </c>
      <c r="D621" s="83">
        <f t="shared" si="51"/>
        <v>235</v>
      </c>
      <c r="E621" s="83">
        <f t="shared" si="51"/>
        <v>470</v>
      </c>
      <c r="F621" s="83">
        <f t="shared" si="51"/>
        <v>940</v>
      </c>
      <c r="G621" s="83">
        <f t="shared" si="51"/>
        <v>1880</v>
      </c>
      <c r="H621" s="86">
        <f>H619+80</f>
        <v>3760</v>
      </c>
      <c r="I621" s="83">
        <f t="shared" si="44"/>
        <v>4700</v>
      </c>
      <c r="J621" s="83">
        <f t="shared" si="45"/>
        <v>5640</v>
      </c>
      <c r="L621" s="45">
        <f t="shared" si="49"/>
        <v>3760</v>
      </c>
      <c r="M621" s="92">
        <v>100.7</v>
      </c>
    </row>
    <row r="622" spans="1:13" ht="15" customHeight="1">
      <c r="A622" s="46"/>
      <c r="B622" s="92">
        <v>100.75</v>
      </c>
      <c r="C622" s="83">
        <f>D622/2</f>
        <v>118.75</v>
      </c>
      <c r="D622" s="83">
        <f>E622/2</f>
        <v>237.5</v>
      </c>
      <c r="E622" s="83">
        <f>F622/2</f>
        <v>475</v>
      </c>
      <c r="F622" s="83">
        <f>G622/2</f>
        <v>950</v>
      </c>
      <c r="G622" s="83">
        <f>H622/2</f>
        <v>1900</v>
      </c>
      <c r="H622" s="85">
        <f>H621+((H623-H621)/2)</f>
        <v>3800</v>
      </c>
      <c r="I622" s="83">
        <f>E622*10</f>
        <v>4750</v>
      </c>
      <c r="J622" s="83">
        <f>E622*12</f>
        <v>5700</v>
      </c>
      <c r="L622" s="45">
        <f t="shared" si="49"/>
        <v>3800</v>
      </c>
      <c r="M622" s="92">
        <v>100.75</v>
      </c>
    </row>
    <row r="623" spans="1:13" ht="15" customHeight="1">
      <c r="A623" s="46"/>
      <c r="B623" s="92">
        <v>100.8</v>
      </c>
      <c r="C623" s="83">
        <f t="shared" si="51"/>
        <v>120</v>
      </c>
      <c r="D623" s="83">
        <f t="shared" si="51"/>
        <v>240</v>
      </c>
      <c r="E623" s="83">
        <f t="shared" si="51"/>
        <v>480</v>
      </c>
      <c r="F623" s="83">
        <f t="shared" si="51"/>
        <v>960</v>
      </c>
      <c r="G623" s="83">
        <f t="shared" si="51"/>
        <v>1920</v>
      </c>
      <c r="H623" s="86">
        <f>H621+80</f>
        <v>3840</v>
      </c>
      <c r="I623" s="83">
        <f t="shared" si="44"/>
        <v>4800</v>
      </c>
      <c r="J623" s="83">
        <f t="shared" si="45"/>
        <v>5760</v>
      </c>
      <c r="L623" s="45">
        <f t="shared" si="49"/>
        <v>3840</v>
      </c>
      <c r="M623" s="92">
        <v>100.8</v>
      </c>
    </row>
    <row r="624" spans="1:13" ht="15" customHeight="1">
      <c r="A624" s="46"/>
      <c r="B624" s="92">
        <v>100.85</v>
      </c>
      <c r="C624" s="83">
        <f>D624/2</f>
        <v>121.25</v>
      </c>
      <c r="D624" s="83">
        <f>E624/2</f>
        <v>242.5</v>
      </c>
      <c r="E624" s="83">
        <f>F624/2</f>
        <v>485</v>
      </c>
      <c r="F624" s="83">
        <f>G624/2</f>
        <v>970</v>
      </c>
      <c r="G624" s="83">
        <f>H624/2</f>
        <v>1940</v>
      </c>
      <c r="H624" s="85">
        <f>H623+((H625-H623)/2)</f>
        <v>3880</v>
      </c>
      <c r="I624" s="83">
        <f>E624*10</f>
        <v>4850</v>
      </c>
      <c r="J624" s="83">
        <f>E624*12</f>
        <v>5820</v>
      </c>
      <c r="L624" s="45">
        <f t="shared" si="49"/>
        <v>3880</v>
      </c>
      <c r="M624" s="92">
        <v>100.85</v>
      </c>
    </row>
    <row r="625" spans="1:13" ht="15" customHeight="1">
      <c r="A625" s="46"/>
      <c r="B625" s="92">
        <v>100.9</v>
      </c>
      <c r="C625" s="83">
        <f t="shared" si="51"/>
        <v>122.5</v>
      </c>
      <c r="D625" s="83">
        <f t="shared" si="51"/>
        <v>245</v>
      </c>
      <c r="E625" s="83">
        <f t="shared" si="51"/>
        <v>490</v>
      </c>
      <c r="F625" s="83">
        <f t="shared" si="51"/>
        <v>980</v>
      </c>
      <c r="G625" s="83">
        <f t="shared" si="51"/>
        <v>1960</v>
      </c>
      <c r="H625" s="86">
        <f>H623+80</f>
        <v>3920</v>
      </c>
      <c r="I625" s="83">
        <f t="shared" si="44"/>
        <v>4900</v>
      </c>
      <c r="J625" s="83">
        <f t="shared" si="45"/>
        <v>5880</v>
      </c>
      <c r="L625" s="45">
        <f t="shared" si="49"/>
        <v>3920</v>
      </c>
      <c r="M625" s="92">
        <v>100.9</v>
      </c>
    </row>
    <row r="626" spans="1:13" ht="15" customHeight="1">
      <c r="A626" s="46"/>
      <c r="B626" s="92">
        <v>100.95</v>
      </c>
      <c r="C626" s="83">
        <f>D626/2</f>
        <v>123.75</v>
      </c>
      <c r="D626" s="83">
        <f>E626/2</f>
        <v>247.5</v>
      </c>
      <c r="E626" s="83">
        <f>F626/2</f>
        <v>495</v>
      </c>
      <c r="F626" s="83">
        <f>G626/2</f>
        <v>990</v>
      </c>
      <c r="G626" s="83">
        <f>H626/2</f>
        <v>1980</v>
      </c>
      <c r="H626" s="85">
        <f>H625+((H627-H625)/2)</f>
        <v>3960</v>
      </c>
      <c r="I626" s="83">
        <f>E626*10</f>
        <v>4950</v>
      </c>
      <c r="J626" s="83">
        <f>E626*12</f>
        <v>5940</v>
      </c>
      <c r="L626" s="45">
        <f t="shared" si="49"/>
        <v>3960</v>
      </c>
      <c r="M626" s="92">
        <v>100.95</v>
      </c>
    </row>
    <row r="627" spans="1:13" ht="15" customHeight="1">
      <c r="A627" s="46"/>
      <c r="B627" s="92">
        <v>101</v>
      </c>
      <c r="C627" s="83">
        <f t="shared" ref="C627:G645" si="52">D627/2</f>
        <v>125</v>
      </c>
      <c r="D627" s="83">
        <f t="shared" si="52"/>
        <v>250</v>
      </c>
      <c r="E627" s="83">
        <f t="shared" si="52"/>
        <v>500</v>
      </c>
      <c r="F627" s="83">
        <f t="shared" si="52"/>
        <v>1000</v>
      </c>
      <c r="G627" s="83">
        <f t="shared" si="52"/>
        <v>2000</v>
      </c>
      <c r="H627" s="86">
        <f>H567*2</f>
        <v>4000</v>
      </c>
      <c r="I627" s="83">
        <f t="shared" si="44"/>
        <v>5000</v>
      </c>
      <c r="J627" s="83">
        <f t="shared" si="45"/>
        <v>6000</v>
      </c>
      <c r="L627" s="45">
        <f t="shared" si="49"/>
        <v>4000</v>
      </c>
      <c r="M627" s="92">
        <v>101</v>
      </c>
    </row>
    <row r="628" spans="1:13" ht="15" customHeight="1">
      <c r="A628" s="46"/>
      <c r="B628" s="92">
        <v>101.05</v>
      </c>
      <c r="C628" s="83">
        <f t="shared" si="52"/>
        <v>126.5625</v>
      </c>
      <c r="D628" s="83">
        <f t="shared" si="52"/>
        <v>253.125</v>
      </c>
      <c r="E628" s="83">
        <f t="shared" si="52"/>
        <v>506.25</v>
      </c>
      <c r="F628" s="83">
        <f t="shared" si="52"/>
        <v>1012.5</v>
      </c>
      <c r="G628" s="83">
        <f t="shared" si="52"/>
        <v>2025</v>
      </c>
      <c r="H628" s="85">
        <f>H627+((H629-H627)/2)</f>
        <v>4050</v>
      </c>
      <c r="I628" s="83">
        <f>E628*10</f>
        <v>5062.5</v>
      </c>
      <c r="J628" s="83">
        <f>E628*12</f>
        <v>6075</v>
      </c>
      <c r="L628" s="45">
        <f t="shared" si="49"/>
        <v>4050</v>
      </c>
      <c r="M628" s="92">
        <v>101.05</v>
      </c>
    </row>
    <row r="629" spans="1:13" ht="15" customHeight="1">
      <c r="A629" s="46"/>
      <c r="B629" s="92">
        <v>101.1</v>
      </c>
      <c r="C629" s="83">
        <f t="shared" si="52"/>
        <v>128.125</v>
      </c>
      <c r="D629" s="83">
        <f t="shared" si="52"/>
        <v>256.25</v>
      </c>
      <c r="E629" s="83">
        <f t="shared" si="52"/>
        <v>512.5</v>
      </c>
      <c r="F629" s="83">
        <f t="shared" si="52"/>
        <v>1025</v>
      </c>
      <c r="G629" s="83">
        <f t="shared" si="52"/>
        <v>2050</v>
      </c>
      <c r="H629" s="85">
        <f>H627+((H647-H627)/10)</f>
        <v>4100</v>
      </c>
      <c r="I629" s="83">
        <f t="shared" si="44"/>
        <v>5125</v>
      </c>
      <c r="J629" s="83">
        <f t="shared" si="45"/>
        <v>6150</v>
      </c>
      <c r="L629" s="45">
        <f t="shared" si="49"/>
        <v>4100</v>
      </c>
      <c r="M629" s="92">
        <v>101.1</v>
      </c>
    </row>
    <row r="630" spans="1:13" ht="15" customHeight="1">
      <c r="A630" s="46"/>
      <c r="B630" s="92">
        <v>101.15</v>
      </c>
      <c r="C630" s="83">
        <f t="shared" si="52"/>
        <v>129.6875</v>
      </c>
      <c r="D630" s="83">
        <f t="shared" si="52"/>
        <v>259.375</v>
      </c>
      <c r="E630" s="83">
        <f t="shared" si="52"/>
        <v>518.75</v>
      </c>
      <c r="F630" s="83">
        <f t="shared" si="52"/>
        <v>1037.5</v>
      </c>
      <c r="G630" s="83">
        <f t="shared" si="52"/>
        <v>2075</v>
      </c>
      <c r="H630" s="85">
        <f>H629+((H631-H629)/2)</f>
        <v>4150</v>
      </c>
      <c r="I630" s="83">
        <f>E630*10</f>
        <v>5187.5</v>
      </c>
      <c r="J630" s="83">
        <f>E630*12</f>
        <v>6225</v>
      </c>
      <c r="L630" s="45">
        <f t="shared" si="49"/>
        <v>4150</v>
      </c>
      <c r="M630" s="92">
        <v>101.15</v>
      </c>
    </row>
    <row r="631" spans="1:13" ht="15" customHeight="1">
      <c r="A631" s="46"/>
      <c r="B631" s="92">
        <v>101.2</v>
      </c>
      <c r="C631" s="83">
        <f t="shared" si="52"/>
        <v>131.25</v>
      </c>
      <c r="D631" s="83">
        <f t="shared" si="52"/>
        <v>262.5</v>
      </c>
      <c r="E631" s="83">
        <f t="shared" si="52"/>
        <v>525</v>
      </c>
      <c r="F631" s="83">
        <f t="shared" si="52"/>
        <v>1050</v>
      </c>
      <c r="G631" s="83">
        <f t="shared" si="52"/>
        <v>2100</v>
      </c>
      <c r="H631" s="86">
        <f>H629+100</f>
        <v>4200</v>
      </c>
      <c r="I631" s="83">
        <f t="shared" si="44"/>
        <v>5250</v>
      </c>
      <c r="J631" s="83">
        <f t="shared" si="45"/>
        <v>6300</v>
      </c>
      <c r="L631" s="45">
        <f t="shared" si="49"/>
        <v>4200</v>
      </c>
      <c r="M631" s="92">
        <v>101.2</v>
      </c>
    </row>
    <row r="632" spans="1:13" ht="15" customHeight="1">
      <c r="A632" s="46"/>
      <c r="B632" s="92">
        <v>101.25</v>
      </c>
      <c r="C632" s="83">
        <f t="shared" si="52"/>
        <v>132.8125</v>
      </c>
      <c r="D632" s="83">
        <f t="shared" si="52"/>
        <v>265.625</v>
      </c>
      <c r="E632" s="83">
        <f t="shared" si="52"/>
        <v>531.25</v>
      </c>
      <c r="F632" s="83">
        <f t="shared" si="52"/>
        <v>1062.5</v>
      </c>
      <c r="G632" s="83">
        <f t="shared" si="52"/>
        <v>2125</v>
      </c>
      <c r="H632" s="85">
        <f>H631+((H633-H631)/2)</f>
        <v>4250</v>
      </c>
      <c r="I632" s="83">
        <f>E632*10</f>
        <v>5312.5</v>
      </c>
      <c r="J632" s="83">
        <f>E632*12</f>
        <v>6375</v>
      </c>
      <c r="L632" s="45">
        <f t="shared" si="49"/>
        <v>4250</v>
      </c>
      <c r="M632" s="92">
        <v>101.25</v>
      </c>
    </row>
    <row r="633" spans="1:13" ht="15" customHeight="1">
      <c r="A633" s="46"/>
      <c r="B633" s="92">
        <v>101.3</v>
      </c>
      <c r="C633" s="83">
        <f t="shared" si="52"/>
        <v>134.375</v>
      </c>
      <c r="D633" s="83">
        <f t="shared" si="52"/>
        <v>268.75</v>
      </c>
      <c r="E633" s="83">
        <f t="shared" si="52"/>
        <v>537.5</v>
      </c>
      <c r="F633" s="83">
        <f t="shared" si="52"/>
        <v>1075</v>
      </c>
      <c r="G633" s="83">
        <f t="shared" si="52"/>
        <v>2150</v>
      </c>
      <c r="H633" s="86">
        <f>H631+100</f>
        <v>4300</v>
      </c>
      <c r="I633" s="83">
        <f t="shared" si="44"/>
        <v>5375</v>
      </c>
      <c r="J633" s="83">
        <f t="shared" si="45"/>
        <v>6450</v>
      </c>
      <c r="L633" s="45">
        <f t="shared" si="49"/>
        <v>4300</v>
      </c>
      <c r="M633" s="92">
        <v>101.3</v>
      </c>
    </row>
    <row r="634" spans="1:13" ht="15" customHeight="1">
      <c r="A634" s="46"/>
      <c r="B634" s="92">
        <v>101.35</v>
      </c>
      <c r="C634" s="83">
        <f t="shared" si="52"/>
        <v>135.9375</v>
      </c>
      <c r="D634" s="83">
        <f t="shared" si="52"/>
        <v>271.875</v>
      </c>
      <c r="E634" s="83">
        <f t="shared" si="52"/>
        <v>543.75</v>
      </c>
      <c r="F634" s="83">
        <f t="shared" si="52"/>
        <v>1087.5</v>
      </c>
      <c r="G634" s="83">
        <f t="shared" si="52"/>
        <v>2175</v>
      </c>
      <c r="H634" s="85">
        <f>H633+((H635-H633)/2)</f>
        <v>4350</v>
      </c>
      <c r="I634" s="83">
        <f>E634*10</f>
        <v>5437.5</v>
      </c>
      <c r="J634" s="83">
        <f>E634*12</f>
        <v>6525</v>
      </c>
      <c r="L634" s="45">
        <f t="shared" si="49"/>
        <v>4350</v>
      </c>
      <c r="M634" s="92">
        <v>101.35</v>
      </c>
    </row>
    <row r="635" spans="1:13" ht="15" customHeight="1">
      <c r="A635" s="46"/>
      <c r="B635" s="92">
        <v>101.4</v>
      </c>
      <c r="C635" s="83">
        <f t="shared" si="52"/>
        <v>137.5</v>
      </c>
      <c r="D635" s="83">
        <f t="shared" si="52"/>
        <v>275</v>
      </c>
      <c r="E635" s="83">
        <f t="shared" si="52"/>
        <v>550</v>
      </c>
      <c r="F635" s="83">
        <f t="shared" si="52"/>
        <v>1100</v>
      </c>
      <c r="G635" s="83">
        <f t="shared" si="52"/>
        <v>2200</v>
      </c>
      <c r="H635" s="86">
        <f>H633+100</f>
        <v>4400</v>
      </c>
      <c r="I635" s="83">
        <f t="shared" si="44"/>
        <v>5500</v>
      </c>
      <c r="J635" s="83">
        <f t="shared" si="45"/>
        <v>6600</v>
      </c>
      <c r="L635" s="45">
        <f t="shared" si="49"/>
        <v>4400</v>
      </c>
      <c r="M635" s="92">
        <v>101.4</v>
      </c>
    </row>
    <row r="636" spans="1:13" ht="15" customHeight="1">
      <c r="A636" s="46"/>
      <c r="B636" s="92">
        <v>101.45</v>
      </c>
      <c r="C636" s="83">
        <f t="shared" si="52"/>
        <v>139.0625</v>
      </c>
      <c r="D636" s="83">
        <f t="shared" si="52"/>
        <v>278.125</v>
      </c>
      <c r="E636" s="83">
        <f t="shared" si="52"/>
        <v>556.25</v>
      </c>
      <c r="F636" s="83">
        <f t="shared" si="52"/>
        <v>1112.5</v>
      </c>
      <c r="G636" s="83">
        <f t="shared" si="52"/>
        <v>2225</v>
      </c>
      <c r="H636" s="85">
        <f>H635+((H637-H635)/2)</f>
        <v>4450</v>
      </c>
      <c r="I636" s="83">
        <f>E636*10</f>
        <v>5562.5</v>
      </c>
      <c r="J636" s="83">
        <f>E636*12</f>
        <v>6675</v>
      </c>
      <c r="L636" s="45">
        <f t="shared" si="49"/>
        <v>4450</v>
      </c>
      <c r="M636" s="92">
        <v>101.45</v>
      </c>
    </row>
    <row r="637" spans="1:13" ht="15" customHeight="1">
      <c r="A637" s="46"/>
      <c r="B637" s="92">
        <v>101.5</v>
      </c>
      <c r="C637" s="83">
        <f t="shared" si="52"/>
        <v>140.625</v>
      </c>
      <c r="D637" s="83">
        <f t="shared" si="52"/>
        <v>281.25</v>
      </c>
      <c r="E637" s="83">
        <f t="shared" si="52"/>
        <v>562.5</v>
      </c>
      <c r="F637" s="83">
        <f t="shared" si="52"/>
        <v>1125</v>
      </c>
      <c r="G637" s="83">
        <f t="shared" si="52"/>
        <v>2250</v>
      </c>
      <c r="H637" s="86">
        <f>H635+100</f>
        <v>4500</v>
      </c>
      <c r="I637" s="83">
        <f t="shared" si="44"/>
        <v>5625</v>
      </c>
      <c r="J637" s="83">
        <f t="shared" si="45"/>
        <v>6750</v>
      </c>
      <c r="L637" s="45">
        <f t="shared" si="49"/>
        <v>4500</v>
      </c>
      <c r="M637" s="92">
        <v>101.5</v>
      </c>
    </row>
    <row r="638" spans="1:13" ht="15" customHeight="1">
      <c r="A638" s="46"/>
      <c r="B638" s="92">
        <v>101.55</v>
      </c>
      <c r="C638" s="83">
        <f t="shared" si="52"/>
        <v>142.1875</v>
      </c>
      <c r="D638" s="83">
        <f t="shared" si="52"/>
        <v>284.375</v>
      </c>
      <c r="E638" s="83">
        <f t="shared" si="52"/>
        <v>568.75</v>
      </c>
      <c r="F638" s="83">
        <f t="shared" si="52"/>
        <v>1137.5</v>
      </c>
      <c r="G638" s="83">
        <f t="shared" si="52"/>
        <v>2275</v>
      </c>
      <c r="H638" s="85">
        <f>H637+((H639-H637)/2)</f>
        <v>4550</v>
      </c>
      <c r="I638" s="83">
        <f>E638*10</f>
        <v>5687.5</v>
      </c>
      <c r="J638" s="83">
        <f>E638*12</f>
        <v>6825</v>
      </c>
      <c r="L638" s="45">
        <f t="shared" si="49"/>
        <v>4550</v>
      </c>
      <c r="M638" s="92">
        <v>101.55</v>
      </c>
    </row>
    <row r="639" spans="1:13" ht="15" customHeight="1">
      <c r="A639" s="46"/>
      <c r="B639" s="92">
        <v>101.6</v>
      </c>
      <c r="C639" s="83">
        <f t="shared" si="52"/>
        <v>143.75</v>
      </c>
      <c r="D639" s="83">
        <f t="shared" si="52"/>
        <v>287.5</v>
      </c>
      <c r="E639" s="83">
        <f t="shared" si="52"/>
        <v>575</v>
      </c>
      <c r="F639" s="83">
        <f t="shared" si="52"/>
        <v>1150</v>
      </c>
      <c r="G639" s="83">
        <f t="shared" si="52"/>
        <v>2300</v>
      </c>
      <c r="H639" s="86">
        <f>H637+100</f>
        <v>4600</v>
      </c>
      <c r="I639" s="83">
        <f t="shared" si="44"/>
        <v>5750</v>
      </c>
      <c r="J639" s="83">
        <f t="shared" si="45"/>
        <v>6900</v>
      </c>
      <c r="L639" s="45">
        <f t="shared" si="49"/>
        <v>4600</v>
      </c>
      <c r="M639" s="92">
        <v>101.6</v>
      </c>
    </row>
    <row r="640" spans="1:13" ht="15" customHeight="1">
      <c r="A640" s="46"/>
      <c r="B640" s="92">
        <v>101.65</v>
      </c>
      <c r="C640" s="83">
        <f t="shared" si="52"/>
        <v>145.3125</v>
      </c>
      <c r="D640" s="83">
        <f t="shared" si="52"/>
        <v>290.625</v>
      </c>
      <c r="E640" s="83">
        <f t="shared" si="52"/>
        <v>581.25</v>
      </c>
      <c r="F640" s="83">
        <f t="shared" si="52"/>
        <v>1162.5</v>
      </c>
      <c r="G640" s="83">
        <f t="shared" si="52"/>
        <v>2325</v>
      </c>
      <c r="H640" s="85">
        <f>H639+((H641-H639)/2)</f>
        <v>4650</v>
      </c>
      <c r="I640" s="83">
        <f>E640*10</f>
        <v>5812.5</v>
      </c>
      <c r="J640" s="83">
        <f>E640*12</f>
        <v>6975</v>
      </c>
      <c r="L640" s="45">
        <f t="shared" si="49"/>
        <v>4650</v>
      </c>
      <c r="M640" s="92">
        <v>101.65</v>
      </c>
    </row>
    <row r="641" spans="1:13" ht="15" customHeight="1">
      <c r="A641" s="46"/>
      <c r="B641" s="92">
        <v>101.7</v>
      </c>
      <c r="C641" s="83">
        <f t="shared" si="52"/>
        <v>146.875</v>
      </c>
      <c r="D641" s="83">
        <f t="shared" si="52"/>
        <v>293.75</v>
      </c>
      <c r="E641" s="83">
        <f t="shared" si="52"/>
        <v>587.5</v>
      </c>
      <c r="F641" s="83">
        <f t="shared" si="52"/>
        <v>1175</v>
      </c>
      <c r="G641" s="83">
        <f t="shared" si="52"/>
        <v>2350</v>
      </c>
      <c r="H641" s="86">
        <f>H639+100</f>
        <v>4700</v>
      </c>
      <c r="I641" s="83">
        <f t="shared" si="44"/>
        <v>5875</v>
      </c>
      <c r="J641" s="83">
        <f t="shared" si="45"/>
        <v>7050</v>
      </c>
      <c r="L641" s="45">
        <f t="shared" si="49"/>
        <v>4700</v>
      </c>
      <c r="M641" s="92">
        <v>101.7</v>
      </c>
    </row>
    <row r="642" spans="1:13" ht="15" customHeight="1">
      <c r="A642" s="46"/>
      <c r="B642" s="92">
        <v>101.75</v>
      </c>
      <c r="C642" s="83">
        <f t="shared" si="52"/>
        <v>148.4375</v>
      </c>
      <c r="D642" s="83">
        <f t="shared" si="52"/>
        <v>296.875</v>
      </c>
      <c r="E642" s="83">
        <f t="shared" si="52"/>
        <v>593.75</v>
      </c>
      <c r="F642" s="83">
        <f t="shared" si="52"/>
        <v>1187.5</v>
      </c>
      <c r="G642" s="83">
        <f t="shared" si="52"/>
        <v>2375</v>
      </c>
      <c r="H642" s="85">
        <f>H641+((H643-H641)/2)</f>
        <v>4750</v>
      </c>
      <c r="I642" s="83">
        <f>E642*10</f>
        <v>5937.5</v>
      </c>
      <c r="J642" s="83">
        <f>E642*12</f>
        <v>7125</v>
      </c>
      <c r="L642" s="45">
        <f t="shared" si="49"/>
        <v>4750</v>
      </c>
      <c r="M642" s="92">
        <v>101.75</v>
      </c>
    </row>
    <row r="643" spans="1:13" ht="15" customHeight="1">
      <c r="A643" s="46"/>
      <c r="B643" s="92">
        <v>101.8</v>
      </c>
      <c r="C643" s="83">
        <f t="shared" si="52"/>
        <v>150</v>
      </c>
      <c r="D643" s="83">
        <f t="shared" si="52"/>
        <v>300</v>
      </c>
      <c r="E643" s="83">
        <f t="shared" si="52"/>
        <v>600</v>
      </c>
      <c r="F643" s="83">
        <f t="shared" si="52"/>
        <v>1200</v>
      </c>
      <c r="G643" s="83">
        <f t="shared" si="52"/>
        <v>2400</v>
      </c>
      <c r="H643" s="86">
        <f>H641+100</f>
        <v>4800</v>
      </c>
      <c r="I643" s="83">
        <f t="shared" si="44"/>
        <v>6000</v>
      </c>
      <c r="J643" s="83">
        <f t="shared" si="45"/>
        <v>7200</v>
      </c>
      <c r="L643" s="45">
        <f t="shared" si="49"/>
        <v>4800</v>
      </c>
      <c r="M643" s="92">
        <v>101.8</v>
      </c>
    </row>
    <row r="644" spans="1:13" ht="15" customHeight="1">
      <c r="A644" s="46"/>
      <c r="B644" s="92">
        <v>101.85</v>
      </c>
      <c r="C644" s="83">
        <f t="shared" si="52"/>
        <v>151.5625</v>
      </c>
      <c r="D644" s="83">
        <f t="shared" si="52"/>
        <v>303.125</v>
      </c>
      <c r="E644" s="83">
        <f t="shared" si="52"/>
        <v>606.25</v>
      </c>
      <c r="F644" s="83">
        <f t="shared" si="52"/>
        <v>1212.5</v>
      </c>
      <c r="G644" s="83">
        <f t="shared" si="52"/>
        <v>2425</v>
      </c>
      <c r="H644" s="85">
        <f>H643+((H645-H643)/2)</f>
        <v>4850</v>
      </c>
      <c r="I644" s="83">
        <f>E644*10</f>
        <v>6062.5</v>
      </c>
      <c r="J644" s="83">
        <f>E644*12</f>
        <v>7275</v>
      </c>
      <c r="L644" s="45">
        <f t="shared" si="49"/>
        <v>4850</v>
      </c>
      <c r="M644" s="92">
        <v>101.85</v>
      </c>
    </row>
    <row r="645" spans="1:13" ht="15" customHeight="1">
      <c r="A645" s="46"/>
      <c r="B645" s="92">
        <v>101.9</v>
      </c>
      <c r="C645" s="83">
        <f t="shared" si="52"/>
        <v>153.125</v>
      </c>
      <c r="D645" s="83">
        <f t="shared" si="52"/>
        <v>306.25</v>
      </c>
      <c r="E645" s="83">
        <f t="shared" si="52"/>
        <v>612.5</v>
      </c>
      <c r="F645" s="83">
        <f t="shared" si="52"/>
        <v>1225</v>
      </c>
      <c r="G645" s="83">
        <f t="shared" si="52"/>
        <v>2450</v>
      </c>
      <c r="H645" s="86">
        <f>H643+100</f>
        <v>4900</v>
      </c>
      <c r="I645" s="83">
        <f t="shared" si="44"/>
        <v>6125</v>
      </c>
      <c r="J645" s="83">
        <f t="shared" si="45"/>
        <v>7350</v>
      </c>
      <c r="L645" s="45">
        <f t="shared" si="49"/>
        <v>4900</v>
      </c>
      <c r="M645" s="92">
        <v>101.9</v>
      </c>
    </row>
    <row r="646" spans="1:13" ht="15" customHeight="1">
      <c r="A646" s="46"/>
      <c r="B646" s="92">
        <v>101.95</v>
      </c>
      <c r="C646" s="83">
        <f>D646/2</f>
        <v>154.6875</v>
      </c>
      <c r="D646" s="83">
        <f>E646/2</f>
        <v>309.375</v>
      </c>
      <c r="E646" s="83">
        <f>F646/2</f>
        <v>618.75</v>
      </c>
      <c r="F646" s="83">
        <f>G646/2</f>
        <v>1237.5</v>
      </c>
      <c r="G646" s="83">
        <f>H646/2</f>
        <v>2475</v>
      </c>
      <c r="H646" s="85">
        <f>H645+((H647-H645)/2)</f>
        <v>4950</v>
      </c>
      <c r="I646" s="83">
        <f>E646*10</f>
        <v>6187.5</v>
      </c>
      <c r="J646" s="83">
        <f>E646*12</f>
        <v>7425</v>
      </c>
      <c r="L646" s="45">
        <f t="shared" si="49"/>
        <v>4950</v>
      </c>
      <c r="M646" s="92">
        <v>101.95</v>
      </c>
    </row>
    <row r="647" spans="1:13" ht="15" customHeight="1">
      <c r="A647" s="46"/>
      <c r="B647" s="92">
        <v>102</v>
      </c>
      <c r="C647" s="83">
        <f t="shared" ref="C647:G665" si="53">D647/2</f>
        <v>156.25</v>
      </c>
      <c r="D647" s="83">
        <f t="shared" si="53"/>
        <v>312.5</v>
      </c>
      <c r="E647" s="83">
        <f t="shared" si="53"/>
        <v>625</v>
      </c>
      <c r="F647" s="83">
        <f t="shared" si="53"/>
        <v>1250</v>
      </c>
      <c r="G647" s="83">
        <f t="shared" si="53"/>
        <v>2500</v>
      </c>
      <c r="H647" s="86">
        <f>H587*2</f>
        <v>5000</v>
      </c>
      <c r="I647" s="83">
        <f t="shared" si="44"/>
        <v>6250</v>
      </c>
      <c r="J647" s="83">
        <f t="shared" si="45"/>
        <v>7500</v>
      </c>
      <c r="L647" s="45">
        <f t="shared" si="49"/>
        <v>5000</v>
      </c>
      <c r="M647" s="92">
        <v>102</v>
      </c>
    </row>
    <row r="648" spans="1:13" ht="15" customHeight="1">
      <c r="A648" s="46"/>
      <c r="B648" s="92">
        <v>102.05</v>
      </c>
      <c r="C648" s="83">
        <f t="shared" si="53"/>
        <v>158.4375</v>
      </c>
      <c r="D648" s="83">
        <f t="shared" si="53"/>
        <v>316.875</v>
      </c>
      <c r="E648" s="83">
        <f t="shared" si="53"/>
        <v>633.75</v>
      </c>
      <c r="F648" s="83">
        <f t="shared" si="53"/>
        <v>1267.5</v>
      </c>
      <c r="G648" s="83">
        <f t="shared" si="53"/>
        <v>2535</v>
      </c>
      <c r="H648" s="85">
        <f>H647+((H649-H647)/2)</f>
        <v>5070</v>
      </c>
      <c r="I648" s="83">
        <f>E648*10</f>
        <v>6337.5</v>
      </c>
      <c r="J648" s="83">
        <f>E648*12</f>
        <v>7605</v>
      </c>
      <c r="L648" s="45">
        <f t="shared" ref="L648:L711" si="54">+H648</f>
        <v>5070</v>
      </c>
      <c r="M648" s="92">
        <v>102.05</v>
      </c>
    </row>
    <row r="649" spans="1:13" ht="15" customHeight="1">
      <c r="A649" s="46"/>
      <c r="B649" s="92">
        <v>102.1</v>
      </c>
      <c r="C649" s="83">
        <f t="shared" si="53"/>
        <v>160.625</v>
      </c>
      <c r="D649" s="83">
        <f t="shared" si="53"/>
        <v>321.25</v>
      </c>
      <c r="E649" s="83">
        <f t="shared" si="53"/>
        <v>642.5</v>
      </c>
      <c r="F649" s="83">
        <f t="shared" si="53"/>
        <v>1285</v>
      </c>
      <c r="G649" s="83">
        <f t="shared" si="53"/>
        <v>2570</v>
      </c>
      <c r="H649" s="85">
        <f>H647+((H667-H647)/10)</f>
        <v>5140</v>
      </c>
      <c r="I649" s="83">
        <f t="shared" ref="I649:I775" si="55">E649*10</f>
        <v>6425</v>
      </c>
      <c r="J649" s="83">
        <f t="shared" ref="J649:J775" si="56">E649*12</f>
        <v>7710</v>
      </c>
      <c r="L649" s="45">
        <f t="shared" si="54"/>
        <v>5140</v>
      </c>
      <c r="M649" s="92">
        <v>102.1</v>
      </c>
    </row>
    <row r="650" spans="1:13" ht="15" customHeight="1">
      <c r="A650" s="46"/>
      <c r="B650" s="92">
        <v>102.15</v>
      </c>
      <c r="C650" s="83">
        <f t="shared" si="53"/>
        <v>162.8125</v>
      </c>
      <c r="D650" s="83">
        <f t="shared" si="53"/>
        <v>325.625</v>
      </c>
      <c r="E650" s="83">
        <f t="shared" si="53"/>
        <v>651.25</v>
      </c>
      <c r="F650" s="83">
        <f t="shared" si="53"/>
        <v>1302.5</v>
      </c>
      <c r="G650" s="83">
        <f t="shared" si="53"/>
        <v>2605</v>
      </c>
      <c r="H650" s="85">
        <f>H649+((H651-H649)/2)</f>
        <v>5210</v>
      </c>
      <c r="I650" s="83">
        <f>E650*10</f>
        <v>6512.5</v>
      </c>
      <c r="J650" s="83">
        <f>E650*12</f>
        <v>7815</v>
      </c>
      <c r="L650" s="45">
        <f t="shared" si="54"/>
        <v>5210</v>
      </c>
      <c r="M650" s="92">
        <v>102.15</v>
      </c>
    </row>
    <row r="651" spans="1:13" ht="15" customHeight="1">
      <c r="A651" s="46"/>
      <c r="B651" s="92">
        <v>102.2</v>
      </c>
      <c r="C651" s="83">
        <f t="shared" si="53"/>
        <v>165</v>
      </c>
      <c r="D651" s="83">
        <f t="shared" si="53"/>
        <v>330</v>
      </c>
      <c r="E651" s="83">
        <f t="shared" si="53"/>
        <v>660</v>
      </c>
      <c r="F651" s="83">
        <f t="shared" si="53"/>
        <v>1320</v>
      </c>
      <c r="G651" s="83">
        <f t="shared" si="53"/>
        <v>2640</v>
      </c>
      <c r="H651" s="86">
        <f>H649+140</f>
        <v>5280</v>
      </c>
      <c r="I651" s="83">
        <f t="shared" si="55"/>
        <v>6600</v>
      </c>
      <c r="J651" s="83">
        <f t="shared" si="56"/>
        <v>7920</v>
      </c>
      <c r="L651" s="45">
        <f t="shared" si="54"/>
        <v>5280</v>
      </c>
      <c r="M651" s="92">
        <v>102.2</v>
      </c>
    </row>
    <row r="652" spans="1:13" ht="15" customHeight="1">
      <c r="A652" s="46"/>
      <c r="B652" s="92">
        <v>102.25</v>
      </c>
      <c r="C652" s="83">
        <f t="shared" si="53"/>
        <v>167.1875</v>
      </c>
      <c r="D652" s="83">
        <f t="shared" si="53"/>
        <v>334.375</v>
      </c>
      <c r="E652" s="83">
        <f t="shared" si="53"/>
        <v>668.75</v>
      </c>
      <c r="F652" s="83">
        <f t="shared" si="53"/>
        <v>1337.5</v>
      </c>
      <c r="G652" s="83">
        <f t="shared" si="53"/>
        <v>2675</v>
      </c>
      <c r="H652" s="85">
        <f>H651+((H653-H651)/2)</f>
        <v>5350</v>
      </c>
      <c r="I652" s="83">
        <f>E652*10</f>
        <v>6687.5</v>
      </c>
      <c r="J652" s="83">
        <f>E652*12</f>
        <v>8025</v>
      </c>
      <c r="L652" s="45">
        <f t="shared" si="54"/>
        <v>5350</v>
      </c>
      <c r="M652" s="92">
        <v>102.25</v>
      </c>
    </row>
    <row r="653" spans="1:13" ht="15" customHeight="1">
      <c r="A653" s="46"/>
      <c r="B653" s="92">
        <v>102.3</v>
      </c>
      <c r="C653" s="83">
        <f t="shared" si="53"/>
        <v>169.375</v>
      </c>
      <c r="D653" s="83">
        <f t="shared" si="53"/>
        <v>338.75</v>
      </c>
      <c r="E653" s="83">
        <f t="shared" si="53"/>
        <v>677.5</v>
      </c>
      <c r="F653" s="83">
        <f t="shared" si="53"/>
        <v>1355</v>
      </c>
      <c r="G653" s="83">
        <f t="shared" si="53"/>
        <v>2710</v>
      </c>
      <c r="H653" s="86">
        <f>H651+140</f>
        <v>5420</v>
      </c>
      <c r="I653" s="83">
        <f t="shared" si="55"/>
        <v>6775</v>
      </c>
      <c r="J653" s="83">
        <f t="shared" si="56"/>
        <v>8130</v>
      </c>
      <c r="L653" s="45">
        <f t="shared" si="54"/>
        <v>5420</v>
      </c>
      <c r="M653" s="92">
        <v>102.3</v>
      </c>
    </row>
    <row r="654" spans="1:13" ht="15" customHeight="1">
      <c r="A654" s="46"/>
      <c r="B654" s="92">
        <v>102.35</v>
      </c>
      <c r="C654" s="83">
        <f t="shared" si="53"/>
        <v>171.5625</v>
      </c>
      <c r="D654" s="83">
        <f t="shared" si="53"/>
        <v>343.125</v>
      </c>
      <c r="E654" s="83">
        <f t="shared" si="53"/>
        <v>686.25</v>
      </c>
      <c r="F654" s="83">
        <f t="shared" si="53"/>
        <v>1372.5</v>
      </c>
      <c r="G654" s="83">
        <f t="shared" si="53"/>
        <v>2745</v>
      </c>
      <c r="H654" s="85">
        <f>H653+((H655-H653)/2)</f>
        <v>5490</v>
      </c>
      <c r="I654" s="83">
        <f>E654*10</f>
        <v>6862.5</v>
      </c>
      <c r="J654" s="83">
        <f>E654*12</f>
        <v>8235</v>
      </c>
      <c r="L654" s="45">
        <f t="shared" si="54"/>
        <v>5490</v>
      </c>
      <c r="M654" s="92">
        <v>102.35</v>
      </c>
    </row>
    <row r="655" spans="1:13" ht="15" customHeight="1">
      <c r="A655" s="46"/>
      <c r="B655" s="92">
        <v>102.4</v>
      </c>
      <c r="C655" s="83">
        <f t="shared" si="53"/>
        <v>173.75</v>
      </c>
      <c r="D655" s="83">
        <f t="shared" si="53"/>
        <v>347.5</v>
      </c>
      <c r="E655" s="83">
        <f t="shared" si="53"/>
        <v>695</v>
      </c>
      <c r="F655" s="83">
        <f t="shared" si="53"/>
        <v>1390</v>
      </c>
      <c r="G655" s="83">
        <f t="shared" si="53"/>
        <v>2780</v>
      </c>
      <c r="H655" s="86">
        <f>H653+140</f>
        <v>5560</v>
      </c>
      <c r="I655" s="83">
        <f t="shared" si="55"/>
        <v>6950</v>
      </c>
      <c r="J655" s="83">
        <f t="shared" si="56"/>
        <v>8340</v>
      </c>
      <c r="L655" s="45">
        <f t="shared" si="54"/>
        <v>5560</v>
      </c>
      <c r="M655" s="92">
        <v>102.4</v>
      </c>
    </row>
    <row r="656" spans="1:13" ht="15" customHeight="1">
      <c r="A656" s="46"/>
      <c r="B656" s="92">
        <v>102.45</v>
      </c>
      <c r="C656" s="83">
        <f t="shared" si="53"/>
        <v>175.9375</v>
      </c>
      <c r="D656" s="83">
        <f t="shared" si="53"/>
        <v>351.875</v>
      </c>
      <c r="E656" s="83">
        <f t="shared" si="53"/>
        <v>703.75</v>
      </c>
      <c r="F656" s="83">
        <f t="shared" si="53"/>
        <v>1407.5</v>
      </c>
      <c r="G656" s="83">
        <f t="shared" si="53"/>
        <v>2815</v>
      </c>
      <c r="H656" s="85">
        <f>H655+((H657-H655)/2)</f>
        <v>5630</v>
      </c>
      <c r="I656" s="83">
        <f>E656*10</f>
        <v>7037.5</v>
      </c>
      <c r="J656" s="83">
        <f>E656*12</f>
        <v>8445</v>
      </c>
      <c r="L656" s="45">
        <f t="shared" si="54"/>
        <v>5630</v>
      </c>
      <c r="M656" s="92">
        <v>102.45</v>
      </c>
    </row>
    <row r="657" spans="1:13" ht="15" customHeight="1">
      <c r="A657" s="46"/>
      <c r="B657" s="92">
        <v>102.5</v>
      </c>
      <c r="C657" s="83">
        <f t="shared" si="53"/>
        <v>178.125</v>
      </c>
      <c r="D657" s="83">
        <f t="shared" si="53"/>
        <v>356.25</v>
      </c>
      <c r="E657" s="83">
        <f t="shared" si="53"/>
        <v>712.5</v>
      </c>
      <c r="F657" s="83">
        <f t="shared" si="53"/>
        <v>1425</v>
      </c>
      <c r="G657" s="83">
        <f t="shared" si="53"/>
        <v>2850</v>
      </c>
      <c r="H657" s="86">
        <f>H655+140</f>
        <v>5700</v>
      </c>
      <c r="I657" s="83">
        <f t="shared" si="55"/>
        <v>7125</v>
      </c>
      <c r="J657" s="83">
        <f t="shared" si="56"/>
        <v>8550</v>
      </c>
      <c r="L657" s="45">
        <f t="shared" si="54"/>
        <v>5700</v>
      </c>
      <c r="M657" s="92">
        <v>102.5</v>
      </c>
    </row>
    <row r="658" spans="1:13" ht="15" customHeight="1">
      <c r="A658" s="46"/>
      <c r="B658" s="92">
        <v>102.55</v>
      </c>
      <c r="C658" s="83">
        <f t="shared" si="53"/>
        <v>180.3125</v>
      </c>
      <c r="D658" s="83">
        <f t="shared" si="53"/>
        <v>360.625</v>
      </c>
      <c r="E658" s="83">
        <f t="shared" si="53"/>
        <v>721.25</v>
      </c>
      <c r="F658" s="83">
        <f t="shared" si="53"/>
        <v>1442.5</v>
      </c>
      <c r="G658" s="83">
        <f t="shared" si="53"/>
        <v>2885</v>
      </c>
      <c r="H658" s="85">
        <f>H657+((H659-H657)/2)</f>
        <v>5770</v>
      </c>
      <c r="I658" s="83">
        <f>E658*10</f>
        <v>7212.5</v>
      </c>
      <c r="J658" s="83">
        <f>E658*12</f>
        <v>8655</v>
      </c>
      <c r="L658" s="45">
        <f t="shared" si="54"/>
        <v>5770</v>
      </c>
      <c r="M658" s="92">
        <v>102.55</v>
      </c>
    </row>
    <row r="659" spans="1:13" ht="15" customHeight="1">
      <c r="A659" s="46"/>
      <c r="B659" s="92">
        <v>102.6</v>
      </c>
      <c r="C659" s="83">
        <f t="shared" si="53"/>
        <v>182.5</v>
      </c>
      <c r="D659" s="83">
        <f t="shared" si="53"/>
        <v>365</v>
      </c>
      <c r="E659" s="83">
        <f t="shared" si="53"/>
        <v>730</v>
      </c>
      <c r="F659" s="83">
        <f t="shared" si="53"/>
        <v>1460</v>
      </c>
      <c r="G659" s="83">
        <f t="shared" si="53"/>
        <v>2920</v>
      </c>
      <c r="H659" s="86">
        <f>H657+140</f>
        <v>5840</v>
      </c>
      <c r="I659" s="83">
        <f t="shared" si="55"/>
        <v>7300</v>
      </c>
      <c r="J659" s="83">
        <f t="shared" si="56"/>
        <v>8760</v>
      </c>
      <c r="L659" s="45">
        <f t="shared" si="54"/>
        <v>5840</v>
      </c>
      <c r="M659" s="92">
        <v>102.6</v>
      </c>
    </row>
    <row r="660" spans="1:13" ht="15" customHeight="1">
      <c r="A660" s="46"/>
      <c r="B660" s="92">
        <v>102.65</v>
      </c>
      <c r="C660" s="83">
        <f t="shared" si="53"/>
        <v>184.6875</v>
      </c>
      <c r="D660" s="83">
        <f t="shared" si="53"/>
        <v>369.375</v>
      </c>
      <c r="E660" s="83">
        <f t="shared" si="53"/>
        <v>738.75</v>
      </c>
      <c r="F660" s="83">
        <f t="shared" si="53"/>
        <v>1477.5</v>
      </c>
      <c r="G660" s="83">
        <f t="shared" si="53"/>
        <v>2955</v>
      </c>
      <c r="H660" s="85">
        <f>H659+((H661-H659)/2)</f>
        <v>5910</v>
      </c>
      <c r="I660" s="83">
        <f>E660*10</f>
        <v>7387.5</v>
      </c>
      <c r="J660" s="83">
        <f>E660*12</f>
        <v>8865</v>
      </c>
      <c r="L660" s="45">
        <f t="shared" si="54"/>
        <v>5910</v>
      </c>
      <c r="M660" s="92">
        <v>102.65</v>
      </c>
    </row>
    <row r="661" spans="1:13" ht="15" customHeight="1">
      <c r="A661" s="46"/>
      <c r="B661" s="92">
        <v>102.7</v>
      </c>
      <c r="C661" s="83">
        <f t="shared" si="53"/>
        <v>186.875</v>
      </c>
      <c r="D661" s="83">
        <f t="shared" si="53"/>
        <v>373.75</v>
      </c>
      <c r="E661" s="83">
        <f t="shared" si="53"/>
        <v>747.5</v>
      </c>
      <c r="F661" s="83">
        <f t="shared" si="53"/>
        <v>1495</v>
      </c>
      <c r="G661" s="83">
        <f t="shared" si="53"/>
        <v>2990</v>
      </c>
      <c r="H661" s="86">
        <f>H659+140</f>
        <v>5980</v>
      </c>
      <c r="I661" s="83">
        <f t="shared" si="55"/>
        <v>7475</v>
      </c>
      <c r="J661" s="83">
        <f t="shared" si="56"/>
        <v>8970</v>
      </c>
      <c r="L661" s="45">
        <f t="shared" si="54"/>
        <v>5980</v>
      </c>
      <c r="M661" s="92">
        <v>102.7</v>
      </c>
    </row>
    <row r="662" spans="1:13" ht="15" customHeight="1">
      <c r="A662" s="46"/>
      <c r="B662" s="92">
        <v>102.75</v>
      </c>
      <c r="C662" s="83">
        <f t="shared" si="53"/>
        <v>189.0625</v>
      </c>
      <c r="D662" s="83">
        <f t="shared" si="53"/>
        <v>378.125</v>
      </c>
      <c r="E662" s="83">
        <f t="shared" si="53"/>
        <v>756.25</v>
      </c>
      <c r="F662" s="83">
        <f t="shared" si="53"/>
        <v>1512.5</v>
      </c>
      <c r="G662" s="83">
        <f t="shared" si="53"/>
        <v>3025</v>
      </c>
      <c r="H662" s="85">
        <f>H661+((H663-H661)/2)</f>
        <v>6050</v>
      </c>
      <c r="I662" s="83">
        <f>E662*10</f>
        <v>7562.5</v>
      </c>
      <c r="J662" s="83">
        <f>E662*12</f>
        <v>9075</v>
      </c>
      <c r="L662" s="45">
        <f t="shared" si="54"/>
        <v>6050</v>
      </c>
      <c r="M662" s="92">
        <v>102.75</v>
      </c>
    </row>
    <row r="663" spans="1:13" ht="15" customHeight="1">
      <c r="A663" s="46"/>
      <c r="B663" s="92">
        <v>102.8</v>
      </c>
      <c r="C663" s="83">
        <f t="shared" si="53"/>
        <v>191.25</v>
      </c>
      <c r="D663" s="83">
        <f t="shared" si="53"/>
        <v>382.5</v>
      </c>
      <c r="E663" s="83">
        <f t="shared" si="53"/>
        <v>765</v>
      </c>
      <c r="F663" s="83">
        <f t="shared" si="53"/>
        <v>1530</v>
      </c>
      <c r="G663" s="83">
        <f t="shared" si="53"/>
        <v>3060</v>
      </c>
      <c r="H663" s="86">
        <f>H661+140</f>
        <v>6120</v>
      </c>
      <c r="I663" s="83">
        <f t="shared" si="55"/>
        <v>7650</v>
      </c>
      <c r="J663" s="83">
        <f t="shared" si="56"/>
        <v>9180</v>
      </c>
      <c r="L663" s="45">
        <f t="shared" si="54"/>
        <v>6120</v>
      </c>
      <c r="M663" s="92">
        <v>102.8</v>
      </c>
    </row>
    <row r="664" spans="1:13" ht="15" customHeight="1">
      <c r="A664" s="46"/>
      <c r="B664" s="92">
        <v>102.85</v>
      </c>
      <c r="C664" s="83">
        <f t="shared" si="53"/>
        <v>193.4375</v>
      </c>
      <c r="D664" s="83">
        <f t="shared" si="53"/>
        <v>386.875</v>
      </c>
      <c r="E664" s="83">
        <f t="shared" si="53"/>
        <v>773.75</v>
      </c>
      <c r="F664" s="83">
        <f t="shared" si="53"/>
        <v>1547.5</v>
      </c>
      <c r="G664" s="83">
        <f t="shared" si="53"/>
        <v>3095</v>
      </c>
      <c r="H664" s="85">
        <f>H663+((H665-H663)/2)</f>
        <v>6190</v>
      </c>
      <c r="I664" s="83">
        <f>E664*10</f>
        <v>7737.5</v>
      </c>
      <c r="J664" s="83">
        <f>E664*12</f>
        <v>9285</v>
      </c>
      <c r="L664" s="45">
        <f t="shared" si="54"/>
        <v>6190</v>
      </c>
      <c r="M664" s="92">
        <v>102.85</v>
      </c>
    </row>
    <row r="665" spans="1:13" ht="15" customHeight="1">
      <c r="A665" s="46"/>
      <c r="B665" s="92">
        <v>102.9</v>
      </c>
      <c r="C665" s="83">
        <f t="shared" si="53"/>
        <v>195.625</v>
      </c>
      <c r="D665" s="83">
        <f t="shared" si="53"/>
        <v>391.25</v>
      </c>
      <c r="E665" s="83">
        <f t="shared" si="53"/>
        <v>782.5</v>
      </c>
      <c r="F665" s="83">
        <f t="shared" si="53"/>
        <v>1565</v>
      </c>
      <c r="G665" s="83">
        <f t="shared" si="53"/>
        <v>3130</v>
      </c>
      <c r="H665" s="86">
        <f>H663+140</f>
        <v>6260</v>
      </c>
      <c r="I665" s="83">
        <f t="shared" si="55"/>
        <v>7825</v>
      </c>
      <c r="J665" s="83">
        <f t="shared" si="56"/>
        <v>9390</v>
      </c>
      <c r="L665" s="45">
        <f t="shared" si="54"/>
        <v>6260</v>
      </c>
      <c r="M665" s="92">
        <v>102.9</v>
      </c>
    </row>
    <row r="666" spans="1:13" ht="15" customHeight="1">
      <c r="A666" s="46"/>
      <c r="B666" s="92">
        <v>102.95</v>
      </c>
      <c r="C666" s="83">
        <f>D666/2</f>
        <v>197.8125</v>
      </c>
      <c r="D666" s="83">
        <f>E666/2</f>
        <v>395.625</v>
      </c>
      <c r="E666" s="83">
        <f>F666/2</f>
        <v>791.25</v>
      </c>
      <c r="F666" s="83">
        <f>G666/2</f>
        <v>1582.5</v>
      </c>
      <c r="G666" s="83">
        <f>H666/2</f>
        <v>3165</v>
      </c>
      <c r="H666" s="85">
        <f>H665+((H667-H665)/2)</f>
        <v>6330</v>
      </c>
      <c r="I666" s="83">
        <f>E666*10</f>
        <v>7912.5</v>
      </c>
      <c r="J666" s="83">
        <f>E666*12</f>
        <v>9495</v>
      </c>
      <c r="L666" s="45">
        <f t="shared" si="54"/>
        <v>6330</v>
      </c>
      <c r="M666" s="92">
        <v>102.95</v>
      </c>
    </row>
    <row r="667" spans="1:13" ht="15" customHeight="1">
      <c r="A667" s="46"/>
      <c r="B667" s="92">
        <v>103</v>
      </c>
      <c r="C667" s="83">
        <f t="shared" ref="C667:G685" si="57">D667/2</f>
        <v>200</v>
      </c>
      <c r="D667" s="83">
        <f t="shared" si="57"/>
        <v>400</v>
      </c>
      <c r="E667" s="83">
        <f t="shared" si="57"/>
        <v>800</v>
      </c>
      <c r="F667" s="83">
        <f t="shared" si="57"/>
        <v>1600</v>
      </c>
      <c r="G667" s="83">
        <f t="shared" si="57"/>
        <v>3200</v>
      </c>
      <c r="H667" s="86">
        <f>H607*2</f>
        <v>6400</v>
      </c>
      <c r="I667" s="83">
        <f t="shared" si="55"/>
        <v>8000</v>
      </c>
      <c r="J667" s="83">
        <f t="shared" si="56"/>
        <v>9600</v>
      </c>
      <c r="L667" s="45">
        <f t="shared" si="54"/>
        <v>6400</v>
      </c>
      <c r="M667" s="92">
        <v>103</v>
      </c>
    </row>
    <row r="668" spans="1:13" ht="15" customHeight="1">
      <c r="A668" s="46"/>
      <c r="B668" s="92">
        <v>103.05</v>
      </c>
      <c r="C668" s="83">
        <f t="shared" si="57"/>
        <v>202.5</v>
      </c>
      <c r="D668" s="83">
        <f t="shared" si="57"/>
        <v>405</v>
      </c>
      <c r="E668" s="83">
        <f t="shared" si="57"/>
        <v>810</v>
      </c>
      <c r="F668" s="83">
        <f t="shared" si="57"/>
        <v>1620</v>
      </c>
      <c r="G668" s="83">
        <f t="shared" si="57"/>
        <v>3240</v>
      </c>
      <c r="H668" s="85">
        <f>H667+((H669-H667)/2)</f>
        <v>6480</v>
      </c>
      <c r="I668" s="83">
        <f>E668*10</f>
        <v>8100</v>
      </c>
      <c r="J668" s="83">
        <f>E668*12</f>
        <v>9720</v>
      </c>
      <c r="L668" s="45">
        <f t="shared" si="54"/>
        <v>6480</v>
      </c>
      <c r="M668" s="92">
        <v>103.05</v>
      </c>
    </row>
    <row r="669" spans="1:13" ht="15" customHeight="1">
      <c r="A669" s="46"/>
      <c r="B669" s="92">
        <v>103.1</v>
      </c>
      <c r="C669" s="83">
        <f t="shared" si="57"/>
        <v>205</v>
      </c>
      <c r="D669" s="83">
        <f t="shared" si="57"/>
        <v>410</v>
      </c>
      <c r="E669" s="83">
        <f t="shared" si="57"/>
        <v>820</v>
      </c>
      <c r="F669" s="83">
        <f t="shared" si="57"/>
        <v>1640</v>
      </c>
      <c r="G669" s="83">
        <f t="shared" si="57"/>
        <v>3280</v>
      </c>
      <c r="H669" s="85">
        <f>H667+((H687-H667)/10)</f>
        <v>6560</v>
      </c>
      <c r="I669" s="83">
        <f t="shared" si="55"/>
        <v>8200</v>
      </c>
      <c r="J669" s="83">
        <f t="shared" si="56"/>
        <v>9840</v>
      </c>
      <c r="L669" s="45">
        <f t="shared" si="54"/>
        <v>6560</v>
      </c>
      <c r="M669" s="92">
        <v>103.1</v>
      </c>
    </row>
    <row r="670" spans="1:13" ht="15" customHeight="1">
      <c r="A670" s="46"/>
      <c r="B670" s="92">
        <v>103.15</v>
      </c>
      <c r="C670" s="83">
        <f t="shared" si="57"/>
        <v>207.5</v>
      </c>
      <c r="D670" s="83">
        <f t="shared" si="57"/>
        <v>415</v>
      </c>
      <c r="E670" s="83">
        <f t="shared" si="57"/>
        <v>830</v>
      </c>
      <c r="F670" s="83">
        <f t="shared" si="57"/>
        <v>1660</v>
      </c>
      <c r="G670" s="83">
        <f t="shared" si="57"/>
        <v>3320</v>
      </c>
      <c r="H670" s="85">
        <f>H669+((H671-H669)/2)</f>
        <v>6640</v>
      </c>
      <c r="I670" s="83">
        <f>E670*10</f>
        <v>8300</v>
      </c>
      <c r="J670" s="83">
        <f>E670*12</f>
        <v>9960</v>
      </c>
      <c r="L670" s="45">
        <f t="shared" si="54"/>
        <v>6640</v>
      </c>
      <c r="M670" s="92">
        <v>103.15</v>
      </c>
    </row>
    <row r="671" spans="1:13" ht="15" customHeight="1">
      <c r="A671" s="46"/>
      <c r="B671" s="92">
        <v>103.2</v>
      </c>
      <c r="C671" s="83">
        <f t="shared" si="57"/>
        <v>210</v>
      </c>
      <c r="D671" s="83">
        <f t="shared" si="57"/>
        <v>420</v>
      </c>
      <c r="E671" s="83">
        <f t="shared" si="57"/>
        <v>840</v>
      </c>
      <c r="F671" s="83">
        <f t="shared" si="57"/>
        <v>1680</v>
      </c>
      <c r="G671" s="83">
        <f t="shared" si="57"/>
        <v>3360</v>
      </c>
      <c r="H671" s="86">
        <f>H669+160</f>
        <v>6720</v>
      </c>
      <c r="I671" s="83">
        <f t="shared" si="55"/>
        <v>8400</v>
      </c>
      <c r="J671" s="49">
        <f t="shared" si="56"/>
        <v>10080</v>
      </c>
      <c r="L671" s="45">
        <f t="shared" si="54"/>
        <v>6720</v>
      </c>
      <c r="M671" s="92">
        <v>103.2</v>
      </c>
    </row>
    <row r="672" spans="1:13" ht="15" customHeight="1">
      <c r="A672" s="46"/>
      <c r="B672" s="92">
        <v>103.25</v>
      </c>
      <c r="C672" s="83">
        <f t="shared" si="57"/>
        <v>212.5</v>
      </c>
      <c r="D672" s="83">
        <f t="shared" si="57"/>
        <v>425</v>
      </c>
      <c r="E672" s="83">
        <f t="shared" si="57"/>
        <v>850</v>
      </c>
      <c r="F672" s="83">
        <f t="shared" si="57"/>
        <v>1700</v>
      </c>
      <c r="G672" s="83">
        <f t="shared" si="57"/>
        <v>3400</v>
      </c>
      <c r="H672" s="85">
        <f>H671+((H673-H671)/2)</f>
        <v>6800</v>
      </c>
      <c r="I672" s="83">
        <f>E672*10</f>
        <v>8500</v>
      </c>
      <c r="J672" s="49">
        <f>E672*12</f>
        <v>10200</v>
      </c>
      <c r="L672" s="45">
        <f t="shared" si="54"/>
        <v>6800</v>
      </c>
      <c r="M672" s="92">
        <v>103.25</v>
      </c>
    </row>
    <row r="673" spans="1:13" ht="15" customHeight="1">
      <c r="A673" s="46"/>
      <c r="B673" s="92">
        <v>103.3</v>
      </c>
      <c r="C673" s="83">
        <f t="shared" si="57"/>
        <v>215</v>
      </c>
      <c r="D673" s="83">
        <f t="shared" si="57"/>
        <v>430</v>
      </c>
      <c r="E673" s="83">
        <f t="shared" si="57"/>
        <v>860</v>
      </c>
      <c r="F673" s="83">
        <f t="shared" si="57"/>
        <v>1720</v>
      </c>
      <c r="G673" s="83">
        <f t="shared" si="57"/>
        <v>3440</v>
      </c>
      <c r="H673" s="86">
        <f>H671+160</f>
        <v>6880</v>
      </c>
      <c r="I673" s="83">
        <f t="shared" si="55"/>
        <v>8600</v>
      </c>
      <c r="J673" s="49">
        <f t="shared" si="56"/>
        <v>10320</v>
      </c>
      <c r="L673" s="45">
        <f t="shared" si="54"/>
        <v>6880</v>
      </c>
      <c r="M673" s="92">
        <v>103.3</v>
      </c>
    </row>
    <row r="674" spans="1:13" ht="15" customHeight="1">
      <c r="A674" s="46"/>
      <c r="B674" s="92">
        <v>103.35</v>
      </c>
      <c r="C674" s="83">
        <f t="shared" si="57"/>
        <v>217.5</v>
      </c>
      <c r="D674" s="83">
        <f t="shared" si="57"/>
        <v>435</v>
      </c>
      <c r="E674" s="83">
        <f t="shared" si="57"/>
        <v>870</v>
      </c>
      <c r="F674" s="83">
        <f t="shared" si="57"/>
        <v>1740</v>
      </c>
      <c r="G674" s="83">
        <f t="shared" si="57"/>
        <v>3480</v>
      </c>
      <c r="H674" s="85">
        <f>H673+((H675-H673)/2)</f>
        <v>6960</v>
      </c>
      <c r="I674" s="83">
        <f>E674*10</f>
        <v>8700</v>
      </c>
      <c r="J674" s="49">
        <f>E674*12</f>
        <v>10440</v>
      </c>
      <c r="L674" s="45">
        <f t="shared" si="54"/>
        <v>6960</v>
      </c>
      <c r="M674" s="92">
        <v>103.35</v>
      </c>
    </row>
    <row r="675" spans="1:13" ht="15" customHeight="1">
      <c r="A675" s="46"/>
      <c r="B675" s="92">
        <v>103.4</v>
      </c>
      <c r="C675" s="83">
        <f t="shared" si="57"/>
        <v>220</v>
      </c>
      <c r="D675" s="83">
        <f t="shared" si="57"/>
        <v>440</v>
      </c>
      <c r="E675" s="83">
        <f t="shared" si="57"/>
        <v>880</v>
      </c>
      <c r="F675" s="83">
        <f t="shared" si="57"/>
        <v>1760</v>
      </c>
      <c r="G675" s="83">
        <f t="shared" si="57"/>
        <v>3520</v>
      </c>
      <c r="H675" s="86">
        <f>H673+160</f>
        <v>7040</v>
      </c>
      <c r="I675" s="83">
        <f t="shared" si="55"/>
        <v>8800</v>
      </c>
      <c r="J675" s="49">
        <f t="shared" si="56"/>
        <v>10560</v>
      </c>
      <c r="L675" s="45">
        <f t="shared" si="54"/>
        <v>7040</v>
      </c>
      <c r="M675" s="92">
        <v>103.4</v>
      </c>
    </row>
    <row r="676" spans="1:13" ht="15" customHeight="1">
      <c r="A676" s="46"/>
      <c r="B676" s="92">
        <v>103.45</v>
      </c>
      <c r="C676" s="83">
        <f t="shared" si="57"/>
        <v>222.5</v>
      </c>
      <c r="D676" s="83">
        <f t="shared" si="57"/>
        <v>445</v>
      </c>
      <c r="E676" s="83">
        <f t="shared" si="57"/>
        <v>890</v>
      </c>
      <c r="F676" s="83">
        <f t="shared" si="57"/>
        <v>1780</v>
      </c>
      <c r="G676" s="83">
        <f t="shared" si="57"/>
        <v>3560</v>
      </c>
      <c r="H676" s="85">
        <f>H675+((H677-H675)/2)</f>
        <v>7120</v>
      </c>
      <c r="I676" s="83">
        <f>E676*10</f>
        <v>8900</v>
      </c>
      <c r="J676" s="49">
        <f>E676*12</f>
        <v>10680</v>
      </c>
      <c r="L676" s="45">
        <f t="shared" si="54"/>
        <v>7120</v>
      </c>
      <c r="M676" s="92">
        <v>103.45</v>
      </c>
    </row>
    <row r="677" spans="1:13" ht="15" customHeight="1">
      <c r="A677" s="46"/>
      <c r="B677" s="92">
        <v>103.5</v>
      </c>
      <c r="C677" s="83">
        <f t="shared" si="57"/>
        <v>225</v>
      </c>
      <c r="D677" s="83">
        <f t="shared" si="57"/>
        <v>450</v>
      </c>
      <c r="E677" s="83">
        <f t="shared" si="57"/>
        <v>900</v>
      </c>
      <c r="F677" s="83">
        <f t="shared" si="57"/>
        <v>1800</v>
      </c>
      <c r="G677" s="83">
        <f t="shared" si="57"/>
        <v>3600</v>
      </c>
      <c r="H677" s="86">
        <f>H675+160</f>
        <v>7200</v>
      </c>
      <c r="I677" s="83">
        <f t="shared" si="55"/>
        <v>9000</v>
      </c>
      <c r="J677" s="49">
        <f t="shared" si="56"/>
        <v>10800</v>
      </c>
      <c r="L677" s="45">
        <f t="shared" si="54"/>
        <v>7200</v>
      </c>
      <c r="M677" s="92">
        <v>103.5</v>
      </c>
    </row>
    <row r="678" spans="1:13" ht="15" customHeight="1">
      <c r="A678" s="46"/>
      <c r="B678" s="92">
        <v>103.55</v>
      </c>
      <c r="C678" s="83">
        <f t="shared" si="57"/>
        <v>227.5</v>
      </c>
      <c r="D678" s="83">
        <f t="shared" si="57"/>
        <v>455</v>
      </c>
      <c r="E678" s="83">
        <f t="shared" si="57"/>
        <v>910</v>
      </c>
      <c r="F678" s="83">
        <f t="shared" si="57"/>
        <v>1820</v>
      </c>
      <c r="G678" s="83">
        <f t="shared" si="57"/>
        <v>3640</v>
      </c>
      <c r="H678" s="85">
        <f>H677+((H679-H677)/2)</f>
        <v>7280</v>
      </c>
      <c r="I678" s="83">
        <f>E678*10</f>
        <v>9100</v>
      </c>
      <c r="J678" s="49">
        <f>E678*12</f>
        <v>10920</v>
      </c>
      <c r="L678" s="45">
        <f t="shared" si="54"/>
        <v>7280</v>
      </c>
      <c r="M678" s="92">
        <v>103.55</v>
      </c>
    </row>
    <row r="679" spans="1:13" ht="15" customHeight="1">
      <c r="A679" s="46"/>
      <c r="B679" s="92">
        <v>103.6</v>
      </c>
      <c r="C679" s="83">
        <f t="shared" si="57"/>
        <v>230</v>
      </c>
      <c r="D679" s="83">
        <f t="shared" si="57"/>
        <v>460</v>
      </c>
      <c r="E679" s="83">
        <f t="shared" si="57"/>
        <v>920</v>
      </c>
      <c r="F679" s="83">
        <f t="shared" si="57"/>
        <v>1840</v>
      </c>
      <c r="G679" s="83">
        <f t="shared" si="57"/>
        <v>3680</v>
      </c>
      <c r="H679" s="86">
        <f>H677+160</f>
        <v>7360</v>
      </c>
      <c r="I679" s="83">
        <f t="shared" si="55"/>
        <v>9200</v>
      </c>
      <c r="J679" s="49">
        <f t="shared" si="56"/>
        <v>11040</v>
      </c>
      <c r="L679" s="45">
        <f t="shared" si="54"/>
        <v>7360</v>
      </c>
      <c r="M679" s="92">
        <v>103.6</v>
      </c>
    </row>
    <row r="680" spans="1:13" ht="15" customHeight="1">
      <c r="A680" s="46"/>
      <c r="B680" s="92">
        <v>103.65</v>
      </c>
      <c r="C680" s="83">
        <f t="shared" si="57"/>
        <v>232.5</v>
      </c>
      <c r="D680" s="83">
        <f t="shared" si="57"/>
        <v>465</v>
      </c>
      <c r="E680" s="83">
        <f t="shared" si="57"/>
        <v>930</v>
      </c>
      <c r="F680" s="83">
        <f t="shared" si="57"/>
        <v>1860</v>
      </c>
      <c r="G680" s="83">
        <f t="shared" si="57"/>
        <v>3720</v>
      </c>
      <c r="H680" s="85">
        <f>H679+((H681-H679)/2)</f>
        <v>7440</v>
      </c>
      <c r="I680" s="83">
        <f>E680*10</f>
        <v>9300</v>
      </c>
      <c r="J680" s="49">
        <f>E680*12</f>
        <v>11160</v>
      </c>
      <c r="L680" s="45">
        <f t="shared" si="54"/>
        <v>7440</v>
      </c>
      <c r="M680" s="92">
        <v>103.65</v>
      </c>
    </row>
    <row r="681" spans="1:13" ht="15" customHeight="1">
      <c r="A681" s="46"/>
      <c r="B681" s="92">
        <v>103.7</v>
      </c>
      <c r="C681" s="83">
        <f t="shared" si="57"/>
        <v>235</v>
      </c>
      <c r="D681" s="83">
        <f t="shared" si="57"/>
        <v>470</v>
      </c>
      <c r="E681" s="83">
        <f t="shared" si="57"/>
        <v>940</v>
      </c>
      <c r="F681" s="83">
        <f t="shared" si="57"/>
        <v>1880</v>
      </c>
      <c r="G681" s="83">
        <f t="shared" si="57"/>
        <v>3760</v>
      </c>
      <c r="H681" s="86">
        <f>H679+160</f>
        <v>7520</v>
      </c>
      <c r="I681" s="83">
        <f t="shared" si="55"/>
        <v>9400</v>
      </c>
      <c r="J681" s="49">
        <f t="shared" si="56"/>
        <v>11280</v>
      </c>
      <c r="L681" s="45">
        <f t="shared" si="54"/>
        <v>7520</v>
      </c>
      <c r="M681" s="92">
        <v>103.7</v>
      </c>
    </row>
    <row r="682" spans="1:13" ht="15" customHeight="1">
      <c r="A682" s="46"/>
      <c r="B682" s="92">
        <v>103.75</v>
      </c>
      <c r="C682" s="83">
        <f t="shared" si="57"/>
        <v>237.5</v>
      </c>
      <c r="D682" s="83">
        <f t="shared" si="57"/>
        <v>475</v>
      </c>
      <c r="E682" s="83">
        <f t="shared" si="57"/>
        <v>950</v>
      </c>
      <c r="F682" s="83">
        <f t="shared" si="57"/>
        <v>1900</v>
      </c>
      <c r="G682" s="83">
        <f t="shared" si="57"/>
        <v>3800</v>
      </c>
      <c r="H682" s="85">
        <f>H681+((H683-H681)/2)</f>
        <v>7600</v>
      </c>
      <c r="I682" s="83">
        <f>E682*10</f>
        <v>9500</v>
      </c>
      <c r="J682" s="49">
        <f>E682*12</f>
        <v>11400</v>
      </c>
      <c r="L682" s="45">
        <f t="shared" si="54"/>
        <v>7600</v>
      </c>
      <c r="M682" s="92">
        <v>103.75</v>
      </c>
    </row>
    <row r="683" spans="1:13" ht="15" customHeight="1">
      <c r="A683" s="46"/>
      <c r="B683" s="92">
        <v>103.8</v>
      </c>
      <c r="C683" s="83">
        <f t="shared" si="57"/>
        <v>240</v>
      </c>
      <c r="D683" s="83">
        <f t="shared" si="57"/>
        <v>480</v>
      </c>
      <c r="E683" s="83">
        <f t="shared" si="57"/>
        <v>960</v>
      </c>
      <c r="F683" s="83">
        <f t="shared" si="57"/>
        <v>1920</v>
      </c>
      <c r="G683" s="83">
        <f t="shared" si="57"/>
        <v>3840</v>
      </c>
      <c r="H683" s="86">
        <f>H681+160</f>
        <v>7680</v>
      </c>
      <c r="I683" s="83">
        <f t="shared" si="55"/>
        <v>9600</v>
      </c>
      <c r="J683" s="49">
        <f t="shared" si="56"/>
        <v>11520</v>
      </c>
      <c r="L683" s="45">
        <f t="shared" si="54"/>
        <v>7680</v>
      </c>
      <c r="M683" s="92">
        <v>103.8</v>
      </c>
    </row>
    <row r="684" spans="1:13" ht="15" customHeight="1">
      <c r="A684" s="46"/>
      <c r="B684" s="92">
        <v>103.85</v>
      </c>
      <c r="C684" s="83">
        <f t="shared" si="57"/>
        <v>242.5</v>
      </c>
      <c r="D684" s="83">
        <f t="shared" si="57"/>
        <v>485</v>
      </c>
      <c r="E684" s="83">
        <f t="shared" si="57"/>
        <v>970</v>
      </c>
      <c r="F684" s="83">
        <f t="shared" si="57"/>
        <v>1940</v>
      </c>
      <c r="G684" s="83">
        <f t="shared" si="57"/>
        <v>3880</v>
      </c>
      <c r="H684" s="85">
        <f>H683+((H685-H683)/2)</f>
        <v>7760</v>
      </c>
      <c r="I684" s="83">
        <f>E684*10</f>
        <v>9700</v>
      </c>
      <c r="J684" s="49">
        <f>E684*12</f>
        <v>11640</v>
      </c>
      <c r="L684" s="45">
        <f t="shared" si="54"/>
        <v>7760</v>
      </c>
      <c r="M684" s="92">
        <v>103.85</v>
      </c>
    </row>
    <row r="685" spans="1:13" ht="15" customHeight="1">
      <c r="A685" s="46"/>
      <c r="B685" s="92">
        <v>103.9</v>
      </c>
      <c r="C685" s="83">
        <f t="shared" si="57"/>
        <v>245</v>
      </c>
      <c r="D685" s="83">
        <f t="shared" si="57"/>
        <v>490</v>
      </c>
      <c r="E685" s="83">
        <f t="shared" si="57"/>
        <v>980</v>
      </c>
      <c r="F685" s="83">
        <f t="shared" si="57"/>
        <v>1960</v>
      </c>
      <c r="G685" s="83">
        <f t="shared" si="57"/>
        <v>3920</v>
      </c>
      <c r="H685" s="86">
        <f>H683+160</f>
        <v>7840</v>
      </c>
      <c r="I685" s="83">
        <f t="shared" si="55"/>
        <v>9800</v>
      </c>
      <c r="J685" s="49">
        <f t="shared" si="56"/>
        <v>11760</v>
      </c>
      <c r="L685" s="45">
        <f t="shared" si="54"/>
        <v>7840</v>
      </c>
      <c r="M685" s="92">
        <v>103.9</v>
      </c>
    </row>
    <row r="686" spans="1:13" ht="15" customHeight="1">
      <c r="A686" s="46"/>
      <c r="B686" s="92">
        <v>103.95</v>
      </c>
      <c r="C686" s="83">
        <f>D686/2</f>
        <v>247.5</v>
      </c>
      <c r="D686" s="83">
        <f>E686/2</f>
        <v>495</v>
      </c>
      <c r="E686" s="83">
        <f>F686/2</f>
        <v>990</v>
      </c>
      <c r="F686" s="83">
        <f>G686/2</f>
        <v>1980</v>
      </c>
      <c r="G686" s="83">
        <f>H686/2</f>
        <v>3960</v>
      </c>
      <c r="H686" s="85">
        <f>H685+((H687-H685)/2)</f>
        <v>7920</v>
      </c>
      <c r="I686" s="83">
        <f>E686*10</f>
        <v>9900</v>
      </c>
      <c r="J686" s="49">
        <f>E686*12</f>
        <v>11880</v>
      </c>
      <c r="L686" s="45">
        <f t="shared" si="54"/>
        <v>7920</v>
      </c>
      <c r="M686" s="92">
        <v>103.95</v>
      </c>
    </row>
    <row r="687" spans="1:13" ht="15" customHeight="1">
      <c r="A687" s="46"/>
      <c r="B687" s="92">
        <v>104</v>
      </c>
      <c r="C687" s="83">
        <f t="shared" ref="C687:G705" si="58">D687/2</f>
        <v>250</v>
      </c>
      <c r="D687" s="83">
        <f t="shared" si="58"/>
        <v>500</v>
      </c>
      <c r="E687" s="83">
        <f t="shared" si="58"/>
        <v>1000</v>
      </c>
      <c r="F687" s="83">
        <f t="shared" si="58"/>
        <v>2000</v>
      </c>
      <c r="G687" s="83">
        <f t="shared" si="58"/>
        <v>4000</v>
      </c>
      <c r="H687" s="86">
        <f>H627*2</f>
        <v>8000</v>
      </c>
      <c r="I687" s="49">
        <f t="shared" si="55"/>
        <v>10000</v>
      </c>
      <c r="J687" s="49">
        <f t="shared" si="56"/>
        <v>12000</v>
      </c>
      <c r="L687" s="45">
        <f t="shared" si="54"/>
        <v>8000</v>
      </c>
      <c r="M687" s="92">
        <v>104</v>
      </c>
    </row>
    <row r="688" spans="1:13" ht="15" customHeight="1">
      <c r="A688" s="46"/>
      <c r="B688" s="92">
        <v>104.05</v>
      </c>
      <c r="C688" s="83">
        <f t="shared" si="58"/>
        <v>253.125</v>
      </c>
      <c r="D688" s="83">
        <f t="shared" si="58"/>
        <v>506.25</v>
      </c>
      <c r="E688" s="83">
        <f t="shared" si="58"/>
        <v>1012.5</v>
      </c>
      <c r="F688" s="83">
        <f t="shared" si="58"/>
        <v>2025</v>
      </c>
      <c r="G688" s="83">
        <f t="shared" si="58"/>
        <v>4050</v>
      </c>
      <c r="H688" s="85">
        <f>H687+((H689-H687)/2)</f>
        <v>8100</v>
      </c>
      <c r="I688" s="49">
        <f>E688*10</f>
        <v>10125</v>
      </c>
      <c r="J688" s="49">
        <f>E688*12</f>
        <v>12150</v>
      </c>
      <c r="L688" s="45">
        <f t="shared" si="54"/>
        <v>8100</v>
      </c>
      <c r="M688" s="92">
        <v>104.05</v>
      </c>
    </row>
    <row r="689" spans="1:13" ht="15" customHeight="1">
      <c r="A689" s="46"/>
      <c r="B689" s="92">
        <v>104.1</v>
      </c>
      <c r="C689" s="83">
        <f t="shared" si="58"/>
        <v>256.25</v>
      </c>
      <c r="D689" s="83">
        <f t="shared" si="58"/>
        <v>512.5</v>
      </c>
      <c r="E689" s="83">
        <f t="shared" si="58"/>
        <v>1025</v>
      </c>
      <c r="F689" s="83">
        <f t="shared" si="58"/>
        <v>2050</v>
      </c>
      <c r="G689" s="83">
        <f t="shared" si="58"/>
        <v>4100</v>
      </c>
      <c r="H689" s="85">
        <f>H687+((H707-H687)/10)</f>
        <v>8200</v>
      </c>
      <c r="I689" s="49">
        <f t="shared" si="55"/>
        <v>10250</v>
      </c>
      <c r="J689" s="49">
        <f t="shared" si="56"/>
        <v>12300</v>
      </c>
      <c r="L689" s="45">
        <f t="shared" si="54"/>
        <v>8200</v>
      </c>
      <c r="M689" s="92">
        <v>104.1</v>
      </c>
    </row>
    <row r="690" spans="1:13" ht="15" customHeight="1">
      <c r="A690" s="46"/>
      <c r="B690" s="92">
        <v>104.15</v>
      </c>
      <c r="C690" s="83">
        <f t="shared" si="58"/>
        <v>259.375</v>
      </c>
      <c r="D690" s="83">
        <f t="shared" si="58"/>
        <v>518.75</v>
      </c>
      <c r="E690" s="83">
        <f t="shared" si="58"/>
        <v>1037.5</v>
      </c>
      <c r="F690" s="83">
        <f t="shared" si="58"/>
        <v>2075</v>
      </c>
      <c r="G690" s="83">
        <f t="shared" si="58"/>
        <v>4150</v>
      </c>
      <c r="H690" s="85">
        <f>H689+((H691-H689)/2)</f>
        <v>8300</v>
      </c>
      <c r="I690" s="49">
        <f>E690*10</f>
        <v>10375</v>
      </c>
      <c r="J690" s="49">
        <f>E690*12</f>
        <v>12450</v>
      </c>
      <c r="L690" s="45">
        <f t="shared" si="54"/>
        <v>8300</v>
      </c>
      <c r="M690" s="92">
        <v>104.15</v>
      </c>
    </row>
    <row r="691" spans="1:13" ht="15" customHeight="1">
      <c r="A691" s="46"/>
      <c r="B691" s="92">
        <v>104.2</v>
      </c>
      <c r="C691" s="83">
        <f t="shared" si="58"/>
        <v>262.5</v>
      </c>
      <c r="D691" s="83">
        <f t="shared" si="58"/>
        <v>525</v>
      </c>
      <c r="E691" s="83">
        <f t="shared" si="58"/>
        <v>1050</v>
      </c>
      <c r="F691" s="83">
        <f t="shared" si="58"/>
        <v>2100</v>
      </c>
      <c r="G691" s="83">
        <f t="shared" si="58"/>
        <v>4200</v>
      </c>
      <c r="H691" s="86">
        <f>H689+200</f>
        <v>8400</v>
      </c>
      <c r="I691" s="49">
        <f t="shared" si="55"/>
        <v>10500</v>
      </c>
      <c r="J691" s="49">
        <f t="shared" si="56"/>
        <v>12600</v>
      </c>
      <c r="L691" s="45">
        <f t="shared" si="54"/>
        <v>8400</v>
      </c>
      <c r="M691" s="92">
        <v>104.2</v>
      </c>
    </row>
    <row r="692" spans="1:13" ht="15" customHeight="1">
      <c r="A692" s="46"/>
      <c r="B692" s="92">
        <v>104.25</v>
      </c>
      <c r="C692" s="83">
        <f t="shared" si="58"/>
        <v>265.625</v>
      </c>
      <c r="D692" s="83">
        <f t="shared" si="58"/>
        <v>531.25</v>
      </c>
      <c r="E692" s="83">
        <f t="shared" si="58"/>
        <v>1062.5</v>
      </c>
      <c r="F692" s="83">
        <f t="shared" si="58"/>
        <v>2125</v>
      </c>
      <c r="G692" s="83">
        <f t="shared" si="58"/>
        <v>4250</v>
      </c>
      <c r="H692" s="85">
        <f>H691+((H693-H691)/2)</f>
        <v>8500</v>
      </c>
      <c r="I692" s="49">
        <f>E692*10</f>
        <v>10625</v>
      </c>
      <c r="J692" s="49">
        <f>E692*12</f>
        <v>12750</v>
      </c>
      <c r="L692" s="45">
        <f t="shared" si="54"/>
        <v>8500</v>
      </c>
      <c r="M692" s="92">
        <v>104.25</v>
      </c>
    </row>
    <row r="693" spans="1:13" ht="15" customHeight="1">
      <c r="A693" s="46"/>
      <c r="B693" s="92">
        <v>104.3</v>
      </c>
      <c r="C693" s="83">
        <f t="shared" si="58"/>
        <v>268.75</v>
      </c>
      <c r="D693" s="83">
        <f t="shared" si="58"/>
        <v>537.5</v>
      </c>
      <c r="E693" s="83">
        <f t="shared" si="58"/>
        <v>1075</v>
      </c>
      <c r="F693" s="83">
        <f t="shared" si="58"/>
        <v>2150</v>
      </c>
      <c r="G693" s="83">
        <f t="shared" si="58"/>
        <v>4300</v>
      </c>
      <c r="H693" s="86">
        <f>H691+200</f>
        <v>8600</v>
      </c>
      <c r="I693" s="49">
        <f t="shared" si="55"/>
        <v>10750</v>
      </c>
      <c r="J693" s="49">
        <f t="shared" si="56"/>
        <v>12900</v>
      </c>
      <c r="L693" s="45">
        <f t="shared" si="54"/>
        <v>8600</v>
      </c>
      <c r="M693" s="92">
        <v>104.3</v>
      </c>
    </row>
    <row r="694" spans="1:13" ht="15" customHeight="1">
      <c r="A694" s="46"/>
      <c r="B694" s="92">
        <v>104.35</v>
      </c>
      <c r="C694" s="83">
        <f t="shared" si="58"/>
        <v>271.875</v>
      </c>
      <c r="D694" s="83">
        <f t="shared" si="58"/>
        <v>543.75</v>
      </c>
      <c r="E694" s="83">
        <f t="shared" si="58"/>
        <v>1087.5</v>
      </c>
      <c r="F694" s="83">
        <f t="shared" si="58"/>
        <v>2175</v>
      </c>
      <c r="G694" s="83">
        <f t="shared" si="58"/>
        <v>4350</v>
      </c>
      <c r="H694" s="85">
        <f>H693+((H695-H693)/2)</f>
        <v>8700</v>
      </c>
      <c r="I694" s="49">
        <f>E694*10</f>
        <v>10875</v>
      </c>
      <c r="J694" s="49">
        <f>E694*12</f>
        <v>13050</v>
      </c>
      <c r="L694" s="45">
        <f t="shared" si="54"/>
        <v>8700</v>
      </c>
      <c r="M694" s="92">
        <v>104.35</v>
      </c>
    </row>
    <row r="695" spans="1:13" ht="15" customHeight="1">
      <c r="A695" s="46"/>
      <c r="B695" s="92">
        <v>104.4</v>
      </c>
      <c r="C695" s="83">
        <f t="shared" si="58"/>
        <v>275</v>
      </c>
      <c r="D695" s="83">
        <f t="shared" si="58"/>
        <v>550</v>
      </c>
      <c r="E695" s="83">
        <f t="shared" si="58"/>
        <v>1100</v>
      </c>
      <c r="F695" s="83">
        <f t="shared" si="58"/>
        <v>2200</v>
      </c>
      <c r="G695" s="83">
        <f t="shared" si="58"/>
        <v>4400</v>
      </c>
      <c r="H695" s="86">
        <f>H693+200</f>
        <v>8800</v>
      </c>
      <c r="I695" s="49">
        <f t="shared" si="55"/>
        <v>11000</v>
      </c>
      <c r="J695" s="49">
        <f t="shared" si="56"/>
        <v>13200</v>
      </c>
      <c r="L695" s="45">
        <f t="shared" si="54"/>
        <v>8800</v>
      </c>
      <c r="M695" s="92">
        <v>104.4</v>
      </c>
    </row>
    <row r="696" spans="1:13" ht="15" customHeight="1">
      <c r="A696" s="46"/>
      <c r="B696" s="92">
        <v>104.45</v>
      </c>
      <c r="C696" s="83">
        <f t="shared" si="58"/>
        <v>278.125</v>
      </c>
      <c r="D696" s="83">
        <f t="shared" si="58"/>
        <v>556.25</v>
      </c>
      <c r="E696" s="83">
        <f t="shared" si="58"/>
        <v>1112.5</v>
      </c>
      <c r="F696" s="83">
        <f t="shared" si="58"/>
        <v>2225</v>
      </c>
      <c r="G696" s="83">
        <f t="shared" si="58"/>
        <v>4450</v>
      </c>
      <c r="H696" s="85">
        <f>H695+((H697-H695)/2)</f>
        <v>8900</v>
      </c>
      <c r="I696" s="49">
        <f>E696*10</f>
        <v>11125</v>
      </c>
      <c r="J696" s="49">
        <f>E696*12</f>
        <v>13350</v>
      </c>
      <c r="L696" s="45">
        <f t="shared" si="54"/>
        <v>8900</v>
      </c>
      <c r="M696" s="92">
        <v>104.45</v>
      </c>
    </row>
    <row r="697" spans="1:13" ht="15" customHeight="1">
      <c r="A697" s="46"/>
      <c r="B697" s="92">
        <v>104.5</v>
      </c>
      <c r="C697" s="83">
        <f t="shared" si="58"/>
        <v>281.25</v>
      </c>
      <c r="D697" s="83">
        <f t="shared" si="58"/>
        <v>562.5</v>
      </c>
      <c r="E697" s="83">
        <f t="shared" si="58"/>
        <v>1125</v>
      </c>
      <c r="F697" s="83">
        <f t="shared" si="58"/>
        <v>2250</v>
      </c>
      <c r="G697" s="83">
        <f t="shared" si="58"/>
        <v>4500</v>
      </c>
      <c r="H697" s="86">
        <f>H695+200</f>
        <v>9000</v>
      </c>
      <c r="I697" s="49">
        <f t="shared" si="55"/>
        <v>11250</v>
      </c>
      <c r="J697" s="49">
        <f t="shared" si="56"/>
        <v>13500</v>
      </c>
      <c r="L697" s="45">
        <f t="shared" si="54"/>
        <v>9000</v>
      </c>
      <c r="M697" s="92">
        <v>104.5</v>
      </c>
    </row>
    <row r="698" spans="1:13" ht="15" customHeight="1">
      <c r="A698" s="46"/>
      <c r="B698" s="92">
        <v>104.55</v>
      </c>
      <c r="C698" s="83">
        <f t="shared" si="58"/>
        <v>284.375</v>
      </c>
      <c r="D698" s="83">
        <f t="shared" si="58"/>
        <v>568.75</v>
      </c>
      <c r="E698" s="83">
        <f t="shared" si="58"/>
        <v>1137.5</v>
      </c>
      <c r="F698" s="83">
        <f t="shared" si="58"/>
        <v>2275</v>
      </c>
      <c r="G698" s="83">
        <f t="shared" si="58"/>
        <v>4550</v>
      </c>
      <c r="H698" s="85">
        <f>H697+((H699-H697)/2)</f>
        <v>9100</v>
      </c>
      <c r="I698" s="49">
        <f>E698*10</f>
        <v>11375</v>
      </c>
      <c r="J698" s="49">
        <f>E698*12</f>
        <v>13650</v>
      </c>
      <c r="L698" s="45">
        <f t="shared" si="54"/>
        <v>9100</v>
      </c>
      <c r="M698" s="92">
        <v>104.55</v>
      </c>
    </row>
    <row r="699" spans="1:13" ht="15" customHeight="1">
      <c r="A699" s="46"/>
      <c r="B699" s="92">
        <v>104.6</v>
      </c>
      <c r="C699" s="83">
        <f t="shared" si="58"/>
        <v>287.5</v>
      </c>
      <c r="D699" s="83">
        <f t="shared" si="58"/>
        <v>575</v>
      </c>
      <c r="E699" s="83">
        <f t="shared" si="58"/>
        <v>1150</v>
      </c>
      <c r="F699" s="83">
        <f t="shared" si="58"/>
        <v>2300</v>
      </c>
      <c r="G699" s="83">
        <f t="shared" si="58"/>
        <v>4600</v>
      </c>
      <c r="H699" s="86">
        <f>H697+200</f>
        <v>9200</v>
      </c>
      <c r="I699" s="49">
        <f t="shared" si="55"/>
        <v>11500</v>
      </c>
      <c r="J699" s="49">
        <f t="shared" si="56"/>
        <v>13800</v>
      </c>
      <c r="L699" s="45">
        <f t="shared" si="54"/>
        <v>9200</v>
      </c>
      <c r="M699" s="92">
        <v>104.6</v>
      </c>
    </row>
    <row r="700" spans="1:13" ht="15" customHeight="1">
      <c r="A700" s="46"/>
      <c r="B700" s="92">
        <v>104.65</v>
      </c>
      <c r="C700" s="83">
        <f t="shared" si="58"/>
        <v>290.625</v>
      </c>
      <c r="D700" s="83">
        <f t="shared" si="58"/>
        <v>581.25</v>
      </c>
      <c r="E700" s="83">
        <f t="shared" si="58"/>
        <v>1162.5</v>
      </c>
      <c r="F700" s="83">
        <f t="shared" si="58"/>
        <v>2325</v>
      </c>
      <c r="G700" s="83">
        <f t="shared" si="58"/>
        <v>4650</v>
      </c>
      <c r="H700" s="85">
        <f>H699+((H701-H699)/2)</f>
        <v>9300</v>
      </c>
      <c r="I700" s="49">
        <f>E700*10</f>
        <v>11625</v>
      </c>
      <c r="J700" s="49">
        <f>E700*12</f>
        <v>13950</v>
      </c>
      <c r="L700" s="45">
        <f t="shared" si="54"/>
        <v>9300</v>
      </c>
      <c r="M700" s="92">
        <v>104.65</v>
      </c>
    </row>
    <row r="701" spans="1:13" ht="15" customHeight="1">
      <c r="A701" s="46"/>
      <c r="B701" s="92">
        <v>104.7</v>
      </c>
      <c r="C701" s="83">
        <f t="shared" si="58"/>
        <v>293.75</v>
      </c>
      <c r="D701" s="83">
        <f t="shared" si="58"/>
        <v>587.5</v>
      </c>
      <c r="E701" s="83">
        <f t="shared" si="58"/>
        <v>1175</v>
      </c>
      <c r="F701" s="83">
        <f t="shared" si="58"/>
        <v>2350</v>
      </c>
      <c r="G701" s="83">
        <f t="shared" si="58"/>
        <v>4700</v>
      </c>
      <c r="H701" s="86">
        <f>H699+200</f>
        <v>9400</v>
      </c>
      <c r="I701" s="49">
        <f t="shared" si="55"/>
        <v>11750</v>
      </c>
      <c r="J701" s="49">
        <f t="shared" si="56"/>
        <v>14100</v>
      </c>
      <c r="L701" s="45">
        <f t="shared" si="54"/>
        <v>9400</v>
      </c>
      <c r="M701" s="92">
        <v>104.7</v>
      </c>
    </row>
    <row r="702" spans="1:13" ht="15" customHeight="1">
      <c r="A702" s="46"/>
      <c r="B702" s="92">
        <v>104.75</v>
      </c>
      <c r="C702" s="83">
        <f t="shared" si="58"/>
        <v>296.875</v>
      </c>
      <c r="D702" s="83">
        <f t="shared" si="58"/>
        <v>593.75</v>
      </c>
      <c r="E702" s="83">
        <f t="shared" si="58"/>
        <v>1187.5</v>
      </c>
      <c r="F702" s="83">
        <f t="shared" si="58"/>
        <v>2375</v>
      </c>
      <c r="G702" s="83">
        <f t="shared" si="58"/>
        <v>4750</v>
      </c>
      <c r="H702" s="85">
        <f>H701+((H703-H701)/2)</f>
        <v>9500</v>
      </c>
      <c r="I702" s="49">
        <f>E702*10</f>
        <v>11875</v>
      </c>
      <c r="J702" s="49">
        <f>E702*12</f>
        <v>14250</v>
      </c>
      <c r="L702" s="45">
        <f t="shared" si="54"/>
        <v>9500</v>
      </c>
      <c r="M702" s="92">
        <v>104.75</v>
      </c>
    </row>
    <row r="703" spans="1:13" ht="15" customHeight="1">
      <c r="A703" s="46"/>
      <c r="B703" s="92">
        <v>104.8</v>
      </c>
      <c r="C703" s="83">
        <f t="shared" si="58"/>
        <v>300</v>
      </c>
      <c r="D703" s="83">
        <f t="shared" si="58"/>
        <v>600</v>
      </c>
      <c r="E703" s="83">
        <f t="shared" si="58"/>
        <v>1200</v>
      </c>
      <c r="F703" s="83">
        <f t="shared" si="58"/>
        <v>2400</v>
      </c>
      <c r="G703" s="83">
        <f t="shared" si="58"/>
        <v>4800</v>
      </c>
      <c r="H703" s="86">
        <f>H701+200</f>
        <v>9600</v>
      </c>
      <c r="I703" s="49">
        <f t="shared" si="55"/>
        <v>12000</v>
      </c>
      <c r="J703" s="49">
        <f t="shared" si="56"/>
        <v>14400</v>
      </c>
      <c r="L703" s="45">
        <f t="shared" si="54"/>
        <v>9600</v>
      </c>
      <c r="M703" s="92">
        <v>104.8</v>
      </c>
    </row>
    <row r="704" spans="1:13" ht="15" customHeight="1">
      <c r="A704" s="46"/>
      <c r="B704" s="92">
        <v>104.85</v>
      </c>
      <c r="C704" s="83">
        <f t="shared" si="58"/>
        <v>303.125</v>
      </c>
      <c r="D704" s="83">
        <f t="shared" si="58"/>
        <v>606.25</v>
      </c>
      <c r="E704" s="83">
        <f t="shared" si="58"/>
        <v>1212.5</v>
      </c>
      <c r="F704" s="83">
        <f t="shared" si="58"/>
        <v>2425</v>
      </c>
      <c r="G704" s="83">
        <f t="shared" si="58"/>
        <v>4850</v>
      </c>
      <c r="H704" s="85">
        <f>H703+((H705-H703)/2)</f>
        <v>9700</v>
      </c>
      <c r="I704" s="49">
        <f>E704*10</f>
        <v>12125</v>
      </c>
      <c r="J704" s="49">
        <f>E704*12</f>
        <v>14550</v>
      </c>
      <c r="L704" s="45">
        <f t="shared" si="54"/>
        <v>9700</v>
      </c>
      <c r="M704" s="92">
        <v>104.85</v>
      </c>
    </row>
    <row r="705" spans="1:13" ht="15" customHeight="1">
      <c r="A705" s="46"/>
      <c r="B705" s="92">
        <v>104.9</v>
      </c>
      <c r="C705" s="83">
        <f t="shared" si="58"/>
        <v>306.25</v>
      </c>
      <c r="D705" s="83">
        <f t="shared" si="58"/>
        <v>612.5</v>
      </c>
      <c r="E705" s="83">
        <f t="shared" si="58"/>
        <v>1225</v>
      </c>
      <c r="F705" s="83">
        <f t="shared" si="58"/>
        <v>2450</v>
      </c>
      <c r="G705" s="83">
        <f t="shared" si="58"/>
        <v>4900</v>
      </c>
      <c r="H705" s="87">
        <f>H703+200</f>
        <v>9800</v>
      </c>
      <c r="I705" s="49">
        <f t="shared" si="55"/>
        <v>12250</v>
      </c>
      <c r="J705" s="49">
        <f t="shared" si="56"/>
        <v>14700</v>
      </c>
      <c r="L705" s="45">
        <f t="shared" si="54"/>
        <v>9800</v>
      </c>
      <c r="M705" s="92">
        <v>104.9</v>
      </c>
    </row>
    <row r="706" spans="1:13" ht="15" customHeight="1">
      <c r="A706" s="46"/>
      <c r="B706" s="92">
        <v>104.95</v>
      </c>
      <c r="C706" s="83">
        <f>D706/2</f>
        <v>309.375</v>
      </c>
      <c r="D706" s="83">
        <f>E706/2</f>
        <v>618.75</v>
      </c>
      <c r="E706" s="83">
        <f>F706/2</f>
        <v>1237.5</v>
      </c>
      <c r="F706" s="83">
        <f>G706/2</f>
        <v>2475</v>
      </c>
      <c r="G706" s="83">
        <f>H706/2</f>
        <v>4950</v>
      </c>
      <c r="H706" s="85">
        <f>H705+((H707-H705)/2)</f>
        <v>9900</v>
      </c>
      <c r="I706" s="49">
        <f>E706*10</f>
        <v>12375</v>
      </c>
      <c r="J706" s="49">
        <f>E706*12</f>
        <v>14850</v>
      </c>
      <c r="L706" s="45">
        <f t="shared" si="54"/>
        <v>9900</v>
      </c>
      <c r="M706" s="92">
        <v>104.95</v>
      </c>
    </row>
    <row r="707" spans="1:13" ht="15" customHeight="1">
      <c r="A707" s="46"/>
      <c r="B707" s="92">
        <v>105</v>
      </c>
      <c r="C707" s="83">
        <f t="shared" ref="C707:G725" si="59">D707/2</f>
        <v>312.5</v>
      </c>
      <c r="D707" s="83">
        <f t="shared" si="59"/>
        <v>625</v>
      </c>
      <c r="E707" s="83">
        <f t="shared" si="59"/>
        <v>1250</v>
      </c>
      <c r="F707" s="83">
        <f t="shared" si="59"/>
        <v>2500</v>
      </c>
      <c r="G707" s="83">
        <f t="shared" si="59"/>
        <v>5000</v>
      </c>
      <c r="H707" s="50">
        <f>H647*2</f>
        <v>10000</v>
      </c>
      <c r="I707" s="49">
        <f t="shared" si="55"/>
        <v>12500</v>
      </c>
      <c r="J707" s="49">
        <f t="shared" si="56"/>
        <v>15000</v>
      </c>
      <c r="L707" s="45">
        <f t="shared" si="54"/>
        <v>10000</v>
      </c>
      <c r="M707" s="92">
        <v>105</v>
      </c>
    </row>
    <row r="708" spans="1:13" ht="15" customHeight="1">
      <c r="A708" s="46"/>
      <c r="B708" s="92">
        <v>105.05</v>
      </c>
      <c r="C708" s="83">
        <f t="shared" si="59"/>
        <v>316.875</v>
      </c>
      <c r="D708" s="83">
        <f t="shared" si="59"/>
        <v>633.75</v>
      </c>
      <c r="E708" s="83">
        <f t="shared" si="59"/>
        <v>1267.5</v>
      </c>
      <c r="F708" s="83">
        <f t="shared" si="59"/>
        <v>2535</v>
      </c>
      <c r="G708" s="83">
        <f t="shared" si="59"/>
        <v>5070</v>
      </c>
      <c r="H708" s="47">
        <f>H707+((H709-H707)/2)</f>
        <v>10140</v>
      </c>
      <c r="I708" s="49">
        <f>E708*10</f>
        <v>12675</v>
      </c>
      <c r="J708" s="49">
        <f>E708*12</f>
        <v>15210</v>
      </c>
      <c r="L708" s="45">
        <f t="shared" si="54"/>
        <v>10140</v>
      </c>
      <c r="M708" s="92">
        <v>105.05</v>
      </c>
    </row>
    <row r="709" spans="1:13" ht="15" customHeight="1">
      <c r="A709" s="46"/>
      <c r="B709" s="92">
        <v>105.1</v>
      </c>
      <c r="C709" s="83">
        <f t="shared" si="59"/>
        <v>321.25</v>
      </c>
      <c r="D709" s="83">
        <f t="shared" si="59"/>
        <v>642.5</v>
      </c>
      <c r="E709" s="83">
        <f t="shared" si="59"/>
        <v>1285</v>
      </c>
      <c r="F709" s="83">
        <f t="shared" si="59"/>
        <v>2570</v>
      </c>
      <c r="G709" s="83">
        <f t="shared" si="59"/>
        <v>5140</v>
      </c>
      <c r="H709" s="47">
        <f>H707+((H727-H707)/10)</f>
        <v>10280</v>
      </c>
      <c r="I709" s="49">
        <f t="shared" si="55"/>
        <v>12850</v>
      </c>
      <c r="J709" s="49">
        <f t="shared" si="56"/>
        <v>15420</v>
      </c>
      <c r="L709" s="45">
        <f t="shared" si="54"/>
        <v>10280</v>
      </c>
      <c r="M709" s="92">
        <v>105.1</v>
      </c>
    </row>
    <row r="710" spans="1:13" ht="15" customHeight="1">
      <c r="A710" s="46"/>
      <c r="B710" s="92">
        <v>105.15</v>
      </c>
      <c r="C710" s="83">
        <f t="shared" si="59"/>
        <v>325.625</v>
      </c>
      <c r="D710" s="83">
        <f t="shared" si="59"/>
        <v>651.25</v>
      </c>
      <c r="E710" s="83">
        <f t="shared" si="59"/>
        <v>1302.5</v>
      </c>
      <c r="F710" s="83">
        <f t="shared" si="59"/>
        <v>2605</v>
      </c>
      <c r="G710" s="83">
        <f t="shared" si="59"/>
        <v>5210</v>
      </c>
      <c r="H710" s="47">
        <f>H709+((H711-H709)/2)</f>
        <v>10420</v>
      </c>
      <c r="I710" s="49">
        <f>E710*10</f>
        <v>13025</v>
      </c>
      <c r="J710" s="49">
        <f>E710*12</f>
        <v>15630</v>
      </c>
      <c r="L710" s="45">
        <f t="shared" si="54"/>
        <v>10420</v>
      </c>
      <c r="M710" s="92">
        <v>105.15</v>
      </c>
    </row>
    <row r="711" spans="1:13" ht="15" customHeight="1">
      <c r="A711" s="46"/>
      <c r="B711" s="92">
        <v>105.2</v>
      </c>
      <c r="C711" s="83">
        <f t="shared" si="59"/>
        <v>330</v>
      </c>
      <c r="D711" s="83">
        <f t="shared" si="59"/>
        <v>660</v>
      </c>
      <c r="E711" s="83">
        <f t="shared" si="59"/>
        <v>1320</v>
      </c>
      <c r="F711" s="83">
        <f t="shared" si="59"/>
        <v>2640</v>
      </c>
      <c r="G711" s="83">
        <f t="shared" si="59"/>
        <v>5280</v>
      </c>
      <c r="H711" s="50">
        <f>H709+280</f>
        <v>10560</v>
      </c>
      <c r="I711" s="49">
        <f t="shared" si="55"/>
        <v>13200</v>
      </c>
      <c r="J711" s="49">
        <f t="shared" si="56"/>
        <v>15840</v>
      </c>
      <c r="L711" s="45">
        <f t="shared" si="54"/>
        <v>10560</v>
      </c>
      <c r="M711" s="92">
        <v>105.2</v>
      </c>
    </row>
    <row r="712" spans="1:13" ht="15" customHeight="1">
      <c r="A712" s="46"/>
      <c r="B712" s="92">
        <v>105.25</v>
      </c>
      <c r="C712" s="83">
        <f t="shared" si="59"/>
        <v>334.375</v>
      </c>
      <c r="D712" s="83">
        <f t="shared" si="59"/>
        <v>668.75</v>
      </c>
      <c r="E712" s="83">
        <f t="shared" si="59"/>
        <v>1337.5</v>
      </c>
      <c r="F712" s="83">
        <f t="shared" si="59"/>
        <v>2675</v>
      </c>
      <c r="G712" s="83">
        <f t="shared" si="59"/>
        <v>5350</v>
      </c>
      <c r="H712" s="47">
        <f>H711+((H713-H711)/2)</f>
        <v>10700</v>
      </c>
      <c r="I712" s="49">
        <f>E712*10</f>
        <v>13375</v>
      </c>
      <c r="J712" s="49">
        <f>E712*12</f>
        <v>16050</v>
      </c>
      <c r="L712" s="45">
        <f t="shared" ref="L712:L775" si="60">+H712</f>
        <v>10700</v>
      </c>
      <c r="M712" s="92">
        <v>105.25</v>
      </c>
    </row>
    <row r="713" spans="1:13" ht="15" customHeight="1">
      <c r="A713" s="46"/>
      <c r="B713" s="92">
        <v>105.3</v>
      </c>
      <c r="C713" s="83">
        <f t="shared" si="59"/>
        <v>338.75</v>
      </c>
      <c r="D713" s="83">
        <f t="shared" si="59"/>
        <v>677.5</v>
      </c>
      <c r="E713" s="83">
        <f t="shared" si="59"/>
        <v>1355</v>
      </c>
      <c r="F713" s="83">
        <f t="shared" si="59"/>
        <v>2710</v>
      </c>
      <c r="G713" s="83">
        <f t="shared" si="59"/>
        <v>5420</v>
      </c>
      <c r="H713" s="50">
        <f>H711+280</f>
        <v>10840</v>
      </c>
      <c r="I713" s="49">
        <f t="shared" si="55"/>
        <v>13550</v>
      </c>
      <c r="J713" s="49">
        <f t="shared" si="56"/>
        <v>16260</v>
      </c>
      <c r="L713" s="45">
        <f t="shared" si="60"/>
        <v>10840</v>
      </c>
      <c r="M713" s="92">
        <v>105.3</v>
      </c>
    </row>
    <row r="714" spans="1:13" ht="15" customHeight="1">
      <c r="A714" s="46"/>
      <c r="B714" s="92">
        <v>105.35</v>
      </c>
      <c r="C714" s="83">
        <f t="shared" si="59"/>
        <v>343.125</v>
      </c>
      <c r="D714" s="83">
        <f t="shared" si="59"/>
        <v>686.25</v>
      </c>
      <c r="E714" s="83">
        <f t="shared" si="59"/>
        <v>1372.5</v>
      </c>
      <c r="F714" s="83">
        <f t="shared" si="59"/>
        <v>2745</v>
      </c>
      <c r="G714" s="83">
        <f t="shared" si="59"/>
        <v>5490</v>
      </c>
      <c r="H714" s="47">
        <f>H713+((H715-H713)/2)</f>
        <v>10980</v>
      </c>
      <c r="I714" s="49">
        <f>E714*10</f>
        <v>13725</v>
      </c>
      <c r="J714" s="49">
        <f>E714*12</f>
        <v>16470</v>
      </c>
      <c r="L714" s="45">
        <f t="shared" si="60"/>
        <v>10980</v>
      </c>
      <c r="M714" s="92">
        <v>105.35</v>
      </c>
    </row>
    <row r="715" spans="1:13" ht="15" customHeight="1">
      <c r="A715" s="46"/>
      <c r="B715" s="92">
        <v>105.4</v>
      </c>
      <c r="C715" s="83">
        <f t="shared" si="59"/>
        <v>347.5</v>
      </c>
      <c r="D715" s="83">
        <f t="shared" si="59"/>
        <v>695</v>
      </c>
      <c r="E715" s="83">
        <f t="shared" si="59"/>
        <v>1390</v>
      </c>
      <c r="F715" s="83">
        <f t="shared" si="59"/>
        <v>2780</v>
      </c>
      <c r="G715" s="83">
        <f t="shared" si="59"/>
        <v>5560</v>
      </c>
      <c r="H715" s="50">
        <f>H713+280</f>
        <v>11120</v>
      </c>
      <c r="I715" s="49">
        <f t="shared" si="55"/>
        <v>13900</v>
      </c>
      <c r="J715" s="49">
        <f t="shared" si="56"/>
        <v>16680</v>
      </c>
      <c r="L715" s="45">
        <f t="shared" si="60"/>
        <v>11120</v>
      </c>
      <c r="M715" s="92">
        <v>105.4</v>
      </c>
    </row>
    <row r="716" spans="1:13" ht="15" customHeight="1">
      <c r="A716" s="46"/>
      <c r="B716" s="92">
        <v>105.45</v>
      </c>
      <c r="C716" s="83">
        <f t="shared" si="59"/>
        <v>351.875</v>
      </c>
      <c r="D716" s="83">
        <f t="shared" si="59"/>
        <v>703.75</v>
      </c>
      <c r="E716" s="83">
        <f t="shared" si="59"/>
        <v>1407.5</v>
      </c>
      <c r="F716" s="83">
        <f t="shared" si="59"/>
        <v>2815</v>
      </c>
      <c r="G716" s="83">
        <f t="shared" si="59"/>
        <v>5630</v>
      </c>
      <c r="H716" s="47">
        <f>H715+((H717-H715)/2)</f>
        <v>11260</v>
      </c>
      <c r="I716" s="49">
        <f>E716*10</f>
        <v>14075</v>
      </c>
      <c r="J716" s="49">
        <f>E716*12</f>
        <v>16890</v>
      </c>
      <c r="L716" s="45">
        <f t="shared" si="60"/>
        <v>11260</v>
      </c>
      <c r="M716" s="92">
        <v>105.45</v>
      </c>
    </row>
    <row r="717" spans="1:13" ht="15" customHeight="1">
      <c r="A717" s="46"/>
      <c r="B717" s="92">
        <v>105.5</v>
      </c>
      <c r="C717" s="83">
        <f t="shared" si="59"/>
        <v>356.25</v>
      </c>
      <c r="D717" s="83">
        <f t="shared" si="59"/>
        <v>712.5</v>
      </c>
      <c r="E717" s="83">
        <f t="shared" si="59"/>
        <v>1425</v>
      </c>
      <c r="F717" s="83">
        <f t="shared" si="59"/>
        <v>2850</v>
      </c>
      <c r="G717" s="83">
        <f t="shared" si="59"/>
        <v>5700</v>
      </c>
      <c r="H717" s="50">
        <f>H715+280</f>
        <v>11400</v>
      </c>
      <c r="I717" s="49">
        <f t="shared" si="55"/>
        <v>14250</v>
      </c>
      <c r="J717" s="49">
        <f t="shared" si="56"/>
        <v>17100</v>
      </c>
      <c r="L717" s="45">
        <f t="shared" si="60"/>
        <v>11400</v>
      </c>
      <c r="M717" s="92">
        <v>105.5</v>
      </c>
    </row>
    <row r="718" spans="1:13" ht="15" customHeight="1">
      <c r="A718" s="46"/>
      <c r="B718" s="92">
        <v>105.55</v>
      </c>
      <c r="C718" s="83">
        <f t="shared" si="59"/>
        <v>360.625</v>
      </c>
      <c r="D718" s="83">
        <f t="shared" si="59"/>
        <v>721.25</v>
      </c>
      <c r="E718" s="83">
        <f t="shared" si="59"/>
        <v>1442.5</v>
      </c>
      <c r="F718" s="83">
        <f t="shared" si="59"/>
        <v>2885</v>
      </c>
      <c r="G718" s="83">
        <f t="shared" si="59"/>
        <v>5770</v>
      </c>
      <c r="H718" s="47">
        <f>H717+((H719-H717)/2)</f>
        <v>11540</v>
      </c>
      <c r="I718" s="49">
        <f>E718*10</f>
        <v>14425</v>
      </c>
      <c r="J718" s="49">
        <f>E718*12</f>
        <v>17310</v>
      </c>
      <c r="L718" s="45">
        <f t="shared" si="60"/>
        <v>11540</v>
      </c>
      <c r="M718" s="92">
        <v>105.55</v>
      </c>
    </row>
    <row r="719" spans="1:13" ht="15" customHeight="1">
      <c r="A719" s="46"/>
      <c r="B719" s="92">
        <v>105.6</v>
      </c>
      <c r="C719" s="83">
        <f t="shared" si="59"/>
        <v>365</v>
      </c>
      <c r="D719" s="83">
        <f t="shared" si="59"/>
        <v>730</v>
      </c>
      <c r="E719" s="83">
        <f t="shared" si="59"/>
        <v>1460</v>
      </c>
      <c r="F719" s="83">
        <f t="shared" si="59"/>
        <v>2920</v>
      </c>
      <c r="G719" s="83">
        <f t="shared" si="59"/>
        <v>5840</v>
      </c>
      <c r="H719" s="50">
        <f>H717+280</f>
        <v>11680</v>
      </c>
      <c r="I719" s="49">
        <f t="shared" si="55"/>
        <v>14600</v>
      </c>
      <c r="J719" s="49">
        <f t="shared" si="56"/>
        <v>17520</v>
      </c>
      <c r="L719" s="45">
        <f t="shared" si="60"/>
        <v>11680</v>
      </c>
      <c r="M719" s="92">
        <v>105.6</v>
      </c>
    </row>
    <row r="720" spans="1:13" ht="15" customHeight="1">
      <c r="A720" s="46"/>
      <c r="B720" s="92">
        <v>105.65</v>
      </c>
      <c r="C720" s="83">
        <f t="shared" si="59"/>
        <v>369.375</v>
      </c>
      <c r="D720" s="83">
        <f t="shared" si="59"/>
        <v>738.75</v>
      </c>
      <c r="E720" s="83">
        <f t="shared" si="59"/>
        <v>1477.5</v>
      </c>
      <c r="F720" s="83">
        <f t="shared" si="59"/>
        <v>2955</v>
      </c>
      <c r="G720" s="83">
        <f t="shared" si="59"/>
        <v>5910</v>
      </c>
      <c r="H720" s="47">
        <f>H719+((H721-H719)/2)</f>
        <v>11820</v>
      </c>
      <c r="I720" s="49">
        <f>E720*10</f>
        <v>14775</v>
      </c>
      <c r="J720" s="49">
        <f>E720*12</f>
        <v>17730</v>
      </c>
      <c r="L720" s="45">
        <f t="shared" si="60"/>
        <v>11820</v>
      </c>
      <c r="M720" s="92">
        <v>105.65</v>
      </c>
    </row>
    <row r="721" spans="1:13" ht="15" customHeight="1">
      <c r="A721" s="46"/>
      <c r="B721" s="92">
        <v>105.7</v>
      </c>
      <c r="C721" s="83">
        <f t="shared" si="59"/>
        <v>373.75</v>
      </c>
      <c r="D721" s="83">
        <f t="shared" si="59"/>
        <v>747.5</v>
      </c>
      <c r="E721" s="83">
        <f t="shared" si="59"/>
        <v>1495</v>
      </c>
      <c r="F721" s="83">
        <f t="shared" si="59"/>
        <v>2990</v>
      </c>
      <c r="G721" s="83">
        <f t="shared" si="59"/>
        <v>5980</v>
      </c>
      <c r="H721" s="50">
        <f>H719+280</f>
        <v>11960</v>
      </c>
      <c r="I721" s="49">
        <f t="shared" si="55"/>
        <v>14950</v>
      </c>
      <c r="J721" s="49">
        <f t="shared" si="56"/>
        <v>17940</v>
      </c>
      <c r="L721" s="45">
        <f t="shared" si="60"/>
        <v>11960</v>
      </c>
      <c r="M721" s="92">
        <v>105.7</v>
      </c>
    </row>
    <row r="722" spans="1:13" ht="15" customHeight="1">
      <c r="A722" s="46"/>
      <c r="B722" s="92">
        <v>105.75</v>
      </c>
      <c r="C722" s="83">
        <f t="shared" si="59"/>
        <v>378.125</v>
      </c>
      <c r="D722" s="83">
        <f t="shared" si="59"/>
        <v>756.25</v>
      </c>
      <c r="E722" s="83">
        <f t="shared" si="59"/>
        <v>1512.5</v>
      </c>
      <c r="F722" s="83">
        <f t="shared" si="59"/>
        <v>3025</v>
      </c>
      <c r="G722" s="83">
        <f t="shared" si="59"/>
        <v>6050</v>
      </c>
      <c r="H722" s="47">
        <f>H721+((H723-H721)/2)</f>
        <v>12100</v>
      </c>
      <c r="I722" s="49">
        <f>E722*10</f>
        <v>15125</v>
      </c>
      <c r="J722" s="49">
        <f>E722*12</f>
        <v>18150</v>
      </c>
      <c r="L722" s="45">
        <f t="shared" si="60"/>
        <v>12100</v>
      </c>
      <c r="M722" s="92">
        <v>105.75</v>
      </c>
    </row>
    <row r="723" spans="1:13" ht="15" customHeight="1">
      <c r="A723" s="46"/>
      <c r="B723" s="92">
        <v>105.8</v>
      </c>
      <c r="C723" s="83">
        <f t="shared" si="59"/>
        <v>382.5</v>
      </c>
      <c r="D723" s="83">
        <f t="shared" si="59"/>
        <v>765</v>
      </c>
      <c r="E723" s="83">
        <f t="shared" si="59"/>
        <v>1530</v>
      </c>
      <c r="F723" s="83">
        <f t="shared" si="59"/>
        <v>3060</v>
      </c>
      <c r="G723" s="83">
        <f t="shared" si="59"/>
        <v>6120</v>
      </c>
      <c r="H723" s="50">
        <f>H721+280</f>
        <v>12240</v>
      </c>
      <c r="I723" s="49">
        <f t="shared" si="55"/>
        <v>15300</v>
      </c>
      <c r="J723" s="49">
        <f t="shared" si="56"/>
        <v>18360</v>
      </c>
      <c r="L723" s="45">
        <f t="shared" si="60"/>
        <v>12240</v>
      </c>
      <c r="M723" s="92">
        <v>105.8</v>
      </c>
    </row>
    <row r="724" spans="1:13" ht="15" customHeight="1">
      <c r="A724" s="46"/>
      <c r="B724" s="92">
        <v>105.85</v>
      </c>
      <c r="C724" s="83">
        <f t="shared" si="59"/>
        <v>386.875</v>
      </c>
      <c r="D724" s="83">
        <f t="shared" si="59"/>
        <v>773.75</v>
      </c>
      <c r="E724" s="83">
        <f t="shared" si="59"/>
        <v>1547.5</v>
      </c>
      <c r="F724" s="83">
        <f t="shared" si="59"/>
        <v>3095</v>
      </c>
      <c r="G724" s="83">
        <f t="shared" si="59"/>
        <v>6190</v>
      </c>
      <c r="H724" s="47">
        <f>H723+((H725-H723)/2)</f>
        <v>12380</v>
      </c>
      <c r="I724" s="49">
        <f>E724*10</f>
        <v>15475</v>
      </c>
      <c r="J724" s="49">
        <f>E724*12</f>
        <v>18570</v>
      </c>
      <c r="L724" s="45">
        <f t="shared" si="60"/>
        <v>12380</v>
      </c>
      <c r="M724" s="92">
        <v>105.85</v>
      </c>
    </row>
    <row r="725" spans="1:13" ht="15" customHeight="1">
      <c r="A725" s="46"/>
      <c r="B725" s="92">
        <v>105.9</v>
      </c>
      <c r="C725" s="83">
        <f t="shared" si="59"/>
        <v>391.25</v>
      </c>
      <c r="D725" s="83">
        <f t="shared" si="59"/>
        <v>782.5</v>
      </c>
      <c r="E725" s="83">
        <f t="shared" si="59"/>
        <v>1565</v>
      </c>
      <c r="F725" s="83">
        <f t="shared" si="59"/>
        <v>3130</v>
      </c>
      <c r="G725" s="83">
        <f t="shared" si="59"/>
        <v>6260</v>
      </c>
      <c r="H725" s="50">
        <f>H723+280</f>
        <v>12520</v>
      </c>
      <c r="I725" s="49">
        <f t="shared" si="55"/>
        <v>15650</v>
      </c>
      <c r="J725" s="49">
        <f t="shared" si="56"/>
        <v>18780</v>
      </c>
      <c r="L725" s="45">
        <f t="shared" si="60"/>
        <v>12520</v>
      </c>
      <c r="M725" s="92">
        <v>105.9</v>
      </c>
    </row>
    <row r="726" spans="1:13" ht="15" customHeight="1">
      <c r="A726" s="46"/>
      <c r="B726" s="92">
        <v>105.95</v>
      </c>
      <c r="C726" s="83">
        <f>D726/2</f>
        <v>395.625</v>
      </c>
      <c r="D726" s="83">
        <f>E726/2</f>
        <v>791.25</v>
      </c>
      <c r="E726" s="83">
        <f>F726/2</f>
        <v>1582.5</v>
      </c>
      <c r="F726" s="83">
        <f>G726/2</f>
        <v>3165</v>
      </c>
      <c r="G726" s="83">
        <f>H726/2</f>
        <v>6330</v>
      </c>
      <c r="H726" s="47">
        <f>H725+((H727-H725)/2)</f>
        <v>12660</v>
      </c>
      <c r="I726" s="49">
        <f>E726*10</f>
        <v>15825</v>
      </c>
      <c r="J726" s="49">
        <f>E726*12</f>
        <v>18990</v>
      </c>
      <c r="L726" s="45">
        <f t="shared" si="60"/>
        <v>12660</v>
      </c>
      <c r="M726" s="92">
        <v>105.95</v>
      </c>
    </row>
    <row r="727" spans="1:13" ht="15" customHeight="1">
      <c r="A727" s="46"/>
      <c r="B727" s="92">
        <v>106</v>
      </c>
      <c r="C727" s="83">
        <f t="shared" ref="C727:G745" si="61">D727/2</f>
        <v>400</v>
      </c>
      <c r="D727" s="83">
        <f t="shared" si="61"/>
        <v>800</v>
      </c>
      <c r="E727" s="83">
        <f t="shared" si="61"/>
        <v>1600</v>
      </c>
      <c r="F727" s="83">
        <f t="shared" si="61"/>
        <v>3200</v>
      </c>
      <c r="G727" s="83">
        <f t="shared" si="61"/>
        <v>6400</v>
      </c>
      <c r="H727" s="50">
        <f>H667*2</f>
        <v>12800</v>
      </c>
      <c r="I727" s="49">
        <f t="shared" si="55"/>
        <v>16000</v>
      </c>
      <c r="J727" s="49">
        <f t="shared" si="56"/>
        <v>19200</v>
      </c>
      <c r="L727" s="45">
        <f t="shared" si="60"/>
        <v>12800</v>
      </c>
      <c r="M727" s="92">
        <v>106</v>
      </c>
    </row>
    <row r="728" spans="1:13" ht="15" customHeight="1">
      <c r="A728" s="46"/>
      <c r="B728" s="92">
        <v>106.05</v>
      </c>
      <c r="C728" s="83">
        <f t="shared" si="61"/>
        <v>405</v>
      </c>
      <c r="D728" s="83">
        <f t="shared" si="61"/>
        <v>810</v>
      </c>
      <c r="E728" s="83">
        <f t="shared" si="61"/>
        <v>1620</v>
      </c>
      <c r="F728" s="83">
        <f t="shared" si="61"/>
        <v>3240</v>
      </c>
      <c r="G728" s="83">
        <f t="shared" si="61"/>
        <v>6480</v>
      </c>
      <c r="H728" s="47">
        <f>H727+((H729-H727)/2)</f>
        <v>12960</v>
      </c>
      <c r="I728" s="49">
        <f>E728*10</f>
        <v>16200</v>
      </c>
      <c r="J728" s="49">
        <f>E728*12</f>
        <v>19440</v>
      </c>
      <c r="L728" s="45">
        <f t="shared" si="60"/>
        <v>12960</v>
      </c>
      <c r="M728" s="92">
        <v>106.05</v>
      </c>
    </row>
    <row r="729" spans="1:13" ht="15" customHeight="1">
      <c r="A729" s="46"/>
      <c r="B729" s="92">
        <v>106.1</v>
      </c>
      <c r="C729" s="83">
        <f t="shared" si="61"/>
        <v>410</v>
      </c>
      <c r="D729" s="83">
        <f t="shared" si="61"/>
        <v>820</v>
      </c>
      <c r="E729" s="83">
        <f t="shared" si="61"/>
        <v>1640</v>
      </c>
      <c r="F729" s="83">
        <f t="shared" si="61"/>
        <v>3280</v>
      </c>
      <c r="G729" s="83">
        <f t="shared" si="61"/>
        <v>6560</v>
      </c>
      <c r="H729" s="47">
        <f>H727+((H747-H727)/10)</f>
        <v>13120</v>
      </c>
      <c r="I729" s="49">
        <f t="shared" si="55"/>
        <v>16400</v>
      </c>
      <c r="J729" s="49">
        <f t="shared" si="56"/>
        <v>19680</v>
      </c>
      <c r="L729" s="45">
        <f t="shared" si="60"/>
        <v>13120</v>
      </c>
      <c r="M729" s="92">
        <v>106.1</v>
      </c>
    </row>
    <row r="730" spans="1:13" ht="15" customHeight="1">
      <c r="A730" s="46"/>
      <c r="B730" s="92">
        <v>106.15</v>
      </c>
      <c r="C730" s="83">
        <f t="shared" si="61"/>
        <v>415</v>
      </c>
      <c r="D730" s="83">
        <f t="shared" si="61"/>
        <v>830</v>
      </c>
      <c r="E730" s="83">
        <f t="shared" si="61"/>
        <v>1660</v>
      </c>
      <c r="F730" s="83">
        <f t="shared" si="61"/>
        <v>3320</v>
      </c>
      <c r="G730" s="83">
        <f t="shared" si="61"/>
        <v>6640</v>
      </c>
      <c r="H730" s="47">
        <f>H729+((H731-H729)/2)</f>
        <v>13280</v>
      </c>
      <c r="I730" s="49">
        <f>E730*10</f>
        <v>16600</v>
      </c>
      <c r="J730" s="49">
        <f>E730*12</f>
        <v>19920</v>
      </c>
      <c r="L730" s="45">
        <f t="shared" si="60"/>
        <v>13280</v>
      </c>
      <c r="M730" s="92">
        <v>106.15</v>
      </c>
    </row>
    <row r="731" spans="1:13" ht="15" customHeight="1">
      <c r="A731" s="46"/>
      <c r="B731" s="92">
        <v>106.2</v>
      </c>
      <c r="C731" s="83">
        <f t="shared" si="61"/>
        <v>420</v>
      </c>
      <c r="D731" s="83">
        <f t="shared" si="61"/>
        <v>840</v>
      </c>
      <c r="E731" s="83">
        <f t="shared" si="61"/>
        <v>1680</v>
      </c>
      <c r="F731" s="83">
        <f t="shared" si="61"/>
        <v>3360</v>
      </c>
      <c r="G731" s="83">
        <f t="shared" si="61"/>
        <v>6720</v>
      </c>
      <c r="H731" s="50">
        <f>H729+320</f>
        <v>13440</v>
      </c>
      <c r="I731" s="49">
        <f t="shared" si="55"/>
        <v>16800</v>
      </c>
      <c r="J731" s="49">
        <f t="shared" si="56"/>
        <v>20160</v>
      </c>
      <c r="L731" s="45">
        <f t="shared" si="60"/>
        <v>13440</v>
      </c>
      <c r="M731" s="92">
        <v>106.2</v>
      </c>
    </row>
    <row r="732" spans="1:13" ht="15" customHeight="1">
      <c r="A732" s="46"/>
      <c r="B732" s="92">
        <v>106.25</v>
      </c>
      <c r="C732" s="83">
        <f t="shared" si="61"/>
        <v>425</v>
      </c>
      <c r="D732" s="83">
        <f t="shared" si="61"/>
        <v>850</v>
      </c>
      <c r="E732" s="83">
        <f t="shared" si="61"/>
        <v>1700</v>
      </c>
      <c r="F732" s="83">
        <f t="shared" si="61"/>
        <v>3400</v>
      </c>
      <c r="G732" s="83">
        <f t="shared" si="61"/>
        <v>6800</v>
      </c>
      <c r="H732" s="47">
        <f>H731+((H733-H731)/2)</f>
        <v>13600</v>
      </c>
      <c r="I732" s="49">
        <f>E732*10</f>
        <v>17000</v>
      </c>
      <c r="J732" s="49">
        <f>E732*12</f>
        <v>20400</v>
      </c>
      <c r="L732" s="45">
        <f t="shared" si="60"/>
        <v>13600</v>
      </c>
      <c r="M732" s="92">
        <v>106.25</v>
      </c>
    </row>
    <row r="733" spans="1:13" ht="15" customHeight="1">
      <c r="A733" s="46"/>
      <c r="B733" s="92">
        <v>106.3</v>
      </c>
      <c r="C733" s="83">
        <f t="shared" si="61"/>
        <v>430</v>
      </c>
      <c r="D733" s="83">
        <f t="shared" si="61"/>
        <v>860</v>
      </c>
      <c r="E733" s="83">
        <f t="shared" si="61"/>
        <v>1720</v>
      </c>
      <c r="F733" s="83">
        <f t="shared" si="61"/>
        <v>3440</v>
      </c>
      <c r="G733" s="83">
        <f t="shared" si="61"/>
        <v>6880</v>
      </c>
      <c r="H733" s="50">
        <f>H731+320</f>
        <v>13760</v>
      </c>
      <c r="I733" s="49">
        <f t="shared" si="55"/>
        <v>17200</v>
      </c>
      <c r="J733" s="49">
        <f t="shared" si="56"/>
        <v>20640</v>
      </c>
      <c r="L733" s="45">
        <f t="shared" si="60"/>
        <v>13760</v>
      </c>
      <c r="M733" s="92">
        <v>106.3</v>
      </c>
    </row>
    <row r="734" spans="1:13" ht="15" customHeight="1">
      <c r="A734" s="46"/>
      <c r="B734" s="92">
        <v>106.35</v>
      </c>
      <c r="C734" s="83">
        <f t="shared" si="61"/>
        <v>435</v>
      </c>
      <c r="D734" s="83">
        <f t="shared" si="61"/>
        <v>870</v>
      </c>
      <c r="E734" s="83">
        <f t="shared" si="61"/>
        <v>1740</v>
      </c>
      <c r="F734" s="83">
        <f t="shared" si="61"/>
        <v>3480</v>
      </c>
      <c r="G734" s="83">
        <f t="shared" si="61"/>
        <v>6960</v>
      </c>
      <c r="H734" s="47">
        <f>H733+((H735-H733)/2)</f>
        <v>13920</v>
      </c>
      <c r="I734" s="49">
        <f>E734*10</f>
        <v>17400</v>
      </c>
      <c r="J734" s="49">
        <f>E734*12</f>
        <v>20880</v>
      </c>
      <c r="L734" s="45">
        <f t="shared" si="60"/>
        <v>13920</v>
      </c>
      <c r="M734" s="92">
        <v>106.35</v>
      </c>
    </row>
    <row r="735" spans="1:13" ht="15" customHeight="1">
      <c r="A735" s="46"/>
      <c r="B735" s="92">
        <v>106.4</v>
      </c>
      <c r="C735" s="83">
        <f t="shared" si="61"/>
        <v>440</v>
      </c>
      <c r="D735" s="83">
        <f t="shared" si="61"/>
        <v>880</v>
      </c>
      <c r="E735" s="83">
        <f t="shared" si="61"/>
        <v>1760</v>
      </c>
      <c r="F735" s="83">
        <f t="shared" si="61"/>
        <v>3520</v>
      </c>
      <c r="G735" s="83">
        <f t="shared" si="61"/>
        <v>7040</v>
      </c>
      <c r="H735" s="50">
        <f>H733+320</f>
        <v>14080</v>
      </c>
      <c r="I735" s="49">
        <f t="shared" si="55"/>
        <v>17600</v>
      </c>
      <c r="J735" s="49">
        <f t="shared" si="56"/>
        <v>21120</v>
      </c>
      <c r="L735" s="45">
        <f t="shared" si="60"/>
        <v>14080</v>
      </c>
      <c r="M735" s="92">
        <v>106.4</v>
      </c>
    </row>
    <row r="736" spans="1:13" ht="15" customHeight="1">
      <c r="A736" s="46"/>
      <c r="B736" s="92">
        <v>106.45</v>
      </c>
      <c r="C736" s="83">
        <f t="shared" si="61"/>
        <v>445</v>
      </c>
      <c r="D736" s="83">
        <f t="shared" si="61"/>
        <v>890</v>
      </c>
      <c r="E736" s="83">
        <f t="shared" si="61"/>
        <v>1780</v>
      </c>
      <c r="F736" s="83">
        <f t="shared" si="61"/>
        <v>3560</v>
      </c>
      <c r="G736" s="83">
        <f t="shared" si="61"/>
        <v>7120</v>
      </c>
      <c r="H736" s="47">
        <f>H735+((H737-H735)/2)</f>
        <v>14240</v>
      </c>
      <c r="I736" s="49">
        <f>E736*10</f>
        <v>17800</v>
      </c>
      <c r="J736" s="49">
        <f>E736*12</f>
        <v>21360</v>
      </c>
      <c r="L736" s="45">
        <f t="shared" si="60"/>
        <v>14240</v>
      </c>
      <c r="M736" s="92">
        <v>106.45</v>
      </c>
    </row>
    <row r="737" spans="1:13" ht="15" customHeight="1">
      <c r="A737" s="46"/>
      <c r="B737" s="92">
        <v>106.5</v>
      </c>
      <c r="C737" s="83">
        <f t="shared" si="61"/>
        <v>450</v>
      </c>
      <c r="D737" s="83">
        <f t="shared" si="61"/>
        <v>900</v>
      </c>
      <c r="E737" s="83">
        <f t="shared" si="61"/>
        <v>1800</v>
      </c>
      <c r="F737" s="83">
        <f t="shared" si="61"/>
        <v>3600</v>
      </c>
      <c r="G737" s="83">
        <f t="shared" si="61"/>
        <v>7200</v>
      </c>
      <c r="H737" s="50">
        <f>H735+320</f>
        <v>14400</v>
      </c>
      <c r="I737" s="49">
        <f t="shared" si="55"/>
        <v>18000</v>
      </c>
      <c r="J737" s="49">
        <f t="shared" si="56"/>
        <v>21600</v>
      </c>
      <c r="L737" s="45">
        <f t="shared" si="60"/>
        <v>14400</v>
      </c>
      <c r="M737" s="92">
        <v>106.5</v>
      </c>
    </row>
    <row r="738" spans="1:13" ht="15" customHeight="1">
      <c r="A738" s="46"/>
      <c r="B738" s="92">
        <v>106.55</v>
      </c>
      <c r="C738" s="83">
        <f t="shared" si="61"/>
        <v>455</v>
      </c>
      <c r="D738" s="83">
        <f t="shared" si="61"/>
        <v>910</v>
      </c>
      <c r="E738" s="83">
        <f t="shared" si="61"/>
        <v>1820</v>
      </c>
      <c r="F738" s="83">
        <f t="shared" si="61"/>
        <v>3640</v>
      </c>
      <c r="G738" s="83">
        <f t="shared" si="61"/>
        <v>7280</v>
      </c>
      <c r="H738" s="47">
        <f>H737+((H739-H737)/2)</f>
        <v>14560</v>
      </c>
      <c r="I738" s="49">
        <f>E738*10</f>
        <v>18200</v>
      </c>
      <c r="J738" s="49">
        <f>E738*12</f>
        <v>21840</v>
      </c>
      <c r="L738" s="45">
        <f t="shared" si="60"/>
        <v>14560</v>
      </c>
      <c r="M738" s="92">
        <v>106.55</v>
      </c>
    </row>
    <row r="739" spans="1:13" ht="15" customHeight="1">
      <c r="A739" s="46"/>
      <c r="B739" s="92">
        <v>106.6</v>
      </c>
      <c r="C739" s="83">
        <f t="shared" si="61"/>
        <v>460</v>
      </c>
      <c r="D739" s="83">
        <f t="shared" si="61"/>
        <v>920</v>
      </c>
      <c r="E739" s="83">
        <f t="shared" si="61"/>
        <v>1840</v>
      </c>
      <c r="F739" s="83">
        <f t="shared" si="61"/>
        <v>3680</v>
      </c>
      <c r="G739" s="83">
        <f t="shared" si="61"/>
        <v>7360</v>
      </c>
      <c r="H739" s="50">
        <f>H737+320</f>
        <v>14720</v>
      </c>
      <c r="I739" s="49">
        <f t="shared" si="55"/>
        <v>18400</v>
      </c>
      <c r="J739" s="49">
        <f t="shared" si="56"/>
        <v>22080</v>
      </c>
      <c r="L739" s="45">
        <f t="shared" si="60"/>
        <v>14720</v>
      </c>
      <c r="M739" s="92">
        <v>106.6</v>
      </c>
    </row>
    <row r="740" spans="1:13" ht="15" customHeight="1">
      <c r="A740" s="46"/>
      <c r="B740" s="92">
        <v>106.65</v>
      </c>
      <c r="C740" s="83">
        <f t="shared" si="61"/>
        <v>465</v>
      </c>
      <c r="D740" s="83">
        <f t="shared" si="61"/>
        <v>930</v>
      </c>
      <c r="E740" s="83">
        <f t="shared" si="61"/>
        <v>1860</v>
      </c>
      <c r="F740" s="83">
        <f t="shared" si="61"/>
        <v>3720</v>
      </c>
      <c r="G740" s="83">
        <f t="shared" si="61"/>
        <v>7440</v>
      </c>
      <c r="H740" s="47">
        <f>H739+((H741-H739)/2)</f>
        <v>14880</v>
      </c>
      <c r="I740" s="49">
        <f>E740*10</f>
        <v>18600</v>
      </c>
      <c r="J740" s="49">
        <f>E740*12</f>
        <v>22320</v>
      </c>
      <c r="L740" s="45">
        <f t="shared" si="60"/>
        <v>14880</v>
      </c>
      <c r="M740" s="92">
        <v>106.65</v>
      </c>
    </row>
    <row r="741" spans="1:13" ht="15" customHeight="1">
      <c r="A741" s="46"/>
      <c r="B741" s="92">
        <v>106.7</v>
      </c>
      <c r="C741" s="83">
        <f t="shared" si="61"/>
        <v>470</v>
      </c>
      <c r="D741" s="83">
        <f t="shared" si="61"/>
        <v>940</v>
      </c>
      <c r="E741" s="83">
        <f t="shared" si="61"/>
        <v>1880</v>
      </c>
      <c r="F741" s="83">
        <f t="shared" si="61"/>
        <v>3760</v>
      </c>
      <c r="G741" s="83">
        <f t="shared" si="61"/>
        <v>7520</v>
      </c>
      <c r="H741" s="50">
        <f>H739+320</f>
        <v>15040</v>
      </c>
      <c r="I741" s="49">
        <f t="shared" si="55"/>
        <v>18800</v>
      </c>
      <c r="J741" s="49">
        <f t="shared" si="56"/>
        <v>22560</v>
      </c>
      <c r="L741" s="45">
        <f t="shared" si="60"/>
        <v>15040</v>
      </c>
      <c r="M741" s="92">
        <v>106.7</v>
      </c>
    </row>
    <row r="742" spans="1:13" ht="15" customHeight="1">
      <c r="A742" s="46"/>
      <c r="B742" s="92">
        <v>106.75</v>
      </c>
      <c r="C742" s="83">
        <f t="shared" si="61"/>
        <v>475</v>
      </c>
      <c r="D742" s="83">
        <f t="shared" si="61"/>
        <v>950</v>
      </c>
      <c r="E742" s="83">
        <f t="shared" si="61"/>
        <v>1900</v>
      </c>
      <c r="F742" s="83">
        <f t="shared" si="61"/>
        <v>3800</v>
      </c>
      <c r="G742" s="83">
        <f t="shared" si="61"/>
        <v>7600</v>
      </c>
      <c r="H742" s="47">
        <f>H741+((H743-H741)/2)</f>
        <v>15200</v>
      </c>
      <c r="I742" s="49">
        <f>E742*10</f>
        <v>19000</v>
      </c>
      <c r="J742" s="49">
        <f>E742*12</f>
        <v>22800</v>
      </c>
      <c r="L742" s="45">
        <f t="shared" si="60"/>
        <v>15200</v>
      </c>
      <c r="M742" s="92">
        <v>106.75</v>
      </c>
    </row>
    <row r="743" spans="1:13" ht="15" customHeight="1">
      <c r="A743" s="46"/>
      <c r="B743" s="92">
        <v>106.8</v>
      </c>
      <c r="C743" s="83">
        <f t="shared" si="61"/>
        <v>480</v>
      </c>
      <c r="D743" s="83">
        <f t="shared" si="61"/>
        <v>960</v>
      </c>
      <c r="E743" s="83">
        <f t="shared" si="61"/>
        <v>1920</v>
      </c>
      <c r="F743" s="83">
        <f t="shared" si="61"/>
        <v>3840</v>
      </c>
      <c r="G743" s="83">
        <f t="shared" si="61"/>
        <v>7680</v>
      </c>
      <c r="H743" s="50">
        <f>H741+320</f>
        <v>15360</v>
      </c>
      <c r="I743" s="49">
        <f t="shared" si="55"/>
        <v>19200</v>
      </c>
      <c r="J743" s="49">
        <f t="shared" si="56"/>
        <v>23040</v>
      </c>
      <c r="L743" s="45">
        <f t="shared" si="60"/>
        <v>15360</v>
      </c>
      <c r="M743" s="92">
        <v>106.8</v>
      </c>
    </row>
    <row r="744" spans="1:13" ht="15" customHeight="1">
      <c r="A744" s="46"/>
      <c r="B744" s="92">
        <v>106.85</v>
      </c>
      <c r="C744" s="83">
        <f t="shared" si="61"/>
        <v>485</v>
      </c>
      <c r="D744" s="83">
        <f t="shared" si="61"/>
        <v>970</v>
      </c>
      <c r="E744" s="83">
        <f t="shared" si="61"/>
        <v>1940</v>
      </c>
      <c r="F744" s="83">
        <f t="shared" si="61"/>
        <v>3880</v>
      </c>
      <c r="G744" s="83">
        <f t="shared" si="61"/>
        <v>7760</v>
      </c>
      <c r="H744" s="47">
        <f>H743+((H745-H743)/2)</f>
        <v>15520</v>
      </c>
      <c r="I744" s="49">
        <f>E744*10</f>
        <v>19400</v>
      </c>
      <c r="J744" s="49">
        <f>E744*12</f>
        <v>23280</v>
      </c>
      <c r="L744" s="45">
        <f t="shared" si="60"/>
        <v>15520</v>
      </c>
      <c r="M744" s="92">
        <v>106.85</v>
      </c>
    </row>
    <row r="745" spans="1:13" ht="15" customHeight="1">
      <c r="A745" s="46"/>
      <c r="B745" s="92">
        <v>106.9</v>
      </c>
      <c r="C745" s="83">
        <f t="shared" si="61"/>
        <v>490</v>
      </c>
      <c r="D745" s="83">
        <f t="shared" si="61"/>
        <v>980</v>
      </c>
      <c r="E745" s="83">
        <f t="shared" si="61"/>
        <v>1960</v>
      </c>
      <c r="F745" s="83">
        <f t="shared" si="61"/>
        <v>3920</v>
      </c>
      <c r="G745" s="83">
        <f t="shared" si="61"/>
        <v>7840</v>
      </c>
      <c r="H745" s="50">
        <f>H743+320</f>
        <v>15680</v>
      </c>
      <c r="I745" s="49">
        <f t="shared" si="55"/>
        <v>19600</v>
      </c>
      <c r="J745" s="49">
        <f t="shared" si="56"/>
        <v>23520</v>
      </c>
      <c r="L745" s="45">
        <f t="shared" si="60"/>
        <v>15680</v>
      </c>
      <c r="M745" s="92">
        <v>106.9</v>
      </c>
    </row>
    <row r="746" spans="1:13" ht="15" customHeight="1">
      <c r="A746" s="46"/>
      <c r="B746" s="92">
        <v>106.95</v>
      </c>
      <c r="C746" s="83">
        <f>D746/2</f>
        <v>495</v>
      </c>
      <c r="D746" s="83">
        <f>E746/2</f>
        <v>990</v>
      </c>
      <c r="E746" s="83">
        <f>F746/2</f>
        <v>1980</v>
      </c>
      <c r="F746" s="83">
        <f>G746/2</f>
        <v>3960</v>
      </c>
      <c r="G746" s="83">
        <f>H746/2</f>
        <v>7920</v>
      </c>
      <c r="H746" s="47">
        <f>H745+((H747-H745)/2)</f>
        <v>15840</v>
      </c>
      <c r="I746" s="49">
        <f>E746*10</f>
        <v>19800</v>
      </c>
      <c r="J746" s="49">
        <f>E746*12</f>
        <v>23760</v>
      </c>
      <c r="L746" s="45">
        <f t="shared" si="60"/>
        <v>15840</v>
      </c>
      <c r="M746" s="92">
        <v>106.95</v>
      </c>
    </row>
    <row r="747" spans="1:13" ht="15" customHeight="1">
      <c r="A747" s="46"/>
      <c r="B747" s="92">
        <v>107</v>
      </c>
      <c r="C747" s="83">
        <f t="shared" ref="C747:G765" si="62">D747/2</f>
        <v>500</v>
      </c>
      <c r="D747" s="83">
        <f t="shared" si="62"/>
        <v>1000</v>
      </c>
      <c r="E747" s="83">
        <f t="shared" si="62"/>
        <v>2000</v>
      </c>
      <c r="F747" s="83">
        <f t="shared" si="62"/>
        <v>4000</v>
      </c>
      <c r="G747" s="83">
        <f t="shared" si="62"/>
        <v>8000</v>
      </c>
      <c r="H747" s="50">
        <f>H687*2</f>
        <v>16000</v>
      </c>
      <c r="I747" s="49">
        <f t="shared" si="55"/>
        <v>20000</v>
      </c>
      <c r="J747" s="49">
        <f t="shared" si="56"/>
        <v>24000</v>
      </c>
      <c r="L747" s="45">
        <f t="shared" si="60"/>
        <v>16000</v>
      </c>
      <c r="M747" s="92">
        <v>107</v>
      </c>
    </row>
    <row r="748" spans="1:13" ht="15" customHeight="1">
      <c r="A748" s="46"/>
      <c r="B748" s="92">
        <v>107.05</v>
      </c>
      <c r="C748" s="83">
        <f t="shared" si="62"/>
        <v>506.25</v>
      </c>
      <c r="D748" s="83">
        <f t="shared" si="62"/>
        <v>1012.5</v>
      </c>
      <c r="E748" s="83">
        <f t="shared" si="62"/>
        <v>2025</v>
      </c>
      <c r="F748" s="83">
        <f t="shared" si="62"/>
        <v>4050</v>
      </c>
      <c r="G748" s="83">
        <f t="shared" si="62"/>
        <v>8100</v>
      </c>
      <c r="H748" s="47">
        <f>H747+((H749-H747)/2)</f>
        <v>16200</v>
      </c>
      <c r="I748" s="49">
        <f>E748*10</f>
        <v>20250</v>
      </c>
      <c r="J748" s="49">
        <f>E748*12</f>
        <v>24300</v>
      </c>
      <c r="L748" s="45">
        <f t="shared" si="60"/>
        <v>16200</v>
      </c>
      <c r="M748" s="92">
        <v>107.05</v>
      </c>
    </row>
    <row r="749" spans="1:13" ht="15" customHeight="1">
      <c r="A749" s="46"/>
      <c r="B749" s="92">
        <v>107.1</v>
      </c>
      <c r="C749" s="83">
        <f t="shared" si="62"/>
        <v>512.5</v>
      </c>
      <c r="D749" s="83">
        <f t="shared" si="62"/>
        <v>1025</v>
      </c>
      <c r="E749" s="83">
        <f t="shared" si="62"/>
        <v>2050</v>
      </c>
      <c r="F749" s="83">
        <f t="shared" si="62"/>
        <v>4100</v>
      </c>
      <c r="G749" s="83">
        <f t="shared" si="62"/>
        <v>8200</v>
      </c>
      <c r="H749" s="47">
        <f>H747+((H767-H747)/10)</f>
        <v>16400</v>
      </c>
      <c r="I749" s="49">
        <f t="shared" si="55"/>
        <v>20500</v>
      </c>
      <c r="J749" s="49">
        <f t="shared" si="56"/>
        <v>24600</v>
      </c>
      <c r="L749" s="45">
        <f t="shared" si="60"/>
        <v>16400</v>
      </c>
      <c r="M749" s="92">
        <v>107.1</v>
      </c>
    </row>
    <row r="750" spans="1:13" ht="15" customHeight="1">
      <c r="A750" s="46"/>
      <c r="B750" s="92">
        <v>107.15</v>
      </c>
      <c r="C750" s="83">
        <f t="shared" si="62"/>
        <v>518.75</v>
      </c>
      <c r="D750" s="83">
        <f t="shared" si="62"/>
        <v>1037.5</v>
      </c>
      <c r="E750" s="83">
        <f t="shared" si="62"/>
        <v>2075</v>
      </c>
      <c r="F750" s="83">
        <f t="shared" si="62"/>
        <v>4150</v>
      </c>
      <c r="G750" s="83">
        <f t="shared" si="62"/>
        <v>8300</v>
      </c>
      <c r="H750" s="47">
        <f>H749+((H751-H749)/2)</f>
        <v>16600</v>
      </c>
      <c r="I750" s="49">
        <f>E750*10</f>
        <v>20750</v>
      </c>
      <c r="J750" s="49">
        <f>E750*12</f>
        <v>24900</v>
      </c>
      <c r="L750" s="45">
        <f t="shared" si="60"/>
        <v>16600</v>
      </c>
      <c r="M750" s="92">
        <v>107.15</v>
      </c>
    </row>
    <row r="751" spans="1:13" ht="15" customHeight="1">
      <c r="A751" s="46"/>
      <c r="B751" s="92">
        <v>107.2</v>
      </c>
      <c r="C751" s="83">
        <f t="shared" si="62"/>
        <v>525</v>
      </c>
      <c r="D751" s="83">
        <f t="shared" si="62"/>
        <v>1050</v>
      </c>
      <c r="E751" s="83">
        <f t="shared" si="62"/>
        <v>2100</v>
      </c>
      <c r="F751" s="83">
        <f t="shared" si="62"/>
        <v>4200</v>
      </c>
      <c r="G751" s="83">
        <f t="shared" si="62"/>
        <v>8400</v>
      </c>
      <c r="H751" s="50">
        <f>H749+400</f>
        <v>16800</v>
      </c>
      <c r="I751" s="49">
        <f t="shared" si="55"/>
        <v>21000</v>
      </c>
      <c r="J751" s="49">
        <f t="shared" si="56"/>
        <v>25200</v>
      </c>
      <c r="L751" s="45">
        <f t="shared" si="60"/>
        <v>16800</v>
      </c>
      <c r="M751" s="92">
        <v>107.2</v>
      </c>
    </row>
    <row r="752" spans="1:13" ht="15" customHeight="1">
      <c r="A752" s="46"/>
      <c r="B752" s="92">
        <v>107.25</v>
      </c>
      <c r="C752" s="83">
        <f t="shared" si="62"/>
        <v>531.25</v>
      </c>
      <c r="D752" s="83">
        <f t="shared" si="62"/>
        <v>1062.5</v>
      </c>
      <c r="E752" s="83">
        <f t="shared" si="62"/>
        <v>2125</v>
      </c>
      <c r="F752" s="83">
        <f t="shared" si="62"/>
        <v>4250</v>
      </c>
      <c r="G752" s="83">
        <f t="shared" si="62"/>
        <v>8500</v>
      </c>
      <c r="H752" s="47">
        <f>H751+((H753-H751)/2)</f>
        <v>17000</v>
      </c>
      <c r="I752" s="49">
        <f>E752*10</f>
        <v>21250</v>
      </c>
      <c r="J752" s="49">
        <f>E752*12</f>
        <v>25500</v>
      </c>
      <c r="L752" s="45">
        <f t="shared" si="60"/>
        <v>17000</v>
      </c>
      <c r="M752" s="92">
        <v>107.25</v>
      </c>
    </row>
    <row r="753" spans="1:13" ht="15" customHeight="1">
      <c r="A753" s="46"/>
      <c r="B753" s="92">
        <v>107.3</v>
      </c>
      <c r="C753" s="83">
        <f t="shared" si="62"/>
        <v>537.5</v>
      </c>
      <c r="D753" s="83">
        <f t="shared" si="62"/>
        <v>1075</v>
      </c>
      <c r="E753" s="83">
        <f t="shared" si="62"/>
        <v>2150</v>
      </c>
      <c r="F753" s="83">
        <f t="shared" si="62"/>
        <v>4300</v>
      </c>
      <c r="G753" s="83">
        <f t="shared" si="62"/>
        <v>8600</v>
      </c>
      <c r="H753" s="50">
        <f>H751+400</f>
        <v>17200</v>
      </c>
      <c r="I753" s="49">
        <f t="shared" si="55"/>
        <v>21500</v>
      </c>
      <c r="J753" s="49">
        <f t="shared" si="56"/>
        <v>25800</v>
      </c>
      <c r="L753" s="45">
        <f t="shared" si="60"/>
        <v>17200</v>
      </c>
      <c r="M753" s="92">
        <v>107.3</v>
      </c>
    </row>
    <row r="754" spans="1:13" ht="15" customHeight="1">
      <c r="A754" s="46"/>
      <c r="B754" s="92">
        <v>107.35</v>
      </c>
      <c r="C754" s="83">
        <f t="shared" si="62"/>
        <v>543.75</v>
      </c>
      <c r="D754" s="83">
        <f t="shared" si="62"/>
        <v>1087.5</v>
      </c>
      <c r="E754" s="83">
        <f t="shared" si="62"/>
        <v>2175</v>
      </c>
      <c r="F754" s="83">
        <f t="shared" si="62"/>
        <v>4350</v>
      </c>
      <c r="G754" s="83">
        <f t="shared" si="62"/>
        <v>8700</v>
      </c>
      <c r="H754" s="47">
        <f>H753+((H755-H753)/2)</f>
        <v>17400</v>
      </c>
      <c r="I754" s="49">
        <f>E754*10</f>
        <v>21750</v>
      </c>
      <c r="J754" s="49">
        <f>E754*12</f>
        <v>26100</v>
      </c>
      <c r="L754" s="45">
        <f t="shared" si="60"/>
        <v>17400</v>
      </c>
      <c r="M754" s="92">
        <v>107.35</v>
      </c>
    </row>
    <row r="755" spans="1:13" ht="15" customHeight="1">
      <c r="A755" s="46"/>
      <c r="B755" s="92">
        <v>107.4</v>
      </c>
      <c r="C755" s="83">
        <f t="shared" si="62"/>
        <v>550</v>
      </c>
      <c r="D755" s="83">
        <f t="shared" si="62"/>
        <v>1100</v>
      </c>
      <c r="E755" s="83">
        <f t="shared" si="62"/>
        <v>2200</v>
      </c>
      <c r="F755" s="83">
        <f t="shared" si="62"/>
        <v>4400</v>
      </c>
      <c r="G755" s="83">
        <f t="shared" si="62"/>
        <v>8800</v>
      </c>
      <c r="H755" s="50">
        <f>H753+400</f>
        <v>17600</v>
      </c>
      <c r="I755" s="49">
        <f t="shared" si="55"/>
        <v>22000</v>
      </c>
      <c r="J755" s="49">
        <f t="shared" si="56"/>
        <v>26400</v>
      </c>
      <c r="L755" s="45">
        <f t="shared" si="60"/>
        <v>17600</v>
      </c>
      <c r="M755" s="92">
        <v>107.4</v>
      </c>
    </row>
    <row r="756" spans="1:13" ht="15" customHeight="1">
      <c r="A756" s="46"/>
      <c r="B756" s="92">
        <v>107.45</v>
      </c>
      <c r="C756" s="83">
        <f t="shared" si="62"/>
        <v>556.25</v>
      </c>
      <c r="D756" s="83">
        <f t="shared" si="62"/>
        <v>1112.5</v>
      </c>
      <c r="E756" s="83">
        <f t="shared" si="62"/>
        <v>2225</v>
      </c>
      <c r="F756" s="83">
        <f t="shared" si="62"/>
        <v>4450</v>
      </c>
      <c r="G756" s="83">
        <f t="shared" si="62"/>
        <v>8900</v>
      </c>
      <c r="H756" s="47">
        <f>H755+((H757-H755)/2)</f>
        <v>17800</v>
      </c>
      <c r="I756" s="49">
        <f>E756*10</f>
        <v>22250</v>
      </c>
      <c r="J756" s="49">
        <f>E756*12</f>
        <v>26700</v>
      </c>
      <c r="L756" s="45">
        <f t="shared" si="60"/>
        <v>17800</v>
      </c>
      <c r="M756" s="92">
        <v>107.45</v>
      </c>
    </row>
    <row r="757" spans="1:13" ht="15" customHeight="1">
      <c r="A757" s="46"/>
      <c r="B757" s="92">
        <v>107.5</v>
      </c>
      <c r="C757" s="83">
        <f t="shared" si="62"/>
        <v>562.5</v>
      </c>
      <c r="D757" s="83">
        <f t="shared" si="62"/>
        <v>1125</v>
      </c>
      <c r="E757" s="83">
        <f t="shared" si="62"/>
        <v>2250</v>
      </c>
      <c r="F757" s="83">
        <f t="shared" si="62"/>
        <v>4500</v>
      </c>
      <c r="G757" s="83">
        <f t="shared" si="62"/>
        <v>9000</v>
      </c>
      <c r="H757" s="50">
        <f>H755+400</f>
        <v>18000</v>
      </c>
      <c r="I757" s="49">
        <f t="shared" si="55"/>
        <v>22500</v>
      </c>
      <c r="J757" s="49">
        <f t="shared" si="56"/>
        <v>27000</v>
      </c>
      <c r="L757" s="45">
        <f t="shared" si="60"/>
        <v>18000</v>
      </c>
      <c r="M757" s="92">
        <v>107.5</v>
      </c>
    </row>
    <row r="758" spans="1:13" ht="15" customHeight="1">
      <c r="A758" s="46"/>
      <c r="B758" s="92">
        <v>107.55</v>
      </c>
      <c r="C758" s="83">
        <f t="shared" si="62"/>
        <v>568.75</v>
      </c>
      <c r="D758" s="83">
        <f t="shared" si="62"/>
        <v>1137.5</v>
      </c>
      <c r="E758" s="83">
        <f t="shared" si="62"/>
        <v>2275</v>
      </c>
      <c r="F758" s="83">
        <f t="shared" si="62"/>
        <v>4550</v>
      </c>
      <c r="G758" s="83">
        <f t="shared" si="62"/>
        <v>9100</v>
      </c>
      <c r="H758" s="47">
        <f>H757+((H759-H757)/2)</f>
        <v>18200</v>
      </c>
      <c r="I758" s="49">
        <f>E758*10</f>
        <v>22750</v>
      </c>
      <c r="J758" s="49">
        <f>E758*12</f>
        <v>27300</v>
      </c>
      <c r="L758" s="45">
        <f t="shared" si="60"/>
        <v>18200</v>
      </c>
      <c r="M758" s="92">
        <v>107.55</v>
      </c>
    </row>
    <row r="759" spans="1:13" ht="15" customHeight="1">
      <c r="A759" s="46"/>
      <c r="B759" s="92">
        <v>107.6</v>
      </c>
      <c r="C759" s="83">
        <f t="shared" si="62"/>
        <v>575</v>
      </c>
      <c r="D759" s="83">
        <f t="shared" si="62"/>
        <v>1150</v>
      </c>
      <c r="E759" s="83">
        <f t="shared" si="62"/>
        <v>2300</v>
      </c>
      <c r="F759" s="83">
        <f t="shared" si="62"/>
        <v>4600</v>
      </c>
      <c r="G759" s="83">
        <f t="shared" si="62"/>
        <v>9200</v>
      </c>
      <c r="H759" s="50">
        <f>H757+400</f>
        <v>18400</v>
      </c>
      <c r="I759" s="49">
        <f t="shared" si="55"/>
        <v>23000</v>
      </c>
      <c r="J759" s="49">
        <f t="shared" si="56"/>
        <v>27600</v>
      </c>
      <c r="L759" s="45">
        <f t="shared" si="60"/>
        <v>18400</v>
      </c>
      <c r="M759" s="92">
        <v>107.6</v>
      </c>
    </row>
    <row r="760" spans="1:13" ht="15" customHeight="1">
      <c r="A760" s="46"/>
      <c r="B760" s="92">
        <v>107.65</v>
      </c>
      <c r="C760" s="83">
        <f t="shared" si="62"/>
        <v>581.25</v>
      </c>
      <c r="D760" s="83">
        <f t="shared" si="62"/>
        <v>1162.5</v>
      </c>
      <c r="E760" s="83">
        <f t="shared" si="62"/>
        <v>2325</v>
      </c>
      <c r="F760" s="83">
        <f t="shared" si="62"/>
        <v>4650</v>
      </c>
      <c r="G760" s="83">
        <f t="shared" si="62"/>
        <v>9300</v>
      </c>
      <c r="H760" s="47">
        <f>H759+((H761-H759)/2)</f>
        <v>18600</v>
      </c>
      <c r="I760" s="49">
        <f>E760*10</f>
        <v>23250</v>
      </c>
      <c r="J760" s="49">
        <f>E760*12</f>
        <v>27900</v>
      </c>
      <c r="L760" s="45">
        <f t="shared" si="60"/>
        <v>18600</v>
      </c>
      <c r="M760" s="92">
        <v>107.65</v>
      </c>
    </row>
    <row r="761" spans="1:13" ht="15" customHeight="1">
      <c r="A761" s="46"/>
      <c r="B761" s="92">
        <v>107.7</v>
      </c>
      <c r="C761" s="83">
        <f t="shared" si="62"/>
        <v>587.5</v>
      </c>
      <c r="D761" s="83">
        <f t="shared" si="62"/>
        <v>1175</v>
      </c>
      <c r="E761" s="83">
        <f t="shared" si="62"/>
        <v>2350</v>
      </c>
      <c r="F761" s="83">
        <f t="shared" si="62"/>
        <v>4700</v>
      </c>
      <c r="G761" s="83">
        <f t="shared" si="62"/>
        <v>9400</v>
      </c>
      <c r="H761" s="50">
        <f>H759+400</f>
        <v>18800</v>
      </c>
      <c r="I761" s="49">
        <f t="shared" si="55"/>
        <v>23500</v>
      </c>
      <c r="J761" s="49">
        <f t="shared" si="56"/>
        <v>28200</v>
      </c>
      <c r="L761" s="45">
        <f t="shared" si="60"/>
        <v>18800</v>
      </c>
      <c r="M761" s="92">
        <v>107.7</v>
      </c>
    </row>
    <row r="762" spans="1:13" ht="15" customHeight="1">
      <c r="A762" s="46"/>
      <c r="B762" s="92">
        <v>107.75</v>
      </c>
      <c r="C762" s="83">
        <f t="shared" si="62"/>
        <v>593.75</v>
      </c>
      <c r="D762" s="83">
        <f t="shared" si="62"/>
        <v>1187.5</v>
      </c>
      <c r="E762" s="83">
        <f t="shared" si="62"/>
        <v>2375</v>
      </c>
      <c r="F762" s="83">
        <f t="shared" si="62"/>
        <v>4750</v>
      </c>
      <c r="G762" s="83">
        <f t="shared" si="62"/>
        <v>9500</v>
      </c>
      <c r="H762" s="47">
        <f>H761+((H763-H761)/2)</f>
        <v>19000</v>
      </c>
      <c r="I762" s="49">
        <f>E762*10</f>
        <v>23750</v>
      </c>
      <c r="J762" s="49">
        <f>E762*12</f>
        <v>28500</v>
      </c>
      <c r="L762" s="45">
        <f t="shared" si="60"/>
        <v>19000</v>
      </c>
      <c r="M762" s="92">
        <v>107.75</v>
      </c>
    </row>
    <row r="763" spans="1:13" ht="15" customHeight="1">
      <c r="A763" s="46"/>
      <c r="B763" s="92">
        <v>107.8</v>
      </c>
      <c r="C763" s="83">
        <f t="shared" si="62"/>
        <v>600</v>
      </c>
      <c r="D763" s="83">
        <f t="shared" si="62"/>
        <v>1200</v>
      </c>
      <c r="E763" s="83">
        <f t="shared" si="62"/>
        <v>2400</v>
      </c>
      <c r="F763" s="83">
        <f t="shared" si="62"/>
        <v>4800</v>
      </c>
      <c r="G763" s="83">
        <f t="shared" si="62"/>
        <v>9600</v>
      </c>
      <c r="H763" s="50">
        <f>H761+400</f>
        <v>19200</v>
      </c>
      <c r="I763" s="49">
        <f t="shared" si="55"/>
        <v>24000</v>
      </c>
      <c r="J763" s="49">
        <f t="shared" si="56"/>
        <v>28800</v>
      </c>
      <c r="L763" s="45">
        <f t="shared" si="60"/>
        <v>19200</v>
      </c>
      <c r="M763" s="92">
        <v>107.8</v>
      </c>
    </row>
    <row r="764" spans="1:13" ht="15" customHeight="1">
      <c r="A764" s="46"/>
      <c r="B764" s="92">
        <v>107.85</v>
      </c>
      <c r="C764" s="83">
        <f t="shared" si="62"/>
        <v>606.25</v>
      </c>
      <c r="D764" s="83">
        <f t="shared" si="62"/>
        <v>1212.5</v>
      </c>
      <c r="E764" s="83">
        <f t="shared" si="62"/>
        <v>2425</v>
      </c>
      <c r="F764" s="83">
        <f t="shared" si="62"/>
        <v>4850</v>
      </c>
      <c r="G764" s="83">
        <f t="shared" si="62"/>
        <v>9700</v>
      </c>
      <c r="H764" s="47">
        <f>H763+((H765-H763)/2)</f>
        <v>19400</v>
      </c>
      <c r="I764" s="49">
        <f>E764*10</f>
        <v>24250</v>
      </c>
      <c r="J764" s="49">
        <f>E764*12</f>
        <v>29100</v>
      </c>
      <c r="L764" s="45">
        <f t="shared" si="60"/>
        <v>19400</v>
      </c>
      <c r="M764" s="92">
        <v>107.85</v>
      </c>
    </row>
    <row r="765" spans="1:13" ht="15" customHeight="1">
      <c r="A765" s="46"/>
      <c r="B765" s="92">
        <v>107.9</v>
      </c>
      <c r="C765" s="83">
        <f t="shared" si="62"/>
        <v>612.5</v>
      </c>
      <c r="D765" s="83">
        <f t="shared" si="62"/>
        <v>1225</v>
      </c>
      <c r="E765" s="83">
        <f t="shared" si="62"/>
        <v>2450</v>
      </c>
      <c r="F765" s="83">
        <f t="shared" si="62"/>
        <v>4900</v>
      </c>
      <c r="G765" s="83">
        <f t="shared" si="62"/>
        <v>9800</v>
      </c>
      <c r="H765" s="50">
        <f>H763+400</f>
        <v>19600</v>
      </c>
      <c r="I765" s="49">
        <f t="shared" si="55"/>
        <v>24500</v>
      </c>
      <c r="J765" s="49">
        <f t="shared" si="56"/>
        <v>29400</v>
      </c>
      <c r="L765" s="45">
        <f t="shared" si="60"/>
        <v>19600</v>
      </c>
      <c r="M765" s="92">
        <v>107.9</v>
      </c>
    </row>
    <row r="766" spans="1:13" ht="15" customHeight="1">
      <c r="A766" s="46"/>
      <c r="B766" s="92">
        <v>107.95</v>
      </c>
      <c r="C766" s="83">
        <f>D766/2</f>
        <v>618.75</v>
      </c>
      <c r="D766" s="83">
        <f>E766/2</f>
        <v>1237.5</v>
      </c>
      <c r="E766" s="83">
        <f>F766/2</f>
        <v>2475</v>
      </c>
      <c r="F766" s="83">
        <f>G766/2</f>
        <v>4950</v>
      </c>
      <c r="G766" s="83">
        <f>H766/2</f>
        <v>9900</v>
      </c>
      <c r="H766" s="47">
        <f>H765+((H767-H765)/2)</f>
        <v>19800</v>
      </c>
      <c r="I766" s="49">
        <f>E766*10</f>
        <v>24750</v>
      </c>
      <c r="J766" s="49">
        <f>E766*12</f>
        <v>29700</v>
      </c>
      <c r="L766" s="45">
        <f t="shared" si="60"/>
        <v>19800</v>
      </c>
      <c r="M766" s="92">
        <v>107.95</v>
      </c>
    </row>
    <row r="767" spans="1:13" ht="15" customHeight="1">
      <c r="A767" s="46"/>
      <c r="B767" s="92">
        <v>108</v>
      </c>
      <c r="C767" s="49">
        <f t="shared" ref="C767:G785" si="63">D767/2</f>
        <v>625</v>
      </c>
      <c r="D767" s="49">
        <f t="shared" si="63"/>
        <v>1250</v>
      </c>
      <c r="E767" s="49">
        <f t="shared" si="63"/>
        <v>2500</v>
      </c>
      <c r="F767" s="49">
        <f t="shared" si="63"/>
        <v>5000</v>
      </c>
      <c r="G767" s="51">
        <f t="shared" si="63"/>
        <v>10000</v>
      </c>
      <c r="H767" s="50">
        <f>H707*2</f>
        <v>20000</v>
      </c>
      <c r="I767" s="49">
        <f t="shared" si="55"/>
        <v>25000</v>
      </c>
      <c r="J767" s="49">
        <f t="shared" si="56"/>
        <v>30000</v>
      </c>
      <c r="L767" s="45">
        <f t="shared" si="60"/>
        <v>20000</v>
      </c>
      <c r="M767" s="92">
        <v>108</v>
      </c>
    </row>
    <row r="768" spans="1:13" ht="15" customHeight="1">
      <c r="A768" s="46"/>
      <c r="B768" s="92">
        <v>108.05</v>
      </c>
      <c r="C768" s="48">
        <f t="shared" si="63"/>
        <v>633.75</v>
      </c>
      <c r="D768" s="48">
        <f t="shared" si="63"/>
        <v>1267.5</v>
      </c>
      <c r="E768" s="48">
        <f t="shared" si="63"/>
        <v>2535</v>
      </c>
      <c r="F768" s="48">
        <f t="shared" si="63"/>
        <v>5070</v>
      </c>
      <c r="G768" s="48">
        <f t="shared" si="63"/>
        <v>10140</v>
      </c>
      <c r="H768" s="47">
        <f>H767+((H769-H767)/2)</f>
        <v>20280</v>
      </c>
      <c r="I768" s="49">
        <f>E768*10</f>
        <v>25350</v>
      </c>
      <c r="J768" s="49">
        <f>E768*12</f>
        <v>30420</v>
      </c>
      <c r="L768" s="45">
        <f t="shared" si="60"/>
        <v>20280</v>
      </c>
      <c r="M768" s="92">
        <v>108.05</v>
      </c>
    </row>
    <row r="769" spans="1:13" ht="15" customHeight="1">
      <c r="A769" s="46"/>
      <c r="B769" s="92">
        <v>108.1</v>
      </c>
      <c r="C769" s="49">
        <f t="shared" si="63"/>
        <v>642.5</v>
      </c>
      <c r="D769" s="49">
        <f t="shared" si="63"/>
        <v>1285</v>
      </c>
      <c r="E769" s="49">
        <f t="shared" si="63"/>
        <v>2570</v>
      </c>
      <c r="F769" s="49">
        <f t="shared" si="63"/>
        <v>5140</v>
      </c>
      <c r="G769" s="51">
        <f t="shared" si="63"/>
        <v>10280</v>
      </c>
      <c r="H769" s="47">
        <f>H767+((H787-H767)/10)</f>
        <v>20560</v>
      </c>
      <c r="I769" s="49">
        <f t="shared" si="55"/>
        <v>25700</v>
      </c>
      <c r="J769" s="49">
        <f t="shared" si="56"/>
        <v>30840</v>
      </c>
      <c r="L769" s="45">
        <f t="shared" si="60"/>
        <v>20560</v>
      </c>
      <c r="M769" s="92">
        <v>108.1</v>
      </c>
    </row>
    <row r="770" spans="1:13" ht="15" customHeight="1">
      <c r="A770" s="46"/>
      <c r="B770" s="92">
        <v>108.15</v>
      </c>
      <c r="C770" s="48">
        <f t="shared" si="63"/>
        <v>651.25</v>
      </c>
      <c r="D770" s="48">
        <f t="shared" si="63"/>
        <v>1302.5</v>
      </c>
      <c r="E770" s="48">
        <f t="shared" si="63"/>
        <v>2605</v>
      </c>
      <c r="F770" s="48">
        <f t="shared" si="63"/>
        <v>5210</v>
      </c>
      <c r="G770" s="48">
        <f t="shared" si="63"/>
        <v>10420</v>
      </c>
      <c r="H770" s="47">
        <f>H769+((H771-H769)/2)</f>
        <v>20840</v>
      </c>
      <c r="I770" s="49">
        <f>E770*10</f>
        <v>26050</v>
      </c>
      <c r="J770" s="49">
        <f>E770*12</f>
        <v>31260</v>
      </c>
      <c r="L770" s="45">
        <f t="shared" si="60"/>
        <v>20840</v>
      </c>
      <c r="M770" s="92">
        <v>108.15</v>
      </c>
    </row>
    <row r="771" spans="1:13" ht="15" customHeight="1">
      <c r="A771" s="46"/>
      <c r="B771" s="92">
        <v>108.2</v>
      </c>
      <c r="C771" s="49">
        <f t="shared" si="63"/>
        <v>660</v>
      </c>
      <c r="D771" s="49">
        <f t="shared" si="63"/>
        <v>1320</v>
      </c>
      <c r="E771" s="49">
        <f t="shared" si="63"/>
        <v>2640</v>
      </c>
      <c r="F771" s="49">
        <f t="shared" si="63"/>
        <v>5280</v>
      </c>
      <c r="G771" s="51">
        <f t="shared" si="63"/>
        <v>10560</v>
      </c>
      <c r="H771" s="50">
        <f>H769+560</f>
        <v>21120</v>
      </c>
      <c r="I771" s="49">
        <f t="shared" si="55"/>
        <v>26400</v>
      </c>
      <c r="J771" s="49">
        <f t="shared" si="56"/>
        <v>31680</v>
      </c>
      <c r="L771" s="45">
        <f t="shared" si="60"/>
        <v>21120</v>
      </c>
      <c r="M771" s="92">
        <v>108.2</v>
      </c>
    </row>
    <row r="772" spans="1:13" ht="15" customHeight="1">
      <c r="A772" s="46"/>
      <c r="B772" s="92">
        <v>108.25</v>
      </c>
      <c r="C772" s="48">
        <f t="shared" si="63"/>
        <v>668.75</v>
      </c>
      <c r="D772" s="48">
        <f t="shared" si="63"/>
        <v>1337.5</v>
      </c>
      <c r="E772" s="48">
        <f t="shared" si="63"/>
        <v>2675</v>
      </c>
      <c r="F772" s="48">
        <f t="shared" si="63"/>
        <v>5350</v>
      </c>
      <c r="G772" s="48">
        <f t="shared" si="63"/>
        <v>10700</v>
      </c>
      <c r="H772" s="47">
        <f>H771+((H773-H771)/2)</f>
        <v>21400</v>
      </c>
      <c r="I772" s="49">
        <f>E772*10</f>
        <v>26750</v>
      </c>
      <c r="J772" s="49">
        <f>E772*12</f>
        <v>32100</v>
      </c>
      <c r="L772" s="45">
        <f t="shared" si="60"/>
        <v>21400</v>
      </c>
      <c r="M772" s="92">
        <v>108.25</v>
      </c>
    </row>
    <row r="773" spans="1:13" ht="15" customHeight="1">
      <c r="A773" s="46"/>
      <c r="B773" s="92">
        <v>108.3</v>
      </c>
      <c r="C773" s="49">
        <f t="shared" si="63"/>
        <v>677.5</v>
      </c>
      <c r="D773" s="49">
        <f t="shared" si="63"/>
        <v>1355</v>
      </c>
      <c r="E773" s="49">
        <f t="shared" si="63"/>
        <v>2710</v>
      </c>
      <c r="F773" s="49">
        <f t="shared" si="63"/>
        <v>5420</v>
      </c>
      <c r="G773" s="51">
        <f t="shared" si="63"/>
        <v>10840</v>
      </c>
      <c r="H773" s="50">
        <f>H771+560</f>
        <v>21680</v>
      </c>
      <c r="I773" s="49">
        <f t="shared" si="55"/>
        <v>27100</v>
      </c>
      <c r="J773" s="49">
        <f t="shared" si="56"/>
        <v>32520</v>
      </c>
      <c r="L773" s="45">
        <f t="shared" si="60"/>
        <v>21680</v>
      </c>
      <c r="M773" s="92">
        <v>108.3</v>
      </c>
    </row>
    <row r="774" spans="1:13" ht="15" customHeight="1">
      <c r="A774" s="46"/>
      <c r="B774" s="92">
        <v>108.35</v>
      </c>
      <c r="C774" s="48">
        <f t="shared" si="63"/>
        <v>686.25</v>
      </c>
      <c r="D774" s="48">
        <f t="shared" si="63"/>
        <v>1372.5</v>
      </c>
      <c r="E774" s="48">
        <f t="shared" si="63"/>
        <v>2745</v>
      </c>
      <c r="F774" s="48">
        <f t="shared" si="63"/>
        <v>5490</v>
      </c>
      <c r="G774" s="48">
        <f t="shared" si="63"/>
        <v>10980</v>
      </c>
      <c r="H774" s="47">
        <f>H773+((H775-H773)/2)</f>
        <v>21960</v>
      </c>
      <c r="I774" s="49">
        <f>E774*10</f>
        <v>27450</v>
      </c>
      <c r="J774" s="49">
        <f>E774*12</f>
        <v>32940</v>
      </c>
      <c r="L774" s="45">
        <f t="shared" si="60"/>
        <v>21960</v>
      </c>
      <c r="M774" s="92">
        <v>108.35</v>
      </c>
    </row>
    <row r="775" spans="1:13" ht="15" customHeight="1">
      <c r="A775" s="46"/>
      <c r="B775" s="92">
        <v>108.4</v>
      </c>
      <c r="C775" s="49">
        <f t="shared" si="63"/>
        <v>695</v>
      </c>
      <c r="D775" s="49">
        <f t="shared" si="63"/>
        <v>1390</v>
      </c>
      <c r="E775" s="49">
        <f t="shared" si="63"/>
        <v>2780</v>
      </c>
      <c r="F775" s="49">
        <f t="shared" si="63"/>
        <v>5560</v>
      </c>
      <c r="G775" s="51">
        <f t="shared" si="63"/>
        <v>11120</v>
      </c>
      <c r="H775" s="50">
        <f>H773+560</f>
        <v>22240</v>
      </c>
      <c r="I775" s="49">
        <f t="shared" si="55"/>
        <v>27800</v>
      </c>
      <c r="J775" s="49">
        <f t="shared" si="56"/>
        <v>33360</v>
      </c>
      <c r="L775" s="45">
        <f t="shared" si="60"/>
        <v>22240</v>
      </c>
      <c r="M775" s="92">
        <v>108.4</v>
      </c>
    </row>
    <row r="776" spans="1:13" ht="15" customHeight="1">
      <c r="A776" s="46"/>
      <c r="B776" s="92">
        <v>108.45</v>
      </c>
      <c r="C776" s="48">
        <f t="shared" si="63"/>
        <v>703.75</v>
      </c>
      <c r="D776" s="48">
        <f t="shared" si="63"/>
        <v>1407.5</v>
      </c>
      <c r="E776" s="48">
        <f t="shared" si="63"/>
        <v>2815</v>
      </c>
      <c r="F776" s="48">
        <f t="shared" si="63"/>
        <v>5630</v>
      </c>
      <c r="G776" s="48">
        <f t="shared" si="63"/>
        <v>11260</v>
      </c>
      <c r="H776" s="47">
        <f>H775+((H777-H775)/2)</f>
        <v>22520</v>
      </c>
      <c r="I776" s="49">
        <f>E776*10</f>
        <v>28150</v>
      </c>
      <c r="J776" s="49">
        <f>E776*12</f>
        <v>33780</v>
      </c>
      <c r="L776" s="45">
        <f t="shared" ref="L776:L839" si="64">+H776</f>
        <v>22520</v>
      </c>
      <c r="M776" s="92">
        <v>108.45</v>
      </c>
    </row>
    <row r="777" spans="1:13" ht="15" customHeight="1">
      <c r="A777" s="46"/>
      <c r="B777" s="92">
        <v>108.5</v>
      </c>
      <c r="C777" s="49">
        <f t="shared" si="63"/>
        <v>712.5</v>
      </c>
      <c r="D777" s="49">
        <f t="shared" si="63"/>
        <v>1425</v>
      </c>
      <c r="E777" s="49">
        <f t="shared" si="63"/>
        <v>2850</v>
      </c>
      <c r="F777" s="49">
        <f t="shared" si="63"/>
        <v>5700</v>
      </c>
      <c r="G777" s="51">
        <f t="shared" si="63"/>
        <v>11400</v>
      </c>
      <c r="H777" s="50">
        <f>H775+560</f>
        <v>22800</v>
      </c>
      <c r="I777" s="49">
        <f t="shared" ref="I777:I903" si="65">E777*10</f>
        <v>28500</v>
      </c>
      <c r="J777" s="49">
        <f t="shared" ref="J777:J903" si="66">E777*12</f>
        <v>34200</v>
      </c>
      <c r="L777" s="45">
        <f t="shared" si="64"/>
        <v>22800</v>
      </c>
      <c r="M777" s="92">
        <v>108.5</v>
      </c>
    </row>
    <row r="778" spans="1:13" ht="15" customHeight="1">
      <c r="A778" s="46"/>
      <c r="B778" s="92">
        <v>108.55</v>
      </c>
      <c r="C778" s="48">
        <f t="shared" si="63"/>
        <v>721.25</v>
      </c>
      <c r="D778" s="48">
        <f t="shared" si="63"/>
        <v>1442.5</v>
      </c>
      <c r="E778" s="48">
        <f t="shared" si="63"/>
        <v>2885</v>
      </c>
      <c r="F778" s="48">
        <f t="shared" si="63"/>
        <v>5770</v>
      </c>
      <c r="G778" s="48">
        <f t="shared" si="63"/>
        <v>11540</v>
      </c>
      <c r="H778" s="47">
        <f>H777+((H779-H777)/2)</f>
        <v>23080</v>
      </c>
      <c r="I778" s="49">
        <f>E778*10</f>
        <v>28850</v>
      </c>
      <c r="J778" s="49">
        <f>E778*12</f>
        <v>34620</v>
      </c>
      <c r="L778" s="45">
        <f t="shared" si="64"/>
        <v>23080</v>
      </c>
      <c r="M778" s="92">
        <v>108.55</v>
      </c>
    </row>
    <row r="779" spans="1:13" ht="15" customHeight="1">
      <c r="A779" s="46"/>
      <c r="B779" s="92">
        <v>108.6</v>
      </c>
      <c r="C779" s="49">
        <f t="shared" si="63"/>
        <v>730</v>
      </c>
      <c r="D779" s="49">
        <f t="shared" si="63"/>
        <v>1460</v>
      </c>
      <c r="E779" s="49">
        <f t="shared" si="63"/>
        <v>2920</v>
      </c>
      <c r="F779" s="49">
        <f t="shared" si="63"/>
        <v>5840</v>
      </c>
      <c r="G779" s="51">
        <f t="shared" si="63"/>
        <v>11680</v>
      </c>
      <c r="H779" s="50">
        <f>H777+560</f>
        <v>23360</v>
      </c>
      <c r="I779" s="49">
        <f t="shared" si="65"/>
        <v>29200</v>
      </c>
      <c r="J779" s="49">
        <f t="shared" si="66"/>
        <v>35040</v>
      </c>
      <c r="L779" s="45">
        <f t="shared" si="64"/>
        <v>23360</v>
      </c>
      <c r="M779" s="92">
        <v>108.6</v>
      </c>
    </row>
    <row r="780" spans="1:13" ht="15" customHeight="1">
      <c r="A780" s="46"/>
      <c r="B780" s="92">
        <v>108.65</v>
      </c>
      <c r="C780" s="48">
        <f t="shared" si="63"/>
        <v>738.75</v>
      </c>
      <c r="D780" s="48">
        <f t="shared" si="63"/>
        <v>1477.5</v>
      </c>
      <c r="E780" s="48">
        <f t="shared" si="63"/>
        <v>2955</v>
      </c>
      <c r="F780" s="48">
        <f t="shared" si="63"/>
        <v>5910</v>
      </c>
      <c r="G780" s="48">
        <f t="shared" si="63"/>
        <v>11820</v>
      </c>
      <c r="H780" s="47">
        <f>H779+((H781-H779)/2)</f>
        <v>23640</v>
      </c>
      <c r="I780" s="49">
        <f>E780*10</f>
        <v>29550</v>
      </c>
      <c r="J780" s="49">
        <f>E780*12</f>
        <v>35460</v>
      </c>
      <c r="L780" s="45">
        <f t="shared" si="64"/>
        <v>23640</v>
      </c>
      <c r="M780" s="92">
        <v>108.65</v>
      </c>
    </row>
    <row r="781" spans="1:13" ht="15" customHeight="1">
      <c r="A781" s="46"/>
      <c r="B781" s="92">
        <v>108.7</v>
      </c>
      <c r="C781" s="49">
        <f t="shared" si="63"/>
        <v>747.5</v>
      </c>
      <c r="D781" s="49">
        <f t="shared" si="63"/>
        <v>1495</v>
      </c>
      <c r="E781" s="49">
        <f t="shared" si="63"/>
        <v>2990</v>
      </c>
      <c r="F781" s="49">
        <f t="shared" si="63"/>
        <v>5980</v>
      </c>
      <c r="G781" s="51">
        <f t="shared" si="63"/>
        <v>11960</v>
      </c>
      <c r="H781" s="50">
        <f>H779+560</f>
        <v>23920</v>
      </c>
      <c r="I781" s="49">
        <f t="shared" si="65"/>
        <v>29900</v>
      </c>
      <c r="J781" s="49">
        <f t="shared" si="66"/>
        <v>35880</v>
      </c>
      <c r="L781" s="45">
        <f t="shared" si="64"/>
        <v>23920</v>
      </c>
      <c r="M781" s="92">
        <v>108.7</v>
      </c>
    </row>
    <row r="782" spans="1:13" ht="15" customHeight="1">
      <c r="A782" s="46"/>
      <c r="B782" s="92">
        <v>108.75</v>
      </c>
      <c r="C782" s="48">
        <f t="shared" si="63"/>
        <v>756.25</v>
      </c>
      <c r="D782" s="48">
        <f t="shared" si="63"/>
        <v>1512.5</v>
      </c>
      <c r="E782" s="48">
        <f t="shared" si="63"/>
        <v>3025</v>
      </c>
      <c r="F782" s="48">
        <f t="shared" si="63"/>
        <v>6050</v>
      </c>
      <c r="G782" s="48">
        <f t="shared" si="63"/>
        <v>12100</v>
      </c>
      <c r="H782" s="47">
        <f>H781+((H783-H781)/2)</f>
        <v>24200</v>
      </c>
      <c r="I782" s="49">
        <f>E782*10</f>
        <v>30250</v>
      </c>
      <c r="J782" s="49">
        <f>E782*12</f>
        <v>36300</v>
      </c>
      <c r="L782" s="45">
        <f t="shared" si="64"/>
        <v>24200</v>
      </c>
      <c r="M782" s="92">
        <v>108.75</v>
      </c>
    </row>
    <row r="783" spans="1:13" ht="15" customHeight="1">
      <c r="A783" s="46"/>
      <c r="B783" s="92">
        <v>108.8</v>
      </c>
      <c r="C783" s="49">
        <f t="shared" si="63"/>
        <v>765</v>
      </c>
      <c r="D783" s="49">
        <f t="shared" si="63"/>
        <v>1530</v>
      </c>
      <c r="E783" s="49">
        <f t="shared" si="63"/>
        <v>3060</v>
      </c>
      <c r="F783" s="49">
        <f t="shared" si="63"/>
        <v>6120</v>
      </c>
      <c r="G783" s="51">
        <f t="shared" si="63"/>
        <v>12240</v>
      </c>
      <c r="H783" s="50">
        <f>H781+560</f>
        <v>24480</v>
      </c>
      <c r="I783" s="49">
        <f t="shared" si="65"/>
        <v>30600</v>
      </c>
      <c r="J783" s="49">
        <f t="shared" si="66"/>
        <v>36720</v>
      </c>
      <c r="L783" s="45">
        <f t="shared" si="64"/>
        <v>24480</v>
      </c>
      <c r="M783" s="92">
        <v>108.8</v>
      </c>
    </row>
    <row r="784" spans="1:13" ht="15" customHeight="1">
      <c r="A784" s="46"/>
      <c r="B784" s="92">
        <v>108.85</v>
      </c>
      <c r="C784" s="48">
        <f t="shared" si="63"/>
        <v>773.75</v>
      </c>
      <c r="D784" s="48">
        <f t="shared" si="63"/>
        <v>1547.5</v>
      </c>
      <c r="E784" s="48">
        <f t="shared" si="63"/>
        <v>3095</v>
      </c>
      <c r="F784" s="48">
        <f t="shared" si="63"/>
        <v>6190</v>
      </c>
      <c r="G784" s="48">
        <f t="shared" si="63"/>
        <v>12380</v>
      </c>
      <c r="H784" s="47">
        <f>H783+((H785-H783)/2)</f>
        <v>24760</v>
      </c>
      <c r="I784" s="49">
        <f>E784*10</f>
        <v>30950</v>
      </c>
      <c r="J784" s="49">
        <f>E784*12</f>
        <v>37140</v>
      </c>
      <c r="L784" s="45">
        <f t="shared" si="64"/>
        <v>24760</v>
      </c>
      <c r="M784" s="92">
        <v>108.85</v>
      </c>
    </row>
    <row r="785" spans="1:13" ht="15" customHeight="1">
      <c r="A785" s="46"/>
      <c r="B785" s="92">
        <v>108.9</v>
      </c>
      <c r="C785" s="49">
        <f t="shared" si="63"/>
        <v>782.5</v>
      </c>
      <c r="D785" s="49">
        <f t="shared" si="63"/>
        <v>1565</v>
      </c>
      <c r="E785" s="49">
        <f t="shared" si="63"/>
        <v>3130</v>
      </c>
      <c r="F785" s="49">
        <f t="shared" si="63"/>
        <v>6260</v>
      </c>
      <c r="G785" s="51">
        <f t="shared" si="63"/>
        <v>12520</v>
      </c>
      <c r="H785" s="50">
        <f>H783+560</f>
        <v>25040</v>
      </c>
      <c r="I785" s="49">
        <f t="shared" si="65"/>
        <v>31300</v>
      </c>
      <c r="J785" s="49">
        <f t="shared" si="66"/>
        <v>37560</v>
      </c>
      <c r="L785" s="45">
        <f t="shared" si="64"/>
        <v>25040</v>
      </c>
      <c r="M785" s="92">
        <v>108.9</v>
      </c>
    </row>
    <row r="786" spans="1:13" ht="15" customHeight="1">
      <c r="A786" s="46"/>
      <c r="B786" s="92">
        <v>108.95</v>
      </c>
      <c r="C786" s="48">
        <f>D786/2</f>
        <v>791.25</v>
      </c>
      <c r="D786" s="48">
        <f>E786/2</f>
        <v>1582.5</v>
      </c>
      <c r="E786" s="48">
        <f>F786/2</f>
        <v>3165</v>
      </c>
      <c r="F786" s="48">
        <f>G786/2</f>
        <v>6330</v>
      </c>
      <c r="G786" s="48">
        <f>H786/2</f>
        <v>12660</v>
      </c>
      <c r="H786" s="47">
        <f>H785+((H787-H785)/2)</f>
        <v>25320</v>
      </c>
      <c r="I786" s="49">
        <f>E786*10</f>
        <v>31650</v>
      </c>
      <c r="J786" s="49">
        <f>E786*12</f>
        <v>37980</v>
      </c>
      <c r="L786" s="45">
        <f t="shared" si="64"/>
        <v>25320</v>
      </c>
      <c r="M786" s="92">
        <v>108.95</v>
      </c>
    </row>
    <row r="787" spans="1:13" ht="15" customHeight="1">
      <c r="A787" s="46"/>
      <c r="B787" s="92">
        <v>109</v>
      </c>
      <c r="C787" s="49">
        <f t="shared" ref="C787:G805" si="67">D787/2</f>
        <v>800</v>
      </c>
      <c r="D787" s="49">
        <f t="shared" si="67"/>
        <v>1600</v>
      </c>
      <c r="E787" s="49">
        <f t="shared" si="67"/>
        <v>3200</v>
      </c>
      <c r="F787" s="49">
        <f t="shared" si="67"/>
        <v>6400</v>
      </c>
      <c r="G787" s="51">
        <f t="shared" si="67"/>
        <v>12800</v>
      </c>
      <c r="H787" s="50">
        <f>H727*2</f>
        <v>25600</v>
      </c>
      <c r="I787" s="49">
        <f t="shared" si="65"/>
        <v>32000</v>
      </c>
      <c r="J787" s="49">
        <f t="shared" si="66"/>
        <v>38400</v>
      </c>
      <c r="L787" s="45">
        <f t="shared" si="64"/>
        <v>25600</v>
      </c>
      <c r="M787" s="92">
        <v>109</v>
      </c>
    </row>
    <row r="788" spans="1:13" ht="15" customHeight="1">
      <c r="A788" s="46"/>
      <c r="B788" s="92">
        <v>109.05</v>
      </c>
      <c r="C788" s="48">
        <f t="shared" si="67"/>
        <v>810</v>
      </c>
      <c r="D788" s="48">
        <f t="shared" si="67"/>
        <v>1620</v>
      </c>
      <c r="E788" s="48">
        <f t="shared" si="67"/>
        <v>3240</v>
      </c>
      <c r="F788" s="48">
        <f t="shared" si="67"/>
        <v>6480</v>
      </c>
      <c r="G788" s="48">
        <f t="shared" si="67"/>
        <v>12960</v>
      </c>
      <c r="H788" s="47">
        <f>H787+((H789-H787)/2)</f>
        <v>25920</v>
      </c>
      <c r="I788" s="49">
        <f>E788*10</f>
        <v>32400</v>
      </c>
      <c r="J788" s="49">
        <f>E788*12</f>
        <v>38880</v>
      </c>
      <c r="L788" s="45">
        <f t="shared" si="64"/>
        <v>25920</v>
      </c>
      <c r="M788" s="92">
        <v>109.05</v>
      </c>
    </row>
    <row r="789" spans="1:13" ht="15" customHeight="1">
      <c r="A789" s="46"/>
      <c r="B789" s="92">
        <v>109.1</v>
      </c>
      <c r="C789" s="49">
        <f t="shared" si="67"/>
        <v>820</v>
      </c>
      <c r="D789" s="49">
        <f t="shared" si="67"/>
        <v>1640</v>
      </c>
      <c r="E789" s="49">
        <f t="shared" si="67"/>
        <v>3280</v>
      </c>
      <c r="F789" s="49">
        <f t="shared" si="67"/>
        <v>6560</v>
      </c>
      <c r="G789" s="51">
        <f t="shared" si="67"/>
        <v>13120</v>
      </c>
      <c r="H789" s="47">
        <f>H787+((H807-H787)/10)</f>
        <v>26240</v>
      </c>
      <c r="I789" s="49">
        <f t="shared" si="65"/>
        <v>32800</v>
      </c>
      <c r="J789" s="49">
        <f t="shared" si="66"/>
        <v>39360</v>
      </c>
      <c r="L789" s="45">
        <f t="shared" si="64"/>
        <v>26240</v>
      </c>
      <c r="M789" s="92">
        <v>109.1</v>
      </c>
    </row>
    <row r="790" spans="1:13" ht="15" customHeight="1">
      <c r="A790" s="46"/>
      <c r="B790" s="92">
        <v>109.15</v>
      </c>
      <c r="C790" s="48">
        <f t="shared" si="67"/>
        <v>830</v>
      </c>
      <c r="D790" s="48">
        <f t="shared" si="67"/>
        <v>1660</v>
      </c>
      <c r="E790" s="48">
        <f t="shared" si="67"/>
        <v>3320</v>
      </c>
      <c r="F790" s="48">
        <f t="shared" si="67"/>
        <v>6640</v>
      </c>
      <c r="G790" s="48">
        <f t="shared" si="67"/>
        <v>13280</v>
      </c>
      <c r="H790" s="47">
        <f>H789+((H791-H789)/2)</f>
        <v>26560</v>
      </c>
      <c r="I790" s="49">
        <f>E790*10</f>
        <v>33200</v>
      </c>
      <c r="J790" s="49">
        <f>E790*12</f>
        <v>39840</v>
      </c>
      <c r="L790" s="45">
        <f t="shared" si="64"/>
        <v>26560</v>
      </c>
      <c r="M790" s="92">
        <v>109.15</v>
      </c>
    </row>
    <row r="791" spans="1:13" ht="15" customHeight="1">
      <c r="A791" s="46"/>
      <c r="B791" s="92">
        <v>109.2</v>
      </c>
      <c r="C791" s="49">
        <f t="shared" si="67"/>
        <v>840</v>
      </c>
      <c r="D791" s="49">
        <f t="shared" si="67"/>
        <v>1680</v>
      </c>
      <c r="E791" s="49">
        <f t="shared" si="67"/>
        <v>3360</v>
      </c>
      <c r="F791" s="49">
        <f t="shared" si="67"/>
        <v>6720</v>
      </c>
      <c r="G791" s="51">
        <f t="shared" si="67"/>
        <v>13440</v>
      </c>
      <c r="H791" s="50">
        <f>H789+640</f>
        <v>26880</v>
      </c>
      <c r="I791" s="49">
        <f t="shared" si="65"/>
        <v>33600</v>
      </c>
      <c r="J791" s="49">
        <f t="shared" si="66"/>
        <v>40320</v>
      </c>
      <c r="L791" s="45">
        <f t="shared" si="64"/>
        <v>26880</v>
      </c>
      <c r="M791" s="92">
        <v>109.2</v>
      </c>
    </row>
    <row r="792" spans="1:13" ht="15" customHeight="1">
      <c r="A792" s="46"/>
      <c r="B792" s="92">
        <v>109.25</v>
      </c>
      <c r="C792" s="48">
        <f t="shared" si="67"/>
        <v>850</v>
      </c>
      <c r="D792" s="48">
        <f t="shared" si="67"/>
        <v>1700</v>
      </c>
      <c r="E792" s="48">
        <f t="shared" si="67"/>
        <v>3400</v>
      </c>
      <c r="F792" s="48">
        <f t="shared" si="67"/>
        <v>6800</v>
      </c>
      <c r="G792" s="48">
        <f t="shared" si="67"/>
        <v>13600</v>
      </c>
      <c r="H792" s="47">
        <f>H791+((H793-H791)/2)</f>
        <v>27200</v>
      </c>
      <c r="I792" s="49">
        <f>E792*10</f>
        <v>34000</v>
      </c>
      <c r="J792" s="49">
        <f>E792*12</f>
        <v>40800</v>
      </c>
      <c r="L792" s="45">
        <f t="shared" si="64"/>
        <v>27200</v>
      </c>
      <c r="M792" s="92">
        <v>109.25</v>
      </c>
    </row>
    <row r="793" spans="1:13" ht="15" customHeight="1">
      <c r="A793" s="46"/>
      <c r="B793" s="92">
        <v>109.3</v>
      </c>
      <c r="C793" s="49">
        <f t="shared" si="67"/>
        <v>860</v>
      </c>
      <c r="D793" s="49">
        <f t="shared" si="67"/>
        <v>1720</v>
      </c>
      <c r="E793" s="49">
        <f t="shared" si="67"/>
        <v>3440</v>
      </c>
      <c r="F793" s="49">
        <f t="shared" si="67"/>
        <v>6880</v>
      </c>
      <c r="G793" s="51">
        <f t="shared" si="67"/>
        <v>13760</v>
      </c>
      <c r="H793" s="50">
        <f>H791+640</f>
        <v>27520</v>
      </c>
      <c r="I793" s="49">
        <f t="shared" si="65"/>
        <v>34400</v>
      </c>
      <c r="J793" s="49">
        <f t="shared" si="66"/>
        <v>41280</v>
      </c>
      <c r="L793" s="45">
        <f t="shared" si="64"/>
        <v>27520</v>
      </c>
      <c r="M793" s="92">
        <v>109.3</v>
      </c>
    </row>
    <row r="794" spans="1:13" ht="15" customHeight="1">
      <c r="A794" s="46"/>
      <c r="B794" s="92">
        <v>109.35</v>
      </c>
      <c r="C794" s="48">
        <f t="shared" si="67"/>
        <v>870</v>
      </c>
      <c r="D794" s="48">
        <f t="shared" si="67"/>
        <v>1740</v>
      </c>
      <c r="E794" s="48">
        <f t="shared" si="67"/>
        <v>3480</v>
      </c>
      <c r="F794" s="48">
        <f t="shared" si="67"/>
        <v>6960</v>
      </c>
      <c r="G794" s="48">
        <f t="shared" si="67"/>
        <v>13920</v>
      </c>
      <c r="H794" s="47">
        <f>H793+((H795-H793)/2)</f>
        <v>27840</v>
      </c>
      <c r="I794" s="49">
        <f>E794*10</f>
        <v>34800</v>
      </c>
      <c r="J794" s="49">
        <f>E794*12</f>
        <v>41760</v>
      </c>
      <c r="L794" s="45">
        <f t="shared" si="64"/>
        <v>27840</v>
      </c>
      <c r="M794" s="92">
        <v>109.35</v>
      </c>
    </row>
    <row r="795" spans="1:13" ht="15" customHeight="1">
      <c r="A795" s="46"/>
      <c r="B795" s="92">
        <v>109.4</v>
      </c>
      <c r="C795" s="49">
        <f t="shared" si="67"/>
        <v>880</v>
      </c>
      <c r="D795" s="49">
        <f t="shared" si="67"/>
        <v>1760</v>
      </c>
      <c r="E795" s="49">
        <f t="shared" si="67"/>
        <v>3520</v>
      </c>
      <c r="F795" s="49">
        <f t="shared" si="67"/>
        <v>7040</v>
      </c>
      <c r="G795" s="51">
        <f t="shared" si="67"/>
        <v>14080</v>
      </c>
      <c r="H795" s="50">
        <f>H793+640</f>
        <v>28160</v>
      </c>
      <c r="I795" s="49">
        <f t="shared" si="65"/>
        <v>35200</v>
      </c>
      <c r="J795" s="49">
        <f t="shared" si="66"/>
        <v>42240</v>
      </c>
      <c r="L795" s="45">
        <f t="shared" si="64"/>
        <v>28160</v>
      </c>
      <c r="M795" s="92">
        <v>109.4</v>
      </c>
    </row>
    <row r="796" spans="1:13" ht="15" customHeight="1">
      <c r="A796" s="46"/>
      <c r="B796" s="92">
        <v>109.45</v>
      </c>
      <c r="C796" s="48">
        <f t="shared" si="67"/>
        <v>890</v>
      </c>
      <c r="D796" s="48">
        <f t="shared" si="67"/>
        <v>1780</v>
      </c>
      <c r="E796" s="48">
        <f t="shared" si="67"/>
        <v>3560</v>
      </c>
      <c r="F796" s="48">
        <f t="shared" si="67"/>
        <v>7120</v>
      </c>
      <c r="G796" s="48">
        <f t="shared" si="67"/>
        <v>14240</v>
      </c>
      <c r="H796" s="47">
        <f>H795+((H797-H795)/2)</f>
        <v>28480</v>
      </c>
      <c r="I796" s="49">
        <f>E796*10</f>
        <v>35600</v>
      </c>
      <c r="J796" s="49">
        <f>E796*12</f>
        <v>42720</v>
      </c>
      <c r="L796" s="45">
        <f t="shared" si="64"/>
        <v>28480</v>
      </c>
      <c r="M796" s="92">
        <v>109.45</v>
      </c>
    </row>
    <row r="797" spans="1:13" ht="15" customHeight="1">
      <c r="A797" s="46"/>
      <c r="B797" s="92">
        <v>109.5</v>
      </c>
      <c r="C797" s="49">
        <f t="shared" si="67"/>
        <v>900</v>
      </c>
      <c r="D797" s="49">
        <f t="shared" si="67"/>
        <v>1800</v>
      </c>
      <c r="E797" s="49">
        <f t="shared" si="67"/>
        <v>3600</v>
      </c>
      <c r="F797" s="49">
        <f t="shared" si="67"/>
        <v>7200</v>
      </c>
      <c r="G797" s="51">
        <f t="shared" si="67"/>
        <v>14400</v>
      </c>
      <c r="H797" s="50">
        <f>H795+640</f>
        <v>28800</v>
      </c>
      <c r="I797" s="49">
        <f t="shared" si="65"/>
        <v>36000</v>
      </c>
      <c r="J797" s="49">
        <f t="shared" si="66"/>
        <v>43200</v>
      </c>
      <c r="L797" s="45">
        <f t="shared" si="64"/>
        <v>28800</v>
      </c>
      <c r="M797" s="92">
        <v>109.5</v>
      </c>
    </row>
    <row r="798" spans="1:13" ht="15" customHeight="1">
      <c r="A798" s="46"/>
      <c r="B798" s="92">
        <v>109.55</v>
      </c>
      <c r="C798" s="48">
        <f t="shared" si="67"/>
        <v>910</v>
      </c>
      <c r="D798" s="48">
        <f t="shared" si="67"/>
        <v>1820</v>
      </c>
      <c r="E798" s="48">
        <f t="shared" si="67"/>
        <v>3640</v>
      </c>
      <c r="F798" s="48">
        <f t="shared" si="67"/>
        <v>7280</v>
      </c>
      <c r="G798" s="48">
        <f t="shared" si="67"/>
        <v>14560</v>
      </c>
      <c r="H798" s="47">
        <f>H797+((H799-H797)/2)</f>
        <v>29120</v>
      </c>
      <c r="I798" s="49">
        <f>E798*10</f>
        <v>36400</v>
      </c>
      <c r="J798" s="49">
        <f>E798*12</f>
        <v>43680</v>
      </c>
      <c r="L798" s="45">
        <f t="shared" si="64"/>
        <v>29120</v>
      </c>
      <c r="M798" s="92">
        <v>109.55</v>
      </c>
    </row>
    <row r="799" spans="1:13" ht="15" customHeight="1">
      <c r="A799" s="46"/>
      <c r="B799" s="92">
        <v>109.6</v>
      </c>
      <c r="C799" s="49">
        <f t="shared" si="67"/>
        <v>920</v>
      </c>
      <c r="D799" s="49">
        <f t="shared" si="67"/>
        <v>1840</v>
      </c>
      <c r="E799" s="49">
        <f t="shared" si="67"/>
        <v>3680</v>
      </c>
      <c r="F799" s="49">
        <f t="shared" si="67"/>
        <v>7360</v>
      </c>
      <c r="G799" s="51">
        <f t="shared" si="67"/>
        <v>14720</v>
      </c>
      <c r="H799" s="50">
        <f>H797+640</f>
        <v>29440</v>
      </c>
      <c r="I799" s="49">
        <f t="shared" si="65"/>
        <v>36800</v>
      </c>
      <c r="J799" s="49">
        <f t="shared" si="66"/>
        <v>44160</v>
      </c>
      <c r="L799" s="45">
        <f t="shared" si="64"/>
        <v>29440</v>
      </c>
      <c r="M799" s="92">
        <v>109.6</v>
      </c>
    </row>
    <row r="800" spans="1:13" ht="15" customHeight="1">
      <c r="A800" s="46"/>
      <c r="B800" s="92">
        <v>109.65</v>
      </c>
      <c r="C800" s="48">
        <f t="shared" si="67"/>
        <v>930</v>
      </c>
      <c r="D800" s="48">
        <f t="shared" si="67"/>
        <v>1860</v>
      </c>
      <c r="E800" s="48">
        <f t="shared" si="67"/>
        <v>3720</v>
      </c>
      <c r="F800" s="48">
        <f t="shared" si="67"/>
        <v>7440</v>
      </c>
      <c r="G800" s="48">
        <f t="shared" si="67"/>
        <v>14880</v>
      </c>
      <c r="H800" s="47">
        <f>H799+((H801-H799)/2)</f>
        <v>29760</v>
      </c>
      <c r="I800" s="49">
        <f>E800*10</f>
        <v>37200</v>
      </c>
      <c r="J800" s="49">
        <f>E800*12</f>
        <v>44640</v>
      </c>
      <c r="L800" s="45">
        <f t="shared" si="64"/>
        <v>29760</v>
      </c>
      <c r="M800" s="92">
        <v>109.65</v>
      </c>
    </row>
    <row r="801" spans="1:13" ht="15" customHeight="1">
      <c r="A801" s="46"/>
      <c r="B801" s="92">
        <v>109.7</v>
      </c>
      <c r="C801" s="49">
        <f t="shared" si="67"/>
        <v>940</v>
      </c>
      <c r="D801" s="49">
        <f t="shared" si="67"/>
        <v>1880</v>
      </c>
      <c r="E801" s="49">
        <f t="shared" si="67"/>
        <v>3760</v>
      </c>
      <c r="F801" s="49">
        <f t="shared" si="67"/>
        <v>7520</v>
      </c>
      <c r="G801" s="51">
        <f t="shared" si="67"/>
        <v>15040</v>
      </c>
      <c r="H801" s="50">
        <f>H799+640</f>
        <v>30080</v>
      </c>
      <c r="I801" s="49">
        <f t="shared" si="65"/>
        <v>37600</v>
      </c>
      <c r="J801" s="49">
        <f t="shared" si="66"/>
        <v>45120</v>
      </c>
      <c r="L801" s="45">
        <f t="shared" si="64"/>
        <v>30080</v>
      </c>
      <c r="M801" s="92">
        <v>109.7</v>
      </c>
    </row>
    <row r="802" spans="1:13" ht="15" customHeight="1">
      <c r="A802" s="46"/>
      <c r="B802" s="92">
        <v>109.75</v>
      </c>
      <c r="C802" s="48">
        <f t="shared" si="67"/>
        <v>950</v>
      </c>
      <c r="D802" s="48">
        <f t="shared" si="67"/>
        <v>1900</v>
      </c>
      <c r="E802" s="48">
        <f t="shared" si="67"/>
        <v>3800</v>
      </c>
      <c r="F802" s="48">
        <f t="shared" si="67"/>
        <v>7600</v>
      </c>
      <c r="G802" s="48">
        <f t="shared" si="67"/>
        <v>15200</v>
      </c>
      <c r="H802" s="47">
        <f>H801+((H803-H801)/2)</f>
        <v>30400</v>
      </c>
      <c r="I802" s="49">
        <f>E802*10</f>
        <v>38000</v>
      </c>
      <c r="J802" s="49">
        <f>E802*12</f>
        <v>45600</v>
      </c>
      <c r="L802" s="45">
        <f t="shared" si="64"/>
        <v>30400</v>
      </c>
      <c r="M802" s="92">
        <v>109.75</v>
      </c>
    </row>
    <row r="803" spans="1:13" ht="15" customHeight="1">
      <c r="A803" s="46"/>
      <c r="B803" s="92">
        <v>109.8</v>
      </c>
      <c r="C803" s="49">
        <f t="shared" si="67"/>
        <v>960</v>
      </c>
      <c r="D803" s="49">
        <f t="shared" si="67"/>
        <v>1920</v>
      </c>
      <c r="E803" s="49">
        <f t="shared" si="67"/>
        <v>3840</v>
      </c>
      <c r="F803" s="49">
        <f t="shared" si="67"/>
        <v>7680</v>
      </c>
      <c r="G803" s="51">
        <f t="shared" si="67"/>
        <v>15360</v>
      </c>
      <c r="H803" s="50">
        <f>H801+640</f>
        <v>30720</v>
      </c>
      <c r="I803" s="49">
        <f t="shared" si="65"/>
        <v>38400</v>
      </c>
      <c r="J803" s="49">
        <f t="shared" si="66"/>
        <v>46080</v>
      </c>
      <c r="L803" s="45">
        <f t="shared" si="64"/>
        <v>30720</v>
      </c>
      <c r="M803" s="92">
        <v>109.8</v>
      </c>
    </row>
    <row r="804" spans="1:13" ht="15" customHeight="1">
      <c r="A804" s="46"/>
      <c r="B804" s="92">
        <v>109.85</v>
      </c>
      <c r="C804" s="48">
        <f t="shared" si="67"/>
        <v>970</v>
      </c>
      <c r="D804" s="48">
        <f t="shared" si="67"/>
        <v>1940</v>
      </c>
      <c r="E804" s="48">
        <f t="shared" si="67"/>
        <v>3880</v>
      </c>
      <c r="F804" s="48">
        <f t="shared" si="67"/>
        <v>7760</v>
      </c>
      <c r="G804" s="48">
        <f t="shared" si="67"/>
        <v>15520</v>
      </c>
      <c r="H804" s="47">
        <f>H803+((H805-H803)/2)</f>
        <v>31040</v>
      </c>
      <c r="I804" s="49">
        <f>E804*10</f>
        <v>38800</v>
      </c>
      <c r="J804" s="49">
        <f>E804*12</f>
        <v>46560</v>
      </c>
      <c r="L804" s="45">
        <f t="shared" si="64"/>
        <v>31040</v>
      </c>
      <c r="M804" s="92">
        <v>109.85</v>
      </c>
    </row>
    <row r="805" spans="1:13" ht="15" customHeight="1">
      <c r="A805" s="46"/>
      <c r="B805" s="92">
        <v>109.9</v>
      </c>
      <c r="C805" s="49">
        <f t="shared" si="67"/>
        <v>980</v>
      </c>
      <c r="D805" s="49">
        <f t="shared" si="67"/>
        <v>1960</v>
      </c>
      <c r="E805" s="49">
        <f t="shared" si="67"/>
        <v>3920</v>
      </c>
      <c r="F805" s="49">
        <f t="shared" si="67"/>
        <v>7840</v>
      </c>
      <c r="G805" s="51">
        <f t="shared" si="67"/>
        <v>15680</v>
      </c>
      <c r="H805" s="50">
        <f>H803+640</f>
        <v>31360</v>
      </c>
      <c r="I805" s="49">
        <f t="shared" si="65"/>
        <v>39200</v>
      </c>
      <c r="J805" s="49">
        <f t="shared" si="66"/>
        <v>47040</v>
      </c>
      <c r="L805" s="45">
        <f t="shared" si="64"/>
        <v>31360</v>
      </c>
      <c r="M805" s="92">
        <v>109.9</v>
      </c>
    </row>
    <row r="806" spans="1:13" ht="15" customHeight="1">
      <c r="A806" s="46"/>
      <c r="B806" s="92">
        <v>109.95</v>
      </c>
      <c r="C806" s="48">
        <f>D806/2</f>
        <v>990</v>
      </c>
      <c r="D806" s="48">
        <f>E806/2</f>
        <v>1980</v>
      </c>
      <c r="E806" s="48">
        <f>F806/2</f>
        <v>3960</v>
      </c>
      <c r="F806" s="48">
        <f>G806/2</f>
        <v>7920</v>
      </c>
      <c r="G806" s="48">
        <f>H806/2</f>
        <v>15840</v>
      </c>
      <c r="H806" s="47">
        <f>H805+((H807-H805)/2)</f>
        <v>31680</v>
      </c>
      <c r="I806" s="49">
        <f>E806*10</f>
        <v>39600</v>
      </c>
      <c r="J806" s="49">
        <f>E806*12</f>
        <v>47520</v>
      </c>
      <c r="L806" s="45">
        <f t="shared" si="64"/>
        <v>31680</v>
      </c>
      <c r="M806" s="92">
        <v>109.95</v>
      </c>
    </row>
    <row r="807" spans="1:13" ht="15" customHeight="1">
      <c r="A807" s="46"/>
      <c r="B807" s="92">
        <v>110</v>
      </c>
      <c r="C807" s="49">
        <f t="shared" ref="C807:G825" si="68">D807/2</f>
        <v>1000</v>
      </c>
      <c r="D807" s="49">
        <f t="shared" si="68"/>
        <v>2000</v>
      </c>
      <c r="E807" s="49">
        <f t="shared" si="68"/>
        <v>4000</v>
      </c>
      <c r="F807" s="49">
        <f t="shared" si="68"/>
        <v>8000</v>
      </c>
      <c r="G807" s="51">
        <f t="shared" si="68"/>
        <v>16000</v>
      </c>
      <c r="H807" s="50">
        <f>H747*2</f>
        <v>32000</v>
      </c>
      <c r="I807" s="49">
        <f t="shared" si="65"/>
        <v>40000</v>
      </c>
      <c r="J807" s="49">
        <f t="shared" si="66"/>
        <v>48000</v>
      </c>
      <c r="L807" s="45">
        <f t="shared" si="64"/>
        <v>32000</v>
      </c>
      <c r="M807" s="92">
        <v>110</v>
      </c>
    </row>
    <row r="808" spans="1:13" ht="15" customHeight="1">
      <c r="A808" s="46"/>
      <c r="B808" s="92">
        <v>110.05</v>
      </c>
      <c r="C808" s="48">
        <f t="shared" si="68"/>
        <v>1012.5</v>
      </c>
      <c r="D808" s="48">
        <f t="shared" si="68"/>
        <v>2025</v>
      </c>
      <c r="E808" s="48">
        <f t="shared" si="68"/>
        <v>4050</v>
      </c>
      <c r="F808" s="48">
        <f t="shared" si="68"/>
        <v>8100</v>
      </c>
      <c r="G808" s="48">
        <f t="shared" si="68"/>
        <v>16200</v>
      </c>
      <c r="H808" s="47">
        <f>H807+((H809-H807)/2)</f>
        <v>32400</v>
      </c>
      <c r="I808" s="49">
        <f>E808*10</f>
        <v>40500</v>
      </c>
      <c r="J808" s="49">
        <f>E808*12</f>
        <v>48600</v>
      </c>
      <c r="L808" s="45">
        <f t="shared" si="64"/>
        <v>32400</v>
      </c>
      <c r="M808" s="92">
        <v>110.05</v>
      </c>
    </row>
    <row r="809" spans="1:13" ht="15" customHeight="1">
      <c r="A809" s="46"/>
      <c r="B809" s="92">
        <v>110.1</v>
      </c>
      <c r="C809" s="49">
        <f t="shared" si="68"/>
        <v>1025</v>
      </c>
      <c r="D809" s="49">
        <f t="shared" si="68"/>
        <v>2050</v>
      </c>
      <c r="E809" s="49">
        <f t="shared" si="68"/>
        <v>4100</v>
      </c>
      <c r="F809" s="49">
        <f t="shared" si="68"/>
        <v>8200</v>
      </c>
      <c r="G809" s="51">
        <f t="shared" si="68"/>
        <v>16400</v>
      </c>
      <c r="H809" s="47">
        <f>H807+((H827-H807)/10)</f>
        <v>32800</v>
      </c>
      <c r="I809" s="49">
        <f t="shared" si="65"/>
        <v>41000</v>
      </c>
      <c r="J809" s="49">
        <f t="shared" si="66"/>
        <v>49200</v>
      </c>
      <c r="L809" s="45">
        <f t="shared" si="64"/>
        <v>32800</v>
      </c>
      <c r="M809" s="92">
        <v>110.1</v>
      </c>
    </row>
    <row r="810" spans="1:13" ht="15" customHeight="1">
      <c r="A810" s="46"/>
      <c r="B810" s="92">
        <v>110.15</v>
      </c>
      <c r="C810" s="48">
        <f t="shared" si="68"/>
        <v>1037.5</v>
      </c>
      <c r="D810" s="48">
        <f t="shared" si="68"/>
        <v>2075</v>
      </c>
      <c r="E810" s="48">
        <f t="shared" si="68"/>
        <v>4150</v>
      </c>
      <c r="F810" s="48">
        <f t="shared" si="68"/>
        <v>8300</v>
      </c>
      <c r="G810" s="48">
        <f t="shared" si="68"/>
        <v>16600</v>
      </c>
      <c r="H810" s="47">
        <f>H809+((H811-H809)/2)</f>
        <v>33200</v>
      </c>
      <c r="I810" s="49">
        <f>E810*10</f>
        <v>41500</v>
      </c>
      <c r="J810" s="49">
        <f>E810*12</f>
        <v>49800</v>
      </c>
      <c r="L810" s="45">
        <f t="shared" si="64"/>
        <v>33200</v>
      </c>
      <c r="M810" s="92">
        <v>110.15</v>
      </c>
    </row>
    <row r="811" spans="1:13" ht="15" customHeight="1">
      <c r="A811" s="46"/>
      <c r="B811" s="92">
        <v>110.2</v>
      </c>
      <c r="C811" s="49">
        <f t="shared" si="68"/>
        <v>1050</v>
      </c>
      <c r="D811" s="49">
        <f t="shared" si="68"/>
        <v>2100</v>
      </c>
      <c r="E811" s="49">
        <f t="shared" si="68"/>
        <v>4200</v>
      </c>
      <c r="F811" s="49">
        <f t="shared" si="68"/>
        <v>8400</v>
      </c>
      <c r="G811" s="51">
        <f t="shared" si="68"/>
        <v>16800</v>
      </c>
      <c r="H811" s="50">
        <f>H809+800</f>
        <v>33600</v>
      </c>
      <c r="I811" s="49">
        <f t="shared" si="65"/>
        <v>42000</v>
      </c>
      <c r="J811" s="49">
        <f t="shared" si="66"/>
        <v>50400</v>
      </c>
      <c r="L811" s="45">
        <f t="shared" si="64"/>
        <v>33600</v>
      </c>
      <c r="M811" s="92">
        <v>110.2</v>
      </c>
    </row>
    <row r="812" spans="1:13" ht="15" customHeight="1">
      <c r="A812" s="46"/>
      <c r="B812" s="92">
        <v>110.25</v>
      </c>
      <c r="C812" s="48">
        <f t="shared" si="68"/>
        <v>1062.5</v>
      </c>
      <c r="D812" s="48">
        <f t="shared" si="68"/>
        <v>2125</v>
      </c>
      <c r="E812" s="48">
        <f t="shared" si="68"/>
        <v>4250</v>
      </c>
      <c r="F812" s="48">
        <f t="shared" si="68"/>
        <v>8500</v>
      </c>
      <c r="G812" s="48">
        <f t="shared" si="68"/>
        <v>17000</v>
      </c>
      <c r="H812" s="47">
        <f>H811+((H813-H811)/2)</f>
        <v>34000</v>
      </c>
      <c r="I812" s="49">
        <f>E812*10</f>
        <v>42500</v>
      </c>
      <c r="J812" s="49">
        <f>E812*12</f>
        <v>51000</v>
      </c>
      <c r="L812" s="45">
        <f t="shared" si="64"/>
        <v>34000</v>
      </c>
      <c r="M812" s="92">
        <v>110.25</v>
      </c>
    </row>
    <row r="813" spans="1:13" ht="15" customHeight="1">
      <c r="A813" s="46"/>
      <c r="B813" s="92">
        <v>110.3</v>
      </c>
      <c r="C813" s="49">
        <f t="shared" si="68"/>
        <v>1075</v>
      </c>
      <c r="D813" s="49">
        <f t="shared" si="68"/>
        <v>2150</v>
      </c>
      <c r="E813" s="49">
        <f t="shared" si="68"/>
        <v>4300</v>
      </c>
      <c r="F813" s="49">
        <f t="shared" si="68"/>
        <v>8600</v>
      </c>
      <c r="G813" s="51">
        <f t="shared" si="68"/>
        <v>17200</v>
      </c>
      <c r="H813" s="50">
        <f>H811+800</f>
        <v>34400</v>
      </c>
      <c r="I813" s="49">
        <f t="shared" si="65"/>
        <v>43000</v>
      </c>
      <c r="J813" s="49">
        <f t="shared" si="66"/>
        <v>51600</v>
      </c>
      <c r="L813" s="45">
        <f t="shared" si="64"/>
        <v>34400</v>
      </c>
      <c r="M813" s="92">
        <v>110.3</v>
      </c>
    </row>
    <row r="814" spans="1:13" ht="15" customHeight="1">
      <c r="A814" s="46"/>
      <c r="B814" s="92">
        <v>110.35</v>
      </c>
      <c r="C814" s="48">
        <f t="shared" si="68"/>
        <v>1087.5</v>
      </c>
      <c r="D814" s="48">
        <f t="shared" si="68"/>
        <v>2175</v>
      </c>
      <c r="E814" s="48">
        <f t="shared" si="68"/>
        <v>4350</v>
      </c>
      <c r="F814" s="48">
        <f t="shared" si="68"/>
        <v>8700</v>
      </c>
      <c r="G814" s="48">
        <f t="shared" si="68"/>
        <v>17400</v>
      </c>
      <c r="H814" s="47">
        <f>H813+((H815-H813)/2)</f>
        <v>34800</v>
      </c>
      <c r="I814" s="49">
        <f>E814*10</f>
        <v>43500</v>
      </c>
      <c r="J814" s="49">
        <f>E814*12</f>
        <v>52200</v>
      </c>
      <c r="L814" s="45">
        <f t="shared" si="64"/>
        <v>34800</v>
      </c>
      <c r="M814" s="92">
        <v>110.35</v>
      </c>
    </row>
    <row r="815" spans="1:13" ht="15" customHeight="1">
      <c r="A815" s="46"/>
      <c r="B815" s="92">
        <v>110.4</v>
      </c>
      <c r="C815" s="49">
        <f t="shared" si="68"/>
        <v>1100</v>
      </c>
      <c r="D815" s="49">
        <f t="shared" si="68"/>
        <v>2200</v>
      </c>
      <c r="E815" s="49">
        <f t="shared" si="68"/>
        <v>4400</v>
      </c>
      <c r="F815" s="49">
        <f t="shared" si="68"/>
        <v>8800</v>
      </c>
      <c r="G815" s="51">
        <f t="shared" si="68"/>
        <v>17600</v>
      </c>
      <c r="H815" s="50">
        <f>H813+800</f>
        <v>35200</v>
      </c>
      <c r="I815" s="49">
        <f t="shared" si="65"/>
        <v>44000</v>
      </c>
      <c r="J815" s="49">
        <f t="shared" si="66"/>
        <v>52800</v>
      </c>
      <c r="L815" s="45">
        <f t="shared" si="64"/>
        <v>35200</v>
      </c>
      <c r="M815" s="92">
        <v>110.4</v>
      </c>
    </row>
    <row r="816" spans="1:13" ht="15" customHeight="1">
      <c r="A816" s="46"/>
      <c r="B816" s="92">
        <v>110.45</v>
      </c>
      <c r="C816" s="48">
        <f t="shared" si="68"/>
        <v>1112.5</v>
      </c>
      <c r="D816" s="48">
        <f t="shared" si="68"/>
        <v>2225</v>
      </c>
      <c r="E816" s="48">
        <f t="shared" si="68"/>
        <v>4450</v>
      </c>
      <c r="F816" s="48">
        <f t="shared" si="68"/>
        <v>8900</v>
      </c>
      <c r="G816" s="48">
        <f t="shared" si="68"/>
        <v>17800</v>
      </c>
      <c r="H816" s="47">
        <f>H815+((H817-H815)/2)</f>
        <v>35600</v>
      </c>
      <c r="I816" s="49">
        <f>E816*10</f>
        <v>44500</v>
      </c>
      <c r="J816" s="49">
        <f>E816*12</f>
        <v>53400</v>
      </c>
      <c r="L816" s="45">
        <f t="shared" si="64"/>
        <v>35600</v>
      </c>
      <c r="M816" s="92">
        <v>110.45</v>
      </c>
    </row>
    <row r="817" spans="1:13" ht="15" customHeight="1">
      <c r="A817" s="46"/>
      <c r="B817" s="92">
        <v>110.5</v>
      </c>
      <c r="C817" s="49">
        <f t="shared" si="68"/>
        <v>1125</v>
      </c>
      <c r="D817" s="49">
        <f t="shared" si="68"/>
        <v>2250</v>
      </c>
      <c r="E817" s="49">
        <f t="shared" si="68"/>
        <v>4500</v>
      </c>
      <c r="F817" s="49">
        <f t="shared" si="68"/>
        <v>9000</v>
      </c>
      <c r="G817" s="51">
        <f t="shared" si="68"/>
        <v>18000</v>
      </c>
      <c r="H817" s="50">
        <f>H815+800</f>
        <v>36000</v>
      </c>
      <c r="I817" s="49">
        <f t="shared" si="65"/>
        <v>45000</v>
      </c>
      <c r="J817" s="49">
        <f t="shared" si="66"/>
        <v>54000</v>
      </c>
      <c r="L817" s="45">
        <f t="shared" si="64"/>
        <v>36000</v>
      </c>
      <c r="M817" s="92">
        <v>110.5</v>
      </c>
    </row>
    <row r="818" spans="1:13" ht="15" customHeight="1">
      <c r="A818" s="46"/>
      <c r="B818" s="92">
        <v>110.55</v>
      </c>
      <c r="C818" s="48">
        <f t="shared" si="68"/>
        <v>1137.5</v>
      </c>
      <c r="D818" s="48">
        <f t="shared" si="68"/>
        <v>2275</v>
      </c>
      <c r="E818" s="48">
        <f t="shared" si="68"/>
        <v>4550</v>
      </c>
      <c r="F818" s="48">
        <f t="shared" si="68"/>
        <v>9100</v>
      </c>
      <c r="G818" s="48">
        <f t="shared" si="68"/>
        <v>18200</v>
      </c>
      <c r="H818" s="47">
        <f>H817+((H819-H817)/2)</f>
        <v>36400</v>
      </c>
      <c r="I818" s="49">
        <f>E818*10</f>
        <v>45500</v>
      </c>
      <c r="J818" s="49">
        <f>E818*12</f>
        <v>54600</v>
      </c>
      <c r="L818" s="45">
        <f t="shared" si="64"/>
        <v>36400</v>
      </c>
      <c r="M818" s="92">
        <v>110.55</v>
      </c>
    </row>
    <row r="819" spans="1:13" ht="15" customHeight="1">
      <c r="A819" s="46"/>
      <c r="B819" s="92">
        <v>110.6</v>
      </c>
      <c r="C819" s="49">
        <f t="shared" si="68"/>
        <v>1150</v>
      </c>
      <c r="D819" s="49">
        <f t="shared" si="68"/>
        <v>2300</v>
      </c>
      <c r="E819" s="49">
        <f t="shared" si="68"/>
        <v>4600</v>
      </c>
      <c r="F819" s="49">
        <f t="shared" si="68"/>
        <v>9200</v>
      </c>
      <c r="G819" s="51">
        <f t="shared" si="68"/>
        <v>18400</v>
      </c>
      <c r="H819" s="50">
        <f>H817+800</f>
        <v>36800</v>
      </c>
      <c r="I819" s="49">
        <f t="shared" si="65"/>
        <v>46000</v>
      </c>
      <c r="J819" s="49">
        <f t="shared" si="66"/>
        <v>55200</v>
      </c>
      <c r="L819" s="45">
        <f t="shared" si="64"/>
        <v>36800</v>
      </c>
      <c r="M819" s="92">
        <v>110.6</v>
      </c>
    </row>
    <row r="820" spans="1:13" ht="15" customHeight="1">
      <c r="A820" s="46"/>
      <c r="B820" s="92">
        <v>110.65</v>
      </c>
      <c r="C820" s="48">
        <f t="shared" si="68"/>
        <v>1162.5</v>
      </c>
      <c r="D820" s="48">
        <f t="shared" si="68"/>
        <v>2325</v>
      </c>
      <c r="E820" s="48">
        <f t="shared" si="68"/>
        <v>4650</v>
      </c>
      <c r="F820" s="48">
        <f t="shared" si="68"/>
        <v>9300</v>
      </c>
      <c r="G820" s="48">
        <f t="shared" si="68"/>
        <v>18600</v>
      </c>
      <c r="H820" s="47">
        <f>H819+((H821-H819)/2)</f>
        <v>37200</v>
      </c>
      <c r="I820" s="49">
        <f>E820*10</f>
        <v>46500</v>
      </c>
      <c r="J820" s="49">
        <f>E820*12</f>
        <v>55800</v>
      </c>
      <c r="L820" s="45">
        <f t="shared" si="64"/>
        <v>37200</v>
      </c>
      <c r="M820" s="92">
        <v>110.65</v>
      </c>
    </row>
    <row r="821" spans="1:13" ht="15" customHeight="1">
      <c r="A821" s="46"/>
      <c r="B821" s="92">
        <v>110.7</v>
      </c>
      <c r="C821" s="49">
        <f t="shared" si="68"/>
        <v>1175</v>
      </c>
      <c r="D821" s="49">
        <f t="shared" si="68"/>
        <v>2350</v>
      </c>
      <c r="E821" s="49">
        <f t="shared" si="68"/>
        <v>4700</v>
      </c>
      <c r="F821" s="49">
        <f t="shared" si="68"/>
        <v>9400</v>
      </c>
      <c r="G821" s="51">
        <f t="shared" si="68"/>
        <v>18800</v>
      </c>
      <c r="H821" s="50">
        <f>H819+800</f>
        <v>37600</v>
      </c>
      <c r="I821" s="49">
        <f t="shared" si="65"/>
        <v>47000</v>
      </c>
      <c r="J821" s="49">
        <f t="shared" si="66"/>
        <v>56400</v>
      </c>
      <c r="L821" s="45">
        <f t="shared" si="64"/>
        <v>37600</v>
      </c>
      <c r="M821" s="92">
        <v>110.7</v>
      </c>
    </row>
    <row r="822" spans="1:13" ht="15" customHeight="1">
      <c r="A822" s="46"/>
      <c r="B822" s="92">
        <v>110.75</v>
      </c>
      <c r="C822" s="48">
        <f t="shared" si="68"/>
        <v>1187.5</v>
      </c>
      <c r="D822" s="48">
        <f t="shared" si="68"/>
        <v>2375</v>
      </c>
      <c r="E822" s="48">
        <f t="shared" si="68"/>
        <v>4750</v>
      </c>
      <c r="F822" s="48">
        <f t="shared" si="68"/>
        <v>9500</v>
      </c>
      <c r="G822" s="48">
        <f t="shared" si="68"/>
        <v>19000</v>
      </c>
      <c r="H822" s="47">
        <f>H821+((H823-H821)/2)</f>
        <v>38000</v>
      </c>
      <c r="I822" s="49">
        <f>E822*10</f>
        <v>47500</v>
      </c>
      <c r="J822" s="49">
        <f>E822*12</f>
        <v>57000</v>
      </c>
      <c r="L822" s="45">
        <f t="shared" si="64"/>
        <v>38000</v>
      </c>
      <c r="M822" s="92">
        <v>110.75</v>
      </c>
    </row>
    <row r="823" spans="1:13" ht="15" customHeight="1">
      <c r="A823" s="46"/>
      <c r="B823" s="92">
        <v>110.8</v>
      </c>
      <c r="C823" s="49">
        <f t="shared" si="68"/>
        <v>1200</v>
      </c>
      <c r="D823" s="49">
        <f t="shared" si="68"/>
        <v>2400</v>
      </c>
      <c r="E823" s="49">
        <f t="shared" si="68"/>
        <v>4800</v>
      </c>
      <c r="F823" s="49">
        <f t="shared" si="68"/>
        <v>9600</v>
      </c>
      <c r="G823" s="51">
        <f t="shared" si="68"/>
        <v>19200</v>
      </c>
      <c r="H823" s="50">
        <f>H821+800</f>
        <v>38400</v>
      </c>
      <c r="I823" s="49">
        <f t="shared" si="65"/>
        <v>48000</v>
      </c>
      <c r="J823" s="49">
        <f t="shared" si="66"/>
        <v>57600</v>
      </c>
      <c r="L823" s="45">
        <f t="shared" si="64"/>
        <v>38400</v>
      </c>
      <c r="M823" s="92">
        <v>110.8</v>
      </c>
    </row>
    <row r="824" spans="1:13" ht="15" customHeight="1">
      <c r="A824" s="46"/>
      <c r="B824" s="92">
        <v>110.85</v>
      </c>
      <c r="C824" s="48">
        <f t="shared" si="68"/>
        <v>1212.5</v>
      </c>
      <c r="D824" s="48">
        <f t="shared" si="68"/>
        <v>2425</v>
      </c>
      <c r="E824" s="48">
        <f t="shared" si="68"/>
        <v>4850</v>
      </c>
      <c r="F824" s="48">
        <f t="shared" si="68"/>
        <v>9700</v>
      </c>
      <c r="G824" s="48">
        <f t="shared" si="68"/>
        <v>19400</v>
      </c>
      <c r="H824" s="47">
        <f>H823+((H825-H823)/2)</f>
        <v>38800</v>
      </c>
      <c r="I824" s="49">
        <f>E824*10</f>
        <v>48500</v>
      </c>
      <c r="J824" s="49">
        <f>E824*12</f>
        <v>58200</v>
      </c>
      <c r="L824" s="45">
        <f t="shared" si="64"/>
        <v>38800</v>
      </c>
      <c r="M824" s="92">
        <v>110.85</v>
      </c>
    </row>
    <row r="825" spans="1:13" ht="15" customHeight="1">
      <c r="A825" s="46"/>
      <c r="B825" s="92">
        <v>110.9</v>
      </c>
      <c r="C825" s="49">
        <f t="shared" si="68"/>
        <v>1225</v>
      </c>
      <c r="D825" s="49">
        <f t="shared" si="68"/>
        <v>2450</v>
      </c>
      <c r="E825" s="49">
        <f t="shared" si="68"/>
        <v>4900</v>
      </c>
      <c r="F825" s="49">
        <f t="shared" si="68"/>
        <v>9800</v>
      </c>
      <c r="G825" s="51">
        <f t="shared" si="68"/>
        <v>19600</v>
      </c>
      <c r="H825" s="50">
        <f>H823+800</f>
        <v>39200</v>
      </c>
      <c r="I825" s="49">
        <f t="shared" si="65"/>
        <v>49000</v>
      </c>
      <c r="J825" s="49">
        <f t="shared" si="66"/>
        <v>58800</v>
      </c>
      <c r="L825" s="45">
        <f t="shared" si="64"/>
        <v>39200</v>
      </c>
      <c r="M825" s="92">
        <v>110.9</v>
      </c>
    </row>
    <row r="826" spans="1:13" ht="15" customHeight="1">
      <c r="A826" s="46"/>
      <c r="B826" s="92">
        <v>110.95</v>
      </c>
      <c r="C826" s="48">
        <f>D826/2</f>
        <v>1237.5</v>
      </c>
      <c r="D826" s="48">
        <f>E826/2</f>
        <v>2475</v>
      </c>
      <c r="E826" s="48">
        <f>F826/2</f>
        <v>4950</v>
      </c>
      <c r="F826" s="48">
        <f>G826/2</f>
        <v>9900</v>
      </c>
      <c r="G826" s="48">
        <f>H826/2</f>
        <v>19800</v>
      </c>
      <c r="H826" s="47">
        <f>H825+((H827-H825)/2)</f>
        <v>39600</v>
      </c>
      <c r="I826" s="49">
        <f>E826*10</f>
        <v>49500</v>
      </c>
      <c r="J826" s="49">
        <f>E826*12</f>
        <v>59400</v>
      </c>
      <c r="L826" s="45">
        <f t="shared" si="64"/>
        <v>39600</v>
      </c>
      <c r="M826" s="92">
        <v>110.95</v>
      </c>
    </row>
    <row r="827" spans="1:13" ht="15" customHeight="1">
      <c r="A827" s="46"/>
      <c r="B827" s="92">
        <v>111</v>
      </c>
      <c r="C827" s="49">
        <f t="shared" ref="C827:G845" si="69">D827/2</f>
        <v>1250</v>
      </c>
      <c r="D827" s="49">
        <f t="shared" si="69"/>
        <v>2500</v>
      </c>
      <c r="E827" s="49">
        <f t="shared" si="69"/>
        <v>5000</v>
      </c>
      <c r="F827" s="51">
        <f t="shared" si="69"/>
        <v>10000</v>
      </c>
      <c r="G827" s="51">
        <f t="shared" si="69"/>
        <v>20000</v>
      </c>
      <c r="H827" s="50">
        <f>H767*2</f>
        <v>40000</v>
      </c>
      <c r="I827" s="49">
        <f t="shared" si="65"/>
        <v>50000</v>
      </c>
      <c r="J827" s="49">
        <f t="shared" si="66"/>
        <v>60000</v>
      </c>
      <c r="L827" s="45">
        <f t="shared" si="64"/>
        <v>40000</v>
      </c>
      <c r="M827" s="92">
        <v>111</v>
      </c>
    </row>
    <row r="828" spans="1:13" ht="15" customHeight="1">
      <c r="A828" s="46"/>
      <c r="B828" s="92">
        <v>111.05</v>
      </c>
      <c r="C828" s="48">
        <f t="shared" si="69"/>
        <v>1267.5</v>
      </c>
      <c r="D828" s="48">
        <f t="shared" si="69"/>
        <v>2535</v>
      </c>
      <c r="E828" s="48">
        <f t="shared" si="69"/>
        <v>5070</v>
      </c>
      <c r="F828" s="48">
        <f t="shared" si="69"/>
        <v>10140</v>
      </c>
      <c r="G828" s="48">
        <f t="shared" si="69"/>
        <v>20280</v>
      </c>
      <c r="H828" s="47">
        <f>H827+((H829-H827)/2)</f>
        <v>40560</v>
      </c>
      <c r="I828" s="49">
        <f>E828*10</f>
        <v>50700</v>
      </c>
      <c r="J828" s="49">
        <f>E828*12</f>
        <v>60840</v>
      </c>
      <c r="L828" s="45">
        <f t="shared" si="64"/>
        <v>40560</v>
      </c>
      <c r="M828" s="92">
        <v>111.05</v>
      </c>
    </row>
    <row r="829" spans="1:13" ht="15" customHeight="1">
      <c r="A829" s="46"/>
      <c r="B829" s="92">
        <v>111.1</v>
      </c>
      <c r="C829" s="49">
        <f t="shared" si="69"/>
        <v>1285</v>
      </c>
      <c r="D829" s="49">
        <f t="shared" si="69"/>
        <v>2570</v>
      </c>
      <c r="E829" s="49">
        <f t="shared" si="69"/>
        <v>5140</v>
      </c>
      <c r="F829" s="51">
        <f t="shared" si="69"/>
        <v>10280</v>
      </c>
      <c r="G829" s="51">
        <f t="shared" si="69"/>
        <v>20560</v>
      </c>
      <c r="H829" s="47">
        <f>H827+((H847-H827)/10)</f>
        <v>41120</v>
      </c>
      <c r="I829" s="49">
        <f t="shared" si="65"/>
        <v>51400</v>
      </c>
      <c r="J829" s="49">
        <f t="shared" si="66"/>
        <v>61680</v>
      </c>
      <c r="L829" s="45">
        <f t="shared" si="64"/>
        <v>41120</v>
      </c>
      <c r="M829" s="92">
        <v>111.1</v>
      </c>
    </row>
    <row r="830" spans="1:13" ht="15" customHeight="1">
      <c r="A830" s="46"/>
      <c r="B830" s="92">
        <v>111.15</v>
      </c>
      <c r="C830" s="48">
        <f t="shared" si="69"/>
        <v>1302.5</v>
      </c>
      <c r="D830" s="48">
        <f t="shared" si="69"/>
        <v>2605</v>
      </c>
      <c r="E830" s="48">
        <f t="shared" si="69"/>
        <v>5210</v>
      </c>
      <c r="F830" s="48">
        <f t="shared" si="69"/>
        <v>10420</v>
      </c>
      <c r="G830" s="48">
        <f t="shared" si="69"/>
        <v>20840</v>
      </c>
      <c r="H830" s="47">
        <f>H829+((H831-H829)/2)</f>
        <v>41680</v>
      </c>
      <c r="I830" s="49">
        <f>E830*10</f>
        <v>52100</v>
      </c>
      <c r="J830" s="49">
        <f>E830*12</f>
        <v>62520</v>
      </c>
      <c r="L830" s="45">
        <f t="shared" si="64"/>
        <v>41680</v>
      </c>
      <c r="M830" s="92">
        <v>111.15</v>
      </c>
    </row>
    <row r="831" spans="1:13" ht="15" customHeight="1">
      <c r="A831" s="46"/>
      <c r="B831" s="92">
        <v>111.2</v>
      </c>
      <c r="C831" s="49">
        <f t="shared" si="69"/>
        <v>1320</v>
      </c>
      <c r="D831" s="49">
        <f t="shared" si="69"/>
        <v>2640</v>
      </c>
      <c r="E831" s="49">
        <f t="shared" si="69"/>
        <v>5280</v>
      </c>
      <c r="F831" s="51">
        <f t="shared" si="69"/>
        <v>10560</v>
      </c>
      <c r="G831" s="51">
        <f t="shared" si="69"/>
        <v>21120</v>
      </c>
      <c r="H831" s="50">
        <f>H829+1120</f>
        <v>42240</v>
      </c>
      <c r="I831" s="49">
        <f t="shared" si="65"/>
        <v>52800</v>
      </c>
      <c r="J831" s="49">
        <f t="shared" si="66"/>
        <v>63360</v>
      </c>
      <c r="L831" s="45">
        <f t="shared" si="64"/>
        <v>42240</v>
      </c>
      <c r="M831" s="92">
        <v>111.2</v>
      </c>
    </row>
    <row r="832" spans="1:13" ht="15" customHeight="1">
      <c r="A832" s="46"/>
      <c r="B832" s="92">
        <v>111.25</v>
      </c>
      <c r="C832" s="48">
        <f t="shared" si="69"/>
        <v>1337.5</v>
      </c>
      <c r="D832" s="48">
        <f t="shared" si="69"/>
        <v>2675</v>
      </c>
      <c r="E832" s="48">
        <f t="shared" si="69"/>
        <v>5350</v>
      </c>
      <c r="F832" s="48">
        <f t="shared" si="69"/>
        <v>10700</v>
      </c>
      <c r="G832" s="48">
        <f t="shared" si="69"/>
        <v>21400</v>
      </c>
      <c r="H832" s="47">
        <f>H831+((H833-H831)/2)</f>
        <v>42800</v>
      </c>
      <c r="I832" s="49">
        <f>E832*10</f>
        <v>53500</v>
      </c>
      <c r="J832" s="49">
        <f>E832*12</f>
        <v>64200</v>
      </c>
      <c r="L832" s="45">
        <f t="shared" si="64"/>
        <v>42800</v>
      </c>
      <c r="M832" s="92">
        <v>111.25</v>
      </c>
    </row>
    <row r="833" spans="1:13" ht="15" customHeight="1">
      <c r="A833" s="46"/>
      <c r="B833" s="92">
        <v>111.3</v>
      </c>
      <c r="C833" s="49">
        <f t="shared" si="69"/>
        <v>1355</v>
      </c>
      <c r="D833" s="49">
        <f t="shared" si="69"/>
        <v>2710</v>
      </c>
      <c r="E833" s="49">
        <f t="shared" si="69"/>
        <v>5420</v>
      </c>
      <c r="F833" s="51">
        <f t="shared" si="69"/>
        <v>10840</v>
      </c>
      <c r="G833" s="51">
        <f t="shared" si="69"/>
        <v>21680</v>
      </c>
      <c r="H833" s="50">
        <f>H831+1120</f>
        <v>43360</v>
      </c>
      <c r="I833" s="49">
        <f t="shared" si="65"/>
        <v>54200</v>
      </c>
      <c r="J833" s="49">
        <f t="shared" si="66"/>
        <v>65040</v>
      </c>
      <c r="L833" s="45">
        <f t="shared" si="64"/>
        <v>43360</v>
      </c>
      <c r="M833" s="92">
        <v>111.3</v>
      </c>
    </row>
    <row r="834" spans="1:13" ht="15" customHeight="1">
      <c r="A834" s="46"/>
      <c r="B834" s="92">
        <v>111.35</v>
      </c>
      <c r="C834" s="48">
        <f t="shared" si="69"/>
        <v>1372.5</v>
      </c>
      <c r="D834" s="48">
        <f t="shared" si="69"/>
        <v>2745</v>
      </c>
      <c r="E834" s="48">
        <f t="shared" si="69"/>
        <v>5490</v>
      </c>
      <c r="F834" s="48">
        <f t="shared" si="69"/>
        <v>10980</v>
      </c>
      <c r="G834" s="48">
        <f t="shared" si="69"/>
        <v>21960</v>
      </c>
      <c r="H834" s="47">
        <f>H833+((H835-H833)/2)</f>
        <v>43920</v>
      </c>
      <c r="I834" s="49">
        <f>E834*10</f>
        <v>54900</v>
      </c>
      <c r="J834" s="49">
        <f>E834*12</f>
        <v>65880</v>
      </c>
      <c r="L834" s="45">
        <f t="shared" si="64"/>
        <v>43920</v>
      </c>
      <c r="M834" s="92">
        <v>111.35</v>
      </c>
    </row>
    <row r="835" spans="1:13" ht="15" customHeight="1">
      <c r="A835" s="46"/>
      <c r="B835" s="92">
        <v>111.4</v>
      </c>
      <c r="C835" s="49">
        <f t="shared" si="69"/>
        <v>1390</v>
      </c>
      <c r="D835" s="49">
        <f t="shared" si="69"/>
        <v>2780</v>
      </c>
      <c r="E835" s="49">
        <f t="shared" si="69"/>
        <v>5560</v>
      </c>
      <c r="F835" s="51">
        <f t="shared" si="69"/>
        <v>11120</v>
      </c>
      <c r="G835" s="51">
        <f t="shared" si="69"/>
        <v>22240</v>
      </c>
      <c r="H835" s="50">
        <f>H833+1120</f>
        <v>44480</v>
      </c>
      <c r="I835" s="49">
        <f t="shared" si="65"/>
        <v>55600</v>
      </c>
      <c r="J835" s="49">
        <f t="shared" si="66"/>
        <v>66720</v>
      </c>
      <c r="L835" s="45">
        <f t="shared" si="64"/>
        <v>44480</v>
      </c>
      <c r="M835" s="92">
        <v>111.4</v>
      </c>
    </row>
    <row r="836" spans="1:13" ht="15" customHeight="1">
      <c r="A836" s="46"/>
      <c r="B836" s="92">
        <v>111.45</v>
      </c>
      <c r="C836" s="48">
        <f t="shared" si="69"/>
        <v>1407.5</v>
      </c>
      <c r="D836" s="48">
        <f t="shared" si="69"/>
        <v>2815</v>
      </c>
      <c r="E836" s="48">
        <f t="shared" si="69"/>
        <v>5630</v>
      </c>
      <c r="F836" s="48">
        <f t="shared" si="69"/>
        <v>11260</v>
      </c>
      <c r="G836" s="48">
        <f t="shared" si="69"/>
        <v>22520</v>
      </c>
      <c r="H836" s="47">
        <f>H835+((H837-H835)/2)</f>
        <v>45040</v>
      </c>
      <c r="I836" s="49">
        <f>E836*10</f>
        <v>56300</v>
      </c>
      <c r="J836" s="49">
        <f>E836*12</f>
        <v>67560</v>
      </c>
      <c r="L836" s="45">
        <f t="shared" si="64"/>
        <v>45040</v>
      </c>
      <c r="M836" s="92">
        <v>111.45</v>
      </c>
    </row>
    <row r="837" spans="1:13" ht="15" customHeight="1">
      <c r="A837" s="46"/>
      <c r="B837" s="92">
        <v>111.5</v>
      </c>
      <c r="C837" s="49">
        <f t="shared" si="69"/>
        <v>1425</v>
      </c>
      <c r="D837" s="49">
        <f t="shared" si="69"/>
        <v>2850</v>
      </c>
      <c r="E837" s="49">
        <f t="shared" si="69"/>
        <v>5700</v>
      </c>
      <c r="F837" s="51">
        <f t="shared" si="69"/>
        <v>11400</v>
      </c>
      <c r="G837" s="51">
        <f t="shared" si="69"/>
        <v>22800</v>
      </c>
      <c r="H837" s="50">
        <f>H835+1120</f>
        <v>45600</v>
      </c>
      <c r="I837" s="49">
        <f t="shared" si="65"/>
        <v>57000</v>
      </c>
      <c r="J837" s="49">
        <f t="shared" si="66"/>
        <v>68400</v>
      </c>
      <c r="L837" s="45">
        <f t="shared" si="64"/>
        <v>45600</v>
      </c>
      <c r="M837" s="92">
        <v>111.5</v>
      </c>
    </row>
    <row r="838" spans="1:13" ht="15" customHeight="1">
      <c r="A838" s="46"/>
      <c r="B838" s="92">
        <v>111.55</v>
      </c>
      <c r="C838" s="48">
        <f t="shared" si="69"/>
        <v>1442.5</v>
      </c>
      <c r="D838" s="48">
        <f t="shared" si="69"/>
        <v>2885</v>
      </c>
      <c r="E838" s="48">
        <f t="shared" si="69"/>
        <v>5770</v>
      </c>
      <c r="F838" s="48">
        <f t="shared" si="69"/>
        <v>11540</v>
      </c>
      <c r="G838" s="48">
        <f t="shared" si="69"/>
        <v>23080</v>
      </c>
      <c r="H838" s="47">
        <f>H837+((H839-H837)/2)</f>
        <v>46160</v>
      </c>
      <c r="I838" s="49">
        <f>E838*10</f>
        <v>57700</v>
      </c>
      <c r="J838" s="49">
        <f>E838*12</f>
        <v>69240</v>
      </c>
      <c r="L838" s="45">
        <f t="shared" si="64"/>
        <v>46160</v>
      </c>
      <c r="M838" s="92">
        <v>111.55</v>
      </c>
    </row>
    <row r="839" spans="1:13" ht="15" customHeight="1">
      <c r="A839" s="46"/>
      <c r="B839" s="92">
        <v>111.6</v>
      </c>
      <c r="C839" s="49">
        <f t="shared" si="69"/>
        <v>1460</v>
      </c>
      <c r="D839" s="49">
        <f t="shared" si="69"/>
        <v>2920</v>
      </c>
      <c r="E839" s="49">
        <f t="shared" si="69"/>
        <v>5840</v>
      </c>
      <c r="F839" s="51">
        <f t="shared" si="69"/>
        <v>11680</v>
      </c>
      <c r="G839" s="51">
        <f t="shared" si="69"/>
        <v>23360</v>
      </c>
      <c r="H839" s="50">
        <f>H837+1120</f>
        <v>46720</v>
      </c>
      <c r="I839" s="49">
        <f t="shared" si="65"/>
        <v>58400</v>
      </c>
      <c r="J839" s="49">
        <f t="shared" si="66"/>
        <v>70080</v>
      </c>
      <c r="L839" s="45">
        <f t="shared" si="64"/>
        <v>46720</v>
      </c>
      <c r="M839" s="92">
        <v>111.6</v>
      </c>
    </row>
    <row r="840" spans="1:13" ht="15" customHeight="1">
      <c r="A840" s="46"/>
      <c r="B840" s="92">
        <v>111.65</v>
      </c>
      <c r="C840" s="48">
        <f t="shared" si="69"/>
        <v>1477.5</v>
      </c>
      <c r="D840" s="48">
        <f t="shared" si="69"/>
        <v>2955</v>
      </c>
      <c r="E840" s="48">
        <f t="shared" si="69"/>
        <v>5910</v>
      </c>
      <c r="F840" s="48">
        <f t="shared" si="69"/>
        <v>11820</v>
      </c>
      <c r="G840" s="48">
        <f t="shared" si="69"/>
        <v>23640</v>
      </c>
      <c r="H840" s="47">
        <f>H839+((H841-H839)/2)</f>
        <v>47280</v>
      </c>
      <c r="I840" s="49">
        <f>E840*10</f>
        <v>59100</v>
      </c>
      <c r="J840" s="49">
        <f>E840*12</f>
        <v>70920</v>
      </c>
      <c r="L840" s="45">
        <f t="shared" ref="L840:L903" si="70">+H840</f>
        <v>47280</v>
      </c>
      <c r="M840" s="92">
        <v>111.65</v>
      </c>
    </row>
    <row r="841" spans="1:13" ht="15" customHeight="1">
      <c r="A841" s="46"/>
      <c r="B841" s="92">
        <v>111.7</v>
      </c>
      <c r="C841" s="49">
        <f t="shared" si="69"/>
        <v>1495</v>
      </c>
      <c r="D841" s="49">
        <f t="shared" si="69"/>
        <v>2990</v>
      </c>
      <c r="E841" s="49">
        <f t="shared" si="69"/>
        <v>5980</v>
      </c>
      <c r="F841" s="51">
        <f t="shared" si="69"/>
        <v>11960</v>
      </c>
      <c r="G841" s="51">
        <f t="shared" si="69"/>
        <v>23920</v>
      </c>
      <c r="H841" s="50">
        <f>H839+1120</f>
        <v>47840</v>
      </c>
      <c r="I841" s="49">
        <f t="shared" si="65"/>
        <v>59800</v>
      </c>
      <c r="J841" s="49">
        <f t="shared" si="66"/>
        <v>71760</v>
      </c>
      <c r="L841" s="45">
        <f t="shared" si="70"/>
        <v>47840</v>
      </c>
      <c r="M841" s="92">
        <v>111.7</v>
      </c>
    </row>
    <row r="842" spans="1:13" ht="15" customHeight="1">
      <c r="A842" s="46"/>
      <c r="B842" s="92">
        <v>111.75</v>
      </c>
      <c r="C842" s="48">
        <f t="shared" si="69"/>
        <v>1512.5</v>
      </c>
      <c r="D842" s="48">
        <f t="shared" si="69"/>
        <v>3025</v>
      </c>
      <c r="E842" s="48">
        <f t="shared" si="69"/>
        <v>6050</v>
      </c>
      <c r="F842" s="48">
        <f t="shared" si="69"/>
        <v>12100</v>
      </c>
      <c r="G842" s="48">
        <f t="shared" si="69"/>
        <v>24200</v>
      </c>
      <c r="H842" s="47">
        <f>H841+((H843-H841)/2)</f>
        <v>48400</v>
      </c>
      <c r="I842" s="49">
        <f>E842*10</f>
        <v>60500</v>
      </c>
      <c r="J842" s="49">
        <f>E842*12</f>
        <v>72600</v>
      </c>
      <c r="L842" s="45">
        <f t="shared" si="70"/>
        <v>48400</v>
      </c>
      <c r="M842" s="92">
        <v>111.75</v>
      </c>
    </row>
    <row r="843" spans="1:13" ht="15" customHeight="1">
      <c r="A843" s="46"/>
      <c r="B843" s="92">
        <v>111.8</v>
      </c>
      <c r="C843" s="49">
        <f t="shared" si="69"/>
        <v>1530</v>
      </c>
      <c r="D843" s="49">
        <f t="shared" si="69"/>
        <v>3060</v>
      </c>
      <c r="E843" s="49">
        <f t="shared" si="69"/>
        <v>6120</v>
      </c>
      <c r="F843" s="51">
        <f t="shared" si="69"/>
        <v>12240</v>
      </c>
      <c r="G843" s="51">
        <f t="shared" si="69"/>
        <v>24480</v>
      </c>
      <c r="H843" s="50">
        <f>H841+1120</f>
        <v>48960</v>
      </c>
      <c r="I843" s="49">
        <f t="shared" si="65"/>
        <v>61200</v>
      </c>
      <c r="J843" s="49">
        <f t="shared" si="66"/>
        <v>73440</v>
      </c>
      <c r="L843" s="45">
        <f t="shared" si="70"/>
        <v>48960</v>
      </c>
      <c r="M843" s="92">
        <v>111.8</v>
      </c>
    </row>
    <row r="844" spans="1:13" ht="15" customHeight="1">
      <c r="A844" s="46"/>
      <c r="B844" s="92">
        <v>111.85</v>
      </c>
      <c r="C844" s="48">
        <f t="shared" si="69"/>
        <v>1547.5</v>
      </c>
      <c r="D844" s="48">
        <f t="shared" si="69"/>
        <v>3095</v>
      </c>
      <c r="E844" s="48">
        <f t="shared" si="69"/>
        <v>6190</v>
      </c>
      <c r="F844" s="48">
        <f t="shared" si="69"/>
        <v>12380</v>
      </c>
      <c r="G844" s="48">
        <f t="shared" si="69"/>
        <v>24760</v>
      </c>
      <c r="H844" s="47">
        <f>H843+((H845-H843)/2)</f>
        <v>49520</v>
      </c>
      <c r="I844" s="49">
        <f>E844*10</f>
        <v>61900</v>
      </c>
      <c r="J844" s="49">
        <f>E844*12</f>
        <v>74280</v>
      </c>
      <c r="L844" s="45">
        <f t="shared" si="70"/>
        <v>49520</v>
      </c>
      <c r="M844" s="92">
        <v>111.85</v>
      </c>
    </row>
    <row r="845" spans="1:13" ht="15" customHeight="1">
      <c r="A845" s="46"/>
      <c r="B845" s="92">
        <v>111.9</v>
      </c>
      <c r="C845" s="49">
        <f t="shared" si="69"/>
        <v>1565</v>
      </c>
      <c r="D845" s="49">
        <f t="shared" si="69"/>
        <v>3130</v>
      </c>
      <c r="E845" s="49">
        <f t="shared" si="69"/>
        <v>6260</v>
      </c>
      <c r="F845" s="51">
        <f t="shared" si="69"/>
        <v>12520</v>
      </c>
      <c r="G845" s="51">
        <f t="shared" si="69"/>
        <v>25040</v>
      </c>
      <c r="H845" s="50">
        <f>H843+1120</f>
        <v>50080</v>
      </c>
      <c r="I845" s="49">
        <f t="shared" si="65"/>
        <v>62600</v>
      </c>
      <c r="J845" s="49">
        <f t="shared" si="66"/>
        <v>75120</v>
      </c>
      <c r="L845" s="45">
        <f t="shared" si="70"/>
        <v>50080</v>
      </c>
      <c r="M845" s="92">
        <v>111.9</v>
      </c>
    </row>
    <row r="846" spans="1:13" ht="15" customHeight="1">
      <c r="A846" s="46"/>
      <c r="B846" s="92">
        <v>111.95</v>
      </c>
      <c r="C846" s="48">
        <f>D846/2</f>
        <v>1582.5</v>
      </c>
      <c r="D846" s="48">
        <f>E846/2</f>
        <v>3165</v>
      </c>
      <c r="E846" s="48">
        <f>F846/2</f>
        <v>6330</v>
      </c>
      <c r="F846" s="48">
        <f>G846/2</f>
        <v>12660</v>
      </c>
      <c r="G846" s="48">
        <f>H846/2</f>
        <v>25320</v>
      </c>
      <c r="H846" s="47">
        <f>H845+((H847-H845)/2)</f>
        <v>50640</v>
      </c>
      <c r="I846" s="49">
        <f>E846*10</f>
        <v>63300</v>
      </c>
      <c r="J846" s="49">
        <f>E846*12</f>
        <v>75960</v>
      </c>
      <c r="L846" s="45">
        <f t="shared" si="70"/>
        <v>50640</v>
      </c>
      <c r="M846" s="92">
        <v>111.95</v>
      </c>
    </row>
    <row r="847" spans="1:13" ht="15" customHeight="1">
      <c r="A847" s="46"/>
      <c r="B847" s="92">
        <v>112</v>
      </c>
      <c r="C847" s="49">
        <f t="shared" ref="C847:G865" si="71">D847/2</f>
        <v>1600</v>
      </c>
      <c r="D847" s="49">
        <f t="shared" si="71"/>
        <v>3200</v>
      </c>
      <c r="E847" s="49">
        <f t="shared" si="71"/>
        <v>6400</v>
      </c>
      <c r="F847" s="51">
        <f t="shared" si="71"/>
        <v>12800</v>
      </c>
      <c r="G847" s="51">
        <f t="shared" si="71"/>
        <v>25600</v>
      </c>
      <c r="H847" s="50">
        <f>H787*2</f>
        <v>51200</v>
      </c>
      <c r="I847" s="49">
        <f t="shared" si="65"/>
        <v>64000</v>
      </c>
      <c r="J847" s="49">
        <f t="shared" si="66"/>
        <v>76800</v>
      </c>
      <c r="L847" s="45">
        <f t="shared" si="70"/>
        <v>51200</v>
      </c>
      <c r="M847" s="92">
        <v>112</v>
      </c>
    </row>
    <row r="848" spans="1:13" ht="15" customHeight="1">
      <c r="A848" s="46"/>
      <c r="B848" s="92">
        <v>112.05</v>
      </c>
      <c r="C848" s="48">
        <f t="shared" si="71"/>
        <v>1620</v>
      </c>
      <c r="D848" s="48">
        <f t="shared" si="71"/>
        <v>3240</v>
      </c>
      <c r="E848" s="48">
        <f t="shared" si="71"/>
        <v>6480</v>
      </c>
      <c r="F848" s="48">
        <f t="shared" si="71"/>
        <v>12960</v>
      </c>
      <c r="G848" s="48">
        <f t="shared" si="71"/>
        <v>25920</v>
      </c>
      <c r="H848" s="47">
        <f>H847+((H849-H847)/2)</f>
        <v>51840</v>
      </c>
      <c r="I848" s="49">
        <f>E848*10</f>
        <v>64800</v>
      </c>
      <c r="J848" s="49">
        <f>E848*12</f>
        <v>77760</v>
      </c>
      <c r="L848" s="45">
        <f t="shared" si="70"/>
        <v>51840</v>
      </c>
      <c r="M848" s="92">
        <v>112.05</v>
      </c>
    </row>
    <row r="849" spans="1:13" ht="15" customHeight="1">
      <c r="A849" s="46"/>
      <c r="B849" s="92">
        <v>112.1</v>
      </c>
      <c r="C849" s="49">
        <f t="shared" si="71"/>
        <v>1640</v>
      </c>
      <c r="D849" s="49">
        <f t="shared" si="71"/>
        <v>3280</v>
      </c>
      <c r="E849" s="49">
        <f t="shared" si="71"/>
        <v>6560</v>
      </c>
      <c r="F849" s="51">
        <f t="shared" si="71"/>
        <v>13120</v>
      </c>
      <c r="G849" s="51">
        <f t="shared" si="71"/>
        <v>26240</v>
      </c>
      <c r="H849" s="47">
        <f>H847+((H867-H847)/10)</f>
        <v>52480</v>
      </c>
      <c r="I849" s="49">
        <f t="shared" si="65"/>
        <v>65600</v>
      </c>
      <c r="J849" s="49">
        <f t="shared" si="66"/>
        <v>78720</v>
      </c>
      <c r="L849" s="45">
        <f t="shared" si="70"/>
        <v>52480</v>
      </c>
      <c r="M849" s="92">
        <v>112.1</v>
      </c>
    </row>
    <row r="850" spans="1:13" ht="15" customHeight="1">
      <c r="A850" s="46"/>
      <c r="B850" s="92">
        <v>112.15</v>
      </c>
      <c r="C850" s="48">
        <f t="shared" si="71"/>
        <v>1660</v>
      </c>
      <c r="D850" s="48">
        <f t="shared" si="71"/>
        <v>3320</v>
      </c>
      <c r="E850" s="48">
        <f t="shared" si="71"/>
        <v>6640</v>
      </c>
      <c r="F850" s="48">
        <f t="shared" si="71"/>
        <v>13280</v>
      </c>
      <c r="G850" s="48">
        <f t="shared" si="71"/>
        <v>26560</v>
      </c>
      <c r="H850" s="47">
        <f>H849+((H851-H849)/2)</f>
        <v>53120</v>
      </c>
      <c r="I850" s="49">
        <f>E850*10</f>
        <v>66400</v>
      </c>
      <c r="J850" s="49">
        <f>E850*12</f>
        <v>79680</v>
      </c>
      <c r="L850" s="45">
        <f t="shared" si="70"/>
        <v>53120</v>
      </c>
      <c r="M850" s="92">
        <v>112.15</v>
      </c>
    </row>
    <row r="851" spans="1:13" ht="15" customHeight="1">
      <c r="A851" s="46"/>
      <c r="B851" s="92">
        <v>112.2</v>
      </c>
      <c r="C851" s="49">
        <f t="shared" si="71"/>
        <v>1680</v>
      </c>
      <c r="D851" s="49">
        <f t="shared" si="71"/>
        <v>3360</v>
      </c>
      <c r="E851" s="49">
        <f t="shared" si="71"/>
        <v>6720</v>
      </c>
      <c r="F851" s="51">
        <f t="shared" si="71"/>
        <v>13440</v>
      </c>
      <c r="G851" s="51">
        <f t="shared" si="71"/>
        <v>26880</v>
      </c>
      <c r="H851" s="50">
        <f>H849+1280</f>
        <v>53760</v>
      </c>
      <c r="I851" s="49">
        <f t="shared" si="65"/>
        <v>67200</v>
      </c>
      <c r="J851" s="49">
        <f t="shared" si="66"/>
        <v>80640</v>
      </c>
      <c r="L851" s="45">
        <f t="shared" si="70"/>
        <v>53760</v>
      </c>
      <c r="M851" s="92">
        <v>112.2</v>
      </c>
    </row>
    <row r="852" spans="1:13" ht="15" customHeight="1">
      <c r="A852" s="46"/>
      <c r="B852" s="92">
        <v>112.25</v>
      </c>
      <c r="C852" s="48">
        <f t="shared" si="71"/>
        <v>1700</v>
      </c>
      <c r="D852" s="48">
        <f t="shared" si="71"/>
        <v>3400</v>
      </c>
      <c r="E852" s="48">
        <f t="shared" si="71"/>
        <v>6800</v>
      </c>
      <c r="F852" s="48">
        <f t="shared" si="71"/>
        <v>13600</v>
      </c>
      <c r="G852" s="48">
        <f t="shared" si="71"/>
        <v>27200</v>
      </c>
      <c r="H852" s="47">
        <f>H851+((H853-H851)/2)</f>
        <v>54400</v>
      </c>
      <c r="I852" s="49">
        <f>E852*10</f>
        <v>68000</v>
      </c>
      <c r="J852" s="49">
        <f>E852*12</f>
        <v>81600</v>
      </c>
      <c r="L852" s="45">
        <f t="shared" si="70"/>
        <v>54400</v>
      </c>
      <c r="M852" s="92">
        <v>112.25</v>
      </c>
    </row>
    <row r="853" spans="1:13" ht="15" customHeight="1">
      <c r="A853" s="46"/>
      <c r="B853" s="92">
        <v>112.3</v>
      </c>
      <c r="C853" s="49">
        <f t="shared" si="71"/>
        <v>1720</v>
      </c>
      <c r="D853" s="49">
        <f t="shared" si="71"/>
        <v>3440</v>
      </c>
      <c r="E853" s="49">
        <f t="shared" si="71"/>
        <v>6880</v>
      </c>
      <c r="F853" s="51">
        <f t="shared" si="71"/>
        <v>13760</v>
      </c>
      <c r="G853" s="51">
        <f t="shared" si="71"/>
        <v>27520</v>
      </c>
      <c r="H853" s="50">
        <f>H851+1280</f>
        <v>55040</v>
      </c>
      <c r="I853" s="49">
        <f t="shared" si="65"/>
        <v>68800</v>
      </c>
      <c r="J853" s="49">
        <f t="shared" si="66"/>
        <v>82560</v>
      </c>
      <c r="L853" s="45">
        <f t="shared" si="70"/>
        <v>55040</v>
      </c>
      <c r="M853" s="92">
        <v>112.3</v>
      </c>
    </row>
    <row r="854" spans="1:13" ht="15" customHeight="1">
      <c r="A854" s="46"/>
      <c r="B854" s="92">
        <v>112.35</v>
      </c>
      <c r="C854" s="48">
        <f t="shared" si="71"/>
        <v>1740</v>
      </c>
      <c r="D854" s="48">
        <f t="shared" si="71"/>
        <v>3480</v>
      </c>
      <c r="E854" s="48">
        <f t="shared" si="71"/>
        <v>6960</v>
      </c>
      <c r="F854" s="48">
        <f t="shared" si="71"/>
        <v>13920</v>
      </c>
      <c r="G854" s="48">
        <f t="shared" si="71"/>
        <v>27840</v>
      </c>
      <c r="H854" s="47">
        <f>H853+((H855-H853)/2)</f>
        <v>55680</v>
      </c>
      <c r="I854" s="49">
        <f>E854*10</f>
        <v>69600</v>
      </c>
      <c r="J854" s="49">
        <f>E854*12</f>
        <v>83520</v>
      </c>
      <c r="L854" s="45">
        <f t="shared" si="70"/>
        <v>55680</v>
      </c>
      <c r="M854" s="92">
        <v>112.35</v>
      </c>
    </row>
    <row r="855" spans="1:13" ht="15" customHeight="1">
      <c r="A855" s="46"/>
      <c r="B855" s="92">
        <v>112.4</v>
      </c>
      <c r="C855" s="49">
        <f t="shared" si="71"/>
        <v>1760</v>
      </c>
      <c r="D855" s="49">
        <f t="shared" si="71"/>
        <v>3520</v>
      </c>
      <c r="E855" s="49">
        <f t="shared" si="71"/>
        <v>7040</v>
      </c>
      <c r="F855" s="51">
        <f t="shared" si="71"/>
        <v>14080</v>
      </c>
      <c r="G855" s="51">
        <f t="shared" si="71"/>
        <v>28160</v>
      </c>
      <c r="H855" s="50">
        <f>H853+1280</f>
        <v>56320</v>
      </c>
      <c r="I855" s="49">
        <f t="shared" si="65"/>
        <v>70400</v>
      </c>
      <c r="J855" s="49">
        <f t="shared" si="66"/>
        <v>84480</v>
      </c>
      <c r="L855" s="45">
        <f t="shared" si="70"/>
        <v>56320</v>
      </c>
      <c r="M855" s="92">
        <v>112.4</v>
      </c>
    </row>
    <row r="856" spans="1:13" ht="15" customHeight="1">
      <c r="A856" s="46"/>
      <c r="B856" s="92">
        <v>112.45</v>
      </c>
      <c r="C856" s="48">
        <f t="shared" si="71"/>
        <v>1780</v>
      </c>
      <c r="D856" s="48">
        <f t="shared" si="71"/>
        <v>3560</v>
      </c>
      <c r="E856" s="48">
        <f t="shared" si="71"/>
        <v>7120</v>
      </c>
      <c r="F856" s="48">
        <f t="shared" si="71"/>
        <v>14240</v>
      </c>
      <c r="G856" s="48">
        <f t="shared" si="71"/>
        <v>28480</v>
      </c>
      <c r="H856" s="47">
        <f>H855+((H857-H855)/2)</f>
        <v>56960</v>
      </c>
      <c r="I856" s="49">
        <f>E856*10</f>
        <v>71200</v>
      </c>
      <c r="J856" s="49">
        <f>E856*12</f>
        <v>85440</v>
      </c>
      <c r="L856" s="45">
        <f t="shared" si="70"/>
        <v>56960</v>
      </c>
      <c r="M856" s="92">
        <v>112.45</v>
      </c>
    </row>
    <row r="857" spans="1:13" ht="15" customHeight="1">
      <c r="A857" s="46"/>
      <c r="B857" s="92">
        <v>112.5</v>
      </c>
      <c r="C857" s="49">
        <f t="shared" si="71"/>
        <v>1800</v>
      </c>
      <c r="D857" s="49">
        <f t="shared" si="71"/>
        <v>3600</v>
      </c>
      <c r="E857" s="49">
        <f t="shared" si="71"/>
        <v>7200</v>
      </c>
      <c r="F857" s="51">
        <f t="shared" si="71"/>
        <v>14400</v>
      </c>
      <c r="G857" s="51">
        <f t="shared" si="71"/>
        <v>28800</v>
      </c>
      <c r="H857" s="50">
        <f>H855+1280</f>
        <v>57600</v>
      </c>
      <c r="I857" s="49">
        <f t="shared" si="65"/>
        <v>72000</v>
      </c>
      <c r="J857" s="49">
        <f t="shared" si="66"/>
        <v>86400</v>
      </c>
      <c r="L857" s="45">
        <f t="shared" si="70"/>
        <v>57600</v>
      </c>
      <c r="M857" s="92">
        <v>112.5</v>
      </c>
    </row>
    <row r="858" spans="1:13" ht="15" customHeight="1">
      <c r="A858" s="46"/>
      <c r="B858" s="92">
        <v>112.55</v>
      </c>
      <c r="C858" s="48">
        <f t="shared" si="71"/>
        <v>1820</v>
      </c>
      <c r="D858" s="48">
        <f t="shared" si="71"/>
        <v>3640</v>
      </c>
      <c r="E858" s="48">
        <f t="shared" si="71"/>
        <v>7280</v>
      </c>
      <c r="F858" s="48">
        <f t="shared" si="71"/>
        <v>14560</v>
      </c>
      <c r="G858" s="48">
        <f t="shared" si="71"/>
        <v>29120</v>
      </c>
      <c r="H858" s="47">
        <f>H857+((H859-H857)/2)</f>
        <v>58240</v>
      </c>
      <c r="I858" s="49">
        <f>E858*10</f>
        <v>72800</v>
      </c>
      <c r="J858" s="49">
        <f>E858*12</f>
        <v>87360</v>
      </c>
      <c r="L858" s="45">
        <f t="shared" si="70"/>
        <v>58240</v>
      </c>
      <c r="M858" s="92">
        <v>112.55</v>
      </c>
    </row>
    <row r="859" spans="1:13" ht="15" customHeight="1">
      <c r="A859" s="46"/>
      <c r="B859" s="92">
        <v>112.6</v>
      </c>
      <c r="C859" s="49">
        <f t="shared" si="71"/>
        <v>1840</v>
      </c>
      <c r="D859" s="49">
        <f t="shared" si="71"/>
        <v>3680</v>
      </c>
      <c r="E859" s="49">
        <f t="shared" si="71"/>
        <v>7360</v>
      </c>
      <c r="F859" s="51">
        <f t="shared" si="71"/>
        <v>14720</v>
      </c>
      <c r="G859" s="51">
        <f t="shared" si="71"/>
        <v>29440</v>
      </c>
      <c r="H859" s="50">
        <f>H857+1280</f>
        <v>58880</v>
      </c>
      <c r="I859" s="49">
        <f t="shared" si="65"/>
        <v>73600</v>
      </c>
      <c r="J859" s="49">
        <f t="shared" si="66"/>
        <v>88320</v>
      </c>
      <c r="L859" s="45">
        <f t="shared" si="70"/>
        <v>58880</v>
      </c>
      <c r="M859" s="92">
        <v>112.6</v>
      </c>
    </row>
    <row r="860" spans="1:13" ht="15" customHeight="1">
      <c r="A860" s="46"/>
      <c r="B860" s="92">
        <v>112.65</v>
      </c>
      <c r="C860" s="48">
        <f t="shared" si="71"/>
        <v>1860</v>
      </c>
      <c r="D860" s="48">
        <f t="shared" si="71"/>
        <v>3720</v>
      </c>
      <c r="E860" s="48">
        <f t="shared" si="71"/>
        <v>7440</v>
      </c>
      <c r="F860" s="48">
        <f t="shared" si="71"/>
        <v>14880</v>
      </c>
      <c r="G860" s="48">
        <f t="shared" si="71"/>
        <v>29760</v>
      </c>
      <c r="H860" s="47">
        <f>H859+((H861-H859)/2)</f>
        <v>59520</v>
      </c>
      <c r="I860" s="49">
        <f>E860*10</f>
        <v>74400</v>
      </c>
      <c r="J860" s="49">
        <f>E860*12</f>
        <v>89280</v>
      </c>
      <c r="L860" s="45">
        <f t="shared" si="70"/>
        <v>59520</v>
      </c>
      <c r="M860" s="92">
        <v>112.65</v>
      </c>
    </row>
    <row r="861" spans="1:13" ht="15" customHeight="1">
      <c r="A861" s="46"/>
      <c r="B861" s="92">
        <v>112.7</v>
      </c>
      <c r="C861" s="49">
        <f t="shared" si="71"/>
        <v>1880</v>
      </c>
      <c r="D861" s="49">
        <f t="shared" si="71"/>
        <v>3760</v>
      </c>
      <c r="E861" s="49">
        <f t="shared" si="71"/>
        <v>7520</v>
      </c>
      <c r="F861" s="51">
        <f t="shared" si="71"/>
        <v>15040</v>
      </c>
      <c r="G861" s="51">
        <f t="shared" si="71"/>
        <v>30080</v>
      </c>
      <c r="H861" s="50">
        <f>H859+1280</f>
        <v>60160</v>
      </c>
      <c r="I861" s="49">
        <f t="shared" si="65"/>
        <v>75200</v>
      </c>
      <c r="J861" s="49">
        <f t="shared" si="66"/>
        <v>90240</v>
      </c>
      <c r="L861" s="45">
        <f t="shared" si="70"/>
        <v>60160</v>
      </c>
      <c r="M861" s="92">
        <v>112.7</v>
      </c>
    </row>
    <row r="862" spans="1:13" ht="15" customHeight="1">
      <c r="A862" s="46"/>
      <c r="B862" s="92">
        <v>112.75</v>
      </c>
      <c r="C862" s="48">
        <f t="shared" si="71"/>
        <v>1900</v>
      </c>
      <c r="D862" s="48">
        <f t="shared" si="71"/>
        <v>3800</v>
      </c>
      <c r="E862" s="48">
        <f t="shared" si="71"/>
        <v>7600</v>
      </c>
      <c r="F862" s="48">
        <f t="shared" si="71"/>
        <v>15200</v>
      </c>
      <c r="G862" s="48">
        <f t="shared" si="71"/>
        <v>30400</v>
      </c>
      <c r="H862" s="47">
        <f>H861+((H863-H861)/2)</f>
        <v>60800</v>
      </c>
      <c r="I862" s="49">
        <f>E862*10</f>
        <v>76000</v>
      </c>
      <c r="J862" s="49">
        <f>E862*12</f>
        <v>91200</v>
      </c>
      <c r="L862" s="45">
        <f t="shared" si="70"/>
        <v>60800</v>
      </c>
      <c r="M862" s="92">
        <v>112.75</v>
      </c>
    </row>
    <row r="863" spans="1:13" ht="15" customHeight="1">
      <c r="A863" s="46"/>
      <c r="B863" s="92">
        <v>112.8</v>
      </c>
      <c r="C863" s="49">
        <f t="shared" si="71"/>
        <v>1920</v>
      </c>
      <c r="D863" s="49">
        <f t="shared" si="71"/>
        <v>3840</v>
      </c>
      <c r="E863" s="49">
        <f t="shared" si="71"/>
        <v>7680</v>
      </c>
      <c r="F863" s="51">
        <f t="shared" si="71"/>
        <v>15360</v>
      </c>
      <c r="G863" s="51">
        <f t="shared" si="71"/>
        <v>30720</v>
      </c>
      <c r="H863" s="50">
        <f>H861+1280</f>
        <v>61440</v>
      </c>
      <c r="I863" s="49">
        <f t="shared" si="65"/>
        <v>76800</v>
      </c>
      <c r="J863" s="49">
        <f t="shared" si="66"/>
        <v>92160</v>
      </c>
      <c r="L863" s="45">
        <f t="shared" si="70"/>
        <v>61440</v>
      </c>
      <c r="M863" s="92">
        <v>112.8</v>
      </c>
    </row>
    <row r="864" spans="1:13" ht="15" customHeight="1">
      <c r="A864" s="46"/>
      <c r="B864" s="92">
        <v>112.85</v>
      </c>
      <c r="C864" s="48">
        <f t="shared" si="71"/>
        <v>1940</v>
      </c>
      <c r="D864" s="48">
        <f t="shared" si="71"/>
        <v>3880</v>
      </c>
      <c r="E864" s="48">
        <f t="shared" si="71"/>
        <v>7760</v>
      </c>
      <c r="F864" s="48">
        <f t="shared" si="71"/>
        <v>15520</v>
      </c>
      <c r="G864" s="48">
        <f t="shared" si="71"/>
        <v>31040</v>
      </c>
      <c r="H864" s="47">
        <f>H863+((H865-H863)/2)</f>
        <v>62080</v>
      </c>
      <c r="I864" s="49">
        <f>E864*10</f>
        <v>77600</v>
      </c>
      <c r="J864" s="49">
        <f>E864*12</f>
        <v>93120</v>
      </c>
      <c r="L864" s="45">
        <f t="shared" si="70"/>
        <v>62080</v>
      </c>
      <c r="M864" s="92">
        <v>112.85</v>
      </c>
    </row>
    <row r="865" spans="1:13" ht="15" customHeight="1">
      <c r="A865" s="46"/>
      <c r="B865" s="92">
        <v>112.9</v>
      </c>
      <c r="C865" s="49">
        <f t="shared" si="71"/>
        <v>1960</v>
      </c>
      <c r="D865" s="49">
        <f t="shared" si="71"/>
        <v>3920</v>
      </c>
      <c r="E865" s="49">
        <f t="shared" si="71"/>
        <v>7840</v>
      </c>
      <c r="F865" s="51">
        <f t="shared" si="71"/>
        <v>15680</v>
      </c>
      <c r="G865" s="51">
        <f t="shared" si="71"/>
        <v>31360</v>
      </c>
      <c r="H865" s="50">
        <f>H863+1280</f>
        <v>62720</v>
      </c>
      <c r="I865" s="49">
        <f t="shared" si="65"/>
        <v>78400</v>
      </c>
      <c r="J865" s="49">
        <f t="shared" si="66"/>
        <v>94080</v>
      </c>
      <c r="L865" s="45">
        <f t="shared" si="70"/>
        <v>62720</v>
      </c>
      <c r="M865" s="92">
        <v>112.9</v>
      </c>
    </row>
    <row r="866" spans="1:13" ht="15" customHeight="1">
      <c r="A866" s="46"/>
      <c r="B866" s="92">
        <v>112.95</v>
      </c>
      <c r="C866" s="48">
        <f>D866/2</f>
        <v>1980</v>
      </c>
      <c r="D866" s="48">
        <f>E866/2</f>
        <v>3960</v>
      </c>
      <c r="E866" s="48">
        <f>F866/2</f>
        <v>7920</v>
      </c>
      <c r="F866" s="48">
        <f>G866/2</f>
        <v>15840</v>
      </c>
      <c r="G866" s="48">
        <f>H866/2</f>
        <v>31680</v>
      </c>
      <c r="H866" s="47">
        <f>H865+((H867-H865)/2)</f>
        <v>63360</v>
      </c>
      <c r="I866" s="49">
        <f>E866*10</f>
        <v>79200</v>
      </c>
      <c r="J866" s="49">
        <f>E866*12</f>
        <v>95040</v>
      </c>
      <c r="L866" s="45">
        <f t="shared" si="70"/>
        <v>63360</v>
      </c>
      <c r="M866" s="92">
        <v>112.95</v>
      </c>
    </row>
    <row r="867" spans="1:13" ht="15" customHeight="1">
      <c r="A867" s="46"/>
      <c r="B867" s="92">
        <v>113</v>
      </c>
      <c r="C867" s="49">
        <f t="shared" ref="C867:G885" si="72">D867/2</f>
        <v>2000</v>
      </c>
      <c r="D867" s="49">
        <f t="shared" si="72"/>
        <v>4000</v>
      </c>
      <c r="E867" s="49">
        <f t="shared" si="72"/>
        <v>8000</v>
      </c>
      <c r="F867" s="51">
        <f t="shared" si="72"/>
        <v>16000</v>
      </c>
      <c r="G867" s="51">
        <f t="shared" si="72"/>
        <v>32000</v>
      </c>
      <c r="H867" s="50">
        <f>H807*2</f>
        <v>64000</v>
      </c>
      <c r="I867" s="49">
        <f t="shared" si="65"/>
        <v>80000</v>
      </c>
      <c r="J867" s="49">
        <f t="shared" si="66"/>
        <v>96000</v>
      </c>
      <c r="L867" s="45">
        <f t="shared" si="70"/>
        <v>64000</v>
      </c>
      <c r="M867" s="92">
        <v>113</v>
      </c>
    </row>
    <row r="868" spans="1:13" ht="15" customHeight="1">
      <c r="A868" s="46"/>
      <c r="B868" s="92">
        <v>113.05</v>
      </c>
      <c r="C868" s="48">
        <f t="shared" si="72"/>
        <v>2025</v>
      </c>
      <c r="D868" s="48">
        <f t="shared" si="72"/>
        <v>4050</v>
      </c>
      <c r="E868" s="48">
        <f t="shared" si="72"/>
        <v>8100</v>
      </c>
      <c r="F868" s="48">
        <f t="shared" si="72"/>
        <v>16200</v>
      </c>
      <c r="G868" s="48">
        <f t="shared" si="72"/>
        <v>32400</v>
      </c>
      <c r="H868" s="47">
        <f>H867+((H869-H867)/2)</f>
        <v>64800</v>
      </c>
      <c r="I868" s="49">
        <f>E868*10</f>
        <v>81000</v>
      </c>
      <c r="J868" s="49">
        <f>E868*12</f>
        <v>97200</v>
      </c>
      <c r="L868" s="45">
        <f t="shared" si="70"/>
        <v>64800</v>
      </c>
      <c r="M868" s="92">
        <v>113.05</v>
      </c>
    </row>
    <row r="869" spans="1:13" ht="15" customHeight="1">
      <c r="A869" s="46"/>
      <c r="B869" s="92">
        <v>113.1</v>
      </c>
      <c r="C869" s="49">
        <f t="shared" si="72"/>
        <v>2050</v>
      </c>
      <c r="D869" s="49">
        <f t="shared" si="72"/>
        <v>4100</v>
      </c>
      <c r="E869" s="49">
        <f t="shared" si="72"/>
        <v>8200</v>
      </c>
      <c r="F869" s="51">
        <f t="shared" si="72"/>
        <v>16400</v>
      </c>
      <c r="G869" s="51">
        <f t="shared" si="72"/>
        <v>32800</v>
      </c>
      <c r="H869" s="47">
        <f>H867+((H887-H867)/10)</f>
        <v>65600</v>
      </c>
      <c r="I869" s="49">
        <f t="shared" si="65"/>
        <v>82000</v>
      </c>
      <c r="J869" s="49">
        <f t="shared" si="66"/>
        <v>98400</v>
      </c>
      <c r="L869" s="45">
        <f t="shared" si="70"/>
        <v>65600</v>
      </c>
      <c r="M869" s="92">
        <v>113.1</v>
      </c>
    </row>
    <row r="870" spans="1:13" ht="15" customHeight="1">
      <c r="A870" s="46"/>
      <c r="B870" s="92">
        <v>113.15</v>
      </c>
      <c r="C870" s="48">
        <f t="shared" si="72"/>
        <v>2075</v>
      </c>
      <c r="D870" s="48">
        <f t="shared" si="72"/>
        <v>4150</v>
      </c>
      <c r="E870" s="48">
        <f t="shared" si="72"/>
        <v>8300</v>
      </c>
      <c r="F870" s="48">
        <f t="shared" si="72"/>
        <v>16600</v>
      </c>
      <c r="G870" s="48">
        <f t="shared" si="72"/>
        <v>33200</v>
      </c>
      <c r="H870" s="47">
        <f>H869+((H871-H869)/2)</f>
        <v>66400</v>
      </c>
      <c r="I870" s="49">
        <f>E870*10</f>
        <v>83000</v>
      </c>
      <c r="J870" s="49">
        <f>E870*12</f>
        <v>99600</v>
      </c>
      <c r="L870" s="45">
        <f t="shared" si="70"/>
        <v>66400</v>
      </c>
      <c r="M870" s="92">
        <v>113.15</v>
      </c>
    </row>
    <row r="871" spans="1:13" ht="15" customHeight="1">
      <c r="A871" s="46"/>
      <c r="B871" s="92">
        <v>113.2</v>
      </c>
      <c r="C871" s="49">
        <f t="shared" si="72"/>
        <v>2100</v>
      </c>
      <c r="D871" s="49">
        <f t="shared" si="72"/>
        <v>4200</v>
      </c>
      <c r="E871" s="49">
        <f t="shared" si="72"/>
        <v>8400</v>
      </c>
      <c r="F871" s="51">
        <f t="shared" si="72"/>
        <v>16800</v>
      </c>
      <c r="G871" s="51">
        <f t="shared" si="72"/>
        <v>33600</v>
      </c>
      <c r="H871" s="50">
        <f>H869+1600</f>
        <v>67200</v>
      </c>
      <c r="I871" s="49">
        <f t="shared" si="65"/>
        <v>84000</v>
      </c>
      <c r="J871" s="49">
        <f t="shared" si="66"/>
        <v>100800</v>
      </c>
      <c r="L871" s="45">
        <f t="shared" si="70"/>
        <v>67200</v>
      </c>
      <c r="M871" s="92">
        <v>113.2</v>
      </c>
    </row>
    <row r="872" spans="1:13" ht="15" customHeight="1">
      <c r="A872" s="46"/>
      <c r="B872" s="92">
        <v>113.25</v>
      </c>
      <c r="C872" s="48">
        <f t="shared" si="72"/>
        <v>2125</v>
      </c>
      <c r="D872" s="48">
        <f t="shared" si="72"/>
        <v>4250</v>
      </c>
      <c r="E872" s="48">
        <f t="shared" si="72"/>
        <v>8500</v>
      </c>
      <c r="F872" s="48">
        <f t="shared" si="72"/>
        <v>17000</v>
      </c>
      <c r="G872" s="48">
        <f t="shared" si="72"/>
        <v>34000</v>
      </c>
      <c r="H872" s="47">
        <f>H871+((H873-H871)/2)</f>
        <v>68000</v>
      </c>
      <c r="I872" s="49">
        <f>E872*10</f>
        <v>85000</v>
      </c>
      <c r="J872" s="49">
        <f>E872*12</f>
        <v>102000</v>
      </c>
      <c r="L872" s="45">
        <f t="shared" si="70"/>
        <v>68000</v>
      </c>
      <c r="M872" s="92">
        <v>113.25</v>
      </c>
    </row>
    <row r="873" spans="1:13" ht="15" customHeight="1">
      <c r="A873" s="46"/>
      <c r="B873" s="92">
        <v>113.3</v>
      </c>
      <c r="C873" s="49">
        <f t="shared" si="72"/>
        <v>2150</v>
      </c>
      <c r="D873" s="49">
        <f t="shared" si="72"/>
        <v>4300</v>
      </c>
      <c r="E873" s="49">
        <f t="shared" si="72"/>
        <v>8600</v>
      </c>
      <c r="F873" s="51">
        <f t="shared" si="72"/>
        <v>17200</v>
      </c>
      <c r="G873" s="51">
        <f t="shared" si="72"/>
        <v>34400</v>
      </c>
      <c r="H873" s="50">
        <f>H871+1600</f>
        <v>68800</v>
      </c>
      <c r="I873" s="49">
        <f t="shared" si="65"/>
        <v>86000</v>
      </c>
      <c r="J873" s="49">
        <f t="shared" si="66"/>
        <v>103200</v>
      </c>
      <c r="L873" s="45">
        <f t="shared" si="70"/>
        <v>68800</v>
      </c>
      <c r="M873" s="92">
        <v>113.3</v>
      </c>
    </row>
    <row r="874" spans="1:13" ht="15" customHeight="1">
      <c r="A874" s="46"/>
      <c r="B874" s="92">
        <v>113.35</v>
      </c>
      <c r="C874" s="48">
        <f t="shared" si="72"/>
        <v>2175</v>
      </c>
      <c r="D874" s="48">
        <f t="shared" si="72"/>
        <v>4350</v>
      </c>
      <c r="E874" s="48">
        <f t="shared" si="72"/>
        <v>8700</v>
      </c>
      <c r="F874" s="48">
        <f t="shared" si="72"/>
        <v>17400</v>
      </c>
      <c r="G874" s="48">
        <f t="shared" si="72"/>
        <v>34800</v>
      </c>
      <c r="H874" s="47">
        <f>H873+((H875-H873)/2)</f>
        <v>69600</v>
      </c>
      <c r="I874" s="49">
        <f>E874*10</f>
        <v>87000</v>
      </c>
      <c r="J874" s="49">
        <f>E874*12</f>
        <v>104400</v>
      </c>
      <c r="L874" s="45">
        <f t="shared" si="70"/>
        <v>69600</v>
      </c>
      <c r="M874" s="92">
        <v>113.35</v>
      </c>
    </row>
    <row r="875" spans="1:13" ht="15" customHeight="1">
      <c r="A875" s="46"/>
      <c r="B875" s="92">
        <v>113.4</v>
      </c>
      <c r="C875" s="49">
        <f t="shared" si="72"/>
        <v>2200</v>
      </c>
      <c r="D875" s="49">
        <f t="shared" si="72"/>
        <v>4400</v>
      </c>
      <c r="E875" s="49">
        <f t="shared" si="72"/>
        <v>8800</v>
      </c>
      <c r="F875" s="51">
        <f t="shared" si="72"/>
        <v>17600</v>
      </c>
      <c r="G875" s="51">
        <f t="shared" si="72"/>
        <v>35200</v>
      </c>
      <c r="H875" s="50">
        <f>H873+1600</f>
        <v>70400</v>
      </c>
      <c r="I875" s="49">
        <f t="shared" si="65"/>
        <v>88000</v>
      </c>
      <c r="J875" s="49">
        <f t="shared" si="66"/>
        <v>105600</v>
      </c>
      <c r="L875" s="45">
        <f t="shared" si="70"/>
        <v>70400</v>
      </c>
      <c r="M875" s="92">
        <v>113.4</v>
      </c>
    </row>
    <row r="876" spans="1:13" ht="15" customHeight="1">
      <c r="A876" s="46"/>
      <c r="B876" s="92">
        <v>113.45</v>
      </c>
      <c r="C876" s="48">
        <f t="shared" si="72"/>
        <v>2225</v>
      </c>
      <c r="D876" s="48">
        <f t="shared" si="72"/>
        <v>4450</v>
      </c>
      <c r="E876" s="48">
        <f t="shared" si="72"/>
        <v>8900</v>
      </c>
      <c r="F876" s="48">
        <f t="shared" si="72"/>
        <v>17800</v>
      </c>
      <c r="G876" s="48">
        <f t="shared" si="72"/>
        <v>35600</v>
      </c>
      <c r="H876" s="47">
        <f>H875+((H877-H875)/2)</f>
        <v>71200</v>
      </c>
      <c r="I876" s="49">
        <f>E876*10</f>
        <v>89000</v>
      </c>
      <c r="J876" s="49">
        <f>E876*12</f>
        <v>106800</v>
      </c>
      <c r="L876" s="45">
        <f t="shared" si="70"/>
        <v>71200</v>
      </c>
      <c r="M876" s="92">
        <v>113.45</v>
      </c>
    </row>
    <row r="877" spans="1:13" ht="15" customHeight="1">
      <c r="A877" s="46"/>
      <c r="B877" s="92">
        <v>113.5</v>
      </c>
      <c r="C877" s="49">
        <f t="shared" si="72"/>
        <v>2250</v>
      </c>
      <c r="D877" s="49">
        <f t="shared" si="72"/>
        <v>4500</v>
      </c>
      <c r="E877" s="49">
        <f t="shared" si="72"/>
        <v>9000</v>
      </c>
      <c r="F877" s="51">
        <f t="shared" si="72"/>
        <v>18000</v>
      </c>
      <c r="G877" s="51">
        <f t="shared" si="72"/>
        <v>36000</v>
      </c>
      <c r="H877" s="50">
        <f>H875+1600</f>
        <v>72000</v>
      </c>
      <c r="I877" s="49">
        <f t="shared" si="65"/>
        <v>90000</v>
      </c>
      <c r="J877" s="49">
        <f t="shared" si="66"/>
        <v>108000</v>
      </c>
      <c r="L877" s="45">
        <f t="shared" si="70"/>
        <v>72000</v>
      </c>
      <c r="M877" s="92">
        <v>113.5</v>
      </c>
    </row>
    <row r="878" spans="1:13" ht="15" customHeight="1">
      <c r="A878" s="46"/>
      <c r="B878" s="92">
        <v>113.55</v>
      </c>
      <c r="C878" s="48">
        <f t="shared" si="72"/>
        <v>2275</v>
      </c>
      <c r="D878" s="48">
        <f t="shared" si="72"/>
        <v>4550</v>
      </c>
      <c r="E878" s="48">
        <f t="shared" si="72"/>
        <v>9100</v>
      </c>
      <c r="F878" s="48">
        <f t="shared" si="72"/>
        <v>18200</v>
      </c>
      <c r="G878" s="48">
        <f t="shared" si="72"/>
        <v>36400</v>
      </c>
      <c r="H878" s="47">
        <f>H877+((H879-H877)/2)</f>
        <v>72800</v>
      </c>
      <c r="I878" s="49">
        <f>E878*10</f>
        <v>91000</v>
      </c>
      <c r="J878" s="49">
        <f>E878*12</f>
        <v>109200</v>
      </c>
      <c r="L878" s="45">
        <f t="shared" si="70"/>
        <v>72800</v>
      </c>
      <c r="M878" s="92">
        <v>113.55</v>
      </c>
    </row>
    <row r="879" spans="1:13" ht="15" customHeight="1">
      <c r="A879" s="46"/>
      <c r="B879" s="92">
        <v>113.6</v>
      </c>
      <c r="C879" s="49">
        <f t="shared" si="72"/>
        <v>2300</v>
      </c>
      <c r="D879" s="49">
        <f t="shared" si="72"/>
        <v>4600</v>
      </c>
      <c r="E879" s="49">
        <f t="shared" si="72"/>
        <v>9200</v>
      </c>
      <c r="F879" s="51">
        <f t="shared" si="72"/>
        <v>18400</v>
      </c>
      <c r="G879" s="51">
        <f t="shared" si="72"/>
        <v>36800</v>
      </c>
      <c r="H879" s="50">
        <f>H877+1600</f>
        <v>73600</v>
      </c>
      <c r="I879" s="49">
        <f t="shared" si="65"/>
        <v>92000</v>
      </c>
      <c r="J879" s="49">
        <f t="shared" si="66"/>
        <v>110400</v>
      </c>
      <c r="L879" s="45">
        <f t="shared" si="70"/>
        <v>73600</v>
      </c>
      <c r="M879" s="92">
        <v>113.6</v>
      </c>
    </row>
    <row r="880" spans="1:13" ht="15" customHeight="1">
      <c r="A880" s="46"/>
      <c r="B880" s="92">
        <v>113.65</v>
      </c>
      <c r="C880" s="48">
        <f t="shared" si="72"/>
        <v>2325</v>
      </c>
      <c r="D880" s="48">
        <f t="shared" si="72"/>
        <v>4650</v>
      </c>
      <c r="E880" s="48">
        <f t="shared" si="72"/>
        <v>9300</v>
      </c>
      <c r="F880" s="48">
        <f t="shared" si="72"/>
        <v>18600</v>
      </c>
      <c r="G880" s="48">
        <f t="shared" si="72"/>
        <v>37200</v>
      </c>
      <c r="H880" s="47">
        <f>H879+((H881-H879)/2)</f>
        <v>74400</v>
      </c>
      <c r="I880" s="49">
        <f>E880*10</f>
        <v>93000</v>
      </c>
      <c r="J880" s="49">
        <f>E880*12</f>
        <v>111600</v>
      </c>
      <c r="L880" s="45">
        <f t="shared" si="70"/>
        <v>74400</v>
      </c>
      <c r="M880" s="92">
        <v>113.65</v>
      </c>
    </row>
    <row r="881" spans="1:13" ht="15" customHeight="1">
      <c r="A881" s="46"/>
      <c r="B881" s="92">
        <v>113.7</v>
      </c>
      <c r="C881" s="49">
        <f t="shared" si="72"/>
        <v>2350</v>
      </c>
      <c r="D881" s="49">
        <f t="shared" si="72"/>
        <v>4700</v>
      </c>
      <c r="E881" s="49">
        <f t="shared" si="72"/>
        <v>9400</v>
      </c>
      <c r="F881" s="51">
        <f t="shared" si="72"/>
        <v>18800</v>
      </c>
      <c r="G881" s="51">
        <f t="shared" si="72"/>
        <v>37600</v>
      </c>
      <c r="H881" s="50">
        <f>H879+1600</f>
        <v>75200</v>
      </c>
      <c r="I881" s="49">
        <f t="shared" si="65"/>
        <v>94000</v>
      </c>
      <c r="J881" s="49">
        <f t="shared" si="66"/>
        <v>112800</v>
      </c>
      <c r="L881" s="45">
        <f t="shared" si="70"/>
        <v>75200</v>
      </c>
      <c r="M881" s="92">
        <v>113.7</v>
      </c>
    </row>
    <row r="882" spans="1:13" ht="15" customHeight="1">
      <c r="A882" s="46"/>
      <c r="B882" s="92">
        <v>113.75</v>
      </c>
      <c r="C882" s="48">
        <f t="shared" si="72"/>
        <v>2375</v>
      </c>
      <c r="D882" s="48">
        <f t="shared" si="72"/>
        <v>4750</v>
      </c>
      <c r="E882" s="48">
        <f t="shared" si="72"/>
        <v>9500</v>
      </c>
      <c r="F882" s="48">
        <f t="shared" si="72"/>
        <v>19000</v>
      </c>
      <c r="G882" s="48">
        <f t="shared" si="72"/>
        <v>38000</v>
      </c>
      <c r="H882" s="47">
        <f>H881+((H883-H881)/2)</f>
        <v>76000</v>
      </c>
      <c r="I882" s="49">
        <f>E882*10</f>
        <v>95000</v>
      </c>
      <c r="J882" s="49">
        <f>E882*12</f>
        <v>114000</v>
      </c>
      <c r="L882" s="45">
        <f t="shared" si="70"/>
        <v>76000</v>
      </c>
      <c r="M882" s="92">
        <v>113.75</v>
      </c>
    </row>
    <row r="883" spans="1:13" ht="15" customHeight="1">
      <c r="A883" s="46"/>
      <c r="B883" s="92">
        <v>113.8</v>
      </c>
      <c r="C883" s="49">
        <f t="shared" si="72"/>
        <v>2400</v>
      </c>
      <c r="D883" s="49">
        <f t="shared" si="72"/>
        <v>4800</v>
      </c>
      <c r="E883" s="49">
        <f t="shared" si="72"/>
        <v>9600</v>
      </c>
      <c r="F883" s="51">
        <f t="shared" si="72"/>
        <v>19200</v>
      </c>
      <c r="G883" s="51">
        <f t="shared" si="72"/>
        <v>38400</v>
      </c>
      <c r="H883" s="50">
        <f>H881+1600</f>
        <v>76800</v>
      </c>
      <c r="I883" s="49">
        <f t="shared" si="65"/>
        <v>96000</v>
      </c>
      <c r="J883" s="49">
        <f t="shared" si="66"/>
        <v>115200</v>
      </c>
      <c r="L883" s="45">
        <f t="shared" si="70"/>
        <v>76800</v>
      </c>
      <c r="M883" s="92">
        <v>113.8</v>
      </c>
    </row>
    <row r="884" spans="1:13" ht="15" customHeight="1">
      <c r="A884" s="46"/>
      <c r="B884" s="92">
        <v>113.85</v>
      </c>
      <c r="C884" s="48">
        <f t="shared" si="72"/>
        <v>2425</v>
      </c>
      <c r="D884" s="48">
        <f t="shared" si="72"/>
        <v>4850</v>
      </c>
      <c r="E884" s="48">
        <f t="shared" si="72"/>
        <v>9700</v>
      </c>
      <c r="F884" s="48">
        <f t="shared" si="72"/>
        <v>19400</v>
      </c>
      <c r="G884" s="48">
        <f t="shared" si="72"/>
        <v>38800</v>
      </c>
      <c r="H884" s="47">
        <f>H883+((H885-H883)/2)</f>
        <v>77600</v>
      </c>
      <c r="I884" s="49">
        <f>E884*10</f>
        <v>97000</v>
      </c>
      <c r="J884" s="49">
        <f>E884*12</f>
        <v>116400</v>
      </c>
      <c r="L884" s="45">
        <f t="shared" si="70"/>
        <v>77600</v>
      </c>
      <c r="M884" s="92">
        <v>113.85</v>
      </c>
    </row>
    <row r="885" spans="1:13" ht="15" customHeight="1">
      <c r="A885" s="46"/>
      <c r="B885" s="92">
        <v>113.9</v>
      </c>
      <c r="C885" s="49">
        <f t="shared" si="72"/>
        <v>2450</v>
      </c>
      <c r="D885" s="49">
        <f t="shared" si="72"/>
        <v>4900</v>
      </c>
      <c r="E885" s="49">
        <f t="shared" si="72"/>
        <v>9800</v>
      </c>
      <c r="F885" s="51">
        <f t="shared" si="72"/>
        <v>19600</v>
      </c>
      <c r="G885" s="51">
        <f t="shared" si="72"/>
        <v>39200</v>
      </c>
      <c r="H885" s="50">
        <f>H883+1600</f>
        <v>78400</v>
      </c>
      <c r="I885" s="49">
        <f t="shared" si="65"/>
        <v>98000</v>
      </c>
      <c r="J885" s="49">
        <f t="shared" si="66"/>
        <v>117600</v>
      </c>
      <c r="L885" s="45">
        <f t="shared" si="70"/>
        <v>78400</v>
      </c>
      <c r="M885" s="92">
        <v>113.9</v>
      </c>
    </row>
    <row r="886" spans="1:13" ht="15" customHeight="1">
      <c r="A886" s="46"/>
      <c r="B886" s="92">
        <v>113.95</v>
      </c>
      <c r="C886" s="48">
        <f>D886/2</f>
        <v>2475</v>
      </c>
      <c r="D886" s="48">
        <f>E886/2</f>
        <v>4950</v>
      </c>
      <c r="E886" s="48">
        <f>F886/2</f>
        <v>9900</v>
      </c>
      <c r="F886" s="48">
        <f>G886/2</f>
        <v>19800</v>
      </c>
      <c r="G886" s="48">
        <f>H886/2</f>
        <v>39600</v>
      </c>
      <c r="H886" s="47">
        <f>H885+((H887-H885)/2)</f>
        <v>79200</v>
      </c>
      <c r="I886" s="49">
        <f>E886*10</f>
        <v>99000</v>
      </c>
      <c r="J886" s="49">
        <f>E886*12</f>
        <v>118800</v>
      </c>
      <c r="L886" s="45">
        <f t="shared" si="70"/>
        <v>79200</v>
      </c>
      <c r="M886" s="92">
        <v>113.95</v>
      </c>
    </row>
    <row r="887" spans="1:13" ht="15" customHeight="1">
      <c r="A887" s="46"/>
      <c r="B887" s="92">
        <v>114</v>
      </c>
      <c r="C887" s="49">
        <f t="shared" ref="C887:G905" si="73">D887/2</f>
        <v>2500</v>
      </c>
      <c r="D887" s="49">
        <f t="shared" si="73"/>
        <v>5000</v>
      </c>
      <c r="E887" s="51">
        <f t="shared" si="73"/>
        <v>10000</v>
      </c>
      <c r="F887" s="51">
        <f t="shared" si="73"/>
        <v>20000</v>
      </c>
      <c r="G887" s="51">
        <f t="shared" si="73"/>
        <v>40000</v>
      </c>
      <c r="H887" s="50">
        <f>H827*2</f>
        <v>80000</v>
      </c>
      <c r="I887" s="49">
        <f t="shared" si="65"/>
        <v>100000</v>
      </c>
      <c r="J887" s="49">
        <f t="shared" si="66"/>
        <v>120000</v>
      </c>
      <c r="L887" s="45">
        <f t="shared" si="70"/>
        <v>80000</v>
      </c>
      <c r="M887" s="92">
        <v>114</v>
      </c>
    </row>
    <row r="888" spans="1:13" ht="15" customHeight="1">
      <c r="A888" s="46"/>
      <c r="B888" s="92">
        <v>114.05</v>
      </c>
      <c r="C888" s="48">
        <f t="shared" si="73"/>
        <v>2535</v>
      </c>
      <c r="D888" s="48">
        <f t="shared" si="73"/>
        <v>5070</v>
      </c>
      <c r="E888" s="48">
        <f t="shared" si="73"/>
        <v>10140</v>
      </c>
      <c r="F888" s="48">
        <f t="shared" si="73"/>
        <v>20280</v>
      </c>
      <c r="G888" s="48">
        <f t="shared" si="73"/>
        <v>40560</v>
      </c>
      <c r="H888" s="47">
        <f>H887+((H889-H887)/2)</f>
        <v>81120</v>
      </c>
      <c r="I888" s="49">
        <f>E888*10</f>
        <v>101400</v>
      </c>
      <c r="J888" s="49">
        <f>E888*12</f>
        <v>121680</v>
      </c>
      <c r="L888" s="45">
        <f t="shared" si="70"/>
        <v>81120</v>
      </c>
      <c r="M888" s="92">
        <v>114.05</v>
      </c>
    </row>
    <row r="889" spans="1:13" ht="15" customHeight="1">
      <c r="A889" s="46"/>
      <c r="B889" s="92">
        <v>114.1</v>
      </c>
      <c r="C889" s="49">
        <f t="shared" si="73"/>
        <v>2570</v>
      </c>
      <c r="D889" s="49">
        <f t="shared" si="73"/>
        <v>5140</v>
      </c>
      <c r="E889" s="51">
        <f t="shared" si="73"/>
        <v>10280</v>
      </c>
      <c r="F889" s="51">
        <f t="shared" si="73"/>
        <v>20560</v>
      </c>
      <c r="G889" s="51">
        <f t="shared" si="73"/>
        <v>41120</v>
      </c>
      <c r="H889" s="47">
        <f>H887+((H907-H887)/10)</f>
        <v>82240</v>
      </c>
      <c r="I889" s="49">
        <f t="shared" si="65"/>
        <v>102800</v>
      </c>
      <c r="J889" s="49">
        <f t="shared" si="66"/>
        <v>123360</v>
      </c>
      <c r="L889" s="45">
        <f t="shared" si="70"/>
        <v>82240</v>
      </c>
      <c r="M889" s="92">
        <v>114.1</v>
      </c>
    </row>
    <row r="890" spans="1:13" ht="15" customHeight="1">
      <c r="A890" s="46"/>
      <c r="B890" s="92">
        <v>114.15</v>
      </c>
      <c r="C890" s="48">
        <f t="shared" si="73"/>
        <v>2605</v>
      </c>
      <c r="D890" s="48">
        <f t="shared" si="73"/>
        <v>5210</v>
      </c>
      <c r="E890" s="48">
        <f t="shared" si="73"/>
        <v>10420</v>
      </c>
      <c r="F890" s="48">
        <f t="shared" si="73"/>
        <v>20840</v>
      </c>
      <c r="G890" s="48">
        <f t="shared" si="73"/>
        <v>41680</v>
      </c>
      <c r="H890" s="47">
        <f>H889+((H891-H889)/2)</f>
        <v>83360</v>
      </c>
      <c r="I890" s="49">
        <f>E890*10</f>
        <v>104200</v>
      </c>
      <c r="J890" s="49">
        <f>E890*12</f>
        <v>125040</v>
      </c>
      <c r="L890" s="45">
        <f t="shared" si="70"/>
        <v>83360</v>
      </c>
      <c r="M890" s="92">
        <v>114.15</v>
      </c>
    </row>
    <row r="891" spans="1:13" ht="15" customHeight="1">
      <c r="A891" s="46"/>
      <c r="B891" s="92">
        <v>114.2</v>
      </c>
      <c r="C891" s="49">
        <f t="shared" si="73"/>
        <v>2640</v>
      </c>
      <c r="D891" s="49">
        <f t="shared" si="73"/>
        <v>5280</v>
      </c>
      <c r="E891" s="51">
        <f t="shared" si="73"/>
        <v>10560</v>
      </c>
      <c r="F891" s="51">
        <f t="shared" si="73"/>
        <v>21120</v>
      </c>
      <c r="G891" s="51">
        <f t="shared" si="73"/>
        <v>42240</v>
      </c>
      <c r="H891" s="50">
        <f>H889+2240</f>
        <v>84480</v>
      </c>
      <c r="I891" s="49">
        <f t="shared" si="65"/>
        <v>105600</v>
      </c>
      <c r="J891" s="49">
        <f t="shared" si="66"/>
        <v>126720</v>
      </c>
      <c r="L891" s="45">
        <f t="shared" si="70"/>
        <v>84480</v>
      </c>
      <c r="M891" s="92">
        <v>114.2</v>
      </c>
    </row>
    <row r="892" spans="1:13" ht="15" customHeight="1">
      <c r="A892" s="46"/>
      <c r="B892" s="92">
        <v>114.25</v>
      </c>
      <c r="C892" s="48">
        <f t="shared" si="73"/>
        <v>2675</v>
      </c>
      <c r="D892" s="48">
        <f t="shared" si="73"/>
        <v>5350</v>
      </c>
      <c r="E892" s="48">
        <f t="shared" si="73"/>
        <v>10700</v>
      </c>
      <c r="F892" s="48">
        <f t="shared" si="73"/>
        <v>21400</v>
      </c>
      <c r="G892" s="48">
        <f t="shared" si="73"/>
        <v>42800</v>
      </c>
      <c r="H892" s="47">
        <f>H891+((H893-H891)/2)</f>
        <v>85600</v>
      </c>
      <c r="I892" s="49">
        <f>E892*10</f>
        <v>107000</v>
      </c>
      <c r="J892" s="49">
        <f>E892*12</f>
        <v>128400</v>
      </c>
      <c r="L892" s="45">
        <f t="shared" si="70"/>
        <v>85600</v>
      </c>
      <c r="M892" s="92">
        <v>114.25</v>
      </c>
    </row>
    <row r="893" spans="1:13" ht="15" customHeight="1">
      <c r="A893" s="46"/>
      <c r="B893" s="92">
        <v>114.3</v>
      </c>
      <c r="C893" s="49">
        <f t="shared" si="73"/>
        <v>2710</v>
      </c>
      <c r="D893" s="49">
        <f t="shared" si="73"/>
        <v>5420</v>
      </c>
      <c r="E893" s="51">
        <f t="shared" si="73"/>
        <v>10840</v>
      </c>
      <c r="F893" s="51">
        <f t="shared" si="73"/>
        <v>21680</v>
      </c>
      <c r="G893" s="51">
        <f t="shared" si="73"/>
        <v>43360</v>
      </c>
      <c r="H893" s="50">
        <f>H891+2240</f>
        <v>86720</v>
      </c>
      <c r="I893" s="49">
        <f t="shared" si="65"/>
        <v>108400</v>
      </c>
      <c r="J893" s="49">
        <f t="shared" si="66"/>
        <v>130080</v>
      </c>
      <c r="L893" s="45">
        <f t="shared" si="70"/>
        <v>86720</v>
      </c>
      <c r="M893" s="92">
        <v>114.3</v>
      </c>
    </row>
    <row r="894" spans="1:13" ht="15" customHeight="1">
      <c r="A894" s="46"/>
      <c r="B894" s="92">
        <v>114.35</v>
      </c>
      <c r="C894" s="48">
        <f t="shared" si="73"/>
        <v>2745</v>
      </c>
      <c r="D894" s="48">
        <f t="shared" si="73"/>
        <v>5490</v>
      </c>
      <c r="E894" s="48">
        <f t="shared" si="73"/>
        <v>10980</v>
      </c>
      <c r="F894" s="48">
        <f t="shared" si="73"/>
        <v>21960</v>
      </c>
      <c r="G894" s="48">
        <f t="shared" si="73"/>
        <v>43920</v>
      </c>
      <c r="H894" s="47">
        <f>H893+((H895-H893)/2)</f>
        <v>87840</v>
      </c>
      <c r="I894" s="49">
        <f>E894*10</f>
        <v>109800</v>
      </c>
      <c r="J894" s="49">
        <f>E894*12</f>
        <v>131760</v>
      </c>
      <c r="L894" s="45">
        <f t="shared" si="70"/>
        <v>87840</v>
      </c>
      <c r="M894" s="92">
        <v>114.35</v>
      </c>
    </row>
    <row r="895" spans="1:13" ht="15" customHeight="1">
      <c r="A895" s="46"/>
      <c r="B895" s="92">
        <v>114.4</v>
      </c>
      <c r="C895" s="49">
        <f t="shared" si="73"/>
        <v>2780</v>
      </c>
      <c r="D895" s="49">
        <f t="shared" si="73"/>
        <v>5560</v>
      </c>
      <c r="E895" s="51">
        <f t="shared" si="73"/>
        <v>11120</v>
      </c>
      <c r="F895" s="51">
        <f t="shared" si="73"/>
        <v>22240</v>
      </c>
      <c r="G895" s="51">
        <f t="shared" si="73"/>
        <v>44480</v>
      </c>
      <c r="H895" s="50">
        <f>H893+2240</f>
        <v>88960</v>
      </c>
      <c r="I895" s="49">
        <f t="shared" si="65"/>
        <v>111200</v>
      </c>
      <c r="J895" s="49">
        <f t="shared" si="66"/>
        <v>133440</v>
      </c>
      <c r="L895" s="45">
        <f t="shared" si="70"/>
        <v>88960</v>
      </c>
      <c r="M895" s="92">
        <v>114.4</v>
      </c>
    </row>
    <row r="896" spans="1:13" ht="15" customHeight="1">
      <c r="A896" s="46"/>
      <c r="B896" s="92">
        <v>114.45</v>
      </c>
      <c r="C896" s="48">
        <f t="shared" si="73"/>
        <v>2815</v>
      </c>
      <c r="D896" s="48">
        <f t="shared" si="73"/>
        <v>5630</v>
      </c>
      <c r="E896" s="48">
        <f t="shared" si="73"/>
        <v>11260</v>
      </c>
      <c r="F896" s="48">
        <f t="shared" si="73"/>
        <v>22520</v>
      </c>
      <c r="G896" s="48">
        <f t="shared" si="73"/>
        <v>45040</v>
      </c>
      <c r="H896" s="47">
        <f>H895+((H897-H895)/2)</f>
        <v>90080</v>
      </c>
      <c r="I896" s="49">
        <f>E896*10</f>
        <v>112600</v>
      </c>
      <c r="J896" s="49">
        <f>E896*12</f>
        <v>135120</v>
      </c>
      <c r="L896" s="45">
        <f t="shared" si="70"/>
        <v>90080</v>
      </c>
      <c r="M896" s="92">
        <v>114.45</v>
      </c>
    </row>
    <row r="897" spans="1:13" ht="15" customHeight="1">
      <c r="A897" s="46"/>
      <c r="B897" s="92">
        <v>114.5</v>
      </c>
      <c r="C897" s="49">
        <f t="shared" si="73"/>
        <v>2850</v>
      </c>
      <c r="D897" s="49">
        <f t="shared" si="73"/>
        <v>5700</v>
      </c>
      <c r="E897" s="51">
        <f t="shared" si="73"/>
        <v>11400</v>
      </c>
      <c r="F897" s="51">
        <f t="shared" si="73"/>
        <v>22800</v>
      </c>
      <c r="G897" s="51">
        <f t="shared" si="73"/>
        <v>45600</v>
      </c>
      <c r="H897" s="50">
        <f>H895+2240</f>
        <v>91200</v>
      </c>
      <c r="I897" s="49">
        <f t="shared" si="65"/>
        <v>114000</v>
      </c>
      <c r="J897" s="49">
        <f t="shared" si="66"/>
        <v>136800</v>
      </c>
      <c r="L897" s="45">
        <f t="shared" si="70"/>
        <v>91200</v>
      </c>
      <c r="M897" s="92">
        <v>114.5</v>
      </c>
    </row>
    <row r="898" spans="1:13" ht="15" customHeight="1">
      <c r="A898" s="46"/>
      <c r="B898" s="92">
        <v>114.55</v>
      </c>
      <c r="C898" s="48">
        <f t="shared" si="73"/>
        <v>2885</v>
      </c>
      <c r="D898" s="48">
        <f t="shared" si="73"/>
        <v>5770</v>
      </c>
      <c r="E898" s="48">
        <f t="shared" si="73"/>
        <v>11540</v>
      </c>
      <c r="F898" s="48">
        <f t="shared" si="73"/>
        <v>23080</v>
      </c>
      <c r="G898" s="48">
        <f t="shared" si="73"/>
        <v>46160</v>
      </c>
      <c r="H898" s="47">
        <f>H897+((H899-H897)/2)</f>
        <v>92320</v>
      </c>
      <c r="I898" s="49">
        <f>E898*10</f>
        <v>115400</v>
      </c>
      <c r="J898" s="49">
        <f>E898*12</f>
        <v>138480</v>
      </c>
      <c r="L898" s="45">
        <f t="shared" si="70"/>
        <v>92320</v>
      </c>
      <c r="M898" s="92">
        <v>114.55</v>
      </c>
    </row>
    <row r="899" spans="1:13" ht="15" customHeight="1">
      <c r="A899" s="46"/>
      <c r="B899" s="92">
        <v>114.6</v>
      </c>
      <c r="C899" s="49">
        <f t="shared" si="73"/>
        <v>2920</v>
      </c>
      <c r="D899" s="49">
        <f t="shared" si="73"/>
        <v>5840</v>
      </c>
      <c r="E899" s="51">
        <f t="shared" si="73"/>
        <v>11680</v>
      </c>
      <c r="F899" s="51">
        <f t="shared" si="73"/>
        <v>23360</v>
      </c>
      <c r="G899" s="51">
        <f t="shared" si="73"/>
        <v>46720</v>
      </c>
      <c r="H899" s="50">
        <f>H897+2240</f>
        <v>93440</v>
      </c>
      <c r="I899" s="49">
        <f t="shared" si="65"/>
        <v>116800</v>
      </c>
      <c r="J899" s="49">
        <f t="shared" si="66"/>
        <v>140160</v>
      </c>
      <c r="L899" s="45">
        <f t="shared" si="70"/>
        <v>93440</v>
      </c>
      <c r="M899" s="92">
        <v>114.6</v>
      </c>
    </row>
    <row r="900" spans="1:13" ht="15" customHeight="1">
      <c r="A900" s="46"/>
      <c r="B900" s="92">
        <v>114.65</v>
      </c>
      <c r="C900" s="48">
        <f t="shared" si="73"/>
        <v>2955</v>
      </c>
      <c r="D900" s="48">
        <f t="shared" si="73"/>
        <v>5910</v>
      </c>
      <c r="E900" s="48">
        <f t="shared" si="73"/>
        <v>11820</v>
      </c>
      <c r="F900" s="48">
        <f t="shared" si="73"/>
        <v>23640</v>
      </c>
      <c r="G900" s="48">
        <f t="shared" si="73"/>
        <v>47280</v>
      </c>
      <c r="H900" s="47">
        <f>H899+((H901-H899)/2)</f>
        <v>94560</v>
      </c>
      <c r="I900" s="49">
        <f>E900*10</f>
        <v>118200</v>
      </c>
      <c r="J900" s="49">
        <f>E900*12</f>
        <v>141840</v>
      </c>
      <c r="L900" s="45">
        <f t="shared" si="70"/>
        <v>94560</v>
      </c>
      <c r="M900" s="92">
        <v>114.65</v>
      </c>
    </row>
    <row r="901" spans="1:13" ht="15" customHeight="1">
      <c r="A901" s="46"/>
      <c r="B901" s="92">
        <v>114.7</v>
      </c>
      <c r="C901" s="49">
        <f t="shared" si="73"/>
        <v>2990</v>
      </c>
      <c r="D901" s="49">
        <f t="shared" si="73"/>
        <v>5980</v>
      </c>
      <c r="E901" s="51">
        <f t="shared" si="73"/>
        <v>11960</v>
      </c>
      <c r="F901" s="51">
        <f t="shared" si="73"/>
        <v>23920</v>
      </c>
      <c r="G901" s="51">
        <f t="shared" si="73"/>
        <v>47840</v>
      </c>
      <c r="H901" s="50">
        <f>H899+2240</f>
        <v>95680</v>
      </c>
      <c r="I901" s="49">
        <f t="shared" si="65"/>
        <v>119600</v>
      </c>
      <c r="J901" s="49">
        <f t="shared" si="66"/>
        <v>143520</v>
      </c>
      <c r="L901" s="45">
        <f t="shared" si="70"/>
        <v>95680</v>
      </c>
      <c r="M901" s="92">
        <v>114.7</v>
      </c>
    </row>
    <row r="902" spans="1:13" ht="15" customHeight="1">
      <c r="A902" s="46"/>
      <c r="B902" s="92">
        <v>114.75</v>
      </c>
      <c r="C902" s="48">
        <f t="shared" si="73"/>
        <v>3025</v>
      </c>
      <c r="D902" s="48">
        <f t="shared" si="73"/>
        <v>6050</v>
      </c>
      <c r="E902" s="48">
        <f t="shared" si="73"/>
        <v>12100</v>
      </c>
      <c r="F902" s="48">
        <f t="shared" si="73"/>
        <v>24200</v>
      </c>
      <c r="G902" s="48">
        <f t="shared" si="73"/>
        <v>48400</v>
      </c>
      <c r="H902" s="47">
        <f>H901+((H903-H901)/2)</f>
        <v>96800</v>
      </c>
      <c r="I902" s="49">
        <f>E902*10</f>
        <v>121000</v>
      </c>
      <c r="J902" s="49">
        <f>E902*12</f>
        <v>145200</v>
      </c>
      <c r="L902" s="45">
        <f t="shared" si="70"/>
        <v>96800</v>
      </c>
      <c r="M902" s="92">
        <v>114.75</v>
      </c>
    </row>
    <row r="903" spans="1:13" ht="15" customHeight="1">
      <c r="A903" s="46"/>
      <c r="B903" s="92">
        <v>114.8</v>
      </c>
      <c r="C903" s="49">
        <f t="shared" si="73"/>
        <v>3060</v>
      </c>
      <c r="D903" s="49">
        <f t="shared" si="73"/>
        <v>6120</v>
      </c>
      <c r="E903" s="51">
        <f t="shared" si="73"/>
        <v>12240</v>
      </c>
      <c r="F903" s="51">
        <f t="shared" si="73"/>
        <v>24480</v>
      </c>
      <c r="G903" s="51">
        <f t="shared" si="73"/>
        <v>48960</v>
      </c>
      <c r="H903" s="50">
        <f>H901+2240</f>
        <v>97920</v>
      </c>
      <c r="I903" s="49">
        <f t="shared" si="65"/>
        <v>122400</v>
      </c>
      <c r="J903" s="49">
        <f t="shared" si="66"/>
        <v>146880</v>
      </c>
      <c r="L903" s="45">
        <f t="shared" si="70"/>
        <v>97920</v>
      </c>
      <c r="M903" s="92">
        <v>114.8</v>
      </c>
    </row>
    <row r="904" spans="1:13" ht="15" customHeight="1">
      <c r="A904" s="46"/>
      <c r="B904" s="92">
        <v>114.85</v>
      </c>
      <c r="C904" s="48">
        <f t="shared" si="73"/>
        <v>3095</v>
      </c>
      <c r="D904" s="48">
        <f t="shared" si="73"/>
        <v>6190</v>
      </c>
      <c r="E904" s="48">
        <f t="shared" si="73"/>
        <v>12380</v>
      </c>
      <c r="F904" s="48">
        <f t="shared" si="73"/>
        <v>24760</v>
      </c>
      <c r="G904" s="48">
        <f t="shared" si="73"/>
        <v>49520</v>
      </c>
      <c r="H904" s="47">
        <f>H903+((H905-H903)/2)</f>
        <v>99040</v>
      </c>
      <c r="I904" s="49">
        <f>E904*10</f>
        <v>123800</v>
      </c>
      <c r="J904" s="49">
        <f>E904*12</f>
        <v>148560</v>
      </c>
      <c r="L904" s="45">
        <f t="shared" ref="L904:L967" si="74">+H904</f>
        <v>99040</v>
      </c>
      <c r="M904" s="92">
        <v>114.85</v>
      </c>
    </row>
    <row r="905" spans="1:13" ht="15" customHeight="1">
      <c r="A905" s="46"/>
      <c r="B905" s="92">
        <v>114.9</v>
      </c>
      <c r="C905" s="49">
        <f t="shared" si="73"/>
        <v>3130</v>
      </c>
      <c r="D905" s="49">
        <f t="shared" si="73"/>
        <v>6260</v>
      </c>
      <c r="E905" s="51">
        <f t="shared" si="73"/>
        <v>12520</v>
      </c>
      <c r="F905" s="51">
        <f t="shared" si="73"/>
        <v>25040</v>
      </c>
      <c r="G905" s="51">
        <f t="shared" si="73"/>
        <v>50080</v>
      </c>
      <c r="H905" s="50">
        <f>H903+2240</f>
        <v>100160</v>
      </c>
      <c r="I905" s="49">
        <f t="shared" ref="I905:I1005" si="75">E905*10</f>
        <v>125200</v>
      </c>
      <c r="J905" s="49">
        <f t="shared" ref="J905:J1005" si="76">E905*12</f>
        <v>150240</v>
      </c>
      <c r="L905" s="45">
        <f t="shared" si="74"/>
        <v>100160</v>
      </c>
      <c r="M905" s="92">
        <v>114.9</v>
      </c>
    </row>
    <row r="906" spans="1:13" ht="15" customHeight="1">
      <c r="A906" s="46"/>
      <c r="B906" s="92">
        <v>114.95</v>
      </c>
      <c r="C906" s="48">
        <f>D906/2</f>
        <v>3165</v>
      </c>
      <c r="D906" s="48">
        <f>E906/2</f>
        <v>6330</v>
      </c>
      <c r="E906" s="48">
        <f>F906/2</f>
        <v>12660</v>
      </c>
      <c r="F906" s="48">
        <f>G906/2</f>
        <v>25320</v>
      </c>
      <c r="G906" s="48">
        <f>H906/2</f>
        <v>50640</v>
      </c>
      <c r="H906" s="47">
        <f>H905+((H907-H905)/2)</f>
        <v>101280</v>
      </c>
      <c r="I906" s="49">
        <f>E906*10</f>
        <v>126600</v>
      </c>
      <c r="J906" s="49">
        <f>E906*12</f>
        <v>151920</v>
      </c>
      <c r="L906" s="45">
        <f t="shared" si="74"/>
        <v>101280</v>
      </c>
      <c r="M906" s="92">
        <v>114.95</v>
      </c>
    </row>
    <row r="907" spans="1:13" ht="15" customHeight="1">
      <c r="A907" s="46"/>
      <c r="B907" s="92">
        <v>115</v>
      </c>
      <c r="C907" s="49">
        <f t="shared" ref="C907:G925" si="77">D907/2</f>
        <v>3200</v>
      </c>
      <c r="D907" s="49">
        <f t="shared" si="77"/>
        <v>6400</v>
      </c>
      <c r="E907" s="51">
        <f t="shared" si="77"/>
        <v>12800</v>
      </c>
      <c r="F907" s="51">
        <f t="shared" si="77"/>
        <v>25600</v>
      </c>
      <c r="G907" s="51">
        <f t="shared" si="77"/>
        <v>51200</v>
      </c>
      <c r="H907" s="50">
        <f>H847*2</f>
        <v>102400</v>
      </c>
      <c r="I907" s="49">
        <f t="shared" si="75"/>
        <v>128000</v>
      </c>
      <c r="J907" s="49">
        <f t="shared" si="76"/>
        <v>153600</v>
      </c>
      <c r="L907" s="45">
        <f t="shared" si="74"/>
        <v>102400</v>
      </c>
      <c r="M907" s="92">
        <v>115</v>
      </c>
    </row>
    <row r="908" spans="1:13" ht="15" customHeight="1">
      <c r="A908" s="46"/>
      <c r="B908" s="92">
        <v>115.05</v>
      </c>
      <c r="C908" s="48">
        <f t="shared" si="77"/>
        <v>3240</v>
      </c>
      <c r="D908" s="48">
        <f t="shared" si="77"/>
        <v>6480</v>
      </c>
      <c r="E908" s="48">
        <f t="shared" si="77"/>
        <v>12960</v>
      </c>
      <c r="F908" s="48">
        <f t="shared" si="77"/>
        <v>25920</v>
      </c>
      <c r="G908" s="48">
        <f t="shared" si="77"/>
        <v>51840</v>
      </c>
      <c r="H908" s="47">
        <f>H907+((H909-H907)/2)</f>
        <v>103680</v>
      </c>
      <c r="I908" s="49">
        <f>E908*10</f>
        <v>129600</v>
      </c>
      <c r="J908" s="49">
        <f>E908*12</f>
        <v>155520</v>
      </c>
      <c r="L908" s="45">
        <f t="shared" si="74"/>
        <v>103680</v>
      </c>
      <c r="M908" s="92">
        <v>115.05</v>
      </c>
    </row>
    <row r="909" spans="1:13" ht="15" customHeight="1">
      <c r="A909" s="46"/>
      <c r="B909" s="92">
        <v>115.1</v>
      </c>
      <c r="C909" s="49">
        <f t="shared" si="77"/>
        <v>3280</v>
      </c>
      <c r="D909" s="49">
        <f t="shared" si="77"/>
        <v>6560</v>
      </c>
      <c r="E909" s="51">
        <f t="shared" si="77"/>
        <v>13120</v>
      </c>
      <c r="F909" s="51">
        <f t="shared" si="77"/>
        <v>26240</v>
      </c>
      <c r="G909" s="51">
        <f t="shared" si="77"/>
        <v>52480</v>
      </c>
      <c r="H909" s="47">
        <f>H907+((H927-H907)/10)</f>
        <v>104960</v>
      </c>
      <c r="I909" s="49">
        <f t="shared" si="75"/>
        <v>131200</v>
      </c>
      <c r="J909" s="49">
        <f t="shared" si="76"/>
        <v>157440</v>
      </c>
      <c r="L909" s="45">
        <f t="shared" si="74"/>
        <v>104960</v>
      </c>
      <c r="M909" s="92">
        <v>115.1</v>
      </c>
    </row>
    <row r="910" spans="1:13" ht="15" customHeight="1">
      <c r="A910" s="46"/>
      <c r="B910" s="92">
        <v>115.15</v>
      </c>
      <c r="C910" s="48">
        <f t="shared" si="77"/>
        <v>3320</v>
      </c>
      <c r="D910" s="48">
        <f t="shared" si="77"/>
        <v>6640</v>
      </c>
      <c r="E910" s="48">
        <f t="shared" si="77"/>
        <v>13280</v>
      </c>
      <c r="F910" s="48">
        <f t="shared" si="77"/>
        <v>26560</v>
      </c>
      <c r="G910" s="48">
        <f t="shared" si="77"/>
        <v>53120</v>
      </c>
      <c r="H910" s="47">
        <f>H909+((H911-H909)/2)</f>
        <v>106240</v>
      </c>
      <c r="I910" s="49">
        <f>E910*10</f>
        <v>132800</v>
      </c>
      <c r="J910" s="49">
        <f>E910*12</f>
        <v>159360</v>
      </c>
      <c r="L910" s="45">
        <f t="shared" si="74"/>
        <v>106240</v>
      </c>
      <c r="M910" s="92">
        <v>115.15</v>
      </c>
    </row>
    <row r="911" spans="1:13" ht="15" customHeight="1">
      <c r="A911" s="46"/>
      <c r="B911" s="92">
        <v>115.2</v>
      </c>
      <c r="C911" s="49">
        <f t="shared" si="77"/>
        <v>3360</v>
      </c>
      <c r="D911" s="49">
        <f t="shared" si="77"/>
        <v>6720</v>
      </c>
      <c r="E911" s="51">
        <f t="shared" si="77"/>
        <v>13440</v>
      </c>
      <c r="F911" s="51">
        <f t="shared" si="77"/>
        <v>26880</v>
      </c>
      <c r="G911" s="51">
        <f t="shared" si="77"/>
        <v>53760</v>
      </c>
      <c r="H911" s="50">
        <f>H909+2560</f>
        <v>107520</v>
      </c>
      <c r="I911" s="49">
        <f t="shared" si="75"/>
        <v>134400</v>
      </c>
      <c r="J911" s="49">
        <f t="shared" si="76"/>
        <v>161280</v>
      </c>
      <c r="L911" s="45">
        <f t="shared" si="74"/>
        <v>107520</v>
      </c>
      <c r="M911" s="92">
        <v>115.2</v>
      </c>
    </row>
    <row r="912" spans="1:13" ht="15" customHeight="1">
      <c r="A912" s="46"/>
      <c r="B912" s="92">
        <v>115.25</v>
      </c>
      <c r="C912" s="48">
        <f t="shared" si="77"/>
        <v>3400</v>
      </c>
      <c r="D912" s="48">
        <f t="shared" si="77"/>
        <v>6800</v>
      </c>
      <c r="E912" s="48">
        <f t="shared" si="77"/>
        <v>13600</v>
      </c>
      <c r="F912" s="48">
        <f t="shared" si="77"/>
        <v>27200</v>
      </c>
      <c r="G912" s="48">
        <f t="shared" si="77"/>
        <v>54400</v>
      </c>
      <c r="H912" s="47">
        <f>H911+((H913-H911)/2)</f>
        <v>108800</v>
      </c>
      <c r="I912" s="49">
        <f>E912*10</f>
        <v>136000</v>
      </c>
      <c r="J912" s="49">
        <f>E912*12</f>
        <v>163200</v>
      </c>
      <c r="L912" s="45">
        <f t="shared" si="74"/>
        <v>108800</v>
      </c>
      <c r="M912" s="92">
        <v>115.25</v>
      </c>
    </row>
    <row r="913" spans="1:13" ht="15" customHeight="1">
      <c r="A913" s="46"/>
      <c r="B913" s="92">
        <v>115.3</v>
      </c>
      <c r="C913" s="49">
        <f t="shared" si="77"/>
        <v>3440</v>
      </c>
      <c r="D913" s="49">
        <f t="shared" si="77"/>
        <v>6880</v>
      </c>
      <c r="E913" s="51">
        <f t="shared" si="77"/>
        <v>13760</v>
      </c>
      <c r="F913" s="51">
        <f t="shared" si="77"/>
        <v>27520</v>
      </c>
      <c r="G913" s="51">
        <f t="shared" si="77"/>
        <v>55040</v>
      </c>
      <c r="H913" s="50">
        <f>H911+2560</f>
        <v>110080</v>
      </c>
      <c r="I913" s="49">
        <f t="shared" si="75"/>
        <v>137600</v>
      </c>
      <c r="J913" s="49">
        <f t="shared" si="76"/>
        <v>165120</v>
      </c>
      <c r="L913" s="45">
        <f t="shared" si="74"/>
        <v>110080</v>
      </c>
      <c r="M913" s="92">
        <v>115.3</v>
      </c>
    </row>
    <row r="914" spans="1:13" ht="15" customHeight="1">
      <c r="A914" s="46"/>
      <c r="B914" s="92">
        <v>115.35</v>
      </c>
      <c r="C914" s="48">
        <f t="shared" si="77"/>
        <v>3480</v>
      </c>
      <c r="D914" s="48">
        <f t="shared" si="77"/>
        <v>6960</v>
      </c>
      <c r="E914" s="48">
        <f t="shared" si="77"/>
        <v>13920</v>
      </c>
      <c r="F914" s="48">
        <f t="shared" si="77"/>
        <v>27840</v>
      </c>
      <c r="G914" s="48">
        <f t="shared" si="77"/>
        <v>55680</v>
      </c>
      <c r="H914" s="47">
        <f>H913+((H915-H913)/2)</f>
        <v>111360</v>
      </c>
      <c r="I914" s="49">
        <f>E914*10</f>
        <v>139200</v>
      </c>
      <c r="J914" s="49">
        <f>E914*12</f>
        <v>167040</v>
      </c>
      <c r="L914" s="45">
        <f t="shared" si="74"/>
        <v>111360</v>
      </c>
      <c r="M914" s="92">
        <v>115.35</v>
      </c>
    </row>
    <row r="915" spans="1:13" ht="15" customHeight="1">
      <c r="A915" s="46"/>
      <c r="B915" s="92">
        <v>115.4</v>
      </c>
      <c r="C915" s="49">
        <f t="shared" si="77"/>
        <v>3520</v>
      </c>
      <c r="D915" s="49">
        <f t="shared" si="77"/>
        <v>7040</v>
      </c>
      <c r="E915" s="51">
        <f t="shared" si="77"/>
        <v>14080</v>
      </c>
      <c r="F915" s="51">
        <f t="shared" si="77"/>
        <v>28160</v>
      </c>
      <c r="G915" s="51">
        <f t="shared" si="77"/>
        <v>56320</v>
      </c>
      <c r="H915" s="50">
        <f>H913+2560</f>
        <v>112640</v>
      </c>
      <c r="I915" s="49">
        <f t="shared" si="75"/>
        <v>140800</v>
      </c>
      <c r="J915" s="49">
        <f t="shared" si="76"/>
        <v>168960</v>
      </c>
      <c r="L915" s="45">
        <f t="shared" si="74"/>
        <v>112640</v>
      </c>
      <c r="M915" s="92">
        <v>115.4</v>
      </c>
    </row>
    <row r="916" spans="1:13" ht="15" customHeight="1">
      <c r="A916" s="46"/>
      <c r="B916" s="92">
        <v>115.45</v>
      </c>
      <c r="C916" s="48">
        <f t="shared" si="77"/>
        <v>3560</v>
      </c>
      <c r="D916" s="48">
        <f t="shared" si="77"/>
        <v>7120</v>
      </c>
      <c r="E916" s="48">
        <f t="shared" si="77"/>
        <v>14240</v>
      </c>
      <c r="F916" s="48">
        <f t="shared" si="77"/>
        <v>28480</v>
      </c>
      <c r="G916" s="48">
        <f t="shared" si="77"/>
        <v>56960</v>
      </c>
      <c r="H916" s="47">
        <f>H915+((H917-H915)/2)</f>
        <v>113920</v>
      </c>
      <c r="I916" s="49">
        <f>E916*10</f>
        <v>142400</v>
      </c>
      <c r="J916" s="49">
        <f>E916*12</f>
        <v>170880</v>
      </c>
      <c r="L916" s="45">
        <f t="shared" si="74"/>
        <v>113920</v>
      </c>
      <c r="M916" s="92">
        <v>115.45</v>
      </c>
    </row>
    <row r="917" spans="1:13" ht="15" customHeight="1">
      <c r="A917" s="46"/>
      <c r="B917" s="92">
        <v>115.5</v>
      </c>
      <c r="C917" s="49">
        <f t="shared" si="77"/>
        <v>3600</v>
      </c>
      <c r="D917" s="49">
        <f t="shared" si="77"/>
        <v>7200</v>
      </c>
      <c r="E917" s="51">
        <f t="shared" si="77"/>
        <v>14400</v>
      </c>
      <c r="F917" s="51">
        <f t="shared" si="77"/>
        <v>28800</v>
      </c>
      <c r="G917" s="51">
        <f t="shared" si="77"/>
        <v>57600</v>
      </c>
      <c r="H917" s="50">
        <f>H915+2560</f>
        <v>115200</v>
      </c>
      <c r="I917" s="49">
        <f t="shared" si="75"/>
        <v>144000</v>
      </c>
      <c r="J917" s="49">
        <f t="shared" si="76"/>
        <v>172800</v>
      </c>
      <c r="L917" s="45">
        <f t="shared" si="74"/>
        <v>115200</v>
      </c>
      <c r="M917" s="92">
        <v>115.5</v>
      </c>
    </row>
    <row r="918" spans="1:13" ht="15" customHeight="1">
      <c r="A918" s="46"/>
      <c r="B918" s="92">
        <v>115.55</v>
      </c>
      <c r="C918" s="48">
        <f t="shared" si="77"/>
        <v>3640</v>
      </c>
      <c r="D918" s="48">
        <f t="shared" si="77"/>
        <v>7280</v>
      </c>
      <c r="E918" s="48">
        <f t="shared" si="77"/>
        <v>14560</v>
      </c>
      <c r="F918" s="48">
        <f t="shared" si="77"/>
        <v>29120</v>
      </c>
      <c r="G918" s="48">
        <f t="shared" si="77"/>
        <v>58240</v>
      </c>
      <c r="H918" s="47">
        <f>H917+((H919-H917)/2)</f>
        <v>116480</v>
      </c>
      <c r="I918" s="49">
        <f>E918*10</f>
        <v>145600</v>
      </c>
      <c r="J918" s="49">
        <f>E918*12</f>
        <v>174720</v>
      </c>
      <c r="L918" s="45">
        <f t="shared" si="74"/>
        <v>116480</v>
      </c>
      <c r="M918" s="92">
        <v>115.55</v>
      </c>
    </row>
    <row r="919" spans="1:13" ht="15" customHeight="1">
      <c r="A919" s="46"/>
      <c r="B919" s="92">
        <v>115.6</v>
      </c>
      <c r="C919" s="49">
        <f t="shared" si="77"/>
        <v>3680</v>
      </c>
      <c r="D919" s="49">
        <f t="shared" si="77"/>
        <v>7360</v>
      </c>
      <c r="E919" s="51">
        <f t="shared" si="77"/>
        <v>14720</v>
      </c>
      <c r="F919" s="51">
        <f t="shared" si="77"/>
        <v>29440</v>
      </c>
      <c r="G919" s="51">
        <f t="shared" si="77"/>
        <v>58880</v>
      </c>
      <c r="H919" s="50">
        <f>H917+2560</f>
        <v>117760</v>
      </c>
      <c r="I919" s="49">
        <f t="shared" si="75"/>
        <v>147200</v>
      </c>
      <c r="J919" s="49">
        <f t="shared" si="76"/>
        <v>176640</v>
      </c>
      <c r="L919" s="45">
        <f t="shared" si="74"/>
        <v>117760</v>
      </c>
      <c r="M919" s="92">
        <v>115.6</v>
      </c>
    </row>
    <row r="920" spans="1:13" ht="15" customHeight="1">
      <c r="A920" s="46"/>
      <c r="B920" s="92">
        <v>115.65</v>
      </c>
      <c r="C920" s="48">
        <f t="shared" si="77"/>
        <v>3720</v>
      </c>
      <c r="D920" s="48">
        <f t="shared" si="77"/>
        <v>7440</v>
      </c>
      <c r="E920" s="48">
        <f t="shared" si="77"/>
        <v>14880</v>
      </c>
      <c r="F920" s="48">
        <f t="shared" si="77"/>
        <v>29760</v>
      </c>
      <c r="G920" s="48">
        <f t="shared" si="77"/>
        <v>59520</v>
      </c>
      <c r="H920" s="47">
        <f>H919+((H921-H919)/2)</f>
        <v>119040</v>
      </c>
      <c r="I920" s="49">
        <f>E920*10</f>
        <v>148800</v>
      </c>
      <c r="J920" s="49">
        <f>E920*12</f>
        <v>178560</v>
      </c>
      <c r="L920" s="45">
        <f t="shared" si="74"/>
        <v>119040</v>
      </c>
      <c r="M920" s="92">
        <v>115.65</v>
      </c>
    </row>
    <row r="921" spans="1:13" ht="15" customHeight="1">
      <c r="A921" s="46"/>
      <c r="B921" s="92">
        <v>115.7</v>
      </c>
      <c r="C921" s="49">
        <f t="shared" si="77"/>
        <v>3760</v>
      </c>
      <c r="D921" s="49">
        <f t="shared" si="77"/>
        <v>7520</v>
      </c>
      <c r="E921" s="51">
        <f t="shared" si="77"/>
        <v>15040</v>
      </c>
      <c r="F921" s="51">
        <f t="shared" si="77"/>
        <v>30080</v>
      </c>
      <c r="G921" s="51">
        <f t="shared" si="77"/>
        <v>60160</v>
      </c>
      <c r="H921" s="50">
        <f>H919+2560</f>
        <v>120320</v>
      </c>
      <c r="I921" s="49">
        <f t="shared" si="75"/>
        <v>150400</v>
      </c>
      <c r="J921" s="49">
        <f t="shared" si="76"/>
        <v>180480</v>
      </c>
      <c r="L921" s="45">
        <f t="shared" si="74"/>
        <v>120320</v>
      </c>
      <c r="M921" s="92">
        <v>115.7</v>
      </c>
    </row>
    <row r="922" spans="1:13" ht="15" customHeight="1">
      <c r="A922" s="46"/>
      <c r="B922" s="92">
        <v>115.75</v>
      </c>
      <c r="C922" s="48">
        <f t="shared" si="77"/>
        <v>3800</v>
      </c>
      <c r="D922" s="48">
        <f t="shared" si="77"/>
        <v>7600</v>
      </c>
      <c r="E922" s="48">
        <f t="shared" si="77"/>
        <v>15200</v>
      </c>
      <c r="F922" s="48">
        <f t="shared" si="77"/>
        <v>30400</v>
      </c>
      <c r="G922" s="48">
        <f t="shared" si="77"/>
        <v>60800</v>
      </c>
      <c r="H922" s="47">
        <f>H921+((H923-H921)/2)</f>
        <v>121600</v>
      </c>
      <c r="I922" s="49">
        <f>E922*10</f>
        <v>152000</v>
      </c>
      <c r="J922" s="49">
        <f>E922*12</f>
        <v>182400</v>
      </c>
      <c r="L922" s="45">
        <f t="shared" si="74"/>
        <v>121600</v>
      </c>
      <c r="M922" s="92">
        <v>115.75</v>
      </c>
    </row>
    <row r="923" spans="1:13" ht="15" customHeight="1">
      <c r="A923" s="46"/>
      <c r="B923" s="92">
        <v>115.8</v>
      </c>
      <c r="C923" s="49">
        <f t="shared" si="77"/>
        <v>3840</v>
      </c>
      <c r="D923" s="49">
        <f t="shared" si="77"/>
        <v>7680</v>
      </c>
      <c r="E923" s="51">
        <f t="shared" si="77"/>
        <v>15360</v>
      </c>
      <c r="F923" s="51">
        <f t="shared" si="77"/>
        <v>30720</v>
      </c>
      <c r="G923" s="51">
        <f t="shared" si="77"/>
        <v>61440</v>
      </c>
      <c r="H923" s="50">
        <f>H921+2560</f>
        <v>122880</v>
      </c>
      <c r="I923" s="49">
        <f t="shared" si="75"/>
        <v>153600</v>
      </c>
      <c r="J923" s="49">
        <f t="shared" si="76"/>
        <v>184320</v>
      </c>
      <c r="L923" s="45">
        <f t="shared" si="74"/>
        <v>122880</v>
      </c>
      <c r="M923" s="92">
        <v>115.8</v>
      </c>
    </row>
    <row r="924" spans="1:13" ht="15" customHeight="1">
      <c r="A924" s="46"/>
      <c r="B924" s="92">
        <v>115.85</v>
      </c>
      <c r="C924" s="48">
        <f t="shared" si="77"/>
        <v>3880</v>
      </c>
      <c r="D924" s="48">
        <f t="shared" si="77"/>
        <v>7760</v>
      </c>
      <c r="E924" s="48">
        <f t="shared" si="77"/>
        <v>15520</v>
      </c>
      <c r="F924" s="48">
        <f t="shared" si="77"/>
        <v>31040</v>
      </c>
      <c r="G924" s="48">
        <f t="shared" si="77"/>
        <v>62080</v>
      </c>
      <c r="H924" s="47">
        <f>H923+((H925-H923)/2)</f>
        <v>124160</v>
      </c>
      <c r="I924" s="49">
        <f>E924*10</f>
        <v>155200</v>
      </c>
      <c r="J924" s="49">
        <f>E924*12</f>
        <v>186240</v>
      </c>
      <c r="L924" s="45">
        <f t="shared" si="74"/>
        <v>124160</v>
      </c>
      <c r="M924" s="92">
        <v>115.85</v>
      </c>
    </row>
    <row r="925" spans="1:13" ht="15" customHeight="1">
      <c r="A925" s="46"/>
      <c r="B925" s="92">
        <v>115.9</v>
      </c>
      <c r="C925" s="49">
        <f t="shared" si="77"/>
        <v>3920</v>
      </c>
      <c r="D925" s="49">
        <f t="shared" si="77"/>
        <v>7840</v>
      </c>
      <c r="E925" s="51">
        <f t="shared" si="77"/>
        <v>15680</v>
      </c>
      <c r="F925" s="51">
        <f t="shared" si="77"/>
        <v>31360</v>
      </c>
      <c r="G925" s="51">
        <f t="shared" si="77"/>
        <v>62720</v>
      </c>
      <c r="H925" s="50">
        <f>H923+2560</f>
        <v>125440</v>
      </c>
      <c r="I925" s="49">
        <f t="shared" si="75"/>
        <v>156800</v>
      </c>
      <c r="J925" s="49">
        <f t="shared" si="76"/>
        <v>188160</v>
      </c>
      <c r="L925" s="45">
        <f t="shared" si="74"/>
        <v>125440</v>
      </c>
      <c r="M925" s="92">
        <v>115.9</v>
      </c>
    </row>
    <row r="926" spans="1:13" ht="15" customHeight="1">
      <c r="A926" s="46"/>
      <c r="B926" s="92">
        <v>115.95</v>
      </c>
      <c r="C926" s="48">
        <f>D926/2</f>
        <v>3960</v>
      </c>
      <c r="D926" s="48">
        <f>E926/2</f>
        <v>7920</v>
      </c>
      <c r="E926" s="48">
        <f>F926/2</f>
        <v>15840</v>
      </c>
      <c r="F926" s="48">
        <f>G926/2</f>
        <v>31680</v>
      </c>
      <c r="G926" s="48">
        <f>H926/2</f>
        <v>63360</v>
      </c>
      <c r="H926" s="47">
        <f>H925+((H927-H925)/2)</f>
        <v>126720</v>
      </c>
      <c r="I926" s="49">
        <f>E926*10</f>
        <v>158400</v>
      </c>
      <c r="J926" s="49">
        <f>E926*12</f>
        <v>190080</v>
      </c>
      <c r="L926" s="45">
        <f t="shared" si="74"/>
        <v>126720</v>
      </c>
      <c r="M926" s="92">
        <v>115.95</v>
      </c>
    </row>
    <row r="927" spans="1:13" ht="15" customHeight="1">
      <c r="A927" s="46"/>
      <c r="B927" s="92">
        <v>116</v>
      </c>
      <c r="C927" s="49">
        <f t="shared" ref="C927:G945" si="78">D927/2</f>
        <v>4000</v>
      </c>
      <c r="D927" s="49">
        <f t="shared" si="78"/>
        <v>8000</v>
      </c>
      <c r="E927" s="51">
        <f t="shared" si="78"/>
        <v>16000</v>
      </c>
      <c r="F927" s="51">
        <f t="shared" si="78"/>
        <v>32000</v>
      </c>
      <c r="G927" s="51">
        <f t="shared" si="78"/>
        <v>64000</v>
      </c>
      <c r="H927" s="50">
        <f>H867*2</f>
        <v>128000</v>
      </c>
      <c r="I927" s="49">
        <f t="shared" si="75"/>
        <v>160000</v>
      </c>
      <c r="J927" s="49">
        <f t="shared" si="76"/>
        <v>192000</v>
      </c>
      <c r="L927" s="45">
        <f t="shared" si="74"/>
        <v>128000</v>
      </c>
      <c r="M927" s="92">
        <v>116</v>
      </c>
    </row>
    <row r="928" spans="1:13" ht="15" customHeight="1">
      <c r="A928" s="46"/>
      <c r="B928" s="92">
        <v>116.05</v>
      </c>
      <c r="C928" s="48">
        <f t="shared" si="78"/>
        <v>4050</v>
      </c>
      <c r="D928" s="48">
        <f t="shared" si="78"/>
        <v>8100</v>
      </c>
      <c r="E928" s="48">
        <f t="shared" si="78"/>
        <v>16200</v>
      </c>
      <c r="F928" s="48">
        <f t="shared" si="78"/>
        <v>32400</v>
      </c>
      <c r="G928" s="48">
        <f t="shared" si="78"/>
        <v>64800</v>
      </c>
      <c r="H928" s="47">
        <f>H927+((H929-H927)/2)</f>
        <v>129600</v>
      </c>
      <c r="I928" s="49">
        <f>E928*10</f>
        <v>162000</v>
      </c>
      <c r="J928" s="49">
        <f>E928*12</f>
        <v>194400</v>
      </c>
      <c r="L928" s="45">
        <f t="shared" si="74"/>
        <v>129600</v>
      </c>
      <c r="M928" s="92">
        <v>116.05</v>
      </c>
    </row>
    <row r="929" spans="1:13" ht="15" customHeight="1">
      <c r="A929" s="46"/>
      <c r="B929" s="92">
        <v>116.1</v>
      </c>
      <c r="C929" s="49">
        <f t="shared" si="78"/>
        <v>4100</v>
      </c>
      <c r="D929" s="49">
        <f t="shared" si="78"/>
        <v>8200</v>
      </c>
      <c r="E929" s="51">
        <f t="shared" si="78"/>
        <v>16400</v>
      </c>
      <c r="F929" s="51">
        <f t="shared" si="78"/>
        <v>32800</v>
      </c>
      <c r="G929" s="51">
        <f t="shared" si="78"/>
        <v>65600</v>
      </c>
      <c r="H929" s="47">
        <f>H927+((H947-H927)/10)</f>
        <v>131200</v>
      </c>
      <c r="I929" s="49">
        <f t="shared" si="75"/>
        <v>164000</v>
      </c>
      <c r="J929" s="49">
        <f t="shared" si="76"/>
        <v>196800</v>
      </c>
      <c r="L929" s="45">
        <f t="shared" si="74"/>
        <v>131200</v>
      </c>
      <c r="M929" s="92">
        <v>116.1</v>
      </c>
    </row>
    <row r="930" spans="1:13" ht="15" customHeight="1">
      <c r="A930" s="46"/>
      <c r="B930" s="92">
        <v>116.15</v>
      </c>
      <c r="C930" s="48">
        <f t="shared" si="78"/>
        <v>4150</v>
      </c>
      <c r="D930" s="48">
        <f t="shared" si="78"/>
        <v>8300</v>
      </c>
      <c r="E930" s="48">
        <f t="shared" si="78"/>
        <v>16600</v>
      </c>
      <c r="F930" s="48">
        <f t="shared" si="78"/>
        <v>33200</v>
      </c>
      <c r="G930" s="48">
        <f t="shared" si="78"/>
        <v>66400</v>
      </c>
      <c r="H930" s="47">
        <f>H929+((H931-H929)/2)</f>
        <v>132800</v>
      </c>
      <c r="I930" s="49">
        <f>E930*10</f>
        <v>166000</v>
      </c>
      <c r="J930" s="49">
        <f>E930*12</f>
        <v>199200</v>
      </c>
      <c r="L930" s="45">
        <f t="shared" si="74"/>
        <v>132800</v>
      </c>
      <c r="M930" s="92">
        <v>116.15</v>
      </c>
    </row>
    <row r="931" spans="1:13" ht="15" customHeight="1">
      <c r="A931" s="46"/>
      <c r="B931" s="92">
        <v>116.2</v>
      </c>
      <c r="C931" s="49">
        <f t="shared" si="78"/>
        <v>4200</v>
      </c>
      <c r="D931" s="49">
        <f t="shared" si="78"/>
        <v>8400</v>
      </c>
      <c r="E931" s="51">
        <f t="shared" si="78"/>
        <v>16800</v>
      </c>
      <c r="F931" s="51">
        <f t="shared" si="78"/>
        <v>33600</v>
      </c>
      <c r="G931" s="51">
        <f t="shared" si="78"/>
        <v>67200</v>
      </c>
      <c r="H931" s="50">
        <f>H929+3200</f>
        <v>134400</v>
      </c>
      <c r="I931" s="49">
        <f t="shared" si="75"/>
        <v>168000</v>
      </c>
      <c r="J931" s="49">
        <f t="shared" si="76"/>
        <v>201600</v>
      </c>
      <c r="L931" s="45">
        <f t="shared" si="74"/>
        <v>134400</v>
      </c>
      <c r="M931" s="92">
        <v>116.2</v>
      </c>
    </row>
    <row r="932" spans="1:13" ht="15" customHeight="1">
      <c r="A932" s="46"/>
      <c r="B932" s="92">
        <v>116.25</v>
      </c>
      <c r="C932" s="48">
        <f t="shared" si="78"/>
        <v>4250</v>
      </c>
      <c r="D932" s="48">
        <f t="shared" si="78"/>
        <v>8500</v>
      </c>
      <c r="E932" s="48">
        <f t="shared" si="78"/>
        <v>17000</v>
      </c>
      <c r="F932" s="48">
        <f t="shared" si="78"/>
        <v>34000</v>
      </c>
      <c r="G932" s="48">
        <f t="shared" si="78"/>
        <v>68000</v>
      </c>
      <c r="H932" s="47">
        <f>H931+((H933-H931)/2)</f>
        <v>136000</v>
      </c>
      <c r="I932" s="49">
        <f>E932*10</f>
        <v>170000</v>
      </c>
      <c r="J932" s="49">
        <f>E932*12</f>
        <v>204000</v>
      </c>
      <c r="L932" s="45">
        <f t="shared" si="74"/>
        <v>136000</v>
      </c>
      <c r="M932" s="92">
        <v>116.25</v>
      </c>
    </row>
    <row r="933" spans="1:13" ht="15" customHeight="1">
      <c r="A933" s="46"/>
      <c r="B933" s="92">
        <v>116.3</v>
      </c>
      <c r="C933" s="49">
        <f t="shared" si="78"/>
        <v>4300</v>
      </c>
      <c r="D933" s="49">
        <f t="shared" si="78"/>
        <v>8600</v>
      </c>
      <c r="E933" s="51">
        <f t="shared" si="78"/>
        <v>17200</v>
      </c>
      <c r="F933" s="51">
        <f t="shared" si="78"/>
        <v>34400</v>
      </c>
      <c r="G933" s="51">
        <f t="shared" si="78"/>
        <v>68800</v>
      </c>
      <c r="H933" s="50">
        <f>H931+3200</f>
        <v>137600</v>
      </c>
      <c r="I933" s="49">
        <f t="shared" si="75"/>
        <v>172000</v>
      </c>
      <c r="J933" s="49">
        <f t="shared" si="76"/>
        <v>206400</v>
      </c>
      <c r="L933" s="45">
        <f t="shared" si="74"/>
        <v>137600</v>
      </c>
      <c r="M933" s="92">
        <v>116.3</v>
      </c>
    </row>
    <row r="934" spans="1:13" ht="15" customHeight="1">
      <c r="A934" s="46"/>
      <c r="B934" s="92">
        <v>116.35</v>
      </c>
      <c r="C934" s="48">
        <f t="shared" si="78"/>
        <v>4350</v>
      </c>
      <c r="D934" s="48">
        <f t="shared" si="78"/>
        <v>8700</v>
      </c>
      <c r="E934" s="48">
        <f t="shared" si="78"/>
        <v>17400</v>
      </c>
      <c r="F934" s="48">
        <f t="shared" si="78"/>
        <v>34800</v>
      </c>
      <c r="G934" s="48">
        <f t="shared" si="78"/>
        <v>69600</v>
      </c>
      <c r="H934" s="47">
        <f>H933+((H935-H933)/2)</f>
        <v>139200</v>
      </c>
      <c r="I934" s="49">
        <f>E934*10</f>
        <v>174000</v>
      </c>
      <c r="J934" s="49">
        <f>E934*12</f>
        <v>208800</v>
      </c>
      <c r="L934" s="45">
        <f t="shared" si="74"/>
        <v>139200</v>
      </c>
      <c r="M934" s="92">
        <v>116.35</v>
      </c>
    </row>
    <row r="935" spans="1:13" ht="15" customHeight="1">
      <c r="A935" s="46"/>
      <c r="B935" s="92">
        <v>116.4</v>
      </c>
      <c r="C935" s="49">
        <f t="shared" si="78"/>
        <v>4400</v>
      </c>
      <c r="D935" s="49">
        <f t="shared" si="78"/>
        <v>8800</v>
      </c>
      <c r="E935" s="51">
        <f t="shared" si="78"/>
        <v>17600</v>
      </c>
      <c r="F935" s="51">
        <f t="shared" si="78"/>
        <v>35200</v>
      </c>
      <c r="G935" s="51">
        <f t="shared" si="78"/>
        <v>70400</v>
      </c>
      <c r="H935" s="50">
        <f>H933+3200</f>
        <v>140800</v>
      </c>
      <c r="I935" s="49">
        <f t="shared" si="75"/>
        <v>176000</v>
      </c>
      <c r="J935" s="49">
        <f t="shared" si="76"/>
        <v>211200</v>
      </c>
      <c r="L935" s="45">
        <f t="shared" si="74"/>
        <v>140800</v>
      </c>
      <c r="M935" s="92">
        <v>116.4</v>
      </c>
    </row>
    <row r="936" spans="1:13" ht="15" customHeight="1">
      <c r="A936" s="46"/>
      <c r="B936" s="92">
        <v>116.45</v>
      </c>
      <c r="C936" s="48">
        <f t="shared" si="78"/>
        <v>4450</v>
      </c>
      <c r="D936" s="48">
        <f t="shared" si="78"/>
        <v>8900</v>
      </c>
      <c r="E936" s="48">
        <f t="shared" si="78"/>
        <v>17800</v>
      </c>
      <c r="F936" s="48">
        <f t="shared" si="78"/>
        <v>35600</v>
      </c>
      <c r="G936" s="48">
        <f t="shared" si="78"/>
        <v>71200</v>
      </c>
      <c r="H936" s="47">
        <f>H935+((H937-H935)/2)</f>
        <v>142400</v>
      </c>
      <c r="I936" s="49">
        <f>E936*10</f>
        <v>178000</v>
      </c>
      <c r="J936" s="49">
        <f>E936*12</f>
        <v>213600</v>
      </c>
      <c r="L936" s="45">
        <f t="shared" si="74"/>
        <v>142400</v>
      </c>
      <c r="M936" s="92">
        <v>116.45</v>
      </c>
    </row>
    <row r="937" spans="1:13" ht="15" customHeight="1">
      <c r="A937" s="46"/>
      <c r="B937" s="92">
        <v>116.5</v>
      </c>
      <c r="C937" s="49">
        <f t="shared" si="78"/>
        <v>4500</v>
      </c>
      <c r="D937" s="49">
        <f t="shared" si="78"/>
        <v>9000</v>
      </c>
      <c r="E937" s="51">
        <f t="shared" si="78"/>
        <v>18000</v>
      </c>
      <c r="F937" s="51">
        <f t="shared" si="78"/>
        <v>36000</v>
      </c>
      <c r="G937" s="51">
        <f t="shared" si="78"/>
        <v>72000</v>
      </c>
      <c r="H937" s="50">
        <f>H935+3200</f>
        <v>144000</v>
      </c>
      <c r="I937" s="49">
        <f t="shared" si="75"/>
        <v>180000</v>
      </c>
      <c r="J937" s="49">
        <f t="shared" si="76"/>
        <v>216000</v>
      </c>
      <c r="L937" s="45">
        <f t="shared" si="74"/>
        <v>144000</v>
      </c>
      <c r="M937" s="92">
        <v>116.5</v>
      </c>
    </row>
    <row r="938" spans="1:13" ht="15" customHeight="1">
      <c r="A938" s="46"/>
      <c r="B938" s="92">
        <v>116.55</v>
      </c>
      <c r="C938" s="48">
        <f t="shared" si="78"/>
        <v>4550</v>
      </c>
      <c r="D938" s="48">
        <f t="shared" si="78"/>
        <v>9100</v>
      </c>
      <c r="E938" s="48">
        <f t="shared" si="78"/>
        <v>18200</v>
      </c>
      <c r="F938" s="48">
        <f t="shared" si="78"/>
        <v>36400</v>
      </c>
      <c r="G938" s="48">
        <f t="shared" si="78"/>
        <v>72800</v>
      </c>
      <c r="H938" s="47">
        <f>H937+((H939-H937)/2)</f>
        <v>145600</v>
      </c>
      <c r="I938" s="49">
        <f>E938*10</f>
        <v>182000</v>
      </c>
      <c r="J938" s="49">
        <f>E938*12</f>
        <v>218400</v>
      </c>
      <c r="L938" s="45">
        <f t="shared" si="74"/>
        <v>145600</v>
      </c>
      <c r="M938" s="92">
        <v>116.55</v>
      </c>
    </row>
    <row r="939" spans="1:13" ht="15" customHeight="1">
      <c r="A939" s="46"/>
      <c r="B939" s="92">
        <v>116.6</v>
      </c>
      <c r="C939" s="49">
        <f t="shared" si="78"/>
        <v>4600</v>
      </c>
      <c r="D939" s="49">
        <f t="shared" si="78"/>
        <v>9200</v>
      </c>
      <c r="E939" s="51">
        <f t="shared" si="78"/>
        <v>18400</v>
      </c>
      <c r="F939" s="51">
        <f t="shared" si="78"/>
        <v>36800</v>
      </c>
      <c r="G939" s="51">
        <f t="shared" si="78"/>
        <v>73600</v>
      </c>
      <c r="H939" s="50">
        <f>H937+3200</f>
        <v>147200</v>
      </c>
      <c r="I939" s="49">
        <f t="shared" si="75"/>
        <v>184000</v>
      </c>
      <c r="J939" s="49">
        <f t="shared" si="76"/>
        <v>220800</v>
      </c>
      <c r="L939" s="45">
        <f t="shared" si="74"/>
        <v>147200</v>
      </c>
      <c r="M939" s="92">
        <v>116.6</v>
      </c>
    </row>
    <row r="940" spans="1:13" ht="15" customHeight="1">
      <c r="A940" s="46"/>
      <c r="B940" s="92">
        <v>116.65</v>
      </c>
      <c r="C940" s="48">
        <f t="shared" si="78"/>
        <v>4650</v>
      </c>
      <c r="D940" s="48">
        <f t="shared" si="78"/>
        <v>9300</v>
      </c>
      <c r="E940" s="48">
        <f t="shared" si="78"/>
        <v>18600</v>
      </c>
      <c r="F940" s="48">
        <f t="shared" si="78"/>
        <v>37200</v>
      </c>
      <c r="G940" s="48">
        <f t="shared" si="78"/>
        <v>74400</v>
      </c>
      <c r="H940" s="47">
        <f>H939+((H941-H939)/2)</f>
        <v>148800</v>
      </c>
      <c r="I940" s="49">
        <f>E940*10</f>
        <v>186000</v>
      </c>
      <c r="J940" s="49">
        <f>E940*12</f>
        <v>223200</v>
      </c>
      <c r="L940" s="45">
        <f t="shared" si="74"/>
        <v>148800</v>
      </c>
      <c r="M940" s="92">
        <v>116.65</v>
      </c>
    </row>
    <row r="941" spans="1:13" ht="15" customHeight="1">
      <c r="A941" s="46"/>
      <c r="B941" s="92">
        <v>116.7</v>
      </c>
      <c r="C941" s="49">
        <f t="shared" si="78"/>
        <v>4700</v>
      </c>
      <c r="D941" s="49">
        <f t="shared" si="78"/>
        <v>9400</v>
      </c>
      <c r="E941" s="51">
        <f t="shared" si="78"/>
        <v>18800</v>
      </c>
      <c r="F941" s="51">
        <f t="shared" si="78"/>
        <v>37600</v>
      </c>
      <c r="G941" s="51">
        <f t="shared" si="78"/>
        <v>75200</v>
      </c>
      <c r="H941" s="50">
        <f>H939+3200</f>
        <v>150400</v>
      </c>
      <c r="I941" s="49">
        <f t="shared" si="75"/>
        <v>188000</v>
      </c>
      <c r="J941" s="49">
        <f t="shared" si="76"/>
        <v>225600</v>
      </c>
      <c r="L941" s="45">
        <f t="shared" si="74"/>
        <v>150400</v>
      </c>
      <c r="M941" s="92">
        <v>116.7</v>
      </c>
    </row>
    <row r="942" spans="1:13" ht="15" customHeight="1">
      <c r="A942" s="46"/>
      <c r="B942" s="92">
        <v>116.75</v>
      </c>
      <c r="C942" s="48">
        <f t="shared" si="78"/>
        <v>4750</v>
      </c>
      <c r="D942" s="48">
        <f t="shared" si="78"/>
        <v>9500</v>
      </c>
      <c r="E942" s="48">
        <f t="shared" si="78"/>
        <v>19000</v>
      </c>
      <c r="F942" s="48">
        <f t="shared" si="78"/>
        <v>38000</v>
      </c>
      <c r="G942" s="48">
        <f t="shared" si="78"/>
        <v>76000</v>
      </c>
      <c r="H942" s="47">
        <f>H941+((H943-H941)/2)</f>
        <v>152000</v>
      </c>
      <c r="I942" s="49">
        <f>E942*10</f>
        <v>190000</v>
      </c>
      <c r="J942" s="49">
        <f>E942*12</f>
        <v>228000</v>
      </c>
      <c r="L942" s="45">
        <f t="shared" si="74"/>
        <v>152000</v>
      </c>
      <c r="M942" s="92">
        <v>116.75</v>
      </c>
    </row>
    <row r="943" spans="1:13" ht="15" customHeight="1">
      <c r="A943" s="46"/>
      <c r="B943" s="92">
        <v>116.8</v>
      </c>
      <c r="C943" s="49">
        <f t="shared" si="78"/>
        <v>4800</v>
      </c>
      <c r="D943" s="49">
        <f t="shared" si="78"/>
        <v>9600</v>
      </c>
      <c r="E943" s="51">
        <f t="shared" si="78"/>
        <v>19200</v>
      </c>
      <c r="F943" s="51">
        <f t="shared" si="78"/>
        <v>38400</v>
      </c>
      <c r="G943" s="51">
        <f t="shared" si="78"/>
        <v>76800</v>
      </c>
      <c r="H943" s="50">
        <f>H941+3200</f>
        <v>153600</v>
      </c>
      <c r="I943" s="49">
        <f t="shared" si="75"/>
        <v>192000</v>
      </c>
      <c r="J943" s="49">
        <f t="shared" si="76"/>
        <v>230400</v>
      </c>
      <c r="L943" s="45">
        <f t="shared" si="74"/>
        <v>153600</v>
      </c>
      <c r="M943" s="92">
        <v>116.8</v>
      </c>
    </row>
    <row r="944" spans="1:13" ht="15" customHeight="1">
      <c r="A944" s="46"/>
      <c r="B944" s="92">
        <v>116.85</v>
      </c>
      <c r="C944" s="48">
        <f t="shared" si="78"/>
        <v>4850</v>
      </c>
      <c r="D944" s="48">
        <f t="shared" si="78"/>
        <v>9700</v>
      </c>
      <c r="E944" s="48">
        <f t="shared" si="78"/>
        <v>19400</v>
      </c>
      <c r="F944" s="48">
        <f t="shared" si="78"/>
        <v>38800</v>
      </c>
      <c r="G944" s="48">
        <f t="shared" si="78"/>
        <v>77600</v>
      </c>
      <c r="H944" s="47">
        <f>H943+((H945-H943)/2)</f>
        <v>155200</v>
      </c>
      <c r="I944" s="49">
        <f>E944*10</f>
        <v>194000</v>
      </c>
      <c r="J944" s="49">
        <f>E944*12</f>
        <v>232800</v>
      </c>
      <c r="L944" s="45">
        <f t="shared" si="74"/>
        <v>155200</v>
      </c>
      <c r="M944" s="92">
        <v>116.85</v>
      </c>
    </row>
    <row r="945" spans="1:13" ht="15" customHeight="1">
      <c r="A945" s="46"/>
      <c r="B945" s="92">
        <v>116.9</v>
      </c>
      <c r="C945" s="49">
        <f t="shared" si="78"/>
        <v>4900</v>
      </c>
      <c r="D945" s="49">
        <f t="shared" si="78"/>
        <v>9800</v>
      </c>
      <c r="E945" s="51">
        <f t="shared" si="78"/>
        <v>19600</v>
      </c>
      <c r="F945" s="51">
        <f t="shared" si="78"/>
        <v>39200</v>
      </c>
      <c r="G945" s="51">
        <f t="shared" si="78"/>
        <v>78400</v>
      </c>
      <c r="H945" s="50">
        <f>H943+3200</f>
        <v>156800</v>
      </c>
      <c r="I945" s="49">
        <f t="shared" si="75"/>
        <v>196000</v>
      </c>
      <c r="J945" s="49">
        <f t="shared" si="76"/>
        <v>235200</v>
      </c>
      <c r="L945" s="45">
        <f t="shared" si="74"/>
        <v>156800</v>
      </c>
      <c r="M945" s="92">
        <v>116.9</v>
      </c>
    </row>
    <row r="946" spans="1:13" ht="15" customHeight="1">
      <c r="A946" s="46"/>
      <c r="B946" s="92">
        <v>116.95</v>
      </c>
      <c r="C946" s="48">
        <f>D946/2</f>
        <v>4950</v>
      </c>
      <c r="D946" s="48">
        <f>E946/2</f>
        <v>9900</v>
      </c>
      <c r="E946" s="48">
        <f>F946/2</f>
        <v>19800</v>
      </c>
      <c r="F946" s="48">
        <f>G946/2</f>
        <v>39600</v>
      </c>
      <c r="G946" s="48">
        <f>H946/2</f>
        <v>79200</v>
      </c>
      <c r="H946" s="47">
        <f>H945+((H947-H945)/2)</f>
        <v>158400</v>
      </c>
      <c r="I946" s="49">
        <f>E946*10</f>
        <v>198000</v>
      </c>
      <c r="J946" s="49">
        <f>E946*12</f>
        <v>237600</v>
      </c>
      <c r="L946" s="45">
        <f t="shared" si="74"/>
        <v>158400</v>
      </c>
      <c r="M946" s="92">
        <v>116.95</v>
      </c>
    </row>
    <row r="947" spans="1:13" ht="15" customHeight="1">
      <c r="A947" s="46"/>
      <c r="B947" s="92">
        <v>117</v>
      </c>
      <c r="C947" s="49">
        <f t="shared" ref="C947:G965" si="79">D947/2</f>
        <v>5000</v>
      </c>
      <c r="D947" s="51">
        <f t="shared" si="79"/>
        <v>10000</v>
      </c>
      <c r="E947" s="51">
        <f t="shared" si="79"/>
        <v>20000</v>
      </c>
      <c r="F947" s="51">
        <f t="shared" si="79"/>
        <v>40000</v>
      </c>
      <c r="G947" s="51">
        <f t="shared" si="79"/>
        <v>80000</v>
      </c>
      <c r="H947" s="50">
        <f>H887*2</f>
        <v>160000</v>
      </c>
      <c r="I947" s="49">
        <f t="shared" si="75"/>
        <v>200000</v>
      </c>
      <c r="J947" s="49">
        <f t="shared" si="76"/>
        <v>240000</v>
      </c>
      <c r="L947" s="45">
        <f t="shared" si="74"/>
        <v>160000</v>
      </c>
      <c r="M947" s="92">
        <v>117</v>
      </c>
    </row>
    <row r="948" spans="1:13" ht="15" customHeight="1">
      <c r="A948" s="46"/>
      <c r="B948" s="92">
        <v>117.05</v>
      </c>
      <c r="C948" s="48">
        <f t="shared" si="79"/>
        <v>5070</v>
      </c>
      <c r="D948" s="48">
        <f t="shared" si="79"/>
        <v>10140</v>
      </c>
      <c r="E948" s="48">
        <f t="shared" si="79"/>
        <v>20280</v>
      </c>
      <c r="F948" s="48">
        <f t="shared" si="79"/>
        <v>40560</v>
      </c>
      <c r="G948" s="48">
        <f t="shared" si="79"/>
        <v>81120</v>
      </c>
      <c r="H948" s="47">
        <f>H947+((H949-H947)/2)</f>
        <v>162240</v>
      </c>
      <c r="I948" s="49">
        <f>E948*10</f>
        <v>202800</v>
      </c>
      <c r="J948" s="49">
        <f>E948*12</f>
        <v>243360</v>
      </c>
      <c r="L948" s="45">
        <f t="shared" si="74"/>
        <v>162240</v>
      </c>
      <c r="M948" s="92">
        <v>117.05</v>
      </c>
    </row>
    <row r="949" spans="1:13" ht="15" customHeight="1">
      <c r="A949" s="46"/>
      <c r="B949" s="92">
        <v>117.1</v>
      </c>
      <c r="C949" s="49">
        <f t="shared" si="79"/>
        <v>5140</v>
      </c>
      <c r="D949" s="51">
        <f t="shared" si="79"/>
        <v>10280</v>
      </c>
      <c r="E949" s="51">
        <f t="shared" si="79"/>
        <v>20560</v>
      </c>
      <c r="F949" s="51">
        <f t="shared" si="79"/>
        <v>41120</v>
      </c>
      <c r="G949" s="51">
        <f t="shared" si="79"/>
        <v>82240</v>
      </c>
      <c r="H949" s="47">
        <f>H947+((H967-H947)/10)</f>
        <v>164480</v>
      </c>
      <c r="I949" s="49">
        <f t="shared" si="75"/>
        <v>205600</v>
      </c>
      <c r="J949" s="49">
        <f t="shared" si="76"/>
        <v>246720</v>
      </c>
      <c r="L949" s="45">
        <f t="shared" si="74"/>
        <v>164480</v>
      </c>
      <c r="M949" s="92">
        <v>117.1</v>
      </c>
    </row>
    <row r="950" spans="1:13" ht="15" customHeight="1">
      <c r="A950" s="46"/>
      <c r="B950" s="92">
        <v>117.15</v>
      </c>
      <c r="C950" s="48">
        <f t="shared" si="79"/>
        <v>5210</v>
      </c>
      <c r="D950" s="48">
        <f t="shared" si="79"/>
        <v>10420</v>
      </c>
      <c r="E950" s="48">
        <f t="shared" si="79"/>
        <v>20840</v>
      </c>
      <c r="F950" s="48">
        <f t="shared" si="79"/>
        <v>41680</v>
      </c>
      <c r="G950" s="48">
        <f t="shared" si="79"/>
        <v>83360</v>
      </c>
      <c r="H950" s="47">
        <f>H949+((H951-H949)/2)</f>
        <v>166720</v>
      </c>
      <c r="I950" s="49">
        <f>E950*10</f>
        <v>208400</v>
      </c>
      <c r="J950" s="49">
        <f>E950*12</f>
        <v>250080</v>
      </c>
      <c r="L950" s="45">
        <f t="shared" si="74"/>
        <v>166720</v>
      </c>
      <c r="M950" s="92">
        <v>117.15</v>
      </c>
    </row>
    <row r="951" spans="1:13" ht="15" customHeight="1">
      <c r="A951" s="46"/>
      <c r="B951" s="92">
        <v>117.2</v>
      </c>
      <c r="C951" s="49">
        <f t="shared" si="79"/>
        <v>5280</v>
      </c>
      <c r="D951" s="51">
        <f t="shared" si="79"/>
        <v>10560</v>
      </c>
      <c r="E951" s="51">
        <f t="shared" si="79"/>
        <v>21120</v>
      </c>
      <c r="F951" s="51">
        <f t="shared" si="79"/>
        <v>42240</v>
      </c>
      <c r="G951" s="51">
        <f t="shared" si="79"/>
        <v>84480</v>
      </c>
      <c r="H951" s="50">
        <f>H949+4480</f>
        <v>168960</v>
      </c>
      <c r="I951" s="49">
        <f t="shared" si="75"/>
        <v>211200</v>
      </c>
      <c r="J951" s="49">
        <f t="shared" si="76"/>
        <v>253440</v>
      </c>
      <c r="L951" s="45">
        <f t="shared" si="74"/>
        <v>168960</v>
      </c>
      <c r="M951" s="92">
        <v>117.2</v>
      </c>
    </row>
    <row r="952" spans="1:13" ht="15" customHeight="1">
      <c r="A952" s="46"/>
      <c r="B952" s="92">
        <v>117.25</v>
      </c>
      <c r="C952" s="48">
        <f t="shared" si="79"/>
        <v>5350</v>
      </c>
      <c r="D952" s="48">
        <f t="shared" si="79"/>
        <v>10700</v>
      </c>
      <c r="E952" s="48">
        <f t="shared" si="79"/>
        <v>21400</v>
      </c>
      <c r="F952" s="48">
        <f t="shared" si="79"/>
        <v>42800</v>
      </c>
      <c r="G952" s="48">
        <f t="shared" si="79"/>
        <v>85600</v>
      </c>
      <c r="H952" s="47">
        <f>H951+((H953-H951)/2)</f>
        <v>171200</v>
      </c>
      <c r="I952" s="49">
        <f>E952*10</f>
        <v>214000</v>
      </c>
      <c r="J952" s="49">
        <f>E952*12</f>
        <v>256800</v>
      </c>
      <c r="L952" s="45">
        <f t="shared" si="74"/>
        <v>171200</v>
      </c>
      <c r="M952" s="92">
        <v>117.25</v>
      </c>
    </row>
    <row r="953" spans="1:13" ht="15" customHeight="1">
      <c r="A953" s="46"/>
      <c r="B953" s="92">
        <v>117.3</v>
      </c>
      <c r="C953" s="49">
        <f t="shared" si="79"/>
        <v>5420</v>
      </c>
      <c r="D953" s="51">
        <f t="shared" si="79"/>
        <v>10840</v>
      </c>
      <c r="E953" s="51">
        <f t="shared" si="79"/>
        <v>21680</v>
      </c>
      <c r="F953" s="51">
        <f t="shared" si="79"/>
        <v>43360</v>
      </c>
      <c r="G953" s="51">
        <f t="shared" si="79"/>
        <v>86720</v>
      </c>
      <c r="H953" s="50">
        <f>H951+4480</f>
        <v>173440</v>
      </c>
      <c r="I953" s="49">
        <f t="shared" si="75"/>
        <v>216800</v>
      </c>
      <c r="J953" s="49">
        <f t="shared" si="76"/>
        <v>260160</v>
      </c>
      <c r="L953" s="45">
        <f t="shared" si="74"/>
        <v>173440</v>
      </c>
      <c r="M953" s="92">
        <v>117.3</v>
      </c>
    </row>
    <row r="954" spans="1:13" ht="15" customHeight="1">
      <c r="A954" s="46"/>
      <c r="B954" s="92">
        <v>117.35</v>
      </c>
      <c r="C954" s="48">
        <f t="shared" si="79"/>
        <v>5490</v>
      </c>
      <c r="D954" s="48">
        <f t="shared" si="79"/>
        <v>10980</v>
      </c>
      <c r="E954" s="48">
        <f t="shared" si="79"/>
        <v>21960</v>
      </c>
      <c r="F954" s="48">
        <f t="shared" si="79"/>
        <v>43920</v>
      </c>
      <c r="G954" s="48">
        <f t="shared" si="79"/>
        <v>87840</v>
      </c>
      <c r="H954" s="47">
        <f>H953+((H955-H953)/2)</f>
        <v>175680</v>
      </c>
      <c r="I954" s="49">
        <f>E954*10</f>
        <v>219600</v>
      </c>
      <c r="J954" s="49">
        <f>E954*12</f>
        <v>263520</v>
      </c>
      <c r="L954" s="45">
        <f t="shared" si="74"/>
        <v>175680</v>
      </c>
      <c r="M954" s="92">
        <v>117.35</v>
      </c>
    </row>
    <row r="955" spans="1:13" ht="15" customHeight="1">
      <c r="A955" s="46"/>
      <c r="B955" s="92">
        <v>117.4</v>
      </c>
      <c r="C955" s="49">
        <f t="shared" si="79"/>
        <v>5560</v>
      </c>
      <c r="D955" s="51">
        <f t="shared" si="79"/>
        <v>11120</v>
      </c>
      <c r="E955" s="51">
        <f t="shared" si="79"/>
        <v>22240</v>
      </c>
      <c r="F955" s="51">
        <f t="shared" si="79"/>
        <v>44480</v>
      </c>
      <c r="G955" s="51">
        <f t="shared" si="79"/>
        <v>88960</v>
      </c>
      <c r="H955" s="50">
        <f>H953+4480</f>
        <v>177920</v>
      </c>
      <c r="I955" s="49">
        <f t="shared" si="75"/>
        <v>222400</v>
      </c>
      <c r="J955" s="49">
        <f t="shared" si="76"/>
        <v>266880</v>
      </c>
      <c r="L955" s="45">
        <f t="shared" si="74"/>
        <v>177920</v>
      </c>
      <c r="M955" s="92">
        <v>117.4</v>
      </c>
    </row>
    <row r="956" spans="1:13" ht="15" customHeight="1">
      <c r="A956" s="46"/>
      <c r="B956" s="92">
        <v>117.45</v>
      </c>
      <c r="C956" s="48">
        <f t="shared" si="79"/>
        <v>5630</v>
      </c>
      <c r="D956" s="48">
        <f t="shared" si="79"/>
        <v>11260</v>
      </c>
      <c r="E956" s="48">
        <f t="shared" si="79"/>
        <v>22520</v>
      </c>
      <c r="F956" s="48">
        <f t="shared" si="79"/>
        <v>45040</v>
      </c>
      <c r="G956" s="48">
        <f t="shared" si="79"/>
        <v>90080</v>
      </c>
      <c r="H956" s="47">
        <f>H955+((H957-H955)/2)</f>
        <v>180160</v>
      </c>
      <c r="I956" s="49">
        <f>E956*10</f>
        <v>225200</v>
      </c>
      <c r="J956" s="49">
        <f>E956*12</f>
        <v>270240</v>
      </c>
      <c r="L956" s="45">
        <f t="shared" si="74"/>
        <v>180160</v>
      </c>
      <c r="M956" s="92">
        <v>117.45</v>
      </c>
    </row>
    <row r="957" spans="1:13" ht="15" customHeight="1">
      <c r="A957" s="46"/>
      <c r="B957" s="92">
        <v>117.5</v>
      </c>
      <c r="C957" s="49">
        <f t="shared" si="79"/>
        <v>5700</v>
      </c>
      <c r="D957" s="51">
        <f t="shared" si="79"/>
        <v>11400</v>
      </c>
      <c r="E957" s="51">
        <f t="shared" si="79"/>
        <v>22800</v>
      </c>
      <c r="F957" s="51">
        <f t="shared" si="79"/>
        <v>45600</v>
      </c>
      <c r="G957" s="51">
        <f t="shared" si="79"/>
        <v>91200</v>
      </c>
      <c r="H957" s="50">
        <f>H955+4480</f>
        <v>182400</v>
      </c>
      <c r="I957" s="49">
        <f t="shared" si="75"/>
        <v>228000</v>
      </c>
      <c r="J957" s="49">
        <f t="shared" si="76"/>
        <v>273600</v>
      </c>
      <c r="L957" s="45">
        <f t="shared" si="74"/>
        <v>182400</v>
      </c>
      <c r="M957" s="92">
        <v>117.5</v>
      </c>
    </row>
    <row r="958" spans="1:13" ht="15" customHeight="1">
      <c r="A958" s="46"/>
      <c r="B958" s="92">
        <v>117.55</v>
      </c>
      <c r="C958" s="48">
        <f t="shared" si="79"/>
        <v>5770</v>
      </c>
      <c r="D958" s="48">
        <f t="shared" si="79"/>
        <v>11540</v>
      </c>
      <c r="E958" s="48">
        <f t="shared" si="79"/>
        <v>23080</v>
      </c>
      <c r="F958" s="48">
        <f t="shared" si="79"/>
        <v>46160</v>
      </c>
      <c r="G958" s="48">
        <f t="shared" si="79"/>
        <v>92320</v>
      </c>
      <c r="H958" s="47">
        <f>H957+((H959-H957)/2)</f>
        <v>184640</v>
      </c>
      <c r="I958" s="49">
        <f>E958*10</f>
        <v>230800</v>
      </c>
      <c r="J958" s="49">
        <f>E958*12</f>
        <v>276960</v>
      </c>
      <c r="L958" s="45">
        <f t="shared" si="74"/>
        <v>184640</v>
      </c>
      <c r="M958" s="92">
        <v>117.55</v>
      </c>
    </row>
    <row r="959" spans="1:13" ht="15" customHeight="1">
      <c r="A959" s="46"/>
      <c r="B959" s="92">
        <v>117.6</v>
      </c>
      <c r="C959" s="49">
        <f t="shared" si="79"/>
        <v>5840</v>
      </c>
      <c r="D959" s="51">
        <f t="shared" si="79"/>
        <v>11680</v>
      </c>
      <c r="E959" s="51">
        <f t="shared" si="79"/>
        <v>23360</v>
      </c>
      <c r="F959" s="51">
        <f t="shared" si="79"/>
        <v>46720</v>
      </c>
      <c r="G959" s="51">
        <f t="shared" si="79"/>
        <v>93440</v>
      </c>
      <c r="H959" s="50">
        <f>H957+4480</f>
        <v>186880</v>
      </c>
      <c r="I959" s="49">
        <f t="shared" si="75"/>
        <v>233600</v>
      </c>
      <c r="J959" s="49">
        <f t="shared" si="76"/>
        <v>280320</v>
      </c>
      <c r="L959" s="45">
        <f t="shared" si="74"/>
        <v>186880</v>
      </c>
      <c r="M959" s="92">
        <v>117.6</v>
      </c>
    </row>
    <row r="960" spans="1:13" ht="15" customHeight="1">
      <c r="A960" s="46"/>
      <c r="B960" s="92">
        <v>117.65</v>
      </c>
      <c r="C960" s="48">
        <f t="shared" si="79"/>
        <v>5910</v>
      </c>
      <c r="D960" s="48">
        <f t="shared" si="79"/>
        <v>11820</v>
      </c>
      <c r="E960" s="48">
        <f t="shared" si="79"/>
        <v>23640</v>
      </c>
      <c r="F960" s="48">
        <f t="shared" si="79"/>
        <v>47280</v>
      </c>
      <c r="G960" s="48">
        <f t="shared" si="79"/>
        <v>94560</v>
      </c>
      <c r="H960" s="47">
        <f>H959+((H961-H959)/2)</f>
        <v>189120</v>
      </c>
      <c r="I960" s="49">
        <f>E960*10</f>
        <v>236400</v>
      </c>
      <c r="J960" s="49">
        <f>E960*12</f>
        <v>283680</v>
      </c>
      <c r="L960" s="45">
        <f t="shared" si="74"/>
        <v>189120</v>
      </c>
      <c r="M960" s="92">
        <v>117.65</v>
      </c>
    </row>
    <row r="961" spans="1:13" ht="15" customHeight="1">
      <c r="A961" s="46"/>
      <c r="B961" s="92">
        <v>117.7</v>
      </c>
      <c r="C961" s="49">
        <f t="shared" si="79"/>
        <v>5980</v>
      </c>
      <c r="D961" s="51">
        <f t="shared" si="79"/>
        <v>11960</v>
      </c>
      <c r="E961" s="51">
        <f t="shared" si="79"/>
        <v>23920</v>
      </c>
      <c r="F961" s="51">
        <f t="shared" si="79"/>
        <v>47840</v>
      </c>
      <c r="G961" s="51">
        <f t="shared" si="79"/>
        <v>95680</v>
      </c>
      <c r="H961" s="50">
        <f>H959+4480</f>
        <v>191360</v>
      </c>
      <c r="I961" s="49">
        <f t="shared" si="75"/>
        <v>239200</v>
      </c>
      <c r="J961" s="49">
        <f t="shared" si="76"/>
        <v>287040</v>
      </c>
      <c r="L961" s="45">
        <f t="shared" si="74"/>
        <v>191360</v>
      </c>
      <c r="M961" s="92">
        <v>117.7</v>
      </c>
    </row>
    <row r="962" spans="1:13" ht="15" customHeight="1">
      <c r="A962" s="46"/>
      <c r="B962" s="92">
        <v>117.75</v>
      </c>
      <c r="C962" s="48">
        <f t="shared" si="79"/>
        <v>6050</v>
      </c>
      <c r="D962" s="48">
        <f t="shared" si="79"/>
        <v>12100</v>
      </c>
      <c r="E962" s="48">
        <f t="shared" si="79"/>
        <v>24200</v>
      </c>
      <c r="F962" s="48">
        <f t="shared" si="79"/>
        <v>48400</v>
      </c>
      <c r="G962" s="48">
        <f t="shared" si="79"/>
        <v>96800</v>
      </c>
      <c r="H962" s="47">
        <f>H961+((H963-H961)/2)</f>
        <v>193600</v>
      </c>
      <c r="I962" s="49">
        <f>E962*10</f>
        <v>242000</v>
      </c>
      <c r="J962" s="49">
        <f>E962*12</f>
        <v>290400</v>
      </c>
      <c r="L962" s="45">
        <f t="shared" si="74"/>
        <v>193600</v>
      </c>
      <c r="M962" s="92">
        <v>117.75</v>
      </c>
    </row>
    <row r="963" spans="1:13" ht="15" customHeight="1">
      <c r="A963" s="46"/>
      <c r="B963" s="92">
        <v>117.8</v>
      </c>
      <c r="C963" s="49">
        <f t="shared" si="79"/>
        <v>6120</v>
      </c>
      <c r="D963" s="51">
        <f t="shared" si="79"/>
        <v>12240</v>
      </c>
      <c r="E963" s="51">
        <f t="shared" si="79"/>
        <v>24480</v>
      </c>
      <c r="F963" s="51">
        <f t="shared" si="79"/>
        <v>48960</v>
      </c>
      <c r="G963" s="51">
        <f t="shared" si="79"/>
        <v>97920</v>
      </c>
      <c r="H963" s="50">
        <f>H961+4480</f>
        <v>195840</v>
      </c>
      <c r="I963" s="49">
        <f t="shared" si="75"/>
        <v>244800</v>
      </c>
      <c r="J963" s="49">
        <f t="shared" si="76"/>
        <v>293760</v>
      </c>
      <c r="L963" s="45">
        <f t="shared" si="74"/>
        <v>195840</v>
      </c>
      <c r="M963" s="92">
        <v>117.8</v>
      </c>
    </row>
    <row r="964" spans="1:13" ht="15" customHeight="1">
      <c r="A964" s="46"/>
      <c r="B964" s="92">
        <v>117.85</v>
      </c>
      <c r="C964" s="48">
        <f t="shared" si="79"/>
        <v>6190</v>
      </c>
      <c r="D964" s="48">
        <f t="shared" si="79"/>
        <v>12380</v>
      </c>
      <c r="E964" s="48">
        <f t="shared" si="79"/>
        <v>24760</v>
      </c>
      <c r="F964" s="48">
        <f t="shared" si="79"/>
        <v>49520</v>
      </c>
      <c r="G964" s="48">
        <f t="shared" si="79"/>
        <v>99040</v>
      </c>
      <c r="H964" s="47">
        <f>H963+((H965-H963)/2)</f>
        <v>198080</v>
      </c>
      <c r="I964" s="49">
        <f>E964*10</f>
        <v>247600</v>
      </c>
      <c r="J964" s="49">
        <f>E964*12</f>
        <v>297120</v>
      </c>
      <c r="L964" s="45">
        <f t="shared" si="74"/>
        <v>198080</v>
      </c>
      <c r="M964" s="92">
        <v>117.85</v>
      </c>
    </row>
    <row r="965" spans="1:13" ht="15" customHeight="1">
      <c r="A965" s="46"/>
      <c r="B965" s="92">
        <v>117.9</v>
      </c>
      <c r="C965" s="49">
        <f t="shared" si="79"/>
        <v>6260</v>
      </c>
      <c r="D965" s="51">
        <f t="shared" si="79"/>
        <v>12520</v>
      </c>
      <c r="E965" s="51">
        <f t="shared" si="79"/>
        <v>25040</v>
      </c>
      <c r="F965" s="51">
        <f t="shared" si="79"/>
        <v>50080</v>
      </c>
      <c r="G965" s="51">
        <f t="shared" si="79"/>
        <v>100160</v>
      </c>
      <c r="H965" s="50">
        <f>H963+4480</f>
        <v>200320</v>
      </c>
      <c r="I965" s="49">
        <f t="shared" si="75"/>
        <v>250400</v>
      </c>
      <c r="J965" s="49">
        <f t="shared" si="76"/>
        <v>300480</v>
      </c>
      <c r="L965" s="45">
        <f t="shared" si="74"/>
        <v>200320</v>
      </c>
      <c r="M965" s="92">
        <v>117.9</v>
      </c>
    </row>
    <row r="966" spans="1:13" ht="15" customHeight="1">
      <c r="A966" s="46"/>
      <c r="B966" s="92">
        <v>117.95</v>
      </c>
      <c r="C966" s="88">
        <f>D966/2</f>
        <v>6330</v>
      </c>
      <c r="D966" s="88">
        <f>E966/2</f>
        <v>12660</v>
      </c>
      <c r="E966" s="88">
        <f>F966/2</f>
        <v>25320</v>
      </c>
      <c r="F966" s="88">
        <f>G966/2</f>
        <v>50640</v>
      </c>
      <c r="G966" s="88">
        <f>H966/2</f>
        <v>101280</v>
      </c>
      <c r="H966" s="89">
        <f>H965+((H967-H965)/2)</f>
        <v>202560</v>
      </c>
      <c r="I966" s="88">
        <f>E966*10</f>
        <v>253200</v>
      </c>
      <c r="J966" s="88">
        <f>E966*12</f>
        <v>303840</v>
      </c>
      <c r="L966" s="45">
        <f t="shared" si="74"/>
        <v>202560</v>
      </c>
      <c r="M966" s="92">
        <v>117.95</v>
      </c>
    </row>
    <row r="967" spans="1:13" ht="15" customHeight="1">
      <c r="A967" s="46"/>
      <c r="B967" s="92">
        <v>118</v>
      </c>
      <c r="C967" s="88">
        <f t="shared" ref="C967:G985" si="80">D967/2</f>
        <v>6400</v>
      </c>
      <c r="D967" s="88">
        <f t="shared" si="80"/>
        <v>12800</v>
      </c>
      <c r="E967" s="88">
        <f t="shared" si="80"/>
        <v>25600</v>
      </c>
      <c r="F967" s="88">
        <f t="shared" si="80"/>
        <v>51200</v>
      </c>
      <c r="G967" s="88">
        <f t="shared" si="80"/>
        <v>102400</v>
      </c>
      <c r="H967" s="90">
        <f>H907*2</f>
        <v>204800</v>
      </c>
      <c r="I967" s="88">
        <f t="shared" si="75"/>
        <v>256000</v>
      </c>
      <c r="J967" s="88">
        <f t="shared" si="76"/>
        <v>307200</v>
      </c>
      <c r="L967" s="45">
        <f t="shared" si="74"/>
        <v>204800</v>
      </c>
      <c r="M967" s="92">
        <v>118</v>
      </c>
    </row>
    <row r="968" spans="1:13" ht="15" customHeight="1">
      <c r="A968" s="46"/>
      <c r="B968" s="92">
        <v>118.05</v>
      </c>
      <c r="C968" s="88">
        <f t="shared" si="80"/>
        <v>6480</v>
      </c>
      <c r="D968" s="88">
        <f t="shared" si="80"/>
        <v>12960</v>
      </c>
      <c r="E968" s="88">
        <f t="shared" si="80"/>
        <v>25920</v>
      </c>
      <c r="F968" s="88">
        <f t="shared" si="80"/>
        <v>51840</v>
      </c>
      <c r="G968" s="88">
        <f t="shared" si="80"/>
        <v>103680</v>
      </c>
      <c r="H968" s="89">
        <f>H967+((H969-H967)/2)</f>
        <v>207360</v>
      </c>
      <c r="I968" s="88">
        <f>E968*10</f>
        <v>259200</v>
      </c>
      <c r="J968" s="88">
        <f>E968*12</f>
        <v>311040</v>
      </c>
      <c r="L968" s="45">
        <f t="shared" ref="L968:L1031" si="81">+H968</f>
        <v>207360</v>
      </c>
      <c r="M968" s="92">
        <v>118.05</v>
      </c>
    </row>
    <row r="969" spans="1:13" ht="15" customHeight="1">
      <c r="A969" s="46"/>
      <c r="B969" s="92">
        <v>118.1</v>
      </c>
      <c r="C969" s="88">
        <f t="shared" si="80"/>
        <v>6560</v>
      </c>
      <c r="D969" s="88">
        <f t="shared" si="80"/>
        <v>13120</v>
      </c>
      <c r="E969" s="88">
        <f t="shared" si="80"/>
        <v>26240</v>
      </c>
      <c r="F969" s="88">
        <f t="shared" si="80"/>
        <v>52480</v>
      </c>
      <c r="G969" s="88">
        <f t="shared" si="80"/>
        <v>104960</v>
      </c>
      <c r="H969" s="89">
        <f>H967+((H987-H967)/10)</f>
        <v>209920</v>
      </c>
      <c r="I969" s="88">
        <f t="shared" si="75"/>
        <v>262400</v>
      </c>
      <c r="J969" s="88">
        <f t="shared" si="76"/>
        <v>314880</v>
      </c>
      <c r="L969" s="45">
        <f t="shared" si="81"/>
        <v>209920</v>
      </c>
      <c r="M969" s="92">
        <v>118.1</v>
      </c>
    </row>
    <row r="970" spans="1:13" ht="15" customHeight="1">
      <c r="A970" s="46"/>
      <c r="B970" s="92">
        <v>118.15</v>
      </c>
      <c r="C970" s="88">
        <f t="shared" si="80"/>
        <v>6640</v>
      </c>
      <c r="D970" s="88">
        <f t="shared" si="80"/>
        <v>13280</v>
      </c>
      <c r="E970" s="88">
        <f t="shared" si="80"/>
        <v>26560</v>
      </c>
      <c r="F970" s="88">
        <f t="shared" si="80"/>
        <v>53120</v>
      </c>
      <c r="G970" s="88">
        <f t="shared" si="80"/>
        <v>106240</v>
      </c>
      <c r="H970" s="89">
        <f>H969+((H971-H969)/2)</f>
        <v>212480</v>
      </c>
      <c r="I970" s="88">
        <f>E970*10</f>
        <v>265600</v>
      </c>
      <c r="J970" s="88">
        <f>E970*12</f>
        <v>318720</v>
      </c>
      <c r="L970" s="45">
        <f t="shared" si="81"/>
        <v>212480</v>
      </c>
      <c r="M970" s="92">
        <v>118.15</v>
      </c>
    </row>
    <row r="971" spans="1:13" ht="15" customHeight="1">
      <c r="A971" s="46"/>
      <c r="B971" s="92">
        <v>118.2</v>
      </c>
      <c r="C971" s="88">
        <f t="shared" si="80"/>
        <v>6720</v>
      </c>
      <c r="D971" s="88">
        <f t="shared" si="80"/>
        <v>13440</v>
      </c>
      <c r="E971" s="88">
        <f t="shared" si="80"/>
        <v>26880</v>
      </c>
      <c r="F971" s="88">
        <f t="shared" si="80"/>
        <v>53760</v>
      </c>
      <c r="G971" s="88">
        <f t="shared" si="80"/>
        <v>107520</v>
      </c>
      <c r="H971" s="90">
        <f>H969+5120</f>
        <v>215040</v>
      </c>
      <c r="I971" s="88">
        <f t="shared" si="75"/>
        <v>268800</v>
      </c>
      <c r="J971" s="88">
        <f t="shared" si="76"/>
        <v>322560</v>
      </c>
      <c r="L971" s="45">
        <f t="shared" si="81"/>
        <v>215040</v>
      </c>
      <c r="M971" s="92">
        <v>118.2</v>
      </c>
    </row>
    <row r="972" spans="1:13" ht="15" customHeight="1">
      <c r="A972" s="46"/>
      <c r="B972" s="92">
        <v>118.25</v>
      </c>
      <c r="C972" s="88">
        <f t="shared" si="80"/>
        <v>6800</v>
      </c>
      <c r="D972" s="88">
        <f t="shared" si="80"/>
        <v>13600</v>
      </c>
      <c r="E972" s="88">
        <f t="shared" si="80"/>
        <v>27200</v>
      </c>
      <c r="F972" s="88">
        <f t="shared" si="80"/>
        <v>54400</v>
      </c>
      <c r="G972" s="88">
        <f t="shared" si="80"/>
        <v>108800</v>
      </c>
      <c r="H972" s="89">
        <f>H971+((H973-H971)/2)</f>
        <v>217600</v>
      </c>
      <c r="I972" s="88">
        <f>E972*10</f>
        <v>272000</v>
      </c>
      <c r="J972" s="88">
        <f>E972*12</f>
        <v>326400</v>
      </c>
      <c r="L972" s="45">
        <f t="shared" si="81"/>
        <v>217600</v>
      </c>
      <c r="M972" s="92">
        <v>118.25</v>
      </c>
    </row>
    <row r="973" spans="1:13" ht="15" customHeight="1">
      <c r="A973" s="46"/>
      <c r="B973" s="92">
        <v>118.3</v>
      </c>
      <c r="C973" s="88">
        <f t="shared" si="80"/>
        <v>6880</v>
      </c>
      <c r="D973" s="88">
        <f t="shared" si="80"/>
        <v>13760</v>
      </c>
      <c r="E973" s="88">
        <f t="shared" si="80"/>
        <v>27520</v>
      </c>
      <c r="F973" s="88">
        <f t="shared" si="80"/>
        <v>55040</v>
      </c>
      <c r="G973" s="88">
        <f t="shared" si="80"/>
        <v>110080</v>
      </c>
      <c r="H973" s="90">
        <f>H971+5120</f>
        <v>220160</v>
      </c>
      <c r="I973" s="88">
        <f t="shared" si="75"/>
        <v>275200</v>
      </c>
      <c r="J973" s="88">
        <f t="shared" si="76"/>
        <v>330240</v>
      </c>
      <c r="L973" s="45">
        <f t="shared" si="81"/>
        <v>220160</v>
      </c>
      <c r="M973" s="92">
        <v>118.3</v>
      </c>
    </row>
    <row r="974" spans="1:13" ht="15" customHeight="1">
      <c r="A974" s="46"/>
      <c r="B974" s="92">
        <v>118.35</v>
      </c>
      <c r="C974" s="88">
        <f t="shared" si="80"/>
        <v>6960</v>
      </c>
      <c r="D974" s="88">
        <f t="shared" si="80"/>
        <v>13920</v>
      </c>
      <c r="E974" s="88">
        <f t="shared" si="80"/>
        <v>27840</v>
      </c>
      <c r="F974" s="88">
        <f t="shared" si="80"/>
        <v>55680</v>
      </c>
      <c r="G974" s="88">
        <f t="shared" si="80"/>
        <v>111360</v>
      </c>
      <c r="H974" s="89">
        <f>H973+((H975-H973)/2)</f>
        <v>222720</v>
      </c>
      <c r="I974" s="88">
        <f>E974*10</f>
        <v>278400</v>
      </c>
      <c r="J974" s="88">
        <f>E974*12</f>
        <v>334080</v>
      </c>
      <c r="L974" s="45">
        <f t="shared" si="81"/>
        <v>222720</v>
      </c>
      <c r="M974" s="92">
        <v>118.35</v>
      </c>
    </row>
    <row r="975" spans="1:13" ht="15" customHeight="1">
      <c r="A975" s="46"/>
      <c r="B975" s="92">
        <v>118.4</v>
      </c>
      <c r="C975" s="88">
        <f t="shared" si="80"/>
        <v>7040</v>
      </c>
      <c r="D975" s="88">
        <f t="shared" si="80"/>
        <v>14080</v>
      </c>
      <c r="E975" s="88">
        <f t="shared" si="80"/>
        <v>28160</v>
      </c>
      <c r="F975" s="88">
        <f t="shared" si="80"/>
        <v>56320</v>
      </c>
      <c r="G975" s="88">
        <f t="shared" si="80"/>
        <v>112640</v>
      </c>
      <c r="H975" s="90">
        <f>H973+5120</f>
        <v>225280</v>
      </c>
      <c r="I975" s="88">
        <f t="shared" si="75"/>
        <v>281600</v>
      </c>
      <c r="J975" s="88">
        <f t="shared" si="76"/>
        <v>337920</v>
      </c>
      <c r="L975" s="45">
        <f t="shared" si="81"/>
        <v>225280</v>
      </c>
      <c r="M975" s="92">
        <v>118.4</v>
      </c>
    </row>
    <row r="976" spans="1:13" ht="15" customHeight="1">
      <c r="A976" s="46"/>
      <c r="B976" s="92">
        <v>118.45</v>
      </c>
      <c r="C976" s="88">
        <f t="shared" si="80"/>
        <v>7120</v>
      </c>
      <c r="D976" s="88">
        <f t="shared" si="80"/>
        <v>14240</v>
      </c>
      <c r="E976" s="88">
        <f t="shared" si="80"/>
        <v>28480</v>
      </c>
      <c r="F976" s="88">
        <f t="shared" si="80"/>
        <v>56960</v>
      </c>
      <c r="G976" s="88">
        <f t="shared" si="80"/>
        <v>113920</v>
      </c>
      <c r="H976" s="89">
        <f>H975+((H977-H975)/2)</f>
        <v>227840</v>
      </c>
      <c r="I976" s="88">
        <f>E976*10</f>
        <v>284800</v>
      </c>
      <c r="J976" s="88">
        <f>E976*12</f>
        <v>341760</v>
      </c>
      <c r="L976" s="45">
        <f t="shared" si="81"/>
        <v>227840</v>
      </c>
      <c r="M976" s="92">
        <v>118.45</v>
      </c>
    </row>
    <row r="977" spans="1:13" ht="15" customHeight="1">
      <c r="A977" s="46"/>
      <c r="B977" s="92">
        <v>118.5</v>
      </c>
      <c r="C977" s="88">
        <f t="shared" si="80"/>
        <v>7200</v>
      </c>
      <c r="D977" s="88">
        <f t="shared" si="80"/>
        <v>14400</v>
      </c>
      <c r="E977" s="88">
        <f t="shared" si="80"/>
        <v>28800</v>
      </c>
      <c r="F977" s="88">
        <f t="shared" si="80"/>
        <v>57600</v>
      </c>
      <c r="G977" s="88">
        <f t="shared" si="80"/>
        <v>115200</v>
      </c>
      <c r="H977" s="90">
        <f>H975+5120</f>
        <v>230400</v>
      </c>
      <c r="I977" s="88">
        <f t="shared" si="75"/>
        <v>288000</v>
      </c>
      <c r="J977" s="88">
        <f t="shared" si="76"/>
        <v>345600</v>
      </c>
      <c r="L977" s="45">
        <f t="shared" si="81"/>
        <v>230400</v>
      </c>
      <c r="M977" s="92">
        <v>118.5</v>
      </c>
    </row>
    <row r="978" spans="1:13" ht="15" customHeight="1">
      <c r="A978" s="46"/>
      <c r="B978" s="92">
        <v>118.55</v>
      </c>
      <c r="C978" s="88">
        <f t="shared" si="80"/>
        <v>7280</v>
      </c>
      <c r="D978" s="88">
        <f t="shared" si="80"/>
        <v>14560</v>
      </c>
      <c r="E978" s="88">
        <f t="shared" si="80"/>
        <v>29120</v>
      </c>
      <c r="F978" s="88">
        <f t="shared" si="80"/>
        <v>58240</v>
      </c>
      <c r="G978" s="88">
        <f t="shared" si="80"/>
        <v>116480</v>
      </c>
      <c r="H978" s="89">
        <f>H977+((H979-H977)/2)</f>
        <v>232960</v>
      </c>
      <c r="I978" s="88">
        <f>E978*10</f>
        <v>291200</v>
      </c>
      <c r="J978" s="88">
        <f>E978*12</f>
        <v>349440</v>
      </c>
      <c r="L978" s="45">
        <f t="shared" si="81"/>
        <v>232960</v>
      </c>
      <c r="M978" s="92">
        <v>118.55</v>
      </c>
    </row>
    <row r="979" spans="1:13" ht="15" customHeight="1">
      <c r="A979" s="46"/>
      <c r="B979" s="92">
        <v>118.6</v>
      </c>
      <c r="C979" s="88">
        <f t="shared" si="80"/>
        <v>7360</v>
      </c>
      <c r="D979" s="88">
        <f t="shared" si="80"/>
        <v>14720</v>
      </c>
      <c r="E979" s="88">
        <f t="shared" si="80"/>
        <v>29440</v>
      </c>
      <c r="F979" s="88">
        <f t="shared" si="80"/>
        <v>58880</v>
      </c>
      <c r="G979" s="88">
        <f t="shared" si="80"/>
        <v>117760</v>
      </c>
      <c r="H979" s="90">
        <f>H977+5120</f>
        <v>235520</v>
      </c>
      <c r="I979" s="88">
        <f t="shared" si="75"/>
        <v>294400</v>
      </c>
      <c r="J979" s="88">
        <f t="shared" si="76"/>
        <v>353280</v>
      </c>
      <c r="L979" s="45">
        <f t="shared" si="81"/>
        <v>235520</v>
      </c>
      <c r="M979" s="92">
        <v>118.6</v>
      </c>
    </row>
    <row r="980" spans="1:13" ht="15" customHeight="1">
      <c r="A980" s="46"/>
      <c r="B980" s="92">
        <v>118.65</v>
      </c>
      <c r="C980" s="88">
        <f t="shared" si="80"/>
        <v>7440</v>
      </c>
      <c r="D980" s="88">
        <f t="shared" si="80"/>
        <v>14880</v>
      </c>
      <c r="E980" s="88">
        <f t="shared" si="80"/>
        <v>29760</v>
      </c>
      <c r="F980" s="88">
        <f t="shared" si="80"/>
        <v>59520</v>
      </c>
      <c r="G980" s="88">
        <f t="shared" si="80"/>
        <v>119040</v>
      </c>
      <c r="H980" s="89">
        <f>H979+((H981-H979)/2)</f>
        <v>238080</v>
      </c>
      <c r="I980" s="88">
        <f>E980*10</f>
        <v>297600</v>
      </c>
      <c r="J980" s="88">
        <f>E980*12</f>
        <v>357120</v>
      </c>
      <c r="L980" s="45">
        <f t="shared" si="81"/>
        <v>238080</v>
      </c>
      <c r="M980" s="92">
        <v>118.65</v>
      </c>
    </row>
    <row r="981" spans="1:13" ht="15" customHeight="1">
      <c r="A981" s="46"/>
      <c r="B981" s="92">
        <v>118.7</v>
      </c>
      <c r="C981" s="88">
        <f t="shared" si="80"/>
        <v>7520</v>
      </c>
      <c r="D981" s="88">
        <f t="shared" si="80"/>
        <v>15040</v>
      </c>
      <c r="E981" s="88">
        <f t="shared" si="80"/>
        <v>30080</v>
      </c>
      <c r="F981" s="88">
        <f t="shared" si="80"/>
        <v>60160</v>
      </c>
      <c r="G981" s="88">
        <f t="shared" si="80"/>
        <v>120320</v>
      </c>
      <c r="H981" s="90">
        <f>H979+5120</f>
        <v>240640</v>
      </c>
      <c r="I981" s="88">
        <f t="shared" si="75"/>
        <v>300800</v>
      </c>
      <c r="J981" s="88">
        <f t="shared" si="76"/>
        <v>360960</v>
      </c>
      <c r="L981" s="45">
        <f t="shared" si="81"/>
        <v>240640</v>
      </c>
      <c r="M981" s="92">
        <v>118.7</v>
      </c>
    </row>
    <row r="982" spans="1:13" ht="15" customHeight="1">
      <c r="A982" s="46"/>
      <c r="B982" s="92">
        <v>118.75</v>
      </c>
      <c r="C982" s="88">
        <f t="shared" si="80"/>
        <v>7600</v>
      </c>
      <c r="D982" s="88">
        <f t="shared" si="80"/>
        <v>15200</v>
      </c>
      <c r="E982" s="88">
        <f t="shared" si="80"/>
        <v>30400</v>
      </c>
      <c r="F982" s="88">
        <f t="shared" si="80"/>
        <v>60800</v>
      </c>
      <c r="G982" s="88">
        <f t="shared" si="80"/>
        <v>121600</v>
      </c>
      <c r="H982" s="89">
        <f>H981+((H983-H981)/2)</f>
        <v>243200</v>
      </c>
      <c r="I982" s="88">
        <f>E982*10</f>
        <v>304000</v>
      </c>
      <c r="J982" s="88">
        <f>E982*12</f>
        <v>364800</v>
      </c>
      <c r="L982" s="45">
        <f t="shared" si="81"/>
        <v>243200</v>
      </c>
      <c r="M982" s="92">
        <v>118.75</v>
      </c>
    </row>
    <row r="983" spans="1:13" ht="15" customHeight="1">
      <c r="A983" s="46"/>
      <c r="B983" s="92">
        <v>118.8</v>
      </c>
      <c r="C983" s="88">
        <f t="shared" si="80"/>
        <v>7680</v>
      </c>
      <c r="D983" s="88">
        <f t="shared" si="80"/>
        <v>15360</v>
      </c>
      <c r="E983" s="88">
        <f t="shared" si="80"/>
        <v>30720</v>
      </c>
      <c r="F983" s="88">
        <f t="shared" si="80"/>
        <v>61440</v>
      </c>
      <c r="G983" s="88">
        <f t="shared" si="80"/>
        <v>122880</v>
      </c>
      <c r="H983" s="90">
        <f>H981+5120</f>
        <v>245760</v>
      </c>
      <c r="I983" s="88">
        <f t="shared" si="75"/>
        <v>307200</v>
      </c>
      <c r="J983" s="88">
        <f t="shared" si="76"/>
        <v>368640</v>
      </c>
      <c r="L983" s="45">
        <f t="shared" si="81"/>
        <v>245760</v>
      </c>
      <c r="M983" s="92">
        <v>118.8</v>
      </c>
    </row>
    <row r="984" spans="1:13" ht="15" customHeight="1">
      <c r="A984" s="46"/>
      <c r="B984" s="92">
        <v>118.85</v>
      </c>
      <c r="C984" s="88">
        <f t="shared" si="80"/>
        <v>7760</v>
      </c>
      <c r="D984" s="88">
        <f t="shared" si="80"/>
        <v>15520</v>
      </c>
      <c r="E984" s="88">
        <f t="shared" si="80"/>
        <v>31040</v>
      </c>
      <c r="F984" s="88">
        <f t="shared" si="80"/>
        <v>62080</v>
      </c>
      <c r="G984" s="88">
        <f t="shared" si="80"/>
        <v>124160</v>
      </c>
      <c r="H984" s="89">
        <f>H983+((H985-H983)/2)</f>
        <v>248320</v>
      </c>
      <c r="I984" s="88">
        <f>E984*10</f>
        <v>310400</v>
      </c>
      <c r="J984" s="88">
        <f>E984*12</f>
        <v>372480</v>
      </c>
      <c r="L984" s="45">
        <f t="shared" si="81"/>
        <v>248320</v>
      </c>
      <c r="M984" s="92">
        <v>118.85</v>
      </c>
    </row>
    <row r="985" spans="1:13" ht="15" customHeight="1">
      <c r="A985" s="46"/>
      <c r="B985" s="92">
        <v>118.9</v>
      </c>
      <c r="C985" s="88">
        <f t="shared" si="80"/>
        <v>7840</v>
      </c>
      <c r="D985" s="88">
        <f t="shared" si="80"/>
        <v>15680</v>
      </c>
      <c r="E985" s="88">
        <f t="shared" si="80"/>
        <v>31360</v>
      </c>
      <c r="F985" s="88">
        <f t="shared" si="80"/>
        <v>62720</v>
      </c>
      <c r="G985" s="88">
        <f t="shared" si="80"/>
        <v>125440</v>
      </c>
      <c r="H985" s="90">
        <f>H983+5120</f>
        <v>250880</v>
      </c>
      <c r="I985" s="88">
        <f t="shared" si="75"/>
        <v>313600</v>
      </c>
      <c r="J985" s="88">
        <f t="shared" si="76"/>
        <v>376320</v>
      </c>
      <c r="L985" s="45">
        <f t="shared" si="81"/>
        <v>250880</v>
      </c>
      <c r="M985" s="92">
        <v>118.9</v>
      </c>
    </row>
    <row r="986" spans="1:13" ht="15" customHeight="1">
      <c r="A986" s="46"/>
      <c r="B986" s="92">
        <v>118.95</v>
      </c>
      <c r="C986" s="88">
        <f>D986/2</f>
        <v>7920</v>
      </c>
      <c r="D986" s="88">
        <f>E986/2</f>
        <v>15840</v>
      </c>
      <c r="E986" s="88">
        <f>F986/2</f>
        <v>31680</v>
      </c>
      <c r="F986" s="88">
        <f>G986/2</f>
        <v>63360</v>
      </c>
      <c r="G986" s="88">
        <f>H986/2</f>
        <v>126720</v>
      </c>
      <c r="H986" s="89">
        <f>H985+((H987-H985)/2)</f>
        <v>253440</v>
      </c>
      <c r="I986" s="88">
        <f>E986*10</f>
        <v>316800</v>
      </c>
      <c r="J986" s="88">
        <f>E986*12</f>
        <v>380160</v>
      </c>
      <c r="L986" s="45">
        <f t="shared" si="81"/>
        <v>253440</v>
      </c>
      <c r="M986" s="92">
        <v>118.95</v>
      </c>
    </row>
    <row r="987" spans="1:13" ht="15" customHeight="1">
      <c r="A987" s="46"/>
      <c r="B987" s="92">
        <v>119</v>
      </c>
      <c r="C987" s="88">
        <f t="shared" ref="C987:G1003" si="82">D987/2</f>
        <v>8000</v>
      </c>
      <c r="D987" s="88">
        <f t="shared" si="82"/>
        <v>16000</v>
      </c>
      <c r="E987" s="88">
        <f t="shared" si="82"/>
        <v>32000</v>
      </c>
      <c r="F987" s="88">
        <f t="shared" si="82"/>
        <v>64000</v>
      </c>
      <c r="G987" s="88">
        <f t="shared" si="82"/>
        <v>128000</v>
      </c>
      <c r="H987" s="90">
        <f>H927*2</f>
        <v>256000</v>
      </c>
      <c r="I987" s="88">
        <f t="shared" si="75"/>
        <v>320000</v>
      </c>
      <c r="J987" s="88">
        <f t="shared" si="76"/>
        <v>384000</v>
      </c>
      <c r="L987" s="45">
        <f t="shared" si="81"/>
        <v>256000</v>
      </c>
      <c r="M987" s="92">
        <v>119</v>
      </c>
    </row>
    <row r="988" spans="1:13" ht="15" customHeight="1">
      <c r="A988" s="46"/>
      <c r="B988" s="92">
        <v>119.05</v>
      </c>
      <c r="C988" s="88">
        <f t="shared" si="82"/>
        <v>8100</v>
      </c>
      <c r="D988" s="88">
        <f t="shared" si="82"/>
        <v>16200</v>
      </c>
      <c r="E988" s="88">
        <f t="shared" si="82"/>
        <v>32400</v>
      </c>
      <c r="F988" s="88">
        <f t="shared" si="82"/>
        <v>64800</v>
      </c>
      <c r="G988" s="88">
        <f t="shared" si="82"/>
        <v>129600</v>
      </c>
      <c r="H988" s="89">
        <f>H987+((H989-H987)/2)</f>
        <v>259200</v>
      </c>
      <c r="I988" s="88">
        <f>E988*10</f>
        <v>324000</v>
      </c>
      <c r="J988" s="88">
        <f>E988*12</f>
        <v>388800</v>
      </c>
      <c r="L988" s="45">
        <f t="shared" si="81"/>
        <v>259200</v>
      </c>
      <c r="M988" s="92">
        <v>119.05</v>
      </c>
    </row>
    <row r="989" spans="1:13" ht="15" customHeight="1">
      <c r="A989" s="46"/>
      <c r="B989" s="92">
        <v>119.1</v>
      </c>
      <c r="C989" s="88">
        <f t="shared" si="82"/>
        <v>8200</v>
      </c>
      <c r="D989" s="88">
        <f t="shared" si="82"/>
        <v>16400</v>
      </c>
      <c r="E989" s="88">
        <f t="shared" si="82"/>
        <v>32800</v>
      </c>
      <c r="F989" s="88">
        <f t="shared" si="82"/>
        <v>65600</v>
      </c>
      <c r="G989" s="88">
        <f t="shared" si="82"/>
        <v>131200</v>
      </c>
      <c r="H989" s="89">
        <f>H987+((H1007-H987)/10)</f>
        <v>262400</v>
      </c>
      <c r="I989" s="88">
        <f t="shared" si="75"/>
        <v>328000</v>
      </c>
      <c r="J989" s="88">
        <f t="shared" si="76"/>
        <v>393600</v>
      </c>
      <c r="L989" s="45">
        <f t="shared" si="81"/>
        <v>262400</v>
      </c>
      <c r="M989" s="92">
        <v>119.1</v>
      </c>
    </row>
    <row r="990" spans="1:13" ht="15" customHeight="1">
      <c r="A990" s="46"/>
      <c r="B990" s="92">
        <v>119.15</v>
      </c>
      <c r="C990" s="88">
        <f t="shared" si="82"/>
        <v>8300</v>
      </c>
      <c r="D990" s="88">
        <f t="shared" si="82"/>
        <v>16600</v>
      </c>
      <c r="E990" s="88">
        <f t="shared" si="82"/>
        <v>33200</v>
      </c>
      <c r="F990" s="88">
        <f t="shared" si="82"/>
        <v>66400</v>
      </c>
      <c r="G990" s="88">
        <f t="shared" si="82"/>
        <v>132800</v>
      </c>
      <c r="H990" s="89">
        <f>H989+((H991-H989)/2)</f>
        <v>265600</v>
      </c>
      <c r="I990" s="88">
        <f>E990*10</f>
        <v>332000</v>
      </c>
      <c r="J990" s="88">
        <f>E990*12</f>
        <v>398400</v>
      </c>
      <c r="L990" s="45">
        <f t="shared" si="81"/>
        <v>265600</v>
      </c>
      <c r="M990" s="92">
        <v>119.15</v>
      </c>
    </row>
    <row r="991" spans="1:13" ht="15" customHeight="1">
      <c r="A991" s="46"/>
      <c r="B991" s="92">
        <v>119.2</v>
      </c>
      <c r="C991" s="88">
        <f t="shared" si="82"/>
        <v>8400</v>
      </c>
      <c r="D991" s="88">
        <f t="shared" si="82"/>
        <v>16800</v>
      </c>
      <c r="E991" s="88">
        <f t="shared" si="82"/>
        <v>33600</v>
      </c>
      <c r="F991" s="88">
        <f t="shared" si="82"/>
        <v>67200</v>
      </c>
      <c r="G991" s="88">
        <f t="shared" si="82"/>
        <v>134400</v>
      </c>
      <c r="H991" s="90">
        <f>H989+6400</f>
        <v>268800</v>
      </c>
      <c r="I991" s="88">
        <f t="shared" si="75"/>
        <v>336000</v>
      </c>
      <c r="J991" s="88">
        <f t="shared" si="76"/>
        <v>403200</v>
      </c>
      <c r="L991" s="45">
        <f t="shared" si="81"/>
        <v>268800</v>
      </c>
      <c r="M991" s="92">
        <v>119.2</v>
      </c>
    </row>
    <row r="992" spans="1:13" ht="15" customHeight="1">
      <c r="A992" s="46"/>
      <c r="B992" s="92">
        <v>119.25</v>
      </c>
      <c r="C992" s="88">
        <f t="shared" si="82"/>
        <v>8500</v>
      </c>
      <c r="D992" s="88">
        <f t="shared" si="82"/>
        <v>17000</v>
      </c>
      <c r="E992" s="88">
        <f t="shared" si="82"/>
        <v>34000</v>
      </c>
      <c r="F992" s="88">
        <f t="shared" si="82"/>
        <v>68000</v>
      </c>
      <c r="G992" s="88">
        <f t="shared" si="82"/>
        <v>136000</v>
      </c>
      <c r="H992" s="89">
        <f>H991+((H993-H991)/2)</f>
        <v>272000</v>
      </c>
      <c r="I992" s="88">
        <f>E992*10</f>
        <v>340000</v>
      </c>
      <c r="J992" s="88">
        <f>E992*12</f>
        <v>408000</v>
      </c>
      <c r="L992" s="45">
        <f t="shared" si="81"/>
        <v>272000</v>
      </c>
      <c r="M992" s="92">
        <v>119.25</v>
      </c>
    </row>
    <row r="993" spans="1:13" ht="15" customHeight="1">
      <c r="A993" s="46"/>
      <c r="B993" s="92">
        <v>119.3</v>
      </c>
      <c r="C993" s="88">
        <f t="shared" si="82"/>
        <v>8600</v>
      </c>
      <c r="D993" s="88">
        <f t="shared" si="82"/>
        <v>17200</v>
      </c>
      <c r="E993" s="88">
        <f t="shared" si="82"/>
        <v>34400</v>
      </c>
      <c r="F993" s="88">
        <f t="shared" si="82"/>
        <v>68800</v>
      </c>
      <c r="G993" s="88">
        <f t="shared" si="82"/>
        <v>137600</v>
      </c>
      <c r="H993" s="90">
        <f>H991+6400</f>
        <v>275200</v>
      </c>
      <c r="I993" s="88">
        <f t="shared" si="75"/>
        <v>344000</v>
      </c>
      <c r="J993" s="88">
        <f t="shared" si="76"/>
        <v>412800</v>
      </c>
      <c r="L993" s="45">
        <f t="shared" si="81"/>
        <v>275200</v>
      </c>
      <c r="M993" s="92">
        <v>119.3</v>
      </c>
    </row>
    <row r="994" spans="1:13" ht="15" customHeight="1">
      <c r="A994" s="46"/>
      <c r="B994" s="92">
        <v>119.35</v>
      </c>
      <c r="C994" s="88">
        <f t="shared" si="82"/>
        <v>8700</v>
      </c>
      <c r="D994" s="88">
        <f t="shared" si="82"/>
        <v>17400</v>
      </c>
      <c r="E994" s="88">
        <f t="shared" si="82"/>
        <v>34800</v>
      </c>
      <c r="F994" s="88">
        <f t="shared" si="82"/>
        <v>69600</v>
      </c>
      <c r="G994" s="88">
        <f t="shared" si="82"/>
        <v>139200</v>
      </c>
      <c r="H994" s="89">
        <f>H993+((H995-H993)/2)</f>
        <v>278400</v>
      </c>
      <c r="I994" s="88">
        <f>E994*10</f>
        <v>348000</v>
      </c>
      <c r="J994" s="88">
        <f>E994*12</f>
        <v>417600</v>
      </c>
      <c r="L994" s="45">
        <f t="shared" si="81"/>
        <v>278400</v>
      </c>
      <c r="M994" s="92">
        <v>119.35</v>
      </c>
    </row>
    <row r="995" spans="1:13" ht="15" customHeight="1">
      <c r="A995" s="46"/>
      <c r="B995" s="92">
        <v>119.4</v>
      </c>
      <c r="C995" s="88">
        <f t="shared" si="82"/>
        <v>8800</v>
      </c>
      <c r="D995" s="88">
        <f t="shared" si="82"/>
        <v>17600</v>
      </c>
      <c r="E995" s="88">
        <f t="shared" si="82"/>
        <v>35200</v>
      </c>
      <c r="F995" s="88">
        <f t="shared" si="82"/>
        <v>70400</v>
      </c>
      <c r="G995" s="88">
        <f t="shared" si="82"/>
        <v>140800</v>
      </c>
      <c r="H995" s="90">
        <f>H993+6400</f>
        <v>281600</v>
      </c>
      <c r="I995" s="88">
        <f t="shared" si="75"/>
        <v>352000</v>
      </c>
      <c r="J995" s="88">
        <f t="shared" si="76"/>
        <v>422400</v>
      </c>
      <c r="L995" s="45">
        <f t="shared" si="81"/>
        <v>281600</v>
      </c>
      <c r="M995" s="92">
        <v>119.4</v>
      </c>
    </row>
    <row r="996" spans="1:13" ht="15" customHeight="1">
      <c r="A996" s="46"/>
      <c r="B996" s="92">
        <v>119.45</v>
      </c>
      <c r="C996" s="88">
        <f t="shared" si="82"/>
        <v>8900</v>
      </c>
      <c r="D996" s="88">
        <f t="shared" si="82"/>
        <v>17800</v>
      </c>
      <c r="E996" s="88">
        <f t="shared" si="82"/>
        <v>35600</v>
      </c>
      <c r="F996" s="88">
        <f t="shared" si="82"/>
        <v>71200</v>
      </c>
      <c r="G996" s="88">
        <f t="shared" si="82"/>
        <v>142400</v>
      </c>
      <c r="H996" s="89">
        <f>H995+((H997-H995)/2)</f>
        <v>284800</v>
      </c>
      <c r="I996" s="88">
        <f>E996*10</f>
        <v>356000</v>
      </c>
      <c r="J996" s="88">
        <f>E996*12</f>
        <v>427200</v>
      </c>
      <c r="L996" s="45">
        <f t="shared" si="81"/>
        <v>284800</v>
      </c>
      <c r="M996" s="92">
        <v>119.45</v>
      </c>
    </row>
    <row r="997" spans="1:13" ht="15" customHeight="1">
      <c r="A997" s="46"/>
      <c r="B997" s="92">
        <v>119.5</v>
      </c>
      <c r="C997" s="88">
        <f t="shared" si="82"/>
        <v>9000</v>
      </c>
      <c r="D997" s="88">
        <f t="shared" si="82"/>
        <v>18000</v>
      </c>
      <c r="E997" s="88">
        <f t="shared" si="82"/>
        <v>36000</v>
      </c>
      <c r="F997" s="88">
        <f t="shared" si="82"/>
        <v>72000</v>
      </c>
      <c r="G997" s="88">
        <f t="shared" si="82"/>
        <v>144000</v>
      </c>
      <c r="H997" s="90">
        <f>H995+6400</f>
        <v>288000</v>
      </c>
      <c r="I997" s="88">
        <f t="shared" si="75"/>
        <v>360000</v>
      </c>
      <c r="J997" s="88">
        <f t="shared" si="76"/>
        <v>432000</v>
      </c>
      <c r="L997" s="45">
        <f t="shared" si="81"/>
        <v>288000</v>
      </c>
      <c r="M997" s="92">
        <v>119.5</v>
      </c>
    </row>
    <row r="998" spans="1:13" ht="15" customHeight="1">
      <c r="A998" s="46"/>
      <c r="B998" s="92">
        <v>119.55</v>
      </c>
      <c r="C998" s="88">
        <f t="shared" si="82"/>
        <v>9100</v>
      </c>
      <c r="D998" s="88">
        <f t="shared" si="82"/>
        <v>18200</v>
      </c>
      <c r="E998" s="88">
        <f t="shared" si="82"/>
        <v>36400</v>
      </c>
      <c r="F998" s="88">
        <f t="shared" si="82"/>
        <v>72800</v>
      </c>
      <c r="G998" s="88">
        <f t="shared" si="82"/>
        <v>145600</v>
      </c>
      <c r="H998" s="89">
        <f>H997+((H999-H997)/2)</f>
        <v>291200</v>
      </c>
      <c r="I998" s="88">
        <f>E998*10</f>
        <v>364000</v>
      </c>
      <c r="J998" s="88">
        <f>E998*12</f>
        <v>436800</v>
      </c>
      <c r="L998" s="45">
        <f t="shared" si="81"/>
        <v>291200</v>
      </c>
      <c r="M998" s="92">
        <v>119.55</v>
      </c>
    </row>
    <row r="999" spans="1:13" ht="15" customHeight="1">
      <c r="A999" s="46"/>
      <c r="B999" s="92">
        <v>119.6</v>
      </c>
      <c r="C999" s="88">
        <f t="shared" si="82"/>
        <v>9200</v>
      </c>
      <c r="D999" s="88">
        <f t="shared" si="82"/>
        <v>18400</v>
      </c>
      <c r="E999" s="88">
        <f t="shared" si="82"/>
        <v>36800</v>
      </c>
      <c r="F999" s="88">
        <f t="shared" si="82"/>
        <v>73600</v>
      </c>
      <c r="G999" s="88">
        <f t="shared" si="82"/>
        <v>147200</v>
      </c>
      <c r="H999" s="90">
        <f>H997+6400</f>
        <v>294400</v>
      </c>
      <c r="I999" s="88">
        <f t="shared" si="75"/>
        <v>368000</v>
      </c>
      <c r="J999" s="88">
        <f t="shared" si="76"/>
        <v>441600</v>
      </c>
      <c r="L999" s="45">
        <f t="shared" si="81"/>
        <v>294400</v>
      </c>
      <c r="M999" s="92">
        <v>119.6</v>
      </c>
    </row>
    <row r="1000" spans="1:13" ht="15" customHeight="1">
      <c r="A1000" s="46"/>
      <c r="B1000" s="92">
        <v>119.65</v>
      </c>
      <c r="C1000" s="88">
        <f t="shared" si="82"/>
        <v>9300</v>
      </c>
      <c r="D1000" s="88">
        <f t="shared" si="82"/>
        <v>18600</v>
      </c>
      <c r="E1000" s="88">
        <f t="shared" si="82"/>
        <v>37200</v>
      </c>
      <c r="F1000" s="88">
        <f t="shared" si="82"/>
        <v>74400</v>
      </c>
      <c r="G1000" s="88">
        <f t="shared" si="82"/>
        <v>148800</v>
      </c>
      <c r="H1000" s="89">
        <f>H999+((H1001-H999)/2)</f>
        <v>297600</v>
      </c>
      <c r="I1000" s="88">
        <f>E1000*10</f>
        <v>372000</v>
      </c>
      <c r="J1000" s="88">
        <f>E1000*12</f>
        <v>446400</v>
      </c>
      <c r="L1000" s="45">
        <f t="shared" si="81"/>
        <v>297600</v>
      </c>
      <c r="M1000" s="92">
        <v>119.65</v>
      </c>
    </row>
    <row r="1001" spans="1:13" ht="15" customHeight="1">
      <c r="A1001" s="46"/>
      <c r="B1001" s="92">
        <v>119.7</v>
      </c>
      <c r="C1001" s="88">
        <f t="shared" si="82"/>
        <v>9400</v>
      </c>
      <c r="D1001" s="88">
        <f t="shared" si="82"/>
        <v>18800</v>
      </c>
      <c r="E1001" s="88">
        <f t="shared" si="82"/>
        <v>37600</v>
      </c>
      <c r="F1001" s="88">
        <f t="shared" si="82"/>
        <v>75200</v>
      </c>
      <c r="G1001" s="88">
        <f t="shared" si="82"/>
        <v>150400</v>
      </c>
      <c r="H1001" s="90">
        <f>H999+6400</f>
        <v>300800</v>
      </c>
      <c r="I1001" s="88">
        <f t="shared" si="75"/>
        <v>376000</v>
      </c>
      <c r="J1001" s="88">
        <f t="shared" si="76"/>
        <v>451200</v>
      </c>
      <c r="L1001" s="45">
        <f t="shared" si="81"/>
        <v>300800</v>
      </c>
      <c r="M1001" s="92">
        <v>119.7</v>
      </c>
    </row>
    <row r="1002" spans="1:13" ht="15" customHeight="1">
      <c r="A1002" s="46"/>
      <c r="B1002" s="92">
        <v>119.75</v>
      </c>
      <c r="C1002" s="88">
        <f t="shared" si="82"/>
        <v>9500</v>
      </c>
      <c r="D1002" s="88">
        <f t="shared" si="82"/>
        <v>19000</v>
      </c>
      <c r="E1002" s="88">
        <f t="shared" si="82"/>
        <v>38000</v>
      </c>
      <c r="F1002" s="88">
        <f t="shared" si="82"/>
        <v>76000</v>
      </c>
      <c r="G1002" s="88">
        <f t="shared" si="82"/>
        <v>152000</v>
      </c>
      <c r="H1002" s="89">
        <f>H1001+((H1003-H1001)/2)</f>
        <v>304000</v>
      </c>
      <c r="I1002" s="88">
        <f>E1002*10</f>
        <v>380000</v>
      </c>
      <c r="J1002" s="88">
        <f>E1002*12</f>
        <v>456000</v>
      </c>
      <c r="L1002" s="45">
        <f t="shared" si="81"/>
        <v>304000</v>
      </c>
      <c r="M1002" s="92">
        <v>119.75</v>
      </c>
    </row>
    <row r="1003" spans="1:13" ht="15" customHeight="1">
      <c r="A1003" s="46"/>
      <c r="B1003" s="92">
        <v>119.8</v>
      </c>
      <c r="C1003" s="88">
        <f t="shared" si="82"/>
        <v>9600</v>
      </c>
      <c r="D1003" s="88">
        <f t="shared" si="82"/>
        <v>19200</v>
      </c>
      <c r="E1003" s="88">
        <f t="shared" si="82"/>
        <v>38400</v>
      </c>
      <c r="F1003" s="88">
        <f t="shared" si="82"/>
        <v>76800</v>
      </c>
      <c r="G1003" s="88">
        <f t="shared" si="82"/>
        <v>153600</v>
      </c>
      <c r="H1003" s="90">
        <f>H1001+6400</f>
        <v>307200</v>
      </c>
      <c r="I1003" s="88">
        <f t="shared" si="75"/>
        <v>384000</v>
      </c>
      <c r="J1003" s="88">
        <f t="shared" si="76"/>
        <v>460800</v>
      </c>
      <c r="L1003" s="45">
        <f t="shared" si="81"/>
        <v>307200</v>
      </c>
      <c r="M1003" s="92">
        <v>119.8</v>
      </c>
    </row>
    <row r="1004" spans="1:13" ht="15" customHeight="1">
      <c r="A1004" s="46"/>
      <c r="B1004" s="92">
        <v>119.85</v>
      </c>
      <c r="C1004" s="88">
        <f>D1004/2</f>
        <v>9700</v>
      </c>
      <c r="D1004" s="88">
        <f>E1004/2</f>
        <v>19400</v>
      </c>
      <c r="E1004" s="88">
        <f>F1004/2</f>
        <v>38800</v>
      </c>
      <c r="F1004" s="88">
        <f>G1004/2</f>
        <v>77600</v>
      </c>
      <c r="G1004" s="88">
        <f>H1004/2</f>
        <v>155200</v>
      </c>
      <c r="H1004" s="89">
        <f>H1003+((H1005-H1003)/2)</f>
        <v>310400</v>
      </c>
      <c r="I1004" s="88">
        <f>E1004*10</f>
        <v>388000</v>
      </c>
      <c r="J1004" s="88">
        <f>E1004*12</f>
        <v>465600</v>
      </c>
      <c r="L1004" s="45">
        <f t="shared" si="81"/>
        <v>310400</v>
      </c>
      <c r="M1004" s="92">
        <v>119.85</v>
      </c>
    </row>
    <row r="1005" spans="1:13" ht="15" customHeight="1">
      <c r="A1005" s="46"/>
      <c r="B1005" s="92">
        <v>119.9</v>
      </c>
      <c r="C1005" s="88">
        <f t="shared" ref="C1005:G1010" si="83">D1005/2</f>
        <v>9800</v>
      </c>
      <c r="D1005" s="88">
        <f t="shared" si="83"/>
        <v>19600</v>
      </c>
      <c r="E1005" s="88">
        <f t="shared" si="83"/>
        <v>39200</v>
      </c>
      <c r="F1005" s="88">
        <f t="shared" si="83"/>
        <v>78400</v>
      </c>
      <c r="G1005" s="88">
        <f t="shared" si="83"/>
        <v>156800</v>
      </c>
      <c r="H1005" s="90">
        <f>H1003+6400</f>
        <v>313600</v>
      </c>
      <c r="I1005" s="88">
        <f t="shared" si="75"/>
        <v>392000</v>
      </c>
      <c r="J1005" s="88">
        <f t="shared" si="76"/>
        <v>470400</v>
      </c>
      <c r="L1005" s="45">
        <f t="shared" si="81"/>
        <v>313600</v>
      </c>
      <c r="M1005" s="92">
        <v>119.9</v>
      </c>
    </row>
    <row r="1006" spans="1:13" ht="15" customHeight="1">
      <c r="A1006" s="46"/>
      <c r="B1006" s="92">
        <v>119.95</v>
      </c>
      <c r="C1006" s="88">
        <f t="shared" si="83"/>
        <v>9900</v>
      </c>
      <c r="D1006" s="88">
        <f t="shared" si="83"/>
        <v>19800</v>
      </c>
      <c r="E1006" s="88">
        <f t="shared" si="83"/>
        <v>39600</v>
      </c>
      <c r="F1006" s="88">
        <f t="shared" si="83"/>
        <v>79200</v>
      </c>
      <c r="G1006" s="88">
        <f t="shared" si="83"/>
        <v>158400</v>
      </c>
      <c r="H1006" s="89">
        <f>H1005+((H1007-H1005)/2)</f>
        <v>316800</v>
      </c>
      <c r="I1006" s="88">
        <f>E1006*10</f>
        <v>396000</v>
      </c>
      <c r="J1006" s="88">
        <f>E1006*12</f>
        <v>475200</v>
      </c>
      <c r="L1006" s="45">
        <f t="shared" si="81"/>
        <v>316800</v>
      </c>
      <c r="M1006" s="92">
        <v>119.95</v>
      </c>
    </row>
    <row r="1007" spans="1:13" ht="15" customHeight="1">
      <c r="B1007" s="92">
        <v>120</v>
      </c>
      <c r="C1007" s="88">
        <f t="shared" si="83"/>
        <v>10000</v>
      </c>
      <c r="D1007" s="88">
        <f t="shared" si="83"/>
        <v>20000</v>
      </c>
      <c r="E1007" s="88">
        <f t="shared" si="83"/>
        <v>40000</v>
      </c>
      <c r="F1007" s="88">
        <f t="shared" si="83"/>
        <v>80000</v>
      </c>
      <c r="G1007" s="88">
        <f t="shared" si="83"/>
        <v>160000</v>
      </c>
      <c r="H1007" s="90">
        <f>H947*2</f>
        <v>320000</v>
      </c>
      <c r="I1007" s="88">
        <f>E1007*10</f>
        <v>400000</v>
      </c>
      <c r="J1007" s="88">
        <f>E1007*12</f>
        <v>480000</v>
      </c>
      <c r="L1007" s="45">
        <f t="shared" si="81"/>
        <v>320000</v>
      </c>
      <c r="M1007" s="92">
        <v>120</v>
      </c>
    </row>
    <row r="1008" spans="1:13" ht="15" customHeight="1">
      <c r="B1008" s="92">
        <v>120.05</v>
      </c>
      <c r="C1008" s="88">
        <f t="shared" si="83"/>
        <v>10100</v>
      </c>
      <c r="D1008" s="88">
        <f t="shared" si="83"/>
        <v>20200</v>
      </c>
      <c r="E1008" s="88">
        <f t="shared" si="83"/>
        <v>40400</v>
      </c>
      <c r="F1008" s="88">
        <f t="shared" si="83"/>
        <v>80800</v>
      </c>
      <c r="G1008" s="88">
        <f t="shared" si="83"/>
        <v>161600</v>
      </c>
      <c r="H1008" s="89">
        <f>H1007+((H1009-H1007)/2)</f>
        <v>323200</v>
      </c>
      <c r="I1008" s="88">
        <f>E1008*10</f>
        <v>404000</v>
      </c>
      <c r="J1008" s="88">
        <f>E1008*12</f>
        <v>484800</v>
      </c>
      <c r="L1008" s="45">
        <f t="shared" si="81"/>
        <v>323200</v>
      </c>
      <c r="M1008" s="92">
        <v>120.05</v>
      </c>
    </row>
    <row r="1009" spans="2:13" ht="15" customHeight="1">
      <c r="B1009" s="92">
        <v>120.1</v>
      </c>
      <c r="C1009" s="91">
        <f t="shared" si="83"/>
        <v>10200</v>
      </c>
      <c r="D1009" s="91">
        <f t="shared" si="83"/>
        <v>20400</v>
      </c>
      <c r="E1009" s="91">
        <f t="shared" si="83"/>
        <v>40800</v>
      </c>
      <c r="F1009" s="91">
        <f t="shared" si="83"/>
        <v>81600</v>
      </c>
      <c r="G1009" s="91">
        <f t="shared" si="83"/>
        <v>163200</v>
      </c>
      <c r="H1009" s="90">
        <f>H1007+6400</f>
        <v>326400</v>
      </c>
      <c r="I1009" s="91">
        <f>E1009*10</f>
        <v>408000</v>
      </c>
      <c r="J1009" s="91">
        <f>E1009*12</f>
        <v>489600</v>
      </c>
      <c r="L1009" s="45">
        <f t="shared" si="81"/>
        <v>326400</v>
      </c>
      <c r="M1009" s="92">
        <v>120.1</v>
      </c>
    </row>
    <row r="1010" spans="2:13" ht="15" customHeight="1">
      <c r="B1010" s="92">
        <v>120.15</v>
      </c>
      <c r="C1010" s="88">
        <f t="shared" si="83"/>
        <v>10300</v>
      </c>
      <c r="D1010" s="88">
        <f t="shared" si="83"/>
        <v>20600</v>
      </c>
      <c r="E1010" s="88">
        <f t="shared" si="83"/>
        <v>41200</v>
      </c>
      <c r="F1010" s="88">
        <f t="shared" si="83"/>
        <v>82400</v>
      </c>
      <c r="G1010" s="88">
        <f t="shared" si="83"/>
        <v>164800</v>
      </c>
      <c r="H1010" s="89">
        <f>H1009+((H1011-H1009)/2)</f>
        <v>329600</v>
      </c>
      <c r="I1010" s="88">
        <f>E1010*10</f>
        <v>412000</v>
      </c>
      <c r="J1010" s="88">
        <f>E1010*12</f>
        <v>494400</v>
      </c>
      <c r="L1010" s="45">
        <f t="shared" si="81"/>
        <v>329600</v>
      </c>
      <c r="M1010" s="92">
        <v>120.15</v>
      </c>
    </row>
    <row r="1011" spans="2:13" ht="15" customHeight="1">
      <c r="B1011" s="92">
        <v>120.2</v>
      </c>
      <c r="C1011" s="91">
        <f t="shared" ref="C1011:C1137" si="84">D1011/2</f>
        <v>10400</v>
      </c>
      <c r="D1011" s="91">
        <f t="shared" ref="D1011:D1137" si="85">E1011/2</f>
        <v>20800</v>
      </c>
      <c r="E1011" s="91">
        <f t="shared" ref="E1011:E1137" si="86">F1011/2</f>
        <v>41600</v>
      </c>
      <c r="F1011" s="91">
        <f t="shared" ref="F1011:F1137" si="87">G1011/2</f>
        <v>83200</v>
      </c>
      <c r="G1011" s="91">
        <f t="shared" ref="G1011:G1137" si="88">H1011/2</f>
        <v>166400</v>
      </c>
      <c r="H1011" s="90">
        <f>H1009+6400</f>
        <v>332800</v>
      </c>
      <c r="I1011" s="91">
        <f t="shared" ref="I1011:I1137" si="89">E1011*10</f>
        <v>416000</v>
      </c>
      <c r="J1011" s="91">
        <f t="shared" ref="J1011:J1137" si="90">E1011*12</f>
        <v>499200</v>
      </c>
      <c r="L1011" s="45">
        <f t="shared" si="81"/>
        <v>332800</v>
      </c>
      <c r="M1011" s="92">
        <v>120.2</v>
      </c>
    </row>
    <row r="1012" spans="2:13" ht="15" customHeight="1">
      <c r="B1012" s="92">
        <v>120.25</v>
      </c>
      <c r="C1012" s="88">
        <f t="shared" si="84"/>
        <v>10500</v>
      </c>
      <c r="D1012" s="88">
        <f t="shared" si="85"/>
        <v>21000</v>
      </c>
      <c r="E1012" s="88">
        <f t="shared" si="86"/>
        <v>42000</v>
      </c>
      <c r="F1012" s="88">
        <f t="shared" si="87"/>
        <v>84000</v>
      </c>
      <c r="G1012" s="88">
        <f t="shared" si="88"/>
        <v>168000</v>
      </c>
      <c r="H1012" s="89">
        <f>H1011+((H1013-H1011)/2)</f>
        <v>336000</v>
      </c>
      <c r="I1012" s="88">
        <f>E1012*10</f>
        <v>420000</v>
      </c>
      <c r="J1012" s="88">
        <f>E1012*12</f>
        <v>504000</v>
      </c>
      <c r="L1012" s="45">
        <f t="shared" si="81"/>
        <v>336000</v>
      </c>
      <c r="M1012" s="92">
        <v>120.25</v>
      </c>
    </row>
    <row r="1013" spans="2:13" ht="15" customHeight="1">
      <c r="B1013" s="92">
        <v>120.3</v>
      </c>
      <c r="C1013" s="91">
        <f t="shared" si="84"/>
        <v>10600</v>
      </c>
      <c r="D1013" s="91">
        <f t="shared" si="85"/>
        <v>21200</v>
      </c>
      <c r="E1013" s="91">
        <f t="shared" si="86"/>
        <v>42400</v>
      </c>
      <c r="F1013" s="91">
        <f t="shared" si="87"/>
        <v>84800</v>
      </c>
      <c r="G1013" s="91">
        <f t="shared" si="88"/>
        <v>169600</v>
      </c>
      <c r="H1013" s="90">
        <f>H1011+6400</f>
        <v>339200</v>
      </c>
      <c r="I1013" s="91">
        <f t="shared" si="89"/>
        <v>424000</v>
      </c>
      <c r="J1013" s="91">
        <f t="shared" si="90"/>
        <v>508800</v>
      </c>
      <c r="L1013" s="45">
        <f t="shared" si="81"/>
        <v>339200</v>
      </c>
      <c r="M1013" s="92">
        <v>120.3</v>
      </c>
    </row>
    <row r="1014" spans="2:13" ht="15" customHeight="1">
      <c r="B1014" s="92">
        <v>120.35</v>
      </c>
      <c r="C1014" s="88">
        <f t="shared" si="84"/>
        <v>10700</v>
      </c>
      <c r="D1014" s="88">
        <f t="shared" si="85"/>
        <v>21400</v>
      </c>
      <c r="E1014" s="88">
        <f t="shared" si="86"/>
        <v>42800</v>
      </c>
      <c r="F1014" s="88">
        <f t="shared" si="87"/>
        <v>85600</v>
      </c>
      <c r="G1014" s="88">
        <f t="shared" si="88"/>
        <v>171200</v>
      </c>
      <c r="H1014" s="89">
        <f>H1013+((H1015-H1013)/2)</f>
        <v>342400</v>
      </c>
      <c r="I1014" s="88">
        <f>E1014*10</f>
        <v>428000</v>
      </c>
      <c r="J1014" s="88">
        <f>E1014*12</f>
        <v>513600</v>
      </c>
      <c r="L1014" s="45">
        <f t="shared" si="81"/>
        <v>342400</v>
      </c>
      <c r="M1014" s="92">
        <v>120.35</v>
      </c>
    </row>
    <row r="1015" spans="2:13" ht="15" customHeight="1">
      <c r="B1015" s="92">
        <v>120.4</v>
      </c>
      <c r="C1015" s="91">
        <f t="shared" si="84"/>
        <v>10800</v>
      </c>
      <c r="D1015" s="91">
        <f t="shared" si="85"/>
        <v>21600</v>
      </c>
      <c r="E1015" s="91">
        <f t="shared" si="86"/>
        <v>43200</v>
      </c>
      <c r="F1015" s="91">
        <f t="shared" si="87"/>
        <v>86400</v>
      </c>
      <c r="G1015" s="91">
        <f t="shared" si="88"/>
        <v>172800</v>
      </c>
      <c r="H1015" s="90">
        <f>H1013+6400</f>
        <v>345600</v>
      </c>
      <c r="I1015" s="91">
        <f t="shared" si="89"/>
        <v>432000</v>
      </c>
      <c r="J1015" s="91">
        <f t="shared" si="90"/>
        <v>518400</v>
      </c>
      <c r="L1015" s="45">
        <f t="shared" si="81"/>
        <v>345600</v>
      </c>
      <c r="M1015" s="92">
        <v>120.4</v>
      </c>
    </row>
    <row r="1016" spans="2:13" ht="15" customHeight="1">
      <c r="B1016" s="92">
        <v>120.45</v>
      </c>
      <c r="C1016" s="88">
        <f t="shared" si="84"/>
        <v>10900</v>
      </c>
      <c r="D1016" s="88">
        <f t="shared" si="85"/>
        <v>21800</v>
      </c>
      <c r="E1016" s="88">
        <f t="shared" si="86"/>
        <v>43600</v>
      </c>
      <c r="F1016" s="88">
        <f t="shared" si="87"/>
        <v>87200</v>
      </c>
      <c r="G1016" s="88">
        <f t="shared" si="88"/>
        <v>174400</v>
      </c>
      <c r="H1016" s="89">
        <f>H1015+((H1017-H1015)/2)</f>
        <v>348800</v>
      </c>
      <c r="I1016" s="88">
        <f>E1016*10</f>
        <v>436000</v>
      </c>
      <c r="J1016" s="88">
        <f>E1016*12</f>
        <v>523200</v>
      </c>
      <c r="L1016" s="45">
        <f t="shared" si="81"/>
        <v>348800</v>
      </c>
      <c r="M1016" s="92">
        <v>120.45</v>
      </c>
    </row>
    <row r="1017" spans="2:13" ht="15" customHeight="1">
      <c r="B1017" s="92">
        <v>120.5</v>
      </c>
      <c r="C1017" s="91">
        <f t="shared" si="84"/>
        <v>11000</v>
      </c>
      <c r="D1017" s="91">
        <f t="shared" si="85"/>
        <v>22000</v>
      </c>
      <c r="E1017" s="91">
        <f t="shared" si="86"/>
        <v>44000</v>
      </c>
      <c r="F1017" s="91">
        <f t="shared" si="87"/>
        <v>88000</v>
      </c>
      <c r="G1017" s="91">
        <f t="shared" si="88"/>
        <v>176000</v>
      </c>
      <c r="H1017" s="90">
        <f>H1015+6400</f>
        <v>352000</v>
      </c>
      <c r="I1017" s="91">
        <f t="shared" si="89"/>
        <v>440000</v>
      </c>
      <c r="J1017" s="91">
        <f t="shared" si="90"/>
        <v>528000</v>
      </c>
      <c r="L1017" s="45">
        <f t="shared" si="81"/>
        <v>352000</v>
      </c>
      <c r="M1017" s="92">
        <v>120.5</v>
      </c>
    </row>
    <row r="1018" spans="2:13" ht="15" customHeight="1">
      <c r="B1018" s="92">
        <v>120.55</v>
      </c>
      <c r="C1018" s="88">
        <f t="shared" si="84"/>
        <v>11100</v>
      </c>
      <c r="D1018" s="88">
        <f t="shared" si="85"/>
        <v>22200</v>
      </c>
      <c r="E1018" s="88">
        <f t="shared" si="86"/>
        <v>44400</v>
      </c>
      <c r="F1018" s="88">
        <f t="shared" si="87"/>
        <v>88800</v>
      </c>
      <c r="G1018" s="88">
        <f t="shared" si="88"/>
        <v>177600</v>
      </c>
      <c r="H1018" s="89">
        <f>H1017+((H1019-H1017)/2)</f>
        <v>355200</v>
      </c>
      <c r="I1018" s="88">
        <f>E1018*10</f>
        <v>444000</v>
      </c>
      <c r="J1018" s="88">
        <f>E1018*12</f>
        <v>532800</v>
      </c>
      <c r="L1018" s="45">
        <f t="shared" si="81"/>
        <v>355200</v>
      </c>
      <c r="M1018" s="92">
        <v>120.55</v>
      </c>
    </row>
    <row r="1019" spans="2:13" ht="15" customHeight="1">
      <c r="B1019" s="92">
        <v>120.6</v>
      </c>
      <c r="C1019" s="91">
        <f t="shared" si="84"/>
        <v>11200</v>
      </c>
      <c r="D1019" s="91">
        <f t="shared" si="85"/>
        <v>22400</v>
      </c>
      <c r="E1019" s="91">
        <f t="shared" si="86"/>
        <v>44800</v>
      </c>
      <c r="F1019" s="91">
        <f t="shared" si="87"/>
        <v>89600</v>
      </c>
      <c r="G1019" s="91">
        <f t="shared" si="88"/>
        <v>179200</v>
      </c>
      <c r="H1019" s="90">
        <f>H1017+6400</f>
        <v>358400</v>
      </c>
      <c r="I1019" s="91">
        <f t="shared" si="89"/>
        <v>448000</v>
      </c>
      <c r="J1019" s="91">
        <f t="shared" si="90"/>
        <v>537600</v>
      </c>
      <c r="L1019" s="45">
        <f t="shared" si="81"/>
        <v>358400</v>
      </c>
      <c r="M1019" s="92">
        <v>120.6</v>
      </c>
    </row>
    <row r="1020" spans="2:13" ht="15" customHeight="1">
      <c r="B1020" s="92">
        <v>120.65</v>
      </c>
      <c r="C1020" s="88">
        <f t="shared" si="84"/>
        <v>11300</v>
      </c>
      <c r="D1020" s="88">
        <f t="shared" si="85"/>
        <v>22600</v>
      </c>
      <c r="E1020" s="88">
        <f t="shared" si="86"/>
        <v>45200</v>
      </c>
      <c r="F1020" s="88">
        <f t="shared" si="87"/>
        <v>90400</v>
      </c>
      <c r="G1020" s="88">
        <f t="shared" si="88"/>
        <v>180800</v>
      </c>
      <c r="H1020" s="89">
        <f>H1019+((H1021-H1019)/2)</f>
        <v>361600</v>
      </c>
      <c r="I1020" s="88">
        <f>E1020*10</f>
        <v>452000</v>
      </c>
      <c r="J1020" s="88">
        <f>E1020*12</f>
        <v>542400</v>
      </c>
      <c r="L1020" s="45">
        <f t="shared" si="81"/>
        <v>361600</v>
      </c>
      <c r="M1020" s="92">
        <v>120.65</v>
      </c>
    </row>
    <row r="1021" spans="2:13" ht="15" customHeight="1">
      <c r="B1021" s="92">
        <v>120.7</v>
      </c>
      <c r="C1021" s="91">
        <f t="shared" si="84"/>
        <v>11400</v>
      </c>
      <c r="D1021" s="91">
        <f t="shared" si="85"/>
        <v>22800</v>
      </c>
      <c r="E1021" s="91">
        <f t="shared" si="86"/>
        <v>45600</v>
      </c>
      <c r="F1021" s="91">
        <f t="shared" si="87"/>
        <v>91200</v>
      </c>
      <c r="G1021" s="91">
        <f t="shared" si="88"/>
        <v>182400</v>
      </c>
      <c r="H1021" s="90">
        <f>H1019+6400</f>
        <v>364800</v>
      </c>
      <c r="I1021" s="91">
        <f t="shared" si="89"/>
        <v>456000</v>
      </c>
      <c r="J1021" s="91">
        <f t="shared" si="90"/>
        <v>547200</v>
      </c>
      <c r="L1021" s="45">
        <f t="shared" si="81"/>
        <v>364800</v>
      </c>
      <c r="M1021" s="92">
        <v>120.7</v>
      </c>
    </row>
    <row r="1022" spans="2:13" ht="15" customHeight="1">
      <c r="B1022" s="92">
        <v>120.75</v>
      </c>
      <c r="C1022" s="88">
        <f t="shared" si="84"/>
        <v>11500</v>
      </c>
      <c r="D1022" s="88">
        <f t="shared" si="85"/>
        <v>23000</v>
      </c>
      <c r="E1022" s="88">
        <f t="shared" si="86"/>
        <v>46000</v>
      </c>
      <c r="F1022" s="88">
        <f t="shared" si="87"/>
        <v>92000</v>
      </c>
      <c r="G1022" s="88">
        <f t="shared" si="88"/>
        <v>184000</v>
      </c>
      <c r="H1022" s="89">
        <f>H1021+((H1023-H1021)/2)</f>
        <v>368000</v>
      </c>
      <c r="I1022" s="88">
        <f>E1022*10</f>
        <v>460000</v>
      </c>
      <c r="J1022" s="88">
        <f>E1022*12</f>
        <v>552000</v>
      </c>
      <c r="L1022" s="45">
        <f t="shared" si="81"/>
        <v>368000</v>
      </c>
      <c r="M1022" s="92">
        <v>120.75</v>
      </c>
    </row>
    <row r="1023" spans="2:13" ht="15" customHeight="1">
      <c r="B1023" s="92">
        <v>120.8</v>
      </c>
      <c r="C1023" s="91">
        <f t="shared" si="84"/>
        <v>11600</v>
      </c>
      <c r="D1023" s="91">
        <f t="shared" si="85"/>
        <v>23200</v>
      </c>
      <c r="E1023" s="91">
        <f t="shared" si="86"/>
        <v>46400</v>
      </c>
      <c r="F1023" s="91">
        <f t="shared" si="87"/>
        <v>92800</v>
      </c>
      <c r="G1023" s="91">
        <f t="shared" si="88"/>
        <v>185600</v>
      </c>
      <c r="H1023" s="90">
        <f>H1021+6400</f>
        <v>371200</v>
      </c>
      <c r="I1023" s="91">
        <f t="shared" si="89"/>
        <v>464000</v>
      </c>
      <c r="J1023" s="91">
        <f t="shared" si="90"/>
        <v>556800</v>
      </c>
      <c r="L1023" s="45">
        <f t="shared" si="81"/>
        <v>371200</v>
      </c>
      <c r="M1023" s="92">
        <v>120.8</v>
      </c>
    </row>
    <row r="1024" spans="2:13" ht="15" customHeight="1">
      <c r="B1024" s="92">
        <v>120.85</v>
      </c>
      <c r="C1024" s="88">
        <f t="shared" si="84"/>
        <v>11700</v>
      </c>
      <c r="D1024" s="88">
        <f t="shared" si="85"/>
        <v>23400</v>
      </c>
      <c r="E1024" s="88">
        <f t="shared" si="86"/>
        <v>46800</v>
      </c>
      <c r="F1024" s="88">
        <f t="shared" si="87"/>
        <v>93600</v>
      </c>
      <c r="G1024" s="88">
        <f t="shared" si="88"/>
        <v>187200</v>
      </c>
      <c r="H1024" s="89">
        <f>H1023+((H1025-H1023)/2)</f>
        <v>374400</v>
      </c>
      <c r="I1024" s="88">
        <f>E1024*10</f>
        <v>468000</v>
      </c>
      <c r="J1024" s="88">
        <f>E1024*12</f>
        <v>561600</v>
      </c>
      <c r="L1024" s="45">
        <f t="shared" si="81"/>
        <v>374400</v>
      </c>
      <c r="M1024" s="92">
        <v>120.85</v>
      </c>
    </row>
    <row r="1025" spans="2:13" ht="15" customHeight="1">
      <c r="B1025" s="92">
        <v>120.9</v>
      </c>
      <c r="C1025" s="91">
        <f t="shared" si="84"/>
        <v>11800</v>
      </c>
      <c r="D1025" s="91">
        <f t="shared" si="85"/>
        <v>23600</v>
      </c>
      <c r="E1025" s="91">
        <f t="shared" si="86"/>
        <v>47200</v>
      </c>
      <c r="F1025" s="91">
        <f t="shared" si="87"/>
        <v>94400</v>
      </c>
      <c r="G1025" s="91">
        <f t="shared" si="88"/>
        <v>188800</v>
      </c>
      <c r="H1025" s="90">
        <f>H1023+6400</f>
        <v>377600</v>
      </c>
      <c r="I1025" s="91">
        <f t="shared" si="89"/>
        <v>472000</v>
      </c>
      <c r="J1025" s="91">
        <f t="shared" si="90"/>
        <v>566400</v>
      </c>
      <c r="L1025" s="45">
        <f t="shared" si="81"/>
        <v>377600</v>
      </c>
      <c r="M1025" s="92">
        <v>120.9</v>
      </c>
    </row>
    <row r="1026" spans="2:13" ht="15" customHeight="1">
      <c r="B1026" s="92">
        <v>120.95</v>
      </c>
      <c r="C1026" s="88">
        <f t="shared" si="84"/>
        <v>11900</v>
      </c>
      <c r="D1026" s="88">
        <f t="shared" si="85"/>
        <v>23800</v>
      </c>
      <c r="E1026" s="88">
        <f t="shared" si="86"/>
        <v>47600</v>
      </c>
      <c r="F1026" s="88">
        <f t="shared" si="87"/>
        <v>95200</v>
      </c>
      <c r="G1026" s="88">
        <f t="shared" si="88"/>
        <v>190400</v>
      </c>
      <c r="H1026" s="89">
        <f>H1025+((H1027-H1025)/2)</f>
        <v>380800</v>
      </c>
      <c r="I1026" s="88">
        <f>E1026*10</f>
        <v>476000</v>
      </c>
      <c r="J1026" s="88">
        <f>E1026*12</f>
        <v>571200</v>
      </c>
      <c r="L1026" s="45">
        <f t="shared" si="81"/>
        <v>380800</v>
      </c>
      <c r="M1026" s="92">
        <v>120.95</v>
      </c>
    </row>
    <row r="1027" spans="2:13" ht="15" customHeight="1">
      <c r="B1027" s="92">
        <v>121</v>
      </c>
      <c r="C1027" s="91">
        <f t="shared" si="84"/>
        <v>12000</v>
      </c>
      <c r="D1027" s="91">
        <f t="shared" si="85"/>
        <v>24000</v>
      </c>
      <c r="E1027" s="91">
        <f t="shared" si="86"/>
        <v>48000</v>
      </c>
      <c r="F1027" s="91">
        <f t="shared" si="87"/>
        <v>96000</v>
      </c>
      <c r="G1027" s="91">
        <f t="shared" si="88"/>
        <v>192000</v>
      </c>
      <c r="H1027" s="90">
        <f>H1025+6400</f>
        <v>384000</v>
      </c>
      <c r="I1027" s="91">
        <f t="shared" si="89"/>
        <v>480000</v>
      </c>
      <c r="J1027" s="91">
        <f t="shared" si="90"/>
        <v>576000</v>
      </c>
      <c r="L1027" s="45">
        <f t="shared" si="81"/>
        <v>384000</v>
      </c>
      <c r="M1027" s="92">
        <v>121</v>
      </c>
    </row>
    <row r="1028" spans="2:13" ht="15" customHeight="1">
      <c r="B1028" s="92">
        <v>121.05</v>
      </c>
      <c r="C1028" s="88">
        <f t="shared" si="84"/>
        <v>12100</v>
      </c>
      <c r="D1028" s="88">
        <f t="shared" si="85"/>
        <v>24200</v>
      </c>
      <c r="E1028" s="88">
        <f t="shared" si="86"/>
        <v>48400</v>
      </c>
      <c r="F1028" s="88">
        <f t="shared" si="87"/>
        <v>96800</v>
      </c>
      <c r="G1028" s="88">
        <f t="shared" si="88"/>
        <v>193600</v>
      </c>
      <c r="H1028" s="89">
        <f>H1027+((H1029-H1027)/2)</f>
        <v>387200</v>
      </c>
      <c r="I1028" s="88">
        <f>E1028*10</f>
        <v>484000</v>
      </c>
      <c r="J1028" s="88">
        <f>E1028*12</f>
        <v>580800</v>
      </c>
      <c r="L1028" s="45">
        <f t="shared" si="81"/>
        <v>387200</v>
      </c>
      <c r="M1028" s="92">
        <v>121.05</v>
      </c>
    </row>
    <row r="1029" spans="2:13" ht="15" customHeight="1">
      <c r="B1029" s="92">
        <v>121.1</v>
      </c>
      <c r="C1029" s="91">
        <f t="shared" si="84"/>
        <v>12200</v>
      </c>
      <c r="D1029" s="91">
        <f t="shared" si="85"/>
        <v>24400</v>
      </c>
      <c r="E1029" s="91">
        <f t="shared" si="86"/>
        <v>48800</v>
      </c>
      <c r="F1029" s="91">
        <f t="shared" si="87"/>
        <v>97600</v>
      </c>
      <c r="G1029" s="91">
        <f t="shared" si="88"/>
        <v>195200</v>
      </c>
      <c r="H1029" s="90">
        <f>H1027+6400</f>
        <v>390400</v>
      </c>
      <c r="I1029" s="91">
        <f t="shared" si="89"/>
        <v>488000</v>
      </c>
      <c r="J1029" s="91">
        <f t="shared" si="90"/>
        <v>585600</v>
      </c>
      <c r="L1029" s="45">
        <f t="shared" si="81"/>
        <v>390400</v>
      </c>
      <c r="M1029" s="92">
        <v>121.1</v>
      </c>
    </row>
    <row r="1030" spans="2:13" ht="15" customHeight="1">
      <c r="B1030" s="92">
        <v>121.15</v>
      </c>
      <c r="C1030" s="88">
        <f t="shared" si="84"/>
        <v>12300</v>
      </c>
      <c r="D1030" s="88">
        <f t="shared" si="85"/>
        <v>24600</v>
      </c>
      <c r="E1030" s="88">
        <f t="shared" si="86"/>
        <v>49200</v>
      </c>
      <c r="F1030" s="88">
        <f t="shared" si="87"/>
        <v>98400</v>
      </c>
      <c r="G1030" s="88">
        <f t="shared" si="88"/>
        <v>196800</v>
      </c>
      <c r="H1030" s="89">
        <f>H1029+((H1031-H1029)/2)</f>
        <v>393600</v>
      </c>
      <c r="I1030" s="88">
        <f>E1030*10</f>
        <v>492000</v>
      </c>
      <c r="J1030" s="88">
        <f>E1030*12</f>
        <v>590400</v>
      </c>
      <c r="L1030" s="45">
        <f t="shared" si="81"/>
        <v>393600</v>
      </c>
      <c r="M1030" s="92">
        <v>121.15</v>
      </c>
    </row>
    <row r="1031" spans="2:13" ht="15" customHeight="1">
      <c r="B1031" s="92">
        <v>121.2</v>
      </c>
      <c r="C1031" s="91">
        <f t="shared" si="84"/>
        <v>12400</v>
      </c>
      <c r="D1031" s="91">
        <f t="shared" si="85"/>
        <v>24800</v>
      </c>
      <c r="E1031" s="91">
        <f t="shared" si="86"/>
        <v>49600</v>
      </c>
      <c r="F1031" s="91">
        <f t="shared" si="87"/>
        <v>99200</v>
      </c>
      <c r="G1031" s="91">
        <f t="shared" si="88"/>
        <v>198400</v>
      </c>
      <c r="H1031" s="90">
        <f>H1029+6400</f>
        <v>396800</v>
      </c>
      <c r="I1031" s="91">
        <f t="shared" si="89"/>
        <v>496000</v>
      </c>
      <c r="J1031" s="91">
        <f t="shared" si="90"/>
        <v>595200</v>
      </c>
      <c r="L1031" s="45">
        <f t="shared" si="81"/>
        <v>396800</v>
      </c>
      <c r="M1031" s="92">
        <v>121.2</v>
      </c>
    </row>
    <row r="1032" spans="2:13" ht="15" customHeight="1">
      <c r="B1032" s="92">
        <v>121.25</v>
      </c>
      <c r="C1032" s="88">
        <f t="shared" si="84"/>
        <v>12500</v>
      </c>
      <c r="D1032" s="88">
        <f t="shared" si="85"/>
        <v>25000</v>
      </c>
      <c r="E1032" s="88">
        <f t="shared" si="86"/>
        <v>50000</v>
      </c>
      <c r="F1032" s="88">
        <f t="shared" si="87"/>
        <v>100000</v>
      </c>
      <c r="G1032" s="88">
        <f t="shared" si="88"/>
        <v>200000</v>
      </c>
      <c r="H1032" s="89">
        <f>H1031+((H1033-H1031)/2)</f>
        <v>400000</v>
      </c>
      <c r="I1032" s="88">
        <f>E1032*10</f>
        <v>500000</v>
      </c>
      <c r="J1032" s="88">
        <f>E1032*12</f>
        <v>600000</v>
      </c>
      <c r="L1032" s="45">
        <f t="shared" ref="L1032:L1095" si="91">+H1032</f>
        <v>400000</v>
      </c>
      <c r="M1032" s="92">
        <v>121.25</v>
      </c>
    </row>
    <row r="1033" spans="2:13" ht="15" customHeight="1">
      <c r="B1033" s="92">
        <v>121.3</v>
      </c>
      <c r="C1033" s="91">
        <f t="shared" si="84"/>
        <v>12600</v>
      </c>
      <c r="D1033" s="91">
        <f t="shared" si="85"/>
        <v>25200</v>
      </c>
      <c r="E1033" s="91">
        <f t="shared" si="86"/>
        <v>50400</v>
      </c>
      <c r="F1033" s="91">
        <f t="shared" si="87"/>
        <v>100800</v>
      </c>
      <c r="G1033" s="91">
        <f t="shared" si="88"/>
        <v>201600</v>
      </c>
      <c r="H1033" s="90">
        <f>H1031+6400</f>
        <v>403200</v>
      </c>
      <c r="I1033" s="91">
        <f t="shared" si="89"/>
        <v>504000</v>
      </c>
      <c r="J1033" s="91">
        <f t="shared" si="90"/>
        <v>604800</v>
      </c>
      <c r="L1033" s="45">
        <f t="shared" si="91"/>
        <v>403200</v>
      </c>
      <c r="M1033" s="92">
        <v>121.3</v>
      </c>
    </row>
    <row r="1034" spans="2:13" ht="15" customHeight="1">
      <c r="B1034" s="92">
        <v>121.35</v>
      </c>
      <c r="C1034" s="88">
        <f t="shared" si="84"/>
        <v>12700</v>
      </c>
      <c r="D1034" s="88">
        <f t="shared" si="85"/>
        <v>25400</v>
      </c>
      <c r="E1034" s="88">
        <f t="shared" si="86"/>
        <v>50800</v>
      </c>
      <c r="F1034" s="88">
        <f t="shared" si="87"/>
        <v>101600</v>
      </c>
      <c r="G1034" s="88">
        <f t="shared" si="88"/>
        <v>203200</v>
      </c>
      <c r="H1034" s="89">
        <f>H1033+((H1035-H1033)/2)</f>
        <v>406400</v>
      </c>
      <c r="I1034" s="88">
        <f>E1034*10</f>
        <v>508000</v>
      </c>
      <c r="J1034" s="88">
        <f>E1034*12</f>
        <v>609600</v>
      </c>
      <c r="L1034" s="45">
        <f t="shared" si="91"/>
        <v>406400</v>
      </c>
      <c r="M1034" s="92">
        <v>121.35</v>
      </c>
    </row>
    <row r="1035" spans="2:13" ht="15" customHeight="1">
      <c r="B1035" s="92">
        <v>121.4</v>
      </c>
      <c r="C1035" s="91">
        <f t="shared" si="84"/>
        <v>12800</v>
      </c>
      <c r="D1035" s="91">
        <f t="shared" si="85"/>
        <v>25600</v>
      </c>
      <c r="E1035" s="91">
        <f t="shared" si="86"/>
        <v>51200</v>
      </c>
      <c r="F1035" s="91">
        <f t="shared" si="87"/>
        <v>102400</v>
      </c>
      <c r="G1035" s="91">
        <f t="shared" si="88"/>
        <v>204800</v>
      </c>
      <c r="H1035" s="90">
        <f>H1033+6400</f>
        <v>409600</v>
      </c>
      <c r="I1035" s="91">
        <f t="shared" si="89"/>
        <v>512000</v>
      </c>
      <c r="J1035" s="91">
        <f t="shared" si="90"/>
        <v>614400</v>
      </c>
      <c r="L1035" s="45">
        <f t="shared" si="91"/>
        <v>409600</v>
      </c>
      <c r="M1035" s="92">
        <v>121.4</v>
      </c>
    </row>
    <row r="1036" spans="2:13" ht="15" customHeight="1">
      <c r="B1036" s="92">
        <v>121.45</v>
      </c>
      <c r="C1036" s="88">
        <f t="shared" si="84"/>
        <v>12900</v>
      </c>
      <c r="D1036" s="88">
        <f t="shared" si="85"/>
        <v>25800</v>
      </c>
      <c r="E1036" s="88">
        <f t="shared" si="86"/>
        <v>51600</v>
      </c>
      <c r="F1036" s="88">
        <f t="shared" si="87"/>
        <v>103200</v>
      </c>
      <c r="G1036" s="88">
        <f t="shared" si="88"/>
        <v>206400</v>
      </c>
      <c r="H1036" s="89">
        <f>H1035+((H1037-H1035)/2)</f>
        <v>412800</v>
      </c>
      <c r="I1036" s="88">
        <f>E1036*10</f>
        <v>516000</v>
      </c>
      <c r="J1036" s="88">
        <f>E1036*12</f>
        <v>619200</v>
      </c>
      <c r="L1036" s="45">
        <f t="shared" si="91"/>
        <v>412800</v>
      </c>
      <c r="M1036" s="92">
        <v>121.45</v>
      </c>
    </row>
    <row r="1037" spans="2:13" ht="15" customHeight="1">
      <c r="B1037" s="92">
        <v>121.5</v>
      </c>
      <c r="C1037" s="91">
        <f t="shared" si="84"/>
        <v>13000</v>
      </c>
      <c r="D1037" s="91">
        <f t="shared" si="85"/>
        <v>26000</v>
      </c>
      <c r="E1037" s="91">
        <f t="shared" si="86"/>
        <v>52000</v>
      </c>
      <c r="F1037" s="91">
        <f t="shared" si="87"/>
        <v>104000</v>
      </c>
      <c r="G1037" s="91">
        <f t="shared" si="88"/>
        <v>208000</v>
      </c>
      <c r="H1037" s="90">
        <f>H1035+6400</f>
        <v>416000</v>
      </c>
      <c r="I1037" s="91">
        <f t="shared" si="89"/>
        <v>520000</v>
      </c>
      <c r="J1037" s="91">
        <f t="shared" si="90"/>
        <v>624000</v>
      </c>
      <c r="L1037" s="45">
        <f t="shared" si="91"/>
        <v>416000</v>
      </c>
      <c r="M1037" s="92">
        <v>121.5</v>
      </c>
    </row>
    <row r="1038" spans="2:13" ht="15" customHeight="1">
      <c r="B1038" s="92">
        <v>121.55</v>
      </c>
      <c r="C1038" s="88">
        <f t="shared" si="84"/>
        <v>13100</v>
      </c>
      <c r="D1038" s="88">
        <f t="shared" si="85"/>
        <v>26200</v>
      </c>
      <c r="E1038" s="88">
        <f t="shared" si="86"/>
        <v>52400</v>
      </c>
      <c r="F1038" s="88">
        <f t="shared" si="87"/>
        <v>104800</v>
      </c>
      <c r="G1038" s="88">
        <f t="shared" si="88"/>
        <v>209600</v>
      </c>
      <c r="H1038" s="89">
        <f>H1037+((H1039-H1037)/2)</f>
        <v>419200</v>
      </c>
      <c r="I1038" s="88">
        <f>E1038*10</f>
        <v>524000</v>
      </c>
      <c r="J1038" s="88">
        <f>E1038*12</f>
        <v>628800</v>
      </c>
      <c r="L1038" s="45">
        <f t="shared" si="91"/>
        <v>419200</v>
      </c>
      <c r="M1038" s="92">
        <v>121.55</v>
      </c>
    </row>
    <row r="1039" spans="2:13" ht="15" customHeight="1">
      <c r="B1039" s="92">
        <v>121.6</v>
      </c>
      <c r="C1039" s="91">
        <f t="shared" si="84"/>
        <v>13200</v>
      </c>
      <c r="D1039" s="91">
        <f t="shared" si="85"/>
        <v>26400</v>
      </c>
      <c r="E1039" s="91">
        <f t="shared" si="86"/>
        <v>52800</v>
      </c>
      <c r="F1039" s="91">
        <f t="shared" si="87"/>
        <v>105600</v>
      </c>
      <c r="G1039" s="91">
        <f t="shared" si="88"/>
        <v>211200</v>
      </c>
      <c r="H1039" s="90">
        <f>H1037+6400</f>
        <v>422400</v>
      </c>
      <c r="I1039" s="91">
        <f t="shared" si="89"/>
        <v>528000</v>
      </c>
      <c r="J1039" s="91">
        <f t="shared" si="90"/>
        <v>633600</v>
      </c>
      <c r="L1039" s="45">
        <f t="shared" si="91"/>
        <v>422400</v>
      </c>
      <c r="M1039" s="92">
        <v>121.6</v>
      </c>
    </row>
    <row r="1040" spans="2:13" ht="15" customHeight="1">
      <c r="B1040" s="92">
        <v>121.65</v>
      </c>
      <c r="C1040" s="88">
        <f t="shared" si="84"/>
        <v>13300</v>
      </c>
      <c r="D1040" s="88">
        <f t="shared" si="85"/>
        <v>26600</v>
      </c>
      <c r="E1040" s="88">
        <f t="shared" si="86"/>
        <v>53200</v>
      </c>
      <c r="F1040" s="88">
        <f t="shared" si="87"/>
        <v>106400</v>
      </c>
      <c r="G1040" s="88">
        <f t="shared" si="88"/>
        <v>212800</v>
      </c>
      <c r="H1040" s="89">
        <f>H1039+((H1041-H1039)/2)</f>
        <v>425600</v>
      </c>
      <c r="I1040" s="88">
        <f>E1040*10</f>
        <v>532000</v>
      </c>
      <c r="J1040" s="88">
        <f>E1040*12</f>
        <v>638400</v>
      </c>
      <c r="L1040" s="45">
        <f t="shared" si="91"/>
        <v>425600</v>
      </c>
      <c r="M1040" s="92">
        <v>121.65</v>
      </c>
    </row>
    <row r="1041" spans="2:13" ht="15" customHeight="1">
      <c r="B1041" s="92">
        <v>121.7</v>
      </c>
      <c r="C1041" s="91">
        <f t="shared" si="84"/>
        <v>13400</v>
      </c>
      <c r="D1041" s="91">
        <f t="shared" si="85"/>
        <v>26800</v>
      </c>
      <c r="E1041" s="91">
        <f t="shared" si="86"/>
        <v>53600</v>
      </c>
      <c r="F1041" s="91">
        <f t="shared" si="87"/>
        <v>107200</v>
      </c>
      <c r="G1041" s="91">
        <f t="shared" si="88"/>
        <v>214400</v>
      </c>
      <c r="H1041" s="90">
        <f>H1039+6400</f>
        <v>428800</v>
      </c>
      <c r="I1041" s="91">
        <f t="shared" si="89"/>
        <v>536000</v>
      </c>
      <c r="J1041" s="91">
        <f t="shared" si="90"/>
        <v>643200</v>
      </c>
      <c r="L1041" s="45">
        <f t="shared" si="91"/>
        <v>428800</v>
      </c>
      <c r="M1041" s="92">
        <v>121.7</v>
      </c>
    </row>
    <row r="1042" spans="2:13" ht="15" customHeight="1">
      <c r="B1042" s="92">
        <v>121.75</v>
      </c>
      <c r="C1042" s="88">
        <f t="shared" si="84"/>
        <v>13500</v>
      </c>
      <c r="D1042" s="88">
        <f t="shared" si="85"/>
        <v>27000</v>
      </c>
      <c r="E1042" s="88">
        <f t="shared" si="86"/>
        <v>54000</v>
      </c>
      <c r="F1042" s="88">
        <f t="shared" si="87"/>
        <v>108000</v>
      </c>
      <c r="G1042" s="88">
        <f t="shared" si="88"/>
        <v>216000</v>
      </c>
      <c r="H1042" s="89">
        <f>H1041+((H1043-H1041)/2)</f>
        <v>432000</v>
      </c>
      <c r="I1042" s="88">
        <f>E1042*10</f>
        <v>540000</v>
      </c>
      <c r="J1042" s="88">
        <f>E1042*12</f>
        <v>648000</v>
      </c>
      <c r="L1042" s="45">
        <f t="shared" si="91"/>
        <v>432000</v>
      </c>
      <c r="M1042" s="92">
        <v>121.75</v>
      </c>
    </row>
    <row r="1043" spans="2:13" ht="15" customHeight="1">
      <c r="B1043" s="92">
        <v>121.8</v>
      </c>
      <c r="C1043" s="91">
        <f t="shared" si="84"/>
        <v>13600</v>
      </c>
      <c r="D1043" s="91">
        <f t="shared" si="85"/>
        <v>27200</v>
      </c>
      <c r="E1043" s="91">
        <f t="shared" si="86"/>
        <v>54400</v>
      </c>
      <c r="F1043" s="91">
        <f t="shared" si="87"/>
        <v>108800</v>
      </c>
      <c r="G1043" s="91">
        <f t="shared" si="88"/>
        <v>217600</v>
      </c>
      <c r="H1043" s="90">
        <f>H1041+6400</f>
        <v>435200</v>
      </c>
      <c r="I1043" s="91">
        <f t="shared" si="89"/>
        <v>544000</v>
      </c>
      <c r="J1043" s="91">
        <f t="shared" si="90"/>
        <v>652800</v>
      </c>
      <c r="L1043" s="45">
        <f t="shared" si="91"/>
        <v>435200</v>
      </c>
      <c r="M1043" s="92">
        <v>121.8</v>
      </c>
    </row>
    <row r="1044" spans="2:13" ht="15" customHeight="1">
      <c r="B1044" s="92">
        <v>121.85</v>
      </c>
      <c r="C1044" s="88">
        <f t="shared" si="84"/>
        <v>13700</v>
      </c>
      <c r="D1044" s="88">
        <f t="shared" si="85"/>
        <v>27400</v>
      </c>
      <c r="E1044" s="88">
        <f t="shared" si="86"/>
        <v>54800</v>
      </c>
      <c r="F1044" s="88">
        <f t="shared" si="87"/>
        <v>109600</v>
      </c>
      <c r="G1044" s="88">
        <f t="shared" si="88"/>
        <v>219200</v>
      </c>
      <c r="H1044" s="89">
        <f>H1043+((H1045-H1043)/2)</f>
        <v>438400</v>
      </c>
      <c r="I1044" s="88">
        <f>E1044*10</f>
        <v>548000</v>
      </c>
      <c r="J1044" s="88">
        <f>E1044*12</f>
        <v>657600</v>
      </c>
      <c r="L1044" s="45">
        <f t="shared" si="91"/>
        <v>438400</v>
      </c>
      <c r="M1044" s="92">
        <v>121.85</v>
      </c>
    </row>
    <row r="1045" spans="2:13" ht="15" customHeight="1">
      <c r="B1045" s="92">
        <v>121.9</v>
      </c>
      <c r="C1045" s="91">
        <f t="shared" si="84"/>
        <v>13800</v>
      </c>
      <c r="D1045" s="91">
        <f t="shared" si="85"/>
        <v>27600</v>
      </c>
      <c r="E1045" s="91">
        <f t="shared" si="86"/>
        <v>55200</v>
      </c>
      <c r="F1045" s="91">
        <f t="shared" si="87"/>
        <v>110400</v>
      </c>
      <c r="G1045" s="91">
        <f t="shared" si="88"/>
        <v>220800</v>
      </c>
      <c r="H1045" s="90">
        <f>H1043+6400</f>
        <v>441600</v>
      </c>
      <c r="I1045" s="91">
        <f t="shared" si="89"/>
        <v>552000</v>
      </c>
      <c r="J1045" s="91">
        <f t="shared" si="90"/>
        <v>662400</v>
      </c>
      <c r="L1045" s="45">
        <f t="shared" si="91"/>
        <v>441600</v>
      </c>
      <c r="M1045" s="92">
        <v>121.9</v>
      </c>
    </row>
    <row r="1046" spans="2:13" ht="15" customHeight="1">
      <c r="B1046" s="92">
        <v>121.95</v>
      </c>
      <c r="C1046" s="88">
        <f t="shared" si="84"/>
        <v>13900</v>
      </c>
      <c r="D1046" s="88">
        <f t="shared" si="85"/>
        <v>27800</v>
      </c>
      <c r="E1046" s="88">
        <f t="shared" si="86"/>
        <v>55600</v>
      </c>
      <c r="F1046" s="88">
        <f t="shared" si="87"/>
        <v>111200</v>
      </c>
      <c r="G1046" s="88">
        <f t="shared" si="88"/>
        <v>222400</v>
      </c>
      <c r="H1046" s="89">
        <f>H1045+((H1047-H1045)/2)</f>
        <v>444800</v>
      </c>
      <c r="I1046" s="88">
        <f>E1046*10</f>
        <v>556000</v>
      </c>
      <c r="J1046" s="88">
        <f>E1046*12</f>
        <v>667200</v>
      </c>
      <c r="L1046" s="45">
        <f t="shared" si="91"/>
        <v>444800</v>
      </c>
      <c r="M1046" s="92">
        <v>121.95</v>
      </c>
    </row>
    <row r="1047" spans="2:13" ht="15" customHeight="1">
      <c r="B1047" s="92">
        <v>122</v>
      </c>
      <c r="C1047" s="91">
        <f t="shared" si="84"/>
        <v>14000</v>
      </c>
      <c r="D1047" s="91">
        <f t="shared" si="85"/>
        <v>28000</v>
      </c>
      <c r="E1047" s="91">
        <f t="shared" si="86"/>
        <v>56000</v>
      </c>
      <c r="F1047" s="91">
        <f t="shared" si="87"/>
        <v>112000</v>
      </c>
      <c r="G1047" s="91">
        <f t="shared" si="88"/>
        <v>224000</v>
      </c>
      <c r="H1047" s="90">
        <f>H1045+6400</f>
        <v>448000</v>
      </c>
      <c r="I1047" s="91">
        <f t="shared" si="89"/>
        <v>560000</v>
      </c>
      <c r="J1047" s="91">
        <f t="shared" si="90"/>
        <v>672000</v>
      </c>
      <c r="L1047" s="45">
        <f t="shared" si="91"/>
        <v>448000</v>
      </c>
      <c r="M1047" s="92">
        <v>122</v>
      </c>
    </row>
    <row r="1048" spans="2:13" ht="15" customHeight="1">
      <c r="B1048" s="92">
        <v>122.05</v>
      </c>
      <c r="C1048" s="88">
        <f t="shared" si="84"/>
        <v>14100</v>
      </c>
      <c r="D1048" s="88">
        <f t="shared" si="85"/>
        <v>28200</v>
      </c>
      <c r="E1048" s="88">
        <f t="shared" si="86"/>
        <v>56400</v>
      </c>
      <c r="F1048" s="88">
        <f t="shared" si="87"/>
        <v>112800</v>
      </c>
      <c r="G1048" s="88">
        <f t="shared" si="88"/>
        <v>225600</v>
      </c>
      <c r="H1048" s="89">
        <f>H1047+((H1049-H1047)/2)</f>
        <v>451200</v>
      </c>
      <c r="I1048" s="88">
        <f>E1048*10</f>
        <v>564000</v>
      </c>
      <c r="J1048" s="88">
        <f>E1048*12</f>
        <v>676800</v>
      </c>
      <c r="L1048" s="45">
        <f t="shared" si="91"/>
        <v>451200</v>
      </c>
      <c r="M1048" s="92">
        <v>122.05</v>
      </c>
    </row>
    <row r="1049" spans="2:13" ht="15" customHeight="1">
      <c r="B1049" s="92">
        <v>122.1</v>
      </c>
      <c r="C1049" s="91">
        <f t="shared" si="84"/>
        <v>14200</v>
      </c>
      <c r="D1049" s="91">
        <f t="shared" si="85"/>
        <v>28400</v>
      </c>
      <c r="E1049" s="91">
        <f t="shared" si="86"/>
        <v>56800</v>
      </c>
      <c r="F1049" s="91">
        <f t="shared" si="87"/>
        <v>113600</v>
      </c>
      <c r="G1049" s="91">
        <f t="shared" si="88"/>
        <v>227200</v>
      </c>
      <c r="H1049" s="90">
        <f>H1047+6400</f>
        <v>454400</v>
      </c>
      <c r="I1049" s="91">
        <f t="shared" si="89"/>
        <v>568000</v>
      </c>
      <c r="J1049" s="91">
        <f t="shared" si="90"/>
        <v>681600</v>
      </c>
      <c r="L1049" s="45">
        <f t="shared" si="91"/>
        <v>454400</v>
      </c>
      <c r="M1049" s="92">
        <v>122.1</v>
      </c>
    </row>
    <row r="1050" spans="2:13" ht="15" customHeight="1">
      <c r="B1050" s="92">
        <v>122.15</v>
      </c>
      <c r="C1050" s="88">
        <f t="shared" si="84"/>
        <v>14300</v>
      </c>
      <c r="D1050" s="88">
        <f t="shared" si="85"/>
        <v>28600</v>
      </c>
      <c r="E1050" s="88">
        <f t="shared" si="86"/>
        <v>57200</v>
      </c>
      <c r="F1050" s="88">
        <f t="shared" si="87"/>
        <v>114400</v>
      </c>
      <c r="G1050" s="88">
        <f t="shared" si="88"/>
        <v>228800</v>
      </c>
      <c r="H1050" s="89">
        <f>H1049+((H1051-H1049)/2)</f>
        <v>457600</v>
      </c>
      <c r="I1050" s="88">
        <f>E1050*10</f>
        <v>572000</v>
      </c>
      <c r="J1050" s="88">
        <f>E1050*12</f>
        <v>686400</v>
      </c>
      <c r="L1050" s="45">
        <f t="shared" si="91"/>
        <v>457600</v>
      </c>
      <c r="M1050" s="92">
        <v>122.15</v>
      </c>
    </row>
    <row r="1051" spans="2:13" ht="15" customHeight="1">
      <c r="B1051" s="92">
        <v>122.2</v>
      </c>
      <c r="C1051" s="91">
        <f t="shared" si="84"/>
        <v>14400</v>
      </c>
      <c r="D1051" s="91">
        <f t="shared" si="85"/>
        <v>28800</v>
      </c>
      <c r="E1051" s="91">
        <f t="shared" si="86"/>
        <v>57600</v>
      </c>
      <c r="F1051" s="91">
        <f t="shared" si="87"/>
        <v>115200</v>
      </c>
      <c r="G1051" s="91">
        <f t="shared" si="88"/>
        <v>230400</v>
      </c>
      <c r="H1051" s="90">
        <f>H1049+6400</f>
        <v>460800</v>
      </c>
      <c r="I1051" s="91">
        <f t="shared" si="89"/>
        <v>576000</v>
      </c>
      <c r="J1051" s="91">
        <f t="shared" si="90"/>
        <v>691200</v>
      </c>
      <c r="L1051" s="45">
        <f t="shared" si="91"/>
        <v>460800</v>
      </c>
      <c r="M1051" s="92">
        <v>122.2</v>
      </c>
    </row>
    <row r="1052" spans="2:13" ht="15" customHeight="1">
      <c r="B1052" s="92">
        <v>122.25</v>
      </c>
      <c r="C1052" s="88">
        <f t="shared" si="84"/>
        <v>14500</v>
      </c>
      <c r="D1052" s="88">
        <f t="shared" si="85"/>
        <v>29000</v>
      </c>
      <c r="E1052" s="88">
        <f t="shared" si="86"/>
        <v>58000</v>
      </c>
      <c r="F1052" s="88">
        <f t="shared" si="87"/>
        <v>116000</v>
      </c>
      <c r="G1052" s="88">
        <f t="shared" si="88"/>
        <v>232000</v>
      </c>
      <c r="H1052" s="89">
        <f>H1051+((H1053-H1051)/2)</f>
        <v>464000</v>
      </c>
      <c r="I1052" s="88">
        <f>E1052*10</f>
        <v>580000</v>
      </c>
      <c r="J1052" s="88">
        <f>E1052*12</f>
        <v>696000</v>
      </c>
      <c r="L1052" s="45">
        <f t="shared" si="91"/>
        <v>464000</v>
      </c>
      <c r="M1052" s="92">
        <v>122.25</v>
      </c>
    </row>
    <row r="1053" spans="2:13" ht="15" customHeight="1">
      <c r="B1053" s="92">
        <v>122.3</v>
      </c>
      <c r="C1053" s="91">
        <f t="shared" si="84"/>
        <v>14600</v>
      </c>
      <c r="D1053" s="91">
        <f t="shared" si="85"/>
        <v>29200</v>
      </c>
      <c r="E1053" s="91">
        <f t="shared" si="86"/>
        <v>58400</v>
      </c>
      <c r="F1053" s="91">
        <f t="shared" si="87"/>
        <v>116800</v>
      </c>
      <c r="G1053" s="91">
        <f t="shared" si="88"/>
        <v>233600</v>
      </c>
      <c r="H1053" s="90">
        <f>H1051+6400</f>
        <v>467200</v>
      </c>
      <c r="I1053" s="91">
        <f t="shared" si="89"/>
        <v>584000</v>
      </c>
      <c r="J1053" s="91">
        <f t="shared" si="90"/>
        <v>700800</v>
      </c>
      <c r="L1053" s="45">
        <f t="shared" si="91"/>
        <v>467200</v>
      </c>
      <c r="M1053" s="92">
        <v>122.3</v>
      </c>
    </row>
    <row r="1054" spans="2:13" ht="15" customHeight="1">
      <c r="B1054" s="92">
        <v>122.35</v>
      </c>
      <c r="C1054" s="88">
        <f t="shared" si="84"/>
        <v>14700</v>
      </c>
      <c r="D1054" s="88">
        <f t="shared" si="85"/>
        <v>29400</v>
      </c>
      <c r="E1054" s="88">
        <f t="shared" si="86"/>
        <v>58800</v>
      </c>
      <c r="F1054" s="88">
        <f t="shared" si="87"/>
        <v>117600</v>
      </c>
      <c r="G1054" s="88">
        <f t="shared" si="88"/>
        <v>235200</v>
      </c>
      <c r="H1054" s="89">
        <f>H1053+((H1055-H1053)/2)</f>
        <v>470400</v>
      </c>
      <c r="I1054" s="88">
        <f>E1054*10</f>
        <v>588000</v>
      </c>
      <c r="J1054" s="88">
        <f>E1054*12</f>
        <v>705600</v>
      </c>
      <c r="L1054" s="45">
        <f t="shared" si="91"/>
        <v>470400</v>
      </c>
      <c r="M1054" s="92">
        <v>122.35</v>
      </c>
    </row>
    <row r="1055" spans="2:13" ht="15" customHeight="1">
      <c r="B1055" s="92">
        <v>122.4</v>
      </c>
      <c r="C1055" s="91">
        <f t="shared" si="84"/>
        <v>14800</v>
      </c>
      <c r="D1055" s="91">
        <f t="shared" si="85"/>
        <v>29600</v>
      </c>
      <c r="E1055" s="91">
        <f t="shared" si="86"/>
        <v>59200</v>
      </c>
      <c r="F1055" s="91">
        <f t="shared" si="87"/>
        <v>118400</v>
      </c>
      <c r="G1055" s="91">
        <f t="shared" si="88"/>
        <v>236800</v>
      </c>
      <c r="H1055" s="90">
        <f>H1053+6400</f>
        <v>473600</v>
      </c>
      <c r="I1055" s="91">
        <f t="shared" si="89"/>
        <v>592000</v>
      </c>
      <c r="J1055" s="91">
        <f t="shared" si="90"/>
        <v>710400</v>
      </c>
      <c r="L1055" s="45">
        <f t="shared" si="91"/>
        <v>473600</v>
      </c>
      <c r="M1055" s="92">
        <v>122.4</v>
      </c>
    </row>
    <row r="1056" spans="2:13" ht="15" customHeight="1">
      <c r="B1056" s="92">
        <v>122.45</v>
      </c>
      <c r="C1056" s="88">
        <f t="shared" si="84"/>
        <v>14900</v>
      </c>
      <c r="D1056" s="88">
        <f t="shared" si="85"/>
        <v>29800</v>
      </c>
      <c r="E1056" s="88">
        <f t="shared" si="86"/>
        <v>59600</v>
      </c>
      <c r="F1056" s="88">
        <f t="shared" si="87"/>
        <v>119200</v>
      </c>
      <c r="G1056" s="88">
        <f t="shared" si="88"/>
        <v>238400</v>
      </c>
      <c r="H1056" s="89">
        <f>H1055+((H1057-H1055)/2)</f>
        <v>476800</v>
      </c>
      <c r="I1056" s="88">
        <f>E1056*10</f>
        <v>596000</v>
      </c>
      <c r="J1056" s="88">
        <f>E1056*12</f>
        <v>715200</v>
      </c>
      <c r="L1056" s="45">
        <f t="shared" si="91"/>
        <v>476800</v>
      </c>
      <c r="M1056" s="92">
        <v>122.45</v>
      </c>
    </row>
    <row r="1057" spans="2:13" ht="15" customHeight="1">
      <c r="B1057" s="92">
        <v>122.5</v>
      </c>
      <c r="C1057" s="91">
        <f t="shared" si="84"/>
        <v>15000</v>
      </c>
      <c r="D1057" s="91">
        <f t="shared" si="85"/>
        <v>30000</v>
      </c>
      <c r="E1057" s="91">
        <f t="shared" si="86"/>
        <v>60000</v>
      </c>
      <c r="F1057" s="91">
        <f t="shared" si="87"/>
        <v>120000</v>
      </c>
      <c r="G1057" s="91">
        <f t="shared" si="88"/>
        <v>240000</v>
      </c>
      <c r="H1057" s="90">
        <f>H1055+6400</f>
        <v>480000</v>
      </c>
      <c r="I1057" s="91">
        <f t="shared" si="89"/>
        <v>600000</v>
      </c>
      <c r="J1057" s="91">
        <f t="shared" si="90"/>
        <v>720000</v>
      </c>
      <c r="L1057" s="45">
        <f t="shared" si="91"/>
        <v>480000</v>
      </c>
      <c r="M1057" s="92">
        <v>122.5</v>
      </c>
    </row>
    <row r="1058" spans="2:13" ht="15" customHeight="1">
      <c r="B1058" s="92">
        <v>122.55</v>
      </c>
      <c r="C1058" s="88">
        <f t="shared" si="84"/>
        <v>15100</v>
      </c>
      <c r="D1058" s="88">
        <f t="shared" si="85"/>
        <v>30200</v>
      </c>
      <c r="E1058" s="88">
        <f t="shared" si="86"/>
        <v>60400</v>
      </c>
      <c r="F1058" s="88">
        <f t="shared" si="87"/>
        <v>120800</v>
      </c>
      <c r="G1058" s="88">
        <f t="shared" si="88"/>
        <v>241600</v>
      </c>
      <c r="H1058" s="89">
        <f>H1057+((H1059-H1057)/2)</f>
        <v>483200</v>
      </c>
      <c r="I1058" s="88">
        <f>E1058*10</f>
        <v>604000</v>
      </c>
      <c r="J1058" s="88">
        <f>E1058*12</f>
        <v>724800</v>
      </c>
      <c r="L1058" s="45">
        <f t="shared" si="91"/>
        <v>483200</v>
      </c>
      <c r="M1058" s="92">
        <v>122.55</v>
      </c>
    </row>
    <row r="1059" spans="2:13" ht="15" customHeight="1">
      <c r="B1059" s="92">
        <v>122.6</v>
      </c>
      <c r="C1059" s="91">
        <f t="shared" si="84"/>
        <v>15200</v>
      </c>
      <c r="D1059" s="91">
        <f t="shared" si="85"/>
        <v>30400</v>
      </c>
      <c r="E1059" s="91">
        <f t="shared" si="86"/>
        <v>60800</v>
      </c>
      <c r="F1059" s="91">
        <f t="shared" si="87"/>
        <v>121600</v>
      </c>
      <c r="G1059" s="91">
        <f t="shared" si="88"/>
        <v>243200</v>
      </c>
      <c r="H1059" s="90">
        <f>H1057+6400</f>
        <v>486400</v>
      </c>
      <c r="I1059" s="91">
        <f t="shared" si="89"/>
        <v>608000</v>
      </c>
      <c r="J1059" s="91">
        <f t="shared" si="90"/>
        <v>729600</v>
      </c>
      <c r="L1059" s="45">
        <f t="shared" si="91"/>
        <v>486400</v>
      </c>
      <c r="M1059" s="92">
        <v>122.6</v>
      </c>
    </row>
    <row r="1060" spans="2:13" ht="15" customHeight="1">
      <c r="B1060" s="92">
        <v>122.65</v>
      </c>
      <c r="C1060" s="88">
        <f t="shared" si="84"/>
        <v>15300</v>
      </c>
      <c r="D1060" s="88">
        <f t="shared" si="85"/>
        <v>30600</v>
      </c>
      <c r="E1060" s="88">
        <f t="shared" si="86"/>
        <v>61200</v>
      </c>
      <c r="F1060" s="88">
        <f t="shared" si="87"/>
        <v>122400</v>
      </c>
      <c r="G1060" s="88">
        <f t="shared" si="88"/>
        <v>244800</v>
      </c>
      <c r="H1060" s="89">
        <f>H1059+((H1061-H1059)/2)</f>
        <v>489600</v>
      </c>
      <c r="I1060" s="88">
        <f>E1060*10</f>
        <v>612000</v>
      </c>
      <c r="J1060" s="88">
        <f>E1060*12</f>
        <v>734400</v>
      </c>
      <c r="L1060" s="45">
        <f t="shared" si="91"/>
        <v>489600</v>
      </c>
      <c r="M1060" s="92">
        <v>122.65</v>
      </c>
    </row>
    <row r="1061" spans="2:13" ht="15" customHeight="1">
      <c r="B1061" s="92">
        <v>122.7</v>
      </c>
      <c r="C1061" s="91">
        <f t="shared" si="84"/>
        <v>15400</v>
      </c>
      <c r="D1061" s="91">
        <f t="shared" si="85"/>
        <v>30800</v>
      </c>
      <c r="E1061" s="91">
        <f t="shared" si="86"/>
        <v>61600</v>
      </c>
      <c r="F1061" s="91">
        <f t="shared" si="87"/>
        <v>123200</v>
      </c>
      <c r="G1061" s="91">
        <f t="shared" si="88"/>
        <v>246400</v>
      </c>
      <c r="H1061" s="90">
        <f>H1059+6400</f>
        <v>492800</v>
      </c>
      <c r="I1061" s="91">
        <f t="shared" si="89"/>
        <v>616000</v>
      </c>
      <c r="J1061" s="91">
        <f t="shared" si="90"/>
        <v>739200</v>
      </c>
      <c r="L1061" s="45">
        <f t="shared" si="91"/>
        <v>492800</v>
      </c>
      <c r="M1061" s="92">
        <v>122.7</v>
      </c>
    </row>
    <row r="1062" spans="2:13" ht="15" customHeight="1">
      <c r="B1062" s="92">
        <v>122.75</v>
      </c>
      <c r="C1062" s="88">
        <f t="shared" si="84"/>
        <v>15500</v>
      </c>
      <c r="D1062" s="88">
        <f t="shared" si="85"/>
        <v>31000</v>
      </c>
      <c r="E1062" s="88">
        <f t="shared" si="86"/>
        <v>62000</v>
      </c>
      <c r="F1062" s="88">
        <f t="shared" si="87"/>
        <v>124000</v>
      </c>
      <c r="G1062" s="88">
        <f t="shared" si="88"/>
        <v>248000</v>
      </c>
      <c r="H1062" s="89">
        <f>H1061+((H1063-H1061)/2)</f>
        <v>496000</v>
      </c>
      <c r="I1062" s="88">
        <f>E1062*10</f>
        <v>620000</v>
      </c>
      <c r="J1062" s="88">
        <f>E1062*12</f>
        <v>744000</v>
      </c>
      <c r="L1062" s="45">
        <f t="shared" si="91"/>
        <v>496000</v>
      </c>
      <c r="M1062" s="92">
        <v>122.75</v>
      </c>
    </row>
    <row r="1063" spans="2:13" ht="15" customHeight="1">
      <c r="B1063" s="92">
        <v>122.8</v>
      </c>
      <c r="C1063" s="91">
        <f t="shared" si="84"/>
        <v>15600</v>
      </c>
      <c r="D1063" s="91">
        <f t="shared" si="85"/>
        <v>31200</v>
      </c>
      <c r="E1063" s="91">
        <f t="shared" si="86"/>
        <v>62400</v>
      </c>
      <c r="F1063" s="91">
        <f t="shared" si="87"/>
        <v>124800</v>
      </c>
      <c r="G1063" s="91">
        <f t="shared" si="88"/>
        <v>249600</v>
      </c>
      <c r="H1063" s="90">
        <f>H1061+6400</f>
        <v>499200</v>
      </c>
      <c r="I1063" s="91">
        <f t="shared" si="89"/>
        <v>624000</v>
      </c>
      <c r="J1063" s="91">
        <f t="shared" si="90"/>
        <v>748800</v>
      </c>
      <c r="L1063" s="45">
        <f t="shared" si="91"/>
        <v>499200</v>
      </c>
      <c r="M1063" s="92">
        <v>122.8</v>
      </c>
    </row>
    <row r="1064" spans="2:13" ht="15" customHeight="1">
      <c r="B1064" s="92">
        <v>122.85</v>
      </c>
      <c r="C1064" s="88">
        <f t="shared" si="84"/>
        <v>15700</v>
      </c>
      <c r="D1064" s="88">
        <f t="shared" si="85"/>
        <v>31400</v>
      </c>
      <c r="E1064" s="88">
        <f t="shared" si="86"/>
        <v>62800</v>
      </c>
      <c r="F1064" s="88">
        <f t="shared" si="87"/>
        <v>125600</v>
      </c>
      <c r="G1064" s="88">
        <f t="shared" si="88"/>
        <v>251200</v>
      </c>
      <c r="H1064" s="89">
        <f>H1063+((H1065-H1063)/2)</f>
        <v>502400</v>
      </c>
      <c r="I1064" s="88">
        <f>E1064*10</f>
        <v>628000</v>
      </c>
      <c r="J1064" s="88">
        <f>E1064*12</f>
        <v>753600</v>
      </c>
      <c r="L1064" s="45">
        <f t="shared" si="91"/>
        <v>502400</v>
      </c>
      <c r="M1064" s="92">
        <v>122.85</v>
      </c>
    </row>
    <row r="1065" spans="2:13" ht="15" customHeight="1">
      <c r="B1065" s="92">
        <v>122.9</v>
      </c>
      <c r="C1065" s="91">
        <f t="shared" si="84"/>
        <v>15800</v>
      </c>
      <c r="D1065" s="91">
        <f t="shared" si="85"/>
        <v>31600</v>
      </c>
      <c r="E1065" s="91">
        <f t="shared" si="86"/>
        <v>63200</v>
      </c>
      <c r="F1065" s="91">
        <f t="shared" si="87"/>
        <v>126400</v>
      </c>
      <c r="G1065" s="91">
        <f t="shared" si="88"/>
        <v>252800</v>
      </c>
      <c r="H1065" s="90">
        <f>H1063+6400</f>
        <v>505600</v>
      </c>
      <c r="I1065" s="91">
        <f t="shared" si="89"/>
        <v>632000</v>
      </c>
      <c r="J1065" s="91">
        <f t="shared" si="90"/>
        <v>758400</v>
      </c>
      <c r="L1065" s="45">
        <f t="shared" si="91"/>
        <v>505600</v>
      </c>
      <c r="M1065" s="92">
        <v>122.9</v>
      </c>
    </row>
    <row r="1066" spans="2:13" ht="15" customHeight="1">
      <c r="B1066" s="92">
        <v>122.95</v>
      </c>
      <c r="C1066" s="88">
        <f t="shared" si="84"/>
        <v>15900</v>
      </c>
      <c r="D1066" s="88">
        <f t="shared" si="85"/>
        <v>31800</v>
      </c>
      <c r="E1066" s="88">
        <f t="shared" si="86"/>
        <v>63600</v>
      </c>
      <c r="F1066" s="88">
        <f t="shared" si="87"/>
        <v>127200</v>
      </c>
      <c r="G1066" s="88">
        <f t="shared" si="88"/>
        <v>254400</v>
      </c>
      <c r="H1066" s="89">
        <f>H1065+((H1067-H1065)/2)</f>
        <v>508800</v>
      </c>
      <c r="I1066" s="88">
        <f>E1066*10</f>
        <v>636000</v>
      </c>
      <c r="J1066" s="88">
        <f>E1066*12</f>
        <v>763200</v>
      </c>
      <c r="L1066" s="45">
        <f t="shared" si="91"/>
        <v>508800</v>
      </c>
      <c r="M1066" s="92">
        <v>122.95</v>
      </c>
    </row>
    <row r="1067" spans="2:13" ht="15" customHeight="1">
      <c r="B1067" s="92">
        <v>123</v>
      </c>
      <c r="C1067" s="91">
        <f t="shared" si="84"/>
        <v>16000</v>
      </c>
      <c r="D1067" s="91">
        <f t="shared" si="85"/>
        <v>32000</v>
      </c>
      <c r="E1067" s="91">
        <f t="shared" si="86"/>
        <v>64000</v>
      </c>
      <c r="F1067" s="91">
        <f t="shared" si="87"/>
        <v>128000</v>
      </c>
      <c r="G1067" s="91">
        <f t="shared" si="88"/>
        <v>256000</v>
      </c>
      <c r="H1067" s="90">
        <f>H1065+6400</f>
        <v>512000</v>
      </c>
      <c r="I1067" s="91">
        <f t="shared" si="89"/>
        <v>640000</v>
      </c>
      <c r="J1067" s="91">
        <f t="shared" si="90"/>
        <v>768000</v>
      </c>
      <c r="L1067" s="45">
        <f t="shared" si="91"/>
        <v>512000</v>
      </c>
      <c r="M1067" s="92">
        <v>123</v>
      </c>
    </row>
    <row r="1068" spans="2:13" ht="15" customHeight="1">
      <c r="B1068" s="92">
        <v>123.05</v>
      </c>
      <c r="C1068" s="88">
        <f t="shared" si="84"/>
        <v>16100</v>
      </c>
      <c r="D1068" s="88">
        <f t="shared" si="85"/>
        <v>32200</v>
      </c>
      <c r="E1068" s="88">
        <f t="shared" si="86"/>
        <v>64400</v>
      </c>
      <c r="F1068" s="88">
        <f t="shared" si="87"/>
        <v>128800</v>
      </c>
      <c r="G1068" s="88">
        <f t="shared" si="88"/>
        <v>257600</v>
      </c>
      <c r="H1068" s="89">
        <f>H1067+((H1069-H1067)/2)</f>
        <v>515200</v>
      </c>
      <c r="I1068" s="88">
        <f>E1068*10</f>
        <v>644000</v>
      </c>
      <c r="J1068" s="88">
        <f>E1068*12</f>
        <v>772800</v>
      </c>
      <c r="L1068" s="45">
        <f t="shared" si="91"/>
        <v>515200</v>
      </c>
      <c r="M1068" s="92">
        <v>123.05</v>
      </c>
    </row>
    <row r="1069" spans="2:13" ht="15" customHeight="1">
      <c r="B1069" s="92">
        <v>123.1</v>
      </c>
      <c r="C1069" s="91">
        <f t="shared" si="84"/>
        <v>16200</v>
      </c>
      <c r="D1069" s="91">
        <f t="shared" si="85"/>
        <v>32400</v>
      </c>
      <c r="E1069" s="91">
        <f t="shared" si="86"/>
        <v>64800</v>
      </c>
      <c r="F1069" s="91">
        <f t="shared" si="87"/>
        <v>129600</v>
      </c>
      <c r="G1069" s="91">
        <f t="shared" si="88"/>
        <v>259200</v>
      </c>
      <c r="H1069" s="90">
        <f>H1067+6400</f>
        <v>518400</v>
      </c>
      <c r="I1069" s="91">
        <f t="shared" si="89"/>
        <v>648000</v>
      </c>
      <c r="J1069" s="91">
        <f t="shared" si="90"/>
        <v>777600</v>
      </c>
      <c r="L1069" s="45">
        <f t="shared" si="91"/>
        <v>518400</v>
      </c>
      <c r="M1069" s="92">
        <v>123.1</v>
      </c>
    </row>
    <row r="1070" spans="2:13" ht="15" customHeight="1">
      <c r="B1070" s="92">
        <v>123.15</v>
      </c>
      <c r="C1070" s="88">
        <f t="shared" si="84"/>
        <v>16300</v>
      </c>
      <c r="D1070" s="88">
        <f t="shared" si="85"/>
        <v>32600</v>
      </c>
      <c r="E1070" s="88">
        <f t="shared" si="86"/>
        <v>65200</v>
      </c>
      <c r="F1070" s="88">
        <f t="shared" si="87"/>
        <v>130400</v>
      </c>
      <c r="G1070" s="88">
        <f t="shared" si="88"/>
        <v>260800</v>
      </c>
      <c r="H1070" s="89">
        <f>H1069+((H1071-H1069)/2)</f>
        <v>521600</v>
      </c>
      <c r="I1070" s="88">
        <f>E1070*10</f>
        <v>652000</v>
      </c>
      <c r="J1070" s="88">
        <f>E1070*12</f>
        <v>782400</v>
      </c>
      <c r="L1070" s="45">
        <f t="shared" si="91"/>
        <v>521600</v>
      </c>
      <c r="M1070" s="92">
        <v>123.15</v>
      </c>
    </row>
    <row r="1071" spans="2:13" ht="15" customHeight="1">
      <c r="B1071" s="92">
        <v>123.2</v>
      </c>
      <c r="C1071" s="91">
        <f t="shared" si="84"/>
        <v>16400</v>
      </c>
      <c r="D1071" s="91">
        <f t="shared" si="85"/>
        <v>32800</v>
      </c>
      <c r="E1071" s="91">
        <f t="shared" si="86"/>
        <v>65600</v>
      </c>
      <c r="F1071" s="91">
        <f t="shared" si="87"/>
        <v>131200</v>
      </c>
      <c r="G1071" s="91">
        <f t="shared" si="88"/>
        <v>262400</v>
      </c>
      <c r="H1071" s="90">
        <f>H1069+6400</f>
        <v>524800</v>
      </c>
      <c r="I1071" s="91">
        <f t="shared" si="89"/>
        <v>656000</v>
      </c>
      <c r="J1071" s="91">
        <f t="shared" si="90"/>
        <v>787200</v>
      </c>
      <c r="L1071" s="45">
        <f t="shared" si="91"/>
        <v>524800</v>
      </c>
      <c r="M1071" s="92">
        <v>123.2</v>
      </c>
    </row>
    <row r="1072" spans="2:13" ht="15" customHeight="1">
      <c r="B1072" s="92">
        <v>123.25</v>
      </c>
      <c r="C1072" s="88">
        <f t="shared" si="84"/>
        <v>16500</v>
      </c>
      <c r="D1072" s="88">
        <f t="shared" si="85"/>
        <v>33000</v>
      </c>
      <c r="E1072" s="88">
        <f t="shared" si="86"/>
        <v>66000</v>
      </c>
      <c r="F1072" s="88">
        <f t="shared" si="87"/>
        <v>132000</v>
      </c>
      <c r="G1072" s="88">
        <f t="shared" si="88"/>
        <v>264000</v>
      </c>
      <c r="H1072" s="89">
        <f>H1071+((H1073-H1071)/2)</f>
        <v>528000</v>
      </c>
      <c r="I1072" s="88">
        <f>E1072*10</f>
        <v>660000</v>
      </c>
      <c r="J1072" s="88">
        <f>E1072*12</f>
        <v>792000</v>
      </c>
      <c r="L1072" s="45">
        <f t="shared" si="91"/>
        <v>528000</v>
      </c>
      <c r="M1072" s="92">
        <v>123.25</v>
      </c>
    </row>
    <row r="1073" spans="2:13" ht="15" customHeight="1">
      <c r="B1073" s="92">
        <v>123.3</v>
      </c>
      <c r="C1073" s="91">
        <f t="shared" si="84"/>
        <v>16600</v>
      </c>
      <c r="D1073" s="91">
        <f t="shared" si="85"/>
        <v>33200</v>
      </c>
      <c r="E1073" s="91">
        <f t="shared" si="86"/>
        <v>66400</v>
      </c>
      <c r="F1073" s="91">
        <f t="shared" si="87"/>
        <v>132800</v>
      </c>
      <c r="G1073" s="91">
        <f t="shared" si="88"/>
        <v>265600</v>
      </c>
      <c r="H1073" s="90">
        <f>H1071+6400</f>
        <v>531200</v>
      </c>
      <c r="I1073" s="91">
        <f t="shared" si="89"/>
        <v>664000</v>
      </c>
      <c r="J1073" s="91">
        <f t="shared" si="90"/>
        <v>796800</v>
      </c>
      <c r="L1073" s="45">
        <f t="shared" si="91"/>
        <v>531200</v>
      </c>
      <c r="M1073" s="92">
        <v>123.3</v>
      </c>
    </row>
    <row r="1074" spans="2:13" ht="15" customHeight="1">
      <c r="B1074" s="92">
        <v>123.35</v>
      </c>
      <c r="C1074" s="88">
        <f t="shared" si="84"/>
        <v>16700</v>
      </c>
      <c r="D1074" s="88">
        <f t="shared" si="85"/>
        <v>33400</v>
      </c>
      <c r="E1074" s="88">
        <f t="shared" si="86"/>
        <v>66800</v>
      </c>
      <c r="F1074" s="88">
        <f t="shared" si="87"/>
        <v>133600</v>
      </c>
      <c r="G1074" s="88">
        <f t="shared" si="88"/>
        <v>267200</v>
      </c>
      <c r="H1074" s="89">
        <f>H1073+((H1075-H1073)/2)</f>
        <v>534400</v>
      </c>
      <c r="I1074" s="88">
        <f>E1074*10</f>
        <v>668000</v>
      </c>
      <c r="J1074" s="88">
        <f>E1074*12</f>
        <v>801600</v>
      </c>
      <c r="L1074" s="45">
        <f t="shared" si="91"/>
        <v>534400</v>
      </c>
      <c r="M1074" s="92">
        <v>123.35</v>
      </c>
    </row>
    <row r="1075" spans="2:13" ht="15" customHeight="1">
      <c r="B1075" s="92">
        <v>123.4</v>
      </c>
      <c r="C1075" s="91">
        <f t="shared" si="84"/>
        <v>16800</v>
      </c>
      <c r="D1075" s="91">
        <f t="shared" si="85"/>
        <v>33600</v>
      </c>
      <c r="E1075" s="91">
        <f t="shared" si="86"/>
        <v>67200</v>
      </c>
      <c r="F1075" s="91">
        <f t="shared" si="87"/>
        <v>134400</v>
      </c>
      <c r="G1075" s="91">
        <f t="shared" si="88"/>
        <v>268800</v>
      </c>
      <c r="H1075" s="90">
        <f>H1073+6400</f>
        <v>537600</v>
      </c>
      <c r="I1075" s="91">
        <f t="shared" si="89"/>
        <v>672000</v>
      </c>
      <c r="J1075" s="91">
        <f t="shared" si="90"/>
        <v>806400</v>
      </c>
      <c r="L1075" s="45">
        <f t="shared" si="91"/>
        <v>537600</v>
      </c>
      <c r="M1075" s="92">
        <v>123.4</v>
      </c>
    </row>
    <row r="1076" spans="2:13" ht="15" customHeight="1">
      <c r="B1076" s="92">
        <v>123.45</v>
      </c>
      <c r="C1076" s="88">
        <f t="shared" si="84"/>
        <v>16900</v>
      </c>
      <c r="D1076" s="88">
        <f t="shared" si="85"/>
        <v>33800</v>
      </c>
      <c r="E1076" s="88">
        <f t="shared" si="86"/>
        <v>67600</v>
      </c>
      <c r="F1076" s="88">
        <f t="shared" si="87"/>
        <v>135200</v>
      </c>
      <c r="G1076" s="88">
        <f t="shared" si="88"/>
        <v>270400</v>
      </c>
      <c r="H1076" s="89">
        <f>H1075+((H1077-H1075)/2)</f>
        <v>540800</v>
      </c>
      <c r="I1076" s="88">
        <f>E1076*10</f>
        <v>676000</v>
      </c>
      <c r="J1076" s="88">
        <f>E1076*12</f>
        <v>811200</v>
      </c>
      <c r="L1076" s="45">
        <f t="shared" si="91"/>
        <v>540800</v>
      </c>
      <c r="M1076" s="92">
        <v>123.45</v>
      </c>
    </row>
    <row r="1077" spans="2:13" ht="15" customHeight="1">
      <c r="B1077" s="92">
        <v>123.5</v>
      </c>
      <c r="C1077" s="91">
        <f t="shared" si="84"/>
        <v>17000</v>
      </c>
      <c r="D1077" s="91">
        <f t="shared" si="85"/>
        <v>34000</v>
      </c>
      <c r="E1077" s="91">
        <f t="shared" si="86"/>
        <v>68000</v>
      </c>
      <c r="F1077" s="91">
        <f t="shared" si="87"/>
        <v>136000</v>
      </c>
      <c r="G1077" s="91">
        <f t="shared" si="88"/>
        <v>272000</v>
      </c>
      <c r="H1077" s="90">
        <f>H1075+6400</f>
        <v>544000</v>
      </c>
      <c r="I1077" s="91">
        <f t="shared" si="89"/>
        <v>680000</v>
      </c>
      <c r="J1077" s="91">
        <f t="shared" si="90"/>
        <v>816000</v>
      </c>
      <c r="L1077" s="45">
        <f t="shared" si="91"/>
        <v>544000</v>
      </c>
      <c r="M1077" s="92">
        <v>123.5</v>
      </c>
    </row>
    <row r="1078" spans="2:13" ht="15" customHeight="1">
      <c r="B1078" s="92">
        <v>123.55</v>
      </c>
      <c r="C1078" s="88">
        <f t="shared" si="84"/>
        <v>17100</v>
      </c>
      <c r="D1078" s="88">
        <f t="shared" si="85"/>
        <v>34200</v>
      </c>
      <c r="E1078" s="88">
        <f t="shared" si="86"/>
        <v>68400</v>
      </c>
      <c r="F1078" s="88">
        <f t="shared" si="87"/>
        <v>136800</v>
      </c>
      <c r="G1078" s="88">
        <f t="shared" si="88"/>
        <v>273600</v>
      </c>
      <c r="H1078" s="89">
        <f>H1077+((H1079-H1077)/2)</f>
        <v>547200</v>
      </c>
      <c r="I1078" s="88">
        <f>E1078*10</f>
        <v>684000</v>
      </c>
      <c r="J1078" s="88">
        <f>E1078*12</f>
        <v>820800</v>
      </c>
      <c r="L1078" s="45">
        <f t="shared" si="91"/>
        <v>547200</v>
      </c>
      <c r="M1078" s="92">
        <v>123.55</v>
      </c>
    </row>
    <row r="1079" spans="2:13" ht="15" customHeight="1">
      <c r="B1079" s="92">
        <v>123.6</v>
      </c>
      <c r="C1079" s="91">
        <f t="shared" si="84"/>
        <v>17200</v>
      </c>
      <c r="D1079" s="91">
        <f t="shared" si="85"/>
        <v>34400</v>
      </c>
      <c r="E1079" s="91">
        <f t="shared" si="86"/>
        <v>68800</v>
      </c>
      <c r="F1079" s="91">
        <f t="shared" si="87"/>
        <v>137600</v>
      </c>
      <c r="G1079" s="91">
        <f t="shared" si="88"/>
        <v>275200</v>
      </c>
      <c r="H1079" s="90">
        <f>H1077+6400</f>
        <v>550400</v>
      </c>
      <c r="I1079" s="91">
        <f t="shared" si="89"/>
        <v>688000</v>
      </c>
      <c r="J1079" s="91">
        <f t="shared" si="90"/>
        <v>825600</v>
      </c>
      <c r="L1079" s="45">
        <f t="shared" si="91"/>
        <v>550400</v>
      </c>
      <c r="M1079" s="92">
        <v>123.6</v>
      </c>
    </row>
    <row r="1080" spans="2:13" ht="15" customHeight="1">
      <c r="B1080" s="92">
        <v>123.65</v>
      </c>
      <c r="C1080" s="88">
        <f t="shared" si="84"/>
        <v>17300</v>
      </c>
      <c r="D1080" s="88">
        <f t="shared" si="85"/>
        <v>34600</v>
      </c>
      <c r="E1080" s="88">
        <f t="shared" si="86"/>
        <v>69200</v>
      </c>
      <c r="F1080" s="88">
        <f t="shared" si="87"/>
        <v>138400</v>
      </c>
      <c r="G1080" s="88">
        <f t="shared" si="88"/>
        <v>276800</v>
      </c>
      <c r="H1080" s="89">
        <f>H1079+((H1081-H1079)/2)</f>
        <v>553600</v>
      </c>
      <c r="I1080" s="88">
        <f>E1080*10</f>
        <v>692000</v>
      </c>
      <c r="J1080" s="88">
        <f>E1080*12</f>
        <v>830400</v>
      </c>
      <c r="L1080" s="45">
        <f t="shared" si="91"/>
        <v>553600</v>
      </c>
      <c r="M1080" s="92">
        <v>123.65</v>
      </c>
    </row>
    <row r="1081" spans="2:13" ht="15" customHeight="1">
      <c r="B1081" s="92">
        <v>123.7</v>
      </c>
      <c r="C1081" s="91">
        <f t="shared" si="84"/>
        <v>17400</v>
      </c>
      <c r="D1081" s="91">
        <f t="shared" si="85"/>
        <v>34800</v>
      </c>
      <c r="E1081" s="91">
        <f t="shared" si="86"/>
        <v>69600</v>
      </c>
      <c r="F1081" s="91">
        <f t="shared" si="87"/>
        <v>139200</v>
      </c>
      <c r="G1081" s="91">
        <f t="shared" si="88"/>
        <v>278400</v>
      </c>
      <c r="H1081" s="90">
        <f>H1079+6400</f>
        <v>556800</v>
      </c>
      <c r="I1081" s="91">
        <f t="shared" si="89"/>
        <v>696000</v>
      </c>
      <c r="J1081" s="91">
        <f t="shared" si="90"/>
        <v>835200</v>
      </c>
      <c r="L1081" s="45">
        <f t="shared" si="91"/>
        <v>556800</v>
      </c>
      <c r="M1081" s="92">
        <v>123.7</v>
      </c>
    </row>
    <row r="1082" spans="2:13" ht="15" customHeight="1">
      <c r="B1082" s="92">
        <v>123.75</v>
      </c>
      <c r="C1082" s="88">
        <f t="shared" si="84"/>
        <v>17500</v>
      </c>
      <c r="D1082" s="88">
        <f t="shared" si="85"/>
        <v>35000</v>
      </c>
      <c r="E1082" s="88">
        <f t="shared" si="86"/>
        <v>70000</v>
      </c>
      <c r="F1082" s="88">
        <f t="shared" si="87"/>
        <v>140000</v>
      </c>
      <c r="G1082" s="88">
        <f t="shared" si="88"/>
        <v>280000</v>
      </c>
      <c r="H1082" s="89">
        <f>H1081+((H1083-H1081)/2)</f>
        <v>560000</v>
      </c>
      <c r="I1082" s="88">
        <f>E1082*10</f>
        <v>700000</v>
      </c>
      <c r="J1082" s="88">
        <f>E1082*12</f>
        <v>840000</v>
      </c>
      <c r="L1082" s="45">
        <f t="shared" si="91"/>
        <v>560000</v>
      </c>
      <c r="M1082" s="92">
        <v>123.75</v>
      </c>
    </row>
    <row r="1083" spans="2:13" ht="15" customHeight="1">
      <c r="B1083" s="92">
        <v>123.8</v>
      </c>
      <c r="C1083" s="91">
        <f t="shared" si="84"/>
        <v>17600</v>
      </c>
      <c r="D1083" s="91">
        <f t="shared" si="85"/>
        <v>35200</v>
      </c>
      <c r="E1083" s="91">
        <f t="shared" si="86"/>
        <v>70400</v>
      </c>
      <c r="F1083" s="91">
        <f t="shared" si="87"/>
        <v>140800</v>
      </c>
      <c r="G1083" s="91">
        <f t="shared" si="88"/>
        <v>281600</v>
      </c>
      <c r="H1083" s="90">
        <f>H1081+6400</f>
        <v>563200</v>
      </c>
      <c r="I1083" s="91">
        <f t="shared" si="89"/>
        <v>704000</v>
      </c>
      <c r="J1083" s="91">
        <f t="shared" si="90"/>
        <v>844800</v>
      </c>
      <c r="L1083" s="45">
        <f t="shared" si="91"/>
        <v>563200</v>
      </c>
      <c r="M1083" s="92">
        <v>123.8</v>
      </c>
    </row>
    <row r="1084" spans="2:13" ht="15" customHeight="1">
      <c r="B1084" s="92">
        <v>123.85</v>
      </c>
      <c r="C1084" s="88">
        <f t="shared" si="84"/>
        <v>17700</v>
      </c>
      <c r="D1084" s="88">
        <f t="shared" si="85"/>
        <v>35400</v>
      </c>
      <c r="E1084" s="88">
        <f t="shared" si="86"/>
        <v>70800</v>
      </c>
      <c r="F1084" s="88">
        <f t="shared" si="87"/>
        <v>141600</v>
      </c>
      <c r="G1084" s="88">
        <f t="shared" si="88"/>
        <v>283200</v>
      </c>
      <c r="H1084" s="89">
        <f>H1083+((H1085-H1083)/2)</f>
        <v>566400</v>
      </c>
      <c r="I1084" s="88">
        <f>E1084*10</f>
        <v>708000</v>
      </c>
      <c r="J1084" s="88">
        <f>E1084*12</f>
        <v>849600</v>
      </c>
      <c r="L1084" s="45">
        <f t="shared" si="91"/>
        <v>566400</v>
      </c>
      <c r="M1084" s="92">
        <v>123.85</v>
      </c>
    </row>
    <row r="1085" spans="2:13" ht="15" customHeight="1">
      <c r="B1085" s="92">
        <v>123.9</v>
      </c>
      <c r="C1085" s="91">
        <f t="shared" si="84"/>
        <v>17800</v>
      </c>
      <c r="D1085" s="91">
        <f t="shared" si="85"/>
        <v>35600</v>
      </c>
      <c r="E1085" s="91">
        <f t="shared" si="86"/>
        <v>71200</v>
      </c>
      <c r="F1085" s="91">
        <f t="shared" si="87"/>
        <v>142400</v>
      </c>
      <c r="G1085" s="91">
        <f t="shared" si="88"/>
        <v>284800</v>
      </c>
      <c r="H1085" s="90">
        <f>H1083+6400</f>
        <v>569600</v>
      </c>
      <c r="I1085" s="91">
        <f t="shared" si="89"/>
        <v>712000</v>
      </c>
      <c r="J1085" s="91">
        <f t="shared" si="90"/>
        <v>854400</v>
      </c>
      <c r="L1085" s="45">
        <f t="shared" si="91"/>
        <v>569600</v>
      </c>
      <c r="M1085" s="92">
        <v>123.9</v>
      </c>
    </row>
    <row r="1086" spans="2:13" ht="15" customHeight="1">
      <c r="B1086" s="92">
        <v>123.95</v>
      </c>
      <c r="C1086" s="88">
        <f t="shared" si="84"/>
        <v>17900</v>
      </c>
      <c r="D1086" s="88">
        <f t="shared" si="85"/>
        <v>35800</v>
      </c>
      <c r="E1086" s="88">
        <f t="shared" si="86"/>
        <v>71600</v>
      </c>
      <c r="F1086" s="88">
        <f t="shared" si="87"/>
        <v>143200</v>
      </c>
      <c r="G1086" s="88">
        <f t="shared" si="88"/>
        <v>286400</v>
      </c>
      <c r="H1086" s="89">
        <f>H1085+((H1087-H1085)/2)</f>
        <v>572800</v>
      </c>
      <c r="I1086" s="88">
        <f>E1086*10</f>
        <v>716000</v>
      </c>
      <c r="J1086" s="88">
        <f>E1086*12</f>
        <v>859200</v>
      </c>
      <c r="L1086" s="45">
        <f t="shared" si="91"/>
        <v>572800</v>
      </c>
      <c r="M1086" s="92">
        <v>123.95</v>
      </c>
    </row>
    <row r="1087" spans="2:13" ht="15" customHeight="1">
      <c r="B1087" s="92">
        <v>124</v>
      </c>
      <c r="C1087" s="91">
        <f t="shared" si="84"/>
        <v>18000</v>
      </c>
      <c r="D1087" s="91">
        <f t="shared" si="85"/>
        <v>36000</v>
      </c>
      <c r="E1087" s="91">
        <f t="shared" si="86"/>
        <v>72000</v>
      </c>
      <c r="F1087" s="91">
        <f t="shared" si="87"/>
        <v>144000</v>
      </c>
      <c r="G1087" s="91">
        <f t="shared" si="88"/>
        <v>288000</v>
      </c>
      <c r="H1087" s="90">
        <f>H1085+6400</f>
        <v>576000</v>
      </c>
      <c r="I1087" s="91">
        <f t="shared" si="89"/>
        <v>720000</v>
      </c>
      <c r="J1087" s="91">
        <f t="shared" si="90"/>
        <v>864000</v>
      </c>
      <c r="L1087" s="45">
        <f t="shared" si="91"/>
        <v>576000</v>
      </c>
      <c r="M1087" s="92">
        <v>124</v>
      </c>
    </row>
    <row r="1088" spans="2:13" ht="15" customHeight="1">
      <c r="B1088" s="92">
        <v>124.05</v>
      </c>
      <c r="C1088" s="88">
        <f t="shared" si="84"/>
        <v>18100</v>
      </c>
      <c r="D1088" s="88">
        <f t="shared" si="85"/>
        <v>36200</v>
      </c>
      <c r="E1088" s="88">
        <f t="shared" si="86"/>
        <v>72400</v>
      </c>
      <c r="F1088" s="88">
        <f t="shared" si="87"/>
        <v>144800</v>
      </c>
      <c r="G1088" s="88">
        <f t="shared" si="88"/>
        <v>289600</v>
      </c>
      <c r="H1088" s="89">
        <f>H1087+((H1089-H1087)/2)</f>
        <v>579200</v>
      </c>
      <c r="I1088" s="88">
        <f>E1088*10</f>
        <v>724000</v>
      </c>
      <c r="J1088" s="88">
        <f>E1088*12</f>
        <v>868800</v>
      </c>
      <c r="L1088" s="45">
        <f t="shared" si="91"/>
        <v>579200</v>
      </c>
      <c r="M1088" s="92">
        <v>124.05</v>
      </c>
    </row>
    <row r="1089" spans="2:13" ht="15" customHeight="1">
      <c r="B1089" s="92">
        <v>124.1</v>
      </c>
      <c r="C1089" s="91">
        <f t="shared" si="84"/>
        <v>18200</v>
      </c>
      <c r="D1089" s="91">
        <f t="shared" si="85"/>
        <v>36400</v>
      </c>
      <c r="E1089" s="91">
        <f t="shared" si="86"/>
        <v>72800</v>
      </c>
      <c r="F1089" s="91">
        <f t="shared" si="87"/>
        <v>145600</v>
      </c>
      <c r="G1089" s="91">
        <f t="shared" si="88"/>
        <v>291200</v>
      </c>
      <c r="H1089" s="90">
        <f>H1087+6400</f>
        <v>582400</v>
      </c>
      <c r="I1089" s="91">
        <f t="shared" si="89"/>
        <v>728000</v>
      </c>
      <c r="J1089" s="91">
        <f t="shared" si="90"/>
        <v>873600</v>
      </c>
      <c r="L1089" s="45">
        <f t="shared" si="91"/>
        <v>582400</v>
      </c>
      <c r="M1089" s="92">
        <v>124.1</v>
      </c>
    </row>
    <row r="1090" spans="2:13" ht="15" customHeight="1">
      <c r="B1090" s="92">
        <v>124.15</v>
      </c>
      <c r="C1090" s="88">
        <f t="shared" si="84"/>
        <v>18300</v>
      </c>
      <c r="D1090" s="88">
        <f t="shared" si="85"/>
        <v>36600</v>
      </c>
      <c r="E1090" s="88">
        <f t="shared" si="86"/>
        <v>73200</v>
      </c>
      <c r="F1090" s="88">
        <f t="shared" si="87"/>
        <v>146400</v>
      </c>
      <c r="G1090" s="88">
        <f t="shared" si="88"/>
        <v>292800</v>
      </c>
      <c r="H1090" s="89">
        <f>H1089+((H1091-H1089)/2)</f>
        <v>585600</v>
      </c>
      <c r="I1090" s="88">
        <f>E1090*10</f>
        <v>732000</v>
      </c>
      <c r="J1090" s="88">
        <f>E1090*12</f>
        <v>878400</v>
      </c>
      <c r="L1090" s="45">
        <f t="shared" si="91"/>
        <v>585600</v>
      </c>
      <c r="M1090" s="92">
        <v>124.15</v>
      </c>
    </row>
    <row r="1091" spans="2:13" ht="15" customHeight="1">
      <c r="B1091" s="92">
        <v>124.2</v>
      </c>
      <c r="C1091" s="91">
        <f t="shared" si="84"/>
        <v>18400</v>
      </c>
      <c r="D1091" s="91">
        <f t="shared" si="85"/>
        <v>36800</v>
      </c>
      <c r="E1091" s="91">
        <f t="shared" si="86"/>
        <v>73600</v>
      </c>
      <c r="F1091" s="91">
        <f t="shared" si="87"/>
        <v>147200</v>
      </c>
      <c r="G1091" s="91">
        <f t="shared" si="88"/>
        <v>294400</v>
      </c>
      <c r="H1091" s="90">
        <f>H1089+6400</f>
        <v>588800</v>
      </c>
      <c r="I1091" s="91">
        <f t="shared" si="89"/>
        <v>736000</v>
      </c>
      <c r="J1091" s="91">
        <f t="shared" si="90"/>
        <v>883200</v>
      </c>
      <c r="L1091" s="45">
        <f t="shared" si="91"/>
        <v>588800</v>
      </c>
      <c r="M1091" s="92">
        <v>124.2</v>
      </c>
    </row>
    <row r="1092" spans="2:13" ht="15" customHeight="1">
      <c r="B1092" s="92">
        <v>124.25</v>
      </c>
      <c r="C1092" s="88">
        <f t="shared" si="84"/>
        <v>18500</v>
      </c>
      <c r="D1092" s="88">
        <f t="shared" si="85"/>
        <v>37000</v>
      </c>
      <c r="E1092" s="88">
        <f t="shared" si="86"/>
        <v>74000</v>
      </c>
      <c r="F1092" s="88">
        <f t="shared" si="87"/>
        <v>148000</v>
      </c>
      <c r="G1092" s="88">
        <f t="shared" si="88"/>
        <v>296000</v>
      </c>
      <c r="H1092" s="89">
        <f>H1091+((H1093-H1091)/2)</f>
        <v>592000</v>
      </c>
      <c r="I1092" s="88">
        <f>E1092*10</f>
        <v>740000</v>
      </c>
      <c r="J1092" s="88">
        <f>E1092*12</f>
        <v>888000</v>
      </c>
      <c r="L1092" s="45">
        <f t="shared" si="91"/>
        <v>592000</v>
      </c>
      <c r="M1092" s="92">
        <v>124.25</v>
      </c>
    </row>
    <row r="1093" spans="2:13" ht="15" customHeight="1">
      <c r="B1093" s="92">
        <v>124.3</v>
      </c>
      <c r="C1093" s="91">
        <f t="shared" si="84"/>
        <v>18600</v>
      </c>
      <c r="D1093" s="91">
        <f t="shared" si="85"/>
        <v>37200</v>
      </c>
      <c r="E1093" s="91">
        <f t="shared" si="86"/>
        <v>74400</v>
      </c>
      <c r="F1093" s="91">
        <f t="shared" si="87"/>
        <v>148800</v>
      </c>
      <c r="G1093" s="91">
        <f t="shared" si="88"/>
        <v>297600</v>
      </c>
      <c r="H1093" s="90">
        <f>H1091+6400</f>
        <v>595200</v>
      </c>
      <c r="I1093" s="91">
        <f t="shared" si="89"/>
        <v>744000</v>
      </c>
      <c r="J1093" s="91">
        <f t="shared" si="90"/>
        <v>892800</v>
      </c>
      <c r="L1093" s="45">
        <f t="shared" si="91"/>
        <v>595200</v>
      </c>
      <c r="M1093" s="92">
        <v>124.3</v>
      </c>
    </row>
    <row r="1094" spans="2:13" ht="15" customHeight="1">
      <c r="B1094" s="92">
        <v>124.35</v>
      </c>
      <c r="C1094" s="88">
        <f>D1094/2</f>
        <v>18700</v>
      </c>
      <c r="D1094" s="88">
        <f>E1094/2</f>
        <v>37400</v>
      </c>
      <c r="E1094" s="88">
        <f>F1094/2</f>
        <v>74800</v>
      </c>
      <c r="F1094" s="88">
        <f>G1094/2</f>
        <v>149600</v>
      </c>
      <c r="G1094" s="88">
        <f>H1094/2</f>
        <v>299200</v>
      </c>
      <c r="H1094" s="89">
        <f>H1093+((H1095-H1093)/2)</f>
        <v>598400</v>
      </c>
      <c r="I1094" s="88">
        <f>E1094*10</f>
        <v>748000</v>
      </c>
      <c r="J1094" s="88">
        <f>E1094*12</f>
        <v>897600</v>
      </c>
      <c r="L1094" s="45">
        <f t="shared" si="91"/>
        <v>598400</v>
      </c>
      <c r="M1094" s="92">
        <v>124.35</v>
      </c>
    </row>
    <row r="1095" spans="2:13" ht="15" customHeight="1">
      <c r="B1095" s="92">
        <v>124.4</v>
      </c>
      <c r="C1095" s="91">
        <f t="shared" si="84"/>
        <v>18800</v>
      </c>
      <c r="D1095" s="91">
        <f t="shared" si="85"/>
        <v>37600</v>
      </c>
      <c r="E1095" s="91">
        <f t="shared" si="86"/>
        <v>75200</v>
      </c>
      <c r="F1095" s="91">
        <f t="shared" si="87"/>
        <v>150400</v>
      </c>
      <c r="G1095" s="91">
        <f t="shared" si="88"/>
        <v>300800</v>
      </c>
      <c r="H1095" s="90">
        <f>H1093+6400</f>
        <v>601600</v>
      </c>
      <c r="I1095" s="91">
        <f t="shared" si="89"/>
        <v>752000</v>
      </c>
      <c r="J1095" s="91">
        <f t="shared" si="90"/>
        <v>902400</v>
      </c>
      <c r="L1095" s="45">
        <f t="shared" si="91"/>
        <v>601600</v>
      </c>
      <c r="M1095" s="92">
        <v>124.4</v>
      </c>
    </row>
    <row r="1096" spans="2:13" ht="15" customHeight="1">
      <c r="B1096" s="92">
        <v>124.45</v>
      </c>
      <c r="C1096" s="88">
        <f>D1096/2</f>
        <v>18900</v>
      </c>
      <c r="D1096" s="88">
        <f>E1096/2</f>
        <v>37800</v>
      </c>
      <c r="E1096" s="88">
        <f>F1096/2</f>
        <v>75600</v>
      </c>
      <c r="F1096" s="88">
        <f>G1096/2</f>
        <v>151200</v>
      </c>
      <c r="G1096" s="88">
        <f>H1096/2</f>
        <v>302400</v>
      </c>
      <c r="H1096" s="89">
        <f>H1095+((H1097-H1095)/2)</f>
        <v>604800</v>
      </c>
      <c r="I1096" s="88">
        <f>E1096*10</f>
        <v>756000</v>
      </c>
      <c r="J1096" s="88">
        <f>E1096*12</f>
        <v>907200</v>
      </c>
      <c r="L1096" s="45">
        <f t="shared" ref="L1096:L1159" si="92">+H1096</f>
        <v>604800</v>
      </c>
      <c r="M1096" s="92">
        <v>124.45</v>
      </c>
    </row>
    <row r="1097" spans="2:13" ht="15" customHeight="1">
      <c r="B1097" s="92">
        <v>124.5</v>
      </c>
      <c r="C1097" s="91">
        <f t="shared" si="84"/>
        <v>19000</v>
      </c>
      <c r="D1097" s="91">
        <f t="shared" si="85"/>
        <v>38000</v>
      </c>
      <c r="E1097" s="91">
        <f t="shared" si="86"/>
        <v>76000</v>
      </c>
      <c r="F1097" s="91">
        <f t="shared" si="87"/>
        <v>152000</v>
      </c>
      <c r="G1097" s="91">
        <f t="shared" si="88"/>
        <v>304000</v>
      </c>
      <c r="H1097" s="90">
        <f>H1095+6400</f>
        <v>608000</v>
      </c>
      <c r="I1097" s="91">
        <f t="shared" si="89"/>
        <v>760000</v>
      </c>
      <c r="J1097" s="91">
        <f t="shared" si="90"/>
        <v>912000</v>
      </c>
      <c r="L1097" s="45">
        <f t="shared" si="92"/>
        <v>608000</v>
      </c>
      <c r="M1097" s="92">
        <v>124.5</v>
      </c>
    </row>
    <row r="1098" spans="2:13" ht="15" customHeight="1">
      <c r="B1098" s="92">
        <v>124.55</v>
      </c>
      <c r="C1098" s="88">
        <f>D1098/2</f>
        <v>19100</v>
      </c>
      <c r="D1098" s="88">
        <f>E1098/2</f>
        <v>38200</v>
      </c>
      <c r="E1098" s="88">
        <f>F1098/2</f>
        <v>76400</v>
      </c>
      <c r="F1098" s="88">
        <f>G1098/2</f>
        <v>152800</v>
      </c>
      <c r="G1098" s="88">
        <f>H1098/2</f>
        <v>305600</v>
      </c>
      <c r="H1098" s="89">
        <f>H1097+((H1099-H1097)/2)</f>
        <v>611200</v>
      </c>
      <c r="I1098" s="88">
        <f>E1098*10</f>
        <v>764000</v>
      </c>
      <c r="J1098" s="88">
        <f>E1098*12</f>
        <v>916800</v>
      </c>
      <c r="L1098" s="45">
        <f t="shared" si="92"/>
        <v>611200</v>
      </c>
      <c r="M1098" s="92">
        <v>124.55</v>
      </c>
    </row>
    <row r="1099" spans="2:13" ht="15" customHeight="1">
      <c r="B1099" s="92">
        <v>124.6</v>
      </c>
      <c r="C1099" s="91">
        <f t="shared" si="84"/>
        <v>19200</v>
      </c>
      <c r="D1099" s="91">
        <f t="shared" si="85"/>
        <v>38400</v>
      </c>
      <c r="E1099" s="91">
        <f t="shared" si="86"/>
        <v>76800</v>
      </c>
      <c r="F1099" s="91">
        <f t="shared" si="87"/>
        <v>153600</v>
      </c>
      <c r="G1099" s="91">
        <f t="shared" si="88"/>
        <v>307200</v>
      </c>
      <c r="H1099" s="90">
        <f>H1097+6400</f>
        <v>614400</v>
      </c>
      <c r="I1099" s="91">
        <f t="shared" si="89"/>
        <v>768000</v>
      </c>
      <c r="J1099" s="91">
        <f t="shared" si="90"/>
        <v>921600</v>
      </c>
      <c r="L1099" s="45">
        <f t="shared" si="92"/>
        <v>614400</v>
      </c>
      <c r="M1099" s="92">
        <v>124.6</v>
      </c>
    </row>
    <row r="1100" spans="2:13" ht="15" customHeight="1">
      <c r="B1100" s="92">
        <v>124.65</v>
      </c>
      <c r="C1100" s="88">
        <f>D1100/2</f>
        <v>19300</v>
      </c>
      <c r="D1100" s="88">
        <f>E1100/2</f>
        <v>38600</v>
      </c>
      <c r="E1100" s="88">
        <f>F1100/2</f>
        <v>77200</v>
      </c>
      <c r="F1100" s="88">
        <f>G1100/2</f>
        <v>154400</v>
      </c>
      <c r="G1100" s="88">
        <f>H1100/2</f>
        <v>308800</v>
      </c>
      <c r="H1100" s="89">
        <f>H1099+((H1101-H1099)/2)</f>
        <v>617600</v>
      </c>
      <c r="I1100" s="88">
        <f>E1100*10</f>
        <v>772000</v>
      </c>
      <c r="J1100" s="88">
        <f>E1100*12</f>
        <v>926400</v>
      </c>
      <c r="L1100" s="45">
        <f t="shared" si="92"/>
        <v>617600</v>
      </c>
      <c r="M1100" s="92">
        <v>124.65</v>
      </c>
    </row>
    <row r="1101" spans="2:13" ht="15" customHeight="1">
      <c r="B1101" s="92">
        <v>124.7</v>
      </c>
      <c r="C1101" s="91">
        <f t="shared" si="84"/>
        <v>19400</v>
      </c>
      <c r="D1101" s="91">
        <f t="shared" si="85"/>
        <v>38800</v>
      </c>
      <c r="E1101" s="91">
        <f t="shared" si="86"/>
        <v>77600</v>
      </c>
      <c r="F1101" s="91">
        <f t="shared" si="87"/>
        <v>155200</v>
      </c>
      <c r="G1101" s="91">
        <f t="shared" si="88"/>
        <v>310400</v>
      </c>
      <c r="H1101" s="90">
        <f>H1099+6400</f>
        <v>620800</v>
      </c>
      <c r="I1101" s="91">
        <f t="shared" si="89"/>
        <v>776000</v>
      </c>
      <c r="J1101" s="91">
        <f t="shared" si="90"/>
        <v>931200</v>
      </c>
      <c r="L1101" s="45">
        <f t="shared" si="92"/>
        <v>620800</v>
      </c>
      <c r="M1101" s="92">
        <v>124.7</v>
      </c>
    </row>
    <row r="1102" spans="2:13" ht="15" customHeight="1">
      <c r="B1102" s="92">
        <v>124.75</v>
      </c>
      <c r="C1102" s="88">
        <f>D1102/2</f>
        <v>19500</v>
      </c>
      <c r="D1102" s="88">
        <f>E1102/2</f>
        <v>39000</v>
      </c>
      <c r="E1102" s="88">
        <f>F1102/2</f>
        <v>78000</v>
      </c>
      <c r="F1102" s="88">
        <f>G1102/2</f>
        <v>156000</v>
      </c>
      <c r="G1102" s="88">
        <f>H1102/2</f>
        <v>312000</v>
      </c>
      <c r="H1102" s="89">
        <f>H1101+((H1103-H1101)/2)</f>
        <v>624000</v>
      </c>
      <c r="I1102" s="88">
        <f>E1102*10</f>
        <v>780000</v>
      </c>
      <c r="J1102" s="88">
        <f>E1102*12</f>
        <v>936000</v>
      </c>
      <c r="L1102" s="45">
        <f t="shared" si="92"/>
        <v>624000</v>
      </c>
      <c r="M1102" s="92">
        <v>124.75</v>
      </c>
    </row>
    <row r="1103" spans="2:13" ht="15" customHeight="1">
      <c r="B1103" s="92">
        <v>124.8</v>
      </c>
      <c r="C1103" s="91">
        <f t="shared" si="84"/>
        <v>19600</v>
      </c>
      <c r="D1103" s="91">
        <f t="shared" si="85"/>
        <v>39200</v>
      </c>
      <c r="E1103" s="91">
        <f t="shared" si="86"/>
        <v>78400</v>
      </c>
      <c r="F1103" s="91">
        <f t="shared" si="87"/>
        <v>156800</v>
      </c>
      <c r="G1103" s="91">
        <f t="shared" si="88"/>
        <v>313600</v>
      </c>
      <c r="H1103" s="90">
        <f>H1101+6400</f>
        <v>627200</v>
      </c>
      <c r="I1103" s="91">
        <f t="shared" si="89"/>
        <v>784000</v>
      </c>
      <c r="J1103" s="91">
        <f t="shared" si="90"/>
        <v>940800</v>
      </c>
      <c r="L1103" s="45">
        <f t="shared" si="92"/>
        <v>627200</v>
      </c>
      <c r="M1103" s="92">
        <v>124.8</v>
      </c>
    </row>
    <row r="1104" spans="2:13" ht="15" customHeight="1">
      <c r="B1104" s="92">
        <v>124.85</v>
      </c>
      <c r="C1104" s="88">
        <f>D1104/2</f>
        <v>19700</v>
      </c>
      <c r="D1104" s="88">
        <f>E1104/2</f>
        <v>39400</v>
      </c>
      <c r="E1104" s="88">
        <f>F1104/2</f>
        <v>78800</v>
      </c>
      <c r="F1104" s="88">
        <f>G1104/2</f>
        <v>157600</v>
      </c>
      <c r="G1104" s="88">
        <f>H1104/2</f>
        <v>315200</v>
      </c>
      <c r="H1104" s="89">
        <f>H1103+((H1105-H1103)/2)</f>
        <v>630400</v>
      </c>
      <c r="I1104" s="88">
        <f>E1104*10</f>
        <v>788000</v>
      </c>
      <c r="J1104" s="88">
        <f>E1104*12</f>
        <v>945600</v>
      </c>
      <c r="L1104" s="45">
        <f t="shared" si="92"/>
        <v>630400</v>
      </c>
      <c r="M1104" s="92">
        <v>124.85</v>
      </c>
    </row>
    <row r="1105" spans="2:13" ht="15" customHeight="1">
      <c r="B1105" s="92">
        <v>124.9</v>
      </c>
      <c r="C1105" s="91">
        <f t="shared" si="84"/>
        <v>19800</v>
      </c>
      <c r="D1105" s="91">
        <f t="shared" si="85"/>
        <v>39600</v>
      </c>
      <c r="E1105" s="91">
        <f t="shared" si="86"/>
        <v>79200</v>
      </c>
      <c r="F1105" s="91">
        <f t="shared" si="87"/>
        <v>158400</v>
      </c>
      <c r="G1105" s="91">
        <f t="shared" si="88"/>
        <v>316800</v>
      </c>
      <c r="H1105" s="90">
        <f>H1103+6400</f>
        <v>633600</v>
      </c>
      <c r="I1105" s="91">
        <f t="shared" si="89"/>
        <v>792000</v>
      </c>
      <c r="J1105" s="91">
        <f t="shared" si="90"/>
        <v>950400</v>
      </c>
      <c r="L1105" s="45">
        <f t="shared" si="92"/>
        <v>633600</v>
      </c>
      <c r="M1105" s="92">
        <v>124.9</v>
      </c>
    </row>
    <row r="1106" spans="2:13" ht="15" customHeight="1">
      <c r="B1106" s="92">
        <v>124.95</v>
      </c>
      <c r="C1106" s="88">
        <f>D1106/2</f>
        <v>19900</v>
      </c>
      <c r="D1106" s="88">
        <f>E1106/2</f>
        <v>39800</v>
      </c>
      <c r="E1106" s="88">
        <f>F1106/2</f>
        <v>79600</v>
      </c>
      <c r="F1106" s="88">
        <f>G1106/2</f>
        <v>159200</v>
      </c>
      <c r="G1106" s="88">
        <f>H1106/2</f>
        <v>318400</v>
      </c>
      <c r="H1106" s="89">
        <f>H1105+((H1107-H1105)/2)</f>
        <v>636800</v>
      </c>
      <c r="I1106" s="88">
        <f>E1106*10</f>
        <v>796000</v>
      </c>
      <c r="J1106" s="88">
        <f>E1106*12</f>
        <v>955200</v>
      </c>
      <c r="L1106" s="45">
        <f t="shared" si="92"/>
        <v>636800</v>
      </c>
      <c r="M1106" s="92">
        <v>124.95</v>
      </c>
    </row>
    <row r="1107" spans="2:13" ht="15" customHeight="1">
      <c r="B1107" s="92">
        <v>125</v>
      </c>
      <c r="C1107" s="91">
        <f t="shared" si="84"/>
        <v>20000</v>
      </c>
      <c r="D1107" s="91">
        <f t="shared" si="85"/>
        <v>40000</v>
      </c>
      <c r="E1107" s="91">
        <f t="shared" si="86"/>
        <v>80000</v>
      </c>
      <c r="F1107" s="91">
        <f t="shared" si="87"/>
        <v>160000</v>
      </c>
      <c r="G1107" s="91">
        <f t="shared" si="88"/>
        <v>320000</v>
      </c>
      <c r="H1107" s="90">
        <f>H1105+6400</f>
        <v>640000</v>
      </c>
      <c r="I1107" s="91">
        <f t="shared" si="89"/>
        <v>800000</v>
      </c>
      <c r="J1107" s="91">
        <f t="shared" si="90"/>
        <v>960000</v>
      </c>
      <c r="L1107" s="45">
        <f t="shared" si="92"/>
        <v>640000</v>
      </c>
      <c r="M1107" s="92">
        <v>125</v>
      </c>
    </row>
    <row r="1108" spans="2:13" ht="15" customHeight="1">
      <c r="B1108" s="92">
        <v>125.05</v>
      </c>
      <c r="C1108" s="88">
        <f>D1108/2</f>
        <v>20100</v>
      </c>
      <c r="D1108" s="88">
        <f>E1108/2</f>
        <v>40200</v>
      </c>
      <c r="E1108" s="88">
        <f>F1108/2</f>
        <v>80400</v>
      </c>
      <c r="F1108" s="88">
        <f>G1108/2</f>
        <v>160800</v>
      </c>
      <c r="G1108" s="88">
        <f>H1108/2</f>
        <v>321600</v>
      </c>
      <c r="H1108" s="89">
        <f>H1107+((H1109-H1107)/2)</f>
        <v>643200</v>
      </c>
      <c r="I1108" s="88">
        <f>E1108*10</f>
        <v>804000</v>
      </c>
      <c r="J1108" s="88">
        <f>E1108*12</f>
        <v>964800</v>
      </c>
      <c r="L1108" s="45">
        <f t="shared" si="92"/>
        <v>643200</v>
      </c>
      <c r="M1108" s="92">
        <v>125.05</v>
      </c>
    </row>
    <row r="1109" spans="2:13" ht="15" customHeight="1">
      <c r="B1109" s="92">
        <v>125.1</v>
      </c>
      <c r="C1109" s="91">
        <f t="shared" si="84"/>
        <v>20200</v>
      </c>
      <c r="D1109" s="91">
        <f t="shared" si="85"/>
        <v>40400</v>
      </c>
      <c r="E1109" s="91">
        <f t="shared" si="86"/>
        <v>80800</v>
      </c>
      <c r="F1109" s="91">
        <f t="shared" si="87"/>
        <v>161600</v>
      </c>
      <c r="G1109" s="91">
        <f t="shared" si="88"/>
        <v>323200</v>
      </c>
      <c r="H1109" s="90">
        <f>H1107+6400</f>
        <v>646400</v>
      </c>
      <c r="I1109" s="91">
        <f t="shared" si="89"/>
        <v>808000</v>
      </c>
      <c r="J1109" s="91">
        <f t="shared" si="90"/>
        <v>969600</v>
      </c>
      <c r="L1109" s="45">
        <f t="shared" si="92"/>
        <v>646400</v>
      </c>
      <c r="M1109" s="92">
        <v>125.1</v>
      </c>
    </row>
    <row r="1110" spans="2:13" ht="15" customHeight="1">
      <c r="B1110" s="92">
        <v>125.15</v>
      </c>
      <c r="C1110" s="88">
        <f>D1110/2</f>
        <v>20300</v>
      </c>
      <c r="D1110" s="88">
        <f>E1110/2</f>
        <v>40600</v>
      </c>
      <c r="E1110" s="88">
        <f>F1110/2</f>
        <v>81200</v>
      </c>
      <c r="F1110" s="88">
        <f>G1110/2</f>
        <v>162400</v>
      </c>
      <c r="G1110" s="88">
        <f>H1110/2</f>
        <v>324800</v>
      </c>
      <c r="H1110" s="89">
        <f>H1109+((H1111-H1109)/2)</f>
        <v>649600</v>
      </c>
      <c r="I1110" s="88">
        <f>E1110*10</f>
        <v>812000</v>
      </c>
      <c r="J1110" s="88">
        <f>E1110*12</f>
        <v>974400</v>
      </c>
      <c r="L1110" s="45">
        <f t="shared" si="92"/>
        <v>649600</v>
      </c>
      <c r="M1110" s="92">
        <v>125.15</v>
      </c>
    </row>
    <row r="1111" spans="2:13" ht="15" customHeight="1">
      <c r="B1111" s="92">
        <v>125.2</v>
      </c>
      <c r="C1111" s="91">
        <f t="shared" si="84"/>
        <v>20400</v>
      </c>
      <c r="D1111" s="91">
        <f t="shared" si="85"/>
        <v>40800</v>
      </c>
      <c r="E1111" s="91">
        <f t="shared" si="86"/>
        <v>81600</v>
      </c>
      <c r="F1111" s="91">
        <f t="shared" si="87"/>
        <v>163200</v>
      </c>
      <c r="G1111" s="91">
        <f t="shared" si="88"/>
        <v>326400</v>
      </c>
      <c r="H1111" s="90">
        <f>H1109+6400</f>
        <v>652800</v>
      </c>
      <c r="I1111" s="91">
        <f t="shared" si="89"/>
        <v>816000</v>
      </c>
      <c r="J1111" s="91">
        <f t="shared" si="90"/>
        <v>979200</v>
      </c>
      <c r="L1111" s="45">
        <f t="shared" si="92"/>
        <v>652800</v>
      </c>
      <c r="M1111" s="92">
        <v>125.2</v>
      </c>
    </row>
    <row r="1112" spans="2:13" ht="15" customHeight="1">
      <c r="B1112" s="92">
        <v>125.25</v>
      </c>
      <c r="C1112" s="88">
        <f>D1112/2</f>
        <v>20500</v>
      </c>
      <c r="D1112" s="88">
        <f>E1112/2</f>
        <v>41000</v>
      </c>
      <c r="E1112" s="88">
        <f>F1112/2</f>
        <v>82000</v>
      </c>
      <c r="F1112" s="88">
        <f>G1112/2</f>
        <v>164000</v>
      </c>
      <c r="G1112" s="88">
        <f>H1112/2</f>
        <v>328000</v>
      </c>
      <c r="H1112" s="89">
        <f>H1111+((H1113-H1111)/2)</f>
        <v>656000</v>
      </c>
      <c r="I1112" s="88">
        <f>E1112*10</f>
        <v>820000</v>
      </c>
      <c r="J1112" s="88">
        <f>E1112*12</f>
        <v>984000</v>
      </c>
      <c r="L1112" s="45">
        <f t="shared" si="92"/>
        <v>656000</v>
      </c>
      <c r="M1112" s="92">
        <v>125.25</v>
      </c>
    </row>
    <row r="1113" spans="2:13" ht="15" customHeight="1">
      <c r="B1113" s="92">
        <v>125.3</v>
      </c>
      <c r="C1113" s="91">
        <f t="shared" si="84"/>
        <v>20600</v>
      </c>
      <c r="D1113" s="91">
        <f t="shared" si="85"/>
        <v>41200</v>
      </c>
      <c r="E1113" s="91">
        <f t="shared" si="86"/>
        <v>82400</v>
      </c>
      <c r="F1113" s="91">
        <f t="shared" si="87"/>
        <v>164800</v>
      </c>
      <c r="G1113" s="91">
        <f t="shared" si="88"/>
        <v>329600</v>
      </c>
      <c r="H1113" s="90">
        <f>H1111+6400</f>
        <v>659200</v>
      </c>
      <c r="I1113" s="91">
        <f t="shared" si="89"/>
        <v>824000</v>
      </c>
      <c r="J1113" s="91">
        <f t="shared" si="90"/>
        <v>988800</v>
      </c>
      <c r="L1113" s="45">
        <f t="shared" si="92"/>
        <v>659200</v>
      </c>
      <c r="M1113" s="92">
        <v>125.3</v>
      </c>
    </row>
    <row r="1114" spans="2:13" ht="15" customHeight="1">
      <c r="B1114" s="92">
        <v>125.35</v>
      </c>
      <c r="C1114" s="88">
        <f>D1114/2</f>
        <v>20700</v>
      </c>
      <c r="D1114" s="88">
        <f>E1114/2</f>
        <v>41400</v>
      </c>
      <c r="E1114" s="88">
        <f>F1114/2</f>
        <v>82800</v>
      </c>
      <c r="F1114" s="88">
        <f>G1114/2</f>
        <v>165600</v>
      </c>
      <c r="G1114" s="88">
        <f>H1114/2</f>
        <v>331200</v>
      </c>
      <c r="H1114" s="89">
        <f>H1113+((H1115-H1113)/2)</f>
        <v>662400</v>
      </c>
      <c r="I1114" s="88">
        <f>E1114*10</f>
        <v>828000</v>
      </c>
      <c r="J1114" s="88">
        <f>E1114*12</f>
        <v>993600</v>
      </c>
      <c r="L1114" s="45">
        <f t="shared" si="92"/>
        <v>662400</v>
      </c>
      <c r="M1114" s="92">
        <v>125.35</v>
      </c>
    </row>
    <row r="1115" spans="2:13" ht="15" customHeight="1">
      <c r="B1115" s="92">
        <v>125.4</v>
      </c>
      <c r="C1115" s="91">
        <f t="shared" si="84"/>
        <v>20800</v>
      </c>
      <c r="D1115" s="91">
        <f t="shared" si="85"/>
        <v>41600</v>
      </c>
      <c r="E1115" s="91">
        <f t="shared" si="86"/>
        <v>83200</v>
      </c>
      <c r="F1115" s="91">
        <f t="shared" si="87"/>
        <v>166400</v>
      </c>
      <c r="G1115" s="91">
        <f t="shared" si="88"/>
        <v>332800</v>
      </c>
      <c r="H1115" s="90">
        <f>H1113+6400</f>
        <v>665600</v>
      </c>
      <c r="I1115" s="91">
        <f t="shared" si="89"/>
        <v>832000</v>
      </c>
      <c r="J1115" s="91">
        <f t="shared" si="90"/>
        <v>998400</v>
      </c>
      <c r="L1115" s="45">
        <f t="shared" si="92"/>
        <v>665600</v>
      </c>
      <c r="M1115" s="92">
        <v>125.4</v>
      </c>
    </row>
    <row r="1116" spans="2:13" ht="15" customHeight="1">
      <c r="B1116" s="92">
        <v>125.45</v>
      </c>
      <c r="C1116" s="88">
        <f>D1116/2</f>
        <v>20900</v>
      </c>
      <c r="D1116" s="88">
        <f>E1116/2</f>
        <v>41800</v>
      </c>
      <c r="E1116" s="88">
        <f>F1116/2</f>
        <v>83600</v>
      </c>
      <c r="F1116" s="88">
        <f>G1116/2</f>
        <v>167200</v>
      </c>
      <c r="G1116" s="88">
        <f>H1116/2</f>
        <v>334400</v>
      </c>
      <c r="H1116" s="89">
        <f>H1115+((H1117-H1115)/2)</f>
        <v>668800</v>
      </c>
      <c r="I1116" s="88">
        <f>E1116*10</f>
        <v>836000</v>
      </c>
      <c r="J1116" s="88">
        <f>E1116*12</f>
        <v>1003200</v>
      </c>
      <c r="L1116" s="45">
        <f t="shared" si="92"/>
        <v>668800</v>
      </c>
      <c r="M1116" s="92">
        <v>125.45</v>
      </c>
    </row>
    <row r="1117" spans="2:13" ht="15" customHeight="1">
      <c r="B1117" s="92">
        <v>125.5</v>
      </c>
      <c r="C1117" s="91">
        <f t="shared" si="84"/>
        <v>21000</v>
      </c>
      <c r="D1117" s="91">
        <f t="shared" si="85"/>
        <v>42000</v>
      </c>
      <c r="E1117" s="91">
        <f t="shared" si="86"/>
        <v>84000</v>
      </c>
      <c r="F1117" s="91">
        <f t="shared" si="87"/>
        <v>168000</v>
      </c>
      <c r="G1117" s="91">
        <f t="shared" si="88"/>
        <v>336000</v>
      </c>
      <c r="H1117" s="90">
        <f>H1115+6400</f>
        <v>672000</v>
      </c>
      <c r="I1117" s="91">
        <f t="shared" si="89"/>
        <v>840000</v>
      </c>
      <c r="J1117" s="91">
        <f t="shared" si="90"/>
        <v>1008000</v>
      </c>
      <c r="L1117" s="45">
        <f t="shared" si="92"/>
        <v>672000</v>
      </c>
      <c r="M1117" s="92">
        <v>125.5</v>
      </c>
    </row>
    <row r="1118" spans="2:13" ht="15" customHeight="1">
      <c r="B1118" s="92">
        <v>125.55</v>
      </c>
      <c r="C1118" s="88">
        <f>D1118/2</f>
        <v>21100</v>
      </c>
      <c r="D1118" s="88">
        <f>E1118/2</f>
        <v>42200</v>
      </c>
      <c r="E1118" s="88">
        <f>F1118/2</f>
        <v>84400</v>
      </c>
      <c r="F1118" s="88">
        <f>G1118/2</f>
        <v>168800</v>
      </c>
      <c r="G1118" s="88">
        <f>H1118/2</f>
        <v>337600</v>
      </c>
      <c r="H1118" s="89">
        <f>H1117+((H1119-H1117)/2)</f>
        <v>675200</v>
      </c>
      <c r="I1118" s="88">
        <f>E1118*10</f>
        <v>844000</v>
      </c>
      <c r="J1118" s="88">
        <f>E1118*12</f>
        <v>1012800</v>
      </c>
      <c r="L1118" s="45">
        <f t="shared" si="92"/>
        <v>675200</v>
      </c>
      <c r="M1118" s="92">
        <v>125.55</v>
      </c>
    </row>
    <row r="1119" spans="2:13" ht="15" customHeight="1">
      <c r="B1119" s="92">
        <v>125.6</v>
      </c>
      <c r="C1119" s="91">
        <f t="shared" si="84"/>
        <v>21200</v>
      </c>
      <c r="D1119" s="91">
        <f t="shared" si="85"/>
        <v>42400</v>
      </c>
      <c r="E1119" s="91">
        <f t="shared" si="86"/>
        <v>84800</v>
      </c>
      <c r="F1119" s="91">
        <f t="shared" si="87"/>
        <v>169600</v>
      </c>
      <c r="G1119" s="91">
        <f t="shared" si="88"/>
        <v>339200</v>
      </c>
      <c r="H1119" s="90">
        <f>H1117+6400</f>
        <v>678400</v>
      </c>
      <c r="I1119" s="91">
        <f t="shared" si="89"/>
        <v>848000</v>
      </c>
      <c r="J1119" s="91">
        <f t="shared" si="90"/>
        <v>1017600</v>
      </c>
      <c r="L1119" s="45">
        <f t="shared" si="92"/>
        <v>678400</v>
      </c>
      <c r="M1119" s="92">
        <v>125.6</v>
      </c>
    </row>
    <row r="1120" spans="2:13" ht="15" customHeight="1">
      <c r="B1120" s="92">
        <v>125.65</v>
      </c>
      <c r="C1120" s="88">
        <f>D1120/2</f>
        <v>21300</v>
      </c>
      <c r="D1120" s="88">
        <f>E1120/2</f>
        <v>42600</v>
      </c>
      <c r="E1120" s="88">
        <f>F1120/2</f>
        <v>85200</v>
      </c>
      <c r="F1120" s="88">
        <f>G1120/2</f>
        <v>170400</v>
      </c>
      <c r="G1120" s="88">
        <f>H1120/2</f>
        <v>340800</v>
      </c>
      <c r="H1120" s="89">
        <f>H1119+((H1121-H1119)/2)</f>
        <v>681600</v>
      </c>
      <c r="I1120" s="88">
        <f>E1120*10</f>
        <v>852000</v>
      </c>
      <c r="J1120" s="88">
        <f>E1120*12</f>
        <v>1022400</v>
      </c>
      <c r="L1120" s="45">
        <f t="shared" si="92"/>
        <v>681600</v>
      </c>
      <c r="M1120" s="92">
        <v>125.65</v>
      </c>
    </row>
    <row r="1121" spans="2:13" ht="15" customHeight="1">
      <c r="B1121" s="92">
        <v>125.7</v>
      </c>
      <c r="C1121" s="91">
        <f t="shared" si="84"/>
        <v>21400</v>
      </c>
      <c r="D1121" s="91">
        <f t="shared" si="85"/>
        <v>42800</v>
      </c>
      <c r="E1121" s="91">
        <f t="shared" si="86"/>
        <v>85600</v>
      </c>
      <c r="F1121" s="91">
        <f t="shared" si="87"/>
        <v>171200</v>
      </c>
      <c r="G1121" s="91">
        <f t="shared" si="88"/>
        <v>342400</v>
      </c>
      <c r="H1121" s="90">
        <f>H1119+6400</f>
        <v>684800</v>
      </c>
      <c r="I1121" s="91">
        <f t="shared" si="89"/>
        <v>856000</v>
      </c>
      <c r="J1121" s="91">
        <f t="shared" si="90"/>
        <v>1027200</v>
      </c>
      <c r="L1121" s="45">
        <f t="shared" si="92"/>
        <v>684800</v>
      </c>
      <c r="M1121" s="92">
        <v>125.7</v>
      </c>
    </row>
    <row r="1122" spans="2:13" ht="15" customHeight="1">
      <c r="B1122" s="92">
        <v>125.75</v>
      </c>
      <c r="C1122" s="88">
        <f>D1122/2</f>
        <v>21500</v>
      </c>
      <c r="D1122" s="88">
        <f>E1122/2</f>
        <v>43000</v>
      </c>
      <c r="E1122" s="88">
        <f>F1122/2</f>
        <v>86000</v>
      </c>
      <c r="F1122" s="88">
        <f>G1122/2</f>
        <v>172000</v>
      </c>
      <c r="G1122" s="88">
        <f>H1122/2</f>
        <v>344000</v>
      </c>
      <c r="H1122" s="89">
        <f>H1121+((H1123-H1121)/2)</f>
        <v>688000</v>
      </c>
      <c r="I1122" s="88">
        <f>E1122*10</f>
        <v>860000</v>
      </c>
      <c r="J1122" s="88">
        <f>E1122*12</f>
        <v>1032000</v>
      </c>
      <c r="L1122" s="45">
        <f t="shared" si="92"/>
        <v>688000</v>
      </c>
      <c r="M1122" s="92">
        <v>125.75</v>
      </c>
    </row>
    <row r="1123" spans="2:13" ht="15" customHeight="1">
      <c r="B1123" s="92">
        <v>125.8</v>
      </c>
      <c r="C1123" s="91">
        <f t="shared" si="84"/>
        <v>21600</v>
      </c>
      <c r="D1123" s="91">
        <f t="shared" si="85"/>
        <v>43200</v>
      </c>
      <c r="E1123" s="91">
        <f t="shared" si="86"/>
        <v>86400</v>
      </c>
      <c r="F1123" s="91">
        <f t="shared" si="87"/>
        <v>172800</v>
      </c>
      <c r="G1123" s="91">
        <f t="shared" si="88"/>
        <v>345600</v>
      </c>
      <c r="H1123" s="90">
        <f>H1121+6400</f>
        <v>691200</v>
      </c>
      <c r="I1123" s="91">
        <f t="shared" si="89"/>
        <v>864000</v>
      </c>
      <c r="J1123" s="91">
        <f t="shared" si="90"/>
        <v>1036800</v>
      </c>
      <c r="L1123" s="45">
        <f t="shared" si="92"/>
        <v>691200</v>
      </c>
      <c r="M1123" s="92">
        <v>125.8</v>
      </c>
    </row>
    <row r="1124" spans="2:13" ht="15" customHeight="1">
      <c r="B1124" s="92">
        <v>125.85</v>
      </c>
      <c r="C1124" s="88">
        <f>D1124/2</f>
        <v>21700</v>
      </c>
      <c r="D1124" s="88">
        <f>E1124/2</f>
        <v>43400</v>
      </c>
      <c r="E1124" s="88">
        <f>F1124/2</f>
        <v>86800</v>
      </c>
      <c r="F1124" s="88">
        <f>G1124/2</f>
        <v>173600</v>
      </c>
      <c r="G1124" s="88">
        <f>H1124/2</f>
        <v>347200</v>
      </c>
      <c r="H1124" s="89">
        <f>H1123+((H1125-H1123)/2)</f>
        <v>694400</v>
      </c>
      <c r="I1124" s="88">
        <f>E1124*10</f>
        <v>868000</v>
      </c>
      <c r="J1124" s="88">
        <f>E1124*12</f>
        <v>1041600</v>
      </c>
      <c r="L1124" s="45">
        <f t="shared" si="92"/>
        <v>694400</v>
      </c>
      <c r="M1124" s="92">
        <v>125.85</v>
      </c>
    </row>
    <row r="1125" spans="2:13" ht="15" customHeight="1">
      <c r="B1125" s="92">
        <v>125.9</v>
      </c>
      <c r="C1125" s="91">
        <f t="shared" si="84"/>
        <v>21800</v>
      </c>
      <c r="D1125" s="91">
        <f t="shared" si="85"/>
        <v>43600</v>
      </c>
      <c r="E1125" s="91">
        <f t="shared" si="86"/>
        <v>87200</v>
      </c>
      <c r="F1125" s="91">
        <f t="shared" si="87"/>
        <v>174400</v>
      </c>
      <c r="G1125" s="91">
        <f t="shared" si="88"/>
        <v>348800</v>
      </c>
      <c r="H1125" s="90">
        <f>H1123+6400</f>
        <v>697600</v>
      </c>
      <c r="I1125" s="91">
        <f t="shared" si="89"/>
        <v>872000</v>
      </c>
      <c r="J1125" s="91">
        <f t="shared" si="90"/>
        <v>1046400</v>
      </c>
      <c r="L1125" s="45">
        <f t="shared" si="92"/>
        <v>697600</v>
      </c>
      <c r="M1125" s="92">
        <v>125.9</v>
      </c>
    </row>
    <row r="1126" spans="2:13" ht="15" customHeight="1">
      <c r="B1126" s="92">
        <v>125.95</v>
      </c>
      <c r="C1126" s="88">
        <f>D1126/2</f>
        <v>21900</v>
      </c>
      <c r="D1126" s="88">
        <f>E1126/2</f>
        <v>43800</v>
      </c>
      <c r="E1126" s="88">
        <f>F1126/2</f>
        <v>87600</v>
      </c>
      <c r="F1126" s="88">
        <f>G1126/2</f>
        <v>175200</v>
      </c>
      <c r="G1126" s="88">
        <f>H1126/2</f>
        <v>350400</v>
      </c>
      <c r="H1126" s="89">
        <f>H1125+((H1127-H1125)/2)</f>
        <v>700800</v>
      </c>
      <c r="I1126" s="88">
        <f>E1126*10</f>
        <v>876000</v>
      </c>
      <c r="J1126" s="88">
        <f>E1126*12</f>
        <v>1051200</v>
      </c>
      <c r="L1126" s="45">
        <f t="shared" si="92"/>
        <v>700800</v>
      </c>
      <c r="M1126" s="92">
        <v>125.95</v>
      </c>
    </row>
    <row r="1127" spans="2:13" ht="15" customHeight="1">
      <c r="B1127" s="92">
        <v>126</v>
      </c>
      <c r="C1127" s="91">
        <f t="shared" si="84"/>
        <v>22000</v>
      </c>
      <c r="D1127" s="91">
        <f t="shared" si="85"/>
        <v>44000</v>
      </c>
      <c r="E1127" s="91">
        <f t="shared" si="86"/>
        <v>88000</v>
      </c>
      <c r="F1127" s="91">
        <f t="shared" si="87"/>
        <v>176000</v>
      </c>
      <c r="G1127" s="91">
        <f t="shared" si="88"/>
        <v>352000</v>
      </c>
      <c r="H1127" s="90">
        <f>H1125+6400</f>
        <v>704000</v>
      </c>
      <c r="I1127" s="91">
        <f t="shared" si="89"/>
        <v>880000</v>
      </c>
      <c r="J1127" s="91">
        <f t="shared" si="90"/>
        <v>1056000</v>
      </c>
      <c r="L1127" s="45">
        <f t="shared" si="92"/>
        <v>704000</v>
      </c>
      <c r="M1127" s="92">
        <v>126</v>
      </c>
    </row>
    <row r="1128" spans="2:13" ht="15" customHeight="1">
      <c r="B1128" s="92">
        <v>126.05</v>
      </c>
      <c r="C1128" s="88">
        <f>D1128/2</f>
        <v>22100</v>
      </c>
      <c r="D1128" s="88">
        <f>E1128/2</f>
        <v>44200</v>
      </c>
      <c r="E1128" s="88">
        <f>F1128/2</f>
        <v>88400</v>
      </c>
      <c r="F1128" s="88">
        <f>G1128/2</f>
        <v>176800</v>
      </c>
      <c r="G1128" s="88">
        <f>H1128/2</f>
        <v>353600</v>
      </c>
      <c r="H1128" s="89">
        <f>H1127+((H1129-H1127)/2)</f>
        <v>707200</v>
      </c>
      <c r="I1128" s="88">
        <f>E1128*10</f>
        <v>884000</v>
      </c>
      <c r="J1128" s="88">
        <f>E1128*12</f>
        <v>1060800</v>
      </c>
      <c r="L1128" s="45">
        <f t="shared" si="92"/>
        <v>707200</v>
      </c>
      <c r="M1128" s="92">
        <v>126.05</v>
      </c>
    </row>
    <row r="1129" spans="2:13" ht="15" customHeight="1">
      <c r="B1129" s="92">
        <v>126.1</v>
      </c>
      <c r="C1129" s="91">
        <f t="shared" si="84"/>
        <v>22200</v>
      </c>
      <c r="D1129" s="91">
        <f t="shared" si="85"/>
        <v>44400</v>
      </c>
      <c r="E1129" s="91">
        <f t="shared" si="86"/>
        <v>88800</v>
      </c>
      <c r="F1129" s="91">
        <f t="shared" si="87"/>
        <v>177600</v>
      </c>
      <c r="G1129" s="91">
        <f t="shared" si="88"/>
        <v>355200</v>
      </c>
      <c r="H1129" s="90">
        <f>H1127+6400</f>
        <v>710400</v>
      </c>
      <c r="I1129" s="91">
        <f t="shared" si="89"/>
        <v>888000</v>
      </c>
      <c r="J1129" s="91">
        <f t="shared" si="90"/>
        <v>1065600</v>
      </c>
      <c r="L1129" s="45">
        <f t="shared" si="92"/>
        <v>710400</v>
      </c>
      <c r="M1129" s="92">
        <v>126.1</v>
      </c>
    </row>
    <row r="1130" spans="2:13" ht="15" customHeight="1">
      <c r="B1130" s="92">
        <v>126.15</v>
      </c>
      <c r="C1130" s="88">
        <f>D1130/2</f>
        <v>22300</v>
      </c>
      <c r="D1130" s="88">
        <f>E1130/2</f>
        <v>44600</v>
      </c>
      <c r="E1130" s="88">
        <f>F1130/2</f>
        <v>89200</v>
      </c>
      <c r="F1130" s="88">
        <f>G1130/2</f>
        <v>178400</v>
      </c>
      <c r="G1130" s="88">
        <f>H1130/2</f>
        <v>356800</v>
      </c>
      <c r="H1130" s="89">
        <f>H1129+((H1131-H1129)/2)</f>
        <v>713600</v>
      </c>
      <c r="I1130" s="88">
        <f>E1130*10</f>
        <v>892000</v>
      </c>
      <c r="J1130" s="88">
        <f>E1130*12</f>
        <v>1070400</v>
      </c>
      <c r="L1130" s="45">
        <f t="shared" si="92"/>
        <v>713600</v>
      </c>
      <c r="M1130" s="92">
        <v>126.15</v>
      </c>
    </row>
    <row r="1131" spans="2:13" ht="15" customHeight="1">
      <c r="B1131" s="92">
        <v>126.2</v>
      </c>
      <c r="C1131" s="91">
        <f t="shared" si="84"/>
        <v>22400</v>
      </c>
      <c r="D1131" s="91">
        <f t="shared" si="85"/>
        <v>44800</v>
      </c>
      <c r="E1131" s="91">
        <f t="shared" si="86"/>
        <v>89600</v>
      </c>
      <c r="F1131" s="91">
        <f t="shared" si="87"/>
        <v>179200</v>
      </c>
      <c r="G1131" s="91">
        <f t="shared" si="88"/>
        <v>358400</v>
      </c>
      <c r="H1131" s="90">
        <f>H1129+6400</f>
        <v>716800</v>
      </c>
      <c r="I1131" s="91">
        <f t="shared" si="89"/>
        <v>896000</v>
      </c>
      <c r="J1131" s="91">
        <f t="shared" si="90"/>
        <v>1075200</v>
      </c>
      <c r="L1131" s="45">
        <f t="shared" si="92"/>
        <v>716800</v>
      </c>
      <c r="M1131" s="92">
        <v>126.2</v>
      </c>
    </row>
    <row r="1132" spans="2:13" ht="15" customHeight="1">
      <c r="B1132" s="92">
        <v>126.25</v>
      </c>
      <c r="C1132" s="88">
        <f>D1132/2</f>
        <v>22500</v>
      </c>
      <c r="D1132" s="88">
        <f>E1132/2</f>
        <v>45000</v>
      </c>
      <c r="E1132" s="88">
        <f>F1132/2</f>
        <v>90000</v>
      </c>
      <c r="F1132" s="88">
        <f>G1132/2</f>
        <v>180000</v>
      </c>
      <c r="G1132" s="88">
        <f>H1132/2</f>
        <v>360000</v>
      </c>
      <c r="H1132" s="89">
        <f>H1131+((H1133-H1131)/2)</f>
        <v>720000</v>
      </c>
      <c r="I1132" s="88">
        <f>E1132*10</f>
        <v>900000</v>
      </c>
      <c r="J1132" s="88">
        <f>E1132*12</f>
        <v>1080000</v>
      </c>
      <c r="L1132" s="45">
        <f t="shared" si="92"/>
        <v>720000</v>
      </c>
      <c r="M1132" s="92">
        <v>126.25</v>
      </c>
    </row>
    <row r="1133" spans="2:13" ht="15" customHeight="1">
      <c r="B1133" s="92">
        <v>126.3</v>
      </c>
      <c r="C1133" s="91">
        <f t="shared" si="84"/>
        <v>22600</v>
      </c>
      <c r="D1133" s="91">
        <f t="shared" si="85"/>
        <v>45200</v>
      </c>
      <c r="E1133" s="91">
        <f t="shared" si="86"/>
        <v>90400</v>
      </c>
      <c r="F1133" s="91">
        <f t="shared" si="87"/>
        <v>180800</v>
      </c>
      <c r="G1133" s="91">
        <f t="shared" si="88"/>
        <v>361600</v>
      </c>
      <c r="H1133" s="90">
        <f>H1131+6400</f>
        <v>723200</v>
      </c>
      <c r="I1133" s="91">
        <f t="shared" si="89"/>
        <v>904000</v>
      </c>
      <c r="J1133" s="91">
        <f t="shared" si="90"/>
        <v>1084800</v>
      </c>
      <c r="L1133" s="45">
        <f t="shared" si="92"/>
        <v>723200</v>
      </c>
      <c r="M1133" s="92">
        <v>126.3</v>
      </c>
    </row>
    <row r="1134" spans="2:13" ht="15" customHeight="1">
      <c r="B1134" s="92">
        <v>126.35</v>
      </c>
      <c r="C1134" s="88">
        <f>D1134/2</f>
        <v>22700</v>
      </c>
      <c r="D1134" s="88">
        <f>E1134/2</f>
        <v>45400</v>
      </c>
      <c r="E1134" s="88">
        <f>F1134/2</f>
        <v>90800</v>
      </c>
      <c r="F1134" s="88">
        <f>G1134/2</f>
        <v>181600</v>
      </c>
      <c r="G1134" s="88">
        <f>H1134/2</f>
        <v>363200</v>
      </c>
      <c r="H1134" s="89">
        <f>H1133+((H1135-H1133)/2)</f>
        <v>726400</v>
      </c>
      <c r="I1134" s="88">
        <f>E1134*10</f>
        <v>908000</v>
      </c>
      <c r="J1134" s="88">
        <f>E1134*12</f>
        <v>1089600</v>
      </c>
      <c r="L1134" s="45">
        <f t="shared" si="92"/>
        <v>726400</v>
      </c>
      <c r="M1134" s="92">
        <v>126.35</v>
      </c>
    </row>
    <row r="1135" spans="2:13" ht="15" customHeight="1">
      <c r="B1135" s="92">
        <v>126.4</v>
      </c>
      <c r="C1135" s="91">
        <f t="shared" si="84"/>
        <v>22800</v>
      </c>
      <c r="D1135" s="91">
        <f t="shared" si="85"/>
        <v>45600</v>
      </c>
      <c r="E1135" s="91">
        <f t="shared" si="86"/>
        <v>91200</v>
      </c>
      <c r="F1135" s="91">
        <f t="shared" si="87"/>
        <v>182400</v>
      </c>
      <c r="G1135" s="91">
        <f t="shared" si="88"/>
        <v>364800</v>
      </c>
      <c r="H1135" s="90">
        <f>H1133+6400</f>
        <v>729600</v>
      </c>
      <c r="I1135" s="91">
        <f t="shared" si="89"/>
        <v>912000</v>
      </c>
      <c r="J1135" s="91">
        <f t="shared" si="90"/>
        <v>1094400</v>
      </c>
      <c r="L1135" s="45">
        <f t="shared" si="92"/>
        <v>729600</v>
      </c>
      <c r="M1135" s="92">
        <v>126.4</v>
      </c>
    </row>
    <row r="1136" spans="2:13" ht="15" customHeight="1">
      <c r="B1136" s="92">
        <v>126.45</v>
      </c>
      <c r="C1136" s="88">
        <f>D1136/2</f>
        <v>22900</v>
      </c>
      <c r="D1136" s="88">
        <f>E1136/2</f>
        <v>45800</v>
      </c>
      <c r="E1136" s="88">
        <f>F1136/2</f>
        <v>91600</v>
      </c>
      <c r="F1136" s="88">
        <f>G1136/2</f>
        <v>183200</v>
      </c>
      <c r="G1136" s="88">
        <f>H1136/2</f>
        <v>366400</v>
      </c>
      <c r="H1136" s="89">
        <f>H1135+((H1137-H1135)/2)</f>
        <v>732800</v>
      </c>
      <c r="I1136" s="88">
        <f>E1136*10</f>
        <v>916000</v>
      </c>
      <c r="J1136" s="88">
        <f>E1136*12</f>
        <v>1099200</v>
      </c>
      <c r="L1136" s="45">
        <f t="shared" si="92"/>
        <v>732800</v>
      </c>
      <c r="M1136" s="92">
        <v>126.45</v>
      </c>
    </row>
    <row r="1137" spans="2:13" ht="15" customHeight="1">
      <c r="B1137" s="92">
        <v>126.5</v>
      </c>
      <c r="C1137" s="91">
        <f t="shared" si="84"/>
        <v>23000</v>
      </c>
      <c r="D1137" s="91">
        <f t="shared" si="85"/>
        <v>46000</v>
      </c>
      <c r="E1137" s="91">
        <f t="shared" si="86"/>
        <v>92000</v>
      </c>
      <c r="F1137" s="91">
        <f t="shared" si="87"/>
        <v>184000</v>
      </c>
      <c r="G1137" s="91">
        <f t="shared" si="88"/>
        <v>368000</v>
      </c>
      <c r="H1137" s="90">
        <f>H1135+6400</f>
        <v>736000</v>
      </c>
      <c r="I1137" s="91">
        <f t="shared" si="89"/>
        <v>920000</v>
      </c>
      <c r="J1137" s="91">
        <f t="shared" si="90"/>
        <v>1104000</v>
      </c>
      <c r="L1137" s="45">
        <f t="shared" si="92"/>
        <v>736000</v>
      </c>
      <c r="M1137" s="92">
        <v>126.5</v>
      </c>
    </row>
    <row r="1138" spans="2:13" ht="15" customHeight="1">
      <c r="B1138" s="92">
        <v>126.55</v>
      </c>
      <c r="C1138" s="88">
        <f>D1138/2</f>
        <v>23100</v>
      </c>
      <c r="D1138" s="88">
        <f>E1138/2</f>
        <v>46200</v>
      </c>
      <c r="E1138" s="88">
        <f>F1138/2</f>
        <v>92400</v>
      </c>
      <c r="F1138" s="88">
        <f>G1138/2</f>
        <v>184800</v>
      </c>
      <c r="G1138" s="88">
        <f>H1138/2</f>
        <v>369600</v>
      </c>
      <c r="H1138" s="89">
        <f>H1137+((H1139-H1137)/2)</f>
        <v>739200</v>
      </c>
      <c r="I1138" s="88">
        <f>E1138*10</f>
        <v>924000</v>
      </c>
      <c r="J1138" s="88">
        <f>E1138*12</f>
        <v>1108800</v>
      </c>
      <c r="L1138" s="45">
        <f t="shared" si="92"/>
        <v>739200</v>
      </c>
      <c r="M1138" s="92">
        <v>126.55</v>
      </c>
    </row>
    <row r="1139" spans="2:13" ht="15" customHeight="1">
      <c r="B1139" s="92">
        <v>126.6</v>
      </c>
      <c r="C1139" s="91">
        <f t="shared" ref="C1139:C1203" si="93">D1139/2</f>
        <v>23200</v>
      </c>
      <c r="D1139" s="91">
        <f t="shared" ref="D1139:D1203" si="94">E1139/2</f>
        <v>46400</v>
      </c>
      <c r="E1139" s="91">
        <f t="shared" ref="E1139:E1203" si="95">F1139/2</f>
        <v>92800</v>
      </c>
      <c r="F1139" s="91">
        <f t="shared" ref="F1139:F1203" si="96">G1139/2</f>
        <v>185600</v>
      </c>
      <c r="G1139" s="91">
        <f t="shared" ref="G1139:G1203" si="97">H1139/2</f>
        <v>371200</v>
      </c>
      <c r="H1139" s="90">
        <f>H1137+6400</f>
        <v>742400</v>
      </c>
      <c r="I1139" s="91">
        <f t="shared" ref="I1139:I1203" si="98">E1139*10</f>
        <v>928000</v>
      </c>
      <c r="J1139" s="91">
        <f t="shared" ref="J1139:J1203" si="99">E1139*12</f>
        <v>1113600</v>
      </c>
      <c r="L1139" s="45">
        <f t="shared" si="92"/>
        <v>742400</v>
      </c>
      <c r="M1139" s="92">
        <v>126.6</v>
      </c>
    </row>
    <row r="1140" spans="2:13" ht="15" customHeight="1">
      <c r="B1140" s="92">
        <v>126.65</v>
      </c>
      <c r="C1140" s="88">
        <f t="shared" si="93"/>
        <v>23300</v>
      </c>
      <c r="D1140" s="88">
        <f t="shared" si="94"/>
        <v>46600</v>
      </c>
      <c r="E1140" s="88">
        <f t="shared" si="95"/>
        <v>93200</v>
      </c>
      <c r="F1140" s="88">
        <f t="shared" si="96"/>
        <v>186400</v>
      </c>
      <c r="G1140" s="88">
        <f t="shared" si="97"/>
        <v>372800</v>
      </c>
      <c r="H1140" s="89">
        <f>H1139+((H1141-H1139)/2)</f>
        <v>745600</v>
      </c>
      <c r="I1140" s="88">
        <f>E1140*10</f>
        <v>932000</v>
      </c>
      <c r="J1140" s="88">
        <f>E1140*12</f>
        <v>1118400</v>
      </c>
      <c r="L1140" s="45">
        <f t="shared" si="92"/>
        <v>745600</v>
      </c>
      <c r="M1140" s="92">
        <v>126.65</v>
      </c>
    </row>
    <row r="1141" spans="2:13" ht="15" customHeight="1">
      <c r="B1141" s="92">
        <v>126.7</v>
      </c>
      <c r="C1141" s="91">
        <f t="shared" si="93"/>
        <v>23400</v>
      </c>
      <c r="D1141" s="91">
        <f t="shared" si="94"/>
        <v>46800</v>
      </c>
      <c r="E1141" s="91">
        <f t="shared" si="95"/>
        <v>93600</v>
      </c>
      <c r="F1141" s="91">
        <f t="shared" si="96"/>
        <v>187200</v>
      </c>
      <c r="G1141" s="91">
        <f t="shared" si="97"/>
        <v>374400</v>
      </c>
      <c r="H1141" s="90">
        <f>H1139+6400</f>
        <v>748800</v>
      </c>
      <c r="I1141" s="91">
        <f t="shared" si="98"/>
        <v>936000</v>
      </c>
      <c r="J1141" s="91">
        <f t="shared" si="99"/>
        <v>1123200</v>
      </c>
      <c r="L1141" s="45">
        <f t="shared" si="92"/>
        <v>748800</v>
      </c>
      <c r="M1141" s="92">
        <v>126.7</v>
      </c>
    </row>
    <row r="1142" spans="2:13" ht="15" customHeight="1">
      <c r="B1142" s="92">
        <v>126.75</v>
      </c>
      <c r="C1142" s="88">
        <f t="shared" si="93"/>
        <v>23500</v>
      </c>
      <c r="D1142" s="88">
        <f t="shared" si="94"/>
        <v>47000</v>
      </c>
      <c r="E1142" s="88">
        <f t="shared" si="95"/>
        <v>94000</v>
      </c>
      <c r="F1142" s="88">
        <f t="shared" si="96"/>
        <v>188000</v>
      </c>
      <c r="G1142" s="88">
        <f t="shared" si="97"/>
        <v>376000</v>
      </c>
      <c r="H1142" s="89">
        <f>H1141+((H1143-H1141)/2)</f>
        <v>752000</v>
      </c>
      <c r="I1142" s="88">
        <f>E1142*10</f>
        <v>940000</v>
      </c>
      <c r="J1142" s="88">
        <f>E1142*12</f>
        <v>1128000</v>
      </c>
      <c r="L1142" s="45">
        <f t="shared" si="92"/>
        <v>752000</v>
      </c>
      <c r="M1142" s="92">
        <v>126.75</v>
      </c>
    </row>
    <row r="1143" spans="2:13" ht="15" customHeight="1">
      <c r="B1143" s="92">
        <v>126.8</v>
      </c>
      <c r="C1143" s="91">
        <f t="shared" si="93"/>
        <v>23600</v>
      </c>
      <c r="D1143" s="91">
        <f t="shared" si="94"/>
        <v>47200</v>
      </c>
      <c r="E1143" s="91">
        <f t="shared" si="95"/>
        <v>94400</v>
      </c>
      <c r="F1143" s="91">
        <f t="shared" si="96"/>
        <v>188800</v>
      </c>
      <c r="G1143" s="91">
        <f t="shared" si="97"/>
        <v>377600</v>
      </c>
      <c r="H1143" s="90">
        <f>H1141+6400</f>
        <v>755200</v>
      </c>
      <c r="I1143" s="91">
        <f t="shared" si="98"/>
        <v>944000</v>
      </c>
      <c r="J1143" s="91">
        <f t="shared" si="99"/>
        <v>1132800</v>
      </c>
      <c r="L1143" s="45">
        <f t="shared" si="92"/>
        <v>755200</v>
      </c>
      <c r="M1143" s="92">
        <v>126.8</v>
      </c>
    </row>
    <row r="1144" spans="2:13" ht="15" customHeight="1">
      <c r="B1144" s="92">
        <v>126.85</v>
      </c>
      <c r="C1144" s="88">
        <f t="shared" si="93"/>
        <v>23700</v>
      </c>
      <c r="D1144" s="88">
        <f t="shared" si="94"/>
        <v>47400</v>
      </c>
      <c r="E1144" s="88">
        <f t="shared" si="95"/>
        <v>94800</v>
      </c>
      <c r="F1144" s="88">
        <f t="shared" si="96"/>
        <v>189600</v>
      </c>
      <c r="G1144" s="88">
        <f t="shared" si="97"/>
        <v>379200</v>
      </c>
      <c r="H1144" s="89">
        <f>H1143+((H1145-H1143)/2)</f>
        <v>758400</v>
      </c>
      <c r="I1144" s="88">
        <f>E1144*10</f>
        <v>948000</v>
      </c>
      <c r="J1144" s="88">
        <f>E1144*12</f>
        <v>1137600</v>
      </c>
      <c r="L1144" s="45">
        <f t="shared" si="92"/>
        <v>758400</v>
      </c>
      <c r="M1144" s="92">
        <v>126.85</v>
      </c>
    </row>
    <row r="1145" spans="2:13" ht="15" customHeight="1">
      <c r="B1145" s="92">
        <v>126.9</v>
      </c>
      <c r="C1145" s="91">
        <f t="shared" si="93"/>
        <v>23800</v>
      </c>
      <c r="D1145" s="91">
        <f t="shared" si="94"/>
        <v>47600</v>
      </c>
      <c r="E1145" s="91">
        <f t="shared" si="95"/>
        <v>95200</v>
      </c>
      <c r="F1145" s="91">
        <f t="shared" si="96"/>
        <v>190400</v>
      </c>
      <c r="G1145" s="91">
        <f t="shared" si="97"/>
        <v>380800</v>
      </c>
      <c r="H1145" s="90">
        <f>H1143+6400</f>
        <v>761600</v>
      </c>
      <c r="I1145" s="91">
        <f t="shared" si="98"/>
        <v>952000</v>
      </c>
      <c r="J1145" s="91">
        <f t="shared" si="99"/>
        <v>1142400</v>
      </c>
      <c r="L1145" s="45">
        <f t="shared" si="92"/>
        <v>761600</v>
      </c>
      <c r="M1145" s="92">
        <v>126.9</v>
      </c>
    </row>
    <row r="1146" spans="2:13" ht="15" customHeight="1">
      <c r="B1146" s="92">
        <v>126.95</v>
      </c>
      <c r="C1146" s="88">
        <f t="shared" si="93"/>
        <v>23900</v>
      </c>
      <c r="D1146" s="88">
        <f t="shared" si="94"/>
        <v>47800</v>
      </c>
      <c r="E1146" s="88">
        <f t="shared" si="95"/>
        <v>95600</v>
      </c>
      <c r="F1146" s="88">
        <f t="shared" si="96"/>
        <v>191200</v>
      </c>
      <c r="G1146" s="88">
        <f t="shared" si="97"/>
        <v>382400</v>
      </c>
      <c r="H1146" s="89">
        <f>H1145+((H1147-H1145)/2)</f>
        <v>764800</v>
      </c>
      <c r="I1146" s="88">
        <f>E1146*10</f>
        <v>956000</v>
      </c>
      <c r="J1146" s="88">
        <f>E1146*12</f>
        <v>1147200</v>
      </c>
      <c r="L1146" s="45">
        <f t="shared" si="92"/>
        <v>764800</v>
      </c>
      <c r="M1146" s="92">
        <v>126.95</v>
      </c>
    </row>
    <row r="1147" spans="2:13" ht="15" customHeight="1">
      <c r="B1147" s="92">
        <v>127</v>
      </c>
      <c r="C1147" s="91">
        <f t="shared" si="93"/>
        <v>24000</v>
      </c>
      <c r="D1147" s="91">
        <f t="shared" si="94"/>
        <v>48000</v>
      </c>
      <c r="E1147" s="91">
        <f t="shared" si="95"/>
        <v>96000</v>
      </c>
      <c r="F1147" s="91">
        <f t="shared" si="96"/>
        <v>192000</v>
      </c>
      <c r="G1147" s="91">
        <f t="shared" si="97"/>
        <v>384000</v>
      </c>
      <c r="H1147" s="90">
        <f>H1145+6400</f>
        <v>768000</v>
      </c>
      <c r="I1147" s="91">
        <f t="shared" si="98"/>
        <v>960000</v>
      </c>
      <c r="J1147" s="91">
        <f t="shared" si="99"/>
        <v>1152000</v>
      </c>
      <c r="L1147" s="45">
        <f t="shared" si="92"/>
        <v>768000</v>
      </c>
      <c r="M1147" s="92">
        <v>127</v>
      </c>
    </row>
    <row r="1148" spans="2:13" ht="15" customHeight="1">
      <c r="B1148" s="92">
        <v>127.05</v>
      </c>
      <c r="C1148" s="88">
        <f t="shared" si="93"/>
        <v>24100</v>
      </c>
      <c r="D1148" s="88">
        <f t="shared" si="94"/>
        <v>48200</v>
      </c>
      <c r="E1148" s="88">
        <f t="shared" si="95"/>
        <v>96400</v>
      </c>
      <c r="F1148" s="88">
        <f t="shared" si="96"/>
        <v>192800</v>
      </c>
      <c r="G1148" s="88">
        <f t="shared" si="97"/>
        <v>385600</v>
      </c>
      <c r="H1148" s="89">
        <f>H1147+((H1149-H1147)/2)</f>
        <v>771200</v>
      </c>
      <c r="I1148" s="88">
        <f>E1148*10</f>
        <v>964000</v>
      </c>
      <c r="J1148" s="88">
        <f>E1148*12</f>
        <v>1156800</v>
      </c>
      <c r="L1148" s="45">
        <f t="shared" si="92"/>
        <v>771200</v>
      </c>
      <c r="M1148" s="92">
        <v>127.05</v>
      </c>
    </row>
    <row r="1149" spans="2:13" ht="15" customHeight="1">
      <c r="B1149" s="92">
        <v>127.1</v>
      </c>
      <c r="C1149" s="91">
        <f t="shared" si="93"/>
        <v>24200</v>
      </c>
      <c r="D1149" s="91">
        <f t="shared" si="94"/>
        <v>48400</v>
      </c>
      <c r="E1149" s="91">
        <f t="shared" si="95"/>
        <v>96800</v>
      </c>
      <c r="F1149" s="91">
        <f t="shared" si="96"/>
        <v>193600</v>
      </c>
      <c r="G1149" s="91">
        <f t="shared" si="97"/>
        <v>387200</v>
      </c>
      <c r="H1149" s="90">
        <f>H1147+6400</f>
        <v>774400</v>
      </c>
      <c r="I1149" s="91">
        <f t="shared" si="98"/>
        <v>968000</v>
      </c>
      <c r="J1149" s="91">
        <f t="shared" si="99"/>
        <v>1161600</v>
      </c>
      <c r="L1149" s="45">
        <f t="shared" si="92"/>
        <v>774400</v>
      </c>
      <c r="M1149" s="92">
        <v>127.1</v>
      </c>
    </row>
    <row r="1150" spans="2:13" ht="15" customHeight="1">
      <c r="B1150" s="92">
        <v>127.15</v>
      </c>
      <c r="C1150" s="88">
        <f t="shared" si="93"/>
        <v>24300</v>
      </c>
      <c r="D1150" s="88">
        <f t="shared" si="94"/>
        <v>48600</v>
      </c>
      <c r="E1150" s="88">
        <f t="shared" si="95"/>
        <v>97200</v>
      </c>
      <c r="F1150" s="88">
        <f t="shared" si="96"/>
        <v>194400</v>
      </c>
      <c r="G1150" s="88">
        <f t="shared" si="97"/>
        <v>388800</v>
      </c>
      <c r="H1150" s="89">
        <f>H1149+((H1151-H1149)/2)</f>
        <v>777600</v>
      </c>
      <c r="I1150" s="88">
        <f>E1150*10</f>
        <v>972000</v>
      </c>
      <c r="J1150" s="88">
        <f>E1150*12</f>
        <v>1166400</v>
      </c>
      <c r="L1150" s="45">
        <f t="shared" si="92"/>
        <v>777600</v>
      </c>
      <c r="M1150" s="92">
        <v>127.15</v>
      </c>
    </row>
    <row r="1151" spans="2:13" ht="15" customHeight="1">
      <c r="B1151" s="92">
        <v>127.2</v>
      </c>
      <c r="C1151" s="91">
        <f t="shared" si="93"/>
        <v>24400</v>
      </c>
      <c r="D1151" s="91">
        <f t="shared" si="94"/>
        <v>48800</v>
      </c>
      <c r="E1151" s="91">
        <f t="shared" si="95"/>
        <v>97600</v>
      </c>
      <c r="F1151" s="91">
        <f t="shared" si="96"/>
        <v>195200</v>
      </c>
      <c r="G1151" s="91">
        <f t="shared" si="97"/>
        <v>390400</v>
      </c>
      <c r="H1151" s="90">
        <f>H1149+6400</f>
        <v>780800</v>
      </c>
      <c r="I1151" s="91">
        <f t="shared" si="98"/>
        <v>976000</v>
      </c>
      <c r="J1151" s="91">
        <f t="shared" si="99"/>
        <v>1171200</v>
      </c>
      <c r="L1151" s="45">
        <f t="shared" si="92"/>
        <v>780800</v>
      </c>
      <c r="M1151" s="92">
        <v>127.2</v>
      </c>
    </row>
    <row r="1152" spans="2:13" ht="15" customHeight="1">
      <c r="B1152" s="92">
        <v>127.25</v>
      </c>
      <c r="C1152" s="88">
        <f t="shared" si="93"/>
        <v>24500</v>
      </c>
      <c r="D1152" s="88">
        <f t="shared" si="94"/>
        <v>49000</v>
      </c>
      <c r="E1152" s="88">
        <f t="shared" si="95"/>
        <v>98000</v>
      </c>
      <c r="F1152" s="88">
        <f t="shared" si="96"/>
        <v>196000</v>
      </c>
      <c r="G1152" s="88">
        <f t="shared" si="97"/>
        <v>392000</v>
      </c>
      <c r="H1152" s="89">
        <f>H1151+((H1153-H1151)/2)</f>
        <v>784000</v>
      </c>
      <c r="I1152" s="88">
        <f>E1152*10</f>
        <v>980000</v>
      </c>
      <c r="J1152" s="88">
        <f>E1152*12</f>
        <v>1176000</v>
      </c>
      <c r="L1152" s="45">
        <f t="shared" si="92"/>
        <v>784000</v>
      </c>
      <c r="M1152" s="92">
        <v>127.25</v>
      </c>
    </row>
    <row r="1153" spans="2:13" ht="15" customHeight="1">
      <c r="B1153" s="92">
        <v>127.3</v>
      </c>
      <c r="C1153" s="91">
        <f t="shared" si="93"/>
        <v>24600</v>
      </c>
      <c r="D1153" s="91">
        <f t="shared" si="94"/>
        <v>49200</v>
      </c>
      <c r="E1153" s="91">
        <f t="shared" si="95"/>
        <v>98400</v>
      </c>
      <c r="F1153" s="91">
        <f t="shared" si="96"/>
        <v>196800</v>
      </c>
      <c r="G1153" s="91">
        <f t="shared" si="97"/>
        <v>393600</v>
      </c>
      <c r="H1153" s="90">
        <f>H1151+6400</f>
        <v>787200</v>
      </c>
      <c r="I1153" s="91">
        <f t="shared" si="98"/>
        <v>984000</v>
      </c>
      <c r="J1153" s="91">
        <f t="shared" si="99"/>
        <v>1180800</v>
      </c>
      <c r="L1153" s="45">
        <f t="shared" si="92"/>
        <v>787200</v>
      </c>
      <c r="M1153" s="92">
        <v>127.3</v>
      </c>
    </row>
    <row r="1154" spans="2:13" ht="15" customHeight="1">
      <c r="B1154" s="92">
        <v>127.35</v>
      </c>
      <c r="C1154" s="88">
        <f t="shared" si="93"/>
        <v>24700</v>
      </c>
      <c r="D1154" s="88">
        <f t="shared" si="94"/>
        <v>49400</v>
      </c>
      <c r="E1154" s="88">
        <f t="shared" si="95"/>
        <v>98800</v>
      </c>
      <c r="F1154" s="88">
        <f t="shared" si="96"/>
        <v>197600</v>
      </c>
      <c r="G1154" s="88">
        <f t="shared" si="97"/>
        <v>395200</v>
      </c>
      <c r="H1154" s="89">
        <f>H1153+((H1155-H1153)/2)</f>
        <v>790400</v>
      </c>
      <c r="I1154" s="88">
        <f>E1154*10</f>
        <v>988000</v>
      </c>
      <c r="J1154" s="88">
        <f>E1154*12</f>
        <v>1185600</v>
      </c>
      <c r="L1154" s="45">
        <f t="shared" si="92"/>
        <v>790400</v>
      </c>
      <c r="M1154" s="92">
        <v>127.35</v>
      </c>
    </row>
    <row r="1155" spans="2:13" ht="15" customHeight="1">
      <c r="B1155" s="92">
        <v>127.4</v>
      </c>
      <c r="C1155" s="91">
        <f t="shared" si="93"/>
        <v>24800</v>
      </c>
      <c r="D1155" s="91">
        <f t="shared" si="94"/>
        <v>49600</v>
      </c>
      <c r="E1155" s="91">
        <f t="shared" si="95"/>
        <v>99200</v>
      </c>
      <c r="F1155" s="91">
        <f t="shared" si="96"/>
        <v>198400</v>
      </c>
      <c r="G1155" s="91">
        <f t="shared" si="97"/>
        <v>396800</v>
      </c>
      <c r="H1155" s="90">
        <f>H1153+6400</f>
        <v>793600</v>
      </c>
      <c r="I1155" s="91">
        <f t="shared" si="98"/>
        <v>992000</v>
      </c>
      <c r="J1155" s="91">
        <f t="shared" si="99"/>
        <v>1190400</v>
      </c>
      <c r="L1155" s="45">
        <f t="shared" si="92"/>
        <v>793600</v>
      </c>
      <c r="M1155" s="92">
        <v>127.4</v>
      </c>
    </row>
    <row r="1156" spans="2:13" ht="15" customHeight="1">
      <c r="B1156" s="92">
        <v>127.45</v>
      </c>
      <c r="C1156" s="88">
        <f t="shared" si="93"/>
        <v>24900</v>
      </c>
      <c r="D1156" s="88">
        <f t="shared" si="94"/>
        <v>49800</v>
      </c>
      <c r="E1156" s="88">
        <f t="shared" si="95"/>
        <v>99600</v>
      </c>
      <c r="F1156" s="88">
        <f t="shared" si="96"/>
        <v>199200</v>
      </c>
      <c r="G1156" s="88">
        <f t="shared" si="97"/>
        <v>398400</v>
      </c>
      <c r="H1156" s="89">
        <f>H1155+((H1157-H1155)/2)</f>
        <v>796800</v>
      </c>
      <c r="I1156" s="88">
        <f>E1156*10</f>
        <v>996000</v>
      </c>
      <c r="J1156" s="88">
        <f>E1156*12</f>
        <v>1195200</v>
      </c>
      <c r="L1156" s="45">
        <f t="shared" si="92"/>
        <v>796800</v>
      </c>
      <c r="M1156" s="92">
        <v>127.45</v>
      </c>
    </row>
    <row r="1157" spans="2:13" ht="15" customHeight="1">
      <c r="B1157" s="92">
        <v>127.5</v>
      </c>
      <c r="C1157" s="91">
        <f t="shared" si="93"/>
        <v>25000</v>
      </c>
      <c r="D1157" s="91">
        <f t="shared" si="94"/>
        <v>50000</v>
      </c>
      <c r="E1157" s="91">
        <f t="shared" si="95"/>
        <v>100000</v>
      </c>
      <c r="F1157" s="91">
        <f t="shared" si="96"/>
        <v>200000</v>
      </c>
      <c r="G1157" s="91">
        <f t="shared" si="97"/>
        <v>400000</v>
      </c>
      <c r="H1157" s="90">
        <f>H1155+6400</f>
        <v>800000</v>
      </c>
      <c r="I1157" s="91">
        <f t="shared" si="98"/>
        <v>1000000</v>
      </c>
      <c r="J1157" s="91">
        <f t="shared" si="99"/>
        <v>1200000</v>
      </c>
      <c r="L1157" s="45">
        <f t="shared" si="92"/>
        <v>800000</v>
      </c>
      <c r="M1157" s="92">
        <v>127.5</v>
      </c>
    </row>
    <row r="1158" spans="2:13" ht="15" customHeight="1">
      <c r="B1158" s="92">
        <v>127.55</v>
      </c>
      <c r="C1158" s="88">
        <f t="shared" si="93"/>
        <v>25100</v>
      </c>
      <c r="D1158" s="88">
        <f t="shared" si="94"/>
        <v>50200</v>
      </c>
      <c r="E1158" s="88">
        <f t="shared" si="95"/>
        <v>100400</v>
      </c>
      <c r="F1158" s="88">
        <f t="shared" si="96"/>
        <v>200800</v>
      </c>
      <c r="G1158" s="88">
        <f t="shared" si="97"/>
        <v>401600</v>
      </c>
      <c r="H1158" s="89">
        <f>H1157+((H1159-H1157)/2)</f>
        <v>803200</v>
      </c>
      <c r="I1158" s="88">
        <f>E1158*10</f>
        <v>1004000</v>
      </c>
      <c r="J1158" s="88">
        <f>E1158*12</f>
        <v>1204800</v>
      </c>
      <c r="L1158" s="45">
        <f t="shared" si="92"/>
        <v>803200</v>
      </c>
      <c r="M1158" s="92">
        <v>127.55</v>
      </c>
    </row>
    <row r="1159" spans="2:13" ht="15" customHeight="1">
      <c r="B1159" s="92">
        <v>127.6</v>
      </c>
      <c r="C1159" s="91">
        <f t="shared" si="93"/>
        <v>25200</v>
      </c>
      <c r="D1159" s="91">
        <f t="shared" si="94"/>
        <v>50400</v>
      </c>
      <c r="E1159" s="91">
        <f t="shared" si="95"/>
        <v>100800</v>
      </c>
      <c r="F1159" s="91">
        <f t="shared" si="96"/>
        <v>201600</v>
      </c>
      <c r="G1159" s="91">
        <f t="shared" si="97"/>
        <v>403200</v>
      </c>
      <c r="H1159" s="90">
        <f>H1157+6400</f>
        <v>806400</v>
      </c>
      <c r="I1159" s="91">
        <f t="shared" si="98"/>
        <v>1008000</v>
      </c>
      <c r="J1159" s="91">
        <f t="shared" si="99"/>
        <v>1209600</v>
      </c>
      <c r="L1159" s="45">
        <f t="shared" si="92"/>
        <v>806400</v>
      </c>
      <c r="M1159" s="92">
        <v>127.6</v>
      </c>
    </row>
    <row r="1160" spans="2:13" ht="15" customHeight="1">
      <c r="B1160" s="92">
        <v>127.65</v>
      </c>
      <c r="C1160" s="88">
        <f t="shared" si="93"/>
        <v>25300</v>
      </c>
      <c r="D1160" s="88">
        <f t="shared" si="94"/>
        <v>50600</v>
      </c>
      <c r="E1160" s="88">
        <f t="shared" si="95"/>
        <v>101200</v>
      </c>
      <c r="F1160" s="88">
        <f t="shared" si="96"/>
        <v>202400</v>
      </c>
      <c r="G1160" s="88">
        <f t="shared" si="97"/>
        <v>404800</v>
      </c>
      <c r="H1160" s="89">
        <f>H1159+((H1161-H1159)/2)</f>
        <v>809600</v>
      </c>
      <c r="I1160" s="88">
        <f>E1160*10</f>
        <v>1012000</v>
      </c>
      <c r="J1160" s="88">
        <f>E1160*12</f>
        <v>1214400</v>
      </c>
      <c r="L1160" s="45">
        <f t="shared" ref="L1160:L1207" si="100">+H1160</f>
        <v>809600</v>
      </c>
      <c r="M1160" s="92">
        <v>127.65</v>
      </c>
    </row>
    <row r="1161" spans="2:13" ht="15" customHeight="1">
      <c r="B1161" s="92">
        <v>127.7</v>
      </c>
      <c r="C1161" s="91">
        <f t="shared" si="93"/>
        <v>25400</v>
      </c>
      <c r="D1161" s="91">
        <f t="shared" si="94"/>
        <v>50800</v>
      </c>
      <c r="E1161" s="91">
        <f t="shared" si="95"/>
        <v>101600</v>
      </c>
      <c r="F1161" s="91">
        <f t="shared" si="96"/>
        <v>203200</v>
      </c>
      <c r="G1161" s="91">
        <f t="shared" si="97"/>
        <v>406400</v>
      </c>
      <c r="H1161" s="90">
        <f>H1159+6400</f>
        <v>812800</v>
      </c>
      <c r="I1161" s="91">
        <f t="shared" si="98"/>
        <v>1016000</v>
      </c>
      <c r="J1161" s="91">
        <f t="shared" si="99"/>
        <v>1219200</v>
      </c>
      <c r="L1161" s="45">
        <f t="shared" si="100"/>
        <v>812800</v>
      </c>
      <c r="M1161" s="92">
        <v>127.7</v>
      </c>
    </row>
    <row r="1162" spans="2:13" ht="15" customHeight="1">
      <c r="B1162" s="92">
        <v>127.75</v>
      </c>
      <c r="C1162" s="88">
        <f t="shared" si="93"/>
        <v>25500</v>
      </c>
      <c r="D1162" s="88">
        <f t="shared" si="94"/>
        <v>51000</v>
      </c>
      <c r="E1162" s="88">
        <f t="shared" si="95"/>
        <v>102000</v>
      </c>
      <c r="F1162" s="88">
        <f t="shared" si="96"/>
        <v>204000</v>
      </c>
      <c r="G1162" s="88">
        <f t="shared" si="97"/>
        <v>408000</v>
      </c>
      <c r="H1162" s="89">
        <f>H1161+((H1163-H1161)/2)</f>
        <v>816000</v>
      </c>
      <c r="I1162" s="88">
        <f>E1162*10</f>
        <v>1020000</v>
      </c>
      <c r="J1162" s="88">
        <f>E1162*12</f>
        <v>1224000</v>
      </c>
      <c r="L1162" s="45">
        <f t="shared" si="100"/>
        <v>816000</v>
      </c>
      <c r="M1162" s="92">
        <v>127.75</v>
      </c>
    </row>
    <row r="1163" spans="2:13" ht="15" customHeight="1">
      <c r="B1163" s="92">
        <v>127.8</v>
      </c>
      <c r="C1163" s="91">
        <f t="shared" si="93"/>
        <v>25600</v>
      </c>
      <c r="D1163" s="91">
        <f t="shared" si="94"/>
        <v>51200</v>
      </c>
      <c r="E1163" s="91">
        <f t="shared" si="95"/>
        <v>102400</v>
      </c>
      <c r="F1163" s="91">
        <f t="shared" si="96"/>
        <v>204800</v>
      </c>
      <c r="G1163" s="91">
        <f t="shared" si="97"/>
        <v>409600</v>
      </c>
      <c r="H1163" s="90">
        <f>H1161+6400</f>
        <v>819200</v>
      </c>
      <c r="I1163" s="91">
        <f t="shared" si="98"/>
        <v>1024000</v>
      </c>
      <c r="J1163" s="91">
        <f t="shared" si="99"/>
        <v>1228800</v>
      </c>
      <c r="L1163" s="45">
        <f t="shared" si="100"/>
        <v>819200</v>
      </c>
      <c r="M1163" s="92">
        <v>127.8</v>
      </c>
    </row>
    <row r="1164" spans="2:13" ht="15" customHeight="1">
      <c r="B1164" s="92">
        <v>127.85</v>
      </c>
      <c r="C1164" s="88">
        <f t="shared" si="93"/>
        <v>25700</v>
      </c>
      <c r="D1164" s="88">
        <f t="shared" si="94"/>
        <v>51400</v>
      </c>
      <c r="E1164" s="88">
        <f t="shared" si="95"/>
        <v>102800</v>
      </c>
      <c r="F1164" s="88">
        <f t="shared" si="96"/>
        <v>205600</v>
      </c>
      <c r="G1164" s="88">
        <f t="shared" si="97"/>
        <v>411200</v>
      </c>
      <c r="H1164" s="89">
        <f>H1163+((H1165-H1163)/2)</f>
        <v>822400</v>
      </c>
      <c r="I1164" s="88">
        <f>E1164*10</f>
        <v>1028000</v>
      </c>
      <c r="J1164" s="88">
        <f>E1164*12</f>
        <v>1233600</v>
      </c>
      <c r="L1164" s="45">
        <f t="shared" si="100"/>
        <v>822400</v>
      </c>
      <c r="M1164" s="92">
        <v>127.85</v>
      </c>
    </row>
    <row r="1165" spans="2:13" ht="15" customHeight="1">
      <c r="B1165" s="92">
        <v>127.9</v>
      </c>
      <c r="C1165" s="91">
        <f t="shared" si="93"/>
        <v>25800</v>
      </c>
      <c r="D1165" s="91">
        <f t="shared" si="94"/>
        <v>51600</v>
      </c>
      <c r="E1165" s="91">
        <f t="shared" si="95"/>
        <v>103200</v>
      </c>
      <c r="F1165" s="91">
        <f t="shared" si="96"/>
        <v>206400</v>
      </c>
      <c r="G1165" s="91">
        <f t="shared" si="97"/>
        <v>412800</v>
      </c>
      <c r="H1165" s="90">
        <f>H1163+6400</f>
        <v>825600</v>
      </c>
      <c r="I1165" s="91">
        <f t="shared" si="98"/>
        <v>1032000</v>
      </c>
      <c r="J1165" s="91">
        <f t="shared" si="99"/>
        <v>1238400</v>
      </c>
      <c r="L1165" s="45">
        <f t="shared" si="100"/>
        <v>825600</v>
      </c>
      <c r="M1165" s="92">
        <v>127.9</v>
      </c>
    </row>
    <row r="1166" spans="2:13" ht="15" customHeight="1">
      <c r="B1166" s="92">
        <v>127.95</v>
      </c>
      <c r="C1166" s="88">
        <f t="shared" si="93"/>
        <v>25900</v>
      </c>
      <c r="D1166" s="88">
        <f t="shared" si="94"/>
        <v>51800</v>
      </c>
      <c r="E1166" s="88">
        <f t="shared" si="95"/>
        <v>103600</v>
      </c>
      <c r="F1166" s="88">
        <f t="shared" si="96"/>
        <v>207200</v>
      </c>
      <c r="G1166" s="88">
        <f t="shared" si="97"/>
        <v>414400</v>
      </c>
      <c r="H1166" s="89">
        <f>H1165+((H1167-H1165)/2)</f>
        <v>828800</v>
      </c>
      <c r="I1166" s="88">
        <f>E1166*10</f>
        <v>1036000</v>
      </c>
      <c r="J1166" s="88">
        <f>E1166*12</f>
        <v>1243200</v>
      </c>
      <c r="L1166" s="45">
        <f t="shared" si="100"/>
        <v>828800</v>
      </c>
      <c r="M1166" s="92">
        <v>127.95</v>
      </c>
    </row>
    <row r="1167" spans="2:13" ht="15" customHeight="1">
      <c r="B1167" s="92">
        <v>128</v>
      </c>
      <c r="C1167" s="91">
        <f t="shared" si="93"/>
        <v>26000</v>
      </c>
      <c r="D1167" s="91">
        <f t="shared" si="94"/>
        <v>52000</v>
      </c>
      <c r="E1167" s="91">
        <f t="shared" si="95"/>
        <v>104000</v>
      </c>
      <c r="F1167" s="91">
        <f t="shared" si="96"/>
        <v>208000</v>
      </c>
      <c r="G1167" s="91">
        <f t="shared" si="97"/>
        <v>416000</v>
      </c>
      <c r="H1167" s="90">
        <f>H1165+6400</f>
        <v>832000</v>
      </c>
      <c r="I1167" s="91">
        <f t="shared" si="98"/>
        <v>1040000</v>
      </c>
      <c r="J1167" s="91">
        <f t="shared" si="99"/>
        <v>1248000</v>
      </c>
      <c r="L1167" s="45">
        <f t="shared" si="100"/>
        <v>832000</v>
      </c>
      <c r="M1167" s="92">
        <v>128</v>
      </c>
    </row>
    <row r="1168" spans="2:13" ht="15" customHeight="1">
      <c r="B1168" s="92">
        <v>128.05000000000001</v>
      </c>
      <c r="C1168" s="88">
        <f t="shared" si="93"/>
        <v>26100</v>
      </c>
      <c r="D1168" s="88">
        <f t="shared" si="94"/>
        <v>52200</v>
      </c>
      <c r="E1168" s="88">
        <f t="shared" si="95"/>
        <v>104400</v>
      </c>
      <c r="F1168" s="88">
        <f t="shared" si="96"/>
        <v>208800</v>
      </c>
      <c r="G1168" s="88">
        <f t="shared" si="97"/>
        <v>417600</v>
      </c>
      <c r="H1168" s="89">
        <f>H1167+((H1169-H1167)/2)</f>
        <v>835200</v>
      </c>
      <c r="I1168" s="88">
        <f>E1168*10</f>
        <v>1044000</v>
      </c>
      <c r="J1168" s="88">
        <f>E1168*12</f>
        <v>1252800</v>
      </c>
      <c r="L1168" s="45">
        <f t="shared" si="100"/>
        <v>835200</v>
      </c>
      <c r="M1168" s="92">
        <v>128.05000000000001</v>
      </c>
    </row>
    <row r="1169" spans="2:13" ht="15" customHeight="1">
      <c r="B1169" s="92">
        <v>128.1</v>
      </c>
      <c r="C1169" s="91">
        <f t="shared" si="93"/>
        <v>26200</v>
      </c>
      <c r="D1169" s="91">
        <f t="shared" si="94"/>
        <v>52400</v>
      </c>
      <c r="E1169" s="91">
        <f t="shared" si="95"/>
        <v>104800</v>
      </c>
      <c r="F1169" s="91">
        <f t="shared" si="96"/>
        <v>209600</v>
      </c>
      <c r="G1169" s="91">
        <f t="shared" si="97"/>
        <v>419200</v>
      </c>
      <c r="H1169" s="90">
        <f>H1167+6400</f>
        <v>838400</v>
      </c>
      <c r="I1169" s="91">
        <f t="shared" si="98"/>
        <v>1048000</v>
      </c>
      <c r="J1169" s="91">
        <f t="shared" si="99"/>
        <v>1257600</v>
      </c>
      <c r="L1169" s="45">
        <f t="shared" si="100"/>
        <v>838400</v>
      </c>
      <c r="M1169" s="92">
        <v>128.1</v>
      </c>
    </row>
    <row r="1170" spans="2:13" ht="15" customHeight="1">
      <c r="B1170" s="92">
        <v>128.15</v>
      </c>
      <c r="C1170" s="88">
        <f t="shared" si="93"/>
        <v>26300</v>
      </c>
      <c r="D1170" s="88">
        <f t="shared" si="94"/>
        <v>52600</v>
      </c>
      <c r="E1170" s="88">
        <f t="shared" si="95"/>
        <v>105200</v>
      </c>
      <c r="F1170" s="88">
        <f t="shared" si="96"/>
        <v>210400</v>
      </c>
      <c r="G1170" s="88">
        <f t="shared" si="97"/>
        <v>420800</v>
      </c>
      <c r="H1170" s="89">
        <f>H1169+((H1171-H1169)/2)</f>
        <v>841600</v>
      </c>
      <c r="I1170" s="88">
        <f>E1170*10</f>
        <v>1052000</v>
      </c>
      <c r="J1170" s="88">
        <f>E1170*12</f>
        <v>1262400</v>
      </c>
      <c r="L1170" s="45">
        <f t="shared" si="100"/>
        <v>841600</v>
      </c>
      <c r="M1170" s="92">
        <v>128.15</v>
      </c>
    </row>
    <row r="1171" spans="2:13" ht="15" customHeight="1">
      <c r="B1171" s="92">
        <v>128.19999999999999</v>
      </c>
      <c r="C1171" s="91">
        <f t="shared" si="93"/>
        <v>26400</v>
      </c>
      <c r="D1171" s="91">
        <f t="shared" si="94"/>
        <v>52800</v>
      </c>
      <c r="E1171" s="91">
        <f t="shared" si="95"/>
        <v>105600</v>
      </c>
      <c r="F1171" s="91">
        <f t="shared" si="96"/>
        <v>211200</v>
      </c>
      <c r="G1171" s="91">
        <f t="shared" si="97"/>
        <v>422400</v>
      </c>
      <c r="H1171" s="90">
        <f>H1169+6400</f>
        <v>844800</v>
      </c>
      <c r="I1171" s="91">
        <f t="shared" si="98"/>
        <v>1056000</v>
      </c>
      <c r="J1171" s="91">
        <f t="shared" si="99"/>
        <v>1267200</v>
      </c>
      <c r="L1171" s="45">
        <f t="shared" si="100"/>
        <v>844800</v>
      </c>
      <c r="M1171" s="92">
        <v>128.19999999999999</v>
      </c>
    </row>
    <row r="1172" spans="2:13" ht="15" customHeight="1">
      <c r="B1172" s="92">
        <v>128.25</v>
      </c>
      <c r="C1172" s="88">
        <f t="shared" si="93"/>
        <v>26500</v>
      </c>
      <c r="D1172" s="88">
        <f t="shared" si="94"/>
        <v>53000</v>
      </c>
      <c r="E1172" s="88">
        <f t="shared" si="95"/>
        <v>106000</v>
      </c>
      <c r="F1172" s="88">
        <f t="shared" si="96"/>
        <v>212000</v>
      </c>
      <c r="G1172" s="88">
        <f t="shared" si="97"/>
        <v>424000</v>
      </c>
      <c r="H1172" s="89">
        <f>H1171+((H1173-H1171)/2)</f>
        <v>848000</v>
      </c>
      <c r="I1172" s="88">
        <f>E1172*10</f>
        <v>1060000</v>
      </c>
      <c r="J1172" s="88">
        <f>E1172*12</f>
        <v>1272000</v>
      </c>
      <c r="L1172" s="45">
        <f t="shared" si="100"/>
        <v>848000</v>
      </c>
      <c r="M1172" s="92">
        <v>128.25</v>
      </c>
    </row>
    <row r="1173" spans="2:13" ht="15" customHeight="1">
      <c r="B1173" s="92">
        <v>128.30000000000001</v>
      </c>
      <c r="C1173" s="91">
        <f t="shared" si="93"/>
        <v>26600</v>
      </c>
      <c r="D1173" s="91">
        <f t="shared" si="94"/>
        <v>53200</v>
      </c>
      <c r="E1173" s="91">
        <f t="shared" si="95"/>
        <v>106400</v>
      </c>
      <c r="F1173" s="91">
        <f t="shared" si="96"/>
        <v>212800</v>
      </c>
      <c r="G1173" s="91">
        <f t="shared" si="97"/>
        <v>425600</v>
      </c>
      <c r="H1173" s="90">
        <f>H1171+6400</f>
        <v>851200</v>
      </c>
      <c r="I1173" s="91">
        <f t="shared" si="98"/>
        <v>1064000</v>
      </c>
      <c r="J1173" s="91">
        <f t="shared" si="99"/>
        <v>1276800</v>
      </c>
      <c r="L1173" s="45">
        <f t="shared" si="100"/>
        <v>851200</v>
      </c>
      <c r="M1173" s="92">
        <v>128.30000000000001</v>
      </c>
    </row>
    <row r="1174" spans="2:13" ht="15" customHeight="1">
      <c r="B1174" s="92">
        <v>128.35</v>
      </c>
      <c r="C1174" s="88">
        <f t="shared" si="93"/>
        <v>26700</v>
      </c>
      <c r="D1174" s="88">
        <f t="shared" si="94"/>
        <v>53400</v>
      </c>
      <c r="E1174" s="88">
        <f t="shared" si="95"/>
        <v>106800</v>
      </c>
      <c r="F1174" s="88">
        <f t="shared" si="96"/>
        <v>213600</v>
      </c>
      <c r="G1174" s="88">
        <f t="shared" si="97"/>
        <v>427200</v>
      </c>
      <c r="H1174" s="89">
        <f>H1173+((H1175-H1173)/2)</f>
        <v>854400</v>
      </c>
      <c r="I1174" s="88">
        <f>E1174*10</f>
        <v>1068000</v>
      </c>
      <c r="J1174" s="88">
        <f>E1174*12</f>
        <v>1281600</v>
      </c>
      <c r="L1174" s="45">
        <f t="shared" si="100"/>
        <v>854400</v>
      </c>
      <c r="M1174" s="92">
        <v>128.35</v>
      </c>
    </row>
    <row r="1175" spans="2:13" ht="15" customHeight="1">
      <c r="B1175" s="92">
        <v>128.4</v>
      </c>
      <c r="C1175" s="91">
        <f t="shared" si="93"/>
        <v>26800</v>
      </c>
      <c r="D1175" s="91">
        <f t="shared" si="94"/>
        <v>53600</v>
      </c>
      <c r="E1175" s="91">
        <f t="shared" si="95"/>
        <v>107200</v>
      </c>
      <c r="F1175" s="91">
        <f t="shared" si="96"/>
        <v>214400</v>
      </c>
      <c r="G1175" s="91">
        <f t="shared" si="97"/>
        <v>428800</v>
      </c>
      <c r="H1175" s="90">
        <f>H1173+6400</f>
        <v>857600</v>
      </c>
      <c r="I1175" s="91">
        <f t="shared" si="98"/>
        <v>1072000</v>
      </c>
      <c r="J1175" s="91">
        <f t="shared" si="99"/>
        <v>1286400</v>
      </c>
      <c r="L1175" s="45">
        <f t="shared" si="100"/>
        <v>857600</v>
      </c>
      <c r="M1175" s="92">
        <v>128.4</v>
      </c>
    </row>
    <row r="1176" spans="2:13" ht="15" customHeight="1">
      <c r="B1176" s="92">
        <v>128.44999999999999</v>
      </c>
      <c r="C1176" s="88">
        <f t="shared" si="93"/>
        <v>26900</v>
      </c>
      <c r="D1176" s="88">
        <f t="shared" si="94"/>
        <v>53800</v>
      </c>
      <c r="E1176" s="88">
        <f t="shared" si="95"/>
        <v>107600</v>
      </c>
      <c r="F1176" s="88">
        <f t="shared" si="96"/>
        <v>215200</v>
      </c>
      <c r="G1176" s="88">
        <f t="shared" si="97"/>
        <v>430400</v>
      </c>
      <c r="H1176" s="89">
        <f>H1175+((H1177-H1175)/2)</f>
        <v>860800</v>
      </c>
      <c r="I1176" s="88">
        <f>E1176*10</f>
        <v>1076000</v>
      </c>
      <c r="J1176" s="88">
        <f>E1176*12</f>
        <v>1291200</v>
      </c>
      <c r="L1176" s="45">
        <f t="shared" si="100"/>
        <v>860800</v>
      </c>
      <c r="M1176" s="92">
        <v>128.44999999999999</v>
      </c>
    </row>
    <row r="1177" spans="2:13" ht="15" customHeight="1">
      <c r="B1177" s="92">
        <v>128.5</v>
      </c>
      <c r="C1177" s="91">
        <f t="shared" si="93"/>
        <v>27000</v>
      </c>
      <c r="D1177" s="91">
        <f t="shared" si="94"/>
        <v>54000</v>
      </c>
      <c r="E1177" s="91">
        <f t="shared" si="95"/>
        <v>108000</v>
      </c>
      <c r="F1177" s="91">
        <f t="shared" si="96"/>
        <v>216000</v>
      </c>
      <c r="G1177" s="91">
        <f t="shared" si="97"/>
        <v>432000</v>
      </c>
      <c r="H1177" s="90">
        <f>H1175+6400</f>
        <v>864000</v>
      </c>
      <c r="I1177" s="91">
        <f t="shared" si="98"/>
        <v>1080000</v>
      </c>
      <c r="J1177" s="91">
        <f t="shared" si="99"/>
        <v>1296000</v>
      </c>
      <c r="L1177" s="45">
        <f t="shared" si="100"/>
        <v>864000</v>
      </c>
      <c r="M1177" s="92">
        <v>128.5</v>
      </c>
    </row>
    <row r="1178" spans="2:13" ht="15" customHeight="1">
      <c r="B1178" s="92">
        <v>128.55000000000001</v>
      </c>
      <c r="C1178" s="88">
        <f t="shared" si="93"/>
        <v>27100</v>
      </c>
      <c r="D1178" s="88">
        <f t="shared" si="94"/>
        <v>54200</v>
      </c>
      <c r="E1178" s="88">
        <f t="shared" si="95"/>
        <v>108400</v>
      </c>
      <c r="F1178" s="88">
        <f t="shared" si="96"/>
        <v>216800</v>
      </c>
      <c r="G1178" s="88">
        <f t="shared" si="97"/>
        <v>433600</v>
      </c>
      <c r="H1178" s="89">
        <f>H1177+((H1179-H1177)/2)</f>
        <v>867200</v>
      </c>
      <c r="I1178" s="88">
        <f>E1178*10</f>
        <v>1084000</v>
      </c>
      <c r="J1178" s="88">
        <f>E1178*12</f>
        <v>1300800</v>
      </c>
      <c r="L1178" s="45">
        <f t="shared" si="100"/>
        <v>867200</v>
      </c>
      <c r="M1178" s="92">
        <v>128.55000000000001</v>
      </c>
    </row>
    <row r="1179" spans="2:13" ht="15" customHeight="1">
      <c r="B1179" s="92">
        <v>128.6</v>
      </c>
      <c r="C1179" s="91">
        <f t="shared" si="93"/>
        <v>27200</v>
      </c>
      <c r="D1179" s="91">
        <f t="shared" si="94"/>
        <v>54400</v>
      </c>
      <c r="E1179" s="91">
        <f t="shared" si="95"/>
        <v>108800</v>
      </c>
      <c r="F1179" s="91">
        <f t="shared" si="96"/>
        <v>217600</v>
      </c>
      <c r="G1179" s="91">
        <f t="shared" si="97"/>
        <v>435200</v>
      </c>
      <c r="H1179" s="90">
        <f>H1177+6400</f>
        <v>870400</v>
      </c>
      <c r="I1179" s="91">
        <f t="shared" si="98"/>
        <v>1088000</v>
      </c>
      <c r="J1179" s="91">
        <f t="shared" si="99"/>
        <v>1305600</v>
      </c>
      <c r="L1179" s="45">
        <f t="shared" si="100"/>
        <v>870400</v>
      </c>
      <c r="M1179" s="92">
        <v>128.6</v>
      </c>
    </row>
    <row r="1180" spans="2:13" ht="15" customHeight="1">
      <c r="B1180" s="92">
        <v>128.65</v>
      </c>
      <c r="C1180" s="88">
        <f t="shared" si="93"/>
        <v>27300</v>
      </c>
      <c r="D1180" s="88">
        <f t="shared" si="94"/>
        <v>54600</v>
      </c>
      <c r="E1180" s="88">
        <f t="shared" si="95"/>
        <v>109200</v>
      </c>
      <c r="F1180" s="88">
        <f t="shared" si="96"/>
        <v>218400</v>
      </c>
      <c r="G1180" s="88">
        <f t="shared" si="97"/>
        <v>436800</v>
      </c>
      <c r="H1180" s="89">
        <f>H1179+((H1181-H1179)/2)</f>
        <v>873600</v>
      </c>
      <c r="I1180" s="88">
        <f>E1180*10</f>
        <v>1092000</v>
      </c>
      <c r="J1180" s="88">
        <f>E1180*12</f>
        <v>1310400</v>
      </c>
      <c r="L1180" s="45">
        <f t="shared" si="100"/>
        <v>873600</v>
      </c>
      <c r="M1180" s="92">
        <v>128.65</v>
      </c>
    </row>
    <row r="1181" spans="2:13" ht="15" customHeight="1">
      <c r="B1181" s="92">
        <v>128.69999999999999</v>
      </c>
      <c r="C1181" s="91">
        <f t="shared" si="93"/>
        <v>27400</v>
      </c>
      <c r="D1181" s="91">
        <f t="shared" si="94"/>
        <v>54800</v>
      </c>
      <c r="E1181" s="91">
        <f t="shared" si="95"/>
        <v>109600</v>
      </c>
      <c r="F1181" s="91">
        <f t="shared" si="96"/>
        <v>219200</v>
      </c>
      <c r="G1181" s="91">
        <f t="shared" si="97"/>
        <v>438400</v>
      </c>
      <c r="H1181" s="90">
        <f>H1179+6400</f>
        <v>876800</v>
      </c>
      <c r="I1181" s="91">
        <f t="shared" si="98"/>
        <v>1096000</v>
      </c>
      <c r="J1181" s="91">
        <f t="shared" si="99"/>
        <v>1315200</v>
      </c>
      <c r="L1181" s="45">
        <f t="shared" si="100"/>
        <v>876800</v>
      </c>
      <c r="M1181" s="92">
        <v>128.69999999999999</v>
      </c>
    </row>
    <row r="1182" spans="2:13" ht="15" customHeight="1">
      <c r="B1182" s="92">
        <v>128.75</v>
      </c>
      <c r="C1182" s="88">
        <f t="shared" si="93"/>
        <v>27500</v>
      </c>
      <c r="D1182" s="88">
        <f t="shared" si="94"/>
        <v>55000</v>
      </c>
      <c r="E1182" s="88">
        <f t="shared" si="95"/>
        <v>110000</v>
      </c>
      <c r="F1182" s="88">
        <f t="shared" si="96"/>
        <v>220000</v>
      </c>
      <c r="G1182" s="88">
        <f t="shared" si="97"/>
        <v>440000</v>
      </c>
      <c r="H1182" s="89">
        <f>H1181+((H1183-H1181)/2)</f>
        <v>880000</v>
      </c>
      <c r="I1182" s="88">
        <f>E1182*10</f>
        <v>1100000</v>
      </c>
      <c r="J1182" s="88">
        <f>E1182*12</f>
        <v>1320000</v>
      </c>
      <c r="L1182" s="45">
        <f t="shared" si="100"/>
        <v>880000</v>
      </c>
      <c r="M1182" s="92">
        <v>128.75</v>
      </c>
    </row>
    <row r="1183" spans="2:13" ht="15" customHeight="1">
      <c r="B1183" s="92">
        <v>128.80000000000001</v>
      </c>
      <c r="C1183" s="91">
        <f t="shared" si="93"/>
        <v>27600</v>
      </c>
      <c r="D1183" s="91">
        <f t="shared" si="94"/>
        <v>55200</v>
      </c>
      <c r="E1183" s="91">
        <f t="shared" si="95"/>
        <v>110400</v>
      </c>
      <c r="F1183" s="91">
        <f t="shared" si="96"/>
        <v>220800</v>
      </c>
      <c r="G1183" s="91">
        <f t="shared" si="97"/>
        <v>441600</v>
      </c>
      <c r="H1183" s="90">
        <f>H1181+6400</f>
        <v>883200</v>
      </c>
      <c r="I1183" s="91">
        <f t="shared" si="98"/>
        <v>1104000</v>
      </c>
      <c r="J1183" s="91">
        <f t="shared" si="99"/>
        <v>1324800</v>
      </c>
      <c r="L1183" s="45">
        <f t="shared" si="100"/>
        <v>883200</v>
      </c>
      <c r="M1183" s="92">
        <v>128.80000000000001</v>
      </c>
    </row>
    <row r="1184" spans="2:13" ht="15" customHeight="1">
      <c r="B1184" s="92">
        <v>128.85</v>
      </c>
      <c r="C1184" s="88">
        <f t="shared" si="93"/>
        <v>27700</v>
      </c>
      <c r="D1184" s="88">
        <f t="shared" si="94"/>
        <v>55400</v>
      </c>
      <c r="E1184" s="88">
        <f t="shared" si="95"/>
        <v>110800</v>
      </c>
      <c r="F1184" s="88">
        <f t="shared" si="96"/>
        <v>221600</v>
      </c>
      <c r="G1184" s="88">
        <f t="shared" si="97"/>
        <v>443200</v>
      </c>
      <c r="H1184" s="89">
        <f>H1183+((H1185-H1183)/2)</f>
        <v>886400</v>
      </c>
      <c r="I1184" s="88">
        <f>E1184*10</f>
        <v>1108000</v>
      </c>
      <c r="J1184" s="88">
        <f>E1184*12</f>
        <v>1329600</v>
      </c>
      <c r="L1184" s="45">
        <f t="shared" si="100"/>
        <v>886400</v>
      </c>
      <c r="M1184" s="92">
        <v>128.85</v>
      </c>
    </row>
    <row r="1185" spans="2:13" ht="15" customHeight="1">
      <c r="B1185" s="92">
        <v>128.9</v>
      </c>
      <c r="C1185" s="91">
        <f t="shared" si="93"/>
        <v>27800</v>
      </c>
      <c r="D1185" s="91">
        <f t="shared" si="94"/>
        <v>55600</v>
      </c>
      <c r="E1185" s="91">
        <f t="shared" si="95"/>
        <v>111200</v>
      </c>
      <c r="F1185" s="91">
        <f t="shared" si="96"/>
        <v>222400</v>
      </c>
      <c r="G1185" s="91">
        <f t="shared" si="97"/>
        <v>444800</v>
      </c>
      <c r="H1185" s="90">
        <f>H1183+6400</f>
        <v>889600</v>
      </c>
      <c r="I1185" s="91">
        <f t="shared" si="98"/>
        <v>1112000</v>
      </c>
      <c r="J1185" s="91">
        <f t="shared" si="99"/>
        <v>1334400</v>
      </c>
      <c r="L1185" s="45">
        <f t="shared" si="100"/>
        <v>889600</v>
      </c>
      <c r="M1185" s="92">
        <v>128.9</v>
      </c>
    </row>
    <row r="1186" spans="2:13" ht="15" customHeight="1">
      <c r="B1186" s="92">
        <v>128.94999999999999</v>
      </c>
      <c r="C1186" s="88">
        <f t="shared" si="93"/>
        <v>27900</v>
      </c>
      <c r="D1186" s="88">
        <f t="shared" si="94"/>
        <v>55800</v>
      </c>
      <c r="E1186" s="88">
        <f t="shared" si="95"/>
        <v>111600</v>
      </c>
      <c r="F1186" s="88">
        <f t="shared" si="96"/>
        <v>223200</v>
      </c>
      <c r="G1186" s="88">
        <f t="shared" si="97"/>
        <v>446400</v>
      </c>
      <c r="H1186" s="89">
        <f>H1185+((H1187-H1185)/2)</f>
        <v>892800</v>
      </c>
      <c r="I1186" s="88">
        <f>E1186*10</f>
        <v>1116000</v>
      </c>
      <c r="J1186" s="88">
        <f>E1186*12</f>
        <v>1339200</v>
      </c>
      <c r="L1186" s="45">
        <f t="shared" si="100"/>
        <v>892800</v>
      </c>
      <c r="M1186" s="92">
        <v>128.94999999999999</v>
      </c>
    </row>
    <row r="1187" spans="2:13" ht="15" customHeight="1">
      <c r="B1187" s="92">
        <v>129</v>
      </c>
      <c r="C1187" s="91">
        <f t="shared" si="93"/>
        <v>28000</v>
      </c>
      <c r="D1187" s="91">
        <f t="shared" si="94"/>
        <v>56000</v>
      </c>
      <c r="E1187" s="91">
        <f t="shared" si="95"/>
        <v>112000</v>
      </c>
      <c r="F1187" s="91">
        <f t="shared" si="96"/>
        <v>224000</v>
      </c>
      <c r="G1187" s="91">
        <f t="shared" si="97"/>
        <v>448000</v>
      </c>
      <c r="H1187" s="90">
        <f>H1185+6400</f>
        <v>896000</v>
      </c>
      <c r="I1187" s="91">
        <f t="shared" si="98"/>
        <v>1120000</v>
      </c>
      <c r="J1187" s="91">
        <f t="shared" si="99"/>
        <v>1344000</v>
      </c>
      <c r="L1187" s="45">
        <f t="shared" si="100"/>
        <v>896000</v>
      </c>
      <c r="M1187" s="92">
        <v>129</v>
      </c>
    </row>
    <row r="1188" spans="2:13" ht="15" customHeight="1">
      <c r="B1188" s="92">
        <v>129.05000000000001</v>
      </c>
      <c r="C1188" s="88">
        <f t="shared" si="93"/>
        <v>28100</v>
      </c>
      <c r="D1188" s="88">
        <f t="shared" si="94"/>
        <v>56200</v>
      </c>
      <c r="E1188" s="88">
        <f t="shared" si="95"/>
        <v>112400</v>
      </c>
      <c r="F1188" s="88">
        <f t="shared" si="96"/>
        <v>224800</v>
      </c>
      <c r="G1188" s="88">
        <f t="shared" si="97"/>
        <v>449600</v>
      </c>
      <c r="H1188" s="89">
        <f>H1187+((H1189-H1187)/2)</f>
        <v>899200</v>
      </c>
      <c r="I1188" s="88">
        <f>E1188*10</f>
        <v>1124000</v>
      </c>
      <c r="J1188" s="88">
        <f>E1188*12</f>
        <v>1348800</v>
      </c>
      <c r="L1188" s="45">
        <f t="shared" si="100"/>
        <v>899200</v>
      </c>
      <c r="M1188" s="92">
        <v>129.05000000000001</v>
      </c>
    </row>
    <row r="1189" spans="2:13" ht="15" customHeight="1">
      <c r="B1189" s="92">
        <v>129.1</v>
      </c>
      <c r="C1189" s="91">
        <f t="shared" si="93"/>
        <v>28200</v>
      </c>
      <c r="D1189" s="91">
        <f t="shared" si="94"/>
        <v>56400</v>
      </c>
      <c r="E1189" s="91">
        <f t="shared" si="95"/>
        <v>112800</v>
      </c>
      <c r="F1189" s="91">
        <f t="shared" si="96"/>
        <v>225600</v>
      </c>
      <c r="G1189" s="91">
        <f t="shared" si="97"/>
        <v>451200</v>
      </c>
      <c r="H1189" s="90">
        <f>H1187+6400</f>
        <v>902400</v>
      </c>
      <c r="I1189" s="91">
        <f t="shared" si="98"/>
        <v>1128000</v>
      </c>
      <c r="J1189" s="91">
        <f t="shared" si="99"/>
        <v>1353600</v>
      </c>
      <c r="L1189" s="45">
        <f t="shared" si="100"/>
        <v>902400</v>
      </c>
      <c r="M1189" s="92">
        <v>129.1</v>
      </c>
    </row>
    <row r="1190" spans="2:13" ht="15" customHeight="1">
      <c r="B1190" s="92">
        <v>129.15</v>
      </c>
      <c r="C1190" s="88">
        <f t="shared" si="93"/>
        <v>28300</v>
      </c>
      <c r="D1190" s="88">
        <f t="shared" si="94"/>
        <v>56600</v>
      </c>
      <c r="E1190" s="88">
        <f t="shared" si="95"/>
        <v>113200</v>
      </c>
      <c r="F1190" s="88">
        <f t="shared" si="96"/>
        <v>226400</v>
      </c>
      <c r="G1190" s="88">
        <f t="shared" si="97"/>
        <v>452800</v>
      </c>
      <c r="H1190" s="89">
        <f>H1189+((H1191-H1189)/2)</f>
        <v>905600</v>
      </c>
      <c r="I1190" s="88">
        <f>E1190*10</f>
        <v>1132000</v>
      </c>
      <c r="J1190" s="88">
        <f>E1190*12</f>
        <v>1358400</v>
      </c>
      <c r="L1190" s="45">
        <f t="shared" si="100"/>
        <v>905600</v>
      </c>
      <c r="M1190" s="92">
        <v>129.15</v>
      </c>
    </row>
    <row r="1191" spans="2:13" ht="15" customHeight="1">
      <c r="B1191" s="92">
        <v>129.19999999999999</v>
      </c>
      <c r="C1191" s="91">
        <f t="shared" si="93"/>
        <v>28400</v>
      </c>
      <c r="D1191" s="91">
        <f t="shared" si="94"/>
        <v>56800</v>
      </c>
      <c r="E1191" s="91">
        <f t="shared" si="95"/>
        <v>113600</v>
      </c>
      <c r="F1191" s="91">
        <f t="shared" si="96"/>
        <v>227200</v>
      </c>
      <c r="G1191" s="91">
        <f t="shared" si="97"/>
        <v>454400</v>
      </c>
      <c r="H1191" s="90">
        <f>H1189+6400</f>
        <v>908800</v>
      </c>
      <c r="I1191" s="91">
        <f t="shared" si="98"/>
        <v>1136000</v>
      </c>
      <c r="J1191" s="91">
        <f t="shared" si="99"/>
        <v>1363200</v>
      </c>
      <c r="L1191" s="45">
        <f t="shared" si="100"/>
        <v>908800</v>
      </c>
      <c r="M1191" s="92">
        <v>129.19999999999999</v>
      </c>
    </row>
    <row r="1192" spans="2:13" ht="15" customHeight="1">
      <c r="B1192" s="92">
        <v>129.25</v>
      </c>
      <c r="C1192" s="88">
        <f t="shared" si="93"/>
        <v>28500</v>
      </c>
      <c r="D1192" s="88">
        <f t="shared" si="94"/>
        <v>57000</v>
      </c>
      <c r="E1192" s="88">
        <f t="shared" si="95"/>
        <v>114000</v>
      </c>
      <c r="F1192" s="88">
        <f t="shared" si="96"/>
        <v>228000</v>
      </c>
      <c r="G1192" s="88">
        <f t="shared" si="97"/>
        <v>456000</v>
      </c>
      <c r="H1192" s="89">
        <f>H1191+((H1193-H1191)/2)</f>
        <v>912000</v>
      </c>
      <c r="I1192" s="88">
        <f>E1192*10</f>
        <v>1140000</v>
      </c>
      <c r="J1192" s="88">
        <f>E1192*12</f>
        <v>1368000</v>
      </c>
      <c r="L1192" s="45">
        <f t="shared" si="100"/>
        <v>912000</v>
      </c>
      <c r="M1192" s="92">
        <v>129.25</v>
      </c>
    </row>
    <row r="1193" spans="2:13" ht="15" customHeight="1">
      <c r="B1193" s="92">
        <v>129.30000000000001</v>
      </c>
      <c r="C1193" s="91">
        <f t="shared" si="93"/>
        <v>28600</v>
      </c>
      <c r="D1193" s="91">
        <f t="shared" si="94"/>
        <v>57200</v>
      </c>
      <c r="E1193" s="91">
        <f t="shared" si="95"/>
        <v>114400</v>
      </c>
      <c r="F1193" s="91">
        <f t="shared" si="96"/>
        <v>228800</v>
      </c>
      <c r="G1193" s="91">
        <f t="shared" si="97"/>
        <v>457600</v>
      </c>
      <c r="H1193" s="90">
        <f>H1191+6400</f>
        <v>915200</v>
      </c>
      <c r="I1193" s="91">
        <f t="shared" si="98"/>
        <v>1144000</v>
      </c>
      <c r="J1193" s="91">
        <f t="shared" si="99"/>
        <v>1372800</v>
      </c>
      <c r="L1193" s="45">
        <f t="shared" si="100"/>
        <v>915200</v>
      </c>
      <c r="M1193" s="92">
        <v>129.30000000000001</v>
      </c>
    </row>
    <row r="1194" spans="2:13" ht="15" customHeight="1">
      <c r="B1194" s="92">
        <v>129.35</v>
      </c>
      <c r="C1194" s="88">
        <f t="shared" si="93"/>
        <v>28700</v>
      </c>
      <c r="D1194" s="88">
        <f t="shared" si="94"/>
        <v>57400</v>
      </c>
      <c r="E1194" s="88">
        <f t="shared" si="95"/>
        <v>114800</v>
      </c>
      <c r="F1194" s="88">
        <f t="shared" si="96"/>
        <v>229600</v>
      </c>
      <c r="G1194" s="88">
        <f t="shared" si="97"/>
        <v>459200</v>
      </c>
      <c r="H1194" s="89">
        <f>H1193+((H1195-H1193)/2)</f>
        <v>918400</v>
      </c>
      <c r="I1194" s="88">
        <f>E1194*10</f>
        <v>1148000</v>
      </c>
      <c r="J1194" s="88">
        <f>E1194*12</f>
        <v>1377600</v>
      </c>
      <c r="L1194" s="45">
        <f t="shared" si="100"/>
        <v>918400</v>
      </c>
      <c r="M1194" s="92">
        <v>129.35</v>
      </c>
    </row>
    <row r="1195" spans="2:13" ht="15" customHeight="1">
      <c r="B1195" s="92">
        <v>129.4</v>
      </c>
      <c r="C1195" s="91">
        <f t="shared" si="93"/>
        <v>28800</v>
      </c>
      <c r="D1195" s="91">
        <f t="shared" si="94"/>
        <v>57600</v>
      </c>
      <c r="E1195" s="91">
        <f t="shared" si="95"/>
        <v>115200</v>
      </c>
      <c r="F1195" s="91">
        <f t="shared" si="96"/>
        <v>230400</v>
      </c>
      <c r="G1195" s="91">
        <f t="shared" si="97"/>
        <v>460800</v>
      </c>
      <c r="H1195" s="90">
        <f>H1193+6400</f>
        <v>921600</v>
      </c>
      <c r="I1195" s="91">
        <f t="shared" si="98"/>
        <v>1152000</v>
      </c>
      <c r="J1195" s="91">
        <f t="shared" si="99"/>
        <v>1382400</v>
      </c>
      <c r="L1195" s="45">
        <f t="shared" si="100"/>
        <v>921600</v>
      </c>
      <c r="M1195" s="92">
        <v>129.4</v>
      </c>
    </row>
    <row r="1196" spans="2:13" ht="15" customHeight="1">
      <c r="B1196" s="92">
        <v>129.44999999999999</v>
      </c>
      <c r="C1196" s="88">
        <f t="shared" si="93"/>
        <v>28900</v>
      </c>
      <c r="D1196" s="88">
        <f t="shared" si="94"/>
        <v>57800</v>
      </c>
      <c r="E1196" s="88">
        <f t="shared" si="95"/>
        <v>115600</v>
      </c>
      <c r="F1196" s="88">
        <f t="shared" si="96"/>
        <v>231200</v>
      </c>
      <c r="G1196" s="88">
        <f t="shared" si="97"/>
        <v>462400</v>
      </c>
      <c r="H1196" s="89">
        <f>H1195+((H1197-H1195)/2)</f>
        <v>924800</v>
      </c>
      <c r="I1196" s="88">
        <f>E1196*10</f>
        <v>1156000</v>
      </c>
      <c r="J1196" s="88">
        <f>E1196*12</f>
        <v>1387200</v>
      </c>
      <c r="L1196" s="45">
        <f t="shared" si="100"/>
        <v>924800</v>
      </c>
      <c r="M1196" s="92">
        <v>129.44999999999999</v>
      </c>
    </row>
    <row r="1197" spans="2:13" ht="15" customHeight="1">
      <c r="B1197" s="92">
        <v>129.5</v>
      </c>
      <c r="C1197" s="91">
        <f t="shared" si="93"/>
        <v>29000</v>
      </c>
      <c r="D1197" s="91">
        <f t="shared" si="94"/>
        <v>58000</v>
      </c>
      <c r="E1197" s="91">
        <f t="shared" si="95"/>
        <v>116000</v>
      </c>
      <c r="F1197" s="91">
        <f t="shared" si="96"/>
        <v>232000</v>
      </c>
      <c r="G1197" s="91">
        <f t="shared" si="97"/>
        <v>464000</v>
      </c>
      <c r="H1197" s="90">
        <f>H1195+6400</f>
        <v>928000</v>
      </c>
      <c r="I1197" s="91">
        <f t="shared" si="98"/>
        <v>1160000</v>
      </c>
      <c r="J1197" s="91">
        <f t="shared" si="99"/>
        <v>1392000</v>
      </c>
      <c r="L1197" s="45">
        <f t="shared" si="100"/>
        <v>928000</v>
      </c>
      <c r="M1197" s="92">
        <v>129.5</v>
      </c>
    </row>
    <row r="1198" spans="2:13" ht="15" customHeight="1">
      <c r="B1198" s="92">
        <v>129.55000000000001</v>
      </c>
      <c r="C1198" s="88">
        <f t="shared" si="93"/>
        <v>29100</v>
      </c>
      <c r="D1198" s="88">
        <f t="shared" si="94"/>
        <v>58200</v>
      </c>
      <c r="E1198" s="88">
        <f t="shared" si="95"/>
        <v>116400</v>
      </c>
      <c r="F1198" s="88">
        <f t="shared" si="96"/>
        <v>232800</v>
      </c>
      <c r="G1198" s="88">
        <f t="shared" si="97"/>
        <v>465600</v>
      </c>
      <c r="H1198" s="89">
        <f>H1197+((H1199-H1197)/2)</f>
        <v>931200</v>
      </c>
      <c r="I1198" s="88">
        <f>E1198*10</f>
        <v>1164000</v>
      </c>
      <c r="J1198" s="88">
        <f>E1198*12</f>
        <v>1396800</v>
      </c>
      <c r="L1198" s="45">
        <f t="shared" si="100"/>
        <v>931200</v>
      </c>
      <c r="M1198" s="92">
        <v>129.55000000000001</v>
      </c>
    </row>
    <row r="1199" spans="2:13" ht="15" customHeight="1">
      <c r="B1199" s="92">
        <v>129.6</v>
      </c>
      <c r="C1199" s="91">
        <f t="shared" si="93"/>
        <v>29200</v>
      </c>
      <c r="D1199" s="91">
        <f t="shared" si="94"/>
        <v>58400</v>
      </c>
      <c r="E1199" s="91">
        <f t="shared" si="95"/>
        <v>116800</v>
      </c>
      <c r="F1199" s="91">
        <f t="shared" si="96"/>
        <v>233600</v>
      </c>
      <c r="G1199" s="91">
        <f t="shared" si="97"/>
        <v>467200</v>
      </c>
      <c r="H1199" s="90">
        <f>H1197+6400</f>
        <v>934400</v>
      </c>
      <c r="I1199" s="91">
        <f t="shared" si="98"/>
        <v>1168000</v>
      </c>
      <c r="J1199" s="91">
        <f t="shared" si="99"/>
        <v>1401600</v>
      </c>
      <c r="L1199" s="45">
        <f t="shared" si="100"/>
        <v>934400</v>
      </c>
      <c r="M1199" s="92">
        <v>129.6</v>
      </c>
    </row>
    <row r="1200" spans="2:13" ht="15" customHeight="1">
      <c r="B1200" s="92">
        <v>129.65</v>
      </c>
      <c r="C1200" s="88">
        <f t="shared" si="93"/>
        <v>29300</v>
      </c>
      <c r="D1200" s="88">
        <f t="shared" si="94"/>
        <v>58600</v>
      </c>
      <c r="E1200" s="88">
        <f t="shared" si="95"/>
        <v>117200</v>
      </c>
      <c r="F1200" s="88">
        <f t="shared" si="96"/>
        <v>234400</v>
      </c>
      <c r="G1200" s="88">
        <f t="shared" si="97"/>
        <v>468800</v>
      </c>
      <c r="H1200" s="89">
        <f>H1199+((H1201-H1199)/2)</f>
        <v>937600</v>
      </c>
      <c r="I1200" s="88">
        <f>E1200*10</f>
        <v>1172000</v>
      </c>
      <c r="J1200" s="88">
        <f>E1200*12</f>
        <v>1406400</v>
      </c>
      <c r="L1200" s="45">
        <f t="shared" si="100"/>
        <v>937600</v>
      </c>
      <c r="M1200" s="92">
        <v>129.65</v>
      </c>
    </row>
    <row r="1201" spans="2:13" ht="15" customHeight="1">
      <c r="B1201" s="92">
        <v>129.69999999999999</v>
      </c>
      <c r="C1201" s="91">
        <f t="shared" si="93"/>
        <v>29400</v>
      </c>
      <c r="D1201" s="91">
        <f t="shared" si="94"/>
        <v>58800</v>
      </c>
      <c r="E1201" s="91">
        <f t="shared" si="95"/>
        <v>117600</v>
      </c>
      <c r="F1201" s="91">
        <f t="shared" si="96"/>
        <v>235200</v>
      </c>
      <c r="G1201" s="91">
        <f t="shared" si="97"/>
        <v>470400</v>
      </c>
      <c r="H1201" s="90">
        <f>H1199+6400</f>
        <v>940800</v>
      </c>
      <c r="I1201" s="91">
        <f t="shared" si="98"/>
        <v>1176000</v>
      </c>
      <c r="J1201" s="91">
        <f t="shared" si="99"/>
        <v>1411200</v>
      </c>
      <c r="L1201" s="45">
        <f t="shared" si="100"/>
        <v>940800</v>
      </c>
      <c r="M1201" s="92">
        <v>129.69999999999999</v>
      </c>
    </row>
    <row r="1202" spans="2:13" ht="15" customHeight="1">
      <c r="B1202" s="92">
        <v>129.75</v>
      </c>
      <c r="C1202" s="88">
        <f t="shared" si="93"/>
        <v>29500</v>
      </c>
      <c r="D1202" s="88">
        <f t="shared" si="94"/>
        <v>59000</v>
      </c>
      <c r="E1202" s="88">
        <f t="shared" si="95"/>
        <v>118000</v>
      </c>
      <c r="F1202" s="88">
        <f t="shared" si="96"/>
        <v>236000</v>
      </c>
      <c r="G1202" s="88">
        <f t="shared" si="97"/>
        <v>472000</v>
      </c>
      <c r="H1202" s="89">
        <f>H1201+((H1203-H1201)/2)</f>
        <v>944000</v>
      </c>
      <c r="I1202" s="88">
        <f>E1202*10</f>
        <v>1180000</v>
      </c>
      <c r="J1202" s="88">
        <f>E1202*12</f>
        <v>1416000</v>
      </c>
      <c r="L1202" s="45">
        <f t="shared" si="100"/>
        <v>944000</v>
      </c>
      <c r="M1202" s="92">
        <v>129.75</v>
      </c>
    </row>
    <row r="1203" spans="2:13" ht="15" customHeight="1">
      <c r="B1203" s="92">
        <v>129.80000000000001</v>
      </c>
      <c r="C1203" s="91">
        <f t="shared" si="93"/>
        <v>29600</v>
      </c>
      <c r="D1203" s="91">
        <f t="shared" si="94"/>
        <v>59200</v>
      </c>
      <c r="E1203" s="91">
        <f t="shared" si="95"/>
        <v>118400</v>
      </c>
      <c r="F1203" s="91">
        <f t="shared" si="96"/>
        <v>236800</v>
      </c>
      <c r="G1203" s="91">
        <f t="shared" si="97"/>
        <v>473600</v>
      </c>
      <c r="H1203" s="90">
        <f>H1201+6400</f>
        <v>947200</v>
      </c>
      <c r="I1203" s="91">
        <f t="shared" si="98"/>
        <v>1184000</v>
      </c>
      <c r="J1203" s="91">
        <f t="shared" si="99"/>
        <v>1420800</v>
      </c>
      <c r="L1203" s="45">
        <f t="shared" si="100"/>
        <v>947200</v>
      </c>
      <c r="M1203" s="92">
        <v>129.80000000000001</v>
      </c>
    </row>
    <row r="1204" spans="2:13" ht="15" customHeight="1">
      <c r="B1204" s="92">
        <v>129.85</v>
      </c>
      <c r="C1204" s="88">
        <f>D1204/2</f>
        <v>29700</v>
      </c>
      <c r="D1204" s="88">
        <f>E1204/2</f>
        <v>59400</v>
      </c>
      <c r="E1204" s="88">
        <f>F1204/2</f>
        <v>118800</v>
      </c>
      <c r="F1204" s="88">
        <f>G1204/2</f>
        <v>237600</v>
      </c>
      <c r="G1204" s="88">
        <f>H1204/2</f>
        <v>475200</v>
      </c>
      <c r="H1204" s="89">
        <f>H1203+((H1205-H1203)/2)</f>
        <v>950400</v>
      </c>
      <c r="I1204" s="88">
        <f>E1204*10</f>
        <v>1188000</v>
      </c>
      <c r="J1204" s="88">
        <f>E1204*12</f>
        <v>1425600</v>
      </c>
      <c r="L1204" s="45">
        <f t="shared" si="100"/>
        <v>950400</v>
      </c>
      <c r="M1204" s="92">
        <v>129.85</v>
      </c>
    </row>
    <row r="1205" spans="2:13" ht="15" customHeight="1">
      <c r="B1205" s="92">
        <v>129.9</v>
      </c>
      <c r="C1205" s="91">
        <f t="shared" ref="C1205:G1207" si="101">D1205/2</f>
        <v>29800</v>
      </c>
      <c r="D1205" s="91">
        <f t="shared" si="101"/>
        <v>59600</v>
      </c>
      <c r="E1205" s="91">
        <f t="shared" si="101"/>
        <v>119200</v>
      </c>
      <c r="F1205" s="91">
        <f t="shared" si="101"/>
        <v>238400</v>
      </c>
      <c r="G1205" s="91">
        <f t="shared" si="101"/>
        <v>476800</v>
      </c>
      <c r="H1205" s="90">
        <f>H1203+6400</f>
        <v>953600</v>
      </c>
      <c r="I1205" s="91">
        <f>E1205*10</f>
        <v>1192000</v>
      </c>
      <c r="J1205" s="91">
        <f>E1205*12</f>
        <v>1430400</v>
      </c>
      <c r="L1205" s="45">
        <f t="shared" si="100"/>
        <v>953600</v>
      </c>
      <c r="M1205" s="92">
        <v>129.9</v>
      </c>
    </row>
    <row r="1206" spans="2:13" ht="15" customHeight="1">
      <c r="B1206" s="92">
        <v>129.94999999999999</v>
      </c>
      <c r="C1206" s="88">
        <f t="shared" si="101"/>
        <v>29900</v>
      </c>
      <c r="D1206" s="88">
        <f t="shared" si="101"/>
        <v>59800</v>
      </c>
      <c r="E1206" s="88">
        <f t="shared" si="101"/>
        <v>119600</v>
      </c>
      <c r="F1206" s="88">
        <f t="shared" si="101"/>
        <v>239200</v>
      </c>
      <c r="G1206" s="88">
        <f t="shared" si="101"/>
        <v>478400</v>
      </c>
      <c r="H1206" s="89">
        <f>H1205+((H1207-H1205)/2)</f>
        <v>956800</v>
      </c>
      <c r="I1206" s="88">
        <f>E1206*10</f>
        <v>1196000</v>
      </c>
      <c r="J1206" s="88">
        <f>E1206*12</f>
        <v>1435200</v>
      </c>
      <c r="L1206" s="45">
        <f t="shared" si="100"/>
        <v>956800</v>
      </c>
      <c r="M1206" s="92">
        <v>129.94999999999999</v>
      </c>
    </row>
    <row r="1207" spans="2:13" ht="15" customHeight="1">
      <c r="B1207" s="92">
        <v>130</v>
      </c>
      <c r="C1207" s="91">
        <f t="shared" si="101"/>
        <v>30000</v>
      </c>
      <c r="D1207" s="91">
        <f t="shared" si="101"/>
        <v>60000</v>
      </c>
      <c r="E1207" s="91">
        <f t="shared" si="101"/>
        <v>120000</v>
      </c>
      <c r="F1207" s="91">
        <f t="shared" si="101"/>
        <v>240000</v>
      </c>
      <c r="G1207" s="91">
        <f t="shared" si="101"/>
        <v>480000</v>
      </c>
      <c r="H1207" s="90">
        <f>H1205+6400</f>
        <v>960000</v>
      </c>
      <c r="I1207" s="91">
        <f>E1207*10</f>
        <v>1200000</v>
      </c>
      <c r="J1207" s="91">
        <f>E1207*12</f>
        <v>1440000</v>
      </c>
      <c r="L1207" s="45">
        <f t="shared" si="100"/>
        <v>960000</v>
      </c>
      <c r="M1207" s="92">
        <v>130</v>
      </c>
    </row>
    <row r="1208" spans="2:13" ht="15" customHeight="1">
      <c r="B1208" s="44"/>
      <c r="I1208" s="68"/>
      <c r="J1208" s="68"/>
    </row>
    <row r="1209" spans="2:13" ht="15" customHeight="1">
      <c r="B1209" s="44"/>
      <c r="I1209" s="68"/>
      <c r="J1209" s="68"/>
    </row>
    <row r="1210" spans="2:13" ht="15" customHeight="1">
      <c r="B1210" s="44"/>
      <c r="I1210" s="68"/>
      <c r="J1210" s="68"/>
    </row>
    <row r="1211" spans="2:13" ht="15" customHeight="1">
      <c r="B1211" s="44"/>
      <c r="I1211" s="68"/>
      <c r="J1211" s="68"/>
    </row>
    <row r="1212" spans="2:13" ht="15" customHeight="1">
      <c r="B1212" s="44"/>
      <c r="I1212" s="68"/>
      <c r="J1212" s="68"/>
    </row>
    <row r="1213" spans="2:13" ht="15" customHeight="1">
      <c r="B1213" s="44"/>
      <c r="I1213" s="68"/>
      <c r="J1213" s="68"/>
    </row>
    <row r="1214" spans="2:13" ht="15" customHeight="1">
      <c r="B1214" s="44"/>
      <c r="I1214" s="68"/>
      <c r="J1214" s="68"/>
    </row>
    <row r="1215" spans="2:13" ht="15" customHeight="1">
      <c r="B1215" s="44"/>
      <c r="I1215" s="68"/>
      <c r="J1215" s="68"/>
    </row>
    <row r="1216" spans="2:13" ht="15" customHeight="1">
      <c r="B1216" s="44"/>
      <c r="I1216" s="68"/>
      <c r="J1216" s="68"/>
    </row>
    <row r="1217" spans="2:10" ht="15" customHeight="1">
      <c r="B1217" s="44"/>
      <c r="I1217" s="68"/>
      <c r="J1217" s="68"/>
    </row>
    <row r="1218" spans="2:10" ht="15" customHeight="1">
      <c r="B1218" s="44"/>
      <c r="I1218" s="68"/>
      <c r="J1218" s="68"/>
    </row>
    <row r="1219" spans="2:10" ht="15" customHeight="1">
      <c r="B1219" s="44"/>
      <c r="I1219" s="68"/>
      <c r="J1219" s="68"/>
    </row>
    <row r="1220" spans="2:10" ht="15" customHeight="1">
      <c r="B1220" s="44"/>
      <c r="I1220" s="68"/>
      <c r="J1220" s="68"/>
    </row>
    <row r="1221" spans="2:10" ht="15" customHeight="1">
      <c r="B1221" s="44"/>
      <c r="I1221" s="68"/>
      <c r="J1221" s="68"/>
    </row>
    <row r="1222" spans="2:10" ht="15" customHeight="1">
      <c r="B1222" s="44"/>
      <c r="I1222" s="68"/>
      <c r="J1222" s="68"/>
    </row>
    <row r="1223" spans="2:10" ht="15" customHeight="1">
      <c r="B1223" s="44"/>
      <c r="I1223" s="68"/>
      <c r="J1223" s="68"/>
    </row>
    <row r="1224" spans="2:10" ht="15" customHeight="1">
      <c r="B1224" s="44"/>
      <c r="I1224" s="68"/>
      <c r="J1224" s="68"/>
    </row>
    <row r="1225" spans="2:10" ht="15" customHeight="1">
      <c r="B1225" s="44"/>
      <c r="I1225" s="68"/>
      <c r="J1225" s="68"/>
    </row>
    <row r="1226" spans="2:10" ht="15" customHeight="1">
      <c r="B1226" s="44"/>
      <c r="I1226" s="68"/>
      <c r="J1226" s="68"/>
    </row>
    <row r="1227" spans="2:10" ht="15" customHeight="1">
      <c r="B1227" s="44"/>
      <c r="I1227" s="68"/>
      <c r="J1227" s="68"/>
    </row>
    <row r="1228" spans="2:10" ht="15" customHeight="1">
      <c r="B1228" s="44"/>
      <c r="I1228" s="68"/>
      <c r="J1228" s="68"/>
    </row>
    <row r="1229" spans="2:10" ht="15" customHeight="1">
      <c r="B1229" s="44"/>
      <c r="I1229" s="68"/>
      <c r="J1229" s="68"/>
    </row>
    <row r="1230" spans="2:10" ht="15" customHeight="1">
      <c r="B1230" s="44"/>
      <c r="I1230" s="68"/>
      <c r="J1230" s="68"/>
    </row>
    <row r="1231" spans="2:10" ht="15" customHeight="1">
      <c r="B1231" s="44"/>
      <c r="I1231" s="68"/>
      <c r="J1231" s="68"/>
    </row>
    <row r="1232" spans="2:10" ht="15" customHeight="1">
      <c r="B1232" s="44"/>
      <c r="I1232" s="68"/>
      <c r="J1232" s="68"/>
    </row>
    <row r="1233" spans="2:10" ht="15" customHeight="1">
      <c r="B1233" s="44"/>
      <c r="I1233" s="68"/>
      <c r="J1233" s="68"/>
    </row>
    <row r="1234" spans="2:10" ht="15" customHeight="1">
      <c r="B1234" s="44"/>
      <c r="I1234" s="68"/>
      <c r="J1234" s="68"/>
    </row>
    <row r="1235" spans="2:10" ht="15" customHeight="1">
      <c r="B1235" s="44"/>
      <c r="I1235" s="68"/>
      <c r="J1235" s="68"/>
    </row>
    <row r="1236" spans="2:10" ht="15" customHeight="1">
      <c r="B1236" s="44"/>
      <c r="I1236" s="68"/>
      <c r="J1236" s="68"/>
    </row>
    <row r="1237" spans="2:10" ht="15" customHeight="1">
      <c r="B1237" s="44"/>
      <c r="I1237" s="68"/>
      <c r="J1237" s="68"/>
    </row>
    <row r="1238" spans="2:10" ht="15" customHeight="1">
      <c r="B1238" s="44"/>
      <c r="I1238" s="68"/>
      <c r="J1238" s="68"/>
    </row>
    <row r="1239" spans="2:10" ht="15" customHeight="1">
      <c r="B1239" s="44"/>
      <c r="I1239" s="68"/>
      <c r="J1239" s="68"/>
    </row>
    <row r="1240" spans="2:10" ht="15" customHeight="1">
      <c r="B1240" s="44"/>
      <c r="I1240" s="68"/>
      <c r="J1240" s="68"/>
    </row>
    <row r="1241" spans="2:10" ht="15" customHeight="1">
      <c r="B1241" s="44"/>
      <c r="I1241" s="68"/>
      <c r="J1241" s="68"/>
    </row>
    <row r="1242" spans="2:10" ht="15" customHeight="1">
      <c r="B1242" s="44"/>
      <c r="I1242" s="68"/>
      <c r="J1242" s="68"/>
    </row>
    <row r="1243" spans="2:10" ht="15" customHeight="1">
      <c r="B1243" s="44"/>
      <c r="I1243" s="68"/>
      <c r="J1243" s="68"/>
    </row>
    <row r="1244" spans="2:10" ht="15" customHeight="1">
      <c r="B1244" s="44"/>
      <c r="I1244" s="68"/>
      <c r="J1244" s="68"/>
    </row>
    <row r="1245" spans="2:10" ht="15" customHeight="1">
      <c r="B1245" s="44"/>
      <c r="I1245" s="68"/>
      <c r="J1245" s="68"/>
    </row>
    <row r="1246" spans="2:10" ht="15" customHeight="1">
      <c r="B1246" s="44"/>
      <c r="I1246" s="68"/>
      <c r="J1246" s="68"/>
    </row>
    <row r="1247" spans="2:10" ht="15" customHeight="1">
      <c r="B1247" s="44"/>
      <c r="I1247" s="68"/>
      <c r="J1247" s="68"/>
    </row>
    <row r="1248" spans="2:10" ht="15" customHeight="1">
      <c r="B1248" s="44"/>
      <c r="I1248" s="68"/>
      <c r="J1248" s="68"/>
    </row>
    <row r="1249" spans="2:10" ht="15" customHeight="1">
      <c r="B1249" s="44"/>
      <c r="I1249" s="68"/>
      <c r="J1249" s="68"/>
    </row>
    <row r="1250" spans="2:10" ht="15" customHeight="1">
      <c r="B1250" s="44"/>
      <c r="I1250" s="68"/>
      <c r="J1250" s="68"/>
    </row>
    <row r="1251" spans="2:10" ht="15" customHeight="1">
      <c r="B1251" s="44"/>
      <c r="I1251" s="68"/>
      <c r="J1251" s="68"/>
    </row>
    <row r="1252" spans="2:10" ht="15" customHeight="1">
      <c r="B1252" s="44"/>
      <c r="I1252" s="68"/>
      <c r="J1252" s="68"/>
    </row>
    <row r="1253" spans="2:10" ht="15" customHeight="1">
      <c r="B1253" s="44"/>
      <c r="I1253" s="68"/>
      <c r="J1253" s="68"/>
    </row>
    <row r="1254" spans="2:10" ht="15" customHeight="1">
      <c r="B1254" s="44"/>
      <c r="I1254" s="68"/>
      <c r="J1254" s="68"/>
    </row>
    <row r="1255" spans="2:10" ht="15" customHeight="1">
      <c r="B1255" s="44"/>
      <c r="I1255" s="68"/>
      <c r="J1255" s="68"/>
    </row>
    <row r="1256" spans="2:10" ht="15" customHeight="1">
      <c r="B1256" s="44"/>
      <c r="I1256" s="68"/>
      <c r="J1256" s="68"/>
    </row>
    <row r="1257" spans="2:10" ht="15" customHeight="1">
      <c r="B1257" s="44"/>
      <c r="I1257" s="68"/>
      <c r="J1257" s="68"/>
    </row>
    <row r="1258" spans="2:10" ht="15" customHeight="1">
      <c r="B1258" s="44"/>
      <c r="I1258" s="68"/>
      <c r="J1258" s="68"/>
    </row>
    <row r="1259" spans="2:10" ht="15" customHeight="1">
      <c r="B1259" s="44"/>
      <c r="I1259" s="68"/>
      <c r="J1259" s="68"/>
    </row>
    <row r="1260" spans="2:10" ht="15" customHeight="1">
      <c r="B1260" s="44"/>
      <c r="I1260" s="68"/>
      <c r="J1260" s="68"/>
    </row>
    <row r="1261" spans="2:10" ht="15" customHeight="1">
      <c r="B1261" s="44"/>
      <c r="I1261" s="68"/>
      <c r="J1261" s="68"/>
    </row>
    <row r="1262" spans="2:10" ht="15" customHeight="1">
      <c r="B1262" s="44"/>
      <c r="I1262" s="68"/>
      <c r="J1262" s="68"/>
    </row>
    <row r="1263" spans="2:10" ht="15" customHeight="1">
      <c r="B1263" s="44"/>
      <c r="I1263" s="68"/>
      <c r="J1263" s="68"/>
    </row>
    <row r="1264" spans="2:10" ht="15" customHeight="1">
      <c r="B1264" s="44"/>
      <c r="I1264" s="68"/>
      <c r="J1264" s="68"/>
    </row>
    <row r="1265" spans="2:10" ht="15" customHeight="1">
      <c r="B1265" s="44"/>
      <c r="I1265" s="68"/>
      <c r="J1265" s="68"/>
    </row>
    <row r="1266" spans="2:10" ht="15" customHeight="1">
      <c r="B1266" s="44"/>
      <c r="I1266" s="68"/>
      <c r="J1266" s="68"/>
    </row>
    <row r="1267" spans="2:10" ht="15" customHeight="1">
      <c r="B1267" s="44"/>
      <c r="I1267" s="68"/>
      <c r="J1267" s="68"/>
    </row>
    <row r="1268" spans="2:10" ht="15" customHeight="1">
      <c r="B1268" s="44"/>
      <c r="I1268" s="68"/>
      <c r="J1268" s="68"/>
    </row>
    <row r="1269" spans="2:10" ht="15" customHeight="1">
      <c r="B1269" s="44"/>
      <c r="I1269" s="68"/>
      <c r="J1269" s="68"/>
    </row>
    <row r="1270" spans="2:10" ht="15" customHeight="1">
      <c r="B1270" s="44"/>
      <c r="I1270" s="68"/>
      <c r="J1270" s="68"/>
    </row>
    <row r="1271" spans="2:10" ht="15" customHeight="1">
      <c r="B1271" s="44"/>
      <c r="I1271" s="68"/>
      <c r="J1271" s="68"/>
    </row>
    <row r="1272" spans="2:10" ht="15" customHeight="1">
      <c r="B1272" s="44"/>
      <c r="I1272" s="68"/>
      <c r="J1272" s="68"/>
    </row>
    <row r="1273" spans="2:10" ht="15" customHeight="1">
      <c r="B1273" s="44"/>
      <c r="I1273" s="68"/>
      <c r="J1273" s="68"/>
    </row>
    <row r="1274" spans="2:10" ht="15" customHeight="1">
      <c r="B1274" s="44"/>
      <c r="I1274" s="68"/>
      <c r="J1274" s="68"/>
    </row>
    <row r="1275" spans="2:10" ht="15" customHeight="1">
      <c r="B1275" s="44"/>
      <c r="I1275" s="68"/>
      <c r="J1275" s="68"/>
    </row>
    <row r="1276" spans="2:10" ht="15" customHeight="1">
      <c r="B1276" s="44"/>
      <c r="I1276" s="68"/>
      <c r="J1276" s="68"/>
    </row>
    <row r="1277" spans="2:10" ht="15" customHeight="1">
      <c r="B1277" s="44"/>
      <c r="I1277" s="68"/>
      <c r="J1277" s="68"/>
    </row>
    <row r="1278" spans="2:10" ht="15" customHeight="1">
      <c r="B1278" s="44"/>
      <c r="I1278" s="68"/>
      <c r="J1278" s="68"/>
    </row>
    <row r="1279" spans="2:10" ht="15" customHeight="1">
      <c r="B1279" s="44"/>
      <c r="I1279" s="68"/>
      <c r="J1279" s="68"/>
    </row>
    <row r="1280" spans="2:10" ht="15" customHeight="1">
      <c r="B1280" s="44"/>
      <c r="I1280" s="68"/>
      <c r="J1280" s="68"/>
    </row>
    <row r="1281" spans="2:10" ht="15" customHeight="1">
      <c r="B1281" s="44"/>
      <c r="I1281" s="68"/>
      <c r="J1281" s="68"/>
    </row>
    <row r="1282" spans="2:10" ht="15" customHeight="1">
      <c r="B1282" s="44"/>
      <c r="I1282" s="68"/>
      <c r="J1282" s="68"/>
    </row>
    <row r="1283" spans="2:10" ht="15" customHeight="1">
      <c r="B1283" s="44"/>
      <c r="I1283" s="68"/>
      <c r="J1283" s="68"/>
    </row>
    <row r="1284" spans="2:10" ht="15" customHeight="1">
      <c r="B1284" s="44"/>
      <c r="I1284" s="68"/>
      <c r="J1284" s="68"/>
    </row>
    <row r="1285" spans="2:10" ht="15" customHeight="1">
      <c r="B1285" s="44"/>
      <c r="I1285" s="68"/>
      <c r="J1285" s="68"/>
    </row>
    <row r="1286" spans="2:10" ht="15" customHeight="1">
      <c r="B1286" s="44"/>
      <c r="I1286" s="68"/>
      <c r="J1286" s="68"/>
    </row>
    <row r="1287" spans="2:10" ht="15" customHeight="1">
      <c r="B1287" s="44"/>
      <c r="I1287" s="68"/>
      <c r="J1287" s="68"/>
    </row>
    <row r="1288" spans="2:10" ht="15" customHeight="1">
      <c r="B1288" s="44"/>
      <c r="I1288" s="68"/>
      <c r="J1288" s="68"/>
    </row>
    <row r="1289" spans="2:10" ht="15" customHeight="1">
      <c r="B1289" s="44"/>
      <c r="I1289" s="68"/>
      <c r="J1289" s="68"/>
    </row>
    <row r="1290" spans="2:10" ht="15" customHeight="1">
      <c r="B1290" s="44"/>
      <c r="I1290" s="68"/>
      <c r="J1290" s="68"/>
    </row>
    <row r="1291" spans="2:10" ht="15" customHeight="1">
      <c r="B1291" s="44"/>
      <c r="I1291" s="68"/>
      <c r="J1291" s="68"/>
    </row>
    <row r="1292" spans="2:10" ht="15" customHeight="1">
      <c r="B1292" s="44"/>
      <c r="I1292" s="68"/>
      <c r="J1292" s="68"/>
    </row>
    <row r="1293" spans="2:10" ht="15" customHeight="1">
      <c r="B1293" s="44"/>
      <c r="I1293" s="68"/>
      <c r="J1293" s="68"/>
    </row>
    <row r="1294" spans="2:10" ht="15" customHeight="1">
      <c r="B1294" s="44"/>
      <c r="I1294" s="68"/>
      <c r="J1294" s="68"/>
    </row>
    <row r="1295" spans="2:10" ht="15" customHeight="1">
      <c r="B1295" s="44"/>
      <c r="I1295" s="68"/>
      <c r="J1295" s="68"/>
    </row>
    <row r="1296" spans="2:10" ht="15" customHeight="1">
      <c r="B1296" s="44"/>
      <c r="I1296" s="68"/>
      <c r="J1296" s="68"/>
    </row>
    <row r="1297" spans="2:10" ht="15" customHeight="1">
      <c r="B1297" s="44"/>
      <c r="I1297" s="68"/>
      <c r="J1297" s="68"/>
    </row>
    <row r="1298" spans="2:10" ht="15" customHeight="1">
      <c r="B1298" s="44"/>
      <c r="I1298" s="68"/>
      <c r="J1298" s="68"/>
    </row>
    <row r="1299" spans="2:10" ht="15" customHeight="1">
      <c r="B1299" s="44"/>
      <c r="I1299" s="68"/>
      <c r="J1299" s="68"/>
    </row>
    <row r="1300" spans="2:10" ht="15" customHeight="1">
      <c r="B1300" s="44"/>
      <c r="I1300" s="68"/>
      <c r="J1300" s="68"/>
    </row>
    <row r="1301" spans="2:10" ht="15" customHeight="1">
      <c r="B1301" s="44"/>
      <c r="I1301" s="68"/>
      <c r="J1301" s="68"/>
    </row>
    <row r="1302" spans="2:10" ht="15" customHeight="1">
      <c r="B1302" s="44"/>
      <c r="I1302" s="68"/>
      <c r="J1302" s="68"/>
    </row>
    <row r="1303" spans="2:10" ht="15" customHeight="1">
      <c r="B1303" s="44"/>
      <c r="I1303" s="68"/>
      <c r="J1303" s="68"/>
    </row>
    <row r="1304" spans="2:10" ht="15" customHeight="1">
      <c r="B1304" s="44"/>
      <c r="I1304" s="68"/>
      <c r="J1304" s="68"/>
    </row>
    <row r="1305" spans="2:10" ht="15" customHeight="1">
      <c r="B1305" s="44"/>
      <c r="I1305" s="68"/>
      <c r="J1305" s="68"/>
    </row>
    <row r="1306" spans="2:10" ht="15" customHeight="1">
      <c r="B1306" s="44"/>
      <c r="I1306" s="68"/>
      <c r="J1306" s="68"/>
    </row>
    <row r="1307" spans="2:10" ht="15" customHeight="1">
      <c r="B1307" s="44"/>
      <c r="I1307" s="68"/>
      <c r="J1307" s="68"/>
    </row>
    <row r="1308" spans="2:10" ht="15" customHeight="1">
      <c r="B1308" s="44"/>
      <c r="I1308" s="68"/>
      <c r="J1308" s="68"/>
    </row>
    <row r="1309" spans="2:10" ht="15" customHeight="1">
      <c r="B1309" s="44"/>
      <c r="I1309" s="68"/>
      <c r="J1309" s="68"/>
    </row>
    <row r="1310" spans="2:10" ht="15" customHeight="1">
      <c r="B1310" s="44"/>
      <c r="I1310" s="68"/>
      <c r="J1310" s="68"/>
    </row>
    <row r="1311" spans="2:10" ht="15" customHeight="1">
      <c r="B1311" s="44"/>
      <c r="I1311" s="68"/>
      <c r="J1311" s="68"/>
    </row>
    <row r="1312" spans="2:10" ht="15" customHeight="1">
      <c r="B1312" s="44"/>
      <c r="I1312" s="68"/>
      <c r="J1312" s="68"/>
    </row>
    <row r="1313" spans="2:10" ht="15" customHeight="1">
      <c r="B1313" s="44"/>
      <c r="I1313" s="68"/>
      <c r="J1313" s="68"/>
    </row>
    <row r="1314" spans="2:10" ht="15" customHeight="1">
      <c r="B1314" s="44"/>
      <c r="I1314" s="68"/>
      <c r="J1314" s="68"/>
    </row>
    <row r="1315" spans="2:10" ht="15" customHeight="1">
      <c r="B1315" s="44"/>
      <c r="I1315" s="68"/>
      <c r="J1315" s="68"/>
    </row>
    <row r="1316" spans="2:10" ht="15" customHeight="1">
      <c r="B1316" s="44"/>
      <c r="I1316" s="68"/>
      <c r="J1316" s="68"/>
    </row>
    <row r="1317" spans="2:10" ht="15" customHeight="1">
      <c r="B1317" s="44"/>
      <c r="I1317" s="68"/>
      <c r="J1317" s="68"/>
    </row>
    <row r="1318" spans="2:10" ht="15" customHeight="1">
      <c r="B1318" s="44"/>
      <c r="I1318" s="68"/>
      <c r="J1318" s="68"/>
    </row>
    <row r="1319" spans="2:10" ht="15" customHeight="1">
      <c r="I1319" s="68"/>
      <c r="J1319" s="68"/>
    </row>
    <row r="1320" spans="2:10" ht="15" customHeight="1">
      <c r="I1320" s="68"/>
      <c r="J1320" s="68"/>
    </row>
    <row r="1321" spans="2:10" ht="15" customHeight="1">
      <c r="I1321" s="68"/>
      <c r="J1321" s="68"/>
    </row>
    <row r="1322" spans="2:10" ht="15" customHeight="1">
      <c r="I1322" s="68"/>
      <c r="J1322" s="68"/>
    </row>
    <row r="1323" spans="2:10" ht="15" customHeight="1">
      <c r="I1323" s="68"/>
      <c r="J1323" s="68"/>
    </row>
    <row r="1324" spans="2:10" ht="15" customHeight="1">
      <c r="I1324" s="68"/>
      <c r="J1324" s="68"/>
    </row>
    <row r="1325" spans="2:10" ht="15" customHeight="1">
      <c r="I1325" s="68"/>
      <c r="J1325" s="68"/>
    </row>
    <row r="1326" spans="2:10" ht="15" customHeight="1">
      <c r="I1326" s="68"/>
      <c r="J1326" s="68"/>
    </row>
    <row r="1327" spans="2:10" ht="15" customHeight="1">
      <c r="I1327" s="68"/>
      <c r="J1327" s="68"/>
    </row>
    <row r="1328" spans="2:10" ht="15" customHeight="1">
      <c r="I1328" s="68"/>
      <c r="J1328" s="68"/>
    </row>
    <row r="1329" spans="9:10" ht="15" customHeight="1">
      <c r="I1329" s="68"/>
      <c r="J1329" s="68"/>
    </row>
    <row r="1330" spans="9:10" ht="15" customHeight="1">
      <c r="I1330" s="68"/>
      <c r="J1330" s="68"/>
    </row>
    <row r="1331" spans="9:10" ht="15" customHeight="1">
      <c r="I1331" s="68"/>
      <c r="J1331" s="68"/>
    </row>
    <row r="1332" spans="9:10" ht="15" customHeight="1">
      <c r="I1332" s="68"/>
      <c r="J1332" s="68"/>
    </row>
    <row r="1333" spans="9:10" ht="15" customHeight="1">
      <c r="I1333" s="68"/>
      <c r="J1333" s="68"/>
    </row>
    <row r="1334" spans="9:10" ht="15" customHeight="1">
      <c r="I1334" s="68"/>
      <c r="J1334" s="68"/>
    </row>
    <row r="1335" spans="9:10" ht="15" customHeight="1">
      <c r="I1335" s="68"/>
      <c r="J1335" s="68"/>
    </row>
    <row r="1336" spans="9:10" ht="15" customHeight="1">
      <c r="I1336" s="68"/>
      <c r="J1336" s="68"/>
    </row>
    <row r="1337" spans="9:10" ht="15" customHeight="1">
      <c r="I1337" s="68"/>
      <c r="J1337" s="68"/>
    </row>
    <row r="1338" spans="9:10" ht="15" customHeight="1">
      <c r="I1338" s="68"/>
      <c r="J1338" s="68"/>
    </row>
    <row r="1339" spans="9:10" ht="15" customHeight="1">
      <c r="I1339" s="68"/>
      <c r="J1339" s="68"/>
    </row>
    <row r="1340" spans="9:10" ht="15" customHeight="1">
      <c r="I1340" s="68"/>
      <c r="J1340" s="68"/>
    </row>
    <row r="1341" spans="9:10" ht="15" customHeight="1">
      <c r="I1341" s="68"/>
      <c r="J1341" s="68"/>
    </row>
    <row r="1342" spans="9:10" ht="15" customHeight="1">
      <c r="I1342" s="68"/>
      <c r="J1342" s="68"/>
    </row>
    <row r="1343" spans="9:10" ht="15" customHeight="1">
      <c r="I1343" s="68"/>
      <c r="J1343" s="68"/>
    </row>
    <row r="1344" spans="9:10" ht="15" customHeight="1">
      <c r="I1344" s="68"/>
      <c r="J1344" s="68"/>
    </row>
    <row r="1345" spans="9:10" ht="15" customHeight="1">
      <c r="I1345" s="68"/>
      <c r="J1345" s="68"/>
    </row>
    <row r="1346" spans="9:10" ht="15" customHeight="1">
      <c r="I1346" s="68"/>
      <c r="J1346" s="68"/>
    </row>
    <row r="1347" spans="9:10" ht="15" customHeight="1">
      <c r="I1347" s="68"/>
      <c r="J1347" s="68"/>
    </row>
    <row r="1348" spans="9:10" ht="15" customHeight="1">
      <c r="I1348" s="68"/>
      <c r="J1348" s="68"/>
    </row>
    <row r="1349" spans="9:10" ht="15" customHeight="1">
      <c r="I1349" s="68"/>
      <c r="J1349" s="68"/>
    </row>
    <row r="1350" spans="9:10" ht="15" customHeight="1">
      <c r="I1350" s="68"/>
      <c r="J1350" s="68"/>
    </row>
    <row r="1351" spans="9:10" ht="15" customHeight="1">
      <c r="I1351" s="68"/>
      <c r="J1351" s="68"/>
    </row>
    <row r="1352" spans="9:10" ht="15" customHeight="1">
      <c r="I1352" s="68"/>
      <c r="J1352" s="68"/>
    </row>
    <row r="1353" spans="9:10" ht="15" customHeight="1">
      <c r="I1353" s="68"/>
      <c r="J1353" s="68"/>
    </row>
    <row r="1354" spans="9:10" ht="15" customHeight="1">
      <c r="I1354" s="68"/>
      <c r="J1354" s="68"/>
    </row>
    <row r="1355" spans="9:10" ht="15" customHeight="1">
      <c r="I1355" s="68"/>
      <c r="J1355" s="68"/>
    </row>
    <row r="1356" spans="9:10" ht="15" customHeight="1">
      <c r="I1356" s="68"/>
      <c r="J1356" s="68"/>
    </row>
    <row r="1357" spans="9:10" ht="15" customHeight="1">
      <c r="I1357" s="68"/>
      <c r="J1357" s="68"/>
    </row>
    <row r="1358" spans="9:10" ht="15" customHeight="1">
      <c r="I1358" s="68"/>
      <c r="J1358" s="68"/>
    </row>
    <row r="1359" spans="9:10" ht="15" customHeight="1">
      <c r="I1359" s="68"/>
      <c r="J1359" s="68"/>
    </row>
    <row r="1360" spans="9:10" ht="15" customHeight="1">
      <c r="I1360" s="68"/>
      <c r="J1360" s="68"/>
    </row>
    <row r="1361" spans="9:10" ht="15" customHeight="1">
      <c r="I1361" s="68"/>
      <c r="J1361" s="68"/>
    </row>
    <row r="1362" spans="9:10" ht="15" customHeight="1">
      <c r="I1362" s="68"/>
      <c r="J1362" s="68"/>
    </row>
    <row r="1363" spans="9:10" ht="15" customHeight="1">
      <c r="I1363" s="68"/>
      <c r="J1363" s="68"/>
    </row>
    <row r="1364" spans="9:10" ht="15" customHeight="1">
      <c r="I1364" s="68"/>
      <c r="J1364" s="68"/>
    </row>
    <row r="1365" spans="9:10" ht="15" customHeight="1">
      <c r="I1365" s="68"/>
      <c r="J1365" s="68"/>
    </row>
    <row r="1366" spans="9:10" ht="15" customHeight="1">
      <c r="I1366" s="68"/>
      <c r="J1366" s="68"/>
    </row>
    <row r="1367" spans="9:10" ht="15" customHeight="1">
      <c r="I1367" s="68"/>
      <c r="J1367" s="68"/>
    </row>
    <row r="1368" spans="9:10" ht="15" customHeight="1">
      <c r="I1368" s="68"/>
      <c r="J1368" s="68"/>
    </row>
    <row r="1369" spans="9:10" ht="15" customHeight="1">
      <c r="I1369" s="68"/>
      <c r="J1369" s="68"/>
    </row>
    <row r="1370" spans="9:10" ht="15" customHeight="1">
      <c r="I1370" s="68"/>
      <c r="J1370" s="68"/>
    </row>
    <row r="1371" spans="9:10" ht="15" customHeight="1">
      <c r="I1371" s="68"/>
      <c r="J1371" s="68"/>
    </row>
    <row r="1372" spans="9:10" ht="15" customHeight="1">
      <c r="I1372" s="68"/>
      <c r="J1372" s="68"/>
    </row>
    <row r="1373" spans="9:10" ht="15" customHeight="1">
      <c r="I1373" s="68"/>
      <c r="J1373" s="68"/>
    </row>
    <row r="1374" spans="9:10" ht="15" customHeight="1">
      <c r="I1374" s="68"/>
      <c r="J1374" s="68"/>
    </row>
    <row r="1375" spans="9:10" ht="15" customHeight="1">
      <c r="I1375" s="68"/>
      <c r="J1375" s="68"/>
    </row>
    <row r="1376" spans="9:10" ht="15" customHeight="1">
      <c r="I1376" s="68"/>
      <c r="J1376" s="68"/>
    </row>
    <row r="1377" spans="9:10" ht="15" customHeight="1">
      <c r="I1377" s="68"/>
      <c r="J1377" s="68"/>
    </row>
    <row r="1378" spans="9:10" ht="15" customHeight="1">
      <c r="I1378" s="68"/>
      <c r="J1378" s="68"/>
    </row>
    <row r="1379" spans="9:10" ht="15" customHeight="1">
      <c r="I1379" s="68"/>
      <c r="J1379" s="68"/>
    </row>
    <row r="1380" spans="9:10" ht="15" customHeight="1">
      <c r="I1380" s="68"/>
      <c r="J1380" s="68"/>
    </row>
    <row r="1381" spans="9:10" ht="15" customHeight="1">
      <c r="I1381" s="68"/>
      <c r="J1381" s="68"/>
    </row>
    <row r="1382" spans="9:10" ht="15" customHeight="1">
      <c r="I1382" s="68"/>
      <c r="J1382" s="68"/>
    </row>
    <row r="1383" spans="9:10" ht="15" customHeight="1">
      <c r="I1383" s="68"/>
      <c r="J1383" s="68"/>
    </row>
    <row r="1384" spans="9:10" ht="15" customHeight="1">
      <c r="I1384" s="68"/>
      <c r="J1384" s="68"/>
    </row>
    <row r="1385" spans="9:10" ht="15" customHeight="1">
      <c r="I1385" s="68"/>
      <c r="J1385" s="68"/>
    </row>
    <row r="1386" spans="9:10" ht="15" customHeight="1">
      <c r="I1386" s="68"/>
      <c r="J1386" s="68"/>
    </row>
    <row r="1387" spans="9:10" ht="15" customHeight="1">
      <c r="I1387" s="68"/>
      <c r="J1387" s="68"/>
    </row>
    <row r="1388" spans="9:10" ht="15" customHeight="1">
      <c r="I1388" s="68"/>
      <c r="J1388" s="68"/>
    </row>
    <row r="1389" spans="9:10" ht="15" customHeight="1">
      <c r="I1389" s="68"/>
      <c r="J1389" s="68"/>
    </row>
    <row r="1390" spans="9:10" ht="15" customHeight="1">
      <c r="I1390" s="68"/>
      <c r="J1390" s="68"/>
    </row>
    <row r="1391" spans="9:10" ht="15" customHeight="1">
      <c r="I1391" s="68"/>
      <c r="J1391" s="68"/>
    </row>
    <row r="1392" spans="9:10" ht="15" customHeight="1">
      <c r="I1392" s="68"/>
      <c r="J1392" s="68"/>
    </row>
    <row r="1393" spans="9:10" ht="15" customHeight="1">
      <c r="I1393" s="68"/>
      <c r="J1393" s="68"/>
    </row>
    <row r="1394" spans="9:10" ht="15" customHeight="1">
      <c r="I1394" s="68"/>
      <c r="J1394" s="68"/>
    </row>
    <row r="1395" spans="9:10" ht="15" customHeight="1">
      <c r="I1395" s="68"/>
      <c r="J1395" s="68"/>
    </row>
    <row r="1396" spans="9:10" ht="15" customHeight="1">
      <c r="I1396" s="68"/>
      <c r="J1396" s="68"/>
    </row>
    <row r="1397" spans="9:10" ht="15" customHeight="1">
      <c r="I1397" s="68"/>
      <c r="J1397" s="68"/>
    </row>
    <row r="1398" spans="9:10" ht="15" customHeight="1">
      <c r="I1398" s="68"/>
      <c r="J1398" s="68"/>
    </row>
    <row r="1399" spans="9:10" ht="15" customHeight="1">
      <c r="I1399" s="68"/>
      <c r="J1399" s="68"/>
    </row>
    <row r="1400" spans="9:10" ht="15" customHeight="1">
      <c r="I1400" s="68"/>
      <c r="J1400" s="68"/>
    </row>
    <row r="1401" spans="9:10" ht="15" customHeight="1">
      <c r="I1401" s="68"/>
      <c r="J1401" s="68"/>
    </row>
    <row r="1402" spans="9:10" ht="15" customHeight="1">
      <c r="I1402" s="68"/>
      <c r="J1402" s="68"/>
    </row>
    <row r="1403" spans="9:10" ht="15" customHeight="1">
      <c r="I1403" s="68"/>
      <c r="J1403" s="68"/>
    </row>
    <row r="1404" spans="9:10" ht="15" customHeight="1">
      <c r="I1404" s="68"/>
      <c r="J1404" s="68"/>
    </row>
    <row r="1405" spans="9:10" ht="15" customHeight="1">
      <c r="I1405" s="68"/>
      <c r="J1405" s="68"/>
    </row>
    <row r="1406" spans="9:10" ht="15" customHeight="1">
      <c r="I1406" s="68"/>
      <c r="J1406" s="68"/>
    </row>
    <row r="1407" spans="9:10" ht="15" customHeight="1">
      <c r="I1407" s="68"/>
      <c r="J1407" s="68"/>
    </row>
    <row r="1408" spans="9:10" ht="15" customHeight="1">
      <c r="I1408" s="68"/>
      <c r="J1408" s="68"/>
    </row>
    <row r="1409" spans="9:10" ht="15" customHeight="1">
      <c r="I1409" s="68"/>
      <c r="J1409" s="68"/>
    </row>
    <row r="1410" spans="9:10" ht="15" customHeight="1">
      <c r="I1410" s="68"/>
      <c r="J1410" s="68"/>
    </row>
    <row r="1411" spans="9:10" ht="15" customHeight="1">
      <c r="I1411" s="68"/>
      <c r="J1411" s="68"/>
    </row>
    <row r="1412" spans="9:10" ht="15" customHeight="1">
      <c r="I1412" s="68"/>
      <c r="J1412" s="68"/>
    </row>
    <row r="1413" spans="9:10" ht="15" customHeight="1">
      <c r="I1413" s="68"/>
      <c r="J1413" s="68"/>
    </row>
    <row r="1414" spans="9:10" ht="15" customHeight="1">
      <c r="I1414" s="68"/>
      <c r="J1414" s="68"/>
    </row>
    <row r="1415" spans="9:10" ht="15" customHeight="1">
      <c r="I1415" s="68"/>
      <c r="J1415" s="68"/>
    </row>
    <row r="1416" spans="9:10" ht="15" customHeight="1">
      <c r="I1416" s="68"/>
      <c r="J1416" s="68"/>
    </row>
    <row r="1417" spans="9:10" ht="15" customHeight="1">
      <c r="I1417" s="68"/>
      <c r="J1417" s="68"/>
    </row>
    <row r="1418" spans="9:10" ht="15" customHeight="1">
      <c r="I1418" s="68"/>
      <c r="J1418" s="68"/>
    </row>
    <row r="1419" spans="9:10" ht="15" customHeight="1">
      <c r="I1419" s="68"/>
      <c r="J1419" s="68"/>
    </row>
    <row r="1420" spans="9:10" ht="15" customHeight="1">
      <c r="I1420" s="68"/>
      <c r="J1420" s="68"/>
    </row>
    <row r="1421" spans="9:10" ht="15" customHeight="1">
      <c r="I1421" s="68"/>
      <c r="J1421" s="68"/>
    </row>
    <row r="1422" spans="9:10" ht="15" customHeight="1">
      <c r="I1422" s="68"/>
      <c r="J1422" s="68"/>
    </row>
    <row r="1423" spans="9:10">
      <c r="I1423" s="68"/>
      <c r="J1423" s="68"/>
    </row>
    <row r="1424" spans="9:10">
      <c r="I1424" s="68"/>
      <c r="J1424" s="68"/>
    </row>
    <row r="1425" spans="9:10">
      <c r="I1425" s="68"/>
      <c r="J1425" s="68"/>
    </row>
    <row r="1426" spans="9:10">
      <c r="I1426" s="68"/>
      <c r="J1426" s="68"/>
    </row>
    <row r="1427" spans="9:10">
      <c r="I1427" s="68"/>
      <c r="J1427" s="68"/>
    </row>
    <row r="1428" spans="9:10">
      <c r="I1428" s="68"/>
      <c r="J1428" s="68"/>
    </row>
    <row r="1429" spans="9:10">
      <c r="I1429" s="68"/>
      <c r="J1429" s="68"/>
    </row>
    <row r="1430" spans="9:10">
      <c r="I1430" s="68"/>
      <c r="J1430" s="68"/>
    </row>
    <row r="1431" spans="9:10">
      <c r="I1431" s="68"/>
      <c r="J1431" s="68"/>
    </row>
    <row r="1432" spans="9:10">
      <c r="I1432" s="68"/>
      <c r="J1432" s="68"/>
    </row>
    <row r="1433" spans="9:10">
      <c r="I1433" s="68"/>
      <c r="J1433" s="68"/>
    </row>
    <row r="1434" spans="9:10">
      <c r="I1434" s="68"/>
      <c r="J1434" s="68"/>
    </row>
    <row r="1435" spans="9:10">
      <c r="I1435" s="68"/>
      <c r="J1435" s="68"/>
    </row>
    <row r="1436" spans="9:10">
      <c r="I1436" s="68"/>
      <c r="J1436" s="68"/>
    </row>
    <row r="1437" spans="9:10">
      <c r="I1437" s="68"/>
      <c r="J1437" s="68"/>
    </row>
    <row r="1438" spans="9:10">
      <c r="I1438" s="68"/>
      <c r="J1438" s="68"/>
    </row>
    <row r="1439" spans="9:10">
      <c r="I1439" s="68"/>
      <c r="J1439" s="68"/>
    </row>
    <row r="1440" spans="9:10">
      <c r="I1440" s="68"/>
      <c r="J1440" s="68"/>
    </row>
    <row r="1441" spans="9:10">
      <c r="I1441" s="68"/>
      <c r="J1441" s="68"/>
    </row>
    <row r="1442" spans="9:10">
      <c r="I1442" s="68"/>
      <c r="J1442" s="68"/>
    </row>
    <row r="1443" spans="9:10">
      <c r="I1443" s="68"/>
      <c r="J1443" s="68"/>
    </row>
    <row r="1444" spans="9:10">
      <c r="I1444" s="68"/>
      <c r="J1444" s="68"/>
    </row>
    <row r="1445" spans="9:10">
      <c r="I1445" s="68"/>
      <c r="J1445" s="68"/>
    </row>
    <row r="1446" spans="9:10">
      <c r="I1446" s="68"/>
      <c r="J1446" s="68"/>
    </row>
    <row r="1447" spans="9:10">
      <c r="I1447" s="68"/>
      <c r="J1447" s="68"/>
    </row>
    <row r="1448" spans="9:10">
      <c r="I1448" s="68"/>
      <c r="J1448" s="68"/>
    </row>
    <row r="1449" spans="9:10">
      <c r="I1449" s="68"/>
      <c r="J1449" s="68"/>
    </row>
    <row r="1450" spans="9:10">
      <c r="I1450" s="68"/>
      <c r="J1450" s="68"/>
    </row>
    <row r="1451" spans="9:10">
      <c r="I1451" s="68"/>
      <c r="J1451" s="68"/>
    </row>
    <row r="1452" spans="9:10">
      <c r="I1452" s="68"/>
      <c r="J1452" s="68"/>
    </row>
    <row r="1453" spans="9:10">
      <c r="I1453" s="68"/>
      <c r="J1453" s="68"/>
    </row>
    <row r="1454" spans="9:10">
      <c r="I1454" s="68"/>
      <c r="J1454" s="68"/>
    </row>
    <row r="1455" spans="9:10">
      <c r="I1455" s="68"/>
      <c r="J1455" s="68"/>
    </row>
    <row r="1456" spans="9:10">
      <c r="I1456" s="68"/>
      <c r="J1456" s="68"/>
    </row>
    <row r="1457" spans="9:10">
      <c r="I1457" s="68"/>
      <c r="J1457" s="68"/>
    </row>
    <row r="1458" spans="9:10">
      <c r="I1458" s="68"/>
      <c r="J1458" s="68"/>
    </row>
    <row r="1459" spans="9:10">
      <c r="I1459" s="68"/>
      <c r="J1459" s="68"/>
    </row>
    <row r="1460" spans="9:10">
      <c r="I1460" s="68"/>
      <c r="J1460" s="68"/>
    </row>
    <row r="1461" spans="9:10">
      <c r="I1461" s="68"/>
      <c r="J1461" s="68"/>
    </row>
    <row r="1462" spans="9:10">
      <c r="I1462" s="68"/>
      <c r="J1462" s="68"/>
    </row>
    <row r="1463" spans="9:10">
      <c r="I1463" s="68"/>
      <c r="J1463" s="68"/>
    </row>
    <row r="1464" spans="9:10">
      <c r="I1464" s="68"/>
      <c r="J1464" s="68"/>
    </row>
    <row r="1465" spans="9:10">
      <c r="I1465" s="68"/>
      <c r="J1465" s="68"/>
    </row>
    <row r="1466" spans="9:10">
      <c r="I1466" s="68"/>
      <c r="J1466" s="68"/>
    </row>
    <row r="1467" spans="9:10">
      <c r="I1467" s="68"/>
      <c r="J1467" s="68"/>
    </row>
    <row r="1468" spans="9:10">
      <c r="I1468" s="68"/>
      <c r="J1468" s="68"/>
    </row>
    <row r="1469" spans="9:10">
      <c r="I1469" s="68"/>
      <c r="J1469" s="68"/>
    </row>
    <row r="1470" spans="9:10">
      <c r="I1470" s="68"/>
      <c r="J1470" s="68"/>
    </row>
    <row r="1471" spans="9:10">
      <c r="I1471" s="68"/>
      <c r="J1471" s="68"/>
    </row>
    <row r="1472" spans="9:10">
      <c r="I1472" s="68"/>
      <c r="J1472" s="68"/>
    </row>
    <row r="1473" spans="9:10">
      <c r="I1473" s="68"/>
      <c r="J1473" s="68"/>
    </row>
    <row r="1474" spans="9:10">
      <c r="I1474" s="68"/>
      <c r="J1474" s="68"/>
    </row>
    <row r="1475" spans="9:10">
      <c r="I1475" s="68"/>
      <c r="J1475" s="68"/>
    </row>
    <row r="1476" spans="9:10">
      <c r="I1476" s="68"/>
      <c r="J1476" s="68"/>
    </row>
    <row r="1477" spans="9:10">
      <c r="I1477" s="68"/>
      <c r="J1477" s="68"/>
    </row>
    <row r="1478" spans="9:10">
      <c r="I1478" s="68"/>
      <c r="J1478" s="68"/>
    </row>
    <row r="1479" spans="9:10">
      <c r="I1479" s="68"/>
      <c r="J1479" s="68"/>
    </row>
    <row r="1480" spans="9:10">
      <c r="I1480" s="68"/>
      <c r="J1480" s="68"/>
    </row>
    <row r="1481" spans="9:10">
      <c r="I1481" s="68"/>
      <c r="J1481" s="68"/>
    </row>
    <row r="1482" spans="9:10">
      <c r="I1482" s="68"/>
      <c r="J1482" s="68"/>
    </row>
    <row r="1483" spans="9:10">
      <c r="I1483" s="68"/>
      <c r="J1483" s="68"/>
    </row>
    <row r="1484" spans="9:10">
      <c r="I1484" s="68"/>
      <c r="J1484" s="68"/>
    </row>
    <row r="1485" spans="9:10">
      <c r="I1485" s="68"/>
      <c r="J1485" s="68"/>
    </row>
    <row r="1486" spans="9:10">
      <c r="I1486" s="68"/>
      <c r="J1486" s="68"/>
    </row>
    <row r="1487" spans="9:10">
      <c r="I1487" s="68"/>
      <c r="J1487" s="68"/>
    </row>
    <row r="1488" spans="9:10">
      <c r="I1488" s="68"/>
      <c r="J1488" s="68"/>
    </row>
    <row r="1489" spans="9:10">
      <c r="I1489" s="68"/>
      <c r="J1489" s="68"/>
    </row>
    <row r="1490" spans="9:10">
      <c r="I1490" s="68"/>
      <c r="J1490" s="68"/>
    </row>
    <row r="1491" spans="9:10">
      <c r="I1491" s="68"/>
      <c r="J1491" s="68"/>
    </row>
    <row r="1492" spans="9:10">
      <c r="I1492" s="68"/>
      <c r="J1492" s="68"/>
    </row>
    <row r="1493" spans="9:10">
      <c r="I1493" s="68"/>
      <c r="J1493" s="68"/>
    </row>
    <row r="1494" spans="9:10">
      <c r="I1494" s="68"/>
      <c r="J1494" s="68"/>
    </row>
    <row r="1495" spans="9:10">
      <c r="I1495" s="68"/>
      <c r="J1495" s="68"/>
    </row>
    <row r="1496" spans="9:10">
      <c r="I1496" s="68"/>
      <c r="J1496" s="68"/>
    </row>
    <row r="1497" spans="9:10">
      <c r="I1497" s="68"/>
      <c r="J1497" s="68"/>
    </row>
    <row r="1498" spans="9:10">
      <c r="I1498" s="68"/>
      <c r="J1498" s="68"/>
    </row>
    <row r="1499" spans="9:10">
      <c r="I1499" s="68"/>
      <c r="J1499" s="68"/>
    </row>
    <row r="1500" spans="9:10">
      <c r="I1500" s="68"/>
      <c r="J1500" s="68"/>
    </row>
    <row r="1501" spans="9:10">
      <c r="I1501" s="68"/>
      <c r="J1501" s="68"/>
    </row>
    <row r="1502" spans="9:10">
      <c r="I1502" s="68"/>
      <c r="J1502" s="68"/>
    </row>
    <row r="1503" spans="9:10">
      <c r="I1503" s="68"/>
      <c r="J1503" s="68"/>
    </row>
    <row r="1504" spans="9:10">
      <c r="I1504" s="68"/>
      <c r="J1504" s="68"/>
    </row>
    <row r="1505" spans="9:10">
      <c r="I1505" s="68"/>
      <c r="J1505" s="68"/>
    </row>
    <row r="1506" spans="9:10">
      <c r="I1506" s="68"/>
      <c r="J1506" s="68"/>
    </row>
    <row r="1507" spans="9:10">
      <c r="I1507" s="68"/>
      <c r="J1507" s="68"/>
    </row>
    <row r="1508" spans="9:10">
      <c r="I1508" s="68"/>
      <c r="J1508" s="68"/>
    </row>
    <row r="1509" spans="9:10">
      <c r="I1509" s="68"/>
      <c r="J1509" s="68"/>
    </row>
    <row r="1510" spans="9:10">
      <c r="I1510" s="68"/>
      <c r="J1510" s="68"/>
    </row>
    <row r="1511" spans="9:10">
      <c r="I1511" s="68"/>
      <c r="J1511" s="68"/>
    </row>
    <row r="1512" spans="9:10">
      <c r="I1512" s="68"/>
      <c r="J1512" s="68"/>
    </row>
    <row r="1513" spans="9:10">
      <c r="I1513" s="68"/>
      <c r="J1513" s="68"/>
    </row>
    <row r="1514" spans="9:10">
      <c r="I1514" s="68"/>
      <c r="J1514" s="68"/>
    </row>
    <row r="1515" spans="9:10">
      <c r="I1515" s="68"/>
      <c r="J1515" s="68"/>
    </row>
    <row r="1516" spans="9:10">
      <c r="I1516" s="68"/>
      <c r="J1516" s="68"/>
    </row>
    <row r="1517" spans="9:10">
      <c r="I1517" s="68"/>
      <c r="J1517" s="68"/>
    </row>
    <row r="1518" spans="9:10">
      <c r="I1518" s="68"/>
      <c r="J1518" s="68"/>
    </row>
    <row r="1519" spans="9:10">
      <c r="I1519" s="68"/>
      <c r="J1519" s="68"/>
    </row>
    <row r="1520" spans="9:10">
      <c r="I1520" s="68"/>
      <c r="J1520" s="68"/>
    </row>
    <row r="1521" spans="9:10">
      <c r="I1521" s="68"/>
      <c r="J1521" s="68"/>
    </row>
    <row r="1522" spans="9:10">
      <c r="I1522" s="68"/>
      <c r="J1522" s="68"/>
    </row>
    <row r="1523" spans="9:10">
      <c r="I1523" s="68"/>
      <c r="J1523" s="68"/>
    </row>
    <row r="1524" spans="9:10">
      <c r="I1524" s="68"/>
      <c r="J1524" s="68"/>
    </row>
    <row r="1525" spans="9:10">
      <c r="I1525" s="68"/>
      <c r="J1525" s="68"/>
    </row>
    <row r="1526" spans="9:10">
      <c r="I1526" s="68"/>
      <c r="J1526" s="68"/>
    </row>
    <row r="1527" spans="9:10">
      <c r="I1527" s="68"/>
      <c r="J1527" s="68"/>
    </row>
    <row r="1528" spans="9:10">
      <c r="I1528" s="68"/>
      <c r="J1528" s="68"/>
    </row>
    <row r="1529" spans="9:10">
      <c r="I1529" s="68"/>
      <c r="J1529" s="68"/>
    </row>
    <row r="1530" spans="9:10">
      <c r="I1530" s="68"/>
      <c r="J1530" s="68"/>
    </row>
    <row r="1531" spans="9:10">
      <c r="I1531" s="68"/>
      <c r="J1531" s="68"/>
    </row>
    <row r="1532" spans="9:10">
      <c r="I1532" s="68"/>
      <c r="J1532" s="68"/>
    </row>
    <row r="1533" spans="9:10">
      <c r="I1533" s="68"/>
      <c r="J1533" s="68"/>
    </row>
    <row r="1534" spans="9:10">
      <c r="I1534" s="68"/>
      <c r="J1534" s="68"/>
    </row>
    <row r="1535" spans="9:10">
      <c r="I1535" s="68"/>
      <c r="J1535" s="68"/>
    </row>
    <row r="1536" spans="9:10">
      <c r="I1536" s="68"/>
      <c r="J1536" s="68"/>
    </row>
    <row r="1537" spans="9:10">
      <c r="I1537" s="68"/>
      <c r="J1537" s="68"/>
    </row>
    <row r="1538" spans="9:10">
      <c r="I1538" s="68"/>
      <c r="J1538" s="68"/>
    </row>
    <row r="1539" spans="9:10">
      <c r="I1539" s="68"/>
      <c r="J1539" s="68"/>
    </row>
    <row r="1540" spans="9:10">
      <c r="I1540" s="68"/>
      <c r="J1540" s="68"/>
    </row>
    <row r="1541" spans="9:10">
      <c r="I1541" s="68"/>
      <c r="J1541" s="68"/>
    </row>
    <row r="1542" spans="9:10">
      <c r="I1542" s="68"/>
      <c r="J1542" s="68"/>
    </row>
    <row r="1543" spans="9:10">
      <c r="I1543" s="68"/>
      <c r="J1543" s="68"/>
    </row>
    <row r="1544" spans="9:10">
      <c r="I1544" s="68"/>
      <c r="J1544" s="68"/>
    </row>
    <row r="1545" spans="9:10">
      <c r="I1545" s="68"/>
      <c r="J1545" s="68"/>
    </row>
    <row r="1546" spans="9:10">
      <c r="I1546" s="68"/>
      <c r="J1546" s="68"/>
    </row>
    <row r="1547" spans="9:10">
      <c r="I1547" s="68"/>
      <c r="J1547" s="68"/>
    </row>
    <row r="1548" spans="9:10">
      <c r="I1548" s="68"/>
      <c r="J1548" s="68"/>
    </row>
    <row r="1549" spans="9:10">
      <c r="I1549" s="68"/>
      <c r="J1549" s="68"/>
    </row>
    <row r="1550" spans="9:10">
      <c r="I1550" s="68"/>
      <c r="J1550" s="68"/>
    </row>
    <row r="1551" spans="9:10">
      <c r="I1551" s="68"/>
      <c r="J1551" s="68"/>
    </row>
    <row r="1552" spans="9:10">
      <c r="I1552" s="68"/>
      <c r="J1552" s="68"/>
    </row>
    <row r="1553" spans="9:10">
      <c r="I1553" s="68"/>
      <c r="J1553" s="68"/>
    </row>
    <row r="1554" spans="9:10">
      <c r="I1554" s="68"/>
      <c r="J1554" s="68"/>
    </row>
    <row r="1555" spans="9:10">
      <c r="I1555" s="68"/>
      <c r="J1555" s="68"/>
    </row>
    <row r="1556" spans="9:10">
      <c r="I1556" s="68"/>
      <c r="J1556" s="68"/>
    </row>
    <row r="1557" spans="9:10">
      <c r="I1557" s="68"/>
      <c r="J1557" s="68"/>
    </row>
    <row r="1558" spans="9:10">
      <c r="I1558" s="68"/>
      <c r="J1558" s="68"/>
    </row>
    <row r="1559" spans="9:10">
      <c r="I1559" s="68"/>
      <c r="J1559" s="68"/>
    </row>
    <row r="1560" spans="9:10">
      <c r="I1560" s="68"/>
      <c r="J1560" s="68"/>
    </row>
    <row r="1561" spans="9:10">
      <c r="I1561" s="68"/>
      <c r="J1561" s="68"/>
    </row>
    <row r="1562" spans="9:10">
      <c r="I1562" s="68"/>
      <c r="J1562" s="68"/>
    </row>
    <row r="1563" spans="9:10">
      <c r="I1563" s="68"/>
      <c r="J1563" s="68"/>
    </row>
    <row r="1564" spans="9:10">
      <c r="I1564" s="68"/>
      <c r="J1564" s="68"/>
    </row>
    <row r="1565" spans="9:10">
      <c r="I1565" s="68"/>
      <c r="J1565" s="68"/>
    </row>
    <row r="1566" spans="9:10">
      <c r="I1566" s="68"/>
      <c r="J1566" s="68"/>
    </row>
    <row r="1567" spans="9:10">
      <c r="I1567" s="68"/>
      <c r="J1567" s="68"/>
    </row>
    <row r="1568" spans="9:10">
      <c r="I1568" s="68"/>
      <c r="J1568" s="68"/>
    </row>
    <row r="1569" spans="9:10">
      <c r="I1569" s="68"/>
      <c r="J1569" s="68"/>
    </row>
    <row r="1570" spans="9:10">
      <c r="I1570" s="68"/>
      <c r="J1570" s="68"/>
    </row>
    <row r="1571" spans="9:10">
      <c r="I1571" s="68"/>
      <c r="J1571" s="68"/>
    </row>
    <row r="1572" spans="9:10">
      <c r="I1572" s="68"/>
      <c r="J1572" s="68"/>
    </row>
    <row r="1573" spans="9:10">
      <c r="I1573" s="68"/>
      <c r="J1573" s="68"/>
    </row>
    <row r="1574" spans="9:10">
      <c r="I1574" s="68"/>
      <c r="J1574" s="68"/>
    </row>
    <row r="1575" spans="9:10">
      <c r="I1575" s="68"/>
      <c r="J1575" s="68"/>
    </row>
    <row r="1576" spans="9:10">
      <c r="I1576" s="68"/>
      <c r="J1576" s="68"/>
    </row>
    <row r="1577" spans="9:10">
      <c r="I1577" s="68"/>
      <c r="J1577" s="68"/>
    </row>
    <row r="1578" spans="9:10">
      <c r="I1578" s="68"/>
      <c r="J1578" s="68"/>
    </row>
    <row r="1579" spans="9:10">
      <c r="I1579" s="68"/>
      <c r="J1579" s="68"/>
    </row>
    <row r="1580" spans="9:10">
      <c r="I1580" s="68"/>
      <c r="J1580" s="68"/>
    </row>
    <row r="1581" spans="9:10">
      <c r="I1581" s="68"/>
      <c r="J1581" s="68"/>
    </row>
    <row r="1582" spans="9:10">
      <c r="I1582" s="68"/>
      <c r="J1582" s="68"/>
    </row>
    <row r="1583" spans="9:10">
      <c r="I1583" s="68"/>
      <c r="J1583" s="68"/>
    </row>
    <row r="1584" spans="9:10">
      <c r="I1584" s="68"/>
      <c r="J1584" s="68"/>
    </row>
    <row r="1585" spans="9:10">
      <c r="I1585" s="68"/>
      <c r="J1585" s="68"/>
    </row>
    <row r="1586" spans="9:10">
      <c r="I1586" s="68"/>
      <c r="J1586" s="68"/>
    </row>
    <row r="1587" spans="9:10">
      <c r="I1587" s="68"/>
      <c r="J1587" s="68"/>
    </row>
    <row r="1588" spans="9:10">
      <c r="I1588" s="68"/>
      <c r="J1588" s="68"/>
    </row>
    <row r="1589" spans="9:10">
      <c r="I1589" s="68"/>
      <c r="J1589" s="68"/>
    </row>
    <row r="1590" spans="9:10">
      <c r="I1590" s="68"/>
      <c r="J1590" s="68"/>
    </row>
    <row r="1591" spans="9:10">
      <c r="I1591" s="68"/>
      <c r="J1591" s="68"/>
    </row>
    <row r="1592" spans="9:10">
      <c r="I1592" s="68"/>
      <c r="J1592" s="68"/>
    </row>
    <row r="1593" spans="9:10">
      <c r="I1593" s="68"/>
      <c r="J1593" s="68"/>
    </row>
    <row r="1594" spans="9:10">
      <c r="I1594" s="68"/>
      <c r="J1594" s="68"/>
    </row>
    <row r="1595" spans="9:10">
      <c r="I1595" s="68"/>
      <c r="J1595" s="68"/>
    </row>
    <row r="1596" spans="9:10">
      <c r="I1596" s="68"/>
      <c r="J1596" s="68"/>
    </row>
    <row r="1597" spans="9:10">
      <c r="I1597" s="68"/>
      <c r="J1597" s="68"/>
    </row>
    <row r="1598" spans="9:10">
      <c r="I1598" s="68"/>
      <c r="J1598" s="68"/>
    </row>
    <row r="1599" spans="9:10">
      <c r="I1599" s="68"/>
      <c r="J1599" s="68"/>
    </row>
    <row r="1600" spans="9:10">
      <c r="I1600" s="68"/>
      <c r="J1600" s="68"/>
    </row>
    <row r="1601" spans="9:10">
      <c r="I1601" s="68"/>
      <c r="J1601" s="68"/>
    </row>
    <row r="1602" spans="9:10">
      <c r="I1602" s="68"/>
      <c r="J1602" s="68"/>
    </row>
    <row r="1603" spans="9:10">
      <c r="I1603" s="68"/>
      <c r="J1603" s="68"/>
    </row>
    <row r="1604" spans="9:10">
      <c r="I1604" s="68"/>
      <c r="J1604" s="68"/>
    </row>
    <row r="1605" spans="9:10">
      <c r="I1605" s="68"/>
      <c r="J1605" s="68"/>
    </row>
    <row r="1606" spans="9:10">
      <c r="I1606" s="68"/>
      <c r="J1606" s="68"/>
    </row>
    <row r="1607" spans="9:10">
      <c r="I1607" s="68"/>
      <c r="J1607" s="68"/>
    </row>
    <row r="1608" spans="9:10">
      <c r="I1608" s="68"/>
      <c r="J1608" s="68"/>
    </row>
    <row r="1609" spans="9:10">
      <c r="I1609" s="68"/>
      <c r="J1609" s="68"/>
    </row>
    <row r="1610" spans="9:10">
      <c r="I1610" s="68"/>
      <c r="J1610" s="68"/>
    </row>
    <row r="1611" spans="9:10">
      <c r="I1611" s="68"/>
      <c r="J1611" s="68"/>
    </row>
    <row r="1612" spans="9:10">
      <c r="I1612" s="68"/>
      <c r="J1612" s="68"/>
    </row>
    <row r="1613" spans="9:10">
      <c r="I1613" s="68"/>
      <c r="J1613" s="68"/>
    </row>
    <row r="1614" spans="9:10">
      <c r="I1614" s="68"/>
      <c r="J1614" s="68"/>
    </row>
    <row r="1615" spans="9:10">
      <c r="I1615" s="68"/>
      <c r="J1615" s="68"/>
    </row>
    <row r="1616" spans="9:10">
      <c r="I1616" s="68"/>
      <c r="J1616" s="68"/>
    </row>
    <row r="1617" spans="9:10">
      <c r="I1617" s="68"/>
      <c r="J1617" s="68"/>
    </row>
    <row r="1618" spans="9:10">
      <c r="I1618" s="68"/>
      <c r="J1618" s="68"/>
    </row>
    <row r="1619" spans="9:10">
      <c r="I1619" s="68"/>
      <c r="J1619" s="68"/>
    </row>
    <row r="1620" spans="9:10">
      <c r="I1620" s="68"/>
      <c r="J1620" s="68"/>
    </row>
    <row r="1621" spans="9:10">
      <c r="I1621" s="68"/>
      <c r="J1621" s="68"/>
    </row>
    <row r="1622" spans="9:10">
      <c r="I1622" s="68"/>
      <c r="J1622" s="68"/>
    </row>
    <row r="1623" spans="9:10">
      <c r="I1623" s="68"/>
      <c r="J1623" s="68"/>
    </row>
    <row r="1624" spans="9:10">
      <c r="I1624" s="68"/>
      <c r="J1624" s="68"/>
    </row>
    <row r="1625" spans="9:10">
      <c r="I1625" s="68"/>
      <c r="J1625" s="68"/>
    </row>
    <row r="1626" spans="9:10">
      <c r="I1626" s="68"/>
      <c r="J1626" s="68"/>
    </row>
    <row r="1627" spans="9:10">
      <c r="I1627" s="68"/>
      <c r="J1627" s="68"/>
    </row>
    <row r="1628" spans="9:10">
      <c r="I1628" s="68"/>
      <c r="J1628" s="68"/>
    </row>
    <row r="1629" spans="9:10">
      <c r="I1629" s="68"/>
      <c r="J1629" s="68"/>
    </row>
    <row r="1630" spans="9:10">
      <c r="I1630" s="68"/>
      <c r="J1630" s="68"/>
    </row>
    <row r="1631" spans="9:10">
      <c r="I1631" s="68"/>
      <c r="J1631" s="68"/>
    </row>
    <row r="1632" spans="9:10">
      <c r="I1632" s="68"/>
      <c r="J1632" s="68"/>
    </row>
    <row r="1633" spans="9:10">
      <c r="I1633" s="68"/>
      <c r="J1633" s="68"/>
    </row>
    <row r="1634" spans="9:10">
      <c r="I1634" s="68"/>
      <c r="J1634" s="68"/>
    </row>
    <row r="1635" spans="9:10">
      <c r="I1635" s="68"/>
      <c r="J1635" s="68"/>
    </row>
    <row r="1636" spans="9:10">
      <c r="I1636" s="68"/>
      <c r="J1636" s="68"/>
    </row>
    <row r="1637" spans="9:10">
      <c r="I1637" s="68"/>
      <c r="J1637" s="68"/>
    </row>
    <row r="1638" spans="9:10">
      <c r="I1638" s="68"/>
      <c r="J1638" s="68"/>
    </row>
    <row r="1639" spans="9:10">
      <c r="I1639" s="68"/>
      <c r="J1639" s="68"/>
    </row>
    <row r="1640" spans="9:10">
      <c r="I1640" s="68"/>
      <c r="J1640" s="68"/>
    </row>
    <row r="1641" spans="9:10">
      <c r="I1641" s="68"/>
      <c r="J1641" s="68"/>
    </row>
    <row r="1642" spans="9:10">
      <c r="I1642" s="68"/>
      <c r="J1642" s="68"/>
    </row>
    <row r="1643" spans="9:10">
      <c r="I1643" s="68"/>
      <c r="J1643" s="68"/>
    </row>
    <row r="1644" spans="9:10">
      <c r="I1644" s="68"/>
      <c r="J1644" s="68"/>
    </row>
    <row r="1645" spans="9:10">
      <c r="I1645" s="68"/>
      <c r="J1645" s="68"/>
    </row>
    <row r="1646" spans="9:10">
      <c r="I1646" s="68"/>
      <c r="J1646" s="68"/>
    </row>
    <row r="1647" spans="9:10">
      <c r="I1647" s="68"/>
      <c r="J1647" s="68"/>
    </row>
    <row r="1648" spans="9:10">
      <c r="I1648" s="68"/>
      <c r="J1648" s="68"/>
    </row>
    <row r="1649" spans="9:10">
      <c r="I1649" s="68"/>
      <c r="J1649" s="68"/>
    </row>
    <row r="1650" spans="9:10">
      <c r="I1650" s="68"/>
      <c r="J1650" s="68"/>
    </row>
    <row r="1651" spans="9:10">
      <c r="I1651" s="68"/>
      <c r="J1651" s="68"/>
    </row>
    <row r="1652" spans="9:10">
      <c r="I1652" s="68"/>
      <c r="J1652" s="68"/>
    </row>
    <row r="1653" spans="9:10">
      <c r="I1653" s="68"/>
      <c r="J1653" s="68"/>
    </row>
    <row r="1654" spans="9:10">
      <c r="I1654" s="68"/>
      <c r="J1654" s="68"/>
    </row>
    <row r="1655" spans="9:10">
      <c r="I1655" s="68"/>
      <c r="J1655" s="68"/>
    </row>
    <row r="1656" spans="9:10">
      <c r="I1656" s="68"/>
      <c r="J1656" s="68"/>
    </row>
    <row r="1657" spans="9:10">
      <c r="I1657" s="68"/>
      <c r="J1657" s="68"/>
    </row>
    <row r="1658" spans="9:10">
      <c r="I1658" s="68"/>
      <c r="J1658" s="68"/>
    </row>
    <row r="1659" spans="9:10">
      <c r="I1659" s="68"/>
      <c r="J1659" s="68"/>
    </row>
    <row r="1660" spans="9:10">
      <c r="I1660" s="68"/>
      <c r="J1660" s="68"/>
    </row>
    <row r="1661" spans="9:10">
      <c r="I1661" s="68"/>
      <c r="J1661" s="68"/>
    </row>
    <row r="1662" spans="9:10">
      <c r="I1662" s="68"/>
      <c r="J1662" s="68"/>
    </row>
    <row r="1663" spans="9:10">
      <c r="I1663" s="68"/>
      <c r="J1663" s="68"/>
    </row>
    <row r="1664" spans="9:10">
      <c r="I1664" s="68"/>
      <c r="J1664" s="68"/>
    </row>
    <row r="1665" spans="9:10">
      <c r="I1665" s="68"/>
      <c r="J1665" s="68"/>
    </row>
    <row r="1666" spans="9:10">
      <c r="I1666" s="68"/>
      <c r="J1666" s="68"/>
    </row>
    <row r="1667" spans="9:10">
      <c r="I1667" s="68"/>
      <c r="J1667" s="68"/>
    </row>
    <row r="1668" spans="9:10">
      <c r="I1668" s="68"/>
      <c r="J1668" s="68"/>
    </row>
    <row r="1669" spans="9:10">
      <c r="I1669" s="68"/>
      <c r="J1669" s="68"/>
    </row>
    <row r="1670" spans="9:10">
      <c r="I1670" s="68"/>
      <c r="J1670" s="68"/>
    </row>
    <row r="1671" spans="9:10">
      <c r="I1671" s="68"/>
      <c r="J1671" s="68"/>
    </row>
    <row r="1672" spans="9:10">
      <c r="I1672" s="68"/>
      <c r="J1672" s="68"/>
    </row>
    <row r="1673" spans="9:10">
      <c r="I1673" s="68"/>
      <c r="J1673" s="68"/>
    </row>
    <row r="1674" spans="9:10">
      <c r="I1674" s="68"/>
      <c r="J1674" s="68"/>
    </row>
    <row r="1675" spans="9:10">
      <c r="I1675" s="68"/>
      <c r="J1675" s="68"/>
    </row>
    <row r="1676" spans="9:10">
      <c r="I1676" s="68"/>
      <c r="J1676" s="68"/>
    </row>
    <row r="1677" spans="9:10">
      <c r="I1677" s="68"/>
      <c r="J1677" s="68"/>
    </row>
    <row r="1678" spans="9:10">
      <c r="I1678" s="68"/>
      <c r="J1678" s="68"/>
    </row>
    <row r="1679" spans="9:10">
      <c r="I1679" s="68"/>
      <c r="J1679" s="68"/>
    </row>
    <row r="1680" spans="9:10">
      <c r="I1680" s="68"/>
      <c r="J1680" s="68"/>
    </row>
    <row r="1681" spans="9:10">
      <c r="I1681" s="68"/>
      <c r="J1681" s="68"/>
    </row>
    <row r="1682" spans="9:10">
      <c r="I1682" s="68"/>
      <c r="J1682" s="68"/>
    </row>
    <row r="1683" spans="9:10">
      <c r="I1683" s="68"/>
      <c r="J1683" s="68"/>
    </row>
    <row r="1684" spans="9:10">
      <c r="I1684" s="68"/>
      <c r="J1684" s="68"/>
    </row>
    <row r="1685" spans="9:10">
      <c r="I1685" s="68"/>
      <c r="J1685" s="68"/>
    </row>
    <row r="1686" spans="9:10">
      <c r="I1686" s="68"/>
      <c r="J1686" s="68"/>
    </row>
    <row r="1687" spans="9:10">
      <c r="I1687" s="68"/>
      <c r="J1687" s="68"/>
    </row>
    <row r="1688" spans="9:10">
      <c r="I1688" s="68"/>
      <c r="J1688" s="68"/>
    </row>
    <row r="1689" spans="9:10">
      <c r="I1689" s="68"/>
      <c r="J1689" s="68"/>
    </row>
    <row r="1690" spans="9:10">
      <c r="I1690" s="68"/>
      <c r="J1690" s="68"/>
    </row>
    <row r="1691" spans="9:10">
      <c r="I1691" s="68"/>
      <c r="J1691" s="68"/>
    </row>
    <row r="1692" spans="9:10">
      <c r="I1692" s="68"/>
      <c r="J1692" s="68"/>
    </row>
    <row r="1693" spans="9:10">
      <c r="I1693" s="68"/>
      <c r="J1693" s="68"/>
    </row>
    <row r="1694" spans="9:10">
      <c r="I1694" s="68"/>
      <c r="J1694" s="68"/>
    </row>
    <row r="1695" spans="9:10">
      <c r="I1695" s="68"/>
      <c r="J1695" s="68"/>
    </row>
    <row r="1696" spans="9:10">
      <c r="I1696" s="68"/>
      <c r="J1696" s="68"/>
    </row>
    <row r="1697" spans="9:10">
      <c r="I1697" s="68"/>
      <c r="J1697" s="68"/>
    </row>
    <row r="1698" spans="9:10">
      <c r="I1698" s="68"/>
      <c r="J1698" s="68"/>
    </row>
    <row r="1699" spans="9:10">
      <c r="I1699" s="68"/>
      <c r="J1699" s="68"/>
    </row>
    <row r="1700" spans="9:10">
      <c r="I1700" s="68"/>
      <c r="J1700" s="68"/>
    </row>
    <row r="1701" spans="9:10">
      <c r="I1701" s="68"/>
      <c r="J1701" s="68"/>
    </row>
    <row r="1702" spans="9:10">
      <c r="I1702" s="68"/>
      <c r="J1702" s="68"/>
    </row>
    <row r="1703" spans="9:10">
      <c r="I1703" s="68"/>
      <c r="J1703" s="68"/>
    </row>
    <row r="1704" spans="9:10">
      <c r="I1704" s="68"/>
      <c r="J1704" s="68"/>
    </row>
    <row r="1705" spans="9:10">
      <c r="I1705" s="68"/>
      <c r="J1705" s="68"/>
    </row>
    <row r="1706" spans="9:10">
      <c r="I1706" s="68"/>
      <c r="J1706" s="68"/>
    </row>
    <row r="1707" spans="9:10">
      <c r="I1707" s="68"/>
      <c r="J1707" s="68"/>
    </row>
    <row r="1708" spans="9:10">
      <c r="I1708" s="68"/>
      <c r="J1708" s="68"/>
    </row>
    <row r="1709" spans="9:10">
      <c r="I1709" s="68"/>
      <c r="J1709" s="68"/>
    </row>
    <row r="1710" spans="9:10">
      <c r="I1710" s="68"/>
      <c r="J1710" s="68"/>
    </row>
    <row r="1711" spans="9:10">
      <c r="I1711" s="68"/>
      <c r="J1711" s="68"/>
    </row>
    <row r="1712" spans="9:10">
      <c r="I1712" s="68"/>
      <c r="J1712" s="68"/>
    </row>
    <row r="1713" spans="9:10">
      <c r="I1713" s="68"/>
      <c r="J1713" s="68"/>
    </row>
    <row r="1714" spans="9:10">
      <c r="I1714" s="68"/>
      <c r="J1714" s="68"/>
    </row>
    <row r="1715" spans="9:10">
      <c r="I1715" s="68"/>
      <c r="J1715" s="68"/>
    </row>
    <row r="1716" spans="9:10">
      <c r="I1716" s="68"/>
      <c r="J1716" s="68"/>
    </row>
    <row r="1717" spans="9:10">
      <c r="I1717" s="68"/>
      <c r="J1717" s="68"/>
    </row>
    <row r="1718" spans="9:10">
      <c r="I1718" s="68"/>
      <c r="J1718" s="68"/>
    </row>
    <row r="1719" spans="9:10">
      <c r="I1719" s="68"/>
      <c r="J1719" s="68"/>
    </row>
    <row r="1720" spans="9:10">
      <c r="I1720" s="68"/>
      <c r="J1720" s="68"/>
    </row>
    <row r="1721" spans="9:10">
      <c r="I1721" s="68"/>
      <c r="J1721" s="68"/>
    </row>
    <row r="1722" spans="9:10">
      <c r="I1722" s="68"/>
      <c r="J1722" s="68"/>
    </row>
    <row r="1723" spans="9:10">
      <c r="I1723" s="68"/>
      <c r="J1723" s="68"/>
    </row>
    <row r="1724" spans="9:10">
      <c r="I1724" s="68"/>
      <c r="J1724" s="68"/>
    </row>
    <row r="1725" spans="9:10">
      <c r="I1725" s="68"/>
      <c r="J1725" s="68"/>
    </row>
    <row r="1726" spans="9:10">
      <c r="I1726" s="68"/>
      <c r="J1726" s="68"/>
    </row>
    <row r="1727" spans="9:10">
      <c r="I1727" s="68"/>
      <c r="J1727" s="68"/>
    </row>
    <row r="1728" spans="9:10">
      <c r="I1728" s="68"/>
      <c r="J1728" s="68"/>
    </row>
    <row r="1729" spans="9:10">
      <c r="I1729" s="68"/>
      <c r="J1729" s="68"/>
    </row>
    <row r="1730" spans="9:10">
      <c r="I1730" s="68"/>
      <c r="J1730" s="68"/>
    </row>
    <row r="1731" spans="9:10">
      <c r="I1731" s="68"/>
      <c r="J1731" s="68"/>
    </row>
    <row r="1732" spans="9:10">
      <c r="I1732" s="68"/>
      <c r="J1732" s="68"/>
    </row>
    <row r="1733" spans="9:10">
      <c r="I1733" s="68"/>
      <c r="J1733" s="68"/>
    </row>
    <row r="1734" spans="9:10">
      <c r="I1734" s="68"/>
      <c r="J1734" s="68"/>
    </row>
    <row r="1735" spans="9:10">
      <c r="I1735" s="68"/>
      <c r="J1735" s="68"/>
    </row>
    <row r="1736" spans="9:10">
      <c r="I1736" s="68"/>
      <c r="J1736" s="68"/>
    </row>
    <row r="1737" spans="9:10">
      <c r="I1737" s="68"/>
      <c r="J1737" s="68"/>
    </row>
    <row r="1738" spans="9:10">
      <c r="I1738" s="68"/>
      <c r="J1738" s="68"/>
    </row>
    <row r="1739" spans="9:10">
      <c r="I1739" s="68"/>
      <c r="J1739" s="68"/>
    </row>
    <row r="1740" spans="9:10">
      <c r="I1740" s="68"/>
      <c r="J1740" s="68"/>
    </row>
    <row r="1741" spans="9:10">
      <c r="I1741" s="68"/>
      <c r="J1741" s="68"/>
    </row>
    <row r="1742" spans="9:10">
      <c r="I1742" s="68"/>
      <c r="J1742" s="68"/>
    </row>
    <row r="1743" spans="9:10">
      <c r="I1743" s="68"/>
      <c r="J1743" s="68"/>
    </row>
    <row r="1744" spans="9:10">
      <c r="I1744" s="68"/>
      <c r="J1744" s="68"/>
    </row>
    <row r="1745" spans="9:10">
      <c r="I1745" s="68"/>
      <c r="J1745" s="68"/>
    </row>
    <row r="1746" spans="9:10">
      <c r="I1746" s="68"/>
      <c r="J1746" s="68"/>
    </row>
    <row r="1747" spans="9:10">
      <c r="I1747" s="68"/>
      <c r="J1747" s="68"/>
    </row>
    <row r="1748" spans="9:10">
      <c r="I1748" s="68"/>
      <c r="J1748" s="68"/>
    </row>
    <row r="1749" spans="9:10">
      <c r="I1749" s="68"/>
      <c r="J1749" s="68"/>
    </row>
    <row r="1750" spans="9:10">
      <c r="I1750" s="68"/>
      <c r="J1750" s="68"/>
    </row>
    <row r="1751" spans="9:10">
      <c r="I1751" s="68"/>
      <c r="J1751" s="68"/>
    </row>
    <row r="1752" spans="9:10">
      <c r="I1752" s="68"/>
      <c r="J1752" s="68"/>
    </row>
    <row r="1753" spans="9:10">
      <c r="I1753" s="68"/>
      <c r="J1753" s="68"/>
    </row>
    <row r="1754" spans="9:10">
      <c r="I1754" s="68"/>
      <c r="J1754" s="68"/>
    </row>
    <row r="1755" spans="9:10">
      <c r="I1755" s="68"/>
      <c r="J1755" s="68"/>
    </row>
    <row r="1756" spans="9:10">
      <c r="I1756" s="68"/>
      <c r="J1756" s="68"/>
    </row>
    <row r="1757" spans="9:10">
      <c r="I1757" s="68"/>
      <c r="J1757" s="68"/>
    </row>
    <row r="1758" spans="9:10">
      <c r="I1758" s="68"/>
      <c r="J1758" s="68"/>
    </row>
    <row r="1759" spans="9:10">
      <c r="I1759" s="68"/>
      <c r="J1759" s="68"/>
    </row>
    <row r="1760" spans="9:10">
      <c r="I1760" s="68"/>
      <c r="J1760" s="68"/>
    </row>
    <row r="1761" spans="9:10">
      <c r="I1761" s="68"/>
      <c r="J1761" s="68"/>
    </row>
    <row r="1762" spans="9:10">
      <c r="I1762" s="68"/>
      <c r="J1762" s="68"/>
    </row>
    <row r="1763" spans="9:10">
      <c r="I1763" s="68"/>
      <c r="J1763" s="68"/>
    </row>
    <row r="1764" spans="9:10">
      <c r="I1764" s="68"/>
      <c r="J1764" s="68"/>
    </row>
    <row r="1765" spans="9:10">
      <c r="I1765" s="68"/>
      <c r="J1765" s="68"/>
    </row>
    <row r="1766" spans="9:10">
      <c r="I1766" s="68"/>
      <c r="J1766" s="68"/>
    </row>
    <row r="1767" spans="9:10">
      <c r="I1767" s="68"/>
      <c r="J1767" s="68"/>
    </row>
    <row r="1768" spans="9:10">
      <c r="I1768" s="68"/>
      <c r="J1768" s="68"/>
    </row>
    <row r="1769" spans="9:10">
      <c r="I1769" s="68"/>
      <c r="J1769" s="68"/>
    </row>
    <row r="1770" spans="9:10">
      <c r="I1770" s="68"/>
      <c r="J1770" s="68"/>
    </row>
    <row r="1771" spans="9:10">
      <c r="I1771" s="68"/>
      <c r="J1771" s="68"/>
    </row>
    <row r="1772" spans="9:10">
      <c r="I1772" s="68"/>
      <c r="J1772" s="68"/>
    </row>
    <row r="1773" spans="9:10">
      <c r="I1773" s="68"/>
      <c r="J1773" s="68"/>
    </row>
    <row r="1774" spans="9:10">
      <c r="I1774" s="68"/>
      <c r="J1774" s="68"/>
    </row>
    <row r="1775" spans="9:10">
      <c r="I1775" s="68"/>
      <c r="J1775" s="68"/>
    </row>
    <row r="1776" spans="9:10">
      <c r="I1776" s="68"/>
      <c r="J1776" s="68"/>
    </row>
    <row r="1777" spans="9:10">
      <c r="I1777" s="68"/>
      <c r="J1777" s="68"/>
    </row>
    <row r="1778" spans="9:10">
      <c r="I1778" s="68"/>
      <c r="J1778" s="68"/>
    </row>
    <row r="1779" spans="9:10">
      <c r="I1779" s="68"/>
      <c r="J1779" s="68"/>
    </row>
    <row r="1780" spans="9:10">
      <c r="I1780" s="68"/>
      <c r="J1780" s="68"/>
    </row>
    <row r="1781" spans="9:10">
      <c r="I1781" s="68"/>
      <c r="J1781" s="68"/>
    </row>
    <row r="1782" spans="9:10">
      <c r="I1782" s="68"/>
      <c r="J1782" s="68"/>
    </row>
    <row r="1783" spans="9:10">
      <c r="I1783" s="68"/>
      <c r="J1783" s="68"/>
    </row>
    <row r="1784" spans="9:10">
      <c r="I1784" s="68"/>
      <c r="J1784" s="68"/>
    </row>
    <row r="1785" spans="9:10">
      <c r="I1785" s="68"/>
      <c r="J1785" s="68"/>
    </row>
    <row r="1786" spans="9:10">
      <c r="I1786" s="68"/>
      <c r="J1786" s="68"/>
    </row>
    <row r="1787" spans="9:10">
      <c r="I1787" s="68"/>
      <c r="J1787" s="68"/>
    </row>
    <row r="1788" spans="9:10">
      <c r="I1788" s="68"/>
      <c r="J1788" s="68"/>
    </row>
    <row r="1789" spans="9:10">
      <c r="I1789" s="68"/>
      <c r="J1789" s="68"/>
    </row>
    <row r="1790" spans="9:10">
      <c r="I1790" s="68"/>
      <c r="J1790" s="68"/>
    </row>
    <row r="1791" spans="9:10">
      <c r="I1791" s="68"/>
      <c r="J1791" s="68"/>
    </row>
    <row r="1792" spans="9:10">
      <c r="I1792" s="68"/>
      <c r="J1792" s="68"/>
    </row>
    <row r="1793" spans="9:10">
      <c r="I1793" s="68"/>
      <c r="J1793" s="68"/>
    </row>
    <row r="1794" spans="9:10">
      <c r="I1794" s="68"/>
      <c r="J1794" s="68"/>
    </row>
    <row r="1795" spans="9:10">
      <c r="I1795" s="68"/>
      <c r="J1795" s="68"/>
    </row>
    <row r="1796" spans="9:10">
      <c r="I1796" s="68"/>
      <c r="J1796" s="68"/>
    </row>
    <row r="1797" spans="9:10">
      <c r="I1797" s="68"/>
      <c r="J1797" s="68"/>
    </row>
    <row r="1798" spans="9:10">
      <c r="I1798" s="68"/>
      <c r="J1798" s="68"/>
    </row>
    <row r="1799" spans="9:10">
      <c r="I1799" s="68"/>
      <c r="J1799" s="68"/>
    </row>
    <row r="1800" spans="9:10">
      <c r="I1800" s="68"/>
      <c r="J1800" s="68"/>
    </row>
    <row r="1801" spans="9:10">
      <c r="I1801" s="68"/>
      <c r="J1801" s="68"/>
    </row>
    <row r="1802" spans="9:10">
      <c r="I1802" s="68"/>
      <c r="J1802" s="68"/>
    </row>
    <row r="1803" spans="9:10">
      <c r="I1803" s="68"/>
      <c r="J1803" s="68"/>
    </row>
    <row r="1804" spans="9:10">
      <c r="I1804" s="68"/>
      <c r="J1804" s="68"/>
    </row>
    <row r="1805" spans="9:10">
      <c r="I1805" s="68"/>
      <c r="J1805" s="68"/>
    </row>
    <row r="1806" spans="9:10">
      <c r="I1806" s="68"/>
      <c r="J1806" s="68"/>
    </row>
    <row r="1807" spans="9:10">
      <c r="I1807" s="68"/>
      <c r="J1807" s="68"/>
    </row>
    <row r="1808" spans="9:10">
      <c r="I1808" s="68"/>
      <c r="J1808" s="68"/>
    </row>
    <row r="1809" spans="9:10">
      <c r="I1809" s="68"/>
      <c r="J1809" s="68"/>
    </row>
    <row r="1810" spans="9:10">
      <c r="I1810" s="68"/>
      <c r="J1810" s="68"/>
    </row>
    <row r="1811" spans="9:10">
      <c r="I1811" s="68"/>
      <c r="J1811" s="68"/>
    </row>
    <row r="1812" spans="9:10">
      <c r="I1812" s="68"/>
      <c r="J1812" s="68"/>
    </row>
    <row r="1813" spans="9:10">
      <c r="I1813" s="68"/>
      <c r="J1813" s="68"/>
    </row>
    <row r="1814" spans="9:10">
      <c r="I1814" s="68"/>
      <c r="J1814" s="68"/>
    </row>
    <row r="1815" spans="9:10">
      <c r="I1815" s="68"/>
      <c r="J1815" s="68"/>
    </row>
    <row r="1816" spans="9:10">
      <c r="I1816" s="68"/>
      <c r="J1816" s="68"/>
    </row>
    <row r="1817" spans="9:10">
      <c r="I1817" s="68"/>
      <c r="J1817" s="68"/>
    </row>
    <row r="1818" spans="9:10">
      <c r="I1818" s="68"/>
      <c r="J1818" s="68"/>
    </row>
    <row r="1819" spans="9:10">
      <c r="I1819" s="68"/>
      <c r="J1819" s="68"/>
    </row>
    <row r="1820" spans="9:10">
      <c r="I1820" s="68"/>
      <c r="J1820" s="68"/>
    </row>
    <row r="1821" spans="9:10">
      <c r="I1821" s="68"/>
      <c r="J1821" s="68"/>
    </row>
    <row r="1822" spans="9:10">
      <c r="I1822" s="68"/>
      <c r="J1822" s="68"/>
    </row>
    <row r="1823" spans="9:10">
      <c r="I1823" s="68"/>
      <c r="J1823" s="68"/>
    </row>
    <row r="1824" spans="9:10">
      <c r="I1824" s="68"/>
      <c r="J1824" s="68"/>
    </row>
    <row r="1825" spans="9:10">
      <c r="I1825" s="68"/>
      <c r="J1825" s="68"/>
    </row>
    <row r="1826" spans="9:10">
      <c r="I1826" s="68"/>
      <c r="J1826" s="68"/>
    </row>
    <row r="1827" spans="9:10">
      <c r="I1827" s="68"/>
      <c r="J1827" s="68"/>
    </row>
    <row r="1828" spans="9:10">
      <c r="I1828" s="68"/>
      <c r="J1828" s="68"/>
    </row>
    <row r="1829" spans="9:10">
      <c r="I1829" s="68"/>
      <c r="J1829" s="68"/>
    </row>
    <row r="1830" spans="9:10">
      <c r="I1830" s="68"/>
      <c r="J1830" s="68"/>
    </row>
    <row r="1831" spans="9:10">
      <c r="I1831" s="68"/>
      <c r="J1831" s="68"/>
    </row>
    <row r="1832" spans="9:10">
      <c r="I1832" s="68"/>
      <c r="J1832" s="68"/>
    </row>
    <row r="1833" spans="9:10">
      <c r="I1833" s="68"/>
      <c r="J1833" s="68"/>
    </row>
    <row r="1834" spans="9:10">
      <c r="I1834" s="68"/>
      <c r="J1834" s="68"/>
    </row>
    <row r="1835" spans="9:10">
      <c r="I1835" s="68"/>
      <c r="J1835" s="68"/>
    </row>
    <row r="1836" spans="9:10">
      <c r="I1836" s="68"/>
      <c r="J1836" s="68"/>
    </row>
    <row r="1837" spans="9:10">
      <c r="I1837" s="68"/>
      <c r="J1837" s="68"/>
    </row>
    <row r="1838" spans="9:10">
      <c r="I1838" s="68"/>
      <c r="J1838" s="68"/>
    </row>
    <row r="1839" spans="9:10">
      <c r="I1839" s="68"/>
      <c r="J1839" s="68"/>
    </row>
    <row r="1840" spans="9:10">
      <c r="I1840" s="68"/>
      <c r="J1840" s="68"/>
    </row>
    <row r="1841" spans="9:10">
      <c r="I1841" s="68"/>
      <c r="J1841" s="68"/>
    </row>
    <row r="1842" spans="9:10">
      <c r="I1842" s="68"/>
      <c r="J1842" s="68"/>
    </row>
    <row r="1843" spans="9:10">
      <c r="I1843" s="68"/>
      <c r="J1843" s="68"/>
    </row>
    <row r="1844" spans="9:10">
      <c r="I1844" s="68"/>
      <c r="J1844" s="68"/>
    </row>
    <row r="1845" spans="9:10">
      <c r="I1845" s="68"/>
      <c r="J1845" s="68"/>
    </row>
    <row r="1846" spans="9:10">
      <c r="I1846" s="68"/>
      <c r="J1846" s="68"/>
    </row>
    <row r="1847" spans="9:10">
      <c r="I1847" s="68"/>
      <c r="J1847" s="68"/>
    </row>
    <row r="1848" spans="9:10">
      <c r="I1848" s="68"/>
      <c r="J1848" s="68"/>
    </row>
    <row r="1849" spans="9:10">
      <c r="I1849" s="68"/>
      <c r="J1849" s="68"/>
    </row>
    <row r="1850" spans="9:10">
      <c r="I1850" s="68"/>
      <c r="J1850" s="68"/>
    </row>
    <row r="1851" spans="9:10">
      <c r="I1851" s="68"/>
      <c r="J1851" s="68"/>
    </row>
    <row r="1852" spans="9:10">
      <c r="I1852" s="68"/>
      <c r="J1852" s="68"/>
    </row>
    <row r="1853" spans="9:10">
      <c r="I1853" s="68"/>
      <c r="J1853" s="68"/>
    </row>
    <row r="1854" spans="9:10">
      <c r="I1854" s="68"/>
      <c r="J1854" s="68"/>
    </row>
    <row r="1855" spans="9:10">
      <c r="I1855" s="68"/>
      <c r="J1855" s="68"/>
    </row>
    <row r="1856" spans="9:10">
      <c r="I1856" s="68"/>
      <c r="J1856" s="68"/>
    </row>
    <row r="1857" spans="9:10">
      <c r="I1857" s="68"/>
      <c r="J1857" s="68"/>
    </row>
    <row r="1858" spans="9:10">
      <c r="I1858" s="68"/>
      <c r="J1858" s="68"/>
    </row>
    <row r="1859" spans="9:10">
      <c r="I1859" s="68"/>
      <c r="J1859" s="68"/>
    </row>
    <row r="1860" spans="9:10">
      <c r="I1860" s="68"/>
      <c r="J1860" s="68"/>
    </row>
    <row r="1861" spans="9:10">
      <c r="I1861" s="68"/>
      <c r="J1861" s="68"/>
    </row>
    <row r="1862" spans="9:10">
      <c r="I1862" s="68"/>
      <c r="J1862" s="68"/>
    </row>
    <row r="1863" spans="9:10">
      <c r="I1863" s="68"/>
      <c r="J1863" s="68"/>
    </row>
    <row r="1864" spans="9:10">
      <c r="I1864" s="68"/>
      <c r="J1864" s="68"/>
    </row>
    <row r="1865" spans="9:10">
      <c r="I1865" s="68"/>
      <c r="J1865" s="68"/>
    </row>
    <row r="1866" spans="9:10">
      <c r="I1866" s="68"/>
      <c r="J1866" s="68"/>
    </row>
    <row r="1867" spans="9:10">
      <c r="I1867" s="68"/>
      <c r="J1867" s="68"/>
    </row>
    <row r="1868" spans="9:10">
      <c r="I1868" s="68"/>
      <c r="J1868" s="68"/>
    </row>
    <row r="1869" spans="9:10">
      <c r="I1869" s="68"/>
      <c r="J1869" s="68"/>
    </row>
    <row r="1870" spans="9:10">
      <c r="I1870" s="68"/>
      <c r="J1870" s="68"/>
    </row>
    <row r="1871" spans="9:10">
      <c r="I1871" s="68"/>
      <c r="J1871" s="68"/>
    </row>
    <row r="1872" spans="9:10">
      <c r="I1872" s="68"/>
      <c r="J1872" s="68"/>
    </row>
    <row r="1873" spans="9:10">
      <c r="I1873" s="68"/>
      <c r="J1873" s="68"/>
    </row>
    <row r="1874" spans="9:10">
      <c r="I1874" s="68"/>
      <c r="J1874" s="68"/>
    </row>
    <row r="1875" spans="9:10">
      <c r="I1875" s="68"/>
      <c r="J1875" s="68"/>
    </row>
    <row r="1876" spans="9:10">
      <c r="I1876" s="68"/>
      <c r="J1876" s="68"/>
    </row>
    <row r="1877" spans="9:10">
      <c r="I1877" s="68"/>
      <c r="J1877" s="68"/>
    </row>
    <row r="1878" spans="9:10">
      <c r="I1878" s="68"/>
      <c r="J1878" s="68"/>
    </row>
    <row r="1879" spans="9:10">
      <c r="I1879" s="68"/>
      <c r="J1879" s="68"/>
    </row>
    <row r="1880" spans="9:10">
      <c r="I1880" s="68"/>
      <c r="J1880" s="68"/>
    </row>
    <row r="1881" spans="9:10">
      <c r="I1881" s="68"/>
      <c r="J1881" s="68"/>
    </row>
    <row r="1882" spans="9:10">
      <c r="I1882" s="68"/>
      <c r="J1882" s="68"/>
    </row>
    <row r="1883" spans="9:10">
      <c r="I1883" s="68"/>
      <c r="J1883" s="68"/>
    </row>
    <row r="1884" spans="9:10">
      <c r="I1884" s="68"/>
      <c r="J1884" s="68"/>
    </row>
    <row r="1885" spans="9:10">
      <c r="I1885" s="68"/>
      <c r="J1885" s="68"/>
    </row>
    <row r="1886" spans="9:10">
      <c r="I1886" s="68"/>
      <c r="J1886" s="68"/>
    </row>
    <row r="1887" spans="9:10">
      <c r="I1887" s="68"/>
      <c r="J1887" s="68"/>
    </row>
    <row r="1888" spans="9:10">
      <c r="I1888" s="68"/>
      <c r="J1888" s="68"/>
    </row>
    <row r="1889" spans="9:10">
      <c r="I1889" s="68"/>
      <c r="J1889" s="68"/>
    </row>
    <row r="1890" spans="9:10">
      <c r="I1890" s="68"/>
      <c r="J1890" s="68"/>
    </row>
    <row r="1891" spans="9:10">
      <c r="I1891" s="68"/>
      <c r="J1891" s="68"/>
    </row>
    <row r="1892" spans="9:10">
      <c r="I1892" s="68"/>
      <c r="J1892" s="68"/>
    </row>
    <row r="1893" spans="9:10">
      <c r="I1893" s="68"/>
      <c r="J1893" s="68"/>
    </row>
    <row r="1894" spans="9:10">
      <c r="I1894" s="68"/>
      <c r="J1894" s="68"/>
    </row>
    <row r="1895" spans="9:10">
      <c r="I1895" s="68"/>
      <c r="J1895" s="68"/>
    </row>
    <row r="1896" spans="9:10">
      <c r="I1896" s="68"/>
      <c r="J1896" s="68"/>
    </row>
    <row r="1897" spans="9:10">
      <c r="I1897" s="68"/>
      <c r="J1897" s="68"/>
    </row>
    <row r="1898" spans="9:10">
      <c r="I1898" s="68"/>
      <c r="J1898" s="68"/>
    </row>
    <row r="1899" spans="9:10">
      <c r="I1899" s="68"/>
      <c r="J1899" s="68"/>
    </row>
    <row r="1900" spans="9:10">
      <c r="I1900" s="68"/>
      <c r="J1900" s="68"/>
    </row>
    <row r="1901" spans="9:10">
      <c r="I1901" s="68"/>
      <c r="J1901" s="68"/>
    </row>
    <row r="1902" spans="9:10">
      <c r="I1902" s="68"/>
      <c r="J1902" s="68"/>
    </row>
    <row r="1903" spans="9:10">
      <c r="I1903" s="68"/>
      <c r="J1903" s="68"/>
    </row>
    <row r="1904" spans="9:10">
      <c r="I1904" s="68"/>
      <c r="J1904" s="68"/>
    </row>
    <row r="1905" spans="9:10">
      <c r="I1905" s="68"/>
      <c r="J1905" s="68"/>
    </row>
    <row r="1906" spans="9:10">
      <c r="I1906" s="68"/>
      <c r="J1906" s="68"/>
    </row>
    <row r="1907" spans="9:10">
      <c r="I1907" s="68"/>
      <c r="J1907" s="68"/>
    </row>
    <row r="1908" spans="9:10">
      <c r="I1908" s="68"/>
      <c r="J1908" s="68"/>
    </row>
    <row r="1909" spans="9:10">
      <c r="I1909" s="68"/>
      <c r="J1909" s="68"/>
    </row>
    <row r="1910" spans="9:10">
      <c r="I1910" s="68"/>
      <c r="J1910" s="68"/>
    </row>
    <row r="1911" spans="9:10">
      <c r="I1911" s="68"/>
      <c r="J1911" s="68"/>
    </row>
    <row r="1912" spans="9:10">
      <c r="I1912" s="68"/>
      <c r="J1912" s="68"/>
    </row>
    <row r="1913" spans="9:10">
      <c r="I1913" s="68"/>
      <c r="J1913" s="68"/>
    </row>
    <row r="1914" spans="9:10">
      <c r="I1914" s="68"/>
      <c r="J1914" s="68"/>
    </row>
    <row r="1915" spans="9:10">
      <c r="I1915" s="68"/>
      <c r="J1915" s="68"/>
    </row>
    <row r="1916" spans="9:10">
      <c r="I1916" s="68"/>
      <c r="J1916" s="68"/>
    </row>
    <row r="1917" spans="9:10">
      <c r="I1917" s="68"/>
      <c r="J1917" s="68"/>
    </row>
    <row r="1918" spans="9:10">
      <c r="I1918" s="68"/>
      <c r="J1918" s="68"/>
    </row>
    <row r="1919" spans="9:10">
      <c r="I1919" s="68"/>
      <c r="J1919" s="68"/>
    </row>
    <row r="1920" spans="9:10">
      <c r="I1920" s="68"/>
      <c r="J1920" s="68"/>
    </row>
    <row r="1921" spans="9:10">
      <c r="I1921" s="68"/>
      <c r="J1921" s="68"/>
    </row>
    <row r="1922" spans="9:10">
      <c r="I1922" s="68"/>
      <c r="J1922" s="68"/>
    </row>
    <row r="1923" spans="9:10">
      <c r="I1923" s="68"/>
      <c r="J1923" s="68"/>
    </row>
    <row r="1924" spans="9:10">
      <c r="I1924" s="68"/>
      <c r="J1924" s="68"/>
    </row>
    <row r="1925" spans="9:10">
      <c r="I1925" s="68"/>
      <c r="J1925" s="68"/>
    </row>
    <row r="1926" spans="9:10">
      <c r="I1926" s="68"/>
      <c r="J1926" s="68"/>
    </row>
    <row r="1927" spans="9:10">
      <c r="I1927" s="68"/>
      <c r="J1927" s="68"/>
    </row>
    <row r="1928" spans="9:10">
      <c r="I1928" s="68"/>
      <c r="J1928" s="68"/>
    </row>
    <row r="1929" spans="9:10">
      <c r="I1929" s="68"/>
      <c r="J1929" s="68"/>
    </row>
    <row r="1930" spans="9:10">
      <c r="I1930" s="68"/>
      <c r="J1930" s="68"/>
    </row>
    <row r="1931" spans="9:10">
      <c r="I1931" s="68"/>
      <c r="J1931" s="68"/>
    </row>
    <row r="1932" spans="9:10">
      <c r="I1932" s="68"/>
      <c r="J1932" s="68"/>
    </row>
    <row r="1933" spans="9:10">
      <c r="I1933" s="68"/>
      <c r="J1933" s="68"/>
    </row>
    <row r="1934" spans="9:10">
      <c r="I1934" s="68"/>
      <c r="J1934" s="68"/>
    </row>
    <row r="1935" spans="9:10">
      <c r="I1935" s="68"/>
      <c r="J1935" s="68"/>
    </row>
    <row r="1936" spans="9:10">
      <c r="I1936" s="68"/>
      <c r="J1936" s="68"/>
    </row>
    <row r="1937" spans="9:10">
      <c r="I1937" s="68"/>
      <c r="J1937" s="68"/>
    </row>
    <row r="1938" spans="9:10">
      <c r="I1938" s="68"/>
      <c r="J1938" s="68"/>
    </row>
    <row r="1939" spans="9:10">
      <c r="I1939" s="68"/>
      <c r="J1939" s="68"/>
    </row>
    <row r="1940" spans="9:10">
      <c r="I1940" s="68"/>
      <c r="J1940" s="68"/>
    </row>
    <row r="1941" spans="9:10">
      <c r="I1941" s="68"/>
      <c r="J1941" s="68"/>
    </row>
    <row r="1942" spans="9:10">
      <c r="I1942" s="68"/>
      <c r="J1942" s="68"/>
    </row>
    <row r="1943" spans="9:10">
      <c r="I1943" s="68"/>
      <c r="J1943" s="68"/>
    </row>
    <row r="1944" spans="9:10">
      <c r="I1944" s="68"/>
      <c r="J1944" s="68"/>
    </row>
    <row r="1945" spans="9:10">
      <c r="I1945" s="68"/>
      <c r="J1945" s="68"/>
    </row>
    <row r="1946" spans="9:10">
      <c r="I1946" s="68"/>
      <c r="J1946" s="68"/>
    </row>
    <row r="1947" spans="9:10">
      <c r="I1947" s="68"/>
      <c r="J1947" s="68"/>
    </row>
    <row r="1948" spans="9:10">
      <c r="I1948" s="68"/>
      <c r="J1948" s="68"/>
    </row>
    <row r="1949" spans="9:10">
      <c r="I1949" s="68"/>
      <c r="J1949" s="68"/>
    </row>
    <row r="1950" spans="9:10">
      <c r="I1950" s="68"/>
      <c r="J1950" s="68"/>
    </row>
    <row r="1951" spans="9:10">
      <c r="I1951" s="68"/>
      <c r="J1951" s="68"/>
    </row>
    <row r="1952" spans="9:10">
      <c r="I1952" s="68"/>
      <c r="J1952" s="68"/>
    </row>
    <row r="1953" spans="9:10">
      <c r="I1953" s="68"/>
      <c r="J1953" s="68"/>
    </row>
    <row r="1954" spans="9:10">
      <c r="I1954" s="68"/>
      <c r="J1954" s="68"/>
    </row>
    <row r="1955" spans="9:10">
      <c r="I1955" s="68"/>
      <c r="J1955" s="68"/>
    </row>
    <row r="1956" spans="9:10">
      <c r="I1956" s="68"/>
      <c r="J1956" s="68"/>
    </row>
    <row r="1957" spans="9:10">
      <c r="I1957" s="68"/>
      <c r="J1957" s="68"/>
    </row>
    <row r="1958" spans="9:10">
      <c r="I1958" s="68"/>
      <c r="J1958" s="68"/>
    </row>
    <row r="1959" spans="9:10">
      <c r="I1959" s="68"/>
      <c r="J1959" s="68"/>
    </row>
    <row r="1960" spans="9:10">
      <c r="I1960" s="68"/>
      <c r="J1960" s="68"/>
    </row>
    <row r="1961" spans="9:10">
      <c r="I1961" s="68"/>
      <c r="J1961" s="68"/>
    </row>
    <row r="1962" spans="9:10">
      <c r="I1962" s="68"/>
      <c r="J1962" s="68"/>
    </row>
    <row r="1963" spans="9:10">
      <c r="I1963" s="68"/>
      <c r="J1963" s="68"/>
    </row>
    <row r="1964" spans="9:10">
      <c r="I1964" s="68"/>
      <c r="J1964" s="68"/>
    </row>
    <row r="1965" spans="9:10">
      <c r="I1965" s="68"/>
      <c r="J1965" s="68"/>
    </row>
    <row r="1966" spans="9:10">
      <c r="I1966" s="68"/>
      <c r="J1966" s="68"/>
    </row>
    <row r="1967" spans="9:10">
      <c r="I1967" s="68"/>
      <c r="J1967" s="68"/>
    </row>
    <row r="1968" spans="9:10">
      <c r="I1968" s="68"/>
      <c r="J1968" s="68"/>
    </row>
    <row r="1969" spans="9:10">
      <c r="I1969" s="68"/>
      <c r="J1969" s="68"/>
    </row>
    <row r="1970" spans="9:10">
      <c r="I1970" s="68"/>
      <c r="J1970" s="68"/>
    </row>
    <row r="1971" spans="9:10">
      <c r="I1971" s="68"/>
      <c r="J1971" s="68"/>
    </row>
    <row r="1972" spans="9:10">
      <c r="I1972" s="68"/>
      <c r="J1972" s="68"/>
    </row>
    <row r="1973" spans="9:10">
      <c r="I1973" s="68"/>
      <c r="J1973" s="68"/>
    </row>
    <row r="1974" spans="9:10">
      <c r="I1974" s="68"/>
      <c r="J1974" s="68"/>
    </row>
    <row r="1975" spans="9:10">
      <c r="I1975" s="68"/>
      <c r="J1975" s="68"/>
    </row>
    <row r="1976" spans="9:10">
      <c r="I1976" s="68"/>
      <c r="J1976" s="68"/>
    </row>
    <row r="1977" spans="9:10">
      <c r="I1977" s="68"/>
      <c r="J1977" s="68"/>
    </row>
    <row r="1978" spans="9:10">
      <c r="I1978" s="68"/>
      <c r="J1978" s="68"/>
    </row>
    <row r="1979" spans="9:10">
      <c r="I1979" s="68"/>
      <c r="J1979" s="68"/>
    </row>
    <row r="1980" spans="9:10">
      <c r="I1980" s="68"/>
      <c r="J1980" s="68"/>
    </row>
    <row r="1981" spans="9:10">
      <c r="I1981" s="68"/>
      <c r="J1981" s="68"/>
    </row>
    <row r="1982" spans="9:10">
      <c r="I1982" s="68"/>
      <c r="J1982" s="68"/>
    </row>
    <row r="1983" spans="9:10">
      <c r="I1983" s="68"/>
      <c r="J1983" s="68"/>
    </row>
    <row r="1984" spans="9:10">
      <c r="I1984" s="68"/>
      <c r="J1984" s="68"/>
    </row>
    <row r="1985" spans="9:10">
      <c r="I1985" s="68"/>
      <c r="J1985" s="68"/>
    </row>
    <row r="1986" spans="9:10">
      <c r="I1986" s="68"/>
      <c r="J1986" s="68"/>
    </row>
    <row r="1987" spans="9:10">
      <c r="I1987" s="68"/>
      <c r="J1987" s="68"/>
    </row>
    <row r="1988" spans="9:10">
      <c r="I1988" s="68"/>
      <c r="J1988" s="68"/>
    </row>
    <row r="1989" spans="9:10">
      <c r="I1989" s="68"/>
      <c r="J1989" s="68"/>
    </row>
    <row r="1990" spans="9:10">
      <c r="I1990" s="68"/>
      <c r="J1990" s="68"/>
    </row>
    <row r="1991" spans="9:10">
      <c r="I1991" s="68"/>
      <c r="J1991" s="68"/>
    </row>
    <row r="1992" spans="9:10">
      <c r="I1992" s="68"/>
      <c r="J1992" s="68"/>
    </row>
    <row r="1993" spans="9:10">
      <c r="I1993" s="68"/>
      <c r="J1993" s="68"/>
    </row>
    <row r="1994" spans="9:10">
      <c r="I1994" s="68"/>
      <c r="J1994" s="68"/>
    </row>
    <row r="1995" spans="9:10">
      <c r="I1995" s="68"/>
      <c r="J1995" s="68"/>
    </row>
    <row r="1996" spans="9:10">
      <c r="I1996" s="68"/>
      <c r="J1996" s="68"/>
    </row>
    <row r="1997" spans="9:10">
      <c r="I1997" s="68"/>
      <c r="J1997" s="68"/>
    </row>
    <row r="1998" spans="9:10">
      <c r="I1998" s="68"/>
      <c r="J1998" s="68"/>
    </row>
    <row r="1999" spans="9:10">
      <c r="I1999" s="68"/>
      <c r="J1999" s="68"/>
    </row>
    <row r="2000" spans="9:10">
      <c r="I2000" s="68"/>
      <c r="J2000" s="68"/>
    </row>
    <row r="2001" spans="9:10">
      <c r="I2001" s="68"/>
      <c r="J2001" s="68"/>
    </row>
    <row r="2002" spans="9:10">
      <c r="I2002" s="68"/>
      <c r="J2002" s="68"/>
    </row>
    <row r="2003" spans="9:10">
      <c r="I2003" s="68"/>
      <c r="J2003" s="68"/>
    </row>
    <row r="2004" spans="9:10">
      <c r="I2004" s="68"/>
      <c r="J2004" s="68"/>
    </row>
    <row r="2005" spans="9:10">
      <c r="I2005" s="68"/>
      <c r="J2005" s="68"/>
    </row>
    <row r="2006" spans="9:10">
      <c r="I2006" s="68"/>
      <c r="J2006" s="68"/>
    </row>
    <row r="2007" spans="9:10">
      <c r="I2007" s="68"/>
      <c r="J2007" s="68"/>
    </row>
    <row r="2008" spans="9:10">
      <c r="I2008" s="68"/>
      <c r="J2008" s="68"/>
    </row>
    <row r="2009" spans="9:10">
      <c r="I2009" s="68"/>
      <c r="J2009" s="68"/>
    </row>
    <row r="2010" spans="9:10">
      <c r="I2010" s="68"/>
      <c r="J2010" s="68"/>
    </row>
    <row r="2011" spans="9:10">
      <c r="I2011" s="68"/>
      <c r="J2011" s="68"/>
    </row>
    <row r="2012" spans="9:10">
      <c r="I2012" s="68"/>
      <c r="J2012" s="68"/>
    </row>
    <row r="2013" spans="9:10">
      <c r="I2013" s="68"/>
      <c r="J2013" s="68"/>
    </row>
    <row r="2014" spans="9:10">
      <c r="I2014" s="68"/>
      <c r="J2014" s="68"/>
    </row>
    <row r="2015" spans="9:10">
      <c r="I2015" s="68"/>
      <c r="J2015" s="68"/>
    </row>
    <row r="2016" spans="9:10">
      <c r="I2016" s="68"/>
      <c r="J2016" s="68"/>
    </row>
    <row r="2017" spans="9:10">
      <c r="I2017" s="68"/>
      <c r="J2017" s="68"/>
    </row>
    <row r="2018" spans="9:10">
      <c r="I2018" s="68"/>
      <c r="J2018" s="68"/>
    </row>
    <row r="2019" spans="9:10">
      <c r="I2019" s="68"/>
      <c r="J2019" s="68"/>
    </row>
    <row r="2020" spans="9:10">
      <c r="I2020" s="68"/>
      <c r="J2020" s="68"/>
    </row>
    <row r="2021" spans="9:10">
      <c r="I2021" s="68"/>
      <c r="J2021" s="68"/>
    </row>
    <row r="2022" spans="9:10">
      <c r="I2022" s="68"/>
      <c r="J2022" s="68"/>
    </row>
    <row r="2023" spans="9:10">
      <c r="I2023" s="68"/>
      <c r="J2023" s="68"/>
    </row>
    <row r="2024" spans="9:10">
      <c r="I2024" s="68"/>
      <c r="J2024" s="68"/>
    </row>
    <row r="2025" spans="9:10">
      <c r="I2025" s="68"/>
      <c r="J2025" s="68"/>
    </row>
    <row r="2026" spans="9:10">
      <c r="I2026" s="68"/>
      <c r="J2026" s="68"/>
    </row>
    <row r="2027" spans="9:10">
      <c r="I2027" s="68"/>
      <c r="J2027" s="68"/>
    </row>
    <row r="2028" spans="9:10">
      <c r="I2028" s="68"/>
      <c r="J2028" s="68"/>
    </row>
    <row r="2029" spans="9:10">
      <c r="I2029" s="68"/>
      <c r="J2029" s="68"/>
    </row>
    <row r="2030" spans="9:10">
      <c r="I2030" s="68"/>
      <c r="J2030" s="68"/>
    </row>
    <row r="2031" spans="9:10">
      <c r="I2031" s="68"/>
      <c r="J2031" s="68"/>
    </row>
    <row r="2032" spans="9:10">
      <c r="I2032" s="68"/>
      <c r="J2032" s="68"/>
    </row>
    <row r="2033" spans="9:10">
      <c r="I2033" s="68"/>
      <c r="J2033" s="68"/>
    </row>
    <row r="2034" spans="9:10">
      <c r="I2034" s="68"/>
      <c r="J2034" s="68"/>
    </row>
    <row r="2035" spans="9:10">
      <c r="I2035" s="68"/>
      <c r="J2035" s="68"/>
    </row>
    <row r="2036" spans="9:10">
      <c r="I2036" s="68"/>
      <c r="J2036" s="68"/>
    </row>
    <row r="2037" spans="9:10">
      <c r="I2037" s="68"/>
      <c r="J2037" s="68"/>
    </row>
    <row r="2038" spans="9:10">
      <c r="I2038" s="68"/>
      <c r="J2038" s="68"/>
    </row>
    <row r="2039" spans="9:10">
      <c r="I2039" s="68"/>
      <c r="J2039" s="68"/>
    </row>
    <row r="2040" spans="9:10">
      <c r="I2040" s="68"/>
      <c r="J2040" s="68"/>
    </row>
    <row r="2041" spans="9:10">
      <c r="I2041" s="68"/>
      <c r="J2041" s="68"/>
    </row>
    <row r="2042" spans="9:10">
      <c r="I2042" s="68"/>
      <c r="J2042" s="68"/>
    </row>
    <row r="2043" spans="9:10">
      <c r="I2043" s="68"/>
      <c r="J2043" s="68"/>
    </row>
    <row r="2044" spans="9:10">
      <c r="I2044" s="68"/>
      <c r="J2044" s="68"/>
    </row>
    <row r="2045" spans="9:10">
      <c r="I2045" s="68"/>
      <c r="J2045" s="68"/>
    </row>
    <row r="2046" spans="9:10">
      <c r="I2046" s="68"/>
      <c r="J2046" s="68"/>
    </row>
    <row r="2047" spans="9:10">
      <c r="I2047" s="68"/>
      <c r="J2047" s="68"/>
    </row>
    <row r="2048" spans="9:10">
      <c r="I2048" s="68"/>
      <c r="J2048" s="68"/>
    </row>
    <row r="2049" spans="9:10">
      <c r="I2049" s="68"/>
      <c r="J2049" s="68"/>
    </row>
    <row r="2050" spans="9:10">
      <c r="I2050" s="68"/>
      <c r="J2050" s="68"/>
    </row>
    <row r="2051" spans="9:10">
      <c r="I2051" s="68"/>
      <c r="J2051" s="68"/>
    </row>
    <row r="2052" spans="9:10">
      <c r="I2052" s="68"/>
      <c r="J2052" s="68"/>
    </row>
    <row r="2053" spans="9:10">
      <c r="I2053" s="68"/>
      <c r="J2053" s="68"/>
    </row>
    <row r="2054" spans="9:10">
      <c r="I2054" s="68"/>
      <c r="J2054" s="68"/>
    </row>
    <row r="2055" spans="9:10">
      <c r="I2055" s="68"/>
      <c r="J2055" s="68"/>
    </row>
    <row r="2056" spans="9:10">
      <c r="I2056" s="68"/>
      <c r="J2056" s="68"/>
    </row>
    <row r="2057" spans="9:10">
      <c r="I2057" s="68"/>
      <c r="J2057" s="68"/>
    </row>
    <row r="2058" spans="9:10">
      <c r="I2058" s="68"/>
      <c r="J2058" s="68"/>
    </row>
    <row r="2059" spans="9:10">
      <c r="I2059" s="68"/>
      <c r="J2059" s="68"/>
    </row>
    <row r="2060" spans="9:10">
      <c r="I2060" s="68"/>
      <c r="J2060" s="68"/>
    </row>
    <row r="2061" spans="9:10">
      <c r="I2061" s="68"/>
      <c r="J2061" s="68"/>
    </row>
    <row r="2062" spans="9:10">
      <c r="I2062" s="68"/>
      <c r="J2062" s="68"/>
    </row>
    <row r="2063" spans="9:10">
      <c r="I2063" s="68"/>
      <c r="J2063" s="68"/>
    </row>
    <row r="2064" spans="9:10">
      <c r="I2064" s="68"/>
      <c r="J2064" s="68"/>
    </row>
    <row r="2065" spans="9:10">
      <c r="I2065" s="68"/>
      <c r="J2065" s="68"/>
    </row>
    <row r="2066" spans="9:10">
      <c r="I2066" s="68"/>
      <c r="J2066" s="68"/>
    </row>
    <row r="2067" spans="9:10">
      <c r="I2067" s="68"/>
      <c r="J2067" s="68"/>
    </row>
    <row r="2068" spans="9:10">
      <c r="I2068" s="68"/>
      <c r="J2068" s="68"/>
    </row>
    <row r="2069" spans="9:10">
      <c r="I2069" s="68"/>
      <c r="J2069" s="68"/>
    </row>
    <row r="2070" spans="9:10">
      <c r="I2070" s="68"/>
      <c r="J2070" s="68"/>
    </row>
    <row r="2071" spans="9:10">
      <c r="I2071" s="68"/>
      <c r="J2071" s="68"/>
    </row>
    <row r="2072" spans="9:10">
      <c r="I2072" s="68"/>
      <c r="J2072" s="68"/>
    </row>
    <row r="2073" spans="9:10">
      <c r="I2073" s="68"/>
      <c r="J2073" s="68"/>
    </row>
    <row r="2074" spans="9:10">
      <c r="I2074" s="68"/>
      <c r="J2074" s="68"/>
    </row>
    <row r="2075" spans="9:10">
      <c r="I2075" s="68"/>
      <c r="J2075" s="68"/>
    </row>
    <row r="2076" spans="9:10">
      <c r="I2076" s="68"/>
      <c r="J2076" s="68"/>
    </row>
    <row r="2077" spans="9:10">
      <c r="I2077" s="68"/>
      <c r="J2077" s="68"/>
    </row>
    <row r="2078" spans="9:10">
      <c r="I2078" s="68"/>
      <c r="J2078" s="68"/>
    </row>
    <row r="2079" spans="9:10">
      <c r="I2079" s="68"/>
      <c r="J2079" s="68"/>
    </row>
    <row r="2080" spans="9:10">
      <c r="I2080" s="68"/>
      <c r="J2080" s="68"/>
    </row>
    <row r="2081" spans="9:10">
      <c r="I2081" s="68"/>
      <c r="J2081" s="68"/>
    </row>
    <row r="2082" spans="9:10">
      <c r="I2082" s="68"/>
      <c r="J2082" s="68"/>
    </row>
    <row r="2083" spans="9:10">
      <c r="I2083" s="68"/>
      <c r="J2083" s="68"/>
    </row>
    <row r="2084" spans="9:10">
      <c r="I2084" s="68"/>
      <c r="J2084" s="68"/>
    </row>
    <row r="2085" spans="9:10">
      <c r="I2085" s="68"/>
      <c r="J2085" s="68"/>
    </row>
    <row r="2086" spans="9:10">
      <c r="I2086" s="68"/>
      <c r="J2086" s="68"/>
    </row>
    <row r="2087" spans="9:10">
      <c r="I2087" s="68"/>
      <c r="J2087" s="68"/>
    </row>
    <row r="2088" spans="9:10">
      <c r="I2088" s="68"/>
      <c r="J2088" s="68"/>
    </row>
    <row r="2089" spans="9:10">
      <c r="I2089" s="68"/>
      <c r="J2089" s="68"/>
    </row>
    <row r="2090" spans="9:10">
      <c r="I2090" s="68"/>
      <c r="J2090" s="68"/>
    </row>
    <row r="2091" spans="9:10">
      <c r="I2091" s="68"/>
      <c r="J2091" s="68"/>
    </row>
    <row r="2092" spans="9:10">
      <c r="I2092" s="68"/>
      <c r="J2092" s="68"/>
    </row>
    <row r="2093" spans="9:10">
      <c r="I2093" s="68"/>
      <c r="J2093" s="68"/>
    </row>
    <row r="2094" spans="9:10">
      <c r="I2094" s="68"/>
      <c r="J2094" s="68"/>
    </row>
    <row r="2095" spans="9:10">
      <c r="I2095" s="68"/>
      <c r="J2095" s="68"/>
    </row>
    <row r="2096" spans="9:10">
      <c r="I2096" s="68"/>
      <c r="J2096" s="68"/>
    </row>
    <row r="2097" spans="9:10">
      <c r="I2097" s="68"/>
      <c r="J2097" s="68"/>
    </row>
    <row r="2098" spans="9:10">
      <c r="I2098" s="68"/>
      <c r="J2098" s="68"/>
    </row>
    <row r="2099" spans="9:10">
      <c r="I2099" s="68"/>
      <c r="J2099" s="68"/>
    </row>
    <row r="2100" spans="9:10">
      <c r="I2100" s="68"/>
      <c r="J2100" s="68"/>
    </row>
    <row r="2101" spans="9:10">
      <c r="I2101" s="68"/>
      <c r="J2101" s="68"/>
    </row>
    <row r="2102" spans="9:10">
      <c r="I2102" s="68"/>
      <c r="J2102" s="68"/>
    </row>
    <row r="2103" spans="9:10">
      <c r="I2103" s="68"/>
      <c r="J2103" s="68"/>
    </row>
    <row r="2104" spans="9:10">
      <c r="I2104" s="68"/>
      <c r="J2104" s="68"/>
    </row>
    <row r="2105" spans="9:10">
      <c r="I2105" s="68"/>
      <c r="J2105" s="68"/>
    </row>
    <row r="2106" spans="9:10">
      <c r="I2106" s="68"/>
      <c r="J2106" s="68"/>
    </row>
    <row r="2107" spans="9:10">
      <c r="I2107" s="68"/>
      <c r="J2107" s="68"/>
    </row>
    <row r="2108" spans="9:10">
      <c r="I2108" s="68"/>
      <c r="J2108" s="68"/>
    </row>
    <row r="2109" spans="9:10">
      <c r="I2109" s="68"/>
      <c r="J2109" s="68"/>
    </row>
    <row r="2110" spans="9:10">
      <c r="I2110" s="68"/>
      <c r="J2110" s="68"/>
    </row>
    <row r="2111" spans="9:10">
      <c r="I2111" s="68"/>
      <c r="J2111" s="68"/>
    </row>
    <row r="2112" spans="9:10">
      <c r="I2112" s="68"/>
      <c r="J2112" s="68"/>
    </row>
    <row r="2113" spans="9:10">
      <c r="I2113" s="68"/>
      <c r="J2113" s="68"/>
    </row>
    <row r="2114" spans="9:10">
      <c r="I2114" s="68"/>
      <c r="J2114" s="68"/>
    </row>
    <row r="2115" spans="9:10">
      <c r="I2115" s="68"/>
      <c r="J2115" s="68"/>
    </row>
    <row r="2116" spans="9:10">
      <c r="I2116" s="68"/>
      <c r="J2116" s="68"/>
    </row>
    <row r="2117" spans="9:10">
      <c r="I2117" s="68"/>
      <c r="J2117" s="68"/>
    </row>
    <row r="2118" spans="9:10">
      <c r="I2118" s="68"/>
      <c r="J2118" s="68"/>
    </row>
    <row r="2119" spans="9:10">
      <c r="I2119" s="68"/>
      <c r="J2119" s="68"/>
    </row>
    <row r="2120" spans="9:10">
      <c r="I2120" s="68"/>
      <c r="J2120" s="68"/>
    </row>
    <row r="2121" spans="9:10">
      <c r="I2121" s="68"/>
      <c r="J2121" s="68"/>
    </row>
    <row r="2122" spans="9:10">
      <c r="I2122" s="68"/>
      <c r="J2122" s="68"/>
    </row>
    <row r="2123" spans="9:10">
      <c r="I2123" s="68"/>
      <c r="J2123" s="68"/>
    </row>
    <row r="2124" spans="9:10">
      <c r="I2124" s="68"/>
      <c r="J2124" s="68"/>
    </row>
    <row r="2125" spans="9:10">
      <c r="I2125" s="68"/>
      <c r="J2125" s="68"/>
    </row>
    <row r="2126" spans="9:10">
      <c r="I2126" s="68"/>
      <c r="J2126" s="68"/>
    </row>
    <row r="2127" spans="9:10">
      <c r="I2127" s="68"/>
      <c r="J2127" s="68"/>
    </row>
    <row r="2128" spans="9:10">
      <c r="I2128" s="68"/>
      <c r="J2128" s="68"/>
    </row>
    <row r="2129" spans="9:10">
      <c r="I2129" s="68"/>
      <c r="J2129" s="68"/>
    </row>
    <row r="2130" spans="9:10">
      <c r="I2130" s="68"/>
      <c r="J2130" s="68"/>
    </row>
    <row r="2131" spans="9:10">
      <c r="I2131" s="68"/>
      <c r="J2131" s="68"/>
    </row>
    <row r="2132" spans="9:10">
      <c r="I2132" s="68"/>
      <c r="J2132" s="68"/>
    </row>
    <row r="2133" spans="9:10">
      <c r="I2133" s="68"/>
      <c r="J2133" s="68"/>
    </row>
    <row r="2134" spans="9:10">
      <c r="I2134" s="68"/>
      <c r="J2134" s="68"/>
    </row>
    <row r="2135" spans="9:10">
      <c r="I2135" s="68"/>
      <c r="J2135" s="68"/>
    </row>
    <row r="2136" spans="9:10">
      <c r="I2136" s="68"/>
      <c r="J2136" s="68"/>
    </row>
    <row r="2137" spans="9:10">
      <c r="I2137" s="68"/>
      <c r="J2137" s="68"/>
    </row>
    <row r="2138" spans="9:10">
      <c r="I2138" s="68"/>
      <c r="J2138" s="68"/>
    </row>
    <row r="2139" spans="9:10">
      <c r="I2139" s="68"/>
      <c r="J2139" s="68"/>
    </row>
    <row r="2140" spans="9:10">
      <c r="I2140" s="68"/>
      <c r="J2140" s="68"/>
    </row>
    <row r="2141" spans="9:10">
      <c r="I2141" s="68"/>
      <c r="J2141" s="68"/>
    </row>
    <row r="2142" spans="9:10">
      <c r="I2142" s="68"/>
      <c r="J2142" s="68"/>
    </row>
    <row r="2143" spans="9:10">
      <c r="I2143" s="68"/>
      <c r="J2143" s="68"/>
    </row>
    <row r="2144" spans="9:10">
      <c r="I2144" s="68"/>
      <c r="J2144" s="68"/>
    </row>
    <row r="2145" spans="9:10">
      <c r="I2145" s="68"/>
      <c r="J2145" s="68"/>
    </row>
    <row r="2146" spans="9:10">
      <c r="I2146" s="68"/>
      <c r="J2146" s="68"/>
    </row>
    <row r="2147" spans="9:10">
      <c r="I2147" s="68"/>
      <c r="J2147" s="68"/>
    </row>
    <row r="2148" spans="9:10">
      <c r="I2148" s="68"/>
      <c r="J2148" s="68"/>
    </row>
    <row r="2149" spans="9:10">
      <c r="I2149" s="68"/>
      <c r="J2149" s="68"/>
    </row>
    <row r="2150" spans="9:10">
      <c r="I2150" s="68"/>
      <c r="J2150" s="68"/>
    </row>
    <row r="2151" spans="9:10">
      <c r="I2151" s="68"/>
      <c r="J2151" s="68"/>
    </row>
    <row r="2152" spans="9:10">
      <c r="I2152" s="68"/>
      <c r="J2152" s="68"/>
    </row>
    <row r="2153" spans="9:10">
      <c r="I2153" s="68"/>
      <c r="J2153" s="68"/>
    </row>
    <row r="2154" spans="9:10">
      <c r="I2154" s="68"/>
      <c r="J2154" s="68"/>
    </row>
    <row r="2155" spans="9:10">
      <c r="I2155" s="68"/>
      <c r="J2155" s="68"/>
    </row>
    <row r="2156" spans="9:10">
      <c r="I2156" s="68"/>
      <c r="J2156" s="68"/>
    </row>
    <row r="2157" spans="9:10">
      <c r="I2157" s="68"/>
      <c r="J2157" s="68"/>
    </row>
    <row r="2158" spans="9:10">
      <c r="I2158" s="68"/>
      <c r="J2158" s="68"/>
    </row>
    <row r="2159" spans="9:10">
      <c r="I2159" s="68"/>
      <c r="J2159" s="68"/>
    </row>
    <row r="2160" spans="9:10">
      <c r="I2160" s="68"/>
      <c r="J2160" s="68"/>
    </row>
    <row r="2161" spans="9:10">
      <c r="I2161" s="68"/>
      <c r="J2161" s="68"/>
    </row>
    <row r="2162" spans="9:10">
      <c r="I2162" s="68"/>
      <c r="J2162" s="68"/>
    </row>
    <row r="2163" spans="9:10">
      <c r="I2163" s="68"/>
      <c r="J2163" s="68"/>
    </row>
    <row r="2164" spans="9:10">
      <c r="I2164" s="68"/>
      <c r="J2164" s="68"/>
    </row>
    <row r="2165" spans="9:10">
      <c r="I2165" s="68"/>
      <c r="J2165" s="68"/>
    </row>
    <row r="2166" spans="9:10">
      <c r="I2166" s="68"/>
      <c r="J2166" s="68"/>
    </row>
    <row r="2167" spans="9:10">
      <c r="I2167" s="68"/>
      <c r="J2167" s="68"/>
    </row>
    <row r="2168" spans="9:10">
      <c r="I2168" s="68"/>
      <c r="J2168" s="68"/>
    </row>
    <row r="2169" spans="9:10">
      <c r="I2169" s="68"/>
      <c r="J2169" s="68"/>
    </row>
    <row r="2170" spans="9:10">
      <c r="I2170" s="68"/>
      <c r="J2170" s="68"/>
    </row>
    <row r="2171" spans="9:10">
      <c r="I2171" s="68"/>
      <c r="J2171" s="68"/>
    </row>
    <row r="2172" spans="9:10">
      <c r="I2172" s="68"/>
      <c r="J2172" s="68"/>
    </row>
    <row r="2173" spans="9:10">
      <c r="I2173" s="68"/>
      <c r="J2173" s="68"/>
    </row>
    <row r="2174" spans="9:10">
      <c r="I2174" s="68"/>
      <c r="J2174" s="68"/>
    </row>
    <row r="2175" spans="9:10">
      <c r="I2175" s="68"/>
      <c r="J2175" s="68"/>
    </row>
    <row r="2176" spans="9:10">
      <c r="I2176" s="68"/>
      <c r="J2176" s="68"/>
    </row>
    <row r="2177" spans="9:10">
      <c r="I2177" s="68"/>
      <c r="J2177" s="68"/>
    </row>
    <row r="2178" spans="9:10">
      <c r="I2178" s="68"/>
      <c r="J2178" s="68"/>
    </row>
    <row r="2179" spans="9:10">
      <c r="I2179" s="68"/>
      <c r="J2179" s="68"/>
    </row>
    <row r="2180" spans="9:10">
      <c r="I2180" s="68"/>
      <c r="J2180" s="68"/>
    </row>
    <row r="2181" spans="9:10">
      <c r="I2181" s="68"/>
      <c r="J2181" s="68"/>
    </row>
    <row r="2182" spans="9:10">
      <c r="I2182" s="68"/>
      <c r="J2182" s="68"/>
    </row>
    <row r="2183" spans="9:10">
      <c r="I2183" s="68"/>
      <c r="J2183" s="68"/>
    </row>
    <row r="2184" spans="9:10">
      <c r="I2184" s="68"/>
      <c r="J2184" s="68"/>
    </row>
    <row r="2185" spans="9:10">
      <c r="I2185" s="68"/>
      <c r="J2185" s="68"/>
    </row>
    <row r="2186" spans="9:10">
      <c r="I2186" s="68"/>
      <c r="J2186" s="68"/>
    </row>
    <row r="2187" spans="9:10">
      <c r="I2187" s="68"/>
      <c r="J2187" s="68"/>
    </row>
    <row r="2188" spans="9:10">
      <c r="I2188" s="68"/>
      <c r="J2188" s="68"/>
    </row>
    <row r="2189" spans="9:10">
      <c r="I2189" s="68"/>
      <c r="J2189" s="68"/>
    </row>
    <row r="2190" spans="9:10">
      <c r="I2190" s="68"/>
      <c r="J2190" s="68"/>
    </row>
    <row r="2191" spans="9:10">
      <c r="I2191" s="68"/>
      <c r="J2191" s="68"/>
    </row>
    <row r="2192" spans="9:10">
      <c r="I2192" s="68"/>
      <c r="J2192" s="68"/>
    </row>
    <row r="2193" spans="9:10">
      <c r="I2193" s="68"/>
      <c r="J2193" s="68"/>
    </row>
    <row r="2194" spans="9:10">
      <c r="I2194" s="68"/>
      <c r="J2194" s="68"/>
    </row>
    <row r="2195" spans="9:10">
      <c r="I2195" s="68"/>
      <c r="J2195" s="68"/>
    </row>
    <row r="2196" spans="9:10">
      <c r="I2196" s="68"/>
      <c r="J2196" s="68"/>
    </row>
    <row r="2197" spans="9:10">
      <c r="I2197" s="68"/>
      <c r="J2197" s="68"/>
    </row>
    <row r="2198" spans="9:10">
      <c r="I2198" s="68"/>
      <c r="J2198" s="68"/>
    </row>
    <row r="2199" spans="9:10">
      <c r="I2199" s="68"/>
      <c r="J2199" s="68"/>
    </row>
    <row r="2200" spans="9:10">
      <c r="I2200" s="68"/>
      <c r="J2200" s="68"/>
    </row>
    <row r="2201" spans="9:10">
      <c r="I2201" s="68"/>
      <c r="J2201" s="68"/>
    </row>
    <row r="2202" spans="9:10">
      <c r="I2202" s="68"/>
      <c r="J2202" s="68"/>
    </row>
    <row r="2203" spans="9:10">
      <c r="I2203" s="68"/>
      <c r="J2203" s="68"/>
    </row>
    <row r="2204" spans="9:10">
      <c r="I2204" s="68"/>
      <c r="J2204" s="68"/>
    </row>
    <row r="2205" spans="9:10">
      <c r="I2205" s="68"/>
      <c r="J2205" s="68"/>
    </row>
    <row r="2206" spans="9:10">
      <c r="I2206" s="68"/>
      <c r="J2206" s="68"/>
    </row>
    <row r="2207" spans="9:10">
      <c r="I2207" s="68"/>
      <c r="J2207" s="68"/>
    </row>
    <row r="2208" spans="9:10">
      <c r="I2208" s="68"/>
      <c r="J2208" s="68"/>
    </row>
    <row r="2209" spans="9:10">
      <c r="I2209" s="68"/>
      <c r="J2209" s="68"/>
    </row>
    <row r="2210" spans="9:10">
      <c r="I2210" s="68"/>
      <c r="J2210" s="68"/>
    </row>
    <row r="2211" spans="9:10">
      <c r="I2211" s="68"/>
      <c r="J2211" s="68"/>
    </row>
    <row r="2212" spans="9:10">
      <c r="I2212" s="68"/>
      <c r="J2212" s="68"/>
    </row>
    <row r="2213" spans="9:10">
      <c r="I2213" s="68"/>
      <c r="J2213" s="68"/>
    </row>
    <row r="2214" spans="9:10">
      <c r="I2214" s="68"/>
      <c r="J2214" s="68"/>
    </row>
    <row r="2215" spans="9:10">
      <c r="I2215" s="68"/>
      <c r="J2215" s="68"/>
    </row>
    <row r="2216" spans="9:10">
      <c r="I2216" s="68"/>
      <c r="J2216" s="68"/>
    </row>
    <row r="2217" spans="9:10">
      <c r="I2217" s="68"/>
      <c r="J2217" s="68"/>
    </row>
    <row r="2218" spans="9:10">
      <c r="I2218" s="68"/>
      <c r="J2218" s="68"/>
    </row>
    <row r="2219" spans="9:10">
      <c r="I2219" s="68"/>
      <c r="J2219" s="68"/>
    </row>
    <row r="2220" spans="9:10">
      <c r="I2220" s="68"/>
      <c r="J2220" s="68"/>
    </row>
    <row r="2221" spans="9:10">
      <c r="I2221" s="68"/>
      <c r="J2221" s="68"/>
    </row>
    <row r="2222" spans="9:10">
      <c r="I2222" s="68"/>
      <c r="J2222" s="68"/>
    </row>
    <row r="2223" spans="9:10">
      <c r="I2223" s="68"/>
      <c r="J2223" s="68"/>
    </row>
    <row r="2224" spans="9:10">
      <c r="I2224" s="68"/>
      <c r="J2224" s="68"/>
    </row>
    <row r="2225" spans="9:10">
      <c r="I2225" s="68"/>
      <c r="J2225" s="68"/>
    </row>
    <row r="2226" spans="9:10">
      <c r="I2226" s="68"/>
      <c r="J2226" s="68"/>
    </row>
    <row r="2227" spans="9:10">
      <c r="I2227" s="68"/>
      <c r="J2227" s="68"/>
    </row>
    <row r="2228" spans="9:10">
      <c r="I2228" s="68"/>
      <c r="J2228" s="68"/>
    </row>
    <row r="2229" spans="9:10">
      <c r="I2229" s="68"/>
      <c r="J2229" s="68"/>
    </row>
    <row r="2230" spans="9:10">
      <c r="I2230" s="68"/>
      <c r="J2230" s="68"/>
    </row>
    <row r="2231" spans="9:10">
      <c r="I2231" s="68"/>
      <c r="J2231" s="68"/>
    </row>
    <row r="2232" spans="9:10">
      <c r="I2232" s="68"/>
      <c r="J2232" s="68"/>
    </row>
    <row r="2233" spans="9:10">
      <c r="I2233" s="68"/>
      <c r="J2233" s="68"/>
    </row>
    <row r="2234" spans="9:10">
      <c r="I2234" s="68"/>
      <c r="J2234" s="68"/>
    </row>
    <row r="2235" spans="9:10">
      <c r="I2235" s="68"/>
      <c r="J2235" s="68"/>
    </row>
    <row r="2236" spans="9:10">
      <c r="I2236" s="68"/>
      <c r="J2236" s="68"/>
    </row>
    <row r="2237" spans="9:10">
      <c r="I2237" s="68"/>
      <c r="J2237" s="68"/>
    </row>
    <row r="2238" spans="9:10">
      <c r="I2238" s="68"/>
      <c r="J2238" s="68"/>
    </row>
    <row r="2239" spans="9:10">
      <c r="I2239" s="68"/>
      <c r="J2239" s="68"/>
    </row>
    <row r="2240" spans="9:10">
      <c r="I2240" s="68"/>
      <c r="J2240" s="68"/>
    </row>
    <row r="2241" spans="9:10">
      <c r="I2241" s="68"/>
      <c r="J2241" s="68"/>
    </row>
    <row r="2242" spans="9:10">
      <c r="I2242" s="68"/>
      <c r="J2242" s="68"/>
    </row>
    <row r="2243" spans="9:10">
      <c r="I2243" s="68"/>
      <c r="J2243" s="68"/>
    </row>
    <row r="2244" spans="9:10">
      <c r="I2244" s="68"/>
      <c r="J2244" s="68"/>
    </row>
    <row r="2245" spans="9:10">
      <c r="I2245" s="68"/>
      <c r="J2245" s="68"/>
    </row>
    <row r="2246" spans="9:10">
      <c r="I2246" s="68"/>
      <c r="J2246" s="68"/>
    </row>
    <row r="2247" spans="9:10">
      <c r="I2247" s="68"/>
      <c r="J2247" s="68"/>
    </row>
    <row r="2248" spans="9:10">
      <c r="I2248" s="68"/>
      <c r="J2248" s="68"/>
    </row>
    <row r="2249" spans="9:10">
      <c r="I2249" s="68"/>
      <c r="J2249" s="68"/>
    </row>
    <row r="2250" spans="9:10">
      <c r="I2250" s="68"/>
      <c r="J2250" s="68"/>
    </row>
    <row r="2251" spans="9:10">
      <c r="I2251" s="68"/>
      <c r="J2251" s="68"/>
    </row>
    <row r="2252" spans="9:10">
      <c r="I2252" s="68"/>
      <c r="J2252" s="68"/>
    </row>
    <row r="2253" spans="9:10">
      <c r="I2253" s="68"/>
      <c r="J2253" s="68"/>
    </row>
    <row r="2254" spans="9:10">
      <c r="I2254" s="68"/>
      <c r="J2254" s="68"/>
    </row>
    <row r="2255" spans="9:10">
      <c r="I2255" s="68"/>
      <c r="J2255" s="68"/>
    </row>
    <row r="2256" spans="9:10">
      <c r="I2256" s="68"/>
      <c r="J2256" s="68"/>
    </row>
    <row r="2257" spans="9:10">
      <c r="I2257" s="68"/>
      <c r="J2257" s="68"/>
    </row>
    <row r="2258" spans="9:10">
      <c r="I2258" s="68"/>
      <c r="J2258" s="68"/>
    </row>
    <row r="2259" spans="9:10">
      <c r="I2259" s="68"/>
      <c r="J2259" s="68"/>
    </row>
    <row r="2260" spans="9:10">
      <c r="I2260" s="68"/>
      <c r="J2260" s="68"/>
    </row>
    <row r="2261" spans="9:10">
      <c r="I2261" s="68"/>
      <c r="J2261" s="68"/>
    </row>
    <row r="2262" spans="9:10">
      <c r="I2262" s="68"/>
      <c r="J2262" s="68"/>
    </row>
    <row r="2263" spans="9:10">
      <c r="I2263" s="68"/>
      <c r="J2263" s="68"/>
    </row>
    <row r="2264" spans="9:10">
      <c r="I2264" s="68"/>
      <c r="J2264" s="68"/>
    </row>
    <row r="2265" spans="9:10">
      <c r="I2265" s="68"/>
      <c r="J2265" s="68"/>
    </row>
    <row r="2266" spans="9:10">
      <c r="I2266" s="68"/>
      <c r="J2266" s="68"/>
    </row>
    <row r="2267" spans="9:10">
      <c r="I2267" s="68"/>
      <c r="J2267" s="68"/>
    </row>
    <row r="2268" spans="9:10">
      <c r="I2268" s="68"/>
      <c r="J2268" s="68"/>
    </row>
    <row r="2269" spans="9:10">
      <c r="I2269" s="68"/>
      <c r="J2269" s="68"/>
    </row>
    <row r="2270" spans="9:10">
      <c r="I2270" s="68"/>
      <c r="J2270" s="68"/>
    </row>
    <row r="2271" spans="9:10">
      <c r="I2271" s="68"/>
      <c r="J2271" s="68"/>
    </row>
    <row r="2272" spans="9:10">
      <c r="I2272" s="68"/>
      <c r="J2272" s="68"/>
    </row>
    <row r="2273" spans="9:10">
      <c r="I2273" s="68"/>
      <c r="J2273" s="68"/>
    </row>
    <row r="2274" spans="9:10">
      <c r="I2274" s="68"/>
      <c r="J2274" s="68"/>
    </row>
    <row r="2275" spans="9:10">
      <c r="I2275" s="68"/>
      <c r="J2275" s="68"/>
    </row>
    <row r="2276" spans="9:10">
      <c r="I2276" s="68"/>
      <c r="J2276" s="68"/>
    </row>
    <row r="2277" spans="9:10">
      <c r="I2277" s="68"/>
      <c r="J2277" s="68"/>
    </row>
    <row r="2278" spans="9:10">
      <c r="I2278" s="68"/>
      <c r="J2278" s="68"/>
    </row>
    <row r="2279" spans="9:10">
      <c r="I2279" s="68"/>
      <c r="J2279" s="68"/>
    </row>
    <row r="2280" spans="9:10">
      <c r="I2280" s="68"/>
      <c r="J2280" s="68"/>
    </row>
    <row r="2281" spans="9:10">
      <c r="I2281" s="68"/>
      <c r="J2281" s="68"/>
    </row>
    <row r="2282" spans="9:10">
      <c r="I2282" s="68"/>
      <c r="J2282" s="68"/>
    </row>
    <row r="2283" spans="9:10">
      <c r="I2283" s="68"/>
      <c r="J2283" s="68"/>
    </row>
    <row r="2284" spans="9:10">
      <c r="I2284" s="68"/>
      <c r="J2284" s="68"/>
    </row>
    <row r="2285" spans="9:10">
      <c r="I2285" s="68"/>
      <c r="J2285" s="68"/>
    </row>
    <row r="2286" spans="9:10">
      <c r="I2286" s="68"/>
      <c r="J2286" s="68"/>
    </row>
    <row r="2287" spans="9:10">
      <c r="I2287" s="68"/>
      <c r="J2287" s="68"/>
    </row>
    <row r="2288" spans="9:10">
      <c r="I2288" s="68"/>
      <c r="J2288" s="68"/>
    </row>
    <row r="2289" spans="9:10">
      <c r="I2289" s="68"/>
      <c r="J2289" s="68"/>
    </row>
    <row r="2290" spans="9:10">
      <c r="I2290" s="68"/>
      <c r="J2290" s="68"/>
    </row>
    <row r="2291" spans="9:10">
      <c r="I2291" s="68"/>
      <c r="J2291" s="68"/>
    </row>
    <row r="2292" spans="9:10">
      <c r="I2292" s="68"/>
      <c r="J2292" s="68"/>
    </row>
    <row r="2293" spans="9:10">
      <c r="I2293" s="68"/>
      <c r="J2293" s="68"/>
    </row>
    <row r="2294" spans="9:10">
      <c r="I2294" s="68"/>
      <c r="J2294" s="68"/>
    </row>
    <row r="2295" spans="9:10">
      <c r="I2295" s="68"/>
      <c r="J2295" s="68"/>
    </row>
    <row r="2296" spans="9:10">
      <c r="I2296" s="68"/>
      <c r="J2296" s="68"/>
    </row>
    <row r="2297" spans="9:10">
      <c r="I2297" s="68"/>
      <c r="J2297" s="68"/>
    </row>
    <row r="2298" spans="9:10">
      <c r="I2298" s="68"/>
      <c r="J2298" s="68"/>
    </row>
    <row r="2299" spans="9:10">
      <c r="I2299" s="68"/>
      <c r="J2299" s="68"/>
    </row>
    <row r="2300" spans="9:10">
      <c r="I2300" s="68"/>
      <c r="J2300" s="68"/>
    </row>
    <row r="2301" spans="9:10">
      <c r="I2301" s="68"/>
      <c r="J2301" s="68"/>
    </row>
    <row r="2302" spans="9:10">
      <c r="I2302" s="68"/>
      <c r="J2302" s="68"/>
    </row>
    <row r="2303" spans="9:10">
      <c r="I2303" s="68"/>
      <c r="J2303" s="68"/>
    </row>
    <row r="2304" spans="9:10">
      <c r="I2304" s="68"/>
      <c r="J2304" s="68"/>
    </row>
    <row r="2305" spans="9:10">
      <c r="I2305" s="68"/>
      <c r="J2305" s="68"/>
    </row>
    <row r="2306" spans="9:10">
      <c r="I2306" s="68"/>
      <c r="J2306" s="68"/>
    </row>
    <row r="2307" spans="9:10">
      <c r="I2307" s="68"/>
      <c r="J2307" s="68"/>
    </row>
    <row r="2308" spans="9:10">
      <c r="I2308" s="68"/>
      <c r="J2308" s="68"/>
    </row>
    <row r="2309" spans="9:10">
      <c r="I2309" s="68"/>
      <c r="J2309" s="68"/>
    </row>
    <row r="2310" spans="9:10">
      <c r="I2310" s="68"/>
      <c r="J2310" s="68"/>
    </row>
    <row r="2311" spans="9:10">
      <c r="I2311" s="68"/>
      <c r="J2311" s="68"/>
    </row>
    <row r="2312" spans="9:10">
      <c r="I2312" s="68"/>
      <c r="J2312" s="68"/>
    </row>
    <row r="2313" spans="9:10">
      <c r="I2313" s="68"/>
      <c r="J2313" s="68"/>
    </row>
    <row r="2314" spans="9:10">
      <c r="I2314" s="68"/>
      <c r="J2314" s="68"/>
    </row>
    <row r="2315" spans="9:10">
      <c r="I2315" s="68"/>
      <c r="J2315" s="68"/>
    </row>
    <row r="2316" spans="9:10">
      <c r="I2316" s="68"/>
      <c r="J2316" s="68"/>
    </row>
    <row r="2317" spans="9:10">
      <c r="I2317" s="68"/>
      <c r="J2317" s="68"/>
    </row>
    <row r="2318" spans="9:10">
      <c r="I2318" s="68"/>
      <c r="J2318" s="68"/>
    </row>
    <row r="2319" spans="9:10">
      <c r="I2319" s="68"/>
      <c r="J2319" s="68"/>
    </row>
    <row r="2320" spans="9:10">
      <c r="I2320" s="68"/>
      <c r="J2320" s="68"/>
    </row>
    <row r="2321" spans="9:10">
      <c r="I2321" s="68"/>
      <c r="J2321" s="68"/>
    </row>
    <row r="2322" spans="9:10">
      <c r="I2322" s="68"/>
      <c r="J2322" s="68"/>
    </row>
    <row r="2323" spans="9:10">
      <c r="I2323" s="68"/>
      <c r="J2323" s="68"/>
    </row>
    <row r="2324" spans="9:10">
      <c r="I2324" s="68"/>
      <c r="J2324" s="68"/>
    </row>
    <row r="2325" spans="9:10">
      <c r="I2325" s="68"/>
      <c r="J2325" s="68"/>
    </row>
    <row r="2326" spans="9:10">
      <c r="I2326" s="68"/>
      <c r="J2326" s="68"/>
    </row>
    <row r="2327" spans="9:10">
      <c r="I2327" s="68"/>
      <c r="J2327" s="68"/>
    </row>
    <row r="2328" spans="9:10">
      <c r="I2328" s="68"/>
      <c r="J2328" s="68"/>
    </row>
    <row r="2329" spans="9:10">
      <c r="I2329" s="68"/>
      <c r="J2329" s="68"/>
    </row>
    <row r="2330" spans="9:10">
      <c r="I2330" s="68"/>
      <c r="J2330" s="68"/>
    </row>
    <row r="2331" spans="9:10">
      <c r="I2331" s="68"/>
      <c r="J2331" s="68"/>
    </row>
    <row r="2332" spans="9:10">
      <c r="I2332" s="68"/>
      <c r="J2332" s="68"/>
    </row>
    <row r="2333" spans="9:10">
      <c r="I2333" s="68"/>
      <c r="J2333" s="68"/>
    </row>
    <row r="2334" spans="9:10">
      <c r="I2334" s="68"/>
      <c r="J2334" s="68"/>
    </row>
    <row r="2335" spans="9:10">
      <c r="I2335" s="68"/>
      <c r="J2335" s="68"/>
    </row>
    <row r="2336" spans="9:10">
      <c r="I2336" s="68"/>
      <c r="J2336" s="68"/>
    </row>
    <row r="2337" spans="9:10">
      <c r="I2337" s="68"/>
      <c r="J2337" s="68"/>
    </row>
    <row r="2338" spans="9:10">
      <c r="I2338" s="68"/>
      <c r="J2338" s="68"/>
    </row>
    <row r="2339" spans="9:10">
      <c r="I2339" s="68"/>
      <c r="J2339" s="68"/>
    </row>
    <row r="2340" spans="9:10">
      <c r="I2340" s="68"/>
      <c r="J2340" s="68"/>
    </row>
    <row r="2341" spans="9:10">
      <c r="I2341" s="68"/>
      <c r="J2341" s="68"/>
    </row>
    <row r="2342" spans="9:10">
      <c r="I2342" s="68"/>
      <c r="J2342" s="68"/>
    </row>
    <row r="2343" spans="9:10">
      <c r="I2343" s="68"/>
      <c r="J2343" s="68"/>
    </row>
    <row r="2344" spans="9:10">
      <c r="I2344" s="68"/>
      <c r="J2344" s="68"/>
    </row>
    <row r="2345" spans="9:10">
      <c r="I2345" s="68"/>
      <c r="J2345" s="68"/>
    </row>
    <row r="2346" spans="9:10">
      <c r="I2346" s="68"/>
      <c r="J2346" s="68"/>
    </row>
    <row r="2347" spans="9:10">
      <c r="I2347" s="68"/>
      <c r="J2347" s="68"/>
    </row>
    <row r="2348" spans="9:10">
      <c r="I2348" s="68"/>
      <c r="J2348" s="68"/>
    </row>
    <row r="2349" spans="9:10">
      <c r="I2349" s="68"/>
      <c r="J2349" s="68"/>
    </row>
    <row r="2350" spans="9:10">
      <c r="I2350" s="68"/>
      <c r="J2350" s="68"/>
    </row>
    <row r="2351" spans="9:10">
      <c r="I2351" s="68"/>
      <c r="J2351" s="68"/>
    </row>
    <row r="2352" spans="9:10">
      <c r="I2352" s="68"/>
      <c r="J2352" s="68"/>
    </row>
    <row r="2353" spans="9:10">
      <c r="I2353" s="68"/>
      <c r="J2353" s="68"/>
    </row>
    <row r="2354" spans="9:10">
      <c r="I2354" s="68"/>
      <c r="J2354" s="68"/>
    </row>
    <row r="2355" spans="9:10">
      <c r="I2355" s="68"/>
      <c r="J2355" s="68"/>
    </row>
    <row r="2356" spans="9:10">
      <c r="I2356" s="68"/>
      <c r="J2356" s="68"/>
    </row>
    <row r="2357" spans="9:10">
      <c r="I2357" s="68"/>
      <c r="J2357" s="68"/>
    </row>
    <row r="2358" spans="9:10">
      <c r="I2358" s="68"/>
      <c r="J2358" s="68"/>
    </row>
    <row r="2359" spans="9:10">
      <c r="I2359" s="68"/>
      <c r="J2359" s="68"/>
    </row>
    <row r="2360" spans="9:10">
      <c r="I2360" s="68"/>
      <c r="J2360" s="68"/>
    </row>
    <row r="2361" spans="9:10">
      <c r="I2361" s="68"/>
      <c r="J2361" s="68"/>
    </row>
    <row r="2362" spans="9:10">
      <c r="I2362" s="68"/>
      <c r="J2362" s="68"/>
    </row>
    <row r="2363" spans="9:10">
      <c r="I2363" s="68"/>
      <c r="J2363" s="68"/>
    </row>
    <row r="2364" spans="9:10">
      <c r="I2364" s="68"/>
      <c r="J2364" s="68"/>
    </row>
    <row r="2365" spans="9:10">
      <c r="I2365" s="68"/>
      <c r="J2365" s="68"/>
    </row>
    <row r="2366" spans="9:10">
      <c r="I2366" s="68"/>
      <c r="J2366" s="68"/>
    </row>
    <row r="2367" spans="9:10">
      <c r="I2367" s="68"/>
      <c r="J2367" s="68"/>
    </row>
    <row r="2368" spans="9:10">
      <c r="I2368" s="68"/>
      <c r="J2368" s="68"/>
    </row>
    <row r="2369" spans="9:10">
      <c r="I2369" s="68"/>
      <c r="J2369" s="68"/>
    </row>
    <row r="2370" spans="9:10">
      <c r="I2370" s="68"/>
      <c r="J2370" s="68"/>
    </row>
    <row r="2371" spans="9:10">
      <c r="I2371" s="68"/>
      <c r="J2371" s="68"/>
    </row>
    <row r="2372" spans="9:10">
      <c r="I2372" s="68"/>
      <c r="J2372" s="68"/>
    </row>
    <row r="2373" spans="9:10">
      <c r="I2373" s="68"/>
      <c r="J2373" s="68"/>
    </row>
    <row r="2374" spans="9:10">
      <c r="I2374" s="68"/>
      <c r="J2374" s="68"/>
    </row>
    <row r="2375" spans="9:10">
      <c r="I2375" s="68"/>
      <c r="J2375" s="68"/>
    </row>
    <row r="2376" spans="9:10">
      <c r="I2376" s="68"/>
      <c r="J2376" s="68"/>
    </row>
    <row r="2377" spans="9:10">
      <c r="I2377" s="68"/>
      <c r="J2377" s="68"/>
    </row>
    <row r="2378" spans="9:10">
      <c r="I2378" s="68"/>
      <c r="J2378" s="68"/>
    </row>
    <row r="2379" spans="9:10">
      <c r="I2379" s="68"/>
      <c r="J2379" s="68"/>
    </row>
    <row r="2380" spans="9:10">
      <c r="I2380" s="68"/>
      <c r="J2380" s="68"/>
    </row>
    <row r="2381" spans="9:10">
      <c r="I2381" s="68"/>
      <c r="J2381" s="68"/>
    </row>
    <row r="2382" spans="9:10">
      <c r="I2382" s="68"/>
      <c r="J2382" s="68"/>
    </row>
    <row r="2383" spans="9:10">
      <c r="I2383" s="68"/>
      <c r="J2383" s="68"/>
    </row>
    <row r="2384" spans="9:10">
      <c r="I2384" s="68"/>
      <c r="J2384" s="68"/>
    </row>
    <row r="2385" spans="9:10">
      <c r="I2385" s="68"/>
      <c r="J2385" s="68"/>
    </row>
    <row r="2386" spans="9:10">
      <c r="I2386" s="68"/>
      <c r="J2386" s="68"/>
    </row>
    <row r="2387" spans="9:10">
      <c r="I2387" s="68"/>
      <c r="J2387" s="68"/>
    </row>
    <row r="2388" spans="9:10">
      <c r="I2388" s="68"/>
      <c r="J2388" s="68"/>
    </row>
    <row r="2389" spans="9:10">
      <c r="I2389" s="68"/>
      <c r="J2389" s="68"/>
    </row>
    <row r="2390" spans="9:10">
      <c r="I2390" s="68"/>
      <c r="J2390" s="68"/>
    </row>
    <row r="2391" spans="9:10">
      <c r="I2391" s="68"/>
      <c r="J2391" s="68"/>
    </row>
    <row r="2392" spans="9:10">
      <c r="I2392" s="68"/>
      <c r="J2392" s="68"/>
    </row>
    <row r="2393" spans="9:10">
      <c r="I2393" s="68"/>
      <c r="J2393" s="68"/>
    </row>
    <row r="2394" spans="9:10">
      <c r="I2394" s="68"/>
      <c r="J2394" s="68"/>
    </row>
    <row r="2395" spans="9:10">
      <c r="I2395" s="68"/>
      <c r="J2395" s="68"/>
    </row>
    <row r="2396" spans="9:10">
      <c r="I2396" s="68"/>
      <c r="J2396" s="68"/>
    </row>
    <row r="2397" spans="9:10">
      <c r="I2397" s="68"/>
      <c r="J2397" s="68"/>
    </row>
    <row r="2398" spans="9:10">
      <c r="I2398" s="68"/>
      <c r="J2398" s="68"/>
    </row>
    <row r="2399" spans="9:10">
      <c r="I2399" s="68"/>
      <c r="J2399" s="68"/>
    </row>
    <row r="2400" spans="9:10">
      <c r="I2400" s="68"/>
      <c r="J2400" s="68"/>
    </row>
    <row r="2401" spans="9:10">
      <c r="I2401" s="68"/>
      <c r="J2401" s="68"/>
    </row>
    <row r="2402" spans="9:10">
      <c r="I2402" s="68"/>
      <c r="J2402" s="68"/>
    </row>
    <row r="2403" spans="9:10">
      <c r="I2403" s="68"/>
      <c r="J2403" s="68"/>
    </row>
    <row r="2404" spans="9:10">
      <c r="I2404" s="68"/>
      <c r="J2404" s="68"/>
    </row>
    <row r="2405" spans="9:10">
      <c r="I2405" s="68"/>
      <c r="J2405" s="68"/>
    </row>
    <row r="2406" spans="9:10">
      <c r="I2406" s="68"/>
      <c r="J2406" s="68"/>
    </row>
    <row r="2407" spans="9:10">
      <c r="I2407" s="68"/>
      <c r="J2407" s="68"/>
    </row>
    <row r="2408" spans="9:10">
      <c r="I2408" s="68"/>
      <c r="J2408" s="68"/>
    </row>
    <row r="2409" spans="9:10">
      <c r="I2409" s="68"/>
      <c r="J2409" s="68"/>
    </row>
    <row r="2410" spans="9:10">
      <c r="I2410" s="68"/>
      <c r="J2410" s="68"/>
    </row>
    <row r="2411" spans="9:10">
      <c r="I2411" s="68"/>
      <c r="J2411" s="68"/>
    </row>
    <row r="2412" spans="9:10">
      <c r="I2412" s="68"/>
      <c r="J2412" s="68"/>
    </row>
    <row r="2413" spans="9:10">
      <c r="I2413" s="68"/>
      <c r="J2413" s="68"/>
    </row>
    <row r="2414" spans="9:10">
      <c r="I2414" s="68"/>
      <c r="J2414" s="68"/>
    </row>
    <row r="2415" spans="9:10">
      <c r="I2415" s="68"/>
      <c r="J2415" s="68"/>
    </row>
    <row r="2416" spans="9:10">
      <c r="I2416" s="68"/>
      <c r="J2416" s="68"/>
    </row>
    <row r="2417" spans="9:10">
      <c r="I2417" s="68"/>
      <c r="J2417" s="68"/>
    </row>
    <row r="2418" spans="9:10">
      <c r="I2418" s="68"/>
      <c r="J2418" s="68"/>
    </row>
    <row r="2419" spans="9:10">
      <c r="I2419" s="68"/>
      <c r="J2419" s="68"/>
    </row>
    <row r="2420" spans="9:10">
      <c r="I2420" s="68"/>
      <c r="J2420" s="68"/>
    </row>
    <row r="2421" spans="9:10">
      <c r="I2421" s="68"/>
      <c r="J2421" s="68"/>
    </row>
    <row r="2422" spans="9:10">
      <c r="I2422" s="68"/>
      <c r="J2422" s="68"/>
    </row>
    <row r="2423" spans="9:10">
      <c r="I2423" s="68"/>
      <c r="J2423" s="68"/>
    </row>
    <row r="2424" spans="9:10">
      <c r="I2424" s="68"/>
      <c r="J2424" s="68"/>
    </row>
    <row r="2425" spans="9:10">
      <c r="I2425" s="68"/>
      <c r="J2425" s="68"/>
    </row>
    <row r="2426" spans="9:10">
      <c r="I2426" s="68"/>
      <c r="J2426" s="68"/>
    </row>
    <row r="2427" spans="9:10">
      <c r="I2427" s="68"/>
      <c r="J2427" s="68"/>
    </row>
    <row r="2428" spans="9:10">
      <c r="I2428" s="68"/>
      <c r="J2428" s="68"/>
    </row>
    <row r="2429" spans="9:10">
      <c r="I2429" s="68"/>
      <c r="J2429" s="68"/>
    </row>
    <row r="2430" spans="9:10">
      <c r="I2430" s="68"/>
      <c r="J2430" s="68"/>
    </row>
    <row r="2431" spans="9:10">
      <c r="I2431" s="68"/>
      <c r="J2431" s="68"/>
    </row>
    <row r="2432" spans="9:10">
      <c r="I2432" s="68"/>
      <c r="J2432" s="68"/>
    </row>
    <row r="2433" spans="9:10">
      <c r="I2433" s="68"/>
      <c r="J2433" s="68"/>
    </row>
    <row r="2434" spans="9:10">
      <c r="I2434" s="68"/>
      <c r="J2434" s="68"/>
    </row>
    <row r="2435" spans="9:10">
      <c r="I2435" s="68"/>
      <c r="J2435" s="68"/>
    </row>
    <row r="2436" spans="9:10">
      <c r="I2436" s="68"/>
      <c r="J2436" s="68"/>
    </row>
    <row r="2437" spans="9:10">
      <c r="I2437" s="68"/>
      <c r="J2437" s="68"/>
    </row>
    <row r="2438" spans="9:10">
      <c r="I2438" s="68"/>
      <c r="J2438" s="68"/>
    </row>
    <row r="2439" spans="9:10">
      <c r="I2439" s="68"/>
      <c r="J2439" s="68"/>
    </row>
    <row r="2440" spans="9:10">
      <c r="I2440" s="68"/>
      <c r="J2440" s="68"/>
    </row>
    <row r="2441" spans="9:10">
      <c r="I2441" s="68"/>
      <c r="J2441" s="68"/>
    </row>
    <row r="2442" spans="9:10">
      <c r="I2442" s="68"/>
      <c r="J2442" s="68"/>
    </row>
    <row r="2443" spans="9:10">
      <c r="I2443" s="68"/>
      <c r="J2443" s="68"/>
    </row>
    <row r="2444" spans="9:10">
      <c r="I2444" s="68"/>
      <c r="J2444" s="68"/>
    </row>
    <row r="2445" spans="9:10">
      <c r="I2445" s="68"/>
      <c r="J2445" s="68"/>
    </row>
    <row r="2446" spans="9:10">
      <c r="I2446" s="68"/>
      <c r="J2446" s="68"/>
    </row>
    <row r="2447" spans="9:10">
      <c r="I2447" s="68"/>
      <c r="J2447" s="68"/>
    </row>
    <row r="2448" spans="9:10">
      <c r="I2448" s="68"/>
      <c r="J2448" s="68"/>
    </row>
    <row r="2449" spans="9:10">
      <c r="I2449" s="68"/>
      <c r="J2449" s="68"/>
    </row>
    <row r="2450" spans="9:10">
      <c r="I2450" s="68"/>
      <c r="J2450" s="68"/>
    </row>
    <row r="2451" spans="9:10">
      <c r="I2451" s="68"/>
      <c r="J2451" s="68"/>
    </row>
    <row r="2452" spans="9:10">
      <c r="I2452" s="68"/>
      <c r="J2452" s="68"/>
    </row>
    <row r="2453" spans="9:10">
      <c r="I2453" s="68"/>
      <c r="J2453" s="68"/>
    </row>
    <row r="2454" spans="9:10">
      <c r="I2454" s="68"/>
      <c r="J2454" s="68"/>
    </row>
    <row r="2455" spans="9:10">
      <c r="I2455" s="68"/>
      <c r="J2455" s="68"/>
    </row>
    <row r="2456" spans="9:10">
      <c r="I2456" s="68"/>
      <c r="J2456" s="68"/>
    </row>
    <row r="2457" spans="9:10">
      <c r="I2457" s="68"/>
      <c r="J2457" s="68"/>
    </row>
    <row r="2458" spans="9:10">
      <c r="I2458" s="68"/>
      <c r="J2458" s="68"/>
    </row>
    <row r="2459" spans="9:10">
      <c r="I2459" s="68"/>
      <c r="J2459" s="68"/>
    </row>
    <row r="2460" spans="9:10">
      <c r="I2460" s="68"/>
      <c r="J2460" s="68"/>
    </row>
    <row r="2461" spans="9:10">
      <c r="I2461" s="68"/>
      <c r="J2461" s="68"/>
    </row>
    <row r="2462" spans="9:10">
      <c r="I2462" s="68"/>
      <c r="J2462" s="68"/>
    </row>
    <row r="2463" spans="9:10">
      <c r="I2463" s="68"/>
      <c r="J2463" s="68"/>
    </row>
    <row r="2464" spans="9:10">
      <c r="I2464" s="68"/>
      <c r="J2464" s="68"/>
    </row>
    <row r="2465" spans="9:10">
      <c r="I2465" s="68"/>
      <c r="J2465" s="68"/>
    </row>
    <row r="2466" spans="9:10">
      <c r="I2466" s="68"/>
      <c r="J2466" s="68"/>
    </row>
    <row r="2467" spans="9:10">
      <c r="I2467" s="68"/>
      <c r="J2467" s="68"/>
    </row>
    <row r="2468" spans="9:10">
      <c r="I2468" s="68"/>
      <c r="J2468" s="68"/>
    </row>
    <row r="2469" spans="9:10">
      <c r="I2469" s="68"/>
      <c r="J2469" s="68"/>
    </row>
    <row r="2470" spans="9:10">
      <c r="I2470" s="68"/>
      <c r="J2470" s="68"/>
    </row>
    <row r="2471" spans="9:10">
      <c r="I2471" s="68"/>
      <c r="J2471" s="68"/>
    </row>
    <row r="2472" spans="9:10">
      <c r="I2472" s="68"/>
      <c r="J2472" s="68"/>
    </row>
    <row r="2473" spans="9:10">
      <c r="I2473" s="68"/>
      <c r="J2473" s="68"/>
    </row>
    <row r="2474" spans="9:10">
      <c r="I2474" s="68"/>
      <c r="J2474" s="68"/>
    </row>
    <row r="2475" spans="9:10">
      <c r="I2475" s="68"/>
      <c r="J2475" s="68"/>
    </row>
    <row r="2476" spans="9:10">
      <c r="I2476" s="68"/>
      <c r="J2476" s="68"/>
    </row>
    <row r="2477" spans="9:10">
      <c r="I2477" s="68"/>
      <c r="J2477" s="68"/>
    </row>
    <row r="2478" spans="9:10">
      <c r="I2478" s="68"/>
      <c r="J2478" s="68"/>
    </row>
    <row r="2479" spans="9:10">
      <c r="I2479" s="68"/>
      <c r="J2479" s="68"/>
    </row>
    <row r="2480" spans="9:10">
      <c r="I2480" s="68"/>
      <c r="J2480" s="68"/>
    </row>
    <row r="2481" spans="9:10">
      <c r="I2481" s="68"/>
      <c r="J2481" s="68"/>
    </row>
    <row r="2482" spans="9:10">
      <c r="I2482" s="68"/>
      <c r="J2482" s="68"/>
    </row>
    <row r="2483" spans="9:10">
      <c r="I2483" s="68"/>
      <c r="J2483" s="68"/>
    </row>
    <row r="2484" spans="9:10">
      <c r="I2484" s="68"/>
      <c r="J2484" s="68"/>
    </row>
    <row r="2485" spans="9:10">
      <c r="I2485" s="68"/>
      <c r="J2485" s="68"/>
    </row>
    <row r="2486" spans="9:10">
      <c r="I2486" s="68"/>
      <c r="J2486" s="68"/>
    </row>
    <row r="2487" spans="9:10">
      <c r="I2487" s="68"/>
      <c r="J2487" s="68"/>
    </row>
    <row r="2488" spans="9:10">
      <c r="I2488" s="68"/>
      <c r="J2488" s="68"/>
    </row>
    <row r="2489" spans="9:10">
      <c r="I2489" s="68"/>
      <c r="J2489" s="68"/>
    </row>
    <row r="2490" spans="9:10">
      <c r="I2490" s="68"/>
      <c r="J2490" s="68"/>
    </row>
    <row r="2491" spans="9:10">
      <c r="I2491" s="68"/>
      <c r="J2491" s="68"/>
    </row>
    <row r="2492" spans="9:10">
      <c r="I2492" s="68"/>
      <c r="J2492" s="68"/>
    </row>
    <row r="2493" spans="9:10">
      <c r="I2493" s="68"/>
      <c r="J2493" s="68"/>
    </row>
    <row r="2494" spans="9:10">
      <c r="I2494" s="68"/>
      <c r="J2494" s="68"/>
    </row>
    <row r="2495" spans="9:10">
      <c r="I2495" s="68"/>
      <c r="J2495" s="68"/>
    </row>
    <row r="2496" spans="9:10">
      <c r="I2496" s="68"/>
      <c r="J2496" s="68"/>
    </row>
    <row r="2497" spans="9:10">
      <c r="I2497" s="68"/>
      <c r="J2497" s="68"/>
    </row>
    <row r="2498" spans="9:10">
      <c r="I2498" s="68"/>
      <c r="J2498" s="68"/>
    </row>
    <row r="2499" spans="9:10">
      <c r="I2499" s="68"/>
      <c r="J2499" s="68"/>
    </row>
    <row r="2500" spans="9:10">
      <c r="I2500" s="68"/>
      <c r="J2500" s="68"/>
    </row>
    <row r="2501" spans="9:10">
      <c r="I2501" s="68"/>
      <c r="J2501" s="68"/>
    </row>
    <row r="2502" spans="9:10">
      <c r="I2502" s="68"/>
      <c r="J2502" s="68"/>
    </row>
    <row r="2503" spans="9:10">
      <c r="I2503" s="68"/>
      <c r="J2503" s="68"/>
    </row>
    <row r="2504" spans="9:10">
      <c r="I2504" s="68"/>
      <c r="J2504" s="68"/>
    </row>
    <row r="2505" spans="9:10">
      <c r="I2505" s="68"/>
      <c r="J2505" s="68"/>
    </row>
    <row r="2506" spans="9:10">
      <c r="I2506" s="68"/>
      <c r="J2506" s="68"/>
    </row>
    <row r="2507" spans="9:10">
      <c r="I2507" s="68"/>
      <c r="J2507" s="68"/>
    </row>
    <row r="2508" spans="9:10">
      <c r="I2508" s="68"/>
      <c r="J2508" s="68"/>
    </row>
    <row r="2509" spans="9:10">
      <c r="I2509" s="68"/>
      <c r="J2509" s="68"/>
    </row>
    <row r="2510" spans="9:10">
      <c r="I2510" s="68"/>
      <c r="J2510" s="68"/>
    </row>
    <row r="2511" spans="9:10">
      <c r="I2511" s="68"/>
      <c r="J2511" s="68"/>
    </row>
    <row r="2512" spans="9:10">
      <c r="I2512" s="68"/>
      <c r="J2512" s="68"/>
    </row>
    <row r="2513" spans="9:10">
      <c r="I2513" s="68"/>
      <c r="J2513" s="68"/>
    </row>
    <row r="2514" spans="9:10">
      <c r="I2514" s="68"/>
      <c r="J2514" s="68"/>
    </row>
    <row r="2515" spans="9:10">
      <c r="I2515" s="68"/>
      <c r="J2515" s="68"/>
    </row>
    <row r="2516" spans="9:10">
      <c r="I2516" s="68"/>
      <c r="J2516" s="68"/>
    </row>
    <row r="2517" spans="9:10">
      <c r="I2517" s="68"/>
      <c r="J2517" s="68"/>
    </row>
    <row r="2518" spans="9:10">
      <c r="I2518" s="68"/>
      <c r="J2518" s="68"/>
    </row>
    <row r="2519" spans="9:10">
      <c r="I2519" s="68"/>
      <c r="J2519" s="68"/>
    </row>
    <row r="2520" spans="9:10">
      <c r="I2520" s="68"/>
      <c r="J2520" s="68"/>
    </row>
    <row r="2521" spans="9:10">
      <c r="I2521" s="68"/>
      <c r="J2521" s="68"/>
    </row>
    <row r="2522" spans="9:10">
      <c r="I2522" s="68"/>
      <c r="J2522" s="68"/>
    </row>
    <row r="2523" spans="9:10">
      <c r="I2523" s="68"/>
      <c r="J2523" s="68"/>
    </row>
    <row r="2524" spans="9:10">
      <c r="I2524" s="68"/>
      <c r="J2524" s="68"/>
    </row>
    <row r="2525" spans="9:10">
      <c r="I2525" s="68"/>
      <c r="J2525" s="68"/>
    </row>
    <row r="2526" spans="9:10">
      <c r="I2526" s="68"/>
      <c r="J2526" s="68"/>
    </row>
    <row r="2527" spans="9:10">
      <c r="I2527" s="68"/>
      <c r="J2527" s="68"/>
    </row>
    <row r="2528" spans="9:10">
      <c r="I2528" s="68"/>
      <c r="J2528" s="68"/>
    </row>
    <row r="2529" spans="9:10">
      <c r="I2529" s="68"/>
      <c r="J2529" s="68"/>
    </row>
    <row r="2530" spans="9:10">
      <c r="I2530" s="68"/>
      <c r="J2530" s="68"/>
    </row>
    <row r="2531" spans="9:10">
      <c r="I2531" s="68"/>
      <c r="J2531" s="68"/>
    </row>
    <row r="2532" spans="9:10">
      <c r="I2532" s="68"/>
      <c r="J2532" s="68"/>
    </row>
    <row r="2533" spans="9:10">
      <c r="I2533" s="68"/>
      <c r="J2533" s="68"/>
    </row>
    <row r="2534" spans="9:10">
      <c r="I2534" s="68"/>
      <c r="J2534" s="68"/>
    </row>
    <row r="2535" spans="9:10">
      <c r="I2535" s="68"/>
      <c r="J2535" s="68"/>
    </row>
    <row r="2536" spans="9:10">
      <c r="I2536" s="68"/>
      <c r="J2536" s="68"/>
    </row>
    <row r="2537" spans="9:10">
      <c r="I2537" s="68"/>
      <c r="J2537" s="68"/>
    </row>
    <row r="2538" spans="9:10">
      <c r="I2538" s="68"/>
      <c r="J2538" s="68"/>
    </row>
    <row r="2539" spans="9:10">
      <c r="I2539" s="68"/>
      <c r="J2539" s="68"/>
    </row>
    <row r="2540" spans="9:10">
      <c r="I2540" s="68"/>
      <c r="J2540" s="68"/>
    </row>
    <row r="2541" spans="9:10">
      <c r="I2541" s="68"/>
      <c r="J2541" s="68"/>
    </row>
    <row r="2542" spans="9:10">
      <c r="I2542" s="68"/>
      <c r="J2542" s="68"/>
    </row>
    <row r="2543" spans="9:10">
      <c r="I2543" s="68"/>
      <c r="J2543" s="68"/>
    </row>
    <row r="2544" spans="9:10">
      <c r="I2544" s="68"/>
      <c r="J2544" s="68"/>
    </row>
    <row r="2545" spans="9:10">
      <c r="I2545" s="68"/>
      <c r="J2545" s="68"/>
    </row>
    <row r="2546" spans="9:10">
      <c r="I2546" s="68"/>
      <c r="J2546" s="68"/>
    </row>
    <row r="2547" spans="9:10">
      <c r="I2547" s="68"/>
      <c r="J2547" s="68"/>
    </row>
    <row r="2548" spans="9:10">
      <c r="I2548" s="68"/>
      <c r="J2548" s="68"/>
    </row>
    <row r="2549" spans="9:10">
      <c r="I2549" s="68"/>
      <c r="J2549" s="68"/>
    </row>
    <row r="2550" spans="9:10">
      <c r="I2550" s="68"/>
      <c r="J2550" s="68"/>
    </row>
    <row r="2551" spans="9:10">
      <c r="I2551" s="68"/>
      <c r="J2551" s="68"/>
    </row>
    <row r="2552" spans="9:10">
      <c r="I2552" s="68"/>
      <c r="J2552" s="68"/>
    </row>
    <row r="2553" spans="9:10">
      <c r="I2553" s="68"/>
      <c r="J2553" s="68"/>
    </row>
    <row r="2554" spans="9:10">
      <c r="I2554" s="68"/>
      <c r="J2554" s="68"/>
    </row>
    <row r="2555" spans="9:10">
      <c r="I2555" s="68"/>
      <c r="J2555" s="68"/>
    </row>
    <row r="2556" spans="9:10">
      <c r="I2556" s="68"/>
      <c r="J2556" s="68"/>
    </row>
    <row r="2557" spans="9:10">
      <c r="I2557" s="68"/>
      <c r="J2557" s="68"/>
    </row>
    <row r="2558" spans="9:10">
      <c r="I2558" s="68"/>
      <c r="J2558" s="68"/>
    </row>
    <row r="2559" spans="9:10">
      <c r="I2559" s="68"/>
      <c r="J2559" s="68"/>
    </row>
    <row r="2560" spans="9:10">
      <c r="I2560" s="68"/>
      <c r="J2560" s="68"/>
    </row>
    <row r="2561" spans="9:10">
      <c r="I2561" s="68"/>
      <c r="J2561" s="68"/>
    </row>
    <row r="2562" spans="9:10">
      <c r="I2562" s="68"/>
      <c r="J2562" s="68"/>
    </row>
    <row r="2563" spans="9:10">
      <c r="I2563" s="68"/>
      <c r="J2563" s="68"/>
    </row>
    <row r="2564" spans="9:10">
      <c r="I2564" s="68"/>
      <c r="J2564" s="68"/>
    </row>
    <row r="2565" spans="9:10">
      <c r="I2565" s="68"/>
      <c r="J2565" s="68"/>
    </row>
    <row r="2566" spans="9:10">
      <c r="I2566" s="68"/>
      <c r="J2566" s="68"/>
    </row>
    <row r="2567" spans="9:10">
      <c r="I2567" s="68"/>
      <c r="J2567" s="68"/>
    </row>
    <row r="2568" spans="9:10">
      <c r="I2568" s="68"/>
      <c r="J2568" s="68"/>
    </row>
    <row r="2569" spans="9:10">
      <c r="I2569" s="68"/>
      <c r="J2569" s="68"/>
    </row>
    <row r="2570" spans="9:10">
      <c r="I2570" s="68"/>
      <c r="J2570" s="68"/>
    </row>
    <row r="2571" spans="9:10">
      <c r="I2571" s="68"/>
      <c r="J2571" s="68"/>
    </row>
    <row r="2572" spans="9:10">
      <c r="I2572" s="68"/>
      <c r="J2572" s="68"/>
    </row>
    <row r="2573" spans="9:10">
      <c r="I2573" s="68"/>
      <c r="J2573" s="68"/>
    </row>
    <row r="2574" spans="9:10">
      <c r="I2574" s="68"/>
      <c r="J2574" s="68"/>
    </row>
    <row r="2575" spans="9:10">
      <c r="I2575" s="68"/>
      <c r="J2575" s="68"/>
    </row>
    <row r="2576" spans="9:10">
      <c r="I2576" s="68"/>
      <c r="J2576" s="68"/>
    </row>
    <row r="2577" spans="9:10">
      <c r="I2577" s="68"/>
      <c r="J2577" s="68"/>
    </row>
    <row r="2578" spans="9:10">
      <c r="I2578" s="68"/>
      <c r="J2578" s="68"/>
    </row>
    <row r="2579" spans="9:10">
      <c r="I2579" s="68"/>
      <c r="J2579" s="68"/>
    </row>
    <row r="2580" spans="9:10">
      <c r="I2580" s="68"/>
      <c r="J2580" s="68"/>
    </row>
    <row r="2581" spans="9:10">
      <c r="I2581" s="68"/>
      <c r="J2581" s="68"/>
    </row>
    <row r="2582" spans="9:10">
      <c r="I2582" s="68"/>
      <c r="J2582" s="68"/>
    </row>
    <row r="2583" spans="9:10">
      <c r="I2583" s="68"/>
      <c r="J2583" s="68"/>
    </row>
    <row r="2584" spans="9:10">
      <c r="I2584" s="68"/>
      <c r="J2584" s="68"/>
    </row>
    <row r="2585" spans="9:10">
      <c r="I2585" s="68"/>
      <c r="J2585" s="68"/>
    </row>
    <row r="2586" spans="9:10">
      <c r="I2586" s="68"/>
      <c r="J2586" s="68"/>
    </row>
    <row r="2587" spans="9:10">
      <c r="I2587" s="68"/>
      <c r="J2587" s="68"/>
    </row>
    <row r="2588" spans="9:10">
      <c r="I2588" s="68"/>
      <c r="J2588" s="68"/>
    </row>
    <row r="2589" spans="9:10">
      <c r="I2589" s="68"/>
      <c r="J2589" s="68"/>
    </row>
    <row r="2590" spans="9:10">
      <c r="I2590" s="68"/>
      <c r="J2590" s="68"/>
    </row>
    <row r="2591" spans="9:10">
      <c r="I2591" s="68"/>
      <c r="J2591" s="68"/>
    </row>
    <row r="2592" spans="9:10">
      <c r="I2592" s="68"/>
      <c r="J2592" s="68"/>
    </row>
    <row r="2593" spans="9:10">
      <c r="I2593" s="68"/>
      <c r="J2593" s="68"/>
    </row>
    <row r="2594" spans="9:10">
      <c r="I2594" s="68"/>
      <c r="J2594" s="68"/>
    </row>
    <row r="2595" spans="9:10">
      <c r="I2595" s="68"/>
      <c r="J2595" s="68"/>
    </row>
    <row r="2596" spans="9:10">
      <c r="I2596" s="68"/>
      <c r="J2596" s="68"/>
    </row>
    <row r="2597" spans="9:10">
      <c r="I2597" s="68"/>
      <c r="J2597" s="68"/>
    </row>
    <row r="2598" spans="9:10">
      <c r="I2598" s="68"/>
      <c r="J2598" s="68"/>
    </row>
    <row r="2599" spans="9:10">
      <c r="I2599" s="68"/>
      <c r="J2599" s="68"/>
    </row>
    <row r="2600" spans="9:10">
      <c r="I2600" s="68"/>
      <c r="J2600" s="68"/>
    </row>
    <row r="2601" spans="9:10">
      <c r="I2601" s="68"/>
      <c r="J2601" s="68"/>
    </row>
    <row r="2602" spans="9:10">
      <c r="I2602" s="68"/>
      <c r="J2602" s="68"/>
    </row>
    <row r="2603" spans="9:10">
      <c r="I2603" s="68"/>
      <c r="J2603" s="68"/>
    </row>
    <row r="2604" spans="9:10">
      <c r="I2604" s="68"/>
      <c r="J2604" s="68"/>
    </row>
    <row r="2605" spans="9:10">
      <c r="I2605" s="68"/>
      <c r="J2605" s="68"/>
    </row>
    <row r="2606" spans="9:10">
      <c r="I2606" s="68"/>
      <c r="J2606" s="68"/>
    </row>
    <row r="2607" spans="9:10">
      <c r="I2607" s="68"/>
      <c r="J2607" s="68"/>
    </row>
    <row r="2608" spans="9:10">
      <c r="I2608" s="68"/>
      <c r="J2608" s="68"/>
    </row>
    <row r="2609" spans="9:10">
      <c r="I2609" s="68"/>
      <c r="J2609" s="68"/>
    </row>
    <row r="2610" spans="9:10">
      <c r="I2610" s="68"/>
      <c r="J2610" s="68"/>
    </row>
    <row r="2611" spans="9:10">
      <c r="I2611" s="68"/>
      <c r="J2611" s="68"/>
    </row>
    <row r="2612" spans="9:10">
      <c r="I2612" s="68"/>
      <c r="J2612" s="68"/>
    </row>
    <row r="2613" spans="9:10">
      <c r="I2613" s="68"/>
      <c r="J2613" s="68"/>
    </row>
    <row r="2614" spans="9:10">
      <c r="I2614" s="68"/>
      <c r="J2614" s="68"/>
    </row>
    <row r="2615" spans="9:10">
      <c r="I2615" s="68"/>
      <c r="J2615" s="68"/>
    </row>
    <row r="2616" spans="9:10">
      <c r="I2616" s="68"/>
      <c r="J2616" s="68"/>
    </row>
    <row r="2617" spans="9:10">
      <c r="I2617" s="68"/>
      <c r="J2617" s="68"/>
    </row>
    <row r="2618" spans="9:10">
      <c r="I2618" s="68"/>
      <c r="J2618" s="68"/>
    </row>
    <row r="2619" spans="9:10">
      <c r="I2619" s="68"/>
      <c r="J2619" s="68"/>
    </row>
    <row r="2620" spans="9:10">
      <c r="I2620" s="68"/>
      <c r="J2620" s="68"/>
    </row>
    <row r="2621" spans="9:10">
      <c r="I2621" s="68"/>
      <c r="J2621" s="68"/>
    </row>
    <row r="2622" spans="9:10">
      <c r="I2622" s="68"/>
      <c r="J2622" s="68"/>
    </row>
    <row r="2623" spans="9:10">
      <c r="I2623" s="68"/>
      <c r="J2623" s="68"/>
    </row>
    <row r="2624" spans="9:10">
      <c r="I2624" s="68"/>
      <c r="J2624" s="68"/>
    </row>
    <row r="2625" spans="9:10">
      <c r="I2625" s="68"/>
      <c r="J2625" s="68"/>
    </row>
    <row r="2626" spans="9:10">
      <c r="I2626" s="68"/>
      <c r="J2626" s="68"/>
    </row>
    <row r="2627" spans="9:10">
      <c r="I2627" s="68"/>
      <c r="J2627" s="68"/>
    </row>
    <row r="2628" spans="9:10">
      <c r="I2628" s="68"/>
      <c r="J2628" s="68"/>
    </row>
    <row r="2629" spans="9:10">
      <c r="I2629" s="68"/>
      <c r="J2629" s="68"/>
    </row>
    <row r="2630" spans="9:10">
      <c r="I2630" s="68"/>
      <c r="J2630" s="68"/>
    </row>
    <row r="2631" spans="9:10">
      <c r="I2631" s="68"/>
      <c r="J2631" s="68"/>
    </row>
    <row r="2632" spans="9:10">
      <c r="I2632" s="68"/>
      <c r="J2632" s="68"/>
    </row>
    <row r="2633" spans="9:10">
      <c r="I2633" s="68"/>
      <c r="J2633" s="68"/>
    </row>
    <row r="2634" spans="9:10">
      <c r="I2634" s="68"/>
      <c r="J2634" s="68"/>
    </row>
    <row r="2635" spans="9:10">
      <c r="I2635" s="68"/>
      <c r="J2635" s="68"/>
    </row>
    <row r="2636" spans="9:10">
      <c r="I2636" s="68"/>
      <c r="J2636" s="68"/>
    </row>
    <row r="2637" spans="9:10">
      <c r="I2637" s="68"/>
      <c r="J2637" s="68"/>
    </row>
    <row r="2638" spans="9:10">
      <c r="I2638" s="68"/>
      <c r="J2638" s="68"/>
    </row>
    <row r="2639" spans="9:10">
      <c r="I2639" s="68"/>
      <c r="J2639" s="68"/>
    </row>
    <row r="2640" spans="9:10">
      <c r="I2640" s="68"/>
      <c r="J2640" s="68"/>
    </row>
    <row r="2641" spans="9:10">
      <c r="I2641" s="68"/>
      <c r="J2641" s="68"/>
    </row>
    <row r="2642" spans="9:10">
      <c r="I2642" s="68"/>
      <c r="J2642" s="68"/>
    </row>
    <row r="2643" spans="9:10">
      <c r="I2643" s="68"/>
      <c r="J2643" s="68"/>
    </row>
    <row r="2644" spans="9:10">
      <c r="I2644" s="68"/>
      <c r="J2644" s="68"/>
    </row>
    <row r="2645" spans="9:10">
      <c r="I2645" s="68"/>
      <c r="J2645" s="68"/>
    </row>
    <row r="2646" spans="9:10">
      <c r="I2646" s="68"/>
      <c r="J2646" s="68"/>
    </row>
    <row r="2647" spans="9:10">
      <c r="I2647" s="68"/>
      <c r="J2647" s="68"/>
    </row>
    <row r="2648" spans="9:10">
      <c r="I2648" s="68"/>
      <c r="J2648" s="68"/>
    </row>
    <row r="2649" spans="9:10">
      <c r="I2649" s="68"/>
      <c r="J2649" s="68"/>
    </row>
    <row r="2650" spans="9:10">
      <c r="I2650" s="68"/>
      <c r="J2650" s="68"/>
    </row>
    <row r="2651" spans="9:10">
      <c r="I2651" s="68"/>
      <c r="J2651" s="68"/>
    </row>
    <row r="2652" spans="9:10">
      <c r="I2652" s="68"/>
      <c r="J2652" s="68"/>
    </row>
    <row r="2653" spans="9:10">
      <c r="I2653" s="68"/>
      <c r="J2653" s="68"/>
    </row>
    <row r="2654" spans="9:10">
      <c r="I2654" s="68"/>
      <c r="J2654" s="68"/>
    </row>
    <row r="2655" spans="9:10">
      <c r="I2655" s="68"/>
      <c r="J2655" s="68"/>
    </row>
    <row r="2656" spans="9:10">
      <c r="I2656" s="68"/>
      <c r="J2656" s="68"/>
    </row>
    <row r="2657" spans="9:10">
      <c r="I2657" s="68"/>
      <c r="J2657" s="68"/>
    </row>
    <row r="2658" spans="9:10">
      <c r="I2658" s="68"/>
      <c r="J2658" s="68"/>
    </row>
    <row r="2659" spans="9:10">
      <c r="I2659" s="68"/>
      <c r="J2659" s="68"/>
    </row>
    <row r="2660" spans="9:10">
      <c r="I2660" s="68"/>
      <c r="J2660" s="68"/>
    </row>
    <row r="2661" spans="9:10">
      <c r="I2661" s="68"/>
      <c r="J2661" s="68"/>
    </row>
    <row r="2662" spans="9:10">
      <c r="I2662" s="68"/>
      <c r="J2662" s="68"/>
    </row>
    <row r="2663" spans="9:10">
      <c r="I2663" s="68"/>
      <c r="J2663" s="68"/>
    </row>
    <row r="2664" spans="9:10">
      <c r="I2664" s="68"/>
      <c r="J2664" s="68"/>
    </row>
    <row r="2665" spans="9:10">
      <c r="I2665" s="68"/>
      <c r="J2665" s="68"/>
    </row>
    <row r="2666" spans="9:10">
      <c r="I2666" s="68"/>
      <c r="J2666" s="68"/>
    </row>
    <row r="2667" spans="9:10">
      <c r="I2667" s="68"/>
      <c r="J2667" s="68"/>
    </row>
    <row r="2668" spans="9:10">
      <c r="I2668" s="68"/>
      <c r="J2668" s="68"/>
    </row>
    <row r="2669" spans="9:10">
      <c r="I2669" s="68"/>
      <c r="J2669" s="68"/>
    </row>
    <row r="2670" spans="9:10">
      <c r="I2670" s="68"/>
      <c r="J2670" s="68"/>
    </row>
    <row r="2671" spans="9:10">
      <c r="I2671" s="68"/>
      <c r="J2671" s="68"/>
    </row>
    <row r="2672" spans="9:10">
      <c r="I2672" s="68"/>
      <c r="J2672" s="68"/>
    </row>
    <row r="2673" spans="9:10">
      <c r="I2673" s="68"/>
      <c r="J2673" s="68"/>
    </row>
    <row r="2674" spans="9:10">
      <c r="I2674" s="68"/>
      <c r="J2674" s="68"/>
    </row>
    <row r="2675" spans="9:10">
      <c r="I2675" s="68"/>
      <c r="J2675" s="68"/>
    </row>
    <row r="2676" spans="9:10">
      <c r="I2676" s="68"/>
      <c r="J2676" s="68"/>
    </row>
    <row r="2677" spans="9:10">
      <c r="I2677" s="68"/>
      <c r="J2677" s="68"/>
    </row>
    <row r="2678" spans="9:10">
      <c r="I2678" s="68"/>
      <c r="J2678" s="68"/>
    </row>
    <row r="2679" spans="9:10">
      <c r="I2679" s="68"/>
      <c r="J2679" s="68"/>
    </row>
    <row r="2680" spans="9:10">
      <c r="I2680" s="68"/>
      <c r="J2680" s="68"/>
    </row>
    <row r="2681" spans="9:10">
      <c r="I2681" s="68"/>
      <c r="J2681" s="68"/>
    </row>
    <row r="2682" spans="9:10">
      <c r="I2682" s="68"/>
      <c r="J2682" s="68"/>
    </row>
    <row r="2683" spans="9:10">
      <c r="I2683" s="68"/>
      <c r="J2683" s="68"/>
    </row>
    <row r="2684" spans="9:10">
      <c r="I2684" s="68"/>
      <c r="J2684" s="68"/>
    </row>
    <row r="2685" spans="9:10">
      <c r="I2685" s="68"/>
      <c r="J2685" s="68"/>
    </row>
    <row r="2686" spans="9:10">
      <c r="I2686" s="68"/>
      <c r="J2686" s="68"/>
    </row>
    <row r="2687" spans="9:10">
      <c r="I2687" s="68"/>
      <c r="J2687" s="68"/>
    </row>
    <row r="2688" spans="9:10">
      <c r="I2688" s="68"/>
      <c r="J2688" s="68"/>
    </row>
    <row r="2689" spans="9:10">
      <c r="I2689" s="68"/>
      <c r="J2689" s="68"/>
    </row>
    <row r="2690" spans="9:10">
      <c r="I2690" s="68"/>
      <c r="J2690" s="68"/>
    </row>
    <row r="2691" spans="9:10">
      <c r="I2691" s="68"/>
      <c r="J2691" s="68"/>
    </row>
    <row r="2692" spans="9:10">
      <c r="I2692" s="68"/>
      <c r="J2692" s="68"/>
    </row>
    <row r="2693" spans="9:10">
      <c r="I2693" s="68"/>
      <c r="J2693" s="68"/>
    </row>
    <row r="2694" spans="9:10">
      <c r="I2694" s="68"/>
      <c r="J2694" s="68"/>
    </row>
    <row r="2695" spans="9:10">
      <c r="I2695" s="68"/>
      <c r="J2695" s="68"/>
    </row>
    <row r="2696" spans="9:10">
      <c r="I2696" s="68"/>
      <c r="J2696" s="68"/>
    </row>
    <row r="2697" spans="9:10">
      <c r="I2697" s="68"/>
      <c r="J2697" s="68"/>
    </row>
    <row r="2698" spans="9:10">
      <c r="I2698" s="68"/>
      <c r="J2698" s="68"/>
    </row>
    <row r="2699" spans="9:10">
      <c r="I2699" s="68"/>
      <c r="J2699" s="68"/>
    </row>
    <row r="2700" spans="9:10">
      <c r="I2700" s="68"/>
      <c r="J2700" s="68"/>
    </row>
    <row r="2701" spans="9:10">
      <c r="I2701" s="68"/>
      <c r="J2701" s="68"/>
    </row>
    <row r="2702" spans="9:10">
      <c r="I2702" s="68"/>
      <c r="J2702" s="68"/>
    </row>
    <row r="2703" spans="9:10">
      <c r="I2703" s="68"/>
      <c r="J2703" s="68"/>
    </row>
    <row r="2704" spans="9:10">
      <c r="I2704" s="68"/>
      <c r="J2704" s="68"/>
    </row>
    <row r="2705" spans="9:10">
      <c r="I2705" s="68"/>
      <c r="J2705" s="68"/>
    </row>
    <row r="2706" spans="9:10">
      <c r="I2706" s="68"/>
      <c r="J2706" s="68"/>
    </row>
    <row r="2707" spans="9:10">
      <c r="I2707" s="68"/>
      <c r="J2707" s="68"/>
    </row>
    <row r="2708" spans="9:10">
      <c r="I2708" s="68"/>
      <c r="J2708" s="68"/>
    </row>
    <row r="2709" spans="9:10">
      <c r="I2709" s="68"/>
      <c r="J2709" s="68"/>
    </row>
    <row r="2710" spans="9:10">
      <c r="I2710" s="68"/>
      <c r="J2710" s="68"/>
    </row>
    <row r="2711" spans="9:10">
      <c r="I2711" s="68"/>
      <c r="J2711" s="68"/>
    </row>
    <row r="2712" spans="9:10">
      <c r="I2712" s="68"/>
      <c r="J2712" s="68"/>
    </row>
    <row r="2713" spans="9:10">
      <c r="I2713" s="68"/>
      <c r="J2713" s="68"/>
    </row>
    <row r="2714" spans="9:10">
      <c r="I2714" s="68"/>
      <c r="J2714" s="68"/>
    </row>
    <row r="2715" spans="9:10">
      <c r="I2715" s="68"/>
      <c r="J2715" s="68"/>
    </row>
    <row r="2716" spans="9:10">
      <c r="I2716" s="68"/>
      <c r="J2716" s="68"/>
    </row>
    <row r="2717" spans="9:10">
      <c r="I2717" s="68"/>
      <c r="J2717" s="68"/>
    </row>
    <row r="2718" spans="9:10">
      <c r="I2718" s="68"/>
      <c r="J2718" s="68"/>
    </row>
    <row r="2719" spans="9:10">
      <c r="I2719" s="68"/>
      <c r="J2719" s="68"/>
    </row>
    <row r="2720" spans="9:10">
      <c r="I2720" s="68"/>
      <c r="J2720" s="68"/>
    </row>
    <row r="2721" spans="9:10">
      <c r="I2721" s="68"/>
      <c r="J2721" s="68"/>
    </row>
    <row r="2722" spans="9:10">
      <c r="I2722" s="68"/>
      <c r="J2722" s="68"/>
    </row>
    <row r="2723" spans="9:10">
      <c r="I2723" s="68"/>
      <c r="J2723" s="68"/>
    </row>
    <row r="2724" spans="9:10">
      <c r="I2724" s="68"/>
      <c r="J2724" s="68"/>
    </row>
    <row r="2725" spans="9:10">
      <c r="I2725" s="68"/>
      <c r="J2725" s="68"/>
    </row>
    <row r="2726" spans="9:10">
      <c r="I2726" s="68"/>
      <c r="J2726" s="68"/>
    </row>
    <row r="2727" spans="9:10">
      <c r="I2727" s="68"/>
      <c r="J2727" s="68"/>
    </row>
    <row r="2728" spans="9:10">
      <c r="I2728" s="68"/>
      <c r="J2728" s="68"/>
    </row>
    <row r="2729" spans="9:10">
      <c r="I2729" s="68"/>
      <c r="J2729" s="68"/>
    </row>
    <row r="2730" spans="9:10">
      <c r="I2730" s="68"/>
      <c r="J2730" s="68"/>
    </row>
    <row r="2731" spans="9:10">
      <c r="I2731" s="68"/>
      <c r="J2731" s="68"/>
    </row>
    <row r="2732" spans="9:10">
      <c r="I2732" s="68"/>
      <c r="J2732" s="68"/>
    </row>
    <row r="2733" spans="9:10">
      <c r="I2733" s="68"/>
      <c r="J2733" s="68"/>
    </row>
    <row r="2734" spans="9:10">
      <c r="I2734" s="68"/>
      <c r="J2734" s="68"/>
    </row>
    <row r="2735" spans="9:10">
      <c r="I2735" s="68"/>
      <c r="J2735" s="68"/>
    </row>
    <row r="2736" spans="9:10">
      <c r="I2736" s="68"/>
      <c r="J2736" s="68"/>
    </row>
    <row r="2737" spans="9:10">
      <c r="I2737" s="68"/>
      <c r="J2737" s="68"/>
    </row>
    <row r="2738" spans="9:10">
      <c r="I2738" s="68"/>
      <c r="J2738" s="68"/>
    </row>
    <row r="2739" spans="9:10">
      <c r="I2739" s="68"/>
      <c r="J2739" s="68"/>
    </row>
    <row r="2740" spans="9:10">
      <c r="I2740" s="68"/>
      <c r="J2740" s="68"/>
    </row>
    <row r="2741" spans="9:10">
      <c r="I2741" s="68"/>
      <c r="J2741" s="68"/>
    </row>
    <row r="2742" spans="9:10">
      <c r="I2742" s="68"/>
      <c r="J2742" s="68"/>
    </row>
    <row r="2743" spans="9:10">
      <c r="I2743" s="68"/>
      <c r="J2743" s="68"/>
    </row>
    <row r="2744" spans="9:10">
      <c r="I2744" s="68"/>
      <c r="J2744" s="68"/>
    </row>
    <row r="2745" spans="9:10">
      <c r="I2745" s="68"/>
      <c r="J2745" s="68"/>
    </row>
    <row r="2746" spans="9:10">
      <c r="I2746" s="68"/>
      <c r="J2746" s="68"/>
    </row>
    <row r="2747" spans="9:10">
      <c r="I2747" s="68"/>
      <c r="J2747" s="68"/>
    </row>
    <row r="2748" spans="9:10">
      <c r="I2748" s="68"/>
      <c r="J2748" s="68"/>
    </row>
    <row r="2749" spans="9:10">
      <c r="I2749" s="68"/>
      <c r="J2749" s="68"/>
    </row>
    <row r="2750" spans="9:10">
      <c r="I2750" s="68"/>
      <c r="J2750" s="68"/>
    </row>
    <row r="2751" spans="9:10">
      <c r="I2751" s="68"/>
      <c r="J2751" s="68"/>
    </row>
    <row r="2752" spans="9:10">
      <c r="I2752" s="68"/>
      <c r="J2752" s="68"/>
    </row>
    <row r="2753" spans="9:10">
      <c r="I2753" s="68"/>
      <c r="J2753" s="68"/>
    </row>
    <row r="2754" spans="9:10">
      <c r="I2754" s="68"/>
      <c r="J2754" s="68"/>
    </row>
    <row r="2755" spans="9:10">
      <c r="I2755" s="68"/>
      <c r="J2755" s="68"/>
    </row>
    <row r="2756" spans="9:10">
      <c r="I2756" s="68"/>
      <c r="J2756" s="68"/>
    </row>
    <row r="2757" spans="9:10">
      <c r="I2757" s="68"/>
      <c r="J2757" s="68"/>
    </row>
    <row r="2758" spans="9:10">
      <c r="I2758" s="68"/>
      <c r="J2758" s="68"/>
    </row>
    <row r="2759" spans="9:10">
      <c r="I2759" s="68"/>
      <c r="J2759" s="68"/>
    </row>
    <row r="2760" spans="9:10">
      <c r="I2760" s="68"/>
      <c r="J2760" s="68"/>
    </row>
    <row r="2761" spans="9:10">
      <c r="I2761" s="68"/>
      <c r="J2761" s="68"/>
    </row>
    <row r="2762" spans="9:10">
      <c r="I2762" s="68"/>
      <c r="J2762" s="68"/>
    </row>
    <row r="2763" spans="9:10">
      <c r="I2763" s="68"/>
      <c r="J2763" s="68"/>
    </row>
    <row r="2764" spans="9:10">
      <c r="I2764" s="68"/>
      <c r="J2764" s="68"/>
    </row>
    <row r="2765" spans="9:10">
      <c r="I2765" s="68"/>
      <c r="J2765" s="68"/>
    </row>
    <row r="2766" spans="9:10">
      <c r="I2766" s="68"/>
      <c r="J2766" s="68"/>
    </row>
    <row r="2767" spans="9:10">
      <c r="I2767" s="68"/>
      <c r="J2767" s="68"/>
    </row>
    <row r="2768" spans="9:10">
      <c r="I2768" s="68"/>
      <c r="J2768" s="68"/>
    </row>
    <row r="2769" spans="9:10">
      <c r="I2769" s="68"/>
      <c r="J2769" s="68"/>
    </row>
    <row r="2770" spans="9:10">
      <c r="I2770" s="68"/>
      <c r="J2770" s="68"/>
    </row>
    <row r="2771" spans="9:10">
      <c r="I2771" s="68"/>
      <c r="J2771" s="68"/>
    </row>
    <row r="2772" spans="9:10">
      <c r="I2772" s="68"/>
      <c r="J2772" s="68"/>
    </row>
    <row r="2773" spans="9:10">
      <c r="I2773" s="68"/>
      <c r="J2773" s="68"/>
    </row>
    <row r="2774" spans="9:10">
      <c r="I2774" s="68"/>
      <c r="J2774" s="68"/>
    </row>
    <row r="2775" spans="9:10">
      <c r="I2775" s="68"/>
      <c r="J2775" s="68"/>
    </row>
    <row r="2776" spans="9:10">
      <c r="I2776" s="68"/>
      <c r="J2776" s="68"/>
    </row>
    <row r="2777" spans="9:10">
      <c r="I2777" s="68"/>
      <c r="J2777" s="68"/>
    </row>
    <row r="2778" spans="9:10">
      <c r="I2778" s="68"/>
      <c r="J2778" s="68"/>
    </row>
    <row r="2779" spans="9:10">
      <c r="I2779" s="68"/>
      <c r="J2779" s="68"/>
    </row>
    <row r="2780" spans="9:10">
      <c r="I2780" s="68"/>
      <c r="J2780" s="68"/>
    </row>
    <row r="2781" spans="9:10">
      <c r="I2781" s="68"/>
      <c r="J2781" s="68"/>
    </row>
    <row r="2782" spans="9:10">
      <c r="I2782" s="68"/>
      <c r="J2782" s="68"/>
    </row>
    <row r="2783" spans="9:10">
      <c r="I2783" s="68"/>
      <c r="J2783" s="68"/>
    </row>
    <row r="2784" spans="9:10">
      <c r="I2784" s="68"/>
      <c r="J2784" s="68"/>
    </row>
    <row r="2785" spans="9:10">
      <c r="I2785" s="68"/>
      <c r="J2785" s="68"/>
    </row>
    <row r="2786" spans="9:10">
      <c r="I2786" s="68"/>
      <c r="J2786" s="68"/>
    </row>
    <row r="2787" spans="9:10">
      <c r="I2787" s="68"/>
      <c r="J2787" s="68"/>
    </row>
    <row r="2788" spans="9:10">
      <c r="I2788" s="68"/>
      <c r="J2788" s="68"/>
    </row>
    <row r="2789" spans="9:10">
      <c r="I2789" s="68"/>
      <c r="J2789" s="68"/>
    </row>
    <row r="2790" spans="9:10">
      <c r="I2790" s="68"/>
      <c r="J2790" s="68"/>
    </row>
    <row r="2791" spans="9:10">
      <c r="I2791" s="68"/>
      <c r="J2791" s="68"/>
    </row>
    <row r="2792" spans="9:10">
      <c r="I2792" s="68"/>
      <c r="J2792" s="68"/>
    </row>
    <row r="2793" spans="9:10">
      <c r="I2793" s="68"/>
      <c r="J2793" s="68"/>
    </row>
    <row r="2794" spans="9:10">
      <c r="I2794" s="68"/>
      <c r="J2794" s="68"/>
    </row>
    <row r="2795" spans="9:10">
      <c r="I2795" s="68"/>
      <c r="J2795" s="68"/>
    </row>
    <row r="2796" spans="9:10">
      <c r="I2796" s="68"/>
      <c r="J2796" s="68"/>
    </row>
    <row r="2797" spans="9:10">
      <c r="I2797" s="68"/>
      <c r="J2797" s="68"/>
    </row>
    <row r="2798" spans="9:10">
      <c r="I2798" s="68"/>
      <c r="J2798" s="68"/>
    </row>
    <row r="2799" spans="9:10">
      <c r="I2799" s="68"/>
      <c r="J2799" s="68"/>
    </row>
    <row r="2800" spans="9:10">
      <c r="I2800" s="68"/>
      <c r="J2800" s="68"/>
    </row>
    <row r="2801" spans="9:10">
      <c r="I2801" s="68"/>
      <c r="J2801" s="68"/>
    </row>
    <row r="2802" spans="9:10">
      <c r="I2802" s="68"/>
      <c r="J2802" s="68"/>
    </row>
    <row r="2803" spans="9:10">
      <c r="I2803" s="68"/>
      <c r="J2803" s="68"/>
    </row>
    <row r="2804" spans="9:10">
      <c r="I2804" s="68"/>
      <c r="J2804" s="68"/>
    </row>
    <row r="2805" spans="9:10">
      <c r="I2805" s="68"/>
      <c r="J2805" s="68"/>
    </row>
    <row r="2806" spans="9:10">
      <c r="I2806" s="68"/>
      <c r="J2806" s="68"/>
    </row>
    <row r="2807" spans="9:10">
      <c r="I2807" s="68"/>
      <c r="J2807" s="68"/>
    </row>
    <row r="2808" spans="9:10">
      <c r="I2808" s="68"/>
      <c r="J2808" s="68"/>
    </row>
    <row r="2809" spans="9:10">
      <c r="I2809" s="68"/>
      <c r="J2809" s="68"/>
    </row>
    <row r="2810" spans="9:10">
      <c r="I2810" s="68"/>
      <c r="J2810" s="68"/>
    </row>
    <row r="2811" spans="9:10">
      <c r="I2811" s="68"/>
      <c r="J2811" s="68"/>
    </row>
    <row r="2812" spans="9:10">
      <c r="I2812" s="68"/>
      <c r="J2812" s="68"/>
    </row>
    <row r="2813" spans="9:10">
      <c r="I2813" s="68"/>
      <c r="J2813" s="68"/>
    </row>
    <row r="2814" spans="9:10">
      <c r="I2814" s="68"/>
      <c r="J2814" s="68"/>
    </row>
    <row r="2815" spans="9:10">
      <c r="I2815" s="68"/>
      <c r="J2815" s="68"/>
    </row>
    <row r="2816" spans="9:10">
      <c r="I2816" s="68"/>
      <c r="J2816" s="68"/>
    </row>
    <row r="2817" spans="9:10">
      <c r="I2817" s="68"/>
      <c r="J2817" s="68"/>
    </row>
    <row r="2818" spans="9:10">
      <c r="I2818" s="68"/>
      <c r="J2818" s="68"/>
    </row>
    <row r="2819" spans="9:10">
      <c r="I2819" s="68"/>
      <c r="J2819" s="68"/>
    </row>
    <row r="2820" spans="9:10">
      <c r="I2820" s="68"/>
      <c r="J2820" s="68"/>
    </row>
    <row r="2821" spans="9:10">
      <c r="I2821" s="68"/>
      <c r="J2821" s="68"/>
    </row>
    <row r="2822" spans="9:10">
      <c r="I2822" s="68"/>
      <c r="J2822" s="68"/>
    </row>
    <row r="2823" spans="9:10">
      <c r="I2823" s="68"/>
      <c r="J2823" s="68"/>
    </row>
    <row r="2824" spans="9:10">
      <c r="I2824" s="68"/>
      <c r="J2824" s="68"/>
    </row>
    <row r="2825" spans="9:10">
      <c r="I2825" s="68"/>
      <c r="J2825" s="68"/>
    </row>
    <row r="2826" spans="9:10">
      <c r="I2826" s="68"/>
      <c r="J2826" s="68"/>
    </row>
    <row r="2827" spans="9:10">
      <c r="I2827" s="68"/>
      <c r="J2827" s="68"/>
    </row>
    <row r="2828" spans="9:10">
      <c r="I2828" s="68"/>
      <c r="J2828" s="68"/>
    </row>
    <row r="2829" spans="9:10">
      <c r="I2829" s="68"/>
      <c r="J2829" s="68"/>
    </row>
    <row r="2830" spans="9:10">
      <c r="I2830" s="68"/>
      <c r="J2830" s="68"/>
    </row>
    <row r="2831" spans="9:10">
      <c r="I2831" s="68"/>
      <c r="J2831" s="68"/>
    </row>
    <row r="2832" spans="9:10">
      <c r="I2832" s="68"/>
      <c r="J2832" s="68"/>
    </row>
    <row r="2833" spans="9:10">
      <c r="I2833" s="68"/>
      <c r="J2833" s="68"/>
    </row>
    <row r="2834" spans="9:10">
      <c r="I2834" s="68"/>
      <c r="J2834" s="68"/>
    </row>
    <row r="2835" spans="9:10">
      <c r="I2835" s="68"/>
      <c r="J2835" s="68"/>
    </row>
    <row r="2836" spans="9:10">
      <c r="I2836" s="68"/>
      <c r="J2836" s="68"/>
    </row>
    <row r="2837" spans="9:10">
      <c r="I2837" s="68"/>
      <c r="J2837" s="68"/>
    </row>
    <row r="2838" spans="9:10">
      <c r="I2838" s="68"/>
      <c r="J2838" s="68"/>
    </row>
    <row r="2839" spans="9:10">
      <c r="I2839" s="68"/>
      <c r="J2839" s="68"/>
    </row>
    <row r="2840" spans="9:10">
      <c r="I2840" s="68"/>
      <c r="J2840" s="68"/>
    </row>
    <row r="2841" spans="9:10">
      <c r="I2841" s="68"/>
      <c r="J2841" s="68"/>
    </row>
    <row r="2842" spans="9:10">
      <c r="I2842" s="68"/>
      <c r="J2842" s="68"/>
    </row>
    <row r="2843" spans="9:10">
      <c r="I2843" s="68"/>
      <c r="J2843" s="68"/>
    </row>
    <row r="2844" spans="9:10">
      <c r="I2844" s="68"/>
      <c r="J2844" s="68"/>
    </row>
    <row r="2845" spans="9:10">
      <c r="I2845" s="68"/>
      <c r="J2845" s="68"/>
    </row>
    <row r="2846" spans="9:10">
      <c r="I2846" s="68"/>
      <c r="J2846" s="68"/>
    </row>
    <row r="2847" spans="9:10">
      <c r="I2847" s="68"/>
      <c r="J2847" s="68"/>
    </row>
    <row r="2848" spans="9:10">
      <c r="I2848" s="68"/>
      <c r="J2848" s="68"/>
    </row>
    <row r="2849" spans="9:10">
      <c r="I2849" s="68"/>
      <c r="J2849" s="68"/>
    </row>
    <row r="2850" spans="9:10">
      <c r="I2850" s="68"/>
      <c r="J2850" s="68"/>
    </row>
    <row r="2851" spans="9:10">
      <c r="I2851" s="68"/>
      <c r="J2851" s="68"/>
    </row>
    <row r="2852" spans="9:10">
      <c r="I2852" s="68"/>
      <c r="J2852" s="68"/>
    </row>
    <row r="2853" spans="9:10">
      <c r="I2853" s="68"/>
      <c r="J2853" s="68"/>
    </row>
    <row r="2854" spans="9:10">
      <c r="I2854" s="68"/>
      <c r="J2854" s="68"/>
    </row>
    <row r="2855" spans="9:10">
      <c r="I2855" s="68"/>
      <c r="J2855" s="68"/>
    </row>
    <row r="2856" spans="9:10">
      <c r="I2856" s="68"/>
      <c r="J2856" s="68"/>
    </row>
    <row r="2857" spans="9:10">
      <c r="I2857" s="68"/>
      <c r="J2857" s="68"/>
    </row>
    <row r="2858" spans="9:10">
      <c r="I2858" s="68"/>
      <c r="J2858" s="68"/>
    </row>
    <row r="2859" spans="9:10">
      <c r="I2859" s="68"/>
      <c r="J2859" s="68"/>
    </row>
    <row r="2860" spans="9:10">
      <c r="I2860" s="68"/>
      <c r="J2860" s="68"/>
    </row>
    <row r="2861" spans="9:10">
      <c r="I2861" s="68"/>
      <c r="J2861" s="68"/>
    </row>
    <row r="2862" spans="9:10">
      <c r="I2862" s="68"/>
      <c r="J2862" s="68"/>
    </row>
    <row r="2863" spans="9:10">
      <c r="I2863" s="68"/>
      <c r="J2863" s="68"/>
    </row>
    <row r="2864" spans="9:10">
      <c r="I2864" s="68"/>
      <c r="J2864" s="68"/>
    </row>
    <row r="2865" spans="9:10">
      <c r="I2865" s="68"/>
      <c r="J2865" s="68"/>
    </row>
    <row r="2866" spans="9:10">
      <c r="I2866" s="68"/>
      <c r="J2866" s="68"/>
    </row>
    <row r="2867" spans="9:10">
      <c r="I2867" s="68"/>
      <c r="J2867" s="68"/>
    </row>
    <row r="2868" spans="9:10">
      <c r="I2868" s="68"/>
      <c r="J2868" s="68"/>
    </row>
    <row r="2869" spans="9:10">
      <c r="I2869" s="68"/>
      <c r="J2869" s="68"/>
    </row>
    <row r="2870" spans="9:10">
      <c r="I2870" s="68"/>
      <c r="J2870" s="68"/>
    </row>
    <row r="2871" spans="9:10">
      <c r="I2871" s="68"/>
      <c r="J2871" s="68"/>
    </row>
    <row r="2872" spans="9:10">
      <c r="I2872" s="68"/>
      <c r="J2872" s="68"/>
    </row>
    <row r="2873" spans="9:10">
      <c r="I2873" s="68"/>
      <c r="J2873" s="68"/>
    </row>
    <row r="2874" spans="9:10">
      <c r="I2874" s="68"/>
      <c r="J2874" s="68"/>
    </row>
    <row r="2875" spans="9:10">
      <c r="I2875" s="68"/>
      <c r="J2875" s="68"/>
    </row>
    <row r="2876" spans="9:10">
      <c r="I2876" s="68"/>
      <c r="J2876" s="68"/>
    </row>
    <row r="2877" spans="9:10">
      <c r="I2877" s="68"/>
      <c r="J2877" s="68"/>
    </row>
    <row r="2878" spans="9:10">
      <c r="I2878" s="68"/>
      <c r="J2878" s="68"/>
    </row>
    <row r="2879" spans="9:10">
      <c r="I2879" s="68"/>
      <c r="J2879" s="68"/>
    </row>
    <row r="2880" spans="9:10">
      <c r="I2880" s="68"/>
      <c r="J2880" s="68"/>
    </row>
    <row r="2881" spans="9:10">
      <c r="I2881" s="68"/>
      <c r="J2881" s="68"/>
    </row>
    <row r="2882" spans="9:10">
      <c r="I2882" s="68"/>
      <c r="J2882" s="68"/>
    </row>
    <row r="2883" spans="9:10">
      <c r="I2883" s="68"/>
      <c r="J2883" s="68"/>
    </row>
    <row r="2884" spans="9:10">
      <c r="I2884" s="68"/>
      <c r="J2884" s="68"/>
    </row>
    <row r="2885" spans="9:10">
      <c r="I2885" s="68"/>
      <c r="J2885" s="68"/>
    </row>
    <row r="2886" spans="9:10">
      <c r="I2886" s="68"/>
      <c r="J2886" s="68"/>
    </row>
    <row r="2887" spans="9:10">
      <c r="I2887" s="68"/>
      <c r="J2887" s="68"/>
    </row>
    <row r="2888" spans="9:10">
      <c r="I2888" s="68"/>
      <c r="J2888" s="68"/>
    </row>
    <row r="2889" spans="9:10">
      <c r="I2889" s="68"/>
      <c r="J2889" s="68"/>
    </row>
    <row r="2890" spans="9:10">
      <c r="I2890" s="68"/>
      <c r="J2890" s="68"/>
    </row>
    <row r="2891" spans="9:10">
      <c r="I2891" s="68"/>
      <c r="J2891" s="68"/>
    </row>
    <row r="2892" spans="9:10">
      <c r="I2892" s="68"/>
      <c r="J2892" s="68"/>
    </row>
    <row r="2893" spans="9:10">
      <c r="I2893" s="68"/>
      <c r="J2893" s="68"/>
    </row>
    <row r="2894" spans="9:10">
      <c r="I2894" s="68"/>
      <c r="J2894" s="68"/>
    </row>
    <row r="2895" spans="9:10">
      <c r="I2895" s="68"/>
      <c r="J2895" s="68"/>
    </row>
    <row r="2896" spans="9:10">
      <c r="I2896" s="68"/>
      <c r="J2896" s="68"/>
    </row>
    <row r="2897" spans="9:10">
      <c r="I2897" s="68"/>
      <c r="J2897" s="68"/>
    </row>
    <row r="2898" spans="9:10">
      <c r="I2898" s="68"/>
      <c r="J2898" s="68"/>
    </row>
    <row r="2899" spans="9:10">
      <c r="I2899" s="68"/>
      <c r="J2899" s="68"/>
    </row>
    <row r="2900" spans="9:10">
      <c r="I2900" s="68"/>
      <c r="J2900" s="68"/>
    </row>
    <row r="2901" spans="9:10">
      <c r="I2901" s="68"/>
      <c r="J2901" s="68"/>
    </row>
    <row r="2902" spans="9:10">
      <c r="I2902" s="68"/>
      <c r="J2902" s="68"/>
    </row>
    <row r="2903" spans="9:10">
      <c r="I2903" s="68"/>
      <c r="J2903" s="68"/>
    </row>
    <row r="2904" spans="9:10">
      <c r="I2904" s="68"/>
      <c r="J2904" s="68"/>
    </row>
    <row r="2905" spans="9:10">
      <c r="I2905" s="68"/>
      <c r="J2905" s="68"/>
    </row>
    <row r="2906" spans="9:10">
      <c r="I2906" s="68"/>
      <c r="J2906" s="68"/>
    </row>
    <row r="2907" spans="9:10">
      <c r="I2907" s="68"/>
      <c r="J2907" s="68"/>
    </row>
    <row r="2908" spans="9:10">
      <c r="I2908" s="68"/>
      <c r="J2908" s="68"/>
    </row>
    <row r="2909" spans="9:10">
      <c r="I2909" s="68"/>
      <c r="J2909" s="68"/>
    </row>
    <row r="2910" spans="9:10">
      <c r="I2910" s="68"/>
      <c r="J2910" s="68"/>
    </row>
    <row r="2911" spans="9:10">
      <c r="I2911" s="68"/>
      <c r="J2911" s="68"/>
    </row>
    <row r="2912" spans="9:10">
      <c r="I2912" s="68"/>
      <c r="J2912" s="68"/>
    </row>
    <row r="2913" spans="9:10">
      <c r="I2913" s="68"/>
      <c r="J2913" s="68"/>
    </row>
    <row r="2914" spans="9:10">
      <c r="I2914" s="68"/>
      <c r="J2914" s="68"/>
    </row>
    <row r="2915" spans="9:10">
      <c r="I2915" s="68"/>
      <c r="J2915" s="68"/>
    </row>
    <row r="2916" spans="9:10">
      <c r="I2916" s="68"/>
      <c r="J2916" s="68"/>
    </row>
    <row r="2917" spans="9:10">
      <c r="I2917" s="68"/>
      <c r="J2917" s="68"/>
    </row>
    <row r="2918" spans="9:10">
      <c r="I2918" s="68"/>
      <c r="J2918" s="68"/>
    </row>
    <row r="2919" spans="9:10">
      <c r="I2919" s="68"/>
      <c r="J2919" s="68"/>
    </row>
    <row r="2920" spans="9:10">
      <c r="I2920" s="68"/>
      <c r="J2920" s="68"/>
    </row>
    <row r="2921" spans="9:10">
      <c r="I2921" s="68"/>
      <c r="J2921" s="68"/>
    </row>
    <row r="2922" spans="9:10">
      <c r="I2922" s="68"/>
      <c r="J2922" s="68"/>
    </row>
    <row r="2923" spans="9:10">
      <c r="I2923" s="68"/>
      <c r="J2923" s="68"/>
    </row>
    <row r="2924" spans="9:10">
      <c r="I2924" s="68"/>
      <c r="J2924" s="68"/>
    </row>
    <row r="2925" spans="9:10">
      <c r="I2925" s="68"/>
      <c r="J2925" s="68"/>
    </row>
    <row r="2926" spans="9:10">
      <c r="I2926" s="68"/>
      <c r="J2926" s="68"/>
    </row>
    <row r="2927" spans="9:10">
      <c r="I2927" s="68"/>
      <c r="J2927" s="68"/>
    </row>
    <row r="2928" spans="9:10">
      <c r="I2928" s="68"/>
      <c r="J2928" s="68"/>
    </row>
    <row r="2929" spans="9:10">
      <c r="I2929" s="68"/>
      <c r="J2929" s="68"/>
    </row>
    <row r="2930" spans="9:10">
      <c r="I2930" s="68"/>
      <c r="J2930" s="68"/>
    </row>
    <row r="2931" spans="9:10">
      <c r="I2931" s="68"/>
      <c r="J2931" s="68"/>
    </row>
    <row r="2932" spans="9:10">
      <c r="I2932" s="68"/>
      <c r="J2932" s="68"/>
    </row>
    <row r="2933" spans="9:10">
      <c r="I2933" s="68"/>
      <c r="J2933" s="68"/>
    </row>
    <row r="2934" spans="9:10">
      <c r="I2934" s="68"/>
      <c r="J2934" s="68"/>
    </row>
    <row r="2935" spans="9:10">
      <c r="I2935" s="68"/>
      <c r="J2935" s="68"/>
    </row>
    <row r="2936" spans="9:10">
      <c r="I2936" s="68"/>
      <c r="J2936" s="68"/>
    </row>
    <row r="2937" spans="9:10">
      <c r="I2937" s="68"/>
      <c r="J2937" s="68"/>
    </row>
    <row r="2938" spans="9:10">
      <c r="I2938" s="68"/>
      <c r="J2938" s="68"/>
    </row>
    <row r="2939" spans="9:10">
      <c r="I2939" s="68"/>
      <c r="J2939" s="68"/>
    </row>
    <row r="2940" spans="9:10">
      <c r="I2940" s="68"/>
      <c r="J2940" s="68"/>
    </row>
    <row r="2941" spans="9:10">
      <c r="I2941" s="68"/>
      <c r="J2941" s="68"/>
    </row>
    <row r="2942" spans="9:10">
      <c r="I2942" s="68"/>
      <c r="J2942" s="68"/>
    </row>
    <row r="2943" spans="9:10">
      <c r="I2943" s="68"/>
      <c r="J2943" s="68"/>
    </row>
    <row r="2944" spans="9:10">
      <c r="I2944" s="68"/>
      <c r="J2944" s="68"/>
    </row>
    <row r="2945" spans="9:10">
      <c r="I2945" s="68"/>
      <c r="J2945" s="68"/>
    </row>
    <row r="2946" spans="9:10">
      <c r="I2946" s="68"/>
      <c r="J2946" s="68"/>
    </row>
    <row r="2947" spans="9:10">
      <c r="I2947" s="68"/>
      <c r="J2947" s="68"/>
    </row>
    <row r="2948" spans="9:10">
      <c r="I2948" s="68"/>
      <c r="J2948" s="68"/>
    </row>
    <row r="2949" spans="9:10">
      <c r="I2949" s="68"/>
      <c r="J2949" s="68"/>
    </row>
    <row r="2950" spans="9:10">
      <c r="I2950" s="68"/>
      <c r="J2950" s="68"/>
    </row>
    <row r="2951" spans="9:10">
      <c r="I2951" s="68"/>
      <c r="J2951" s="68"/>
    </row>
    <row r="2952" spans="9:10">
      <c r="I2952" s="68"/>
      <c r="J2952" s="68"/>
    </row>
    <row r="2953" spans="9:10">
      <c r="I2953" s="68"/>
      <c r="J2953" s="68"/>
    </row>
    <row r="2954" spans="9:10">
      <c r="I2954" s="68"/>
      <c r="J2954" s="68"/>
    </row>
    <row r="2955" spans="9:10">
      <c r="I2955" s="68"/>
      <c r="J2955" s="68"/>
    </row>
    <row r="2956" spans="9:10">
      <c r="I2956" s="68"/>
      <c r="J2956" s="68"/>
    </row>
    <row r="2957" spans="9:10">
      <c r="I2957" s="68"/>
      <c r="J2957" s="68"/>
    </row>
    <row r="2958" spans="9:10">
      <c r="I2958" s="68"/>
      <c r="J2958" s="68"/>
    </row>
    <row r="2959" spans="9:10">
      <c r="I2959" s="68"/>
      <c r="J2959" s="68"/>
    </row>
    <row r="2960" spans="9:10">
      <c r="I2960" s="68"/>
      <c r="J2960" s="68"/>
    </row>
    <row r="2961" spans="9:10">
      <c r="I2961" s="68"/>
      <c r="J2961" s="68"/>
    </row>
    <row r="2962" spans="9:10">
      <c r="I2962" s="68"/>
      <c r="J2962" s="68"/>
    </row>
    <row r="2963" spans="9:10">
      <c r="I2963" s="68"/>
      <c r="J2963" s="68"/>
    </row>
    <row r="2964" spans="9:10">
      <c r="I2964" s="68"/>
      <c r="J2964" s="68"/>
    </row>
    <row r="2965" spans="9:10">
      <c r="I2965" s="68"/>
      <c r="J2965" s="68"/>
    </row>
    <row r="2966" spans="9:10">
      <c r="I2966" s="68"/>
      <c r="J2966" s="68"/>
    </row>
    <row r="2967" spans="9:10">
      <c r="I2967" s="68"/>
      <c r="J2967" s="68"/>
    </row>
    <row r="2968" spans="9:10">
      <c r="I2968" s="68"/>
      <c r="J2968" s="68"/>
    </row>
    <row r="2969" spans="9:10">
      <c r="I2969" s="68"/>
      <c r="J2969" s="68"/>
    </row>
    <row r="2970" spans="9:10">
      <c r="I2970" s="68"/>
      <c r="J2970" s="68"/>
    </row>
    <row r="2971" spans="9:10">
      <c r="I2971" s="68"/>
      <c r="J2971" s="68"/>
    </row>
    <row r="2972" spans="9:10">
      <c r="I2972" s="68"/>
      <c r="J2972" s="68"/>
    </row>
    <row r="2973" spans="9:10">
      <c r="I2973" s="68"/>
      <c r="J2973" s="68"/>
    </row>
    <row r="2974" spans="9:10">
      <c r="I2974" s="68"/>
      <c r="J2974" s="68"/>
    </row>
    <row r="2975" spans="9:10">
      <c r="I2975" s="68"/>
      <c r="J2975" s="68"/>
    </row>
    <row r="2976" spans="9:10">
      <c r="I2976" s="68"/>
      <c r="J2976" s="68"/>
    </row>
    <row r="2977" spans="9:10">
      <c r="I2977" s="68"/>
      <c r="J2977" s="68"/>
    </row>
    <row r="2978" spans="9:10">
      <c r="I2978" s="68"/>
      <c r="J2978" s="68"/>
    </row>
    <row r="2979" spans="9:10">
      <c r="I2979" s="68"/>
      <c r="J2979" s="68"/>
    </row>
    <row r="2980" spans="9:10">
      <c r="I2980" s="68"/>
      <c r="J2980" s="68"/>
    </row>
    <row r="2981" spans="9:10">
      <c r="I2981" s="68"/>
      <c r="J2981" s="68"/>
    </row>
    <row r="2982" spans="9:10">
      <c r="I2982" s="68"/>
      <c r="J2982" s="68"/>
    </row>
    <row r="2983" spans="9:10">
      <c r="I2983" s="68"/>
      <c r="J2983" s="68"/>
    </row>
    <row r="2984" spans="9:10">
      <c r="I2984" s="68"/>
      <c r="J2984" s="68"/>
    </row>
    <row r="2985" spans="9:10">
      <c r="I2985" s="68"/>
      <c r="J2985" s="68"/>
    </row>
    <row r="2986" spans="9:10">
      <c r="I2986" s="68"/>
      <c r="J2986" s="68"/>
    </row>
    <row r="2987" spans="9:10">
      <c r="I2987" s="68"/>
      <c r="J2987" s="68"/>
    </row>
    <row r="2988" spans="9:10">
      <c r="I2988" s="68"/>
      <c r="J2988" s="68"/>
    </row>
    <row r="2989" spans="9:10">
      <c r="I2989" s="68"/>
      <c r="J2989" s="68"/>
    </row>
    <row r="2990" spans="9:10">
      <c r="I2990" s="68"/>
      <c r="J2990" s="68"/>
    </row>
    <row r="2991" spans="9:10">
      <c r="I2991" s="68"/>
      <c r="J2991" s="68"/>
    </row>
    <row r="2992" spans="9:10">
      <c r="I2992" s="68"/>
      <c r="J2992" s="68"/>
    </row>
    <row r="2993" spans="9:10">
      <c r="I2993" s="68"/>
      <c r="J2993" s="68"/>
    </row>
    <row r="2994" spans="9:10">
      <c r="I2994" s="68"/>
      <c r="J2994" s="68"/>
    </row>
    <row r="2995" spans="9:10">
      <c r="I2995" s="68"/>
      <c r="J2995" s="68"/>
    </row>
    <row r="2996" spans="9:10">
      <c r="I2996" s="68"/>
      <c r="J2996" s="68"/>
    </row>
    <row r="2997" spans="9:10">
      <c r="I2997" s="68"/>
      <c r="J2997" s="68"/>
    </row>
    <row r="2998" spans="9:10">
      <c r="I2998" s="68"/>
      <c r="J2998" s="68"/>
    </row>
    <row r="2999" spans="9:10">
      <c r="I2999" s="68"/>
      <c r="J2999" s="68"/>
    </row>
    <row r="3000" spans="9:10">
      <c r="I3000" s="68"/>
      <c r="J3000" s="68"/>
    </row>
    <row r="3001" spans="9:10">
      <c r="I3001" s="68"/>
      <c r="J3001" s="68"/>
    </row>
    <row r="3002" spans="9:10">
      <c r="I3002" s="68"/>
      <c r="J3002" s="68"/>
    </row>
    <row r="3003" spans="9:10">
      <c r="I3003" s="68"/>
      <c r="J3003" s="68"/>
    </row>
    <row r="3004" spans="9:10">
      <c r="I3004" s="68"/>
      <c r="J3004" s="68"/>
    </row>
    <row r="3005" spans="9:10">
      <c r="I3005" s="68"/>
      <c r="J3005" s="68"/>
    </row>
    <row r="3006" spans="9:10">
      <c r="I3006" s="68"/>
      <c r="J3006" s="68"/>
    </row>
    <row r="3007" spans="9:10">
      <c r="I3007" s="68"/>
      <c r="J3007" s="68"/>
    </row>
    <row r="3008" spans="9:10">
      <c r="I3008" s="68"/>
      <c r="J3008" s="68"/>
    </row>
    <row r="3009" spans="9:10">
      <c r="I3009" s="68"/>
      <c r="J3009" s="68"/>
    </row>
    <row r="3010" spans="9:10">
      <c r="I3010" s="68"/>
      <c r="J3010" s="68"/>
    </row>
    <row r="3011" spans="9:10">
      <c r="I3011" s="68"/>
      <c r="J3011" s="68"/>
    </row>
    <row r="3012" spans="9:10">
      <c r="I3012" s="68"/>
      <c r="J3012" s="68"/>
    </row>
    <row r="3013" spans="9:10">
      <c r="I3013" s="68"/>
      <c r="J3013" s="68"/>
    </row>
    <row r="3014" spans="9:10">
      <c r="I3014" s="68"/>
      <c r="J3014" s="68"/>
    </row>
    <row r="3015" spans="9:10">
      <c r="I3015" s="68"/>
      <c r="J3015" s="68"/>
    </row>
    <row r="3016" spans="9:10">
      <c r="I3016" s="68"/>
      <c r="J3016" s="68"/>
    </row>
    <row r="3017" spans="9:10">
      <c r="I3017" s="68"/>
      <c r="J3017" s="68"/>
    </row>
    <row r="3018" spans="9:10">
      <c r="I3018" s="68"/>
      <c r="J3018" s="68"/>
    </row>
    <row r="3019" spans="9:10">
      <c r="I3019" s="68"/>
      <c r="J3019" s="68"/>
    </row>
    <row r="3020" spans="9:10">
      <c r="I3020" s="68"/>
      <c r="J3020" s="68"/>
    </row>
    <row r="3021" spans="9:10">
      <c r="I3021" s="68"/>
      <c r="J3021" s="68"/>
    </row>
    <row r="3022" spans="9:10">
      <c r="I3022" s="68"/>
      <c r="J3022" s="68"/>
    </row>
    <row r="3023" spans="9:10">
      <c r="I3023" s="68"/>
      <c r="J3023" s="68"/>
    </row>
    <row r="3024" spans="9:10">
      <c r="I3024" s="68"/>
      <c r="J3024" s="68"/>
    </row>
    <row r="3025" spans="9:10">
      <c r="I3025" s="68"/>
      <c r="J3025" s="68"/>
    </row>
    <row r="3026" spans="9:10">
      <c r="I3026" s="68"/>
      <c r="J3026" s="68"/>
    </row>
    <row r="3027" spans="9:10">
      <c r="I3027" s="68"/>
      <c r="J3027" s="68"/>
    </row>
    <row r="3028" spans="9:10">
      <c r="I3028" s="68"/>
      <c r="J3028" s="68"/>
    </row>
    <row r="3029" spans="9:10">
      <c r="I3029" s="68"/>
      <c r="J3029" s="68"/>
    </row>
    <row r="3030" spans="9:10">
      <c r="I3030" s="68"/>
      <c r="J3030" s="68"/>
    </row>
    <row r="3031" spans="9:10">
      <c r="I3031" s="68"/>
      <c r="J3031" s="68"/>
    </row>
    <row r="3032" spans="9:10">
      <c r="I3032" s="68"/>
      <c r="J3032" s="68"/>
    </row>
    <row r="3033" spans="9:10">
      <c r="I3033" s="68"/>
      <c r="J3033" s="68"/>
    </row>
    <row r="3034" spans="9:10">
      <c r="I3034" s="68"/>
      <c r="J3034" s="68"/>
    </row>
    <row r="3035" spans="9:10">
      <c r="I3035" s="68"/>
      <c r="J3035" s="68"/>
    </row>
    <row r="3036" spans="9:10">
      <c r="I3036" s="68"/>
      <c r="J3036" s="68"/>
    </row>
    <row r="3037" spans="9:10">
      <c r="I3037" s="68"/>
      <c r="J3037" s="68"/>
    </row>
    <row r="3038" spans="9:10">
      <c r="I3038" s="68"/>
      <c r="J3038" s="68"/>
    </row>
    <row r="3039" spans="9:10">
      <c r="I3039" s="68"/>
      <c r="J3039" s="68"/>
    </row>
    <row r="3040" spans="9:10">
      <c r="I3040" s="68"/>
      <c r="J3040" s="68"/>
    </row>
    <row r="3041" spans="9:10">
      <c r="I3041" s="68"/>
      <c r="J3041" s="68"/>
    </row>
    <row r="3042" spans="9:10">
      <c r="I3042" s="68"/>
      <c r="J3042" s="68"/>
    </row>
    <row r="3043" spans="9:10">
      <c r="I3043" s="68"/>
      <c r="J3043" s="68"/>
    </row>
    <row r="3044" spans="9:10">
      <c r="I3044" s="68"/>
      <c r="J3044" s="68"/>
    </row>
    <row r="3045" spans="9:10">
      <c r="I3045" s="68"/>
      <c r="J3045" s="68"/>
    </row>
    <row r="3046" spans="9:10">
      <c r="I3046" s="68"/>
      <c r="J3046" s="68"/>
    </row>
    <row r="3047" spans="9:10">
      <c r="I3047" s="68"/>
      <c r="J3047" s="68"/>
    </row>
    <row r="3048" spans="9:10">
      <c r="I3048" s="68"/>
      <c r="J3048" s="68"/>
    </row>
    <row r="3049" spans="9:10">
      <c r="I3049" s="68"/>
      <c r="J3049" s="68"/>
    </row>
    <row r="3050" spans="9:10">
      <c r="I3050" s="68"/>
      <c r="J3050" s="68"/>
    </row>
    <row r="3051" spans="9:10">
      <c r="I3051" s="68"/>
      <c r="J3051" s="68"/>
    </row>
    <row r="3052" spans="9:10">
      <c r="I3052" s="68"/>
      <c r="J3052" s="68"/>
    </row>
    <row r="3053" spans="9:10">
      <c r="I3053" s="68"/>
      <c r="J3053" s="68"/>
    </row>
    <row r="3054" spans="9:10">
      <c r="I3054" s="68"/>
      <c r="J3054" s="68"/>
    </row>
    <row r="3055" spans="9:10">
      <c r="I3055" s="68"/>
      <c r="J3055" s="68"/>
    </row>
    <row r="3056" spans="9:10">
      <c r="I3056" s="68"/>
      <c r="J3056" s="68"/>
    </row>
    <row r="3057" spans="9:10">
      <c r="I3057" s="68"/>
      <c r="J3057" s="68"/>
    </row>
    <row r="3058" spans="9:10">
      <c r="I3058" s="68"/>
      <c r="J3058" s="68"/>
    </row>
    <row r="3059" spans="9:10">
      <c r="I3059" s="68"/>
      <c r="J3059" s="68"/>
    </row>
    <row r="3060" spans="9:10">
      <c r="I3060" s="68"/>
      <c r="J3060" s="68"/>
    </row>
    <row r="3061" spans="9:10">
      <c r="I3061" s="68"/>
      <c r="J3061" s="68"/>
    </row>
    <row r="3062" spans="9:10">
      <c r="I3062" s="68"/>
      <c r="J3062" s="68"/>
    </row>
    <row r="3063" spans="9:10">
      <c r="I3063" s="68"/>
      <c r="J3063" s="68"/>
    </row>
    <row r="3064" spans="9:10">
      <c r="I3064" s="68"/>
      <c r="J3064" s="68"/>
    </row>
    <row r="3065" spans="9:10">
      <c r="I3065" s="68"/>
      <c r="J3065" s="68"/>
    </row>
    <row r="3066" spans="9:10">
      <c r="I3066" s="68"/>
      <c r="J3066" s="68"/>
    </row>
    <row r="3067" spans="9:10">
      <c r="I3067" s="68"/>
      <c r="J3067" s="68"/>
    </row>
    <row r="3068" spans="9:10">
      <c r="I3068" s="68"/>
      <c r="J3068" s="68"/>
    </row>
    <row r="3069" spans="9:10">
      <c r="I3069" s="68"/>
      <c r="J3069" s="68"/>
    </row>
    <row r="3070" spans="9:10">
      <c r="I3070" s="68"/>
      <c r="J3070" s="68"/>
    </row>
    <row r="3071" spans="9:10">
      <c r="I3071" s="68"/>
      <c r="J3071" s="68"/>
    </row>
    <row r="3072" spans="9:10">
      <c r="I3072" s="68"/>
      <c r="J3072" s="68"/>
    </row>
    <row r="3073" spans="9:10">
      <c r="I3073" s="68"/>
      <c r="J3073" s="68"/>
    </row>
    <row r="3074" spans="9:10">
      <c r="I3074" s="68"/>
      <c r="J3074" s="68"/>
    </row>
    <row r="3075" spans="9:10">
      <c r="I3075" s="68"/>
      <c r="J3075" s="68"/>
    </row>
    <row r="3076" spans="9:10">
      <c r="I3076" s="68"/>
      <c r="J3076" s="68"/>
    </row>
    <row r="3077" spans="9:10">
      <c r="I3077" s="68"/>
      <c r="J3077" s="68"/>
    </row>
    <row r="3078" spans="9:10">
      <c r="I3078" s="68"/>
      <c r="J3078" s="68"/>
    </row>
    <row r="3079" spans="9:10">
      <c r="I3079" s="68"/>
      <c r="J3079" s="68"/>
    </row>
    <row r="3080" spans="9:10">
      <c r="I3080" s="68"/>
      <c r="J3080" s="68"/>
    </row>
    <row r="3081" spans="9:10">
      <c r="I3081" s="68"/>
      <c r="J3081" s="68"/>
    </row>
    <row r="3082" spans="9:10">
      <c r="I3082" s="68"/>
      <c r="J3082" s="68"/>
    </row>
    <row r="3083" spans="9:10">
      <c r="I3083" s="68"/>
      <c r="J3083" s="68"/>
    </row>
    <row r="3084" spans="9:10">
      <c r="I3084" s="68"/>
      <c r="J3084" s="68"/>
    </row>
    <row r="3085" spans="9:10">
      <c r="I3085" s="68"/>
      <c r="J3085" s="68"/>
    </row>
    <row r="3086" spans="9:10">
      <c r="I3086" s="68"/>
      <c r="J3086" s="68"/>
    </row>
    <row r="3087" spans="9:10">
      <c r="I3087" s="68"/>
      <c r="J3087" s="68"/>
    </row>
    <row r="3088" spans="9:10">
      <c r="I3088" s="68"/>
      <c r="J3088" s="68"/>
    </row>
    <row r="3089" spans="9:10">
      <c r="I3089" s="68"/>
      <c r="J3089" s="68"/>
    </row>
    <row r="3090" spans="9:10">
      <c r="I3090" s="68"/>
      <c r="J3090" s="68"/>
    </row>
    <row r="3091" spans="9:10">
      <c r="I3091" s="68"/>
      <c r="J3091" s="68"/>
    </row>
    <row r="3092" spans="9:10">
      <c r="I3092" s="68"/>
      <c r="J3092" s="68"/>
    </row>
    <row r="3093" spans="9:10">
      <c r="I3093" s="68"/>
      <c r="J3093" s="68"/>
    </row>
    <row r="3094" spans="9:10">
      <c r="I3094" s="68"/>
      <c r="J3094" s="68"/>
    </row>
    <row r="3095" spans="9:10">
      <c r="I3095" s="68"/>
      <c r="J3095" s="68"/>
    </row>
    <row r="3096" spans="9:10">
      <c r="I3096" s="68"/>
      <c r="J3096" s="68"/>
    </row>
    <row r="3097" spans="9:10">
      <c r="I3097" s="68"/>
      <c r="J3097" s="68"/>
    </row>
    <row r="3098" spans="9:10">
      <c r="I3098" s="68"/>
      <c r="J3098" s="68"/>
    </row>
    <row r="3099" spans="9:10">
      <c r="I3099" s="68"/>
      <c r="J3099" s="68"/>
    </row>
    <row r="3100" spans="9:10">
      <c r="I3100" s="68"/>
      <c r="J3100" s="68"/>
    </row>
    <row r="3101" spans="9:10">
      <c r="I3101" s="68"/>
      <c r="J3101" s="68"/>
    </row>
    <row r="3102" spans="9:10">
      <c r="I3102" s="68"/>
      <c r="J3102" s="68"/>
    </row>
    <row r="3103" spans="9:10">
      <c r="I3103" s="68"/>
      <c r="J3103" s="68"/>
    </row>
    <row r="3104" spans="9:10">
      <c r="I3104" s="68"/>
      <c r="J3104" s="68"/>
    </row>
    <row r="3105" spans="9:10">
      <c r="I3105" s="68"/>
      <c r="J3105" s="68"/>
    </row>
    <row r="3106" spans="9:10">
      <c r="I3106" s="68"/>
      <c r="J3106" s="68"/>
    </row>
    <row r="3107" spans="9:10">
      <c r="I3107" s="68"/>
      <c r="J3107" s="68"/>
    </row>
    <row r="3108" spans="9:10">
      <c r="I3108" s="68"/>
      <c r="J3108" s="68"/>
    </row>
    <row r="3109" spans="9:10">
      <c r="I3109" s="68"/>
      <c r="J3109" s="68"/>
    </row>
    <row r="3110" spans="9:10">
      <c r="I3110" s="68"/>
      <c r="J3110" s="68"/>
    </row>
    <row r="3111" spans="9:10">
      <c r="I3111" s="68"/>
      <c r="J3111" s="68"/>
    </row>
    <row r="3112" spans="9:10">
      <c r="I3112" s="68"/>
      <c r="J3112" s="68"/>
    </row>
    <row r="3113" spans="9:10">
      <c r="I3113" s="68"/>
      <c r="J3113" s="68"/>
    </row>
    <row r="3114" spans="9:10">
      <c r="I3114" s="68"/>
      <c r="J3114" s="68"/>
    </row>
    <row r="3115" spans="9:10">
      <c r="I3115" s="68"/>
      <c r="J3115" s="68"/>
    </row>
    <row r="3116" spans="9:10">
      <c r="I3116" s="68"/>
      <c r="J3116" s="68"/>
    </row>
    <row r="3117" spans="9:10">
      <c r="I3117" s="68"/>
      <c r="J3117" s="68"/>
    </row>
    <row r="3118" spans="9:10">
      <c r="I3118" s="68"/>
      <c r="J3118" s="68"/>
    </row>
    <row r="3119" spans="9:10">
      <c r="I3119" s="68"/>
      <c r="J3119" s="68"/>
    </row>
    <row r="3120" spans="9:10">
      <c r="I3120" s="68"/>
      <c r="J3120" s="68"/>
    </row>
    <row r="3121" spans="9:10">
      <c r="I3121" s="68"/>
      <c r="J3121" s="68"/>
    </row>
    <row r="3122" spans="9:10">
      <c r="I3122" s="68"/>
      <c r="J3122" s="68"/>
    </row>
    <row r="3123" spans="9:10">
      <c r="I3123" s="68"/>
      <c r="J3123" s="68"/>
    </row>
    <row r="3124" spans="9:10">
      <c r="I3124" s="68"/>
      <c r="J3124" s="68"/>
    </row>
    <row r="3125" spans="9:10">
      <c r="I3125" s="68"/>
      <c r="J3125" s="68"/>
    </row>
    <row r="3126" spans="9:10">
      <c r="I3126" s="68"/>
      <c r="J3126" s="68"/>
    </row>
    <row r="3127" spans="9:10">
      <c r="I3127" s="68"/>
      <c r="J3127" s="68"/>
    </row>
    <row r="3128" spans="9:10">
      <c r="I3128" s="68"/>
      <c r="J3128" s="68"/>
    </row>
    <row r="3129" spans="9:10">
      <c r="I3129" s="68"/>
      <c r="J3129" s="68"/>
    </row>
    <row r="3130" spans="9:10">
      <c r="I3130" s="68"/>
      <c r="J3130" s="68"/>
    </row>
    <row r="3131" spans="9:10">
      <c r="I3131" s="68"/>
      <c r="J3131" s="68"/>
    </row>
    <row r="3132" spans="9:10">
      <c r="I3132" s="68"/>
      <c r="J3132" s="68"/>
    </row>
    <row r="3133" spans="9:10">
      <c r="I3133" s="68"/>
      <c r="J3133" s="68"/>
    </row>
    <row r="3134" spans="9:10">
      <c r="I3134" s="68"/>
      <c r="J3134" s="68"/>
    </row>
    <row r="3135" spans="9:10">
      <c r="I3135" s="68"/>
      <c r="J3135" s="68"/>
    </row>
    <row r="3136" spans="9:10">
      <c r="I3136" s="68"/>
      <c r="J3136" s="68"/>
    </row>
    <row r="3137" spans="9:10">
      <c r="I3137" s="68"/>
      <c r="J3137" s="68"/>
    </row>
    <row r="3138" spans="9:10">
      <c r="I3138" s="68"/>
      <c r="J3138" s="68"/>
    </row>
    <row r="3139" spans="9:10">
      <c r="I3139" s="68"/>
      <c r="J3139" s="68"/>
    </row>
    <row r="3140" spans="9:10">
      <c r="I3140" s="68"/>
      <c r="J3140" s="68"/>
    </row>
    <row r="3141" spans="9:10">
      <c r="I3141" s="68"/>
      <c r="J3141" s="68"/>
    </row>
    <row r="3142" spans="9:10">
      <c r="I3142" s="68"/>
      <c r="J3142" s="68"/>
    </row>
    <row r="3143" spans="9:10">
      <c r="I3143" s="68"/>
      <c r="J3143" s="68"/>
    </row>
    <row r="3144" spans="9:10">
      <c r="I3144" s="68"/>
      <c r="J3144" s="68"/>
    </row>
    <row r="3145" spans="9:10">
      <c r="I3145" s="68"/>
      <c r="J3145" s="68"/>
    </row>
    <row r="3146" spans="9:10">
      <c r="I3146" s="68"/>
      <c r="J3146" s="68"/>
    </row>
    <row r="3147" spans="9:10">
      <c r="I3147" s="68"/>
      <c r="J3147" s="68"/>
    </row>
    <row r="3148" spans="9:10">
      <c r="I3148" s="68"/>
      <c r="J3148" s="68"/>
    </row>
    <row r="3149" spans="9:10">
      <c r="I3149" s="68"/>
      <c r="J3149" s="68"/>
    </row>
    <row r="3150" spans="9:10">
      <c r="I3150" s="68"/>
      <c r="J3150" s="68"/>
    </row>
    <row r="3151" spans="9:10">
      <c r="I3151" s="68"/>
      <c r="J3151" s="68"/>
    </row>
    <row r="3152" spans="9:10">
      <c r="I3152" s="68"/>
      <c r="J3152" s="68"/>
    </row>
    <row r="3153" spans="9:10">
      <c r="I3153" s="68"/>
      <c r="J3153" s="68"/>
    </row>
    <row r="3154" spans="9:10">
      <c r="I3154" s="68"/>
      <c r="J3154" s="68"/>
    </row>
    <row r="3155" spans="9:10">
      <c r="I3155" s="68"/>
      <c r="J3155" s="68"/>
    </row>
    <row r="3156" spans="9:10">
      <c r="I3156" s="68"/>
      <c r="J3156" s="68"/>
    </row>
    <row r="3157" spans="9:10">
      <c r="I3157" s="68"/>
      <c r="J3157" s="68"/>
    </row>
    <row r="3158" spans="9:10">
      <c r="I3158" s="68"/>
      <c r="J3158" s="68"/>
    </row>
    <row r="3159" spans="9:10">
      <c r="I3159" s="68"/>
      <c r="J3159" s="68"/>
    </row>
    <row r="3160" spans="9:10">
      <c r="I3160" s="68"/>
      <c r="J3160" s="68"/>
    </row>
    <row r="3161" spans="9:10">
      <c r="I3161" s="68"/>
      <c r="J3161" s="68"/>
    </row>
    <row r="3162" spans="9:10">
      <c r="I3162" s="68"/>
      <c r="J3162" s="68"/>
    </row>
    <row r="3163" spans="9:10">
      <c r="I3163" s="68"/>
      <c r="J3163" s="68"/>
    </row>
    <row r="3164" spans="9:10">
      <c r="I3164" s="68"/>
      <c r="J3164" s="68"/>
    </row>
    <row r="3165" spans="9:10">
      <c r="I3165" s="68"/>
      <c r="J3165" s="68"/>
    </row>
    <row r="3166" spans="9:10">
      <c r="I3166" s="68"/>
      <c r="J3166" s="68"/>
    </row>
    <row r="3167" spans="9:10">
      <c r="I3167" s="68"/>
      <c r="J3167" s="68"/>
    </row>
    <row r="3168" spans="9:10">
      <c r="I3168" s="68"/>
      <c r="J3168" s="68"/>
    </row>
    <row r="3169" spans="9:10">
      <c r="I3169" s="68"/>
      <c r="J3169" s="68"/>
    </row>
    <row r="3170" spans="9:10">
      <c r="I3170" s="68"/>
      <c r="J3170" s="68"/>
    </row>
    <row r="3171" spans="9:10">
      <c r="I3171" s="68"/>
      <c r="J3171" s="68"/>
    </row>
    <row r="3172" spans="9:10">
      <c r="I3172" s="68"/>
      <c r="J3172" s="68"/>
    </row>
    <row r="3173" spans="9:10">
      <c r="I3173" s="68"/>
      <c r="J3173" s="68"/>
    </row>
    <row r="3174" spans="9:10">
      <c r="I3174" s="68"/>
      <c r="J3174" s="68"/>
    </row>
    <row r="3175" spans="9:10">
      <c r="I3175" s="68"/>
      <c r="J3175" s="68"/>
    </row>
    <row r="3176" spans="9:10">
      <c r="I3176" s="68"/>
      <c r="J3176" s="68"/>
    </row>
    <row r="3177" spans="9:10">
      <c r="I3177" s="68"/>
      <c r="J3177" s="68"/>
    </row>
    <row r="3178" spans="9:10">
      <c r="I3178" s="68"/>
      <c r="J3178" s="68"/>
    </row>
    <row r="3179" spans="9:10">
      <c r="I3179" s="68"/>
      <c r="J3179" s="68"/>
    </row>
    <row r="3180" spans="9:10">
      <c r="I3180" s="68"/>
      <c r="J3180" s="68"/>
    </row>
    <row r="3181" spans="9:10">
      <c r="I3181" s="68"/>
      <c r="J3181" s="68"/>
    </row>
    <row r="3182" spans="9:10">
      <c r="I3182" s="68"/>
      <c r="J3182" s="68"/>
    </row>
    <row r="3183" spans="9:10">
      <c r="I3183" s="68"/>
      <c r="J3183" s="68"/>
    </row>
    <row r="3184" spans="9:10">
      <c r="I3184" s="68"/>
      <c r="J3184" s="68"/>
    </row>
    <row r="3185" spans="9:10">
      <c r="I3185" s="68"/>
      <c r="J3185" s="68"/>
    </row>
    <row r="3186" spans="9:10">
      <c r="I3186" s="68"/>
      <c r="J3186" s="68"/>
    </row>
    <row r="3187" spans="9:10">
      <c r="I3187" s="68"/>
      <c r="J3187" s="68"/>
    </row>
    <row r="3188" spans="9:10">
      <c r="I3188" s="68"/>
      <c r="J3188" s="68"/>
    </row>
    <row r="3189" spans="9:10">
      <c r="I3189" s="68"/>
      <c r="J3189" s="68"/>
    </row>
    <row r="3190" spans="9:10">
      <c r="I3190" s="68"/>
      <c r="J3190" s="68"/>
    </row>
    <row r="3191" spans="9:10">
      <c r="I3191" s="68"/>
      <c r="J3191" s="68"/>
    </row>
    <row r="3192" spans="9:10">
      <c r="I3192" s="68"/>
      <c r="J3192" s="68"/>
    </row>
    <row r="3193" spans="9:10">
      <c r="I3193" s="68"/>
      <c r="J3193" s="68"/>
    </row>
    <row r="3194" spans="9:10">
      <c r="I3194" s="68"/>
      <c r="J3194" s="68"/>
    </row>
    <row r="3195" spans="9:10">
      <c r="I3195" s="68"/>
      <c r="J3195" s="68"/>
    </row>
    <row r="3196" spans="9:10">
      <c r="I3196" s="68"/>
      <c r="J3196" s="68"/>
    </row>
    <row r="3197" spans="9:10">
      <c r="I3197" s="68"/>
      <c r="J3197" s="68"/>
    </row>
    <row r="3198" spans="9:10">
      <c r="I3198" s="68"/>
      <c r="J3198" s="68"/>
    </row>
    <row r="3199" spans="9:10">
      <c r="I3199" s="68"/>
      <c r="J3199" s="68"/>
    </row>
    <row r="3200" spans="9:10">
      <c r="I3200" s="68"/>
      <c r="J3200" s="68"/>
    </row>
    <row r="3201" spans="9:10">
      <c r="I3201" s="68"/>
      <c r="J3201" s="68"/>
    </row>
    <row r="3202" spans="9:10">
      <c r="I3202" s="68"/>
      <c r="J3202" s="68"/>
    </row>
    <row r="3203" spans="9:10">
      <c r="I3203" s="68"/>
      <c r="J3203" s="68"/>
    </row>
    <row r="3204" spans="9:10">
      <c r="I3204" s="68"/>
      <c r="J3204" s="68"/>
    </row>
    <row r="3205" spans="9:10">
      <c r="I3205" s="68"/>
      <c r="J3205" s="68"/>
    </row>
    <row r="3206" spans="9:10">
      <c r="I3206" s="68"/>
      <c r="J3206" s="68"/>
    </row>
    <row r="3207" spans="9:10">
      <c r="I3207" s="68"/>
      <c r="J3207" s="68"/>
    </row>
    <row r="3208" spans="9:10">
      <c r="I3208" s="68"/>
      <c r="J3208" s="68"/>
    </row>
    <row r="3209" spans="9:10">
      <c r="I3209" s="68"/>
      <c r="J3209" s="68"/>
    </row>
    <row r="3210" spans="9:10">
      <c r="I3210" s="68"/>
      <c r="J3210" s="68"/>
    </row>
    <row r="3211" spans="9:10">
      <c r="I3211" s="68"/>
      <c r="J3211" s="68"/>
    </row>
    <row r="3212" spans="9:10">
      <c r="I3212" s="68"/>
      <c r="J3212" s="68"/>
    </row>
    <row r="3213" spans="9:10">
      <c r="I3213" s="68"/>
      <c r="J3213" s="68"/>
    </row>
    <row r="3214" spans="9:10">
      <c r="I3214" s="68"/>
      <c r="J3214" s="68"/>
    </row>
    <row r="3215" spans="9:10">
      <c r="I3215" s="68"/>
      <c r="J3215" s="68"/>
    </row>
    <row r="3216" spans="9:10">
      <c r="I3216" s="68"/>
      <c r="J3216" s="68"/>
    </row>
    <row r="3217" spans="9:10">
      <c r="I3217" s="68"/>
      <c r="J3217" s="68"/>
    </row>
    <row r="3218" spans="9:10">
      <c r="I3218" s="68"/>
      <c r="J3218" s="68"/>
    </row>
    <row r="3219" spans="9:10">
      <c r="I3219" s="68"/>
      <c r="J3219" s="68"/>
    </row>
    <row r="3220" spans="9:10">
      <c r="I3220" s="68"/>
      <c r="J3220" s="68"/>
    </row>
    <row r="3221" spans="9:10">
      <c r="I3221" s="68"/>
      <c r="J3221" s="68"/>
    </row>
    <row r="3222" spans="9:10">
      <c r="I3222" s="68"/>
      <c r="J3222" s="68"/>
    </row>
    <row r="3223" spans="9:10">
      <c r="I3223" s="68"/>
      <c r="J3223" s="68"/>
    </row>
    <row r="3224" spans="9:10">
      <c r="I3224" s="68"/>
      <c r="J3224" s="68"/>
    </row>
    <row r="3225" spans="9:10">
      <c r="I3225" s="68"/>
      <c r="J3225" s="68"/>
    </row>
    <row r="3226" spans="9:10">
      <c r="I3226" s="68"/>
      <c r="J3226" s="68"/>
    </row>
    <row r="3227" spans="9:10">
      <c r="I3227" s="68"/>
      <c r="J3227" s="68"/>
    </row>
    <row r="3228" spans="9:10">
      <c r="I3228" s="68"/>
      <c r="J3228" s="68"/>
    </row>
    <row r="3229" spans="9:10">
      <c r="I3229" s="68"/>
      <c r="J3229" s="68"/>
    </row>
    <row r="3230" spans="9:10">
      <c r="I3230" s="68"/>
      <c r="J3230" s="68"/>
    </row>
    <row r="3231" spans="9:10">
      <c r="I3231" s="68"/>
      <c r="J3231" s="68"/>
    </row>
    <row r="3232" spans="9:10">
      <c r="I3232" s="68"/>
      <c r="J3232" s="68"/>
    </row>
    <row r="3233" spans="9:10">
      <c r="I3233" s="68"/>
      <c r="J3233" s="68"/>
    </row>
    <row r="3234" spans="9:10">
      <c r="I3234" s="68"/>
      <c r="J3234" s="68"/>
    </row>
    <row r="3235" spans="9:10">
      <c r="I3235" s="68"/>
      <c r="J3235" s="68"/>
    </row>
    <row r="3236" spans="9:10">
      <c r="I3236" s="68"/>
      <c r="J3236" s="68"/>
    </row>
    <row r="3237" spans="9:10">
      <c r="I3237" s="68"/>
      <c r="J3237" s="68"/>
    </row>
    <row r="3238" spans="9:10">
      <c r="I3238" s="68"/>
      <c r="J3238" s="68"/>
    </row>
    <row r="3239" spans="9:10">
      <c r="I3239" s="68"/>
      <c r="J3239" s="68"/>
    </row>
    <row r="3240" spans="9:10">
      <c r="I3240" s="68"/>
      <c r="J3240" s="68"/>
    </row>
    <row r="3241" spans="9:10">
      <c r="I3241" s="68"/>
      <c r="J3241" s="68"/>
    </row>
    <row r="3242" spans="9:10">
      <c r="I3242" s="68"/>
      <c r="J3242" s="68"/>
    </row>
    <row r="3243" spans="9:10">
      <c r="I3243" s="68"/>
      <c r="J3243" s="68"/>
    </row>
    <row r="3244" spans="9:10">
      <c r="I3244" s="68"/>
      <c r="J3244" s="68"/>
    </row>
    <row r="3245" spans="9:10">
      <c r="I3245" s="68"/>
      <c r="J3245" s="68"/>
    </row>
    <row r="3246" spans="9:10">
      <c r="I3246" s="68"/>
      <c r="J3246" s="68"/>
    </row>
    <row r="3247" spans="9:10">
      <c r="I3247" s="68"/>
      <c r="J3247" s="68"/>
    </row>
    <row r="3248" spans="9:10">
      <c r="I3248" s="68"/>
      <c r="J3248" s="68"/>
    </row>
    <row r="3249" spans="9:10">
      <c r="I3249" s="68"/>
      <c r="J3249" s="68"/>
    </row>
    <row r="3250" spans="9:10">
      <c r="I3250" s="68"/>
      <c r="J3250" s="68"/>
    </row>
    <row r="3251" spans="9:10">
      <c r="I3251" s="68"/>
      <c r="J3251" s="68"/>
    </row>
    <row r="3252" spans="9:10">
      <c r="I3252" s="68"/>
      <c r="J3252" s="68"/>
    </row>
    <row r="3253" spans="9:10">
      <c r="I3253" s="68"/>
      <c r="J3253" s="68"/>
    </row>
    <row r="3254" spans="9:10">
      <c r="I3254" s="68"/>
      <c r="J3254" s="68"/>
    </row>
    <row r="3255" spans="9:10">
      <c r="I3255" s="68"/>
      <c r="J3255" s="68"/>
    </row>
    <row r="3256" spans="9:10">
      <c r="I3256" s="68"/>
      <c r="J3256" s="68"/>
    </row>
    <row r="3257" spans="9:10">
      <c r="I3257" s="68"/>
      <c r="J3257" s="68"/>
    </row>
    <row r="3258" spans="9:10">
      <c r="I3258" s="68"/>
      <c r="J3258" s="68"/>
    </row>
    <row r="3259" spans="9:10">
      <c r="I3259" s="68"/>
      <c r="J3259" s="68"/>
    </row>
    <row r="3260" spans="9:10">
      <c r="I3260" s="68"/>
      <c r="J3260" s="68"/>
    </row>
    <row r="3261" spans="9:10">
      <c r="I3261" s="68"/>
      <c r="J3261" s="68"/>
    </row>
    <row r="3262" spans="9:10">
      <c r="I3262" s="68"/>
      <c r="J3262" s="68"/>
    </row>
    <row r="3263" spans="9:10">
      <c r="I3263" s="68"/>
      <c r="J3263" s="68"/>
    </row>
    <row r="3264" spans="9:10">
      <c r="I3264" s="68"/>
      <c r="J3264" s="68"/>
    </row>
    <row r="3265" spans="9:10">
      <c r="I3265" s="68"/>
      <c r="J3265" s="68"/>
    </row>
    <row r="3266" spans="9:10">
      <c r="I3266" s="68"/>
      <c r="J3266" s="68"/>
    </row>
    <row r="3267" spans="9:10">
      <c r="I3267" s="68"/>
      <c r="J3267" s="68"/>
    </row>
    <row r="3268" spans="9:10">
      <c r="I3268" s="68"/>
      <c r="J3268" s="68"/>
    </row>
    <row r="3269" spans="9:10">
      <c r="I3269" s="68"/>
      <c r="J3269" s="68"/>
    </row>
    <row r="3270" spans="9:10">
      <c r="I3270" s="68"/>
      <c r="J3270" s="68"/>
    </row>
    <row r="3271" spans="9:10">
      <c r="I3271" s="68"/>
      <c r="J3271" s="68"/>
    </row>
    <row r="3272" spans="9:10">
      <c r="I3272" s="68"/>
      <c r="J3272" s="68"/>
    </row>
    <row r="3273" spans="9:10">
      <c r="I3273" s="68"/>
      <c r="J3273" s="68"/>
    </row>
    <row r="3274" spans="9:10">
      <c r="I3274" s="68"/>
      <c r="J3274" s="68"/>
    </row>
    <row r="3275" spans="9:10">
      <c r="I3275" s="68"/>
      <c r="J3275" s="68"/>
    </row>
    <row r="3276" spans="9:10">
      <c r="I3276" s="68"/>
      <c r="J3276" s="68"/>
    </row>
    <row r="3277" spans="9:10">
      <c r="I3277" s="68"/>
      <c r="J3277" s="68"/>
    </row>
    <row r="3278" spans="9:10">
      <c r="I3278" s="68"/>
      <c r="J3278" s="68"/>
    </row>
    <row r="3279" spans="9:10">
      <c r="I3279" s="68"/>
      <c r="J3279" s="68"/>
    </row>
    <row r="3280" spans="9:10">
      <c r="I3280" s="68"/>
      <c r="J3280" s="68"/>
    </row>
    <row r="3281" spans="9:10">
      <c r="I3281" s="68"/>
      <c r="J3281" s="68"/>
    </row>
    <row r="3282" spans="9:10">
      <c r="I3282" s="68"/>
      <c r="J3282" s="68"/>
    </row>
    <row r="3283" spans="9:10">
      <c r="I3283" s="68"/>
      <c r="J3283" s="68"/>
    </row>
    <row r="3284" spans="9:10">
      <c r="I3284" s="68"/>
      <c r="J3284" s="68"/>
    </row>
    <row r="3285" spans="9:10">
      <c r="I3285" s="68"/>
      <c r="J3285" s="68"/>
    </row>
    <row r="3286" spans="9:10">
      <c r="I3286" s="68"/>
      <c r="J3286" s="68"/>
    </row>
    <row r="3287" spans="9:10">
      <c r="I3287" s="68"/>
      <c r="J3287" s="68"/>
    </row>
    <row r="3288" spans="9:10">
      <c r="I3288" s="68"/>
      <c r="J3288" s="68"/>
    </row>
    <row r="3289" spans="9:10">
      <c r="I3289" s="68"/>
      <c r="J3289" s="68"/>
    </row>
    <row r="3290" spans="9:10">
      <c r="I3290" s="68"/>
      <c r="J3290" s="68"/>
    </row>
    <row r="3291" spans="9:10">
      <c r="I3291" s="68"/>
      <c r="J3291" s="68"/>
    </row>
    <row r="3292" spans="9:10">
      <c r="I3292" s="68"/>
      <c r="J3292" s="68"/>
    </row>
    <row r="3293" spans="9:10">
      <c r="I3293" s="68"/>
      <c r="J3293" s="68"/>
    </row>
    <row r="3294" spans="9:10">
      <c r="I3294" s="68"/>
      <c r="J3294" s="68"/>
    </row>
    <row r="3295" spans="9:10">
      <c r="I3295" s="68"/>
      <c r="J3295" s="68"/>
    </row>
    <row r="3296" spans="9:10">
      <c r="I3296" s="68"/>
      <c r="J3296" s="68"/>
    </row>
    <row r="3297" spans="9:10">
      <c r="I3297" s="68"/>
      <c r="J3297" s="68"/>
    </row>
    <row r="3298" spans="9:10">
      <c r="I3298" s="68"/>
      <c r="J3298" s="68"/>
    </row>
    <row r="3299" spans="9:10">
      <c r="I3299" s="68"/>
      <c r="J3299" s="68"/>
    </row>
    <row r="3300" spans="9:10">
      <c r="I3300" s="68"/>
      <c r="J3300" s="68"/>
    </row>
    <row r="3301" spans="9:10">
      <c r="I3301" s="68"/>
      <c r="J3301" s="68"/>
    </row>
    <row r="3302" spans="9:10">
      <c r="I3302" s="68"/>
      <c r="J3302" s="68"/>
    </row>
    <row r="3303" spans="9:10">
      <c r="I3303" s="68"/>
      <c r="J3303" s="68"/>
    </row>
    <row r="3304" spans="9:10">
      <c r="I3304" s="68"/>
      <c r="J3304" s="68"/>
    </row>
    <row r="3305" spans="9:10">
      <c r="I3305" s="68"/>
      <c r="J3305" s="68"/>
    </row>
    <row r="3306" spans="9:10">
      <c r="I3306" s="68"/>
      <c r="J3306" s="68"/>
    </row>
    <row r="3307" spans="9:10">
      <c r="I3307" s="68"/>
      <c r="J3307" s="68"/>
    </row>
    <row r="3308" spans="9:10">
      <c r="I3308" s="68"/>
      <c r="J3308" s="68"/>
    </row>
    <row r="3309" spans="9:10">
      <c r="I3309" s="68"/>
      <c r="J3309" s="68"/>
    </row>
    <row r="3310" spans="9:10">
      <c r="I3310" s="68"/>
      <c r="J3310" s="68"/>
    </row>
    <row r="3311" spans="9:10">
      <c r="I3311" s="68"/>
      <c r="J3311" s="68"/>
    </row>
    <row r="3312" spans="9:10">
      <c r="I3312" s="68"/>
      <c r="J3312" s="68"/>
    </row>
    <row r="3313" spans="9:10">
      <c r="I3313" s="68"/>
      <c r="J3313" s="68"/>
    </row>
    <row r="3314" spans="9:10">
      <c r="I3314" s="68"/>
      <c r="J3314" s="68"/>
    </row>
    <row r="3315" spans="9:10">
      <c r="I3315" s="68"/>
      <c r="J3315" s="68"/>
    </row>
    <row r="3316" spans="9:10">
      <c r="I3316" s="68"/>
      <c r="J3316" s="68"/>
    </row>
    <row r="3317" spans="9:10">
      <c r="I3317" s="68"/>
      <c r="J3317" s="68"/>
    </row>
    <row r="3318" spans="9:10">
      <c r="I3318" s="68"/>
      <c r="J3318" s="68"/>
    </row>
    <row r="3319" spans="9:10">
      <c r="I3319" s="68"/>
      <c r="J3319" s="68"/>
    </row>
    <row r="3320" spans="9:10">
      <c r="I3320" s="68"/>
      <c r="J3320" s="68"/>
    </row>
    <row r="3321" spans="9:10">
      <c r="I3321" s="68"/>
      <c r="J3321" s="68"/>
    </row>
    <row r="3322" spans="9:10">
      <c r="I3322" s="68"/>
      <c r="J3322" s="68"/>
    </row>
    <row r="3323" spans="9:10">
      <c r="I3323" s="68"/>
      <c r="J3323" s="68"/>
    </row>
    <row r="3324" spans="9:10">
      <c r="I3324" s="68"/>
      <c r="J3324" s="68"/>
    </row>
    <row r="3325" spans="9:10">
      <c r="I3325" s="68"/>
      <c r="J3325" s="68"/>
    </row>
    <row r="3326" spans="9:10">
      <c r="I3326" s="68"/>
      <c r="J3326" s="68"/>
    </row>
    <row r="3327" spans="9:10">
      <c r="I3327" s="68"/>
      <c r="J3327" s="68"/>
    </row>
    <row r="3328" spans="9:10">
      <c r="I3328" s="68"/>
      <c r="J3328" s="68"/>
    </row>
    <row r="3329" spans="9:10">
      <c r="I3329" s="68"/>
      <c r="J3329" s="68"/>
    </row>
    <row r="3330" spans="9:10">
      <c r="I3330" s="68"/>
      <c r="J3330" s="68"/>
    </row>
    <row r="3331" spans="9:10">
      <c r="I3331" s="68"/>
      <c r="J3331" s="68"/>
    </row>
    <row r="3332" spans="9:10">
      <c r="I3332" s="68"/>
      <c r="J3332" s="68"/>
    </row>
    <row r="3333" spans="9:10">
      <c r="I3333" s="68"/>
      <c r="J3333" s="68"/>
    </row>
    <row r="3334" spans="9:10">
      <c r="I3334" s="68"/>
      <c r="J3334" s="68"/>
    </row>
    <row r="3335" spans="9:10">
      <c r="I3335" s="68"/>
      <c r="J3335" s="68"/>
    </row>
    <row r="3336" spans="9:10">
      <c r="I3336" s="68"/>
      <c r="J3336" s="68"/>
    </row>
    <row r="3337" spans="9:10">
      <c r="I3337" s="68"/>
      <c r="J3337" s="68"/>
    </row>
    <row r="3338" spans="9:10">
      <c r="I3338" s="68"/>
      <c r="J3338" s="68"/>
    </row>
    <row r="3339" spans="9:10">
      <c r="I3339" s="68"/>
      <c r="J3339" s="68"/>
    </row>
    <row r="3340" spans="9:10">
      <c r="I3340" s="68"/>
      <c r="J3340" s="68"/>
    </row>
    <row r="3341" spans="9:10">
      <c r="I3341" s="68"/>
      <c r="J3341" s="68"/>
    </row>
    <row r="3342" spans="9:10">
      <c r="I3342" s="68"/>
      <c r="J3342" s="68"/>
    </row>
    <row r="3343" spans="9:10">
      <c r="I3343" s="68"/>
      <c r="J3343" s="68"/>
    </row>
    <row r="3344" spans="9:10">
      <c r="I3344" s="68"/>
      <c r="J3344" s="68"/>
    </row>
    <row r="3345" spans="9:10">
      <c r="I3345" s="68"/>
      <c r="J3345" s="68"/>
    </row>
    <row r="3346" spans="9:10">
      <c r="I3346" s="68"/>
      <c r="J3346" s="68"/>
    </row>
    <row r="3347" spans="9:10">
      <c r="I3347" s="68"/>
      <c r="J3347" s="68"/>
    </row>
    <row r="3348" spans="9:10">
      <c r="I3348" s="68"/>
      <c r="J3348" s="68"/>
    </row>
    <row r="3349" spans="9:10">
      <c r="I3349" s="68"/>
      <c r="J3349" s="68"/>
    </row>
    <row r="3350" spans="9:10">
      <c r="I3350" s="68"/>
      <c r="J3350" s="68"/>
    </row>
    <row r="3351" spans="9:10">
      <c r="I3351" s="68"/>
      <c r="J3351" s="68"/>
    </row>
    <row r="3352" spans="9:10">
      <c r="I3352" s="68"/>
      <c r="J3352" s="68"/>
    </row>
    <row r="3353" spans="9:10">
      <c r="I3353" s="68"/>
      <c r="J3353" s="68"/>
    </row>
    <row r="3354" spans="9:10">
      <c r="I3354" s="68"/>
      <c r="J3354" s="68"/>
    </row>
    <row r="3355" spans="9:10">
      <c r="I3355" s="68"/>
      <c r="J3355" s="68"/>
    </row>
    <row r="3356" spans="9:10">
      <c r="I3356" s="68"/>
      <c r="J3356" s="68"/>
    </row>
    <row r="3357" spans="9:10">
      <c r="I3357" s="68"/>
      <c r="J3357" s="68"/>
    </row>
    <row r="3358" spans="9:10">
      <c r="I3358" s="68"/>
      <c r="J3358" s="68"/>
    </row>
    <row r="3359" spans="9:10">
      <c r="I3359" s="68"/>
      <c r="J3359" s="68"/>
    </row>
    <row r="3360" spans="9:10">
      <c r="I3360" s="68"/>
      <c r="J3360" s="68"/>
    </row>
    <row r="3361" spans="9:10">
      <c r="I3361" s="68"/>
      <c r="J3361" s="68"/>
    </row>
    <row r="3362" spans="9:10">
      <c r="I3362" s="68"/>
      <c r="J3362" s="68"/>
    </row>
    <row r="3363" spans="9:10">
      <c r="I3363" s="68"/>
      <c r="J3363" s="68"/>
    </row>
    <row r="3364" spans="9:10">
      <c r="I3364" s="68"/>
      <c r="J3364" s="68"/>
    </row>
    <row r="3365" spans="9:10">
      <c r="I3365" s="68"/>
      <c r="J3365" s="68"/>
    </row>
    <row r="3366" spans="9:10">
      <c r="I3366" s="68"/>
      <c r="J3366" s="68"/>
    </row>
    <row r="3367" spans="9:10">
      <c r="I3367" s="68"/>
      <c r="J3367" s="68"/>
    </row>
    <row r="3368" spans="9:10">
      <c r="I3368" s="68"/>
      <c r="J3368" s="68"/>
    </row>
    <row r="3369" spans="9:10">
      <c r="I3369" s="68"/>
      <c r="J3369" s="68"/>
    </row>
    <row r="3370" spans="9:10">
      <c r="I3370" s="68"/>
      <c r="J3370" s="68"/>
    </row>
    <row r="3371" spans="9:10">
      <c r="I3371" s="68"/>
      <c r="J3371" s="68"/>
    </row>
    <row r="3372" spans="9:10">
      <c r="I3372" s="68"/>
      <c r="J3372" s="68"/>
    </row>
    <row r="3373" spans="9:10">
      <c r="I3373" s="68"/>
      <c r="J3373" s="68"/>
    </row>
    <row r="3374" spans="9:10">
      <c r="I3374" s="68"/>
      <c r="J3374" s="68"/>
    </row>
    <row r="3375" spans="9:10">
      <c r="I3375" s="68"/>
      <c r="J3375" s="68"/>
    </row>
    <row r="3376" spans="9:10">
      <c r="I3376" s="68"/>
      <c r="J3376" s="68"/>
    </row>
    <row r="3377" spans="9:10">
      <c r="I3377" s="68"/>
      <c r="J3377" s="68"/>
    </row>
    <row r="3378" spans="9:10">
      <c r="I3378" s="68"/>
      <c r="J3378" s="68"/>
    </row>
    <row r="3379" spans="9:10">
      <c r="I3379" s="68"/>
      <c r="J3379" s="68"/>
    </row>
    <row r="3380" spans="9:10">
      <c r="I3380" s="68"/>
      <c r="J3380" s="68"/>
    </row>
    <row r="3381" spans="9:10">
      <c r="I3381" s="68"/>
      <c r="J3381" s="68"/>
    </row>
    <row r="3382" spans="9:10">
      <c r="I3382" s="68"/>
      <c r="J3382" s="68"/>
    </row>
    <row r="3383" spans="9:10">
      <c r="I3383" s="68"/>
      <c r="J3383" s="68"/>
    </row>
    <row r="3384" spans="9:10">
      <c r="I3384" s="68"/>
      <c r="J3384" s="68"/>
    </row>
    <row r="3385" spans="9:10">
      <c r="I3385" s="68"/>
      <c r="J3385" s="68"/>
    </row>
    <row r="3386" spans="9:10">
      <c r="I3386" s="68"/>
      <c r="J3386" s="68"/>
    </row>
    <row r="3387" spans="9:10">
      <c r="I3387" s="68"/>
      <c r="J3387" s="68"/>
    </row>
    <row r="3388" spans="9:10">
      <c r="I3388" s="68"/>
      <c r="J3388" s="68"/>
    </row>
    <row r="3389" spans="9:10">
      <c r="I3389" s="68"/>
      <c r="J3389" s="68"/>
    </row>
    <row r="3390" spans="9:10">
      <c r="I3390" s="68"/>
      <c r="J3390" s="68"/>
    </row>
    <row r="3391" spans="9:10">
      <c r="I3391" s="68"/>
      <c r="J3391" s="68"/>
    </row>
    <row r="3392" spans="9:10">
      <c r="I3392" s="68"/>
      <c r="J3392" s="68"/>
    </row>
    <row r="3393" spans="9:10">
      <c r="I3393" s="68"/>
      <c r="J3393" s="68"/>
    </row>
    <row r="3394" spans="9:10">
      <c r="I3394" s="68"/>
      <c r="J3394" s="68"/>
    </row>
    <row r="3395" spans="9:10">
      <c r="I3395" s="68"/>
      <c r="J3395" s="68"/>
    </row>
    <row r="3396" spans="9:10">
      <c r="I3396" s="68"/>
      <c r="J3396" s="68"/>
    </row>
    <row r="3397" spans="9:10">
      <c r="I3397" s="68"/>
      <c r="J3397" s="68"/>
    </row>
    <row r="3398" spans="9:10">
      <c r="I3398" s="68"/>
      <c r="J3398" s="68"/>
    </row>
    <row r="3399" spans="9:10">
      <c r="I3399" s="68"/>
      <c r="J3399" s="68"/>
    </row>
    <row r="3400" spans="9:10">
      <c r="I3400" s="68"/>
      <c r="J3400" s="68"/>
    </row>
    <row r="3401" spans="9:10">
      <c r="I3401" s="68"/>
      <c r="J3401" s="68"/>
    </row>
    <row r="3402" spans="9:10">
      <c r="I3402" s="68"/>
      <c r="J3402" s="68"/>
    </row>
    <row r="3403" spans="9:10">
      <c r="I3403" s="68"/>
      <c r="J3403" s="68"/>
    </row>
    <row r="3404" spans="9:10">
      <c r="I3404" s="68"/>
      <c r="J3404" s="68"/>
    </row>
    <row r="3405" spans="9:10">
      <c r="I3405" s="68"/>
      <c r="J3405" s="68"/>
    </row>
    <row r="3406" spans="9:10">
      <c r="I3406" s="68"/>
      <c r="J3406" s="68"/>
    </row>
    <row r="3407" spans="9:10">
      <c r="I3407" s="68"/>
      <c r="J3407" s="68"/>
    </row>
    <row r="3408" spans="9:10">
      <c r="I3408" s="68"/>
      <c r="J3408" s="68"/>
    </row>
    <row r="3409" spans="9:10">
      <c r="I3409" s="68"/>
      <c r="J3409" s="68"/>
    </row>
    <row r="3410" spans="9:10">
      <c r="I3410" s="68"/>
      <c r="J3410" s="68"/>
    </row>
    <row r="3411" spans="9:10">
      <c r="I3411" s="68"/>
      <c r="J3411" s="68"/>
    </row>
    <row r="3412" spans="9:10">
      <c r="I3412" s="68"/>
      <c r="J3412" s="68"/>
    </row>
    <row r="3413" spans="9:10">
      <c r="I3413" s="68"/>
      <c r="J3413" s="68"/>
    </row>
    <row r="3414" spans="9:10">
      <c r="I3414" s="68"/>
      <c r="J3414" s="68"/>
    </row>
    <row r="3415" spans="9:10">
      <c r="I3415" s="68"/>
      <c r="J3415" s="68"/>
    </row>
    <row r="3416" spans="9:10">
      <c r="I3416" s="68"/>
      <c r="J3416" s="68"/>
    </row>
    <row r="3417" spans="9:10">
      <c r="I3417" s="68"/>
      <c r="J3417" s="68"/>
    </row>
    <row r="3418" spans="9:10">
      <c r="I3418" s="68"/>
      <c r="J3418" s="68"/>
    </row>
    <row r="3419" spans="9:10">
      <c r="I3419" s="68"/>
      <c r="J3419" s="68"/>
    </row>
    <row r="3420" spans="9:10">
      <c r="I3420" s="68"/>
      <c r="J3420" s="68"/>
    </row>
    <row r="3421" spans="9:10">
      <c r="I3421" s="68"/>
      <c r="J3421" s="68"/>
    </row>
    <row r="3422" spans="9:10">
      <c r="I3422" s="68"/>
      <c r="J3422" s="68"/>
    </row>
    <row r="3423" spans="9:10">
      <c r="I3423" s="68"/>
      <c r="J3423" s="68"/>
    </row>
    <row r="3424" spans="9:10">
      <c r="I3424" s="68"/>
      <c r="J3424" s="68"/>
    </row>
    <row r="3425" spans="9:10">
      <c r="I3425" s="68"/>
      <c r="J3425" s="68"/>
    </row>
    <row r="3426" spans="9:10">
      <c r="I3426" s="68"/>
      <c r="J3426" s="68"/>
    </row>
    <row r="3427" spans="9:10">
      <c r="I3427" s="68"/>
      <c r="J3427" s="68"/>
    </row>
    <row r="3428" spans="9:10">
      <c r="I3428" s="68"/>
      <c r="J3428" s="68"/>
    </row>
    <row r="3429" spans="9:10">
      <c r="I3429" s="68"/>
      <c r="J3429" s="68"/>
    </row>
    <row r="3430" spans="9:10">
      <c r="I3430" s="68"/>
      <c r="J3430" s="68"/>
    </row>
    <row r="3431" spans="9:10">
      <c r="I3431" s="68"/>
      <c r="J3431" s="68"/>
    </row>
    <row r="3432" spans="9:10">
      <c r="I3432" s="68"/>
      <c r="J3432" s="68"/>
    </row>
    <row r="3433" spans="9:10">
      <c r="I3433" s="68"/>
      <c r="J3433" s="68"/>
    </row>
    <row r="3434" spans="9:10">
      <c r="I3434" s="68"/>
      <c r="J3434" s="68"/>
    </row>
    <row r="3435" spans="9:10">
      <c r="I3435" s="68"/>
      <c r="J3435" s="68"/>
    </row>
    <row r="3436" spans="9:10">
      <c r="I3436" s="68"/>
      <c r="J3436" s="68"/>
    </row>
    <row r="3437" spans="9:10">
      <c r="I3437" s="68"/>
      <c r="J3437" s="68"/>
    </row>
    <row r="3438" spans="9:10">
      <c r="I3438" s="68"/>
      <c r="J3438" s="68"/>
    </row>
    <row r="3439" spans="9:10">
      <c r="I3439" s="68"/>
      <c r="J3439" s="68"/>
    </row>
    <row r="3440" spans="9:10">
      <c r="I3440" s="68"/>
      <c r="J3440" s="68"/>
    </row>
    <row r="3441" spans="9:10">
      <c r="I3441" s="68"/>
      <c r="J3441" s="68"/>
    </row>
    <row r="3442" spans="9:10">
      <c r="I3442" s="68"/>
      <c r="J3442" s="68"/>
    </row>
    <row r="3443" spans="9:10">
      <c r="I3443" s="68"/>
      <c r="J3443" s="68"/>
    </row>
    <row r="3444" spans="9:10">
      <c r="I3444" s="68"/>
      <c r="J3444" s="68"/>
    </row>
    <row r="3445" spans="9:10">
      <c r="I3445" s="68"/>
      <c r="J3445" s="68"/>
    </row>
    <row r="3446" spans="9:10">
      <c r="I3446" s="68"/>
      <c r="J3446" s="68"/>
    </row>
    <row r="3447" spans="9:10">
      <c r="I3447" s="68"/>
      <c r="J3447" s="68"/>
    </row>
    <row r="3448" spans="9:10">
      <c r="I3448" s="68"/>
      <c r="J3448" s="68"/>
    </row>
    <row r="3449" spans="9:10">
      <c r="I3449" s="68"/>
      <c r="J3449" s="68"/>
    </row>
    <row r="3450" spans="9:10">
      <c r="I3450" s="68"/>
      <c r="J3450" s="68"/>
    </row>
    <row r="3451" spans="9:10">
      <c r="I3451" s="68"/>
      <c r="J3451" s="68"/>
    </row>
    <row r="3452" spans="9:10">
      <c r="I3452" s="68"/>
      <c r="J3452" s="68"/>
    </row>
    <row r="3453" spans="9:10">
      <c r="I3453" s="68"/>
      <c r="J3453" s="68"/>
    </row>
    <row r="3454" spans="9:10">
      <c r="I3454" s="68"/>
      <c r="J3454" s="68"/>
    </row>
    <row r="3455" spans="9:10">
      <c r="I3455" s="68"/>
      <c r="J3455" s="68"/>
    </row>
    <row r="3456" spans="9:10">
      <c r="I3456" s="68"/>
      <c r="J3456" s="68"/>
    </row>
    <row r="3457" spans="9:10">
      <c r="I3457" s="68"/>
      <c r="J3457" s="68"/>
    </row>
    <row r="3458" spans="9:10">
      <c r="I3458" s="68"/>
      <c r="J3458" s="68"/>
    </row>
    <row r="3459" spans="9:10">
      <c r="I3459" s="68"/>
      <c r="J3459" s="68"/>
    </row>
    <row r="3460" spans="9:10">
      <c r="I3460" s="68"/>
      <c r="J3460" s="68"/>
    </row>
    <row r="3461" spans="9:10">
      <c r="I3461" s="68"/>
      <c r="J3461" s="68"/>
    </row>
    <row r="3462" spans="9:10">
      <c r="I3462" s="68"/>
      <c r="J3462" s="68"/>
    </row>
    <row r="3463" spans="9:10">
      <c r="I3463" s="68"/>
      <c r="J3463" s="68"/>
    </row>
    <row r="3464" spans="9:10">
      <c r="I3464" s="68"/>
      <c r="J3464" s="68"/>
    </row>
    <row r="3465" spans="9:10">
      <c r="I3465" s="68"/>
      <c r="J3465" s="68"/>
    </row>
    <row r="3466" spans="9:10">
      <c r="I3466" s="68"/>
      <c r="J3466" s="68"/>
    </row>
    <row r="3467" spans="9:10">
      <c r="I3467" s="68"/>
      <c r="J3467" s="68"/>
    </row>
    <row r="3468" spans="9:10">
      <c r="I3468" s="68"/>
      <c r="J3468" s="68"/>
    </row>
    <row r="3469" spans="9:10">
      <c r="I3469" s="68"/>
      <c r="J3469" s="68"/>
    </row>
    <row r="3470" spans="9:10">
      <c r="I3470" s="68"/>
      <c r="J3470" s="68"/>
    </row>
    <row r="3471" spans="9:10">
      <c r="I3471" s="68"/>
      <c r="J3471" s="68"/>
    </row>
    <row r="3472" spans="9:10">
      <c r="I3472" s="68"/>
      <c r="J3472" s="68"/>
    </row>
    <row r="3473" spans="9:10">
      <c r="I3473" s="68"/>
      <c r="J3473" s="68"/>
    </row>
    <row r="3474" spans="9:10">
      <c r="I3474" s="68"/>
      <c r="J3474" s="68"/>
    </row>
    <row r="3475" spans="9:10">
      <c r="I3475" s="68"/>
      <c r="J3475" s="68"/>
    </row>
    <row r="3476" spans="9:10">
      <c r="I3476" s="68"/>
      <c r="J3476" s="68"/>
    </row>
    <row r="3477" spans="9:10">
      <c r="I3477" s="68"/>
      <c r="J3477" s="68"/>
    </row>
    <row r="3478" spans="9:10">
      <c r="I3478" s="68"/>
      <c r="J3478" s="68"/>
    </row>
    <row r="3479" spans="9:10">
      <c r="I3479" s="68"/>
      <c r="J3479" s="68"/>
    </row>
    <row r="3480" spans="9:10">
      <c r="I3480" s="68"/>
      <c r="J3480" s="68"/>
    </row>
    <row r="3481" spans="9:10">
      <c r="I3481" s="68"/>
      <c r="J3481" s="68"/>
    </row>
    <row r="3482" spans="9:10">
      <c r="I3482" s="68"/>
      <c r="J3482" s="68"/>
    </row>
    <row r="3483" spans="9:10">
      <c r="I3483" s="68"/>
      <c r="J3483" s="68"/>
    </row>
    <row r="3484" spans="9:10">
      <c r="I3484" s="68"/>
      <c r="J3484" s="68"/>
    </row>
    <row r="3485" spans="9:10">
      <c r="I3485" s="68"/>
      <c r="J3485" s="68"/>
    </row>
    <row r="3486" spans="9:10">
      <c r="I3486" s="68"/>
      <c r="J3486" s="68"/>
    </row>
    <row r="3487" spans="9:10">
      <c r="I3487" s="68"/>
      <c r="J3487" s="68"/>
    </row>
    <row r="3488" spans="9:10">
      <c r="I3488" s="68"/>
      <c r="J3488" s="68"/>
    </row>
    <row r="3489" spans="9:10">
      <c r="I3489" s="68"/>
      <c r="J3489" s="68"/>
    </row>
    <row r="3490" spans="9:10">
      <c r="I3490" s="68"/>
      <c r="J3490" s="68"/>
    </row>
    <row r="3491" spans="9:10">
      <c r="I3491" s="68"/>
      <c r="J3491" s="68"/>
    </row>
    <row r="3492" spans="9:10">
      <c r="I3492" s="68"/>
      <c r="J3492" s="68"/>
    </row>
    <row r="3493" spans="9:10">
      <c r="I3493" s="68"/>
      <c r="J3493" s="68"/>
    </row>
    <row r="3494" spans="9:10">
      <c r="I3494" s="68"/>
      <c r="J3494" s="68"/>
    </row>
    <row r="3495" spans="9:10">
      <c r="I3495" s="68"/>
      <c r="J3495" s="68"/>
    </row>
    <row r="3496" spans="9:10">
      <c r="I3496" s="68"/>
      <c r="J3496" s="68"/>
    </row>
    <row r="3497" spans="9:10">
      <c r="I3497" s="68"/>
      <c r="J3497" s="68"/>
    </row>
    <row r="3498" spans="9:10">
      <c r="I3498" s="68"/>
      <c r="J3498" s="68"/>
    </row>
    <row r="3499" spans="9:10">
      <c r="I3499" s="68"/>
      <c r="J3499" s="68"/>
    </row>
    <row r="3500" spans="9:10">
      <c r="I3500" s="68"/>
      <c r="J3500" s="68"/>
    </row>
    <row r="3501" spans="9:10">
      <c r="I3501" s="68"/>
      <c r="J3501" s="68"/>
    </row>
    <row r="3502" spans="9:10">
      <c r="I3502" s="68"/>
      <c r="J3502" s="68"/>
    </row>
    <row r="3503" spans="9:10">
      <c r="I3503" s="68"/>
      <c r="J3503" s="68"/>
    </row>
    <row r="3504" spans="9:10">
      <c r="I3504" s="68"/>
      <c r="J3504" s="68"/>
    </row>
    <row r="3505" spans="9:10">
      <c r="I3505" s="68"/>
      <c r="J3505" s="68"/>
    </row>
    <row r="3506" spans="9:10">
      <c r="I3506" s="68"/>
      <c r="J3506" s="68"/>
    </row>
    <row r="3507" spans="9:10">
      <c r="I3507" s="68"/>
      <c r="J3507" s="68"/>
    </row>
    <row r="3508" spans="9:10">
      <c r="I3508" s="68"/>
      <c r="J3508" s="68"/>
    </row>
    <row r="3509" spans="9:10">
      <c r="I3509" s="68"/>
      <c r="J3509" s="68"/>
    </row>
    <row r="3510" spans="9:10">
      <c r="I3510" s="68"/>
      <c r="J3510" s="68"/>
    </row>
    <row r="3511" spans="9:10">
      <c r="I3511" s="68"/>
      <c r="J3511" s="68"/>
    </row>
    <row r="3512" spans="9:10">
      <c r="I3512" s="68"/>
      <c r="J3512" s="68"/>
    </row>
    <row r="3513" spans="9:10">
      <c r="I3513" s="68"/>
      <c r="J3513" s="68"/>
    </row>
    <row r="3514" spans="9:10">
      <c r="I3514" s="68"/>
      <c r="J3514" s="68"/>
    </row>
    <row r="3515" spans="9:10">
      <c r="I3515" s="68"/>
      <c r="J3515" s="68"/>
    </row>
    <row r="3516" spans="9:10">
      <c r="I3516" s="68"/>
      <c r="J3516" s="68"/>
    </row>
    <row r="3517" spans="9:10">
      <c r="I3517" s="68"/>
      <c r="J3517" s="68"/>
    </row>
    <row r="3518" spans="9:10">
      <c r="I3518" s="68"/>
      <c r="J3518" s="68"/>
    </row>
    <row r="3519" spans="9:10">
      <c r="I3519" s="68"/>
      <c r="J3519" s="68"/>
    </row>
    <row r="3520" spans="9:10">
      <c r="I3520" s="68"/>
      <c r="J3520" s="68"/>
    </row>
    <row r="3521" spans="9:10">
      <c r="I3521" s="68"/>
      <c r="J3521" s="68"/>
    </row>
    <row r="3522" spans="9:10">
      <c r="I3522" s="68"/>
      <c r="J3522" s="68"/>
    </row>
    <row r="3523" spans="9:10">
      <c r="I3523" s="68"/>
      <c r="J3523" s="68"/>
    </row>
    <row r="3524" spans="9:10">
      <c r="I3524" s="68"/>
      <c r="J3524" s="68"/>
    </row>
    <row r="3525" spans="9:10">
      <c r="I3525" s="68"/>
      <c r="J3525" s="68"/>
    </row>
    <row r="3526" spans="9:10">
      <c r="I3526" s="68"/>
      <c r="J3526" s="68"/>
    </row>
    <row r="3527" spans="9:10">
      <c r="I3527" s="68"/>
      <c r="J3527" s="68"/>
    </row>
    <row r="3528" spans="9:10">
      <c r="I3528" s="68"/>
      <c r="J3528" s="68"/>
    </row>
    <row r="3529" spans="9:10">
      <c r="I3529" s="68"/>
      <c r="J3529" s="68"/>
    </row>
    <row r="3530" spans="9:10">
      <c r="I3530" s="68"/>
      <c r="J3530" s="68"/>
    </row>
    <row r="3531" spans="9:10">
      <c r="I3531" s="68"/>
      <c r="J3531" s="68"/>
    </row>
    <row r="3532" spans="9:10">
      <c r="I3532" s="68"/>
      <c r="J3532" s="68"/>
    </row>
    <row r="3533" spans="9:10">
      <c r="I3533" s="68"/>
      <c r="J3533" s="68"/>
    </row>
    <row r="3534" spans="9:10">
      <c r="I3534" s="68"/>
      <c r="J3534" s="68"/>
    </row>
    <row r="3535" spans="9:10">
      <c r="I3535" s="68"/>
      <c r="J3535" s="68"/>
    </row>
    <row r="3536" spans="9:10">
      <c r="I3536" s="68"/>
      <c r="J3536" s="68"/>
    </row>
    <row r="3537" spans="9:10">
      <c r="I3537" s="68"/>
      <c r="J3537" s="68"/>
    </row>
    <row r="3538" spans="9:10">
      <c r="I3538" s="68"/>
      <c r="J3538" s="68"/>
    </row>
    <row r="3539" spans="9:10">
      <c r="I3539" s="68"/>
      <c r="J3539" s="68"/>
    </row>
    <row r="3540" spans="9:10">
      <c r="I3540" s="68"/>
      <c r="J3540" s="68"/>
    </row>
    <row r="3541" spans="9:10">
      <c r="I3541" s="68"/>
      <c r="J3541" s="68"/>
    </row>
    <row r="3542" spans="9:10">
      <c r="I3542" s="68"/>
      <c r="J3542" s="68"/>
    </row>
    <row r="3543" spans="9:10">
      <c r="I3543" s="68"/>
      <c r="J3543" s="68"/>
    </row>
    <row r="3544" spans="9:10">
      <c r="I3544" s="68"/>
      <c r="J3544" s="68"/>
    </row>
    <row r="3545" spans="9:10">
      <c r="I3545" s="68"/>
      <c r="J3545" s="68"/>
    </row>
    <row r="3546" spans="9:10">
      <c r="I3546" s="68"/>
      <c r="J3546" s="68"/>
    </row>
    <row r="3547" spans="9:10">
      <c r="I3547" s="68"/>
      <c r="J3547" s="68"/>
    </row>
    <row r="3548" spans="9:10">
      <c r="I3548" s="68"/>
      <c r="J3548" s="68"/>
    </row>
    <row r="3549" spans="9:10">
      <c r="I3549" s="68"/>
      <c r="J3549" s="68"/>
    </row>
    <row r="3550" spans="9:10">
      <c r="I3550" s="68"/>
      <c r="J3550" s="68"/>
    </row>
    <row r="3551" spans="9:10">
      <c r="I3551" s="68"/>
      <c r="J3551" s="68"/>
    </row>
    <row r="3552" spans="9:10">
      <c r="I3552" s="68"/>
      <c r="J3552" s="68"/>
    </row>
    <row r="3553" spans="9:10">
      <c r="I3553" s="68"/>
      <c r="J3553" s="68"/>
    </row>
    <row r="3554" spans="9:10">
      <c r="I3554" s="68"/>
      <c r="J3554" s="68"/>
    </row>
    <row r="3555" spans="9:10">
      <c r="I3555" s="68"/>
      <c r="J3555" s="68"/>
    </row>
    <row r="3556" spans="9:10">
      <c r="I3556" s="68"/>
      <c r="J3556" s="68"/>
    </row>
    <row r="3557" spans="9:10">
      <c r="I3557" s="68"/>
      <c r="J3557" s="68"/>
    </row>
    <row r="3558" spans="9:10">
      <c r="I3558" s="68"/>
      <c r="J3558" s="68"/>
    </row>
    <row r="3559" spans="9:10">
      <c r="I3559" s="68"/>
      <c r="J3559" s="68"/>
    </row>
    <row r="3560" spans="9:10">
      <c r="I3560" s="68"/>
      <c r="J3560" s="68"/>
    </row>
    <row r="3561" spans="9:10">
      <c r="I3561" s="68"/>
      <c r="J3561" s="68"/>
    </row>
    <row r="3562" spans="9:10">
      <c r="I3562" s="68"/>
      <c r="J3562" s="68"/>
    </row>
    <row r="3563" spans="9:10">
      <c r="I3563" s="68"/>
      <c r="J3563" s="68"/>
    </row>
    <row r="3564" spans="9:10">
      <c r="I3564" s="68"/>
      <c r="J3564" s="68"/>
    </row>
    <row r="3565" spans="9:10">
      <c r="I3565" s="68"/>
      <c r="J3565" s="68"/>
    </row>
    <row r="3566" spans="9:10">
      <c r="I3566" s="68"/>
      <c r="J3566" s="68"/>
    </row>
    <row r="3567" spans="9:10">
      <c r="I3567" s="68"/>
      <c r="J3567" s="68"/>
    </row>
    <row r="3568" spans="9:10">
      <c r="I3568" s="68"/>
      <c r="J3568" s="68"/>
    </row>
    <row r="3569" spans="9:10">
      <c r="I3569" s="68"/>
      <c r="J3569" s="68"/>
    </row>
    <row r="3570" spans="9:10">
      <c r="I3570" s="68"/>
      <c r="J3570" s="68"/>
    </row>
    <row r="3571" spans="9:10">
      <c r="I3571" s="68"/>
      <c r="J3571" s="68"/>
    </row>
    <row r="3572" spans="9:10">
      <c r="I3572" s="68"/>
      <c r="J3572" s="68"/>
    </row>
    <row r="3573" spans="9:10">
      <c r="I3573" s="68"/>
      <c r="J3573" s="68"/>
    </row>
    <row r="3574" spans="9:10">
      <c r="I3574" s="68"/>
      <c r="J3574" s="68"/>
    </row>
    <row r="3575" spans="9:10">
      <c r="I3575" s="68"/>
      <c r="J3575" s="68"/>
    </row>
    <row r="3576" spans="9:10">
      <c r="I3576" s="68"/>
      <c r="J3576" s="68"/>
    </row>
    <row r="3577" spans="9:10">
      <c r="I3577" s="68"/>
      <c r="J3577" s="68"/>
    </row>
    <row r="3578" spans="9:10">
      <c r="I3578" s="68"/>
      <c r="J3578" s="68"/>
    </row>
    <row r="3579" spans="9:10">
      <c r="I3579" s="68"/>
      <c r="J3579" s="68"/>
    </row>
    <row r="3580" spans="9:10">
      <c r="I3580" s="68"/>
      <c r="J3580" s="68"/>
    </row>
    <row r="3581" spans="9:10">
      <c r="I3581" s="68"/>
      <c r="J3581" s="68"/>
    </row>
    <row r="3582" spans="9:10">
      <c r="I3582" s="68"/>
      <c r="J3582" s="68"/>
    </row>
    <row r="3583" spans="9:10">
      <c r="I3583" s="68"/>
      <c r="J3583" s="68"/>
    </row>
    <row r="3584" spans="9:10">
      <c r="I3584" s="68"/>
      <c r="J3584" s="68"/>
    </row>
    <row r="3585" spans="9:10">
      <c r="I3585" s="68"/>
      <c r="J3585" s="68"/>
    </row>
    <row r="3586" spans="9:10">
      <c r="I3586" s="68"/>
      <c r="J3586" s="68"/>
    </row>
    <row r="3587" spans="9:10">
      <c r="I3587" s="68"/>
      <c r="J3587" s="68"/>
    </row>
    <row r="3588" spans="9:10">
      <c r="I3588" s="68"/>
      <c r="J3588" s="68"/>
    </row>
    <row r="3589" spans="9:10">
      <c r="I3589" s="68"/>
      <c r="J3589" s="68"/>
    </row>
    <row r="3590" spans="9:10">
      <c r="I3590" s="68"/>
      <c r="J3590" s="68"/>
    </row>
    <row r="3591" spans="9:10">
      <c r="I3591" s="68"/>
      <c r="J3591" s="68"/>
    </row>
    <row r="3592" spans="9:10">
      <c r="I3592" s="68"/>
      <c r="J3592" s="68"/>
    </row>
    <row r="3593" spans="9:10">
      <c r="I3593" s="68"/>
      <c r="J3593" s="68"/>
    </row>
    <row r="3594" spans="9:10">
      <c r="I3594" s="68"/>
      <c r="J3594" s="68"/>
    </row>
    <row r="3595" spans="9:10">
      <c r="I3595" s="68"/>
      <c r="J3595" s="68"/>
    </row>
    <row r="3596" spans="9:10">
      <c r="I3596" s="68"/>
      <c r="J3596" s="68"/>
    </row>
    <row r="3597" spans="9:10">
      <c r="I3597" s="68"/>
      <c r="J3597" s="68"/>
    </row>
    <row r="3598" spans="9:10">
      <c r="I3598" s="68"/>
      <c r="J3598" s="68"/>
    </row>
    <row r="3599" spans="9:10">
      <c r="I3599" s="68"/>
      <c r="J3599" s="68"/>
    </row>
    <row r="3600" spans="9:10">
      <c r="I3600" s="68"/>
      <c r="J3600" s="68"/>
    </row>
    <row r="3601" spans="9:10">
      <c r="I3601" s="68"/>
      <c r="J3601" s="68"/>
    </row>
    <row r="3602" spans="9:10">
      <c r="I3602" s="68"/>
      <c r="J3602" s="68"/>
    </row>
    <row r="3603" spans="9:10">
      <c r="I3603" s="68"/>
      <c r="J3603" s="68"/>
    </row>
    <row r="3604" spans="9:10">
      <c r="I3604" s="68"/>
      <c r="J3604" s="68"/>
    </row>
    <row r="3605" spans="9:10">
      <c r="I3605" s="68"/>
      <c r="J3605" s="68"/>
    </row>
    <row r="3606" spans="9:10">
      <c r="I3606" s="68"/>
      <c r="J3606" s="68"/>
    </row>
    <row r="3607" spans="9:10">
      <c r="I3607" s="68"/>
      <c r="J3607" s="68"/>
    </row>
    <row r="3608" spans="9:10">
      <c r="I3608" s="68"/>
      <c r="J3608" s="68"/>
    </row>
    <row r="3609" spans="9:10">
      <c r="I3609" s="68"/>
      <c r="J3609" s="68"/>
    </row>
    <row r="3610" spans="9:10">
      <c r="I3610" s="68"/>
      <c r="J3610" s="68"/>
    </row>
    <row r="3611" spans="9:10">
      <c r="I3611" s="68"/>
      <c r="J3611" s="68"/>
    </row>
    <row r="3612" spans="9:10">
      <c r="I3612" s="68"/>
      <c r="J3612" s="68"/>
    </row>
    <row r="3613" spans="9:10">
      <c r="I3613" s="68"/>
      <c r="J3613" s="68"/>
    </row>
    <row r="3614" spans="9:10">
      <c r="I3614" s="68"/>
      <c r="J3614" s="68"/>
    </row>
    <row r="3615" spans="9:10">
      <c r="I3615" s="68"/>
      <c r="J3615" s="68"/>
    </row>
    <row r="3616" spans="9:10">
      <c r="I3616" s="68"/>
      <c r="J3616" s="68"/>
    </row>
    <row r="3617" spans="9:10">
      <c r="I3617" s="68"/>
      <c r="J3617" s="68"/>
    </row>
    <row r="3618" spans="9:10">
      <c r="I3618" s="68"/>
      <c r="J3618" s="68"/>
    </row>
    <row r="3619" spans="9:10">
      <c r="I3619" s="68"/>
      <c r="J3619" s="68"/>
    </row>
    <row r="3620" spans="9:10">
      <c r="I3620" s="68"/>
      <c r="J3620" s="68"/>
    </row>
    <row r="3621" spans="9:10">
      <c r="I3621" s="68"/>
      <c r="J3621" s="68"/>
    </row>
    <row r="3622" spans="9:10">
      <c r="I3622" s="68"/>
      <c r="J3622" s="68"/>
    </row>
    <row r="3623" spans="9:10">
      <c r="I3623" s="68"/>
      <c r="J3623" s="68"/>
    </row>
    <row r="3624" spans="9:10">
      <c r="I3624" s="68"/>
      <c r="J3624" s="68"/>
    </row>
    <row r="3625" spans="9:10">
      <c r="I3625" s="68"/>
      <c r="J3625" s="68"/>
    </row>
    <row r="3626" spans="9:10">
      <c r="I3626" s="68"/>
      <c r="J3626" s="68"/>
    </row>
    <row r="3627" spans="9:10">
      <c r="I3627" s="68"/>
      <c r="J3627" s="68"/>
    </row>
    <row r="3628" spans="9:10">
      <c r="I3628" s="68"/>
      <c r="J3628" s="68"/>
    </row>
    <row r="3629" spans="9:10">
      <c r="I3629" s="68"/>
      <c r="J3629" s="68"/>
    </row>
    <row r="3630" spans="9:10">
      <c r="I3630" s="68"/>
      <c r="J3630" s="68"/>
    </row>
    <row r="3631" spans="9:10">
      <c r="I3631" s="68"/>
      <c r="J3631" s="68"/>
    </row>
    <row r="3632" spans="9:10">
      <c r="I3632" s="68"/>
      <c r="J3632" s="68"/>
    </row>
    <row r="3633" spans="9:10">
      <c r="I3633" s="68"/>
      <c r="J3633" s="68"/>
    </row>
    <row r="3634" spans="9:10">
      <c r="I3634" s="68"/>
      <c r="J3634" s="68"/>
    </row>
    <row r="3635" spans="9:10">
      <c r="I3635" s="68"/>
      <c r="J3635" s="68"/>
    </row>
    <row r="3636" spans="9:10">
      <c r="I3636" s="68"/>
      <c r="J3636" s="68"/>
    </row>
    <row r="3637" spans="9:10">
      <c r="I3637" s="68"/>
      <c r="J3637" s="68"/>
    </row>
    <row r="3638" spans="9:10">
      <c r="I3638" s="68"/>
      <c r="J3638" s="68"/>
    </row>
    <row r="3639" spans="9:10">
      <c r="I3639" s="68"/>
      <c r="J3639" s="68"/>
    </row>
    <row r="3640" spans="9:10">
      <c r="I3640" s="68"/>
      <c r="J3640" s="68"/>
    </row>
    <row r="3641" spans="9:10">
      <c r="I3641" s="68"/>
      <c r="J3641" s="68"/>
    </row>
    <row r="3642" spans="9:10">
      <c r="I3642" s="68"/>
      <c r="J3642" s="68"/>
    </row>
    <row r="3643" spans="9:10">
      <c r="I3643" s="68"/>
      <c r="J3643" s="68"/>
    </row>
    <row r="3644" spans="9:10">
      <c r="I3644" s="68"/>
      <c r="J3644" s="68"/>
    </row>
    <row r="3645" spans="9:10">
      <c r="I3645" s="68"/>
      <c r="J3645" s="68"/>
    </row>
    <row r="3646" spans="9:10">
      <c r="I3646" s="68"/>
      <c r="J3646" s="68"/>
    </row>
    <row r="3647" spans="9:10">
      <c r="I3647" s="68"/>
      <c r="J3647" s="68"/>
    </row>
    <row r="3648" spans="9:10">
      <c r="I3648" s="68"/>
      <c r="J3648" s="68"/>
    </row>
    <row r="3649" spans="9:10">
      <c r="I3649" s="68"/>
      <c r="J3649" s="68"/>
    </row>
    <row r="3650" spans="9:10">
      <c r="I3650" s="68"/>
      <c r="J3650" s="68"/>
    </row>
    <row r="3651" spans="9:10">
      <c r="I3651" s="68"/>
      <c r="J3651" s="68"/>
    </row>
    <row r="3652" spans="9:10">
      <c r="I3652" s="68"/>
      <c r="J3652" s="68"/>
    </row>
    <row r="3653" spans="9:10">
      <c r="I3653" s="68"/>
      <c r="J3653" s="68"/>
    </row>
    <row r="3654" spans="9:10">
      <c r="I3654" s="68"/>
      <c r="J3654" s="68"/>
    </row>
    <row r="3655" spans="9:10">
      <c r="I3655" s="68"/>
      <c r="J3655" s="68"/>
    </row>
    <row r="3656" spans="9:10">
      <c r="I3656" s="68"/>
      <c r="J3656" s="68"/>
    </row>
    <row r="3657" spans="9:10">
      <c r="I3657" s="68"/>
      <c r="J3657" s="68"/>
    </row>
    <row r="3658" spans="9:10">
      <c r="I3658" s="68"/>
      <c r="J3658" s="68"/>
    </row>
    <row r="3659" spans="9:10">
      <c r="I3659" s="68"/>
      <c r="J3659" s="68"/>
    </row>
    <row r="3660" spans="9:10">
      <c r="I3660" s="68"/>
      <c r="J3660" s="68"/>
    </row>
    <row r="3661" spans="9:10">
      <c r="I3661" s="68"/>
      <c r="J3661" s="68"/>
    </row>
    <row r="3662" spans="9:10">
      <c r="I3662" s="68"/>
      <c r="J3662" s="68"/>
    </row>
    <row r="3663" spans="9:10">
      <c r="I3663" s="68"/>
      <c r="J3663" s="68"/>
    </row>
    <row r="3664" spans="9:10">
      <c r="I3664" s="68"/>
      <c r="J3664" s="68"/>
    </row>
    <row r="3665" spans="9:10">
      <c r="I3665" s="68"/>
      <c r="J3665" s="68"/>
    </row>
    <row r="3666" spans="9:10">
      <c r="I3666" s="68"/>
      <c r="J3666" s="68"/>
    </row>
    <row r="3667" spans="9:10">
      <c r="I3667" s="68"/>
      <c r="J3667" s="68"/>
    </row>
    <row r="3668" spans="9:10">
      <c r="I3668" s="68"/>
      <c r="J3668" s="68"/>
    </row>
    <row r="3669" spans="9:10">
      <c r="I3669" s="68"/>
      <c r="J3669" s="68"/>
    </row>
    <row r="3670" spans="9:10">
      <c r="I3670" s="68"/>
      <c r="J3670" s="68"/>
    </row>
    <row r="3671" spans="9:10">
      <c r="I3671" s="68"/>
      <c r="J3671" s="68"/>
    </row>
    <row r="3672" spans="9:10">
      <c r="I3672" s="68"/>
      <c r="J3672" s="68"/>
    </row>
    <row r="3673" spans="9:10">
      <c r="I3673" s="68"/>
      <c r="J3673" s="68"/>
    </row>
    <row r="3674" spans="9:10">
      <c r="I3674" s="68"/>
      <c r="J3674" s="68"/>
    </row>
    <row r="3675" spans="9:10">
      <c r="I3675" s="68"/>
      <c r="J3675" s="68"/>
    </row>
    <row r="3676" spans="9:10">
      <c r="I3676" s="68"/>
      <c r="J3676" s="68"/>
    </row>
    <row r="3677" spans="9:10">
      <c r="I3677" s="68"/>
      <c r="J3677" s="68"/>
    </row>
    <row r="3678" spans="9:10">
      <c r="I3678" s="68"/>
      <c r="J3678" s="68"/>
    </row>
    <row r="3679" spans="9:10">
      <c r="I3679" s="68"/>
      <c r="J3679" s="68"/>
    </row>
    <row r="3680" spans="9:10">
      <c r="I3680" s="68"/>
      <c r="J3680" s="68"/>
    </row>
    <row r="3681" spans="9:10">
      <c r="I3681" s="68"/>
      <c r="J3681" s="68"/>
    </row>
    <row r="3682" spans="9:10">
      <c r="I3682" s="68"/>
      <c r="J3682" s="68"/>
    </row>
    <row r="3683" spans="9:10">
      <c r="I3683" s="68"/>
      <c r="J3683" s="68"/>
    </row>
    <row r="3684" spans="9:10">
      <c r="I3684" s="68"/>
      <c r="J3684" s="68"/>
    </row>
    <row r="3685" spans="9:10">
      <c r="I3685" s="68"/>
      <c r="J3685" s="68"/>
    </row>
    <row r="3686" spans="9:10">
      <c r="I3686" s="68"/>
      <c r="J3686" s="68"/>
    </row>
    <row r="3687" spans="9:10">
      <c r="I3687" s="68"/>
      <c r="J3687" s="68"/>
    </row>
    <row r="3688" spans="9:10">
      <c r="I3688" s="68"/>
      <c r="J3688" s="68"/>
    </row>
    <row r="3689" spans="9:10">
      <c r="I3689" s="68"/>
      <c r="J3689" s="68"/>
    </row>
    <row r="3690" spans="9:10">
      <c r="I3690" s="68"/>
      <c r="J3690" s="68"/>
    </row>
    <row r="3691" spans="9:10">
      <c r="I3691" s="68"/>
      <c r="J3691" s="68"/>
    </row>
    <row r="3692" spans="9:10">
      <c r="I3692" s="68"/>
      <c r="J3692" s="68"/>
    </row>
    <row r="3693" spans="9:10">
      <c r="I3693" s="68"/>
      <c r="J3693" s="68"/>
    </row>
    <row r="3694" spans="9:10">
      <c r="I3694" s="68"/>
      <c r="J3694" s="68"/>
    </row>
    <row r="3695" spans="9:10">
      <c r="I3695" s="68"/>
      <c r="J3695" s="68"/>
    </row>
    <row r="3696" spans="9:10">
      <c r="I3696" s="68"/>
      <c r="J3696" s="68"/>
    </row>
    <row r="3697" spans="9:10">
      <c r="I3697" s="68"/>
      <c r="J3697" s="68"/>
    </row>
    <row r="3698" spans="9:10">
      <c r="I3698" s="68"/>
      <c r="J3698" s="68"/>
    </row>
    <row r="3699" spans="9:10">
      <c r="I3699" s="68"/>
      <c r="J3699" s="68"/>
    </row>
    <row r="3700" spans="9:10">
      <c r="I3700" s="68"/>
      <c r="J3700" s="68"/>
    </row>
    <row r="3701" spans="9:10">
      <c r="I3701" s="68"/>
      <c r="J3701" s="68"/>
    </row>
    <row r="3702" spans="9:10">
      <c r="I3702" s="68"/>
      <c r="J3702" s="68"/>
    </row>
    <row r="3703" spans="9:10">
      <c r="I3703" s="68"/>
      <c r="J3703" s="68"/>
    </row>
    <row r="3704" spans="9:10">
      <c r="I3704" s="68"/>
      <c r="J3704" s="68"/>
    </row>
    <row r="3705" spans="9:10">
      <c r="I3705" s="68"/>
      <c r="J3705" s="68"/>
    </row>
    <row r="3706" spans="9:10">
      <c r="I3706" s="68"/>
      <c r="J3706" s="68"/>
    </row>
    <row r="3707" spans="9:10">
      <c r="I3707" s="68"/>
      <c r="J3707" s="68"/>
    </row>
    <row r="3708" spans="9:10">
      <c r="I3708" s="68"/>
      <c r="J3708" s="68"/>
    </row>
    <row r="3709" spans="9:10">
      <c r="I3709" s="68"/>
      <c r="J3709" s="68"/>
    </row>
    <row r="3710" spans="9:10">
      <c r="I3710" s="68"/>
      <c r="J3710" s="68"/>
    </row>
    <row r="3711" spans="9:10">
      <c r="I3711" s="68"/>
      <c r="J3711" s="68"/>
    </row>
    <row r="3712" spans="9:10">
      <c r="I3712" s="68"/>
      <c r="J3712" s="68"/>
    </row>
    <row r="3713" spans="9:10">
      <c r="I3713" s="68"/>
      <c r="J3713" s="68"/>
    </row>
    <row r="3714" spans="9:10">
      <c r="I3714" s="68"/>
      <c r="J3714" s="68"/>
    </row>
    <row r="3715" spans="9:10">
      <c r="I3715" s="68"/>
      <c r="J3715" s="68"/>
    </row>
    <row r="3716" spans="9:10">
      <c r="I3716" s="68"/>
      <c r="J3716" s="68"/>
    </row>
    <row r="3717" spans="9:10">
      <c r="I3717" s="68"/>
      <c r="J3717" s="68"/>
    </row>
    <row r="3718" spans="9:10">
      <c r="I3718" s="68"/>
      <c r="J3718" s="68"/>
    </row>
    <row r="3719" spans="9:10">
      <c r="I3719" s="68"/>
      <c r="J3719" s="68"/>
    </row>
    <row r="3720" spans="9:10">
      <c r="I3720" s="68"/>
      <c r="J3720" s="68"/>
    </row>
    <row r="3721" spans="9:10">
      <c r="I3721" s="68"/>
      <c r="J3721" s="68"/>
    </row>
    <row r="3722" spans="9:10">
      <c r="I3722" s="68"/>
      <c r="J3722" s="68"/>
    </row>
    <row r="3723" spans="9:10">
      <c r="I3723" s="68"/>
      <c r="J3723" s="68"/>
    </row>
    <row r="3724" spans="9:10">
      <c r="I3724" s="68"/>
      <c r="J3724" s="68"/>
    </row>
    <row r="3725" spans="9:10">
      <c r="I3725" s="68"/>
      <c r="J3725" s="68"/>
    </row>
    <row r="3726" spans="9:10">
      <c r="I3726" s="68"/>
      <c r="J3726" s="68"/>
    </row>
    <row r="3727" spans="9:10">
      <c r="I3727" s="68"/>
      <c r="J3727" s="68"/>
    </row>
    <row r="3728" spans="9:10">
      <c r="I3728" s="68"/>
      <c r="J3728" s="68"/>
    </row>
    <row r="3729" spans="9:10">
      <c r="I3729" s="68"/>
      <c r="J3729" s="68"/>
    </row>
    <row r="3730" spans="9:10">
      <c r="I3730" s="68"/>
      <c r="J3730" s="68"/>
    </row>
    <row r="3731" spans="9:10">
      <c r="I3731" s="68"/>
      <c r="J3731" s="68"/>
    </row>
    <row r="3732" spans="9:10">
      <c r="I3732" s="68"/>
      <c r="J3732" s="68"/>
    </row>
    <row r="3733" spans="9:10">
      <c r="I3733" s="68"/>
      <c r="J3733" s="68"/>
    </row>
    <row r="3734" spans="9:10">
      <c r="I3734" s="68"/>
      <c r="J3734" s="68"/>
    </row>
    <row r="3735" spans="9:10">
      <c r="I3735" s="68"/>
      <c r="J3735" s="68"/>
    </row>
    <row r="3736" spans="9:10">
      <c r="I3736" s="68"/>
      <c r="J3736" s="68"/>
    </row>
    <row r="3737" spans="9:10">
      <c r="I3737" s="68"/>
      <c r="J3737" s="68"/>
    </row>
    <row r="3738" spans="9:10">
      <c r="I3738" s="68"/>
      <c r="J3738" s="68"/>
    </row>
    <row r="3739" spans="9:10">
      <c r="I3739" s="68"/>
      <c r="J3739" s="68"/>
    </row>
    <row r="3740" spans="9:10">
      <c r="I3740" s="68"/>
      <c r="J3740" s="68"/>
    </row>
    <row r="3741" spans="9:10">
      <c r="I3741" s="68"/>
      <c r="J3741" s="68"/>
    </row>
    <row r="3742" spans="9:10">
      <c r="I3742" s="68"/>
      <c r="J3742" s="68"/>
    </row>
    <row r="3743" spans="9:10">
      <c r="I3743" s="68"/>
      <c r="J3743" s="68"/>
    </row>
    <row r="3744" spans="9:10">
      <c r="I3744" s="68"/>
      <c r="J3744" s="68"/>
    </row>
    <row r="3745" spans="9:10">
      <c r="I3745" s="68"/>
      <c r="J3745" s="68"/>
    </row>
    <row r="3746" spans="9:10">
      <c r="I3746" s="68"/>
      <c r="J3746" s="68"/>
    </row>
    <row r="3747" spans="9:10">
      <c r="I3747" s="68"/>
      <c r="J3747" s="68"/>
    </row>
    <row r="3748" spans="9:10">
      <c r="I3748" s="68"/>
      <c r="J3748" s="68"/>
    </row>
    <row r="3749" spans="9:10">
      <c r="I3749" s="68"/>
      <c r="J3749" s="68"/>
    </row>
    <row r="3750" spans="9:10">
      <c r="I3750" s="68"/>
      <c r="J3750" s="68"/>
    </row>
    <row r="3751" spans="9:10">
      <c r="I3751" s="68"/>
      <c r="J3751" s="68"/>
    </row>
    <row r="3752" spans="9:10">
      <c r="I3752" s="68"/>
      <c r="J3752" s="68"/>
    </row>
    <row r="3753" spans="9:10">
      <c r="I3753" s="68"/>
      <c r="J3753" s="68"/>
    </row>
    <row r="3754" spans="9:10">
      <c r="I3754" s="68"/>
      <c r="J3754" s="68"/>
    </row>
    <row r="3755" spans="9:10">
      <c r="I3755" s="68"/>
      <c r="J3755" s="68"/>
    </row>
    <row r="3756" spans="9:10">
      <c r="I3756" s="68"/>
      <c r="J3756" s="68"/>
    </row>
    <row r="3757" spans="9:10">
      <c r="I3757" s="68"/>
      <c r="J3757" s="68"/>
    </row>
    <row r="3758" spans="9:10">
      <c r="I3758" s="68"/>
      <c r="J3758" s="68"/>
    </row>
    <row r="3759" spans="9:10">
      <c r="I3759" s="68"/>
      <c r="J3759" s="68"/>
    </row>
    <row r="3760" spans="9:10">
      <c r="I3760" s="68"/>
      <c r="J3760" s="68"/>
    </row>
    <row r="3761" spans="9:10">
      <c r="I3761" s="68"/>
      <c r="J3761" s="68"/>
    </row>
    <row r="3762" spans="9:10">
      <c r="I3762" s="68"/>
      <c r="J3762" s="68"/>
    </row>
    <row r="3763" spans="9:10">
      <c r="I3763" s="68"/>
      <c r="J3763" s="68"/>
    </row>
    <row r="3764" spans="9:10">
      <c r="I3764" s="68"/>
      <c r="J3764" s="68"/>
    </row>
    <row r="3765" spans="9:10">
      <c r="I3765" s="68"/>
      <c r="J3765" s="68"/>
    </row>
    <row r="3766" spans="9:10">
      <c r="I3766" s="68"/>
      <c r="J3766" s="68"/>
    </row>
    <row r="3767" spans="9:10">
      <c r="I3767" s="68"/>
      <c r="J3767" s="68"/>
    </row>
    <row r="3768" spans="9:10">
      <c r="I3768" s="68"/>
      <c r="J3768" s="68"/>
    </row>
    <row r="3769" spans="9:10">
      <c r="I3769" s="68"/>
      <c r="J3769" s="68"/>
    </row>
    <row r="3770" spans="9:10">
      <c r="I3770" s="68"/>
      <c r="J3770" s="68"/>
    </row>
    <row r="3771" spans="9:10">
      <c r="I3771" s="68"/>
      <c r="J3771" s="68"/>
    </row>
    <row r="3772" spans="9:10">
      <c r="I3772" s="68"/>
      <c r="J3772" s="68"/>
    </row>
    <row r="3773" spans="9:10">
      <c r="I3773" s="68"/>
      <c r="J3773" s="68"/>
    </row>
    <row r="3774" spans="9:10">
      <c r="I3774" s="68"/>
      <c r="J3774" s="68"/>
    </row>
    <row r="3775" spans="9:10">
      <c r="I3775" s="68"/>
      <c r="J3775" s="68"/>
    </row>
    <row r="3776" spans="9:10">
      <c r="I3776" s="68"/>
      <c r="J3776" s="68"/>
    </row>
    <row r="3777" spans="9:10">
      <c r="I3777" s="68"/>
      <c r="J3777" s="68"/>
    </row>
    <row r="3778" spans="9:10">
      <c r="I3778" s="68"/>
      <c r="J3778" s="68"/>
    </row>
    <row r="3779" spans="9:10">
      <c r="I3779" s="68"/>
      <c r="J3779" s="68"/>
    </row>
    <row r="3780" spans="9:10">
      <c r="I3780" s="68"/>
      <c r="J3780" s="68"/>
    </row>
    <row r="3781" spans="9:10">
      <c r="I3781" s="68"/>
      <c r="J3781" s="68"/>
    </row>
    <row r="3782" spans="9:10">
      <c r="I3782" s="68"/>
      <c r="J3782" s="68"/>
    </row>
    <row r="3783" spans="9:10">
      <c r="I3783" s="68"/>
      <c r="J3783" s="68"/>
    </row>
    <row r="3784" spans="9:10">
      <c r="I3784" s="68"/>
      <c r="J3784" s="68"/>
    </row>
    <row r="3785" spans="9:10">
      <c r="I3785" s="68"/>
      <c r="J3785" s="68"/>
    </row>
    <row r="3786" spans="9:10">
      <c r="I3786" s="68"/>
      <c r="J3786" s="68"/>
    </row>
    <row r="3787" spans="9:10">
      <c r="I3787" s="68"/>
      <c r="J3787" s="68"/>
    </row>
    <row r="3788" spans="9:10">
      <c r="I3788" s="68"/>
      <c r="J3788" s="68"/>
    </row>
    <row r="3789" spans="9:10">
      <c r="I3789" s="68"/>
      <c r="J3789" s="68"/>
    </row>
    <row r="3790" spans="9:10">
      <c r="I3790" s="68"/>
      <c r="J3790" s="68"/>
    </row>
    <row r="3791" spans="9:10">
      <c r="I3791" s="68"/>
      <c r="J3791" s="68"/>
    </row>
    <row r="3792" spans="9:10">
      <c r="I3792" s="68"/>
      <c r="J3792" s="68"/>
    </row>
    <row r="3793" spans="9:10">
      <c r="I3793" s="68"/>
      <c r="J3793" s="68"/>
    </row>
    <row r="3794" spans="9:10">
      <c r="I3794" s="68"/>
      <c r="J3794" s="68"/>
    </row>
    <row r="3795" spans="9:10">
      <c r="I3795" s="68"/>
      <c r="J3795" s="68"/>
    </row>
    <row r="3796" spans="9:10">
      <c r="I3796" s="68"/>
      <c r="J3796" s="68"/>
    </row>
    <row r="3797" spans="9:10">
      <c r="I3797" s="68"/>
      <c r="J3797" s="68"/>
    </row>
    <row r="3798" spans="9:10">
      <c r="I3798" s="68"/>
      <c r="J3798" s="68"/>
    </row>
    <row r="3799" spans="9:10">
      <c r="I3799" s="68"/>
      <c r="J3799" s="68"/>
    </row>
    <row r="3800" spans="9:10">
      <c r="I3800" s="68"/>
      <c r="J3800" s="68"/>
    </row>
    <row r="3801" spans="9:10">
      <c r="I3801" s="68"/>
      <c r="J3801" s="68"/>
    </row>
    <row r="3802" spans="9:10">
      <c r="I3802" s="68"/>
      <c r="J3802" s="68"/>
    </row>
    <row r="3803" spans="9:10">
      <c r="I3803" s="68"/>
      <c r="J3803" s="68"/>
    </row>
    <row r="3804" spans="9:10">
      <c r="I3804" s="68"/>
      <c r="J3804" s="68"/>
    </row>
    <row r="3805" spans="9:10">
      <c r="I3805" s="68"/>
      <c r="J3805" s="68"/>
    </row>
    <row r="3806" spans="9:10">
      <c r="I3806" s="68"/>
      <c r="J3806" s="68"/>
    </row>
    <row r="3807" spans="9:10">
      <c r="I3807" s="68"/>
      <c r="J3807" s="68"/>
    </row>
    <row r="3808" spans="9:10">
      <c r="I3808" s="68"/>
      <c r="J3808" s="68"/>
    </row>
    <row r="3809" spans="9:10">
      <c r="I3809" s="68"/>
      <c r="J3809" s="68"/>
    </row>
    <row r="3810" spans="9:10">
      <c r="I3810" s="68"/>
      <c r="J3810" s="68"/>
    </row>
    <row r="3811" spans="9:10">
      <c r="I3811" s="68"/>
      <c r="J3811" s="68"/>
    </row>
    <row r="3812" spans="9:10">
      <c r="I3812" s="68"/>
      <c r="J3812" s="68"/>
    </row>
    <row r="3813" spans="9:10">
      <c r="I3813" s="68"/>
      <c r="J3813" s="68"/>
    </row>
    <row r="3814" spans="9:10">
      <c r="I3814" s="68"/>
      <c r="J3814" s="68"/>
    </row>
    <row r="3815" spans="9:10">
      <c r="I3815" s="68"/>
      <c r="J3815" s="68"/>
    </row>
    <row r="3816" spans="9:10">
      <c r="I3816" s="68"/>
      <c r="J3816" s="68"/>
    </row>
    <row r="3817" spans="9:10">
      <c r="I3817" s="68"/>
      <c r="J3817" s="68"/>
    </row>
    <row r="3818" spans="9:10">
      <c r="I3818" s="68"/>
      <c r="J3818" s="68"/>
    </row>
    <row r="3819" spans="9:10">
      <c r="I3819" s="68"/>
      <c r="J3819" s="68"/>
    </row>
    <row r="3820" spans="9:10">
      <c r="I3820" s="68"/>
      <c r="J3820" s="68"/>
    </row>
    <row r="3821" spans="9:10">
      <c r="I3821" s="68"/>
      <c r="J3821" s="68"/>
    </row>
    <row r="3822" spans="9:10">
      <c r="I3822" s="68"/>
      <c r="J3822" s="68"/>
    </row>
    <row r="3823" spans="9:10">
      <c r="I3823" s="68"/>
      <c r="J3823" s="68"/>
    </row>
    <row r="3824" spans="9:10">
      <c r="I3824" s="68"/>
      <c r="J3824" s="68"/>
    </row>
    <row r="3825" spans="9:10">
      <c r="I3825" s="68"/>
      <c r="J3825" s="68"/>
    </row>
    <row r="3826" spans="9:10">
      <c r="I3826" s="68"/>
      <c r="J3826" s="68"/>
    </row>
    <row r="3827" spans="9:10">
      <c r="I3827" s="68"/>
      <c r="J3827" s="68"/>
    </row>
    <row r="3828" spans="9:10">
      <c r="I3828" s="68"/>
      <c r="J3828" s="68"/>
    </row>
    <row r="3829" spans="9:10">
      <c r="I3829" s="68"/>
      <c r="J3829" s="68"/>
    </row>
    <row r="3830" spans="9:10">
      <c r="I3830" s="68"/>
      <c r="J3830" s="68"/>
    </row>
    <row r="3831" spans="9:10">
      <c r="I3831" s="68"/>
      <c r="J3831" s="68"/>
    </row>
    <row r="3832" spans="9:10">
      <c r="I3832" s="68"/>
      <c r="J3832" s="68"/>
    </row>
    <row r="3833" spans="9:10">
      <c r="I3833" s="68"/>
      <c r="J3833" s="68"/>
    </row>
    <row r="3834" spans="9:10">
      <c r="I3834" s="68"/>
      <c r="J3834" s="68"/>
    </row>
    <row r="3835" spans="9:10">
      <c r="I3835" s="68"/>
      <c r="J3835" s="68"/>
    </row>
    <row r="3836" spans="9:10">
      <c r="I3836" s="68"/>
      <c r="J3836" s="68"/>
    </row>
    <row r="3837" spans="9:10">
      <c r="I3837" s="68"/>
      <c r="J3837" s="68"/>
    </row>
    <row r="3838" spans="9:10">
      <c r="I3838" s="68"/>
      <c r="J3838" s="68"/>
    </row>
    <row r="3839" spans="9:10">
      <c r="I3839" s="68"/>
      <c r="J3839" s="68"/>
    </row>
    <row r="3840" spans="9:10">
      <c r="I3840" s="68"/>
      <c r="J3840" s="68"/>
    </row>
    <row r="3841" spans="9:10">
      <c r="I3841" s="68"/>
      <c r="J3841" s="68"/>
    </row>
    <row r="3842" spans="9:10">
      <c r="I3842" s="68"/>
      <c r="J3842" s="68"/>
    </row>
    <row r="3843" spans="9:10">
      <c r="I3843" s="68"/>
      <c r="J3843" s="68"/>
    </row>
    <row r="3844" spans="9:10">
      <c r="I3844" s="68"/>
      <c r="J3844" s="68"/>
    </row>
    <row r="3845" spans="9:10">
      <c r="I3845" s="68"/>
      <c r="J3845" s="68"/>
    </row>
    <row r="3846" spans="9:10">
      <c r="I3846" s="68"/>
      <c r="J3846" s="68"/>
    </row>
    <row r="3847" spans="9:10">
      <c r="I3847" s="68"/>
      <c r="J3847" s="68"/>
    </row>
    <row r="3848" spans="9:10">
      <c r="I3848" s="68"/>
      <c r="J3848" s="68"/>
    </row>
    <row r="3849" spans="9:10">
      <c r="I3849" s="68"/>
      <c r="J3849" s="68"/>
    </row>
    <row r="3850" spans="9:10">
      <c r="I3850" s="68"/>
      <c r="J3850" s="68"/>
    </row>
    <row r="3851" spans="9:10">
      <c r="I3851" s="68"/>
      <c r="J3851" s="68"/>
    </row>
    <row r="3852" spans="9:10">
      <c r="I3852" s="68"/>
      <c r="J3852" s="68"/>
    </row>
    <row r="3853" spans="9:10">
      <c r="I3853" s="68"/>
      <c r="J3853" s="68"/>
    </row>
    <row r="3854" spans="9:10">
      <c r="I3854" s="68"/>
      <c r="J3854" s="68"/>
    </row>
    <row r="3855" spans="9:10">
      <c r="I3855" s="68"/>
      <c r="J3855" s="68"/>
    </row>
    <row r="3856" spans="9:10">
      <c r="I3856" s="68"/>
      <c r="J3856" s="68"/>
    </row>
    <row r="3857" spans="9:10">
      <c r="I3857" s="68"/>
      <c r="J3857" s="68"/>
    </row>
    <row r="3858" spans="9:10">
      <c r="I3858" s="68"/>
      <c r="J3858" s="68"/>
    </row>
    <row r="3859" spans="9:10">
      <c r="I3859" s="68"/>
      <c r="J3859" s="68"/>
    </row>
    <row r="3860" spans="9:10">
      <c r="I3860" s="68"/>
      <c r="J3860" s="68"/>
    </row>
    <row r="3861" spans="9:10">
      <c r="I3861" s="68"/>
      <c r="J3861" s="68"/>
    </row>
    <row r="3862" spans="9:10">
      <c r="I3862" s="68"/>
      <c r="J3862" s="68"/>
    </row>
    <row r="3863" spans="9:10">
      <c r="I3863" s="68"/>
      <c r="J3863" s="68"/>
    </row>
    <row r="3864" spans="9:10">
      <c r="I3864" s="68"/>
      <c r="J3864" s="68"/>
    </row>
    <row r="3865" spans="9:10">
      <c r="I3865" s="68"/>
      <c r="J3865" s="68"/>
    </row>
    <row r="3866" spans="9:10">
      <c r="I3866" s="68"/>
      <c r="J3866" s="68"/>
    </row>
    <row r="3867" spans="9:10">
      <c r="I3867" s="68"/>
      <c r="J3867" s="68"/>
    </row>
    <row r="3868" spans="9:10">
      <c r="I3868" s="68"/>
      <c r="J3868" s="68"/>
    </row>
    <row r="3869" spans="9:10">
      <c r="I3869" s="68"/>
      <c r="J3869" s="68"/>
    </row>
    <row r="3870" spans="9:10">
      <c r="I3870" s="68"/>
      <c r="J3870" s="68"/>
    </row>
    <row r="3871" spans="9:10">
      <c r="I3871" s="68"/>
      <c r="J3871" s="68"/>
    </row>
    <row r="3872" spans="9:10">
      <c r="I3872" s="68"/>
      <c r="J3872" s="68"/>
    </row>
    <row r="3873" spans="9:10">
      <c r="I3873" s="68"/>
      <c r="J3873" s="68"/>
    </row>
    <row r="3874" spans="9:10">
      <c r="I3874" s="68"/>
      <c r="J3874" s="68"/>
    </row>
    <row r="3875" spans="9:10">
      <c r="I3875" s="68"/>
      <c r="J3875" s="68"/>
    </row>
    <row r="3876" spans="9:10">
      <c r="I3876" s="68"/>
      <c r="J3876" s="68"/>
    </row>
    <row r="3877" spans="9:10">
      <c r="I3877" s="68"/>
      <c r="J3877" s="68"/>
    </row>
    <row r="3878" spans="9:10">
      <c r="I3878" s="68"/>
      <c r="J3878" s="68"/>
    </row>
    <row r="3879" spans="9:10">
      <c r="I3879" s="68"/>
      <c r="J3879" s="68"/>
    </row>
    <row r="3880" spans="9:10">
      <c r="I3880" s="68"/>
      <c r="J3880" s="68"/>
    </row>
    <row r="3881" spans="9:10">
      <c r="I3881" s="68"/>
      <c r="J3881" s="68"/>
    </row>
    <row r="3882" spans="9:10">
      <c r="I3882" s="68"/>
      <c r="J3882" s="68"/>
    </row>
    <row r="3883" spans="9:10">
      <c r="I3883" s="68"/>
      <c r="J3883" s="68"/>
    </row>
    <row r="3884" spans="9:10">
      <c r="I3884" s="68"/>
      <c r="J3884" s="68"/>
    </row>
    <row r="3885" spans="9:10">
      <c r="I3885" s="68"/>
      <c r="J3885" s="68"/>
    </row>
    <row r="3886" spans="9:10">
      <c r="I3886" s="68"/>
      <c r="J3886" s="68"/>
    </row>
    <row r="3887" spans="9:10">
      <c r="I3887" s="68"/>
      <c r="J3887" s="68"/>
    </row>
    <row r="3888" spans="9:10">
      <c r="I3888" s="68"/>
      <c r="J3888" s="68"/>
    </row>
    <row r="3889" spans="9:10">
      <c r="I3889" s="68"/>
      <c r="J3889" s="68"/>
    </row>
    <row r="3890" spans="9:10">
      <c r="I3890" s="68"/>
      <c r="J3890" s="68"/>
    </row>
    <row r="3891" spans="9:10">
      <c r="I3891" s="68"/>
      <c r="J3891" s="68"/>
    </row>
    <row r="3892" spans="9:10">
      <c r="I3892" s="68"/>
      <c r="J3892" s="68"/>
    </row>
    <row r="3893" spans="9:10">
      <c r="I3893" s="68"/>
      <c r="J3893" s="68"/>
    </row>
    <row r="3894" spans="9:10">
      <c r="I3894" s="68"/>
      <c r="J3894" s="68"/>
    </row>
    <row r="3895" spans="9:10">
      <c r="I3895" s="68"/>
      <c r="J3895" s="68"/>
    </row>
    <row r="3896" spans="9:10">
      <c r="I3896" s="68"/>
      <c r="J3896" s="68"/>
    </row>
    <row r="3897" spans="9:10">
      <c r="I3897" s="68"/>
      <c r="J3897" s="68"/>
    </row>
    <row r="3898" spans="9:10">
      <c r="I3898" s="68"/>
      <c r="J3898" s="68"/>
    </row>
    <row r="3899" spans="9:10">
      <c r="I3899" s="68"/>
      <c r="J3899" s="68"/>
    </row>
    <row r="3900" spans="9:10">
      <c r="I3900" s="68"/>
      <c r="J3900" s="68"/>
    </row>
    <row r="3901" spans="9:10">
      <c r="I3901" s="68"/>
      <c r="J3901" s="68"/>
    </row>
    <row r="3902" spans="9:10">
      <c r="I3902" s="68"/>
      <c r="J3902" s="68"/>
    </row>
    <row r="3903" spans="9:10">
      <c r="I3903" s="68"/>
      <c r="J3903" s="68"/>
    </row>
    <row r="3904" spans="9:10">
      <c r="I3904" s="68"/>
      <c r="J3904" s="68"/>
    </row>
    <row r="3905" spans="9:10">
      <c r="I3905" s="68"/>
      <c r="J3905" s="68"/>
    </row>
    <row r="3906" spans="9:10">
      <c r="I3906" s="68"/>
      <c r="J3906" s="68"/>
    </row>
    <row r="3907" spans="9:10">
      <c r="I3907" s="68"/>
      <c r="J3907" s="68"/>
    </row>
    <row r="3908" spans="9:10">
      <c r="I3908" s="68"/>
      <c r="J3908" s="68"/>
    </row>
    <row r="3909" spans="9:10">
      <c r="I3909" s="68"/>
      <c r="J3909" s="68"/>
    </row>
    <row r="3910" spans="9:10">
      <c r="I3910" s="68"/>
      <c r="J3910" s="68"/>
    </row>
    <row r="3911" spans="9:10">
      <c r="I3911" s="68"/>
      <c r="J3911" s="68"/>
    </row>
    <row r="3912" spans="9:10">
      <c r="I3912" s="68"/>
      <c r="J3912" s="68"/>
    </row>
    <row r="3913" spans="9:10">
      <c r="I3913" s="68"/>
      <c r="J3913" s="68"/>
    </row>
    <row r="3914" spans="9:10">
      <c r="I3914" s="68"/>
      <c r="J3914" s="68"/>
    </row>
    <row r="3915" spans="9:10">
      <c r="I3915" s="68"/>
      <c r="J3915" s="68"/>
    </row>
    <row r="3916" spans="9:10">
      <c r="I3916" s="68"/>
      <c r="J3916" s="68"/>
    </row>
    <row r="3917" spans="9:10">
      <c r="I3917" s="68"/>
      <c r="J3917" s="68"/>
    </row>
    <row r="3918" spans="9:10">
      <c r="I3918" s="68"/>
      <c r="J3918" s="68"/>
    </row>
    <row r="3919" spans="9:10">
      <c r="I3919" s="68"/>
      <c r="J3919" s="68"/>
    </row>
    <row r="3920" spans="9:10">
      <c r="I3920" s="68"/>
      <c r="J3920" s="68"/>
    </row>
    <row r="3921" spans="9:10">
      <c r="I3921" s="68"/>
      <c r="J3921" s="68"/>
    </row>
    <row r="3922" spans="9:10">
      <c r="I3922" s="68"/>
      <c r="J3922" s="68"/>
    </row>
    <row r="3923" spans="9:10">
      <c r="I3923" s="68"/>
      <c r="J3923" s="68"/>
    </row>
    <row r="3924" spans="9:10">
      <c r="I3924" s="68"/>
      <c r="J3924" s="68"/>
    </row>
    <row r="3925" spans="9:10">
      <c r="I3925" s="68"/>
      <c r="J3925" s="68"/>
    </row>
    <row r="3926" spans="9:10">
      <c r="I3926" s="68"/>
      <c r="J3926" s="68"/>
    </row>
    <row r="3927" spans="9:10">
      <c r="I3927" s="68"/>
      <c r="J3927" s="68"/>
    </row>
    <row r="3928" spans="9:10">
      <c r="I3928" s="68"/>
      <c r="J3928" s="68"/>
    </row>
    <row r="3929" spans="9:10">
      <c r="I3929" s="68"/>
      <c r="J3929" s="68"/>
    </row>
    <row r="3930" spans="9:10">
      <c r="I3930" s="68"/>
      <c r="J3930" s="68"/>
    </row>
    <row r="3931" spans="9:10">
      <c r="I3931" s="68"/>
      <c r="J3931" s="68"/>
    </row>
    <row r="3932" spans="9:10">
      <c r="I3932" s="68"/>
      <c r="J3932" s="68"/>
    </row>
    <row r="3933" spans="9:10">
      <c r="I3933" s="68"/>
      <c r="J3933" s="68"/>
    </row>
    <row r="3934" spans="9:10">
      <c r="I3934" s="68"/>
      <c r="J3934" s="68"/>
    </row>
    <row r="3935" spans="9:10">
      <c r="I3935" s="68"/>
      <c r="J3935" s="68"/>
    </row>
    <row r="3936" spans="9:10">
      <c r="I3936" s="68"/>
      <c r="J3936" s="68"/>
    </row>
    <row r="3937" spans="9:10">
      <c r="I3937" s="68"/>
      <c r="J3937" s="68"/>
    </row>
    <row r="3938" spans="9:10">
      <c r="I3938" s="68"/>
      <c r="J3938" s="68"/>
    </row>
    <row r="3939" spans="9:10">
      <c r="I3939" s="68"/>
      <c r="J3939" s="68"/>
    </row>
    <row r="3940" spans="9:10">
      <c r="I3940" s="68"/>
      <c r="J3940" s="68"/>
    </row>
    <row r="3941" spans="9:10">
      <c r="I3941" s="68"/>
      <c r="J3941" s="68"/>
    </row>
    <row r="3942" spans="9:10">
      <c r="I3942" s="68"/>
      <c r="J3942" s="68"/>
    </row>
    <row r="3943" spans="9:10">
      <c r="I3943" s="68"/>
      <c r="J3943" s="68"/>
    </row>
    <row r="3944" spans="9:10">
      <c r="I3944" s="68"/>
      <c r="J3944" s="68"/>
    </row>
    <row r="3945" spans="9:10">
      <c r="I3945" s="68"/>
      <c r="J3945" s="68"/>
    </row>
    <row r="3946" spans="9:10">
      <c r="I3946" s="68"/>
      <c r="J3946" s="68"/>
    </row>
    <row r="3947" spans="9:10">
      <c r="I3947" s="68"/>
      <c r="J3947" s="68"/>
    </row>
    <row r="3948" spans="9:10">
      <c r="I3948" s="68"/>
      <c r="J3948" s="68"/>
    </row>
    <row r="3949" spans="9:10">
      <c r="I3949" s="68"/>
      <c r="J3949" s="68"/>
    </row>
    <row r="3950" spans="9:10">
      <c r="I3950" s="68"/>
      <c r="J3950" s="68"/>
    </row>
    <row r="3951" spans="9:10">
      <c r="I3951" s="68"/>
      <c r="J3951" s="68"/>
    </row>
    <row r="3952" spans="9:10">
      <c r="I3952" s="68"/>
      <c r="J3952" s="68"/>
    </row>
    <row r="3953" spans="9:10">
      <c r="I3953" s="68"/>
      <c r="J3953" s="68"/>
    </row>
    <row r="3954" spans="9:10">
      <c r="I3954" s="68"/>
      <c r="J3954" s="68"/>
    </row>
    <row r="3955" spans="9:10">
      <c r="I3955" s="68"/>
      <c r="J3955" s="68"/>
    </row>
    <row r="3956" spans="9:10">
      <c r="I3956" s="68"/>
      <c r="J3956" s="68"/>
    </row>
    <row r="3957" spans="9:10">
      <c r="I3957" s="68"/>
      <c r="J3957" s="68"/>
    </row>
    <row r="3958" spans="9:10">
      <c r="I3958" s="68"/>
      <c r="J3958" s="68"/>
    </row>
    <row r="3959" spans="9:10">
      <c r="I3959" s="68"/>
      <c r="J3959" s="68"/>
    </row>
    <row r="3960" spans="9:10">
      <c r="I3960" s="68"/>
      <c r="J3960" s="68"/>
    </row>
    <row r="3961" spans="9:10">
      <c r="I3961" s="68"/>
      <c r="J3961" s="68"/>
    </row>
    <row r="3962" spans="9:10">
      <c r="I3962" s="68"/>
      <c r="J3962" s="68"/>
    </row>
    <row r="3963" spans="9:10">
      <c r="I3963" s="68"/>
      <c r="J3963" s="68"/>
    </row>
    <row r="3964" spans="9:10">
      <c r="I3964" s="68"/>
      <c r="J3964" s="68"/>
    </row>
    <row r="3965" spans="9:10">
      <c r="I3965" s="68"/>
      <c r="J3965" s="68"/>
    </row>
    <row r="3966" spans="9:10">
      <c r="I3966" s="68"/>
      <c r="J3966" s="68"/>
    </row>
    <row r="3967" spans="9:10">
      <c r="I3967" s="68"/>
      <c r="J3967" s="68"/>
    </row>
    <row r="3968" spans="9:10">
      <c r="I3968" s="68"/>
      <c r="J3968" s="68"/>
    </row>
    <row r="3969" spans="9:10">
      <c r="I3969" s="68"/>
      <c r="J3969" s="68"/>
    </row>
    <row r="3970" spans="9:10">
      <c r="I3970" s="68"/>
      <c r="J3970" s="68"/>
    </row>
    <row r="3971" spans="9:10">
      <c r="I3971" s="68"/>
      <c r="J3971" s="68"/>
    </row>
    <row r="3972" spans="9:10">
      <c r="I3972" s="68"/>
      <c r="J3972" s="68"/>
    </row>
    <row r="3973" spans="9:10">
      <c r="I3973" s="68"/>
      <c r="J3973" s="68"/>
    </row>
    <row r="3974" spans="9:10">
      <c r="I3974" s="68"/>
      <c r="J3974" s="68"/>
    </row>
    <row r="3975" spans="9:10">
      <c r="I3975" s="68"/>
      <c r="J3975" s="68"/>
    </row>
    <row r="3976" spans="9:10">
      <c r="I3976" s="68"/>
      <c r="J3976" s="68"/>
    </row>
    <row r="3977" spans="9:10">
      <c r="I3977" s="68"/>
      <c r="J3977" s="68"/>
    </row>
    <row r="3978" spans="9:10">
      <c r="I3978" s="68"/>
      <c r="J3978" s="68"/>
    </row>
    <row r="3979" spans="9:10">
      <c r="I3979" s="68"/>
      <c r="J3979" s="68"/>
    </row>
    <row r="3980" spans="9:10">
      <c r="I3980" s="68"/>
      <c r="J3980" s="68"/>
    </row>
    <row r="3981" spans="9:10">
      <c r="I3981" s="68"/>
      <c r="J3981" s="68"/>
    </row>
    <row r="3982" spans="9:10">
      <c r="I3982" s="68"/>
      <c r="J3982" s="68"/>
    </row>
    <row r="3983" spans="9:10">
      <c r="I3983" s="68"/>
      <c r="J3983" s="68"/>
    </row>
    <row r="3984" spans="9:10">
      <c r="I3984" s="68"/>
      <c r="J3984" s="68"/>
    </row>
    <row r="3985" spans="9:10">
      <c r="I3985" s="68"/>
      <c r="J3985" s="68"/>
    </row>
    <row r="3986" spans="9:10">
      <c r="I3986" s="68"/>
      <c r="J3986" s="68"/>
    </row>
    <row r="3987" spans="9:10">
      <c r="I3987" s="68"/>
      <c r="J3987" s="68"/>
    </row>
    <row r="3988" spans="9:10">
      <c r="I3988" s="68"/>
      <c r="J3988" s="68"/>
    </row>
    <row r="3989" spans="9:10">
      <c r="I3989" s="68"/>
      <c r="J3989" s="68"/>
    </row>
    <row r="3990" spans="9:10">
      <c r="I3990" s="68"/>
      <c r="J3990" s="68"/>
    </row>
    <row r="3991" spans="9:10">
      <c r="I3991" s="68"/>
      <c r="J3991" s="68"/>
    </row>
    <row r="3992" spans="9:10">
      <c r="I3992" s="68"/>
      <c r="J3992" s="68"/>
    </row>
    <row r="3993" spans="9:10">
      <c r="I3993" s="68"/>
      <c r="J3993" s="68"/>
    </row>
    <row r="3994" spans="9:10">
      <c r="I3994" s="68"/>
      <c r="J3994" s="68"/>
    </row>
    <row r="3995" spans="9:10">
      <c r="I3995" s="68"/>
      <c r="J3995" s="68"/>
    </row>
    <row r="3996" spans="9:10">
      <c r="I3996" s="68"/>
      <c r="J3996" s="68"/>
    </row>
    <row r="3997" spans="9:10">
      <c r="I3997" s="68"/>
      <c r="J3997" s="68"/>
    </row>
    <row r="3998" spans="9:10">
      <c r="I3998" s="68"/>
      <c r="J3998" s="68"/>
    </row>
    <row r="3999" spans="9:10">
      <c r="I3999" s="68"/>
      <c r="J3999" s="68"/>
    </row>
    <row r="4000" spans="9:10">
      <c r="I4000" s="68"/>
      <c r="J4000" s="68"/>
    </row>
    <row r="4001" spans="9:10">
      <c r="I4001" s="68"/>
      <c r="J4001" s="68"/>
    </row>
    <row r="4002" spans="9:10">
      <c r="I4002" s="68"/>
      <c r="J4002" s="68"/>
    </row>
    <row r="4003" spans="9:10">
      <c r="I4003" s="68"/>
      <c r="J4003" s="68"/>
    </row>
    <row r="4004" spans="9:10">
      <c r="I4004" s="68"/>
      <c r="J4004" s="68"/>
    </row>
    <row r="4005" spans="9:10">
      <c r="I4005" s="68"/>
      <c r="J4005" s="68"/>
    </row>
    <row r="4006" spans="9:10">
      <c r="I4006" s="68"/>
      <c r="J4006" s="68"/>
    </row>
    <row r="4007" spans="9:10">
      <c r="I4007" s="68"/>
      <c r="J4007" s="68"/>
    </row>
    <row r="4008" spans="9:10">
      <c r="I4008" s="68"/>
      <c r="J4008" s="68"/>
    </row>
    <row r="4009" spans="9:10">
      <c r="I4009" s="68"/>
      <c r="J4009" s="68"/>
    </row>
    <row r="4010" spans="9:10">
      <c r="I4010" s="68"/>
      <c r="J4010" s="68"/>
    </row>
    <row r="4011" spans="9:10">
      <c r="I4011" s="68"/>
      <c r="J4011" s="68"/>
    </row>
    <row r="4012" spans="9:10">
      <c r="I4012" s="68"/>
      <c r="J4012" s="68"/>
    </row>
    <row r="4013" spans="9:10">
      <c r="I4013" s="68"/>
      <c r="J4013" s="68"/>
    </row>
    <row r="4014" spans="9:10">
      <c r="I4014" s="68"/>
      <c r="J4014" s="68"/>
    </row>
    <row r="4015" spans="9:10">
      <c r="I4015" s="68"/>
      <c r="J4015" s="68"/>
    </row>
    <row r="4016" spans="9:10">
      <c r="I4016" s="68"/>
      <c r="J4016" s="68"/>
    </row>
    <row r="4017" spans="9:10">
      <c r="I4017" s="68"/>
      <c r="J4017" s="68"/>
    </row>
    <row r="4018" spans="9:10">
      <c r="I4018" s="68"/>
      <c r="J4018" s="68"/>
    </row>
    <row r="4019" spans="9:10">
      <c r="I4019" s="68"/>
      <c r="J4019" s="68"/>
    </row>
    <row r="4020" spans="9:10">
      <c r="I4020" s="68"/>
      <c r="J4020" s="68"/>
    </row>
    <row r="4021" spans="9:10">
      <c r="I4021" s="68"/>
      <c r="J4021" s="68"/>
    </row>
    <row r="4022" spans="9:10">
      <c r="I4022" s="68"/>
      <c r="J4022" s="68"/>
    </row>
    <row r="4023" spans="9:10">
      <c r="I4023" s="68"/>
      <c r="J4023" s="68"/>
    </row>
    <row r="4024" spans="9:10">
      <c r="I4024" s="68"/>
      <c r="J4024" s="68"/>
    </row>
    <row r="4025" spans="9:10">
      <c r="I4025" s="68"/>
      <c r="J4025" s="68"/>
    </row>
    <row r="4026" spans="9:10">
      <c r="I4026" s="68"/>
      <c r="J4026" s="68"/>
    </row>
    <row r="4027" spans="9:10">
      <c r="I4027" s="68"/>
      <c r="J4027" s="68"/>
    </row>
    <row r="4028" spans="9:10">
      <c r="I4028" s="68"/>
      <c r="J4028" s="68"/>
    </row>
    <row r="4029" spans="9:10">
      <c r="I4029" s="68"/>
      <c r="J4029" s="68"/>
    </row>
    <row r="4030" spans="9:10">
      <c r="I4030" s="68"/>
      <c r="J4030" s="68"/>
    </row>
    <row r="4031" spans="9:10">
      <c r="I4031" s="68"/>
      <c r="J4031" s="68"/>
    </row>
    <row r="4032" spans="9:10">
      <c r="I4032" s="68"/>
      <c r="J4032" s="68"/>
    </row>
    <row r="4033" spans="9:10">
      <c r="I4033" s="68"/>
      <c r="J4033" s="68"/>
    </row>
    <row r="4034" spans="9:10">
      <c r="I4034" s="68"/>
      <c r="J4034" s="68"/>
    </row>
    <row r="4035" spans="9:10">
      <c r="I4035" s="68"/>
      <c r="J4035" s="68"/>
    </row>
    <row r="4036" spans="9:10">
      <c r="I4036" s="68"/>
      <c r="J4036" s="68"/>
    </row>
    <row r="4037" spans="9:10">
      <c r="I4037" s="68"/>
      <c r="J4037" s="68"/>
    </row>
    <row r="4038" spans="9:10">
      <c r="I4038" s="68"/>
      <c r="J4038" s="68"/>
    </row>
    <row r="4039" spans="9:10">
      <c r="I4039" s="68"/>
      <c r="J4039" s="68"/>
    </row>
    <row r="4040" spans="9:10">
      <c r="I4040" s="68"/>
      <c r="J4040" s="68"/>
    </row>
    <row r="4041" spans="9:10">
      <c r="I4041" s="68"/>
      <c r="J4041" s="68"/>
    </row>
    <row r="4042" spans="9:10">
      <c r="I4042" s="68"/>
      <c r="J4042" s="68"/>
    </row>
    <row r="4043" spans="9:10">
      <c r="I4043" s="68"/>
      <c r="J4043" s="68"/>
    </row>
    <row r="4044" spans="9:10">
      <c r="I4044" s="68"/>
      <c r="J4044" s="68"/>
    </row>
    <row r="4045" spans="9:10">
      <c r="I4045" s="68"/>
      <c r="J4045" s="68"/>
    </row>
    <row r="4046" spans="9:10">
      <c r="I4046" s="68"/>
      <c r="J4046" s="68"/>
    </row>
    <row r="4047" spans="9:10">
      <c r="I4047" s="68"/>
      <c r="J4047" s="68"/>
    </row>
    <row r="4048" spans="9:10">
      <c r="I4048" s="68"/>
      <c r="J4048" s="68"/>
    </row>
    <row r="4049" spans="9:10">
      <c r="I4049" s="68"/>
      <c r="J4049" s="68"/>
    </row>
    <row r="4050" spans="9:10">
      <c r="I4050" s="68"/>
      <c r="J4050" s="68"/>
    </row>
    <row r="4051" spans="9:10">
      <c r="I4051" s="68"/>
      <c r="J4051" s="68"/>
    </row>
    <row r="4052" spans="9:10">
      <c r="I4052" s="68"/>
      <c r="J4052" s="68"/>
    </row>
    <row r="4053" spans="9:10">
      <c r="I4053" s="68"/>
      <c r="J4053" s="68"/>
    </row>
    <row r="4054" spans="9:10">
      <c r="I4054" s="68"/>
      <c r="J4054" s="68"/>
    </row>
    <row r="4055" spans="9:10">
      <c r="I4055" s="68"/>
      <c r="J4055" s="68"/>
    </row>
    <row r="4056" spans="9:10">
      <c r="I4056" s="68"/>
      <c r="J4056" s="68"/>
    </row>
    <row r="4057" spans="9:10">
      <c r="I4057" s="68"/>
      <c r="J4057" s="68"/>
    </row>
    <row r="4058" spans="9:10">
      <c r="I4058" s="68"/>
      <c r="J4058" s="68"/>
    </row>
    <row r="4059" spans="9:10">
      <c r="I4059" s="68"/>
      <c r="J4059" s="68"/>
    </row>
    <row r="4060" spans="9:10">
      <c r="I4060" s="68"/>
      <c r="J4060" s="68"/>
    </row>
    <row r="4061" spans="9:10">
      <c r="I4061" s="68"/>
      <c r="J4061" s="68"/>
    </row>
    <row r="4062" spans="9:10">
      <c r="I4062" s="68"/>
      <c r="J4062" s="68"/>
    </row>
    <row r="4063" spans="9:10">
      <c r="I4063" s="68"/>
      <c r="J4063" s="68"/>
    </row>
    <row r="4064" spans="9:10">
      <c r="I4064" s="68"/>
      <c r="J4064" s="68"/>
    </row>
    <row r="4065" spans="9:10">
      <c r="I4065" s="68"/>
      <c r="J4065" s="68"/>
    </row>
    <row r="4066" spans="9:10">
      <c r="I4066" s="68"/>
      <c r="J4066" s="68"/>
    </row>
    <row r="4067" spans="9:10">
      <c r="I4067" s="68"/>
      <c r="J4067" s="68"/>
    </row>
    <row r="4068" spans="9:10">
      <c r="I4068" s="68"/>
      <c r="J4068" s="68"/>
    </row>
    <row r="4069" spans="9:10">
      <c r="I4069" s="68"/>
      <c r="J4069" s="68"/>
    </row>
    <row r="4070" spans="9:10">
      <c r="I4070" s="68"/>
      <c r="J4070" s="68"/>
    </row>
    <row r="4071" spans="9:10">
      <c r="I4071" s="68"/>
      <c r="J4071" s="68"/>
    </row>
    <row r="4072" spans="9:10">
      <c r="I4072" s="68"/>
      <c r="J4072" s="68"/>
    </row>
    <row r="4073" spans="9:10">
      <c r="I4073" s="68"/>
      <c r="J4073" s="68"/>
    </row>
    <row r="4074" spans="9:10">
      <c r="I4074" s="68"/>
      <c r="J4074" s="68"/>
    </row>
    <row r="4075" spans="9:10">
      <c r="I4075" s="68"/>
      <c r="J4075" s="68"/>
    </row>
    <row r="4076" spans="9:10">
      <c r="I4076" s="68"/>
      <c r="J4076" s="68"/>
    </row>
    <row r="4077" spans="9:10">
      <c r="I4077" s="68"/>
      <c r="J4077" s="68"/>
    </row>
    <row r="4078" spans="9:10">
      <c r="I4078" s="68"/>
      <c r="J4078" s="68"/>
    </row>
    <row r="4079" spans="9:10">
      <c r="I4079" s="68"/>
      <c r="J4079" s="68"/>
    </row>
    <row r="4080" spans="9:10">
      <c r="I4080" s="68"/>
      <c r="J4080" s="68"/>
    </row>
    <row r="4081" spans="9:10">
      <c r="I4081" s="68"/>
      <c r="J4081" s="68"/>
    </row>
    <row r="4082" spans="9:10">
      <c r="I4082" s="68"/>
      <c r="J4082" s="68"/>
    </row>
    <row r="4083" spans="9:10">
      <c r="I4083" s="68"/>
      <c r="J4083" s="68"/>
    </row>
    <row r="4084" spans="9:10">
      <c r="I4084" s="68"/>
      <c r="J4084" s="68"/>
    </row>
    <row r="4085" spans="9:10">
      <c r="I4085" s="68"/>
      <c r="J4085" s="68"/>
    </row>
    <row r="4086" spans="9:10">
      <c r="I4086" s="68"/>
      <c r="J4086" s="68"/>
    </row>
    <row r="4087" spans="9:10">
      <c r="I4087" s="68"/>
      <c r="J4087" s="68"/>
    </row>
    <row r="4088" spans="9:10">
      <c r="I4088" s="68"/>
      <c r="J4088" s="68"/>
    </row>
    <row r="4089" spans="9:10">
      <c r="I4089" s="68"/>
      <c r="J4089" s="68"/>
    </row>
    <row r="4090" spans="9:10">
      <c r="I4090" s="68"/>
      <c r="J4090" s="68"/>
    </row>
    <row r="4091" spans="9:10">
      <c r="I4091" s="68"/>
      <c r="J4091" s="68"/>
    </row>
    <row r="4092" spans="9:10">
      <c r="I4092" s="68"/>
      <c r="J4092" s="68"/>
    </row>
    <row r="4093" spans="9:10">
      <c r="I4093" s="68"/>
      <c r="J4093" s="68"/>
    </row>
    <row r="4094" spans="9:10">
      <c r="I4094" s="68"/>
      <c r="J4094" s="68"/>
    </row>
    <row r="4095" spans="9:10">
      <c r="I4095" s="68"/>
      <c r="J4095" s="68"/>
    </row>
    <row r="4096" spans="9:10">
      <c r="I4096" s="68"/>
      <c r="J4096" s="68"/>
    </row>
    <row r="4097" spans="9:10">
      <c r="I4097" s="68"/>
      <c r="J4097" s="68"/>
    </row>
    <row r="4098" spans="9:10">
      <c r="I4098" s="68"/>
      <c r="J4098" s="68"/>
    </row>
    <row r="4099" spans="9:10">
      <c r="I4099" s="68"/>
      <c r="J4099" s="68"/>
    </row>
    <row r="4100" spans="9:10">
      <c r="I4100" s="68"/>
      <c r="J4100" s="68"/>
    </row>
    <row r="4101" spans="9:10">
      <c r="I4101" s="68"/>
      <c r="J4101" s="68"/>
    </row>
    <row r="4102" spans="9:10">
      <c r="I4102" s="68"/>
      <c r="J4102" s="68"/>
    </row>
    <row r="4103" spans="9:10">
      <c r="I4103" s="68"/>
      <c r="J4103" s="68"/>
    </row>
    <row r="4104" spans="9:10">
      <c r="I4104" s="68"/>
      <c r="J4104" s="68"/>
    </row>
    <row r="4105" spans="9:10">
      <c r="I4105" s="68"/>
      <c r="J4105" s="68"/>
    </row>
    <row r="4106" spans="9:10">
      <c r="I4106" s="68"/>
      <c r="J4106" s="68"/>
    </row>
    <row r="4107" spans="9:10">
      <c r="I4107" s="68"/>
      <c r="J4107" s="68"/>
    </row>
    <row r="4108" spans="9:10">
      <c r="I4108" s="68"/>
      <c r="J4108" s="68"/>
    </row>
    <row r="4109" spans="9:10">
      <c r="I4109" s="68"/>
      <c r="J4109" s="68"/>
    </row>
    <row r="4110" spans="9:10">
      <c r="I4110" s="68"/>
      <c r="J4110" s="68"/>
    </row>
    <row r="4111" spans="9:10">
      <c r="I4111" s="68"/>
      <c r="J4111" s="68"/>
    </row>
    <row r="4112" spans="9:10">
      <c r="I4112" s="68"/>
      <c r="J4112" s="68"/>
    </row>
    <row r="4113" spans="9:10">
      <c r="I4113" s="68"/>
      <c r="J4113" s="68"/>
    </row>
    <row r="4114" spans="9:10">
      <c r="I4114" s="68"/>
      <c r="J4114" s="68"/>
    </row>
    <row r="4115" spans="9:10">
      <c r="I4115" s="68"/>
      <c r="J4115" s="68"/>
    </row>
    <row r="4116" spans="9:10">
      <c r="I4116" s="68"/>
      <c r="J4116" s="68"/>
    </row>
    <row r="4117" spans="9:10">
      <c r="I4117" s="68"/>
      <c r="J4117" s="68"/>
    </row>
    <row r="4118" spans="9:10">
      <c r="I4118" s="68"/>
      <c r="J4118" s="68"/>
    </row>
    <row r="4119" spans="9:10">
      <c r="I4119" s="68"/>
      <c r="J4119" s="68"/>
    </row>
    <row r="4120" spans="9:10">
      <c r="I4120" s="68"/>
      <c r="J4120" s="68"/>
    </row>
    <row r="4121" spans="9:10">
      <c r="I4121" s="68"/>
      <c r="J4121" s="68"/>
    </row>
    <row r="4122" spans="9:10">
      <c r="I4122" s="68"/>
      <c r="J4122" s="68"/>
    </row>
    <row r="4123" spans="9:10">
      <c r="I4123" s="68"/>
      <c r="J4123" s="68"/>
    </row>
    <row r="4124" spans="9:10">
      <c r="I4124" s="68"/>
      <c r="J4124" s="68"/>
    </row>
    <row r="4125" spans="9:10">
      <c r="I4125" s="68"/>
      <c r="J4125" s="68"/>
    </row>
    <row r="4126" spans="9:10">
      <c r="I4126" s="68"/>
      <c r="J4126" s="68"/>
    </row>
    <row r="4127" spans="9:10">
      <c r="I4127" s="68"/>
      <c r="J4127" s="68"/>
    </row>
    <row r="4128" spans="9:10">
      <c r="I4128" s="68"/>
      <c r="J4128" s="68"/>
    </row>
    <row r="4129" spans="9:10">
      <c r="I4129" s="68"/>
      <c r="J4129" s="68"/>
    </row>
    <row r="4130" spans="9:10">
      <c r="I4130" s="68"/>
      <c r="J4130" s="68"/>
    </row>
    <row r="4131" spans="9:10">
      <c r="I4131" s="68"/>
      <c r="J4131" s="68"/>
    </row>
    <row r="4132" spans="9:10">
      <c r="I4132" s="68"/>
      <c r="J4132" s="68"/>
    </row>
    <row r="4133" spans="9:10">
      <c r="I4133" s="68"/>
      <c r="J4133" s="68"/>
    </row>
    <row r="4134" spans="9:10">
      <c r="I4134" s="68"/>
      <c r="J4134" s="68"/>
    </row>
    <row r="4135" spans="9:10">
      <c r="I4135" s="68"/>
      <c r="J4135" s="68"/>
    </row>
    <row r="4136" spans="9:10">
      <c r="I4136" s="68"/>
      <c r="J4136" s="68"/>
    </row>
    <row r="4137" spans="9:10">
      <c r="I4137" s="68"/>
      <c r="J4137" s="68"/>
    </row>
    <row r="4138" spans="9:10">
      <c r="I4138" s="68"/>
      <c r="J4138" s="68"/>
    </row>
    <row r="4139" spans="9:10">
      <c r="I4139" s="68"/>
      <c r="J4139" s="68"/>
    </row>
    <row r="4140" spans="9:10">
      <c r="I4140" s="68"/>
      <c r="J4140" s="68"/>
    </row>
    <row r="4141" spans="9:10">
      <c r="I4141" s="68"/>
      <c r="J4141" s="68"/>
    </row>
    <row r="4142" spans="9:10">
      <c r="I4142" s="68"/>
      <c r="J4142" s="68"/>
    </row>
    <row r="4143" spans="9:10">
      <c r="I4143" s="68"/>
      <c r="J4143" s="68"/>
    </row>
    <row r="4144" spans="9:10">
      <c r="I4144" s="68"/>
      <c r="J4144" s="68"/>
    </row>
    <row r="4145" spans="9:10">
      <c r="I4145" s="68"/>
      <c r="J4145" s="68"/>
    </row>
    <row r="4146" spans="9:10">
      <c r="I4146" s="68"/>
      <c r="J4146" s="68"/>
    </row>
    <row r="4147" spans="9:10">
      <c r="I4147" s="68"/>
      <c r="J4147" s="68"/>
    </row>
    <row r="4148" spans="9:10">
      <c r="I4148" s="68"/>
      <c r="J4148" s="68"/>
    </row>
    <row r="4149" spans="9:10">
      <c r="I4149" s="68"/>
      <c r="J4149" s="68"/>
    </row>
    <row r="4150" spans="9:10">
      <c r="I4150" s="68"/>
      <c r="J4150" s="68"/>
    </row>
    <row r="4151" spans="9:10">
      <c r="I4151" s="68"/>
      <c r="J4151" s="68"/>
    </row>
    <row r="4152" spans="9:10">
      <c r="I4152" s="68"/>
      <c r="J4152" s="68"/>
    </row>
    <row r="4153" spans="9:10">
      <c r="I4153" s="68"/>
      <c r="J4153" s="68"/>
    </row>
    <row r="4154" spans="9:10">
      <c r="I4154" s="68"/>
      <c r="J4154" s="68"/>
    </row>
    <row r="4155" spans="9:10">
      <c r="I4155" s="68"/>
      <c r="J4155" s="68"/>
    </row>
    <row r="4156" spans="9:10">
      <c r="I4156" s="68"/>
      <c r="J4156" s="68"/>
    </row>
    <row r="4157" spans="9:10">
      <c r="I4157" s="68"/>
      <c r="J4157" s="68"/>
    </row>
    <row r="4158" spans="9:10">
      <c r="I4158" s="68"/>
      <c r="J4158" s="68"/>
    </row>
    <row r="4159" spans="9:10">
      <c r="I4159" s="68"/>
      <c r="J4159" s="68"/>
    </row>
    <row r="4160" spans="9:10">
      <c r="I4160" s="68"/>
      <c r="J4160" s="68"/>
    </row>
    <row r="4161" spans="9:10">
      <c r="I4161" s="68"/>
      <c r="J4161" s="68"/>
    </row>
    <row r="4162" spans="9:10">
      <c r="I4162" s="68"/>
      <c r="J4162" s="68"/>
    </row>
    <row r="4163" spans="9:10">
      <c r="I4163" s="68"/>
      <c r="J4163" s="68"/>
    </row>
    <row r="4164" spans="9:10">
      <c r="I4164" s="68"/>
      <c r="J4164" s="68"/>
    </row>
    <row r="4165" spans="9:10">
      <c r="I4165" s="68"/>
      <c r="J4165" s="68"/>
    </row>
    <row r="4166" spans="9:10">
      <c r="I4166" s="68"/>
      <c r="J4166" s="68"/>
    </row>
    <row r="4167" spans="9:10">
      <c r="I4167" s="68"/>
      <c r="J4167" s="68"/>
    </row>
    <row r="4168" spans="9:10">
      <c r="I4168" s="68"/>
      <c r="J4168" s="68"/>
    </row>
    <row r="4169" spans="9:10">
      <c r="I4169" s="68"/>
      <c r="J4169" s="68"/>
    </row>
    <row r="4170" spans="9:10">
      <c r="I4170" s="68"/>
      <c r="J4170" s="68"/>
    </row>
    <row r="4171" spans="9:10">
      <c r="I4171" s="68"/>
      <c r="J4171" s="68"/>
    </row>
    <row r="4172" spans="9:10">
      <c r="I4172" s="68"/>
      <c r="J4172" s="68"/>
    </row>
    <row r="4173" spans="9:10">
      <c r="I4173" s="68"/>
      <c r="J4173" s="68"/>
    </row>
    <row r="4174" spans="9:10">
      <c r="I4174" s="68"/>
      <c r="J4174" s="68"/>
    </row>
    <row r="4175" spans="9:10">
      <c r="I4175" s="68"/>
      <c r="J4175" s="68"/>
    </row>
    <row r="4176" spans="9:10">
      <c r="I4176" s="68"/>
      <c r="J4176" s="68"/>
    </row>
    <row r="4177" spans="9:10">
      <c r="I4177" s="68"/>
      <c r="J4177" s="68"/>
    </row>
    <row r="4178" spans="9:10">
      <c r="I4178" s="68"/>
      <c r="J4178" s="68"/>
    </row>
    <row r="4179" spans="9:10">
      <c r="I4179" s="68"/>
      <c r="J4179" s="68"/>
    </row>
    <row r="4180" spans="9:10">
      <c r="I4180" s="68"/>
      <c r="J4180" s="68"/>
    </row>
    <row r="4181" spans="9:10">
      <c r="I4181" s="68"/>
      <c r="J4181" s="68"/>
    </row>
    <row r="4182" spans="9:10">
      <c r="I4182" s="68"/>
      <c r="J4182" s="68"/>
    </row>
    <row r="4183" spans="9:10">
      <c r="I4183" s="68"/>
      <c r="J4183" s="68"/>
    </row>
    <row r="4184" spans="9:10">
      <c r="I4184" s="68"/>
      <c r="J4184" s="68"/>
    </row>
    <row r="4185" spans="9:10">
      <c r="I4185" s="68"/>
      <c r="J4185" s="68"/>
    </row>
    <row r="4186" spans="9:10">
      <c r="I4186" s="68"/>
      <c r="J4186" s="68"/>
    </row>
    <row r="4187" spans="9:10">
      <c r="I4187" s="68"/>
      <c r="J4187" s="68"/>
    </row>
    <row r="4188" spans="9:10">
      <c r="I4188" s="68"/>
      <c r="J4188" s="68"/>
    </row>
    <row r="4189" spans="9:10">
      <c r="I4189" s="68"/>
      <c r="J4189" s="68"/>
    </row>
    <row r="4190" spans="9:10">
      <c r="I4190" s="68"/>
      <c r="J4190" s="68"/>
    </row>
    <row r="4191" spans="9:10">
      <c r="I4191" s="68"/>
      <c r="J4191" s="68"/>
    </row>
    <row r="4192" spans="9:10">
      <c r="I4192" s="68"/>
      <c r="J4192" s="68"/>
    </row>
    <row r="4193" spans="9:10">
      <c r="I4193" s="68"/>
      <c r="J4193" s="68"/>
    </row>
    <row r="4194" spans="9:10">
      <c r="I4194" s="68"/>
      <c r="J4194" s="68"/>
    </row>
    <row r="4195" spans="9:10">
      <c r="I4195" s="68"/>
      <c r="J4195" s="68"/>
    </row>
    <row r="4196" spans="9:10">
      <c r="I4196" s="68"/>
      <c r="J4196" s="68"/>
    </row>
    <row r="4197" spans="9:10">
      <c r="I4197" s="68"/>
      <c r="J4197" s="68"/>
    </row>
    <row r="4198" spans="9:10">
      <c r="I4198" s="68"/>
      <c r="J4198" s="68"/>
    </row>
    <row r="4199" spans="9:10">
      <c r="I4199" s="68"/>
      <c r="J4199" s="68"/>
    </row>
    <row r="4200" spans="9:10">
      <c r="I4200" s="68"/>
      <c r="J4200" s="68"/>
    </row>
    <row r="4201" spans="9:10">
      <c r="I4201" s="68"/>
      <c r="J4201" s="68"/>
    </row>
    <row r="4202" spans="9:10">
      <c r="I4202" s="68"/>
      <c r="J4202" s="68"/>
    </row>
    <row r="4203" spans="9:10">
      <c r="I4203" s="68"/>
      <c r="J4203" s="68"/>
    </row>
    <row r="4204" spans="9:10">
      <c r="I4204" s="68"/>
      <c r="J4204" s="68"/>
    </row>
    <row r="4205" spans="9:10">
      <c r="I4205" s="68"/>
      <c r="J4205" s="68"/>
    </row>
    <row r="4206" spans="9:10">
      <c r="I4206" s="68"/>
      <c r="J4206" s="68"/>
    </row>
    <row r="4207" spans="9:10">
      <c r="I4207" s="68"/>
      <c r="J4207" s="68"/>
    </row>
    <row r="4208" spans="9:10">
      <c r="I4208" s="68"/>
      <c r="J4208" s="68"/>
    </row>
    <row r="4209" spans="9:10">
      <c r="I4209" s="68"/>
      <c r="J4209" s="68"/>
    </row>
    <row r="4210" spans="9:10">
      <c r="I4210" s="68"/>
      <c r="J4210" s="68"/>
    </row>
    <row r="4211" spans="9:10">
      <c r="I4211" s="68"/>
      <c r="J4211" s="68"/>
    </row>
    <row r="4212" spans="9:10">
      <c r="I4212" s="68"/>
      <c r="J4212" s="68"/>
    </row>
    <row r="4213" spans="9:10">
      <c r="I4213" s="68"/>
      <c r="J4213" s="68"/>
    </row>
    <row r="4214" spans="9:10">
      <c r="I4214" s="68"/>
      <c r="J4214" s="68"/>
    </row>
    <row r="4215" spans="9:10">
      <c r="I4215" s="68"/>
      <c r="J4215" s="68"/>
    </row>
    <row r="4216" spans="9:10">
      <c r="I4216" s="68"/>
      <c r="J4216" s="68"/>
    </row>
    <row r="4217" spans="9:10">
      <c r="I4217" s="68"/>
      <c r="J4217" s="68"/>
    </row>
    <row r="4218" spans="9:10">
      <c r="I4218" s="68"/>
      <c r="J4218" s="68"/>
    </row>
    <row r="4219" spans="9:10">
      <c r="I4219" s="68"/>
      <c r="J4219" s="68"/>
    </row>
    <row r="4220" spans="9:10">
      <c r="I4220" s="68"/>
      <c r="J4220" s="68"/>
    </row>
    <row r="4221" spans="9:10">
      <c r="I4221" s="68"/>
      <c r="J4221" s="68"/>
    </row>
    <row r="4222" spans="9:10">
      <c r="I4222" s="68"/>
      <c r="J4222" s="68"/>
    </row>
    <row r="4223" spans="9:10">
      <c r="I4223" s="68"/>
      <c r="J4223" s="68"/>
    </row>
    <row r="4224" spans="9:10">
      <c r="I4224" s="68"/>
      <c r="J4224" s="68"/>
    </row>
    <row r="4225" spans="9:10">
      <c r="I4225" s="68"/>
      <c r="J4225" s="68"/>
    </row>
    <row r="4226" spans="9:10">
      <c r="I4226" s="68"/>
      <c r="J4226" s="68"/>
    </row>
    <row r="4227" spans="9:10">
      <c r="I4227" s="68"/>
      <c r="J4227" s="68"/>
    </row>
    <row r="4228" spans="9:10">
      <c r="I4228" s="68"/>
      <c r="J4228" s="68"/>
    </row>
    <row r="4229" spans="9:10">
      <c r="I4229" s="68"/>
      <c r="J4229" s="68"/>
    </row>
    <row r="4230" spans="9:10">
      <c r="I4230" s="68"/>
      <c r="J4230" s="68"/>
    </row>
    <row r="4231" spans="9:10">
      <c r="I4231" s="68"/>
      <c r="J4231" s="68"/>
    </row>
    <row r="4232" spans="9:10">
      <c r="I4232" s="68"/>
      <c r="J4232" s="68"/>
    </row>
    <row r="4233" spans="9:10">
      <c r="I4233" s="68"/>
      <c r="J4233" s="68"/>
    </row>
    <row r="4234" spans="9:10">
      <c r="I4234" s="68"/>
      <c r="J4234" s="68"/>
    </row>
    <row r="4235" spans="9:10">
      <c r="I4235" s="68"/>
      <c r="J4235" s="68"/>
    </row>
    <row r="4236" spans="9:10">
      <c r="I4236" s="68"/>
      <c r="J4236" s="68"/>
    </row>
    <row r="4237" spans="9:10">
      <c r="I4237" s="68"/>
      <c r="J4237" s="68"/>
    </row>
    <row r="4238" spans="9:10">
      <c r="I4238" s="68"/>
      <c r="J4238" s="68"/>
    </row>
    <row r="4239" spans="9:10">
      <c r="I4239" s="68"/>
      <c r="J4239" s="68"/>
    </row>
    <row r="4240" spans="9:10">
      <c r="I4240" s="68"/>
      <c r="J4240" s="68"/>
    </row>
    <row r="4241" spans="9:10">
      <c r="I4241" s="68"/>
      <c r="J4241" s="68"/>
    </row>
    <row r="4242" spans="9:10">
      <c r="I4242" s="68"/>
      <c r="J4242" s="68"/>
    </row>
    <row r="4243" spans="9:10">
      <c r="I4243" s="68"/>
      <c r="J4243" s="68"/>
    </row>
    <row r="4244" spans="9:10">
      <c r="I4244" s="68"/>
      <c r="J4244" s="68"/>
    </row>
    <row r="4245" spans="9:10">
      <c r="I4245" s="68"/>
      <c r="J4245" s="68"/>
    </row>
    <row r="4246" spans="9:10">
      <c r="I4246" s="68"/>
      <c r="J4246" s="68"/>
    </row>
    <row r="4247" spans="9:10">
      <c r="I4247" s="68"/>
      <c r="J4247" s="68"/>
    </row>
    <row r="4248" spans="9:10">
      <c r="I4248" s="68"/>
      <c r="J4248" s="68"/>
    </row>
    <row r="4249" spans="9:10">
      <c r="I4249" s="68"/>
      <c r="J4249" s="68"/>
    </row>
    <row r="4250" spans="9:10">
      <c r="I4250" s="68"/>
      <c r="J4250" s="68"/>
    </row>
    <row r="4251" spans="9:10">
      <c r="I4251" s="68"/>
      <c r="J4251" s="68"/>
    </row>
    <row r="4252" spans="9:10">
      <c r="I4252" s="68"/>
      <c r="J4252" s="68"/>
    </row>
    <row r="4253" spans="9:10">
      <c r="I4253" s="68"/>
      <c r="J4253" s="68"/>
    </row>
    <row r="4254" spans="9:10">
      <c r="I4254" s="68"/>
      <c r="J4254" s="68"/>
    </row>
    <row r="4255" spans="9:10">
      <c r="I4255" s="68"/>
      <c r="J4255" s="68"/>
    </row>
    <row r="4256" spans="9:10">
      <c r="I4256" s="68"/>
      <c r="J4256" s="68"/>
    </row>
    <row r="4257" spans="9:10">
      <c r="I4257" s="68"/>
      <c r="J4257" s="68"/>
    </row>
    <row r="4258" spans="9:10">
      <c r="I4258" s="68"/>
      <c r="J4258" s="68"/>
    </row>
    <row r="4259" spans="9:10">
      <c r="I4259" s="68"/>
      <c r="J4259" s="68"/>
    </row>
    <row r="4260" spans="9:10">
      <c r="I4260" s="68"/>
      <c r="J4260" s="68"/>
    </row>
    <row r="4261" spans="9:10">
      <c r="I4261" s="68"/>
      <c r="J4261" s="68"/>
    </row>
    <row r="4262" spans="9:10">
      <c r="I4262" s="68"/>
      <c r="J4262" s="68"/>
    </row>
    <row r="4263" spans="9:10">
      <c r="I4263" s="68"/>
      <c r="J4263" s="68"/>
    </row>
    <row r="4264" spans="9:10">
      <c r="I4264" s="68"/>
      <c r="J4264" s="68"/>
    </row>
    <row r="4265" spans="9:10">
      <c r="I4265" s="68"/>
      <c r="J4265" s="68"/>
    </row>
    <row r="4266" spans="9:10">
      <c r="I4266" s="68"/>
      <c r="J4266" s="68"/>
    </row>
    <row r="4267" spans="9:10">
      <c r="I4267" s="68"/>
      <c r="J4267" s="68"/>
    </row>
    <row r="4268" spans="9:10">
      <c r="I4268" s="68"/>
      <c r="J4268" s="68"/>
    </row>
    <row r="4269" spans="9:10">
      <c r="I4269" s="68"/>
      <c r="J4269" s="68"/>
    </row>
    <row r="4270" spans="9:10">
      <c r="I4270" s="68"/>
      <c r="J4270" s="68"/>
    </row>
    <row r="4271" spans="9:10">
      <c r="I4271" s="68"/>
      <c r="J4271" s="68"/>
    </row>
    <row r="4272" spans="9:10">
      <c r="I4272" s="68"/>
      <c r="J4272" s="68"/>
    </row>
    <row r="4273" spans="9:10">
      <c r="I4273" s="68"/>
      <c r="J4273" s="68"/>
    </row>
    <row r="4274" spans="9:10">
      <c r="I4274" s="68"/>
      <c r="J4274" s="68"/>
    </row>
    <row r="4275" spans="9:10">
      <c r="I4275" s="68"/>
      <c r="J4275" s="68"/>
    </row>
    <row r="4276" spans="9:10">
      <c r="I4276" s="68"/>
      <c r="J4276" s="68"/>
    </row>
    <row r="4277" spans="9:10">
      <c r="I4277" s="68"/>
      <c r="J4277" s="68"/>
    </row>
    <row r="4278" spans="9:10">
      <c r="I4278" s="68"/>
      <c r="J4278" s="68"/>
    </row>
    <row r="4279" spans="9:10">
      <c r="I4279" s="68"/>
      <c r="J4279" s="68"/>
    </row>
    <row r="4280" spans="9:10">
      <c r="I4280" s="68"/>
      <c r="J4280" s="68"/>
    </row>
    <row r="4281" spans="9:10">
      <c r="I4281" s="68"/>
      <c r="J4281" s="68"/>
    </row>
    <row r="4282" spans="9:10">
      <c r="I4282" s="68"/>
      <c r="J4282" s="68"/>
    </row>
    <row r="4283" spans="9:10">
      <c r="I4283" s="68"/>
      <c r="J4283" s="68"/>
    </row>
    <row r="4284" spans="9:10">
      <c r="I4284" s="68"/>
      <c r="J4284" s="68"/>
    </row>
    <row r="4285" spans="9:10">
      <c r="I4285" s="68"/>
      <c r="J4285" s="68"/>
    </row>
    <row r="4286" spans="9:10">
      <c r="I4286" s="68"/>
      <c r="J4286" s="68"/>
    </row>
    <row r="4287" spans="9:10">
      <c r="I4287" s="68"/>
      <c r="J4287" s="68"/>
    </row>
    <row r="4288" spans="9:10">
      <c r="I4288" s="68"/>
      <c r="J4288" s="68"/>
    </row>
    <row r="4289" spans="9:10">
      <c r="I4289" s="68"/>
      <c r="J4289" s="68"/>
    </row>
    <row r="4290" spans="9:10">
      <c r="I4290" s="68"/>
      <c r="J4290" s="68"/>
    </row>
    <row r="4291" spans="9:10">
      <c r="I4291" s="68"/>
      <c r="J4291" s="68"/>
    </row>
    <row r="4292" spans="9:10">
      <c r="I4292" s="68"/>
      <c r="J4292" s="68"/>
    </row>
    <row r="4293" spans="9:10">
      <c r="I4293" s="68"/>
      <c r="J4293" s="68"/>
    </row>
    <row r="4294" spans="9:10">
      <c r="I4294" s="68"/>
      <c r="J4294" s="68"/>
    </row>
    <row r="4295" spans="9:10">
      <c r="I4295" s="68"/>
      <c r="J4295" s="68"/>
    </row>
    <row r="4296" spans="9:10">
      <c r="I4296" s="68"/>
      <c r="J4296" s="68"/>
    </row>
    <row r="4297" spans="9:10">
      <c r="I4297" s="68"/>
      <c r="J4297" s="68"/>
    </row>
    <row r="4298" spans="9:10">
      <c r="I4298" s="68"/>
      <c r="J4298" s="68"/>
    </row>
    <row r="4299" spans="9:10">
      <c r="I4299" s="68"/>
      <c r="J4299" s="68"/>
    </row>
    <row r="4300" spans="9:10">
      <c r="I4300" s="68"/>
      <c r="J4300" s="68"/>
    </row>
    <row r="4301" spans="9:10">
      <c r="I4301" s="68"/>
      <c r="J4301" s="68"/>
    </row>
    <row r="4302" spans="9:10">
      <c r="I4302" s="68"/>
      <c r="J4302" s="68"/>
    </row>
    <row r="4303" spans="9:10">
      <c r="I4303" s="68"/>
      <c r="J4303" s="68"/>
    </row>
    <row r="4304" spans="9:10">
      <c r="I4304" s="68"/>
      <c r="J4304" s="68"/>
    </row>
    <row r="4305" spans="9:10">
      <c r="I4305" s="68"/>
      <c r="J4305" s="68"/>
    </row>
    <row r="4306" spans="9:10">
      <c r="I4306" s="68"/>
      <c r="J4306" s="68"/>
    </row>
    <row r="4307" spans="9:10">
      <c r="I4307" s="68"/>
      <c r="J4307" s="68"/>
    </row>
    <row r="4308" spans="9:10">
      <c r="I4308" s="68"/>
      <c r="J4308" s="68"/>
    </row>
    <row r="4309" spans="9:10">
      <c r="I4309" s="68"/>
      <c r="J4309" s="68"/>
    </row>
    <row r="4310" spans="9:10">
      <c r="I4310" s="68"/>
      <c r="J4310" s="68"/>
    </row>
    <row r="4311" spans="9:10">
      <c r="I4311" s="68"/>
      <c r="J4311" s="68"/>
    </row>
    <row r="4312" spans="9:10">
      <c r="I4312" s="68"/>
      <c r="J4312" s="68"/>
    </row>
    <row r="4313" spans="9:10">
      <c r="I4313" s="68"/>
      <c r="J4313" s="68"/>
    </row>
    <row r="4314" spans="9:10">
      <c r="I4314" s="68"/>
      <c r="J4314" s="68"/>
    </row>
    <row r="4315" spans="9:10">
      <c r="I4315" s="68"/>
      <c r="J4315" s="68"/>
    </row>
    <row r="4316" spans="9:10">
      <c r="I4316" s="68"/>
      <c r="J4316" s="68"/>
    </row>
    <row r="4317" spans="9:10">
      <c r="I4317" s="68"/>
      <c r="J4317" s="68"/>
    </row>
    <row r="4318" spans="9:10">
      <c r="I4318" s="68"/>
      <c r="J4318" s="68"/>
    </row>
    <row r="4319" spans="9:10">
      <c r="I4319" s="68"/>
      <c r="J4319" s="68"/>
    </row>
    <row r="4320" spans="9:10">
      <c r="I4320" s="68"/>
      <c r="J4320" s="68"/>
    </row>
    <row r="4321" spans="9:10">
      <c r="I4321" s="68"/>
      <c r="J4321" s="68"/>
    </row>
    <row r="4322" spans="9:10">
      <c r="I4322" s="68"/>
      <c r="J4322" s="68"/>
    </row>
    <row r="4323" spans="9:10">
      <c r="I4323" s="68"/>
      <c r="J4323" s="68"/>
    </row>
    <row r="4324" spans="9:10">
      <c r="I4324" s="68"/>
      <c r="J4324" s="68"/>
    </row>
    <row r="4325" spans="9:10">
      <c r="I4325" s="68"/>
      <c r="J4325" s="68"/>
    </row>
    <row r="4326" spans="9:10">
      <c r="I4326" s="68"/>
      <c r="J4326" s="68"/>
    </row>
    <row r="4327" spans="9:10">
      <c r="I4327" s="68"/>
      <c r="J4327" s="68"/>
    </row>
    <row r="4328" spans="9:10">
      <c r="I4328" s="68"/>
      <c r="J4328" s="68"/>
    </row>
    <row r="4329" spans="9:10">
      <c r="I4329" s="68"/>
      <c r="J4329" s="68"/>
    </row>
    <row r="4330" spans="9:10">
      <c r="I4330" s="68"/>
      <c r="J4330" s="68"/>
    </row>
    <row r="4331" spans="9:10">
      <c r="I4331" s="68"/>
      <c r="J4331" s="68"/>
    </row>
    <row r="4332" spans="9:10">
      <c r="I4332" s="68"/>
      <c r="J4332" s="68"/>
    </row>
    <row r="4333" spans="9:10">
      <c r="I4333" s="68"/>
      <c r="J4333" s="68"/>
    </row>
    <row r="4334" spans="9:10">
      <c r="I4334" s="68"/>
      <c r="J4334" s="68"/>
    </row>
    <row r="4335" spans="9:10">
      <c r="I4335" s="68"/>
      <c r="J4335" s="68"/>
    </row>
    <row r="4336" spans="9:10">
      <c r="I4336" s="68"/>
      <c r="J4336" s="68"/>
    </row>
    <row r="4337" spans="9:10">
      <c r="I4337" s="68"/>
      <c r="J4337" s="68"/>
    </row>
    <row r="4338" spans="9:10">
      <c r="I4338" s="68"/>
      <c r="J4338" s="68"/>
    </row>
    <row r="4339" spans="9:10">
      <c r="I4339" s="68"/>
      <c r="J4339" s="68"/>
    </row>
    <row r="4340" spans="9:10">
      <c r="I4340" s="68"/>
      <c r="J4340" s="68"/>
    </row>
    <row r="4341" spans="9:10">
      <c r="I4341" s="68"/>
      <c r="J4341" s="68"/>
    </row>
    <row r="4342" spans="9:10">
      <c r="I4342" s="68"/>
      <c r="J4342" s="68"/>
    </row>
    <row r="4343" spans="9:10">
      <c r="I4343" s="68"/>
      <c r="J4343" s="68"/>
    </row>
    <row r="4344" spans="9:10">
      <c r="I4344" s="68"/>
      <c r="J4344" s="68"/>
    </row>
    <row r="4345" spans="9:10">
      <c r="I4345" s="68"/>
      <c r="J4345" s="68"/>
    </row>
    <row r="4346" spans="9:10">
      <c r="I4346" s="68"/>
      <c r="J4346" s="68"/>
    </row>
    <row r="4347" spans="9:10">
      <c r="I4347" s="68"/>
      <c r="J4347" s="68"/>
    </row>
    <row r="4348" spans="9:10">
      <c r="I4348" s="68"/>
      <c r="J4348" s="68"/>
    </row>
    <row r="4349" spans="9:10">
      <c r="I4349" s="68"/>
      <c r="J4349" s="68"/>
    </row>
    <row r="4350" spans="9:10">
      <c r="I4350" s="68"/>
      <c r="J4350" s="68"/>
    </row>
    <row r="4351" spans="9:10">
      <c r="I4351" s="68"/>
      <c r="J4351" s="68"/>
    </row>
    <row r="4352" spans="9:10">
      <c r="I4352" s="68"/>
      <c r="J4352" s="68"/>
    </row>
    <row r="4353" spans="9:10">
      <c r="I4353" s="68"/>
      <c r="J4353" s="68"/>
    </row>
    <row r="4354" spans="9:10">
      <c r="I4354" s="68"/>
      <c r="J4354" s="68"/>
    </row>
    <row r="4355" spans="9:10">
      <c r="I4355" s="68"/>
      <c r="J4355" s="68"/>
    </row>
    <row r="4356" spans="9:10">
      <c r="I4356" s="68"/>
      <c r="J4356" s="68"/>
    </row>
    <row r="4357" spans="9:10">
      <c r="I4357" s="68"/>
      <c r="J4357" s="68"/>
    </row>
    <row r="4358" spans="9:10">
      <c r="I4358" s="68"/>
      <c r="J4358" s="68"/>
    </row>
    <row r="4359" spans="9:10">
      <c r="I4359" s="68"/>
      <c r="J4359" s="68"/>
    </row>
    <row r="4360" spans="9:10">
      <c r="I4360" s="68"/>
      <c r="J4360" s="68"/>
    </row>
    <row r="4361" spans="9:10">
      <c r="I4361" s="68"/>
      <c r="J4361" s="68"/>
    </row>
    <row r="4362" spans="9:10">
      <c r="I4362" s="68"/>
      <c r="J4362" s="68"/>
    </row>
    <row r="4363" spans="9:10">
      <c r="I4363" s="68"/>
      <c r="J4363" s="68"/>
    </row>
    <row r="4364" spans="9:10">
      <c r="I4364" s="68"/>
      <c r="J4364" s="68"/>
    </row>
    <row r="4365" spans="9:10">
      <c r="I4365" s="68"/>
      <c r="J4365" s="68"/>
    </row>
    <row r="4366" spans="9:10">
      <c r="I4366" s="68"/>
      <c r="J4366" s="68"/>
    </row>
    <row r="4367" spans="9:10">
      <c r="I4367" s="68"/>
      <c r="J4367" s="68"/>
    </row>
    <row r="4368" spans="9:10">
      <c r="I4368" s="68"/>
      <c r="J4368" s="68"/>
    </row>
    <row r="4369" spans="9:10">
      <c r="I4369" s="68"/>
      <c r="J4369" s="68"/>
    </row>
    <row r="4370" spans="9:10">
      <c r="I4370" s="68"/>
      <c r="J4370" s="68"/>
    </row>
    <row r="4371" spans="9:10">
      <c r="I4371" s="68"/>
      <c r="J4371" s="68"/>
    </row>
    <row r="4372" spans="9:10">
      <c r="I4372" s="68"/>
      <c r="J4372" s="68"/>
    </row>
    <row r="4373" spans="9:10">
      <c r="I4373" s="68"/>
      <c r="J4373" s="68"/>
    </row>
    <row r="4374" spans="9:10">
      <c r="I4374" s="68"/>
      <c r="J4374" s="68"/>
    </row>
    <row r="4375" spans="9:10">
      <c r="I4375" s="68"/>
      <c r="J4375" s="68"/>
    </row>
    <row r="4376" spans="9:10">
      <c r="I4376" s="68"/>
      <c r="J4376" s="68"/>
    </row>
    <row r="4377" spans="9:10">
      <c r="I4377" s="68"/>
      <c r="J4377" s="68"/>
    </row>
    <row r="4378" spans="9:10">
      <c r="I4378" s="68"/>
      <c r="J4378" s="68"/>
    </row>
    <row r="4379" spans="9:10">
      <c r="I4379" s="68"/>
      <c r="J4379" s="68"/>
    </row>
    <row r="4380" spans="9:10">
      <c r="I4380" s="68"/>
      <c r="J4380" s="68"/>
    </row>
    <row r="4381" spans="9:10">
      <c r="I4381" s="68"/>
      <c r="J4381" s="68"/>
    </row>
    <row r="4382" spans="9:10">
      <c r="I4382" s="68"/>
      <c r="J4382" s="68"/>
    </row>
    <row r="4383" spans="9:10">
      <c r="I4383" s="68"/>
      <c r="J4383" s="68"/>
    </row>
    <row r="4384" spans="9:10">
      <c r="I4384" s="68"/>
      <c r="J4384" s="68"/>
    </row>
    <row r="4385" spans="9:10">
      <c r="I4385" s="68"/>
      <c r="J4385" s="68"/>
    </row>
    <row r="4386" spans="9:10">
      <c r="I4386" s="68"/>
      <c r="J4386" s="68"/>
    </row>
    <row r="4387" spans="9:10">
      <c r="I4387" s="68"/>
      <c r="J4387" s="68"/>
    </row>
    <row r="4388" spans="9:10">
      <c r="I4388" s="68"/>
      <c r="J4388" s="68"/>
    </row>
    <row r="4389" spans="9:10">
      <c r="I4389" s="68"/>
      <c r="J4389" s="68"/>
    </row>
    <row r="4390" spans="9:10">
      <c r="I4390" s="68"/>
      <c r="J4390" s="68"/>
    </row>
    <row r="4391" spans="9:10">
      <c r="I4391" s="68"/>
      <c r="J4391" s="68"/>
    </row>
    <row r="4392" spans="9:10">
      <c r="I4392" s="68"/>
      <c r="J4392" s="68"/>
    </row>
    <row r="4393" spans="9:10">
      <c r="I4393" s="68"/>
      <c r="J4393" s="68"/>
    </row>
    <row r="4394" spans="9:10">
      <c r="I4394" s="68"/>
      <c r="J4394" s="68"/>
    </row>
    <row r="4395" spans="9:10">
      <c r="I4395" s="68"/>
      <c r="J4395" s="68"/>
    </row>
    <row r="4396" spans="9:10">
      <c r="I4396" s="68"/>
      <c r="J4396" s="68"/>
    </row>
    <row r="4397" spans="9:10">
      <c r="I4397" s="68"/>
      <c r="J4397" s="68"/>
    </row>
    <row r="4398" spans="9:10">
      <c r="I4398" s="68"/>
      <c r="J4398" s="68"/>
    </row>
    <row r="4399" spans="9:10">
      <c r="I4399" s="68"/>
      <c r="J4399" s="68"/>
    </row>
    <row r="4400" spans="9:10">
      <c r="I4400" s="68"/>
      <c r="J4400" s="68"/>
    </row>
    <row r="4401" spans="9:10">
      <c r="I4401" s="68"/>
      <c r="J4401" s="68"/>
    </row>
    <row r="4402" spans="9:10">
      <c r="I4402" s="68"/>
      <c r="J4402" s="68"/>
    </row>
    <row r="4403" spans="9:10">
      <c r="I4403" s="68"/>
      <c r="J4403" s="68"/>
    </row>
    <row r="4404" spans="9:10">
      <c r="I4404" s="68"/>
      <c r="J4404" s="68"/>
    </row>
    <row r="4405" spans="9:10">
      <c r="I4405" s="68"/>
      <c r="J4405" s="68"/>
    </row>
    <row r="4406" spans="9:10">
      <c r="I4406" s="68"/>
      <c r="J4406" s="68"/>
    </row>
    <row r="4407" spans="9:10">
      <c r="I4407" s="68"/>
      <c r="J4407" s="68"/>
    </row>
    <row r="4408" spans="9:10">
      <c r="I4408" s="68"/>
      <c r="J4408" s="68"/>
    </row>
    <row r="4409" spans="9:10">
      <c r="I4409" s="68"/>
      <c r="J4409" s="68"/>
    </row>
    <row r="4410" spans="9:10">
      <c r="I4410" s="68"/>
      <c r="J4410" s="68"/>
    </row>
    <row r="4411" spans="9:10">
      <c r="I4411" s="68"/>
      <c r="J4411" s="68"/>
    </row>
    <row r="4412" spans="9:10">
      <c r="I4412" s="68"/>
      <c r="J4412" s="68"/>
    </row>
    <row r="4413" spans="9:10">
      <c r="I4413" s="68"/>
      <c r="J4413" s="68"/>
    </row>
    <row r="4414" spans="9:10">
      <c r="I4414" s="68"/>
      <c r="J4414" s="68"/>
    </row>
    <row r="4415" spans="9:10">
      <c r="I4415" s="68"/>
      <c r="J4415" s="68"/>
    </row>
    <row r="4416" spans="9:10">
      <c r="I4416" s="68"/>
      <c r="J4416" s="68"/>
    </row>
    <row r="4417" spans="9:10">
      <c r="I4417" s="68"/>
      <c r="J4417" s="68"/>
    </row>
    <row r="4418" spans="9:10">
      <c r="I4418" s="68"/>
      <c r="J4418" s="68"/>
    </row>
    <row r="4419" spans="9:10">
      <c r="I4419" s="68"/>
      <c r="J4419" s="68"/>
    </row>
    <row r="4420" spans="9:10">
      <c r="I4420" s="68"/>
      <c r="J4420" s="68"/>
    </row>
    <row r="4421" spans="9:10">
      <c r="I4421" s="68"/>
      <c r="J4421" s="68"/>
    </row>
    <row r="4422" spans="9:10">
      <c r="I4422" s="68"/>
      <c r="J4422" s="68"/>
    </row>
    <row r="4423" spans="9:10">
      <c r="I4423" s="68"/>
      <c r="J4423" s="68"/>
    </row>
    <row r="4424" spans="9:10">
      <c r="I4424" s="68"/>
      <c r="J4424" s="68"/>
    </row>
    <row r="4425" spans="9:10">
      <c r="I4425" s="68"/>
      <c r="J4425" s="68"/>
    </row>
    <row r="4426" spans="9:10">
      <c r="I4426" s="68"/>
      <c r="J4426" s="68"/>
    </row>
    <row r="4427" spans="9:10">
      <c r="I4427" s="68"/>
      <c r="J4427" s="68"/>
    </row>
    <row r="4428" spans="9:10">
      <c r="I4428" s="68"/>
      <c r="J4428" s="68"/>
    </row>
    <row r="4429" spans="9:10">
      <c r="I4429" s="68"/>
      <c r="J4429" s="68"/>
    </row>
    <row r="4430" spans="9:10">
      <c r="I4430" s="68"/>
      <c r="J4430" s="68"/>
    </row>
    <row r="4431" spans="9:10">
      <c r="I4431" s="68"/>
      <c r="J4431" s="68"/>
    </row>
    <row r="4432" spans="9:10">
      <c r="I4432" s="68"/>
      <c r="J4432" s="68"/>
    </row>
    <row r="4433" spans="9:10">
      <c r="I4433" s="68"/>
      <c r="J4433" s="68"/>
    </row>
    <row r="4434" spans="9:10">
      <c r="I4434" s="68"/>
      <c r="J4434" s="68"/>
    </row>
    <row r="4435" spans="9:10">
      <c r="I4435" s="68"/>
      <c r="J4435" s="68"/>
    </row>
    <row r="4436" spans="9:10">
      <c r="I4436" s="68"/>
      <c r="J4436" s="68"/>
    </row>
    <row r="4437" spans="9:10">
      <c r="I4437" s="68"/>
      <c r="J4437" s="68"/>
    </row>
    <row r="4438" spans="9:10">
      <c r="I4438" s="68"/>
      <c r="J4438" s="68"/>
    </row>
    <row r="4439" spans="9:10">
      <c r="I4439" s="68"/>
      <c r="J4439" s="68"/>
    </row>
    <row r="4440" spans="9:10">
      <c r="I4440" s="68"/>
      <c r="J4440" s="68"/>
    </row>
    <row r="4441" spans="9:10">
      <c r="I4441" s="68"/>
      <c r="J4441" s="68"/>
    </row>
    <row r="4442" spans="9:10">
      <c r="I4442" s="68"/>
      <c r="J4442" s="68"/>
    </row>
    <row r="4443" spans="9:10">
      <c r="I4443" s="68"/>
      <c r="J4443" s="68"/>
    </row>
    <row r="4444" spans="9:10">
      <c r="I4444" s="68"/>
      <c r="J4444" s="68"/>
    </row>
    <row r="4445" spans="9:10">
      <c r="I4445" s="68"/>
      <c r="J4445" s="68"/>
    </row>
    <row r="4446" spans="9:10">
      <c r="I4446" s="68"/>
      <c r="J4446" s="68"/>
    </row>
    <row r="4447" spans="9:10">
      <c r="I4447" s="68"/>
      <c r="J4447" s="68"/>
    </row>
    <row r="4448" spans="9:10">
      <c r="I4448" s="68"/>
      <c r="J4448" s="68"/>
    </row>
    <row r="4449" spans="9:10">
      <c r="I4449" s="68"/>
      <c r="J4449" s="68"/>
    </row>
    <row r="4450" spans="9:10">
      <c r="I4450" s="68"/>
      <c r="J4450" s="68"/>
    </row>
    <row r="4451" spans="9:10">
      <c r="I4451" s="68"/>
      <c r="J4451" s="68"/>
    </row>
    <row r="4452" spans="9:10">
      <c r="I4452" s="68"/>
      <c r="J4452" s="68"/>
    </row>
    <row r="4453" spans="9:10">
      <c r="I4453" s="68"/>
      <c r="J4453" s="68"/>
    </row>
    <row r="4454" spans="9:10">
      <c r="I4454" s="68"/>
      <c r="J4454" s="68"/>
    </row>
    <row r="4455" spans="9:10">
      <c r="I4455" s="68"/>
      <c r="J4455" s="68"/>
    </row>
    <row r="4456" spans="9:10">
      <c r="I4456" s="68"/>
      <c r="J4456" s="68"/>
    </row>
    <row r="4457" spans="9:10">
      <c r="I4457" s="68"/>
      <c r="J4457" s="68"/>
    </row>
    <row r="4458" spans="9:10">
      <c r="I4458" s="68"/>
      <c r="J4458" s="68"/>
    </row>
    <row r="4459" spans="9:10">
      <c r="I4459" s="68"/>
      <c r="J4459" s="68"/>
    </row>
    <row r="4460" spans="9:10">
      <c r="I4460" s="68"/>
      <c r="J4460" s="68"/>
    </row>
    <row r="4461" spans="9:10">
      <c r="I4461" s="68"/>
      <c r="J4461" s="68"/>
    </row>
    <row r="4462" spans="9:10">
      <c r="I4462" s="68"/>
      <c r="J4462" s="68"/>
    </row>
    <row r="4463" spans="9:10">
      <c r="I4463" s="68"/>
      <c r="J4463" s="68"/>
    </row>
    <row r="4464" spans="9:10">
      <c r="I4464" s="68"/>
      <c r="J4464" s="68"/>
    </row>
    <row r="4465" spans="9:10">
      <c r="I4465" s="68"/>
      <c r="J4465" s="68"/>
    </row>
    <row r="4466" spans="9:10">
      <c r="I4466" s="68"/>
      <c r="J4466" s="68"/>
    </row>
    <row r="4467" spans="9:10">
      <c r="I4467" s="68"/>
      <c r="J4467" s="68"/>
    </row>
    <row r="4468" spans="9:10">
      <c r="I4468" s="68"/>
      <c r="J4468" s="68"/>
    </row>
    <row r="4469" spans="9:10">
      <c r="I4469" s="68"/>
      <c r="J4469" s="68"/>
    </row>
    <row r="4470" spans="9:10">
      <c r="I4470" s="68"/>
      <c r="J4470" s="68"/>
    </row>
    <row r="4471" spans="9:10">
      <c r="I4471" s="68"/>
      <c r="J4471" s="68"/>
    </row>
    <row r="4472" spans="9:10">
      <c r="I4472" s="68"/>
      <c r="J4472" s="68"/>
    </row>
    <row r="4473" spans="9:10">
      <c r="I4473" s="68"/>
      <c r="J4473" s="68"/>
    </row>
    <row r="4474" spans="9:10">
      <c r="I4474" s="68"/>
      <c r="J4474" s="68"/>
    </row>
    <row r="4475" spans="9:10">
      <c r="I4475" s="68"/>
      <c r="J4475" s="68"/>
    </row>
    <row r="4476" spans="9:10">
      <c r="I4476" s="68"/>
      <c r="J4476" s="68"/>
    </row>
    <row r="4477" spans="9:10">
      <c r="I4477" s="68"/>
      <c r="J4477" s="68"/>
    </row>
    <row r="4478" spans="9:10">
      <c r="I4478" s="68"/>
      <c r="J4478" s="68"/>
    </row>
    <row r="4479" spans="9:10">
      <c r="I4479" s="68"/>
      <c r="J4479" s="68"/>
    </row>
    <row r="4480" spans="9:10">
      <c r="I4480" s="68"/>
      <c r="J4480" s="68"/>
    </row>
    <row r="4481" spans="9:10">
      <c r="I4481" s="68"/>
      <c r="J4481" s="68"/>
    </row>
    <row r="4482" spans="9:10">
      <c r="I4482" s="68"/>
      <c r="J4482" s="68"/>
    </row>
    <row r="4483" spans="9:10">
      <c r="I4483" s="68"/>
      <c r="J4483" s="68"/>
    </row>
    <row r="4484" spans="9:10">
      <c r="I4484" s="68"/>
      <c r="J4484" s="68"/>
    </row>
    <row r="4485" spans="9:10">
      <c r="I4485" s="68"/>
      <c r="J4485" s="68"/>
    </row>
    <row r="4486" spans="9:10">
      <c r="I4486" s="68"/>
      <c r="J4486" s="68"/>
    </row>
    <row r="4487" spans="9:10">
      <c r="I4487" s="68"/>
      <c r="J4487" s="68"/>
    </row>
    <row r="4488" spans="9:10">
      <c r="I4488" s="68"/>
      <c r="J4488" s="68"/>
    </row>
    <row r="4489" spans="9:10">
      <c r="I4489" s="68"/>
      <c r="J4489" s="68"/>
    </row>
    <row r="4490" spans="9:10">
      <c r="I4490" s="68"/>
      <c r="J4490" s="68"/>
    </row>
    <row r="4491" spans="9:10">
      <c r="I4491" s="68"/>
      <c r="J4491" s="68"/>
    </row>
    <row r="4492" spans="9:10">
      <c r="I4492" s="68"/>
      <c r="J4492" s="68"/>
    </row>
    <row r="4493" spans="9:10">
      <c r="I4493" s="68"/>
      <c r="J4493" s="68"/>
    </row>
    <row r="4494" spans="9:10">
      <c r="I4494" s="68"/>
      <c r="J4494" s="68"/>
    </row>
    <row r="4495" spans="9:10">
      <c r="I4495" s="68"/>
      <c r="J4495" s="68"/>
    </row>
    <row r="4496" spans="9:10">
      <c r="I4496" s="68"/>
      <c r="J4496" s="68"/>
    </row>
    <row r="4497" spans="9:10">
      <c r="I4497" s="68"/>
      <c r="J4497" s="68"/>
    </row>
    <row r="4498" spans="9:10">
      <c r="I4498" s="68"/>
      <c r="J4498" s="68"/>
    </row>
    <row r="4499" spans="9:10">
      <c r="I4499" s="68"/>
      <c r="J4499" s="68"/>
    </row>
    <row r="4500" spans="9:10">
      <c r="I4500" s="68"/>
      <c r="J4500" s="68"/>
    </row>
    <row r="4501" spans="9:10">
      <c r="I4501" s="68"/>
      <c r="J4501" s="68"/>
    </row>
    <row r="4502" spans="9:10">
      <c r="I4502" s="68"/>
      <c r="J4502" s="68"/>
    </row>
    <row r="4503" spans="9:10">
      <c r="I4503" s="68"/>
      <c r="J4503" s="68"/>
    </row>
    <row r="4504" spans="9:10">
      <c r="I4504" s="68"/>
      <c r="J4504" s="68"/>
    </row>
    <row r="4505" spans="9:10">
      <c r="I4505" s="68"/>
      <c r="J4505" s="68"/>
    </row>
    <row r="4506" spans="9:10">
      <c r="I4506" s="68"/>
      <c r="J4506" s="68"/>
    </row>
    <row r="4507" spans="9:10">
      <c r="I4507" s="68"/>
      <c r="J4507" s="68"/>
    </row>
    <row r="4508" spans="9:10">
      <c r="I4508" s="68"/>
      <c r="J4508" s="68"/>
    </row>
    <row r="4509" spans="9:10">
      <c r="I4509" s="68"/>
      <c r="J4509" s="68"/>
    </row>
    <row r="4510" spans="9:10">
      <c r="I4510" s="68"/>
      <c r="J4510" s="68"/>
    </row>
    <row r="4511" spans="9:10">
      <c r="I4511" s="68"/>
      <c r="J4511" s="68"/>
    </row>
    <row r="4512" spans="9:10">
      <c r="I4512" s="68"/>
      <c r="J4512" s="68"/>
    </row>
    <row r="4513" spans="9:10">
      <c r="I4513" s="68"/>
      <c r="J4513" s="68"/>
    </row>
    <row r="4514" spans="9:10">
      <c r="I4514" s="68"/>
      <c r="J4514" s="68"/>
    </row>
    <row r="4515" spans="9:10">
      <c r="I4515" s="68"/>
      <c r="J4515" s="68"/>
    </row>
    <row r="4516" spans="9:10">
      <c r="I4516" s="68"/>
      <c r="J4516" s="68"/>
    </row>
    <row r="4517" spans="9:10">
      <c r="I4517" s="68"/>
      <c r="J4517" s="68"/>
    </row>
    <row r="4518" spans="9:10">
      <c r="I4518" s="68"/>
      <c r="J4518" s="68"/>
    </row>
    <row r="4519" spans="9:10">
      <c r="I4519" s="68"/>
      <c r="J4519" s="68"/>
    </row>
    <row r="4520" spans="9:10">
      <c r="I4520" s="68"/>
      <c r="J4520" s="68"/>
    </row>
    <row r="4521" spans="9:10">
      <c r="I4521" s="68"/>
      <c r="J4521" s="68"/>
    </row>
    <row r="4522" spans="9:10">
      <c r="I4522" s="68"/>
      <c r="J4522" s="68"/>
    </row>
    <row r="4523" spans="9:10">
      <c r="I4523" s="68"/>
      <c r="J4523" s="68"/>
    </row>
    <row r="4524" spans="9:10">
      <c r="I4524" s="68"/>
      <c r="J4524" s="68"/>
    </row>
    <row r="4525" spans="9:10">
      <c r="I4525" s="68"/>
      <c r="J4525" s="68"/>
    </row>
    <row r="4526" spans="9:10">
      <c r="I4526" s="68"/>
      <c r="J4526" s="68"/>
    </row>
    <row r="4527" spans="9:10">
      <c r="I4527" s="68"/>
      <c r="J4527" s="68"/>
    </row>
    <row r="4528" spans="9:10">
      <c r="I4528" s="68"/>
      <c r="J4528" s="68"/>
    </row>
    <row r="4529" spans="9:10">
      <c r="I4529" s="68"/>
      <c r="J4529" s="68"/>
    </row>
    <row r="4530" spans="9:10">
      <c r="I4530" s="68"/>
      <c r="J4530" s="68"/>
    </row>
    <row r="4531" spans="9:10">
      <c r="I4531" s="68"/>
      <c r="J4531" s="68"/>
    </row>
    <row r="4532" spans="9:10">
      <c r="I4532" s="68"/>
      <c r="J4532" s="68"/>
    </row>
    <row r="4533" spans="9:10">
      <c r="I4533" s="68"/>
      <c r="J4533" s="68"/>
    </row>
    <row r="4534" spans="9:10">
      <c r="I4534" s="68"/>
      <c r="J4534" s="68"/>
    </row>
    <row r="4535" spans="9:10">
      <c r="I4535" s="68"/>
      <c r="J4535" s="68"/>
    </row>
    <row r="4536" spans="9:10">
      <c r="I4536" s="68"/>
      <c r="J4536" s="68"/>
    </row>
    <row r="4537" spans="9:10">
      <c r="I4537" s="68"/>
      <c r="J4537" s="68"/>
    </row>
    <row r="4538" spans="9:10">
      <c r="I4538" s="68"/>
      <c r="J4538" s="68"/>
    </row>
    <row r="4539" spans="9:10">
      <c r="I4539" s="68"/>
      <c r="J4539" s="68"/>
    </row>
    <row r="4540" spans="9:10">
      <c r="I4540" s="68"/>
      <c r="J4540" s="68"/>
    </row>
    <row r="4541" spans="9:10">
      <c r="I4541" s="68"/>
      <c r="J4541" s="68"/>
    </row>
    <row r="4542" spans="9:10">
      <c r="I4542" s="68"/>
      <c r="J4542" s="68"/>
    </row>
    <row r="4543" spans="9:10">
      <c r="I4543" s="68"/>
      <c r="J4543" s="68"/>
    </row>
    <row r="4544" spans="9:10">
      <c r="I4544" s="68"/>
      <c r="J4544" s="68"/>
    </row>
    <row r="4545" spans="9:10">
      <c r="I4545" s="68"/>
      <c r="J4545" s="68"/>
    </row>
    <row r="4546" spans="9:10">
      <c r="I4546" s="68"/>
      <c r="J4546" s="68"/>
    </row>
    <row r="4547" spans="9:10">
      <c r="I4547" s="68"/>
      <c r="J4547" s="68"/>
    </row>
    <row r="4548" spans="9:10">
      <c r="I4548" s="68"/>
      <c r="J4548" s="68"/>
    </row>
    <row r="4549" spans="9:10">
      <c r="I4549" s="68"/>
      <c r="J4549" s="68"/>
    </row>
    <row r="4550" spans="9:10">
      <c r="I4550" s="68"/>
      <c r="J4550" s="68"/>
    </row>
    <row r="4551" spans="9:10">
      <c r="I4551" s="68"/>
      <c r="J4551" s="68"/>
    </row>
    <row r="4552" spans="9:10">
      <c r="I4552" s="68"/>
      <c r="J4552" s="68"/>
    </row>
    <row r="4553" spans="9:10">
      <c r="I4553" s="68"/>
      <c r="J4553" s="68"/>
    </row>
    <row r="4554" spans="9:10">
      <c r="I4554" s="68"/>
      <c r="J4554" s="68"/>
    </row>
    <row r="4555" spans="9:10">
      <c r="I4555" s="68"/>
      <c r="J4555" s="68"/>
    </row>
    <row r="4556" spans="9:10">
      <c r="I4556" s="68"/>
      <c r="J4556" s="68"/>
    </row>
    <row r="4557" spans="9:10">
      <c r="I4557" s="68"/>
      <c r="J4557" s="68"/>
    </row>
    <row r="4558" spans="9:10">
      <c r="I4558" s="68"/>
      <c r="J4558" s="68"/>
    </row>
    <row r="4559" spans="9:10">
      <c r="I4559" s="68"/>
      <c r="J4559" s="68"/>
    </row>
    <row r="4560" spans="9:10">
      <c r="I4560" s="68"/>
      <c r="J4560" s="68"/>
    </row>
    <row r="4561" spans="9:10">
      <c r="I4561" s="68"/>
      <c r="J4561" s="68"/>
    </row>
    <row r="4562" spans="9:10">
      <c r="I4562" s="68"/>
      <c r="J4562" s="68"/>
    </row>
    <row r="4563" spans="9:10">
      <c r="I4563" s="68"/>
      <c r="J4563" s="68"/>
    </row>
    <row r="4564" spans="9:10">
      <c r="I4564" s="68"/>
      <c r="J4564" s="68"/>
    </row>
    <row r="4565" spans="9:10">
      <c r="I4565" s="68"/>
      <c r="J4565" s="68"/>
    </row>
    <row r="4566" spans="9:10">
      <c r="I4566" s="68"/>
      <c r="J4566" s="68"/>
    </row>
    <row r="4567" spans="9:10">
      <c r="I4567" s="68"/>
      <c r="J4567" s="68"/>
    </row>
    <row r="4568" spans="9:10">
      <c r="I4568" s="68"/>
      <c r="J4568" s="68"/>
    </row>
    <row r="4569" spans="9:10">
      <c r="I4569" s="68"/>
      <c r="J4569" s="68"/>
    </row>
    <row r="4570" spans="9:10">
      <c r="I4570" s="68"/>
      <c r="J4570" s="68"/>
    </row>
    <row r="4571" spans="9:10">
      <c r="I4571" s="68"/>
      <c r="J4571" s="68"/>
    </row>
    <row r="4572" spans="9:10">
      <c r="I4572" s="68"/>
      <c r="J4572" s="68"/>
    </row>
    <row r="4573" spans="9:10">
      <c r="I4573" s="68"/>
      <c r="J4573" s="68"/>
    </row>
    <row r="4574" spans="9:10">
      <c r="I4574" s="68"/>
      <c r="J4574" s="68"/>
    </row>
    <row r="4575" spans="9:10">
      <c r="I4575" s="68"/>
      <c r="J4575" s="68"/>
    </row>
    <row r="4576" spans="9:10">
      <c r="I4576" s="68"/>
      <c r="J4576" s="68"/>
    </row>
    <row r="4577" spans="9:10">
      <c r="I4577" s="68"/>
      <c r="J4577" s="68"/>
    </row>
    <row r="4578" spans="9:10">
      <c r="I4578" s="68"/>
      <c r="J4578" s="68"/>
    </row>
    <row r="4579" spans="9:10">
      <c r="I4579" s="68"/>
      <c r="J4579" s="68"/>
    </row>
    <row r="4580" spans="9:10">
      <c r="I4580" s="68"/>
      <c r="J4580" s="68"/>
    </row>
    <row r="4581" spans="9:10">
      <c r="I4581" s="68"/>
      <c r="J4581" s="68"/>
    </row>
    <row r="4582" spans="9:10">
      <c r="I4582" s="68"/>
      <c r="J4582" s="68"/>
    </row>
    <row r="4583" spans="9:10">
      <c r="I4583" s="68"/>
      <c r="J4583" s="68"/>
    </row>
    <row r="4584" spans="9:10">
      <c r="I4584" s="68"/>
      <c r="J4584" s="68"/>
    </row>
    <row r="4585" spans="9:10">
      <c r="I4585" s="68"/>
      <c r="J4585" s="68"/>
    </row>
    <row r="4586" spans="9:10">
      <c r="I4586" s="68"/>
      <c r="J4586" s="68"/>
    </row>
    <row r="4587" spans="9:10">
      <c r="I4587" s="68"/>
      <c r="J4587" s="68"/>
    </row>
    <row r="4588" spans="9:10">
      <c r="I4588" s="68"/>
      <c r="J4588" s="68"/>
    </row>
    <row r="4589" spans="9:10">
      <c r="I4589" s="68"/>
      <c r="J4589" s="68"/>
    </row>
    <row r="4590" spans="9:10">
      <c r="I4590" s="68"/>
      <c r="J4590" s="68"/>
    </row>
    <row r="4591" spans="9:10">
      <c r="I4591" s="68"/>
      <c r="J4591" s="68"/>
    </row>
    <row r="4592" spans="9:10">
      <c r="I4592" s="68"/>
      <c r="J4592" s="68"/>
    </row>
    <row r="4593" spans="9:10">
      <c r="I4593" s="68"/>
      <c r="J4593" s="68"/>
    </row>
    <row r="4594" spans="9:10">
      <c r="I4594" s="68"/>
      <c r="J4594" s="68"/>
    </row>
    <row r="4595" spans="9:10">
      <c r="I4595" s="68"/>
      <c r="J4595" s="68"/>
    </row>
    <row r="4596" spans="9:10">
      <c r="I4596" s="68"/>
      <c r="J4596" s="68"/>
    </row>
    <row r="4597" spans="9:10">
      <c r="I4597" s="68"/>
      <c r="J4597" s="68"/>
    </row>
    <row r="4598" spans="9:10">
      <c r="I4598" s="68"/>
      <c r="J4598" s="68"/>
    </row>
    <row r="4599" spans="9:10">
      <c r="I4599" s="68"/>
      <c r="J4599" s="68"/>
    </row>
    <row r="4600" spans="9:10">
      <c r="I4600" s="68"/>
      <c r="J4600" s="68"/>
    </row>
    <row r="4601" spans="9:10">
      <c r="I4601" s="68"/>
      <c r="J4601" s="68"/>
    </row>
    <row r="4602" spans="9:10">
      <c r="I4602" s="68"/>
      <c r="J4602" s="68"/>
    </row>
    <row r="4603" spans="9:10">
      <c r="I4603" s="68"/>
      <c r="J4603" s="68"/>
    </row>
    <row r="4604" spans="9:10">
      <c r="I4604" s="68"/>
      <c r="J4604" s="68"/>
    </row>
    <row r="4605" spans="9:10">
      <c r="I4605" s="68"/>
      <c r="J4605" s="68"/>
    </row>
    <row r="4606" spans="9:10">
      <c r="I4606" s="68"/>
      <c r="J4606" s="68"/>
    </row>
    <row r="4607" spans="9:10">
      <c r="I4607" s="68"/>
      <c r="J4607" s="68"/>
    </row>
    <row r="4608" spans="9:10">
      <c r="I4608" s="68"/>
      <c r="J4608" s="68"/>
    </row>
    <row r="4609" spans="9:10">
      <c r="I4609" s="68"/>
      <c r="J4609" s="68"/>
    </row>
    <row r="4610" spans="9:10">
      <c r="I4610" s="68"/>
      <c r="J4610" s="68"/>
    </row>
    <row r="4611" spans="9:10">
      <c r="I4611" s="68"/>
      <c r="J4611" s="68"/>
    </row>
    <row r="4612" spans="9:10">
      <c r="I4612" s="68"/>
      <c r="J4612" s="68"/>
    </row>
    <row r="4613" spans="9:10">
      <c r="I4613" s="68"/>
      <c r="J4613" s="68"/>
    </row>
    <row r="4614" spans="9:10">
      <c r="I4614" s="68"/>
      <c r="J4614" s="68"/>
    </row>
    <row r="4615" spans="9:10">
      <c r="I4615" s="68"/>
      <c r="J4615" s="68"/>
    </row>
    <row r="4616" spans="9:10">
      <c r="I4616" s="68"/>
      <c r="J4616" s="68"/>
    </row>
    <row r="4617" spans="9:10">
      <c r="I4617" s="68"/>
      <c r="J4617" s="68"/>
    </row>
    <row r="4618" spans="9:10">
      <c r="I4618" s="68"/>
      <c r="J4618" s="68"/>
    </row>
    <row r="4619" spans="9:10">
      <c r="I4619" s="68"/>
      <c r="J4619" s="68"/>
    </row>
    <row r="4620" spans="9:10">
      <c r="I4620" s="68"/>
      <c r="J4620" s="68"/>
    </row>
    <row r="4621" spans="9:10">
      <c r="I4621" s="68"/>
      <c r="J4621" s="68"/>
    </row>
    <row r="4622" spans="9:10">
      <c r="I4622" s="68"/>
      <c r="J4622" s="68"/>
    </row>
    <row r="4623" spans="9:10">
      <c r="I4623" s="68"/>
      <c r="J4623" s="68"/>
    </row>
    <row r="4624" spans="9:10">
      <c r="I4624" s="68"/>
      <c r="J4624" s="68"/>
    </row>
    <row r="4625" spans="9:10">
      <c r="I4625" s="68"/>
      <c r="J4625" s="68"/>
    </row>
    <row r="4626" spans="9:10">
      <c r="I4626" s="68"/>
      <c r="J4626" s="68"/>
    </row>
    <row r="4627" spans="9:10">
      <c r="I4627" s="68"/>
      <c r="J4627" s="68"/>
    </row>
    <row r="4628" spans="9:10">
      <c r="I4628" s="68"/>
      <c r="J4628" s="68"/>
    </row>
    <row r="4629" spans="9:10">
      <c r="I4629" s="68"/>
      <c r="J4629" s="68"/>
    </row>
    <row r="4630" spans="9:10">
      <c r="I4630" s="68"/>
      <c r="J4630" s="68"/>
    </row>
    <row r="4631" spans="9:10">
      <c r="I4631" s="68"/>
      <c r="J4631" s="68"/>
    </row>
    <row r="4632" spans="9:10">
      <c r="I4632" s="68"/>
      <c r="J4632" s="68"/>
    </row>
    <row r="4633" spans="9:10">
      <c r="I4633" s="68"/>
      <c r="J4633" s="68"/>
    </row>
    <row r="4634" spans="9:10">
      <c r="I4634" s="68"/>
      <c r="J4634" s="68"/>
    </row>
    <row r="4635" spans="9:10">
      <c r="I4635" s="68"/>
      <c r="J4635" s="68"/>
    </row>
    <row r="4636" spans="9:10">
      <c r="I4636" s="68"/>
      <c r="J4636" s="68"/>
    </row>
    <row r="4637" spans="9:10">
      <c r="I4637" s="68"/>
      <c r="J4637" s="68"/>
    </row>
    <row r="4638" spans="9:10">
      <c r="I4638" s="68"/>
      <c r="J4638" s="68"/>
    </row>
    <row r="4639" spans="9:10">
      <c r="I4639" s="68"/>
      <c r="J4639" s="68"/>
    </row>
    <row r="4640" spans="9:10">
      <c r="I4640" s="68"/>
      <c r="J4640" s="68"/>
    </row>
    <row r="4641" spans="9:10">
      <c r="I4641" s="68"/>
      <c r="J4641" s="68"/>
    </row>
    <row r="4642" spans="9:10">
      <c r="I4642" s="68"/>
      <c r="J4642" s="68"/>
    </row>
    <row r="4643" spans="9:10">
      <c r="I4643" s="68"/>
      <c r="J4643" s="68"/>
    </row>
    <row r="4644" spans="9:10">
      <c r="I4644" s="68"/>
      <c r="J4644" s="68"/>
    </row>
    <row r="4645" spans="9:10">
      <c r="I4645" s="68"/>
      <c r="J4645" s="68"/>
    </row>
    <row r="4646" spans="9:10">
      <c r="I4646" s="68"/>
      <c r="J4646" s="68"/>
    </row>
    <row r="4647" spans="9:10">
      <c r="I4647" s="68"/>
      <c r="J4647" s="68"/>
    </row>
    <row r="4648" spans="9:10">
      <c r="I4648" s="68"/>
      <c r="J4648" s="68"/>
    </row>
    <row r="4649" spans="9:10">
      <c r="I4649" s="68"/>
      <c r="J4649" s="68"/>
    </row>
    <row r="4650" spans="9:10">
      <c r="I4650" s="68"/>
      <c r="J4650" s="68"/>
    </row>
    <row r="4651" spans="9:10">
      <c r="I4651" s="68"/>
      <c r="J4651" s="68"/>
    </row>
    <row r="4652" spans="9:10">
      <c r="I4652" s="68"/>
      <c r="J4652" s="68"/>
    </row>
    <row r="4653" spans="9:10">
      <c r="I4653" s="68"/>
      <c r="J4653" s="68"/>
    </row>
    <row r="4654" spans="9:10">
      <c r="I4654" s="68"/>
      <c r="J4654" s="68"/>
    </row>
    <row r="4655" spans="9:10">
      <c r="I4655" s="68"/>
      <c r="J4655" s="68"/>
    </row>
    <row r="4656" spans="9:10">
      <c r="I4656" s="68"/>
      <c r="J4656" s="68"/>
    </row>
    <row r="4657" spans="9:10">
      <c r="I4657" s="68"/>
      <c r="J4657" s="68"/>
    </row>
    <row r="4658" spans="9:10">
      <c r="I4658" s="68"/>
      <c r="J4658" s="68"/>
    </row>
    <row r="4659" spans="9:10">
      <c r="I4659" s="68"/>
      <c r="J4659" s="68"/>
    </row>
    <row r="4660" spans="9:10">
      <c r="I4660" s="68"/>
      <c r="J4660" s="68"/>
    </row>
    <row r="4661" spans="9:10">
      <c r="I4661" s="68"/>
      <c r="J4661" s="68"/>
    </row>
    <row r="4662" spans="9:10">
      <c r="I4662" s="68"/>
      <c r="J4662" s="68"/>
    </row>
    <row r="4663" spans="9:10">
      <c r="I4663" s="68"/>
      <c r="J4663" s="68"/>
    </row>
    <row r="4664" spans="9:10">
      <c r="I4664" s="68"/>
      <c r="J4664" s="68"/>
    </row>
    <row r="4665" spans="9:10">
      <c r="I4665" s="68"/>
      <c r="J4665" s="68"/>
    </row>
    <row r="4666" spans="9:10">
      <c r="I4666" s="68"/>
      <c r="J4666" s="68"/>
    </row>
    <row r="4667" spans="9:10">
      <c r="I4667" s="68"/>
      <c r="J4667" s="68"/>
    </row>
    <row r="4668" spans="9:10">
      <c r="I4668" s="68"/>
      <c r="J4668" s="68"/>
    </row>
    <row r="4669" spans="9:10">
      <c r="I4669" s="68"/>
      <c r="J4669" s="68"/>
    </row>
    <row r="4670" spans="9:10">
      <c r="I4670" s="68"/>
      <c r="J4670" s="68"/>
    </row>
    <row r="4671" spans="9:10">
      <c r="I4671" s="68"/>
      <c r="J4671" s="68"/>
    </row>
    <row r="4672" spans="9:10">
      <c r="I4672" s="68"/>
      <c r="J4672" s="68"/>
    </row>
    <row r="4673" spans="9:10">
      <c r="I4673" s="68"/>
      <c r="J4673" s="68"/>
    </row>
    <row r="4674" spans="9:10">
      <c r="I4674" s="68"/>
      <c r="J4674" s="68"/>
    </row>
    <row r="4675" spans="9:10">
      <c r="I4675" s="68"/>
      <c r="J4675" s="68"/>
    </row>
    <row r="4676" spans="9:10">
      <c r="I4676" s="68"/>
      <c r="J4676" s="68"/>
    </row>
    <row r="4677" spans="9:10">
      <c r="I4677" s="68"/>
      <c r="J4677" s="68"/>
    </row>
    <row r="4678" spans="9:10">
      <c r="I4678" s="68"/>
      <c r="J4678" s="68"/>
    </row>
    <row r="4679" spans="9:10">
      <c r="I4679" s="68"/>
      <c r="J4679" s="68"/>
    </row>
    <row r="4680" spans="9:10">
      <c r="I4680" s="68"/>
      <c r="J4680" s="68"/>
    </row>
    <row r="4681" spans="9:10">
      <c r="I4681" s="68"/>
      <c r="J4681" s="68"/>
    </row>
    <row r="4682" spans="9:10">
      <c r="I4682" s="68"/>
      <c r="J4682" s="68"/>
    </row>
    <row r="4683" spans="9:10">
      <c r="I4683" s="68"/>
      <c r="J4683" s="68"/>
    </row>
    <row r="4684" spans="9:10">
      <c r="I4684" s="68"/>
      <c r="J4684" s="68"/>
    </row>
    <row r="4685" spans="9:10">
      <c r="I4685" s="68"/>
      <c r="J4685" s="68"/>
    </row>
    <row r="4686" spans="9:10">
      <c r="I4686" s="68"/>
      <c r="J4686" s="68"/>
    </row>
    <row r="4687" spans="9:10">
      <c r="I4687" s="68"/>
      <c r="J4687" s="68"/>
    </row>
    <row r="4688" spans="9:10">
      <c r="I4688" s="68"/>
      <c r="J4688" s="68"/>
    </row>
    <row r="4689" spans="9:10">
      <c r="I4689" s="68"/>
      <c r="J4689" s="68"/>
    </row>
    <row r="4690" spans="9:10">
      <c r="I4690" s="68"/>
      <c r="J4690" s="68"/>
    </row>
    <row r="4691" spans="9:10">
      <c r="I4691" s="68"/>
      <c r="J4691" s="68"/>
    </row>
    <row r="4692" spans="9:10">
      <c r="I4692" s="68"/>
      <c r="J4692" s="68"/>
    </row>
    <row r="4693" spans="9:10">
      <c r="I4693" s="68"/>
      <c r="J4693" s="68"/>
    </row>
    <row r="4694" spans="9:10">
      <c r="I4694" s="68"/>
      <c r="J4694" s="68"/>
    </row>
    <row r="4695" spans="9:10">
      <c r="I4695" s="68"/>
      <c r="J4695" s="68"/>
    </row>
    <row r="4696" spans="9:10">
      <c r="I4696" s="68"/>
      <c r="J4696" s="68"/>
    </row>
    <row r="4697" spans="9:10">
      <c r="I4697" s="68"/>
      <c r="J4697" s="68"/>
    </row>
    <row r="4698" spans="9:10">
      <c r="I4698" s="68"/>
      <c r="J4698" s="68"/>
    </row>
    <row r="4699" spans="9:10">
      <c r="I4699" s="68"/>
      <c r="J4699" s="68"/>
    </row>
    <row r="4700" spans="9:10">
      <c r="I4700" s="68"/>
      <c r="J4700" s="68"/>
    </row>
    <row r="4701" spans="9:10">
      <c r="I4701" s="68"/>
      <c r="J4701" s="68"/>
    </row>
    <row r="4702" spans="9:10">
      <c r="I4702" s="68"/>
      <c r="J4702" s="68"/>
    </row>
    <row r="4703" spans="9:10">
      <c r="I4703" s="68"/>
      <c r="J4703" s="68"/>
    </row>
    <row r="4704" spans="9:10">
      <c r="I4704" s="68"/>
      <c r="J4704" s="68"/>
    </row>
    <row r="4705" spans="9:10">
      <c r="I4705" s="68"/>
      <c r="J4705" s="68"/>
    </row>
    <row r="4706" spans="9:10">
      <c r="I4706" s="68"/>
      <c r="J4706" s="68"/>
    </row>
    <row r="4707" spans="9:10">
      <c r="I4707" s="68"/>
      <c r="J4707" s="68"/>
    </row>
    <row r="4708" spans="9:10">
      <c r="I4708" s="68"/>
      <c r="J4708" s="68"/>
    </row>
    <row r="4709" spans="9:10">
      <c r="I4709" s="68"/>
      <c r="J4709" s="68"/>
    </row>
    <row r="4710" spans="9:10">
      <c r="I4710" s="68"/>
      <c r="J4710" s="68"/>
    </row>
    <row r="4711" spans="9:10">
      <c r="I4711" s="68"/>
      <c r="J4711" s="68"/>
    </row>
    <row r="4712" spans="9:10">
      <c r="I4712" s="68"/>
      <c r="J4712" s="68"/>
    </row>
    <row r="4713" spans="9:10">
      <c r="I4713" s="68"/>
      <c r="J4713" s="68"/>
    </row>
    <row r="4714" spans="9:10">
      <c r="I4714" s="68"/>
      <c r="J4714" s="68"/>
    </row>
    <row r="4715" spans="9:10">
      <c r="I4715" s="68"/>
      <c r="J4715" s="68"/>
    </row>
    <row r="4716" spans="9:10">
      <c r="I4716" s="68"/>
      <c r="J4716" s="68"/>
    </row>
    <row r="4717" spans="9:10">
      <c r="I4717" s="68"/>
      <c r="J4717" s="68"/>
    </row>
    <row r="4718" spans="9:10">
      <c r="I4718" s="68"/>
      <c r="J4718" s="68"/>
    </row>
    <row r="4719" spans="9:10">
      <c r="I4719" s="68"/>
      <c r="J4719" s="68"/>
    </row>
    <row r="4720" spans="9:10">
      <c r="I4720" s="68"/>
      <c r="J4720" s="68"/>
    </row>
    <row r="4721" spans="9:10">
      <c r="I4721" s="68"/>
      <c r="J4721" s="68"/>
    </row>
    <row r="4722" spans="9:10">
      <c r="I4722" s="68"/>
      <c r="J4722" s="68"/>
    </row>
    <row r="4723" spans="9:10">
      <c r="I4723" s="68"/>
      <c r="J4723" s="68"/>
    </row>
    <row r="4724" spans="9:10">
      <c r="I4724" s="68"/>
      <c r="J4724" s="68"/>
    </row>
    <row r="4725" spans="9:10">
      <c r="I4725" s="68"/>
      <c r="J4725" s="68"/>
    </row>
    <row r="4726" spans="9:10">
      <c r="I4726" s="68"/>
      <c r="J4726" s="68"/>
    </row>
    <row r="4727" spans="9:10">
      <c r="I4727" s="68"/>
      <c r="J4727" s="68"/>
    </row>
    <row r="4728" spans="9:10">
      <c r="I4728" s="68"/>
      <c r="J4728" s="68"/>
    </row>
    <row r="4729" spans="9:10">
      <c r="I4729" s="68"/>
      <c r="J4729" s="68"/>
    </row>
    <row r="4730" spans="9:10">
      <c r="I4730" s="68"/>
      <c r="J4730" s="68"/>
    </row>
    <row r="4731" spans="9:10">
      <c r="I4731" s="68"/>
      <c r="J4731" s="68"/>
    </row>
    <row r="4732" spans="9:10">
      <c r="I4732" s="68"/>
      <c r="J4732" s="68"/>
    </row>
    <row r="4733" spans="9:10">
      <c r="I4733" s="68"/>
      <c r="J4733" s="68"/>
    </row>
    <row r="4734" spans="9:10">
      <c r="I4734" s="68"/>
      <c r="J4734" s="68"/>
    </row>
    <row r="4735" spans="9:10">
      <c r="I4735" s="68"/>
      <c r="J4735" s="68"/>
    </row>
    <row r="4736" spans="9:10">
      <c r="I4736" s="68"/>
      <c r="J4736" s="68"/>
    </row>
    <row r="4737" spans="9:10">
      <c r="I4737" s="68"/>
      <c r="J4737" s="68"/>
    </row>
    <row r="4738" spans="9:10">
      <c r="I4738" s="68"/>
      <c r="J4738" s="68"/>
    </row>
    <row r="4739" spans="9:10">
      <c r="I4739" s="68"/>
      <c r="J4739" s="68"/>
    </row>
    <row r="4740" spans="9:10">
      <c r="I4740" s="68"/>
      <c r="J4740" s="68"/>
    </row>
    <row r="4741" spans="9:10">
      <c r="I4741" s="68"/>
      <c r="J4741" s="68"/>
    </row>
    <row r="4742" spans="9:10">
      <c r="I4742" s="68"/>
      <c r="J4742" s="68"/>
    </row>
    <row r="4743" spans="9:10">
      <c r="I4743" s="68"/>
      <c r="J4743" s="68"/>
    </row>
    <row r="4744" spans="9:10">
      <c r="I4744" s="68"/>
      <c r="J4744" s="68"/>
    </row>
    <row r="4745" spans="9:10">
      <c r="I4745" s="68"/>
      <c r="J4745" s="68"/>
    </row>
    <row r="4746" spans="9:10">
      <c r="I4746" s="68"/>
      <c r="J4746" s="68"/>
    </row>
    <row r="4747" spans="9:10">
      <c r="I4747" s="68"/>
      <c r="J4747" s="68"/>
    </row>
    <row r="4748" spans="9:10">
      <c r="I4748" s="68"/>
      <c r="J4748" s="68"/>
    </row>
    <row r="4749" spans="9:10">
      <c r="I4749" s="68"/>
      <c r="J4749" s="68"/>
    </row>
    <row r="4750" spans="9:10">
      <c r="I4750" s="68"/>
      <c r="J4750" s="68"/>
    </row>
    <row r="4751" spans="9:10">
      <c r="I4751" s="68"/>
      <c r="J4751" s="68"/>
    </row>
    <row r="4752" spans="9:10">
      <c r="I4752" s="68"/>
      <c r="J4752" s="68"/>
    </row>
    <row r="4753" spans="9:10">
      <c r="I4753" s="68"/>
      <c r="J4753" s="68"/>
    </row>
    <row r="4754" spans="9:10">
      <c r="I4754" s="68"/>
      <c r="J4754" s="68"/>
    </row>
    <row r="4755" spans="9:10">
      <c r="I4755" s="68"/>
      <c r="J4755" s="68"/>
    </row>
    <row r="4756" spans="9:10">
      <c r="I4756" s="68"/>
      <c r="J4756" s="68"/>
    </row>
    <row r="4757" spans="9:10">
      <c r="I4757" s="68"/>
      <c r="J4757" s="68"/>
    </row>
    <row r="4758" spans="9:10">
      <c r="I4758" s="68"/>
      <c r="J4758" s="68"/>
    </row>
    <row r="4759" spans="9:10">
      <c r="I4759" s="68"/>
      <c r="J4759" s="68"/>
    </row>
    <row r="4760" spans="9:10">
      <c r="I4760" s="68"/>
      <c r="J4760" s="68"/>
    </row>
    <row r="4761" spans="9:10">
      <c r="I4761" s="68"/>
      <c r="J4761" s="68"/>
    </row>
    <row r="4762" spans="9:10">
      <c r="I4762" s="68"/>
      <c r="J4762" s="68"/>
    </row>
    <row r="4763" spans="9:10">
      <c r="I4763" s="68"/>
      <c r="J4763" s="68"/>
    </row>
    <row r="4764" spans="9:10">
      <c r="I4764" s="68"/>
      <c r="J4764" s="68"/>
    </row>
    <row r="4765" spans="9:10">
      <c r="I4765" s="68"/>
      <c r="J4765" s="68"/>
    </row>
    <row r="4766" spans="9:10">
      <c r="I4766" s="68"/>
      <c r="J4766" s="68"/>
    </row>
    <row r="4767" spans="9:10">
      <c r="I4767" s="68"/>
      <c r="J4767" s="68"/>
    </row>
    <row r="4768" spans="9:10">
      <c r="I4768" s="68"/>
      <c r="J4768" s="68"/>
    </row>
    <row r="4769" spans="9:10">
      <c r="I4769" s="68"/>
      <c r="J4769" s="68"/>
    </row>
    <row r="4770" spans="9:10">
      <c r="I4770" s="68"/>
      <c r="J4770" s="68"/>
    </row>
    <row r="4771" spans="9:10">
      <c r="I4771" s="68"/>
      <c r="J4771" s="68"/>
    </row>
    <row r="4772" spans="9:10">
      <c r="I4772" s="68"/>
      <c r="J4772" s="68"/>
    </row>
    <row r="4773" spans="9:10">
      <c r="I4773" s="68"/>
      <c r="J4773" s="68"/>
    </row>
    <row r="4774" spans="9:10">
      <c r="I4774" s="68"/>
      <c r="J4774" s="68"/>
    </row>
    <row r="4775" spans="9:10">
      <c r="I4775" s="68"/>
      <c r="J4775" s="68"/>
    </row>
    <row r="4776" spans="9:10">
      <c r="I4776" s="68"/>
      <c r="J4776" s="68"/>
    </row>
    <row r="4777" spans="9:10">
      <c r="I4777" s="68"/>
      <c r="J4777" s="68"/>
    </row>
    <row r="4778" spans="9:10">
      <c r="I4778" s="68"/>
      <c r="J4778" s="68"/>
    </row>
    <row r="4779" spans="9:10">
      <c r="I4779" s="68"/>
      <c r="J4779" s="68"/>
    </row>
    <row r="4780" spans="9:10">
      <c r="I4780" s="68"/>
      <c r="J4780" s="68"/>
    </row>
    <row r="4781" spans="9:10">
      <c r="I4781" s="68"/>
      <c r="J4781" s="68"/>
    </row>
    <row r="4782" spans="9:10">
      <c r="I4782" s="68"/>
      <c r="J4782" s="68"/>
    </row>
    <row r="4783" spans="9:10">
      <c r="I4783" s="68"/>
      <c r="J4783" s="68"/>
    </row>
    <row r="4784" spans="9:10">
      <c r="I4784" s="68"/>
      <c r="J4784" s="68"/>
    </row>
    <row r="4785" spans="9:10">
      <c r="I4785" s="68"/>
      <c r="J4785" s="68"/>
    </row>
    <row r="4786" spans="9:10">
      <c r="I4786" s="68"/>
      <c r="J4786" s="68"/>
    </row>
    <row r="4787" spans="9:10">
      <c r="I4787" s="68"/>
      <c r="J4787" s="68"/>
    </row>
    <row r="4788" spans="9:10">
      <c r="I4788" s="68"/>
      <c r="J4788" s="68"/>
    </row>
    <row r="4789" spans="9:10">
      <c r="I4789" s="68"/>
      <c r="J4789" s="68"/>
    </row>
    <row r="4790" spans="9:10">
      <c r="I4790" s="68"/>
      <c r="J4790" s="68"/>
    </row>
    <row r="4791" spans="9:10">
      <c r="I4791" s="68"/>
      <c r="J4791" s="68"/>
    </row>
    <row r="4792" spans="9:10">
      <c r="I4792" s="68"/>
      <c r="J4792" s="68"/>
    </row>
    <row r="4793" spans="9:10">
      <c r="I4793" s="68"/>
      <c r="J4793" s="68"/>
    </row>
    <row r="4794" spans="9:10">
      <c r="I4794" s="68"/>
      <c r="J4794" s="68"/>
    </row>
    <row r="4795" spans="9:10">
      <c r="I4795" s="68"/>
      <c r="J4795" s="68"/>
    </row>
    <row r="4796" spans="9:10">
      <c r="I4796" s="68"/>
      <c r="J4796" s="68"/>
    </row>
    <row r="4797" spans="9:10">
      <c r="I4797" s="68"/>
      <c r="J4797" s="68"/>
    </row>
    <row r="4798" spans="9:10">
      <c r="I4798" s="68"/>
      <c r="J4798" s="68"/>
    </row>
    <row r="4799" spans="9:10">
      <c r="I4799" s="68"/>
      <c r="J4799" s="68"/>
    </row>
    <row r="4800" spans="9:10">
      <c r="I4800" s="68"/>
      <c r="J4800" s="68"/>
    </row>
    <row r="4801" spans="9:10">
      <c r="I4801" s="68"/>
      <c r="J4801" s="68"/>
    </row>
    <row r="4802" spans="9:10">
      <c r="I4802" s="68"/>
      <c r="J4802" s="68"/>
    </row>
    <row r="4803" spans="9:10">
      <c r="I4803" s="68"/>
      <c r="J4803" s="68"/>
    </row>
    <row r="4804" spans="9:10">
      <c r="I4804" s="68"/>
      <c r="J4804" s="68"/>
    </row>
    <row r="4805" spans="9:10">
      <c r="I4805" s="68"/>
      <c r="J4805" s="68"/>
    </row>
    <row r="4806" spans="9:10">
      <c r="I4806" s="68"/>
      <c r="J4806" s="68"/>
    </row>
    <row r="4807" spans="9:10">
      <c r="I4807" s="68"/>
      <c r="J4807" s="68"/>
    </row>
    <row r="4808" spans="9:10">
      <c r="I4808" s="68"/>
      <c r="J4808" s="68"/>
    </row>
    <row r="4809" spans="9:10">
      <c r="I4809" s="68"/>
      <c r="J4809" s="68"/>
    </row>
    <row r="4810" spans="9:10">
      <c r="I4810" s="68"/>
      <c r="J4810" s="68"/>
    </row>
    <row r="4811" spans="9:10">
      <c r="I4811" s="68"/>
      <c r="J4811" s="68"/>
    </row>
    <row r="4812" spans="9:10">
      <c r="I4812" s="68"/>
      <c r="J4812" s="68"/>
    </row>
    <row r="4813" spans="9:10">
      <c r="I4813" s="68"/>
      <c r="J4813" s="68"/>
    </row>
    <row r="4814" spans="9:10">
      <c r="I4814" s="68"/>
      <c r="J4814" s="68"/>
    </row>
    <row r="4815" spans="9:10">
      <c r="I4815" s="68"/>
      <c r="J4815" s="68"/>
    </row>
    <row r="4816" spans="9:10">
      <c r="I4816" s="68"/>
      <c r="J4816" s="68"/>
    </row>
    <row r="4817" spans="9:10">
      <c r="I4817" s="68"/>
      <c r="J4817" s="68"/>
    </row>
    <row r="4818" spans="9:10">
      <c r="I4818" s="68"/>
      <c r="J4818" s="68"/>
    </row>
    <row r="4819" spans="9:10">
      <c r="I4819" s="68"/>
      <c r="J4819" s="68"/>
    </row>
    <row r="4820" spans="9:10">
      <c r="I4820" s="68"/>
      <c r="J4820" s="68"/>
    </row>
    <row r="4821" spans="9:10">
      <c r="I4821" s="68"/>
      <c r="J4821" s="68"/>
    </row>
    <row r="4822" spans="9:10">
      <c r="I4822" s="68"/>
      <c r="J4822" s="68"/>
    </row>
    <row r="4823" spans="9:10">
      <c r="I4823" s="68"/>
      <c r="J4823" s="68"/>
    </row>
    <row r="4824" spans="9:10">
      <c r="I4824" s="68"/>
      <c r="J4824" s="68"/>
    </row>
    <row r="4825" spans="9:10">
      <c r="I4825" s="68"/>
      <c r="J4825" s="68"/>
    </row>
    <row r="4826" spans="9:10">
      <c r="I4826" s="68"/>
      <c r="J4826" s="68"/>
    </row>
    <row r="4827" spans="9:10">
      <c r="I4827" s="68"/>
      <c r="J4827" s="68"/>
    </row>
    <row r="4828" spans="9:10">
      <c r="I4828" s="68"/>
      <c r="J4828" s="68"/>
    </row>
    <row r="4829" spans="9:10">
      <c r="I4829" s="68"/>
      <c r="J4829" s="68"/>
    </row>
    <row r="4830" spans="9:10">
      <c r="I4830" s="68"/>
      <c r="J4830" s="68"/>
    </row>
    <row r="4831" spans="9:10">
      <c r="I4831" s="68"/>
      <c r="J4831" s="68"/>
    </row>
    <row r="4832" spans="9:10">
      <c r="I4832" s="68"/>
      <c r="J4832" s="68"/>
    </row>
    <row r="4833" spans="9:10">
      <c r="I4833" s="68"/>
      <c r="J4833" s="68"/>
    </row>
    <row r="4834" spans="9:10">
      <c r="I4834" s="68"/>
      <c r="J4834" s="68"/>
    </row>
    <row r="4835" spans="9:10">
      <c r="I4835" s="68"/>
      <c r="J4835" s="68"/>
    </row>
    <row r="4836" spans="9:10">
      <c r="I4836" s="68"/>
      <c r="J4836" s="68"/>
    </row>
    <row r="4837" spans="9:10">
      <c r="I4837" s="68"/>
      <c r="J4837" s="68"/>
    </row>
    <row r="4838" spans="9:10">
      <c r="I4838" s="68"/>
      <c r="J4838" s="68"/>
    </row>
    <row r="4839" spans="9:10">
      <c r="I4839" s="68"/>
      <c r="J4839" s="68"/>
    </row>
    <row r="4840" spans="9:10">
      <c r="I4840" s="68"/>
      <c r="J4840" s="68"/>
    </row>
    <row r="4841" spans="9:10">
      <c r="I4841" s="68"/>
      <c r="J4841" s="68"/>
    </row>
    <row r="4842" spans="9:10">
      <c r="I4842" s="68"/>
      <c r="J4842" s="68"/>
    </row>
    <row r="4843" spans="9:10">
      <c r="I4843" s="68"/>
      <c r="J4843" s="68"/>
    </row>
    <row r="4844" spans="9:10">
      <c r="I4844" s="68"/>
      <c r="J4844" s="68"/>
    </row>
    <row r="4845" spans="9:10">
      <c r="I4845" s="68"/>
      <c r="J4845" s="68"/>
    </row>
    <row r="4846" spans="9:10">
      <c r="I4846" s="68"/>
      <c r="J4846" s="68"/>
    </row>
    <row r="4847" spans="9:10">
      <c r="I4847" s="68"/>
      <c r="J4847" s="68"/>
    </row>
    <row r="4848" spans="9:10">
      <c r="I4848" s="68"/>
      <c r="J4848" s="68"/>
    </row>
    <row r="4849" spans="9:10">
      <c r="I4849" s="68"/>
      <c r="J4849" s="68"/>
    </row>
    <row r="4850" spans="9:10">
      <c r="I4850" s="68"/>
      <c r="J4850" s="68"/>
    </row>
    <row r="4851" spans="9:10">
      <c r="I4851" s="68"/>
      <c r="J4851" s="68"/>
    </row>
    <row r="4852" spans="9:10">
      <c r="I4852" s="68"/>
      <c r="J4852" s="68"/>
    </row>
    <row r="4853" spans="9:10">
      <c r="I4853" s="68"/>
      <c r="J4853" s="68"/>
    </row>
    <row r="4854" spans="9:10">
      <c r="I4854" s="68"/>
      <c r="J4854" s="68"/>
    </row>
    <row r="4855" spans="9:10">
      <c r="I4855" s="68"/>
      <c r="J4855" s="68"/>
    </row>
    <row r="4856" spans="9:10">
      <c r="I4856" s="68"/>
      <c r="J4856" s="68"/>
    </row>
    <row r="4857" spans="9:10">
      <c r="I4857" s="68"/>
      <c r="J4857" s="68"/>
    </row>
    <row r="4858" spans="9:10">
      <c r="I4858" s="68"/>
      <c r="J4858" s="68"/>
    </row>
    <row r="4859" spans="9:10">
      <c r="I4859" s="68"/>
      <c r="J4859" s="68"/>
    </row>
    <row r="4860" spans="9:10">
      <c r="I4860" s="68"/>
      <c r="J4860" s="68"/>
    </row>
    <row r="4861" spans="9:10">
      <c r="I4861" s="68"/>
      <c r="J4861" s="68"/>
    </row>
    <row r="4862" spans="9:10">
      <c r="I4862" s="68"/>
      <c r="J4862" s="68"/>
    </row>
    <row r="4863" spans="9:10">
      <c r="I4863" s="68"/>
      <c r="J4863" s="68"/>
    </row>
    <row r="4864" spans="9:10">
      <c r="I4864" s="68"/>
      <c r="J4864" s="68"/>
    </row>
    <row r="4865" spans="9:10">
      <c r="I4865" s="68"/>
      <c r="J4865" s="68"/>
    </row>
    <row r="4866" spans="9:10">
      <c r="I4866" s="68"/>
      <c r="J4866" s="68"/>
    </row>
    <row r="4867" spans="9:10">
      <c r="I4867" s="68"/>
      <c r="J4867" s="68"/>
    </row>
    <row r="4868" spans="9:10">
      <c r="I4868" s="68"/>
      <c r="J4868" s="68"/>
    </row>
    <row r="4869" spans="9:10">
      <c r="I4869" s="68"/>
      <c r="J4869" s="68"/>
    </row>
    <row r="4870" spans="9:10">
      <c r="I4870" s="68"/>
      <c r="J4870" s="68"/>
    </row>
    <row r="4871" spans="9:10">
      <c r="I4871" s="68"/>
      <c r="J4871" s="68"/>
    </row>
    <row r="4872" spans="9:10">
      <c r="I4872" s="68"/>
      <c r="J4872" s="68"/>
    </row>
    <row r="4873" spans="9:10">
      <c r="I4873" s="68"/>
      <c r="J4873" s="68"/>
    </row>
    <row r="4874" spans="9:10">
      <c r="I4874" s="68"/>
      <c r="J4874" s="68"/>
    </row>
    <row r="4875" spans="9:10">
      <c r="I4875" s="68"/>
      <c r="J4875" s="68"/>
    </row>
    <row r="4876" spans="9:10">
      <c r="I4876" s="68"/>
      <c r="J4876" s="68"/>
    </row>
    <row r="4877" spans="9:10">
      <c r="I4877" s="68"/>
      <c r="J4877" s="68"/>
    </row>
    <row r="4878" spans="9:10">
      <c r="I4878" s="68"/>
      <c r="J4878" s="68"/>
    </row>
    <row r="4879" spans="9:10">
      <c r="I4879" s="68"/>
      <c r="J4879" s="68"/>
    </row>
    <row r="4880" spans="9:10">
      <c r="I4880" s="68"/>
      <c r="J4880" s="68"/>
    </row>
    <row r="4881" spans="9:10">
      <c r="I4881" s="68"/>
      <c r="J4881" s="68"/>
    </row>
    <row r="4882" spans="9:10">
      <c r="I4882" s="68"/>
      <c r="J4882" s="68"/>
    </row>
    <row r="4883" spans="9:10">
      <c r="I4883" s="68"/>
      <c r="J4883" s="68"/>
    </row>
    <row r="4884" spans="9:10">
      <c r="I4884" s="68"/>
      <c r="J4884" s="68"/>
    </row>
    <row r="4885" spans="9:10">
      <c r="I4885" s="68"/>
      <c r="J4885" s="68"/>
    </row>
    <row r="4886" spans="9:10">
      <c r="I4886" s="68"/>
      <c r="J4886" s="68"/>
    </row>
    <row r="4887" spans="9:10">
      <c r="I4887" s="68"/>
      <c r="J4887" s="68"/>
    </row>
    <row r="4888" spans="9:10">
      <c r="I4888" s="68"/>
      <c r="J4888" s="68"/>
    </row>
    <row r="4889" spans="9:10">
      <c r="I4889" s="68"/>
      <c r="J4889" s="68"/>
    </row>
    <row r="4890" spans="9:10">
      <c r="I4890" s="68"/>
      <c r="J4890" s="68"/>
    </row>
    <row r="4891" spans="9:10">
      <c r="I4891" s="68"/>
      <c r="J4891" s="68"/>
    </row>
    <row r="4892" spans="9:10">
      <c r="I4892" s="68"/>
      <c r="J4892" s="68"/>
    </row>
    <row r="4893" spans="9:10">
      <c r="I4893" s="68"/>
      <c r="J4893" s="68"/>
    </row>
    <row r="4894" spans="9:10">
      <c r="I4894" s="68"/>
      <c r="J4894" s="68"/>
    </row>
    <row r="4895" spans="9:10">
      <c r="I4895" s="68"/>
      <c r="J4895" s="68"/>
    </row>
    <row r="4896" spans="9:10">
      <c r="I4896" s="68"/>
      <c r="J4896" s="68"/>
    </row>
    <row r="4897" spans="9:10">
      <c r="I4897" s="68"/>
      <c r="J4897" s="68"/>
    </row>
    <row r="4898" spans="9:10">
      <c r="I4898" s="68"/>
      <c r="J4898" s="68"/>
    </row>
    <row r="4899" spans="9:10">
      <c r="I4899" s="68"/>
      <c r="J4899" s="68"/>
    </row>
    <row r="4900" spans="9:10">
      <c r="I4900" s="68"/>
      <c r="J4900" s="68"/>
    </row>
    <row r="4901" spans="9:10">
      <c r="I4901" s="68"/>
      <c r="J4901" s="68"/>
    </row>
    <row r="4902" spans="9:10">
      <c r="I4902" s="68"/>
      <c r="J4902" s="68"/>
    </row>
    <row r="4903" spans="9:10">
      <c r="I4903" s="68"/>
      <c r="J4903" s="68"/>
    </row>
    <row r="4904" spans="9:10">
      <c r="I4904" s="68"/>
      <c r="J4904" s="68"/>
    </row>
    <row r="4905" spans="9:10">
      <c r="I4905" s="68"/>
      <c r="J4905" s="68"/>
    </row>
    <row r="4906" spans="9:10">
      <c r="I4906" s="68"/>
      <c r="J4906" s="68"/>
    </row>
    <row r="4907" spans="9:10">
      <c r="I4907" s="68"/>
      <c r="J4907" s="68"/>
    </row>
    <row r="4908" spans="9:10">
      <c r="I4908" s="68"/>
      <c r="J4908" s="68"/>
    </row>
    <row r="4909" spans="9:10">
      <c r="I4909" s="68"/>
      <c r="J4909" s="68"/>
    </row>
    <row r="4910" spans="9:10">
      <c r="I4910" s="68"/>
      <c r="J4910" s="68"/>
    </row>
    <row r="4911" spans="9:10">
      <c r="I4911" s="68"/>
      <c r="J4911" s="68"/>
    </row>
    <row r="4912" spans="9:10">
      <c r="I4912" s="68"/>
      <c r="J4912" s="68"/>
    </row>
    <row r="4913" spans="9:10">
      <c r="I4913" s="68"/>
      <c r="J4913" s="68"/>
    </row>
    <row r="4914" spans="9:10">
      <c r="I4914" s="68"/>
      <c r="J4914" s="68"/>
    </row>
    <row r="4915" spans="9:10">
      <c r="I4915" s="68"/>
      <c r="J4915" s="68"/>
    </row>
    <row r="4916" spans="9:10">
      <c r="I4916" s="68"/>
      <c r="J4916" s="68"/>
    </row>
    <row r="4917" spans="9:10">
      <c r="I4917" s="68"/>
      <c r="J4917" s="68"/>
    </row>
    <row r="4918" spans="9:10">
      <c r="I4918" s="68"/>
      <c r="J4918" s="68"/>
    </row>
    <row r="4919" spans="9:10">
      <c r="I4919" s="68"/>
      <c r="J4919" s="68"/>
    </row>
    <row r="4920" spans="9:10">
      <c r="I4920" s="68"/>
      <c r="J4920" s="68"/>
    </row>
    <row r="4921" spans="9:10">
      <c r="I4921" s="68"/>
      <c r="J4921" s="68"/>
    </row>
    <row r="4922" spans="9:10">
      <c r="I4922" s="68"/>
      <c r="J4922" s="68"/>
    </row>
    <row r="4923" spans="9:10">
      <c r="I4923" s="68"/>
      <c r="J4923" s="68"/>
    </row>
    <row r="4924" spans="9:10">
      <c r="I4924" s="68"/>
      <c r="J4924" s="68"/>
    </row>
    <row r="4925" spans="9:10">
      <c r="I4925" s="68"/>
      <c r="J4925" s="68"/>
    </row>
    <row r="4926" spans="9:10">
      <c r="I4926" s="68"/>
      <c r="J4926" s="68"/>
    </row>
    <row r="4927" spans="9:10">
      <c r="I4927" s="68"/>
      <c r="J4927" s="68"/>
    </row>
    <row r="4928" spans="9:10">
      <c r="I4928" s="68"/>
      <c r="J4928" s="68"/>
    </row>
    <row r="4929" spans="9:10">
      <c r="I4929" s="68"/>
      <c r="J4929" s="68"/>
    </row>
    <row r="4930" spans="9:10">
      <c r="I4930" s="68"/>
      <c r="J4930" s="68"/>
    </row>
    <row r="4931" spans="9:10">
      <c r="I4931" s="68"/>
      <c r="J4931" s="68"/>
    </row>
    <row r="4932" spans="9:10">
      <c r="I4932" s="68"/>
      <c r="J4932" s="68"/>
    </row>
    <row r="4933" spans="9:10">
      <c r="I4933" s="68"/>
      <c r="J4933" s="68"/>
    </row>
    <row r="4934" spans="9:10">
      <c r="I4934" s="68"/>
      <c r="J4934" s="68"/>
    </row>
    <row r="4935" spans="9:10">
      <c r="I4935" s="68"/>
      <c r="J4935" s="68"/>
    </row>
    <row r="4936" spans="9:10">
      <c r="I4936" s="68"/>
      <c r="J4936" s="68"/>
    </row>
    <row r="4937" spans="9:10">
      <c r="I4937" s="68"/>
      <c r="J4937" s="68"/>
    </row>
    <row r="4938" spans="9:10">
      <c r="I4938" s="68"/>
      <c r="J4938" s="68"/>
    </row>
    <row r="4939" spans="9:10">
      <c r="I4939" s="68"/>
      <c r="J4939" s="68"/>
    </row>
    <row r="4940" spans="9:10">
      <c r="I4940" s="68"/>
      <c r="J4940" s="68"/>
    </row>
    <row r="4941" spans="9:10">
      <c r="I4941" s="68"/>
      <c r="J4941" s="68"/>
    </row>
    <row r="4942" spans="9:10">
      <c r="I4942" s="68"/>
      <c r="J4942" s="68"/>
    </row>
    <row r="4943" spans="9:10">
      <c r="I4943" s="68"/>
      <c r="J4943" s="68"/>
    </row>
    <row r="4944" spans="9:10">
      <c r="I4944" s="68"/>
      <c r="J4944" s="68"/>
    </row>
    <row r="4945" spans="9:10">
      <c r="I4945" s="68"/>
      <c r="J4945" s="68"/>
    </row>
    <row r="4946" spans="9:10">
      <c r="I4946" s="68"/>
      <c r="J4946" s="68"/>
    </row>
    <row r="4947" spans="9:10">
      <c r="I4947" s="68"/>
      <c r="J4947" s="68"/>
    </row>
    <row r="4948" spans="9:10">
      <c r="I4948" s="68"/>
      <c r="J4948" s="68"/>
    </row>
    <row r="4949" spans="9:10">
      <c r="I4949" s="68"/>
      <c r="J4949" s="68"/>
    </row>
    <row r="4950" spans="9:10">
      <c r="I4950" s="68"/>
      <c r="J4950" s="68"/>
    </row>
    <row r="4951" spans="9:10">
      <c r="I4951" s="68"/>
      <c r="J4951" s="68"/>
    </row>
    <row r="4952" spans="9:10">
      <c r="I4952" s="68"/>
      <c r="J4952" s="68"/>
    </row>
    <row r="4953" spans="9:10">
      <c r="I4953" s="68"/>
      <c r="J4953" s="68"/>
    </row>
    <row r="4954" spans="9:10">
      <c r="I4954" s="68"/>
      <c r="J4954" s="68"/>
    </row>
    <row r="4955" spans="9:10">
      <c r="I4955" s="68"/>
      <c r="J4955" s="68"/>
    </row>
    <row r="4956" spans="9:10">
      <c r="I4956" s="68"/>
      <c r="J4956" s="68"/>
    </row>
    <row r="4957" spans="9:10">
      <c r="I4957" s="68"/>
      <c r="J4957" s="68"/>
    </row>
    <row r="4958" spans="9:10">
      <c r="I4958" s="68"/>
      <c r="J4958" s="68"/>
    </row>
    <row r="4959" spans="9:10">
      <c r="I4959" s="68"/>
      <c r="J4959" s="68"/>
    </row>
    <row r="4960" spans="9:10">
      <c r="I4960" s="68"/>
      <c r="J4960" s="68"/>
    </row>
    <row r="4961" spans="9:10">
      <c r="I4961" s="68"/>
      <c r="J4961" s="68"/>
    </row>
    <row r="4962" spans="9:10">
      <c r="I4962" s="68"/>
      <c r="J4962" s="68"/>
    </row>
    <row r="4963" spans="9:10">
      <c r="I4963" s="68"/>
      <c r="J4963" s="68"/>
    </row>
    <row r="4964" spans="9:10">
      <c r="I4964" s="68"/>
      <c r="J4964" s="68"/>
    </row>
    <row r="4965" spans="9:10">
      <c r="I4965" s="68"/>
      <c r="J4965" s="68"/>
    </row>
    <row r="4966" spans="9:10">
      <c r="I4966" s="68"/>
      <c r="J4966" s="68"/>
    </row>
    <row r="4967" spans="9:10">
      <c r="I4967" s="68"/>
      <c r="J4967" s="68"/>
    </row>
    <row r="4968" spans="9:10">
      <c r="I4968" s="68"/>
      <c r="J4968" s="68"/>
    </row>
    <row r="4969" spans="9:10">
      <c r="I4969" s="68"/>
      <c r="J4969" s="68"/>
    </row>
    <row r="4970" spans="9:10">
      <c r="I4970" s="68"/>
      <c r="J4970" s="68"/>
    </row>
    <row r="4971" spans="9:10">
      <c r="I4971" s="68"/>
      <c r="J4971" s="68"/>
    </row>
    <row r="4972" spans="9:10">
      <c r="I4972" s="68"/>
      <c r="J4972" s="68"/>
    </row>
    <row r="4973" spans="9:10">
      <c r="I4973" s="68"/>
      <c r="J4973" s="68"/>
    </row>
    <row r="4974" spans="9:10">
      <c r="I4974" s="68"/>
      <c r="J4974" s="68"/>
    </row>
    <row r="4975" spans="9:10">
      <c r="I4975" s="68"/>
      <c r="J4975" s="68"/>
    </row>
    <row r="4976" spans="9:10">
      <c r="I4976" s="68"/>
      <c r="J4976" s="68"/>
    </row>
    <row r="4977" spans="9:10">
      <c r="I4977" s="68"/>
      <c r="J4977" s="68"/>
    </row>
    <row r="4978" spans="9:10">
      <c r="I4978" s="68"/>
      <c r="J4978" s="68"/>
    </row>
    <row r="4979" spans="9:10">
      <c r="I4979" s="68"/>
      <c r="J4979" s="68"/>
    </row>
    <row r="4980" spans="9:10">
      <c r="I4980" s="68"/>
      <c r="J4980" s="68"/>
    </row>
    <row r="4981" spans="9:10">
      <c r="I4981" s="68"/>
      <c r="J4981" s="68"/>
    </row>
    <row r="4982" spans="9:10">
      <c r="I4982" s="68"/>
      <c r="J4982" s="68"/>
    </row>
    <row r="4983" spans="9:10">
      <c r="I4983" s="68"/>
      <c r="J4983" s="68"/>
    </row>
    <row r="4984" spans="9:10">
      <c r="I4984" s="68"/>
      <c r="J4984" s="68"/>
    </row>
    <row r="4985" spans="9:10">
      <c r="I4985" s="68"/>
      <c r="J4985" s="68"/>
    </row>
    <row r="4986" spans="9:10">
      <c r="I4986" s="68"/>
      <c r="J4986" s="68"/>
    </row>
    <row r="4987" spans="9:10">
      <c r="I4987" s="68"/>
      <c r="J4987" s="68"/>
    </row>
    <row r="4988" spans="9:10">
      <c r="I4988" s="68"/>
      <c r="J4988" s="68"/>
    </row>
    <row r="4989" spans="9:10">
      <c r="I4989" s="68"/>
      <c r="J4989" s="68"/>
    </row>
    <row r="4990" spans="9:10">
      <c r="I4990" s="68"/>
      <c r="J4990" s="68"/>
    </row>
    <row r="4991" spans="9:10">
      <c r="I4991" s="68"/>
      <c r="J4991" s="68"/>
    </row>
    <row r="4992" spans="9:10">
      <c r="I4992" s="68"/>
      <c r="J4992" s="68"/>
    </row>
    <row r="4993" spans="9:10">
      <c r="I4993" s="68"/>
      <c r="J4993" s="68"/>
    </row>
    <row r="4994" spans="9:10">
      <c r="I4994" s="68"/>
      <c r="J4994" s="68"/>
    </row>
    <row r="4995" spans="9:10">
      <c r="I4995" s="68"/>
      <c r="J4995" s="68"/>
    </row>
    <row r="4996" spans="9:10">
      <c r="I4996" s="68"/>
      <c r="J4996" s="68"/>
    </row>
    <row r="4997" spans="9:10">
      <c r="I4997" s="68"/>
      <c r="J4997" s="68"/>
    </row>
    <row r="4998" spans="9:10">
      <c r="I4998" s="68"/>
      <c r="J4998" s="68"/>
    </row>
    <row r="4999" spans="9:10">
      <c r="I4999" s="68"/>
      <c r="J4999" s="68"/>
    </row>
    <row r="5000" spans="9:10">
      <c r="I5000" s="68"/>
      <c r="J5000" s="68"/>
    </row>
    <row r="5001" spans="9:10">
      <c r="I5001" s="68"/>
      <c r="J5001" s="68"/>
    </row>
    <row r="5002" spans="9:10">
      <c r="I5002" s="68"/>
      <c r="J5002" s="68"/>
    </row>
    <row r="5003" spans="9:10">
      <c r="I5003" s="68"/>
      <c r="J5003" s="68"/>
    </row>
    <row r="5004" spans="9:10">
      <c r="I5004" s="68"/>
      <c r="J5004" s="68"/>
    </row>
    <row r="5005" spans="9:10">
      <c r="I5005" s="68"/>
      <c r="J5005" s="68"/>
    </row>
    <row r="5006" spans="9:10">
      <c r="I5006" s="68"/>
      <c r="J5006" s="68"/>
    </row>
    <row r="5007" spans="9:10">
      <c r="I5007" s="68"/>
      <c r="J5007" s="68"/>
    </row>
    <row r="5008" spans="9:10">
      <c r="I5008" s="68"/>
      <c r="J5008" s="68"/>
    </row>
    <row r="5009" spans="9:10">
      <c r="I5009" s="68"/>
      <c r="J5009" s="68"/>
    </row>
    <row r="5010" spans="9:10">
      <c r="I5010" s="68"/>
      <c r="J5010" s="68"/>
    </row>
    <row r="5011" spans="9:10">
      <c r="I5011" s="68"/>
      <c r="J5011" s="68"/>
    </row>
    <row r="5012" spans="9:10">
      <c r="I5012" s="68"/>
      <c r="J5012" s="68"/>
    </row>
    <row r="5013" spans="9:10">
      <c r="I5013" s="68"/>
      <c r="J5013" s="68"/>
    </row>
    <row r="5014" spans="9:10">
      <c r="I5014" s="68"/>
      <c r="J5014" s="68"/>
    </row>
    <row r="5015" spans="9:10">
      <c r="I5015" s="68"/>
      <c r="J5015" s="68"/>
    </row>
    <row r="5016" spans="9:10">
      <c r="I5016" s="68"/>
      <c r="J5016" s="68"/>
    </row>
    <row r="5017" spans="9:10">
      <c r="I5017" s="68"/>
      <c r="J5017" s="68"/>
    </row>
    <row r="5018" spans="9:10">
      <c r="I5018" s="68"/>
      <c r="J5018" s="68"/>
    </row>
    <row r="5019" spans="9:10">
      <c r="I5019" s="68"/>
      <c r="J5019" s="68"/>
    </row>
    <row r="5020" spans="9:10">
      <c r="I5020" s="68"/>
      <c r="J5020" s="68"/>
    </row>
    <row r="5021" spans="9:10">
      <c r="I5021" s="68"/>
      <c r="J5021" s="68"/>
    </row>
    <row r="5022" spans="9:10">
      <c r="I5022" s="68"/>
      <c r="J5022" s="68"/>
    </row>
    <row r="5023" spans="9:10">
      <c r="I5023" s="68"/>
      <c r="J5023" s="68"/>
    </row>
    <row r="5024" spans="9:10">
      <c r="I5024" s="68"/>
      <c r="J5024" s="68"/>
    </row>
    <row r="5025" spans="9:10">
      <c r="I5025" s="68"/>
      <c r="J5025" s="68"/>
    </row>
    <row r="5026" spans="9:10">
      <c r="I5026" s="68"/>
      <c r="J5026" s="68"/>
    </row>
    <row r="5027" spans="9:10">
      <c r="I5027" s="68"/>
      <c r="J5027" s="68"/>
    </row>
    <row r="5028" spans="9:10">
      <c r="I5028" s="68"/>
      <c r="J5028" s="68"/>
    </row>
    <row r="5029" spans="9:10">
      <c r="I5029" s="68"/>
      <c r="J5029" s="68"/>
    </row>
    <row r="5030" spans="9:10">
      <c r="I5030" s="68"/>
      <c r="J5030" s="68"/>
    </row>
    <row r="5031" spans="9:10">
      <c r="I5031" s="68"/>
      <c r="J5031" s="68"/>
    </row>
    <row r="5032" spans="9:10">
      <c r="I5032" s="68"/>
      <c r="J5032" s="68"/>
    </row>
    <row r="5033" spans="9:10">
      <c r="I5033" s="68"/>
      <c r="J5033" s="68"/>
    </row>
    <row r="5034" spans="9:10">
      <c r="I5034" s="68"/>
      <c r="J5034" s="68"/>
    </row>
    <row r="5035" spans="9:10">
      <c r="I5035" s="68"/>
      <c r="J5035" s="68"/>
    </row>
    <row r="5036" spans="9:10">
      <c r="I5036" s="68"/>
      <c r="J5036" s="68"/>
    </row>
    <row r="5037" spans="9:10">
      <c r="I5037" s="68"/>
      <c r="J5037" s="68"/>
    </row>
    <row r="5038" spans="9:10">
      <c r="I5038" s="68"/>
      <c r="J5038" s="68"/>
    </row>
    <row r="5039" spans="9:10">
      <c r="I5039" s="68"/>
      <c r="J5039" s="68"/>
    </row>
    <row r="5040" spans="9:10">
      <c r="I5040" s="68"/>
      <c r="J5040" s="68"/>
    </row>
    <row r="5041" spans="9:10">
      <c r="I5041" s="68"/>
      <c r="J5041" s="68"/>
    </row>
    <row r="5042" spans="9:10">
      <c r="I5042" s="68"/>
      <c r="J5042" s="68"/>
    </row>
    <row r="5043" spans="9:10">
      <c r="I5043" s="68"/>
      <c r="J5043" s="68"/>
    </row>
    <row r="5044" spans="9:10">
      <c r="I5044" s="68"/>
      <c r="J5044" s="68"/>
    </row>
    <row r="5045" spans="9:10">
      <c r="I5045" s="68"/>
      <c r="J5045" s="68"/>
    </row>
    <row r="5046" spans="9:10">
      <c r="I5046" s="68"/>
      <c r="J5046" s="68"/>
    </row>
    <row r="5047" spans="9:10">
      <c r="I5047" s="68"/>
      <c r="J5047" s="68"/>
    </row>
    <row r="5048" spans="9:10">
      <c r="I5048" s="68"/>
      <c r="J5048" s="68"/>
    </row>
    <row r="5049" spans="9:10">
      <c r="I5049" s="68"/>
      <c r="J5049" s="68"/>
    </row>
    <row r="5050" spans="9:10">
      <c r="I5050" s="68"/>
      <c r="J5050" s="68"/>
    </row>
    <row r="5051" spans="9:10">
      <c r="I5051" s="68"/>
      <c r="J5051" s="68"/>
    </row>
    <row r="5052" spans="9:10">
      <c r="I5052" s="68"/>
      <c r="J5052" s="68"/>
    </row>
    <row r="5053" spans="9:10">
      <c r="I5053" s="68"/>
      <c r="J5053" s="68"/>
    </row>
    <row r="5054" spans="9:10">
      <c r="I5054" s="68"/>
      <c r="J5054" s="68"/>
    </row>
    <row r="5055" spans="9:10">
      <c r="I5055" s="68"/>
      <c r="J5055" s="68"/>
    </row>
    <row r="5056" spans="9:10">
      <c r="I5056" s="68"/>
      <c r="J5056" s="68"/>
    </row>
    <row r="5057" spans="9:10">
      <c r="I5057" s="68"/>
      <c r="J5057" s="68"/>
    </row>
    <row r="5058" spans="9:10">
      <c r="I5058" s="68"/>
      <c r="J5058" s="68"/>
    </row>
    <row r="5059" spans="9:10">
      <c r="I5059" s="68"/>
      <c r="J5059" s="68"/>
    </row>
    <row r="5060" spans="9:10">
      <c r="I5060" s="68"/>
      <c r="J5060" s="68"/>
    </row>
    <row r="5061" spans="9:10">
      <c r="I5061" s="68"/>
      <c r="J5061" s="68"/>
    </row>
    <row r="5062" spans="9:10">
      <c r="I5062" s="68"/>
      <c r="J5062" s="68"/>
    </row>
    <row r="5063" spans="9:10">
      <c r="I5063" s="68"/>
      <c r="J5063" s="68"/>
    </row>
    <row r="5064" spans="9:10">
      <c r="I5064" s="68"/>
      <c r="J5064" s="68"/>
    </row>
    <row r="5065" spans="9:10">
      <c r="I5065" s="68"/>
      <c r="J5065" s="68"/>
    </row>
    <row r="5066" spans="9:10">
      <c r="I5066" s="68"/>
      <c r="J5066" s="68"/>
    </row>
    <row r="5067" spans="9:10">
      <c r="I5067" s="68"/>
      <c r="J5067" s="68"/>
    </row>
    <row r="5068" spans="9:10">
      <c r="I5068" s="68"/>
      <c r="J5068" s="68"/>
    </row>
    <row r="5069" spans="9:10">
      <c r="I5069" s="68"/>
      <c r="J5069" s="68"/>
    </row>
    <row r="5070" spans="9:10">
      <c r="I5070" s="68"/>
      <c r="J5070" s="68"/>
    </row>
    <row r="5071" spans="9:10">
      <c r="I5071" s="68"/>
      <c r="J5071" s="68"/>
    </row>
    <row r="5072" spans="9:10">
      <c r="I5072" s="68"/>
      <c r="J5072" s="68"/>
    </row>
    <row r="5073" spans="9:10">
      <c r="I5073" s="68"/>
      <c r="J5073" s="68"/>
    </row>
    <row r="5074" spans="9:10">
      <c r="I5074" s="68"/>
      <c r="J5074" s="68"/>
    </row>
    <row r="5075" spans="9:10">
      <c r="I5075" s="68"/>
      <c r="J5075" s="68"/>
    </row>
    <row r="5076" spans="9:10">
      <c r="I5076" s="68"/>
      <c r="J5076" s="68"/>
    </row>
    <row r="5077" spans="9:10">
      <c r="I5077" s="68"/>
      <c r="J5077" s="68"/>
    </row>
    <row r="5078" spans="9:10">
      <c r="I5078" s="68"/>
      <c r="J5078" s="68"/>
    </row>
    <row r="5079" spans="9:10">
      <c r="I5079" s="68"/>
      <c r="J5079" s="68"/>
    </row>
    <row r="5080" spans="9:10">
      <c r="I5080" s="68"/>
      <c r="J5080" s="68"/>
    </row>
    <row r="5081" spans="9:10">
      <c r="I5081" s="68"/>
      <c r="J5081" s="68"/>
    </row>
    <row r="5082" spans="9:10">
      <c r="I5082" s="68"/>
      <c r="J5082" s="68"/>
    </row>
    <row r="5083" spans="9:10">
      <c r="I5083" s="68"/>
      <c r="J5083" s="68"/>
    </row>
    <row r="5084" spans="9:10">
      <c r="I5084" s="68"/>
      <c r="J5084" s="68"/>
    </row>
    <row r="5085" spans="9:10">
      <c r="I5085" s="68"/>
      <c r="J5085" s="68"/>
    </row>
    <row r="5086" spans="9:10">
      <c r="I5086" s="68"/>
      <c r="J5086" s="68"/>
    </row>
    <row r="5087" spans="9:10">
      <c r="I5087" s="68"/>
      <c r="J5087" s="68"/>
    </row>
    <row r="5088" spans="9:10">
      <c r="I5088" s="68"/>
      <c r="J5088" s="68"/>
    </row>
    <row r="5089" spans="9:10">
      <c r="I5089" s="68"/>
      <c r="J5089" s="68"/>
    </row>
    <row r="5090" spans="9:10">
      <c r="I5090" s="68"/>
      <c r="J5090" s="68"/>
    </row>
    <row r="5091" spans="9:10">
      <c r="I5091" s="68"/>
      <c r="J5091" s="68"/>
    </row>
    <row r="5092" spans="9:10">
      <c r="I5092" s="68"/>
      <c r="J5092" s="68"/>
    </row>
    <row r="5093" spans="9:10">
      <c r="I5093" s="68"/>
      <c r="J5093" s="68"/>
    </row>
    <row r="5094" spans="9:10">
      <c r="I5094" s="68"/>
      <c r="J5094" s="68"/>
    </row>
    <row r="5095" spans="9:10">
      <c r="I5095" s="68"/>
      <c r="J5095" s="68"/>
    </row>
    <row r="5096" spans="9:10">
      <c r="I5096" s="68"/>
      <c r="J5096" s="68"/>
    </row>
    <row r="5097" spans="9:10">
      <c r="I5097" s="68"/>
      <c r="J5097" s="68"/>
    </row>
    <row r="5098" spans="9:10">
      <c r="I5098" s="68"/>
      <c r="J5098" s="68"/>
    </row>
    <row r="5099" spans="9:10">
      <c r="I5099" s="68"/>
      <c r="J5099" s="68"/>
    </row>
    <row r="5100" spans="9:10">
      <c r="I5100" s="68"/>
      <c r="J5100" s="68"/>
    </row>
    <row r="5101" spans="9:10">
      <c r="I5101" s="68"/>
      <c r="J5101" s="68"/>
    </row>
    <row r="5102" spans="9:10">
      <c r="I5102" s="68"/>
      <c r="J5102" s="68"/>
    </row>
    <row r="5103" spans="9:10">
      <c r="I5103" s="68"/>
      <c r="J5103" s="68"/>
    </row>
    <row r="5104" spans="9:10">
      <c r="I5104" s="68"/>
      <c r="J5104" s="68"/>
    </row>
    <row r="5105" spans="9:10">
      <c r="I5105" s="68"/>
      <c r="J5105" s="68"/>
    </row>
    <row r="5106" spans="9:10">
      <c r="I5106" s="68"/>
      <c r="J5106" s="68"/>
    </row>
    <row r="5107" spans="9:10">
      <c r="I5107" s="68"/>
      <c r="J5107" s="68"/>
    </row>
    <row r="5108" spans="9:10">
      <c r="I5108" s="68"/>
      <c r="J5108" s="68"/>
    </row>
    <row r="5109" spans="9:10">
      <c r="I5109" s="68"/>
      <c r="J5109" s="68"/>
    </row>
    <row r="5110" spans="9:10">
      <c r="I5110" s="68"/>
      <c r="J5110" s="68"/>
    </row>
    <row r="5111" spans="9:10">
      <c r="I5111" s="68"/>
      <c r="J5111" s="68"/>
    </row>
    <row r="5112" spans="9:10">
      <c r="I5112" s="68"/>
      <c r="J5112" s="68"/>
    </row>
    <row r="5113" spans="9:10">
      <c r="I5113" s="68"/>
      <c r="J5113" s="68"/>
    </row>
    <row r="5114" spans="9:10">
      <c r="I5114" s="68"/>
      <c r="J5114" s="68"/>
    </row>
    <row r="5115" spans="9:10">
      <c r="I5115" s="68"/>
      <c r="J5115" s="68"/>
    </row>
    <row r="5116" spans="9:10">
      <c r="I5116" s="68"/>
      <c r="J5116" s="68"/>
    </row>
    <row r="5117" spans="9:10">
      <c r="I5117" s="68"/>
      <c r="J5117" s="68"/>
    </row>
    <row r="5118" spans="9:10">
      <c r="I5118" s="68"/>
      <c r="J5118" s="68"/>
    </row>
    <row r="5119" spans="9:10">
      <c r="I5119" s="68"/>
      <c r="J5119" s="68"/>
    </row>
    <row r="5120" spans="9:10">
      <c r="I5120" s="68"/>
      <c r="J5120" s="68"/>
    </row>
    <row r="5121" spans="9:10">
      <c r="I5121" s="68"/>
      <c r="J5121" s="68"/>
    </row>
    <row r="5122" spans="9:10">
      <c r="I5122" s="68"/>
      <c r="J5122" s="68"/>
    </row>
    <row r="5123" spans="9:10">
      <c r="I5123" s="68"/>
      <c r="J5123" s="68"/>
    </row>
    <row r="5124" spans="9:10">
      <c r="I5124" s="68"/>
      <c r="J5124" s="68"/>
    </row>
    <row r="5125" spans="9:10">
      <c r="I5125" s="68"/>
      <c r="J5125" s="68"/>
    </row>
    <row r="5126" spans="9:10">
      <c r="I5126" s="68"/>
      <c r="J5126" s="68"/>
    </row>
    <row r="5127" spans="9:10">
      <c r="I5127" s="68"/>
      <c r="J5127" s="68"/>
    </row>
    <row r="5128" spans="9:10">
      <c r="I5128" s="68"/>
      <c r="J5128" s="68"/>
    </row>
    <row r="5129" spans="9:10">
      <c r="I5129" s="68"/>
      <c r="J5129" s="68"/>
    </row>
    <row r="5130" spans="9:10">
      <c r="I5130" s="68"/>
      <c r="J5130" s="68"/>
    </row>
    <row r="5131" spans="9:10">
      <c r="I5131" s="68"/>
      <c r="J5131" s="68"/>
    </row>
    <row r="5132" spans="9:10">
      <c r="I5132" s="68"/>
      <c r="J5132" s="68"/>
    </row>
    <row r="5133" spans="9:10">
      <c r="I5133" s="68"/>
      <c r="J5133" s="68"/>
    </row>
    <row r="5134" spans="9:10">
      <c r="I5134" s="68"/>
      <c r="J5134" s="68"/>
    </row>
    <row r="5135" spans="9:10">
      <c r="I5135" s="68"/>
      <c r="J5135" s="68"/>
    </row>
    <row r="5136" spans="9:10">
      <c r="I5136" s="68"/>
      <c r="J5136" s="68"/>
    </row>
    <row r="5137" spans="9:10">
      <c r="I5137" s="68"/>
      <c r="J5137" s="68"/>
    </row>
    <row r="5138" spans="9:10">
      <c r="I5138" s="68"/>
      <c r="J5138" s="68"/>
    </row>
    <row r="5139" spans="9:10">
      <c r="I5139" s="68"/>
      <c r="J5139" s="68"/>
    </row>
    <row r="5140" spans="9:10">
      <c r="I5140" s="68"/>
      <c r="J5140" s="68"/>
    </row>
    <row r="5141" spans="9:10">
      <c r="I5141" s="68"/>
      <c r="J5141" s="68"/>
    </row>
    <row r="5142" spans="9:10">
      <c r="I5142" s="68"/>
      <c r="J5142" s="68"/>
    </row>
    <row r="5143" spans="9:10">
      <c r="I5143" s="68"/>
      <c r="J5143" s="68"/>
    </row>
    <row r="5144" spans="9:10">
      <c r="I5144" s="68"/>
      <c r="J5144" s="68"/>
    </row>
    <row r="5145" spans="9:10">
      <c r="I5145" s="68"/>
      <c r="J5145" s="68"/>
    </row>
    <row r="5146" spans="9:10">
      <c r="I5146" s="68"/>
      <c r="J5146" s="68"/>
    </row>
    <row r="5147" spans="9:10">
      <c r="I5147" s="68"/>
      <c r="J5147" s="68"/>
    </row>
    <row r="5148" spans="9:10">
      <c r="I5148" s="68"/>
      <c r="J5148" s="68"/>
    </row>
    <row r="5149" spans="9:10">
      <c r="I5149" s="68"/>
      <c r="J5149" s="68"/>
    </row>
    <row r="5150" spans="9:10">
      <c r="I5150" s="68"/>
      <c r="J5150" s="68"/>
    </row>
    <row r="5151" spans="9:10">
      <c r="I5151" s="68"/>
      <c r="J5151" s="68"/>
    </row>
    <row r="5152" spans="9:10">
      <c r="I5152" s="68"/>
      <c r="J5152" s="68"/>
    </row>
    <row r="5153" spans="9:10">
      <c r="I5153" s="68"/>
      <c r="J5153" s="68"/>
    </row>
    <row r="5154" spans="9:10">
      <c r="I5154" s="68"/>
      <c r="J5154" s="68"/>
    </row>
    <row r="5155" spans="9:10">
      <c r="I5155" s="68"/>
      <c r="J5155" s="68"/>
    </row>
    <row r="5156" spans="9:10">
      <c r="I5156" s="68"/>
      <c r="J5156" s="68"/>
    </row>
    <row r="5157" spans="9:10">
      <c r="I5157" s="68"/>
      <c r="J5157" s="68"/>
    </row>
    <row r="5158" spans="9:10">
      <c r="I5158" s="68"/>
      <c r="J5158" s="68"/>
    </row>
    <row r="5159" spans="9:10">
      <c r="I5159" s="68"/>
      <c r="J5159" s="68"/>
    </row>
    <row r="5160" spans="9:10">
      <c r="I5160" s="68"/>
      <c r="J5160" s="68"/>
    </row>
    <row r="5161" spans="9:10">
      <c r="I5161" s="68"/>
      <c r="J5161" s="68"/>
    </row>
    <row r="5162" spans="9:10">
      <c r="I5162" s="68"/>
      <c r="J5162" s="68"/>
    </row>
    <row r="5163" spans="9:10">
      <c r="I5163" s="68"/>
      <c r="J5163" s="68"/>
    </row>
    <row r="5164" spans="9:10">
      <c r="I5164" s="68"/>
      <c r="J5164" s="68"/>
    </row>
    <row r="5165" spans="9:10">
      <c r="I5165" s="68"/>
      <c r="J5165" s="68"/>
    </row>
    <row r="5166" spans="9:10">
      <c r="I5166" s="68"/>
      <c r="J5166" s="68"/>
    </row>
    <row r="5167" spans="9:10">
      <c r="I5167" s="68"/>
      <c r="J5167" s="68"/>
    </row>
    <row r="5168" spans="9:10">
      <c r="I5168" s="68"/>
      <c r="J5168" s="68"/>
    </row>
    <row r="5169" spans="9:10">
      <c r="I5169" s="68"/>
      <c r="J5169" s="68"/>
    </row>
    <row r="5170" spans="9:10">
      <c r="I5170" s="68"/>
      <c r="J5170" s="68"/>
    </row>
    <row r="5171" spans="9:10">
      <c r="I5171" s="68"/>
      <c r="J5171" s="68"/>
    </row>
    <row r="5172" spans="9:10">
      <c r="I5172" s="68"/>
      <c r="J5172" s="68"/>
    </row>
    <row r="5173" spans="9:10">
      <c r="I5173" s="68"/>
      <c r="J5173" s="68"/>
    </row>
    <row r="5174" spans="9:10">
      <c r="I5174" s="68"/>
      <c r="J5174" s="68"/>
    </row>
    <row r="5175" spans="9:10">
      <c r="I5175" s="68"/>
      <c r="J5175" s="68"/>
    </row>
    <row r="5176" spans="9:10">
      <c r="I5176" s="68"/>
      <c r="J5176" s="68"/>
    </row>
    <row r="5177" spans="9:10">
      <c r="I5177" s="68"/>
      <c r="J5177" s="68"/>
    </row>
    <row r="5178" spans="9:10">
      <c r="I5178" s="68"/>
      <c r="J5178" s="68"/>
    </row>
    <row r="5179" spans="9:10">
      <c r="I5179" s="68"/>
      <c r="J5179" s="68"/>
    </row>
    <row r="5180" spans="9:10">
      <c r="I5180" s="68"/>
      <c r="J5180" s="68"/>
    </row>
    <row r="5181" spans="9:10">
      <c r="I5181" s="68"/>
      <c r="J5181" s="68"/>
    </row>
    <row r="5182" spans="9:10">
      <c r="I5182" s="68"/>
      <c r="J5182" s="68"/>
    </row>
    <row r="5183" spans="9:10">
      <c r="I5183" s="68"/>
      <c r="J5183" s="68"/>
    </row>
    <row r="5184" spans="9:10">
      <c r="I5184" s="68"/>
      <c r="J5184" s="68"/>
    </row>
    <row r="5185" spans="9:10">
      <c r="I5185" s="68"/>
      <c r="J5185" s="68"/>
    </row>
    <row r="5186" spans="9:10">
      <c r="I5186" s="68"/>
      <c r="J5186" s="68"/>
    </row>
    <row r="5187" spans="9:10">
      <c r="I5187" s="68"/>
      <c r="J5187" s="68"/>
    </row>
    <row r="5188" spans="9:10">
      <c r="I5188" s="68"/>
      <c r="J5188" s="68"/>
    </row>
    <row r="5189" spans="9:10">
      <c r="I5189" s="68"/>
      <c r="J5189" s="68"/>
    </row>
    <row r="5190" spans="9:10">
      <c r="I5190" s="68"/>
      <c r="J5190" s="68"/>
    </row>
    <row r="5191" spans="9:10">
      <c r="I5191" s="68"/>
      <c r="J5191" s="68"/>
    </row>
    <row r="5192" spans="9:10">
      <c r="I5192" s="68"/>
      <c r="J5192" s="68"/>
    </row>
    <row r="5193" spans="9:10">
      <c r="I5193" s="68"/>
      <c r="J5193" s="68"/>
    </row>
    <row r="5194" spans="9:10">
      <c r="I5194" s="68"/>
      <c r="J5194" s="68"/>
    </row>
    <row r="5195" spans="9:10">
      <c r="I5195" s="68"/>
      <c r="J5195" s="68"/>
    </row>
    <row r="5196" spans="9:10">
      <c r="I5196" s="68"/>
      <c r="J5196" s="68"/>
    </row>
    <row r="5197" spans="9:10">
      <c r="I5197" s="68"/>
      <c r="J5197" s="68"/>
    </row>
    <row r="5198" spans="9:10">
      <c r="I5198" s="68"/>
      <c r="J5198" s="68"/>
    </row>
    <row r="5199" spans="9:10">
      <c r="I5199" s="68"/>
      <c r="J5199" s="68"/>
    </row>
    <row r="5200" spans="9:10">
      <c r="I5200" s="68"/>
      <c r="J5200" s="68"/>
    </row>
    <row r="5201" spans="9:10">
      <c r="I5201" s="68"/>
      <c r="J5201" s="68"/>
    </row>
    <row r="5202" spans="9:10">
      <c r="I5202" s="68"/>
      <c r="J5202" s="68"/>
    </row>
    <row r="5203" spans="9:10">
      <c r="I5203" s="68"/>
      <c r="J5203" s="68"/>
    </row>
    <row r="5204" spans="9:10">
      <c r="I5204" s="68"/>
      <c r="J5204" s="68"/>
    </row>
    <row r="5205" spans="9:10">
      <c r="I5205" s="68"/>
      <c r="J5205" s="68"/>
    </row>
    <row r="5206" spans="9:10">
      <c r="I5206" s="68"/>
      <c r="J5206" s="68"/>
    </row>
    <row r="5207" spans="9:10">
      <c r="I5207" s="68"/>
      <c r="J5207" s="68"/>
    </row>
    <row r="5208" spans="9:10">
      <c r="I5208" s="68"/>
      <c r="J5208" s="68"/>
    </row>
    <row r="5209" spans="9:10">
      <c r="I5209" s="68"/>
      <c r="J5209" s="68"/>
    </row>
    <row r="5210" spans="9:10">
      <c r="I5210" s="68"/>
      <c r="J5210" s="68"/>
    </row>
    <row r="5211" spans="9:10">
      <c r="I5211" s="68"/>
      <c r="J5211" s="68"/>
    </row>
    <row r="5212" spans="9:10">
      <c r="I5212" s="68"/>
      <c r="J5212" s="68"/>
    </row>
    <row r="5213" spans="9:10">
      <c r="I5213" s="68"/>
      <c r="J5213" s="68"/>
    </row>
    <row r="5214" spans="9:10">
      <c r="I5214" s="68"/>
      <c r="J5214" s="68"/>
    </row>
    <row r="5215" spans="9:10">
      <c r="I5215" s="68"/>
      <c r="J5215" s="68"/>
    </row>
    <row r="5216" spans="9:10">
      <c r="I5216" s="68"/>
      <c r="J5216" s="68"/>
    </row>
    <row r="5217" spans="9:10">
      <c r="I5217" s="68"/>
      <c r="J5217" s="68"/>
    </row>
    <row r="5218" spans="9:10">
      <c r="I5218" s="68"/>
      <c r="J5218" s="68"/>
    </row>
    <row r="5219" spans="9:10">
      <c r="I5219" s="68"/>
      <c r="J5219" s="68"/>
    </row>
    <row r="5220" spans="9:10">
      <c r="I5220" s="68"/>
      <c r="J5220" s="68"/>
    </row>
    <row r="5221" spans="9:10">
      <c r="I5221" s="68"/>
      <c r="J5221" s="68"/>
    </row>
    <row r="5222" spans="9:10">
      <c r="I5222" s="68"/>
      <c r="J5222" s="68"/>
    </row>
    <row r="5223" spans="9:10">
      <c r="I5223" s="68"/>
      <c r="J5223" s="68"/>
    </row>
    <row r="5224" spans="9:10">
      <c r="I5224" s="68"/>
      <c r="J5224" s="68"/>
    </row>
    <row r="5225" spans="9:10">
      <c r="I5225" s="68"/>
      <c r="J5225" s="68"/>
    </row>
    <row r="5226" spans="9:10">
      <c r="I5226" s="68"/>
      <c r="J5226" s="68"/>
    </row>
    <row r="5227" spans="9:10">
      <c r="I5227" s="68"/>
      <c r="J5227" s="68"/>
    </row>
    <row r="5228" spans="9:10">
      <c r="I5228" s="68"/>
      <c r="J5228" s="68"/>
    </row>
    <row r="5229" spans="9:10">
      <c r="I5229" s="68"/>
      <c r="J5229" s="68"/>
    </row>
    <row r="5230" spans="9:10">
      <c r="I5230" s="68"/>
      <c r="J5230" s="68"/>
    </row>
    <row r="5231" spans="9:10">
      <c r="I5231" s="68"/>
      <c r="J5231" s="68"/>
    </row>
    <row r="5232" spans="9:10">
      <c r="I5232" s="68"/>
      <c r="J5232" s="68"/>
    </row>
    <row r="5233" spans="9:10">
      <c r="I5233" s="68"/>
      <c r="J5233" s="68"/>
    </row>
    <row r="5234" spans="9:10">
      <c r="I5234" s="68"/>
      <c r="J5234" s="68"/>
    </row>
    <row r="5235" spans="9:10">
      <c r="I5235" s="68"/>
      <c r="J5235" s="68"/>
    </row>
    <row r="5236" spans="9:10">
      <c r="I5236" s="68"/>
      <c r="J5236" s="68"/>
    </row>
    <row r="5237" spans="9:10">
      <c r="I5237" s="68"/>
      <c r="J5237" s="68"/>
    </row>
    <row r="5238" spans="9:10">
      <c r="I5238" s="68"/>
      <c r="J5238" s="68"/>
    </row>
    <row r="5239" spans="9:10">
      <c r="I5239" s="68"/>
      <c r="J5239" s="68"/>
    </row>
    <row r="5240" spans="9:10">
      <c r="I5240" s="68"/>
      <c r="J5240" s="68"/>
    </row>
    <row r="5241" spans="9:10">
      <c r="I5241" s="68"/>
      <c r="J5241" s="68"/>
    </row>
    <row r="5242" spans="9:10">
      <c r="I5242" s="68"/>
      <c r="J5242" s="68"/>
    </row>
    <row r="5243" spans="9:10">
      <c r="I5243" s="68"/>
      <c r="J5243" s="68"/>
    </row>
    <row r="5244" spans="9:10">
      <c r="I5244" s="68"/>
      <c r="J5244" s="68"/>
    </row>
    <row r="5245" spans="9:10">
      <c r="I5245" s="68"/>
      <c r="J5245" s="68"/>
    </row>
    <row r="5246" spans="9:10">
      <c r="I5246" s="68"/>
      <c r="J5246" s="68"/>
    </row>
    <row r="5247" spans="9:10">
      <c r="I5247" s="68"/>
      <c r="J5247" s="68"/>
    </row>
    <row r="5248" spans="9:10">
      <c r="I5248" s="68"/>
      <c r="J5248" s="68"/>
    </row>
    <row r="5249" spans="9:10">
      <c r="I5249" s="68"/>
      <c r="J5249" s="68"/>
    </row>
    <row r="5250" spans="9:10">
      <c r="I5250" s="68"/>
      <c r="J5250" s="68"/>
    </row>
    <row r="5251" spans="9:10">
      <c r="I5251" s="68"/>
      <c r="J5251" s="68"/>
    </row>
    <row r="5252" spans="9:10">
      <c r="I5252" s="68"/>
      <c r="J5252" s="68"/>
    </row>
    <row r="5253" spans="9:10">
      <c r="I5253" s="68"/>
      <c r="J5253" s="68"/>
    </row>
    <row r="5254" spans="9:10">
      <c r="I5254" s="68"/>
      <c r="J5254" s="68"/>
    </row>
    <row r="5255" spans="9:10">
      <c r="I5255" s="68"/>
      <c r="J5255" s="68"/>
    </row>
    <row r="5256" spans="9:10">
      <c r="I5256" s="68"/>
      <c r="J5256" s="68"/>
    </row>
    <row r="5257" spans="9:10">
      <c r="I5257" s="68"/>
      <c r="J5257" s="68"/>
    </row>
    <row r="5258" spans="9:10">
      <c r="I5258" s="68"/>
      <c r="J5258" s="68"/>
    </row>
    <row r="5259" spans="9:10">
      <c r="I5259" s="68"/>
      <c r="J5259" s="68"/>
    </row>
    <row r="5260" spans="9:10">
      <c r="I5260" s="68"/>
      <c r="J5260" s="68"/>
    </row>
    <row r="5261" spans="9:10">
      <c r="I5261" s="68"/>
      <c r="J5261" s="68"/>
    </row>
    <row r="5262" spans="9:10">
      <c r="I5262" s="68"/>
      <c r="J5262" s="68"/>
    </row>
    <row r="5263" spans="9:10">
      <c r="I5263" s="68"/>
      <c r="J5263" s="68"/>
    </row>
    <row r="5264" spans="9:10">
      <c r="I5264" s="68"/>
      <c r="J5264" s="68"/>
    </row>
    <row r="5265" spans="9:10">
      <c r="I5265" s="68"/>
      <c r="J5265" s="68"/>
    </row>
    <row r="5266" spans="9:10">
      <c r="I5266" s="68"/>
      <c r="J5266" s="68"/>
    </row>
    <row r="5267" spans="9:10">
      <c r="I5267" s="68"/>
      <c r="J5267" s="68"/>
    </row>
    <row r="5268" spans="9:10">
      <c r="I5268" s="68"/>
      <c r="J5268" s="68"/>
    </row>
    <row r="5269" spans="9:10">
      <c r="I5269" s="68"/>
      <c r="J5269" s="68"/>
    </row>
    <row r="5270" spans="9:10">
      <c r="I5270" s="68"/>
      <c r="J5270" s="68"/>
    </row>
    <row r="5271" spans="9:10">
      <c r="I5271" s="68"/>
      <c r="J5271" s="68"/>
    </row>
    <row r="5272" spans="9:10">
      <c r="I5272" s="68"/>
      <c r="J5272" s="68"/>
    </row>
    <row r="5273" spans="9:10">
      <c r="I5273" s="68"/>
      <c r="J5273" s="68"/>
    </row>
    <row r="5274" spans="9:10">
      <c r="I5274" s="68"/>
      <c r="J5274" s="68"/>
    </row>
    <row r="5275" spans="9:10">
      <c r="I5275" s="68"/>
      <c r="J5275" s="68"/>
    </row>
    <row r="5276" spans="9:10">
      <c r="I5276" s="68"/>
      <c r="J5276" s="68"/>
    </row>
    <row r="5277" spans="9:10">
      <c r="I5277" s="68"/>
      <c r="J5277" s="68"/>
    </row>
    <row r="5278" spans="9:10">
      <c r="I5278" s="68"/>
      <c r="J5278" s="68"/>
    </row>
    <row r="5279" spans="9:10">
      <c r="I5279" s="68"/>
      <c r="J5279" s="68"/>
    </row>
    <row r="5280" spans="9:10">
      <c r="I5280" s="68"/>
      <c r="J5280" s="68"/>
    </row>
    <row r="5281" spans="9:10">
      <c r="I5281" s="68"/>
      <c r="J5281" s="68"/>
    </row>
    <row r="5282" spans="9:10">
      <c r="I5282" s="68"/>
      <c r="J5282" s="68"/>
    </row>
    <row r="5283" spans="9:10">
      <c r="I5283" s="68"/>
      <c r="J5283" s="68"/>
    </row>
    <row r="5284" spans="9:10">
      <c r="I5284" s="68"/>
      <c r="J5284" s="68"/>
    </row>
    <row r="5285" spans="9:10">
      <c r="I5285" s="68"/>
      <c r="J5285" s="68"/>
    </row>
    <row r="5286" spans="9:10">
      <c r="I5286" s="68"/>
      <c r="J5286" s="68"/>
    </row>
    <row r="5287" spans="9:10">
      <c r="I5287" s="68"/>
      <c r="J5287" s="68"/>
    </row>
    <row r="5288" spans="9:10">
      <c r="I5288" s="68"/>
      <c r="J5288" s="68"/>
    </row>
    <row r="5289" spans="9:10">
      <c r="I5289" s="68"/>
      <c r="J5289" s="68"/>
    </row>
    <row r="5290" spans="9:10">
      <c r="I5290" s="68"/>
      <c r="J5290" s="68"/>
    </row>
    <row r="5291" spans="9:10">
      <c r="I5291" s="68"/>
      <c r="J5291" s="68"/>
    </row>
    <row r="5292" spans="9:10">
      <c r="I5292" s="68"/>
      <c r="J5292" s="68"/>
    </row>
    <row r="5293" spans="9:10">
      <c r="I5293" s="68"/>
      <c r="J5293" s="68"/>
    </row>
    <row r="5294" spans="9:10">
      <c r="I5294" s="68"/>
      <c r="J5294" s="68"/>
    </row>
    <row r="5295" spans="9:10">
      <c r="I5295" s="68"/>
      <c r="J5295" s="68"/>
    </row>
    <row r="5296" spans="9:10">
      <c r="I5296" s="68"/>
      <c r="J5296" s="68"/>
    </row>
    <row r="5297" spans="9:10">
      <c r="I5297" s="68"/>
      <c r="J5297" s="68"/>
    </row>
    <row r="5298" spans="9:10">
      <c r="I5298" s="68"/>
      <c r="J5298" s="68"/>
    </row>
    <row r="5299" spans="9:10">
      <c r="I5299" s="68"/>
      <c r="J5299" s="68"/>
    </row>
    <row r="5300" spans="9:10">
      <c r="I5300" s="68"/>
      <c r="J5300" s="68"/>
    </row>
    <row r="5301" spans="9:10">
      <c r="I5301" s="68"/>
      <c r="J5301" s="68"/>
    </row>
    <row r="5302" spans="9:10">
      <c r="I5302" s="68"/>
      <c r="J5302" s="68"/>
    </row>
    <row r="5303" spans="9:10">
      <c r="I5303" s="68"/>
      <c r="J5303" s="68"/>
    </row>
    <row r="5304" spans="9:10">
      <c r="I5304" s="68"/>
      <c r="J5304" s="68"/>
    </row>
    <row r="5305" spans="9:10">
      <c r="I5305" s="68"/>
      <c r="J5305" s="68"/>
    </row>
    <row r="5306" spans="9:10">
      <c r="I5306" s="68"/>
      <c r="J5306" s="68"/>
    </row>
    <row r="5307" spans="9:10">
      <c r="I5307" s="68"/>
      <c r="J5307" s="68"/>
    </row>
    <row r="5308" spans="9:10">
      <c r="I5308" s="68"/>
      <c r="J5308" s="68"/>
    </row>
    <row r="5309" spans="9:10">
      <c r="I5309" s="68"/>
      <c r="J5309" s="68"/>
    </row>
    <row r="5310" spans="9:10">
      <c r="I5310" s="68"/>
      <c r="J5310" s="68"/>
    </row>
    <row r="5311" spans="9:10">
      <c r="I5311" s="68"/>
      <c r="J5311" s="68"/>
    </row>
    <row r="5312" spans="9:10">
      <c r="I5312" s="68"/>
      <c r="J5312" s="68"/>
    </row>
    <row r="5313" spans="9:10">
      <c r="I5313" s="68"/>
      <c r="J5313" s="68"/>
    </row>
    <row r="5314" spans="9:10">
      <c r="I5314" s="68"/>
      <c r="J5314" s="68"/>
    </row>
    <row r="5315" spans="9:10">
      <c r="I5315" s="68"/>
      <c r="J5315" s="68"/>
    </row>
    <row r="5316" spans="9:10">
      <c r="I5316" s="68"/>
      <c r="J5316" s="68"/>
    </row>
    <row r="5317" spans="9:10">
      <c r="I5317" s="68"/>
      <c r="J5317" s="68"/>
    </row>
    <row r="5318" spans="9:10">
      <c r="I5318" s="68"/>
      <c r="J5318" s="68"/>
    </row>
    <row r="5319" spans="9:10">
      <c r="I5319" s="68"/>
      <c r="J5319" s="68"/>
    </row>
    <row r="5320" spans="9:10">
      <c r="I5320" s="68"/>
      <c r="J5320" s="68"/>
    </row>
    <row r="5321" spans="9:10">
      <c r="I5321" s="68"/>
      <c r="J5321" s="68"/>
    </row>
    <row r="5322" spans="9:10">
      <c r="I5322" s="68"/>
      <c r="J5322" s="68"/>
    </row>
    <row r="5323" spans="9:10">
      <c r="I5323" s="68"/>
      <c r="J5323" s="68"/>
    </row>
    <row r="5324" spans="9:10">
      <c r="I5324" s="68"/>
      <c r="J5324" s="68"/>
    </row>
    <row r="5325" spans="9:10">
      <c r="I5325" s="68"/>
      <c r="J5325" s="68"/>
    </row>
    <row r="5326" spans="9:10">
      <c r="I5326" s="68"/>
      <c r="J5326" s="68"/>
    </row>
    <row r="5327" spans="9:10">
      <c r="I5327" s="68"/>
      <c r="J5327" s="68"/>
    </row>
    <row r="5328" spans="9:10">
      <c r="I5328" s="68"/>
      <c r="J5328" s="68"/>
    </row>
    <row r="5329" spans="9:10">
      <c r="I5329" s="68"/>
      <c r="J5329" s="68"/>
    </row>
    <row r="5330" spans="9:10">
      <c r="I5330" s="68"/>
      <c r="J5330" s="68"/>
    </row>
    <row r="5331" spans="9:10">
      <c r="I5331" s="68"/>
      <c r="J5331" s="68"/>
    </row>
    <row r="5332" spans="9:10">
      <c r="I5332" s="68"/>
      <c r="J5332" s="68"/>
    </row>
    <row r="5333" spans="9:10">
      <c r="I5333" s="68"/>
      <c r="J5333" s="68"/>
    </row>
    <row r="5334" spans="9:10">
      <c r="I5334" s="68"/>
      <c r="J5334" s="68"/>
    </row>
    <row r="5335" spans="9:10">
      <c r="I5335" s="68"/>
      <c r="J5335" s="68"/>
    </row>
    <row r="5336" spans="9:10">
      <c r="I5336" s="68"/>
      <c r="J5336" s="68"/>
    </row>
    <row r="5337" spans="9:10">
      <c r="I5337" s="68"/>
      <c r="J5337" s="68"/>
    </row>
    <row r="5338" spans="9:10">
      <c r="I5338" s="68"/>
      <c r="J5338" s="68"/>
    </row>
    <row r="5339" spans="9:10">
      <c r="I5339" s="68"/>
      <c r="J5339" s="68"/>
    </row>
    <row r="5340" spans="9:10">
      <c r="I5340" s="68"/>
      <c r="J5340" s="68"/>
    </row>
    <row r="5341" spans="9:10">
      <c r="I5341" s="68"/>
      <c r="J5341" s="68"/>
    </row>
    <row r="5342" spans="9:10">
      <c r="I5342" s="68"/>
      <c r="J5342" s="68"/>
    </row>
    <row r="5343" spans="9:10">
      <c r="I5343" s="68"/>
      <c r="J5343" s="68"/>
    </row>
    <row r="5344" spans="9:10">
      <c r="I5344" s="68"/>
      <c r="J5344" s="68"/>
    </row>
    <row r="5345" spans="9:10">
      <c r="I5345" s="68"/>
      <c r="J5345" s="68"/>
    </row>
    <row r="5346" spans="9:10">
      <c r="I5346" s="68"/>
      <c r="J5346" s="68"/>
    </row>
    <row r="5347" spans="9:10">
      <c r="I5347" s="68"/>
      <c r="J5347" s="68"/>
    </row>
    <row r="5348" spans="9:10">
      <c r="I5348" s="68"/>
      <c r="J5348" s="68"/>
    </row>
    <row r="5349" spans="9:10">
      <c r="I5349" s="68"/>
      <c r="J5349" s="68"/>
    </row>
    <row r="5350" spans="9:10">
      <c r="I5350" s="68"/>
      <c r="J5350" s="68"/>
    </row>
    <row r="5351" spans="9:10">
      <c r="I5351" s="68"/>
      <c r="J5351" s="68"/>
    </row>
    <row r="5352" spans="9:10">
      <c r="I5352" s="68"/>
      <c r="J5352" s="68"/>
    </row>
    <row r="5353" spans="9:10">
      <c r="I5353" s="68"/>
      <c r="J5353" s="68"/>
    </row>
    <row r="5354" spans="9:10">
      <c r="I5354" s="68"/>
      <c r="J5354" s="68"/>
    </row>
    <row r="5355" spans="9:10">
      <c r="I5355" s="68"/>
      <c r="J5355" s="68"/>
    </row>
    <row r="5356" spans="9:10">
      <c r="I5356" s="68"/>
      <c r="J5356" s="68"/>
    </row>
    <row r="5357" spans="9:10">
      <c r="I5357" s="68"/>
      <c r="J5357" s="68"/>
    </row>
    <row r="5358" spans="9:10">
      <c r="I5358" s="68"/>
      <c r="J5358" s="68"/>
    </row>
    <row r="5359" spans="9:10">
      <c r="I5359" s="68"/>
      <c r="J5359" s="68"/>
    </row>
    <row r="5360" spans="9:10">
      <c r="I5360" s="68"/>
      <c r="J5360" s="68"/>
    </row>
    <row r="5361" spans="9:10">
      <c r="I5361" s="68"/>
      <c r="J5361" s="68"/>
    </row>
    <row r="5362" spans="9:10">
      <c r="I5362" s="68"/>
      <c r="J5362" s="68"/>
    </row>
    <row r="5363" spans="9:10">
      <c r="I5363" s="68"/>
      <c r="J5363" s="68"/>
    </row>
    <row r="5364" spans="9:10">
      <c r="I5364" s="68"/>
      <c r="J5364" s="68"/>
    </row>
    <row r="5365" spans="9:10">
      <c r="I5365" s="68"/>
      <c r="J5365" s="68"/>
    </row>
    <row r="5366" spans="9:10">
      <c r="I5366" s="68"/>
      <c r="J5366" s="68"/>
    </row>
    <row r="5367" spans="9:10">
      <c r="I5367" s="68"/>
      <c r="J5367" s="68"/>
    </row>
    <row r="5368" spans="9:10">
      <c r="I5368" s="68"/>
      <c r="J5368" s="68"/>
    </row>
    <row r="5369" spans="9:10">
      <c r="I5369" s="68"/>
      <c r="J5369" s="68"/>
    </row>
    <row r="5370" spans="9:10">
      <c r="I5370" s="68"/>
      <c r="J5370" s="68"/>
    </row>
    <row r="5371" spans="9:10">
      <c r="I5371" s="68"/>
      <c r="J5371" s="68"/>
    </row>
    <row r="5372" spans="9:10">
      <c r="I5372" s="68"/>
      <c r="J5372" s="68"/>
    </row>
    <row r="5373" spans="9:10">
      <c r="I5373" s="68"/>
      <c r="J5373" s="68"/>
    </row>
    <row r="5374" spans="9:10">
      <c r="I5374" s="68"/>
      <c r="J5374" s="68"/>
    </row>
    <row r="5375" spans="9:10">
      <c r="I5375" s="68"/>
      <c r="J5375" s="68"/>
    </row>
    <row r="5376" spans="9:10">
      <c r="I5376" s="68"/>
      <c r="J5376" s="68"/>
    </row>
    <row r="5377" spans="9:10">
      <c r="I5377" s="68"/>
      <c r="J5377" s="68"/>
    </row>
    <row r="5378" spans="9:10">
      <c r="I5378" s="68"/>
      <c r="J5378" s="68"/>
    </row>
    <row r="5379" spans="9:10">
      <c r="I5379" s="68"/>
      <c r="J5379" s="68"/>
    </row>
    <row r="5380" spans="9:10">
      <c r="I5380" s="68"/>
      <c r="J5380" s="68"/>
    </row>
    <row r="5381" spans="9:10">
      <c r="I5381" s="68"/>
      <c r="J5381" s="68"/>
    </row>
    <row r="5382" spans="9:10">
      <c r="I5382" s="68"/>
      <c r="J5382" s="68"/>
    </row>
    <row r="5383" spans="9:10">
      <c r="I5383" s="68"/>
      <c r="J5383" s="68"/>
    </row>
    <row r="5384" spans="9:10">
      <c r="I5384" s="68"/>
      <c r="J5384" s="68"/>
    </row>
    <row r="5385" spans="9:10">
      <c r="I5385" s="68"/>
      <c r="J5385" s="68"/>
    </row>
    <row r="5386" spans="9:10">
      <c r="I5386" s="68"/>
      <c r="J5386" s="68"/>
    </row>
    <row r="5387" spans="9:10">
      <c r="I5387" s="68"/>
      <c r="J5387" s="68"/>
    </row>
    <row r="5388" spans="9:10">
      <c r="I5388" s="68"/>
      <c r="J5388" s="68"/>
    </row>
    <row r="5389" spans="9:10">
      <c r="I5389" s="68"/>
      <c r="J5389" s="68"/>
    </row>
    <row r="5390" spans="9:10">
      <c r="I5390" s="68"/>
      <c r="J5390" s="68"/>
    </row>
    <row r="5391" spans="9:10">
      <c r="I5391" s="68"/>
      <c r="J5391" s="68"/>
    </row>
    <row r="5392" spans="9:10">
      <c r="I5392" s="68"/>
      <c r="J5392" s="68"/>
    </row>
    <row r="5393" spans="9:10">
      <c r="I5393" s="68"/>
      <c r="J5393" s="68"/>
    </row>
    <row r="5394" spans="9:10">
      <c r="I5394" s="68"/>
      <c r="J5394" s="68"/>
    </row>
    <row r="5395" spans="9:10">
      <c r="I5395" s="68"/>
      <c r="J5395" s="68"/>
    </row>
    <row r="5396" spans="9:10">
      <c r="I5396" s="68"/>
      <c r="J5396" s="68"/>
    </row>
    <row r="5397" spans="9:10">
      <c r="I5397" s="68"/>
      <c r="J5397" s="68"/>
    </row>
    <row r="5398" spans="9:10">
      <c r="I5398" s="68"/>
      <c r="J5398" s="68"/>
    </row>
    <row r="5399" spans="9:10">
      <c r="I5399" s="68"/>
      <c r="J5399" s="68"/>
    </row>
    <row r="5400" spans="9:10">
      <c r="I5400" s="68"/>
      <c r="J5400" s="68"/>
    </row>
    <row r="5401" spans="9:10">
      <c r="I5401" s="68"/>
      <c r="J5401" s="68"/>
    </row>
    <row r="5402" spans="9:10">
      <c r="I5402" s="68"/>
      <c r="J5402" s="68"/>
    </row>
    <row r="5403" spans="9:10">
      <c r="I5403" s="68"/>
      <c r="J5403" s="68"/>
    </row>
    <row r="5404" spans="9:10">
      <c r="I5404" s="68"/>
      <c r="J5404" s="68"/>
    </row>
    <row r="5405" spans="9:10">
      <c r="I5405" s="68"/>
      <c r="J5405" s="68"/>
    </row>
    <row r="5406" spans="9:10">
      <c r="I5406" s="68"/>
      <c r="J5406" s="68"/>
    </row>
    <row r="5407" spans="9:10">
      <c r="I5407" s="68"/>
      <c r="J5407" s="68"/>
    </row>
    <row r="5408" spans="9:10">
      <c r="I5408" s="68"/>
      <c r="J5408" s="68"/>
    </row>
    <row r="5409" spans="9:10">
      <c r="I5409" s="68"/>
      <c r="J5409" s="68"/>
    </row>
    <row r="5410" spans="9:10">
      <c r="I5410" s="68"/>
      <c r="J5410" s="68"/>
    </row>
    <row r="5411" spans="9:10">
      <c r="I5411" s="68"/>
      <c r="J5411" s="68"/>
    </row>
    <row r="5412" spans="9:10">
      <c r="I5412" s="68"/>
      <c r="J5412" s="68"/>
    </row>
    <row r="5413" spans="9:10">
      <c r="I5413" s="68"/>
      <c r="J5413" s="68"/>
    </row>
    <row r="5414" spans="9:10">
      <c r="I5414" s="68"/>
      <c r="J5414" s="68"/>
    </row>
    <row r="5415" spans="9:10">
      <c r="I5415" s="68"/>
      <c r="J5415" s="68"/>
    </row>
    <row r="5416" spans="9:10">
      <c r="I5416" s="68"/>
      <c r="J5416" s="68"/>
    </row>
    <row r="5417" spans="9:10">
      <c r="I5417" s="68"/>
      <c r="J5417" s="68"/>
    </row>
    <row r="5418" spans="9:10">
      <c r="I5418" s="68"/>
      <c r="J5418" s="68"/>
    </row>
    <row r="5419" spans="9:10">
      <c r="I5419" s="68"/>
      <c r="J5419" s="68"/>
    </row>
    <row r="5420" spans="9:10">
      <c r="I5420" s="68"/>
      <c r="J5420" s="68"/>
    </row>
    <row r="5421" spans="9:10">
      <c r="I5421" s="68"/>
      <c r="J5421" s="68"/>
    </row>
    <row r="5422" spans="9:10">
      <c r="I5422" s="68"/>
      <c r="J5422" s="68"/>
    </row>
    <row r="5423" spans="9:10">
      <c r="I5423" s="68"/>
      <c r="J5423" s="68"/>
    </row>
    <row r="5424" spans="9:10">
      <c r="I5424" s="68"/>
      <c r="J5424" s="68"/>
    </row>
    <row r="5425" spans="9:10">
      <c r="I5425" s="68"/>
      <c r="J5425" s="68"/>
    </row>
    <row r="5426" spans="9:10">
      <c r="I5426" s="68"/>
      <c r="J5426" s="68"/>
    </row>
    <row r="5427" spans="9:10">
      <c r="I5427" s="68"/>
      <c r="J5427" s="68"/>
    </row>
    <row r="5428" spans="9:10">
      <c r="I5428" s="68"/>
      <c r="J5428" s="68"/>
    </row>
    <row r="5429" spans="9:10">
      <c r="I5429" s="68"/>
      <c r="J5429" s="68"/>
    </row>
    <row r="5430" spans="9:10">
      <c r="I5430" s="68"/>
      <c r="J5430" s="68"/>
    </row>
    <row r="5431" spans="9:10">
      <c r="I5431" s="68"/>
      <c r="J5431" s="68"/>
    </row>
    <row r="5432" spans="9:10">
      <c r="I5432" s="68"/>
      <c r="J5432" s="68"/>
    </row>
    <row r="5433" spans="9:10">
      <c r="I5433" s="68"/>
      <c r="J5433" s="68"/>
    </row>
    <row r="5434" spans="9:10">
      <c r="I5434" s="68"/>
      <c r="J5434" s="68"/>
    </row>
    <row r="5435" spans="9:10">
      <c r="I5435" s="68"/>
      <c r="J5435" s="68"/>
    </row>
    <row r="5436" spans="9:10">
      <c r="I5436" s="68"/>
      <c r="J5436" s="68"/>
    </row>
    <row r="5437" spans="9:10">
      <c r="I5437" s="68"/>
      <c r="J5437" s="68"/>
    </row>
    <row r="5438" spans="9:10">
      <c r="I5438" s="68"/>
      <c r="J5438" s="68"/>
    </row>
    <row r="5439" spans="9:10">
      <c r="I5439" s="68"/>
      <c r="J5439" s="68"/>
    </row>
    <row r="5440" spans="9:10">
      <c r="I5440" s="68"/>
      <c r="J5440" s="68"/>
    </row>
    <row r="5441" spans="9:10">
      <c r="I5441" s="68"/>
      <c r="J5441" s="68"/>
    </row>
    <row r="5442" spans="9:10">
      <c r="I5442" s="68"/>
      <c r="J5442" s="68"/>
    </row>
    <row r="5443" spans="9:10">
      <c r="I5443" s="68"/>
      <c r="J5443" s="68"/>
    </row>
    <row r="5444" spans="9:10">
      <c r="I5444" s="68"/>
      <c r="J5444" s="68"/>
    </row>
    <row r="5445" spans="9:10">
      <c r="I5445" s="68"/>
      <c r="J5445" s="68"/>
    </row>
    <row r="5446" spans="9:10">
      <c r="I5446" s="68"/>
      <c r="J5446" s="68"/>
    </row>
    <row r="5447" spans="9:10">
      <c r="I5447" s="68"/>
      <c r="J5447" s="68"/>
    </row>
    <row r="5448" spans="9:10">
      <c r="I5448" s="68"/>
      <c r="J5448" s="68"/>
    </row>
    <row r="5449" spans="9:10">
      <c r="I5449" s="68"/>
      <c r="J5449" s="68"/>
    </row>
    <row r="5450" spans="9:10">
      <c r="I5450" s="68"/>
      <c r="J5450" s="68"/>
    </row>
    <row r="5451" spans="9:10">
      <c r="I5451" s="68"/>
      <c r="J5451" s="68"/>
    </row>
    <row r="5452" spans="9:10">
      <c r="I5452" s="68"/>
      <c r="J5452" s="68"/>
    </row>
    <row r="5453" spans="9:10">
      <c r="I5453" s="68"/>
      <c r="J5453" s="68"/>
    </row>
    <row r="5454" spans="9:10">
      <c r="I5454" s="68"/>
      <c r="J5454" s="68"/>
    </row>
    <row r="5455" spans="9:10">
      <c r="I5455" s="68"/>
      <c r="J5455" s="68"/>
    </row>
    <row r="5456" spans="9:10">
      <c r="I5456" s="68"/>
      <c r="J5456" s="68"/>
    </row>
    <row r="5457" spans="9:10">
      <c r="I5457" s="68"/>
      <c r="J5457" s="68"/>
    </row>
    <row r="5458" spans="9:10">
      <c r="I5458" s="68"/>
      <c r="J5458" s="68"/>
    </row>
    <row r="5459" spans="9:10">
      <c r="I5459" s="68"/>
      <c r="J5459" s="68"/>
    </row>
    <row r="5460" spans="9:10">
      <c r="I5460" s="68"/>
      <c r="J5460" s="68"/>
    </row>
    <row r="5461" spans="9:10">
      <c r="I5461" s="68"/>
      <c r="J5461" s="68"/>
    </row>
    <row r="5462" spans="9:10">
      <c r="I5462" s="68"/>
      <c r="J5462" s="68"/>
    </row>
    <row r="5463" spans="9:10">
      <c r="I5463" s="68"/>
      <c r="J5463" s="68"/>
    </row>
    <row r="5464" spans="9:10">
      <c r="I5464" s="68"/>
      <c r="J5464" s="68"/>
    </row>
    <row r="5465" spans="9:10">
      <c r="I5465" s="68"/>
      <c r="J5465" s="68"/>
    </row>
    <row r="5466" spans="9:10">
      <c r="I5466" s="68"/>
      <c r="J5466" s="68"/>
    </row>
    <row r="5467" spans="9:10">
      <c r="I5467" s="68"/>
      <c r="J5467" s="68"/>
    </row>
    <row r="5468" spans="9:10">
      <c r="I5468" s="68"/>
      <c r="J5468" s="68"/>
    </row>
    <row r="5469" spans="9:10">
      <c r="I5469" s="68"/>
      <c r="J5469" s="68"/>
    </row>
    <row r="5470" spans="9:10">
      <c r="I5470" s="68"/>
      <c r="J5470" s="68"/>
    </row>
    <row r="5471" spans="9:10">
      <c r="I5471" s="68"/>
      <c r="J5471" s="68"/>
    </row>
    <row r="5472" spans="9:10">
      <c r="I5472" s="68"/>
      <c r="J5472" s="68"/>
    </row>
    <row r="5473" spans="9:10">
      <c r="I5473" s="68"/>
      <c r="J5473" s="68"/>
    </row>
    <row r="5474" spans="9:10">
      <c r="I5474" s="68"/>
      <c r="J5474" s="68"/>
    </row>
    <row r="5475" spans="9:10">
      <c r="I5475" s="68"/>
      <c r="J5475" s="68"/>
    </row>
    <row r="5476" spans="9:10">
      <c r="I5476" s="68"/>
      <c r="J5476" s="68"/>
    </row>
    <row r="5477" spans="9:10">
      <c r="I5477" s="68"/>
      <c r="J5477" s="68"/>
    </row>
    <row r="5478" spans="9:10">
      <c r="I5478" s="68"/>
      <c r="J5478" s="68"/>
    </row>
    <row r="5479" spans="9:10">
      <c r="I5479" s="68"/>
      <c r="J5479" s="68"/>
    </row>
    <row r="5480" spans="9:10">
      <c r="I5480" s="68"/>
      <c r="J5480" s="68"/>
    </row>
    <row r="5481" spans="9:10">
      <c r="I5481" s="68"/>
      <c r="J5481" s="68"/>
    </row>
    <row r="5482" spans="9:10">
      <c r="I5482" s="68"/>
      <c r="J5482" s="68"/>
    </row>
    <row r="5483" spans="9:10">
      <c r="I5483" s="68"/>
      <c r="J5483" s="68"/>
    </row>
    <row r="5484" spans="9:10">
      <c r="I5484" s="68"/>
      <c r="J5484" s="68"/>
    </row>
    <row r="5485" spans="9:10">
      <c r="I5485" s="68"/>
      <c r="J5485" s="68"/>
    </row>
    <row r="5486" spans="9:10">
      <c r="I5486" s="68"/>
      <c r="J5486" s="68"/>
    </row>
    <row r="5487" spans="9:10">
      <c r="I5487" s="68"/>
      <c r="J5487" s="68"/>
    </row>
    <row r="5488" spans="9:10">
      <c r="I5488" s="68"/>
      <c r="J5488" s="68"/>
    </row>
    <row r="5489" spans="9:10">
      <c r="I5489" s="68"/>
      <c r="J5489" s="68"/>
    </row>
    <row r="5490" spans="9:10">
      <c r="I5490" s="68"/>
      <c r="J5490" s="68"/>
    </row>
    <row r="5491" spans="9:10">
      <c r="I5491" s="68"/>
      <c r="J5491" s="68"/>
    </row>
    <row r="5492" spans="9:10">
      <c r="I5492" s="68"/>
      <c r="J5492" s="68"/>
    </row>
    <row r="5493" spans="9:10">
      <c r="I5493" s="68"/>
      <c r="J5493" s="68"/>
    </row>
    <row r="5494" spans="9:10">
      <c r="I5494" s="68"/>
      <c r="J5494" s="68"/>
    </row>
    <row r="5495" spans="9:10">
      <c r="I5495" s="68"/>
      <c r="J5495" s="68"/>
    </row>
    <row r="5496" spans="9:10">
      <c r="I5496" s="68"/>
      <c r="J5496" s="68"/>
    </row>
    <row r="5497" spans="9:10">
      <c r="I5497" s="68"/>
      <c r="J5497" s="68"/>
    </row>
    <row r="5498" spans="9:10">
      <c r="I5498" s="68"/>
      <c r="J5498" s="68"/>
    </row>
    <row r="5499" spans="9:10">
      <c r="I5499" s="68"/>
      <c r="J5499" s="68"/>
    </row>
    <row r="5500" spans="9:10">
      <c r="I5500" s="68"/>
      <c r="J5500" s="68"/>
    </row>
    <row r="5501" spans="9:10">
      <c r="I5501" s="68"/>
      <c r="J5501" s="68"/>
    </row>
    <row r="5502" spans="9:10">
      <c r="I5502" s="68"/>
      <c r="J5502" s="68"/>
    </row>
    <row r="5503" spans="9:10">
      <c r="I5503" s="68"/>
      <c r="J5503" s="68"/>
    </row>
    <row r="5504" spans="9:10">
      <c r="I5504" s="68"/>
      <c r="J5504" s="68"/>
    </row>
    <row r="5505" spans="9:10">
      <c r="I5505" s="68"/>
      <c r="J5505" s="68"/>
    </row>
    <row r="5506" spans="9:10">
      <c r="I5506" s="68"/>
      <c r="J5506" s="68"/>
    </row>
    <row r="5507" spans="9:10">
      <c r="I5507" s="68"/>
      <c r="J5507" s="68"/>
    </row>
    <row r="5508" spans="9:10">
      <c r="I5508" s="68"/>
      <c r="J5508" s="68"/>
    </row>
    <row r="5509" spans="9:10">
      <c r="I5509" s="68"/>
      <c r="J5509" s="68"/>
    </row>
    <row r="5510" spans="9:10">
      <c r="I5510" s="68"/>
      <c r="J5510" s="68"/>
    </row>
    <row r="5511" spans="9:10">
      <c r="I5511" s="68"/>
      <c r="J5511" s="68"/>
    </row>
    <row r="5512" spans="9:10">
      <c r="I5512" s="68"/>
      <c r="J5512" s="68"/>
    </row>
    <row r="5513" spans="9:10">
      <c r="I5513" s="68"/>
      <c r="J5513" s="68"/>
    </row>
    <row r="5514" spans="9:10">
      <c r="I5514" s="68"/>
      <c r="J5514" s="68"/>
    </row>
    <row r="5515" spans="9:10">
      <c r="I5515" s="68"/>
      <c r="J5515" s="68"/>
    </row>
    <row r="5516" spans="9:10">
      <c r="I5516" s="68"/>
      <c r="J5516" s="68"/>
    </row>
    <row r="5517" spans="9:10">
      <c r="I5517" s="68"/>
      <c r="J5517" s="68"/>
    </row>
    <row r="5518" spans="9:10">
      <c r="I5518" s="68"/>
      <c r="J5518" s="68"/>
    </row>
    <row r="5519" spans="9:10">
      <c r="I5519" s="68"/>
      <c r="J5519" s="68"/>
    </row>
    <row r="5520" spans="9:10">
      <c r="I5520" s="68"/>
      <c r="J5520" s="68"/>
    </row>
    <row r="5521" spans="9:10">
      <c r="I5521" s="68"/>
      <c r="J5521" s="68"/>
    </row>
    <row r="5522" spans="9:10">
      <c r="I5522" s="68"/>
      <c r="J5522" s="68"/>
    </row>
    <row r="5523" spans="9:10">
      <c r="I5523" s="68"/>
      <c r="J5523" s="68"/>
    </row>
    <row r="5524" spans="9:10">
      <c r="I5524" s="68"/>
      <c r="J5524" s="68"/>
    </row>
    <row r="5525" spans="9:10">
      <c r="I5525" s="68"/>
      <c r="J5525" s="68"/>
    </row>
    <row r="5526" spans="9:10">
      <c r="I5526" s="68"/>
      <c r="J5526" s="68"/>
    </row>
    <row r="5527" spans="9:10">
      <c r="I5527" s="68"/>
      <c r="J5527" s="68"/>
    </row>
    <row r="5528" spans="9:10">
      <c r="I5528" s="68"/>
      <c r="J5528" s="68"/>
    </row>
    <row r="5529" spans="9:10">
      <c r="I5529" s="68"/>
      <c r="J5529" s="68"/>
    </row>
    <row r="5530" spans="9:10">
      <c r="I5530" s="68"/>
      <c r="J5530" s="68"/>
    </row>
    <row r="5531" spans="9:10">
      <c r="I5531" s="68"/>
      <c r="J5531" s="68"/>
    </row>
    <row r="5532" spans="9:10">
      <c r="I5532" s="68"/>
      <c r="J5532" s="68"/>
    </row>
    <row r="5533" spans="9:10">
      <c r="I5533" s="68"/>
      <c r="J5533" s="68"/>
    </row>
    <row r="5534" spans="9:10">
      <c r="I5534" s="68"/>
      <c r="J5534" s="68"/>
    </row>
    <row r="5535" spans="9:10">
      <c r="I5535" s="68"/>
      <c r="J5535" s="68"/>
    </row>
    <row r="5536" spans="9:10">
      <c r="I5536" s="68"/>
      <c r="J5536" s="68"/>
    </row>
    <row r="5537" spans="9:10">
      <c r="I5537" s="68"/>
      <c r="J5537" s="68"/>
    </row>
    <row r="5538" spans="9:10">
      <c r="I5538" s="68"/>
      <c r="J5538" s="68"/>
    </row>
    <row r="5539" spans="9:10">
      <c r="I5539" s="68"/>
      <c r="J5539" s="68"/>
    </row>
    <row r="5540" spans="9:10">
      <c r="I5540" s="68"/>
      <c r="J5540" s="68"/>
    </row>
    <row r="5541" spans="9:10">
      <c r="I5541" s="68"/>
      <c r="J5541" s="68"/>
    </row>
    <row r="5542" spans="9:10">
      <c r="I5542" s="68"/>
      <c r="J5542" s="68"/>
    </row>
    <row r="5543" spans="9:10">
      <c r="I5543" s="68"/>
      <c r="J5543" s="68"/>
    </row>
    <row r="5544" spans="9:10">
      <c r="I5544" s="68"/>
      <c r="J5544" s="68"/>
    </row>
    <row r="5545" spans="9:10">
      <c r="I5545" s="68"/>
      <c r="J5545" s="68"/>
    </row>
    <row r="5546" spans="9:10">
      <c r="I5546" s="68"/>
      <c r="J5546" s="68"/>
    </row>
    <row r="5547" spans="9:10">
      <c r="I5547" s="68"/>
      <c r="J5547" s="68"/>
    </row>
    <row r="5548" spans="9:10">
      <c r="I5548" s="68"/>
      <c r="J5548" s="68"/>
    </row>
    <row r="5549" spans="9:10">
      <c r="I5549" s="68"/>
      <c r="J5549" s="68"/>
    </row>
    <row r="5550" spans="9:10">
      <c r="I5550" s="68"/>
      <c r="J5550" s="68"/>
    </row>
    <row r="5551" spans="9:10">
      <c r="I5551" s="68"/>
      <c r="J5551" s="68"/>
    </row>
    <row r="5552" spans="9:10">
      <c r="I5552" s="68"/>
      <c r="J5552" s="68"/>
    </row>
    <row r="5553" spans="9:10">
      <c r="I5553" s="68"/>
      <c r="J5553" s="68"/>
    </row>
    <row r="5554" spans="9:10">
      <c r="I5554" s="68"/>
      <c r="J5554" s="68"/>
    </row>
    <row r="5555" spans="9:10">
      <c r="I5555" s="68"/>
      <c r="J5555" s="68"/>
    </row>
    <row r="5556" spans="9:10">
      <c r="I5556" s="68"/>
      <c r="J5556" s="68"/>
    </row>
    <row r="5557" spans="9:10">
      <c r="I5557" s="68"/>
      <c r="J5557" s="68"/>
    </row>
    <row r="5558" spans="9:10">
      <c r="I5558" s="68"/>
      <c r="J5558" s="68"/>
    </row>
    <row r="5559" spans="9:10">
      <c r="I5559" s="68"/>
      <c r="J5559" s="68"/>
    </row>
    <row r="5560" spans="9:10">
      <c r="I5560" s="68"/>
      <c r="J5560" s="68"/>
    </row>
    <row r="5561" spans="9:10">
      <c r="I5561" s="68"/>
      <c r="J5561" s="68"/>
    </row>
    <row r="5562" spans="9:10">
      <c r="I5562" s="68"/>
      <c r="J5562" s="68"/>
    </row>
    <row r="5563" spans="9:10">
      <c r="I5563" s="68"/>
      <c r="J5563" s="68"/>
    </row>
    <row r="5564" spans="9:10">
      <c r="I5564" s="68"/>
      <c r="J5564" s="68"/>
    </row>
    <row r="5565" spans="9:10">
      <c r="I5565" s="68"/>
      <c r="J5565" s="68"/>
    </row>
    <row r="5566" spans="9:10">
      <c r="I5566" s="68"/>
      <c r="J5566" s="68"/>
    </row>
    <row r="5567" spans="9:10">
      <c r="I5567" s="68"/>
      <c r="J5567" s="68"/>
    </row>
    <row r="5568" spans="9:10">
      <c r="I5568" s="68"/>
      <c r="J5568" s="68"/>
    </row>
    <row r="5569" spans="9:10">
      <c r="I5569" s="68"/>
      <c r="J5569" s="68"/>
    </row>
    <row r="5570" spans="9:10">
      <c r="I5570" s="68"/>
      <c r="J5570" s="68"/>
    </row>
    <row r="5571" spans="9:10">
      <c r="I5571" s="68"/>
      <c r="J5571" s="68"/>
    </row>
    <row r="5572" spans="9:10">
      <c r="I5572" s="68"/>
      <c r="J5572" s="68"/>
    </row>
    <row r="5573" spans="9:10">
      <c r="I5573" s="68"/>
      <c r="J5573" s="68"/>
    </row>
    <row r="5574" spans="9:10">
      <c r="I5574" s="68"/>
      <c r="J5574" s="68"/>
    </row>
    <row r="5575" spans="9:10">
      <c r="I5575" s="68"/>
      <c r="J5575" s="68"/>
    </row>
    <row r="5576" spans="9:10">
      <c r="I5576" s="68"/>
      <c r="J5576" s="68"/>
    </row>
    <row r="5577" spans="9:10">
      <c r="I5577" s="68"/>
      <c r="J5577" s="68"/>
    </row>
    <row r="5578" spans="9:10">
      <c r="I5578" s="68"/>
      <c r="J5578" s="68"/>
    </row>
    <row r="5579" spans="9:10">
      <c r="I5579" s="68"/>
      <c r="J5579" s="68"/>
    </row>
    <row r="5580" spans="9:10">
      <c r="I5580" s="68"/>
      <c r="J5580" s="68"/>
    </row>
    <row r="5581" spans="9:10">
      <c r="I5581" s="68"/>
      <c r="J5581" s="68"/>
    </row>
    <row r="5582" spans="9:10">
      <c r="I5582" s="68"/>
      <c r="J5582" s="68"/>
    </row>
    <row r="5583" spans="9:10">
      <c r="I5583" s="68"/>
      <c r="J5583" s="68"/>
    </row>
    <row r="5584" spans="9:10">
      <c r="I5584" s="68"/>
      <c r="J5584" s="68"/>
    </row>
    <row r="5585" spans="9:10">
      <c r="I5585" s="68"/>
      <c r="J5585" s="68"/>
    </row>
    <row r="5586" spans="9:10">
      <c r="I5586" s="68"/>
      <c r="J5586" s="68"/>
    </row>
    <row r="5587" spans="9:10">
      <c r="I5587" s="68"/>
      <c r="J5587" s="68"/>
    </row>
    <row r="5588" spans="9:10">
      <c r="I5588" s="68"/>
      <c r="J5588" s="68"/>
    </row>
    <row r="5589" spans="9:10">
      <c r="I5589" s="68"/>
      <c r="J5589" s="68"/>
    </row>
    <row r="5590" spans="9:10">
      <c r="I5590" s="68"/>
      <c r="J5590" s="68"/>
    </row>
    <row r="5591" spans="9:10">
      <c r="I5591" s="68"/>
      <c r="J5591" s="68"/>
    </row>
    <row r="5592" spans="9:10">
      <c r="I5592" s="68"/>
      <c r="J5592" s="68"/>
    </row>
    <row r="5593" spans="9:10">
      <c r="I5593" s="68"/>
      <c r="J5593" s="68"/>
    </row>
    <row r="5594" spans="9:10">
      <c r="I5594" s="68"/>
      <c r="J5594" s="68"/>
    </row>
    <row r="5595" spans="9:10">
      <c r="I5595" s="68"/>
      <c r="J5595" s="68"/>
    </row>
    <row r="5596" spans="9:10">
      <c r="I5596" s="68"/>
      <c r="J5596" s="68"/>
    </row>
    <row r="5597" spans="9:10">
      <c r="I5597" s="68"/>
      <c r="J5597" s="68"/>
    </row>
    <row r="5598" spans="9:10">
      <c r="I5598" s="68"/>
      <c r="J5598" s="68"/>
    </row>
    <row r="5599" spans="9:10">
      <c r="I5599" s="68"/>
      <c r="J5599" s="68"/>
    </row>
    <row r="5600" spans="9:10">
      <c r="I5600" s="68"/>
      <c r="J5600" s="68"/>
    </row>
    <row r="5601" spans="9:10">
      <c r="I5601" s="68"/>
      <c r="J5601" s="68"/>
    </row>
    <row r="5602" spans="9:10">
      <c r="I5602" s="68"/>
      <c r="J5602" s="68"/>
    </row>
    <row r="5603" spans="9:10">
      <c r="I5603" s="68"/>
      <c r="J5603" s="68"/>
    </row>
    <row r="5604" spans="9:10">
      <c r="I5604" s="68"/>
      <c r="J5604" s="68"/>
    </row>
    <row r="5605" spans="9:10">
      <c r="I5605" s="68"/>
      <c r="J5605" s="68"/>
    </row>
    <row r="5606" spans="9:10">
      <c r="I5606" s="68"/>
      <c r="J5606" s="68"/>
    </row>
    <row r="5607" spans="9:10">
      <c r="I5607" s="68"/>
      <c r="J5607" s="68"/>
    </row>
    <row r="5608" spans="9:10">
      <c r="I5608" s="68"/>
      <c r="J5608" s="68"/>
    </row>
    <row r="5609" spans="9:10">
      <c r="I5609" s="68"/>
      <c r="J5609" s="68"/>
    </row>
    <row r="5610" spans="9:10">
      <c r="I5610" s="68"/>
      <c r="J5610" s="68"/>
    </row>
    <row r="5611" spans="9:10">
      <c r="I5611" s="68"/>
      <c r="J5611" s="68"/>
    </row>
    <row r="5612" spans="9:10">
      <c r="I5612" s="68"/>
      <c r="J5612" s="68"/>
    </row>
    <row r="5613" spans="9:10">
      <c r="I5613" s="68"/>
      <c r="J5613" s="68"/>
    </row>
    <row r="5614" spans="9:10">
      <c r="I5614" s="68"/>
      <c r="J5614" s="68"/>
    </row>
    <row r="5615" spans="9:10">
      <c r="I5615" s="68"/>
      <c r="J5615" s="68"/>
    </row>
    <row r="5616" spans="9:10">
      <c r="I5616" s="68"/>
      <c r="J5616" s="68"/>
    </row>
    <row r="5617" spans="9:10">
      <c r="I5617" s="68"/>
      <c r="J5617" s="68"/>
    </row>
    <row r="5618" spans="9:10">
      <c r="I5618" s="68"/>
      <c r="J5618" s="68"/>
    </row>
    <row r="5619" spans="9:10">
      <c r="I5619" s="68"/>
      <c r="J5619" s="68"/>
    </row>
    <row r="5620" spans="9:10">
      <c r="I5620" s="68"/>
      <c r="J5620" s="68"/>
    </row>
    <row r="5621" spans="9:10">
      <c r="I5621" s="68"/>
      <c r="J5621" s="68"/>
    </row>
    <row r="5622" spans="9:10">
      <c r="I5622" s="68"/>
      <c r="J5622" s="68"/>
    </row>
    <row r="5623" spans="9:10">
      <c r="I5623" s="68"/>
      <c r="J5623" s="68"/>
    </row>
    <row r="5624" spans="9:10">
      <c r="I5624" s="68"/>
      <c r="J5624" s="68"/>
    </row>
    <row r="5625" spans="9:10">
      <c r="I5625" s="68"/>
      <c r="J5625" s="68"/>
    </row>
    <row r="5626" spans="9:10">
      <c r="I5626" s="68"/>
      <c r="J5626" s="68"/>
    </row>
    <row r="5627" spans="9:10">
      <c r="I5627" s="68"/>
      <c r="J5627" s="68"/>
    </row>
    <row r="5628" spans="9:10">
      <c r="I5628" s="68"/>
      <c r="J5628" s="68"/>
    </row>
    <row r="5629" spans="9:10">
      <c r="I5629" s="68"/>
      <c r="J5629" s="68"/>
    </row>
    <row r="5630" spans="9:10">
      <c r="I5630" s="68"/>
      <c r="J5630" s="68"/>
    </row>
    <row r="5631" spans="9:10">
      <c r="I5631" s="68"/>
      <c r="J5631" s="68"/>
    </row>
    <row r="5632" spans="9:10">
      <c r="I5632" s="68"/>
      <c r="J5632" s="68"/>
    </row>
    <row r="5633" spans="9:10">
      <c r="I5633" s="68"/>
      <c r="J5633" s="68"/>
    </row>
    <row r="5634" spans="9:10">
      <c r="I5634" s="68"/>
      <c r="J5634" s="68"/>
    </row>
    <row r="5635" spans="9:10">
      <c r="I5635" s="68"/>
      <c r="J5635" s="68"/>
    </row>
    <row r="5636" spans="9:10">
      <c r="I5636" s="68"/>
      <c r="J5636" s="68"/>
    </row>
    <row r="5637" spans="9:10">
      <c r="I5637" s="68"/>
      <c r="J5637" s="68"/>
    </row>
    <row r="5638" spans="9:10">
      <c r="I5638" s="68"/>
      <c r="J5638" s="68"/>
    </row>
    <row r="5639" spans="9:10">
      <c r="I5639" s="68"/>
      <c r="J5639" s="68"/>
    </row>
    <row r="5640" spans="9:10">
      <c r="I5640" s="68"/>
      <c r="J5640" s="68"/>
    </row>
    <row r="5641" spans="9:10">
      <c r="I5641" s="68"/>
      <c r="J5641" s="68"/>
    </row>
    <row r="5642" spans="9:10">
      <c r="I5642" s="68"/>
      <c r="J5642" s="68"/>
    </row>
    <row r="5643" spans="9:10">
      <c r="I5643" s="68"/>
      <c r="J5643" s="68"/>
    </row>
    <row r="5644" spans="9:10">
      <c r="I5644" s="68"/>
      <c r="J5644" s="68"/>
    </row>
    <row r="5645" spans="9:10">
      <c r="I5645" s="68"/>
      <c r="J5645" s="68"/>
    </row>
    <row r="5646" spans="9:10">
      <c r="I5646" s="68"/>
      <c r="J5646" s="68"/>
    </row>
    <row r="5647" spans="9:10">
      <c r="I5647" s="68"/>
      <c r="J5647" s="68"/>
    </row>
    <row r="5648" spans="9:10">
      <c r="I5648" s="68"/>
      <c r="J5648" s="68"/>
    </row>
    <row r="5649" spans="9:10">
      <c r="I5649" s="68"/>
      <c r="J5649" s="68"/>
    </row>
    <row r="5650" spans="9:10">
      <c r="I5650" s="68"/>
      <c r="J5650" s="68"/>
    </row>
    <row r="5651" spans="9:10">
      <c r="I5651" s="68"/>
      <c r="J5651" s="68"/>
    </row>
    <row r="5652" spans="9:10">
      <c r="I5652" s="68"/>
      <c r="J5652" s="68"/>
    </row>
    <row r="5653" spans="9:10">
      <c r="I5653" s="68"/>
      <c r="J5653" s="68"/>
    </row>
    <row r="5654" spans="9:10">
      <c r="I5654" s="68"/>
      <c r="J5654" s="68"/>
    </row>
    <row r="5655" spans="9:10">
      <c r="I5655" s="68"/>
      <c r="J5655" s="68"/>
    </row>
    <row r="5656" spans="9:10">
      <c r="I5656" s="68"/>
      <c r="J5656" s="68"/>
    </row>
    <row r="5657" spans="9:10">
      <c r="I5657" s="68"/>
      <c r="J5657" s="68"/>
    </row>
    <row r="5658" spans="9:10">
      <c r="I5658" s="68"/>
      <c r="J5658" s="68"/>
    </row>
    <row r="5659" spans="9:10">
      <c r="I5659" s="68"/>
      <c r="J5659" s="68"/>
    </row>
    <row r="5660" spans="9:10">
      <c r="I5660" s="68"/>
      <c r="J5660" s="68"/>
    </row>
    <row r="5661" spans="9:10">
      <c r="I5661" s="68"/>
      <c r="J5661" s="68"/>
    </row>
    <row r="5662" spans="9:10">
      <c r="I5662" s="68"/>
      <c r="J5662" s="68"/>
    </row>
    <row r="5663" spans="9:10">
      <c r="I5663" s="68"/>
      <c r="J5663" s="68"/>
    </row>
    <row r="5664" spans="9:10">
      <c r="I5664" s="68"/>
      <c r="J5664" s="68"/>
    </row>
    <row r="5665" spans="9:10">
      <c r="I5665" s="68"/>
      <c r="J5665" s="68"/>
    </row>
    <row r="5666" spans="9:10">
      <c r="I5666" s="68"/>
      <c r="J5666" s="68"/>
    </row>
    <row r="5667" spans="9:10">
      <c r="I5667" s="68"/>
      <c r="J5667" s="68"/>
    </row>
    <row r="5668" spans="9:10">
      <c r="I5668" s="68"/>
      <c r="J5668" s="68"/>
    </row>
    <row r="5669" spans="9:10">
      <c r="I5669" s="68"/>
      <c r="J5669" s="68"/>
    </row>
    <row r="5670" spans="9:10">
      <c r="I5670" s="68"/>
      <c r="J5670" s="68"/>
    </row>
    <row r="5671" spans="9:10">
      <c r="I5671" s="68"/>
      <c r="J5671" s="68"/>
    </row>
    <row r="5672" spans="9:10">
      <c r="I5672" s="68"/>
      <c r="J5672" s="68"/>
    </row>
    <row r="5673" spans="9:10">
      <c r="I5673" s="68"/>
      <c r="J5673" s="68"/>
    </row>
    <row r="5674" spans="9:10">
      <c r="I5674" s="68"/>
      <c r="J5674" s="68"/>
    </row>
    <row r="5675" spans="9:10">
      <c r="I5675" s="68"/>
      <c r="J5675" s="68"/>
    </row>
    <row r="5676" spans="9:10">
      <c r="I5676" s="68"/>
      <c r="J5676" s="68"/>
    </row>
    <row r="5677" spans="9:10">
      <c r="I5677" s="68"/>
      <c r="J5677" s="68"/>
    </row>
    <row r="5678" spans="9:10">
      <c r="I5678" s="68"/>
      <c r="J5678" s="68"/>
    </row>
    <row r="5679" spans="9:10">
      <c r="I5679" s="68"/>
      <c r="J5679" s="68"/>
    </row>
    <row r="5680" spans="9:10">
      <c r="I5680" s="68"/>
      <c r="J5680" s="68"/>
    </row>
    <row r="5681" spans="9:10">
      <c r="I5681" s="68"/>
      <c r="J5681" s="68"/>
    </row>
    <row r="5682" spans="9:10">
      <c r="I5682" s="68"/>
      <c r="J5682" s="68"/>
    </row>
    <row r="5683" spans="9:10">
      <c r="I5683" s="68"/>
      <c r="J5683" s="68"/>
    </row>
    <row r="5684" spans="9:10">
      <c r="I5684" s="68"/>
      <c r="J5684" s="68"/>
    </row>
    <row r="5685" spans="9:10">
      <c r="I5685" s="68"/>
      <c r="J5685" s="68"/>
    </row>
    <row r="5686" spans="9:10">
      <c r="I5686" s="68"/>
      <c r="J5686" s="68"/>
    </row>
    <row r="5687" spans="9:10">
      <c r="I5687" s="68"/>
      <c r="J5687" s="68"/>
    </row>
    <row r="5688" spans="9:10">
      <c r="I5688" s="68"/>
      <c r="J5688" s="68"/>
    </row>
    <row r="5689" spans="9:10">
      <c r="I5689" s="68"/>
      <c r="J5689" s="68"/>
    </row>
    <row r="5690" spans="9:10">
      <c r="I5690" s="68"/>
      <c r="J5690" s="68"/>
    </row>
    <row r="5691" spans="9:10">
      <c r="I5691" s="68"/>
      <c r="J5691" s="68"/>
    </row>
    <row r="5692" spans="9:10">
      <c r="I5692" s="68"/>
      <c r="J5692" s="68"/>
    </row>
    <row r="5693" spans="9:10">
      <c r="I5693" s="68"/>
      <c r="J5693" s="68"/>
    </row>
    <row r="5694" spans="9:10">
      <c r="I5694" s="68"/>
      <c r="J5694" s="68"/>
    </row>
    <row r="5695" spans="9:10">
      <c r="I5695" s="68"/>
      <c r="J5695" s="68"/>
    </row>
    <row r="5696" spans="9:10">
      <c r="I5696" s="68"/>
      <c r="J5696" s="68"/>
    </row>
    <row r="5697" spans="9:10">
      <c r="I5697" s="68"/>
      <c r="J5697" s="68"/>
    </row>
    <row r="5698" spans="9:10">
      <c r="I5698" s="68"/>
      <c r="J5698" s="68"/>
    </row>
    <row r="5699" spans="9:10">
      <c r="I5699" s="68"/>
      <c r="J5699" s="68"/>
    </row>
    <row r="5700" spans="9:10">
      <c r="I5700" s="68"/>
      <c r="J5700" s="68"/>
    </row>
    <row r="5701" spans="9:10">
      <c r="I5701" s="68"/>
      <c r="J5701" s="68"/>
    </row>
    <row r="5702" spans="9:10">
      <c r="I5702" s="68"/>
      <c r="J5702" s="68"/>
    </row>
    <row r="5703" spans="9:10">
      <c r="I5703" s="68"/>
      <c r="J5703" s="68"/>
    </row>
    <row r="5704" spans="9:10">
      <c r="I5704" s="68"/>
      <c r="J5704" s="68"/>
    </row>
    <row r="5705" spans="9:10">
      <c r="I5705" s="68"/>
      <c r="J5705" s="68"/>
    </row>
    <row r="5706" spans="9:10">
      <c r="I5706" s="68"/>
      <c r="J5706" s="68"/>
    </row>
    <row r="5707" spans="9:10">
      <c r="I5707" s="68"/>
      <c r="J5707" s="68"/>
    </row>
    <row r="5708" spans="9:10">
      <c r="I5708" s="68"/>
      <c r="J5708" s="68"/>
    </row>
    <row r="5709" spans="9:10">
      <c r="I5709" s="68"/>
      <c r="J5709" s="68"/>
    </row>
    <row r="5710" spans="9:10">
      <c r="I5710" s="68"/>
      <c r="J5710" s="68"/>
    </row>
    <row r="5711" spans="9:10">
      <c r="I5711" s="68"/>
      <c r="J5711" s="68"/>
    </row>
    <row r="5712" spans="9:10">
      <c r="I5712" s="68"/>
      <c r="J5712" s="68"/>
    </row>
    <row r="5713" spans="9:10">
      <c r="I5713" s="68"/>
      <c r="J5713" s="68"/>
    </row>
    <row r="5714" spans="9:10">
      <c r="I5714" s="68"/>
      <c r="J5714" s="68"/>
    </row>
    <row r="5715" spans="9:10">
      <c r="I5715" s="68"/>
      <c r="J5715" s="68"/>
    </row>
    <row r="5716" spans="9:10">
      <c r="I5716" s="68"/>
      <c r="J5716" s="68"/>
    </row>
    <row r="5717" spans="9:10">
      <c r="I5717" s="68"/>
      <c r="J5717" s="68"/>
    </row>
    <row r="5718" spans="9:10">
      <c r="I5718" s="68"/>
      <c r="J5718" s="68"/>
    </row>
    <row r="5719" spans="9:10">
      <c r="I5719" s="68"/>
      <c r="J5719" s="68"/>
    </row>
    <row r="5720" spans="9:10">
      <c r="I5720" s="68"/>
      <c r="J5720" s="68"/>
    </row>
    <row r="5721" spans="9:10">
      <c r="I5721" s="68"/>
      <c r="J5721" s="68"/>
    </row>
    <row r="5722" spans="9:10">
      <c r="I5722" s="68"/>
      <c r="J5722" s="68"/>
    </row>
    <row r="5723" spans="9:10">
      <c r="I5723" s="68"/>
      <c r="J5723" s="68"/>
    </row>
    <row r="5724" spans="9:10">
      <c r="I5724" s="68"/>
      <c r="J5724" s="68"/>
    </row>
    <row r="5725" spans="9:10">
      <c r="I5725" s="68"/>
      <c r="J5725" s="68"/>
    </row>
    <row r="5726" spans="9:10">
      <c r="I5726" s="68"/>
      <c r="J5726" s="68"/>
    </row>
    <row r="5727" spans="9:10">
      <c r="I5727" s="68"/>
      <c r="J5727" s="68"/>
    </row>
    <row r="5728" spans="9:10">
      <c r="I5728" s="68"/>
      <c r="J5728" s="68"/>
    </row>
    <row r="5729" spans="9:10">
      <c r="I5729" s="68"/>
      <c r="J5729" s="68"/>
    </row>
    <row r="5730" spans="9:10">
      <c r="I5730" s="68"/>
      <c r="J5730" s="68"/>
    </row>
    <row r="5731" spans="9:10">
      <c r="I5731" s="68"/>
      <c r="J5731" s="68"/>
    </row>
    <row r="5732" spans="9:10">
      <c r="I5732" s="68"/>
      <c r="J5732" s="68"/>
    </row>
    <row r="5733" spans="9:10">
      <c r="I5733" s="68"/>
      <c r="J5733" s="68"/>
    </row>
    <row r="5734" spans="9:10">
      <c r="I5734" s="68"/>
      <c r="J5734" s="68"/>
    </row>
    <row r="5735" spans="9:10">
      <c r="I5735" s="68"/>
      <c r="J5735" s="68"/>
    </row>
    <row r="5736" spans="9:10">
      <c r="I5736" s="68"/>
      <c r="J5736" s="68"/>
    </row>
    <row r="5737" spans="9:10">
      <c r="I5737" s="68"/>
      <c r="J5737" s="68"/>
    </row>
    <row r="5738" spans="9:10">
      <c r="I5738" s="68"/>
      <c r="J5738" s="68"/>
    </row>
    <row r="5739" spans="9:10">
      <c r="I5739" s="68"/>
      <c r="J5739" s="68"/>
    </row>
    <row r="5740" spans="9:10">
      <c r="I5740" s="68"/>
      <c r="J5740" s="68"/>
    </row>
    <row r="5741" spans="9:10">
      <c r="I5741" s="68"/>
      <c r="J5741" s="68"/>
    </row>
    <row r="5742" spans="9:10">
      <c r="I5742" s="68"/>
      <c r="J5742" s="68"/>
    </row>
    <row r="5743" spans="9:10">
      <c r="I5743" s="68"/>
      <c r="J5743" s="68"/>
    </row>
    <row r="5744" spans="9:10">
      <c r="I5744" s="68"/>
      <c r="J5744" s="68"/>
    </row>
    <row r="5745" spans="9:10">
      <c r="I5745" s="68"/>
      <c r="J5745" s="68"/>
    </row>
    <row r="5746" spans="9:10">
      <c r="I5746" s="68"/>
      <c r="J5746" s="68"/>
    </row>
    <row r="5747" spans="9:10">
      <c r="I5747" s="68"/>
      <c r="J5747" s="68"/>
    </row>
    <row r="5748" spans="9:10">
      <c r="I5748" s="68"/>
      <c r="J5748" s="68"/>
    </row>
    <row r="5749" spans="9:10">
      <c r="I5749" s="68"/>
      <c r="J5749" s="68"/>
    </row>
    <row r="5750" spans="9:10">
      <c r="I5750" s="68"/>
      <c r="J5750" s="68"/>
    </row>
    <row r="5751" spans="9:10">
      <c r="I5751" s="68"/>
      <c r="J5751" s="68"/>
    </row>
    <row r="5752" spans="9:10">
      <c r="I5752" s="68"/>
      <c r="J5752" s="68"/>
    </row>
    <row r="5753" spans="9:10">
      <c r="I5753" s="68"/>
      <c r="J5753" s="68"/>
    </row>
    <row r="5754" spans="9:10">
      <c r="I5754" s="68"/>
      <c r="J5754" s="68"/>
    </row>
    <row r="5755" spans="9:10">
      <c r="I5755" s="68"/>
      <c r="J5755" s="68"/>
    </row>
    <row r="5756" spans="9:10">
      <c r="I5756" s="68"/>
      <c r="J5756" s="68"/>
    </row>
    <row r="5757" spans="9:10">
      <c r="I5757" s="68"/>
      <c r="J5757" s="68"/>
    </row>
    <row r="5758" spans="9:10">
      <c r="I5758" s="68"/>
      <c r="J5758" s="68"/>
    </row>
    <row r="5759" spans="9:10">
      <c r="I5759" s="68"/>
      <c r="J5759" s="68"/>
    </row>
    <row r="5760" spans="9:10">
      <c r="I5760" s="68"/>
      <c r="J5760" s="68"/>
    </row>
    <row r="5761" spans="9:10">
      <c r="I5761" s="68"/>
      <c r="J5761" s="68"/>
    </row>
    <row r="5762" spans="9:10">
      <c r="I5762" s="68"/>
      <c r="J5762" s="68"/>
    </row>
    <row r="5763" spans="9:10">
      <c r="I5763" s="68"/>
      <c r="J5763" s="68"/>
    </row>
    <row r="5764" spans="9:10">
      <c r="I5764" s="68"/>
      <c r="J5764" s="68"/>
    </row>
    <row r="5765" spans="9:10">
      <c r="I5765" s="68"/>
      <c r="J5765" s="68"/>
    </row>
    <row r="5766" spans="9:10">
      <c r="I5766" s="68"/>
      <c r="J5766" s="68"/>
    </row>
    <row r="5767" spans="9:10">
      <c r="I5767" s="68"/>
      <c r="J5767" s="68"/>
    </row>
    <row r="5768" spans="9:10">
      <c r="I5768" s="68"/>
      <c r="J5768" s="68"/>
    </row>
    <row r="5769" spans="9:10">
      <c r="I5769" s="68"/>
      <c r="J5769" s="68"/>
    </row>
    <row r="5770" spans="9:10">
      <c r="I5770" s="68"/>
      <c r="J5770" s="68"/>
    </row>
    <row r="5771" spans="9:10">
      <c r="I5771" s="68"/>
      <c r="J5771" s="68"/>
    </row>
    <row r="5772" spans="9:10">
      <c r="I5772" s="68"/>
      <c r="J5772" s="68"/>
    </row>
    <row r="5773" spans="9:10">
      <c r="I5773" s="68"/>
      <c r="J5773" s="68"/>
    </row>
    <row r="5774" spans="9:10">
      <c r="I5774" s="68"/>
      <c r="J5774" s="68"/>
    </row>
    <row r="5775" spans="9:10">
      <c r="I5775" s="68"/>
      <c r="J5775" s="68"/>
    </row>
    <row r="5776" spans="9:10">
      <c r="I5776" s="68"/>
      <c r="J5776" s="68"/>
    </row>
    <row r="5777" spans="9:10">
      <c r="I5777" s="68"/>
      <c r="J5777" s="68"/>
    </row>
    <row r="5778" spans="9:10">
      <c r="I5778" s="68"/>
      <c r="J5778" s="68"/>
    </row>
    <row r="5779" spans="9:10">
      <c r="I5779" s="68"/>
      <c r="J5779" s="68"/>
    </row>
    <row r="5780" spans="9:10">
      <c r="I5780" s="68"/>
      <c r="J5780" s="68"/>
    </row>
    <row r="5781" spans="9:10">
      <c r="I5781" s="68"/>
      <c r="J5781" s="68"/>
    </row>
    <row r="5782" spans="9:10">
      <c r="I5782" s="68"/>
      <c r="J5782" s="68"/>
    </row>
    <row r="5783" spans="9:10">
      <c r="I5783" s="68"/>
      <c r="J5783" s="68"/>
    </row>
    <row r="5784" spans="9:10">
      <c r="I5784" s="68"/>
      <c r="J5784" s="68"/>
    </row>
    <row r="5785" spans="9:10">
      <c r="I5785" s="68"/>
      <c r="J5785" s="68"/>
    </row>
    <row r="5786" spans="9:10">
      <c r="I5786" s="68"/>
      <c r="J5786" s="68"/>
    </row>
    <row r="5787" spans="9:10">
      <c r="I5787" s="68"/>
      <c r="J5787" s="68"/>
    </row>
    <row r="5788" spans="9:10">
      <c r="I5788" s="68"/>
      <c r="J5788" s="68"/>
    </row>
    <row r="5789" spans="9:10">
      <c r="I5789" s="68"/>
      <c r="J5789" s="68"/>
    </row>
    <row r="5790" spans="9:10">
      <c r="I5790" s="68"/>
      <c r="J5790" s="68"/>
    </row>
    <row r="5791" spans="9:10">
      <c r="I5791" s="68"/>
      <c r="J5791" s="68"/>
    </row>
    <row r="5792" spans="9:10">
      <c r="I5792" s="68"/>
      <c r="J5792" s="68"/>
    </row>
    <row r="5793" spans="9:10">
      <c r="I5793" s="68"/>
      <c r="J5793" s="68"/>
    </row>
    <row r="5794" spans="9:10">
      <c r="I5794" s="68"/>
      <c r="J5794" s="68"/>
    </row>
    <row r="5795" spans="9:10">
      <c r="I5795" s="68"/>
      <c r="J5795" s="68"/>
    </row>
    <row r="5796" spans="9:10">
      <c r="I5796" s="68"/>
      <c r="J5796" s="68"/>
    </row>
    <row r="5797" spans="9:10">
      <c r="I5797" s="68"/>
      <c r="J5797" s="68"/>
    </row>
    <row r="5798" spans="9:10">
      <c r="I5798" s="68"/>
      <c r="J5798" s="68"/>
    </row>
    <row r="5799" spans="9:10">
      <c r="I5799" s="68"/>
      <c r="J5799" s="68"/>
    </row>
    <row r="5800" spans="9:10">
      <c r="I5800" s="68"/>
      <c r="J5800" s="68"/>
    </row>
    <row r="5801" spans="9:10">
      <c r="I5801" s="68"/>
      <c r="J5801" s="68"/>
    </row>
    <row r="5802" spans="9:10">
      <c r="I5802" s="68"/>
      <c r="J5802" s="68"/>
    </row>
    <row r="5803" spans="9:10">
      <c r="I5803" s="68"/>
      <c r="J5803" s="68"/>
    </row>
    <row r="5804" spans="9:10">
      <c r="I5804" s="68"/>
      <c r="J5804" s="68"/>
    </row>
    <row r="5805" spans="9:10">
      <c r="I5805" s="68"/>
      <c r="J5805" s="68"/>
    </row>
    <row r="5806" spans="9:10">
      <c r="I5806" s="68"/>
      <c r="J5806" s="68"/>
    </row>
    <row r="5807" spans="9:10">
      <c r="I5807" s="68"/>
      <c r="J5807" s="68"/>
    </row>
    <row r="5808" spans="9:10">
      <c r="I5808" s="68"/>
      <c r="J5808" s="68"/>
    </row>
    <row r="5809" spans="9:10">
      <c r="I5809" s="68"/>
      <c r="J5809" s="68"/>
    </row>
    <row r="5810" spans="9:10">
      <c r="I5810" s="68"/>
      <c r="J5810" s="68"/>
    </row>
    <row r="5811" spans="9:10">
      <c r="I5811" s="68"/>
      <c r="J5811" s="68"/>
    </row>
    <row r="5812" spans="9:10">
      <c r="I5812" s="68"/>
      <c r="J5812" s="68"/>
    </row>
    <row r="5813" spans="9:10">
      <c r="I5813" s="68"/>
      <c r="J5813" s="68"/>
    </row>
    <row r="5814" spans="9:10">
      <c r="I5814" s="68"/>
      <c r="J5814" s="68"/>
    </row>
    <row r="5815" spans="9:10">
      <c r="I5815" s="68"/>
      <c r="J5815" s="68"/>
    </row>
    <row r="5816" spans="9:10">
      <c r="I5816" s="68"/>
      <c r="J5816" s="68"/>
    </row>
    <row r="5817" spans="9:10">
      <c r="I5817" s="68"/>
      <c r="J5817" s="68"/>
    </row>
    <row r="5818" spans="9:10">
      <c r="I5818" s="68"/>
      <c r="J5818" s="68"/>
    </row>
    <row r="5819" spans="9:10">
      <c r="I5819" s="68"/>
      <c r="J5819" s="68"/>
    </row>
    <row r="5820" spans="9:10">
      <c r="I5820" s="68"/>
      <c r="J5820" s="68"/>
    </row>
    <row r="5821" spans="9:10">
      <c r="I5821" s="68"/>
      <c r="J5821" s="68"/>
    </row>
    <row r="5822" spans="9:10">
      <c r="I5822" s="68"/>
      <c r="J5822" s="68"/>
    </row>
    <row r="5823" spans="9:10">
      <c r="I5823" s="68"/>
      <c r="J5823" s="68"/>
    </row>
    <row r="5824" spans="9:10">
      <c r="I5824" s="68"/>
      <c r="J5824" s="68"/>
    </row>
    <row r="5825" spans="9:10">
      <c r="I5825" s="68"/>
      <c r="J5825" s="68"/>
    </row>
    <row r="5826" spans="9:10">
      <c r="I5826" s="68"/>
      <c r="J5826" s="68"/>
    </row>
    <row r="5827" spans="9:10">
      <c r="I5827" s="68"/>
      <c r="J5827" s="68"/>
    </row>
    <row r="5828" spans="9:10">
      <c r="I5828" s="68"/>
      <c r="J5828" s="68"/>
    </row>
    <row r="5829" spans="9:10">
      <c r="I5829" s="68"/>
      <c r="J5829" s="68"/>
    </row>
    <row r="5830" spans="9:10">
      <c r="I5830" s="68"/>
      <c r="J5830" s="68"/>
    </row>
    <row r="5831" spans="9:10">
      <c r="I5831" s="68"/>
      <c r="J5831" s="68"/>
    </row>
    <row r="5832" spans="9:10">
      <c r="I5832" s="68"/>
      <c r="J5832" s="68"/>
    </row>
    <row r="5833" spans="9:10">
      <c r="I5833" s="68"/>
      <c r="J5833" s="68"/>
    </row>
    <row r="5834" spans="9:10">
      <c r="I5834" s="68"/>
      <c r="J5834" s="68"/>
    </row>
    <row r="5835" spans="9:10">
      <c r="I5835" s="68"/>
      <c r="J5835" s="68"/>
    </row>
    <row r="5836" spans="9:10">
      <c r="I5836" s="68"/>
      <c r="J5836" s="68"/>
    </row>
    <row r="5837" spans="9:10">
      <c r="I5837" s="68"/>
      <c r="J5837" s="68"/>
    </row>
    <row r="5838" spans="9:10">
      <c r="I5838" s="68"/>
      <c r="J5838" s="68"/>
    </row>
    <row r="5839" spans="9:10">
      <c r="I5839" s="68"/>
      <c r="J5839" s="68"/>
    </row>
    <row r="5840" spans="9:10">
      <c r="I5840" s="68"/>
      <c r="J5840" s="68"/>
    </row>
    <row r="5841" spans="9:10">
      <c r="I5841" s="68"/>
      <c r="J5841" s="68"/>
    </row>
    <row r="5842" spans="9:10">
      <c r="I5842" s="68"/>
      <c r="J5842" s="68"/>
    </row>
    <row r="5843" spans="9:10">
      <c r="I5843" s="68"/>
      <c r="J5843" s="68"/>
    </row>
    <row r="5844" spans="9:10">
      <c r="I5844" s="68"/>
      <c r="J5844" s="68"/>
    </row>
    <row r="5845" spans="9:10">
      <c r="I5845" s="68"/>
      <c r="J5845" s="68"/>
    </row>
    <row r="5846" spans="9:10">
      <c r="I5846" s="68"/>
      <c r="J5846" s="68"/>
    </row>
    <row r="5847" spans="9:10">
      <c r="I5847" s="68"/>
      <c r="J5847" s="68"/>
    </row>
    <row r="5848" spans="9:10">
      <c r="I5848" s="68"/>
      <c r="J5848" s="68"/>
    </row>
    <row r="5849" spans="9:10">
      <c r="I5849" s="68"/>
      <c r="J5849" s="68"/>
    </row>
    <row r="5850" spans="9:10">
      <c r="I5850" s="68"/>
      <c r="J5850" s="68"/>
    </row>
    <row r="5851" spans="9:10">
      <c r="I5851" s="68"/>
      <c r="J5851" s="68"/>
    </row>
    <row r="5852" spans="9:10">
      <c r="I5852" s="68"/>
      <c r="J5852" s="68"/>
    </row>
    <row r="5853" spans="9:10">
      <c r="I5853" s="68"/>
      <c r="J5853" s="68"/>
    </row>
    <row r="5854" spans="9:10">
      <c r="I5854" s="68"/>
      <c r="J5854" s="68"/>
    </row>
    <row r="5855" spans="9:10">
      <c r="I5855" s="68"/>
      <c r="J5855" s="68"/>
    </row>
    <row r="5856" spans="9:10">
      <c r="I5856" s="68"/>
      <c r="J5856" s="68"/>
    </row>
    <row r="5857" spans="9:10">
      <c r="I5857" s="68"/>
      <c r="J5857" s="68"/>
    </row>
    <row r="5858" spans="9:10">
      <c r="I5858" s="68"/>
      <c r="J5858" s="68"/>
    </row>
    <row r="5859" spans="9:10">
      <c r="I5859" s="68"/>
      <c r="J5859" s="68"/>
    </row>
    <row r="5860" spans="9:10">
      <c r="I5860" s="68"/>
      <c r="J5860" s="68"/>
    </row>
    <row r="5861" spans="9:10">
      <c r="I5861" s="68"/>
      <c r="J5861" s="68"/>
    </row>
    <row r="5862" spans="9:10">
      <c r="I5862" s="68"/>
      <c r="J5862" s="68"/>
    </row>
    <row r="5863" spans="9:10">
      <c r="I5863" s="68"/>
      <c r="J5863" s="68"/>
    </row>
    <row r="5864" spans="9:10">
      <c r="I5864" s="68"/>
      <c r="J5864" s="68"/>
    </row>
    <row r="5865" spans="9:10">
      <c r="I5865" s="68"/>
      <c r="J5865" s="68"/>
    </row>
    <row r="5866" spans="9:10">
      <c r="I5866" s="68"/>
      <c r="J5866" s="68"/>
    </row>
    <row r="5867" spans="9:10">
      <c r="I5867" s="68"/>
      <c r="J5867" s="68"/>
    </row>
    <row r="5868" spans="9:10">
      <c r="I5868" s="68"/>
      <c r="J5868" s="68"/>
    </row>
    <row r="5869" spans="9:10">
      <c r="I5869" s="68"/>
      <c r="J5869" s="68"/>
    </row>
    <row r="5870" spans="9:10">
      <c r="I5870" s="68"/>
      <c r="J5870" s="68"/>
    </row>
    <row r="5871" spans="9:10">
      <c r="I5871" s="68"/>
      <c r="J5871" s="68"/>
    </row>
    <row r="5872" spans="9:10">
      <c r="I5872" s="68"/>
      <c r="J5872" s="68"/>
    </row>
    <row r="5873" spans="9:10">
      <c r="I5873" s="68"/>
      <c r="J5873" s="68"/>
    </row>
    <row r="5874" spans="9:10">
      <c r="I5874" s="68"/>
      <c r="J5874" s="68"/>
    </row>
    <row r="5875" spans="9:10">
      <c r="I5875" s="68"/>
      <c r="J5875" s="68"/>
    </row>
    <row r="5876" spans="9:10">
      <c r="I5876" s="68"/>
      <c r="J5876" s="68"/>
    </row>
    <row r="5877" spans="9:10">
      <c r="I5877" s="68"/>
      <c r="J5877" s="68"/>
    </row>
    <row r="5878" spans="9:10">
      <c r="I5878" s="68"/>
      <c r="J5878" s="68"/>
    </row>
    <row r="5879" spans="9:10">
      <c r="I5879" s="68"/>
      <c r="J5879" s="68"/>
    </row>
    <row r="5880" spans="9:10">
      <c r="I5880" s="68"/>
      <c r="J5880" s="68"/>
    </row>
    <row r="5881" spans="9:10">
      <c r="I5881" s="68"/>
      <c r="J5881" s="68"/>
    </row>
    <row r="5882" spans="9:10">
      <c r="I5882" s="68"/>
      <c r="J5882" s="68"/>
    </row>
    <row r="5883" spans="9:10">
      <c r="I5883" s="68"/>
      <c r="J5883" s="68"/>
    </row>
    <row r="5884" spans="9:10">
      <c r="I5884" s="68"/>
      <c r="J5884" s="68"/>
    </row>
    <row r="5885" spans="9:10">
      <c r="I5885" s="68"/>
      <c r="J5885" s="68"/>
    </row>
    <row r="5886" spans="9:10">
      <c r="I5886" s="68"/>
      <c r="J5886" s="68"/>
    </row>
    <row r="5887" spans="9:10">
      <c r="I5887" s="68"/>
      <c r="J5887" s="68"/>
    </row>
    <row r="5888" spans="9:10">
      <c r="I5888" s="68"/>
      <c r="J5888" s="68"/>
    </row>
    <row r="5889" spans="9:10">
      <c r="I5889" s="68"/>
      <c r="J5889" s="68"/>
    </row>
    <row r="5890" spans="9:10">
      <c r="I5890" s="68"/>
      <c r="J5890" s="68"/>
    </row>
    <row r="5891" spans="9:10">
      <c r="I5891" s="68"/>
      <c r="J5891" s="68"/>
    </row>
    <row r="5892" spans="9:10">
      <c r="I5892" s="68"/>
      <c r="J5892" s="68"/>
    </row>
    <row r="5893" spans="9:10">
      <c r="I5893" s="68"/>
      <c r="J5893" s="68"/>
    </row>
    <row r="5894" spans="9:10">
      <c r="I5894" s="68"/>
      <c r="J5894" s="68"/>
    </row>
    <row r="5895" spans="9:10">
      <c r="I5895" s="68"/>
      <c r="J5895" s="68"/>
    </row>
    <row r="5896" spans="9:10">
      <c r="I5896" s="68"/>
      <c r="J5896" s="68"/>
    </row>
    <row r="5897" spans="9:10">
      <c r="I5897" s="68"/>
      <c r="J5897" s="68"/>
    </row>
    <row r="5898" spans="9:10">
      <c r="I5898" s="68"/>
      <c r="J5898" s="68"/>
    </row>
    <row r="5899" spans="9:10">
      <c r="I5899" s="68"/>
      <c r="J5899" s="68"/>
    </row>
    <row r="5900" spans="9:10">
      <c r="I5900" s="68"/>
      <c r="J5900" s="68"/>
    </row>
    <row r="5901" spans="9:10">
      <c r="I5901" s="68"/>
      <c r="J5901" s="68"/>
    </row>
    <row r="5902" spans="9:10">
      <c r="I5902" s="68"/>
      <c r="J5902" s="68"/>
    </row>
    <row r="5903" spans="9:10">
      <c r="I5903" s="68"/>
      <c r="J5903" s="68"/>
    </row>
    <row r="5904" spans="9:10">
      <c r="I5904" s="68"/>
      <c r="J5904" s="68"/>
    </row>
    <row r="5905" spans="9:10">
      <c r="I5905" s="68"/>
      <c r="J5905" s="68"/>
    </row>
    <row r="5906" spans="9:10">
      <c r="I5906" s="68"/>
      <c r="J5906" s="68"/>
    </row>
    <row r="5907" spans="9:10">
      <c r="I5907" s="68"/>
      <c r="J5907" s="68"/>
    </row>
    <row r="5908" spans="9:10">
      <c r="I5908" s="68"/>
      <c r="J5908" s="68"/>
    </row>
    <row r="5909" spans="9:10">
      <c r="I5909" s="68"/>
      <c r="J5909" s="68"/>
    </row>
    <row r="5910" spans="9:10">
      <c r="I5910" s="68"/>
      <c r="J5910" s="68"/>
    </row>
    <row r="5911" spans="9:10">
      <c r="I5911" s="68"/>
      <c r="J5911" s="68"/>
    </row>
    <row r="5912" spans="9:10">
      <c r="I5912" s="68"/>
      <c r="J5912" s="68"/>
    </row>
    <row r="5913" spans="9:10">
      <c r="I5913" s="68"/>
      <c r="J5913" s="68"/>
    </row>
    <row r="5914" spans="9:10">
      <c r="I5914" s="68"/>
      <c r="J5914" s="68"/>
    </row>
    <row r="5915" spans="9:10">
      <c r="I5915" s="68"/>
      <c r="J5915" s="68"/>
    </row>
    <row r="5916" spans="9:10">
      <c r="I5916" s="68"/>
      <c r="J5916" s="68"/>
    </row>
    <row r="5917" spans="9:10">
      <c r="I5917" s="68"/>
      <c r="J5917" s="68"/>
    </row>
    <row r="5918" spans="9:10">
      <c r="I5918" s="68"/>
      <c r="J5918" s="68"/>
    </row>
    <row r="5919" spans="9:10">
      <c r="I5919" s="68"/>
      <c r="J5919" s="68"/>
    </row>
    <row r="5920" spans="9:10">
      <c r="I5920" s="68"/>
      <c r="J5920" s="68"/>
    </row>
    <row r="5921" spans="9:10">
      <c r="I5921" s="68"/>
      <c r="J5921" s="68"/>
    </row>
    <row r="5922" spans="9:10">
      <c r="I5922" s="68"/>
      <c r="J5922" s="68"/>
    </row>
    <row r="5923" spans="9:10">
      <c r="I5923" s="68"/>
      <c r="J5923" s="68"/>
    </row>
    <row r="5924" spans="9:10">
      <c r="I5924" s="68"/>
      <c r="J5924" s="68"/>
    </row>
    <row r="5925" spans="9:10">
      <c r="I5925" s="68"/>
      <c r="J5925" s="68"/>
    </row>
    <row r="5926" spans="9:10">
      <c r="I5926" s="68"/>
      <c r="J5926" s="68"/>
    </row>
    <row r="5927" spans="9:10">
      <c r="I5927" s="68"/>
      <c r="J5927" s="68"/>
    </row>
    <row r="5928" spans="9:10">
      <c r="I5928" s="68"/>
      <c r="J5928" s="68"/>
    </row>
    <row r="5929" spans="9:10">
      <c r="I5929" s="68"/>
      <c r="J5929" s="68"/>
    </row>
    <row r="5930" spans="9:10">
      <c r="I5930" s="68"/>
      <c r="J5930" s="68"/>
    </row>
    <row r="5931" spans="9:10">
      <c r="I5931" s="68"/>
      <c r="J5931" s="68"/>
    </row>
    <row r="5932" spans="9:10">
      <c r="I5932" s="68"/>
      <c r="J5932" s="68"/>
    </row>
    <row r="5933" spans="9:10">
      <c r="I5933" s="68"/>
      <c r="J5933" s="68"/>
    </row>
    <row r="5934" spans="9:10">
      <c r="I5934" s="68"/>
      <c r="J5934" s="68"/>
    </row>
    <row r="5935" spans="9:10">
      <c r="I5935" s="68"/>
      <c r="J5935" s="68"/>
    </row>
    <row r="5936" spans="9:10">
      <c r="I5936" s="68"/>
      <c r="J5936" s="68"/>
    </row>
    <row r="5937" spans="9:10">
      <c r="I5937" s="68"/>
      <c r="J5937" s="68"/>
    </row>
    <row r="5938" spans="9:10">
      <c r="I5938" s="68"/>
      <c r="J5938" s="68"/>
    </row>
    <row r="5939" spans="9:10">
      <c r="I5939" s="68"/>
      <c r="J5939" s="68"/>
    </row>
    <row r="5940" spans="9:10">
      <c r="I5940" s="68"/>
      <c r="J5940" s="68"/>
    </row>
    <row r="5941" spans="9:10">
      <c r="I5941" s="68"/>
      <c r="J5941" s="68"/>
    </row>
    <row r="5942" spans="9:10">
      <c r="I5942" s="68"/>
      <c r="J5942" s="68"/>
    </row>
    <row r="5943" spans="9:10">
      <c r="I5943" s="68"/>
      <c r="J5943" s="68"/>
    </row>
    <row r="5944" spans="9:10">
      <c r="I5944" s="68"/>
      <c r="J5944" s="68"/>
    </row>
    <row r="5945" spans="9:10">
      <c r="I5945" s="68"/>
      <c r="J5945" s="68"/>
    </row>
    <row r="5946" spans="9:10">
      <c r="I5946" s="68"/>
      <c r="J5946" s="68"/>
    </row>
    <row r="5947" spans="9:10">
      <c r="I5947" s="68"/>
      <c r="J5947" s="68"/>
    </row>
    <row r="5948" spans="9:10">
      <c r="I5948" s="68"/>
      <c r="J5948" s="68"/>
    </row>
    <row r="5949" spans="9:10">
      <c r="I5949" s="68"/>
      <c r="J5949" s="68"/>
    </row>
    <row r="5950" spans="9:10">
      <c r="I5950" s="68"/>
      <c r="J5950" s="68"/>
    </row>
    <row r="5951" spans="9:10">
      <c r="I5951" s="68"/>
      <c r="J5951" s="68"/>
    </row>
    <row r="5952" spans="9:10">
      <c r="I5952" s="68"/>
      <c r="J5952" s="68"/>
    </row>
    <row r="5953" spans="9:10">
      <c r="I5953" s="68"/>
      <c r="J5953" s="68"/>
    </row>
    <row r="5954" spans="9:10">
      <c r="I5954" s="68"/>
      <c r="J5954" s="68"/>
    </row>
    <row r="5955" spans="9:10">
      <c r="I5955" s="68"/>
      <c r="J5955" s="68"/>
    </row>
    <row r="5956" spans="9:10">
      <c r="I5956" s="68"/>
      <c r="J5956" s="68"/>
    </row>
    <row r="5957" spans="9:10">
      <c r="I5957" s="68"/>
      <c r="J5957" s="68"/>
    </row>
    <row r="5958" spans="9:10">
      <c r="I5958" s="68"/>
      <c r="J5958" s="68"/>
    </row>
    <row r="5959" spans="9:10">
      <c r="I5959" s="68"/>
      <c r="J5959" s="68"/>
    </row>
    <row r="5960" spans="9:10">
      <c r="I5960" s="68"/>
      <c r="J5960" s="68"/>
    </row>
    <row r="5961" spans="9:10">
      <c r="I5961" s="68"/>
      <c r="J5961" s="68"/>
    </row>
    <row r="5962" spans="9:10">
      <c r="I5962" s="68"/>
      <c r="J5962" s="68"/>
    </row>
    <row r="5963" spans="9:10">
      <c r="I5963" s="68"/>
      <c r="J5963" s="68"/>
    </row>
    <row r="5964" spans="9:10">
      <c r="I5964" s="68"/>
      <c r="J5964" s="68"/>
    </row>
    <row r="5965" spans="9:10">
      <c r="I5965" s="68"/>
      <c r="J5965" s="68"/>
    </row>
    <row r="5966" spans="9:10">
      <c r="I5966" s="68"/>
      <c r="J5966" s="68"/>
    </row>
    <row r="5967" spans="9:10">
      <c r="I5967" s="68"/>
      <c r="J5967" s="68"/>
    </row>
    <row r="5968" spans="9:10">
      <c r="I5968" s="68"/>
      <c r="J5968" s="68"/>
    </row>
    <row r="5969" spans="9:10">
      <c r="I5969" s="68"/>
      <c r="J5969" s="68"/>
    </row>
    <row r="5970" spans="9:10">
      <c r="I5970" s="68"/>
      <c r="J5970" s="68"/>
    </row>
    <row r="5971" spans="9:10">
      <c r="I5971" s="68"/>
      <c r="J5971" s="68"/>
    </row>
    <row r="5972" spans="9:10">
      <c r="I5972" s="68"/>
      <c r="J5972" s="68"/>
    </row>
    <row r="5973" spans="9:10">
      <c r="I5973" s="68"/>
      <c r="J5973" s="68"/>
    </row>
    <row r="5974" spans="9:10">
      <c r="I5974" s="68"/>
      <c r="J5974" s="68"/>
    </row>
    <row r="5975" spans="9:10">
      <c r="I5975" s="68"/>
      <c r="J5975" s="68"/>
    </row>
    <row r="5976" spans="9:10">
      <c r="I5976" s="68"/>
      <c r="J5976" s="68"/>
    </row>
    <row r="5977" spans="9:10">
      <c r="I5977" s="68"/>
      <c r="J5977" s="68"/>
    </row>
    <row r="5978" spans="9:10">
      <c r="I5978" s="68"/>
      <c r="J5978" s="68"/>
    </row>
    <row r="5979" spans="9:10">
      <c r="I5979" s="68"/>
      <c r="J5979" s="68"/>
    </row>
    <row r="5980" spans="9:10">
      <c r="I5980" s="68"/>
      <c r="J5980" s="68"/>
    </row>
    <row r="5981" spans="9:10">
      <c r="I5981" s="68"/>
      <c r="J5981" s="68"/>
    </row>
    <row r="5982" spans="9:10">
      <c r="I5982" s="68"/>
      <c r="J5982" s="68"/>
    </row>
    <row r="5983" spans="9:10">
      <c r="I5983" s="68"/>
      <c r="J5983" s="68"/>
    </row>
    <row r="5984" spans="9:10">
      <c r="I5984" s="68"/>
      <c r="J5984" s="68"/>
    </row>
    <row r="5985" spans="9:10">
      <c r="I5985" s="68"/>
      <c r="J5985" s="68"/>
    </row>
    <row r="5986" spans="9:10">
      <c r="I5986" s="68"/>
      <c r="J5986" s="68"/>
    </row>
    <row r="5987" spans="9:10">
      <c r="I5987" s="68"/>
      <c r="J5987" s="68"/>
    </row>
    <row r="5988" spans="9:10">
      <c r="I5988" s="68"/>
      <c r="J5988" s="68"/>
    </row>
    <row r="5989" spans="9:10">
      <c r="I5989" s="68"/>
      <c r="J5989" s="68"/>
    </row>
    <row r="5990" spans="9:10">
      <c r="I5990" s="68"/>
      <c r="J5990" s="68"/>
    </row>
    <row r="5991" spans="9:10">
      <c r="I5991" s="68"/>
      <c r="J5991" s="68"/>
    </row>
    <row r="5992" spans="9:10">
      <c r="I5992" s="68"/>
      <c r="J5992" s="68"/>
    </row>
    <row r="5993" spans="9:10">
      <c r="I5993" s="68"/>
      <c r="J5993" s="68"/>
    </row>
    <row r="5994" spans="9:10">
      <c r="I5994" s="68"/>
      <c r="J5994" s="68"/>
    </row>
    <row r="5995" spans="9:10">
      <c r="I5995" s="68"/>
      <c r="J5995" s="68"/>
    </row>
    <row r="5996" spans="9:10">
      <c r="I5996" s="68"/>
      <c r="J5996" s="68"/>
    </row>
    <row r="5997" spans="9:10">
      <c r="I5997" s="68"/>
      <c r="J5997" s="68"/>
    </row>
    <row r="5998" spans="9:10">
      <c r="I5998" s="68"/>
      <c r="J5998" s="68"/>
    </row>
    <row r="5999" spans="9:10">
      <c r="I5999" s="68"/>
      <c r="J5999" s="68"/>
    </row>
    <row r="6000" spans="9:10">
      <c r="I6000" s="68"/>
      <c r="J6000" s="68"/>
    </row>
    <row r="6001" spans="9:10">
      <c r="I6001" s="68"/>
      <c r="J6001" s="68"/>
    </row>
    <row r="6002" spans="9:10">
      <c r="I6002" s="68"/>
      <c r="J6002" s="68"/>
    </row>
    <row r="6003" spans="9:10">
      <c r="I6003" s="68"/>
      <c r="J6003" s="68"/>
    </row>
    <row r="6004" spans="9:10">
      <c r="I6004" s="68"/>
      <c r="J6004" s="68"/>
    </row>
    <row r="6005" spans="9:10">
      <c r="I6005" s="68"/>
      <c r="J6005" s="68"/>
    </row>
    <row r="6006" spans="9:10">
      <c r="I6006" s="68"/>
      <c r="J6006" s="68"/>
    </row>
    <row r="6007" spans="9:10">
      <c r="I6007" s="68"/>
      <c r="J6007" s="68"/>
    </row>
    <row r="6008" spans="9:10">
      <c r="I6008" s="68"/>
      <c r="J6008" s="68"/>
    </row>
    <row r="6009" spans="9:10">
      <c r="I6009" s="68"/>
      <c r="J6009" s="68"/>
    </row>
    <row r="6010" spans="9:10">
      <c r="I6010" s="68"/>
      <c r="J6010" s="68"/>
    </row>
    <row r="6011" spans="9:10">
      <c r="I6011" s="68"/>
      <c r="J6011" s="68"/>
    </row>
    <row r="6012" spans="9:10">
      <c r="I6012" s="68"/>
      <c r="J6012" s="68"/>
    </row>
    <row r="6013" spans="9:10">
      <c r="I6013" s="68"/>
      <c r="J6013" s="68"/>
    </row>
    <row r="6014" spans="9:10">
      <c r="I6014" s="68"/>
      <c r="J6014" s="68"/>
    </row>
    <row r="6015" spans="9:10">
      <c r="I6015" s="68"/>
      <c r="J6015" s="68"/>
    </row>
    <row r="6016" spans="9:10">
      <c r="I6016" s="68"/>
      <c r="J6016" s="68"/>
    </row>
    <row r="6017" spans="9:10">
      <c r="I6017" s="68"/>
      <c r="J6017" s="68"/>
    </row>
    <row r="6018" spans="9:10">
      <c r="I6018" s="68"/>
      <c r="J6018" s="68"/>
    </row>
    <row r="6019" spans="9:10">
      <c r="I6019" s="68"/>
      <c r="J6019" s="68"/>
    </row>
    <row r="6020" spans="9:10">
      <c r="I6020" s="68"/>
      <c r="J6020" s="68"/>
    </row>
    <row r="6021" spans="9:10">
      <c r="I6021" s="68"/>
      <c r="J6021" s="68"/>
    </row>
    <row r="6022" spans="9:10">
      <c r="I6022" s="68"/>
      <c r="J6022" s="68"/>
    </row>
    <row r="6023" spans="9:10">
      <c r="I6023" s="68"/>
      <c r="J6023" s="68"/>
    </row>
    <row r="6024" spans="9:10">
      <c r="I6024" s="68"/>
      <c r="J6024" s="68"/>
    </row>
    <row r="6025" spans="9:10">
      <c r="I6025" s="68"/>
      <c r="J6025" s="68"/>
    </row>
    <row r="6026" spans="9:10">
      <c r="I6026" s="68"/>
      <c r="J6026" s="68"/>
    </row>
    <row r="6027" spans="9:10">
      <c r="I6027" s="68"/>
      <c r="J6027" s="68"/>
    </row>
    <row r="6028" spans="9:10">
      <c r="I6028" s="68"/>
      <c r="J6028" s="68"/>
    </row>
    <row r="6029" spans="9:10">
      <c r="I6029" s="68"/>
      <c r="J6029" s="68"/>
    </row>
    <row r="6030" spans="9:10">
      <c r="I6030" s="68"/>
      <c r="J6030" s="68"/>
    </row>
    <row r="6031" spans="9:10">
      <c r="I6031" s="68"/>
      <c r="J6031" s="68"/>
    </row>
    <row r="6032" spans="9:10">
      <c r="I6032" s="68"/>
      <c r="J6032" s="68"/>
    </row>
    <row r="6033" spans="9:10">
      <c r="I6033" s="68"/>
      <c r="J6033" s="68"/>
    </row>
    <row r="6034" spans="9:10">
      <c r="I6034" s="68"/>
      <c r="J6034" s="68"/>
    </row>
    <row r="6035" spans="9:10">
      <c r="I6035" s="68"/>
      <c r="J6035" s="68"/>
    </row>
    <row r="6036" spans="9:10">
      <c r="I6036" s="68"/>
      <c r="J6036" s="68"/>
    </row>
    <row r="6037" spans="9:10">
      <c r="I6037" s="68"/>
      <c r="J6037" s="68"/>
    </row>
    <row r="6038" spans="9:10">
      <c r="I6038" s="68"/>
      <c r="J6038" s="68"/>
    </row>
    <row r="6039" spans="9:10">
      <c r="I6039" s="68"/>
      <c r="J6039" s="68"/>
    </row>
    <row r="6040" spans="9:10">
      <c r="I6040" s="68"/>
      <c r="J6040" s="68"/>
    </row>
    <row r="6041" spans="9:10">
      <c r="I6041" s="68"/>
      <c r="J6041" s="68"/>
    </row>
    <row r="6042" spans="9:10">
      <c r="I6042" s="68"/>
      <c r="J6042" s="68"/>
    </row>
    <row r="6043" spans="9:10">
      <c r="I6043" s="68"/>
      <c r="J6043" s="68"/>
    </row>
    <row r="6044" spans="9:10">
      <c r="I6044" s="68"/>
      <c r="J6044" s="68"/>
    </row>
    <row r="6045" spans="9:10">
      <c r="I6045" s="68"/>
      <c r="J6045" s="68"/>
    </row>
    <row r="6046" spans="9:10">
      <c r="I6046" s="68"/>
      <c r="J6046" s="68"/>
    </row>
    <row r="6047" spans="9:10">
      <c r="I6047" s="68"/>
      <c r="J6047" s="68"/>
    </row>
    <row r="6048" spans="9:10">
      <c r="I6048" s="68"/>
      <c r="J6048" s="68"/>
    </row>
    <row r="6049" spans="9:10">
      <c r="I6049" s="68"/>
      <c r="J6049" s="68"/>
    </row>
    <row r="6050" spans="9:10">
      <c r="I6050" s="68"/>
      <c r="J6050" s="68"/>
    </row>
    <row r="6051" spans="9:10">
      <c r="I6051" s="68"/>
      <c r="J6051" s="68"/>
    </row>
    <row r="6052" spans="9:10">
      <c r="I6052" s="68"/>
      <c r="J6052" s="68"/>
    </row>
    <row r="6053" spans="9:10">
      <c r="I6053" s="68"/>
      <c r="J6053" s="68"/>
    </row>
    <row r="6054" spans="9:10">
      <c r="I6054" s="68"/>
      <c r="J6054" s="68"/>
    </row>
    <row r="6055" spans="9:10">
      <c r="I6055" s="68"/>
      <c r="J6055" s="68"/>
    </row>
    <row r="6056" spans="9:10">
      <c r="I6056" s="68"/>
      <c r="J6056" s="68"/>
    </row>
    <row r="6057" spans="9:10">
      <c r="I6057" s="68"/>
      <c r="J6057" s="68"/>
    </row>
    <row r="6058" spans="9:10">
      <c r="I6058" s="68"/>
      <c r="J6058" s="68"/>
    </row>
    <row r="6059" spans="9:10">
      <c r="I6059" s="68"/>
      <c r="J6059" s="68"/>
    </row>
    <row r="6060" spans="9:10">
      <c r="I6060" s="68"/>
      <c r="J6060" s="68"/>
    </row>
    <row r="6061" spans="9:10">
      <c r="I6061" s="68"/>
      <c r="J6061" s="68"/>
    </row>
    <row r="6062" spans="9:10">
      <c r="I6062" s="68"/>
      <c r="J6062" s="68"/>
    </row>
    <row r="6063" spans="9:10">
      <c r="I6063" s="68"/>
      <c r="J6063" s="68"/>
    </row>
    <row r="6064" spans="9:10">
      <c r="I6064" s="68"/>
      <c r="J6064" s="68"/>
    </row>
    <row r="6065" spans="9:10">
      <c r="I6065" s="68"/>
      <c r="J6065" s="68"/>
    </row>
    <row r="6066" spans="9:10">
      <c r="I6066" s="68"/>
      <c r="J6066" s="68"/>
    </row>
    <row r="6067" spans="9:10">
      <c r="I6067" s="68"/>
      <c r="J6067" s="68"/>
    </row>
    <row r="6068" spans="9:10">
      <c r="I6068" s="68"/>
      <c r="J6068" s="68"/>
    </row>
    <row r="6069" spans="9:10">
      <c r="I6069" s="68"/>
      <c r="J6069" s="68"/>
    </row>
    <row r="6070" spans="9:10">
      <c r="I6070" s="68"/>
      <c r="J6070" s="68"/>
    </row>
    <row r="6071" spans="9:10">
      <c r="I6071" s="68"/>
      <c r="J6071" s="68"/>
    </row>
    <row r="6072" spans="9:10">
      <c r="I6072" s="68"/>
      <c r="J6072" s="68"/>
    </row>
    <row r="6073" spans="9:10">
      <c r="I6073" s="68"/>
      <c r="J6073" s="68"/>
    </row>
    <row r="6074" spans="9:10">
      <c r="I6074" s="68"/>
      <c r="J6074" s="68"/>
    </row>
    <row r="6075" spans="9:10">
      <c r="I6075" s="68"/>
      <c r="J6075" s="68"/>
    </row>
    <row r="6076" spans="9:10">
      <c r="I6076" s="68"/>
      <c r="J6076" s="68"/>
    </row>
    <row r="6077" spans="9:10">
      <c r="I6077" s="68"/>
      <c r="J6077" s="68"/>
    </row>
    <row r="6078" spans="9:10">
      <c r="I6078" s="68"/>
      <c r="J6078" s="68"/>
    </row>
    <row r="6079" spans="9:10">
      <c r="I6079" s="68"/>
      <c r="J6079" s="68"/>
    </row>
    <row r="6080" spans="9:10">
      <c r="I6080" s="68"/>
      <c r="J6080" s="68"/>
    </row>
    <row r="6081" spans="9:10">
      <c r="I6081" s="68"/>
      <c r="J6081" s="68"/>
    </row>
    <row r="6082" spans="9:10">
      <c r="I6082" s="68"/>
      <c r="J6082" s="68"/>
    </row>
    <row r="6083" spans="9:10">
      <c r="I6083" s="68"/>
      <c r="J6083" s="68"/>
    </row>
    <row r="6084" spans="9:10">
      <c r="I6084" s="68"/>
      <c r="J6084" s="68"/>
    </row>
    <row r="6085" spans="9:10">
      <c r="I6085" s="68"/>
      <c r="J6085" s="68"/>
    </row>
    <row r="6086" spans="9:10">
      <c r="I6086" s="68"/>
      <c r="J6086" s="68"/>
    </row>
    <row r="6087" spans="9:10">
      <c r="I6087" s="68"/>
      <c r="J6087" s="68"/>
    </row>
    <row r="6088" spans="9:10">
      <c r="I6088" s="68"/>
      <c r="J6088" s="68"/>
    </row>
    <row r="6089" spans="9:10">
      <c r="I6089" s="68"/>
      <c r="J6089" s="68"/>
    </row>
    <row r="6090" spans="9:10">
      <c r="I6090" s="68"/>
      <c r="J6090" s="68"/>
    </row>
    <row r="6091" spans="9:10">
      <c r="I6091" s="68"/>
      <c r="J6091" s="68"/>
    </row>
    <row r="6092" spans="9:10">
      <c r="I6092" s="68"/>
      <c r="J6092" s="68"/>
    </row>
    <row r="6093" spans="9:10">
      <c r="I6093" s="68"/>
      <c r="J6093" s="68"/>
    </row>
    <row r="6094" spans="9:10">
      <c r="I6094" s="68"/>
      <c r="J6094" s="68"/>
    </row>
    <row r="6095" spans="9:10">
      <c r="I6095" s="68"/>
      <c r="J6095" s="68"/>
    </row>
    <row r="6096" spans="9:10">
      <c r="I6096" s="68"/>
      <c r="J6096" s="68"/>
    </row>
    <row r="6097" spans="9:10">
      <c r="I6097" s="68"/>
      <c r="J6097" s="68"/>
    </row>
    <row r="6098" spans="9:10">
      <c r="I6098" s="68"/>
      <c r="J6098" s="68"/>
    </row>
    <row r="6099" spans="9:10">
      <c r="I6099" s="68"/>
      <c r="J6099" s="68"/>
    </row>
    <row r="6100" spans="9:10">
      <c r="I6100" s="68"/>
      <c r="J6100" s="68"/>
    </row>
    <row r="6101" spans="9:10">
      <c r="I6101" s="68"/>
      <c r="J6101" s="68"/>
    </row>
    <row r="6102" spans="9:10">
      <c r="I6102" s="68"/>
      <c r="J6102" s="68"/>
    </row>
    <row r="6103" spans="9:10">
      <c r="I6103" s="68"/>
      <c r="J6103" s="68"/>
    </row>
    <row r="6104" spans="9:10">
      <c r="I6104" s="68"/>
      <c r="J6104" s="68"/>
    </row>
    <row r="6105" spans="9:10">
      <c r="I6105" s="68"/>
      <c r="J6105" s="68"/>
    </row>
    <row r="6106" spans="9:10">
      <c r="I6106" s="68"/>
      <c r="J6106" s="68"/>
    </row>
    <row r="6107" spans="9:10">
      <c r="I6107" s="68"/>
      <c r="J6107" s="68"/>
    </row>
    <row r="6108" spans="9:10">
      <c r="I6108" s="68"/>
      <c r="J6108" s="68"/>
    </row>
    <row r="6109" spans="9:10">
      <c r="I6109" s="68"/>
      <c r="J6109" s="68"/>
    </row>
    <row r="6110" spans="9:10">
      <c r="I6110" s="68"/>
      <c r="J6110" s="68"/>
    </row>
    <row r="6111" spans="9:10">
      <c r="I6111" s="68"/>
      <c r="J6111" s="68"/>
    </row>
    <row r="6112" spans="9:10">
      <c r="I6112" s="68"/>
      <c r="J6112" s="68"/>
    </row>
    <row r="6113" spans="9:10">
      <c r="I6113" s="68"/>
      <c r="J6113" s="68"/>
    </row>
    <row r="6114" spans="9:10">
      <c r="I6114" s="68"/>
      <c r="J6114" s="68"/>
    </row>
    <row r="6115" spans="9:10">
      <c r="I6115" s="68"/>
      <c r="J6115" s="68"/>
    </row>
    <row r="6116" spans="9:10">
      <c r="I6116" s="68"/>
      <c r="J6116" s="68"/>
    </row>
    <row r="6117" spans="9:10">
      <c r="I6117" s="68"/>
      <c r="J6117" s="68"/>
    </row>
    <row r="6118" spans="9:10">
      <c r="I6118" s="68"/>
      <c r="J6118" s="68"/>
    </row>
    <row r="6119" spans="9:10">
      <c r="I6119" s="68"/>
      <c r="J6119" s="68"/>
    </row>
    <row r="6120" spans="9:10">
      <c r="I6120" s="68"/>
      <c r="J6120" s="68"/>
    </row>
    <row r="6121" spans="9:10">
      <c r="I6121" s="68"/>
      <c r="J6121" s="68"/>
    </row>
    <row r="6122" spans="9:10">
      <c r="I6122" s="68"/>
      <c r="J6122" s="68"/>
    </row>
    <row r="6123" spans="9:10">
      <c r="I6123" s="68"/>
      <c r="J6123" s="68"/>
    </row>
    <row r="6124" spans="9:10">
      <c r="I6124" s="68"/>
      <c r="J6124" s="68"/>
    </row>
    <row r="6125" spans="9:10">
      <c r="I6125" s="68"/>
      <c r="J6125" s="68"/>
    </row>
    <row r="6126" spans="9:10">
      <c r="I6126" s="68"/>
      <c r="J6126" s="68"/>
    </row>
    <row r="6127" spans="9:10">
      <c r="I6127" s="68"/>
      <c r="J6127" s="68"/>
    </row>
    <row r="6128" spans="9:10">
      <c r="I6128" s="68"/>
      <c r="J6128" s="68"/>
    </row>
    <row r="6129" spans="9:10">
      <c r="I6129" s="68"/>
      <c r="J6129" s="68"/>
    </row>
    <row r="6130" spans="9:10">
      <c r="I6130" s="68"/>
      <c r="J6130" s="68"/>
    </row>
    <row r="6131" spans="9:10">
      <c r="I6131" s="68"/>
      <c r="J6131" s="68"/>
    </row>
    <row r="6132" spans="9:10">
      <c r="I6132" s="68"/>
      <c r="J6132" s="68"/>
    </row>
    <row r="6133" spans="9:10">
      <c r="I6133" s="68"/>
      <c r="J6133" s="68"/>
    </row>
    <row r="6134" spans="9:10">
      <c r="I6134" s="68"/>
      <c r="J6134" s="68"/>
    </row>
    <row r="6135" spans="9:10">
      <c r="I6135" s="68"/>
      <c r="J6135" s="68"/>
    </row>
    <row r="6136" spans="9:10">
      <c r="I6136" s="68"/>
      <c r="J6136" s="68"/>
    </row>
    <row r="6137" spans="9:10">
      <c r="I6137" s="68"/>
      <c r="J6137" s="68"/>
    </row>
    <row r="6138" spans="9:10">
      <c r="I6138" s="68"/>
      <c r="J6138" s="68"/>
    </row>
    <row r="6139" spans="9:10">
      <c r="I6139" s="68"/>
      <c r="J6139" s="68"/>
    </row>
    <row r="6140" spans="9:10">
      <c r="I6140" s="68"/>
      <c r="J6140" s="68"/>
    </row>
    <row r="6141" spans="9:10">
      <c r="I6141" s="68"/>
      <c r="J6141" s="68"/>
    </row>
    <row r="6142" spans="9:10">
      <c r="I6142" s="68"/>
      <c r="J6142" s="68"/>
    </row>
    <row r="6143" spans="9:10">
      <c r="I6143" s="68"/>
      <c r="J6143" s="68"/>
    </row>
    <row r="6144" spans="9:10">
      <c r="I6144" s="68"/>
      <c r="J6144" s="68"/>
    </row>
    <row r="6145" spans="9:10">
      <c r="I6145" s="68"/>
      <c r="J6145" s="68"/>
    </row>
    <row r="6146" spans="9:10">
      <c r="I6146" s="68"/>
      <c r="J6146" s="68"/>
    </row>
    <row r="6147" spans="9:10">
      <c r="I6147" s="68"/>
      <c r="J6147" s="68"/>
    </row>
    <row r="6148" spans="9:10">
      <c r="I6148" s="68"/>
      <c r="J6148" s="68"/>
    </row>
    <row r="6149" spans="9:10">
      <c r="I6149" s="68"/>
      <c r="J6149" s="68"/>
    </row>
    <row r="6150" spans="9:10">
      <c r="I6150" s="68"/>
      <c r="J6150" s="68"/>
    </row>
    <row r="6151" spans="9:10">
      <c r="I6151" s="68"/>
      <c r="J6151" s="68"/>
    </row>
    <row r="6152" spans="9:10">
      <c r="I6152" s="68"/>
      <c r="J6152" s="68"/>
    </row>
    <row r="6153" spans="9:10">
      <c r="I6153" s="68"/>
      <c r="J6153" s="68"/>
    </row>
    <row r="6154" spans="9:10">
      <c r="I6154" s="68"/>
      <c r="J6154" s="68"/>
    </row>
    <row r="6155" spans="9:10">
      <c r="I6155" s="68"/>
      <c r="J6155" s="68"/>
    </row>
    <row r="6156" spans="9:10">
      <c r="I6156" s="68"/>
      <c r="J6156" s="68"/>
    </row>
    <row r="6157" spans="9:10">
      <c r="I6157" s="68"/>
      <c r="J6157" s="68"/>
    </row>
    <row r="6158" spans="9:10">
      <c r="I6158" s="68"/>
      <c r="J6158" s="68"/>
    </row>
    <row r="6159" spans="9:10">
      <c r="I6159" s="68"/>
      <c r="J6159" s="68"/>
    </row>
    <row r="6160" spans="9:10">
      <c r="I6160" s="68"/>
      <c r="J6160" s="68"/>
    </row>
    <row r="6161" spans="9:10">
      <c r="I6161" s="68"/>
      <c r="J6161" s="68"/>
    </row>
    <row r="6162" spans="9:10">
      <c r="I6162" s="68"/>
      <c r="J6162" s="68"/>
    </row>
    <row r="6163" spans="9:10">
      <c r="I6163" s="68"/>
      <c r="J6163" s="68"/>
    </row>
    <row r="6164" spans="9:10">
      <c r="I6164" s="68"/>
      <c r="J6164" s="68"/>
    </row>
    <row r="6165" spans="9:10">
      <c r="I6165" s="68"/>
      <c r="J6165" s="68"/>
    </row>
    <row r="6166" spans="9:10">
      <c r="I6166" s="68"/>
      <c r="J6166" s="68"/>
    </row>
    <row r="6167" spans="9:10">
      <c r="I6167" s="68"/>
      <c r="J6167" s="68"/>
    </row>
    <row r="6168" spans="9:10">
      <c r="I6168" s="68"/>
      <c r="J6168" s="68"/>
    </row>
    <row r="6169" spans="9:10">
      <c r="I6169" s="68"/>
      <c r="J6169" s="68"/>
    </row>
    <row r="6170" spans="9:10">
      <c r="I6170" s="68"/>
      <c r="J6170" s="68"/>
    </row>
    <row r="6171" spans="9:10">
      <c r="I6171" s="68"/>
      <c r="J6171" s="68"/>
    </row>
    <row r="6172" spans="9:10">
      <c r="I6172" s="68"/>
      <c r="J6172" s="68"/>
    </row>
    <row r="6173" spans="9:10">
      <c r="I6173" s="68"/>
      <c r="J6173" s="68"/>
    </row>
    <row r="6174" spans="9:10">
      <c r="I6174" s="68"/>
      <c r="J6174" s="68"/>
    </row>
    <row r="6175" spans="9:10">
      <c r="I6175" s="68"/>
      <c r="J6175" s="68"/>
    </row>
    <row r="6176" spans="9:10">
      <c r="I6176" s="68"/>
      <c r="J6176" s="68"/>
    </row>
    <row r="6177" spans="9:10">
      <c r="I6177" s="68"/>
      <c r="J6177" s="68"/>
    </row>
    <row r="6178" spans="9:10">
      <c r="I6178" s="68"/>
      <c r="J6178" s="68"/>
    </row>
    <row r="6179" spans="9:10">
      <c r="I6179" s="68"/>
      <c r="J6179" s="68"/>
    </row>
    <row r="6180" spans="9:10">
      <c r="I6180" s="68"/>
      <c r="J6180" s="68"/>
    </row>
    <row r="6181" spans="9:10">
      <c r="I6181" s="68"/>
      <c r="J6181" s="68"/>
    </row>
    <row r="6182" spans="9:10">
      <c r="I6182" s="68"/>
      <c r="J6182" s="68"/>
    </row>
    <row r="6183" spans="9:10">
      <c r="I6183" s="68"/>
      <c r="J6183" s="68"/>
    </row>
    <row r="6184" spans="9:10">
      <c r="I6184" s="68"/>
      <c r="J6184" s="68"/>
    </row>
    <row r="6185" spans="9:10">
      <c r="I6185" s="68"/>
      <c r="J6185" s="68"/>
    </row>
    <row r="6186" spans="9:10">
      <c r="I6186" s="68"/>
      <c r="J6186" s="68"/>
    </row>
    <row r="6187" spans="9:10">
      <c r="I6187" s="68"/>
      <c r="J6187" s="68"/>
    </row>
    <row r="6188" spans="9:10">
      <c r="I6188" s="68"/>
      <c r="J6188" s="68"/>
    </row>
    <row r="6189" spans="9:10">
      <c r="I6189" s="68"/>
      <c r="J6189" s="68"/>
    </row>
    <row r="6190" spans="9:10">
      <c r="I6190" s="68"/>
      <c r="J6190" s="68"/>
    </row>
    <row r="6191" spans="9:10">
      <c r="I6191" s="68"/>
      <c r="J6191" s="68"/>
    </row>
    <row r="6192" spans="9:10">
      <c r="I6192" s="68"/>
      <c r="J6192" s="68"/>
    </row>
    <row r="6193" spans="9:10">
      <c r="I6193" s="68"/>
      <c r="J6193" s="68"/>
    </row>
    <row r="6194" spans="9:10">
      <c r="I6194" s="68"/>
      <c r="J6194" s="68"/>
    </row>
    <row r="6195" spans="9:10">
      <c r="I6195" s="68"/>
      <c r="J6195" s="68"/>
    </row>
    <row r="6196" spans="9:10">
      <c r="I6196" s="68"/>
      <c r="J6196" s="68"/>
    </row>
    <row r="6197" spans="9:10">
      <c r="I6197" s="68"/>
      <c r="J6197" s="68"/>
    </row>
    <row r="6198" spans="9:10">
      <c r="I6198" s="68"/>
      <c r="J6198" s="68"/>
    </row>
    <row r="6199" spans="9:10">
      <c r="I6199" s="68"/>
      <c r="J6199" s="68"/>
    </row>
    <row r="6200" spans="9:10">
      <c r="I6200" s="68"/>
      <c r="J6200" s="68"/>
    </row>
    <row r="6201" spans="9:10">
      <c r="I6201" s="68"/>
      <c r="J6201" s="68"/>
    </row>
    <row r="6202" spans="9:10">
      <c r="I6202" s="68"/>
      <c r="J6202" s="68"/>
    </row>
    <row r="6203" spans="9:10">
      <c r="I6203" s="68"/>
      <c r="J6203" s="68"/>
    </row>
    <row r="6204" spans="9:10">
      <c r="I6204" s="68"/>
      <c r="J6204" s="68"/>
    </row>
    <row r="6205" spans="9:10">
      <c r="I6205" s="68"/>
      <c r="J6205" s="68"/>
    </row>
    <row r="6206" spans="9:10">
      <c r="I6206" s="68"/>
      <c r="J6206" s="68"/>
    </row>
    <row r="6207" spans="9:10">
      <c r="I6207" s="68"/>
      <c r="J6207" s="68"/>
    </row>
    <row r="6208" spans="9:10">
      <c r="I6208" s="68"/>
      <c r="J6208" s="68"/>
    </row>
    <row r="6209" spans="9:10">
      <c r="I6209" s="68"/>
      <c r="J6209" s="68"/>
    </row>
    <row r="6210" spans="9:10">
      <c r="I6210" s="68"/>
      <c r="J6210" s="68"/>
    </row>
    <row r="6211" spans="9:10">
      <c r="I6211" s="68"/>
      <c r="J6211" s="68"/>
    </row>
    <row r="6212" spans="9:10">
      <c r="I6212" s="68"/>
      <c r="J6212" s="68"/>
    </row>
    <row r="6213" spans="9:10">
      <c r="I6213" s="68"/>
      <c r="J6213" s="68"/>
    </row>
    <row r="6214" spans="9:10">
      <c r="I6214" s="68"/>
      <c r="J6214" s="68"/>
    </row>
    <row r="6215" spans="9:10">
      <c r="I6215" s="68"/>
      <c r="J6215" s="68"/>
    </row>
    <row r="6216" spans="9:10">
      <c r="I6216" s="68"/>
      <c r="J6216" s="68"/>
    </row>
    <row r="6217" spans="9:10">
      <c r="I6217" s="68"/>
      <c r="J6217" s="68"/>
    </row>
    <row r="6218" spans="9:10">
      <c r="I6218" s="68"/>
      <c r="J6218" s="68"/>
    </row>
    <row r="6219" spans="9:10">
      <c r="I6219" s="68"/>
      <c r="J6219" s="68"/>
    </row>
    <row r="6220" spans="9:10">
      <c r="I6220" s="68"/>
      <c r="J6220" s="68"/>
    </row>
    <row r="6221" spans="9:10">
      <c r="I6221" s="68"/>
      <c r="J6221" s="68"/>
    </row>
    <row r="6222" spans="9:10">
      <c r="I6222" s="68"/>
      <c r="J6222" s="68"/>
    </row>
    <row r="6223" spans="9:10">
      <c r="I6223" s="68"/>
      <c r="J6223" s="68"/>
    </row>
    <row r="6224" spans="9:10">
      <c r="I6224" s="68"/>
      <c r="J6224" s="68"/>
    </row>
    <row r="6225" spans="9:10">
      <c r="I6225" s="68"/>
      <c r="J6225" s="68"/>
    </row>
    <row r="6226" spans="9:10">
      <c r="I6226" s="68"/>
      <c r="J6226" s="68"/>
    </row>
    <row r="6227" spans="9:10">
      <c r="I6227" s="68"/>
      <c r="J6227" s="68"/>
    </row>
    <row r="6228" spans="9:10">
      <c r="I6228" s="68"/>
      <c r="J6228" s="68"/>
    </row>
    <row r="6229" spans="9:10">
      <c r="I6229" s="68"/>
      <c r="J6229" s="68"/>
    </row>
    <row r="6230" spans="9:10">
      <c r="I6230" s="68"/>
      <c r="J6230" s="68"/>
    </row>
    <row r="6231" spans="9:10">
      <c r="I6231" s="68"/>
      <c r="J6231" s="68"/>
    </row>
    <row r="6232" spans="9:10">
      <c r="I6232" s="68"/>
      <c r="J6232" s="68"/>
    </row>
    <row r="6233" spans="9:10">
      <c r="I6233" s="68"/>
      <c r="J6233" s="68"/>
    </row>
    <row r="6234" spans="9:10">
      <c r="I6234" s="68"/>
      <c r="J6234" s="68"/>
    </row>
    <row r="6235" spans="9:10">
      <c r="I6235" s="68"/>
      <c r="J6235" s="68"/>
    </row>
    <row r="6236" spans="9:10">
      <c r="I6236" s="68"/>
      <c r="J6236" s="68"/>
    </row>
    <row r="6237" spans="9:10">
      <c r="I6237" s="68"/>
      <c r="J6237" s="68"/>
    </row>
    <row r="6238" spans="9:10">
      <c r="I6238" s="68"/>
      <c r="J6238" s="68"/>
    </row>
    <row r="6239" spans="9:10">
      <c r="I6239" s="68"/>
      <c r="J6239" s="68"/>
    </row>
    <row r="6240" spans="9:10">
      <c r="I6240" s="68"/>
      <c r="J6240" s="68"/>
    </row>
    <row r="6241" spans="9:10">
      <c r="I6241" s="68"/>
      <c r="J6241" s="68"/>
    </row>
    <row r="6242" spans="9:10">
      <c r="I6242" s="68"/>
      <c r="J6242" s="68"/>
    </row>
    <row r="6243" spans="9:10">
      <c r="I6243" s="68"/>
      <c r="J6243" s="68"/>
    </row>
    <row r="6244" spans="9:10">
      <c r="I6244" s="68"/>
      <c r="J6244" s="68"/>
    </row>
    <row r="6245" spans="9:10">
      <c r="I6245" s="68"/>
      <c r="J6245" s="68"/>
    </row>
    <row r="6246" spans="9:10">
      <c r="I6246" s="68"/>
      <c r="J6246" s="68"/>
    </row>
    <row r="6247" spans="9:10">
      <c r="I6247" s="68"/>
      <c r="J6247" s="68"/>
    </row>
    <row r="6248" spans="9:10">
      <c r="I6248" s="68"/>
      <c r="J6248" s="68"/>
    </row>
    <row r="6249" spans="9:10">
      <c r="I6249" s="68"/>
      <c r="J6249" s="68"/>
    </row>
    <row r="6250" spans="9:10">
      <c r="I6250" s="68"/>
      <c r="J6250" s="68"/>
    </row>
    <row r="6251" spans="9:10">
      <c r="I6251" s="68"/>
      <c r="J6251" s="68"/>
    </row>
    <row r="6252" spans="9:10">
      <c r="I6252" s="68"/>
      <c r="J6252" s="68"/>
    </row>
    <row r="6253" spans="9:10">
      <c r="I6253" s="68"/>
      <c r="J6253" s="68"/>
    </row>
    <row r="6254" spans="9:10">
      <c r="I6254" s="68"/>
      <c r="J6254" s="68"/>
    </row>
    <row r="6255" spans="9:10">
      <c r="I6255" s="68"/>
      <c r="J6255" s="68"/>
    </row>
    <row r="6256" spans="9:10">
      <c r="I6256" s="68"/>
      <c r="J6256" s="68"/>
    </row>
    <row r="6257" spans="9:10">
      <c r="I6257" s="68"/>
      <c r="J6257" s="68"/>
    </row>
    <row r="6258" spans="9:10">
      <c r="I6258" s="68"/>
      <c r="J6258" s="68"/>
    </row>
    <row r="6259" spans="9:10">
      <c r="I6259" s="68"/>
      <c r="J6259" s="68"/>
    </row>
    <row r="6260" spans="9:10">
      <c r="I6260" s="68"/>
      <c r="J6260" s="68"/>
    </row>
    <row r="6261" spans="9:10">
      <c r="I6261" s="68"/>
      <c r="J6261" s="68"/>
    </row>
    <row r="6262" spans="9:10">
      <c r="I6262" s="68"/>
      <c r="J6262" s="68"/>
    </row>
    <row r="6263" spans="9:10">
      <c r="I6263" s="68"/>
      <c r="J6263" s="68"/>
    </row>
    <row r="6264" spans="9:10">
      <c r="I6264" s="68"/>
      <c r="J6264" s="68"/>
    </row>
    <row r="6265" spans="9:10">
      <c r="I6265" s="68"/>
      <c r="J6265" s="68"/>
    </row>
    <row r="6266" spans="9:10">
      <c r="I6266" s="68"/>
      <c r="J6266" s="68"/>
    </row>
    <row r="6267" spans="9:10">
      <c r="I6267" s="68"/>
      <c r="J6267" s="68"/>
    </row>
    <row r="6268" spans="9:10">
      <c r="I6268" s="68"/>
      <c r="J6268" s="68"/>
    </row>
    <row r="6269" spans="9:10">
      <c r="I6269" s="68"/>
      <c r="J6269" s="68"/>
    </row>
    <row r="6270" spans="9:10">
      <c r="I6270" s="68"/>
      <c r="J6270" s="68"/>
    </row>
    <row r="6271" spans="9:10">
      <c r="I6271" s="68"/>
      <c r="J6271" s="68"/>
    </row>
    <row r="6272" spans="9:10">
      <c r="I6272" s="68"/>
      <c r="J6272" s="68"/>
    </row>
    <row r="6273" spans="9:10">
      <c r="I6273" s="68"/>
      <c r="J6273" s="68"/>
    </row>
    <row r="6274" spans="9:10">
      <c r="I6274" s="68"/>
      <c r="J6274" s="68"/>
    </row>
    <row r="6275" spans="9:10">
      <c r="I6275" s="68"/>
      <c r="J6275" s="68"/>
    </row>
    <row r="6276" spans="9:10">
      <c r="I6276" s="68"/>
      <c r="J6276" s="68"/>
    </row>
    <row r="6277" spans="9:10">
      <c r="I6277" s="68"/>
      <c r="J6277" s="68"/>
    </row>
    <row r="6278" spans="9:10">
      <c r="I6278" s="68"/>
      <c r="J6278" s="68"/>
    </row>
    <row r="6279" spans="9:10">
      <c r="I6279" s="68"/>
      <c r="J6279" s="68"/>
    </row>
    <row r="6280" spans="9:10">
      <c r="I6280" s="68"/>
      <c r="J6280" s="68"/>
    </row>
    <row r="6281" spans="9:10">
      <c r="I6281" s="68"/>
      <c r="J6281" s="68"/>
    </row>
    <row r="6282" spans="9:10">
      <c r="I6282" s="68"/>
      <c r="J6282" s="68"/>
    </row>
    <row r="6283" spans="9:10">
      <c r="I6283" s="68"/>
      <c r="J6283" s="68"/>
    </row>
    <row r="6284" spans="9:10">
      <c r="I6284" s="68"/>
      <c r="J6284" s="68"/>
    </row>
    <row r="6285" spans="9:10">
      <c r="I6285" s="68"/>
      <c r="J6285" s="68"/>
    </row>
    <row r="6286" spans="9:10">
      <c r="I6286" s="68"/>
      <c r="J6286" s="68"/>
    </row>
    <row r="6287" spans="9:10">
      <c r="I6287" s="68"/>
      <c r="J6287" s="68"/>
    </row>
    <row r="6288" spans="9:10">
      <c r="I6288" s="68"/>
      <c r="J6288" s="68"/>
    </row>
    <row r="6289" spans="9:10">
      <c r="I6289" s="68"/>
      <c r="J6289" s="68"/>
    </row>
    <row r="6290" spans="9:10">
      <c r="I6290" s="68"/>
      <c r="J6290" s="68"/>
    </row>
    <row r="6291" spans="9:10">
      <c r="I6291" s="68"/>
      <c r="J6291" s="68"/>
    </row>
    <row r="6292" spans="9:10">
      <c r="I6292" s="68"/>
      <c r="J6292" s="68"/>
    </row>
    <row r="6293" spans="9:10">
      <c r="I6293" s="68"/>
      <c r="J6293" s="68"/>
    </row>
    <row r="6294" spans="9:10">
      <c r="I6294" s="68"/>
      <c r="J6294" s="68"/>
    </row>
    <row r="6295" spans="9:10">
      <c r="I6295" s="68"/>
      <c r="J6295" s="68"/>
    </row>
    <row r="6296" spans="9:10">
      <c r="I6296" s="68"/>
      <c r="J6296" s="68"/>
    </row>
    <row r="6297" spans="9:10">
      <c r="I6297" s="68"/>
      <c r="J6297" s="68"/>
    </row>
    <row r="6298" spans="9:10">
      <c r="I6298" s="68"/>
      <c r="J6298" s="68"/>
    </row>
    <row r="6299" spans="9:10">
      <c r="I6299" s="68"/>
      <c r="J6299" s="68"/>
    </row>
    <row r="6300" spans="9:10">
      <c r="I6300" s="68"/>
      <c r="J6300" s="68"/>
    </row>
    <row r="6301" spans="9:10">
      <c r="I6301" s="68"/>
      <c r="J6301" s="68"/>
    </row>
    <row r="6302" spans="9:10">
      <c r="I6302" s="68"/>
      <c r="J6302" s="68"/>
    </row>
    <row r="6303" spans="9:10">
      <c r="I6303" s="68"/>
      <c r="J6303" s="68"/>
    </row>
    <row r="6304" spans="9:10">
      <c r="I6304" s="68"/>
      <c r="J6304" s="68"/>
    </row>
    <row r="6305" spans="9:10">
      <c r="I6305" s="68"/>
      <c r="J6305" s="68"/>
    </row>
    <row r="6306" spans="9:10">
      <c r="I6306" s="68"/>
      <c r="J6306" s="68"/>
    </row>
    <row r="6307" spans="9:10">
      <c r="I6307" s="68"/>
      <c r="J6307" s="68"/>
    </row>
    <row r="6308" spans="9:10">
      <c r="I6308" s="68"/>
      <c r="J6308" s="68"/>
    </row>
    <row r="6309" spans="9:10">
      <c r="I6309" s="68"/>
      <c r="J6309" s="68"/>
    </row>
    <row r="6310" spans="9:10">
      <c r="I6310" s="68"/>
      <c r="J6310" s="68"/>
    </row>
    <row r="6311" spans="9:10">
      <c r="I6311" s="68"/>
      <c r="J6311" s="68"/>
    </row>
    <row r="6312" spans="9:10">
      <c r="I6312" s="68"/>
      <c r="J6312" s="68"/>
    </row>
    <row r="6313" spans="9:10">
      <c r="I6313" s="68"/>
      <c r="J6313" s="68"/>
    </row>
    <row r="6314" spans="9:10">
      <c r="I6314" s="68"/>
      <c r="J6314" s="68"/>
    </row>
    <row r="6315" spans="9:10">
      <c r="I6315" s="68"/>
      <c r="J6315" s="68"/>
    </row>
    <row r="6316" spans="9:10">
      <c r="I6316" s="68"/>
      <c r="J6316" s="68"/>
    </row>
    <row r="6317" spans="9:10">
      <c r="I6317" s="68"/>
      <c r="J6317" s="68"/>
    </row>
    <row r="6318" spans="9:10">
      <c r="I6318" s="68"/>
      <c r="J6318" s="68"/>
    </row>
    <row r="6319" spans="9:10">
      <c r="I6319" s="68"/>
      <c r="J6319" s="68"/>
    </row>
    <row r="6320" spans="9:10">
      <c r="I6320" s="68"/>
      <c r="J6320" s="68"/>
    </row>
    <row r="6321" spans="9:10">
      <c r="I6321" s="68"/>
      <c r="J6321" s="68"/>
    </row>
    <row r="6322" spans="9:10">
      <c r="I6322" s="68"/>
      <c r="J6322" s="68"/>
    </row>
    <row r="6323" spans="9:10">
      <c r="I6323" s="68"/>
      <c r="J6323" s="68"/>
    </row>
    <row r="6324" spans="9:10">
      <c r="I6324" s="68"/>
      <c r="J6324" s="68"/>
    </row>
    <row r="6325" spans="9:10">
      <c r="I6325" s="68"/>
      <c r="J6325" s="68"/>
    </row>
    <row r="6326" spans="9:10">
      <c r="I6326" s="68"/>
      <c r="J6326" s="68"/>
    </row>
    <row r="6327" spans="9:10">
      <c r="I6327" s="68"/>
      <c r="J6327" s="68"/>
    </row>
    <row r="6328" spans="9:10">
      <c r="I6328" s="68"/>
      <c r="J6328" s="68"/>
    </row>
    <row r="6329" spans="9:10">
      <c r="I6329" s="68"/>
      <c r="J6329" s="68"/>
    </row>
    <row r="6330" spans="9:10">
      <c r="I6330" s="68"/>
      <c r="J6330" s="68"/>
    </row>
    <row r="6331" spans="9:10">
      <c r="I6331" s="68"/>
      <c r="J6331" s="68"/>
    </row>
    <row r="6332" spans="9:10">
      <c r="I6332" s="68"/>
      <c r="J6332" s="68"/>
    </row>
    <row r="6333" spans="9:10">
      <c r="I6333" s="68"/>
      <c r="J6333" s="68"/>
    </row>
    <row r="6334" spans="9:10">
      <c r="I6334" s="68"/>
      <c r="J6334" s="68"/>
    </row>
    <row r="6335" spans="9:10">
      <c r="I6335" s="68"/>
      <c r="J6335" s="68"/>
    </row>
    <row r="6336" spans="9:10">
      <c r="I6336" s="68"/>
      <c r="J6336" s="68"/>
    </row>
    <row r="6337" spans="9:10">
      <c r="I6337" s="68"/>
      <c r="J6337" s="68"/>
    </row>
    <row r="6338" spans="9:10">
      <c r="I6338" s="68"/>
      <c r="J6338" s="68"/>
    </row>
    <row r="6339" spans="9:10">
      <c r="I6339" s="68"/>
      <c r="J6339" s="68"/>
    </row>
    <row r="6340" spans="9:10">
      <c r="I6340" s="68"/>
      <c r="J6340" s="68"/>
    </row>
    <row r="6341" spans="9:10">
      <c r="I6341" s="68"/>
      <c r="J6341" s="68"/>
    </row>
    <row r="6342" spans="9:10">
      <c r="I6342" s="68"/>
      <c r="J6342" s="68"/>
    </row>
    <row r="6343" spans="9:10">
      <c r="I6343" s="68"/>
      <c r="J6343" s="68"/>
    </row>
    <row r="6344" spans="9:10">
      <c r="I6344" s="68"/>
      <c r="J6344" s="68"/>
    </row>
    <row r="6345" spans="9:10">
      <c r="I6345" s="68"/>
      <c r="J6345" s="68"/>
    </row>
    <row r="6346" spans="9:10">
      <c r="I6346" s="68"/>
      <c r="J6346" s="68"/>
    </row>
    <row r="6347" spans="9:10">
      <c r="I6347" s="68"/>
      <c r="J6347" s="68"/>
    </row>
    <row r="6348" spans="9:10">
      <c r="I6348" s="68"/>
      <c r="J6348" s="68"/>
    </row>
    <row r="6349" spans="9:10">
      <c r="I6349" s="68"/>
      <c r="J6349" s="68"/>
    </row>
    <row r="6350" spans="9:10">
      <c r="I6350" s="68"/>
      <c r="J6350" s="68"/>
    </row>
    <row r="6351" spans="9:10">
      <c r="I6351" s="68"/>
      <c r="J6351" s="68"/>
    </row>
    <row r="6352" spans="9:10">
      <c r="I6352" s="68"/>
      <c r="J6352" s="68"/>
    </row>
    <row r="6353" spans="9:10">
      <c r="I6353" s="68"/>
      <c r="J6353" s="68"/>
    </row>
    <row r="6354" spans="9:10">
      <c r="I6354" s="68"/>
      <c r="J6354" s="68"/>
    </row>
    <row r="6355" spans="9:10">
      <c r="I6355" s="68"/>
      <c r="J6355" s="68"/>
    </row>
    <row r="6356" spans="9:10">
      <c r="I6356" s="68"/>
      <c r="J6356" s="68"/>
    </row>
    <row r="6357" spans="9:10">
      <c r="I6357" s="68"/>
      <c r="J6357" s="68"/>
    </row>
    <row r="6358" spans="9:10">
      <c r="I6358" s="68"/>
      <c r="J6358" s="68"/>
    </row>
    <row r="6359" spans="9:10">
      <c r="I6359" s="68"/>
      <c r="J6359" s="68"/>
    </row>
    <row r="6360" spans="9:10">
      <c r="I6360" s="68"/>
      <c r="J6360" s="68"/>
    </row>
    <row r="6361" spans="9:10">
      <c r="I6361" s="68"/>
      <c r="J6361" s="68"/>
    </row>
    <row r="6362" spans="9:10">
      <c r="I6362" s="68"/>
      <c r="J6362" s="68"/>
    </row>
    <row r="6363" spans="9:10">
      <c r="I6363" s="68"/>
      <c r="J6363" s="68"/>
    </row>
    <row r="6364" spans="9:10">
      <c r="I6364" s="68"/>
      <c r="J6364" s="68"/>
    </row>
    <row r="6365" spans="9:10">
      <c r="I6365" s="68"/>
      <c r="J6365" s="68"/>
    </row>
    <row r="6366" spans="9:10">
      <c r="I6366" s="68"/>
      <c r="J6366" s="68"/>
    </row>
    <row r="6367" spans="9:10">
      <c r="I6367" s="68"/>
      <c r="J6367" s="68"/>
    </row>
    <row r="6368" spans="9:10">
      <c r="I6368" s="68"/>
      <c r="J6368" s="68"/>
    </row>
    <row r="6369" spans="9:10">
      <c r="I6369" s="68"/>
      <c r="J6369" s="68"/>
    </row>
    <row r="6370" spans="9:10">
      <c r="I6370" s="68"/>
      <c r="J6370" s="68"/>
    </row>
    <row r="6371" spans="9:10">
      <c r="I6371" s="68"/>
      <c r="J6371" s="68"/>
    </row>
    <row r="6372" spans="9:10">
      <c r="I6372" s="68"/>
      <c r="J6372" s="68"/>
    </row>
  </sheetData>
  <sheetProtection password="C9F1" sheet="1" objects="1" scenarios="1"/>
  <mergeCells count="5">
    <mergeCell ref="B1:M1"/>
    <mergeCell ref="B3:B4"/>
    <mergeCell ref="C3:J3"/>
    <mergeCell ref="L3:L4"/>
    <mergeCell ref="M3:M4"/>
  </mergeCells>
  <phoneticPr fontId="0" type="noConversion"/>
  <pageMargins left="0.75" right="0.75" top="1" bottom="1" header="0.5" footer="0.5"/>
  <pageSetup paperSize="9" scale="74" fitToHeight="25" orientation="portrait" r:id="rId1"/>
  <headerFooter alignWithMargins="0"/>
</worksheet>
</file>

<file path=xl/worksheets/sheet44.xml><?xml version="1.0" encoding="utf-8"?>
<worksheet xmlns="http://schemas.openxmlformats.org/spreadsheetml/2006/main" xmlns:r="http://schemas.openxmlformats.org/officeDocument/2006/relationships">
  <sheetPr codeName="Sheet26">
    <pageSetUpPr fitToPage="1"/>
  </sheetPr>
  <dimension ref="A1:K208"/>
  <sheetViews>
    <sheetView workbookViewId="0">
      <selection activeCell="B1" sqref="B1:K1"/>
    </sheetView>
  </sheetViews>
  <sheetFormatPr defaultRowHeight="12.75"/>
  <cols>
    <col min="1" max="1" width="3.85546875" customWidth="1"/>
    <col min="3" max="5" width="12.7109375" customWidth="1"/>
    <col min="6" max="6" width="2.42578125" customWidth="1"/>
    <col min="8" max="8" width="12.7109375" customWidth="1"/>
    <col min="9" max="9" width="2.5703125" customWidth="1"/>
    <col min="11" max="11" width="12.7109375" customWidth="1"/>
  </cols>
  <sheetData>
    <row r="1" spans="1:11" ht="18">
      <c r="B1" s="1360" t="s">
        <v>582</v>
      </c>
      <c r="C1" s="1360"/>
      <c r="D1" s="1360"/>
      <c r="E1" s="1360"/>
      <c r="F1" s="1360"/>
      <c r="G1" s="1360"/>
      <c r="H1" s="1360"/>
      <c r="I1" s="1360"/>
      <c r="J1" s="1360"/>
      <c r="K1" s="1360"/>
    </row>
    <row r="2" spans="1:11" ht="38.25">
      <c r="B2" s="4" t="s">
        <v>576</v>
      </c>
      <c r="C2" s="2" t="s">
        <v>577</v>
      </c>
      <c r="D2" s="2" t="s">
        <v>578</v>
      </c>
      <c r="E2" s="2" t="s">
        <v>579</v>
      </c>
    </row>
    <row r="3" spans="1:11" ht="12.75" customHeight="1">
      <c r="A3" s="1"/>
      <c r="B3" s="3">
        <v>350</v>
      </c>
      <c r="C3" s="7">
        <v>0.45</v>
      </c>
      <c r="D3" s="7">
        <v>0.3</v>
      </c>
      <c r="E3" s="7">
        <v>0.4</v>
      </c>
      <c r="F3" s="1"/>
      <c r="G3" s="1"/>
    </row>
    <row r="4" spans="1:11" ht="12.75" customHeight="1">
      <c r="A4" s="1"/>
      <c r="B4" s="3">
        <v>450</v>
      </c>
      <c r="C4" s="7">
        <v>0.56000000000000005</v>
      </c>
      <c r="D4" s="7">
        <v>0.4</v>
      </c>
      <c r="E4" s="7">
        <v>0.46</v>
      </c>
      <c r="F4" s="1"/>
      <c r="G4" s="1"/>
    </row>
    <row r="5" spans="1:11" ht="12.75" customHeight="1">
      <c r="A5" s="1"/>
      <c r="B5" s="3">
        <v>550</v>
      </c>
      <c r="C5" s="7">
        <v>0.75</v>
      </c>
      <c r="D5" s="7">
        <v>0.64</v>
      </c>
      <c r="E5" s="7">
        <v>0.54</v>
      </c>
      <c r="F5" s="1"/>
      <c r="G5" s="1"/>
    </row>
    <row r="6" spans="1:11" ht="12.75" customHeight="1">
      <c r="A6" s="1"/>
      <c r="B6" s="5"/>
      <c r="C6" s="5"/>
      <c r="D6" s="5"/>
      <c r="E6" s="5"/>
      <c r="F6" s="1"/>
      <c r="G6" s="1"/>
    </row>
    <row r="7" spans="1:11" ht="38.25">
      <c r="B7" s="4" t="s">
        <v>576</v>
      </c>
      <c r="C7" s="2" t="s">
        <v>577</v>
      </c>
      <c r="D7" s="2" t="s">
        <v>578</v>
      </c>
      <c r="E7" s="2" t="s">
        <v>579</v>
      </c>
      <c r="G7" s="4" t="s">
        <v>576</v>
      </c>
      <c r="H7" s="2" t="s">
        <v>578</v>
      </c>
      <c r="J7" s="4" t="s">
        <v>576</v>
      </c>
      <c r="K7" s="2" t="s">
        <v>579</v>
      </c>
    </row>
    <row r="8" spans="1:11">
      <c r="B8" s="6">
        <v>350</v>
      </c>
      <c r="C8" s="7">
        <f>+C3</f>
        <v>0.45</v>
      </c>
      <c r="D8" s="7">
        <f>+D3</f>
        <v>0.3</v>
      </c>
      <c r="E8" s="7">
        <f>+E3</f>
        <v>0.4</v>
      </c>
      <c r="G8" s="6">
        <v>350</v>
      </c>
      <c r="H8" s="7">
        <f>+D8</f>
        <v>0.3</v>
      </c>
      <c r="J8" s="6">
        <v>350</v>
      </c>
      <c r="K8" s="7">
        <f>+E8</f>
        <v>0.4</v>
      </c>
    </row>
    <row r="9" spans="1:11" ht="12.75" customHeight="1">
      <c r="B9" s="8">
        <v>351</v>
      </c>
      <c r="C9" s="9">
        <f t="shared" ref="C9:C40" si="0">C8+(($C$108-$C$8)/100)</f>
        <v>0.4511</v>
      </c>
      <c r="D9" s="9">
        <f t="shared" ref="D9:D40" si="1">D8+(($D$108-$D$8)/100)</f>
        <v>0.30099999999999999</v>
      </c>
      <c r="E9" s="9">
        <f t="shared" ref="E9:E40" si="2">E8+(($E$108-$E$8)/100)</f>
        <v>0.40060000000000001</v>
      </c>
      <c r="G9" s="8">
        <v>351</v>
      </c>
      <c r="H9" s="9">
        <f t="shared" ref="H9:H40" si="3">H8+(($D$108-$D$8)/100)</f>
        <v>0.30099999999999999</v>
      </c>
      <c r="J9" s="8">
        <v>351</v>
      </c>
      <c r="K9" s="9">
        <f t="shared" ref="K9:K40" si="4">K8+(($E$108-$E$8)/100)</f>
        <v>0.40060000000000001</v>
      </c>
    </row>
    <row r="10" spans="1:11">
      <c r="B10" s="8">
        <v>352</v>
      </c>
      <c r="C10" s="9">
        <f t="shared" si="0"/>
        <v>0.45219999999999999</v>
      </c>
      <c r="D10" s="9">
        <f t="shared" si="1"/>
        <v>0.30199999999999999</v>
      </c>
      <c r="E10" s="9">
        <f t="shared" si="2"/>
        <v>0.4012</v>
      </c>
      <c r="G10" s="8">
        <v>352</v>
      </c>
      <c r="H10" s="9">
        <f t="shared" si="3"/>
        <v>0.30199999999999999</v>
      </c>
      <c r="J10" s="8">
        <v>352</v>
      </c>
      <c r="K10" s="9">
        <f t="shared" si="4"/>
        <v>0.4012</v>
      </c>
    </row>
    <row r="11" spans="1:11">
      <c r="B11" s="8">
        <v>353</v>
      </c>
      <c r="C11" s="9">
        <f t="shared" si="0"/>
        <v>0.45329999999999998</v>
      </c>
      <c r="D11" s="9">
        <f t="shared" si="1"/>
        <v>0.30299999999999999</v>
      </c>
      <c r="E11" s="9">
        <f t="shared" si="2"/>
        <v>0.40179999999999999</v>
      </c>
      <c r="G11" s="8">
        <v>353</v>
      </c>
      <c r="H11" s="9">
        <f t="shared" si="3"/>
        <v>0.30299999999999999</v>
      </c>
      <c r="J11" s="8">
        <v>353</v>
      </c>
      <c r="K11" s="9">
        <f t="shared" si="4"/>
        <v>0.40179999999999999</v>
      </c>
    </row>
    <row r="12" spans="1:11">
      <c r="B12" s="8">
        <v>354</v>
      </c>
      <c r="C12" s="9">
        <f t="shared" si="0"/>
        <v>0.45439999999999997</v>
      </c>
      <c r="D12" s="9">
        <f t="shared" si="1"/>
        <v>0.30399999999999999</v>
      </c>
      <c r="E12" s="9">
        <f t="shared" si="2"/>
        <v>0.40239999999999998</v>
      </c>
      <c r="G12" s="8">
        <v>354</v>
      </c>
      <c r="H12" s="9">
        <f t="shared" si="3"/>
        <v>0.30399999999999999</v>
      </c>
      <c r="J12" s="8">
        <v>354</v>
      </c>
      <c r="K12" s="9">
        <f t="shared" si="4"/>
        <v>0.40239999999999998</v>
      </c>
    </row>
    <row r="13" spans="1:11">
      <c r="B13" s="8">
        <v>355</v>
      </c>
      <c r="C13" s="9">
        <f t="shared" si="0"/>
        <v>0.45549999999999996</v>
      </c>
      <c r="D13" s="9">
        <f t="shared" si="1"/>
        <v>0.30499999999999999</v>
      </c>
      <c r="E13" s="9">
        <f t="shared" si="2"/>
        <v>0.40299999999999997</v>
      </c>
      <c r="G13" s="8">
        <v>355</v>
      </c>
      <c r="H13" s="9">
        <f t="shared" si="3"/>
        <v>0.30499999999999999</v>
      </c>
      <c r="J13" s="8">
        <v>355</v>
      </c>
      <c r="K13" s="9">
        <f t="shared" si="4"/>
        <v>0.40299999999999997</v>
      </c>
    </row>
    <row r="14" spans="1:11">
      <c r="B14" s="8">
        <v>356</v>
      </c>
      <c r="C14" s="9">
        <f t="shared" si="0"/>
        <v>0.45659999999999995</v>
      </c>
      <c r="D14" s="9">
        <f t="shared" si="1"/>
        <v>0.30599999999999999</v>
      </c>
      <c r="E14" s="9">
        <f t="shared" si="2"/>
        <v>0.40359999999999996</v>
      </c>
      <c r="G14" s="8">
        <v>356</v>
      </c>
      <c r="H14" s="9">
        <f t="shared" si="3"/>
        <v>0.30599999999999999</v>
      </c>
      <c r="J14" s="8">
        <v>356</v>
      </c>
      <c r="K14" s="9">
        <f t="shared" si="4"/>
        <v>0.40359999999999996</v>
      </c>
    </row>
    <row r="15" spans="1:11">
      <c r="B15" s="8">
        <v>357</v>
      </c>
      <c r="C15" s="9">
        <f t="shared" si="0"/>
        <v>0.45769999999999994</v>
      </c>
      <c r="D15" s="9">
        <f t="shared" si="1"/>
        <v>0.307</v>
      </c>
      <c r="E15" s="9">
        <f t="shared" si="2"/>
        <v>0.40419999999999995</v>
      </c>
      <c r="G15" s="8">
        <v>357</v>
      </c>
      <c r="H15" s="9">
        <f t="shared" si="3"/>
        <v>0.307</v>
      </c>
      <c r="J15" s="8">
        <v>357</v>
      </c>
      <c r="K15" s="9">
        <f t="shared" si="4"/>
        <v>0.40419999999999995</v>
      </c>
    </row>
    <row r="16" spans="1:11">
      <c r="B16" s="8">
        <v>358</v>
      </c>
      <c r="C16" s="9">
        <f t="shared" si="0"/>
        <v>0.45879999999999993</v>
      </c>
      <c r="D16" s="9">
        <f t="shared" si="1"/>
        <v>0.308</v>
      </c>
      <c r="E16" s="9">
        <f t="shared" si="2"/>
        <v>0.40479999999999994</v>
      </c>
      <c r="G16" s="8">
        <v>358</v>
      </c>
      <c r="H16" s="9">
        <f t="shared" si="3"/>
        <v>0.308</v>
      </c>
      <c r="J16" s="8">
        <v>358</v>
      </c>
      <c r="K16" s="9">
        <f t="shared" si="4"/>
        <v>0.40479999999999994</v>
      </c>
    </row>
    <row r="17" spans="2:11">
      <c r="B17" s="8">
        <v>359</v>
      </c>
      <c r="C17" s="9">
        <f t="shared" si="0"/>
        <v>0.45989999999999992</v>
      </c>
      <c r="D17" s="9">
        <f t="shared" si="1"/>
        <v>0.309</v>
      </c>
      <c r="E17" s="9">
        <f t="shared" si="2"/>
        <v>0.40539999999999993</v>
      </c>
      <c r="G17" s="8">
        <v>359</v>
      </c>
      <c r="H17" s="9">
        <f t="shared" si="3"/>
        <v>0.309</v>
      </c>
      <c r="J17" s="8">
        <v>359</v>
      </c>
      <c r="K17" s="9">
        <f t="shared" si="4"/>
        <v>0.40539999999999993</v>
      </c>
    </row>
    <row r="18" spans="2:11">
      <c r="B18" s="8">
        <v>360</v>
      </c>
      <c r="C18" s="9">
        <f t="shared" si="0"/>
        <v>0.46099999999999991</v>
      </c>
      <c r="D18" s="9">
        <f t="shared" si="1"/>
        <v>0.31</v>
      </c>
      <c r="E18" s="9">
        <f t="shared" si="2"/>
        <v>0.40599999999999992</v>
      </c>
      <c r="G18" s="8">
        <v>360</v>
      </c>
      <c r="H18" s="9">
        <f t="shared" si="3"/>
        <v>0.31</v>
      </c>
      <c r="J18" s="8">
        <v>360</v>
      </c>
      <c r="K18" s="9">
        <f t="shared" si="4"/>
        <v>0.40599999999999992</v>
      </c>
    </row>
    <row r="19" spans="2:11">
      <c r="B19" s="8">
        <v>361</v>
      </c>
      <c r="C19" s="9">
        <f t="shared" si="0"/>
        <v>0.4620999999999999</v>
      </c>
      <c r="D19" s="9">
        <f t="shared" si="1"/>
        <v>0.311</v>
      </c>
      <c r="E19" s="9">
        <f t="shared" si="2"/>
        <v>0.40659999999999991</v>
      </c>
      <c r="G19" s="8">
        <v>361</v>
      </c>
      <c r="H19" s="9">
        <f t="shared" si="3"/>
        <v>0.311</v>
      </c>
      <c r="J19" s="8">
        <v>361</v>
      </c>
      <c r="K19" s="9">
        <f t="shared" si="4"/>
        <v>0.40659999999999991</v>
      </c>
    </row>
    <row r="20" spans="2:11">
      <c r="B20" s="8">
        <v>362</v>
      </c>
      <c r="C20" s="9">
        <f t="shared" si="0"/>
        <v>0.46319999999999989</v>
      </c>
      <c r="D20" s="9">
        <f t="shared" si="1"/>
        <v>0.312</v>
      </c>
      <c r="E20" s="9">
        <f t="shared" si="2"/>
        <v>0.4071999999999999</v>
      </c>
      <c r="G20" s="8">
        <v>362</v>
      </c>
      <c r="H20" s="9">
        <f t="shared" si="3"/>
        <v>0.312</v>
      </c>
      <c r="J20" s="8">
        <v>362</v>
      </c>
      <c r="K20" s="9">
        <f t="shared" si="4"/>
        <v>0.4071999999999999</v>
      </c>
    </row>
    <row r="21" spans="2:11">
      <c r="B21" s="8">
        <v>363</v>
      </c>
      <c r="C21" s="9">
        <f t="shared" si="0"/>
        <v>0.46429999999999988</v>
      </c>
      <c r="D21" s="9">
        <f t="shared" si="1"/>
        <v>0.313</v>
      </c>
      <c r="E21" s="9">
        <f t="shared" si="2"/>
        <v>0.40779999999999988</v>
      </c>
      <c r="G21" s="8">
        <v>363</v>
      </c>
      <c r="H21" s="9">
        <f t="shared" si="3"/>
        <v>0.313</v>
      </c>
      <c r="J21" s="8">
        <v>363</v>
      </c>
      <c r="K21" s="9">
        <f t="shared" si="4"/>
        <v>0.40779999999999988</v>
      </c>
    </row>
    <row r="22" spans="2:11">
      <c r="B22" s="8">
        <v>364</v>
      </c>
      <c r="C22" s="9">
        <f t="shared" si="0"/>
        <v>0.46539999999999987</v>
      </c>
      <c r="D22" s="9">
        <f t="shared" si="1"/>
        <v>0.314</v>
      </c>
      <c r="E22" s="9">
        <f t="shared" si="2"/>
        <v>0.40839999999999987</v>
      </c>
      <c r="G22" s="8">
        <v>364</v>
      </c>
      <c r="H22" s="9">
        <f t="shared" si="3"/>
        <v>0.314</v>
      </c>
      <c r="J22" s="8">
        <v>364</v>
      </c>
      <c r="K22" s="9">
        <f t="shared" si="4"/>
        <v>0.40839999999999987</v>
      </c>
    </row>
    <row r="23" spans="2:11">
      <c r="B23" s="8">
        <v>365</v>
      </c>
      <c r="C23" s="9">
        <f t="shared" si="0"/>
        <v>0.46649999999999986</v>
      </c>
      <c r="D23" s="9">
        <f t="shared" si="1"/>
        <v>0.315</v>
      </c>
      <c r="E23" s="9">
        <f t="shared" si="2"/>
        <v>0.40899999999999986</v>
      </c>
      <c r="G23" s="8">
        <v>365</v>
      </c>
      <c r="H23" s="9">
        <f t="shared" si="3"/>
        <v>0.315</v>
      </c>
      <c r="J23" s="8">
        <v>365</v>
      </c>
      <c r="K23" s="9">
        <f t="shared" si="4"/>
        <v>0.40899999999999986</v>
      </c>
    </row>
    <row r="24" spans="2:11">
      <c r="B24" s="8">
        <v>366</v>
      </c>
      <c r="C24" s="9">
        <f t="shared" si="0"/>
        <v>0.46759999999999985</v>
      </c>
      <c r="D24" s="9">
        <f t="shared" si="1"/>
        <v>0.316</v>
      </c>
      <c r="E24" s="9">
        <f t="shared" si="2"/>
        <v>0.40959999999999985</v>
      </c>
      <c r="G24" s="8">
        <v>366</v>
      </c>
      <c r="H24" s="9">
        <f t="shared" si="3"/>
        <v>0.316</v>
      </c>
      <c r="J24" s="8">
        <v>366</v>
      </c>
      <c r="K24" s="9">
        <f t="shared" si="4"/>
        <v>0.40959999999999985</v>
      </c>
    </row>
    <row r="25" spans="2:11">
      <c r="B25" s="8">
        <v>367</v>
      </c>
      <c r="C25" s="9">
        <f t="shared" si="0"/>
        <v>0.46869999999999984</v>
      </c>
      <c r="D25" s="9">
        <f t="shared" si="1"/>
        <v>0.317</v>
      </c>
      <c r="E25" s="9">
        <f t="shared" si="2"/>
        <v>0.41019999999999984</v>
      </c>
      <c r="G25" s="8">
        <v>367</v>
      </c>
      <c r="H25" s="9">
        <f t="shared" si="3"/>
        <v>0.317</v>
      </c>
      <c r="J25" s="8">
        <v>367</v>
      </c>
      <c r="K25" s="9">
        <f t="shared" si="4"/>
        <v>0.41019999999999984</v>
      </c>
    </row>
    <row r="26" spans="2:11">
      <c r="B26" s="8">
        <v>368</v>
      </c>
      <c r="C26" s="9">
        <f t="shared" si="0"/>
        <v>0.46979999999999983</v>
      </c>
      <c r="D26" s="9">
        <f t="shared" si="1"/>
        <v>0.318</v>
      </c>
      <c r="E26" s="9">
        <f t="shared" si="2"/>
        <v>0.41079999999999983</v>
      </c>
      <c r="G26" s="8">
        <v>368</v>
      </c>
      <c r="H26" s="9">
        <f t="shared" si="3"/>
        <v>0.318</v>
      </c>
      <c r="J26" s="8">
        <v>368</v>
      </c>
      <c r="K26" s="9">
        <f t="shared" si="4"/>
        <v>0.41079999999999983</v>
      </c>
    </row>
    <row r="27" spans="2:11">
      <c r="B27" s="8">
        <v>369</v>
      </c>
      <c r="C27" s="9">
        <f t="shared" si="0"/>
        <v>0.47089999999999982</v>
      </c>
      <c r="D27" s="9">
        <f t="shared" si="1"/>
        <v>0.31900000000000001</v>
      </c>
      <c r="E27" s="9">
        <f t="shared" si="2"/>
        <v>0.41139999999999982</v>
      </c>
      <c r="G27" s="8">
        <v>369</v>
      </c>
      <c r="H27" s="9">
        <f t="shared" si="3"/>
        <v>0.31900000000000001</v>
      </c>
      <c r="J27" s="8">
        <v>369</v>
      </c>
      <c r="K27" s="9">
        <f t="shared" si="4"/>
        <v>0.41139999999999982</v>
      </c>
    </row>
    <row r="28" spans="2:11">
      <c r="B28" s="8">
        <v>370</v>
      </c>
      <c r="C28" s="9">
        <f t="shared" si="0"/>
        <v>0.47199999999999981</v>
      </c>
      <c r="D28" s="9">
        <f t="shared" si="1"/>
        <v>0.32</v>
      </c>
      <c r="E28" s="9">
        <f t="shared" si="2"/>
        <v>0.41199999999999981</v>
      </c>
      <c r="G28" s="8">
        <v>370</v>
      </c>
      <c r="H28" s="9">
        <f t="shared" si="3"/>
        <v>0.32</v>
      </c>
      <c r="J28" s="8">
        <v>370</v>
      </c>
      <c r="K28" s="9">
        <f t="shared" si="4"/>
        <v>0.41199999999999981</v>
      </c>
    </row>
    <row r="29" spans="2:11">
      <c r="B29" s="8">
        <v>371</v>
      </c>
      <c r="C29" s="9">
        <f t="shared" si="0"/>
        <v>0.4730999999999998</v>
      </c>
      <c r="D29" s="9">
        <f t="shared" si="1"/>
        <v>0.32100000000000001</v>
      </c>
      <c r="E29" s="9">
        <f t="shared" si="2"/>
        <v>0.4125999999999998</v>
      </c>
      <c r="G29" s="8">
        <v>371</v>
      </c>
      <c r="H29" s="9">
        <f t="shared" si="3"/>
        <v>0.32100000000000001</v>
      </c>
      <c r="J29" s="8">
        <v>371</v>
      </c>
      <c r="K29" s="9">
        <f t="shared" si="4"/>
        <v>0.4125999999999998</v>
      </c>
    </row>
    <row r="30" spans="2:11">
      <c r="B30" s="8">
        <v>372</v>
      </c>
      <c r="C30" s="9">
        <f t="shared" si="0"/>
        <v>0.47419999999999979</v>
      </c>
      <c r="D30" s="9">
        <f t="shared" si="1"/>
        <v>0.32200000000000001</v>
      </c>
      <c r="E30" s="9">
        <f t="shared" si="2"/>
        <v>0.41319999999999979</v>
      </c>
      <c r="G30" s="8">
        <v>372</v>
      </c>
      <c r="H30" s="9">
        <f t="shared" si="3"/>
        <v>0.32200000000000001</v>
      </c>
      <c r="J30" s="8">
        <v>372</v>
      </c>
      <c r="K30" s="9">
        <f t="shared" si="4"/>
        <v>0.41319999999999979</v>
      </c>
    </row>
    <row r="31" spans="2:11">
      <c r="B31" s="8">
        <v>373</v>
      </c>
      <c r="C31" s="9">
        <f t="shared" si="0"/>
        <v>0.47529999999999978</v>
      </c>
      <c r="D31" s="9">
        <f t="shared" si="1"/>
        <v>0.32300000000000001</v>
      </c>
      <c r="E31" s="9">
        <f t="shared" si="2"/>
        <v>0.41379999999999978</v>
      </c>
      <c r="G31" s="8">
        <v>373</v>
      </c>
      <c r="H31" s="9">
        <f t="shared" si="3"/>
        <v>0.32300000000000001</v>
      </c>
      <c r="J31" s="8">
        <v>373</v>
      </c>
      <c r="K31" s="9">
        <f t="shared" si="4"/>
        <v>0.41379999999999978</v>
      </c>
    </row>
    <row r="32" spans="2:11">
      <c r="B32" s="8">
        <v>374</v>
      </c>
      <c r="C32" s="9">
        <f t="shared" si="0"/>
        <v>0.47639999999999977</v>
      </c>
      <c r="D32" s="9">
        <f t="shared" si="1"/>
        <v>0.32400000000000001</v>
      </c>
      <c r="E32" s="9">
        <f t="shared" si="2"/>
        <v>0.41439999999999977</v>
      </c>
      <c r="G32" s="8">
        <v>374</v>
      </c>
      <c r="H32" s="9">
        <f t="shared" si="3"/>
        <v>0.32400000000000001</v>
      </c>
      <c r="J32" s="8">
        <v>374</v>
      </c>
      <c r="K32" s="9">
        <f t="shared" si="4"/>
        <v>0.41439999999999977</v>
      </c>
    </row>
    <row r="33" spans="2:11">
      <c r="B33" s="8">
        <v>375</v>
      </c>
      <c r="C33" s="9">
        <f t="shared" si="0"/>
        <v>0.47749999999999976</v>
      </c>
      <c r="D33" s="9">
        <f t="shared" si="1"/>
        <v>0.32500000000000001</v>
      </c>
      <c r="E33" s="9">
        <f t="shared" si="2"/>
        <v>0.41499999999999976</v>
      </c>
      <c r="G33" s="8">
        <v>375</v>
      </c>
      <c r="H33" s="9">
        <f t="shared" si="3"/>
        <v>0.32500000000000001</v>
      </c>
      <c r="J33" s="8">
        <v>375</v>
      </c>
      <c r="K33" s="9">
        <f t="shared" si="4"/>
        <v>0.41499999999999976</v>
      </c>
    </row>
    <row r="34" spans="2:11">
      <c r="B34" s="8">
        <v>376</v>
      </c>
      <c r="C34" s="9">
        <f t="shared" si="0"/>
        <v>0.47859999999999975</v>
      </c>
      <c r="D34" s="9">
        <f t="shared" si="1"/>
        <v>0.32600000000000001</v>
      </c>
      <c r="E34" s="9">
        <f t="shared" si="2"/>
        <v>0.41559999999999975</v>
      </c>
      <c r="G34" s="8">
        <v>376</v>
      </c>
      <c r="H34" s="9">
        <f t="shared" si="3"/>
        <v>0.32600000000000001</v>
      </c>
      <c r="J34" s="8">
        <v>376</v>
      </c>
      <c r="K34" s="9">
        <f t="shared" si="4"/>
        <v>0.41559999999999975</v>
      </c>
    </row>
    <row r="35" spans="2:11">
      <c r="B35" s="8">
        <v>377</v>
      </c>
      <c r="C35" s="9">
        <f t="shared" si="0"/>
        <v>0.47969999999999974</v>
      </c>
      <c r="D35" s="9">
        <f t="shared" si="1"/>
        <v>0.32700000000000001</v>
      </c>
      <c r="E35" s="9">
        <f t="shared" si="2"/>
        <v>0.41619999999999974</v>
      </c>
      <c r="G35" s="8">
        <v>377</v>
      </c>
      <c r="H35" s="9">
        <f t="shared" si="3"/>
        <v>0.32700000000000001</v>
      </c>
      <c r="J35" s="8">
        <v>377</v>
      </c>
      <c r="K35" s="9">
        <f t="shared" si="4"/>
        <v>0.41619999999999974</v>
      </c>
    </row>
    <row r="36" spans="2:11">
      <c r="B36" s="8">
        <v>378</v>
      </c>
      <c r="C36" s="9">
        <f t="shared" si="0"/>
        <v>0.48079999999999973</v>
      </c>
      <c r="D36" s="9">
        <f t="shared" si="1"/>
        <v>0.32800000000000001</v>
      </c>
      <c r="E36" s="9">
        <f t="shared" si="2"/>
        <v>0.41679999999999973</v>
      </c>
      <c r="G36" s="8">
        <v>378</v>
      </c>
      <c r="H36" s="9">
        <f t="shared" si="3"/>
        <v>0.32800000000000001</v>
      </c>
      <c r="J36" s="8">
        <v>378</v>
      </c>
      <c r="K36" s="9">
        <f t="shared" si="4"/>
        <v>0.41679999999999973</v>
      </c>
    </row>
    <row r="37" spans="2:11">
      <c r="B37" s="8">
        <v>379</v>
      </c>
      <c r="C37" s="9">
        <f t="shared" si="0"/>
        <v>0.48189999999999972</v>
      </c>
      <c r="D37" s="9">
        <f t="shared" si="1"/>
        <v>0.32900000000000001</v>
      </c>
      <c r="E37" s="9">
        <f t="shared" si="2"/>
        <v>0.41739999999999972</v>
      </c>
      <c r="G37" s="8">
        <v>379</v>
      </c>
      <c r="H37" s="9">
        <f t="shared" si="3"/>
        <v>0.32900000000000001</v>
      </c>
      <c r="J37" s="8">
        <v>379</v>
      </c>
      <c r="K37" s="9">
        <f t="shared" si="4"/>
        <v>0.41739999999999972</v>
      </c>
    </row>
    <row r="38" spans="2:11">
      <c r="B38" s="8">
        <v>380</v>
      </c>
      <c r="C38" s="9">
        <f t="shared" si="0"/>
        <v>0.48299999999999971</v>
      </c>
      <c r="D38" s="9">
        <f t="shared" si="1"/>
        <v>0.33</v>
      </c>
      <c r="E38" s="9">
        <f t="shared" si="2"/>
        <v>0.41799999999999971</v>
      </c>
      <c r="G38" s="8">
        <v>380</v>
      </c>
      <c r="H38" s="9">
        <f t="shared" si="3"/>
        <v>0.33</v>
      </c>
      <c r="J38" s="8">
        <v>380</v>
      </c>
      <c r="K38" s="9">
        <f t="shared" si="4"/>
        <v>0.41799999999999971</v>
      </c>
    </row>
    <row r="39" spans="2:11">
      <c r="B39" s="8">
        <v>381</v>
      </c>
      <c r="C39" s="9">
        <f t="shared" si="0"/>
        <v>0.4840999999999997</v>
      </c>
      <c r="D39" s="9">
        <f t="shared" si="1"/>
        <v>0.33100000000000002</v>
      </c>
      <c r="E39" s="9">
        <f t="shared" si="2"/>
        <v>0.41859999999999969</v>
      </c>
      <c r="G39" s="8">
        <v>381</v>
      </c>
      <c r="H39" s="9">
        <f t="shared" si="3"/>
        <v>0.33100000000000002</v>
      </c>
      <c r="J39" s="8">
        <v>381</v>
      </c>
      <c r="K39" s="9">
        <f t="shared" si="4"/>
        <v>0.41859999999999969</v>
      </c>
    </row>
    <row r="40" spans="2:11">
      <c r="B40" s="8">
        <v>382</v>
      </c>
      <c r="C40" s="9">
        <f t="shared" si="0"/>
        <v>0.48519999999999969</v>
      </c>
      <c r="D40" s="9">
        <f t="shared" si="1"/>
        <v>0.33200000000000002</v>
      </c>
      <c r="E40" s="9">
        <f t="shared" si="2"/>
        <v>0.41919999999999968</v>
      </c>
      <c r="G40" s="8">
        <v>382</v>
      </c>
      <c r="H40" s="9">
        <f t="shared" si="3"/>
        <v>0.33200000000000002</v>
      </c>
      <c r="J40" s="8">
        <v>382</v>
      </c>
      <c r="K40" s="9">
        <f t="shared" si="4"/>
        <v>0.41919999999999968</v>
      </c>
    </row>
    <row r="41" spans="2:11">
      <c r="B41" s="8">
        <v>383</v>
      </c>
      <c r="C41" s="9">
        <f t="shared" ref="C41:C72" si="5">C40+(($C$108-$C$8)/100)</f>
        <v>0.48629999999999968</v>
      </c>
      <c r="D41" s="9">
        <f t="shared" ref="D41:D72" si="6">D40+(($D$108-$D$8)/100)</f>
        <v>0.33300000000000002</v>
      </c>
      <c r="E41" s="9">
        <f t="shared" ref="E41:E72" si="7">E40+(($E$108-$E$8)/100)</f>
        <v>0.41979999999999967</v>
      </c>
      <c r="G41" s="8">
        <v>383</v>
      </c>
      <c r="H41" s="9">
        <f t="shared" ref="H41:H72" si="8">H40+(($D$108-$D$8)/100)</f>
        <v>0.33300000000000002</v>
      </c>
      <c r="J41" s="8">
        <v>383</v>
      </c>
      <c r="K41" s="9">
        <f t="shared" ref="K41:K72" si="9">K40+(($E$108-$E$8)/100)</f>
        <v>0.41979999999999967</v>
      </c>
    </row>
    <row r="42" spans="2:11">
      <c r="B42" s="8">
        <v>384</v>
      </c>
      <c r="C42" s="9">
        <f t="shared" si="5"/>
        <v>0.48739999999999967</v>
      </c>
      <c r="D42" s="9">
        <f t="shared" si="6"/>
        <v>0.33400000000000002</v>
      </c>
      <c r="E42" s="9">
        <f t="shared" si="7"/>
        <v>0.42039999999999966</v>
      </c>
      <c r="G42" s="8">
        <v>384</v>
      </c>
      <c r="H42" s="9">
        <f t="shared" si="8"/>
        <v>0.33400000000000002</v>
      </c>
      <c r="J42" s="8">
        <v>384</v>
      </c>
      <c r="K42" s="9">
        <f t="shared" si="9"/>
        <v>0.42039999999999966</v>
      </c>
    </row>
    <row r="43" spans="2:11">
      <c r="B43" s="8">
        <v>385</v>
      </c>
      <c r="C43" s="9">
        <f t="shared" si="5"/>
        <v>0.48849999999999966</v>
      </c>
      <c r="D43" s="9">
        <f t="shared" si="6"/>
        <v>0.33500000000000002</v>
      </c>
      <c r="E43" s="9">
        <f t="shared" si="7"/>
        <v>0.42099999999999965</v>
      </c>
      <c r="G43" s="8">
        <v>385</v>
      </c>
      <c r="H43" s="9">
        <f t="shared" si="8"/>
        <v>0.33500000000000002</v>
      </c>
      <c r="J43" s="8">
        <v>385</v>
      </c>
      <c r="K43" s="9">
        <f t="shared" si="9"/>
        <v>0.42099999999999965</v>
      </c>
    </row>
    <row r="44" spans="2:11">
      <c r="B44" s="8">
        <v>386</v>
      </c>
      <c r="C44" s="9">
        <f t="shared" si="5"/>
        <v>0.48959999999999965</v>
      </c>
      <c r="D44" s="9">
        <f t="shared" si="6"/>
        <v>0.33600000000000002</v>
      </c>
      <c r="E44" s="9">
        <f t="shared" si="7"/>
        <v>0.42159999999999964</v>
      </c>
      <c r="G44" s="8">
        <v>386</v>
      </c>
      <c r="H44" s="9">
        <f t="shared" si="8"/>
        <v>0.33600000000000002</v>
      </c>
      <c r="J44" s="8">
        <v>386</v>
      </c>
      <c r="K44" s="9">
        <f t="shared" si="9"/>
        <v>0.42159999999999964</v>
      </c>
    </row>
    <row r="45" spans="2:11">
      <c r="B45" s="8">
        <v>387</v>
      </c>
      <c r="C45" s="9">
        <f t="shared" si="5"/>
        <v>0.49069999999999964</v>
      </c>
      <c r="D45" s="9">
        <f t="shared" si="6"/>
        <v>0.33700000000000002</v>
      </c>
      <c r="E45" s="9">
        <f t="shared" si="7"/>
        <v>0.42219999999999963</v>
      </c>
      <c r="G45" s="8">
        <v>387</v>
      </c>
      <c r="H45" s="9">
        <f t="shared" si="8"/>
        <v>0.33700000000000002</v>
      </c>
      <c r="J45" s="8">
        <v>387</v>
      </c>
      <c r="K45" s="9">
        <f t="shared" si="9"/>
        <v>0.42219999999999963</v>
      </c>
    </row>
    <row r="46" spans="2:11">
      <c r="B46" s="8">
        <v>388</v>
      </c>
      <c r="C46" s="9">
        <f t="shared" si="5"/>
        <v>0.49179999999999963</v>
      </c>
      <c r="D46" s="9">
        <f t="shared" si="6"/>
        <v>0.33800000000000002</v>
      </c>
      <c r="E46" s="9">
        <f t="shared" si="7"/>
        <v>0.42279999999999962</v>
      </c>
      <c r="G46" s="8">
        <v>388</v>
      </c>
      <c r="H46" s="9">
        <f t="shared" si="8"/>
        <v>0.33800000000000002</v>
      </c>
      <c r="J46" s="8">
        <v>388</v>
      </c>
      <c r="K46" s="9">
        <f t="shared" si="9"/>
        <v>0.42279999999999962</v>
      </c>
    </row>
    <row r="47" spans="2:11">
      <c r="B47" s="8">
        <v>389</v>
      </c>
      <c r="C47" s="9">
        <f t="shared" si="5"/>
        <v>0.49289999999999962</v>
      </c>
      <c r="D47" s="9">
        <f t="shared" si="6"/>
        <v>0.33900000000000002</v>
      </c>
      <c r="E47" s="9">
        <f t="shared" si="7"/>
        <v>0.42339999999999961</v>
      </c>
      <c r="G47" s="8">
        <v>389</v>
      </c>
      <c r="H47" s="9">
        <f t="shared" si="8"/>
        <v>0.33900000000000002</v>
      </c>
      <c r="J47" s="8">
        <v>389</v>
      </c>
      <c r="K47" s="9">
        <f t="shared" si="9"/>
        <v>0.42339999999999961</v>
      </c>
    </row>
    <row r="48" spans="2:11">
      <c r="B48" s="8">
        <v>390</v>
      </c>
      <c r="C48" s="9">
        <f t="shared" si="5"/>
        <v>0.49399999999999961</v>
      </c>
      <c r="D48" s="9">
        <f t="shared" si="6"/>
        <v>0.34</v>
      </c>
      <c r="E48" s="9">
        <f t="shared" si="7"/>
        <v>0.4239999999999996</v>
      </c>
      <c r="G48" s="8">
        <v>390</v>
      </c>
      <c r="H48" s="9">
        <f t="shared" si="8"/>
        <v>0.34</v>
      </c>
      <c r="J48" s="8">
        <v>390</v>
      </c>
      <c r="K48" s="9">
        <f t="shared" si="9"/>
        <v>0.4239999999999996</v>
      </c>
    </row>
    <row r="49" spans="2:11">
      <c r="B49" s="8">
        <v>391</v>
      </c>
      <c r="C49" s="9">
        <f t="shared" si="5"/>
        <v>0.4950999999999996</v>
      </c>
      <c r="D49" s="9">
        <f t="shared" si="6"/>
        <v>0.34100000000000003</v>
      </c>
      <c r="E49" s="9">
        <f t="shared" si="7"/>
        <v>0.42459999999999959</v>
      </c>
      <c r="G49" s="8">
        <v>391</v>
      </c>
      <c r="H49" s="9">
        <f t="shared" si="8"/>
        <v>0.34100000000000003</v>
      </c>
      <c r="J49" s="8">
        <v>391</v>
      </c>
      <c r="K49" s="9">
        <f t="shared" si="9"/>
        <v>0.42459999999999959</v>
      </c>
    </row>
    <row r="50" spans="2:11">
      <c r="B50" s="8">
        <v>392</v>
      </c>
      <c r="C50" s="9">
        <f t="shared" si="5"/>
        <v>0.49619999999999959</v>
      </c>
      <c r="D50" s="9">
        <f t="shared" si="6"/>
        <v>0.34200000000000003</v>
      </c>
      <c r="E50" s="9">
        <f t="shared" si="7"/>
        <v>0.42519999999999958</v>
      </c>
      <c r="G50" s="8">
        <v>392</v>
      </c>
      <c r="H50" s="9">
        <f t="shared" si="8"/>
        <v>0.34200000000000003</v>
      </c>
      <c r="J50" s="8">
        <v>392</v>
      </c>
      <c r="K50" s="9">
        <f t="shared" si="9"/>
        <v>0.42519999999999958</v>
      </c>
    </row>
    <row r="51" spans="2:11">
      <c r="B51" s="8">
        <v>393</v>
      </c>
      <c r="C51" s="9">
        <f t="shared" si="5"/>
        <v>0.49729999999999958</v>
      </c>
      <c r="D51" s="9">
        <f t="shared" si="6"/>
        <v>0.34300000000000003</v>
      </c>
      <c r="E51" s="9">
        <f t="shared" si="7"/>
        <v>0.42579999999999957</v>
      </c>
      <c r="G51" s="8">
        <v>393</v>
      </c>
      <c r="H51" s="9">
        <f t="shared" si="8"/>
        <v>0.34300000000000003</v>
      </c>
      <c r="J51" s="8">
        <v>393</v>
      </c>
      <c r="K51" s="9">
        <f t="shared" si="9"/>
        <v>0.42579999999999957</v>
      </c>
    </row>
    <row r="52" spans="2:11">
      <c r="B52" s="8">
        <v>394</v>
      </c>
      <c r="C52" s="9">
        <f t="shared" si="5"/>
        <v>0.49839999999999957</v>
      </c>
      <c r="D52" s="9">
        <f t="shared" si="6"/>
        <v>0.34400000000000003</v>
      </c>
      <c r="E52" s="9">
        <f t="shared" si="7"/>
        <v>0.42639999999999956</v>
      </c>
      <c r="G52" s="8">
        <v>394</v>
      </c>
      <c r="H52" s="9">
        <f t="shared" si="8"/>
        <v>0.34400000000000003</v>
      </c>
      <c r="J52" s="8">
        <v>394</v>
      </c>
      <c r="K52" s="9">
        <f t="shared" si="9"/>
        <v>0.42639999999999956</v>
      </c>
    </row>
    <row r="53" spans="2:11">
      <c r="B53" s="8">
        <v>395</v>
      </c>
      <c r="C53" s="9">
        <f t="shared" si="5"/>
        <v>0.49949999999999956</v>
      </c>
      <c r="D53" s="9">
        <f t="shared" si="6"/>
        <v>0.34500000000000003</v>
      </c>
      <c r="E53" s="9">
        <f t="shared" si="7"/>
        <v>0.42699999999999955</v>
      </c>
      <c r="G53" s="8">
        <v>395</v>
      </c>
      <c r="H53" s="9">
        <f t="shared" si="8"/>
        <v>0.34500000000000003</v>
      </c>
      <c r="J53" s="8">
        <v>395</v>
      </c>
      <c r="K53" s="9">
        <f t="shared" si="9"/>
        <v>0.42699999999999955</v>
      </c>
    </row>
    <row r="54" spans="2:11">
      <c r="B54" s="8">
        <v>396</v>
      </c>
      <c r="C54" s="9">
        <f t="shared" si="5"/>
        <v>0.5005999999999996</v>
      </c>
      <c r="D54" s="9">
        <f t="shared" si="6"/>
        <v>0.34600000000000003</v>
      </c>
      <c r="E54" s="9">
        <f t="shared" si="7"/>
        <v>0.42759999999999954</v>
      </c>
      <c r="G54" s="8">
        <v>396</v>
      </c>
      <c r="H54" s="9">
        <f t="shared" si="8"/>
        <v>0.34600000000000003</v>
      </c>
      <c r="J54" s="8">
        <v>396</v>
      </c>
      <c r="K54" s="9">
        <f t="shared" si="9"/>
        <v>0.42759999999999954</v>
      </c>
    </row>
    <row r="55" spans="2:11">
      <c r="B55" s="8">
        <v>397</v>
      </c>
      <c r="C55" s="9">
        <f t="shared" si="5"/>
        <v>0.50169999999999959</v>
      </c>
      <c r="D55" s="9">
        <f t="shared" si="6"/>
        <v>0.34700000000000003</v>
      </c>
      <c r="E55" s="9">
        <f t="shared" si="7"/>
        <v>0.42819999999999953</v>
      </c>
      <c r="G55" s="8">
        <v>397</v>
      </c>
      <c r="H55" s="9">
        <f t="shared" si="8"/>
        <v>0.34700000000000003</v>
      </c>
      <c r="J55" s="8">
        <v>397</v>
      </c>
      <c r="K55" s="9">
        <f t="shared" si="9"/>
        <v>0.42819999999999953</v>
      </c>
    </row>
    <row r="56" spans="2:11">
      <c r="B56" s="8">
        <v>398</v>
      </c>
      <c r="C56" s="9">
        <f t="shared" si="5"/>
        <v>0.50279999999999958</v>
      </c>
      <c r="D56" s="9">
        <f t="shared" si="6"/>
        <v>0.34800000000000003</v>
      </c>
      <c r="E56" s="9">
        <f t="shared" si="7"/>
        <v>0.42879999999999951</v>
      </c>
      <c r="G56" s="8">
        <v>398</v>
      </c>
      <c r="H56" s="9">
        <f t="shared" si="8"/>
        <v>0.34800000000000003</v>
      </c>
      <c r="J56" s="8">
        <v>398</v>
      </c>
      <c r="K56" s="9">
        <f t="shared" si="9"/>
        <v>0.42879999999999951</v>
      </c>
    </row>
    <row r="57" spans="2:11">
      <c r="B57" s="8">
        <v>399</v>
      </c>
      <c r="C57" s="9">
        <f t="shared" si="5"/>
        <v>0.50389999999999957</v>
      </c>
      <c r="D57" s="9">
        <f t="shared" si="6"/>
        <v>0.34900000000000003</v>
      </c>
      <c r="E57" s="9">
        <f t="shared" si="7"/>
        <v>0.4293999999999995</v>
      </c>
      <c r="G57" s="8">
        <v>399</v>
      </c>
      <c r="H57" s="9">
        <f t="shared" si="8"/>
        <v>0.34900000000000003</v>
      </c>
      <c r="J57" s="8">
        <v>399</v>
      </c>
      <c r="K57" s="9">
        <f t="shared" si="9"/>
        <v>0.4293999999999995</v>
      </c>
    </row>
    <row r="58" spans="2:11">
      <c r="B58" s="8">
        <v>400</v>
      </c>
      <c r="C58" s="9">
        <f t="shared" si="5"/>
        <v>0.50499999999999956</v>
      </c>
      <c r="D58" s="9">
        <f t="shared" si="6"/>
        <v>0.35000000000000003</v>
      </c>
      <c r="E58" s="9">
        <f t="shared" si="7"/>
        <v>0.42999999999999949</v>
      </c>
      <c r="G58" s="8">
        <v>400</v>
      </c>
      <c r="H58" s="9">
        <f t="shared" si="8"/>
        <v>0.35000000000000003</v>
      </c>
      <c r="J58" s="8">
        <v>400</v>
      </c>
      <c r="K58" s="9">
        <f t="shared" si="9"/>
        <v>0.42999999999999949</v>
      </c>
    </row>
    <row r="59" spans="2:11">
      <c r="B59" s="8">
        <v>401</v>
      </c>
      <c r="C59" s="9">
        <f t="shared" si="5"/>
        <v>0.50609999999999955</v>
      </c>
      <c r="D59" s="9">
        <f t="shared" si="6"/>
        <v>0.35100000000000003</v>
      </c>
      <c r="E59" s="9">
        <f t="shared" si="7"/>
        <v>0.43059999999999948</v>
      </c>
      <c r="G59" s="8">
        <v>401</v>
      </c>
      <c r="H59" s="9">
        <f t="shared" si="8"/>
        <v>0.35100000000000003</v>
      </c>
      <c r="J59" s="8">
        <v>401</v>
      </c>
      <c r="K59" s="9">
        <f t="shared" si="9"/>
        <v>0.43059999999999948</v>
      </c>
    </row>
    <row r="60" spans="2:11">
      <c r="B60" s="8">
        <v>402</v>
      </c>
      <c r="C60" s="9">
        <f t="shared" si="5"/>
        <v>0.50719999999999954</v>
      </c>
      <c r="D60" s="9">
        <f t="shared" si="6"/>
        <v>0.35200000000000004</v>
      </c>
      <c r="E60" s="9">
        <f t="shared" si="7"/>
        <v>0.43119999999999947</v>
      </c>
      <c r="G60" s="8">
        <v>402</v>
      </c>
      <c r="H60" s="9">
        <f t="shared" si="8"/>
        <v>0.35200000000000004</v>
      </c>
      <c r="J60" s="8">
        <v>402</v>
      </c>
      <c r="K60" s="9">
        <f t="shared" si="9"/>
        <v>0.43119999999999947</v>
      </c>
    </row>
    <row r="61" spans="2:11">
      <c r="B61" s="8">
        <v>403</v>
      </c>
      <c r="C61" s="9">
        <f t="shared" si="5"/>
        <v>0.50829999999999953</v>
      </c>
      <c r="D61" s="9">
        <f t="shared" si="6"/>
        <v>0.35300000000000004</v>
      </c>
      <c r="E61" s="9">
        <f t="shared" si="7"/>
        <v>0.43179999999999946</v>
      </c>
      <c r="G61" s="8">
        <v>403</v>
      </c>
      <c r="H61" s="9">
        <f t="shared" si="8"/>
        <v>0.35300000000000004</v>
      </c>
      <c r="J61" s="8">
        <v>403</v>
      </c>
      <c r="K61" s="9">
        <f t="shared" si="9"/>
        <v>0.43179999999999946</v>
      </c>
    </row>
    <row r="62" spans="2:11">
      <c r="B62" s="8">
        <v>404</v>
      </c>
      <c r="C62" s="9">
        <f t="shared" si="5"/>
        <v>0.50939999999999952</v>
      </c>
      <c r="D62" s="9">
        <f t="shared" si="6"/>
        <v>0.35400000000000004</v>
      </c>
      <c r="E62" s="9">
        <f t="shared" si="7"/>
        <v>0.43239999999999945</v>
      </c>
      <c r="G62" s="8">
        <v>404</v>
      </c>
      <c r="H62" s="9">
        <f t="shared" si="8"/>
        <v>0.35400000000000004</v>
      </c>
      <c r="J62" s="8">
        <v>404</v>
      </c>
      <c r="K62" s="9">
        <f t="shared" si="9"/>
        <v>0.43239999999999945</v>
      </c>
    </row>
    <row r="63" spans="2:11">
      <c r="B63" s="8">
        <v>405</v>
      </c>
      <c r="C63" s="9">
        <f t="shared" si="5"/>
        <v>0.51049999999999951</v>
      </c>
      <c r="D63" s="9">
        <f t="shared" si="6"/>
        <v>0.35500000000000004</v>
      </c>
      <c r="E63" s="9">
        <f t="shared" si="7"/>
        <v>0.43299999999999944</v>
      </c>
      <c r="G63" s="8">
        <v>405</v>
      </c>
      <c r="H63" s="9">
        <f t="shared" si="8"/>
        <v>0.35500000000000004</v>
      </c>
      <c r="J63" s="8">
        <v>405</v>
      </c>
      <c r="K63" s="9">
        <f t="shared" si="9"/>
        <v>0.43299999999999944</v>
      </c>
    </row>
    <row r="64" spans="2:11">
      <c r="B64" s="8">
        <v>406</v>
      </c>
      <c r="C64" s="9">
        <f t="shared" si="5"/>
        <v>0.5115999999999995</v>
      </c>
      <c r="D64" s="9">
        <f t="shared" si="6"/>
        <v>0.35600000000000004</v>
      </c>
      <c r="E64" s="9">
        <f t="shared" si="7"/>
        <v>0.43359999999999943</v>
      </c>
      <c r="G64" s="8">
        <v>406</v>
      </c>
      <c r="H64" s="9">
        <f t="shared" si="8"/>
        <v>0.35600000000000004</v>
      </c>
      <c r="J64" s="8">
        <v>406</v>
      </c>
      <c r="K64" s="9">
        <f t="shared" si="9"/>
        <v>0.43359999999999943</v>
      </c>
    </row>
    <row r="65" spans="2:11">
      <c r="B65" s="8">
        <v>407</v>
      </c>
      <c r="C65" s="9">
        <f t="shared" si="5"/>
        <v>0.51269999999999949</v>
      </c>
      <c r="D65" s="9">
        <f t="shared" si="6"/>
        <v>0.35700000000000004</v>
      </c>
      <c r="E65" s="9">
        <f t="shared" si="7"/>
        <v>0.43419999999999942</v>
      </c>
      <c r="G65" s="8">
        <v>407</v>
      </c>
      <c r="H65" s="9">
        <f t="shared" si="8"/>
        <v>0.35700000000000004</v>
      </c>
      <c r="J65" s="8">
        <v>407</v>
      </c>
      <c r="K65" s="9">
        <f t="shared" si="9"/>
        <v>0.43419999999999942</v>
      </c>
    </row>
    <row r="66" spans="2:11">
      <c r="B66" s="8">
        <v>408</v>
      </c>
      <c r="C66" s="9">
        <f t="shared" si="5"/>
        <v>0.51379999999999948</v>
      </c>
      <c r="D66" s="9">
        <f t="shared" si="6"/>
        <v>0.35800000000000004</v>
      </c>
      <c r="E66" s="9">
        <f t="shared" si="7"/>
        <v>0.43479999999999941</v>
      </c>
      <c r="G66" s="8">
        <v>408</v>
      </c>
      <c r="H66" s="9">
        <f t="shared" si="8"/>
        <v>0.35800000000000004</v>
      </c>
      <c r="J66" s="8">
        <v>408</v>
      </c>
      <c r="K66" s="9">
        <f t="shared" si="9"/>
        <v>0.43479999999999941</v>
      </c>
    </row>
    <row r="67" spans="2:11">
      <c r="B67" s="8">
        <v>409</v>
      </c>
      <c r="C67" s="9">
        <f t="shared" si="5"/>
        <v>0.51489999999999947</v>
      </c>
      <c r="D67" s="9">
        <f t="shared" si="6"/>
        <v>0.35900000000000004</v>
      </c>
      <c r="E67" s="9">
        <f t="shared" si="7"/>
        <v>0.4353999999999994</v>
      </c>
      <c r="G67" s="8">
        <v>409</v>
      </c>
      <c r="H67" s="9">
        <f t="shared" si="8"/>
        <v>0.35900000000000004</v>
      </c>
      <c r="J67" s="8">
        <v>409</v>
      </c>
      <c r="K67" s="9">
        <f t="shared" si="9"/>
        <v>0.4353999999999994</v>
      </c>
    </row>
    <row r="68" spans="2:11">
      <c r="B68" s="8">
        <v>410</v>
      </c>
      <c r="C68" s="9">
        <f t="shared" si="5"/>
        <v>0.51599999999999946</v>
      </c>
      <c r="D68" s="9">
        <f t="shared" si="6"/>
        <v>0.36000000000000004</v>
      </c>
      <c r="E68" s="9">
        <f t="shared" si="7"/>
        <v>0.43599999999999939</v>
      </c>
      <c r="G68" s="8">
        <v>410</v>
      </c>
      <c r="H68" s="9">
        <f t="shared" si="8"/>
        <v>0.36000000000000004</v>
      </c>
      <c r="J68" s="8">
        <v>410</v>
      </c>
      <c r="K68" s="9">
        <f t="shared" si="9"/>
        <v>0.43599999999999939</v>
      </c>
    </row>
    <row r="69" spans="2:11">
      <c r="B69" s="8">
        <v>411</v>
      </c>
      <c r="C69" s="9">
        <f t="shared" si="5"/>
        <v>0.51709999999999945</v>
      </c>
      <c r="D69" s="9">
        <f t="shared" si="6"/>
        <v>0.36100000000000004</v>
      </c>
      <c r="E69" s="9">
        <f t="shared" si="7"/>
        <v>0.43659999999999938</v>
      </c>
      <c r="G69" s="8">
        <v>411</v>
      </c>
      <c r="H69" s="9">
        <f t="shared" si="8"/>
        <v>0.36100000000000004</v>
      </c>
      <c r="J69" s="8">
        <v>411</v>
      </c>
      <c r="K69" s="9">
        <f t="shared" si="9"/>
        <v>0.43659999999999938</v>
      </c>
    </row>
    <row r="70" spans="2:11">
      <c r="B70" s="8">
        <v>412</v>
      </c>
      <c r="C70" s="9">
        <f t="shared" si="5"/>
        <v>0.51819999999999944</v>
      </c>
      <c r="D70" s="9">
        <f t="shared" si="6"/>
        <v>0.36200000000000004</v>
      </c>
      <c r="E70" s="9">
        <f t="shared" si="7"/>
        <v>0.43719999999999937</v>
      </c>
      <c r="G70" s="8">
        <v>412</v>
      </c>
      <c r="H70" s="9">
        <f t="shared" si="8"/>
        <v>0.36200000000000004</v>
      </c>
      <c r="J70" s="8">
        <v>412</v>
      </c>
      <c r="K70" s="9">
        <f t="shared" si="9"/>
        <v>0.43719999999999937</v>
      </c>
    </row>
    <row r="71" spans="2:11">
      <c r="B71" s="8">
        <v>413</v>
      </c>
      <c r="C71" s="9">
        <f t="shared" si="5"/>
        <v>0.51929999999999943</v>
      </c>
      <c r="D71" s="9">
        <f t="shared" si="6"/>
        <v>0.36300000000000004</v>
      </c>
      <c r="E71" s="9">
        <f t="shared" si="7"/>
        <v>0.43779999999999936</v>
      </c>
      <c r="G71" s="8">
        <v>413</v>
      </c>
      <c r="H71" s="9">
        <f t="shared" si="8"/>
        <v>0.36300000000000004</v>
      </c>
      <c r="J71" s="8">
        <v>413</v>
      </c>
      <c r="K71" s="9">
        <f t="shared" si="9"/>
        <v>0.43779999999999936</v>
      </c>
    </row>
    <row r="72" spans="2:11">
      <c r="B72" s="8">
        <v>414</v>
      </c>
      <c r="C72" s="9">
        <f t="shared" si="5"/>
        <v>0.52039999999999942</v>
      </c>
      <c r="D72" s="9">
        <f t="shared" si="6"/>
        <v>0.36400000000000005</v>
      </c>
      <c r="E72" s="9">
        <f t="shared" si="7"/>
        <v>0.43839999999999935</v>
      </c>
      <c r="G72" s="8">
        <v>414</v>
      </c>
      <c r="H72" s="9">
        <f t="shared" si="8"/>
        <v>0.36400000000000005</v>
      </c>
      <c r="J72" s="8">
        <v>414</v>
      </c>
      <c r="K72" s="9">
        <f t="shared" si="9"/>
        <v>0.43839999999999935</v>
      </c>
    </row>
    <row r="73" spans="2:11">
      <c r="B73" s="8">
        <v>415</v>
      </c>
      <c r="C73" s="9">
        <f t="shared" ref="C73:C107" si="10">C72+(($C$108-$C$8)/100)</f>
        <v>0.52149999999999941</v>
      </c>
      <c r="D73" s="9">
        <f t="shared" ref="D73:D107" si="11">D72+(($D$108-$D$8)/100)</f>
        <v>0.36500000000000005</v>
      </c>
      <c r="E73" s="9">
        <f t="shared" ref="E73:E107" si="12">E72+(($E$108-$E$8)/100)</f>
        <v>0.43899999999999934</v>
      </c>
      <c r="G73" s="8">
        <v>415</v>
      </c>
      <c r="H73" s="9">
        <f t="shared" ref="H73:H107" si="13">H72+(($D$108-$D$8)/100)</f>
        <v>0.36500000000000005</v>
      </c>
      <c r="J73" s="8">
        <v>415</v>
      </c>
      <c r="K73" s="9">
        <f t="shared" ref="K73:K107" si="14">K72+(($E$108-$E$8)/100)</f>
        <v>0.43899999999999934</v>
      </c>
    </row>
    <row r="74" spans="2:11">
      <c r="B74" s="8">
        <v>416</v>
      </c>
      <c r="C74" s="9">
        <f t="shared" si="10"/>
        <v>0.5225999999999994</v>
      </c>
      <c r="D74" s="9">
        <f t="shared" si="11"/>
        <v>0.36600000000000005</v>
      </c>
      <c r="E74" s="9">
        <f t="shared" si="12"/>
        <v>0.43959999999999932</v>
      </c>
      <c r="G74" s="8">
        <v>416</v>
      </c>
      <c r="H74" s="9">
        <f t="shared" si="13"/>
        <v>0.36600000000000005</v>
      </c>
      <c r="J74" s="8">
        <v>416</v>
      </c>
      <c r="K74" s="9">
        <f t="shared" si="14"/>
        <v>0.43959999999999932</v>
      </c>
    </row>
    <row r="75" spans="2:11">
      <c r="B75" s="8">
        <v>417</v>
      </c>
      <c r="C75" s="9">
        <f t="shared" si="10"/>
        <v>0.52369999999999939</v>
      </c>
      <c r="D75" s="9">
        <f t="shared" si="11"/>
        <v>0.36700000000000005</v>
      </c>
      <c r="E75" s="9">
        <f t="shared" si="12"/>
        <v>0.44019999999999931</v>
      </c>
      <c r="G75" s="8">
        <v>417</v>
      </c>
      <c r="H75" s="9">
        <f t="shared" si="13"/>
        <v>0.36700000000000005</v>
      </c>
      <c r="J75" s="8">
        <v>417</v>
      </c>
      <c r="K75" s="9">
        <f t="shared" si="14"/>
        <v>0.44019999999999931</v>
      </c>
    </row>
    <row r="76" spans="2:11">
      <c r="B76" s="8">
        <v>418</v>
      </c>
      <c r="C76" s="9">
        <f t="shared" si="10"/>
        <v>0.52479999999999938</v>
      </c>
      <c r="D76" s="9">
        <f t="shared" si="11"/>
        <v>0.36800000000000005</v>
      </c>
      <c r="E76" s="9">
        <f t="shared" si="12"/>
        <v>0.4407999999999993</v>
      </c>
      <c r="G76" s="8">
        <v>418</v>
      </c>
      <c r="H76" s="9">
        <f t="shared" si="13"/>
        <v>0.36800000000000005</v>
      </c>
      <c r="J76" s="8">
        <v>418</v>
      </c>
      <c r="K76" s="9">
        <f t="shared" si="14"/>
        <v>0.4407999999999993</v>
      </c>
    </row>
    <row r="77" spans="2:11">
      <c r="B77" s="8">
        <v>419</v>
      </c>
      <c r="C77" s="9">
        <f t="shared" si="10"/>
        <v>0.52589999999999937</v>
      </c>
      <c r="D77" s="9">
        <f t="shared" si="11"/>
        <v>0.36900000000000005</v>
      </c>
      <c r="E77" s="9">
        <f t="shared" si="12"/>
        <v>0.44139999999999929</v>
      </c>
      <c r="G77" s="8">
        <v>419</v>
      </c>
      <c r="H77" s="9">
        <f t="shared" si="13"/>
        <v>0.36900000000000005</v>
      </c>
      <c r="J77" s="8">
        <v>419</v>
      </c>
      <c r="K77" s="9">
        <f t="shared" si="14"/>
        <v>0.44139999999999929</v>
      </c>
    </row>
    <row r="78" spans="2:11">
      <c r="B78" s="8">
        <v>420</v>
      </c>
      <c r="C78" s="9">
        <f t="shared" si="10"/>
        <v>0.52699999999999936</v>
      </c>
      <c r="D78" s="9">
        <f t="shared" si="11"/>
        <v>0.37000000000000005</v>
      </c>
      <c r="E78" s="9">
        <f t="shared" si="12"/>
        <v>0.44199999999999928</v>
      </c>
      <c r="G78" s="8">
        <v>420</v>
      </c>
      <c r="H78" s="9">
        <f t="shared" si="13"/>
        <v>0.37000000000000005</v>
      </c>
      <c r="J78" s="8">
        <v>420</v>
      </c>
      <c r="K78" s="9">
        <f t="shared" si="14"/>
        <v>0.44199999999999928</v>
      </c>
    </row>
    <row r="79" spans="2:11">
      <c r="B79" s="8">
        <v>421</v>
      </c>
      <c r="C79" s="9">
        <f t="shared" si="10"/>
        <v>0.52809999999999935</v>
      </c>
      <c r="D79" s="9">
        <f t="shared" si="11"/>
        <v>0.37100000000000005</v>
      </c>
      <c r="E79" s="9">
        <f t="shared" si="12"/>
        <v>0.44259999999999927</v>
      </c>
      <c r="G79" s="8">
        <v>421</v>
      </c>
      <c r="H79" s="9">
        <f t="shared" si="13"/>
        <v>0.37100000000000005</v>
      </c>
      <c r="J79" s="8">
        <v>421</v>
      </c>
      <c r="K79" s="9">
        <f t="shared" si="14"/>
        <v>0.44259999999999927</v>
      </c>
    </row>
    <row r="80" spans="2:11">
      <c r="B80" s="8">
        <v>422</v>
      </c>
      <c r="C80" s="9">
        <f t="shared" si="10"/>
        <v>0.52919999999999934</v>
      </c>
      <c r="D80" s="9">
        <f t="shared" si="11"/>
        <v>0.37200000000000005</v>
      </c>
      <c r="E80" s="9">
        <f t="shared" si="12"/>
        <v>0.44319999999999926</v>
      </c>
      <c r="G80" s="8">
        <v>422</v>
      </c>
      <c r="H80" s="9">
        <f t="shared" si="13"/>
        <v>0.37200000000000005</v>
      </c>
      <c r="J80" s="8">
        <v>422</v>
      </c>
      <c r="K80" s="9">
        <f t="shared" si="14"/>
        <v>0.44319999999999926</v>
      </c>
    </row>
    <row r="81" spans="2:11">
      <c r="B81" s="8">
        <v>423</v>
      </c>
      <c r="C81" s="9">
        <f t="shared" si="10"/>
        <v>0.53029999999999933</v>
      </c>
      <c r="D81" s="9">
        <f t="shared" si="11"/>
        <v>0.37300000000000005</v>
      </c>
      <c r="E81" s="9">
        <f t="shared" si="12"/>
        <v>0.44379999999999925</v>
      </c>
      <c r="G81" s="8">
        <v>423</v>
      </c>
      <c r="H81" s="9">
        <f t="shared" si="13"/>
        <v>0.37300000000000005</v>
      </c>
      <c r="J81" s="8">
        <v>423</v>
      </c>
      <c r="K81" s="9">
        <f t="shared" si="14"/>
        <v>0.44379999999999925</v>
      </c>
    </row>
    <row r="82" spans="2:11">
      <c r="B82" s="8">
        <v>424</v>
      </c>
      <c r="C82" s="9">
        <f t="shared" si="10"/>
        <v>0.53139999999999932</v>
      </c>
      <c r="D82" s="9">
        <f t="shared" si="11"/>
        <v>0.37400000000000005</v>
      </c>
      <c r="E82" s="9">
        <f t="shared" si="12"/>
        <v>0.44439999999999924</v>
      </c>
      <c r="G82" s="8">
        <v>424</v>
      </c>
      <c r="H82" s="9">
        <f t="shared" si="13"/>
        <v>0.37400000000000005</v>
      </c>
      <c r="J82" s="8">
        <v>424</v>
      </c>
      <c r="K82" s="9">
        <f t="shared" si="14"/>
        <v>0.44439999999999924</v>
      </c>
    </row>
    <row r="83" spans="2:11">
      <c r="B83" s="8">
        <v>425</v>
      </c>
      <c r="C83" s="9">
        <f t="shared" si="10"/>
        <v>0.53249999999999931</v>
      </c>
      <c r="D83" s="9">
        <f t="shared" si="11"/>
        <v>0.37500000000000006</v>
      </c>
      <c r="E83" s="9">
        <f t="shared" si="12"/>
        <v>0.44499999999999923</v>
      </c>
      <c r="G83" s="8">
        <v>425</v>
      </c>
      <c r="H83" s="9">
        <f t="shared" si="13"/>
        <v>0.37500000000000006</v>
      </c>
      <c r="J83" s="8">
        <v>425</v>
      </c>
      <c r="K83" s="9">
        <f t="shared" si="14"/>
        <v>0.44499999999999923</v>
      </c>
    </row>
    <row r="84" spans="2:11">
      <c r="B84" s="8">
        <v>426</v>
      </c>
      <c r="C84" s="9">
        <f t="shared" si="10"/>
        <v>0.5335999999999993</v>
      </c>
      <c r="D84" s="9">
        <f t="shared" si="11"/>
        <v>0.37600000000000006</v>
      </c>
      <c r="E84" s="9">
        <f t="shared" si="12"/>
        <v>0.44559999999999922</v>
      </c>
      <c r="G84" s="8">
        <v>426</v>
      </c>
      <c r="H84" s="9">
        <f t="shared" si="13"/>
        <v>0.37600000000000006</v>
      </c>
      <c r="J84" s="8">
        <v>426</v>
      </c>
      <c r="K84" s="9">
        <f t="shared" si="14"/>
        <v>0.44559999999999922</v>
      </c>
    </row>
    <row r="85" spans="2:11">
      <c r="B85" s="8">
        <v>427</v>
      </c>
      <c r="C85" s="9">
        <f t="shared" si="10"/>
        <v>0.53469999999999929</v>
      </c>
      <c r="D85" s="9">
        <f t="shared" si="11"/>
        <v>0.37700000000000006</v>
      </c>
      <c r="E85" s="9">
        <f t="shared" si="12"/>
        <v>0.44619999999999921</v>
      </c>
      <c r="G85" s="8">
        <v>427</v>
      </c>
      <c r="H85" s="9">
        <f t="shared" si="13"/>
        <v>0.37700000000000006</v>
      </c>
      <c r="J85" s="8">
        <v>427</v>
      </c>
      <c r="K85" s="9">
        <f t="shared" si="14"/>
        <v>0.44619999999999921</v>
      </c>
    </row>
    <row r="86" spans="2:11">
      <c r="B86" s="8">
        <v>428</v>
      </c>
      <c r="C86" s="9">
        <f t="shared" si="10"/>
        <v>0.53579999999999928</v>
      </c>
      <c r="D86" s="9">
        <f t="shared" si="11"/>
        <v>0.37800000000000006</v>
      </c>
      <c r="E86" s="9">
        <f t="shared" si="12"/>
        <v>0.4467999999999992</v>
      </c>
      <c r="G86" s="8">
        <v>428</v>
      </c>
      <c r="H86" s="9">
        <f t="shared" si="13"/>
        <v>0.37800000000000006</v>
      </c>
      <c r="J86" s="8">
        <v>428</v>
      </c>
      <c r="K86" s="9">
        <f t="shared" si="14"/>
        <v>0.4467999999999992</v>
      </c>
    </row>
    <row r="87" spans="2:11">
      <c r="B87" s="8">
        <v>429</v>
      </c>
      <c r="C87" s="9">
        <f t="shared" si="10"/>
        <v>0.53689999999999927</v>
      </c>
      <c r="D87" s="9">
        <f t="shared" si="11"/>
        <v>0.37900000000000006</v>
      </c>
      <c r="E87" s="9">
        <f t="shared" si="12"/>
        <v>0.44739999999999919</v>
      </c>
      <c r="G87" s="8">
        <v>429</v>
      </c>
      <c r="H87" s="9">
        <f t="shared" si="13"/>
        <v>0.37900000000000006</v>
      </c>
      <c r="J87" s="8">
        <v>429</v>
      </c>
      <c r="K87" s="9">
        <f t="shared" si="14"/>
        <v>0.44739999999999919</v>
      </c>
    </row>
    <row r="88" spans="2:11">
      <c r="B88" s="8">
        <v>430</v>
      </c>
      <c r="C88" s="9">
        <f t="shared" si="10"/>
        <v>0.53799999999999926</v>
      </c>
      <c r="D88" s="9">
        <f t="shared" si="11"/>
        <v>0.38000000000000006</v>
      </c>
      <c r="E88" s="9">
        <f t="shared" si="12"/>
        <v>0.44799999999999918</v>
      </c>
      <c r="G88" s="8">
        <v>430</v>
      </c>
      <c r="H88" s="9">
        <f t="shared" si="13"/>
        <v>0.38000000000000006</v>
      </c>
      <c r="J88" s="8">
        <v>430</v>
      </c>
      <c r="K88" s="9">
        <f t="shared" si="14"/>
        <v>0.44799999999999918</v>
      </c>
    </row>
    <row r="89" spans="2:11">
      <c r="B89" s="8">
        <v>431</v>
      </c>
      <c r="C89" s="9">
        <f t="shared" si="10"/>
        <v>0.53909999999999925</v>
      </c>
      <c r="D89" s="9">
        <f t="shared" si="11"/>
        <v>0.38100000000000006</v>
      </c>
      <c r="E89" s="9">
        <f t="shared" si="12"/>
        <v>0.44859999999999917</v>
      </c>
      <c r="G89" s="8">
        <v>431</v>
      </c>
      <c r="H89" s="9">
        <f t="shared" si="13"/>
        <v>0.38100000000000006</v>
      </c>
      <c r="J89" s="8">
        <v>431</v>
      </c>
      <c r="K89" s="9">
        <f t="shared" si="14"/>
        <v>0.44859999999999917</v>
      </c>
    </row>
    <row r="90" spans="2:11">
      <c r="B90" s="8">
        <v>432</v>
      </c>
      <c r="C90" s="9">
        <f t="shared" si="10"/>
        <v>0.54019999999999924</v>
      </c>
      <c r="D90" s="9">
        <f t="shared" si="11"/>
        <v>0.38200000000000006</v>
      </c>
      <c r="E90" s="9">
        <f t="shared" si="12"/>
        <v>0.44919999999999916</v>
      </c>
      <c r="G90" s="8">
        <v>432</v>
      </c>
      <c r="H90" s="9">
        <f t="shared" si="13"/>
        <v>0.38200000000000006</v>
      </c>
      <c r="J90" s="8">
        <v>432</v>
      </c>
      <c r="K90" s="9">
        <f t="shared" si="14"/>
        <v>0.44919999999999916</v>
      </c>
    </row>
    <row r="91" spans="2:11">
      <c r="B91" s="8">
        <v>433</v>
      </c>
      <c r="C91" s="9">
        <f t="shared" si="10"/>
        <v>0.54129999999999923</v>
      </c>
      <c r="D91" s="9">
        <f t="shared" si="11"/>
        <v>0.38300000000000006</v>
      </c>
      <c r="E91" s="9">
        <f t="shared" si="12"/>
        <v>0.44979999999999914</v>
      </c>
      <c r="G91" s="8">
        <v>433</v>
      </c>
      <c r="H91" s="9">
        <f t="shared" si="13"/>
        <v>0.38300000000000006</v>
      </c>
      <c r="J91" s="8">
        <v>433</v>
      </c>
      <c r="K91" s="9">
        <f t="shared" si="14"/>
        <v>0.44979999999999914</v>
      </c>
    </row>
    <row r="92" spans="2:11">
      <c r="B92" s="8">
        <v>434</v>
      </c>
      <c r="C92" s="9">
        <f t="shared" si="10"/>
        <v>0.54239999999999922</v>
      </c>
      <c r="D92" s="9">
        <f t="shared" si="11"/>
        <v>0.38400000000000006</v>
      </c>
      <c r="E92" s="9">
        <f t="shared" si="12"/>
        <v>0.45039999999999913</v>
      </c>
      <c r="G92" s="8">
        <v>434</v>
      </c>
      <c r="H92" s="9">
        <f t="shared" si="13"/>
        <v>0.38400000000000006</v>
      </c>
      <c r="J92" s="8">
        <v>434</v>
      </c>
      <c r="K92" s="9">
        <f t="shared" si="14"/>
        <v>0.45039999999999913</v>
      </c>
    </row>
    <row r="93" spans="2:11">
      <c r="B93" s="8">
        <v>435</v>
      </c>
      <c r="C93" s="9">
        <f t="shared" si="10"/>
        <v>0.54349999999999921</v>
      </c>
      <c r="D93" s="9">
        <f t="shared" si="11"/>
        <v>0.38500000000000006</v>
      </c>
      <c r="E93" s="9">
        <f t="shared" si="12"/>
        <v>0.45099999999999912</v>
      </c>
      <c r="G93" s="8">
        <v>435</v>
      </c>
      <c r="H93" s="9">
        <f t="shared" si="13"/>
        <v>0.38500000000000006</v>
      </c>
      <c r="J93" s="8">
        <v>435</v>
      </c>
      <c r="K93" s="9">
        <f t="shared" si="14"/>
        <v>0.45099999999999912</v>
      </c>
    </row>
    <row r="94" spans="2:11">
      <c r="B94" s="8">
        <v>436</v>
      </c>
      <c r="C94" s="9">
        <f t="shared" si="10"/>
        <v>0.5445999999999992</v>
      </c>
      <c r="D94" s="9">
        <f t="shared" si="11"/>
        <v>0.38600000000000007</v>
      </c>
      <c r="E94" s="9">
        <f t="shared" si="12"/>
        <v>0.45159999999999911</v>
      </c>
      <c r="G94" s="8">
        <v>436</v>
      </c>
      <c r="H94" s="9">
        <f t="shared" si="13"/>
        <v>0.38600000000000007</v>
      </c>
      <c r="J94" s="8">
        <v>436</v>
      </c>
      <c r="K94" s="9">
        <f t="shared" si="14"/>
        <v>0.45159999999999911</v>
      </c>
    </row>
    <row r="95" spans="2:11">
      <c r="B95" s="8">
        <v>437</v>
      </c>
      <c r="C95" s="9">
        <f t="shared" si="10"/>
        <v>0.54569999999999919</v>
      </c>
      <c r="D95" s="9">
        <f t="shared" si="11"/>
        <v>0.38700000000000007</v>
      </c>
      <c r="E95" s="9">
        <f t="shared" si="12"/>
        <v>0.4521999999999991</v>
      </c>
      <c r="G95" s="8">
        <v>437</v>
      </c>
      <c r="H95" s="9">
        <f t="shared" si="13"/>
        <v>0.38700000000000007</v>
      </c>
      <c r="J95" s="8">
        <v>437</v>
      </c>
      <c r="K95" s="9">
        <f t="shared" si="14"/>
        <v>0.4521999999999991</v>
      </c>
    </row>
    <row r="96" spans="2:11">
      <c r="B96" s="8">
        <v>438</v>
      </c>
      <c r="C96" s="9">
        <f t="shared" si="10"/>
        <v>0.54679999999999918</v>
      </c>
      <c r="D96" s="9">
        <f t="shared" si="11"/>
        <v>0.38800000000000007</v>
      </c>
      <c r="E96" s="9">
        <f t="shared" si="12"/>
        <v>0.45279999999999909</v>
      </c>
      <c r="G96" s="8">
        <v>438</v>
      </c>
      <c r="H96" s="9">
        <f t="shared" si="13"/>
        <v>0.38800000000000007</v>
      </c>
      <c r="J96" s="8">
        <v>438</v>
      </c>
      <c r="K96" s="9">
        <f t="shared" si="14"/>
        <v>0.45279999999999909</v>
      </c>
    </row>
    <row r="97" spans="2:11">
      <c r="B97" s="8">
        <v>439</v>
      </c>
      <c r="C97" s="9">
        <f t="shared" si="10"/>
        <v>0.54789999999999917</v>
      </c>
      <c r="D97" s="9">
        <f t="shared" si="11"/>
        <v>0.38900000000000007</v>
      </c>
      <c r="E97" s="9">
        <f t="shared" si="12"/>
        <v>0.45339999999999908</v>
      </c>
      <c r="G97" s="8">
        <v>439</v>
      </c>
      <c r="H97" s="9">
        <f t="shared" si="13"/>
        <v>0.38900000000000007</v>
      </c>
      <c r="J97" s="8">
        <v>439</v>
      </c>
      <c r="K97" s="9">
        <f t="shared" si="14"/>
        <v>0.45339999999999908</v>
      </c>
    </row>
    <row r="98" spans="2:11">
      <c r="B98" s="8">
        <v>440</v>
      </c>
      <c r="C98" s="9">
        <f t="shared" si="10"/>
        <v>0.54899999999999916</v>
      </c>
      <c r="D98" s="9">
        <f t="shared" si="11"/>
        <v>0.39000000000000007</v>
      </c>
      <c r="E98" s="9">
        <f t="shared" si="12"/>
        <v>0.45399999999999907</v>
      </c>
      <c r="G98" s="8">
        <v>440</v>
      </c>
      <c r="H98" s="9">
        <f t="shared" si="13"/>
        <v>0.39000000000000007</v>
      </c>
      <c r="J98" s="8">
        <v>440</v>
      </c>
      <c r="K98" s="9">
        <f t="shared" si="14"/>
        <v>0.45399999999999907</v>
      </c>
    </row>
    <row r="99" spans="2:11">
      <c r="B99" s="8">
        <v>441</v>
      </c>
      <c r="C99" s="9">
        <f t="shared" si="10"/>
        <v>0.55009999999999915</v>
      </c>
      <c r="D99" s="9">
        <f t="shared" si="11"/>
        <v>0.39100000000000007</v>
      </c>
      <c r="E99" s="9">
        <f t="shared" si="12"/>
        <v>0.45459999999999906</v>
      </c>
      <c r="G99" s="8">
        <v>441</v>
      </c>
      <c r="H99" s="9">
        <f t="shared" si="13"/>
        <v>0.39100000000000007</v>
      </c>
      <c r="J99" s="8">
        <v>441</v>
      </c>
      <c r="K99" s="9">
        <f t="shared" si="14"/>
        <v>0.45459999999999906</v>
      </c>
    </row>
    <row r="100" spans="2:11">
      <c r="B100" s="8">
        <v>442</v>
      </c>
      <c r="C100" s="9">
        <f t="shared" si="10"/>
        <v>0.55119999999999914</v>
      </c>
      <c r="D100" s="9">
        <f t="shared" si="11"/>
        <v>0.39200000000000007</v>
      </c>
      <c r="E100" s="9">
        <f t="shared" si="12"/>
        <v>0.45519999999999905</v>
      </c>
      <c r="G100" s="8">
        <v>442</v>
      </c>
      <c r="H100" s="9">
        <f t="shared" si="13"/>
        <v>0.39200000000000007</v>
      </c>
      <c r="J100" s="8">
        <v>442</v>
      </c>
      <c r="K100" s="9">
        <f t="shared" si="14"/>
        <v>0.45519999999999905</v>
      </c>
    </row>
    <row r="101" spans="2:11">
      <c r="B101" s="8">
        <v>443</v>
      </c>
      <c r="C101" s="9">
        <f t="shared" si="10"/>
        <v>0.55229999999999912</v>
      </c>
      <c r="D101" s="9">
        <f t="shared" si="11"/>
        <v>0.39300000000000007</v>
      </c>
      <c r="E101" s="9">
        <f t="shared" si="12"/>
        <v>0.45579999999999904</v>
      </c>
      <c r="G101" s="8">
        <v>443</v>
      </c>
      <c r="H101" s="9">
        <f t="shared" si="13"/>
        <v>0.39300000000000007</v>
      </c>
      <c r="J101" s="8">
        <v>443</v>
      </c>
      <c r="K101" s="9">
        <f t="shared" si="14"/>
        <v>0.45579999999999904</v>
      </c>
    </row>
    <row r="102" spans="2:11">
      <c r="B102" s="8">
        <v>444</v>
      </c>
      <c r="C102" s="9">
        <f t="shared" si="10"/>
        <v>0.55339999999999911</v>
      </c>
      <c r="D102" s="9">
        <f t="shared" si="11"/>
        <v>0.39400000000000007</v>
      </c>
      <c r="E102" s="9">
        <f t="shared" si="12"/>
        <v>0.45639999999999903</v>
      </c>
      <c r="G102" s="8">
        <v>444</v>
      </c>
      <c r="H102" s="9">
        <f t="shared" si="13"/>
        <v>0.39400000000000007</v>
      </c>
      <c r="J102" s="8">
        <v>444</v>
      </c>
      <c r="K102" s="9">
        <f t="shared" si="14"/>
        <v>0.45639999999999903</v>
      </c>
    </row>
    <row r="103" spans="2:11">
      <c r="B103" s="8">
        <v>445</v>
      </c>
      <c r="C103" s="9">
        <f t="shared" si="10"/>
        <v>0.5544999999999991</v>
      </c>
      <c r="D103" s="9">
        <f t="shared" si="11"/>
        <v>0.39500000000000007</v>
      </c>
      <c r="E103" s="9">
        <f t="shared" si="12"/>
        <v>0.45699999999999902</v>
      </c>
      <c r="G103" s="8">
        <v>445</v>
      </c>
      <c r="H103" s="9">
        <f t="shared" si="13"/>
        <v>0.39500000000000007</v>
      </c>
      <c r="J103" s="8">
        <v>445</v>
      </c>
      <c r="K103" s="9">
        <f t="shared" si="14"/>
        <v>0.45699999999999902</v>
      </c>
    </row>
    <row r="104" spans="2:11">
      <c r="B104" s="8">
        <v>446</v>
      </c>
      <c r="C104" s="9">
        <f t="shared" si="10"/>
        <v>0.55559999999999909</v>
      </c>
      <c r="D104" s="9">
        <f t="shared" si="11"/>
        <v>0.39600000000000007</v>
      </c>
      <c r="E104" s="9">
        <f t="shared" si="12"/>
        <v>0.45759999999999901</v>
      </c>
      <c r="G104" s="8">
        <v>446</v>
      </c>
      <c r="H104" s="9">
        <f t="shared" si="13"/>
        <v>0.39600000000000007</v>
      </c>
      <c r="J104" s="8">
        <v>446</v>
      </c>
      <c r="K104" s="9">
        <f t="shared" si="14"/>
        <v>0.45759999999999901</v>
      </c>
    </row>
    <row r="105" spans="2:11">
      <c r="B105" s="8">
        <v>447</v>
      </c>
      <c r="C105" s="9">
        <f t="shared" si="10"/>
        <v>0.55669999999999908</v>
      </c>
      <c r="D105" s="9">
        <f t="shared" si="11"/>
        <v>0.39700000000000008</v>
      </c>
      <c r="E105" s="9">
        <f t="shared" si="12"/>
        <v>0.458199999999999</v>
      </c>
      <c r="G105" s="8">
        <v>447</v>
      </c>
      <c r="H105" s="9">
        <f t="shared" si="13"/>
        <v>0.39700000000000008</v>
      </c>
      <c r="J105" s="8">
        <v>447</v>
      </c>
      <c r="K105" s="9">
        <f t="shared" si="14"/>
        <v>0.458199999999999</v>
      </c>
    </row>
    <row r="106" spans="2:11">
      <c r="B106" s="8">
        <v>448</v>
      </c>
      <c r="C106" s="9">
        <f t="shared" si="10"/>
        <v>0.55779999999999907</v>
      </c>
      <c r="D106" s="9">
        <f t="shared" si="11"/>
        <v>0.39800000000000008</v>
      </c>
      <c r="E106" s="9">
        <f t="shared" si="12"/>
        <v>0.45879999999999899</v>
      </c>
      <c r="G106" s="8">
        <v>448</v>
      </c>
      <c r="H106" s="9">
        <f t="shared" si="13"/>
        <v>0.39800000000000008</v>
      </c>
      <c r="J106" s="8">
        <v>448</v>
      </c>
      <c r="K106" s="9">
        <f t="shared" si="14"/>
        <v>0.45879999999999899</v>
      </c>
    </row>
    <row r="107" spans="2:11">
      <c r="B107" s="8">
        <v>449</v>
      </c>
      <c r="C107" s="9">
        <f t="shared" si="10"/>
        <v>0.55889999999999906</v>
      </c>
      <c r="D107" s="9">
        <f t="shared" si="11"/>
        <v>0.39900000000000008</v>
      </c>
      <c r="E107" s="9">
        <f t="shared" si="12"/>
        <v>0.45939999999999898</v>
      </c>
      <c r="G107" s="8">
        <v>449</v>
      </c>
      <c r="H107" s="9">
        <f t="shared" si="13"/>
        <v>0.39900000000000008</v>
      </c>
      <c r="J107" s="8">
        <v>449</v>
      </c>
      <c r="K107" s="9">
        <f t="shared" si="14"/>
        <v>0.45939999999999898</v>
      </c>
    </row>
    <row r="108" spans="2:11">
      <c r="B108" s="6">
        <v>450</v>
      </c>
      <c r="C108" s="7">
        <f>+C4</f>
        <v>0.56000000000000005</v>
      </c>
      <c r="D108" s="7">
        <f>+D4</f>
        <v>0.4</v>
      </c>
      <c r="E108" s="7">
        <f>+E4</f>
        <v>0.46</v>
      </c>
      <c r="G108" s="6">
        <v>450</v>
      </c>
      <c r="H108" s="7">
        <f>+D108</f>
        <v>0.4</v>
      </c>
      <c r="J108" s="6">
        <v>450</v>
      </c>
      <c r="K108" s="7">
        <f>+E108</f>
        <v>0.46</v>
      </c>
    </row>
    <row r="109" spans="2:11">
      <c r="B109" s="8">
        <v>451</v>
      </c>
      <c r="C109" s="9">
        <f t="shared" ref="C109:C140" si="15">C108+(($C$208-$C$108)/100)</f>
        <v>0.56190000000000007</v>
      </c>
      <c r="D109" s="9">
        <f t="shared" ref="D109:D140" si="16">D108+(($D$208-$D$108)/100)</f>
        <v>0.40240000000000004</v>
      </c>
      <c r="E109" s="9">
        <f t="shared" ref="E109:E140" si="17">E108+(($E$208-$E$108)/100)</f>
        <v>0.46080000000000004</v>
      </c>
      <c r="G109" s="8">
        <v>451</v>
      </c>
      <c r="H109" s="9">
        <f t="shared" ref="H109:H140" si="18">H108+(($D$208-$D$108)/100)</f>
        <v>0.40240000000000004</v>
      </c>
      <c r="J109" s="8">
        <v>451</v>
      </c>
      <c r="K109" s="9">
        <f t="shared" ref="K109:K140" si="19">K108+(($E$208-$E$108)/100)</f>
        <v>0.46080000000000004</v>
      </c>
    </row>
    <row r="110" spans="2:11">
      <c r="B110" s="8">
        <v>452</v>
      </c>
      <c r="C110" s="9">
        <f t="shared" si="15"/>
        <v>0.56380000000000008</v>
      </c>
      <c r="D110" s="9">
        <f t="shared" si="16"/>
        <v>0.40480000000000005</v>
      </c>
      <c r="E110" s="9">
        <f t="shared" si="17"/>
        <v>0.46160000000000007</v>
      </c>
      <c r="G110" s="8">
        <v>452</v>
      </c>
      <c r="H110" s="9">
        <f t="shared" si="18"/>
        <v>0.40480000000000005</v>
      </c>
      <c r="J110" s="8">
        <v>452</v>
      </c>
      <c r="K110" s="9">
        <f t="shared" si="19"/>
        <v>0.46160000000000007</v>
      </c>
    </row>
    <row r="111" spans="2:11">
      <c r="B111" s="8">
        <v>453</v>
      </c>
      <c r="C111" s="9">
        <f t="shared" si="15"/>
        <v>0.56570000000000009</v>
      </c>
      <c r="D111" s="9">
        <f t="shared" si="16"/>
        <v>0.40720000000000006</v>
      </c>
      <c r="E111" s="9">
        <f t="shared" si="17"/>
        <v>0.46240000000000009</v>
      </c>
      <c r="G111" s="8">
        <v>453</v>
      </c>
      <c r="H111" s="9">
        <f t="shared" si="18"/>
        <v>0.40720000000000006</v>
      </c>
      <c r="J111" s="8">
        <v>453</v>
      </c>
      <c r="K111" s="9">
        <f t="shared" si="19"/>
        <v>0.46240000000000009</v>
      </c>
    </row>
    <row r="112" spans="2:11">
      <c r="B112" s="8">
        <v>454</v>
      </c>
      <c r="C112" s="9">
        <f t="shared" si="15"/>
        <v>0.5676000000000001</v>
      </c>
      <c r="D112" s="9">
        <f t="shared" si="16"/>
        <v>0.40960000000000008</v>
      </c>
      <c r="E112" s="9">
        <f t="shared" si="17"/>
        <v>0.46320000000000011</v>
      </c>
      <c r="G112" s="8">
        <v>454</v>
      </c>
      <c r="H112" s="9">
        <f t="shared" si="18"/>
        <v>0.40960000000000008</v>
      </c>
      <c r="J112" s="8">
        <v>454</v>
      </c>
      <c r="K112" s="9">
        <f t="shared" si="19"/>
        <v>0.46320000000000011</v>
      </c>
    </row>
    <row r="113" spans="2:11">
      <c r="B113" s="8">
        <v>455</v>
      </c>
      <c r="C113" s="9">
        <f t="shared" si="15"/>
        <v>0.56950000000000012</v>
      </c>
      <c r="D113" s="9">
        <f t="shared" si="16"/>
        <v>0.41200000000000009</v>
      </c>
      <c r="E113" s="9">
        <f t="shared" si="17"/>
        <v>0.46400000000000013</v>
      </c>
      <c r="G113" s="8">
        <v>455</v>
      </c>
      <c r="H113" s="9">
        <f t="shared" si="18"/>
        <v>0.41200000000000009</v>
      </c>
      <c r="J113" s="8">
        <v>455</v>
      </c>
      <c r="K113" s="9">
        <f t="shared" si="19"/>
        <v>0.46400000000000013</v>
      </c>
    </row>
    <row r="114" spans="2:11">
      <c r="B114" s="8">
        <v>456</v>
      </c>
      <c r="C114" s="9">
        <f t="shared" si="15"/>
        <v>0.57140000000000013</v>
      </c>
      <c r="D114" s="9">
        <f t="shared" si="16"/>
        <v>0.4144000000000001</v>
      </c>
      <c r="E114" s="9">
        <f t="shared" si="17"/>
        <v>0.46480000000000016</v>
      </c>
      <c r="G114" s="8">
        <v>456</v>
      </c>
      <c r="H114" s="9">
        <f t="shared" si="18"/>
        <v>0.4144000000000001</v>
      </c>
      <c r="J114" s="8">
        <v>456</v>
      </c>
      <c r="K114" s="9">
        <f t="shared" si="19"/>
        <v>0.46480000000000016</v>
      </c>
    </row>
    <row r="115" spans="2:11">
      <c r="B115" s="8">
        <v>457</v>
      </c>
      <c r="C115" s="9">
        <f t="shared" si="15"/>
        <v>0.57330000000000014</v>
      </c>
      <c r="D115" s="9">
        <f t="shared" si="16"/>
        <v>0.41680000000000011</v>
      </c>
      <c r="E115" s="9">
        <f t="shared" si="17"/>
        <v>0.46560000000000018</v>
      </c>
      <c r="G115" s="8">
        <v>457</v>
      </c>
      <c r="H115" s="9">
        <f t="shared" si="18"/>
        <v>0.41680000000000011</v>
      </c>
      <c r="J115" s="8">
        <v>457</v>
      </c>
      <c r="K115" s="9">
        <f t="shared" si="19"/>
        <v>0.46560000000000018</v>
      </c>
    </row>
    <row r="116" spans="2:11">
      <c r="B116" s="8">
        <v>458</v>
      </c>
      <c r="C116" s="9">
        <f t="shared" si="15"/>
        <v>0.57520000000000016</v>
      </c>
      <c r="D116" s="9">
        <f t="shared" si="16"/>
        <v>0.41920000000000013</v>
      </c>
      <c r="E116" s="9">
        <f t="shared" si="17"/>
        <v>0.4664000000000002</v>
      </c>
      <c r="G116" s="8">
        <v>458</v>
      </c>
      <c r="H116" s="9">
        <f t="shared" si="18"/>
        <v>0.41920000000000013</v>
      </c>
      <c r="J116" s="8">
        <v>458</v>
      </c>
      <c r="K116" s="9">
        <f t="shared" si="19"/>
        <v>0.4664000000000002</v>
      </c>
    </row>
    <row r="117" spans="2:11">
      <c r="B117" s="8">
        <v>459</v>
      </c>
      <c r="C117" s="9">
        <f t="shared" si="15"/>
        <v>0.57710000000000017</v>
      </c>
      <c r="D117" s="9">
        <f t="shared" si="16"/>
        <v>0.42160000000000014</v>
      </c>
      <c r="E117" s="9">
        <f t="shared" si="17"/>
        <v>0.46720000000000023</v>
      </c>
      <c r="G117" s="8">
        <v>459</v>
      </c>
      <c r="H117" s="9">
        <f t="shared" si="18"/>
        <v>0.42160000000000014</v>
      </c>
      <c r="J117" s="8">
        <v>459</v>
      </c>
      <c r="K117" s="9">
        <f t="shared" si="19"/>
        <v>0.46720000000000023</v>
      </c>
    </row>
    <row r="118" spans="2:11">
      <c r="B118" s="8">
        <v>460</v>
      </c>
      <c r="C118" s="9">
        <f t="shared" si="15"/>
        <v>0.57900000000000018</v>
      </c>
      <c r="D118" s="9">
        <f t="shared" si="16"/>
        <v>0.42400000000000015</v>
      </c>
      <c r="E118" s="9">
        <f t="shared" si="17"/>
        <v>0.46800000000000025</v>
      </c>
      <c r="G118" s="8">
        <v>460</v>
      </c>
      <c r="H118" s="9">
        <f t="shared" si="18"/>
        <v>0.42400000000000015</v>
      </c>
      <c r="J118" s="8">
        <v>460</v>
      </c>
      <c r="K118" s="9">
        <f t="shared" si="19"/>
        <v>0.46800000000000025</v>
      </c>
    </row>
    <row r="119" spans="2:11">
      <c r="B119" s="8">
        <v>461</v>
      </c>
      <c r="C119" s="9">
        <f t="shared" si="15"/>
        <v>0.58090000000000019</v>
      </c>
      <c r="D119" s="9">
        <f t="shared" si="16"/>
        <v>0.42640000000000017</v>
      </c>
      <c r="E119" s="9">
        <f t="shared" si="17"/>
        <v>0.46880000000000027</v>
      </c>
      <c r="G119" s="8">
        <v>461</v>
      </c>
      <c r="H119" s="9">
        <f t="shared" si="18"/>
        <v>0.42640000000000017</v>
      </c>
      <c r="J119" s="8">
        <v>461</v>
      </c>
      <c r="K119" s="9">
        <f t="shared" si="19"/>
        <v>0.46880000000000027</v>
      </c>
    </row>
    <row r="120" spans="2:11">
      <c r="B120" s="8">
        <v>462</v>
      </c>
      <c r="C120" s="9">
        <f t="shared" si="15"/>
        <v>0.58280000000000021</v>
      </c>
      <c r="D120" s="9">
        <f t="shared" si="16"/>
        <v>0.42880000000000018</v>
      </c>
      <c r="E120" s="9">
        <f t="shared" si="17"/>
        <v>0.46960000000000029</v>
      </c>
      <c r="G120" s="8">
        <v>462</v>
      </c>
      <c r="H120" s="9">
        <f t="shared" si="18"/>
        <v>0.42880000000000018</v>
      </c>
      <c r="J120" s="8">
        <v>462</v>
      </c>
      <c r="K120" s="9">
        <f t="shared" si="19"/>
        <v>0.46960000000000029</v>
      </c>
    </row>
    <row r="121" spans="2:11">
      <c r="B121" s="8">
        <v>463</v>
      </c>
      <c r="C121" s="9">
        <f t="shared" si="15"/>
        <v>0.58470000000000022</v>
      </c>
      <c r="D121" s="9">
        <f t="shared" si="16"/>
        <v>0.43120000000000019</v>
      </c>
      <c r="E121" s="9">
        <f t="shared" si="17"/>
        <v>0.47040000000000032</v>
      </c>
      <c r="G121" s="8">
        <v>463</v>
      </c>
      <c r="H121" s="9">
        <f t="shared" si="18"/>
        <v>0.43120000000000019</v>
      </c>
      <c r="J121" s="8">
        <v>463</v>
      </c>
      <c r="K121" s="9">
        <f t="shared" si="19"/>
        <v>0.47040000000000032</v>
      </c>
    </row>
    <row r="122" spans="2:11">
      <c r="B122" s="8">
        <v>464</v>
      </c>
      <c r="C122" s="9">
        <f t="shared" si="15"/>
        <v>0.58660000000000023</v>
      </c>
      <c r="D122" s="9">
        <f t="shared" si="16"/>
        <v>0.43360000000000021</v>
      </c>
      <c r="E122" s="9">
        <f t="shared" si="17"/>
        <v>0.47120000000000034</v>
      </c>
      <c r="G122" s="8">
        <v>464</v>
      </c>
      <c r="H122" s="9">
        <f t="shared" si="18"/>
        <v>0.43360000000000021</v>
      </c>
      <c r="J122" s="8">
        <v>464</v>
      </c>
      <c r="K122" s="9">
        <f t="shared" si="19"/>
        <v>0.47120000000000034</v>
      </c>
    </row>
    <row r="123" spans="2:11">
      <c r="B123" s="8">
        <v>465</v>
      </c>
      <c r="C123" s="9">
        <f t="shared" si="15"/>
        <v>0.58850000000000025</v>
      </c>
      <c r="D123" s="9">
        <f t="shared" si="16"/>
        <v>0.43600000000000022</v>
      </c>
      <c r="E123" s="9">
        <f t="shared" si="17"/>
        <v>0.47200000000000036</v>
      </c>
      <c r="G123" s="8">
        <v>465</v>
      </c>
      <c r="H123" s="9">
        <f t="shared" si="18"/>
        <v>0.43600000000000022</v>
      </c>
      <c r="J123" s="8">
        <v>465</v>
      </c>
      <c r="K123" s="9">
        <f t="shared" si="19"/>
        <v>0.47200000000000036</v>
      </c>
    </row>
    <row r="124" spans="2:11">
      <c r="B124" s="8">
        <v>466</v>
      </c>
      <c r="C124" s="9">
        <f t="shared" si="15"/>
        <v>0.59040000000000026</v>
      </c>
      <c r="D124" s="9">
        <f t="shared" si="16"/>
        <v>0.43840000000000023</v>
      </c>
      <c r="E124" s="9">
        <f t="shared" si="17"/>
        <v>0.47280000000000039</v>
      </c>
      <c r="G124" s="8">
        <v>466</v>
      </c>
      <c r="H124" s="9">
        <f t="shared" si="18"/>
        <v>0.43840000000000023</v>
      </c>
      <c r="J124" s="8">
        <v>466</v>
      </c>
      <c r="K124" s="9">
        <f t="shared" si="19"/>
        <v>0.47280000000000039</v>
      </c>
    </row>
    <row r="125" spans="2:11">
      <c r="B125" s="8">
        <v>467</v>
      </c>
      <c r="C125" s="9">
        <f t="shared" si="15"/>
        <v>0.59230000000000027</v>
      </c>
      <c r="D125" s="9">
        <f t="shared" si="16"/>
        <v>0.44080000000000025</v>
      </c>
      <c r="E125" s="9">
        <f t="shared" si="17"/>
        <v>0.47360000000000041</v>
      </c>
      <c r="G125" s="8">
        <v>467</v>
      </c>
      <c r="H125" s="9">
        <f t="shared" si="18"/>
        <v>0.44080000000000025</v>
      </c>
      <c r="J125" s="8">
        <v>467</v>
      </c>
      <c r="K125" s="9">
        <f t="shared" si="19"/>
        <v>0.47360000000000041</v>
      </c>
    </row>
    <row r="126" spans="2:11">
      <c r="B126" s="8">
        <v>468</v>
      </c>
      <c r="C126" s="9">
        <f t="shared" si="15"/>
        <v>0.59420000000000028</v>
      </c>
      <c r="D126" s="9">
        <f t="shared" si="16"/>
        <v>0.44320000000000026</v>
      </c>
      <c r="E126" s="9">
        <f t="shared" si="17"/>
        <v>0.47440000000000043</v>
      </c>
      <c r="G126" s="8">
        <v>468</v>
      </c>
      <c r="H126" s="9">
        <f t="shared" si="18"/>
        <v>0.44320000000000026</v>
      </c>
      <c r="J126" s="8">
        <v>468</v>
      </c>
      <c r="K126" s="9">
        <f t="shared" si="19"/>
        <v>0.47440000000000043</v>
      </c>
    </row>
    <row r="127" spans="2:11">
      <c r="B127" s="8">
        <v>469</v>
      </c>
      <c r="C127" s="9">
        <f t="shared" si="15"/>
        <v>0.5961000000000003</v>
      </c>
      <c r="D127" s="9">
        <f t="shared" si="16"/>
        <v>0.44560000000000027</v>
      </c>
      <c r="E127" s="9">
        <f t="shared" si="17"/>
        <v>0.47520000000000046</v>
      </c>
      <c r="G127" s="8">
        <v>469</v>
      </c>
      <c r="H127" s="9">
        <f t="shared" si="18"/>
        <v>0.44560000000000027</v>
      </c>
      <c r="J127" s="8">
        <v>469</v>
      </c>
      <c r="K127" s="9">
        <f t="shared" si="19"/>
        <v>0.47520000000000046</v>
      </c>
    </row>
    <row r="128" spans="2:11">
      <c r="B128" s="8">
        <v>470</v>
      </c>
      <c r="C128" s="9">
        <f t="shared" si="15"/>
        <v>0.59800000000000031</v>
      </c>
      <c r="D128" s="9">
        <f t="shared" si="16"/>
        <v>0.44800000000000029</v>
      </c>
      <c r="E128" s="9">
        <f t="shared" si="17"/>
        <v>0.47600000000000048</v>
      </c>
      <c r="G128" s="8">
        <v>470</v>
      </c>
      <c r="H128" s="9">
        <f t="shared" si="18"/>
        <v>0.44800000000000029</v>
      </c>
      <c r="J128" s="8">
        <v>470</v>
      </c>
      <c r="K128" s="9">
        <f t="shared" si="19"/>
        <v>0.47600000000000048</v>
      </c>
    </row>
    <row r="129" spans="2:11">
      <c r="B129" s="8">
        <v>471</v>
      </c>
      <c r="C129" s="9">
        <f t="shared" si="15"/>
        <v>0.59990000000000032</v>
      </c>
      <c r="D129" s="9">
        <f t="shared" si="16"/>
        <v>0.4504000000000003</v>
      </c>
      <c r="E129" s="9">
        <f t="shared" si="17"/>
        <v>0.4768000000000005</v>
      </c>
      <c r="G129" s="8">
        <v>471</v>
      </c>
      <c r="H129" s="9">
        <f t="shared" si="18"/>
        <v>0.4504000000000003</v>
      </c>
      <c r="J129" s="8">
        <v>471</v>
      </c>
      <c r="K129" s="9">
        <f t="shared" si="19"/>
        <v>0.4768000000000005</v>
      </c>
    </row>
    <row r="130" spans="2:11">
      <c r="B130" s="8">
        <v>472</v>
      </c>
      <c r="C130" s="9">
        <f t="shared" si="15"/>
        <v>0.60180000000000033</v>
      </c>
      <c r="D130" s="9">
        <f t="shared" si="16"/>
        <v>0.45280000000000031</v>
      </c>
      <c r="E130" s="9">
        <f t="shared" si="17"/>
        <v>0.47760000000000052</v>
      </c>
      <c r="G130" s="8">
        <v>472</v>
      </c>
      <c r="H130" s="9">
        <f t="shared" si="18"/>
        <v>0.45280000000000031</v>
      </c>
      <c r="J130" s="8">
        <v>472</v>
      </c>
      <c r="K130" s="9">
        <f t="shared" si="19"/>
        <v>0.47760000000000052</v>
      </c>
    </row>
    <row r="131" spans="2:11">
      <c r="B131" s="8">
        <v>473</v>
      </c>
      <c r="C131" s="9">
        <f t="shared" si="15"/>
        <v>0.60370000000000035</v>
      </c>
      <c r="D131" s="9">
        <f t="shared" si="16"/>
        <v>0.45520000000000033</v>
      </c>
      <c r="E131" s="9">
        <f t="shared" si="17"/>
        <v>0.47840000000000055</v>
      </c>
      <c r="G131" s="8">
        <v>473</v>
      </c>
      <c r="H131" s="9">
        <f t="shared" si="18"/>
        <v>0.45520000000000033</v>
      </c>
      <c r="J131" s="8">
        <v>473</v>
      </c>
      <c r="K131" s="9">
        <f t="shared" si="19"/>
        <v>0.47840000000000055</v>
      </c>
    </row>
    <row r="132" spans="2:11">
      <c r="B132" s="8">
        <v>474</v>
      </c>
      <c r="C132" s="9">
        <f t="shared" si="15"/>
        <v>0.60560000000000036</v>
      </c>
      <c r="D132" s="9">
        <f t="shared" si="16"/>
        <v>0.45760000000000034</v>
      </c>
      <c r="E132" s="9">
        <f t="shared" si="17"/>
        <v>0.47920000000000057</v>
      </c>
      <c r="G132" s="8">
        <v>474</v>
      </c>
      <c r="H132" s="9">
        <f t="shared" si="18"/>
        <v>0.45760000000000034</v>
      </c>
      <c r="J132" s="8">
        <v>474</v>
      </c>
      <c r="K132" s="9">
        <f t="shared" si="19"/>
        <v>0.47920000000000057</v>
      </c>
    </row>
    <row r="133" spans="2:11">
      <c r="B133" s="8">
        <v>475</v>
      </c>
      <c r="C133" s="9">
        <f t="shared" si="15"/>
        <v>0.60750000000000037</v>
      </c>
      <c r="D133" s="9">
        <f t="shared" si="16"/>
        <v>0.46000000000000035</v>
      </c>
      <c r="E133" s="9">
        <f t="shared" si="17"/>
        <v>0.48000000000000059</v>
      </c>
      <c r="G133" s="8">
        <v>475</v>
      </c>
      <c r="H133" s="9">
        <f t="shared" si="18"/>
        <v>0.46000000000000035</v>
      </c>
      <c r="J133" s="8">
        <v>475</v>
      </c>
      <c r="K133" s="9">
        <f t="shared" si="19"/>
        <v>0.48000000000000059</v>
      </c>
    </row>
    <row r="134" spans="2:11">
      <c r="B134" s="8">
        <v>476</v>
      </c>
      <c r="C134" s="9">
        <f t="shared" si="15"/>
        <v>0.60940000000000039</v>
      </c>
      <c r="D134" s="9">
        <f t="shared" si="16"/>
        <v>0.46240000000000037</v>
      </c>
      <c r="E134" s="9">
        <f t="shared" si="17"/>
        <v>0.48080000000000062</v>
      </c>
      <c r="G134" s="8">
        <v>476</v>
      </c>
      <c r="H134" s="9">
        <f t="shared" si="18"/>
        <v>0.46240000000000037</v>
      </c>
      <c r="J134" s="8">
        <v>476</v>
      </c>
      <c r="K134" s="9">
        <f t="shared" si="19"/>
        <v>0.48080000000000062</v>
      </c>
    </row>
    <row r="135" spans="2:11">
      <c r="B135" s="8">
        <v>477</v>
      </c>
      <c r="C135" s="9">
        <f t="shared" si="15"/>
        <v>0.6113000000000004</v>
      </c>
      <c r="D135" s="9">
        <f t="shared" si="16"/>
        <v>0.46480000000000038</v>
      </c>
      <c r="E135" s="9">
        <f t="shared" si="17"/>
        <v>0.48160000000000064</v>
      </c>
      <c r="G135" s="8">
        <v>477</v>
      </c>
      <c r="H135" s="9">
        <f t="shared" si="18"/>
        <v>0.46480000000000038</v>
      </c>
      <c r="J135" s="8">
        <v>477</v>
      </c>
      <c r="K135" s="9">
        <f t="shared" si="19"/>
        <v>0.48160000000000064</v>
      </c>
    </row>
    <row r="136" spans="2:11">
      <c r="B136" s="8">
        <v>478</v>
      </c>
      <c r="C136" s="9">
        <f t="shared" si="15"/>
        <v>0.61320000000000041</v>
      </c>
      <c r="D136" s="9">
        <f t="shared" si="16"/>
        <v>0.46720000000000039</v>
      </c>
      <c r="E136" s="9">
        <f t="shared" si="17"/>
        <v>0.48240000000000066</v>
      </c>
      <c r="G136" s="8">
        <v>478</v>
      </c>
      <c r="H136" s="9">
        <f t="shared" si="18"/>
        <v>0.46720000000000039</v>
      </c>
      <c r="J136" s="8">
        <v>478</v>
      </c>
      <c r="K136" s="9">
        <f t="shared" si="19"/>
        <v>0.48240000000000066</v>
      </c>
    </row>
    <row r="137" spans="2:11">
      <c r="B137" s="8">
        <v>479</v>
      </c>
      <c r="C137" s="9">
        <f t="shared" si="15"/>
        <v>0.61510000000000042</v>
      </c>
      <c r="D137" s="9">
        <f t="shared" si="16"/>
        <v>0.46960000000000041</v>
      </c>
      <c r="E137" s="9">
        <f t="shared" si="17"/>
        <v>0.48320000000000068</v>
      </c>
      <c r="G137" s="8">
        <v>479</v>
      </c>
      <c r="H137" s="9">
        <f t="shared" si="18"/>
        <v>0.46960000000000041</v>
      </c>
      <c r="J137" s="8">
        <v>479</v>
      </c>
      <c r="K137" s="9">
        <f t="shared" si="19"/>
        <v>0.48320000000000068</v>
      </c>
    </row>
    <row r="138" spans="2:11">
      <c r="B138" s="8">
        <v>480</v>
      </c>
      <c r="C138" s="9">
        <f t="shared" si="15"/>
        <v>0.61700000000000044</v>
      </c>
      <c r="D138" s="9">
        <f t="shared" si="16"/>
        <v>0.47200000000000042</v>
      </c>
      <c r="E138" s="9">
        <f t="shared" si="17"/>
        <v>0.48400000000000071</v>
      </c>
      <c r="G138" s="8">
        <v>480</v>
      </c>
      <c r="H138" s="9">
        <f t="shared" si="18"/>
        <v>0.47200000000000042</v>
      </c>
      <c r="J138" s="8">
        <v>480</v>
      </c>
      <c r="K138" s="9">
        <f t="shared" si="19"/>
        <v>0.48400000000000071</v>
      </c>
    </row>
    <row r="139" spans="2:11">
      <c r="B139" s="8">
        <v>481</v>
      </c>
      <c r="C139" s="9">
        <f t="shared" si="15"/>
        <v>0.61890000000000045</v>
      </c>
      <c r="D139" s="9">
        <f t="shared" si="16"/>
        <v>0.47440000000000043</v>
      </c>
      <c r="E139" s="9">
        <f t="shared" si="17"/>
        <v>0.48480000000000073</v>
      </c>
      <c r="G139" s="8">
        <v>481</v>
      </c>
      <c r="H139" s="9">
        <f t="shared" si="18"/>
        <v>0.47440000000000043</v>
      </c>
      <c r="J139" s="8">
        <v>481</v>
      </c>
      <c r="K139" s="9">
        <f t="shared" si="19"/>
        <v>0.48480000000000073</v>
      </c>
    </row>
    <row r="140" spans="2:11">
      <c r="B140" s="8">
        <v>482</v>
      </c>
      <c r="C140" s="9">
        <f t="shared" si="15"/>
        <v>0.62080000000000046</v>
      </c>
      <c r="D140" s="9">
        <f t="shared" si="16"/>
        <v>0.47680000000000045</v>
      </c>
      <c r="E140" s="9">
        <f t="shared" si="17"/>
        <v>0.48560000000000075</v>
      </c>
      <c r="G140" s="8">
        <v>482</v>
      </c>
      <c r="H140" s="9">
        <f t="shared" si="18"/>
        <v>0.47680000000000045</v>
      </c>
      <c r="J140" s="8">
        <v>482</v>
      </c>
      <c r="K140" s="9">
        <f t="shared" si="19"/>
        <v>0.48560000000000075</v>
      </c>
    </row>
    <row r="141" spans="2:11">
      <c r="B141" s="8">
        <v>483</v>
      </c>
      <c r="C141" s="9">
        <f t="shared" ref="C141:C172" si="20">C140+(($C$208-$C$108)/100)</f>
        <v>0.62270000000000048</v>
      </c>
      <c r="D141" s="9">
        <f t="shared" ref="D141:D172" si="21">D140+(($D$208-$D$108)/100)</f>
        <v>0.47920000000000046</v>
      </c>
      <c r="E141" s="9">
        <f t="shared" ref="E141:E172" si="22">E140+(($E$208-$E$108)/100)</f>
        <v>0.48640000000000078</v>
      </c>
      <c r="G141" s="8">
        <v>483</v>
      </c>
      <c r="H141" s="9">
        <f t="shared" ref="H141:H172" si="23">H140+(($D$208-$D$108)/100)</f>
        <v>0.47920000000000046</v>
      </c>
      <c r="J141" s="8">
        <v>483</v>
      </c>
      <c r="K141" s="9">
        <f t="shared" ref="K141:K172" si="24">K140+(($E$208-$E$108)/100)</f>
        <v>0.48640000000000078</v>
      </c>
    </row>
    <row r="142" spans="2:11">
      <c r="B142" s="8">
        <v>484</v>
      </c>
      <c r="C142" s="9">
        <f t="shared" si="20"/>
        <v>0.62460000000000049</v>
      </c>
      <c r="D142" s="9">
        <f t="shared" si="21"/>
        <v>0.48160000000000047</v>
      </c>
      <c r="E142" s="9">
        <f t="shared" si="22"/>
        <v>0.4872000000000008</v>
      </c>
      <c r="G142" s="8">
        <v>484</v>
      </c>
      <c r="H142" s="9">
        <f t="shared" si="23"/>
        <v>0.48160000000000047</v>
      </c>
      <c r="J142" s="8">
        <v>484</v>
      </c>
      <c r="K142" s="9">
        <f t="shared" si="24"/>
        <v>0.4872000000000008</v>
      </c>
    </row>
    <row r="143" spans="2:11">
      <c r="B143" s="8">
        <v>485</v>
      </c>
      <c r="C143" s="9">
        <f t="shared" si="20"/>
        <v>0.6265000000000005</v>
      </c>
      <c r="D143" s="9">
        <f t="shared" si="21"/>
        <v>0.48400000000000049</v>
      </c>
      <c r="E143" s="9">
        <f t="shared" si="22"/>
        <v>0.48800000000000082</v>
      </c>
      <c r="G143" s="8">
        <v>485</v>
      </c>
      <c r="H143" s="9">
        <f t="shared" si="23"/>
        <v>0.48400000000000049</v>
      </c>
      <c r="J143" s="8">
        <v>485</v>
      </c>
      <c r="K143" s="9">
        <f t="shared" si="24"/>
        <v>0.48800000000000082</v>
      </c>
    </row>
    <row r="144" spans="2:11">
      <c r="B144" s="8">
        <v>486</v>
      </c>
      <c r="C144" s="9">
        <f t="shared" si="20"/>
        <v>0.62840000000000051</v>
      </c>
      <c r="D144" s="9">
        <f t="shared" si="21"/>
        <v>0.4864000000000005</v>
      </c>
      <c r="E144" s="9">
        <f t="shared" si="22"/>
        <v>0.48880000000000084</v>
      </c>
      <c r="G144" s="8">
        <v>486</v>
      </c>
      <c r="H144" s="9">
        <f t="shared" si="23"/>
        <v>0.4864000000000005</v>
      </c>
      <c r="J144" s="8">
        <v>486</v>
      </c>
      <c r="K144" s="9">
        <f t="shared" si="24"/>
        <v>0.48880000000000084</v>
      </c>
    </row>
    <row r="145" spans="2:11">
      <c r="B145" s="8">
        <v>487</v>
      </c>
      <c r="C145" s="9">
        <f t="shared" si="20"/>
        <v>0.63030000000000053</v>
      </c>
      <c r="D145" s="9">
        <f t="shared" si="21"/>
        <v>0.48880000000000051</v>
      </c>
      <c r="E145" s="9">
        <f t="shared" si="22"/>
        <v>0.48960000000000087</v>
      </c>
      <c r="G145" s="8">
        <v>487</v>
      </c>
      <c r="H145" s="9">
        <f t="shared" si="23"/>
        <v>0.48880000000000051</v>
      </c>
      <c r="J145" s="8">
        <v>487</v>
      </c>
      <c r="K145" s="9">
        <f t="shared" si="24"/>
        <v>0.48960000000000087</v>
      </c>
    </row>
    <row r="146" spans="2:11">
      <c r="B146" s="8">
        <v>488</v>
      </c>
      <c r="C146" s="9">
        <f t="shared" si="20"/>
        <v>0.63220000000000054</v>
      </c>
      <c r="D146" s="9">
        <f t="shared" si="21"/>
        <v>0.49120000000000053</v>
      </c>
      <c r="E146" s="9">
        <f t="shared" si="22"/>
        <v>0.49040000000000089</v>
      </c>
      <c r="G146" s="8">
        <v>488</v>
      </c>
      <c r="H146" s="9">
        <f t="shared" si="23"/>
        <v>0.49120000000000053</v>
      </c>
      <c r="J146" s="8">
        <v>488</v>
      </c>
      <c r="K146" s="9">
        <f t="shared" si="24"/>
        <v>0.49040000000000089</v>
      </c>
    </row>
    <row r="147" spans="2:11">
      <c r="B147" s="8">
        <v>489</v>
      </c>
      <c r="C147" s="9">
        <f t="shared" si="20"/>
        <v>0.63410000000000055</v>
      </c>
      <c r="D147" s="9">
        <f t="shared" si="21"/>
        <v>0.49360000000000054</v>
      </c>
      <c r="E147" s="9">
        <f t="shared" si="22"/>
        <v>0.49120000000000091</v>
      </c>
      <c r="G147" s="8">
        <v>489</v>
      </c>
      <c r="H147" s="9">
        <f t="shared" si="23"/>
        <v>0.49360000000000054</v>
      </c>
      <c r="J147" s="8">
        <v>489</v>
      </c>
      <c r="K147" s="9">
        <f t="shared" si="24"/>
        <v>0.49120000000000091</v>
      </c>
    </row>
    <row r="148" spans="2:11">
      <c r="B148" s="8">
        <v>490</v>
      </c>
      <c r="C148" s="9">
        <f t="shared" si="20"/>
        <v>0.63600000000000056</v>
      </c>
      <c r="D148" s="9">
        <f t="shared" si="21"/>
        <v>0.49600000000000055</v>
      </c>
      <c r="E148" s="9">
        <f t="shared" si="22"/>
        <v>0.49200000000000094</v>
      </c>
      <c r="G148" s="8">
        <v>490</v>
      </c>
      <c r="H148" s="9">
        <f t="shared" si="23"/>
        <v>0.49600000000000055</v>
      </c>
      <c r="J148" s="8">
        <v>490</v>
      </c>
      <c r="K148" s="9">
        <f t="shared" si="24"/>
        <v>0.49200000000000094</v>
      </c>
    </row>
    <row r="149" spans="2:11">
      <c r="B149" s="8">
        <v>491</v>
      </c>
      <c r="C149" s="9">
        <f t="shared" si="20"/>
        <v>0.63790000000000058</v>
      </c>
      <c r="D149" s="9">
        <f t="shared" si="21"/>
        <v>0.49840000000000056</v>
      </c>
      <c r="E149" s="9">
        <f t="shared" si="22"/>
        <v>0.49280000000000096</v>
      </c>
      <c r="G149" s="8">
        <v>491</v>
      </c>
      <c r="H149" s="9">
        <f t="shared" si="23"/>
        <v>0.49840000000000056</v>
      </c>
      <c r="J149" s="8">
        <v>491</v>
      </c>
      <c r="K149" s="9">
        <f t="shared" si="24"/>
        <v>0.49280000000000096</v>
      </c>
    </row>
    <row r="150" spans="2:11">
      <c r="B150" s="8">
        <v>492</v>
      </c>
      <c r="C150" s="9">
        <f t="shared" si="20"/>
        <v>0.63980000000000059</v>
      </c>
      <c r="D150" s="9">
        <f t="shared" si="21"/>
        <v>0.50080000000000058</v>
      </c>
      <c r="E150" s="9">
        <f t="shared" si="22"/>
        <v>0.49360000000000098</v>
      </c>
      <c r="G150" s="8">
        <v>492</v>
      </c>
      <c r="H150" s="9">
        <f t="shared" si="23"/>
        <v>0.50080000000000058</v>
      </c>
      <c r="J150" s="8">
        <v>492</v>
      </c>
      <c r="K150" s="9">
        <f t="shared" si="24"/>
        <v>0.49360000000000098</v>
      </c>
    </row>
    <row r="151" spans="2:11">
      <c r="B151" s="8">
        <v>493</v>
      </c>
      <c r="C151" s="9">
        <f t="shared" si="20"/>
        <v>0.6417000000000006</v>
      </c>
      <c r="D151" s="9">
        <f t="shared" si="21"/>
        <v>0.50320000000000054</v>
      </c>
      <c r="E151" s="9">
        <f t="shared" si="22"/>
        <v>0.49440000000000101</v>
      </c>
      <c r="G151" s="8">
        <v>493</v>
      </c>
      <c r="H151" s="9">
        <f t="shared" si="23"/>
        <v>0.50320000000000054</v>
      </c>
      <c r="J151" s="8">
        <v>493</v>
      </c>
      <c r="K151" s="9">
        <f t="shared" si="24"/>
        <v>0.49440000000000101</v>
      </c>
    </row>
    <row r="152" spans="2:11">
      <c r="B152" s="8">
        <v>494</v>
      </c>
      <c r="C152" s="9">
        <f t="shared" si="20"/>
        <v>0.64360000000000062</v>
      </c>
      <c r="D152" s="9">
        <f t="shared" si="21"/>
        <v>0.50560000000000049</v>
      </c>
      <c r="E152" s="9">
        <f t="shared" si="22"/>
        <v>0.49520000000000103</v>
      </c>
      <c r="G152" s="8">
        <v>494</v>
      </c>
      <c r="H152" s="9">
        <f t="shared" si="23"/>
        <v>0.50560000000000049</v>
      </c>
      <c r="J152" s="8">
        <v>494</v>
      </c>
      <c r="K152" s="9">
        <f t="shared" si="24"/>
        <v>0.49520000000000103</v>
      </c>
    </row>
    <row r="153" spans="2:11">
      <c r="B153" s="8">
        <v>495</v>
      </c>
      <c r="C153" s="9">
        <f t="shared" si="20"/>
        <v>0.64550000000000063</v>
      </c>
      <c r="D153" s="9">
        <f t="shared" si="21"/>
        <v>0.50800000000000045</v>
      </c>
      <c r="E153" s="9">
        <f t="shared" si="22"/>
        <v>0.49600000000000105</v>
      </c>
      <c r="G153" s="8">
        <v>495</v>
      </c>
      <c r="H153" s="9">
        <f t="shared" si="23"/>
        <v>0.50800000000000045</v>
      </c>
      <c r="J153" s="8">
        <v>495</v>
      </c>
      <c r="K153" s="9">
        <f t="shared" si="24"/>
        <v>0.49600000000000105</v>
      </c>
    </row>
    <row r="154" spans="2:11">
      <c r="B154" s="8">
        <v>496</v>
      </c>
      <c r="C154" s="9">
        <f t="shared" si="20"/>
        <v>0.64740000000000064</v>
      </c>
      <c r="D154" s="9">
        <f t="shared" si="21"/>
        <v>0.51040000000000041</v>
      </c>
      <c r="E154" s="9">
        <f t="shared" si="22"/>
        <v>0.49680000000000107</v>
      </c>
      <c r="G154" s="8">
        <v>496</v>
      </c>
      <c r="H154" s="9">
        <f t="shared" si="23"/>
        <v>0.51040000000000041</v>
      </c>
      <c r="J154" s="8">
        <v>496</v>
      </c>
      <c r="K154" s="9">
        <f t="shared" si="24"/>
        <v>0.49680000000000107</v>
      </c>
    </row>
    <row r="155" spans="2:11">
      <c r="B155" s="8">
        <v>497</v>
      </c>
      <c r="C155" s="9">
        <f t="shared" si="20"/>
        <v>0.64930000000000065</v>
      </c>
      <c r="D155" s="9">
        <f t="shared" si="21"/>
        <v>0.51280000000000037</v>
      </c>
      <c r="E155" s="9">
        <f t="shared" si="22"/>
        <v>0.4976000000000011</v>
      </c>
      <c r="G155" s="8">
        <v>497</v>
      </c>
      <c r="H155" s="9">
        <f t="shared" si="23"/>
        <v>0.51280000000000037</v>
      </c>
      <c r="J155" s="8">
        <v>497</v>
      </c>
      <c r="K155" s="9">
        <f t="shared" si="24"/>
        <v>0.4976000000000011</v>
      </c>
    </row>
    <row r="156" spans="2:11">
      <c r="B156" s="8">
        <v>498</v>
      </c>
      <c r="C156" s="9">
        <f t="shared" si="20"/>
        <v>0.65120000000000067</v>
      </c>
      <c r="D156" s="9">
        <f t="shared" si="21"/>
        <v>0.51520000000000032</v>
      </c>
      <c r="E156" s="9">
        <f t="shared" si="22"/>
        <v>0.49840000000000112</v>
      </c>
      <c r="G156" s="8">
        <v>498</v>
      </c>
      <c r="H156" s="9">
        <f t="shared" si="23"/>
        <v>0.51520000000000032</v>
      </c>
      <c r="J156" s="8">
        <v>498</v>
      </c>
      <c r="K156" s="9">
        <f t="shared" si="24"/>
        <v>0.49840000000000112</v>
      </c>
    </row>
    <row r="157" spans="2:11">
      <c r="B157" s="8">
        <v>499</v>
      </c>
      <c r="C157" s="9">
        <f t="shared" si="20"/>
        <v>0.65310000000000068</v>
      </c>
      <c r="D157" s="9">
        <f t="shared" si="21"/>
        <v>0.51760000000000028</v>
      </c>
      <c r="E157" s="9">
        <f t="shared" si="22"/>
        <v>0.49920000000000114</v>
      </c>
      <c r="G157" s="8">
        <v>499</v>
      </c>
      <c r="H157" s="9">
        <f t="shared" si="23"/>
        <v>0.51760000000000028</v>
      </c>
      <c r="J157" s="8">
        <v>499</v>
      </c>
      <c r="K157" s="9">
        <f t="shared" si="24"/>
        <v>0.49920000000000114</v>
      </c>
    </row>
    <row r="158" spans="2:11">
      <c r="B158" s="8">
        <v>500</v>
      </c>
      <c r="C158" s="9">
        <f t="shared" si="20"/>
        <v>0.65500000000000069</v>
      </c>
      <c r="D158" s="9">
        <f t="shared" si="21"/>
        <v>0.52000000000000024</v>
      </c>
      <c r="E158" s="9">
        <f t="shared" si="22"/>
        <v>0.50000000000000111</v>
      </c>
      <c r="G158" s="8">
        <v>500</v>
      </c>
      <c r="H158" s="9">
        <f t="shared" si="23"/>
        <v>0.52000000000000024</v>
      </c>
      <c r="J158" s="8">
        <v>500</v>
      </c>
      <c r="K158" s="9">
        <f t="shared" si="24"/>
        <v>0.50000000000000111</v>
      </c>
    </row>
    <row r="159" spans="2:11">
      <c r="B159" s="8">
        <v>501</v>
      </c>
      <c r="C159" s="9">
        <f t="shared" si="20"/>
        <v>0.65690000000000071</v>
      </c>
      <c r="D159" s="9">
        <f t="shared" si="21"/>
        <v>0.5224000000000002</v>
      </c>
      <c r="E159" s="9">
        <f t="shared" si="22"/>
        <v>0.50080000000000113</v>
      </c>
      <c r="G159" s="8">
        <v>501</v>
      </c>
      <c r="H159" s="9">
        <f t="shared" si="23"/>
        <v>0.5224000000000002</v>
      </c>
      <c r="J159" s="8">
        <v>501</v>
      </c>
      <c r="K159" s="9">
        <f t="shared" si="24"/>
        <v>0.50080000000000113</v>
      </c>
    </row>
    <row r="160" spans="2:11">
      <c r="B160" s="8">
        <v>502</v>
      </c>
      <c r="C160" s="9">
        <f t="shared" si="20"/>
        <v>0.65880000000000072</v>
      </c>
      <c r="D160" s="9">
        <f t="shared" si="21"/>
        <v>0.52480000000000016</v>
      </c>
      <c r="E160" s="9">
        <f t="shared" si="22"/>
        <v>0.50160000000000116</v>
      </c>
      <c r="G160" s="8">
        <v>502</v>
      </c>
      <c r="H160" s="9">
        <f t="shared" si="23"/>
        <v>0.52480000000000016</v>
      </c>
      <c r="J160" s="8">
        <v>502</v>
      </c>
      <c r="K160" s="9">
        <f t="shared" si="24"/>
        <v>0.50160000000000116</v>
      </c>
    </row>
    <row r="161" spans="2:11">
      <c r="B161" s="8">
        <v>503</v>
      </c>
      <c r="C161" s="9">
        <f t="shared" si="20"/>
        <v>0.66070000000000073</v>
      </c>
      <c r="D161" s="9">
        <f t="shared" si="21"/>
        <v>0.52720000000000011</v>
      </c>
      <c r="E161" s="9">
        <f t="shared" si="22"/>
        <v>0.50240000000000118</v>
      </c>
      <c r="G161" s="8">
        <v>503</v>
      </c>
      <c r="H161" s="9">
        <f t="shared" si="23"/>
        <v>0.52720000000000011</v>
      </c>
      <c r="J161" s="8">
        <v>503</v>
      </c>
      <c r="K161" s="9">
        <f t="shared" si="24"/>
        <v>0.50240000000000118</v>
      </c>
    </row>
    <row r="162" spans="2:11">
      <c r="B162" s="8">
        <v>504</v>
      </c>
      <c r="C162" s="9">
        <f t="shared" si="20"/>
        <v>0.66260000000000074</v>
      </c>
      <c r="D162" s="9">
        <f t="shared" si="21"/>
        <v>0.52960000000000007</v>
      </c>
      <c r="E162" s="9">
        <f t="shared" si="22"/>
        <v>0.5032000000000012</v>
      </c>
      <c r="G162" s="8">
        <v>504</v>
      </c>
      <c r="H162" s="9">
        <f t="shared" si="23"/>
        <v>0.52960000000000007</v>
      </c>
      <c r="J162" s="8">
        <v>504</v>
      </c>
      <c r="K162" s="9">
        <f t="shared" si="24"/>
        <v>0.5032000000000012</v>
      </c>
    </row>
    <row r="163" spans="2:11">
      <c r="B163" s="8">
        <v>505</v>
      </c>
      <c r="C163" s="9">
        <f t="shared" si="20"/>
        <v>0.66450000000000076</v>
      </c>
      <c r="D163" s="9">
        <f t="shared" si="21"/>
        <v>0.53200000000000003</v>
      </c>
      <c r="E163" s="9">
        <f t="shared" si="22"/>
        <v>0.50400000000000122</v>
      </c>
      <c r="G163" s="8">
        <v>505</v>
      </c>
      <c r="H163" s="9">
        <f t="shared" si="23"/>
        <v>0.53200000000000003</v>
      </c>
      <c r="J163" s="8">
        <v>505</v>
      </c>
      <c r="K163" s="9">
        <f t="shared" si="24"/>
        <v>0.50400000000000122</v>
      </c>
    </row>
    <row r="164" spans="2:11">
      <c r="B164" s="8">
        <v>506</v>
      </c>
      <c r="C164" s="9">
        <f t="shared" si="20"/>
        <v>0.66640000000000077</v>
      </c>
      <c r="D164" s="9">
        <f t="shared" si="21"/>
        <v>0.53439999999999999</v>
      </c>
      <c r="E164" s="9">
        <f t="shared" si="22"/>
        <v>0.50480000000000125</v>
      </c>
      <c r="G164" s="8">
        <v>506</v>
      </c>
      <c r="H164" s="9">
        <f t="shared" si="23"/>
        <v>0.53439999999999999</v>
      </c>
      <c r="J164" s="8">
        <v>506</v>
      </c>
      <c r="K164" s="9">
        <f t="shared" si="24"/>
        <v>0.50480000000000125</v>
      </c>
    </row>
    <row r="165" spans="2:11">
      <c r="B165" s="8">
        <v>507</v>
      </c>
      <c r="C165" s="9">
        <f t="shared" si="20"/>
        <v>0.66830000000000078</v>
      </c>
      <c r="D165" s="9">
        <f t="shared" si="21"/>
        <v>0.53679999999999994</v>
      </c>
      <c r="E165" s="9">
        <f t="shared" si="22"/>
        <v>0.50560000000000127</v>
      </c>
      <c r="G165" s="8">
        <v>507</v>
      </c>
      <c r="H165" s="9">
        <f t="shared" si="23"/>
        <v>0.53679999999999994</v>
      </c>
      <c r="J165" s="8">
        <v>507</v>
      </c>
      <c r="K165" s="9">
        <f t="shared" si="24"/>
        <v>0.50560000000000127</v>
      </c>
    </row>
    <row r="166" spans="2:11">
      <c r="B166" s="8">
        <v>508</v>
      </c>
      <c r="C166" s="9">
        <f t="shared" si="20"/>
        <v>0.6702000000000008</v>
      </c>
      <c r="D166" s="9">
        <f t="shared" si="21"/>
        <v>0.5391999999999999</v>
      </c>
      <c r="E166" s="9">
        <f t="shared" si="22"/>
        <v>0.50640000000000129</v>
      </c>
      <c r="G166" s="8">
        <v>508</v>
      </c>
      <c r="H166" s="9">
        <f t="shared" si="23"/>
        <v>0.5391999999999999</v>
      </c>
      <c r="J166" s="8">
        <v>508</v>
      </c>
      <c r="K166" s="9">
        <f t="shared" si="24"/>
        <v>0.50640000000000129</v>
      </c>
    </row>
    <row r="167" spans="2:11">
      <c r="B167" s="8">
        <v>509</v>
      </c>
      <c r="C167" s="9">
        <f t="shared" si="20"/>
        <v>0.67210000000000081</v>
      </c>
      <c r="D167" s="9">
        <f t="shared" si="21"/>
        <v>0.54159999999999986</v>
      </c>
      <c r="E167" s="9">
        <f t="shared" si="22"/>
        <v>0.50720000000000132</v>
      </c>
      <c r="G167" s="8">
        <v>509</v>
      </c>
      <c r="H167" s="9">
        <f t="shared" si="23"/>
        <v>0.54159999999999986</v>
      </c>
      <c r="J167" s="8">
        <v>509</v>
      </c>
      <c r="K167" s="9">
        <f t="shared" si="24"/>
        <v>0.50720000000000132</v>
      </c>
    </row>
    <row r="168" spans="2:11">
      <c r="B168" s="8">
        <v>510</v>
      </c>
      <c r="C168" s="9">
        <f t="shared" si="20"/>
        <v>0.67400000000000082</v>
      </c>
      <c r="D168" s="9">
        <f t="shared" si="21"/>
        <v>0.54399999999999982</v>
      </c>
      <c r="E168" s="9">
        <f t="shared" si="22"/>
        <v>0.50800000000000134</v>
      </c>
      <c r="G168" s="8">
        <v>510</v>
      </c>
      <c r="H168" s="9">
        <f t="shared" si="23"/>
        <v>0.54399999999999982</v>
      </c>
      <c r="J168" s="8">
        <v>510</v>
      </c>
      <c r="K168" s="9">
        <f t="shared" si="24"/>
        <v>0.50800000000000134</v>
      </c>
    </row>
    <row r="169" spans="2:11">
      <c r="B169" s="8">
        <v>511</v>
      </c>
      <c r="C169" s="9">
        <f t="shared" si="20"/>
        <v>0.67590000000000083</v>
      </c>
      <c r="D169" s="9">
        <f t="shared" si="21"/>
        <v>0.54639999999999977</v>
      </c>
      <c r="E169" s="9">
        <f t="shared" si="22"/>
        <v>0.50880000000000136</v>
      </c>
      <c r="G169" s="8">
        <v>511</v>
      </c>
      <c r="H169" s="9">
        <f t="shared" si="23"/>
        <v>0.54639999999999977</v>
      </c>
      <c r="J169" s="8">
        <v>511</v>
      </c>
      <c r="K169" s="9">
        <f t="shared" si="24"/>
        <v>0.50880000000000136</v>
      </c>
    </row>
    <row r="170" spans="2:11">
      <c r="B170" s="8">
        <v>512</v>
      </c>
      <c r="C170" s="9">
        <f t="shared" si="20"/>
        <v>0.67780000000000085</v>
      </c>
      <c r="D170" s="9">
        <f t="shared" si="21"/>
        <v>0.54879999999999973</v>
      </c>
      <c r="E170" s="9">
        <f t="shared" si="22"/>
        <v>0.50960000000000139</v>
      </c>
      <c r="G170" s="8">
        <v>512</v>
      </c>
      <c r="H170" s="9">
        <f t="shared" si="23"/>
        <v>0.54879999999999973</v>
      </c>
      <c r="J170" s="8">
        <v>512</v>
      </c>
      <c r="K170" s="9">
        <f t="shared" si="24"/>
        <v>0.50960000000000139</v>
      </c>
    </row>
    <row r="171" spans="2:11">
      <c r="B171" s="8">
        <v>513</v>
      </c>
      <c r="C171" s="9">
        <f t="shared" si="20"/>
        <v>0.67970000000000086</v>
      </c>
      <c r="D171" s="9">
        <f t="shared" si="21"/>
        <v>0.55119999999999969</v>
      </c>
      <c r="E171" s="9">
        <f t="shared" si="22"/>
        <v>0.51040000000000141</v>
      </c>
      <c r="G171" s="8">
        <v>513</v>
      </c>
      <c r="H171" s="9">
        <f t="shared" si="23"/>
        <v>0.55119999999999969</v>
      </c>
      <c r="J171" s="8">
        <v>513</v>
      </c>
      <c r="K171" s="9">
        <f t="shared" si="24"/>
        <v>0.51040000000000141</v>
      </c>
    </row>
    <row r="172" spans="2:11">
      <c r="B172" s="8">
        <v>514</v>
      </c>
      <c r="C172" s="9">
        <f t="shared" si="20"/>
        <v>0.68160000000000087</v>
      </c>
      <c r="D172" s="9">
        <f t="shared" si="21"/>
        <v>0.55359999999999965</v>
      </c>
      <c r="E172" s="9">
        <f t="shared" si="22"/>
        <v>0.51120000000000143</v>
      </c>
      <c r="G172" s="8">
        <v>514</v>
      </c>
      <c r="H172" s="9">
        <f t="shared" si="23"/>
        <v>0.55359999999999965</v>
      </c>
      <c r="J172" s="8">
        <v>514</v>
      </c>
      <c r="K172" s="9">
        <f t="shared" si="24"/>
        <v>0.51120000000000143</v>
      </c>
    </row>
    <row r="173" spans="2:11">
      <c r="B173" s="8">
        <v>515</v>
      </c>
      <c r="C173" s="9">
        <f t="shared" ref="C173:C207" si="25">C172+(($C$208-$C$108)/100)</f>
        <v>0.68350000000000088</v>
      </c>
      <c r="D173" s="9">
        <f t="shared" ref="D173:D207" si="26">D172+(($D$208-$D$108)/100)</f>
        <v>0.55599999999999961</v>
      </c>
      <c r="E173" s="9">
        <f t="shared" ref="E173:E207" si="27">E172+(($E$208-$E$108)/100)</f>
        <v>0.51200000000000145</v>
      </c>
      <c r="G173" s="8">
        <v>515</v>
      </c>
      <c r="H173" s="9">
        <f t="shared" ref="H173:H207" si="28">H172+(($D$208-$D$108)/100)</f>
        <v>0.55599999999999961</v>
      </c>
      <c r="J173" s="8">
        <v>515</v>
      </c>
      <c r="K173" s="9">
        <f t="shared" ref="K173:K207" si="29">K172+(($E$208-$E$108)/100)</f>
        <v>0.51200000000000145</v>
      </c>
    </row>
    <row r="174" spans="2:11">
      <c r="B174" s="8">
        <v>516</v>
      </c>
      <c r="C174" s="9">
        <f t="shared" si="25"/>
        <v>0.6854000000000009</v>
      </c>
      <c r="D174" s="9">
        <f t="shared" si="26"/>
        <v>0.55839999999999956</v>
      </c>
      <c r="E174" s="9">
        <f t="shared" si="27"/>
        <v>0.51280000000000148</v>
      </c>
      <c r="G174" s="8">
        <v>516</v>
      </c>
      <c r="H174" s="9">
        <f t="shared" si="28"/>
        <v>0.55839999999999956</v>
      </c>
      <c r="J174" s="8">
        <v>516</v>
      </c>
      <c r="K174" s="9">
        <f t="shared" si="29"/>
        <v>0.51280000000000148</v>
      </c>
    </row>
    <row r="175" spans="2:11">
      <c r="B175" s="8">
        <v>517</v>
      </c>
      <c r="C175" s="9">
        <f t="shared" si="25"/>
        <v>0.68730000000000091</v>
      </c>
      <c r="D175" s="9">
        <f t="shared" si="26"/>
        <v>0.56079999999999952</v>
      </c>
      <c r="E175" s="9">
        <f t="shared" si="27"/>
        <v>0.5136000000000015</v>
      </c>
      <c r="G175" s="8">
        <v>517</v>
      </c>
      <c r="H175" s="9">
        <f t="shared" si="28"/>
        <v>0.56079999999999952</v>
      </c>
      <c r="J175" s="8">
        <v>517</v>
      </c>
      <c r="K175" s="9">
        <f t="shared" si="29"/>
        <v>0.5136000000000015</v>
      </c>
    </row>
    <row r="176" spans="2:11">
      <c r="B176" s="8">
        <v>518</v>
      </c>
      <c r="C176" s="9">
        <f t="shared" si="25"/>
        <v>0.68920000000000092</v>
      </c>
      <c r="D176" s="9">
        <f t="shared" si="26"/>
        <v>0.56319999999999948</v>
      </c>
      <c r="E176" s="9">
        <f t="shared" si="27"/>
        <v>0.51440000000000152</v>
      </c>
      <c r="G176" s="8">
        <v>518</v>
      </c>
      <c r="H176" s="9">
        <f t="shared" si="28"/>
        <v>0.56319999999999948</v>
      </c>
      <c r="J176" s="8">
        <v>518</v>
      </c>
      <c r="K176" s="9">
        <f t="shared" si="29"/>
        <v>0.51440000000000152</v>
      </c>
    </row>
    <row r="177" spans="2:11">
      <c r="B177" s="8">
        <v>519</v>
      </c>
      <c r="C177" s="9">
        <f t="shared" si="25"/>
        <v>0.69110000000000094</v>
      </c>
      <c r="D177" s="9">
        <f t="shared" si="26"/>
        <v>0.56559999999999944</v>
      </c>
      <c r="E177" s="9">
        <f t="shared" si="27"/>
        <v>0.51520000000000155</v>
      </c>
      <c r="G177" s="8">
        <v>519</v>
      </c>
      <c r="H177" s="9">
        <f t="shared" si="28"/>
        <v>0.56559999999999944</v>
      </c>
      <c r="J177" s="8">
        <v>519</v>
      </c>
      <c r="K177" s="9">
        <f t="shared" si="29"/>
        <v>0.51520000000000155</v>
      </c>
    </row>
    <row r="178" spans="2:11">
      <c r="B178" s="8">
        <v>520</v>
      </c>
      <c r="C178" s="9">
        <f t="shared" si="25"/>
        <v>0.69300000000000095</v>
      </c>
      <c r="D178" s="9">
        <f t="shared" si="26"/>
        <v>0.56799999999999939</v>
      </c>
      <c r="E178" s="9">
        <f t="shared" si="27"/>
        <v>0.51600000000000157</v>
      </c>
      <c r="G178" s="8">
        <v>520</v>
      </c>
      <c r="H178" s="9">
        <f t="shared" si="28"/>
        <v>0.56799999999999939</v>
      </c>
      <c r="J178" s="8">
        <v>520</v>
      </c>
      <c r="K178" s="9">
        <f t="shared" si="29"/>
        <v>0.51600000000000157</v>
      </c>
    </row>
    <row r="179" spans="2:11">
      <c r="B179" s="8">
        <v>521</v>
      </c>
      <c r="C179" s="9">
        <f t="shared" si="25"/>
        <v>0.69490000000000096</v>
      </c>
      <c r="D179" s="9">
        <f t="shared" si="26"/>
        <v>0.57039999999999935</v>
      </c>
      <c r="E179" s="9">
        <f t="shared" si="27"/>
        <v>0.51680000000000159</v>
      </c>
      <c r="G179" s="8">
        <v>521</v>
      </c>
      <c r="H179" s="9">
        <f t="shared" si="28"/>
        <v>0.57039999999999935</v>
      </c>
      <c r="J179" s="8">
        <v>521</v>
      </c>
      <c r="K179" s="9">
        <f t="shared" si="29"/>
        <v>0.51680000000000159</v>
      </c>
    </row>
    <row r="180" spans="2:11">
      <c r="B180" s="8">
        <v>522</v>
      </c>
      <c r="C180" s="9">
        <f t="shared" si="25"/>
        <v>0.69680000000000097</v>
      </c>
      <c r="D180" s="9">
        <f t="shared" si="26"/>
        <v>0.57279999999999931</v>
      </c>
      <c r="E180" s="9">
        <f t="shared" si="27"/>
        <v>0.51760000000000161</v>
      </c>
      <c r="G180" s="8">
        <v>522</v>
      </c>
      <c r="H180" s="9">
        <f t="shared" si="28"/>
        <v>0.57279999999999931</v>
      </c>
      <c r="J180" s="8">
        <v>522</v>
      </c>
      <c r="K180" s="9">
        <f t="shared" si="29"/>
        <v>0.51760000000000161</v>
      </c>
    </row>
    <row r="181" spans="2:11">
      <c r="B181" s="8">
        <v>523</v>
      </c>
      <c r="C181" s="9">
        <f t="shared" si="25"/>
        <v>0.69870000000000099</v>
      </c>
      <c r="D181" s="9">
        <f t="shared" si="26"/>
        <v>0.57519999999999927</v>
      </c>
      <c r="E181" s="9">
        <f t="shared" si="27"/>
        <v>0.51840000000000164</v>
      </c>
      <c r="G181" s="8">
        <v>523</v>
      </c>
      <c r="H181" s="9">
        <f t="shared" si="28"/>
        <v>0.57519999999999927</v>
      </c>
      <c r="J181" s="8">
        <v>523</v>
      </c>
      <c r="K181" s="9">
        <f t="shared" si="29"/>
        <v>0.51840000000000164</v>
      </c>
    </row>
    <row r="182" spans="2:11">
      <c r="B182" s="8">
        <v>524</v>
      </c>
      <c r="C182" s="9">
        <f t="shared" si="25"/>
        <v>0.700600000000001</v>
      </c>
      <c r="D182" s="9">
        <f t="shared" si="26"/>
        <v>0.57759999999999923</v>
      </c>
      <c r="E182" s="9">
        <f t="shared" si="27"/>
        <v>0.51920000000000166</v>
      </c>
      <c r="G182" s="8">
        <v>524</v>
      </c>
      <c r="H182" s="9">
        <f t="shared" si="28"/>
        <v>0.57759999999999923</v>
      </c>
      <c r="J182" s="8">
        <v>524</v>
      </c>
      <c r="K182" s="9">
        <f t="shared" si="29"/>
        <v>0.51920000000000166</v>
      </c>
    </row>
    <row r="183" spans="2:11">
      <c r="B183" s="8">
        <v>525</v>
      </c>
      <c r="C183" s="9">
        <f t="shared" si="25"/>
        <v>0.70250000000000101</v>
      </c>
      <c r="D183" s="9">
        <f t="shared" si="26"/>
        <v>0.57999999999999918</v>
      </c>
      <c r="E183" s="9">
        <f t="shared" si="27"/>
        <v>0.52000000000000168</v>
      </c>
      <c r="G183" s="8">
        <v>525</v>
      </c>
      <c r="H183" s="9">
        <f t="shared" si="28"/>
        <v>0.57999999999999918</v>
      </c>
      <c r="J183" s="8">
        <v>525</v>
      </c>
      <c r="K183" s="9">
        <f t="shared" si="29"/>
        <v>0.52000000000000168</v>
      </c>
    </row>
    <row r="184" spans="2:11">
      <c r="B184" s="8">
        <v>526</v>
      </c>
      <c r="C184" s="9">
        <f t="shared" si="25"/>
        <v>0.70440000000000103</v>
      </c>
      <c r="D184" s="9">
        <f t="shared" si="26"/>
        <v>0.58239999999999914</v>
      </c>
      <c r="E184" s="9">
        <f t="shared" si="27"/>
        <v>0.52080000000000171</v>
      </c>
      <c r="G184" s="8">
        <v>526</v>
      </c>
      <c r="H184" s="9">
        <f t="shared" si="28"/>
        <v>0.58239999999999914</v>
      </c>
      <c r="J184" s="8">
        <v>526</v>
      </c>
      <c r="K184" s="9">
        <f t="shared" si="29"/>
        <v>0.52080000000000171</v>
      </c>
    </row>
    <row r="185" spans="2:11">
      <c r="B185" s="8">
        <v>527</v>
      </c>
      <c r="C185" s="9">
        <f t="shared" si="25"/>
        <v>0.70630000000000104</v>
      </c>
      <c r="D185" s="9">
        <f t="shared" si="26"/>
        <v>0.5847999999999991</v>
      </c>
      <c r="E185" s="9">
        <f t="shared" si="27"/>
        <v>0.52160000000000173</v>
      </c>
      <c r="G185" s="8">
        <v>527</v>
      </c>
      <c r="H185" s="9">
        <f t="shared" si="28"/>
        <v>0.5847999999999991</v>
      </c>
      <c r="J185" s="8">
        <v>527</v>
      </c>
      <c r="K185" s="9">
        <f t="shared" si="29"/>
        <v>0.52160000000000173</v>
      </c>
    </row>
    <row r="186" spans="2:11">
      <c r="B186" s="8">
        <v>528</v>
      </c>
      <c r="C186" s="9">
        <f t="shared" si="25"/>
        <v>0.70820000000000105</v>
      </c>
      <c r="D186" s="9">
        <f t="shared" si="26"/>
        <v>0.58719999999999906</v>
      </c>
      <c r="E186" s="9">
        <f t="shared" si="27"/>
        <v>0.52240000000000175</v>
      </c>
      <c r="G186" s="8">
        <v>528</v>
      </c>
      <c r="H186" s="9">
        <f t="shared" si="28"/>
        <v>0.58719999999999906</v>
      </c>
      <c r="J186" s="8">
        <v>528</v>
      </c>
      <c r="K186" s="9">
        <f t="shared" si="29"/>
        <v>0.52240000000000175</v>
      </c>
    </row>
    <row r="187" spans="2:11">
      <c r="B187" s="8">
        <v>529</v>
      </c>
      <c r="C187" s="9">
        <f t="shared" si="25"/>
        <v>0.71010000000000106</v>
      </c>
      <c r="D187" s="9">
        <f t="shared" si="26"/>
        <v>0.58959999999999901</v>
      </c>
      <c r="E187" s="9">
        <f t="shared" si="27"/>
        <v>0.52320000000000177</v>
      </c>
      <c r="G187" s="8">
        <v>529</v>
      </c>
      <c r="H187" s="9">
        <f t="shared" si="28"/>
        <v>0.58959999999999901</v>
      </c>
      <c r="J187" s="8">
        <v>529</v>
      </c>
      <c r="K187" s="9">
        <f t="shared" si="29"/>
        <v>0.52320000000000177</v>
      </c>
    </row>
    <row r="188" spans="2:11">
      <c r="B188" s="8">
        <v>530</v>
      </c>
      <c r="C188" s="9">
        <f t="shared" si="25"/>
        <v>0.71200000000000108</v>
      </c>
      <c r="D188" s="9">
        <f t="shared" si="26"/>
        <v>0.59199999999999897</v>
      </c>
      <c r="E188" s="9">
        <f t="shared" si="27"/>
        <v>0.5240000000000018</v>
      </c>
      <c r="G188" s="8">
        <v>530</v>
      </c>
      <c r="H188" s="9">
        <f t="shared" si="28"/>
        <v>0.59199999999999897</v>
      </c>
      <c r="J188" s="8">
        <v>530</v>
      </c>
      <c r="K188" s="9">
        <f t="shared" si="29"/>
        <v>0.5240000000000018</v>
      </c>
    </row>
    <row r="189" spans="2:11">
      <c r="B189" s="8">
        <v>531</v>
      </c>
      <c r="C189" s="9">
        <f t="shared" si="25"/>
        <v>0.71390000000000109</v>
      </c>
      <c r="D189" s="9">
        <f t="shared" si="26"/>
        <v>0.59439999999999893</v>
      </c>
      <c r="E189" s="9">
        <f t="shared" si="27"/>
        <v>0.52480000000000182</v>
      </c>
      <c r="G189" s="8">
        <v>531</v>
      </c>
      <c r="H189" s="9">
        <f t="shared" si="28"/>
        <v>0.59439999999999893</v>
      </c>
      <c r="J189" s="8">
        <v>531</v>
      </c>
      <c r="K189" s="9">
        <f t="shared" si="29"/>
        <v>0.52480000000000182</v>
      </c>
    </row>
    <row r="190" spans="2:11">
      <c r="B190" s="8">
        <v>532</v>
      </c>
      <c r="C190" s="9">
        <f t="shared" si="25"/>
        <v>0.7158000000000011</v>
      </c>
      <c r="D190" s="9">
        <f t="shared" si="26"/>
        <v>0.59679999999999889</v>
      </c>
      <c r="E190" s="9">
        <f t="shared" si="27"/>
        <v>0.52560000000000184</v>
      </c>
      <c r="G190" s="8">
        <v>532</v>
      </c>
      <c r="H190" s="9">
        <f t="shared" si="28"/>
        <v>0.59679999999999889</v>
      </c>
      <c r="J190" s="8">
        <v>532</v>
      </c>
      <c r="K190" s="9">
        <f t="shared" si="29"/>
        <v>0.52560000000000184</v>
      </c>
    </row>
    <row r="191" spans="2:11">
      <c r="B191" s="8">
        <v>533</v>
      </c>
      <c r="C191" s="9">
        <f t="shared" si="25"/>
        <v>0.71770000000000111</v>
      </c>
      <c r="D191" s="9">
        <f t="shared" si="26"/>
        <v>0.59919999999999884</v>
      </c>
      <c r="E191" s="9">
        <f t="shared" si="27"/>
        <v>0.52640000000000187</v>
      </c>
      <c r="G191" s="8">
        <v>533</v>
      </c>
      <c r="H191" s="9">
        <f t="shared" si="28"/>
        <v>0.59919999999999884</v>
      </c>
      <c r="J191" s="8">
        <v>533</v>
      </c>
      <c r="K191" s="9">
        <f t="shared" si="29"/>
        <v>0.52640000000000187</v>
      </c>
    </row>
    <row r="192" spans="2:11">
      <c r="B192" s="8">
        <v>534</v>
      </c>
      <c r="C192" s="9">
        <f t="shared" si="25"/>
        <v>0.71960000000000113</v>
      </c>
      <c r="D192" s="9">
        <f t="shared" si="26"/>
        <v>0.6015999999999988</v>
      </c>
      <c r="E192" s="9">
        <f t="shared" si="27"/>
        <v>0.52720000000000189</v>
      </c>
      <c r="G192" s="8">
        <v>534</v>
      </c>
      <c r="H192" s="9">
        <f t="shared" si="28"/>
        <v>0.6015999999999988</v>
      </c>
      <c r="J192" s="8">
        <v>534</v>
      </c>
      <c r="K192" s="9">
        <f t="shared" si="29"/>
        <v>0.52720000000000189</v>
      </c>
    </row>
    <row r="193" spans="2:11">
      <c r="B193" s="8">
        <v>535</v>
      </c>
      <c r="C193" s="9">
        <f t="shared" si="25"/>
        <v>0.72150000000000114</v>
      </c>
      <c r="D193" s="9">
        <f t="shared" si="26"/>
        <v>0.60399999999999876</v>
      </c>
      <c r="E193" s="9">
        <f t="shared" si="27"/>
        <v>0.52800000000000191</v>
      </c>
      <c r="G193" s="8">
        <v>535</v>
      </c>
      <c r="H193" s="9">
        <f t="shared" si="28"/>
        <v>0.60399999999999876</v>
      </c>
      <c r="J193" s="8">
        <v>535</v>
      </c>
      <c r="K193" s="9">
        <f t="shared" si="29"/>
        <v>0.52800000000000191</v>
      </c>
    </row>
    <row r="194" spans="2:11">
      <c r="B194" s="8">
        <v>536</v>
      </c>
      <c r="C194" s="9">
        <f t="shared" si="25"/>
        <v>0.72340000000000115</v>
      </c>
      <c r="D194" s="9">
        <f t="shared" si="26"/>
        <v>0.60639999999999872</v>
      </c>
      <c r="E194" s="9">
        <f t="shared" si="27"/>
        <v>0.52880000000000194</v>
      </c>
      <c r="G194" s="8">
        <v>536</v>
      </c>
      <c r="H194" s="9">
        <f t="shared" si="28"/>
        <v>0.60639999999999872</v>
      </c>
      <c r="J194" s="8">
        <v>536</v>
      </c>
      <c r="K194" s="9">
        <f t="shared" si="29"/>
        <v>0.52880000000000194</v>
      </c>
    </row>
    <row r="195" spans="2:11">
      <c r="B195" s="8">
        <v>537</v>
      </c>
      <c r="C195" s="9">
        <f t="shared" si="25"/>
        <v>0.72530000000000117</v>
      </c>
      <c r="D195" s="9">
        <f t="shared" si="26"/>
        <v>0.60879999999999868</v>
      </c>
      <c r="E195" s="9">
        <f t="shared" si="27"/>
        <v>0.52960000000000196</v>
      </c>
      <c r="G195" s="8">
        <v>537</v>
      </c>
      <c r="H195" s="9">
        <f t="shared" si="28"/>
        <v>0.60879999999999868</v>
      </c>
      <c r="J195" s="8">
        <v>537</v>
      </c>
      <c r="K195" s="9">
        <f t="shared" si="29"/>
        <v>0.52960000000000196</v>
      </c>
    </row>
    <row r="196" spans="2:11">
      <c r="B196" s="8">
        <v>538</v>
      </c>
      <c r="C196" s="9">
        <f t="shared" si="25"/>
        <v>0.72720000000000118</v>
      </c>
      <c r="D196" s="9">
        <f t="shared" si="26"/>
        <v>0.61119999999999863</v>
      </c>
      <c r="E196" s="9">
        <f t="shared" si="27"/>
        <v>0.53040000000000198</v>
      </c>
      <c r="G196" s="8">
        <v>538</v>
      </c>
      <c r="H196" s="9">
        <f t="shared" si="28"/>
        <v>0.61119999999999863</v>
      </c>
      <c r="J196" s="8">
        <v>538</v>
      </c>
      <c r="K196" s="9">
        <f t="shared" si="29"/>
        <v>0.53040000000000198</v>
      </c>
    </row>
    <row r="197" spans="2:11">
      <c r="B197" s="8">
        <v>539</v>
      </c>
      <c r="C197" s="9">
        <f t="shared" si="25"/>
        <v>0.72910000000000119</v>
      </c>
      <c r="D197" s="9">
        <f t="shared" si="26"/>
        <v>0.61359999999999859</v>
      </c>
      <c r="E197" s="9">
        <f t="shared" si="27"/>
        <v>0.531200000000002</v>
      </c>
      <c r="G197" s="8">
        <v>539</v>
      </c>
      <c r="H197" s="9">
        <f t="shared" si="28"/>
        <v>0.61359999999999859</v>
      </c>
      <c r="J197" s="8">
        <v>539</v>
      </c>
      <c r="K197" s="9">
        <f t="shared" si="29"/>
        <v>0.531200000000002</v>
      </c>
    </row>
    <row r="198" spans="2:11">
      <c r="B198" s="8">
        <v>540</v>
      </c>
      <c r="C198" s="9">
        <f t="shared" si="25"/>
        <v>0.7310000000000012</v>
      </c>
      <c r="D198" s="9">
        <f t="shared" si="26"/>
        <v>0.61599999999999855</v>
      </c>
      <c r="E198" s="9">
        <f t="shared" si="27"/>
        <v>0.53200000000000203</v>
      </c>
      <c r="G198" s="8">
        <v>540</v>
      </c>
      <c r="H198" s="9">
        <f t="shared" si="28"/>
        <v>0.61599999999999855</v>
      </c>
      <c r="J198" s="8">
        <v>540</v>
      </c>
      <c r="K198" s="9">
        <f t="shared" si="29"/>
        <v>0.53200000000000203</v>
      </c>
    </row>
    <row r="199" spans="2:11">
      <c r="B199" s="8">
        <v>541</v>
      </c>
      <c r="C199" s="9">
        <f t="shared" si="25"/>
        <v>0.73290000000000122</v>
      </c>
      <c r="D199" s="9">
        <f t="shared" si="26"/>
        <v>0.61839999999999851</v>
      </c>
      <c r="E199" s="9">
        <f t="shared" si="27"/>
        <v>0.53280000000000205</v>
      </c>
      <c r="G199" s="8">
        <v>541</v>
      </c>
      <c r="H199" s="9">
        <f t="shared" si="28"/>
        <v>0.61839999999999851</v>
      </c>
      <c r="J199" s="8">
        <v>541</v>
      </c>
      <c r="K199" s="9">
        <f t="shared" si="29"/>
        <v>0.53280000000000205</v>
      </c>
    </row>
    <row r="200" spans="2:11">
      <c r="B200" s="8">
        <v>542</v>
      </c>
      <c r="C200" s="9">
        <f t="shared" si="25"/>
        <v>0.73480000000000123</v>
      </c>
      <c r="D200" s="9">
        <f t="shared" si="26"/>
        <v>0.62079999999999846</v>
      </c>
      <c r="E200" s="9">
        <f t="shared" si="27"/>
        <v>0.53360000000000207</v>
      </c>
      <c r="G200" s="8">
        <v>542</v>
      </c>
      <c r="H200" s="9">
        <f t="shared" si="28"/>
        <v>0.62079999999999846</v>
      </c>
      <c r="J200" s="8">
        <v>542</v>
      </c>
      <c r="K200" s="9">
        <f t="shared" si="29"/>
        <v>0.53360000000000207</v>
      </c>
    </row>
    <row r="201" spans="2:11">
      <c r="B201" s="8">
        <v>543</v>
      </c>
      <c r="C201" s="9">
        <f t="shared" si="25"/>
        <v>0.73670000000000124</v>
      </c>
      <c r="D201" s="9">
        <f t="shared" si="26"/>
        <v>0.62319999999999842</v>
      </c>
      <c r="E201" s="9">
        <f t="shared" si="27"/>
        <v>0.5344000000000021</v>
      </c>
      <c r="G201" s="8">
        <v>543</v>
      </c>
      <c r="H201" s="9">
        <f t="shared" si="28"/>
        <v>0.62319999999999842</v>
      </c>
      <c r="J201" s="8">
        <v>543</v>
      </c>
      <c r="K201" s="9">
        <f t="shared" si="29"/>
        <v>0.5344000000000021</v>
      </c>
    </row>
    <row r="202" spans="2:11">
      <c r="B202" s="8">
        <v>544</v>
      </c>
      <c r="C202" s="9">
        <f t="shared" si="25"/>
        <v>0.73860000000000126</v>
      </c>
      <c r="D202" s="9">
        <f t="shared" si="26"/>
        <v>0.62559999999999838</v>
      </c>
      <c r="E202" s="9">
        <f t="shared" si="27"/>
        <v>0.53520000000000212</v>
      </c>
      <c r="G202" s="8">
        <v>544</v>
      </c>
      <c r="H202" s="9">
        <f t="shared" si="28"/>
        <v>0.62559999999999838</v>
      </c>
      <c r="J202" s="8">
        <v>544</v>
      </c>
      <c r="K202" s="9">
        <f t="shared" si="29"/>
        <v>0.53520000000000212</v>
      </c>
    </row>
    <row r="203" spans="2:11">
      <c r="B203" s="8">
        <v>545</v>
      </c>
      <c r="C203" s="9">
        <f t="shared" si="25"/>
        <v>0.74050000000000127</v>
      </c>
      <c r="D203" s="9">
        <f t="shared" si="26"/>
        <v>0.62799999999999834</v>
      </c>
      <c r="E203" s="9">
        <f t="shared" si="27"/>
        <v>0.53600000000000214</v>
      </c>
      <c r="G203" s="8">
        <v>545</v>
      </c>
      <c r="H203" s="9">
        <f t="shared" si="28"/>
        <v>0.62799999999999834</v>
      </c>
      <c r="J203" s="8">
        <v>545</v>
      </c>
      <c r="K203" s="9">
        <f t="shared" si="29"/>
        <v>0.53600000000000214</v>
      </c>
    </row>
    <row r="204" spans="2:11">
      <c r="B204" s="8">
        <v>546</v>
      </c>
      <c r="C204" s="9">
        <f t="shared" si="25"/>
        <v>0.74240000000000128</v>
      </c>
      <c r="D204" s="9">
        <f t="shared" si="26"/>
        <v>0.6303999999999983</v>
      </c>
      <c r="E204" s="9">
        <f t="shared" si="27"/>
        <v>0.53680000000000216</v>
      </c>
      <c r="G204" s="8">
        <v>546</v>
      </c>
      <c r="H204" s="9">
        <f t="shared" si="28"/>
        <v>0.6303999999999983</v>
      </c>
      <c r="J204" s="8">
        <v>546</v>
      </c>
      <c r="K204" s="9">
        <f t="shared" si="29"/>
        <v>0.53680000000000216</v>
      </c>
    </row>
    <row r="205" spans="2:11">
      <c r="B205" s="8">
        <v>547</v>
      </c>
      <c r="C205" s="9">
        <f t="shared" si="25"/>
        <v>0.74430000000000129</v>
      </c>
      <c r="D205" s="9">
        <f t="shared" si="26"/>
        <v>0.63279999999999825</v>
      </c>
      <c r="E205" s="9">
        <f t="shared" si="27"/>
        <v>0.53760000000000219</v>
      </c>
      <c r="G205" s="8">
        <v>547</v>
      </c>
      <c r="H205" s="9">
        <f t="shared" si="28"/>
        <v>0.63279999999999825</v>
      </c>
      <c r="J205" s="8">
        <v>547</v>
      </c>
      <c r="K205" s="9">
        <f t="shared" si="29"/>
        <v>0.53760000000000219</v>
      </c>
    </row>
    <row r="206" spans="2:11">
      <c r="B206" s="8">
        <v>548</v>
      </c>
      <c r="C206" s="9">
        <f t="shared" si="25"/>
        <v>0.74620000000000131</v>
      </c>
      <c r="D206" s="9">
        <f t="shared" si="26"/>
        <v>0.63519999999999821</v>
      </c>
      <c r="E206" s="9">
        <f t="shared" si="27"/>
        <v>0.53840000000000221</v>
      </c>
      <c r="G206" s="8">
        <v>548</v>
      </c>
      <c r="H206" s="9">
        <f t="shared" si="28"/>
        <v>0.63519999999999821</v>
      </c>
      <c r="J206" s="8">
        <v>548</v>
      </c>
      <c r="K206" s="9">
        <f t="shared" si="29"/>
        <v>0.53840000000000221</v>
      </c>
    </row>
    <row r="207" spans="2:11">
      <c r="B207" s="8">
        <v>549</v>
      </c>
      <c r="C207" s="9">
        <f t="shared" si="25"/>
        <v>0.74810000000000132</v>
      </c>
      <c r="D207" s="9">
        <f t="shared" si="26"/>
        <v>0.63759999999999817</v>
      </c>
      <c r="E207" s="9">
        <f t="shared" si="27"/>
        <v>0.53920000000000223</v>
      </c>
      <c r="G207" s="8">
        <v>549</v>
      </c>
      <c r="H207" s="9">
        <f t="shared" si="28"/>
        <v>0.63759999999999817</v>
      </c>
      <c r="J207" s="8">
        <v>549</v>
      </c>
      <c r="K207" s="9">
        <f t="shared" si="29"/>
        <v>0.53920000000000223</v>
      </c>
    </row>
    <row r="208" spans="2:11">
      <c r="B208" s="6">
        <v>550</v>
      </c>
      <c r="C208" s="7">
        <f>+C5</f>
        <v>0.75</v>
      </c>
      <c r="D208" s="7">
        <f>+D5</f>
        <v>0.64</v>
      </c>
      <c r="E208" s="7">
        <f>+E5</f>
        <v>0.54</v>
      </c>
      <c r="G208" s="6">
        <v>550</v>
      </c>
      <c r="H208" s="7">
        <f>+D208</f>
        <v>0.64</v>
      </c>
      <c r="J208" s="6">
        <v>550</v>
      </c>
      <c r="K208" s="7">
        <f>+E208</f>
        <v>0.54</v>
      </c>
    </row>
  </sheetData>
  <sheetProtection password="C9F1" sheet="1" objects="1" scenarios="1"/>
  <mergeCells count="1">
    <mergeCell ref="B1:K1"/>
  </mergeCells>
  <phoneticPr fontId="0" type="noConversion"/>
  <pageMargins left="0.75" right="0.75" top="1" bottom="1" header="0.5" footer="0.5"/>
  <pageSetup paperSize="9" scale="91" fitToHeight="4" orientation="portrait" r:id="rId1"/>
  <headerFooter alignWithMargins="0"/>
</worksheet>
</file>

<file path=xl/worksheets/sheet45.xml><?xml version="1.0" encoding="utf-8"?>
<worksheet xmlns="http://schemas.openxmlformats.org/spreadsheetml/2006/main" xmlns:r="http://schemas.openxmlformats.org/officeDocument/2006/relationships">
  <sheetPr codeName="Sheet29">
    <pageSetUpPr fitToPage="1"/>
  </sheetPr>
  <dimension ref="A1:N208"/>
  <sheetViews>
    <sheetView workbookViewId="0">
      <selection activeCell="B1" sqref="B1:K1"/>
    </sheetView>
  </sheetViews>
  <sheetFormatPr defaultRowHeight="12.75"/>
  <cols>
    <col min="1" max="1" width="3.85546875" customWidth="1"/>
    <col min="3" max="5" width="12.7109375" customWidth="1"/>
    <col min="6" max="6" width="2.42578125" customWidth="1"/>
    <col min="8" max="8" width="12.7109375" customWidth="1"/>
    <col min="9" max="9" width="2.7109375" customWidth="1"/>
    <col min="11" max="11" width="12.7109375" customWidth="1"/>
    <col min="12" max="12" width="2.7109375" customWidth="1"/>
  </cols>
  <sheetData>
    <row r="1" spans="1:14" ht="18">
      <c r="B1" s="1360" t="s">
        <v>820</v>
      </c>
      <c r="C1" s="1360"/>
      <c r="D1" s="1360"/>
      <c r="E1" s="1360"/>
      <c r="F1" s="1360"/>
      <c r="G1" s="1360"/>
      <c r="H1" s="1360"/>
      <c r="I1" s="1360"/>
      <c r="J1" s="1360"/>
      <c r="K1" s="1360"/>
    </row>
    <row r="2" spans="1:14" ht="38.25">
      <c r="B2" s="4" t="s">
        <v>576</v>
      </c>
      <c r="C2" s="2" t="s">
        <v>577</v>
      </c>
      <c r="D2" s="2" t="s">
        <v>578</v>
      </c>
      <c r="E2" s="2" t="s">
        <v>579</v>
      </c>
    </row>
    <row r="3" spans="1:14" ht="12.75" customHeight="1">
      <c r="A3" s="1"/>
      <c r="B3" s="3">
        <v>350</v>
      </c>
      <c r="C3" s="11">
        <v>112</v>
      </c>
      <c r="D3" s="11">
        <v>108</v>
      </c>
      <c r="E3" s="11">
        <v>107</v>
      </c>
      <c r="F3" s="1"/>
      <c r="G3" s="1"/>
    </row>
    <row r="4" spans="1:14" ht="12.75" customHeight="1">
      <c r="A4" s="1"/>
      <c r="B4" s="3">
        <v>450</v>
      </c>
      <c r="C4" s="11">
        <v>116</v>
      </c>
      <c r="D4" s="11">
        <v>108</v>
      </c>
      <c r="E4" s="11">
        <v>109</v>
      </c>
      <c r="F4" s="1"/>
      <c r="G4" s="1"/>
      <c r="H4" s="81">
        <v>108</v>
      </c>
    </row>
    <row r="5" spans="1:14" ht="12.75" customHeight="1">
      <c r="A5" s="1"/>
      <c r="B5" s="3">
        <v>550</v>
      </c>
      <c r="C5" s="11">
        <v>119</v>
      </c>
      <c r="D5" s="11">
        <v>110</v>
      </c>
      <c r="E5" s="11">
        <v>111</v>
      </c>
      <c r="F5" s="1"/>
      <c r="G5" s="1"/>
    </row>
    <row r="6" spans="1:14" ht="12.75" customHeight="1">
      <c r="A6" s="1"/>
      <c r="B6" s="5"/>
      <c r="C6" s="5"/>
      <c r="D6" s="5"/>
      <c r="E6" s="5"/>
      <c r="F6" s="1"/>
      <c r="G6" s="1"/>
    </row>
    <row r="7" spans="1:14" ht="38.25">
      <c r="B7" s="4" t="s">
        <v>576</v>
      </c>
      <c r="C7" s="2" t="s">
        <v>577</v>
      </c>
      <c r="D7" s="2" t="s">
        <v>578</v>
      </c>
      <c r="E7" s="2" t="s">
        <v>579</v>
      </c>
      <c r="G7" s="4" t="s">
        <v>576</v>
      </c>
      <c r="H7" s="2" t="s">
        <v>578</v>
      </c>
      <c r="J7" s="4" t="s">
        <v>576</v>
      </c>
      <c r="K7" s="2" t="s">
        <v>579</v>
      </c>
      <c r="M7" s="4" t="s">
        <v>576</v>
      </c>
      <c r="N7" s="2" t="s">
        <v>585</v>
      </c>
    </row>
    <row r="8" spans="1:14">
      <c r="B8" s="6">
        <v>350</v>
      </c>
      <c r="C8" s="12">
        <f>+C3</f>
        <v>112</v>
      </c>
      <c r="D8" s="12">
        <f>+D3</f>
        <v>108</v>
      </c>
      <c r="E8" s="12">
        <f>+E3</f>
        <v>107</v>
      </c>
      <c r="G8" s="6">
        <v>350</v>
      </c>
      <c r="H8" s="12">
        <f>+D8</f>
        <v>108</v>
      </c>
      <c r="J8" s="6">
        <v>350</v>
      </c>
      <c r="K8" s="12">
        <f>+E8</f>
        <v>107</v>
      </c>
      <c r="M8" s="6">
        <v>350</v>
      </c>
      <c r="N8" s="14">
        <v>102</v>
      </c>
    </row>
    <row r="9" spans="1:14" ht="12.75" customHeight="1">
      <c r="B9" s="8">
        <v>351</v>
      </c>
      <c r="C9" s="13">
        <f t="shared" ref="C9:C40" si="0">C8+(($C$108-$C$8)/100)</f>
        <v>112.04</v>
      </c>
      <c r="D9" s="13">
        <f t="shared" ref="D9:D40" si="1">D8+(($D$108-$D$8)/100)</f>
        <v>108</v>
      </c>
      <c r="E9" s="13">
        <f t="shared" ref="E9:E40" si="2">E8+(($E$108-$E$8)/100)</f>
        <v>107.02</v>
      </c>
      <c r="G9" s="8">
        <v>351</v>
      </c>
      <c r="H9" s="13">
        <f t="shared" ref="H9:H40" si="3">H8+(($D$108-$D$8)/100)</f>
        <v>108</v>
      </c>
      <c r="J9" s="8">
        <v>351</v>
      </c>
      <c r="K9" s="13">
        <f t="shared" ref="K9:K40" si="4">K8+(($E$108-$E$8)/100)</f>
        <v>107.02</v>
      </c>
      <c r="M9" s="8">
        <v>351</v>
      </c>
      <c r="N9" s="14">
        <v>102</v>
      </c>
    </row>
    <row r="10" spans="1:14">
      <c r="B10" s="8">
        <v>352</v>
      </c>
      <c r="C10" s="13">
        <f t="shared" si="0"/>
        <v>112.08000000000001</v>
      </c>
      <c r="D10" s="13">
        <f t="shared" si="1"/>
        <v>108</v>
      </c>
      <c r="E10" s="13">
        <f t="shared" si="2"/>
        <v>107.03999999999999</v>
      </c>
      <c r="G10" s="8">
        <v>352</v>
      </c>
      <c r="H10" s="13">
        <f t="shared" si="3"/>
        <v>108</v>
      </c>
      <c r="J10" s="8">
        <v>352</v>
      </c>
      <c r="K10" s="13">
        <f t="shared" si="4"/>
        <v>107.03999999999999</v>
      </c>
      <c r="M10" s="8">
        <v>352</v>
      </c>
      <c r="N10" s="14">
        <v>102</v>
      </c>
    </row>
    <row r="11" spans="1:14">
      <c r="B11" s="8">
        <v>353</v>
      </c>
      <c r="C11" s="13">
        <f t="shared" si="0"/>
        <v>112.12000000000002</v>
      </c>
      <c r="D11" s="13">
        <f t="shared" si="1"/>
        <v>108</v>
      </c>
      <c r="E11" s="13">
        <f t="shared" si="2"/>
        <v>107.05999999999999</v>
      </c>
      <c r="G11" s="8">
        <v>353</v>
      </c>
      <c r="H11" s="13">
        <f t="shared" si="3"/>
        <v>108</v>
      </c>
      <c r="J11" s="8">
        <v>353</v>
      </c>
      <c r="K11" s="13">
        <f t="shared" si="4"/>
        <v>107.05999999999999</v>
      </c>
      <c r="M11" s="8">
        <v>353</v>
      </c>
      <c r="N11" s="14">
        <v>102</v>
      </c>
    </row>
    <row r="12" spans="1:14">
      <c r="B12" s="8">
        <v>354</v>
      </c>
      <c r="C12" s="13">
        <f t="shared" si="0"/>
        <v>112.16000000000003</v>
      </c>
      <c r="D12" s="13">
        <f t="shared" si="1"/>
        <v>108</v>
      </c>
      <c r="E12" s="13">
        <f t="shared" si="2"/>
        <v>107.07999999999998</v>
      </c>
      <c r="G12" s="8">
        <v>354</v>
      </c>
      <c r="H12" s="13">
        <f t="shared" si="3"/>
        <v>108</v>
      </c>
      <c r="J12" s="8">
        <v>354</v>
      </c>
      <c r="K12" s="13">
        <f t="shared" si="4"/>
        <v>107.07999999999998</v>
      </c>
      <c r="M12" s="8">
        <v>354</v>
      </c>
      <c r="N12" s="14">
        <v>102</v>
      </c>
    </row>
    <row r="13" spans="1:14">
      <c r="B13" s="8">
        <v>355</v>
      </c>
      <c r="C13" s="13">
        <f t="shared" si="0"/>
        <v>112.20000000000003</v>
      </c>
      <c r="D13" s="13">
        <f t="shared" si="1"/>
        <v>108</v>
      </c>
      <c r="E13" s="13">
        <f t="shared" si="2"/>
        <v>107.09999999999998</v>
      </c>
      <c r="G13" s="8">
        <v>355</v>
      </c>
      <c r="H13" s="13">
        <f t="shared" si="3"/>
        <v>108</v>
      </c>
      <c r="J13" s="8">
        <v>355</v>
      </c>
      <c r="K13" s="13">
        <f t="shared" si="4"/>
        <v>107.09999999999998</v>
      </c>
      <c r="M13" s="8">
        <v>355</v>
      </c>
      <c r="N13" s="14">
        <v>102</v>
      </c>
    </row>
    <row r="14" spans="1:14">
      <c r="B14" s="8">
        <v>356</v>
      </c>
      <c r="C14" s="13">
        <f t="shared" si="0"/>
        <v>112.24000000000004</v>
      </c>
      <c r="D14" s="13">
        <f t="shared" si="1"/>
        <v>108</v>
      </c>
      <c r="E14" s="13">
        <f t="shared" si="2"/>
        <v>107.11999999999998</v>
      </c>
      <c r="G14" s="8">
        <v>356</v>
      </c>
      <c r="H14" s="13">
        <f t="shared" si="3"/>
        <v>108</v>
      </c>
      <c r="J14" s="8">
        <v>356</v>
      </c>
      <c r="K14" s="13">
        <f t="shared" si="4"/>
        <v>107.11999999999998</v>
      </c>
      <c r="M14" s="8">
        <v>356</v>
      </c>
      <c r="N14" s="14">
        <v>102</v>
      </c>
    </row>
    <row r="15" spans="1:14">
      <c r="B15" s="8">
        <v>357</v>
      </c>
      <c r="C15" s="13">
        <f t="shared" si="0"/>
        <v>112.28000000000004</v>
      </c>
      <c r="D15" s="13">
        <f t="shared" si="1"/>
        <v>108</v>
      </c>
      <c r="E15" s="13">
        <f t="shared" si="2"/>
        <v>107.13999999999997</v>
      </c>
      <c r="G15" s="8">
        <v>357</v>
      </c>
      <c r="H15" s="13">
        <f t="shared" si="3"/>
        <v>108</v>
      </c>
      <c r="J15" s="8">
        <v>357</v>
      </c>
      <c r="K15" s="13">
        <f t="shared" si="4"/>
        <v>107.13999999999997</v>
      </c>
      <c r="M15" s="8">
        <v>357</v>
      </c>
      <c r="N15" s="14">
        <v>102</v>
      </c>
    </row>
    <row r="16" spans="1:14">
      <c r="B16" s="8">
        <v>358</v>
      </c>
      <c r="C16" s="13">
        <f t="shared" si="0"/>
        <v>112.32000000000005</v>
      </c>
      <c r="D16" s="13">
        <f t="shared" si="1"/>
        <v>108</v>
      </c>
      <c r="E16" s="13">
        <f t="shared" si="2"/>
        <v>107.15999999999997</v>
      </c>
      <c r="G16" s="8">
        <v>358</v>
      </c>
      <c r="H16" s="13">
        <f t="shared" si="3"/>
        <v>108</v>
      </c>
      <c r="J16" s="8">
        <v>358</v>
      </c>
      <c r="K16" s="13">
        <f t="shared" si="4"/>
        <v>107.15999999999997</v>
      </c>
      <c r="M16" s="8">
        <v>358</v>
      </c>
      <c r="N16" s="14">
        <v>102</v>
      </c>
    </row>
    <row r="17" spans="2:14">
      <c r="B17" s="8">
        <v>359</v>
      </c>
      <c r="C17" s="13">
        <f t="shared" si="0"/>
        <v>112.36000000000006</v>
      </c>
      <c r="D17" s="13">
        <f t="shared" si="1"/>
        <v>108</v>
      </c>
      <c r="E17" s="13">
        <f t="shared" si="2"/>
        <v>107.17999999999996</v>
      </c>
      <c r="G17" s="8">
        <v>359</v>
      </c>
      <c r="H17" s="13">
        <f t="shared" si="3"/>
        <v>108</v>
      </c>
      <c r="J17" s="8">
        <v>359</v>
      </c>
      <c r="K17" s="13">
        <f t="shared" si="4"/>
        <v>107.17999999999996</v>
      </c>
      <c r="M17" s="8">
        <v>359</v>
      </c>
      <c r="N17" s="14">
        <v>102</v>
      </c>
    </row>
    <row r="18" spans="2:14">
      <c r="B18" s="8">
        <v>360</v>
      </c>
      <c r="C18" s="13">
        <f t="shared" si="0"/>
        <v>112.40000000000006</v>
      </c>
      <c r="D18" s="13">
        <f t="shared" si="1"/>
        <v>108</v>
      </c>
      <c r="E18" s="13">
        <f t="shared" si="2"/>
        <v>107.19999999999996</v>
      </c>
      <c r="G18" s="8">
        <v>360</v>
      </c>
      <c r="H18" s="13">
        <f t="shared" si="3"/>
        <v>108</v>
      </c>
      <c r="J18" s="8">
        <v>360</v>
      </c>
      <c r="K18" s="13">
        <f t="shared" si="4"/>
        <v>107.19999999999996</v>
      </c>
      <c r="M18" s="8">
        <v>360</v>
      </c>
      <c r="N18" s="14">
        <v>102</v>
      </c>
    </row>
    <row r="19" spans="2:14">
      <c r="B19" s="8">
        <v>361</v>
      </c>
      <c r="C19" s="13">
        <f t="shared" si="0"/>
        <v>112.44000000000007</v>
      </c>
      <c r="D19" s="13">
        <f t="shared" si="1"/>
        <v>108</v>
      </c>
      <c r="E19" s="13">
        <f t="shared" si="2"/>
        <v>107.21999999999996</v>
      </c>
      <c r="G19" s="8">
        <v>361</v>
      </c>
      <c r="H19" s="13">
        <f t="shared" si="3"/>
        <v>108</v>
      </c>
      <c r="J19" s="8">
        <v>361</v>
      </c>
      <c r="K19" s="13">
        <f t="shared" si="4"/>
        <v>107.21999999999996</v>
      </c>
      <c r="M19" s="8">
        <v>361</v>
      </c>
      <c r="N19" s="14">
        <v>102</v>
      </c>
    </row>
    <row r="20" spans="2:14">
      <c r="B20" s="8">
        <v>362</v>
      </c>
      <c r="C20" s="13">
        <f t="shared" si="0"/>
        <v>112.48000000000008</v>
      </c>
      <c r="D20" s="13">
        <f t="shared" si="1"/>
        <v>108</v>
      </c>
      <c r="E20" s="13">
        <f t="shared" si="2"/>
        <v>107.23999999999995</v>
      </c>
      <c r="G20" s="8">
        <v>362</v>
      </c>
      <c r="H20" s="13">
        <f t="shared" si="3"/>
        <v>108</v>
      </c>
      <c r="J20" s="8">
        <v>362</v>
      </c>
      <c r="K20" s="13">
        <f t="shared" si="4"/>
        <v>107.23999999999995</v>
      </c>
      <c r="M20" s="8">
        <v>362</v>
      </c>
      <c r="N20" s="14">
        <v>102</v>
      </c>
    </row>
    <row r="21" spans="2:14">
      <c r="B21" s="8">
        <v>363</v>
      </c>
      <c r="C21" s="13">
        <f t="shared" si="0"/>
        <v>112.52000000000008</v>
      </c>
      <c r="D21" s="13">
        <f t="shared" si="1"/>
        <v>108</v>
      </c>
      <c r="E21" s="13">
        <f t="shared" si="2"/>
        <v>107.25999999999995</v>
      </c>
      <c r="G21" s="8">
        <v>363</v>
      </c>
      <c r="H21" s="13">
        <f t="shared" si="3"/>
        <v>108</v>
      </c>
      <c r="J21" s="8">
        <v>363</v>
      </c>
      <c r="K21" s="13">
        <f t="shared" si="4"/>
        <v>107.25999999999995</v>
      </c>
      <c r="M21" s="8">
        <v>363</v>
      </c>
      <c r="N21" s="14">
        <v>102</v>
      </c>
    </row>
    <row r="22" spans="2:14">
      <c r="B22" s="8">
        <v>364</v>
      </c>
      <c r="C22" s="13">
        <f t="shared" si="0"/>
        <v>112.56000000000009</v>
      </c>
      <c r="D22" s="13">
        <f t="shared" si="1"/>
        <v>108</v>
      </c>
      <c r="E22" s="13">
        <f t="shared" si="2"/>
        <v>107.27999999999994</v>
      </c>
      <c r="G22" s="8">
        <v>364</v>
      </c>
      <c r="H22" s="13">
        <f t="shared" si="3"/>
        <v>108</v>
      </c>
      <c r="J22" s="8">
        <v>364</v>
      </c>
      <c r="K22" s="13">
        <f t="shared" si="4"/>
        <v>107.27999999999994</v>
      </c>
      <c r="M22" s="8">
        <v>364</v>
      </c>
      <c r="N22" s="14">
        <v>102</v>
      </c>
    </row>
    <row r="23" spans="2:14">
      <c r="B23" s="8">
        <v>365</v>
      </c>
      <c r="C23" s="13">
        <f t="shared" si="0"/>
        <v>112.60000000000009</v>
      </c>
      <c r="D23" s="13">
        <f t="shared" si="1"/>
        <v>108</v>
      </c>
      <c r="E23" s="13">
        <f t="shared" si="2"/>
        <v>107.29999999999994</v>
      </c>
      <c r="G23" s="8">
        <v>365</v>
      </c>
      <c r="H23" s="13">
        <f t="shared" si="3"/>
        <v>108</v>
      </c>
      <c r="J23" s="8">
        <v>365</v>
      </c>
      <c r="K23" s="13">
        <f t="shared" si="4"/>
        <v>107.29999999999994</v>
      </c>
      <c r="M23" s="8">
        <v>365</v>
      </c>
      <c r="N23" s="14">
        <v>102</v>
      </c>
    </row>
    <row r="24" spans="2:14">
      <c r="B24" s="8">
        <v>366</v>
      </c>
      <c r="C24" s="13">
        <f t="shared" si="0"/>
        <v>112.6400000000001</v>
      </c>
      <c r="D24" s="13">
        <f t="shared" si="1"/>
        <v>108</v>
      </c>
      <c r="E24" s="13">
        <f t="shared" si="2"/>
        <v>107.31999999999994</v>
      </c>
      <c r="G24" s="8">
        <v>366</v>
      </c>
      <c r="H24" s="13">
        <f t="shared" si="3"/>
        <v>108</v>
      </c>
      <c r="J24" s="8">
        <v>366</v>
      </c>
      <c r="K24" s="13">
        <f t="shared" si="4"/>
        <v>107.31999999999994</v>
      </c>
      <c r="M24" s="8">
        <v>366</v>
      </c>
      <c r="N24" s="14">
        <v>102</v>
      </c>
    </row>
    <row r="25" spans="2:14">
      <c r="B25" s="8">
        <v>367</v>
      </c>
      <c r="C25" s="13">
        <f t="shared" si="0"/>
        <v>112.68000000000011</v>
      </c>
      <c r="D25" s="13">
        <f t="shared" si="1"/>
        <v>108</v>
      </c>
      <c r="E25" s="13">
        <f t="shared" si="2"/>
        <v>107.33999999999993</v>
      </c>
      <c r="G25" s="8">
        <v>367</v>
      </c>
      <c r="H25" s="13">
        <f t="shared" si="3"/>
        <v>108</v>
      </c>
      <c r="J25" s="8">
        <v>367</v>
      </c>
      <c r="K25" s="13">
        <f t="shared" si="4"/>
        <v>107.33999999999993</v>
      </c>
      <c r="M25" s="8">
        <v>367</v>
      </c>
      <c r="N25" s="14">
        <v>102</v>
      </c>
    </row>
    <row r="26" spans="2:14">
      <c r="B26" s="8">
        <v>368</v>
      </c>
      <c r="C26" s="13">
        <f t="shared" si="0"/>
        <v>112.72000000000011</v>
      </c>
      <c r="D26" s="13">
        <f t="shared" si="1"/>
        <v>108</v>
      </c>
      <c r="E26" s="13">
        <f t="shared" si="2"/>
        <v>107.35999999999993</v>
      </c>
      <c r="G26" s="8">
        <v>368</v>
      </c>
      <c r="H26" s="13">
        <f t="shared" si="3"/>
        <v>108</v>
      </c>
      <c r="J26" s="8">
        <v>368</v>
      </c>
      <c r="K26" s="13">
        <f t="shared" si="4"/>
        <v>107.35999999999993</v>
      </c>
      <c r="M26" s="8">
        <v>368</v>
      </c>
      <c r="N26" s="14">
        <v>102</v>
      </c>
    </row>
    <row r="27" spans="2:14">
      <c r="B27" s="8">
        <v>369</v>
      </c>
      <c r="C27" s="13">
        <f t="shared" si="0"/>
        <v>112.76000000000012</v>
      </c>
      <c r="D27" s="13">
        <f t="shared" si="1"/>
        <v>108</v>
      </c>
      <c r="E27" s="13">
        <f t="shared" si="2"/>
        <v>107.37999999999992</v>
      </c>
      <c r="G27" s="8">
        <v>369</v>
      </c>
      <c r="H27" s="13">
        <f t="shared" si="3"/>
        <v>108</v>
      </c>
      <c r="J27" s="8">
        <v>369</v>
      </c>
      <c r="K27" s="13">
        <f t="shared" si="4"/>
        <v>107.37999999999992</v>
      </c>
      <c r="M27" s="8">
        <v>369</v>
      </c>
      <c r="N27" s="14">
        <v>102</v>
      </c>
    </row>
    <row r="28" spans="2:14">
      <c r="B28" s="8">
        <v>370</v>
      </c>
      <c r="C28" s="13">
        <f t="shared" si="0"/>
        <v>112.80000000000013</v>
      </c>
      <c r="D28" s="13">
        <f t="shared" si="1"/>
        <v>108</v>
      </c>
      <c r="E28" s="13">
        <f t="shared" si="2"/>
        <v>107.39999999999992</v>
      </c>
      <c r="G28" s="8">
        <v>370</v>
      </c>
      <c r="H28" s="13">
        <f t="shared" si="3"/>
        <v>108</v>
      </c>
      <c r="J28" s="8">
        <v>370</v>
      </c>
      <c r="K28" s="13">
        <f t="shared" si="4"/>
        <v>107.39999999999992</v>
      </c>
      <c r="M28" s="8">
        <v>370</v>
      </c>
      <c r="N28" s="14">
        <v>102</v>
      </c>
    </row>
    <row r="29" spans="2:14">
      <c r="B29" s="8">
        <v>371</v>
      </c>
      <c r="C29" s="13">
        <f t="shared" si="0"/>
        <v>112.84000000000013</v>
      </c>
      <c r="D29" s="13">
        <f t="shared" si="1"/>
        <v>108</v>
      </c>
      <c r="E29" s="13">
        <f t="shared" si="2"/>
        <v>107.41999999999992</v>
      </c>
      <c r="G29" s="8">
        <v>371</v>
      </c>
      <c r="H29" s="13">
        <f t="shared" si="3"/>
        <v>108</v>
      </c>
      <c r="J29" s="8">
        <v>371</v>
      </c>
      <c r="K29" s="13">
        <f t="shared" si="4"/>
        <v>107.41999999999992</v>
      </c>
      <c r="M29" s="8">
        <v>371</v>
      </c>
      <c r="N29" s="14">
        <v>102</v>
      </c>
    </row>
    <row r="30" spans="2:14">
      <c r="B30" s="8">
        <v>372</v>
      </c>
      <c r="C30" s="13">
        <f t="shared" si="0"/>
        <v>112.88000000000014</v>
      </c>
      <c r="D30" s="13">
        <f t="shared" si="1"/>
        <v>108</v>
      </c>
      <c r="E30" s="13">
        <f t="shared" si="2"/>
        <v>107.43999999999991</v>
      </c>
      <c r="G30" s="8">
        <v>372</v>
      </c>
      <c r="H30" s="13">
        <f t="shared" si="3"/>
        <v>108</v>
      </c>
      <c r="J30" s="8">
        <v>372</v>
      </c>
      <c r="K30" s="13">
        <f t="shared" si="4"/>
        <v>107.43999999999991</v>
      </c>
      <c r="M30" s="8">
        <v>372</v>
      </c>
      <c r="N30" s="14">
        <v>102</v>
      </c>
    </row>
    <row r="31" spans="2:14">
      <c r="B31" s="8">
        <v>373</v>
      </c>
      <c r="C31" s="13">
        <f t="shared" si="0"/>
        <v>112.92000000000014</v>
      </c>
      <c r="D31" s="13">
        <f t="shared" si="1"/>
        <v>108</v>
      </c>
      <c r="E31" s="13">
        <f t="shared" si="2"/>
        <v>107.45999999999991</v>
      </c>
      <c r="G31" s="8">
        <v>373</v>
      </c>
      <c r="H31" s="13">
        <f t="shared" si="3"/>
        <v>108</v>
      </c>
      <c r="J31" s="8">
        <v>373</v>
      </c>
      <c r="K31" s="13">
        <f t="shared" si="4"/>
        <v>107.45999999999991</v>
      </c>
      <c r="M31" s="8">
        <v>373</v>
      </c>
      <c r="N31" s="14">
        <v>102</v>
      </c>
    </row>
    <row r="32" spans="2:14">
      <c r="B32" s="8">
        <v>374</v>
      </c>
      <c r="C32" s="13">
        <f t="shared" si="0"/>
        <v>112.96000000000015</v>
      </c>
      <c r="D32" s="13">
        <f t="shared" si="1"/>
        <v>108</v>
      </c>
      <c r="E32" s="13">
        <f t="shared" si="2"/>
        <v>107.4799999999999</v>
      </c>
      <c r="G32" s="8">
        <v>374</v>
      </c>
      <c r="H32" s="13">
        <f t="shared" si="3"/>
        <v>108</v>
      </c>
      <c r="J32" s="8">
        <v>374</v>
      </c>
      <c r="K32" s="13">
        <f t="shared" si="4"/>
        <v>107.4799999999999</v>
      </c>
      <c r="M32" s="8">
        <v>374</v>
      </c>
      <c r="N32" s="14">
        <v>102</v>
      </c>
    </row>
    <row r="33" spans="2:14">
      <c r="B33" s="8">
        <v>375</v>
      </c>
      <c r="C33" s="13">
        <f t="shared" si="0"/>
        <v>113.00000000000016</v>
      </c>
      <c r="D33" s="13">
        <f t="shared" si="1"/>
        <v>108</v>
      </c>
      <c r="E33" s="13">
        <f t="shared" si="2"/>
        <v>107.4999999999999</v>
      </c>
      <c r="G33" s="8">
        <v>375</v>
      </c>
      <c r="H33" s="13">
        <f t="shared" si="3"/>
        <v>108</v>
      </c>
      <c r="J33" s="8">
        <v>375</v>
      </c>
      <c r="K33" s="13">
        <f t="shared" si="4"/>
        <v>107.4999999999999</v>
      </c>
      <c r="M33" s="8">
        <v>375</v>
      </c>
      <c r="N33" s="14">
        <v>102</v>
      </c>
    </row>
    <row r="34" spans="2:14">
      <c r="B34" s="8">
        <v>376</v>
      </c>
      <c r="C34" s="13">
        <f t="shared" si="0"/>
        <v>113.04000000000016</v>
      </c>
      <c r="D34" s="13">
        <f t="shared" si="1"/>
        <v>108</v>
      </c>
      <c r="E34" s="13">
        <f t="shared" si="2"/>
        <v>107.5199999999999</v>
      </c>
      <c r="G34" s="8">
        <v>376</v>
      </c>
      <c r="H34" s="13">
        <f t="shared" si="3"/>
        <v>108</v>
      </c>
      <c r="J34" s="8">
        <v>376</v>
      </c>
      <c r="K34" s="13">
        <f t="shared" si="4"/>
        <v>107.5199999999999</v>
      </c>
      <c r="M34" s="8">
        <v>376</v>
      </c>
      <c r="N34" s="14">
        <v>102</v>
      </c>
    </row>
    <row r="35" spans="2:14">
      <c r="B35" s="8">
        <v>377</v>
      </c>
      <c r="C35" s="13">
        <f t="shared" si="0"/>
        <v>113.08000000000017</v>
      </c>
      <c r="D35" s="13">
        <f t="shared" si="1"/>
        <v>108</v>
      </c>
      <c r="E35" s="13">
        <f t="shared" si="2"/>
        <v>107.53999999999989</v>
      </c>
      <c r="G35" s="8">
        <v>377</v>
      </c>
      <c r="H35" s="13">
        <f t="shared" si="3"/>
        <v>108</v>
      </c>
      <c r="J35" s="8">
        <v>377</v>
      </c>
      <c r="K35" s="13">
        <f t="shared" si="4"/>
        <v>107.53999999999989</v>
      </c>
      <c r="M35" s="8">
        <v>377</v>
      </c>
      <c r="N35" s="14">
        <v>102</v>
      </c>
    </row>
    <row r="36" spans="2:14">
      <c r="B36" s="8">
        <v>378</v>
      </c>
      <c r="C36" s="13">
        <f t="shared" si="0"/>
        <v>113.12000000000018</v>
      </c>
      <c r="D36" s="13">
        <f t="shared" si="1"/>
        <v>108</v>
      </c>
      <c r="E36" s="13">
        <f t="shared" si="2"/>
        <v>107.55999999999989</v>
      </c>
      <c r="G36" s="8">
        <v>378</v>
      </c>
      <c r="H36" s="13">
        <f t="shared" si="3"/>
        <v>108</v>
      </c>
      <c r="J36" s="8">
        <v>378</v>
      </c>
      <c r="K36" s="13">
        <f t="shared" si="4"/>
        <v>107.55999999999989</v>
      </c>
      <c r="M36" s="8">
        <v>378</v>
      </c>
      <c r="N36" s="14">
        <v>102</v>
      </c>
    </row>
    <row r="37" spans="2:14">
      <c r="B37" s="8">
        <v>379</v>
      </c>
      <c r="C37" s="13">
        <f t="shared" si="0"/>
        <v>113.16000000000018</v>
      </c>
      <c r="D37" s="13">
        <f t="shared" si="1"/>
        <v>108</v>
      </c>
      <c r="E37" s="13">
        <f t="shared" si="2"/>
        <v>107.57999999999988</v>
      </c>
      <c r="G37" s="8">
        <v>379</v>
      </c>
      <c r="H37" s="13">
        <f t="shared" si="3"/>
        <v>108</v>
      </c>
      <c r="J37" s="8">
        <v>379</v>
      </c>
      <c r="K37" s="13">
        <f t="shared" si="4"/>
        <v>107.57999999999988</v>
      </c>
      <c r="M37" s="8">
        <v>379</v>
      </c>
      <c r="N37" s="14">
        <v>102</v>
      </c>
    </row>
    <row r="38" spans="2:14">
      <c r="B38" s="8">
        <v>380</v>
      </c>
      <c r="C38" s="13">
        <f t="shared" si="0"/>
        <v>113.20000000000019</v>
      </c>
      <c r="D38" s="13">
        <f t="shared" si="1"/>
        <v>108</v>
      </c>
      <c r="E38" s="13">
        <f t="shared" si="2"/>
        <v>107.59999999999988</v>
      </c>
      <c r="G38" s="8">
        <v>380</v>
      </c>
      <c r="H38" s="13">
        <f t="shared" si="3"/>
        <v>108</v>
      </c>
      <c r="J38" s="8">
        <v>380</v>
      </c>
      <c r="K38" s="13">
        <f t="shared" si="4"/>
        <v>107.59999999999988</v>
      </c>
      <c r="M38" s="8">
        <v>380</v>
      </c>
      <c r="N38" s="14">
        <v>102</v>
      </c>
    </row>
    <row r="39" spans="2:14">
      <c r="B39" s="8">
        <v>381</v>
      </c>
      <c r="C39" s="13">
        <f t="shared" si="0"/>
        <v>113.24000000000019</v>
      </c>
      <c r="D39" s="13">
        <f t="shared" si="1"/>
        <v>108</v>
      </c>
      <c r="E39" s="13">
        <f t="shared" si="2"/>
        <v>107.61999999999988</v>
      </c>
      <c r="G39" s="8">
        <v>381</v>
      </c>
      <c r="H39" s="13">
        <f t="shared" si="3"/>
        <v>108</v>
      </c>
      <c r="J39" s="8">
        <v>381</v>
      </c>
      <c r="K39" s="13">
        <f t="shared" si="4"/>
        <v>107.61999999999988</v>
      </c>
      <c r="M39" s="8">
        <v>381</v>
      </c>
      <c r="N39" s="14">
        <v>102</v>
      </c>
    </row>
    <row r="40" spans="2:14">
      <c r="B40" s="8">
        <v>382</v>
      </c>
      <c r="C40" s="13">
        <f t="shared" si="0"/>
        <v>113.2800000000002</v>
      </c>
      <c r="D40" s="13">
        <f t="shared" si="1"/>
        <v>108</v>
      </c>
      <c r="E40" s="13">
        <f t="shared" si="2"/>
        <v>107.63999999999987</v>
      </c>
      <c r="G40" s="8">
        <v>382</v>
      </c>
      <c r="H40" s="13">
        <f t="shared" si="3"/>
        <v>108</v>
      </c>
      <c r="J40" s="8">
        <v>382</v>
      </c>
      <c r="K40" s="13">
        <f t="shared" si="4"/>
        <v>107.63999999999987</v>
      </c>
      <c r="M40" s="8">
        <v>382</v>
      </c>
      <c r="N40" s="14">
        <v>102</v>
      </c>
    </row>
    <row r="41" spans="2:14">
      <c r="B41" s="8">
        <v>383</v>
      </c>
      <c r="C41" s="13">
        <f t="shared" ref="C41:C72" si="5">C40+(($C$108-$C$8)/100)</f>
        <v>113.32000000000021</v>
      </c>
      <c r="D41" s="13">
        <f t="shared" ref="D41:D72" si="6">D40+(($D$108-$D$8)/100)</f>
        <v>108</v>
      </c>
      <c r="E41" s="13">
        <f t="shared" ref="E41:E72" si="7">E40+(($E$108-$E$8)/100)</f>
        <v>107.65999999999987</v>
      </c>
      <c r="G41" s="8">
        <v>383</v>
      </c>
      <c r="H41" s="13">
        <f t="shared" ref="H41:H72" si="8">H40+(($D$108-$D$8)/100)</f>
        <v>108</v>
      </c>
      <c r="J41" s="8">
        <v>383</v>
      </c>
      <c r="K41" s="13">
        <f t="shared" ref="K41:K72" si="9">K40+(($E$108-$E$8)/100)</f>
        <v>107.65999999999987</v>
      </c>
      <c r="M41" s="8">
        <v>383</v>
      </c>
      <c r="N41" s="14">
        <v>102</v>
      </c>
    </row>
    <row r="42" spans="2:14">
      <c r="B42" s="8">
        <v>384</v>
      </c>
      <c r="C42" s="13">
        <f t="shared" si="5"/>
        <v>113.36000000000021</v>
      </c>
      <c r="D42" s="13">
        <f t="shared" si="6"/>
        <v>108</v>
      </c>
      <c r="E42" s="13">
        <f t="shared" si="7"/>
        <v>107.67999999999986</v>
      </c>
      <c r="G42" s="8">
        <v>384</v>
      </c>
      <c r="H42" s="13">
        <f t="shared" si="8"/>
        <v>108</v>
      </c>
      <c r="J42" s="8">
        <v>384</v>
      </c>
      <c r="K42" s="13">
        <f t="shared" si="9"/>
        <v>107.67999999999986</v>
      </c>
      <c r="M42" s="8">
        <v>384</v>
      </c>
      <c r="N42" s="14">
        <v>102</v>
      </c>
    </row>
    <row r="43" spans="2:14">
      <c r="B43" s="8">
        <v>385</v>
      </c>
      <c r="C43" s="13">
        <f t="shared" si="5"/>
        <v>113.40000000000022</v>
      </c>
      <c r="D43" s="13">
        <f t="shared" si="6"/>
        <v>108</v>
      </c>
      <c r="E43" s="13">
        <f t="shared" si="7"/>
        <v>107.69999999999986</v>
      </c>
      <c r="G43" s="8">
        <v>385</v>
      </c>
      <c r="H43" s="13">
        <f t="shared" si="8"/>
        <v>108</v>
      </c>
      <c r="J43" s="8">
        <v>385</v>
      </c>
      <c r="K43" s="13">
        <f t="shared" si="9"/>
        <v>107.69999999999986</v>
      </c>
      <c r="M43" s="8">
        <v>385</v>
      </c>
      <c r="N43" s="14">
        <v>102</v>
      </c>
    </row>
    <row r="44" spans="2:14">
      <c r="B44" s="8">
        <v>386</v>
      </c>
      <c r="C44" s="13">
        <f t="shared" si="5"/>
        <v>113.44000000000023</v>
      </c>
      <c r="D44" s="13">
        <f t="shared" si="6"/>
        <v>108</v>
      </c>
      <c r="E44" s="13">
        <f t="shared" si="7"/>
        <v>107.71999999999986</v>
      </c>
      <c r="G44" s="8">
        <v>386</v>
      </c>
      <c r="H44" s="13">
        <f t="shared" si="8"/>
        <v>108</v>
      </c>
      <c r="J44" s="8">
        <v>386</v>
      </c>
      <c r="K44" s="13">
        <f t="shared" si="9"/>
        <v>107.71999999999986</v>
      </c>
      <c r="M44" s="8">
        <v>386</v>
      </c>
      <c r="N44" s="14">
        <v>102</v>
      </c>
    </row>
    <row r="45" spans="2:14">
      <c r="B45" s="8">
        <v>387</v>
      </c>
      <c r="C45" s="13">
        <f t="shared" si="5"/>
        <v>113.48000000000023</v>
      </c>
      <c r="D45" s="13">
        <f t="shared" si="6"/>
        <v>108</v>
      </c>
      <c r="E45" s="13">
        <f t="shared" si="7"/>
        <v>107.73999999999985</v>
      </c>
      <c r="G45" s="8">
        <v>387</v>
      </c>
      <c r="H45" s="13">
        <f t="shared" si="8"/>
        <v>108</v>
      </c>
      <c r="J45" s="8">
        <v>387</v>
      </c>
      <c r="K45" s="13">
        <f t="shared" si="9"/>
        <v>107.73999999999985</v>
      </c>
      <c r="M45" s="8">
        <v>387</v>
      </c>
      <c r="N45" s="14">
        <v>102</v>
      </c>
    </row>
    <row r="46" spans="2:14">
      <c r="B46" s="8">
        <v>388</v>
      </c>
      <c r="C46" s="13">
        <f t="shared" si="5"/>
        <v>113.52000000000024</v>
      </c>
      <c r="D46" s="13">
        <f t="shared" si="6"/>
        <v>108</v>
      </c>
      <c r="E46" s="13">
        <f t="shared" si="7"/>
        <v>107.75999999999985</v>
      </c>
      <c r="G46" s="8">
        <v>388</v>
      </c>
      <c r="H46" s="13">
        <f t="shared" si="8"/>
        <v>108</v>
      </c>
      <c r="J46" s="8">
        <v>388</v>
      </c>
      <c r="K46" s="13">
        <f t="shared" si="9"/>
        <v>107.75999999999985</v>
      </c>
      <c r="M46" s="8">
        <v>388</v>
      </c>
      <c r="N46" s="14">
        <v>102</v>
      </c>
    </row>
    <row r="47" spans="2:14">
      <c r="B47" s="8">
        <v>389</v>
      </c>
      <c r="C47" s="13">
        <f t="shared" si="5"/>
        <v>113.56000000000024</v>
      </c>
      <c r="D47" s="13">
        <f t="shared" si="6"/>
        <v>108</v>
      </c>
      <c r="E47" s="13">
        <f t="shared" si="7"/>
        <v>107.77999999999984</v>
      </c>
      <c r="G47" s="8">
        <v>389</v>
      </c>
      <c r="H47" s="13">
        <f t="shared" si="8"/>
        <v>108</v>
      </c>
      <c r="J47" s="8">
        <v>389</v>
      </c>
      <c r="K47" s="13">
        <f t="shared" si="9"/>
        <v>107.77999999999984</v>
      </c>
      <c r="M47" s="8">
        <v>389</v>
      </c>
      <c r="N47" s="14">
        <v>102</v>
      </c>
    </row>
    <row r="48" spans="2:14">
      <c r="B48" s="8">
        <v>390</v>
      </c>
      <c r="C48" s="13">
        <f t="shared" si="5"/>
        <v>113.60000000000025</v>
      </c>
      <c r="D48" s="13">
        <f t="shared" si="6"/>
        <v>108</v>
      </c>
      <c r="E48" s="13">
        <f t="shared" si="7"/>
        <v>107.79999999999984</v>
      </c>
      <c r="G48" s="8">
        <v>390</v>
      </c>
      <c r="H48" s="13">
        <f t="shared" si="8"/>
        <v>108</v>
      </c>
      <c r="J48" s="8">
        <v>390</v>
      </c>
      <c r="K48" s="13">
        <f t="shared" si="9"/>
        <v>107.79999999999984</v>
      </c>
      <c r="M48" s="8">
        <v>390</v>
      </c>
      <c r="N48" s="14">
        <v>102</v>
      </c>
    </row>
    <row r="49" spans="2:14">
      <c r="B49" s="8">
        <v>391</v>
      </c>
      <c r="C49" s="13">
        <f t="shared" si="5"/>
        <v>113.64000000000026</v>
      </c>
      <c r="D49" s="13">
        <f t="shared" si="6"/>
        <v>108</v>
      </c>
      <c r="E49" s="13">
        <f t="shared" si="7"/>
        <v>107.81999999999984</v>
      </c>
      <c r="G49" s="8">
        <v>391</v>
      </c>
      <c r="H49" s="13">
        <f t="shared" si="8"/>
        <v>108</v>
      </c>
      <c r="J49" s="8">
        <v>391</v>
      </c>
      <c r="K49" s="13">
        <f t="shared" si="9"/>
        <v>107.81999999999984</v>
      </c>
      <c r="M49" s="8">
        <v>391</v>
      </c>
      <c r="N49" s="14">
        <v>102</v>
      </c>
    </row>
    <row r="50" spans="2:14">
      <c r="B50" s="8">
        <v>392</v>
      </c>
      <c r="C50" s="13">
        <f t="shared" si="5"/>
        <v>113.68000000000026</v>
      </c>
      <c r="D50" s="13">
        <f t="shared" si="6"/>
        <v>108</v>
      </c>
      <c r="E50" s="13">
        <f t="shared" si="7"/>
        <v>107.83999999999983</v>
      </c>
      <c r="G50" s="8">
        <v>392</v>
      </c>
      <c r="H50" s="13">
        <f t="shared" si="8"/>
        <v>108</v>
      </c>
      <c r="J50" s="8">
        <v>392</v>
      </c>
      <c r="K50" s="13">
        <f t="shared" si="9"/>
        <v>107.83999999999983</v>
      </c>
      <c r="M50" s="8">
        <v>392</v>
      </c>
      <c r="N50" s="14">
        <v>102</v>
      </c>
    </row>
    <row r="51" spans="2:14">
      <c r="B51" s="8">
        <v>393</v>
      </c>
      <c r="C51" s="13">
        <f t="shared" si="5"/>
        <v>113.72000000000027</v>
      </c>
      <c r="D51" s="13">
        <f t="shared" si="6"/>
        <v>108</v>
      </c>
      <c r="E51" s="13">
        <f t="shared" si="7"/>
        <v>107.85999999999983</v>
      </c>
      <c r="G51" s="8">
        <v>393</v>
      </c>
      <c r="H51" s="13">
        <f t="shared" si="8"/>
        <v>108</v>
      </c>
      <c r="J51" s="8">
        <v>393</v>
      </c>
      <c r="K51" s="13">
        <f t="shared" si="9"/>
        <v>107.85999999999983</v>
      </c>
      <c r="M51" s="8">
        <v>393</v>
      </c>
      <c r="N51" s="14">
        <v>102</v>
      </c>
    </row>
    <row r="52" spans="2:14">
      <c r="B52" s="8">
        <v>394</v>
      </c>
      <c r="C52" s="13">
        <f t="shared" si="5"/>
        <v>113.76000000000028</v>
      </c>
      <c r="D52" s="13">
        <f t="shared" si="6"/>
        <v>108</v>
      </c>
      <c r="E52" s="13">
        <f t="shared" si="7"/>
        <v>107.87999999999982</v>
      </c>
      <c r="G52" s="8">
        <v>394</v>
      </c>
      <c r="H52" s="13">
        <f t="shared" si="8"/>
        <v>108</v>
      </c>
      <c r="J52" s="8">
        <v>394</v>
      </c>
      <c r="K52" s="13">
        <f t="shared" si="9"/>
        <v>107.87999999999982</v>
      </c>
      <c r="M52" s="8">
        <v>394</v>
      </c>
      <c r="N52" s="14">
        <v>102</v>
      </c>
    </row>
    <row r="53" spans="2:14">
      <c r="B53" s="8">
        <v>395</v>
      </c>
      <c r="C53" s="13">
        <f t="shared" si="5"/>
        <v>113.80000000000028</v>
      </c>
      <c r="D53" s="13">
        <f t="shared" si="6"/>
        <v>108</v>
      </c>
      <c r="E53" s="13">
        <f t="shared" si="7"/>
        <v>107.89999999999982</v>
      </c>
      <c r="G53" s="8">
        <v>395</v>
      </c>
      <c r="H53" s="13">
        <f t="shared" si="8"/>
        <v>108</v>
      </c>
      <c r="J53" s="8">
        <v>395</v>
      </c>
      <c r="K53" s="13">
        <f t="shared" si="9"/>
        <v>107.89999999999982</v>
      </c>
      <c r="M53" s="8">
        <v>395</v>
      </c>
      <c r="N53" s="14">
        <v>102</v>
      </c>
    </row>
    <row r="54" spans="2:14">
      <c r="B54" s="8">
        <v>396</v>
      </c>
      <c r="C54" s="13">
        <f t="shared" si="5"/>
        <v>113.84000000000029</v>
      </c>
      <c r="D54" s="13">
        <f t="shared" si="6"/>
        <v>108</v>
      </c>
      <c r="E54" s="13">
        <f t="shared" si="7"/>
        <v>107.91999999999982</v>
      </c>
      <c r="G54" s="8">
        <v>396</v>
      </c>
      <c r="H54" s="13">
        <f t="shared" si="8"/>
        <v>108</v>
      </c>
      <c r="J54" s="8">
        <v>396</v>
      </c>
      <c r="K54" s="13">
        <f t="shared" si="9"/>
        <v>107.91999999999982</v>
      </c>
      <c r="M54" s="8">
        <v>396</v>
      </c>
      <c r="N54" s="14">
        <v>102</v>
      </c>
    </row>
    <row r="55" spans="2:14">
      <c r="B55" s="8">
        <v>397</v>
      </c>
      <c r="C55" s="13">
        <f t="shared" si="5"/>
        <v>113.88000000000029</v>
      </c>
      <c r="D55" s="13">
        <f t="shared" si="6"/>
        <v>108</v>
      </c>
      <c r="E55" s="13">
        <f t="shared" si="7"/>
        <v>107.93999999999981</v>
      </c>
      <c r="G55" s="8">
        <v>397</v>
      </c>
      <c r="H55" s="13">
        <f t="shared" si="8"/>
        <v>108</v>
      </c>
      <c r="J55" s="8">
        <v>397</v>
      </c>
      <c r="K55" s="13">
        <f t="shared" si="9"/>
        <v>107.93999999999981</v>
      </c>
      <c r="M55" s="8">
        <v>397</v>
      </c>
      <c r="N55" s="14">
        <v>102</v>
      </c>
    </row>
    <row r="56" spans="2:14">
      <c r="B56" s="8">
        <v>398</v>
      </c>
      <c r="C56" s="13">
        <f t="shared" si="5"/>
        <v>113.9200000000003</v>
      </c>
      <c r="D56" s="13">
        <f t="shared" si="6"/>
        <v>108</v>
      </c>
      <c r="E56" s="13">
        <f t="shared" si="7"/>
        <v>107.95999999999981</v>
      </c>
      <c r="G56" s="8">
        <v>398</v>
      </c>
      <c r="H56" s="13">
        <f t="shared" si="8"/>
        <v>108</v>
      </c>
      <c r="J56" s="8">
        <v>398</v>
      </c>
      <c r="K56" s="13">
        <f t="shared" si="9"/>
        <v>107.95999999999981</v>
      </c>
      <c r="M56" s="8">
        <v>398</v>
      </c>
      <c r="N56" s="14">
        <v>102</v>
      </c>
    </row>
    <row r="57" spans="2:14">
      <c r="B57" s="8">
        <v>399</v>
      </c>
      <c r="C57" s="13">
        <f t="shared" si="5"/>
        <v>113.96000000000031</v>
      </c>
      <c r="D57" s="13">
        <f t="shared" si="6"/>
        <v>108</v>
      </c>
      <c r="E57" s="13">
        <f t="shared" si="7"/>
        <v>107.97999999999981</v>
      </c>
      <c r="G57" s="8">
        <v>399</v>
      </c>
      <c r="H57" s="13">
        <f t="shared" si="8"/>
        <v>108</v>
      </c>
      <c r="J57" s="8">
        <v>399</v>
      </c>
      <c r="K57" s="13">
        <f t="shared" si="9"/>
        <v>107.97999999999981</v>
      </c>
      <c r="M57" s="8">
        <v>399</v>
      </c>
      <c r="N57" s="14">
        <v>102</v>
      </c>
    </row>
    <row r="58" spans="2:14">
      <c r="B58" s="8">
        <v>400</v>
      </c>
      <c r="C58" s="13">
        <f t="shared" si="5"/>
        <v>114.00000000000031</v>
      </c>
      <c r="D58" s="13">
        <f t="shared" si="6"/>
        <v>108</v>
      </c>
      <c r="E58" s="13">
        <f t="shared" si="7"/>
        <v>107.9999999999998</v>
      </c>
      <c r="G58" s="8">
        <v>400</v>
      </c>
      <c r="H58" s="13">
        <f t="shared" si="8"/>
        <v>108</v>
      </c>
      <c r="J58" s="8">
        <v>400</v>
      </c>
      <c r="K58" s="13">
        <f t="shared" si="9"/>
        <v>107.9999999999998</v>
      </c>
      <c r="M58" s="8">
        <v>400</v>
      </c>
      <c r="N58" s="14">
        <v>102</v>
      </c>
    </row>
    <row r="59" spans="2:14">
      <c r="B59" s="8">
        <v>401</v>
      </c>
      <c r="C59" s="13">
        <f t="shared" si="5"/>
        <v>114.04000000000032</v>
      </c>
      <c r="D59" s="13">
        <f t="shared" si="6"/>
        <v>108</v>
      </c>
      <c r="E59" s="13">
        <f t="shared" si="7"/>
        <v>108.0199999999998</v>
      </c>
      <c r="G59" s="8">
        <v>401</v>
      </c>
      <c r="H59" s="13">
        <f t="shared" si="8"/>
        <v>108</v>
      </c>
      <c r="J59" s="8">
        <v>401</v>
      </c>
      <c r="K59" s="13">
        <f t="shared" si="9"/>
        <v>108.0199999999998</v>
      </c>
      <c r="M59" s="8">
        <v>401</v>
      </c>
      <c r="N59" s="14">
        <v>102</v>
      </c>
    </row>
    <row r="60" spans="2:14">
      <c r="B60" s="8">
        <v>402</v>
      </c>
      <c r="C60" s="13">
        <f t="shared" si="5"/>
        <v>114.08000000000033</v>
      </c>
      <c r="D60" s="13">
        <f t="shared" si="6"/>
        <v>108</v>
      </c>
      <c r="E60" s="13">
        <f t="shared" si="7"/>
        <v>108.03999999999979</v>
      </c>
      <c r="G60" s="8">
        <v>402</v>
      </c>
      <c r="H60" s="13">
        <f t="shared" si="8"/>
        <v>108</v>
      </c>
      <c r="J60" s="8">
        <v>402</v>
      </c>
      <c r="K60" s="13">
        <f t="shared" si="9"/>
        <v>108.03999999999979</v>
      </c>
      <c r="M60" s="8">
        <v>402</v>
      </c>
      <c r="N60" s="14">
        <v>102</v>
      </c>
    </row>
    <row r="61" spans="2:14">
      <c r="B61" s="8">
        <v>403</v>
      </c>
      <c r="C61" s="13">
        <f t="shared" si="5"/>
        <v>114.12000000000033</v>
      </c>
      <c r="D61" s="13">
        <f t="shared" si="6"/>
        <v>108</v>
      </c>
      <c r="E61" s="13">
        <f t="shared" si="7"/>
        <v>108.05999999999979</v>
      </c>
      <c r="G61" s="8">
        <v>403</v>
      </c>
      <c r="H61" s="13">
        <f t="shared" si="8"/>
        <v>108</v>
      </c>
      <c r="J61" s="8">
        <v>403</v>
      </c>
      <c r="K61" s="13">
        <f t="shared" si="9"/>
        <v>108.05999999999979</v>
      </c>
      <c r="M61" s="8">
        <v>403</v>
      </c>
      <c r="N61" s="14">
        <v>102</v>
      </c>
    </row>
    <row r="62" spans="2:14">
      <c r="B62" s="8">
        <v>404</v>
      </c>
      <c r="C62" s="13">
        <f t="shared" si="5"/>
        <v>114.16000000000034</v>
      </c>
      <c r="D62" s="13">
        <f t="shared" si="6"/>
        <v>108</v>
      </c>
      <c r="E62" s="13">
        <f t="shared" si="7"/>
        <v>108.07999999999979</v>
      </c>
      <c r="G62" s="8">
        <v>404</v>
      </c>
      <c r="H62" s="13">
        <f t="shared" si="8"/>
        <v>108</v>
      </c>
      <c r="J62" s="8">
        <v>404</v>
      </c>
      <c r="K62" s="13">
        <f t="shared" si="9"/>
        <v>108.07999999999979</v>
      </c>
      <c r="M62" s="8">
        <v>404</v>
      </c>
      <c r="N62" s="14">
        <v>102</v>
      </c>
    </row>
    <row r="63" spans="2:14">
      <c r="B63" s="8">
        <v>405</v>
      </c>
      <c r="C63" s="13">
        <f t="shared" si="5"/>
        <v>114.20000000000034</v>
      </c>
      <c r="D63" s="13">
        <f t="shared" si="6"/>
        <v>108</v>
      </c>
      <c r="E63" s="13">
        <f t="shared" si="7"/>
        <v>108.09999999999978</v>
      </c>
      <c r="G63" s="8">
        <v>405</v>
      </c>
      <c r="H63" s="13">
        <f t="shared" si="8"/>
        <v>108</v>
      </c>
      <c r="J63" s="8">
        <v>405</v>
      </c>
      <c r="K63" s="13">
        <f t="shared" si="9"/>
        <v>108.09999999999978</v>
      </c>
      <c r="M63" s="8">
        <v>405</v>
      </c>
      <c r="N63" s="14">
        <v>102</v>
      </c>
    </row>
    <row r="64" spans="2:14">
      <c r="B64" s="8">
        <v>406</v>
      </c>
      <c r="C64" s="13">
        <f t="shared" si="5"/>
        <v>114.24000000000035</v>
      </c>
      <c r="D64" s="13">
        <f t="shared" si="6"/>
        <v>108</v>
      </c>
      <c r="E64" s="13">
        <f t="shared" si="7"/>
        <v>108.11999999999978</v>
      </c>
      <c r="G64" s="8">
        <v>406</v>
      </c>
      <c r="H64" s="13">
        <f t="shared" si="8"/>
        <v>108</v>
      </c>
      <c r="J64" s="8">
        <v>406</v>
      </c>
      <c r="K64" s="13">
        <f t="shared" si="9"/>
        <v>108.11999999999978</v>
      </c>
      <c r="M64" s="8">
        <v>406</v>
      </c>
      <c r="N64" s="14">
        <v>102</v>
      </c>
    </row>
    <row r="65" spans="2:14">
      <c r="B65" s="8">
        <v>407</v>
      </c>
      <c r="C65" s="13">
        <f t="shared" si="5"/>
        <v>114.28000000000036</v>
      </c>
      <c r="D65" s="13">
        <f t="shared" si="6"/>
        <v>108</v>
      </c>
      <c r="E65" s="13">
        <f t="shared" si="7"/>
        <v>108.13999999999977</v>
      </c>
      <c r="G65" s="8">
        <v>407</v>
      </c>
      <c r="H65" s="13">
        <f t="shared" si="8"/>
        <v>108</v>
      </c>
      <c r="J65" s="8">
        <v>407</v>
      </c>
      <c r="K65" s="13">
        <f t="shared" si="9"/>
        <v>108.13999999999977</v>
      </c>
      <c r="M65" s="8">
        <v>407</v>
      </c>
      <c r="N65" s="14">
        <v>102</v>
      </c>
    </row>
    <row r="66" spans="2:14">
      <c r="B66" s="8">
        <v>408</v>
      </c>
      <c r="C66" s="13">
        <f t="shared" si="5"/>
        <v>114.32000000000036</v>
      </c>
      <c r="D66" s="13">
        <f t="shared" si="6"/>
        <v>108</v>
      </c>
      <c r="E66" s="13">
        <f t="shared" si="7"/>
        <v>108.15999999999977</v>
      </c>
      <c r="G66" s="8">
        <v>408</v>
      </c>
      <c r="H66" s="13">
        <f t="shared" si="8"/>
        <v>108</v>
      </c>
      <c r="J66" s="8">
        <v>408</v>
      </c>
      <c r="K66" s="13">
        <f t="shared" si="9"/>
        <v>108.15999999999977</v>
      </c>
      <c r="M66" s="8">
        <v>408</v>
      </c>
      <c r="N66" s="14">
        <v>102</v>
      </c>
    </row>
    <row r="67" spans="2:14">
      <c r="B67" s="8">
        <v>409</v>
      </c>
      <c r="C67" s="13">
        <f t="shared" si="5"/>
        <v>114.36000000000037</v>
      </c>
      <c r="D67" s="13">
        <f t="shared" si="6"/>
        <v>108</v>
      </c>
      <c r="E67" s="13">
        <f t="shared" si="7"/>
        <v>108.17999999999977</v>
      </c>
      <c r="G67" s="8">
        <v>409</v>
      </c>
      <c r="H67" s="13">
        <f t="shared" si="8"/>
        <v>108</v>
      </c>
      <c r="J67" s="8">
        <v>409</v>
      </c>
      <c r="K67" s="13">
        <f t="shared" si="9"/>
        <v>108.17999999999977</v>
      </c>
      <c r="M67" s="8">
        <v>409</v>
      </c>
      <c r="N67" s="14">
        <v>102</v>
      </c>
    </row>
    <row r="68" spans="2:14">
      <c r="B68" s="8">
        <v>410</v>
      </c>
      <c r="C68" s="13">
        <f t="shared" si="5"/>
        <v>114.40000000000038</v>
      </c>
      <c r="D68" s="13">
        <f t="shared" si="6"/>
        <v>108</v>
      </c>
      <c r="E68" s="13">
        <f t="shared" si="7"/>
        <v>108.19999999999976</v>
      </c>
      <c r="G68" s="8">
        <v>410</v>
      </c>
      <c r="H68" s="13">
        <f t="shared" si="8"/>
        <v>108</v>
      </c>
      <c r="J68" s="8">
        <v>410</v>
      </c>
      <c r="K68" s="13">
        <f t="shared" si="9"/>
        <v>108.19999999999976</v>
      </c>
      <c r="M68" s="8">
        <v>410</v>
      </c>
      <c r="N68" s="14">
        <v>102</v>
      </c>
    </row>
    <row r="69" spans="2:14">
      <c r="B69" s="8">
        <v>411</v>
      </c>
      <c r="C69" s="13">
        <f t="shared" si="5"/>
        <v>114.44000000000038</v>
      </c>
      <c r="D69" s="13">
        <f t="shared" si="6"/>
        <v>108</v>
      </c>
      <c r="E69" s="13">
        <f t="shared" si="7"/>
        <v>108.21999999999976</v>
      </c>
      <c r="G69" s="8">
        <v>411</v>
      </c>
      <c r="H69" s="13">
        <f t="shared" si="8"/>
        <v>108</v>
      </c>
      <c r="J69" s="8">
        <v>411</v>
      </c>
      <c r="K69" s="13">
        <f t="shared" si="9"/>
        <v>108.21999999999976</v>
      </c>
      <c r="M69" s="8">
        <v>411</v>
      </c>
      <c r="N69" s="14">
        <v>102</v>
      </c>
    </row>
    <row r="70" spans="2:14">
      <c r="B70" s="8">
        <v>412</v>
      </c>
      <c r="C70" s="13">
        <f t="shared" si="5"/>
        <v>114.48000000000039</v>
      </c>
      <c r="D70" s="13">
        <f t="shared" si="6"/>
        <v>108</v>
      </c>
      <c r="E70" s="13">
        <f t="shared" si="7"/>
        <v>108.23999999999975</v>
      </c>
      <c r="G70" s="8">
        <v>412</v>
      </c>
      <c r="H70" s="13">
        <f t="shared" si="8"/>
        <v>108</v>
      </c>
      <c r="J70" s="8">
        <v>412</v>
      </c>
      <c r="K70" s="13">
        <f t="shared" si="9"/>
        <v>108.23999999999975</v>
      </c>
      <c r="M70" s="8">
        <v>412</v>
      </c>
      <c r="N70" s="14">
        <v>102</v>
      </c>
    </row>
    <row r="71" spans="2:14">
      <c r="B71" s="8">
        <v>413</v>
      </c>
      <c r="C71" s="13">
        <f t="shared" si="5"/>
        <v>114.52000000000039</v>
      </c>
      <c r="D71" s="13">
        <f t="shared" si="6"/>
        <v>108</v>
      </c>
      <c r="E71" s="13">
        <f t="shared" si="7"/>
        <v>108.25999999999975</v>
      </c>
      <c r="G71" s="8">
        <v>413</v>
      </c>
      <c r="H71" s="13">
        <f t="shared" si="8"/>
        <v>108</v>
      </c>
      <c r="J71" s="8">
        <v>413</v>
      </c>
      <c r="K71" s="13">
        <f t="shared" si="9"/>
        <v>108.25999999999975</v>
      </c>
      <c r="M71" s="8">
        <v>413</v>
      </c>
      <c r="N71" s="14">
        <v>102</v>
      </c>
    </row>
    <row r="72" spans="2:14">
      <c r="B72" s="8">
        <v>414</v>
      </c>
      <c r="C72" s="13">
        <f t="shared" si="5"/>
        <v>114.5600000000004</v>
      </c>
      <c r="D72" s="13">
        <f t="shared" si="6"/>
        <v>108</v>
      </c>
      <c r="E72" s="13">
        <f t="shared" si="7"/>
        <v>108.27999999999975</v>
      </c>
      <c r="G72" s="8">
        <v>414</v>
      </c>
      <c r="H72" s="13">
        <f t="shared" si="8"/>
        <v>108</v>
      </c>
      <c r="J72" s="8">
        <v>414</v>
      </c>
      <c r="K72" s="13">
        <f t="shared" si="9"/>
        <v>108.27999999999975</v>
      </c>
      <c r="M72" s="8">
        <v>414</v>
      </c>
      <c r="N72" s="14">
        <v>102</v>
      </c>
    </row>
    <row r="73" spans="2:14">
      <c r="B73" s="8">
        <v>415</v>
      </c>
      <c r="C73" s="13">
        <f t="shared" ref="C73:C107" si="10">C72+(($C$108-$C$8)/100)</f>
        <v>114.60000000000041</v>
      </c>
      <c r="D73" s="13">
        <f t="shared" ref="D73:D107" si="11">D72+(($D$108-$D$8)/100)</f>
        <v>108</v>
      </c>
      <c r="E73" s="13">
        <f t="shared" ref="E73:E107" si="12">E72+(($E$108-$E$8)/100)</f>
        <v>108.29999999999974</v>
      </c>
      <c r="G73" s="8">
        <v>415</v>
      </c>
      <c r="H73" s="13">
        <f t="shared" ref="H73:H107" si="13">H72+(($D$108-$D$8)/100)</f>
        <v>108</v>
      </c>
      <c r="J73" s="8">
        <v>415</v>
      </c>
      <c r="K73" s="13">
        <f t="shared" ref="K73:K107" si="14">K72+(($E$108-$E$8)/100)</f>
        <v>108.29999999999974</v>
      </c>
      <c r="M73" s="8">
        <v>415</v>
      </c>
      <c r="N73" s="14">
        <v>102</v>
      </c>
    </row>
    <row r="74" spans="2:14">
      <c r="B74" s="8">
        <v>416</v>
      </c>
      <c r="C74" s="13">
        <f t="shared" si="10"/>
        <v>114.64000000000041</v>
      </c>
      <c r="D74" s="13">
        <f t="shared" si="11"/>
        <v>108</v>
      </c>
      <c r="E74" s="13">
        <f t="shared" si="12"/>
        <v>108.31999999999974</v>
      </c>
      <c r="G74" s="8">
        <v>416</v>
      </c>
      <c r="H74" s="13">
        <f t="shared" si="13"/>
        <v>108</v>
      </c>
      <c r="J74" s="8">
        <v>416</v>
      </c>
      <c r="K74" s="13">
        <f t="shared" si="14"/>
        <v>108.31999999999974</v>
      </c>
      <c r="M74" s="8">
        <v>416</v>
      </c>
      <c r="N74" s="14">
        <v>102</v>
      </c>
    </row>
    <row r="75" spans="2:14">
      <c r="B75" s="8">
        <v>417</v>
      </c>
      <c r="C75" s="13">
        <f t="shared" si="10"/>
        <v>114.68000000000042</v>
      </c>
      <c r="D75" s="13">
        <f t="shared" si="11"/>
        <v>108</v>
      </c>
      <c r="E75" s="13">
        <f t="shared" si="12"/>
        <v>108.33999999999973</v>
      </c>
      <c r="G75" s="8">
        <v>417</v>
      </c>
      <c r="H75" s="13">
        <f t="shared" si="13"/>
        <v>108</v>
      </c>
      <c r="J75" s="8">
        <v>417</v>
      </c>
      <c r="K75" s="13">
        <f t="shared" si="14"/>
        <v>108.33999999999973</v>
      </c>
      <c r="M75" s="8">
        <v>417</v>
      </c>
      <c r="N75" s="14">
        <v>102</v>
      </c>
    </row>
    <row r="76" spans="2:14">
      <c r="B76" s="8">
        <v>418</v>
      </c>
      <c r="C76" s="13">
        <f t="shared" si="10"/>
        <v>114.72000000000043</v>
      </c>
      <c r="D76" s="13">
        <f t="shared" si="11"/>
        <v>108</v>
      </c>
      <c r="E76" s="13">
        <f t="shared" si="12"/>
        <v>108.35999999999973</v>
      </c>
      <c r="G76" s="8">
        <v>418</v>
      </c>
      <c r="H76" s="13">
        <f t="shared" si="13"/>
        <v>108</v>
      </c>
      <c r="J76" s="8">
        <v>418</v>
      </c>
      <c r="K76" s="13">
        <f t="shared" si="14"/>
        <v>108.35999999999973</v>
      </c>
      <c r="M76" s="8">
        <v>418</v>
      </c>
      <c r="N76" s="14">
        <v>102</v>
      </c>
    </row>
    <row r="77" spans="2:14">
      <c r="B77" s="8">
        <v>419</v>
      </c>
      <c r="C77" s="13">
        <f t="shared" si="10"/>
        <v>114.76000000000043</v>
      </c>
      <c r="D77" s="13">
        <f t="shared" si="11"/>
        <v>108</v>
      </c>
      <c r="E77" s="13">
        <f t="shared" si="12"/>
        <v>108.37999999999973</v>
      </c>
      <c r="G77" s="8">
        <v>419</v>
      </c>
      <c r="H77" s="13">
        <f t="shared" si="13"/>
        <v>108</v>
      </c>
      <c r="J77" s="8">
        <v>419</v>
      </c>
      <c r="K77" s="13">
        <f t="shared" si="14"/>
        <v>108.37999999999973</v>
      </c>
      <c r="M77" s="8">
        <v>419</v>
      </c>
      <c r="N77" s="14">
        <v>102</v>
      </c>
    </row>
    <row r="78" spans="2:14">
      <c r="B78" s="8">
        <v>420</v>
      </c>
      <c r="C78" s="13">
        <f t="shared" si="10"/>
        <v>114.80000000000044</v>
      </c>
      <c r="D78" s="13">
        <f t="shared" si="11"/>
        <v>108</v>
      </c>
      <c r="E78" s="13">
        <f t="shared" si="12"/>
        <v>108.39999999999972</v>
      </c>
      <c r="G78" s="8">
        <v>420</v>
      </c>
      <c r="H78" s="13">
        <f t="shared" si="13"/>
        <v>108</v>
      </c>
      <c r="J78" s="8">
        <v>420</v>
      </c>
      <c r="K78" s="13">
        <f t="shared" si="14"/>
        <v>108.39999999999972</v>
      </c>
      <c r="M78" s="8">
        <v>420</v>
      </c>
      <c r="N78" s="14">
        <v>102</v>
      </c>
    </row>
    <row r="79" spans="2:14">
      <c r="B79" s="8">
        <v>421</v>
      </c>
      <c r="C79" s="13">
        <f t="shared" si="10"/>
        <v>114.84000000000044</v>
      </c>
      <c r="D79" s="13">
        <f t="shared" si="11"/>
        <v>108</v>
      </c>
      <c r="E79" s="13">
        <f t="shared" si="12"/>
        <v>108.41999999999972</v>
      </c>
      <c r="G79" s="8">
        <v>421</v>
      </c>
      <c r="H79" s="13">
        <f t="shared" si="13"/>
        <v>108</v>
      </c>
      <c r="J79" s="8">
        <v>421</v>
      </c>
      <c r="K79" s="13">
        <f t="shared" si="14"/>
        <v>108.41999999999972</v>
      </c>
      <c r="M79" s="8">
        <v>421</v>
      </c>
      <c r="N79" s="14">
        <v>102</v>
      </c>
    </row>
    <row r="80" spans="2:14">
      <c r="B80" s="8">
        <v>422</v>
      </c>
      <c r="C80" s="13">
        <f t="shared" si="10"/>
        <v>114.88000000000045</v>
      </c>
      <c r="D80" s="13">
        <f t="shared" si="11"/>
        <v>108</v>
      </c>
      <c r="E80" s="13">
        <f t="shared" si="12"/>
        <v>108.43999999999971</v>
      </c>
      <c r="G80" s="8">
        <v>422</v>
      </c>
      <c r="H80" s="13">
        <f t="shared" si="13"/>
        <v>108</v>
      </c>
      <c r="J80" s="8">
        <v>422</v>
      </c>
      <c r="K80" s="13">
        <f t="shared" si="14"/>
        <v>108.43999999999971</v>
      </c>
      <c r="M80" s="8">
        <v>422</v>
      </c>
      <c r="N80" s="14">
        <v>102</v>
      </c>
    </row>
    <row r="81" spans="2:14">
      <c r="B81" s="8">
        <v>423</v>
      </c>
      <c r="C81" s="13">
        <f t="shared" si="10"/>
        <v>114.92000000000046</v>
      </c>
      <c r="D81" s="13">
        <f t="shared" si="11"/>
        <v>108</v>
      </c>
      <c r="E81" s="13">
        <f t="shared" si="12"/>
        <v>108.45999999999971</v>
      </c>
      <c r="G81" s="8">
        <v>423</v>
      </c>
      <c r="H81" s="13">
        <f t="shared" si="13"/>
        <v>108</v>
      </c>
      <c r="J81" s="8">
        <v>423</v>
      </c>
      <c r="K81" s="13">
        <f t="shared" si="14"/>
        <v>108.45999999999971</v>
      </c>
      <c r="M81" s="8">
        <v>423</v>
      </c>
      <c r="N81" s="14">
        <v>102</v>
      </c>
    </row>
    <row r="82" spans="2:14">
      <c r="B82" s="8">
        <v>424</v>
      </c>
      <c r="C82" s="13">
        <f t="shared" si="10"/>
        <v>114.96000000000046</v>
      </c>
      <c r="D82" s="13">
        <f t="shared" si="11"/>
        <v>108</v>
      </c>
      <c r="E82" s="13">
        <f t="shared" si="12"/>
        <v>108.47999999999971</v>
      </c>
      <c r="G82" s="8">
        <v>424</v>
      </c>
      <c r="H82" s="13">
        <f t="shared" si="13"/>
        <v>108</v>
      </c>
      <c r="J82" s="8">
        <v>424</v>
      </c>
      <c r="K82" s="13">
        <f t="shared" si="14"/>
        <v>108.47999999999971</v>
      </c>
      <c r="M82" s="8">
        <v>424</v>
      </c>
      <c r="N82" s="14">
        <v>102</v>
      </c>
    </row>
    <row r="83" spans="2:14">
      <c r="B83" s="8">
        <v>425</v>
      </c>
      <c r="C83" s="13">
        <f t="shared" si="10"/>
        <v>115.00000000000047</v>
      </c>
      <c r="D83" s="13">
        <f t="shared" si="11"/>
        <v>108</v>
      </c>
      <c r="E83" s="13">
        <f t="shared" si="12"/>
        <v>108.4999999999997</v>
      </c>
      <c r="G83" s="8">
        <v>425</v>
      </c>
      <c r="H83" s="13">
        <f t="shared" si="13"/>
        <v>108</v>
      </c>
      <c r="J83" s="8">
        <v>425</v>
      </c>
      <c r="K83" s="13">
        <f t="shared" si="14"/>
        <v>108.4999999999997</v>
      </c>
      <c r="M83" s="8">
        <v>425</v>
      </c>
      <c r="N83" s="14">
        <v>102</v>
      </c>
    </row>
    <row r="84" spans="2:14">
      <c r="B84" s="8">
        <v>426</v>
      </c>
      <c r="C84" s="13">
        <f t="shared" si="10"/>
        <v>115.04000000000048</v>
      </c>
      <c r="D84" s="13">
        <f t="shared" si="11"/>
        <v>108</v>
      </c>
      <c r="E84" s="13">
        <f t="shared" si="12"/>
        <v>108.5199999999997</v>
      </c>
      <c r="G84" s="8">
        <v>426</v>
      </c>
      <c r="H84" s="13">
        <f t="shared" si="13"/>
        <v>108</v>
      </c>
      <c r="J84" s="8">
        <v>426</v>
      </c>
      <c r="K84" s="13">
        <f t="shared" si="14"/>
        <v>108.5199999999997</v>
      </c>
      <c r="M84" s="8">
        <v>426</v>
      </c>
      <c r="N84" s="14">
        <v>102</v>
      </c>
    </row>
    <row r="85" spans="2:14">
      <c r="B85" s="8">
        <v>427</v>
      </c>
      <c r="C85" s="13">
        <f t="shared" si="10"/>
        <v>115.08000000000048</v>
      </c>
      <c r="D85" s="13">
        <f t="shared" si="11"/>
        <v>108</v>
      </c>
      <c r="E85" s="13">
        <f t="shared" si="12"/>
        <v>108.53999999999969</v>
      </c>
      <c r="G85" s="8">
        <v>427</v>
      </c>
      <c r="H85" s="13">
        <f t="shared" si="13"/>
        <v>108</v>
      </c>
      <c r="J85" s="8">
        <v>427</v>
      </c>
      <c r="K85" s="13">
        <f t="shared" si="14"/>
        <v>108.53999999999969</v>
      </c>
      <c r="M85" s="8">
        <v>427</v>
      </c>
      <c r="N85" s="14">
        <v>102</v>
      </c>
    </row>
    <row r="86" spans="2:14">
      <c r="B86" s="8">
        <v>428</v>
      </c>
      <c r="C86" s="13">
        <f t="shared" si="10"/>
        <v>115.12000000000049</v>
      </c>
      <c r="D86" s="13">
        <f t="shared" si="11"/>
        <v>108</v>
      </c>
      <c r="E86" s="13">
        <f t="shared" si="12"/>
        <v>108.55999999999969</v>
      </c>
      <c r="G86" s="8">
        <v>428</v>
      </c>
      <c r="H86" s="13">
        <f t="shared" si="13"/>
        <v>108</v>
      </c>
      <c r="J86" s="8">
        <v>428</v>
      </c>
      <c r="K86" s="13">
        <f t="shared" si="14"/>
        <v>108.55999999999969</v>
      </c>
      <c r="M86" s="8">
        <v>428</v>
      </c>
      <c r="N86" s="14">
        <v>102</v>
      </c>
    </row>
    <row r="87" spans="2:14">
      <c r="B87" s="8">
        <v>429</v>
      </c>
      <c r="C87" s="13">
        <f t="shared" si="10"/>
        <v>115.16000000000049</v>
      </c>
      <c r="D87" s="13">
        <f t="shared" si="11"/>
        <v>108</v>
      </c>
      <c r="E87" s="13">
        <f t="shared" si="12"/>
        <v>108.57999999999969</v>
      </c>
      <c r="G87" s="8">
        <v>429</v>
      </c>
      <c r="H87" s="13">
        <f t="shared" si="13"/>
        <v>108</v>
      </c>
      <c r="J87" s="8">
        <v>429</v>
      </c>
      <c r="K87" s="13">
        <f t="shared" si="14"/>
        <v>108.57999999999969</v>
      </c>
      <c r="M87" s="8">
        <v>429</v>
      </c>
      <c r="N87" s="14">
        <v>102</v>
      </c>
    </row>
    <row r="88" spans="2:14">
      <c r="B88" s="8">
        <v>430</v>
      </c>
      <c r="C88" s="13">
        <f t="shared" si="10"/>
        <v>115.2000000000005</v>
      </c>
      <c r="D88" s="13">
        <f t="shared" si="11"/>
        <v>108</v>
      </c>
      <c r="E88" s="13">
        <f t="shared" si="12"/>
        <v>108.59999999999968</v>
      </c>
      <c r="G88" s="8">
        <v>430</v>
      </c>
      <c r="H88" s="13">
        <f t="shared" si="13"/>
        <v>108</v>
      </c>
      <c r="J88" s="8">
        <v>430</v>
      </c>
      <c r="K88" s="13">
        <f t="shared" si="14"/>
        <v>108.59999999999968</v>
      </c>
      <c r="M88" s="8">
        <v>430</v>
      </c>
      <c r="N88" s="14">
        <v>102</v>
      </c>
    </row>
    <row r="89" spans="2:14">
      <c r="B89" s="8">
        <v>431</v>
      </c>
      <c r="C89" s="13">
        <f t="shared" si="10"/>
        <v>115.24000000000051</v>
      </c>
      <c r="D89" s="13">
        <f t="shared" si="11"/>
        <v>108</v>
      </c>
      <c r="E89" s="13">
        <f t="shared" si="12"/>
        <v>108.61999999999968</v>
      </c>
      <c r="G89" s="8">
        <v>431</v>
      </c>
      <c r="H89" s="13">
        <f t="shared" si="13"/>
        <v>108</v>
      </c>
      <c r="J89" s="8">
        <v>431</v>
      </c>
      <c r="K89" s="13">
        <f t="shared" si="14"/>
        <v>108.61999999999968</v>
      </c>
      <c r="M89" s="8">
        <v>431</v>
      </c>
      <c r="N89" s="14">
        <v>102</v>
      </c>
    </row>
    <row r="90" spans="2:14">
      <c r="B90" s="8">
        <v>432</v>
      </c>
      <c r="C90" s="13">
        <f t="shared" si="10"/>
        <v>115.28000000000051</v>
      </c>
      <c r="D90" s="13">
        <f t="shared" si="11"/>
        <v>108</v>
      </c>
      <c r="E90" s="13">
        <f t="shared" si="12"/>
        <v>108.63999999999967</v>
      </c>
      <c r="G90" s="8">
        <v>432</v>
      </c>
      <c r="H90" s="13">
        <f t="shared" si="13"/>
        <v>108</v>
      </c>
      <c r="J90" s="8">
        <v>432</v>
      </c>
      <c r="K90" s="13">
        <f t="shared" si="14"/>
        <v>108.63999999999967</v>
      </c>
      <c r="M90" s="8">
        <v>432</v>
      </c>
      <c r="N90" s="14">
        <v>102</v>
      </c>
    </row>
    <row r="91" spans="2:14">
      <c r="B91" s="8">
        <v>433</v>
      </c>
      <c r="C91" s="13">
        <f t="shared" si="10"/>
        <v>115.32000000000052</v>
      </c>
      <c r="D91" s="13">
        <f t="shared" si="11"/>
        <v>108</v>
      </c>
      <c r="E91" s="13">
        <f t="shared" si="12"/>
        <v>108.65999999999967</v>
      </c>
      <c r="G91" s="8">
        <v>433</v>
      </c>
      <c r="H91" s="13">
        <f t="shared" si="13"/>
        <v>108</v>
      </c>
      <c r="J91" s="8">
        <v>433</v>
      </c>
      <c r="K91" s="13">
        <f t="shared" si="14"/>
        <v>108.65999999999967</v>
      </c>
      <c r="M91" s="8">
        <v>433</v>
      </c>
      <c r="N91" s="14">
        <v>102</v>
      </c>
    </row>
    <row r="92" spans="2:14">
      <c r="B92" s="8">
        <v>434</v>
      </c>
      <c r="C92" s="13">
        <f t="shared" si="10"/>
        <v>115.36000000000053</v>
      </c>
      <c r="D92" s="13">
        <f t="shared" si="11"/>
        <v>108</v>
      </c>
      <c r="E92" s="13">
        <f t="shared" si="12"/>
        <v>108.67999999999967</v>
      </c>
      <c r="G92" s="8">
        <v>434</v>
      </c>
      <c r="H92" s="13">
        <f t="shared" si="13"/>
        <v>108</v>
      </c>
      <c r="J92" s="8">
        <v>434</v>
      </c>
      <c r="K92" s="13">
        <f t="shared" si="14"/>
        <v>108.67999999999967</v>
      </c>
      <c r="M92" s="8">
        <v>434</v>
      </c>
      <c r="N92" s="14">
        <v>102</v>
      </c>
    </row>
    <row r="93" spans="2:14">
      <c r="B93" s="8">
        <v>435</v>
      </c>
      <c r="C93" s="13">
        <f t="shared" si="10"/>
        <v>115.40000000000053</v>
      </c>
      <c r="D93" s="13">
        <f t="shared" si="11"/>
        <v>108</v>
      </c>
      <c r="E93" s="13">
        <f t="shared" si="12"/>
        <v>108.69999999999966</v>
      </c>
      <c r="G93" s="8">
        <v>435</v>
      </c>
      <c r="H93" s="13">
        <f t="shared" si="13"/>
        <v>108</v>
      </c>
      <c r="J93" s="8">
        <v>435</v>
      </c>
      <c r="K93" s="13">
        <f t="shared" si="14"/>
        <v>108.69999999999966</v>
      </c>
      <c r="M93" s="8">
        <v>435</v>
      </c>
      <c r="N93" s="14">
        <v>102</v>
      </c>
    </row>
    <row r="94" spans="2:14">
      <c r="B94" s="8">
        <v>436</v>
      </c>
      <c r="C94" s="13">
        <f t="shared" si="10"/>
        <v>115.44000000000054</v>
      </c>
      <c r="D94" s="13">
        <f t="shared" si="11"/>
        <v>108</v>
      </c>
      <c r="E94" s="13">
        <f t="shared" si="12"/>
        <v>108.71999999999966</v>
      </c>
      <c r="G94" s="8">
        <v>436</v>
      </c>
      <c r="H94" s="13">
        <f t="shared" si="13"/>
        <v>108</v>
      </c>
      <c r="J94" s="8">
        <v>436</v>
      </c>
      <c r="K94" s="13">
        <f t="shared" si="14"/>
        <v>108.71999999999966</v>
      </c>
      <c r="M94" s="8">
        <v>436</v>
      </c>
      <c r="N94" s="14">
        <v>102</v>
      </c>
    </row>
    <row r="95" spans="2:14">
      <c r="B95" s="8">
        <v>437</v>
      </c>
      <c r="C95" s="13">
        <f t="shared" si="10"/>
        <v>115.48000000000054</v>
      </c>
      <c r="D95" s="13">
        <f t="shared" si="11"/>
        <v>108</v>
      </c>
      <c r="E95" s="13">
        <f t="shared" si="12"/>
        <v>108.73999999999965</v>
      </c>
      <c r="G95" s="8">
        <v>437</v>
      </c>
      <c r="H95" s="13">
        <f t="shared" si="13"/>
        <v>108</v>
      </c>
      <c r="J95" s="8">
        <v>437</v>
      </c>
      <c r="K95" s="13">
        <f t="shared" si="14"/>
        <v>108.73999999999965</v>
      </c>
      <c r="M95" s="8">
        <v>437</v>
      </c>
      <c r="N95" s="14">
        <v>102</v>
      </c>
    </row>
    <row r="96" spans="2:14">
      <c r="B96" s="8">
        <v>438</v>
      </c>
      <c r="C96" s="13">
        <f t="shared" si="10"/>
        <v>115.52000000000055</v>
      </c>
      <c r="D96" s="13">
        <f t="shared" si="11"/>
        <v>108</v>
      </c>
      <c r="E96" s="13">
        <f t="shared" si="12"/>
        <v>108.75999999999965</v>
      </c>
      <c r="G96" s="8">
        <v>438</v>
      </c>
      <c r="H96" s="13">
        <f t="shared" si="13"/>
        <v>108</v>
      </c>
      <c r="J96" s="8">
        <v>438</v>
      </c>
      <c r="K96" s="13">
        <f t="shared" si="14"/>
        <v>108.75999999999965</v>
      </c>
      <c r="M96" s="8">
        <v>438</v>
      </c>
      <c r="N96" s="14">
        <v>102</v>
      </c>
    </row>
    <row r="97" spans="2:14">
      <c r="B97" s="8">
        <v>439</v>
      </c>
      <c r="C97" s="13">
        <f t="shared" si="10"/>
        <v>115.56000000000056</v>
      </c>
      <c r="D97" s="13">
        <f t="shared" si="11"/>
        <v>108</v>
      </c>
      <c r="E97" s="13">
        <f t="shared" si="12"/>
        <v>108.77999999999965</v>
      </c>
      <c r="G97" s="8">
        <v>439</v>
      </c>
      <c r="H97" s="13">
        <f t="shared" si="13"/>
        <v>108</v>
      </c>
      <c r="J97" s="8">
        <v>439</v>
      </c>
      <c r="K97" s="13">
        <f t="shared" si="14"/>
        <v>108.77999999999965</v>
      </c>
      <c r="M97" s="8">
        <v>439</v>
      </c>
      <c r="N97" s="14">
        <v>102</v>
      </c>
    </row>
    <row r="98" spans="2:14">
      <c r="B98" s="8">
        <v>440</v>
      </c>
      <c r="C98" s="13">
        <f t="shared" si="10"/>
        <v>115.60000000000056</v>
      </c>
      <c r="D98" s="13">
        <f t="shared" si="11"/>
        <v>108</v>
      </c>
      <c r="E98" s="13">
        <f t="shared" si="12"/>
        <v>108.79999999999964</v>
      </c>
      <c r="G98" s="8">
        <v>440</v>
      </c>
      <c r="H98" s="13">
        <f t="shared" si="13"/>
        <v>108</v>
      </c>
      <c r="J98" s="8">
        <v>440</v>
      </c>
      <c r="K98" s="13">
        <f t="shared" si="14"/>
        <v>108.79999999999964</v>
      </c>
      <c r="M98" s="8">
        <v>440</v>
      </c>
      <c r="N98" s="14">
        <v>102</v>
      </c>
    </row>
    <row r="99" spans="2:14">
      <c r="B99" s="8">
        <v>441</v>
      </c>
      <c r="C99" s="13">
        <f t="shared" si="10"/>
        <v>115.64000000000057</v>
      </c>
      <c r="D99" s="13">
        <f t="shared" si="11"/>
        <v>108</v>
      </c>
      <c r="E99" s="13">
        <f t="shared" si="12"/>
        <v>108.81999999999964</v>
      </c>
      <c r="G99" s="8">
        <v>441</v>
      </c>
      <c r="H99" s="13">
        <f t="shared" si="13"/>
        <v>108</v>
      </c>
      <c r="J99" s="8">
        <v>441</v>
      </c>
      <c r="K99" s="13">
        <f t="shared" si="14"/>
        <v>108.81999999999964</v>
      </c>
      <c r="M99" s="8">
        <v>441</v>
      </c>
      <c r="N99" s="14">
        <v>102</v>
      </c>
    </row>
    <row r="100" spans="2:14">
      <c r="B100" s="8">
        <v>442</v>
      </c>
      <c r="C100" s="13">
        <f t="shared" si="10"/>
        <v>115.68000000000058</v>
      </c>
      <c r="D100" s="13">
        <f t="shared" si="11"/>
        <v>108</v>
      </c>
      <c r="E100" s="13">
        <f t="shared" si="12"/>
        <v>108.83999999999963</v>
      </c>
      <c r="G100" s="8">
        <v>442</v>
      </c>
      <c r="H100" s="13">
        <f t="shared" si="13"/>
        <v>108</v>
      </c>
      <c r="J100" s="8">
        <v>442</v>
      </c>
      <c r="K100" s="13">
        <f t="shared" si="14"/>
        <v>108.83999999999963</v>
      </c>
      <c r="M100" s="8">
        <v>442</v>
      </c>
      <c r="N100" s="14">
        <v>102</v>
      </c>
    </row>
    <row r="101" spans="2:14">
      <c r="B101" s="8">
        <v>443</v>
      </c>
      <c r="C101" s="13">
        <f t="shared" si="10"/>
        <v>115.72000000000058</v>
      </c>
      <c r="D101" s="13">
        <f t="shared" si="11"/>
        <v>108</v>
      </c>
      <c r="E101" s="13">
        <f t="shared" si="12"/>
        <v>108.85999999999963</v>
      </c>
      <c r="G101" s="8">
        <v>443</v>
      </c>
      <c r="H101" s="13">
        <f t="shared" si="13"/>
        <v>108</v>
      </c>
      <c r="J101" s="8">
        <v>443</v>
      </c>
      <c r="K101" s="13">
        <f t="shared" si="14"/>
        <v>108.85999999999963</v>
      </c>
      <c r="M101" s="8">
        <v>443</v>
      </c>
      <c r="N101" s="14">
        <v>102</v>
      </c>
    </row>
    <row r="102" spans="2:14">
      <c r="B102" s="8">
        <v>444</v>
      </c>
      <c r="C102" s="13">
        <f t="shared" si="10"/>
        <v>115.76000000000059</v>
      </c>
      <c r="D102" s="13">
        <f t="shared" si="11"/>
        <v>108</v>
      </c>
      <c r="E102" s="13">
        <f t="shared" si="12"/>
        <v>108.87999999999963</v>
      </c>
      <c r="G102" s="8">
        <v>444</v>
      </c>
      <c r="H102" s="13">
        <f t="shared" si="13"/>
        <v>108</v>
      </c>
      <c r="J102" s="8">
        <v>444</v>
      </c>
      <c r="K102" s="13">
        <f t="shared" si="14"/>
        <v>108.87999999999963</v>
      </c>
      <c r="M102" s="8">
        <v>444</v>
      </c>
      <c r="N102" s="14">
        <v>102</v>
      </c>
    </row>
    <row r="103" spans="2:14">
      <c r="B103" s="8">
        <v>445</v>
      </c>
      <c r="C103" s="13">
        <f t="shared" si="10"/>
        <v>115.80000000000059</v>
      </c>
      <c r="D103" s="13">
        <f t="shared" si="11"/>
        <v>108</v>
      </c>
      <c r="E103" s="13">
        <f t="shared" si="12"/>
        <v>108.89999999999962</v>
      </c>
      <c r="G103" s="8">
        <v>445</v>
      </c>
      <c r="H103" s="13">
        <f t="shared" si="13"/>
        <v>108</v>
      </c>
      <c r="J103" s="8">
        <v>445</v>
      </c>
      <c r="K103" s="13">
        <f t="shared" si="14"/>
        <v>108.89999999999962</v>
      </c>
      <c r="M103" s="8">
        <v>445</v>
      </c>
      <c r="N103" s="14">
        <v>102</v>
      </c>
    </row>
    <row r="104" spans="2:14">
      <c r="B104" s="8">
        <v>446</v>
      </c>
      <c r="C104" s="13">
        <f t="shared" si="10"/>
        <v>115.8400000000006</v>
      </c>
      <c r="D104" s="13">
        <f t="shared" si="11"/>
        <v>108</v>
      </c>
      <c r="E104" s="13">
        <f t="shared" si="12"/>
        <v>108.91999999999962</v>
      </c>
      <c r="G104" s="8">
        <v>446</v>
      </c>
      <c r="H104" s="13">
        <f t="shared" si="13"/>
        <v>108</v>
      </c>
      <c r="J104" s="8">
        <v>446</v>
      </c>
      <c r="K104" s="13">
        <f t="shared" si="14"/>
        <v>108.91999999999962</v>
      </c>
      <c r="M104" s="8">
        <v>446</v>
      </c>
      <c r="N104" s="14">
        <v>102</v>
      </c>
    </row>
    <row r="105" spans="2:14">
      <c r="B105" s="8">
        <v>447</v>
      </c>
      <c r="C105" s="13">
        <f t="shared" si="10"/>
        <v>115.88000000000061</v>
      </c>
      <c r="D105" s="13">
        <f t="shared" si="11"/>
        <v>108</v>
      </c>
      <c r="E105" s="13">
        <f t="shared" si="12"/>
        <v>108.93999999999961</v>
      </c>
      <c r="G105" s="8">
        <v>447</v>
      </c>
      <c r="H105" s="13">
        <f t="shared" si="13"/>
        <v>108</v>
      </c>
      <c r="J105" s="8">
        <v>447</v>
      </c>
      <c r="K105" s="13">
        <f t="shared" si="14"/>
        <v>108.93999999999961</v>
      </c>
      <c r="M105" s="8">
        <v>447</v>
      </c>
      <c r="N105" s="14">
        <v>102</v>
      </c>
    </row>
    <row r="106" spans="2:14">
      <c r="B106" s="8">
        <v>448</v>
      </c>
      <c r="C106" s="13">
        <f t="shared" si="10"/>
        <v>115.92000000000061</v>
      </c>
      <c r="D106" s="13">
        <f t="shared" si="11"/>
        <v>108</v>
      </c>
      <c r="E106" s="13">
        <f t="shared" si="12"/>
        <v>108.95999999999961</v>
      </c>
      <c r="G106" s="8">
        <v>448</v>
      </c>
      <c r="H106" s="13">
        <f t="shared" si="13"/>
        <v>108</v>
      </c>
      <c r="J106" s="8">
        <v>448</v>
      </c>
      <c r="K106" s="13">
        <f t="shared" si="14"/>
        <v>108.95999999999961</v>
      </c>
      <c r="M106" s="8">
        <v>448</v>
      </c>
      <c r="N106" s="14">
        <v>102</v>
      </c>
    </row>
    <row r="107" spans="2:14">
      <c r="B107" s="8">
        <v>449</v>
      </c>
      <c r="C107" s="13">
        <f t="shared" si="10"/>
        <v>115.96000000000062</v>
      </c>
      <c r="D107" s="13">
        <f t="shared" si="11"/>
        <v>108</v>
      </c>
      <c r="E107" s="13">
        <f t="shared" si="12"/>
        <v>108.97999999999961</v>
      </c>
      <c r="G107" s="8">
        <v>449</v>
      </c>
      <c r="H107" s="13">
        <f t="shared" si="13"/>
        <v>108</v>
      </c>
      <c r="J107" s="8">
        <v>449</v>
      </c>
      <c r="K107" s="13">
        <f t="shared" si="14"/>
        <v>108.97999999999961</v>
      </c>
      <c r="M107" s="8">
        <v>449</v>
      </c>
      <c r="N107" s="14">
        <v>102</v>
      </c>
    </row>
    <row r="108" spans="2:14">
      <c r="B108" s="6">
        <v>450</v>
      </c>
      <c r="C108" s="12">
        <f>+C4</f>
        <v>116</v>
      </c>
      <c r="D108" s="12">
        <f>+D4</f>
        <v>108</v>
      </c>
      <c r="E108" s="12">
        <f>+E4</f>
        <v>109</v>
      </c>
      <c r="G108" s="6">
        <v>450</v>
      </c>
      <c r="H108" s="12">
        <f>+D108</f>
        <v>108</v>
      </c>
      <c r="J108" s="6">
        <v>450</v>
      </c>
      <c r="K108" s="12">
        <f>+E108</f>
        <v>109</v>
      </c>
      <c r="M108" s="6">
        <v>450</v>
      </c>
      <c r="N108" s="14">
        <v>102</v>
      </c>
    </row>
    <row r="109" spans="2:14">
      <c r="B109" s="8">
        <v>451</v>
      </c>
      <c r="C109" s="13">
        <f t="shared" ref="C109:C140" si="15">C108+(($C$208-$C$108)/100)</f>
        <v>116.03</v>
      </c>
      <c r="D109" s="13">
        <f t="shared" ref="D109:D140" si="16">D108+(($D$208-$D$108)/100)</f>
        <v>108.02</v>
      </c>
      <c r="E109" s="13">
        <f t="shared" ref="E109:E140" si="17">E108+(($E$208-$E$108)/100)</f>
        <v>109.02</v>
      </c>
      <c r="G109" s="8">
        <v>451</v>
      </c>
      <c r="H109" s="13">
        <f t="shared" ref="H109:H140" si="18">H108+(($D$208-$D$108)/100)</f>
        <v>108.02</v>
      </c>
      <c r="J109" s="8">
        <v>451</v>
      </c>
      <c r="K109" s="13">
        <f t="shared" ref="K109:K140" si="19">K108+(($E$208-$E$108)/100)</f>
        <v>109.02</v>
      </c>
      <c r="M109" s="8">
        <v>451</v>
      </c>
      <c r="N109" s="14">
        <v>102</v>
      </c>
    </row>
    <row r="110" spans="2:14">
      <c r="B110" s="8">
        <v>452</v>
      </c>
      <c r="C110" s="13">
        <f t="shared" si="15"/>
        <v>116.06</v>
      </c>
      <c r="D110" s="13">
        <f t="shared" si="16"/>
        <v>108.03999999999999</v>
      </c>
      <c r="E110" s="13">
        <f t="shared" si="17"/>
        <v>109.03999999999999</v>
      </c>
      <c r="G110" s="8">
        <v>452</v>
      </c>
      <c r="H110" s="13">
        <f t="shared" si="18"/>
        <v>108.03999999999999</v>
      </c>
      <c r="J110" s="8">
        <v>452</v>
      </c>
      <c r="K110" s="13">
        <f t="shared" si="19"/>
        <v>109.03999999999999</v>
      </c>
      <c r="M110" s="8">
        <v>452</v>
      </c>
      <c r="N110" s="14">
        <v>102</v>
      </c>
    </row>
    <row r="111" spans="2:14">
      <c r="B111" s="8">
        <v>453</v>
      </c>
      <c r="C111" s="13">
        <f t="shared" si="15"/>
        <v>116.09</v>
      </c>
      <c r="D111" s="13">
        <f t="shared" si="16"/>
        <v>108.05999999999999</v>
      </c>
      <c r="E111" s="13">
        <f t="shared" si="17"/>
        <v>109.05999999999999</v>
      </c>
      <c r="G111" s="8">
        <v>453</v>
      </c>
      <c r="H111" s="13">
        <f t="shared" si="18"/>
        <v>108.05999999999999</v>
      </c>
      <c r="J111" s="8">
        <v>453</v>
      </c>
      <c r="K111" s="13">
        <f t="shared" si="19"/>
        <v>109.05999999999999</v>
      </c>
      <c r="M111" s="8">
        <v>453</v>
      </c>
      <c r="N111" s="14">
        <v>102</v>
      </c>
    </row>
    <row r="112" spans="2:14">
      <c r="B112" s="8">
        <v>454</v>
      </c>
      <c r="C112" s="13">
        <f t="shared" si="15"/>
        <v>116.12</v>
      </c>
      <c r="D112" s="13">
        <f t="shared" si="16"/>
        <v>108.07999999999998</v>
      </c>
      <c r="E112" s="13">
        <f t="shared" si="17"/>
        <v>109.07999999999998</v>
      </c>
      <c r="G112" s="8">
        <v>454</v>
      </c>
      <c r="H112" s="13">
        <f t="shared" si="18"/>
        <v>108.07999999999998</v>
      </c>
      <c r="J112" s="8">
        <v>454</v>
      </c>
      <c r="K112" s="13">
        <f t="shared" si="19"/>
        <v>109.07999999999998</v>
      </c>
      <c r="M112" s="8">
        <v>454</v>
      </c>
      <c r="N112" s="14">
        <v>102</v>
      </c>
    </row>
    <row r="113" spans="2:14">
      <c r="B113" s="8">
        <v>455</v>
      </c>
      <c r="C113" s="13">
        <f t="shared" si="15"/>
        <v>116.15</v>
      </c>
      <c r="D113" s="13">
        <f t="shared" si="16"/>
        <v>108.09999999999998</v>
      </c>
      <c r="E113" s="13">
        <f t="shared" si="17"/>
        <v>109.09999999999998</v>
      </c>
      <c r="G113" s="8">
        <v>455</v>
      </c>
      <c r="H113" s="13">
        <f t="shared" si="18"/>
        <v>108.09999999999998</v>
      </c>
      <c r="J113" s="8">
        <v>455</v>
      </c>
      <c r="K113" s="13">
        <f t="shared" si="19"/>
        <v>109.09999999999998</v>
      </c>
      <c r="M113" s="8">
        <v>455</v>
      </c>
      <c r="N113" s="14">
        <v>102</v>
      </c>
    </row>
    <row r="114" spans="2:14">
      <c r="B114" s="8">
        <v>456</v>
      </c>
      <c r="C114" s="13">
        <f t="shared" si="15"/>
        <v>116.18</v>
      </c>
      <c r="D114" s="13">
        <f t="shared" si="16"/>
        <v>108.11999999999998</v>
      </c>
      <c r="E114" s="13">
        <f t="shared" si="17"/>
        <v>109.11999999999998</v>
      </c>
      <c r="G114" s="8">
        <v>456</v>
      </c>
      <c r="H114" s="13">
        <f t="shared" si="18"/>
        <v>108.11999999999998</v>
      </c>
      <c r="J114" s="8">
        <v>456</v>
      </c>
      <c r="K114" s="13">
        <f t="shared" si="19"/>
        <v>109.11999999999998</v>
      </c>
      <c r="M114" s="8">
        <v>456</v>
      </c>
      <c r="N114" s="14">
        <v>102</v>
      </c>
    </row>
    <row r="115" spans="2:14">
      <c r="B115" s="8">
        <v>457</v>
      </c>
      <c r="C115" s="13">
        <f t="shared" si="15"/>
        <v>116.21000000000001</v>
      </c>
      <c r="D115" s="13">
        <f t="shared" si="16"/>
        <v>108.13999999999997</v>
      </c>
      <c r="E115" s="13">
        <f t="shared" si="17"/>
        <v>109.13999999999997</v>
      </c>
      <c r="G115" s="8">
        <v>457</v>
      </c>
      <c r="H115" s="13">
        <f t="shared" si="18"/>
        <v>108.13999999999997</v>
      </c>
      <c r="J115" s="8">
        <v>457</v>
      </c>
      <c r="K115" s="13">
        <f t="shared" si="19"/>
        <v>109.13999999999997</v>
      </c>
      <c r="M115" s="8">
        <v>457</v>
      </c>
      <c r="N115" s="14">
        <v>102</v>
      </c>
    </row>
    <row r="116" spans="2:14">
      <c r="B116" s="8">
        <v>458</v>
      </c>
      <c r="C116" s="13">
        <f t="shared" si="15"/>
        <v>116.24000000000001</v>
      </c>
      <c r="D116" s="13">
        <f t="shared" si="16"/>
        <v>108.15999999999997</v>
      </c>
      <c r="E116" s="13">
        <f t="shared" si="17"/>
        <v>109.15999999999997</v>
      </c>
      <c r="G116" s="8">
        <v>458</v>
      </c>
      <c r="H116" s="13">
        <f t="shared" si="18"/>
        <v>108.15999999999997</v>
      </c>
      <c r="J116" s="8">
        <v>458</v>
      </c>
      <c r="K116" s="13">
        <f t="shared" si="19"/>
        <v>109.15999999999997</v>
      </c>
      <c r="M116" s="8">
        <v>458</v>
      </c>
      <c r="N116" s="14">
        <v>102</v>
      </c>
    </row>
    <row r="117" spans="2:14">
      <c r="B117" s="8">
        <v>459</v>
      </c>
      <c r="C117" s="13">
        <f t="shared" si="15"/>
        <v>116.27000000000001</v>
      </c>
      <c r="D117" s="13">
        <f t="shared" si="16"/>
        <v>108.17999999999996</v>
      </c>
      <c r="E117" s="13">
        <f t="shared" si="17"/>
        <v>109.17999999999996</v>
      </c>
      <c r="G117" s="8">
        <v>459</v>
      </c>
      <c r="H117" s="13">
        <f t="shared" si="18"/>
        <v>108.17999999999996</v>
      </c>
      <c r="J117" s="8">
        <v>459</v>
      </c>
      <c r="K117" s="13">
        <f t="shared" si="19"/>
        <v>109.17999999999996</v>
      </c>
      <c r="M117" s="8">
        <v>459</v>
      </c>
      <c r="N117" s="14">
        <v>102</v>
      </c>
    </row>
    <row r="118" spans="2:14">
      <c r="B118" s="8">
        <v>460</v>
      </c>
      <c r="C118" s="13">
        <f t="shared" si="15"/>
        <v>116.30000000000001</v>
      </c>
      <c r="D118" s="13">
        <f t="shared" si="16"/>
        <v>108.19999999999996</v>
      </c>
      <c r="E118" s="13">
        <f t="shared" si="17"/>
        <v>109.19999999999996</v>
      </c>
      <c r="G118" s="8">
        <v>460</v>
      </c>
      <c r="H118" s="13">
        <f t="shared" si="18"/>
        <v>108.19999999999996</v>
      </c>
      <c r="J118" s="8">
        <v>460</v>
      </c>
      <c r="K118" s="13">
        <f t="shared" si="19"/>
        <v>109.19999999999996</v>
      </c>
      <c r="M118" s="8">
        <v>460</v>
      </c>
      <c r="N118" s="14">
        <v>102</v>
      </c>
    </row>
    <row r="119" spans="2:14">
      <c r="B119" s="8">
        <v>461</v>
      </c>
      <c r="C119" s="13">
        <f t="shared" si="15"/>
        <v>116.33000000000001</v>
      </c>
      <c r="D119" s="13">
        <f t="shared" si="16"/>
        <v>108.21999999999996</v>
      </c>
      <c r="E119" s="13">
        <f t="shared" si="17"/>
        <v>109.21999999999996</v>
      </c>
      <c r="G119" s="8">
        <v>461</v>
      </c>
      <c r="H119" s="13">
        <f t="shared" si="18"/>
        <v>108.21999999999996</v>
      </c>
      <c r="J119" s="8">
        <v>461</v>
      </c>
      <c r="K119" s="13">
        <f t="shared" si="19"/>
        <v>109.21999999999996</v>
      </c>
      <c r="M119" s="8">
        <v>461</v>
      </c>
      <c r="N119" s="14">
        <v>102</v>
      </c>
    </row>
    <row r="120" spans="2:14">
      <c r="B120" s="8">
        <v>462</v>
      </c>
      <c r="C120" s="13">
        <f t="shared" si="15"/>
        <v>116.36000000000001</v>
      </c>
      <c r="D120" s="13">
        <f t="shared" si="16"/>
        <v>108.23999999999995</v>
      </c>
      <c r="E120" s="13">
        <f t="shared" si="17"/>
        <v>109.23999999999995</v>
      </c>
      <c r="G120" s="8">
        <v>462</v>
      </c>
      <c r="H120" s="13">
        <f t="shared" si="18"/>
        <v>108.23999999999995</v>
      </c>
      <c r="J120" s="8">
        <v>462</v>
      </c>
      <c r="K120" s="13">
        <f t="shared" si="19"/>
        <v>109.23999999999995</v>
      </c>
      <c r="M120" s="8">
        <v>462</v>
      </c>
      <c r="N120" s="14">
        <v>102</v>
      </c>
    </row>
    <row r="121" spans="2:14">
      <c r="B121" s="8">
        <v>463</v>
      </c>
      <c r="C121" s="13">
        <f t="shared" si="15"/>
        <v>116.39000000000001</v>
      </c>
      <c r="D121" s="13">
        <f t="shared" si="16"/>
        <v>108.25999999999995</v>
      </c>
      <c r="E121" s="13">
        <f t="shared" si="17"/>
        <v>109.25999999999995</v>
      </c>
      <c r="G121" s="8">
        <v>463</v>
      </c>
      <c r="H121" s="13">
        <f t="shared" si="18"/>
        <v>108.25999999999995</v>
      </c>
      <c r="J121" s="8">
        <v>463</v>
      </c>
      <c r="K121" s="13">
        <f t="shared" si="19"/>
        <v>109.25999999999995</v>
      </c>
      <c r="M121" s="8">
        <v>463</v>
      </c>
      <c r="N121" s="14">
        <v>102</v>
      </c>
    </row>
    <row r="122" spans="2:14">
      <c r="B122" s="8">
        <v>464</v>
      </c>
      <c r="C122" s="13">
        <f t="shared" si="15"/>
        <v>116.42000000000002</v>
      </c>
      <c r="D122" s="13">
        <f t="shared" si="16"/>
        <v>108.27999999999994</v>
      </c>
      <c r="E122" s="13">
        <f t="shared" si="17"/>
        <v>109.27999999999994</v>
      </c>
      <c r="G122" s="8">
        <v>464</v>
      </c>
      <c r="H122" s="13">
        <f t="shared" si="18"/>
        <v>108.27999999999994</v>
      </c>
      <c r="J122" s="8">
        <v>464</v>
      </c>
      <c r="K122" s="13">
        <f t="shared" si="19"/>
        <v>109.27999999999994</v>
      </c>
      <c r="M122" s="8">
        <v>464</v>
      </c>
      <c r="N122" s="14">
        <v>102</v>
      </c>
    </row>
    <row r="123" spans="2:14">
      <c r="B123" s="8">
        <v>465</v>
      </c>
      <c r="C123" s="13">
        <f t="shared" si="15"/>
        <v>116.45000000000002</v>
      </c>
      <c r="D123" s="13">
        <f t="shared" si="16"/>
        <v>108.29999999999994</v>
      </c>
      <c r="E123" s="13">
        <f t="shared" si="17"/>
        <v>109.29999999999994</v>
      </c>
      <c r="G123" s="8">
        <v>465</v>
      </c>
      <c r="H123" s="13">
        <f t="shared" si="18"/>
        <v>108.29999999999994</v>
      </c>
      <c r="J123" s="8">
        <v>465</v>
      </c>
      <c r="K123" s="13">
        <f t="shared" si="19"/>
        <v>109.29999999999994</v>
      </c>
      <c r="M123" s="8">
        <v>465</v>
      </c>
      <c r="N123" s="14">
        <v>102</v>
      </c>
    </row>
    <row r="124" spans="2:14">
      <c r="B124" s="8">
        <v>466</v>
      </c>
      <c r="C124" s="13">
        <f t="shared" si="15"/>
        <v>116.48000000000002</v>
      </c>
      <c r="D124" s="13">
        <f t="shared" si="16"/>
        <v>108.31999999999994</v>
      </c>
      <c r="E124" s="13">
        <f t="shared" si="17"/>
        <v>109.31999999999994</v>
      </c>
      <c r="G124" s="8">
        <v>466</v>
      </c>
      <c r="H124" s="13">
        <f t="shared" si="18"/>
        <v>108.31999999999994</v>
      </c>
      <c r="J124" s="8">
        <v>466</v>
      </c>
      <c r="K124" s="13">
        <f t="shared" si="19"/>
        <v>109.31999999999994</v>
      </c>
      <c r="M124" s="8">
        <v>466</v>
      </c>
      <c r="N124" s="14">
        <v>102</v>
      </c>
    </row>
    <row r="125" spans="2:14">
      <c r="B125" s="8">
        <v>467</v>
      </c>
      <c r="C125" s="13">
        <f t="shared" si="15"/>
        <v>116.51000000000002</v>
      </c>
      <c r="D125" s="13">
        <f t="shared" si="16"/>
        <v>108.33999999999993</v>
      </c>
      <c r="E125" s="13">
        <f t="shared" si="17"/>
        <v>109.33999999999993</v>
      </c>
      <c r="G125" s="8">
        <v>467</v>
      </c>
      <c r="H125" s="13">
        <f t="shared" si="18"/>
        <v>108.33999999999993</v>
      </c>
      <c r="J125" s="8">
        <v>467</v>
      </c>
      <c r="K125" s="13">
        <f t="shared" si="19"/>
        <v>109.33999999999993</v>
      </c>
      <c r="M125" s="8">
        <v>467</v>
      </c>
      <c r="N125" s="14">
        <v>102</v>
      </c>
    </row>
    <row r="126" spans="2:14">
      <c r="B126" s="8">
        <v>468</v>
      </c>
      <c r="C126" s="13">
        <f t="shared" si="15"/>
        <v>116.54000000000002</v>
      </c>
      <c r="D126" s="13">
        <f t="shared" si="16"/>
        <v>108.35999999999993</v>
      </c>
      <c r="E126" s="13">
        <f t="shared" si="17"/>
        <v>109.35999999999993</v>
      </c>
      <c r="G126" s="8">
        <v>468</v>
      </c>
      <c r="H126" s="13">
        <f t="shared" si="18"/>
        <v>108.35999999999993</v>
      </c>
      <c r="J126" s="8">
        <v>468</v>
      </c>
      <c r="K126" s="13">
        <f t="shared" si="19"/>
        <v>109.35999999999993</v>
      </c>
      <c r="M126" s="8">
        <v>468</v>
      </c>
      <c r="N126" s="14">
        <v>102</v>
      </c>
    </row>
    <row r="127" spans="2:14">
      <c r="B127" s="8">
        <v>469</v>
      </c>
      <c r="C127" s="13">
        <f t="shared" si="15"/>
        <v>116.57000000000002</v>
      </c>
      <c r="D127" s="13">
        <f t="shared" si="16"/>
        <v>108.37999999999992</v>
      </c>
      <c r="E127" s="13">
        <f t="shared" si="17"/>
        <v>109.37999999999992</v>
      </c>
      <c r="G127" s="8">
        <v>469</v>
      </c>
      <c r="H127" s="13">
        <f t="shared" si="18"/>
        <v>108.37999999999992</v>
      </c>
      <c r="J127" s="8">
        <v>469</v>
      </c>
      <c r="K127" s="13">
        <f t="shared" si="19"/>
        <v>109.37999999999992</v>
      </c>
      <c r="M127" s="8">
        <v>469</v>
      </c>
      <c r="N127" s="14">
        <v>102</v>
      </c>
    </row>
    <row r="128" spans="2:14">
      <c r="B128" s="8">
        <v>470</v>
      </c>
      <c r="C128" s="13">
        <f t="shared" si="15"/>
        <v>116.60000000000002</v>
      </c>
      <c r="D128" s="13">
        <f t="shared" si="16"/>
        <v>108.39999999999992</v>
      </c>
      <c r="E128" s="13">
        <f t="shared" si="17"/>
        <v>109.39999999999992</v>
      </c>
      <c r="G128" s="8">
        <v>470</v>
      </c>
      <c r="H128" s="13">
        <f t="shared" si="18"/>
        <v>108.39999999999992</v>
      </c>
      <c r="J128" s="8">
        <v>470</v>
      </c>
      <c r="K128" s="13">
        <f t="shared" si="19"/>
        <v>109.39999999999992</v>
      </c>
      <c r="M128" s="8">
        <v>470</v>
      </c>
      <c r="N128" s="14">
        <v>102</v>
      </c>
    </row>
    <row r="129" spans="2:14">
      <c r="B129" s="8">
        <v>471</v>
      </c>
      <c r="C129" s="13">
        <f t="shared" si="15"/>
        <v>116.63000000000002</v>
      </c>
      <c r="D129" s="13">
        <f t="shared" si="16"/>
        <v>108.41999999999992</v>
      </c>
      <c r="E129" s="13">
        <f t="shared" si="17"/>
        <v>109.41999999999992</v>
      </c>
      <c r="G129" s="8">
        <v>471</v>
      </c>
      <c r="H129" s="13">
        <f t="shared" si="18"/>
        <v>108.41999999999992</v>
      </c>
      <c r="J129" s="8">
        <v>471</v>
      </c>
      <c r="K129" s="13">
        <f t="shared" si="19"/>
        <v>109.41999999999992</v>
      </c>
      <c r="M129" s="8">
        <v>471</v>
      </c>
      <c r="N129" s="14">
        <v>102</v>
      </c>
    </row>
    <row r="130" spans="2:14">
      <c r="B130" s="8">
        <v>472</v>
      </c>
      <c r="C130" s="13">
        <f t="shared" si="15"/>
        <v>116.66000000000003</v>
      </c>
      <c r="D130" s="13">
        <f t="shared" si="16"/>
        <v>108.43999999999991</v>
      </c>
      <c r="E130" s="13">
        <f t="shared" si="17"/>
        <v>109.43999999999991</v>
      </c>
      <c r="G130" s="8">
        <v>472</v>
      </c>
      <c r="H130" s="13">
        <f t="shared" si="18"/>
        <v>108.43999999999991</v>
      </c>
      <c r="J130" s="8">
        <v>472</v>
      </c>
      <c r="K130" s="13">
        <f t="shared" si="19"/>
        <v>109.43999999999991</v>
      </c>
      <c r="M130" s="8">
        <v>472</v>
      </c>
      <c r="N130" s="14">
        <v>102</v>
      </c>
    </row>
    <row r="131" spans="2:14">
      <c r="B131" s="8">
        <v>473</v>
      </c>
      <c r="C131" s="13">
        <f t="shared" si="15"/>
        <v>116.69000000000003</v>
      </c>
      <c r="D131" s="13">
        <f t="shared" si="16"/>
        <v>108.45999999999991</v>
      </c>
      <c r="E131" s="13">
        <f t="shared" si="17"/>
        <v>109.45999999999991</v>
      </c>
      <c r="G131" s="8">
        <v>473</v>
      </c>
      <c r="H131" s="13">
        <f t="shared" si="18"/>
        <v>108.45999999999991</v>
      </c>
      <c r="J131" s="8">
        <v>473</v>
      </c>
      <c r="K131" s="13">
        <f t="shared" si="19"/>
        <v>109.45999999999991</v>
      </c>
      <c r="M131" s="8">
        <v>473</v>
      </c>
      <c r="N131" s="14">
        <v>102</v>
      </c>
    </row>
    <row r="132" spans="2:14">
      <c r="B132" s="8">
        <v>474</v>
      </c>
      <c r="C132" s="13">
        <f t="shared" si="15"/>
        <v>116.72000000000003</v>
      </c>
      <c r="D132" s="13">
        <f t="shared" si="16"/>
        <v>108.4799999999999</v>
      </c>
      <c r="E132" s="13">
        <f t="shared" si="17"/>
        <v>109.4799999999999</v>
      </c>
      <c r="G132" s="8">
        <v>474</v>
      </c>
      <c r="H132" s="13">
        <f t="shared" si="18"/>
        <v>108.4799999999999</v>
      </c>
      <c r="J132" s="8">
        <v>474</v>
      </c>
      <c r="K132" s="13">
        <f t="shared" si="19"/>
        <v>109.4799999999999</v>
      </c>
      <c r="M132" s="8">
        <v>474</v>
      </c>
      <c r="N132" s="14">
        <v>102</v>
      </c>
    </row>
    <row r="133" spans="2:14">
      <c r="B133" s="8">
        <v>475</v>
      </c>
      <c r="C133" s="13">
        <f t="shared" si="15"/>
        <v>116.75000000000003</v>
      </c>
      <c r="D133" s="13">
        <f t="shared" si="16"/>
        <v>108.4999999999999</v>
      </c>
      <c r="E133" s="13">
        <f t="shared" si="17"/>
        <v>109.4999999999999</v>
      </c>
      <c r="G133" s="8">
        <v>475</v>
      </c>
      <c r="H133" s="13">
        <f t="shared" si="18"/>
        <v>108.4999999999999</v>
      </c>
      <c r="J133" s="8">
        <v>475</v>
      </c>
      <c r="K133" s="13">
        <f t="shared" si="19"/>
        <v>109.4999999999999</v>
      </c>
      <c r="M133" s="8">
        <v>475</v>
      </c>
      <c r="N133" s="14">
        <v>102</v>
      </c>
    </row>
    <row r="134" spans="2:14">
      <c r="B134" s="8">
        <v>476</v>
      </c>
      <c r="C134" s="13">
        <f t="shared" si="15"/>
        <v>116.78000000000003</v>
      </c>
      <c r="D134" s="13">
        <f t="shared" si="16"/>
        <v>108.5199999999999</v>
      </c>
      <c r="E134" s="13">
        <f t="shared" si="17"/>
        <v>109.5199999999999</v>
      </c>
      <c r="G134" s="8">
        <v>476</v>
      </c>
      <c r="H134" s="13">
        <f t="shared" si="18"/>
        <v>108.5199999999999</v>
      </c>
      <c r="J134" s="8">
        <v>476</v>
      </c>
      <c r="K134" s="13">
        <f t="shared" si="19"/>
        <v>109.5199999999999</v>
      </c>
      <c r="M134" s="8">
        <v>476</v>
      </c>
      <c r="N134" s="14">
        <v>102</v>
      </c>
    </row>
    <row r="135" spans="2:14">
      <c r="B135" s="8">
        <v>477</v>
      </c>
      <c r="C135" s="13">
        <f t="shared" si="15"/>
        <v>116.81000000000003</v>
      </c>
      <c r="D135" s="13">
        <f t="shared" si="16"/>
        <v>108.53999999999989</v>
      </c>
      <c r="E135" s="13">
        <f t="shared" si="17"/>
        <v>109.53999999999989</v>
      </c>
      <c r="G135" s="8">
        <v>477</v>
      </c>
      <c r="H135" s="13">
        <f t="shared" si="18"/>
        <v>108.53999999999989</v>
      </c>
      <c r="J135" s="8">
        <v>477</v>
      </c>
      <c r="K135" s="13">
        <f t="shared" si="19"/>
        <v>109.53999999999989</v>
      </c>
      <c r="M135" s="8">
        <v>477</v>
      </c>
      <c r="N135" s="14">
        <v>102</v>
      </c>
    </row>
    <row r="136" spans="2:14">
      <c r="B136" s="8">
        <v>478</v>
      </c>
      <c r="C136" s="13">
        <f t="shared" si="15"/>
        <v>116.84000000000003</v>
      </c>
      <c r="D136" s="13">
        <f t="shared" si="16"/>
        <v>108.55999999999989</v>
      </c>
      <c r="E136" s="13">
        <f t="shared" si="17"/>
        <v>109.55999999999989</v>
      </c>
      <c r="G136" s="8">
        <v>478</v>
      </c>
      <c r="H136" s="13">
        <f t="shared" si="18"/>
        <v>108.55999999999989</v>
      </c>
      <c r="J136" s="8">
        <v>478</v>
      </c>
      <c r="K136" s="13">
        <f t="shared" si="19"/>
        <v>109.55999999999989</v>
      </c>
      <c r="M136" s="8">
        <v>478</v>
      </c>
      <c r="N136" s="14">
        <v>102</v>
      </c>
    </row>
    <row r="137" spans="2:14">
      <c r="B137" s="8">
        <v>479</v>
      </c>
      <c r="C137" s="13">
        <f t="shared" si="15"/>
        <v>116.87000000000003</v>
      </c>
      <c r="D137" s="13">
        <f t="shared" si="16"/>
        <v>108.57999999999988</v>
      </c>
      <c r="E137" s="13">
        <f t="shared" si="17"/>
        <v>109.57999999999988</v>
      </c>
      <c r="G137" s="8">
        <v>479</v>
      </c>
      <c r="H137" s="13">
        <f t="shared" si="18"/>
        <v>108.57999999999988</v>
      </c>
      <c r="J137" s="8">
        <v>479</v>
      </c>
      <c r="K137" s="13">
        <f t="shared" si="19"/>
        <v>109.57999999999988</v>
      </c>
      <c r="M137" s="8">
        <v>479</v>
      </c>
      <c r="N137" s="14">
        <v>102</v>
      </c>
    </row>
    <row r="138" spans="2:14">
      <c r="B138" s="8">
        <v>480</v>
      </c>
      <c r="C138" s="13">
        <f t="shared" si="15"/>
        <v>116.90000000000003</v>
      </c>
      <c r="D138" s="13">
        <f t="shared" si="16"/>
        <v>108.59999999999988</v>
      </c>
      <c r="E138" s="13">
        <f t="shared" si="17"/>
        <v>109.59999999999988</v>
      </c>
      <c r="G138" s="8">
        <v>480</v>
      </c>
      <c r="H138" s="13">
        <f t="shared" si="18"/>
        <v>108.59999999999988</v>
      </c>
      <c r="J138" s="8">
        <v>480</v>
      </c>
      <c r="K138" s="13">
        <f t="shared" si="19"/>
        <v>109.59999999999988</v>
      </c>
      <c r="M138" s="8">
        <v>480</v>
      </c>
      <c r="N138" s="14">
        <v>102</v>
      </c>
    </row>
    <row r="139" spans="2:14">
      <c r="B139" s="8">
        <v>481</v>
      </c>
      <c r="C139" s="13">
        <f t="shared" si="15"/>
        <v>116.93000000000004</v>
      </c>
      <c r="D139" s="13">
        <f t="shared" si="16"/>
        <v>108.61999999999988</v>
      </c>
      <c r="E139" s="13">
        <f t="shared" si="17"/>
        <v>109.61999999999988</v>
      </c>
      <c r="G139" s="8">
        <v>481</v>
      </c>
      <c r="H139" s="13">
        <f t="shared" si="18"/>
        <v>108.61999999999988</v>
      </c>
      <c r="J139" s="8">
        <v>481</v>
      </c>
      <c r="K139" s="13">
        <f t="shared" si="19"/>
        <v>109.61999999999988</v>
      </c>
      <c r="M139" s="8">
        <v>481</v>
      </c>
      <c r="N139" s="14">
        <v>102</v>
      </c>
    </row>
    <row r="140" spans="2:14">
      <c r="B140" s="8">
        <v>482</v>
      </c>
      <c r="C140" s="13">
        <f t="shared" si="15"/>
        <v>116.96000000000004</v>
      </c>
      <c r="D140" s="13">
        <f t="shared" si="16"/>
        <v>108.63999999999987</v>
      </c>
      <c r="E140" s="13">
        <f t="shared" si="17"/>
        <v>109.63999999999987</v>
      </c>
      <c r="G140" s="8">
        <v>482</v>
      </c>
      <c r="H140" s="13">
        <f t="shared" si="18"/>
        <v>108.63999999999987</v>
      </c>
      <c r="J140" s="8">
        <v>482</v>
      </c>
      <c r="K140" s="13">
        <f t="shared" si="19"/>
        <v>109.63999999999987</v>
      </c>
      <c r="M140" s="8">
        <v>482</v>
      </c>
      <c r="N140" s="14">
        <v>102</v>
      </c>
    </row>
    <row r="141" spans="2:14">
      <c r="B141" s="8">
        <v>483</v>
      </c>
      <c r="C141" s="13">
        <f t="shared" ref="C141:C172" si="20">C140+(($C$208-$C$108)/100)</f>
        <v>116.99000000000004</v>
      </c>
      <c r="D141" s="13">
        <f t="shared" ref="D141:D172" si="21">D140+(($D$208-$D$108)/100)</f>
        <v>108.65999999999987</v>
      </c>
      <c r="E141" s="13">
        <f t="shared" ref="E141:E172" si="22">E140+(($E$208-$E$108)/100)</f>
        <v>109.65999999999987</v>
      </c>
      <c r="G141" s="8">
        <v>483</v>
      </c>
      <c r="H141" s="13">
        <f t="shared" ref="H141:H172" si="23">H140+(($D$208-$D$108)/100)</f>
        <v>108.65999999999987</v>
      </c>
      <c r="J141" s="8">
        <v>483</v>
      </c>
      <c r="K141" s="13">
        <f t="shared" ref="K141:K172" si="24">K140+(($E$208-$E$108)/100)</f>
        <v>109.65999999999987</v>
      </c>
      <c r="M141" s="8">
        <v>483</v>
      </c>
      <c r="N141" s="14">
        <v>102</v>
      </c>
    </row>
    <row r="142" spans="2:14">
      <c r="B142" s="8">
        <v>484</v>
      </c>
      <c r="C142" s="13">
        <f t="shared" si="20"/>
        <v>117.02000000000004</v>
      </c>
      <c r="D142" s="13">
        <f t="shared" si="21"/>
        <v>108.67999999999986</v>
      </c>
      <c r="E142" s="13">
        <f t="shared" si="22"/>
        <v>109.67999999999986</v>
      </c>
      <c r="G142" s="8">
        <v>484</v>
      </c>
      <c r="H142" s="13">
        <f t="shared" si="23"/>
        <v>108.67999999999986</v>
      </c>
      <c r="J142" s="8">
        <v>484</v>
      </c>
      <c r="K142" s="13">
        <f t="shared" si="24"/>
        <v>109.67999999999986</v>
      </c>
      <c r="M142" s="8">
        <v>484</v>
      </c>
      <c r="N142" s="14">
        <v>102</v>
      </c>
    </row>
    <row r="143" spans="2:14">
      <c r="B143" s="8">
        <v>485</v>
      </c>
      <c r="C143" s="13">
        <f t="shared" si="20"/>
        <v>117.05000000000004</v>
      </c>
      <c r="D143" s="13">
        <f t="shared" si="21"/>
        <v>108.69999999999986</v>
      </c>
      <c r="E143" s="13">
        <f t="shared" si="22"/>
        <v>109.69999999999986</v>
      </c>
      <c r="G143" s="8">
        <v>485</v>
      </c>
      <c r="H143" s="13">
        <f t="shared" si="23"/>
        <v>108.69999999999986</v>
      </c>
      <c r="J143" s="8">
        <v>485</v>
      </c>
      <c r="K143" s="13">
        <f t="shared" si="24"/>
        <v>109.69999999999986</v>
      </c>
      <c r="M143" s="8">
        <v>485</v>
      </c>
      <c r="N143" s="14">
        <v>102</v>
      </c>
    </row>
    <row r="144" spans="2:14">
      <c r="B144" s="8">
        <v>486</v>
      </c>
      <c r="C144" s="13">
        <f t="shared" si="20"/>
        <v>117.08000000000004</v>
      </c>
      <c r="D144" s="13">
        <f t="shared" si="21"/>
        <v>108.71999999999986</v>
      </c>
      <c r="E144" s="13">
        <f t="shared" si="22"/>
        <v>109.71999999999986</v>
      </c>
      <c r="G144" s="8">
        <v>486</v>
      </c>
      <c r="H144" s="13">
        <f t="shared" si="23"/>
        <v>108.71999999999986</v>
      </c>
      <c r="J144" s="8">
        <v>486</v>
      </c>
      <c r="K144" s="13">
        <f t="shared" si="24"/>
        <v>109.71999999999986</v>
      </c>
      <c r="M144" s="8">
        <v>486</v>
      </c>
      <c r="N144" s="14">
        <v>102</v>
      </c>
    </row>
    <row r="145" spans="2:14">
      <c r="B145" s="8">
        <v>487</v>
      </c>
      <c r="C145" s="13">
        <f t="shared" si="20"/>
        <v>117.11000000000004</v>
      </c>
      <c r="D145" s="13">
        <f t="shared" si="21"/>
        <v>108.73999999999985</v>
      </c>
      <c r="E145" s="13">
        <f t="shared" si="22"/>
        <v>109.73999999999985</v>
      </c>
      <c r="G145" s="8">
        <v>487</v>
      </c>
      <c r="H145" s="13">
        <f t="shared" si="23"/>
        <v>108.73999999999985</v>
      </c>
      <c r="J145" s="8">
        <v>487</v>
      </c>
      <c r="K145" s="13">
        <f t="shared" si="24"/>
        <v>109.73999999999985</v>
      </c>
      <c r="M145" s="8">
        <v>487</v>
      </c>
      <c r="N145" s="14">
        <v>102</v>
      </c>
    </row>
    <row r="146" spans="2:14">
      <c r="B146" s="8">
        <v>488</v>
      </c>
      <c r="C146" s="13">
        <f t="shared" si="20"/>
        <v>117.14000000000004</v>
      </c>
      <c r="D146" s="13">
        <f t="shared" si="21"/>
        <v>108.75999999999985</v>
      </c>
      <c r="E146" s="13">
        <f t="shared" si="22"/>
        <v>109.75999999999985</v>
      </c>
      <c r="G146" s="8">
        <v>488</v>
      </c>
      <c r="H146" s="13">
        <f t="shared" si="23"/>
        <v>108.75999999999985</v>
      </c>
      <c r="J146" s="8">
        <v>488</v>
      </c>
      <c r="K146" s="13">
        <f t="shared" si="24"/>
        <v>109.75999999999985</v>
      </c>
      <c r="M146" s="8">
        <v>488</v>
      </c>
      <c r="N146" s="14">
        <v>102</v>
      </c>
    </row>
    <row r="147" spans="2:14">
      <c r="B147" s="8">
        <v>489</v>
      </c>
      <c r="C147" s="13">
        <f t="shared" si="20"/>
        <v>117.17000000000004</v>
      </c>
      <c r="D147" s="13">
        <f t="shared" si="21"/>
        <v>108.77999999999984</v>
      </c>
      <c r="E147" s="13">
        <f t="shared" si="22"/>
        <v>109.77999999999984</v>
      </c>
      <c r="G147" s="8">
        <v>489</v>
      </c>
      <c r="H147" s="13">
        <f t="shared" si="23"/>
        <v>108.77999999999984</v>
      </c>
      <c r="J147" s="8">
        <v>489</v>
      </c>
      <c r="K147" s="13">
        <f t="shared" si="24"/>
        <v>109.77999999999984</v>
      </c>
      <c r="M147" s="8">
        <v>489</v>
      </c>
      <c r="N147" s="14">
        <v>102</v>
      </c>
    </row>
    <row r="148" spans="2:14">
      <c r="B148" s="8">
        <v>490</v>
      </c>
      <c r="C148" s="13">
        <f t="shared" si="20"/>
        <v>117.20000000000005</v>
      </c>
      <c r="D148" s="13">
        <f t="shared" si="21"/>
        <v>108.79999999999984</v>
      </c>
      <c r="E148" s="13">
        <f t="shared" si="22"/>
        <v>109.79999999999984</v>
      </c>
      <c r="G148" s="8">
        <v>490</v>
      </c>
      <c r="H148" s="13">
        <f t="shared" si="23"/>
        <v>108.79999999999984</v>
      </c>
      <c r="J148" s="8">
        <v>490</v>
      </c>
      <c r="K148" s="13">
        <f t="shared" si="24"/>
        <v>109.79999999999984</v>
      </c>
      <c r="M148" s="8">
        <v>490</v>
      </c>
      <c r="N148" s="14">
        <v>102</v>
      </c>
    </row>
    <row r="149" spans="2:14">
      <c r="B149" s="8">
        <v>491</v>
      </c>
      <c r="C149" s="13">
        <f t="shared" si="20"/>
        <v>117.23000000000005</v>
      </c>
      <c r="D149" s="13">
        <f t="shared" si="21"/>
        <v>108.81999999999984</v>
      </c>
      <c r="E149" s="13">
        <f t="shared" si="22"/>
        <v>109.81999999999984</v>
      </c>
      <c r="G149" s="8">
        <v>491</v>
      </c>
      <c r="H149" s="13">
        <f t="shared" si="23"/>
        <v>108.81999999999984</v>
      </c>
      <c r="J149" s="8">
        <v>491</v>
      </c>
      <c r="K149" s="13">
        <f t="shared" si="24"/>
        <v>109.81999999999984</v>
      </c>
      <c r="M149" s="8">
        <v>491</v>
      </c>
      <c r="N149" s="14">
        <v>102</v>
      </c>
    </row>
    <row r="150" spans="2:14">
      <c r="B150" s="8">
        <v>492</v>
      </c>
      <c r="C150" s="13">
        <f t="shared" si="20"/>
        <v>117.26000000000005</v>
      </c>
      <c r="D150" s="13">
        <f t="shared" si="21"/>
        <v>108.83999999999983</v>
      </c>
      <c r="E150" s="13">
        <f t="shared" si="22"/>
        <v>109.83999999999983</v>
      </c>
      <c r="G150" s="8">
        <v>492</v>
      </c>
      <c r="H150" s="13">
        <f t="shared" si="23"/>
        <v>108.83999999999983</v>
      </c>
      <c r="J150" s="8">
        <v>492</v>
      </c>
      <c r="K150" s="13">
        <f t="shared" si="24"/>
        <v>109.83999999999983</v>
      </c>
      <c r="M150" s="8">
        <v>492</v>
      </c>
      <c r="N150" s="14">
        <v>102</v>
      </c>
    </row>
    <row r="151" spans="2:14">
      <c r="B151" s="8">
        <v>493</v>
      </c>
      <c r="C151" s="13">
        <f t="shared" si="20"/>
        <v>117.29000000000005</v>
      </c>
      <c r="D151" s="13">
        <f t="shared" si="21"/>
        <v>108.85999999999983</v>
      </c>
      <c r="E151" s="13">
        <f t="shared" si="22"/>
        <v>109.85999999999983</v>
      </c>
      <c r="G151" s="8">
        <v>493</v>
      </c>
      <c r="H151" s="13">
        <f t="shared" si="23"/>
        <v>108.85999999999983</v>
      </c>
      <c r="J151" s="8">
        <v>493</v>
      </c>
      <c r="K151" s="13">
        <f t="shared" si="24"/>
        <v>109.85999999999983</v>
      </c>
      <c r="M151" s="8">
        <v>493</v>
      </c>
      <c r="N151" s="14">
        <v>102</v>
      </c>
    </row>
    <row r="152" spans="2:14">
      <c r="B152" s="8">
        <v>494</v>
      </c>
      <c r="C152" s="13">
        <f t="shared" si="20"/>
        <v>117.32000000000005</v>
      </c>
      <c r="D152" s="13">
        <f t="shared" si="21"/>
        <v>108.87999999999982</v>
      </c>
      <c r="E152" s="13">
        <f t="shared" si="22"/>
        <v>109.87999999999982</v>
      </c>
      <c r="G152" s="8">
        <v>494</v>
      </c>
      <c r="H152" s="13">
        <f t="shared" si="23"/>
        <v>108.87999999999982</v>
      </c>
      <c r="J152" s="8">
        <v>494</v>
      </c>
      <c r="K152" s="13">
        <f t="shared" si="24"/>
        <v>109.87999999999982</v>
      </c>
      <c r="M152" s="8">
        <v>494</v>
      </c>
      <c r="N152" s="14">
        <v>102</v>
      </c>
    </row>
    <row r="153" spans="2:14">
      <c r="B153" s="8">
        <v>495</v>
      </c>
      <c r="C153" s="13">
        <f t="shared" si="20"/>
        <v>117.35000000000005</v>
      </c>
      <c r="D153" s="13">
        <f t="shared" si="21"/>
        <v>108.89999999999982</v>
      </c>
      <c r="E153" s="13">
        <f t="shared" si="22"/>
        <v>109.89999999999982</v>
      </c>
      <c r="G153" s="8">
        <v>495</v>
      </c>
      <c r="H153" s="13">
        <f t="shared" si="23"/>
        <v>108.89999999999982</v>
      </c>
      <c r="J153" s="8">
        <v>495</v>
      </c>
      <c r="K153" s="13">
        <f t="shared" si="24"/>
        <v>109.89999999999982</v>
      </c>
      <c r="M153" s="8">
        <v>495</v>
      </c>
      <c r="N153" s="14">
        <v>102</v>
      </c>
    </row>
    <row r="154" spans="2:14">
      <c r="B154" s="8">
        <v>496</v>
      </c>
      <c r="C154" s="13">
        <f t="shared" si="20"/>
        <v>117.38000000000005</v>
      </c>
      <c r="D154" s="13">
        <f t="shared" si="21"/>
        <v>108.91999999999982</v>
      </c>
      <c r="E154" s="13">
        <f t="shared" si="22"/>
        <v>109.91999999999982</v>
      </c>
      <c r="G154" s="8">
        <v>496</v>
      </c>
      <c r="H154" s="13">
        <f t="shared" si="23"/>
        <v>108.91999999999982</v>
      </c>
      <c r="J154" s="8">
        <v>496</v>
      </c>
      <c r="K154" s="13">
        <f t="shared" si="24"/>
        <v>109.91999999999982</v>
      </c>
      <c r="M154" s="8">
        <v>496</v>
      </c>
      <c r="N154" s="14">
        <v>102</v>
      </c>
    </row>
    <row r="155" spans="2:14">
      <c r="B155" s="8">
        <v>497</v>
      </c>
      <c r="C155" s="13">
        <f t="shared" si="20"/>
        <v>117.41000000000005</v>
      </c>
      <c r="D155" s="13">
        <f t="shared" si="21"/>
        <v>108.93999999999981</v>
      </c>
      <c r="E155" s="13">
        <f t="shared" si="22"/>
        <v>109.93999999999981</v>
      </c>
      <c r="G155" s="8">
        <v>497</v>
      </c>
      <c r="H155" s="13">
        <f t="shared" si="23"/>
        <v>108.93999999999981</v>
      </c>
      <c r="J155" s="8">
        <v>497</v>
      </c>
      <c r="K155" s="13">
        <f t="shared" si="24"/>
        <v>109.93999999999981</v>
      </c>
      <c r="M155" s="8">
        <v>497</v>
      </c>
      <c r="N155" s="14">
        <v>102</v>
      </c>
    </row>
    <row r="156" spans="2:14">
      <c r="B156" s="8">
        <v>498</v>
      </c>
      <c r="C156" s="13">
        <f t="shared" si="20"/>
        <v>117.44000000000005</v>
      </c>
      <c r="D156" s="13">
        <f t="shared" si="21"/>
        <v>108.95999999999981</v>
      </c>
      <c r="E156" s="13">
        <f t="shared" si="22"/>
        <v>109.95999999999981</v>
      </c>
      <c r="G156" s="8">
        <v>498</v>
      </c>
      <c r="H156" s="13">
        <f t="shared" si="23"/>
        <v>108.95999999999981</v>
      </c>
      <c r="J156" s="8">
        <v>498</v>
      </c>
      <c r="K156" s="13">
        <f t="shared" si="24"/>
        <v>109.95999999999981</v>
      </c>
      <c r="M156" s="8">
        <v>498</v>
      </c>
      <c r="N156" s="14">
        <v>102</v>
      </c>
    </row>
    <row r="157" spans="2:14">
      <c r="B157" s="8">
        <v>499</v>
      </c>
      <c r="C157" s="13">
        <f t="shared" si="20"/>
        <v>117.47000000000006</v>
      </c>
      <c r="D157" s="13">
        <f t="shared" si="21"/>
        <v>108.97999999999981</v>
      </c>
      <c r="E157" s="13">
        <f t="shared" si="22"/>
        <v>109.97999999999981</v>
      </c>
      <c r="G157" s="8">
        <v>499</v>
      </c>
      <c r="H157" s="13">
        <f t="shared" si="23"/>
        <v>108.97999999999981</v>
      </c>
      <c r="J157" s="8">
        <v>499</v>
      </c>
      <c r="K157" s="13">
        <f t="shared" si="24"/>
        <v>109.97999999999981</v>
      </c>
      <c r="M157" s="8">
        <v>499</v>
      </c>
      <c r="N157" s="14">
        <v>102</v>
      </c>
    </row>
    <row r="158" spans="2:14">
      <c r="B158" s="8">
        <v>500</v>
      </c>
      <c r="C158" s="13">
        <f t="shared" si="20"/>
        <v>117.50000000000006</v>
      </c>
      <c r="D158" s="13">
        <f t="shared" si="21"/>
        <v>108.9999999999998</v>
      </c>
      <c r="E158" s="13">
        <f t="shared" si="22"/>
        <v>109.9999999999998</v>
      </c>
      <c r="G158" s="8">
        <v>500</v>
      </c>
      <c r="H158" s="13">
        <f t="shared" si="23"/>
        <v>108.9999999999998</v>
      </c>
      <c r="J158" s="8">
        <v>500</v>
      </c>
      <c r="K158" s="13">
        <f t="shared" si="24"/>
        <v>109.9999999999998</v>
      </c>
      <c r="M158" s="8">
        <v>500</v>
      </c>
      <c r="N158" s="14">
        <v>102</v>
      </c>
    </row>
    <row r="159" spans="2:14">
      <c r="B159" s="8">
        <v>501</v>
      </c>
      <c r="C159" s="13">
        <f t="shared" si="20"/>
        <v>117.53000000000006</v>
      </c>
      <c r="D159" s="13">
        <f t="shared" si="21"/>
        <v>109.0199999999998</v>
      </c>
      <c r="E159" s="13">
        <f t="shared" si="22"/>
        <v>110.0199999999998</v>
      </c>
      <c r="G159" s="8">
        <v>501</v>
      </c>
      <c r="H159" s="13">
        <f t="shared" si="23"/>
        <v>109.0199999999998</v>
      </c>
      <c r="J159" s="8">
        <v>501</v>
      </c>
      <c r="K159" s="13">
        <f t="shared" si="24"/>
        <v>110.0199999999998</v>
      </c>
      <c r="M159" s="8">
        <v>501</v>
      </c>
      <c r="N159" s="14">
        <v>102</v>
      </c>
    </row>
    <row r="160" spans="2:14">
      <c r="B160" s="8">
        <v>502</v>
      </c>
      <c r="C160" s="13">
        <f t="shared" si="20"/>
        <v>117.56000000000006</v>
      </c>
      <c r="D160" s="13">
        <f t="shared" si="21"/>
        <v>109.03999999999979</v>
      </c>
      <c r="E160" s="13">
        <f t="shared" si="22"/>
        <v>110.03999999999979</v>
      </c>
      <c r="G160" s="8">
        <v>502</v>
      </c>
      <c r="H160" s="13">
        <f t="shared" si="23"/>
        <v>109.03999999999979</v>
      </c>
      <c r="J160" s="8">
        <v>502</v>
      </c>
      <c r="K160" s="13">
        <f t="shared" si="24"/>
        <v>110.03999999999979</v>
      </c>
      <c r="M160" s="8">
        <v>502</v>
      </c>
      <c r="N160" s="14">
        <v>102</v>
      </c>
    </row>
    <row r="161" spans="2:14">
      <c r="B161" s="8">
        <v>503</v>
      </c>
      <c r="C161" s="13">
        <f t="shared" si="20"/>
        <v>117.59000000000006</v>
      </c>
      <c r="D161" s="13">
        <f t="shared" si="21"/>
        <v>109.05999999999979</v>
      </c>
      <c r="E161" s="13">
        <f t="shared" si="22"/>
        <v>110.05999999999979</v>
      </c>
      <c r="G161" s="8">
        <v>503</v>
      </c>
      <c r="H161" s="13">
        <f t="shared" si="23"/>
        <v>109.05999999999979</v>
      </c>
      <c r="J161" s="8">
        <v>503</v>
      </c>
      <c r="K161" s="13">
        <f t="shared" si="24"/>
        <v>110.05999999999979</v>
      </c>
      <c r="M161" s="8">
        <v>503</v>
      </c>
      <c r="N161" s="14">
        <v>102</v>
      </c>
    </row>
    <row r="162" spans="2:14">
      <c r="B162" s="8">
        <v>504</v>
      </c>
      <c r="C162" s="13">
        <f t="shared" si="20"/>
        <v>117.62000000000006</v>
      </c>
      <c r="D162" s="13">
        <f t="shared" si="21"/>
        <v>109.07999999999979</v>
      </c>
      <c r="E162" s="13">
        <f t="shared" si="22"/>
        <v>110.07999999999979</v>
      </c>
      <c r="G162" s="8">
        <v>504</v>
      </c>
      <c r="H162" s="13">
        <f t="shared" si="23"/>
        <v>109.07999999999979</v>
      </c>
      <c r="J162" s="8">
        <v>504</v>
      </c>
      <c r="K162" s="13">
        <f t="shared" si="24"/>
        <v>110.07999999999979</v>
      </c>
      <c r="M162" s="8">
        <v>504</v>
      </c>
      <c r="N162" s="14">
        <v>102</v>
      </c>
    </row>
    <row r="163" spans="2:14">
      <c r="B163" s="8">
        <v>505</v>
      </c>
      <c r="C163" s="13">
        <f t="shared" si="20"/>
        <v>117.65000000000006</v>
      </c>
      <c r="D163" s="13">
        <f t="shared" si="21"/>
        <v>109.09999999999978</v>
      </c>
      <c r="E163" s="13">
        <f t="shared" si="22"/>
        <v>110.09999999999978</v>
      </c>
      <c r="G163" s="8">
        <v>505</v>
      </c>
      <c r="H163" s="13">
        <f t="shared" si="23"/>
        <v>109.09999999999978</v>
      </c>
      <c r="J163" s="8">
        <v>505</v>
      </c>
      <c r="K163" s="13">
        <f t="shared" si="24"/>
        <v>110.09999999999978</v>
      </c>
      <c r="M163" s="8">
        <v>505</v>
      </c>
      <c r="N163" s="14">
        <v>102</v>
      </c>
    </row>
    <row r="164" spans="2:14">
      <c r="B164" s="8">
        <v>506</v>
      </c>
      <c r="C164" s="13">
        <f t="shared" si="20"/>
        <v>117.68000000000006</v>
      </c>
      <c r="D164" s="13">
        <f t="shared" si="21"/>
        <v>109.11999999999978</v>
      </c>
      <c r="E164" s="13">
        <f t="shared" si="22"/>
        <v>110.11999999999978</v>
      </c>
      <c r="G164" s="8">
        <v>506</v>
      </c>
      <c r="H164" s="13">
        <f t="shared" si="23"/>
        <v>109.11999999999978</v>
      </c>
      <c r="J164" s="8">
        <v>506</v>
      </c>
      <c r="K164" s="13">
        <f t="shared" si="24"/>
        <v>110.11999999999978</v>
      </c>
      <c r="M164" s="8">
        <v>506</v>
      </c>
      <c r="N164" s="14">
        <v>102</v>
      </c>
    </row>
    <row r="165" spans="2:14">
      <c r="B165" s="8">
        <v>507</v>
      </c>
      <c r="C165" s="13">
        <f t="shared" si="20"/>
        <v>117.71000000000006</v>
      </c>
      <c r="D165" s="13">
        <f t="shared" si="21"/>
        <v>109.13999999999977</v>
      </c>
      <c r="E165" s="13">
        <f t="shared" si="22"/>
        <v>110.13999999999977</v>
      </c>
      <c r="G165" s="8">
        <v>507</v>
      </c>
      <c r="H165" s="13">
        <f t="shared" si="23"/>
        <v>109.13999999999977</v>
      </c>
      <c r="J165" s="8">
        <v>507</v>
      </c>
      <c r="K165" s="13">
        <f t="shared" si="24"/>
        <v>110.13999999999977</v>
      </c>
      <c r="M165" s="8">
        <v>507</v>
      </c>
      <c r="N165" s="14">
        <v>102</v>
      </c>
    </row>
    <row r="166" spans="2:14">
      <c r="B166" s="8">
        <v>508</v>
      </c>
      <c r="C166" s="13">
        <f t="shared" si="20"/>
        <v>117.74000000000007</v>
      </c>
      <c r="D166" s="13">
        <f t="shared" si="21"/>
        <v>109.15999999999977</v>
      </c>
      <c r="E166" s="13">
        <f t="shared" si="22"/>
        <v>110.15999999999977</v>
      </c>
      <c r="G166" s="8">
        <v>508</v>
      </c>
      <c r="H166" s="13">
        <f t="shared" si="23"/>
        <v>109.15999999999977</v>
      </c>
      <c r="J166" s="8">
        <v>508</v>
      </c>
      <c r="K166" s="13">
        <f t="shared" si="24"/>
        <v>110.15999999999977</v>
      </c>
      <c r="M166" s="8">
        <v>508</v>
      </c>
      <c r="N166" s="14">
        <v>102</v>
      </c>
    </row>
    <row r="167" spans="2:14">
      <c r="B167" s="8">
        <v>509</v>
      </c>
      <c r="C167" s="13">
        <f t="shared" si="20"/>
        <v>117.77000000000007</v>
      </c>
      <c r="D167" s="13">
        <f t="shared" si="21"/>
        <v>109.17999999999977</v>
      </c>
      <c r="E167" s="13">
        <f t="shared" si="22"/>
        <v>110.17999999999977</v>
      </c>
      <c r="G167" s="8">
        <v>509</v>
      </c>
      <c r="H167" s="13">
        <f t="shared" si="23"/>
        <v>109.17999999999977</v>
      </c>
      <c r="J167" s="8">
        <v>509</v>
      </c>
      <c r="K167" s="13">
        <f t="shared" si="24"/>
        <v>110.17999999999977</v>
      </c>
      <c r="M167" s="8">
        <v>509</v>
      </c>
      <c r="N167" s="14">
        <v>102</v>
      </c>
    </row>
    <row r="168" spans="2:14">
      <c r="B168" s="8">
        <v>510</v>
      </c>
      <c r="C168" s="13">
        <f t="shared" si="20"/>
        <v>117.80000000000007</v>
      </c>
      <c r="D168" s="13">
        <f t="shared" si="21"/>
        <v>109.19999999999976</v>
      </c>
      <c r="E168" s="13">
        <f t="shared" si="22"/>
        <v>110.19999999999976</v>
      </c>
      <c r="G168" s="8">
        <v>510</v>
      </c>
      <c r="H168" s="13">
        <f t="shared" si="23"/>
        <v>109.19999999999976</v>
      </c>
      <c r="J168" s="8">
        <v>510</v>
      </c>
      <c r="K168" s="13">
        <f t="shared" si="24"/>
        <v>110.19999999999976</v>
      </c>
      <c r="M168" s="8">
        <v>510</v>
      </c>
      <c r="N168" s="14">
        <v>102</v>
      </c>
    </row>
    <row r="169" spans="2:14">
      <c r="B169" s="8">
        <v>511</v>
      </c>
      <c r="C169" s="13">
        <f t="shared" si="20"/>
        <v>117.83000000000007</v>
      </c>
      <c r="D169" s="13">
        <f t="shared" si="21"/>
        <v>109.21999999999976</v>
      </c>
      <c r="E169" s="13">
        <f t="shared" si="22"/>
        <v>110.21999999999976</v>
      </c>
      <c r="G169" s="8">
        <v>511</v>
      </c>
      <c r="H169" s="13">
        <f t="shared" si="23"/>
        <v>109.21999999999976</v>
      </c>
      <c r="J169" s="8">
        <v>511</v>
      </c>
      <c r="K169" s="13">
        <f t="shared" si="24"/>
        <v>110.21999999999976</v>
      </c>
      <c r="M169" s="8">
        <v>511</v>
      </c>
      <c r="N169" s="14">
        <v>102</v>
      </c>
    </row>
    <row r="170" spans="2:14">
      <c r="B170" s="8">
        <v>512</v>
      </c>
      <c r="C170" s="13">
        <f t="shared" si="20"/>
        <v>117.86000000000007</v>
      </c>
      <c r="D170" s="13">
        <f t="shared" si="21"/>
        <v>109.23999999999975</v>
      </c>
      <c r="E170" s="13">
        <f t="shared" si="22"/>
        <v>110.23999999999975</v>
      </c>
      <c r="G170" s="8">
        <v>512</v>
      </c>
      <c r="H170" s="13">
        <f t="shared" si="23"/>
        <v>109.23999999999975</v>
      </c>
      <c r="J170" s="8">
        <v>512</v>
      </c>
      <c r="K170" s="13">
        <f t="shared" si="24"/>
        <v>110.23999999999975</v>
      </c>
      <c r="M170" s="8">
        <v>512</v>
      </c>
      <c r="N170" s="14">
        <v>102</v>
      </c>
    </row>
    <row r="171" spans="2:14">
      <c r="B171" s="8">
        <v>513</v>
      </c>
      <c r="C171" s="13">
        <f t="shared" si="20"/>
        <v>117.89000000000007</v>
      </c>
      <c r="D171" s="13">
        <f t="shared" si="21"/>
        <v>109.25999999999975</v>
      </c>
      <c r="E171" s="13">
        <f t="shared" si="22"/>
        <v>110.25999999999975</v>
      </c>
      <c r="G171" s="8">
        <v>513</v>
      </c>
      <c r="H171" s="13">
        <f t="shared" si="23"/>
        <v>109.25999999999975</v>
      </c>
      <c r="J171" s="8">
        <v>513</v>
      </c>
      <c r="K171" s="13">
        <f t="shared" si="24"/>
        <v>110.25999999999975</v>
      </c>
      <c r="M171" s="8">
        <v>513</v>
      </c>
      <c r="N171" s="14">
        <v>102</v>
      </c>
    </row>
    <row r="172" spans="2:14">
      <c r="B172" s="8">
        <v>514</v>
      </c>
      <c r="C172" s="13">
        <f t="shared" si="20"/>
        <v>117.92000000000007</v>
      </c>
      <c r="D172" s="13">
        <f t="shared" si="21"/>
        <v>109.27999999999975</v>
      </c>
      <c r="E172" s="13">
        <f t="shared" si="22"/>
        <v>110.27999999999975</v>
      </c>
      <c r="G172" s="8">
        <v>514</v>
      </c>
      <c r="H172" s="13">
        <f t="shared" si="23"/>
        <v>109.27999999999975</v>
      </c>
      <c r="J172" s="8">
        <v>514</v>
      </c>
      <c r="K172" s="13">
        <f t="shared" si="24"/>
        <v>110.27999999999975</v>
      </c>
      <c r="M172" s="8">
        <v>514</v>
      </c>
      <c r="N172" s="14">
        <v>102</v>
      </c>
    </row>
    <row r="173" spans="2:14">
      <c r="B173" s="8">
        <v>515</v>
      </c>
      <c r="C173" s="13">
        <f t="shared" ref="C173:C207" si="25">C172+(($C$208-$C$108)/100)</f>
        <v>117.95000000000007</v>
      </c>
      <c r="D173" s="13">
        <f t="shared" ref="D173:D207" si="26">D172+(($D$208-$D$108)/100)</f>
        <v>109.29999999999974</v>
      </c>
      <c r="E173" s="13">
        <f t="shared" ref="E173:E207" si="27">E172+(($E$208-$E$108)/100)</f>
        <v>110.29999999999974</v>
      </c>
      <c r="G173" s="8">
        <v>515</v>
      </c>
      <c r="H173" s="13">
        <f t="shared" ref="H173:H207" si="28">H172+(($D$208-$D$108)/100)</f>
        <v>109.29999999999974</v>
      </c>
      <c r="J173" s="8">
        <v>515</v>
      </c>
      <c r="K173" s="13">
        <f t="shared" ref="K173:K207" si="29">K172+(($E$208-$E$108)/100)</f>
        <v>110.29999999999974</v>
      </c>
      <c r="M173" s="8">
        <v>515</v>
      </c>
      <c r="N173" s="14">
        <v>102</v>
      </c>
    </row>
    <row r="174" spans="2:14">
      <c r="B174" s="8">
        <v>516</v>
      </c>
      <c r="C174" s="13">
        <f t="shared" si="25"/>
        <v>117.98000000000008</v>
      </c>
      <c r="D174" s="13">
        <f t="shared" si="26"/>
        <v>109.31999999999974</v>
      </c>
      <c r="E174" s="13">
        <f t="shared" si="27"/>
        <v>110.31999999999974</v>
      </c>
      <c r="G174" s="8">
        <v>516</v>
      </c>
      <c r="H174" s="13">
        <f t="shared" si="28"/>
        <v>109.31999999999974</v>
      </c>
      <c r="J174" s="8">
        <v>516</v>
      </c>
      <c r="K174" s="13">
        <f t="shared" si="29"/>
        <v>110.31999999999974</v>
      </c>
      <c r="M174" s="8">
        <v>516</v>
      </c>
      <c r="N174" s="14">
        <v>102</v>
      </c>
    </row>
    <row r="175" spans="2:14">
      <c r="B175" s="8">
        <v>517</v>
      </c>
      <c r="C175" s="13">
        <f t="shared" si="25"/>
        <v>118.01000000000008</v>
      </c>
      <c r="D175" s="13">
        <f t="shared" si="26"/>
        <v>109.33999999999973</v>
      </c>
      <c r="E175" s="13">
        <f t="shared" si="27"/>
        <v>110.33999999999973</v>
      </c>
      <c r="G175" s="8">
        <v>517</v>
      </c>
      <c r="H175" s="13">
        <f t="shared" si="28"/>
        <v>109.33999999999973</v>
      </c>
      <c r="J175" s="8">
        <v>517</v>
      </c>
      <c r="K175" s="13">
        <f t="shared" si="29"/>
        <v>110.33999999999973</v>
      </c>
      <c r="M175" s="8">
        <v>517</v>
      </c>
      <c r="N175" s="14">
        <v>102</v>
      </c>
    </row>
    <row r="176" spans="2:14">
      <c r="B176" s="8">
        <v>518</v>
      </c>
      <c r="C176" s="13">
        <f t="shared" si="25"/>
        <v>118.04000000000008</v>
      </c>
      <c r="D176" s="13">
        <f t="shared" si="26"/>
        <v>109.35999999999973</v>
      </c>
      <c r="E176" s="13">
        <f t="shared" si="27"/>
        <v>110.35999999999973</v>
      </c>
      <c r="G176" s="8">
        <v>518</v>
      </c>
      <c r="H176" s="13">
        <f t="shared" si="28"/>
        <v>109.35999999999973</v>
      </c>
      <c r="J176" s="8">
        <v>518</v>
      </c>
      <c r="K176" s="13">
        <f t="shared" si="29"/>
        <v>110.35999999999973</v>
      </c>
      <c r="M176" s="8">
        <v>518</v>
      </c>
      <c r="N176" s="14">
        <v>102</v>
      </c>
    </row>
    <row r="177" spans="2:14">
      <c r="B177" s="8">
        <v>519</v>
      </c>
      <c r="C177" s="13">
        <f t="shared" si="25"/>
        <v>118.07000000000008</v>
      </c>
      <c r="D177" s="13">
        <f t="shared" si="26"/>
        <v>109.37999999999973</v>
      </c>
      <c r="E177" s="13">
        <f t="shared" si="27"/>
        <v>110.37999999999973</v>
      </c>
      <c r="G177" s="8">
        <v>519</v>
      </c>
      <c r="H177" s="13">
        <f t="shared" si="28"/>
        <v>109.37999999999973</v>
      </c>
      <c r="J177" s="8">
        <v>519</v>
      </c>
      <c r="K177" s="13">
        <f t="shared" si="29"/>
        <v>110.37999999999973</v>
      </c>
      <c r="M177" s="8">
        <v>519</v>
      </c>
      <c r="N177" s="14">
        <v>102</v>
      </c>
    </row>
    <row r="178" spans="2:14">
      <c r="B178" s="8">
        <v>520</v>
      </c>
      <c r="C178" s="13">
        <f t="shared" si="25"/>
        <v>118.10000000000008</v>
      </c>
      <c r="D178" s="13">
        <f t="shared" si="26"/>
        <v>109.39999999999972</v>
      </c>
      <c r="E178" s="13">
        <f t="shared" si="27"/>
        <v>110.39999999999972</v>
      </c>
      <c r="G178" s="8">
        <v>520</v>
      </c>
      <c r="H178" s="13">
        <f t="shared" si="28"/>
        <v>109.39999999999972</v>
      </c>
      <c r="J178" s="8">
        <v>520</v>
      </c>
      <c r="K178" s="13">
        <f t="shared" si="29"/>
        <v>110.39999999999972</v>
      </c>
      <c r="M178" s="8">
        <v>520</v>
      </c>
      <c r="N178" s="14">
        <v>102</v>
      </c>
    </row>
    <row r="179" spans="2:14">
      <c r="B179" s="8">
        <v>521</v>
      </c>
      <c r="C179" s="13">
        <f t="shared" si="25"/>
        <v>118.13000000000008</v>
      </c>
      <c r="D179" s="13">
        <f t="shared" si="26"/>
        <v>109.41999999999972</v>
      </c>
      <c r="E179" s="13">
        <f t="shared" si="27"/>
        <v>110.41999999999972</v>
      </c>
      <c r="G179" s="8">
        <v>521</v>
      </c>
      <c r="H179" s="13">
        <f t="shared" si="28"/>
        <v>109.41999999999972</v>
      </c>
      <c r="J179" s="8">
        <v>521</v>
      </c>
      <c r="K179" s="13">
        <f t="shared" si="29"/>
        <v>110.41999999999972</v>
      </c>
      <c r="M179" s="8">
        <v>521</v>
      </c>
      <c r="N179" s="14">
        <v>102</v>
      </c>
    </row>
    <row r="180" spans="2:14">
      <c r="B180" s="8">
        <v>522</v>
      </c>
      <c r="C180" s="13">
        <f t="shared" si="25"/>
        <v>118.16000000000008</v>
      </c>
      <c r="D180" s="13">
        <f t="shared" si="26"/>
        <v>109.43999999999971</v>
      </c>
      <c r="E180" s="13">
        <f t="shared" si="27"/>
        <v>110.43999999999971</v>
      </c>
      <c r="G180" s="8">
        <v>522</v>
      </c>
      <c r="H180" s="13">
        <f t="shared" si="28"/>
        <v>109.43999999999971</v>
      </c>
      <c r="J180" s="8">
        <v>522</v>
      </c>
      <c r="K180" s="13">
        <f t="shared" si="29"/>
        <v>110.43999999999971</v>
      </c>
      <c r="M180" s="8">
        <v>522</v>
      </c>
      <c r="N180" s="14">
        <v>102</v>
      </c>
    </row>
    <row r="181" spans="2:14">
      <c r="B181" s="8">
        <v>523</v>
      </c>
      <c r="C181" s="13">
        <f t="shared" si="25"/>
        <v>118.19000000000008</v>
      </c>
      <c r="D181" s="13">
        <f t="shared" si="26"/>
        <v>109.45999999999971</v>
      </c>
      <c r="E181" s="13">
        <f t="shared" si="27"/>
        <v>110.45999999999971</v>
      </c>
      <c r="G181" s="8">
        <v>523</v>
      </c>
      <c r="H181" s="13">
        <f t="shared" si="28"/>
        <v>109.45999999999971</v>
      </c>
      <c r="J181" s="8">
        <v>523</v>
      </c>
      <c r="K181" s="13">
        <f t="shared" si="29"/>
        <v>110.45999999999971</v>
      </c>
      <c r="M181" s="8">
        <v>523</v>
      </c>
      <c r="N181" s="14">
        <v>102</v>
      </c>
    </row>
    <row r="182" spans="2:14">
      <c r="B182" s="8">
        <v>524</v>
      </c>
      <c r="C182" s="13">
        <f t="shared" si="25"/>
        <v>118.22000000000008</v>
      </c>
      <c r="D182" s="13">
        <f t="shared" si="26"/>
        <v>109.47999999999971</v>
      </c>
      <c r="E182" s="13">
        <f t="shared" si="27"/>
        <v>110.47999999999971</v>
      </c>
      <c r="G182" s="8">
        <v>524</v>
      </c>
      <c r="H182" s="13">
        <f t="shared" si="28"/>
        <v>109.47999999999971</v>
      </c>
      <c r="J182" s="8">
        <v>524</v>
      </c>
      <c r="K182" s="13">
        <f t="shared" si="29"/>
        <v>110.47999999999971</v>
      </c>
      <c r="M182" s="8">
        <v>524</v>
      </c>
      <c r="N182" s="14">
        <v>102</v>
      </c>
    </row>
    <row r="183" spans="2:14">
      <c r="B183" s="8">
        <v>525</v>
      </c>
      <c r="C183" s="13">
        <f t="shared" si="25"/>
        <v>118.25000000000009</v>
      </c>
      <c r="D183" s="13">
        <f t="shared" si="26"/>
        <v>109.4999999999997</v>
      </c>
      <c r="E183" s="13">
        <f t="shared" si="27"/>
        <v>110.4999999999997</v>
      </c>
      <c r="G183" s="8">
        <v>525</v>
      </c>
      <c r="H183" s="13">
        <f t="shared" si="28"/>
        <v>109.4999999999997</v>
      </c>
      <c r="J183" s="8">
        <v>525</v>
      </c>
      <c r="K183" s="13">
        <f t="shared" si="29"/>
        <v>110.4999999999997</v>
      </c>
      <c r="M183" s="8">
        <v>525</v>
      </c>
      <c r="N183" s="14">
        <v>102</v>
      </c>
    </row>
    <row r="184" spans="2:14">
      <c r="B184" s="8">
        <v>526</v>
      </c>
      <c r="C184" s="13">
        <f t="shared" si="25"/>
        <v>118.28000000000009</v>
      </c>
      <c r="D184" s="13">
        <f t="shared" si="26"/>
        <v>109.5199999999997</v>
      </c>
      <c r="E184" s="13">
        <f t="shared" si="27"/>
        <v>110.5199999999997</v>
      </c>
      <c r="G184" s="8">
        <v>526</v>
      </c>
      <c r="H184" s="13">
        <f t="shared" si="28"/>
        <v>109.5199999999997</v>
      </c>
      <c r="J184" s="8">
        <v>526</v>
      </c>
      <c r="K184" s="13">
        <f t="shared" si="29"/>
        <v>110.5199999999997</v>
      </c>
      <c r="M184" s="8">
        <v>526</v>
      </c>
      <c r="N184" s="14">
        <v>102</v>
      </c>
    </row>
    <row r="185" spans="2:14">
      <c r="B185" s="8">
        <v>527</v>
      </c>
      <c r="C185" s="13">
        <f t="shared" si="25"/>
        <v>118.31000000000009</v>
      </c>
      <c r="D185" s="13">
        <f t="shared" si="26"/>
        <v>109.53999999999969</v>
      </c>
      <c r="E185" s="13">
        <f t="shared" si="27"/>
        <v>110.53999999999969</v>
      </c>
      <c r="G185" s="8">
        <v>527</v>
      </c>
      <c r="H185" s="13">
        <f t="shared" si="28"/>
        <v>109.53999999999969</v>
      </c>
      <c r="J185" s="8">
        <v>527</v>
      </c>
      <c r="K185" s="13">
        <f t="shared" si="29"/>
        <v>110.53999999999969</v>
      </c>
      <c r="M185" s="8">
        <v>527</v>
      </c>
      <c r="N185" s="14">
        <v>102</v>
      </c>
    </row>
    <row r="186" spans="2:14">
      <c r="B186" s="8">
        <v>528</v>
      </c>
      <c r="C186" s="13">
        <f t="shared" si="25"/>
        <v>118.34000000000009</v>
      </c>
      <c r="D186" s="13">
        <f t="shared" si="26"/>
        <v>109.55999999999969</v>
      </c>
      <c r="E186" s="13">
        <f t="shared" si="27"/>
        <v>110.55999999999969</v>
      </c>
      <c r="G186" s="8">
        <v>528</v>
      </c>
      <c r="H186" s="13">
        <f t="shared" si="28"/>
        <v>109.55999999999969</v>
      </c>
      <c r="J186" s="8">
        <v>528</v>
      </c>
      <c r="K186" s="13">
        <f t="shared" si="29"/>
        <v>110.55999999999969</v>
      </c>
      <c r="M186" s="8">
        <v>528</v>
      </c>
      <c r="N186" s="14">
        <v>102</v>
      </c>
    </row>
    <row r="187" spans="2:14">
      <c r="B187" s="8">
        <v>529</v>
      </c>
      <c r="C187" s="13">
        <f t="shared" si="25"/>
        <v>118.37000000000009</v>
      </c>
      <c r="D187" s="13">
        <f t="shared" si="26"/>
        <v>109.57999999999969</v>
      </c>
      <c r="E187" s="13">
        <f t="shared" si="27"/>
        <v>110.57999999999969</v>
      </c>
      <c r="G187" s="8">
        <v>529</v>
      </c>
      <c r="H187" s="13">
        <f t="shared" si="28"/>
        <v>109.57999999999969</v>
      </c>
      <c r="J187" s="8">
        <v>529</v>
      </c>
      <c r="K187" s="13">
        <f t="shared" si="29"/>
        <v>110.57999999999969</v>
      </c>
      <c r="M187" s="8">
        <v>529</v>
      </c>
      <c r="N187" s="14">
        <v>102</v>
      </c>
    </row>
    <row r="188" spans="2:14">
      <c r="B188" s="8">
        <v>530</v>
      </c>
      <c r="C188" s="13">
        <f t="shared" si="25"/>
        <v>118.40000000000009</v>
      </c>
      <c r="D188" s="13">
        <f t="shared" si="26"/>
        <v>109.59999999999968</v>
      </c>
      <c r="E188" s="13">
        <f t="shared" si="27"/>
        <v>110.59999999999968</v>
      </c>
      <c r="G188" s="8">
        <v>530</v>
      </c>
      <c r="H188" s="13">
        <f t="shared" si="28"/>
        <v>109.59999999999968</v>
      </c>
      <c r="J188" s="8">
        <v>530</v>
      </c>
      <c r="K188" s="13">
        <f t="shared" si="29"/>
        <v>110.59999999999968</v>
      </c>
      <c r="M188" s="8">
        <v>530</v>
      </c>
      <c r="N188" s="14">
        <v>102</v>
      </c>
    </row>
    <row r="189" spans="2:14">
      <c r="B189" s="8">
        <v>531</v>
      </c>
      <c r="C189" s="13">
        <f t="shared" si="25"/>
        <v>118.43000000000009</v>
      </c>
      <c r="D189" s="13">
        <f t="shared" si="26"/>
        <v>109.61999999999968</v>
      </c>
      <c r="E189" s="13">
        <f t="shared" si="27"/>
        <v>110.61999999999968</v>
      </c>
      <c r="G189" s="8">
        <v>531</v>
      </c>
      <c r="H189" s="13">
        <f t="shared" si="28"/>
        <v>109.61999999999968</v>
      </c>
      <c r="J189" s="8">
        <v>531</v>
      </c>
      <c r="K189" s="13">
        <f t="shared" si="29"/>
        <v>110.61999999999968</v>
      </c>
      <c r="M189" s="8">
        <v>531</v>
      </c>
      <c r="N189" s="14">
        <v>102</v>
      </c>
    </row>
    <row r="190" spans="2:14">
      <c r="B190" s="8">
        <v>532</v>
      </c>
      <c r="C190" s="13">
        <f t="shared" si="25"/>
        <v>118.46000000000009</v>
      </c>
      <c r="D190" s="13">
        <f t="shared" si="26"/>
        <v>109.63999999999967</v>
      </c>
      <c r="E190" s="13">
        <f t="shared" si="27"/>
        <v>110.63999999999967</v>
      </c>
      <c r="G190" s="8">
        <v>532</v>
      </c>
      <c r="H190" s="13">
        <f t="shared" si="28"/>
        <v>109.63999999999967</v>
      </c>
      <c r="J190" s="8">
        <v>532</v>
      </c>
      <c r="K190" s="13">
        <f t="shared" si="29"/>
        <v>110.63999999999967</v>
      </c>
      <c r="M190" s="8">
        <v>532</v>
      </c>
      <c r="N190" s="14">
        <v>102</v>
      </c>
    </row>
    <row r="191" spans="2:14">
      <c r="B191" s="8">
        <v>533</v>
      </c>
      <c r="C191" s="13">
        <f t="shared" si="25"/>
        <v>118.49000000000009</v>
      </c>
      <c r="D191" s="13">
        <f t="shared" si="26"/>
        <v>109.65999999999967</v>
      </c>
      <c r="E191" s="13">
        <f t="shared" si="27"/>
        <v>110.65999999999967</v>
      </c>
      <c r="G191" s="8">
        <v>533</v>
      </c>
      <c r="H191" s="13">
        <f t="shared" si="28"/>
        <v>109.65999999999967</v>
      </c>
      <c r="J191" s="8">
        <v>533</v>
      </c>
      <c r="K191" s="13">
        <f t="shared" si="29"/>
        <v>110.65999999999967</v>
      </c>
      <c r="M191" s="8">
        <v>533</v>
      </c>
      <c r="N191" s="14">
        <v>102</v>
      </c>
    </row>
    <row r="192" spans="2:14">
      <c r="B192" s="8">
        <v>534</v>
      </c>
      <c r="C192" s="13">
        <f t="shared" si="25"/>
        <v>118.5200000000001</v>
      </c>
      <c r="D192" s="13">
        <f t="shared" si="26"/>
        <v>109.67999999999967</v>
      </c>
      <c r="E192" s="13">
        <f t="shared" si="27"/>
        <v>110.67999999999967</v>
      </c>
      <c r="G192" s="8">
        <v>534</v>
      </c>
      <c r="H192" s="13">
        <f t="shared" si="28"/>
        <v>109.67999999999967</v>
      </c>
      <c r="J192" s="8">
        <v>534</v>
      </c>
      <c r="K192" s="13">
        <f t="shared" si="29"/>
        <v>110.67999999999967</v>
      </c>
      <c r="M192" s="8">
        <v>534</v>
      </c>
      <c r="N192" s="14">
        <v>102</v>
      </c>
    </row>
    <row r="193" spans="2:14">
      <c r="B193" s="8">
        <v>535</v>
      </c>
      <c r="C193" s="13">
        <f t="shared" si="25"/>
        <v>118.5500000000001</v>
      </c>
      <c r="D193" s="13">
        <f t="shared" si="26"/>
        <v>109.69999999999966</v>
      </c>
      <c r="E193" s="13">
        <f t="shared" si="27"/>
        <v>110.69999999999966</v>
      </c>
      <c r="G193" s="8">
        <v>535</v>
      </c>
      <c r="H193" s="13">
        <f t="shared" si="28"/>
        <v>109.69999999999966</v>
      </c>
      <c r="J193" s="8">
        <v>535</v>
      </c>
      <c r="K193" s="13">
        <f t="shared" si="29"/>
        <v>110.69999999999966</v>
      </c>
      <c r="M193" s="8">
        <v>535</v>
      </c>
      <c r="N193" s="14">
        <v>102</v>
      </c>
    </row>
    <row r="194" spans="2:14">
      <c r="B194" s="8">
        <v>536</v>
      </c>
      <c r="C194" s="13">
        <f t="shared" si="25"/>
        <v>118.5800000000001</v>
      </c>
      <c r="D194" s="13">
        <f t="shared" si="26"/>
        <v>109.71999999999966</v>
      </c>
      <c r="E194" s="13">
        <f t="shared" si="27"/>
        <v>110.71999999999966</v>
      </c>
      <c r="G194" s="8">
        <v>536</v>
      </c>
      <c r="H194" s="13">
        <f t="shared" si="28"/>
        <v>109.71999999999966</v>
      </c>
      <c r="J194" s="8">
        <v>536</v>
      </c>
      <c r="K194" s="13">
        <f t="shared" si="29"/>
        <v>110.71999999999966</v>
      </c>
      <c r="M194" s="8">
        <v>536</v>
      </c>
      <c r="N194" s="14">
        <v>102</v>
      </c>
    </row>
    <row r="195" spans="2:14">
      <c r="B195" s="8">
        <v>537</v>
      </c>
      <c r="C195" s="13">
        <f t="shared" si="25"/>
        <v>118.6100000000001</v>
      </c>
      <c r="D195" s="13">
        <f t="shared" si="26"/>
        <v>109.73999999999965</v>
      </c>
      <c r="E195" s="13">
        <f t="shared" si="27"/>
        <v>110.73999999999965</v>
      </c>
      <c r="G195" s="8">
        <v>537</v>
      </c>
      <c r="H195" s="13">
        <f t="shared" si="28"/>
        <v>109.73999999999965</v>
      </c>
      <c r="J195" s="8">
        <v>537</v>
      </c>
      <c r="K195" s="13">
        <f t="shared" si="29"/>
        <v>110.73999999999965</v>
      </c>
      <c r="M195" s="8">
        <v>537</v>
      </c>
      <c r="N195" s="14">
        <v>102</v>
      </c>
    </row>
    <row r="196" spans="2:14">
      <c r="B196" s="8">
        <v>538</v>
      </c>
      <c r="C196" s="13">
        <f t="shared" si="25"/>
        <v>118.6400000000001</v>
      </c>
      <c r="D196" s="13">
        <f t="shared" si="26"/>
        <v>109.75999999999965</v>
      </c>
      <c r="E196" s="13">
        <f t="shared" si="27"/>
        <v>110.75999999999965</v>
      </c>
      <c r="G196" s="8">
        <v>538</v>
      </c>
      <c r="H196" s="13">
        <f t="shared" si="28"/>
        <v>109.75999999999965</v>
      </c>
      <c r="J196" s="8">
        <v>538</v>
      </c>
      <c r="K196" s="13">
        <f t="shared" si="29"/>
        <v>110.75999999999965</v>
      </c>
      <c r="M196" s="8">
        <v>538</v>
      </c>
      <c r="N196" s="14">
        <v>102</v>
      </c>
    </row>
    <row r="197" spans="2:14">
      <c r="B197" s="8">
        <v>539</v>
      </c>
      <c r="C197" s="13">
        <f t="shared" si="25"/>
        <v>118.6700000000001</v>
      </c>
      <c r="D197" s="13">
        <f t="shared" si="26"/>
        <v>109.77999999999965</v>
      </c>
      <c r="E197" s="13">
        <f t="shared" si="27"/>
        <v>110.77999999999965</v>
      </c>
      <c r="G197" s="8">
        <v>539</v>
      </c>
      <c r="H197" s="13">
        <f t="shared" si="28"/>
        <v>109.77999999999965</v>
      </c>
      <c r="J197" s="8">
        <v>539</v>
      </c>
      <c r="K197" s="13">
        <f t="shared" si="29"/>
        <v>110.77999999999965</v>
      </c>
      <c r="M197" s="8">
        <v>539</v>
      </c>
      <c r="N197" s="14">
        <v>102</v>
      </c>
    </row>
    <row r="198" spans="2:14">
      <c r="B198" s="8">
        <v>540</v>
      </c>
      <c r="C198" s="13">
        <f t="shared" si="25"/>
        <v>118.7000000000001</v>
      </c>
      <c r="D198" s="13">
        <f t="shared" si="26"/>
        <v>109.79999999999964</v>
      </c>
      <c r="E198" s="13">
        <f t="shared" si="27"/>
        <v>110.79999999999964</v>
      </c>
      <c r="G198" s="8">
        <v>540</v>
      </c>
      <c r="H198" s="13">
        <f t="shared" si="28"/>
        <v>109.79999999999964</v>
      </c>
      <c r="J198" s="8">
        <v>540</v>
      </c>
      <c r="K198" s="13">
        <f t="shared" si="29"/>
        <v>110.79999999999964</v>
      </c>
      <c r="M198" s="8">
        <v>540</v>
      </c>
      <c r="N198" s="14">
        <v>102</v>
      </c>
    </row>
    <row r="199" spans="2:14">
      <c r="B199" s="8">
        <v>541</v>
      </c>
      <c r="C199" s="13">
        <f t="shared" si="25"/>
        <v>118.7300000000001</v>
      </c>
      <c r="D199" s="13">
        <f t="shared" si="26"/>
        <v>109.81999999999964</v>
      </c>
      <c r="E199" s="13">
        <f t="shared" si="27"/>
        <v>110.81999999999964</v>
      </c>
      <c r="G199" s="8">
        <v>541</v>
      </c>
      <c r="H199" s="13">
        <f t="shared" si="28"/>
        <v>109.81999999999964</v>
      </c>
      <c r="J199" s="8">
        <v>541</v>
      </c>
      <c r="K199" s="13">
        <f t="shared" si="29"/>
        <v>110.81999999999964</v>
      </c>
      <c r="M199" s="8">
        <v>541</v>
      </c>
      <c r="N199" s="14">
        <v>102</v>
      </c>
    </row>
    <row r="200" spans="2:14">
      <c r="B200" s="8">
        <v>542</v>
      </c>
      <c r="C200" s="13">
        <f t="shared" si="25"/>
        <v>118.7600000000001</v>
      </c>
      <c r="D200" s="13">
        <f t="shared" si="26"/>
        <v>109.83999999999963</v>
      </c>
      <c r="E200" s="13">
        <f t="shared" si="27"/>
        <v>110.83999999999963</v>
      </c>
      <c r="G200" s="8">
        <v>542</v>
      </c>
      <c r="H200" s="13">
        <f t="shared" si="28"/>
        <v>109.83999999999963</v>
      </c>
      <c r="J200" s="8">
        <v>542</v>
      </c>
      <c r="K200" s="13">
        <f t="shared" si="29"/>
        <v>110.83999999999963</v>
      </c>
      <c r="M200" s="8">
        <v>542</v>
      </c>
      <c r="N200" s="14">
        <v>102</v>
      </c>
    </row>
    <row r="201" spans="2:14">
      <c r="B201" s="8">
        <v>543</v>
      </c>
      <c r="C201" s="13">
        <f t="shared" si="25"/>
        <v>118.79000000000011</v>
      </c>
      <c r="D201" s="13">
        <f t="shared" si="26"/>
        <v>109.85999999999963</v>
      </c>
      <c r="E201" s="13">
        <f t="shared" si="27"/>
        <v>110.85999999999963</v>
      </c>
      <c r="G201" s="8">
        <v>543</v>
      </c>
      <c r="H201" s="13">
        <f t="shared" si="28"/>
        <v>109.85999999999963</v>
      </c>
      <c r="J201" s="8">
        <v>543</v>
      </c>
      <c r="K201" s="13">
        <f t="shared" si="29"/>
        <v>110.85999999999963</v>
      </c>
      <c r="M201" s="8">
        <v>543</v>
      </c>
      <c r="N201" s="14">
        <v>102</v>
      </c>
    </row>
    <row r="202" spans="2:14">
      <c r="B202" s="8">
        <v>544</v>
      </c>
      <c r="C202" s="13">
        <f t="shared" si="25"/>
        <v>118.82000000000011</v>
      </c>
      <c r="D202" s="13">
        <f t="shared" si="26"/>
        <v>109.87999999999963</v>
      </c>
      <c r="E202" s="13">
        <f t="shared" si="27"/>
        <v>110.87999999999963</v>
      </c>
      <c r="G202" s="8">
        <v>544</v>
      </c>
      <c r="H202" s="13">
        <f t="shared" si="28"/>
        <v>109.87999999999963</v>
      </c>
      <c r="J202" s="8">
        <v>544</v>
      </c>
      <c r="K202" s="13">
        <f t="shared" si="29"/>
        <v>110.87999999999963</v>
      </c>
      <c r="M202" s="8">
        <v>544</v>
      </c>
      <c r="N202" s="14">
        <v>102</v>
      </c>
    </row>
    <row r="203" spans="2:14">
      <c r="B203" s="8">
        <v>545</v>
      </c>
      <c r="C203" s="13">
        <f t="shared" si="25"/>
        <v>118.85000000000011</v>
      </c>
      <c r="D203" s="13">
        <f t="shared" si="26"/>
        <v>109.89999999999962</v>
      </c>
      <c r="E203" s="13">
        <f t="shared" si="27"/>
        <v>110.89999999999962</v>
      </c>
      <c r="G203" s="8">
        <v>545</v>
      </c>
      <c r="H203" s="13">
        <f t="shared" si="28"/>
        <v>109.89999999999962</v>
      </c>
      <c r="J203" s="8">
        <v>545</v>
      </c>
      <c r="K203" s="13">
        <f t="shared" si="29"/>
        <v>110.89999999999962</v>
      </c>
      <c r="M203" s="8">
        <v>545</v>
      </c>
      <c r="N203" s="14">
        <v>102</v>
      </c>
    </row>
    <row r="204" spans="2:14">
      <c r="B204" s="8">
        <v>546</v>
      </c>
      <c r="C204" s="13">
        <f t="shared" si="25"/>
        <v>118.88000000000011</v>
      </c>
      <c r="D204" s="13">
        <f t="shared" si="26"/>
        <v>109.91999999999962</v>
      </c>
      <c r="E204" s="13">
        <f t="shared" si="27"/>
        <v>110.91999999999962</v>
      </c>
      <c r="G204" s="8">
        <v>546</v>
      </c>
      <c r="H204" s="13">
        <f t="shared" si="28"/>
        <v>109.91999999999962</v>
      </c>
      <c r="J204" s="8">
        <v>546</v>
      </c>
      <c r="K204" s="13">
        <f t="shared" si="29"/>
        <v>110.91999999999962</v>
      </c>
      <c r="M204" s="8">
        <v>546</v>
      </c>
      <c r="N204" s="14">
        <v>102</v>
      </c>
    </row>
    <row r="205" spans="2:14">
      <c r="B205" s="8">
        <v>547</v>
      </c>
      <c r="C205" s="13">
        <f t="shared" si="25"/>
        <v>118.91000000000011</v>
      </c>
      <c r="D205" s="13">
        <f t="shared" si="26"/>
        <v>109.93999999999961</v>
      </c>
      <c r="E205" s="13">
        <f t="shared" si="27"/>
        <v>110.93999999999961</v>
      </c>
      <c r="G205" s="8">
        <v>547</v>
      </c>
      <c r="H205" s="13">
        <f t="shared" si="28"/>
        <v>109.93999999999961</v>
      </c>
      <c r="J205" s="8">
        <v>547</v>
      </c>
      <c r="K205" s="13">
        <f t="shared" si="29"/>
        <v>110.93999999999961</v>
      </c>
      <c r="M205" s="8">
        <v>547</v>
      </c>
      <c r="N205" s="14">
        <v>102</v>
      </c>
    </row>
    <row r="206" spans="2:14">
      <c r="B206" s="8">
        <v>548</v>
      </c>
      <c r="C206" s="13">
        <f t="shared" si="25"/>
        <v>118.94000000000011</v>
      </c>
      <c r="D206" s="13">
        <f t="shared" si="26"/>
        <v>109.95999999999961</v>
      </c>
      <c r="E206" s="13">
        <f t="shared" si="27"/>
        <v>110.95999999999961</v>
      </c>
      <c r="G206" s="8">
        <v>548</v>
      </c>
      <c r="H206" s="13">
        <f t="shared" si="28"/>
        <v>109.95999999999961</v>
      </c>
      <c r="J206" s="8">
        <v>548</v>
      </c>
      <c r="K206" s="13">
        <f t="shared" si="29"/>
        <v>110.95999999999961</v>
      </c>
      <c r="M206" s="8">
        <v>548</v>
      </c>
      <c r="N206" s="14">
        <v>102</v>
      </c>
    </row>
    <row r="207" spans="2:14">
      <c r="B207" s="8">
        <v>549</v>
      </c>
      <c r="C207" s="13">
        <f t="shared" si="25"/>
        <v>118.97000000000011</v>
      </c>
      <c r="D207" s="13">
        <f t="shared" si="26"/>
        <v>109.97999999999961</v>
      </c>
      <c r="E207" s="13">
        <f t="shared" si="27"/>
        <v>110.97999999999961</v>
      </c>
      <c r="G207" s="8">
        <v>549</v>
      </c>
      <c r="H207" s="13">
        <f t="shared" si="28"/>
        <v>109.97999999999961</v>
      </c>
      <c r="J207" s="8">
        <v>549</v>
      </c>
      <c r="K207" s="13">
        <f t="shared" si="29"/>
        <v>110.97999999999961</v>
      </c>
      <c r="M207" s="8">
        <v>549</v>
      </c>
      <c r="N207" s="14">
        <v>102</v>
      </c>
    </row>
    <row r="208" spans="2:14">
      <c r="B208" s="6">
        <v>550</v>
      </c>
      <c r="C208" s="12">
        <f>+C5</f>
        <v>119</v>
      </c>
      <c r="D208" s="12">
        <f>+D5</f>
        <v>110</v>
      </c>
      <c r="E208" s="12">
        <f>+E5</f>
        <v>111</v>
      </c>
      <c r="G208" s="6">
        <v>550</v>
      </c>
      <c r="H208" s="12">
        <f>+D208</f>
        <v>110</v>
      </c>
      <c r="J208" s="6">
        <v>550</v>
      </c>
      <c r="K208" s="12">
        <f>+E208</f>
        <v>111</v>
      </c>
      <c r="M208" s="6">
        <v>550</v>
      </c>
      <c r="N208" s="14">
        <v>102</v>
      </c>
    </row>
  </sheetData>
  <sheetProtection password="C9F1" sheet="1" objects="1" scenarios="1"/>
  <mergeCells count="1">
    <mergeCell ref="B1:K1"/>
  </mergeCells>
  <phoneticPr fontId="0" type="noConversion"/>
  <pageMargins left="0.75" right="0.75" top="1" bottom="1" header="0.5" footer="0.5"/>
  <pageSetup paperSize="9" scale="75" fitToHeight="4" orientation="portrait" r:id="rId1"/>
  <headerFooter alignWithMargins="0"/>
</worksheet>
</file>

<file path=xl/worksheets/sheet46.xml><?xml version="1.0" encoding="utf-8"?>
<worksheet xmlns="http://schemas.openxmlformats.org/spreadsheetml/2006/main" xmlns:r="http://schemas.openxmlformats.org/officeDocument/2006/relationships">
  <sheetPr codeName="Sheet32">
    <pageSetUpPr fitToPage="1"/>
  </sheetPr>
  <dimension ref="A2:K732"/>
  <sheetViews>
    <sheetView workbookViewId="0"/>
  </sheetViews>
  <sheetFormatPr defaultRowHeight="12.75"/>
  <cols>
    <col min="1" max="1" width="5.5703125" style="35" customWidth="1"/>
    <col min="2" max="2" width="6.140625" style="35" customWidth="1"/>
    <col min="3" max="3" width="14.140625" style="35" customWidth="1"/>
    <col min="4" max="4" width="11.5703125" style="35" bestFit="1" customWidth="1"/>
    <col min="5" max="16384" width="9.140625" style="35"/>
  </cols>
  <sheetData>
    <row r="2" spans="1:10">
      <c r="B2" s="1362" t="s">
        <v>679</v>
      </c>
      <c r="C2" s="1362"/>
      <c r="D2" s="1362"/>
      <c r="E2" s="1362" t="s">
        <v>680</v>
      </c>
      <c r="F2" s="1362"/>
    </row>
    <row r="3" spans="1:10">
      <c r="B3" s="1362"/>
      <c r="C3" s="1362"/>
      <c r="D3" s="1362"/>
      <c r="E3" s="1362"/>
      <c r="F3" s="1362"/>
    </row>
    <row r="4" spans="1:10">
      <c r="B4" s="1362"/>
      <c r="C4" s="1362"/>
      <c r="D4" s="1362"/>
      <c r="E4" s="1362"/>
      <c r="F4" s="1362"/>
    </row>
    <row r="5" spans="1:10">
      <c r="B5" s="1361">
        <v>8</v>
      </c>
      <c r="C5" s="1361"/>
      <c r="D5" s="1361"/>
      <c r="E5" s="1361">
        <v>85</v>
      </c>
      <c r="F5" s="1361"/>
      <c r="H5" s="35">
        <f t="shared" ref="H5:H10" si="0">B5*60</f>
        <v>480</v>
      </c>
    </row>
    <row r="6" spans="1:10">
      <c r="B6" s="1361">
        <v>4</v>
      </c>
      <c r="C6" s="1361"/>
      <c r="D6" s="1361"/>
      <c r="E6" s="1361">
        <v>88</v>
      </c>
      <c r="F6" s="1361"/>
      <c r="H6" s="35">
        <f t="shared" si="0"/>
        <v>240</v>
      </c>
    </row>
    <row r="7" spans="1:10">
      <c r="B7" s="1361">
        <v>2</v>
      </c>
      <c r="C7" s="1361"/>
      <c r="D7" s="1361"/>
      <c r="E7" s="1361">
        <v>91</v>
      </c>
      <c r="F7" s="1361"/>
      <c r="H7" s="35">
        <f t="shared" si="0"/>
        <v>120</v>
      </c>
    </row>
    <row r="8" spans="1:10">
      <c r="B8" s="1361">
        <v>1</v>
      </c>
      <c r="C8" s="1361"/>
      <c r="D8" s="1361"/>
      <c r="E8" s="1361">
        <v>94</v>
      </c>
      <c r="F8" s="1361"/>
      <c r="H8" s="35">
        <f t="shared" si="0"/>
        <v>60</v>
      </c>
    </row>
    <row r="9" spans="1:10">
      <c r="B9" s="1363">
        <v>0.5</v>
      </c>
      <c r="C9" s="1364"/>
      <c r="D9" s="1365"/>
      <c r="E9" s="1361">
        <v>97</v>
      </c>
      <c r="F9" s="1361"/>
      <c r="H9" s="35">
        <f t="shared" si="0"/>
        <v>30</v>
      </c>
    </row>
    <row r="10" spans="1:10">
      <c r="B10" s="1363">
        <v>0.25</v>
      </c>
      <c r="C10" s="1364"/>
      <c r="D10" s="1365"/>
      <c r="E10" s="1361">
        <v>100</v>
      </c>
      <c r="F10" s="1361"/>
      <c r="H10" s="35">
        <f t="shared" si="0"/>
        <v>15</v>
      </c>
    </row>
    <row r="12" spans="1:10">
      <c r="A12" s="36">
        <v>58</v>
      </c>
      <c r="B12" s="42">
        <v>58</v>
      </c>
      <c r="C12" s="94">
        <v>245760</v>
      </c>
      <c r="D12" s="96">
        <f>C12/60</f>
        <v>4096</v>
      </c>
      <c r="E12"/>
      <c r="F12"/>
      <c r="G12"/>
      <c r="H12"/>
      <c r="I12"/>
      <c r="J12"/>
    </row>
    <row r="13" spans="1:10">
      <c r="A13" s="36">
        <v>58.1</v>
      </c>
      <c r="B13" s="41">
        <v>58.1</v>
      </c>
      <c r="C13" s="95">
        <v>241664</v>
      </c>
      <c r="D13" s="96">
        <f>C13/60</f>
        <v>4027.7333333333331</v>
      </c>
      <c r="E13"/>
      <c r="F13"/>
      <c r="G13"/>
      <c r="H13"/>
      <c r="I13"/>
      <c r="J13"/>
    </row>
    <row r="14" spans="1:10">
      <c r="A14" s="36">
        <v>58.2</v>
      </c>
      <c r="B14" s="41">
        <v>58.2</v>
      </c>
      <c r="C14" s="95">
        <v>237568</v>
      </c>
      <c r="D14" s="96">
        <f t="shared" ref="D14:D77" si="1">C14/60</f>
        <v>3959.4666666666667</v>
      </c>
      <c r="E14"/>
      <c r="F14"/>
      <c r="G14"/>
      <c r="H14"/>
      <c r="I14"/>
      <c r="J14"/>
    </row>
    <row r="15" spans="1:10">
      <c r="A15" s="36">
        <v>58.3</v>
      </c>
      <c r="B15" s="41">
        <v>58.3</v>
      </c>
      <c r="C15" s="95">
        <v>233472</v>
      </c>
      <c r="D15" s="96">
        <f t="shared" si="1"/>
        <v>3891.2</v>
      </c>
      <c r="E15"/>
      <c r="F15"/>
      <c r="G15"/>
      <c r="H15"/>
      <c r="I15"/>
      <c r="J15"/>
    </row>
    <row r="16" spans="1:10">
      <c r="A16" s="36">
        <v>58.4</v>
      </c>
      <c r="B16" s="41">
        <v>58.4</v>
      </c>
      <c r="C16" s="95">
        <v>229376</v>
      </c>
      <c r="D16" s="96">
        <f t="shared" si="1"/>
        <v>3822.9333333333334</v>
      </c>
      <c r="E16"/>
      <c r="F16"/>
      <c r="G16"/>
      <c r="H16"/>
      <c r="I16"/>
      <c r="J16"/>
    </row>
    <row r="17" spans="1:10">
      <c r="A17" s="36">
        <v>58.5</v>
      </c>
      <c r="B17" s="41">
        <v>58.5</v>
      </c>
      <c r="C17" s="95">
        <v>225280</v>
      </c>
      <c r="D17" s="96">
        <f t="shared" si="1"/>
        <v>3754.6666666666665</v>
      </c>
      <c r="E17"/>
      <c r="F17"/>
      <c r="G17"/>
      <c r="H17"/>
      <c r="I17"/>
      <c r="J17"/>
    </row>
    <row r="18" spans="1:10">
      <c r="A18" s="36">
        <v>58.6</v>
      </c>
      <c r="B18" s="41">
        <v>58.6</v>
      </c>
      <c r="C18" s="95">
        <v>221184</v>
      </c>
      <c r="D18" s="96">
        <f t="shared" si="1"/>
        <v>3686.4</v>
      </c>
      <c r="E18"/>
      <c r="F18"/>
      <c r="G18"/>
      <c r="H18"/>
      <c r="I18"/>
      <c r="J18"/>
    </row>
    <row r="19" spans="1:10">
      <c r="A19" s="36">
        <v>58.7</v>
      </c>
      <c r="B19" s="41">
        <v>58.7</v>
      </c>
      <c r="C19" s="95">
        <v>217088</v>
      </c>
      <c r="D19" s="96">
        <f t="shared" si="1"/>
        <v>3618.1333333333332</v>
      </c>
      <c r="E19"/>
      <c r="F19"/>
      <c r="G19"/>
      <c r="H19"/>
      <c r="I19"/>
      <c r="J19"/>
    </row>
    <row r="20" spans="1:10">
      <c r="A20" s="36">
        <v>58.8</v>
      </c>
      <c r="B20" s="41">
        <v>58.8</v>
      </c>
      <c r="C20" s="95">
        <v>212992</v>
      </c>
      <c r="D20" s="96">
        <f t="shared" si="1"/>
        <v>3549.8666666666668</v>
      </c>
      <c r="E20"/>
      <c r="F20"/>
      <c r="G20"/>
      <c r="H20"/>
      <c r="I20"/>
      <c r="J20"/>
    </row>
    <row r="21" spans="1:10">
      <c r="A21" s="36">
        <v>58.9</v>
      </c>
      <c r="B21" s="41">
        <v>58.9</v>
      </c>
      <c r="C21" s="95">
        <v>208896</v>
      </c>
      <c r="D21" s="96">
        <f t="shared" si="1"/>
        <v>3481.6</v>
      </c>
      <c r="E21"/>
      <c r="F21"/>
      <c r="G21"/>
      <c r="H21"/>
      <c r="I21"/>
      <c r="J21"/>
    </row>
    <row r="22" spans="1:10">
      <c r="A22" s="36">
        <v>59</v>
      </c>
      <c r="B22" s="41">
        <v>59</v>
      </c>
      <c r="C22" s="95">
        <v>204800</v>
      </c>
      <c r="D22" s="96">
        <f t="shared" si="1"/>
        <v>3413.3333333333335</v>
      </c>
      <c r="E22"/>
      <c r="F22"/>
      <c r="G22"/>
      <c r="H22"/>
      <c r="I22"/>
      <c r="J22"/>
    </row>
    <row r="23" spans="1:10">
      <c r="A23" s="36">
        <v>59.1</v>
      </c>
      <c r="B23" s="41">
        <v>59.1</v>
      </c>
      <c r="C23" s="95">
        <v>200704</v>
      </c>
      <c r="D23" s="96">
        <f t="shared" si="1"/>
        <v>3345.0666666666666</v>
      </c>
      <c r="E23"/>
      <c r="F23"/>
      <c r="G23"/>
      <c r="H23"/>
      <c r="I23"/>
      <c r="J23"/>
    </row>
    <row r="24" spans="1:10">
      <c r="A24" s="36">
        <v>59.2</v>
      </c>
      <c r="B24" s="41">
        <v>59.2</v>
      </c>
      <c r="C24" s="95">
        <v>196608</v>
      </c>
      <c r="D24" s="96">
        <f t="shared" si="1"/>
        <v>3276.8</v>
      </c>
      <c r="E24"/>
      <c r="F24"/>
      <c r="G24"/>
      <c r="H24"/>
      <c r="I24"/>
      <c r="J24"/>
    </row>
    <row r="25" spans="1:10">
      <c r="A25" s="36">
        <v>59.3</v>
      </c>
      <c r="B25" s="41">
        <v>59.3</v>
      </c>
      <c r="C25" s="95">
        <v>192512</v>
      </c>
      <c r="D25" s="96">
        <f t="shared" si="1"/>
        <v>3208.5333333333333</v>
      </c>
      <c r="E25"/>
      <c r="F25"/>
      <c r="G25"/>
      <c r="H25"/>
      <c r="I25"/>
      <c r="J25"/>
    </row>
    <row r="26" spans="1:10">
      <c r="A26" s="36">
        <v>59.4</v>
      </c>
      <c r="B26" s="41">
        <v>59.4</v>
      </c>
      <c r="C26" s="95">
        <v>188416</v>
      </c>
      <c r="D26" s="96">
        <f t="shared" si="1"/>
        <v>3140.2666666666669</v>
      </c>
      <c r="E26"/>
      <c r="F26"/>
      <c r="G26"/>
      <c r="H26"/>
      <c r="I26"/>
      <c r="J26"/>
    </row>
    <row r="27" spans="1:10">
      <c r="A27" s="36">
        <v>59.5</v>
      </c>
      <c r="B27" s="41">
        <v>59.5</v>
      </c>
      <c r="C27" s="95">
        <v>184320</v>
      </c>
      <c r="D27" s="96">
        <f t="shared" si="1"/>
        <v>3072</v>
      </c>
      <c r="E27"/>
      <c r="F27"/>
      <c r="G27"/>
      <c r="H27"/>
      <c r="I27"/>
      <c r="J27"/>
    </row>
    <row r="28" spans="1:10">
      <c r="A28" s="36">
        <v>59.6</v>
      </c>
      <c r="B28" s="41">
        <v>59.6</v>
      </c>
      <c r="C28" s="95">
        <v>180224</v>
      </c>
      <c r="D28" s="96">
        <f t="shared" si="1"/>
        <v>3003.7333333333331</v>
      </c>
      <c r="E28"/>
      <c r="F28"/>
      <c r="G28"/>
      <c r="H28"/>
      <c r="I28"/>
      <c r="J28"/>
    </row>
    <row r="29" spans="1:10">
      <c r="A29" s="36">
        <v>59.7</v>
      </c>
      <c r="B29" s="41">
        <v>59.7</v>
      </c>
      <c r="C29" s="95">
        <v>176128</v>
      </c>
      <c r="D29" s="96">
        <f t="shared" si="1"/>
        <v>2935.4666666666667</v>
      </c>
      <c r="E29"/>
      <c r="F29"/>
      <c r="G29"/>
      <c r="H29"/>
      <c r="I29"/>
      <c r="J29"/>
    </row>
    <row r="30" spans="1:10">
      <c r="A30" s="36">
        <v>59.8</v>
      </c>
      <c r="B30" s="41">
        <v>59.8</v>
      </c>
      <c r="C30" s="95">
        <v>172032</v>
      </c>
      <c r="D30" s="96">
        <f t="shared" si="1"/>
        <v>2867.2</v>
      </c>
      <c r="E30"/>
      <c r="F30"/>
      <c r="G30"/>
      <c r="H30"/>
      <c r="I30"/>
      <c r="J30"/>
    </row>
    <row r="31" spans="1:10">
      <c r="A31" s="36">
        <v>59.9</v>
      </c>
      <c r="B31" s="41">
        <v>59.9</v>
      </c>
      <c r="C31" s="95">
        <v>167936</v>
      </c>
      <c r="D31" s="96">
        <f t="shared" si="1"/>
        <v>2798.9333333333334</v>
      </c>
      <c r="E31"/>
      <c r="F31"/>
      <c r="G31"/>
      <c r="H31"/>
      <c r="I31"/>
      <c r="J31"/>
    </row>
    <row r="32" spans="1:10">
      <c r="A32" s="36">
        <v>60</v>
      </c>
      <c r="B32" s="41">
        <v>60</v>
      </c>
      <c r="C32" s="95">
        <v>163840</v>
      </c>
      <c r="D32" s="96">
        <f t="shared" si="1"/>
        <v>2730.6666666666665</v>
      </c>
      <c r="E32"/>
      <c r="F32"/>
      <c r="G32"/>
      <c r="H32"/>
      <c r="I32"/>
      <c r="J32"/>
    </row>
    <row r="33" spans="1:11">
      <c r="A33" s="36">
        <v>60.1</v>
      </c>
      <c r="B33" s="41">
        <v>60.1</v>
      </c>
      <c r="C33" s="95">
        <v>159744</v>
      </c>
      <c r="D33" s="96">
        <f t="shared" si="1"/>
        <v>2662.4</v>
      </c>
      <c r="E33"/>
      <c r="F33"/>
      <c r="G33"/>
      <c r="H33"/>
      <c r="I33"/>
      <c r="J33"/>
    </row>
    <row r="34" spans="1:11">
      <c r="A34" s="36">
        <v>60.2</v>
      </c>
      <c r="B34" s="41">
        <v>60.2</v>
      </c>
      <c r="C34" s="95">
        <v>155648</v>
      </c>
      <c r="D34" s="96">
        <f t="shared" si="1"/>
        <v>2594.1333333333332</v>
      </c>
      <c r="E34"/>
      <c r="F34"/>
      <c r="G34"/>
      <c r="H34"/>
      <c r="I34"/>
      <c r="J34"/>
    </row>
    <row r="35" spans="1:11">
      <c r="A35" s="36">
        <v>60.3</v>
      </c>
      <c r="B35" s="41">
        <v>60.3</v>
      </c>
      <c r="C35" s="95">
        <v>151552</v>
      </c>
      <c r="D35" s="96">
        <f t="shared" si="1"/>
        <v>2525.8666666666668</v>
      </c>
      <c r="E35"/>
      <c r="F35"/>
      <c r="G35"/>
      <c r="H35"/>
      <c r="I35"/>
      <c r="J35"/>
    </row>
    <row r="36" spans="1:11">
      <c r="A36" s="36">
        <v>60.4</v>
      </c>
      <c r="B36" s="41">
        <v>60.4</v>
      </c>
      <c r="C36" s="95">
        <v>147456</v>
      </c>
      <c r="D36" s="96">
        <f t="shared" si="1"/>
        <v>2457.6</v>
      </c>
      <c r="E36"/>
      <c r="F36"/>
      <c r="G36"/>
      <c r="H36"/>
      <c r="I36"/>
      <c r="J36"/>
    </row>
    <row r="37" spans="1:11">
      <c r="A37" s="36">
        <v>60.5</v>
      </c>
      <c r="B37" s="41">
        <v>60.5</v>
      </c>
      <c r="C37" s="95">
        <v>143360</v>
      </c>
      <c r="D37" s="96">
        <f t="shared" si="1"/>
        <v>2389.3333333333335</v>
      </c>
      <c r="E37"/>
      <c r="F37"/>
      <c r="G37"/>
      <c r="H37"/>
      <c r="I37"/>
      <c r="J37"/>
      <c r="K37" s="36"/>
    </row>
    <row r="38" spans="1:11">
      <c r="A38" s="36">
        <v>60.6</v>
      </c>
      <c r="B38" s="41">
        <v>60.6</v>
      </c>
      <c r="C38" s="95">
        <v>139264</v>
      </c>
      <c r="D38" s="96">
        <f t="shared" si="1"/>
        <v>2321.0666666666666</v>
      </c>
      <c r="E38"/>
      <c r="F38"/>
      <c r="G38"/>
      <c r="H38"/>
      <c r="I38"/>
      <c r="J38"/>
      <c r="K38" s="36"/>
    </row>
    <row r="39" spans="1:11">
      <c r="A39" s="36">
        <v>60.7</v>
      </c>
      <c r="B39" s="41">
        <v>60.7</v>
      </c>
      <c r="C39" s="95">
        <v>135168</v>
      </c>
      <c r="D39" s="96">
        <f t="shared" si="1"/>
        <v>2252.8000000000002</v>
      </c>
      <c r="E39"/>
      <c r="F39"/>
      <c r="G39"/>
      <c r="H39"/>
      <c r="I39"/>
      <c r="J39"/>
      <c r="K39" s="36"/>
    </row>
    <row r="40" spans="1:11">
      <c r="A40" s="36">
        <v>60.8</v>
      </c>
      <c r="B40" s="41">
        <v>60.8</v>
      </c>
      <c r="C40" s="95">
        <v>131072</v>
      </c>
      <c r="D40" s="96">
        <f t="shared" si="1"/>
        <v>2184.5333333333333</v>
      </c>
      <c r="E40"/>
      <c r="F40"/>
      <c r="G40"/>
      <c r="H40"/>
      <c r="I40"/>
      <c r="J40"/>
    </row>
    <row r="41" spans="1:11">
      <c r="A41" s="36">
        <v>60.9</v>
      </c>
      <c r="B41" s="41">
        <v>60.9</v>
      </c>
      <c r="C41" s="95">
        <v>126976</v>
      </c>
      <c r="D41" s="96">
        <f t="shared" si="1"/>
        <v>2116.2666666666669</v>
      </c>
      <c r="E41"/>
      <c r="F41"/>
      <c r="G41"/>
      <c r="H41"/>
      <c r="I41"/>
      <c r="J41"/>
    </row>
    <row r="42" spans="1:11">
      <c r="A42" s="36">
        <v>61</v>
      </c>
      <c r="B42" s="42">
        <v>61</v>
      </c>
      <c r="C42" s="94">
        <v>122880</v>
      </c>
      <c r="D42" s="96">
        <f t="shared" si="1"/>
        <v>2048</v>
      </c>
      <c r="E42"/>
      <c r="F42"/>
      <c r="G42"/>
      <c r="H42"/>
      <c r="I42"/>
      <c r="J42"/>
    </row>
    <row r="43" spans="1:11">
      <c r="A43" s="36">
        <v>61.1</v>
      </c>
      <c r="B43" s="41">
        <v>61.1</v>
      </c>
      <c r="C43" s="95">
        <v>120832</v>
      </c>
      <c r="D43" s="96">
        <f t="shared" si="1"/>
        <v>2013.8666666666666</v>
      </c>
      <c r="E43"/>
      <c r="F43"/>
      <c r="G43"/>
      <c r="H43"/>
      <c r="I43"/>
      <c r="J43"/>
    </row>
    <row r="44" spans="1:11">
      <c r="A44" s="36">
        <v>61.2</v>
      </c>
      <c r="B44" s="41">
        <v>61.2</v>
      </c>
      <c r="C44" s="95">
        <v>118784</v>
      </c>
      <c r="D44" s="96">
        <f t="shared" si="1"/>
        <v>1979.7333333333333</v>
      </c>
      <c r="E44"/>
      <c r="F44"/>
      <c r="G44"/>
      <c r="H44"/>
      <c r="I44"/>
      <c r="J44"/>
    </row>
    <row r="45" spans="1:11">
      <c r="A45" s="36">
        <v>61.3</v>
      </c>
      <c r="B45" s="41">
        <v>61.3</v>
      </c>
      <c r="C45" s="95">
        <v>116736</v>
      </c>
      <c r="D45" s="96">
        <f t="shared" si="1"/>
        <v>1945.6</v>
      </c>
      <c r="E45"/>
      <c r="F45"/>
      <c r="G45"/>
      <c r="H45"/>
      <c r="I45"/>
      <c r="J45"/>
    </row>
    <row r="46" spans="1:11">
      <c r="A46" s="36">
        <v>61.4</v>
      </c>
      <c r="B46" s="41">
        <v>61.4</v>
      </c>
      <c r="C46" s="95">
        <v>114688</v>
      </c>
      <c r="D46" s="96">
        <f t="shared" si="1"/>
        <v>1911.4666666666667</v>
      </c>
      <c r="E46"/>
      <c r="F46"/>
      <c r="G46"/>
      <c r="H46"/>
      <c r="I46"/>
      <c r="J46"/>
    </row>
    <row r="47" spans="1:11">
      <c r="A47" s="36">
        <v>61.5</v>
      </c>
      <c r="B47" s="41">
        <v>61.5</v>
      </c>
      <c r="C47" s="95">
        <v>112640</v>
      </c>
      <c r="D47" s="96">
        <f t="shared" si="1"/>
        <v>1877.3333333333333</v>
      </c>
      <c r="E47"/>
      <c r="F47"/>
      <c r="G47"/>
      <c r="H47"/>
      <c r="I47"/>
      <c r="J47"/>
    </row>
    <row r="48" spans="1:11">
      <c r="A48" s="36">
        <v>61.6</v>
      </c>
      <c r="B48" s="41">
        <v>61.6</v>
      </c>
      <c r="C48" s="95">
        <v>110592</v>
      </c>
      <c r="D48" s="96">
        <f t="shared" si="1"/>
        <v>1843.2</v>
      </c>
      <c r="E48"/>
      <c r="F48"/>
      <c r="G48"/>
      <c r="H48"/>
      <c r="I48"/>
      <c r="J48"/>
    </row>
    <row r="49" spans="1:10">
      <c r="A49" s="36">
        <v>61.7</v>
      </c>
      <c r="B49" s="41">
        <v>61.7</v>
      </c>
      <c r="C49" s="95">
        <v>108544</v>
      </c>
      <c r="D49" s="96">
        <f t="shared" si="1"/>
        <v>1809.0666666666666</v>
      </c>
      <c r="E49"/>
      <c r="F49"/>
      <c r="G49"/>
      <c r="H49"/>
      <c r="I49"/>
      <c r="J49"/>
    </row>
    <row r="50" spans="1:10">
      <c r="A50" s="36">
        <v>61.8</v>
      </c>
      <c r="B50" s="41">
        <v>61.8</v>
      </c>
      <c r="C50" s="95">
        <v>106496</v>
      </c>
      <c r="D50" s="96">
        <f t="shared" si="1"/>
        <v>1774.9333333333334</v>
      </c>
      <c r="E50"/>
      <c r="F50"/>
      <c r="G50"/>
      <c r="H50"/>
      <c r="I50"/>
      <c r="J50"/>
    </row>
    <row r="51" spans="1:10">
      <c r="A51" s="36">
        <v>61.9</v>
      </c>
      <c r="B51" s="41">
        <v>61.9</v>
      </c>
      <c r="C51" s="95">
        <v>104448</v>
      </c>
      <c r="D51" s="96">
        <f t="shared" si="1"/>
        <v>1740.8</v>
      </c>
      <c r="E51"/>
      <c r="F51"/>
      <c r="G51"/>
      <c r="H51"/>
      <c r="I51"/>
      <c r="J51"/>
    </row>
    <row r="52" spans="1:10">
      <c r="A52" s="36">
        <v>62</v>
      </c>
      <c r="B52" s="41">
        <v>62</v>
      </c>
      <c r="C52" s="95">
        <v>102400</v>
      </c>
      <c r="D52" s="96">
        <f t="shared" si="1"/>
        <v>1706.6666666666667</v>
      </c>
      <c r="E52"/>
      <c r="F52"/>
      <c r="G52"/>
      <c r="H52"/>
      <c r="I52"/>
      <c r="J52"/>
    </row>
    <row r="53" spans="1:10">
      <c r="A53" s="36">
        <v>62.1</v>
      </c>
      <c r="B53" s="41">
        <v>62.1</v>
      </c>
      <c r="C53" s="95">
        <v>100352</v>
      </c>
      <c r="D53" s="96">
        <f t="shared" si="1"/>
        <v>1672.5333333333333</v>
      </c>
      <c r="E53"/>
      <c r="F53"/>
      <c r="G53"/>
      <c r="H53"/>
      <c r="I53"/>
      <c r="J53"/>
    </row>
    <row r="54" spans="1:10">
      <c r="A54" s="36">
        <v>62.2</v>
      </c>
      <c r="B54" s="41">
        <v>62.2</v>
      </c>
      <c r="C54" s="95">
        <v>98304</v>
      </c>
      <c r="D54" s="96">
        <f t="shared" si="1"/>
        <v>1638.4</v>
      </c>
      <c r="E54"/>
      <c r="F54"/>
      <c r="G54"/>
      <c r="H54"/>
      <c r="I54"/>
      <c r="J54"/>
    </row>
    <row r="55" spans="1:10">
      <c r="A55" s="36">
        <v>62.3</v>
      </c>
      <c r="B55" s="41">
        <v>62.3</v>
      </c>
      <c r="C55" s="95">
        <v>96256</v>
      </c>
      <c r="D55" s="96">
        <f t="shared" si="1"/>
        <v>1604.2666666666667</v>
      </c>
      <c r="E55"/>
      <c r="F55"/>
      <c r="G55"/>
      <c r="H55"/>
      <c r="I55"/>
      <c r="J55"/>
    </row>
    <row r="56" spans="1:10">
      <c r="A56" s="36">
        <v>62.4</v>
      </c>
      <c r="B56" s="41">
        <v>62.4</v>
      </c>
      <c r="C56" s="95">
        <v>94208</v>
      </c>
      <c r="D56" s="96">
        <f t="shared" si="1"/>
        <v>1570.1333333333334</v>
      </c>
      <c r="E56"/>
      <c r="F56"/>
      <c r="G56"/>
      <c r="H56"/>
      <c r="I56"/>
      <c r="J56"/>
    </row>
    <row r="57" spans="1:10">
      <c r="A57" s="36">
        <v>62.5</v>
      </c>
      <c r="B57" s="41">
        <v>62.5</v>
      </c>
      <c r="C57" s="95">
        <v>92160</v>
      </c>
      <c r="D57" s="96">
        <f t="shared" si="1"/>
        <v>1536</v>
      </c>
      <c r="E57"/>
      <c r="F57"/>
      <c r="G57"/>
      <c r="H57"/>
      <c r="I57"/>
      <c r="J57"/>
    </row>
    <row r="58" spans="1:10">
      <c r="A58" s="36">
        <v>62.6</v>
      </c>
      <c r="B58" s="41">
        <v>62.6</v>
      </c>
      <c r="C58" s="95">
        <v>90112</v>
      </c>
      <c r="D58" s="96">
        <f t="shared" si="1"/>
        <v>1501.8666666666666</v>
      </c>
      <c r="E58"/>
      <c r="F58"/>
      <c r="G58"/>
      <c r="H58"/>
      <c r="I58"/>
      <c r="J58"/>
    </row>
    <row r="59" spans="1:10">
      <c r="A59" s="36">
        <v>62.7</v>
      </c>
      <c r="B59" s="41">
        <v>62.7</v>
      </c>
      <c r="C59" s="95">
        <v>88064</v>
      </c>
      <c r="D59" s="96">
        <f t="shared" si="1"/>
        <v>1467.7333333333333</v>
      </c>
      <c r="E59"/>
      <c r="F59"/>
      <c r="G59"/>
      <c r="H59"/>
      <c r="I59"/>
      <c r="J59"/>
    </row>
    <row r="60" spans="1:10">
      <c r="A60" s="36">
        <v>62.8</v>
      </c>
      <c r="B60" s="41">
        <v>62.8</v>
      </c>
      <c r="C60" s="95">
        <v>86016</v>
      </c>
      <c r="D60" s="96">
        <f t="shared" si="1"/>
        <v>1433.6</v>
      </c>
      <c r="E60"/>
      <c r="F60"/>
      <c r="G60"/>
      <c r="H60"/>
      <c r="I60"/>
      <c r="J60"/>
    </row>
    <row r="61" spans="1:10">
      <c r="A61" s="36">
        <v>62.9</v>
      </c>
      <c r="B61" s="41">
        <v>62.9</v>
      </c>
      <c r="C61" s="95">
        <v>83968</v>
      </c>
      <c r="D61" s="96">
        <f t="shared" si="1"/>
        <v>1399.4666666666667</v>
      </c>
      <c r="E61"/>
      <c r="F61"/>
      <c r="G61"/>
      <c r="H61"/>
      <c r="I61"/>
      <c r="J61"/>
    </row>
    <row r="62" spans="1:10">
      <c r="A62" s="36">
        <v>63</v>
      </c>
      <c r="B62" s="41">
        <v>63</v>
      </c>
      <c r="C62" s="95">
        <v>81920</v>
      </c>
      <c r="D62" s="96">
        <f t="shared" si="1"/>
        <v>1365.3333333333333</v>
      </c>
      <c r="E62"/>
      <c r="F62"/>
      <c r="G62"/>
      <c r="H62"/>
      <c r="I62"/>
      <c r="J62"/>
    </row>
    <row r="63" spans="1:10">
      <c r="A63" s="36">
        <v>63.1</v>
      </c>
      <c r="B63" s="41">
        <v>63.1</v>
      </c>
      <c r="C63" s="95">
        <v>79872</v>
      </c>
      <c r="D63" s="96">
        <f t="shared" si="1"/>
        <v>1331.2</v>
      </c>
      <c r="E63"/>
      <c r="F63"/>
      <c r="G63"/>
      <c r="H63"/>
      <c r="I63"/>
      <c r="J63"/>
    </row>
    <row r="64" spans="1:10">
      <c r="A64" s="36">
        <v>63.2</v>
      </c>
      <c r="B64" s="41">
        <v>63.2</v>
      </c>
      <c r="C64" s="95">
        <v>77824</v>
      </c>
      <c r="D64" s="96">
        <f t="shared" si="1"/>
        <v>1297.0666666666666</v>
      </c>
      <c r="E64"/>
      <c r="F64"/>
      <c r="G64"/>
      <c r="H64"/>
      <c r="I64"/>
      <c r="J64"/>
    </row>
    <row r="65" spans="1:10">
      <c r="A65" s="36">
        <v>63.3</v>
      </c>
      <c r="B65" s="41">
        <v>63.3</v>
      </c>
      <c r="C65" s="95">
        <v>75776</v>
      </c>
      <c r="D65" s="96">
        <f t="shared" si="1"/>
        <v>1262.9333333333334</v>
      </c>
      <c r="E65"/>
      <c r="F65"/>
      <c r="G65"/>
      <c r="H65"/>
      <c r="I65"/>
      <c r="J65"/>
    </row>
    <row r="66" spans="1:10">
      <c r="A66" s="36">
        <v>63.4</v>
      </c>
      <c r="B66" s="41">
        <v>63.4</v>
      </c>
      <c r="C66" s="95">
        <v>73728</v>
      </c>
      <c r="D66" s="96">
        <f t="shared" si="1"/>
        <v>1228.8</v>
      </c>
      <c r="E66"/>
      <c r="F66"/>
      <c r="G66"/>
      <c r="H66"/>
      <c r="I66"/>
      <c r="J66"/>
    </row>
    <row r="67" spans="1:10">
      <c r="A67" s="36">
        <v>63.5</v>
      </c>
      <c r="B67" s="41">
        <v>63.5</v>
      </c>
      <c r="C67" s="95">
        <v>71680</v>
      </c>
      <c r="D67" s="96">
        <f t="shared" si="1"/>
        <v>1194.6666666666667</v>
      </c>
      <c r="E67"/>
      <c r="F67"/>
      <c r="G67"/>
      <c r="H67"/>
      <c r="I67"/>
      <c r="J67"/>
    </row>
    <row r="68" spans="1:10">
      <c r="A68" s="36">
        <v>63.6</v>
      </c>
      <c r="B68" s="41">
        <v>63.6</v>
      </c>
      <c r="C68" s="95">
        <v>69632</v>
      </c>
      <c r="D68" s="96">
        <f t="shared" si="1"/>
        <v>1160.5333333333333</v>
      </c>
      <c r="E68"/>
      <c r="F68"/>
      <c r="G68"/>
      <c r="H68"/>
      <c r="I68"/>
      <c r="J68"/>
    </row>
    <row r="69" spans="1:10">
      <c r="A69" s="36">
        <v>63.7</v>
      </c>
      <c r="B69" s="41">
        <v>63.7</v>
      </c>
      <c r="C69" s="95">
        <v>67584</v>
      </c>
      <c r="D69" s="96">
        <f t="shared" si="1"/>
        <v>1126.4000000000001</v>
      </c>
      <c r="E69"/>
      <c r="F69"/>
      <c r="G69"/>
      <c r="H69"/>
      <c r="I69"/>
      <c r="J69"/>
    </row>
    <row r="70" spans="1:10">
      <c r="A70" s="36">
        <v>63.8</v>
      </c>
      <c r="B70" s="41">
        <v>63.8</v>
      </c>
      <c r="C70" s="95">
        <v>65536</v>
      </c>
      <c r="D70" s="96">
        <f t="shared" si="1"/>
        <v>1092.2666666666667</v>
      </c>
      <c r="E70"/>
      <c r="F70"/>
      <c r="G70"/>
      <c r="H70"/>
      <c r="I70"/>
      <c r="J70"/>
    </row>
    <row r="71" spans="1:10">
      <c r="A71" s="36">
        <v>63.9</v>
      </c>
      <c r="B71" s="41">
        <v>63.9</v>
      </c>
      <c r="C71" s="95">
        <v>63488</v>
      </c>
      <c r="D71" s="96">
        <f t="shared" si="1"/>
        <v>1058.1333333333334</v>
      </c>
      <c r="E71"/>
      <c r="F71"/>
      <c r="G71"/>
      <c r="H71"/>
      <c r="I71"/>
      <c r="J71"/>
    </row>
    <row r="72" spans="1:10">
      <c r="A72" s="36">
        <v>64</v>
      </c>
      <c r="B72" s="42">
        <v>64</v>
      </c>
      <c r="C72" s="94">
        <v>61440</v>
      </c>
      <c r="D72" s="96">
        <f t="shared" si="1"/>
        <v>1024</v>
      </c>
      <c r="E72"/>
      <c r="F72"/>
      <c r="G72"/>
      <c r="H72"/>
      <c r="I72"/>
      <c r="J72"/>
    </row>
    <row r="73" spans="1:10">
      <c r="A73" s="36">
        <v>64.099999999999994</v>
      </c>
      <c r="B73" s="41">
        <v>64.099999999999994</v>
      </c>
      <c r="C73" s="95">
        <v>60416</v>
      </c>
      <c r="D73" s="96">
        <f t="shared" si="1"/>
        <v>1006.9333333333333</v>
      </c>
      <c r="E73"/>
      <c r="F73"/>
      <c r="G73"/>
      <c r="H73"/>
      <c r="I73"/>
      <c r="J73"/>
    </row>
    <row r="74" spans="1:10">
      <c r="A74" s="36">
        <v>64.2</v>
      </c>
      <c r="B74" s="41">
        <v>64.2</v>
      </c>
      <c r="C74" s="95">
        <v>59392</v>
      </c>
      <c r="D74" s="96">
        <f t="shared" si="1"/>
        <v>989.86666666666667</v>
      </c>
      <c r="E74"/>
      <c r="F74"/>
      <c r="G74"/>
      <c r="H74"/>
      <c r="I74"/>
      <c r="J74"/>
    </row>
    <row r="75" spans="1:10">
      <c r="A75" s="36">
        <v>64.3</v>
      </c>
      <c r="B75" s="41">
        <v>64.3</v>
      </c>
      <c r="C75" s="95">
        <v>58368</v>
      </c>
      <c r="D75" s="96">
        <f t="shared" si="1"/>
        <v>972.8</v>
      </c>
      <c r="E75"/>
      <c r="F75"/>
      <c r="G75"/>
      <c r="H75"/>
      <c r="I75"/>
      <c r="J75"/>
    </row>
    <row r="76" spans="1:10">
      <c r="A76" s="36">
        <v>64.400000000000006</v>
      </c>
      <c r="B76" s="41">
        <v>64.400000000000006</v>
      </c>
      <c r="C76" s="95">
        <v>57344</v>
      </c>
      <c r="D76" s="96">
        <f t="shared" si="1"/>
        <v>955.73333333333335</v>
      </c>
      <c r="E76"/>
      <c r="F76"/>
      <c r="G76"/>
      <c r="H76"/>
      <c r="I76"/>
      <c r="J76"/>
    </row>
    <row r="77" spans="1:10">
      <c r="A77" s="36">
        <v>64.5</v>
      </c>
      <c r="B77" s="41">
        <v>64.5</v>
      </c>
      <c r="C77" s="95">
        <v>56320</v>
      </c>
      <c r="D77" s="96">
        <f t="shared" si="1"/>
        <v>938.66666666666663</v>
      </c>
      <c r="E77"/>
      <c r="F77"/>
      <c r="G77"/>
      <c r="H77"/>
      <c r="I77"/>
      <c r="J77"/>
    </row>
    <row r="78" spans="1:10">
      <c r="A78" s="36">
        <v>64.599999999999994</v>
      </c>
      <c r="B78" s="41">
        <v>64.599999999999994</v>
      </c>
      <c r="C78" s="95">
        <v>55296</v>
      </c>
      <c r="D78" s="96">
        <f t="shared" ref="D78:D141" si="2">C78/60</f>
        <v>921.6</v>
      </c>
      <c r="E78"/>
      <c r="F78"/>
      <c r="G78"/>
      <c r="H78"/>
      <c r="I78"/>
      <c r="J78"/>
    </row>
    <row r="79" spans="1:10">
      <c r="A79" s="36">
        <v>64.7</v>
      </c>
      <c r="B79" s="41">
        <v>64.7</v>
      </c>
      <c r="C79" s="95">
        <v>54272</v>
      </c>
      <c r="D79" s="96">
        <f t="shared" si="2"/>
        <v>904.5333333333333</v>
      </c>
      <c r="E79"/>
      <c r="F79"/>
      <c r="G79"/>
      <c r="H79"/>
      <c r="I79"/>
      <c r="J79"/>
    </row>
    <row r="80" spans="1:10">
      <c r="A80" s="36">
        <v>64.8</v>
      </c>
      <c r="B80" s="41">
        <v>64.8</v>
      </c>
      <c r="C80" s="95">
        <v>53248</v>
      </c>
      <c r="D80" s="96">
        <f t="shared" si="2"/>
        <v>887.4666666666667</v>
      </c>
      <c r="E80"/>
      <c r="F80"/>
      <c r="G80"/>
      <c r="H80"/>
      <c r="I80"/>
      <c r="J80"/>
    </row>
    <row r="81" spans="1:10">
      <c r="A81" s="36">
        <v>64.900000000000006</v>
      </c>
      <c r="B81" s="41">
        <v>64.900000000000006</v>
      </c>
      <c r="C81" s="95">
        <v>52224</v>
      </c>
      <c r="D81" s="96">
        <f t="shared" si="2"/>
        <v>870.4</v>
      </c>
      <c r="E81"/>
      <c r="F81"/>
      <c r="G81"/>
      <c r="H81"/>
      <c r="I81"/>
      <c r="J81"/>
    </row>
    <row r="82" spans="1:10">
      <c r="A82" s="36">
        <v>65</v>
      </c>
      <c r="B82" s="41">
        <v>65</v>
      </c>
      <c r="C82" s="95">
        <v>51200</v>
      </c>
      <c r="D82" s="96">
        <f t="shared" si="2"/>
        <v>853.33333333333337</v>
      </c>
      <c r="E82"/>
      <c r="F82"/>
      <c r="G82"/>
      <c r="H82"/>
      <c r="I82"/>
      <c r="J82"/>
    </row>
    <row r="83" spans="1:10">
      <c r="A83" s="36">
        <v>65.099999999999994</v>
      </c>
      <c r="B83" s="41">
        <v>65.099999999999994</v>
      </c>
      <c r="C83" s="95">
        <v>50176</v>
      </c>
      <c r="D83" s="96">
        <f t="shared" si="2"/>
        <v>836.26666666666665</v>
      </c>
      <c r="E83"/>
      <c r="F83"/>
      <c r="G83"/>
      <c r="H83"/>
      <c r="I83"/>
      <c r="J83"/>
    </row>
    <row r="84" spans="1:10">
      <c r="A84" s="36">
        <v>65.2</v>
      </c>
      <c r="B84" s="41">
        <v>65.2</v>
      </c>
      <c r="C84" s="95">
        <v>49152</v>
      </c>
      <c r="D84" s="96">
        <f t="shared" si="2"/>
        <v>819.2</v>
      </c>
      <c r="E84"/>
      <c r="F84"/>
      <c r="G84"/>
      <c r="H84"/>
      <c r="I84"/>
      <c r="J84"/>
    </row>
    <row r="85" spans="1:10">
      <c r="A85" s="36">
        <v>65.3</v>
      </c>
      <c r="B85" s="41">
        <v>65.3</v>
      </c>
      <c r="C85" s="95">
        <v>48128</v>
      </c>
      <c r="D85" s="96">
        <f t="shared" si="2"/>
        <v>802.13333333333333</v>
      </c>
      <c r="E85"/>
      <c r="F85"/>
      <c r="G85"/>
      <c r="H85"/>
      <c r="I85"/>
      <c r="J85"/>
    </row>
    <row r="86" spans="1:10">
      <c r="A86" s="36">
        <v>65.400000000000006</v>
      </c>
      <c r="B86" s="41">
        <v>65.400000000000006</v>
      </c>
      <c r="C86" s="95">
        <v>47104</v>
      </c>
      <c r="D86" s="96">
        <f t="shared" si="2"/>
        <v>785.06666666666672</v>
      </c>
      <c r="E86"/>
      <c r="F86"/>
      <c r="G86"/>
      <c r="H86"/>
      <c r="I86"/>
      <c r="J86"/>
    </row>
    <row r="87" spans="1:10">
      <c r="A87" s="36">
        <v>65.5</v>
      </c>
      <c r="B87" s="41">
        <v>65.5</v>
      </c>
      <c r="C87" s="95">
        <v>46080</v>
      </c>
      <c r="D87" s="96">
        <f t="shared" si="2"/>
        <v>768</v>
      </c>
      <c r="E87"/>
      <c r="F87"/>
      <c r="G87"/>
      <c r="H87"/>
      <c r="I87"/>
      <c r="J87"/>
    </row>
    <row r="88" spans="1:10">
      <c r="A88" s="36">
        <v>65.599999999999994</v>
      </c>
      <c r="B88" s="41">
        <v>65.599999999999994</v>
      </c>
      <c r="C88" s="95">
        <v>45056</v>
      </c>
      <c r="D88" s="96">
        <f t="shared" si="2"/>
        <v>750.93333333333328</v>
      </c>
      <c r="E88"/>
      <c r="F88"/>
      <c r="G88"/>
      <c r="H88"/>
      <c r="I88"/>
      <c r="J88"/>
    </row>
    <row r="89" spans="1:10">
      <c r="A89" s="36">
        <v>65.7</v>
      </c>
      <c r="B89" s="41">
        <v>65.7</v>
      </c>
      <c r="C89" s="95">
        <v>44032</v>
      </c>
      <c r="D89" s="96">
        <f t="shared" si="2"/>
        <v>733.86666666666667</v>
      </c>
      <c r="E89"/>
      <c r="F89"/>
      <c r="G89"/>
      <c r="H89"/>
      <c r="I89"/>
      <c r="J89"/>
    </row>
    <row r="90" spans="1:10">
      <c r="A90" s="36">
        <v>65.8</v>
      </c>
      <c r="B90" s="41">
        <v>65.8</v>
      </c>
      <c r="C90" s="95">
        <v>43008</v>
      </c>
      <c r="D90" s="96">
        <f t="shared" si="2"/>
        <v>716.8</v>
      </c>
      <c r="E90"/>
      <c r="F90"/>
      <c r="G90"/>
      <c r="H90"/>
      <c r="I90"/>
      <c r="J90"/>
    </row>
    <row r="91" spans="1:10">
      <c r="A91" s="36">
        <v>65.900000000000006</v>
      </c>
      <c r="B91" s="41">
        <v>65.900000000000006</v>
      </c>
      <c r="C91" s="95">
        <v>41984</v>
      </c>
      <c r="D91" s="96">
        <f t="shared" si="2"/>
        <v>699.73333333333335</v>
      </c>
      <c r="E91"/>
      <c r="F91"/>
      <c r="G91"/>
      <c r="H91"/>
      <c r="I91"/>
      <c r="J91"/>
    </row>
    <row r="92" spans="1:10">
      <c r="A92" s="36">
        <v>66</v>
      </c>
      <c r="B92" s="41">
        <v>66</v>
      </c>
      <c r="C92" s="95">
        <v>40960</v>
      </c>
      <c r="D92" s="96">
        <f t="shared" si="2"/>
        <v>682.66666666666663</v>
      </c>
      <c r="E92"/>
      <c r="F92"/>
      <c r="G92"/>
      <c r="H92"/>
      <c r="I92"/>
      <c r="J92"/>
    </row>
    <row r="93" spans="1:10">
      <c r="A93" s="36">
        <v>66.099999999999994</v>
      </c>
      <c r="B93" s="41">
        <v>66.099999999999994</v>
      </c>
      <c r="C93" s="95">
        <v>39936</v>
      </c>
      <c r="D93" s="96">
        <f t="shared" si="2"/>
        <v>665.6</v>
      </c>
      <c r="E93"/>
      <c r="F93"/>
      <c r="G93"/>
      <c r="H93"/>
      <c r="I93"/>
      <c r="J93"/>
    </row>
    <row r="94" spans="1:10">
      <c r="A94" s="36">
        <v>66.2</v>
      </c>
      <c r="B94" s="41">
        <v>66.2</v>
      </c>
      <c r="C94" s="95">
        <v>38912</v>
      </c>
      <c r="D94" s="96">
        <f t="shared" si="2"/>
        <v>648.5333333333333</v>
      </c>
      <c r="E94"/>
      <c r="F94"/>
      <c r="G94"/>
      <c r="H94"/>
      <c r="I94"/>
      <c r="J94"/>
    </row>
    <row r="95" spans="1:10">
      <c r="A95" s="36">
        <v>66.3</v>
      </c>
      <c r="B95" s="41">
        <v>66.3</v>
      </c>
      <c r="C95" s="95">
        <v>37888</v>
      </c>
      <c r="D95" s="96">
        <f t="shared" si="2"/>
        <v>631.4666666666667</v>
      </c>
      <c r="E95"/>
      <c r="F95"/>
      <c r="G95"/>
      <c r="H95"/>
      <c r="I95"/>
      <c r="J95"/>
    </row>
    <row r="96" spans="1:10">
      <c r="A96" s="36">
        <v>66.400000000000006</v>
      </c>
      <c r="B96" s="41">
        <v>66.400000000000006</v>
      </c>
      <c r="C96" s="95">
        <v>36864</v>
      </c>
      <c r="D96" s="96">
        <f t="shared" si="2"/>
        <v>614.4</v>
      </c>
      <c r="E96"/>
      <c r="F96"/>
      <c r="G96"/>
      <c r="H96"/>
      <c r="I96"/>
      <c r="J96"/>
    </row>
    <row r="97" spans="1:10">
      <c r="A97" s="36">
        <v>66.5</v>
      </c>
      <c r="B97" s="41">
        <v>66.5</v>
      </c>
      <c r="C97" s="95">
        <v>35840</v>
      </c>
      <c r="D97" s="96">
        <f t="shared" si="2"/>
        <v>597.33333333333337</v>
      </c>
      <c r="E97"/>
      <c r="F97"/>
      <c r="G97"/>
      <c r="H97"/>
      <c r="I97"/>
      <c r="J97"/>
    </row>
    <row r="98" spans="1:10">
      <c r="A98" s="36">
        <v>66.599999999999994</v>
      </c>
      <c r="B98" s="41">
        <v>66.599999999999994</v>
      </c>
      <c r="C98" s="95">
        <v>34816</v>
      </c>
      <c r="D98" s="96">
        <f t="shared" si="2"/>
        <v>580.26666666666665</v>
      </c>
      <c r="E98"/>
      <c r="F98"/>
      <c r="G98"/>
      <c r="H98"/>
      <c r="I98"/>
      <c r="J98"/>
    </row>
    <row r="99" spans="1:10">
      <c r="A99" s="36">
        <v>66.7</v>
      </c>
      <c r="B99" s="41">
        <v>66.7</v>
      </c>
      <c r="C99" s="95">
        <v>33792</v>
      </c>
      <c r="D99" s="96">
        <f t="shared" si="2"/>
        <v>563.20000000000005</v>
      </c>
      <c r="E99"/>
      <c r="F99"/>
      <c r="G99"/>
      <c r="H99"/>
      <c r="I99"/>
      <c r="J99"/>
    </row>
    <row r="100" spans="1:10">
      <c r="A100" s="36">
        <v>66.8</v>
      </c>
      <c r="B100" s="41">
        <v>66.8</v>
      </c>
      <c r="C100" s="95">
        <v>32768</v>
      </c>
      <c r="D100" s="96">
        <f t="shared" si="2"/>
        <v>546.13333333333333</v>
      </c>
      <c r="E100"/>
      <c r="F100"/>
      <c r="G100"/>
      <c r="H100"/>
      <c r="I100"/>
      <c r="J100"/>
    </row>
    <row r="101" spans="1:10">
      <c r="A101" s="36">
        <v>66.900000000000006</v>
      </c>
      <c r="B101" s="41">
        <v>66.900000000000006</v>
      </c>
      <c r="C101" s="95">
        <v>31744</v>
      </c>
      <c r="D101" s="96">
        <f t="shared" si="2"/>
        <v>529.06666666666672</v>
      </c>
      <c r="E101"/>
      <c r="F101"/>
      <c r="G101"/>
      <c r="H101"/>
      <c r="I101"/>
      <c r="J101"/>
    </row>
    <row r="102" spans="1:10">
      <c r="A102" s="36">
        <v>67</v>
      </c>
      <c r="B102" s="42">
        <v>67</v>
      </c>
      <c r="C102" s="94">
        <v>30720</v>
      </c>
      <c r="D102" s="96">
        <f t="shared" si="2"/>
        <v>512</v>
      </c>
      <c r="E102"/>
      <c r="F102"/>
      <c r="G102"/>
      <c r="H102"/>
      <c r="I102"/>
      <c r="J102"/>
    </row>
    <row r="103" spans="1:10">
      <c r="A103" s="36">
        <v>67.099999999999994</v>
      </c>
      <c r="B103" s="41">
        <v>67.099999999999994</v>
      </c>
      <c r="C103" s="95">
        <v>30208</v>
      </c>
      <c r="D103" s="96">
        <f t="shared" si="2"/>
        <v>503.46666666666664</v>
      </c>
      <c r="E103"/>
      <c r="F103"/>
      <c r="G103"/>
      <c r="H103"/>
      <c r="I103"/>
      <c r="J103"/>
    </row>
    <row r="104" spans="1:10">
      <c r="A104" s="36">
        <v>67.2</v>
      </c>
      <c r="B104" s="41">
        <v>67.2</v>
      </c>
      <c r="C104" s="95">
        <v>29696</v>
      </c>
      <c r="D104" s="96">
        <f t="shared" si="2"/>
        <v>494.93333333333334</v>
      </c>
      <c r="E104"/>
      <c r="F104"/>
      <c r="G104"/>
      <c r="H104"/>
      <c r="I104"/>
      <c r="J104"/>
    </row>
    <row r="105" spans="1:10">
      <c r="A105" s="36">
        <v>67.3</v>
      </c>
      <c r="B105" s="41">
        <v>67.3</v>
      </c>
      <c r="C105" s="95">
        <v>29184</v>
      </c>
      <c r="D105" s="96">
        <f t="shared" si="2"/>
        <v>486.4</v>
      </c>
      <c r="E105"/>
      <c r="F105"/>
      <c r="G105"/>
      <c r="H105"/>
      <c r="I105"/>
      <c r="J105"/>
    </row>
    <row r="106" spans="1:10">
      <c r="A106" s="36">
        <v>67.400000000000006</v>
      </c>
      <c r="B106" s="41">
        <v>67.400000000000006</v>
      </c>
      <c r="C106" s="95">
        <v>28672</v>
      </c>
      <c r="D106" s="96">
        <f t="shared" si="2"/>
        <v>477.86666666666667</v>
      </c>
      <c r="E106"/>
      <c r="F106"/>
      <c r="G106"/>
      <c r="H106"/>
      <c r="I106"/>
      <c r="J106"/>
    </row>
    <row r="107" spans="1:10">
      <c r="A107" s="36">
        <v>67.5</v>
      </c>
      <c r="B107" s="41">
        <v>67.5</v>
      </c>
      <c r="C107" s="95">
        <v>28160</v>
      </c>
      <c r="D107" s="96">
        <f t="shared" si="2"/>
        <v>469.33333333333331</v>
      </c>
      <c r="E107"/>
      <c r="F107"/>
      <c r="G107"/>
      <c r="H107"/>
      <c r="I107"/>
      <c r="J107"/>
    </row>
    <row r="108" spans="1:10">
      <c r="A108" s="36">
        <v>67.599999999999994</v>
      </c>
      <c r="B108" s="41">
        <v>67.599999999999994</v>
      </c>
      <c r="C108" s="95">
        <v>27648</v>
      </c>
      <c r="D108" s="96">
        <f t="shared" si="2"/>
        <v>460.8</v>
      </c>
      <c r="E108"/>
      <c r="F108"/>
      <c r="G108"/>
      <c r="H108"/>
      <c r="I108"/>
      <c r="J108"/>
    </row>
    <row r="109" spans="1:10">
      <c r="A109" s="36">
        <v>67.7</v>
      </c>
      <c r="B109" s="41">
        <v>67.7</v>
      </c>
      <c r="C109" s="95">
        <v>27136</v>
      </c>
      <c r="D109" s="96">
        <f t="shared" si="2"/>
        <v>452.26666666666665</v>
      </c>
      <c r="E109"/>
      <c r="F109"/>
      <c r="G109"/>
      <c r="H109"/>
      <c r="I109"/>
      <c r="J109"/>
    </row>
    <row r="110" spans="1:10">
      <c r="A110" s="36">
        <v>67.8</v>
      </c>
      <c r="B110" s="41">
        <v>67.8</v>
      </c>
      <c r="C110" s="95">
        <v>26624</v>
      </c>
      <c r="D110" s="96">
        <f t="shared" si="2"/>
        <v>443.73333333333335</v>
      </c>
      <c r="E110"/>
      <c r="F110"/>
      <c r="G110"/>
      <c r="H110"/>
      <c r="I110"/>
      <c r="J110"/>
    </row>
    <row r="111" spans="1:10">
      <c r="A111" s="36">
        <v>67.900000000000006</v>
      </c>
      <c r="B111" s="41">
        <v>67.900000000000006</v>
      </c>
      <c r="C111" s="95">
        <v>26112</v>
      </c>
      <c r="D111" s="96">
        <f t="shared" si="2"/>
        <v>435.2</v>
      </c>
      <c r="E111"/>
      <c r="F111"/>
      <c r="G111"/>
      <c r="H111"/>
      <c r="I111"/>
      <c r="J111"/>
    </row>
    <row r="112" spans="1:10">
      <c r="A112" s="36">
        <v>68</v>
      </c>
      <c r="B112" s="41">
        <v>68</v>
      </c>
      <c r="C112" s="95">
        <v>25600</v>
      </c>
      <c r="D112" s="96">
        <f t="shared" si="2"/>
        <v>426.66666666666669</v>
      </c>
      <c r="E112"/>
      <c r="F112"/>
      <c r="G112"/>
      <c r="H112"/>
      <c r="I112"/>
      <c r="J112"/>
    </row>
    <row r="113" spans="1:10">
      <c r="A113" s="36">
        <v>68.099999999999994</v>
      </c>
      <c r="B113" s="41">
        <v>68.099999999999994</v>
      </c>
      <c r="C113" s="95">
        <v>25088</v>
      </c>
      <c r="D113" s="96">
        <f t="shared" si="2"/>
        <v>418.13333333333333</v>
      </c>
      <c r="E113"/>
      <c r="F113"/>
      <c r="G113"/>
      <c r="H113"/>
      <c r="I113"/>
      <c r="J113"/>
    </row>
    <row r="114" spans="1:10">
      <c r="A114" s="36">
        <v>68.2</v>
      </c>
      <c r="B114" s="41">
        <v>68.2</v>
      </c>
      <c r="C114" s="95">
        <v>24576</v>
      </c>
      <c r="D114" s="96">
        <f t="shared" si="2"/>
        <v>409.6</v>
      </c>
      <c r="E114"/>
      <c r="F114"/>
      <c r="G114"/>
      <c r="H114"/>
      <c r="I114"/>
      <c r="J114"/>
    </row>
    <row r="115" spans="1:10">
      <c r="A115" s="36">
        <v>68.3</v>
      </c>
      <c r="B115" s="41">
        <v>68.3</v>
      </c>
      <c r="C115" s="95">
        <v>24064</v>
      </c>
      <c r="D115" s="96">
        <f t="shared" si="2"/>
        <v>401.06666666666666</v>
      </c>
      <c r="E115"/>
      <c r="F115"/>
      <c r="G115"/>
      <c r="H115"/>
      <c r="I115"/>
      <c r="J115"/>
    </row>
    <row r="116" spans="1:10">
      <c r="A116" s="36">
        <v>68.400000000000006</v>
      </c>
      <c r="B116" s="41">
        <v>68.400000000000006</v>
      </c>
      <c r="C116" s="95">
        <v>23552</v>
      </c>
      <c r="D116" s="96">
        <f t="shared" si="2"/>
        <v>392.53333333333336</v>
      </c>
      <c r="E116"/>
      <c r="F116"/>
      <c r="G116"/>
      <c r="H116"/>
      <c r="I116"/>
      <c r="J116"/>
    </row>
    <row r="117" spans="1:10">
      <c r="A117" s="36">
        <v>68.5</v>
      </c>
      <c r="B117" s="41">
        <v>68.5</v>
      </c>
      <c r="C117" s="95">
        <v>23040</v>
      </c>
      <c r="D117" s="96">
        <f t="shared" si="2"/>
        <v>384</v>
      </c>
      <c r="E117"/>
      <c r="F117"/>
      <c r="G117"/>
      <c r="H117"/>
      <c r="I117"/>
      <c r="J117"/>
    </row>
    <row r="118" spans="1:10">
      <c r="A118" s="36">
        <v>68.599999999999994</v>
      </c>
      <c r="B118" s="41">
        <v>68.599999999999994</v>
      </c>
      <c r="C118" s="95">
        <v>22528</v>
      </c>
      <c r="D118" s="96">
        <f t="shared" si="2"/>
        <v>375.46666666666664</v>
      </c>
      <c r="E118"/>
      <c r="F118"/>
      <c r="G118"/>
      <c r="H118"/>
      <c r="I118"/>
      <c r="J118"/>
    </row>
    <row r="119" spans="1:10">
      <c r="A119" s="36">
        <v>68.7</v>
      </c>
      <c r="B119" s="41">
        <v>68.7</v>
      </c>
      <c r="C119" s="95">
        <v>22016</v>
      </c>
      <c r="D119" s="96">
        <f t="shared" si="2"/>
        <v>366.93333333333334</v>
      </c>
      <c r="E119"/>
      <c r="F119"/>
      <c r="G119"/>
      <c r="H119"/>
      <c r="I119"/>
      <c r="J119"/>
    </row>
    <row r="120" spans="1:10">
      <c r="A120" s="36">
        <v>68.8</v>
      </c>
      <c r="B120" s="41">
        <v>68.8</v>
      </c>
      <c r="C120" s="95">
        <v>21504</v>
      </c>
      <c r="D120" s="96">
        <f t="shared" si="2"/>
        <v>358.4</v>
      </c>
      <c r="E120"/>
      <c r="F120"/>
      <c r="G120"/>
      <c r="H120"/>
      <c r="I120"/>
      <c r="J120"/>
    </row>
    <row r="121" spans="1:10">
      <c r="A121" s="36">
        <v>68.900000000000006</v>
      </c>
      <c r="B121" s="41">
        <v>68.900000000000006</v>
      </c>
      <c r="C121" s="95">
        <v>20992</v>
      </c>
      <c r="D121" s="96">
        <f t="shared" si="2"/>
        <v>349.86666666666667</v>
      </c>
      <c r="E121"/>
      <c r="F121"/>
      <c r="G121"/>
      <c r="H121"/>
      <c r="I121"/>
      <c r="J121"/>
    </row>
    <row r="122" spans="1:10">
      <c r="A122" s="36">
        <v>69</v>
      </c>
      <c r="B122" s="41">
        <v>69</v>
      </c>
      <c r="C122" s="95">
        <v>20480</v>
      </c>
      <c r="D122" s="96">
        <f t="shared" si="2"/>
        <v>341.33333333333331</v>
      </c>
      <c r="E122"/>
      <c r="F122"/>
      <c r="G122"/>
      <c r="H122"/>
      <c r="I122"/>
      <c r="J122"/>
    </row>
    <row r="123" spans="1:10">
      <c r="A123" s="36">
        <v>69.099999999999994</v>
      </c>
      <c r="B123" s="41">
        <v>69.099999999999994</v>
      </c>
      <c r="C123" s="95">
        <v>19968</v>
      </c>
      <c r="D123" s="96">
        <f t="shared" si="2"/>
        <v>332.8</v>
      </c>
      <c r="E123"/>
      <c r="F123"/>
      <c r="G123"/>
      <c r="H123"/>
      <c r="I123"/>
      <c r="J123"/>
    </row>
    <row r="124" spans="1:10">
      <c r="A124" s="36">
        <v>69.2</v>
      </c>
      <c r="B124" s="41">
        <v>69.2</v>
      </c>
      <c r="C124" s="95">
        <v>19456</v>
      </c>
      <c r="D124" s="96">
        <f t="shared" si="2"/>
        <v>324.26666666666665</v>
      </c>
      <c r="E124"/>
      <c r="F124"/>
      <c r="G124"/>
      <c r="H124"/>
      <c r="I124"/>
      <c r="J124"/>
    </row>
    <row r="125" spans="1:10">
      <c r="A125" s="36">
        <v>69.3</v>
      </c>
      <c r="B125" s="41">
        <v>69.3</v>
      </c>
      <c r="C125" s="95">
        <v>18944</v>
      </c>
      <c r="D125" s="96">
        <f t="shared" si="2"/>
        <v>315.73333333333335</v>
      </c>
      <c r="E125"/>
      <c r="F125"/>
      <c r="G125"/>
      <c r="H125"/>
      <c r="I125"/>
      <c r="J125"/>
    </row>
    <row r="126" spans="1:10">
      <c r="A126" s="36">
        <v>69.400000000000006</v>
      </c>
      <c r="B126" s="41">
        <v>69.400000000000006</v>
      </c>
      <c r="C126" s="95">
        <v>18432</v>
      </c>
      <c r="D126" s="96">
        <f t="shared" si="2"/>
        <v>307.2</v>
      </c>
      <c r="E126"/>
      <c r="F126"/>
      <c r="G126"/>
      <c r="H126"/>
      <c r="I126"/>
      <c r="J126"/>
    </row>
    <row r="127" spans="1:10">
      <c r="A127" s="36">
        <v>69.5</v>
      </c>
      <c r="B127" s="41">
        <v>69.5</v>
      </c>
      <c r="C127" s="95">
        <v>17920</v>
      </c>
      <c r="D127" s="96">
        <f t="shared" si="2"/>
        <v>298.66666666666669</v>
      </c>
      <c r="E127"/>
      <c r="F127"/>
      <c r="G127"/>
      <c r="H127"/>
      <c r="I127"/>
      <c r="J127"/>
    </row>
    <row r="128" spans="1:10">
      <c r="A128" s="36">
        <v>69.599999999999994</v>
      </c>
      <c r="B128" s="41">
        <v>69.599999999999994</v>
      </c>
      <c r="C128" s="95">
        <v>17408</v>
      </c>
      <c r="D128" s="96">
        <f t="shared" si="2"/>
        <v>290.13333333333333</v>
      </c>
      <c r="E128"/>
      <c r="F128"/>
      <c r="G128"/>
      <c r="H128"/>
      <c r="I128"/>
      <c r="J128"/>
    </row>
    <row r="129" spans="1:10">
      <c r="A129" s="36">
        <v>69.7</v>
      </c>
      <c r="B129" s="41">
        <v>69.7</v>
      </c>
      <c r="C129" s="95">
        <v>16896</v>
      </c>
      <c r="D129" s="96">
        <f t="shared" si="2"/>
        <v>281.60000000000002</v>
      </c>
      <c r="E129"/>
      <c r="F129"/>
      <c r="G129"/>
      <c r="H129"/>
      <c r="I129"/>
      <c r="J129"/>
    </row>
    <row r="130" spans="1:10">
      <c r="A130" s="36">
        <v>69.8</v>
      </c>
      <c r="B130" s="41">
        <v>69.8</v>
      </c>
      <c r="C130" s="95">
        <v>16384</v>
      </c>
      <c r="D130" s="96">
        <f t="shared" si="2"/>
        <v>273.06666666666666</v>
      </c>
      <c r="E130"/>
      <c r="F130"/>
      <c r="G130"/>
      <c r="H130"/>
      <c r="I130"/>
      <c r="J130"/>
    </row>
    <row r="131" spans="1:10">
      <c r="A131" s="36">
        <v>69.900000000000006</v>
      </c>
      <c r="B131" s="41">
        <v>69.900000000000006</v>
      </c>
      <c r="C131" s="95">
        <v>15872</v>
      </c>
      <c r="D131" s="96">
        <f t="shared" si="2"/>
        <v>264.53333333333336</v>
      </c>
      <c r="E131"/>
      <c r="F131"/>
      <c r="G131"/>
      <c r="H131"/>
      <c r="I131"/>
      <c r="J131"/>
    </row>
    <row r="132" spans="1:10">
      <c r="A132" s="36">
        <v>70</v>
      </c>
      <c r="B132" s="42">
        <v>70</v>
      </c>
      <c r="C132" s="94">
        <v>15360</v>
      </c>
      <c r="D132" s="96">
        <f t="shared" si="2"/>
        <v>256</v>
      </c>
      <c r="E132"/>
      <c r="F132"/>
      <c r="G132"/>
      <c r="H132"/>
      <c r="I132"/>
      <c r="J132"/>
    </row>
    <row r="133" spans="1:10">
      <c r="A133" s="36">
        <v>70.099999999999994</v>
      </c>
      <c r="B133" s="41">
        <v>70.099999999999994</v>
      </c>
      <c r="C133" s="95">
        <v>15104</v>
      </c>
      <c r="D133" s="96">
        <f t="shared" si="2"/>
        <v>251.73333333333332</v>
      </c>
      <c r="E133"/>
      <c r="F133"/>
      <c r="G133"/>
      <c r="H133"/>
      <c r="I133"/>
      <c r="J133"/>
    </row>
    <row r="134" spans="1:10">
      <c r="A134" s="36">
        <v>70.2</v>
      </c>
      <c r="B134" s="41">
        <v>70.2</v>
      </c>
      <c r="C134" s="95">
        <v>14848</v>
      </c>
      <c r="D134" s="96">
        <f t="shared" si="2"/>
        <v>247.46666666666667</v>
      </c>
      <c r="E134"/>
      <c r="F134"/>
      <c r="G134"/>
      <c r="H134"/>
      <c r="I134"/>
      <c r="J134"/>
    </row>
    <row r="135" spans="1:10">
      <c r="A135" s="36">
        <v>70.3</v>
      </c>
      <c r="B135" s="41">
        <v>70.3</v>
      </c>
      <c r="C135" s="95">
        <v>14592</v>
      </c>
      <c r="D135" s="96">
        <f t="shared" si="2"/>
        <v>243.2</v>
      </c>
      <c r="E135"/>
      <c r="F135"/>
      <c r="G135"/>
      <c r="H135"/>
      <c r="I135"/>
      <c r="J135"/>
    </row>
    <row r="136" spans="1:10">
      <c r="A136" s="36">
        <v>70.400000000000006</v>
      </c>
      <c r="B136" s="41">
        <v>70.400000000000006</v>
      </c>
      <c r="C136" s="95">
        <v>14336</v>
      </c>
      <c r="D136" s="96">
        <f t="shared" si="2"/>
        <v>238.93333333333334</v>
      </c>
      <c r="E136"/>
      <c r="F136"/>
      <c r="G136"/>
      <c r="H136"/>
      <c r="I136"/>
      <c r="J136"/>
    </row>
    <row r="137" spans="1:10">
      <c r="A137" s="36">
        <v>70.5</v>
      </c>
      <c r="B137" s="41">
        <v>70.5</v>
      </c>
      <c r="C137" s="95">
        <v>14080</v>
      </c>
      <c r="D137" s="96">
        <f t="shared" si="2"/>
        <v>234.66666666666666</v>
      </c>
      <c r="E137"/>
      <c r="F137"/>
      <c r="G137"/>
      <c r="H137"/>
      <c r="I137"/>
      <c r="J137"/>
    </row>
    <row r="138" spans="1:10">
      <c r="A138" s="36">
        <v>70.599999999999994</v>
      </c>
      <c r="B138" s="41">
        <v>70.599999999999994</v>
      </c>
      <c r="C138" s="95">
        <v>13824</v>
      </c>
      <c r="D138" s="96">
        <f t="shared" si="2"/>
        <v>230.4</v>
      </c>
      <c r="E138"/>
      <c r="F138"/>
      <c r="G138"/>
      <c r="H138"/>
      <c r="I138"/>
      <c r="J138"/>
    </row>
    <row r="139" spans="1:10">
      <c r="A139" s="36">
        <v>70.7</v>
      </c>
      <c r="B139" s="41">
        <v>70.7</v>
      </c>
      <c r="C139" s="95">
        <v>13568</v>
      </c>
      <c r="D139" s="96">
        <f t="shared" si="2"/>
        <v>226.13333333333333</v>
      </c>
      <c r="E139"/>
      <c r="F139"/>
      <c r="G139"/>
      <c r="H139"/>
      <c r="I139"/>
      <c r="J139"/>
    </row>
    <row r="140" spans="1:10">
      <c r="A140" s="36">
        <v>70.8</v>
      </c>
      <c r="B140" s="41">
        <v>70.8</v>
      </c>
      <c r="C140" s="95">
        <v>13312</v>
      </c>
      <c r="D140" s="96">
        <f t="shared" si="2"/>
        <v>221.86666666666667</v>
      </c>
      <c r="E140"/>
      <c r="F140"/>
      <c r="G140"/>
      <c r="H140"/>
      <c r="I140"/>
      <c r="J140"/>
    </row>
    <row r="141" spans="1:10">
      <c r="A141" s="36">
        <v>70.900000000000006</v>
      </c>
      <c r="B141" s="41">
        <v>70.900000000000006</v>
      </c>
      <c r="C141" s="95">
        <v>13056</v>
      </c>
      <c r="D141" s="96">
        <f t="shared" si="2"/>
        <v>217.6</v>
      </c>
      <c r="E141"/>
      <c r="F141"/>
      <c r="G141"/>
      <c r="H141"/>
      <c r="I141"/>
      <c r="J141"/>
    </row>
    <row r="142" spans="1:10">
      <c r="A142" s="36">
        <v>71</v>
      </c>
      <c r="B142" s="41">
        <v>71</v>
      </c>
      <c r="C142" s="95">
        <v>12800</v>
      </c>
      <c r="D142" s="96">
        <f t="shared" ref="D142:D205" si="3">C142/60</f>
        <v>213.33333333333334</v>
      </c>
      <c r="E142"/>
      <c r="F142"/>
      <c r="G142"/>
      <c r="H142"/>
      <c r="I142"/>
      <c r="J142"/>
    </row>
    <row r="143" spans="1:10">
      <c r="A143" s="36">
        <v>71.099999999999994</v>
      </c>
      <c r="B143" s="41">
        <v>71.099999999999994</v>
      </c>
      <c r="C143" s="95">
        <v>12544</v>
      </c>
      <c r="D143" s="96">
        <f t="shared" si="3"/>
        <v>209.06666666666666</v>
      </c>
      <c r="E143"/>
      <c r="F143"/>
      <c r="G143"/>
      <c r="H143"/>
      <c r="I143"/>
      <c r="J143"/>
    </row>
    <row r="144" spans="1:10">
      <c r="A144" s="36">
        <v>71.2</v>
      </c>
      <c r="B144" s="41">
        <v>71.2</v>
      </c>
      <c r="C144" s="95">
        <v>12288</v>
      </c>
      <c r="D144" s="96">
        <f t="shared" si="3"/>
        <v>204.8</v>
      </c>
      <c r="E144"/>
      <c r="F144"/>
      <c r="G144"/>
      <c r="H144"/>
      <c r="I144"/>
      <c r="J144"/>
    </row>
    <row r="145" spans="1:10">
      <c r="A145" s="36">
        <v>71.3</v>
      </c>
      <c r="B145" s="41">
        <v>71.3</v>
      </c>
      <c r="C145" s="95">
        <v>12032</v>
      </c>
      <c r="D145" s="96">
        <f t="shared" si="3"/>
        <v>200.53333333333333</v>
      </c>
      <c r="E145"/>
      <c r="F145"/>
      <c r="G145"/>
      <c r="H145"/>
      <c r="I145"/>
      <c r="J145"/>
    </row>
    <row r="146" spans="1:10">
      <c r="A146" s="36">
        <v>71.400000000000006</v>
      </c>
      <c r="B146" s="41">
        <v>71.400000000000006</v>
      </c>
      <c r="C146" s="95">
        <v>11776</v>
      </c>
      <c r="D146" s="96">
        <f t="shared" si="3"/>
        <v>196.26666666666668</v>
      </c>
      <c r="E146"/>
      <c r="F146"/>
      <c r="G146"/>
      <c r="H146"/>
      <c r="I146"/>
      <c r="J146"/>
    </row>
    <row r="147" spans="1:10">
      <c r="A147" s="36">
        <v>71.5</v>
      </c>
      <c r="B147" s="41">
        <v>71.5</v>
      </c>
      <c r="C147" s="95">
        <v>11520</v>
      </c>
      <c r="D147" s="96">
        <f t="shared" si="3"/>
        <v>192</v>
      </c>
      <c r="E147"/>
      <c r="F147"/>
      <c r="G147"/>
      <c r="H147"/>
      <c r="I147"/>
      <c r="J147"/>
    </row>
    <row r="148" spans="1:10">
      <c r="A148" s="36">
        <v>71.599999999999994</v>
      </c>
      <c r="B148" s="41">
        <v>71.599999999999994</v>
      </c>
      <c r="C148" s="95">
        <v>11264</v>
      </c>
      <c r="D148" s="96">
        <f t="shared" si="3"/>
        <v>187.73333333333332</v>
      </c>
      <c r="E148"/>
      <c r="F148"/>
      <c r="G148"/>
      <c r="H148"/>
      <c r="I148"/>
      <c r="J148"/>
    </row>
    <row r="149" spans="1:10">
      <c r="A149" s="36">
        <v>71.7</v>
      </c>
      <c r="B149" s="41">
        <v>71.7</v>
      </c>
      <c r="C149" s="95">
        <v>11008</v>
      </c>
      <c r="D149" s="96">
        <f t="shared" si="3"/>
        <v>183.46666666666667</v>
      </c>
      <c r="E149"/>
      <c r="F149"/>
      <c r="G149"/>
      <c r="H149"/>
      <c r="I149"/>
      <c r="J149"/>
    </row>
    <row r="150" spans="1:10">
      <c r="A150" s="36">
        <v>71.8</v>
      </c>
      <c r="B150" s="41">
        <v>71.8</v>
      </c>
      <c r="C150" s="95">
        <v>10752</v>
      </c>
      <c r="D150" s="96">
        <f t="shared" si="3"/>
        <v>179.2</v>
      </c>
      <c r="E150"/>
      <c r="F150"/>
      <c r="G150"/>
      <c r="H150"/>
      <c r="I150"/>
      <c r="J150"/>
    </row>
    <row r="151" spans="1:10">
      <c r="A151" s="36">
        <v>71.900000000000006</v>
      </c>
      <c r="B151" s="41">
        <v>71.900000000000006</v>
      </c>
      <c r="C151" s="95">
        <v>10496</v>
      </c>
      <c r="D151" s="96">
        <f t="shared" si="3"/>
        <v>174.93333333333334</v>
      </c>
      <c r="E151"/>
      <c r="F151"/>
      <c r="G151"/>
      <c r="H151"/>
      <c r="I151"/>
      <c r="J151"/>
    </row>
    <row r="152" spans="1:10">
      <c r="A152" s="36">
        <v>72</v>
      </c>
      <c r="B152" s="41">
        <v>72</v>
      </c>
      <c r="C152" s="95">
        <v>10240</v>
      </c>
      <c r="D152" s="96">
        <f t="shared" si="3"/>
        <v>170.66666666666666</v>
      </c>
      <c r="E152"/>
      <c r="F152"/>
      <c r="G152"/>
      <c r="H152"/>
      <c r="I152"/>
      <c r="J152"/>
    </row>
    <row r="153" spans="1:10">
      <c r="A153" s="36">
        <v>72.099999999999994</v>
      </c>
      <c r="B153" s="41">
        <v>72.099999999999994</v>
      </c>
      <c r="C153" s="95">
        <v>9984</v>
      </c>
      <c r="D153" s="96">
        <f t="shared" si="3"/>
        <v>166.4</v>
      </c>
      <c r="E153"/>
      <c r="F153"/>
      <c r="G153"/>
      <c r="H153"/>
      <c r="I153"/>
      <c r="J153"/>
    </row>
    <row r="154" spans="1:10">
      <c r="A154" s="36">
        <v>72.2</v>
      </c>
      <c r="B154" s="41">
        <v>72.2</v>
      </c>
      <c r="C154" s="95">
        <v>9728</v>
      </c>
      <c r="D154" s="96">
        <f t="shared" si="3"/>
        <v>162.13333333333333</v>
      </c>
      <c r="E154"/>
      <c r="F154"/>
      <c r="G154"/>
      <c r="H154"/>
      <c r="I154"/>
      <c r="J154"/>
    </row>
    <row r="155" spans="1:10">
      <c r="A155" s="36">
        <v>72.3</v>
      </c>
      <c r="B155" s="41">
        <v>72.3</v>
      </c>
      <c r="C155" s="95">
        <v>9472</v>
      </c>
      <c r="D155" s="96">
        <f t="shared" si="3"/>
        <v>157.86666666666667</v>
      </c>
      <c r="E155"/>
      <c r="F155"/>
      <c r="G155"/>
      <c r="H155"/>
      <c r="I155"/>
      <c r="J155"/>
    </row>
    <row r="156" spans="1:10">
      <c r="A156" s="36">
        <v>72.400000000000006</v>
      </c>
      <c r="B156" s="41">
        <v>72.400000000000006</v>
      </c>
      <c r="C156" s="95">
        <v>9216</v>
      </c>
      <c r="D156" s="96">
        <f t="shared" si="3"/>
        <v>153.6</v>
      </c>
      <c r="E156"/>
      <c r="F156"/>
      <c r="G156"/>
      <c r="H156"/>
      <c r="I156"/>
      <c r="J156"/>
    </row>
    <row r="157" spans="1:10">
      <c r="A157" s="36">
        <v>72.5</v>
      </c>
      <c r="B157" s="41">
        <v>72.5</v>
      </c>
      <c r="C157" s="95">
        <v>8960</v>
      </c>
      <c r="D157" s="96">
        <f t="shared" si="3"/>
        <v>149.33333333333334</v>
      </c>
      <c r="E157"/>
      <c r="F157"/>
      <c r="G157"/>
      <c r="H157"/>
      <c r="I157"/>
      <c r="J157"/>
    </row>
    <row r="158" spans="1:10">
      <c r="A158" s="36">
        <v>72.599999999999994</v>
      </c>
      <c r="B158" s="41">
        <v>72.599999999999994</v>
      </c>
      <c r="C158" s="95">
        <v>8704</v>
      </c>
      <c r="D158" s="96">
        <f t="shared" si="3"/>
        <v>145.06666666666666</v>
      </c>
      <c r="E158"/>
      <c r="F158"/>
      <c r="G158"/>
      <c r="H158"/>
      <c r="I158"/>
      <c r="J158"/>
    </row>
    <row r="159" spans="1:10">
      <c r="A159" s="36">
        <v>72.7</v>
      </c>
      <c r="B159" s="41">
        <v>72.7</v>
      </c>
      <c r="C159" s="95">
        <v>8448</v>
      </c>
      <c r="D159" s="96">
        <f t="shared" si="3"/>
        <v>140.80000000000001</v>
      </c>
      <c r="E159"/>
      <c r="F159"/>
      <c r="G159"/>
      <c r="H159"/>
      <c r="I159"/>
      <c r="J159"/>
    </row>
    <row r="160" spans="1:10">
      <c r="A160" s="36">
        <v>72.8</v>
      </c>
      <c r="B160" s="41">
        <v>72.8</v>
      </c>
      <c r="C160" s="95">
        <v>8192</v>
      </c>
      <c r="D160" s="96">
        <f t="shared" si="3"/>
        <v>136.53333333333333</v>
      </c>
      <c r="E160"/>
      <c r="F160"/>
      <c r="G160"/>
      <c r="H160"/>
      <c r="I160"/>
      <c r="J160"/>
    </row>
    <row r="161" spans="1:10">
      <c r="A161" s="36">
        <v>72.900000000000006</v>
      </c>
      <c r="B161" s="41">
        <v>72.900000000000006</v>
      </c>
      <c r="C161" s="95">
        <v>7936</v>
      </c>
      <c r="D161" s="96">
        <f t="shared" si="3"/>
        <v>132.26666666666668</v>
      </c>
      <c r="E161"/>
      <c r="F161"/>
      <c r="G161"/>
      <c r="H161"/>
      <c r="I161"/>
      <c r="J161"/>
    </row>
    <row r="162" spans="1:10">
      <c r="A162" s="36">
        <v>73</v>
      </c>
      <c r="B162" s="42">
        <v>73</v>
      </c>
      <c r="C162" s="94">
        <v>7680</v>
      </c>
      <c r="D162" s="96">
        <f t="shared" si="3"/>
        <v>128</v>
      </c>
      <c r="E162"/>
      <c r="F162"/>
      <c r="G162"/>
      <c r="H162"/>
      <c r="I162"/>
      <c r="J162"/>
    </row>
    <row r="163" spans="1:10">
      <c r="A163" s="36">
        <v>73.099999999999994</v>
      </c>
      <c r="B163" s="41">
        <v>73.099999999999994</v>
      </c>
      <c r="C163" s="95">
        <v>7552</v>
      </c>
      <c r="D163" s="96">
        <f t="shared" si="3"/>
        <v>125.86666666666666</v>
      </c>
      <c r="E163"/>
      <c r="F163"/>
      <c r="G163"/>
      <c r="H163"/>
      <c r="I163"/>
      <c r="J163"/>
    </row>
    <row r="164" spans="1:10">
      <c r="A164" s="36">
        <v>73.2</v>
      </c>
      <c r="B164" s="41">
        <v>73.2</v>
      </c>
      <c r="C164" s="95">
        <v>7424</v>
      </c>
      <c r="D164" s="96">
        <f t="shared" si="3"/>
        <v>123.73333333333333</v>
      </c>
      <c r="E164"/>
      <c r="F164"/>
      <c r="G164"/>
      <c r="H164"/>
      <c r="I164"/>
      <c r="J164"/>
    </row>
    <row r="165" spans="1:10">
      <c r="A165" s="36">
        <v>73.3</v>
      </c>
      <c r="B165" s="41">
        <v>73.3</v>
      </c>
      <c r="C165" s="95">
        <v>7296</v>
      </c>
      <c r="D165" s="96">
        <f t="shared" si="3"/>
        <v>121.6</v>
      </c>
      <c r="E165"/>
      <c r="F165"/>
      <c r="G165"/>
      <c r="H165"/>
      <c r="I165"/>
      <c r="J165"/>
    </row>
    <row r="166" spans="1:10">
      <c r="A166" s="36">
        <v>73.400000000000006</v>
      </c>
      <c r="B166" s="41">
        <v>73.400000000000006</v>
      </c>
      <c r="C166" s="95">
        <v>7168</v>
      </c>
      <c r="D166" s="96">
        <f t="shared" si="3"/>
        <v>119.46666666666667</v>
      </c>
      <c r="E166"/>
      <c r="F166"/>
      <c r="G166"/>
      <c r="H166"/>
      <c r="I166"/>
      <c r="J166"/>
    </row>
    <row r="167" spans="1:10">
      <c r="A167" s="36">
        <v>73.5</v>
      </c>
      <c r="B167" s="41">
        <v>73.5</v>
      </c>
      <c r="C167" s="95">
        <v>7040</v>
      </c>
      <c r="D167" s="96">
        <f t="shared" si="3"/>
        <v>117.33333333333333</v>
      </c>
      <c r="E167"/>
      <c r="F167"/>
      <c r="G167"/>
      <c r="H167"/>
      <c r="I167"/>
      <c r="J167"/>
    </row>
    <row r="168" spans="1:10">
      <c r="A168" s="36">
        <v>73.599999999999994</v>
      </c>
      <c r="B168" s="41">
        <v>73.599999999999994</v>
      </c>
      <c r="C168" s="95">
        <v>6912</v>
      </c>
      <c r="D168" s="96">
        <f t="shared" si="3"/>
        <v>115.2</v>
      </c>
      <c r="E168"/>
      <c r="F168"/>
      <c r="G168"/>
      <c r="H168"/>
      <c r="I168"/>
      <c r="J168"/>
    </row>
    <row r="169" spans="1:10">
      <c r="A169" s="36">
        <v>73.7</v>
      </c>
      <c r="B169" s="41">
        <v>73.7</v>
      </c>
      <c r="C169" s="95">
        <v>6784</v>
      </c>
      <c r="D169" s="96">
        <f t="shared" si="3"/>
        <v>113.06666666666666</v>
      </c>
      <c r="E169"/>
      <c r="F169"/>
      <c r="G169"/>
      <c r="H169"/>
      <c r="I169"/>
      <c r="J169"/>
    </row>
    <row r="170" spans="1:10">
      <c r="A170" s="36">
        <v>73.8</v>
      </c>
      <c r="B170" s="41">
        <v>73.8</v>
      </c>
      <c r="C170" s="95">
        <v>6656</v>
      </c>
      <c r="D170" s="96">
        <f t="shared" si="3"/>
        <v>110.93333333333334</v>
      </c>
      <c r="E170"/>
      <c r="F170"/>
      <c r="G170"/>
      <c r="H170"/>
      <c r="I170"/>
      <c r="J170"/>
    </row>
    <row r="171" spans="1:10">
      <c r="A171" s="36">
        <v>73.900000000000006</v>
      </c>
      <c r="B171" s="41">
        <v>73.900000000000006</v>
      </c>
      <c r="C171" s="95">
        <v>6528</v>
      </c>
      <c r="D171" s="96">
        <f t="shared" si="3"/>
        <v>108.8</v>
      </c>
      <c r="E171"/>
      <c r="F171"/>
      <c r="G171"/>
      <c r="H171"/>
      <c r="I171"/>
      <c r="J171"/>
    </row>
    <row r="172" spans="1:10">
      <c r="A172" s="36">
        <v>74</v>
      </c>
      <c r="B172" s="41">
        <v>74</v>
      </c>
      <c r="C172" s="95">
        <v>6400</v>
      </c>
      <c r="D172" s="96">
        <f t="shared" si="3"/>
        <v>106.66666666666667</v>
      </c>
      <c r="E172"/>
      <c r="F172"/>
      <c r="G172"/>
      <c r="H172"/>
      <c r="I172"/>
      <c r="J172"/>
    </row>
    <row r="173" spans="1:10">
      <c r="A173" s="36">
        <v>74.099999999999994</v>
      </c>
      <c r="B173" s="41">
        <v>74.099999999999994</v>
      </c>
      <c r="C173" s="95">
        <v>6272</v>
      </c>
      <c r="D173" s="96">
        <f t="shared" si="3"/>
        <v>104.53333333333333</v>
      </c>
      <c r="E173"/>
      <c r="F173"/>
      <c r="G173"/>
      <c r="H173"/>
      <c r="I173"/>
      <c r="J173"/>
    </row>
    <row r="174" spans="1:10">
      <c r="A174" s="36">
        <v>74.2</v>
      </c>
      <c r="B174" s="41">
        <v>74.2</v>
      </c>
      <c r="C174" s="95">
        <v>6144</v>
      </c>
      <c r="D174" s="96">
        <f t="shared" si="3"/>
        <v>102.4</v>
      </c>
      <c r="E174"/>
      <c r="F174"/>
      <c r="G174"/>
      <c r="H174"/>
      <c r="I174"/>
      <c r="J174"/>
    </row>
    <row r="175" spans="1:10">
      <c r="A175" s="36">
        <v>74.3</v>
      </c>
      <c r="B175" s="41">
        <v>74.3</v>
      </c>
      <c r="C175" s="95">
        <v>6016</v>
      </c>
      <c r="D175" s="96">
        <f t="shared" si="3"/>
        <v>100.26666666666667</v>
      </c>
      <c r="E175"/>
      <c r="F175"/>
      <c r="G175"/>
      <c r="H175"/>
      <c r="I175"/>
      <c r="J175"/>
    </row>
    <row r="176" spans="1:10">
      <c r="A176" s="36">
        <v>74.400000000000006</v>
      </c>
      <c r="B176" s="41">
        <v>74.400000000000006</v>
      </c>
      <c r="C176" s="95">
        <v>5888</v>
      </c>
      <c r="D176" s="96">
        <f t="shared" si="3"/>
        <v>98.13333333333334</v>
      </c>
      <c r="E176"/>
      <c r="F176"/>
      <c r="G176"/>
      <c r="H176"/>
      <c r="I176"/>
      <c r="J176"/>
    </row>
    <row r="177" spans="1:10">
      <c r="A177" s="36">
        <v>74.5</v>
      </c>
      <c r="B177" s="41">
        <v>74.5</v>
      </c>
      <c r="C177" s="95">
        <v>5760</v>
      </c>
      <c r="D177" s="96">
        <f t="shared" si="3"/>
        <v>96</v>
      </c>
      <c r="E177"/>
      <c r="F177"/>
      <c r="G177"/>
      <c r="H177"/>
      <c r="I177"/>
      <c r="J177"/>
    </row>
    <row r="178" spans="1:10">
      <c r="A178" s="36">
        <v>74.599999999999994</v>
      </c>
      <c r="B178" s="41">
        <v>74.599999999999994</v>
      </c>
      <c r="C178" s="95">
        <v>5632</v>
      </c>
      <c r="D178" s="96">
        <f t="shared" si="3"/>
        <v>93.86666666666666</v>
      </c>
      <c r="E178"/>
      <c r="F178"/>
      <c r="G178"/>
      <c r="H178"/>
      <c r="I178"/>
      <c r="J178"/>
    </row>
    <row r="179" spans="1:10">
      <c r="A179" s="36">
        <v>74.7</v>
      </c>
      <c r="B179" s="41">
        <v>74.7</v>
      </c>
      <c r="C179" s="95">
        <v>5504</v>
      </c>
      <c r="D179" s="96">
        <f t="shared" si="3"/>
        <v>91.733333333333334</v>
      </c>
      <c r="E179"/>
      <c r="F179"/>
      <c r="G179"/>
      <c r="H179"/>
      <c r="I179"/>
      <c r="J179"/>
    </row>
    <row r="180" spans="1:10">
      <c r="A180" s="36">
        <v>74.8</v>
      </c>
      <c r="B180" s="41">
        <v>74.8</v>
      </c>
      <c r="C180" s="95">
        <v>5376</v>
      </c>
      <c r="D180" s="96">
        <f t="shared" si="3"/>
        <v>89.6</v>
      </c>
      <c r="E180"/>
      <c r="F180"/>
      <c r="G180"/>
      <c r="H180"/>
      <c r="I180"/>
      <c r="J180"/>
    </row>
    <row r="181" spans="1:10">
      <c r="A181" s="36">
        <v>74.900000000000006</v>
      </c>
      <c r="B181" s="41">
        <v>74.900000000000006</v>
      </c>
      <c r="C181" s="95">
        <v>5248</v>
      </c>
      <c r="D181" s="96">
        <f t="shared" si="3"/>
        <v>87.466666666666669</v>
      </c>
      <c r="E181"/>
      <c r="F181"/>
      <c r="G181"/>
      <c r="H181"/>
      <c r="I181"/>
      <c r="J181"/>
    </row>
    <row r="182" spans="1:10">
      <c r="A182" s="36">
        <v>75</v>
      </c>
      <c r="B182" s="41">
        <v>75</v>
      </c>
      <c r="C182" s="95">
        <v>5120</v>
      </c>
      <c r="D182" s="96">
        <f t="shared" si="3"/>
        <v>85.333333333333329</v>
      </c>
      <c r="E182"/>
      <c r="F182"/>
      <c r="G182"/>
      <c r="H182"/>
      <c r="I182"/>
      <c r="J182"/>
    </row>
    <row r="183" spans="1:10">
      <c r="A183" s="36">
        <v>75.099999999999994</v>
      </c>
      <c r="B183" s="41">
        <v>75.099999999999994</v>
      </c>
      <c r="C183" s="95">
        <v>4992</v>
      </c>
      <c r="D183" s="96">
        <f t="shared" si="3"/>
        <v>83.2</v>
      </c>
      <c r="E183"/>
      <c r="F183"/>
      <c r="G183"/>
      <c r="H183"/>
      <c r="I183"/>
      <c r="J183"/>
    </row>
    <row r="184" spans="1:10">
      <c r="A184" s="36">
        <v>75.2</v>
      </c>
      <c r="B184" s="41">
        <v>75.2</v>
      </c>
      <c r="C184" s="95">
        <v>4864</v>
      </c>
      <c r="D184" s="96">
        <f t="shared" si="3"/>
        <v>81.066666666666663</v>
      </c>
      <c r="E184"/>
      <c r="F184"/>
      <c r="G184"/>
      <c r="H184"/>
      <c r="I184"/>
      <c r="J184"/>
    </row>
    <row r="185" spans="1:10">
      <c r="A185" s="36">
        <v>75.3</v>
      </c>
      <c r="B185" s="41">
        <v>75.3</v>
      </c>
      <c r="C185" s="95">
        <v>4736</v>
      </c>
      <c r="D185" s="96">
        <f t="shared" si="3"/>
        <v>78.933333333333337</v>
      </c>
      <c r="E185"/>
      <c r="F185"/>
      <c r="G185"/>
      <c r="H185"/>
      <c r="I185"/>
      <c r="J185"/>
    </row>
    <row r="186" spans="1:10">
      <c r="A186" s="36">
        <v>75.400000000000006</v>
      </c>
      <c r="B186" s="41">
        <v>75.400000000000006</v>
      </c>
      <c r="C186" s="95">
        <v>4608</v>
      </c>
      <c r="D186" s="96">
        <f t="shared" si="3"/>
        <v>76.8</v>
      </c>
      <c r="E186"/>
      <c r="F186"/>
      <c r="G186"/>
      <c r="H186"/>
      <c r="I186"/>
      <c r="J186"/>
    </row>
    <row r="187" spans="1:10">
      <c r="A187" s="36">
        <v>75.5</v>
      </c>
      <c r="B187" s="41">
        <v>75.5</v>
      </c>
      <c r="C187" s="95">
        <v>4480</v>
      </c>
      <c r="D187" s="96">
        <f t="shared" si="3"/>
        <v>74.666666666666671</v>
      </c>
      <c r="E187"/>
      <c r="F187"/>
      <c r="G187"/>
      <c r="H187"/>
      <c r="I187"/>
      <c r="J187"/>
    </row>
    <row r="188" spans="1:10">
      <c r="A188" s="36">
        <v>75.599999999999994</v>
      </c>
      <c r="B188" s="41">
        <v>75.599999999999994</v>
      </c>
      <c r="C188" s="95">
        <v>4352</v>
      </c>
      <c r="D188" s="96">
        <f t="shared" si="3"/>
        <v>72.533333333333331</v>
      </c>
      <c r="E188"/>
      <c r="F188"/>
      <c r="G188"/>
      <c r="H188"/>
      <c r="I188"/>
      <c r="J188"/>
    </row>
    <row r="189" spans="1:10">
      <c r="A189" s="36">
        <v>75.7</v>
      </c>
      <c r="B189" s="41">
        <v>75.7</v>
      </c>
      <c r="C189" s="95">
        <v>4224</v>
      </c>
      <c r="D189" s="96">
        <f t="shared" si="3"/>
        <v>70.400000000000006</v>
      </c>
      <c r="E189"/>
      <c r="F189"/>
      <c r="G189"/>
      <c r="H189"/>
      <c r="I189"/>
      <c r="J189"/>
    </row>
    <row r="190" spans="1:10">
      <c r="A190" s="36">
        <v>75.8</v>
      </c>
      <c r="B190" s="41">
        <v>75.8</v>
      </c>
      <c r="C190" s="95">
        <v>4096</v>
      </c>
      <c r="D190" s="96">
        <f t="shared" si="3"/>
        <v>68.266666666666666</v>
      </c>
      <c r="E190"/>
      <c r="F190"/>
      <c r="G190"/>
      <c r="H190"/>
      <c r="I190"/>
      <c r="J190"/>
    </row>
    <row r="191" spans="1:10">
      <c r="A191" s="36">
        <v>75.900000000000006</v>
      </c>
      <c r="B191" s="41">
        <v>75.900000000000006</v>
      </c>
      <c r="C191" s="95">
        <v>3968</v>
      </c>
      <c r="D191" s="96">
        <f t="shared" si="3"/>
        <v>66.13333333333334</v>
      </c>
      <c r="E191"/>
      <c r="F191"/>
      <c r="G191"/>
      <c r="H191"/>
      <c r="I191"/>
      <c r="J191"/>
    </row>
    <row r="192" spans="1:10">
      <c r="A192" s="36">
        <v>76</v>
      </c>
      <c r="B192" s="42">
        <v>76</v>
      </c>
      <c r="C192" s="94">
        <v>3840</v>
      </c>
      <c r="D192" s="96">
        <f t="shared" si="3"/>
        <v>64</v>
      </c>
      <c r="E192"/>
      <c r="F192"/>
      <c r="G192"/>
      <c r="H192"/>
      <c r="I192"/>
      <c r="J192"/>
    </row>
    <row r="193" spans="1:10">
      <c r="A193" s="36">
        <v>76.099999999999994</v>
      </c>
      <c r="B193" s="41">
        <v>76.099999999999994</v>
      </c>
      <c r="C193" s="95">
        <v>3776</v>
      </c>
      <c r="D193" s="96">
        <f t="shared" si="3"/>
        <v>62.93333333333333</v>
      </c>
      <c r="E193"/>
      <c r="F193"/>
      <c r="G193"/>
      <c r="H193"/>
      <c r="I193"/>
      <c r="J193"/>
    </row>
    <row r="194" spans="1:10">
      <c r="A194" s="36">
        <v>76.2</v>
      </c>
      <c r="B194" s="41">
        <v>76.2</v>
      </c>
      <c r="C194" s="95">
        <v>3712</v>
      </c>
      <c r="D194" s="96">
        <f t="shared" si="3"/>
        <v>61.866666666666667</v>
      </c>
      <c r="E194"/>
      <c r="F194"/>
      <c r="G194"/>
      <c r="H194"/>
      <c r="I194"/>
      <c r="J194"/>
    </row>
    <row r="195" spans="1:10">
      <c r="A195" s="36">
        <v>76.3</v>
      </c>
      <c r="B195" s="41">
        <v>76.3</v>
      </c>
      <c r="C195" s="95">
        <v>3648</v>
      </c>
      <c r="D195" s="96">
        <f t="shared" si="3"/>
        <v>60.8</v>
      </c>
      <c r="E195"/>
      <c r="F195"/>
      <c r="G195"/>
      <c r="H195"/>
      <c r="I195"/>
      <c r="J195"/>
    </row>
    <row r="196" spans="1:10">
      <c r="A196" s="36">
        <v>76.400000000000006</v>
      </c>
      <c r="B196" s="41">
        <v>76.400000000000006</v>
      </c>
      <c r="C196" s="95">
        <v>3584</v>
      </c>
      <c r="D196" s="96">
        <f t="shared" si="3"/>
        <v>59.733333333333334</v>
      </c>
      <c r="E196"/>
      <c r="F196"/>
      <c r="G196"/>
      <c r="H196"/>
      <c r="I196"/>
      <c r="J196"/>
    </row>
    <row r="197" spans="1:10">
      <c r="A197" s="36">
        <v>76.5</v>
      </c>
      <c r="B197" s="41">
        <v>76.5</v>
      </c>
      <c r="C197" s="95">
        <v>3520</v>
      </c>
      <c r="D197" s="96">
        <f t="shared" si="3"/>
        <v>58.666666666666664</v>
      </c>
      <c r="E197"/>
      <c r="F197"/>
      <c r="G197"/>
      <c r="H197"/>
      <c r="I197"/>
      <c r="J197"/>
    </row>
    <row r="198" spans="1:10">
      <c r="A198" s="36">
        <v>76.599999999999994</v>
      </c>
      <c r="B198" s="41">
        <v>76.599999999999994</v>
      </c>
      <c r="C198" s="95">
        <v>3456</v>
      </c>
      <c r="D198" s="96">
        <f t="shared" si="3"/>
        <v>57.6</v>
      </c>
      <c r="E198"/>
      <c r="F198"/>
      <c r="G198"/>
      <c r="H198"/>
      <c r="I198"/>
      <c r="J198"/>
    </row>
    <row r="199" spans="1:10">
      <c r="A199" s="36">
        <v>76.7</v>
      </c>
      <c r="B199" s="41">
        <v>76.7</v>
      </c>
      <c r="C199" s="95">
        <v>3392</v>
      </c>
      <c r="D199" s="96">
        <f t="shared" si="3"/>
        <v>56.533333333333331</v>
      </c>
      <c r="E199"/>
      <c r="F199"/>
      <c r="G199"/>
      <c r="H199"/>
      <c r="I199"/>
      <c r="J199"/>
    </row>
    <row r="200" spans="1:10">
      <c r="A200" s="36">
        <v>76.8</v>
      </c>
      <c r="B200" s="41">
        <v>76.8</v>
      </c>
      <c r="C200" s="95">
        <v>3328</v>
      </c>
      <c r="D200" s="96">
        <f t="shared" si="3"/>
        <v>55.466666666666669</v>
      </c>
      <c r="E200"/>
      <c r="F200"/>
      <c r="G200"/>
      <c r="H200"/>
      <c r="I200"/>
      <c r="J200"/>
    </row>
    <row r="201" spans="1:10">
      <c r="A201" s="36">
        <v>76.900000000000006</v>
      </c>
      <c r="B201" s="41">
        <v>76.900000000000006</v>
      </c>
      <c r="C201" s="95">
        <v>3264</v>
      </c>
      <c r="D201" s="96">
        <f t="shared" si="3"/>
        <v>54.4</v>
      </c>
      <c r="E201"/>
      <c r="F201"/>
      <c r="G201"/>
      <c r="H201"/>
      <c r="I201"/>
      <c r="J201"/>
    </row>
    <row r="202" spans="1:10">
      <c r="A202" s="36">
        <v>77</v>
      </c>
      <c r="B202" s="41">
        <v>77</v>
      </c>
      <c r="C202" s="95">
        <v>3200</v>
      </c>
      <c r="D202" s="96">
        <f t="shared" si="3"/>
        <v>53.333333333333336</v>
      </c>
      <c r="E202"/>
      <c r="F202"/>
      <c r="G202"/>
      <c r="H202"/>
      <c r="I202"/>
      <c r="J202"/>
    </row>
    <row r="203" spans="1:10">
      <c r="A203" s="36">
        <v>77.099999999999994</v>
      </c>
      <c r="B203" s="41">
        <v>77.099999999999994</v>
      </c>
      <c r="C203" s="95">
        <v>3136</v>
      </c>
      <c r="D203" s="96">
        <f t="shared" si="3"/>
        <v>52.266666666666666</v>
      </c>
      <c r="E203"/>
      <c r="F203"/>
      <c r="G203"/>
      <c r="H203"/>
      <c r="I203"/>
      <c r="J203"/>
    </row>
    <row r="204" spans="1:10">
      <c r="A204" s="36">
        <v>77.2</v>
      </c>
      <c r="B204" s="41">
        <v>77.2</v>
      </c>
      <c r="C204" s="95">
        <v>3072</v>
      </c>
      <c r="D204" s="96">
        <f t="shared" si="3"/>
        <v>51.2</v>
      </c>
      <c r="E204"/>
      <c r="F204"/>
      <c r="G204"/>
      <c r="H204"/>
      <c r="I204"/>
      <c r="J204"/>
    </row>
    <row r="205" spans="1:10">
      <c r="A205" s="36">
        <v>77.3</v>
      </c>
      <c r="B205" s="41">
        <v>77.3</v>
      </c>
      <c r="C205" s="95">
        <v>3008</v>
      </c>
      <c r="D205" s="96">
        <f t="shared" si="3"/>
        <v>50.133333333333333</v>
      </c>
      <c r="E205"/>
      <c r="F205"/>
      <c r="G205"/>
      <c r="H205"/>
      <c r="I205"/>
      <c r="J205"/>
    </row>
    <row r="206" spans="1:10">
      <c r="A206" s="36">
        <v>77.400000000000006</v>
      </c>
      <c r="B206" s="41">
        <v>77.400000000000006</v>
      </c>
      <c r="C206" s="95">
        <v>2944</v>
      </c>
      <c r="D206" s="96">
        <f t="shared" ref="D206:D269" si="4">C206/60</f>
        <v>49.06666666666667</v>
      </c>
      <c r="E206"/>
      <c r="F206"/>
      <c r="G206"/>
      <c r="H206"/>
      <c r="I206"/>
      <c r="J206"/>
    </row>
    <row r="207" spans="1:10">
      <c r="A207" s="36">
        <v>77.5</v>
      </c>
      <c r="B207" s="41">
        <v>77.5</v>
      </c>
      <c r="C207" s="95">
        <v>2880</v>
      </c>
      <c r="D207" s="96">
        <f t="shared" si="4"/>
        <v>48</v>
      </c>
      <c r="E207"/>
      <c r="F207"/>
      <c r="G207"/>
      <c r="H207"/>
      <c r="I207"/>
      <c r="J207"/>
    </row>
    <row r="208" spans="1:10">
      <c r="A208" s="36">
        <v>77.599999999999994</v>
      </c>
      <c r="B208" s="41">
        <v>77.599999999999994</v>
      </c>
      <c r="C208" s="95">
        <v>2816</v>
      </c>
      <c r="D208" s="96">
        <f t="shared" si="4"/>
        <v>46.93333333333333</v>
      </c>
      <c r="E208"/>
      <c r="F208"/>
      <c r="G208"/>
      <c r="H208"/>
      <c r="I208"/>
      <c r="J208"/>
    </row>
    <row r="209" spans="1:10">
      <c r="A209" s="36">
        <v>77.7</v>
      </c>
      <c r="B209" s="41">
        <v>77.7</v>
      </c>
      <c r="C209" s="95">
        <v>2752</v>
      </c>
      <c r="D209" s="96">
        <f t="shared" si="4"/>
        <v>45.866666666666667</v>
      </c>
      <c r="E209"/>
      <c r="F209"/>
      <c r="G209"/>
      <c r="H209"/>
      <c r="I209"/>
      <c r="J209"/>
    </row>
    <row r="210" spans="1:10">
      <c r="A210" s="36">
        <v>77.8</v>
      </c>
      <c r="B210" s="41">
        <v>77.8</v>
      </c>
      <c r="C210" s="95">
        <v>2688</v>
      </c>
      <c r="D210" s="96">
        <f t="shared" si="4"/>
        <v>44.8</v>
      </c>
      <c r="E210"/>
      <c r="F210"/>
      <c r="G210"/>
      <c r="H210"/>
      <c r="I210"/>
      <c r="J210"/>
    </row>
    <row r="211" spans="1:10">
      <c r="A211" s="36">
        <v>77.900000000000006</v>
      </c>
      <c r="B211" s="41">
        <v>77.900000000000006</v>
      </c>
      <c r="C211" s="95">
        <v>2624</v>
      </c>
      <c r="D211" s="96">
        <f t="shared" si="4"/>
        <v>43.733333333333334</v>
      </c>
      <c r="E211"/>
      <c r="F211"/>
      <c r="G211"/>
      <c r="H211"/>
      <c r="I211"/>
      <c r="J211"/>
    </row>
    <row r="212" spans="1:10">
      <c r="A212" s="36">
        <v>78</v>
      </c>
      <c r="B212" s="41">
        <v>78</v>
      </c>
      <c r="C212" s="95">
        <v>2560</v>
      </c>
      <c r="D212" s="96">
        <f t="shared" si="4"/>
        <v>42.666666666666664</v>
      </c>
      <c r="E212"/>
      <c r="F212"/>
      <c r="G212"/>
      <c r="H212"/>
      <c r="I212"/>
      <c r="J212"/>
    </row>
    <row r="213" spans="1:10">
      <c r="A213" s="36">
        <v>78.099999999999994</v>
      </c>
      <c r="B213" s="41">
        <v>78.099999999999994</v>
      </c>
      <c r="C213" s="95">
        <v>2496</v>
      </c>
      <c r="D213" s="96">
        <f t="shared" si="4"/>
        <v>41.6</v>
      </c>
      <c r="E213"/>
      <c r="F213"/>
      <c r="G213"/>
      <c r="H213"/>
      <c r="I213"/>
      <c r="J213"/>
    </row>
    <row r="214" spans="1:10">
      <c r="A214" s="36">
        <v>78.2</v>
      </c>
      <c r="B214" s="41">
        <v>78.2</v>
      </c>
      <c r="C214" s="95">
        <v>2432</v>
      </c>
      <c r="D214" s="96">
        <f t="shared" si="4"/>
        <v>40.533333333333331</v>
      </c>
      <c r="E214"/>
      <c r="F214"/>
      <c r="G214"/>
      <c r="H214"/>
      <c r="I214"/>
      <c r="J214"/>
    </row>
    <row r="215" spans="1:10">
      <c r="A215" s="36">
        <v>78.3</v>
      </c>
      <c r="B215" s="41">
        <v>78.3</v>
      </c>
      <c r="C215" s="95">
        <v>2368</v>
      </c>
      <c r="D215" s="96">
        <f t="shared" si="4"/>
        <v>39.466666666666669</v>
      </c>
      <c r="E215"/>
      <c r="F215"/>
      <c r="G215"/>
      <c r="H215"/>
      <c r="I215"/>
      <c r="J215"/>
    </row>
    <row r="216" spans="1:10">
      <c r="A216" s="36">
        <v>78.400000000000006</v>
      </c>
      <c r="B216" s="41">
        <v>78.400000000000006</v>
      </c>
      <c r="C216" s="95">
        <v>2304</v>
      </c>
      <c r="D216" s="96">
        <f t="shared" si="4"/>
        <v>38.4</v>
      </c>
      <c r="E216"/>
      <c r="F216"/>
      <c r="G216"/>
      <c r="H216"/>
      <c r="I216"/>
      <c r="J216"/>
    </row>
    <row r="217" spans="1:10">
      <c r="A217" s="36">
        <v>78.5</v>
      </c>
      <c r="B217" s="41">
        <v>78.5</v>
      </c>
      <c r="C217" s="95">
        <v>2240</v>
      </c>
      <c r="D217" s="96">
        <f t="shared" si="4"/>
        <v>37.333333333333336</v>
      </c>
      <c r="E217"/>
      <c r="F217"/>
      <c r="G217"/>
      <c r="H217"/>
      <c r="I217"/>
      <c r="J217"/>
    </row>
    <row r="218" spans="1:10">
      <c r="A218" s="36">
        <v>78.599999999999994</v>
      </c>
      <c r="B218" s="41">
        <v>78.599999999999994</v>
      </c>
      <c r="C218" s="95">
        <v>2176</v>
      </c>
      <c r="D218" s="96">
        <f t="shared" si="4"/>
        <v>36.266666666666666</v>
      </c>
      <c r="E218"/>
      <c r="F218"/>
      <c r="G218"/>
      <c r="H218"/>
      <c r="I218"/>
      <c r="J218"/>
    </row>
    <row r="219" spans="1:10">
      <c r="A219" s="36">
        <v>78.7</v>
      </c>
      <c r="B219" s="41">
        <v>78.7</v>
      </c>
      <c r="C219" s="95">
        <v>2112</v>
      </c>
      <c r="D219" s="96">
        <f t="shared" si="4"/>
        <v>35.200000000000003</v>
      </c>
      <c r="E219"/>
      <c r="F219"/>
      <c r="G219"/>
      <c r="H219"/>
      <c r="I219"/>
      <c r="J219"/>
    </row>
    <row r="220" spans="1:10">
      <c r="A220" s="36">
        <v>78.8</v>
      </c>
      <c r="B220" s="41">
        <v>78.8</v>
      </c>
      <c r="C220" s="95">
        <v>2048</v>
      </c>
      <c r="D220" s="96">
        <f t="shared" si="4"/>
        <v>34.133333333333333</v>
      </c>
      <c r="E220"/>
      <c r="F220"/>
      <c r="G220"/>
      <c r="H220"/>
      <c r="I220"/>
      <c r="J220"/>
    </row>
    <row r="221" spans="1:10">
      <c r="A221" s="36">
        <v>78.900000000000006</v>
      </c>
      <c r="B221" s="41">
        <v>78.900000000000006</v>
      </c>
      <c r="C221" s="95">
        <v>1984</v>
      </c>
      <c r="D221" s="96">
        <f t="shared" si="4"/>
        <v>33.06666666666667</v>
      </c>
      <c r="E221"/>
      <c r="F221"/>
      <c r="G221"/>
      <c r="H221"/>
      <c r="I221"/>
      <c r="J221"/>
    </row>
    <row r="222" spans="1:10">
      <c r="A222" s="36">
        <v>79</v>
      </c>
      <c r="B222" s="42">
        <v>79</v>
      </c>
      <c r="C222" s="94">
        <v>1920</v>
      </c>
      <c r="D222" s="96">
        <f t="shared" si="4"/>
        <v>32</v>
      </c>
      <c r="E222"/>
      <c r="F222"/>
      <c r="G222"/>
      <c r="H222"/>
      <c r="I222"/>
      <c r="J222"/>
    </row>
    <row r="223" spans="1:10">
      <c r="A223" s="36">
        <v>79.099999999999994</v>
      </c>
      <c r="B223" s="41">
        <v>79.099999999999994</v>
      </c>
      <c r="C223" s="95">
        <v>1888</v>
      </c>
      <c r="D223" s="96">
        <f t="shared" si="4"/>
        <v>31.466666666666665</v>
      </c>
      <c r="E223"/>
      <c r="F223"/>
      <c r="G223"/>
      <c r="H223"/>
      <c r="I223"/>
      <c r="J223"/>
    </row>
    <row r="224" spans="1:10">
      <c r="A224" s="36">
        <v>79.2</v>
      </c>
      <c r="B224" s="41">
        <v>79.2</v>
      </c>
      <c r="C224" s="95">
        <v>1856</v>
      </c>
      <c r="D224" s="96">
        <f t="shared" si="4"/>
        <v>30.933333333333334</v>
      </c>
      <c r="E224"/>
      <c r="F224"/>
      <c r="G224"/>
      <c r="H224"/>
      <c r="I224"/>
      <c r="J224"/>
    </row>
    <row r="225" spans="1:10">
      <c r="A225" s="36">
        <v>79.3</v>
      </c>
      <c r="B225" s="41">
        <v>79.3</v>
      </c>
      <c r="C225" s="95">
        <v>1824</v>
      </c>
      <c r="D225" s="96">
        <f t="shared" si="4"/>
        <v>30.4</v>
      </c>
      <c r="E225"/>
      <c r="F225"/>
      <c r="G225"/>
      <c r="H225"/>
      <c r="I225"/>
      <c r="J225"/>
    </row>
    <row r="226" spans="1:10">
      <c r="A226" s="36">
        <v>79.400000000000006</v>
      </c>
      <c r="B226" s="41">
        <v>79.400000000000006</v>
      </c>
      <c r="C226" s="95">
        <v>1792</v>
      </c>
      <c r="D226" s="96">
        <f t="shared" si="4"/>
        <v>29.866666666666667</v>
      </c>
      <c r="E226"/>
      <c r="F226"/>
      <c r="G226"/>
      <c r="H226"/>
      <c r="I226"/>
      <c r="J226"/>
    </row>
    <row r="227" spans="1:10">
      <c r="A227" s="36">
        <v>79.5</v>
      </c>
      <c r="B227" s="41">
        <v>79.5</v>
      </c>
      <c r="C227" s="95">
        <v>1760</v>
      </c>
      <c r="D227" s="96">
        <f t="shared" si="4"/>
        <v>29.333333333333332</v>
      </c>
      <c r="E227"/>
      <c r="F227"/>
      <c r="G227"/>
      <c r="H227"/>
      <c r="I227"/>
      <c r="J227"/>
    </row>
    <row r="228" spans="1:10">
      <c r="A228" s="36">
        <v>79.599999999999994</v>
      </c>
      <c r="B228" s="41">
        <v>79.599999999999994</v>
      </c>
      <c r="C228" s="95">
        <v>1728</v>
      </c>
      <c r="D228" s="96">
        <f t="shared" si="4"/>
        <v>28.8</v>
      </c>
      <c r="E228"/>
      <c r="F228"/>
      <c r="G228"/>
      <c r="H228"/>
      <c r="I228"/>
      <c r="J228"/>
    </row>
    <row r="229" spans="1:10">
      <c r="A229" s="36">
        <v>79.7</v>
      </c>
      <c r="B229" s="41">
        <v>79.7</v>
      </c>
      <c r="C229" s="95">
        <v>1696</v>
      </c>
      <c r="D229" s="96">
        <f t="shared" si="4"/>
        <v>28.266666666666666</v>
      </c>
      <c r="E229"/>
      <c r="F229"/>
      <c r="G229"/>
      <c r="H229"/>
      <c r="I229"/>
      <c r="J229"/>
    </row>
    <row r="230" spans="1:10">
      <c r="A230" s="36">
        <v>79.8</v>
      </c>
      <c r="B230" s="41">
        <v>79.8</v>
      </c>
      <c r="C230" s="95">
        <v>1664</v>
      </c>
      <c r="D230" s="96">
        <f t="shared" si="4"/>
        <v>27.733333333333334</v>
      </c>
      <c r="E230"/>
      <c r="F230"/>
      <c r="G230"/>
      <c r="H230"/>
      <c r="I230"/>
      <c r="J230"/>
    </row>
    <row r="231" spans="1:10">
      <c r="A231" s="36">
        <v>79.900000000000006</v>
      </c>
      <c r="B231" s="41">
        <v>79.900000000000006</v>
      </c>
      <c r="C231" s="95">
        <v>1632</v>
      </c>
      <c r="D231" s="96">
        <f t="shared" si="4"/>
        <v>27.2</v>
      </c>
      <c r="E231"/>
      <c r="F231"/>
      <c r="G231"/>
      <c r="H231"/>
      <c r="I231"/>
      <c r="J231"/>
    </row>
    <row r="232" spans="1:10">
      <c r="A232" s="36">
        <v>80</v>
      </c>
      <c r="B232" s="41">
        <v>80</v>
      </c>
      <c r="C232" s="95">
        <v>1600</v>
      </c>
      <c r="D232" s="96">
        <f t="shared" si="4"/>
        <v>26.666666666666668</v>
      </c>
      <c r="E232"/>
      <c r="F232"/>
      <c r="G232"/>
      <c r="H232"/>
      <c r="I232"/>
      <c r="J232"/>
    </row>
    <row r="233" spans="1:10">
      <c r="A233" s="36">
        <v>80.099999999999994</v>
      </c>
      <c r="B233" s="41">
        <v>80.099999999999994</v>
      </c>
      <c r="C233" s="95">
        <v>1568</v>
      </c>
      <c r="D233" s="96">
        <f t="shared" si="4"/>
        <v>26.133333333333333</v>
      </c>
      <c r="E233"/>
      <c r="F233"/>
      <c r="G233"/>
      <c r="H233"/>
      <c r="I233"/>
      <c r="J233"/>
    </row>
    <row r="234" spans="1:10">
      <c r="A234" s="36">
        <v>80.2</v>
      </c>
      <c r="B234" s="41">
        <v>80.2</v>
      </c>
      <c r="C234" s="95">
        <v>1536</v>
      </c>
      <c r="D234" s="96">
        <f t="shared" si="4"/>
        <v>25.6</v>
      </c>
      <c r="E234"/>
      <c r="F234"/>
      <c r="G234"/>
      <c r="H234"/>
      <c r="I234"/>
      <c r="J234"/>
    </row>
    <row r="235" spans="1:10">
      <c r="A235" s="36">
        <v>80.3</v>
      </c>
      <c r="B235" s="41">
        <v>80.3</v>
      </c>
      <c r="C235" s="95">
        <v>1504</v>
      </c>
      <c r="D235" s="96">
        <f t="shared" si="4"/>
        <v>25.066666666666666</v>
      </c>
      <c r="E235"/>
      <c r="F235"/>
      <c r="G235"/>
      <c r="H235"/>
      <c r="I235"/>
      <c r="J235"/>
    </row>
    <row r="236" spans="1:10">
      <c r="A236" s="36">
        <v>80.400000000000006</v>
      </c>
      <c r="B236" s="41">
        <v>80.400000000000006</v>
      </c>
      <c r="C236" s="95">
        <v>1472</v>
      </c>
      <c r="D236" s="96">
        <f t="shared" si="4"/>
        <v>24.533333333333335</v>
      </c>
      <c r="E236"/>
      <c r="F236"/>
      <c r="G236"/>
      <c r="H236"/>
      <c r="I236"/>
      <c r="J236"/>
    </row>
    <row r="237" spans="1:10">
      <c r="A237" s="36">
        <v>80.5</v>
      </c>
      <c r="B237" s="41">
        <v>80.5</v>
      </c>
      <c r="C237" s="95">
        <v>1440</v>
      </c>
      <c r="D237" s="96">
        <f t="shared" si="4"/>
        <v>24</v>
      </c>
      <c r="E237"/>
      <c r="F237"/>
      <c r="G237"/>
      <c r="H237"/>
      <c r="I237"/>
      <c r="J237"/>
    </row>
    <row r="238" spans="1:10">
      <c r="A238" s="36">
        <v>80.599999999999994</v>
      </c>
      <c r="B238" s="41">
        <v>80.599999999999994</v>
      </c>
      <c r="C238" s="95">
        <v>1408</v>
      </c>
      <c r="D238" s="96">
        <f t="shared" si="4"/>
        <v>23.466666666666665</v>
      </c>
      <c r="E238"/>
      <c r="F238"/>
      <c r="G238"/>
      <c r="H238"/>
      <c r="I238"/>
      <c r="J238"/>
    </row>
    <row r="239" spans="1:10">
      <c r="A239" s="36">
        <v>80.7</v>
      </c>
      <c r="B239" s="41">
        <v>80.7</v>
      </c>
      <c r="C239" s="95">
        <v>1376</v>
      </c>
      <c r="D239" s="96">
        <f t="shared" si="4"/>
        <v>22.933333333333334</v>
      </c>
      <c r="E239"/>
      <c r="F239"/>
      <c r="G239"/>
      <c r="H239"/>
      <c r="I239"/>
      <c r="J239"/>
    </row>
    <row r="240" spans="1:10">
      <c r="A240" s="36">
        <v>80.8</v>
      </c>
      <c r="B240" s="41">
        <v>80.8</v>
      </c>
      <c r="C240" s="95">
        <v>1344</v>
      </c>
      <c r="D240" s="96">
        <f t="shared" si="4"/>
        <v>22.4</v>
      </c>
      <c r="E240"/>
      <c r="F240"/>
      <c r="G240"/>
      <c r="H240"/>
      <c r="I240"/>
      <c r="J240"/>
    </row>
    <row r="241" spans="1:10">
      <c r="A241" s="36">
        <v>80.900000000000006</v>
      </c>
      <c r="B241" s="41">
        <v>80.900000000000006</v>
      </c>
      <c r="C241" s="95">
        <v>1312</v>
      </c>
      <c r="D241" s="96">
        <f t="shared" si="4"/>
        <v>21.866666666666667</v>
      </c>
      <c r="E241"/>
      <c r="F241"/>
      <c r="G241"/>
      <c r="H241"/>
      <c r="I241"/>
      <c r="J241"/>
    </row>
    <row r="242" spans="1:10">
      <c r="A242" s="36">
        <v>81</v>
      </c>
      <c r="B242" s="41">
        <v>81</v>
      </c>
      <c r="C242" s="95">
        <v>1280</v>
      </c>
      <c r="D242" s="96">
        <f t="shared" si="4"/>
        <v>21.333333333333332</v>
      </c>
      <c r="E242"/>
      <c r="F242"/>
      <c r="G242"/>
      <c r="H242"/>
      <c r="I242"/>
      <c r="J242"/>
    </row>
    <row r="243" spans="1:10">
      <c r="A243" s="36">
        <v>81.099999999999994</v>
      </c>
      <c r="B243" s="41">
        <v>81.099999999999994</v>
      </c>
      <c r="C243" s="95">
        <v>1248</v>
      </c>
      <c r="D243" s="96">
        <f t="shared" si="4"/>
        <v>20.8</v>
      </c>
      <c r="E243"/>
      <c r="F243"/>
      <c r="G243"/>
      <c r="H243"/>
      <c r="I243"/>
      <c r="J243"/>
    </row>
    <row r="244" spans="1:10">
      <c r="A244" s="36">
        <v>81.2</v>
      </c>
      <c r="B244" s="41">
        <v>81.2</v>
      </c>
      <c r="C244" s="95">
        <v>1216</v>
      </c>
      <c r="D244" s="96">
        <f t="shared" si="4"/>
        <v>20.266666666666666</v>
      </c>
      <c r="E244"/>
      <c r="F244"/>
      <c r="G244"/>
      <c r="H244"/>
      <c r="I244"/>
      <c r="J244"/>
    </row>
    <row r="245" spans="1:10">
      <c r="A245" s="36">
        <v>81.3</v>
      </c>
      <c r="B245" s="41">
        <v>81.3</v>
      </c>
      <c r="C245" s="95">
        <v>1184</v>
      </c>
      <c r="D245" s="96">
        <f t="shared" si="4"/>
        <v>19.733333333333334</v>
      </c>
      <c r="E245"/>
      <c r="F245"/>
      <c r="G245"/>
      <c r="H245"/>
      <c r="I245"/>
      <c r="J245"/>
    </row>
    <row r="246" spans="1:10">
      <c r="A246" s="36">
        <v>81.400000000000006</v>
      </c>
      <c r="B246" s="41">
        <v>81.400000000000006</v>
      </c>
      <c r="C246" s="95">
        <v>1152</v>
      </c>
      <c r="D246" s="96">
        <f t="shared" si="4"/>
        <v>19.2</v>
      </c>
      <c r="E246"/>
      <c r="F246"/>
      <c r="G246"/>
      <c r="H246"/>
      <c r="I246"/>
      <c r="J246"/>
    </row>
    <row r="247" spans="1:10">
      <c r="A247" s="36">
        <v>81.5</v>
      </c>
      <c r="B247" s="41">
        <v>81.5</v>
      </c>
      <c r="C247" s="95">
        <v>1120</v>
      </c>
      <c r="D247" s="96">
        <f t="shared" si="4"/>
        <v>18.666666666666668</v>
      </c>
      <c r="E247"/>
      <c r="F247"/>
      <c r="G247"/>
      <c r="H247"/>
      <c r="I247"/>
      <c r="J247"/>
    </row>
    <row r="248" spans="1:10">
      <c r="A248" s="36">
        <v>81.599999999999994</v>
      </c>
      <c r="B248" s="41">
        <v>81.599999999999994</v>
      </c>
      <c r="C248" s="95">
        <v>1088</v>
      </c>
      <c r="D248" s="96">
        <f t="shared" si="4"/>
        <v>18.133333333333333</v>
      </c>
      <c r="E248"/>
      <c r="F248"/>
      <c r="G248"/>
      <c r="H248"/>
      <c r="I248"/>
      <c r="J248"/>
    </row>
    <row r="249" spans="1:10">
      <c r="A249" s="36">
        <v>81.7</v>
      </c>
      <c r="B249" s="41">
        <v>81.7</v>
      </c>
      <c r="C249" s="95">
        <v>1056</v>
      </c>
      <c r="D249" s="96">
        <f t="shared" si="4"/>
        <v>17.600000000000001</v>
      </c>
      <c r="E249"/>
      <c r="F249"/>
      <c r="G249"/>
      <c r="H249"/>
      <c r="I249"/>
      <c r="J249"/>
    </row>
    <row r="250" spans="1:10">
      <c r="A250" s="36">
        <v>81.8</v>
      </c>
      <c r="B250" s="41">
        <v>81.8</v>
      </c>
      <c r="C250" s="95">
        <v>1024</v>
      </c>
      <c r="D250" s="96">
        <f t="shared" si="4"/>
        <v>17.066666666666666</v>
      </c>
      <c r="E250"/>
      <c r="F250"/>
      <c r="G250"/>
      <c r="H250"/>
      <c r="I250"/>
      <c r="J250"/>
    </row>
    <row r="251" spans="1:10">
      <c r="A251" s="36">
        <v>81.900000000000006</v>
      </c>
      <c r="B251" s="41">
        <v>81.900000000000006</v>
      </c>
      <c r="C251" s="95">
        <v>992</v>
      </c>
      <c r="D251" s="96">
        <f t="shared" si="4"/>
        <v>16.533333333333335</v>
      </c>
      <c r="E251"/>
      <c r="F251"/>
      <c r="G251"/>
      <c r="H251"/>
      <c r="I251"/>
      <c r="J251"/>
    </row>
    <row r="252" spans="1:10">
      <c r="A252" s="36">
        <v>82</v>
      </c>
      <c r="B252" s="42">
        <v>82</v>
      </c>
      <c r="C252" s="94">
        <v>960</v>
      </c>
      <c r="D252" s="96">
        <f t="shared" si="4"/>
        <v>16</v>
      </c>
      <c r="E252"/>
      <c r="F252"/>
      <c r="G252"/>
      <c r="H252"/>
      <c r="I252"/>
      <c r="J252"/>
    </row>
    <row r="253" spans="1:10">
      <c r="A253" s="36">
        <v>82.1</v>
      </c>
      <c r="B253" s="41">
        <v>82.1</v>
      </c>
      <c r="C253" s="95">
        <v>944</v>
      </c>
      <c r="D253" s="96">
        <f t="shared" si="4"/>
        <v>15.733333333333333</v>
      </c>
      <c r="E253"/>
      <c r="F253"/>
      <c r="G253"/>
      <c r="H253"/>
      <c r="I253"/>
      <c r="J253"/>
    </row>
    <row r="254" spans="1:10">
      <c r="A254" s="36">
        <v>82.2</v>
      </c>
      <c r="B254" s="41">
        <v>82.2</v>
      </c>
      <c r="C254" s="95">
        <v>928</v>
      </c>
      <c r="D254" s="96">
        <f t="shared" si="4"/>
        <v>15.466666666666667</v>
      </c>
      <c r="E254"/>
      <c r="F254"/>
      <c r="G254"/>
      <c r="H254"/>
      <c r="I254"/>
      <c r="J254"/>
    </row>
    <row r="255" spans="1:10">
      <c r="A255" s="36">
        <v>82.3</v>
      </c>
      <c r="B255" s="41">
        <v>82.3</v>
      </c>
      <c r="C255" s="95">
        <v>912</v>
      </c>
      <c r="D255" s="96">
        <f t="shared" si="4"/>
        <v>15.2</v>
      </c>
      <c r="E255"/>
      <c r="F255"/>
      <c r="G255"/>
      <c r="H255"/>
      <c r="I255"/>
      <c r="J255"/>
    </row>
    <row r="256" spans="1:10">
      <c r="A256" s="36">
        <v>82.4</v>
      </c>
      <c r="B256" s="41">
        <v>82.4</v>
      </c>
      <c r="C256" s="95">
        <v>896</v>
      </c>
      <c r="D256" s="96">
        <f t="shared" si="4"/>
        <v>14.933333333333334</v>
      </c>
      <c r="E256"/>
      <c r="F256"/>
      <c r="G256"/>
      <c r="H256"/>
      <c r="I256"/>
      <c r="J256"/>
    </row>
    <row r="257" spans="1:10">
      <c r="A257" s="36">
        <v>82.5</v>
      </c>
      <c r="B257" s="41">
        <v>82.5</v>
      </c>
      <c r="C257" s="95">
        <v>880</v>
      </c>
      <c r="D257" s="96">
        <f t="shared" si="4"/>
        <v>14.666666666666666</v>
      </c>
      <c r="E257"/>
      <c r="F257"/>
      <c r="G257"/>
      <c r="H257"/>
      <c r="I257"/>
      <c r="J257"/>
    </row>
    <row r="258" spans="1:10">
      <c r="A258" s="36">
        <v>82.6</v>
      </c>
      <c r="B258" s="41">
        <v>82.6</v>
      </c>
      <c r="C258" s="95">
        <v>864</v>
      </c>
      <c r="D258" s="96">
        <f t="shared" si="4"/>
        <v>14.4</v>
      </c>
      <c r="E258"/>
      <c r="F258"/>
      <c r="G258"/>
      <c r="H258"/>
      <c r="I258"/>
      <c r="J258"/>
    </row>
    <row r="259" spans="1:10">
      <c r="A259" s="36">
        <v>82.7</v>
      </c>
      <c r="B259" s="41">
        <v>82.7</v>
      </c>
      <c r="C259" s="95">
        <v>848</v>
      </c>
      <c r="D259" s="96">
        <f t="shared" si="4"/>
        <v>14.133333333333333</v>
      </c>
      <c r="E259"/>
      <c r="F259"/>
      <c r="G259"/>
      <c r="H259"/>
      <c r="I259"/>
      <c r="J259"/>
    </row>
    <row r="260" spans="1:10">
      <c r="A260" s="36">
        <v>82.8</v>
      </c>
      <c r="B260" s="41">
        <v>82.8</v>
      </c>
      <c r="C260" s="95">
        <v>832</v>
      </c>
      <c r="D260" s="96">
        <f t="shared" si="4"/>
        <v>13.866666666666667</v>
      </c>
      <c r="E260"/>
      <c r="F260"/>
      <c r="G260"/>
      <c r="H260"/>
      <c r="I260"/>
      <c r="J260"/>
    </row>
    <row r="261" spans="1:10">
      <c r="A261" s="36">
        <v>82.9</v>
      </c>
      <c r="B261" s="41">
        <v>82.9</v>
      </c>
      <c r="C261" s="95">
        <v>816</v>
      </c>
      <c r="D261" s="96">
        <f t="shared" si="4"/>
        <v>13.6</v>
      </c>
      <c r="E261"/>
      <c r="F261"/>
      <c r="G261"/>
      <c r="H261"/>
      <c r="I261"/>
      <c r="J261"/>
    </row>
    <row r="262" spans="1:10">
      <c r="A262" s="36">
        <v>83</v>
      </c>
      <c r="B262" s="41">
        <v>83</v>
      </c>
      <c r="C262" s="95">
        <v>800</v>
      </c>
      <c r="D262" s="96">
        <f t="shared" si="4"/>
        <v>13.333333333333334</v>
      </c>
      <c r="E262"/>
      <c r="F262"/>
      <c r="G262"/>
      <c r="H262"/>
      <c r="I262"/>
      <c r="J262"/>
    </row>
    <row r="263" spans="1:10">
      <c r="A263" s="36">
        <v>83.1</v>
      </c>
      <c r="B263" s="41">
        <v>83.1</v>
      </c>
      <c r="C263" s="95">
        <v>784</v>
      </c>
      <c r="D263" s="96">
        <f t="shared" si="4"/>
        <v>13.066666666666666</v>
      </c>
      <c r="E263"/>
      <c r="F263"/>
      <c r="G263"/>
      <c r="H263"/>
      <c r="I263"/>
      <c r="J263"/>
    </row>
    <row r="264" spans="1:10">
      <c r="A264" s="36">
        <v>83.2</v>
      </c>
      <c r="B264" s="41">
        <v>83.2</v>
      </c>
      <c r="C264" s="95">
        <v>768</v>
      </c>
      <c r="D264" s="96">
        <f t="shared" si="4"/>
        <v>12.8</v>
      </c>
      <c r="E264"/>
      <c r="F264"/>
      <c r="G264"/>
      <c r="H264"/>
      <c r="I264"/>
      <c r="J264"/>
    </row>
    <row r="265" spans="1:10">
      <c r="A265" s="36">
        <v>83.3</v>
      </c>
      <c r="B265" s="41">
        <v>83.3</v>
      </c>
      <c r="C265" s="95">
        <v>752</v>
      </c>
      <c r="D265" s="96">
        <f t="shared" si="4"/>
        <v>12.533333333333333</v>
      </c>
      <c r="E265"/>
      <c r="F265"/>
      <c r="G265"/>
      <c r="H265"/>
      <c r="I265"/>
      <c r="J265"/>
    </row>
    <row r="266" spans="1:10">
      <c r="A266" s="36">
        <v>83.4</v>
      </c>
      <c r="B266" s="41">
        <v>83.4</v>
      </c>
      <c r="C266" s="95">
        <v>736</v>
      </c>
      <c r="D266" s="96">
        <f t="shared" si="4"/>
        <v>12.266666666666667</v>
      </c>
      <c r="E266"/>
      <c r="F266"/>
      <c r="G266"/>
      <c r="H266"/>
      <c r="I266"/>
      <c r="J266"/>
    </row>
    <row r="267" spans="1:10">
      <c r="A267" s="36">
        <v>83.5</v>
      </c>
      <c r="B267" s="41">
        <v>83.5</v>
      </c>
      <c r="C267" s="95">
        <v>720</v>
      </c>
      <c r="D267" s="96">
        <f t="shared" si="4"/>
        <v>12</v>
      </c>
      <c r="E267"/>
      <c r="F267"/>
      <c r="G267"/>
      <c r="H267"/>
      <c r="I267"/>
      <c r="J267"/>
    </row>
    <row r="268" spans="1:10">
      <c r="A268" s="36">
        <v>83.6</v>
      </c>
      <c r="B268" s="41">
        <v>83.6</v>
      </c>
      <c r="C268" s="95">
        <v>704</v>
      </c>
      <c r="D268" s="96">
        <f t="shared" si="4"/>
        <v>11.733333333333333</v>
      </c>
      <c r="E268"/>
      <c r="F268"/>
      <c r="G268"/>
      <c r="H268"/>
      <c r="I268"/>
      <c r="J268"/>
    </row>
    <row r="269" spans="1:10">
      <c r="A269" s="36">
        <v>83.7</v>
      </c>
      <c r="B269" s="41">
        <v>83.7</v>
      </c>
      <c r="C269" s="95">
        <v>688</v>
      </c>
      <c r="D269" s="96">
        <f t="shared" si="4"/>
        <v>11.466666666666667</v>
      </c>
      <c r="E269"/>
      <c r="F269"/>
      <c r="G269"/>
      <c r="H269"/>
      <c r="I269"/>
      <c r="J269"/>
    </row>
    <row r="270" spans="1:10">
      <c r="A270" s="36">
        <v>83.8</v>
      </c>
      <c r="B270" s="41">
        <v>83.8</v>
      </c>
      <c r="C270" s="95">
        <v>672</v>
      </c>
      <c r="D270" s="96">
        <f t="shared" ref="D270:D333" si="5">C270/60</f>
        <v>11.2</v>
      </c>
      <c r="E270"/>
      <c r="F270"/>
      <c r="G270"/>
      <c r="H270"/>
      <c r="I270"/>
      <c r="J270"/>
    </row>
    <row r="271" spans="1:10">
      <c r="A271" s="36">
        <v>83.9</v>
      </c>
      <c r="B271" s="41">
        <v>83.9</v>
      </c>
      <c r="C271" s="95">
        <v>656</v>
      </c>
      <c r="D271" s="96">
        <f t="shared" si="5"/>
        <v>10.933333333333334</v>
      </c>
      <c r="E271"/>
      <c r="F271"/>
      <c r="G271"/>
      <c r="H271"/>
      <c r="I271"/>
      <c r="J271"/>
    </row>
    <row r="272" spans="1:10">
      <c r="A272" s="36">
        <v>84</v>
      </c>
      <c r="B272" s="41">
        <v>84</v>
      </c>
      <c r="C272" s="95">
        <v>640</v>
      </c>
      <c r="D272" s="96">
        <f t="shared" si="5"/>
        <v>10.666666666666666</v>
      </c>
      <c r="E272"/>
      <c r="F272"/>
      <c r="G272"/>
      <c r="H272"/>
      <c r="I272"/>
      <c r="J272"/>
    </row>
    <row r="273" spans="1:10">
      <c r="A273" s="36">
        <v>84.1</v>
      </c>
      <c r="B273" s="41">
        <v>84.1</v>
      </c>
      <c r="C273" s="95">
        <v>624</v>
      </c>
      <c r="D273" s="96">
        <f t="shared" si="5"/>
        <v>10.4</v>
      </c>
      <c r="E273"/>
      <c r="F273"/>
      <c r="G273"/>
      <c r="H273"/>
      <c r="I273"/>
      <c r="J273"/>
    </row>
    <row r="274" spans="1:10">
      <c r="A274" s="36">
        <v>84.2</v>
      </c>
      <c r="B274" s="41">
        <v>84.2</v>
      </c>
      <c r="C274" s="95">
        <v>608</v>
      </c>
      <c r="D274" s="96">
        <f t="shared" si="5"/>
        <v>10.133333333333333</v>
      </c>
      <c r="E274"/>
      <c r="F274"/>
      <c r="G274"/>
      <c r="H274"/>
      <c r="I274"/>
      <c r="J274"/>
    </row>
    <row r="275" spans="1:10">
      <c r="A275" s="36">
        <v>84.3</v>
      </c>
      <c r="B275" s="41">
        <v>84.3</v>
      </c>
      <c r="C275" s="95">
        <v>592</v>
      </c>
      <c r="D275" s="96">
        <f t="shared" si="5"/>
        <v>9.8666666666666671</v>
      </c>
      <c r="E275"/>
      <c r="F275"/>
      <c r="G275"/>
      <c r="H275"/>
      <c r="I275"/>
      <c r="J275"/>
    </row>
    <row r="276" spans="1:10">
      <c r="A276" s="36">
        <v>84.4</v>
      </c>
      <c r="B276" s="41">
        <v>84.4</v>
      </c>
      <c r="C276" s="95">
        <v>576</v>
      </c>
      <c r="D276" s="96">
        <f t="shared" si="5"/>
        <v>9.6</v>
      </c>
      <c r="E276"/>
      <c r="F276"/>
      <c r="G276"/>
      <c r="H276"/>
      <c r="I276"/>
      <c r="J276"/>
    </row>
    <row r="277" spans="1:10">
      <c r="A277" s="36">
        <v>84.5</v>
      </c>
      <c r="B277" s="41">
        <v>84.5</v>
      </c>
      <c r="C277" s="95">
        <v>560</v>
      </c>
      <c r="D277" s="96">
        <f t="shared" si="5"/>
        <v>9.3333333333333339</v>
      </c>
      <c r="E277"/>
      <c r="F277"/>
      <c r="G277"/>
      <c r="H277"/>
      <c r="I277"/>
      <c r="J277"/>
    </row>
    <row r="278" spans="1:10">
      <c r="A278" s="36">
        <v>84.6</v>
      </c>
      <c r="B278" s="41">
        <v>84.6</v>
      </c>
      <c r="C278" s="95">
        <v>544</v>
      </c>
      <c r="D278" s="96">
        <f t="shared" si="5"/>
        <v>9.0666666666666664</v>
      </c>
      <c r="E278"/>
      <c r="F278"/>
      <c r="G278"/>
      <c r="H278"/>
      <c r="I278"/>
      <c r="J278"/>
    </row>
    <row r="279" spans="1:10">
      <c r="A279" s="36">
        <v>84.7</v>
      </c>
      <c r="B279" s="41">
        <v>84.7</v>
      </c>
      <c r="C279" s="95">
        <v>528</v>
      </c>
      <c r="D279" s="96">
        <f t="shared" si="5"/>
        <v>8.8000000000000007</v>
      </c>
      <c r="E279"/>
      <c r="F279"/>
      <c r="G279"/>
      <c r="H279"/>
      <c r="I279"/>
      <c r="J279"/>
    </row>
    <row r="280" spans="1:10">
      <c r="A280" s="36">
        <v>84.8</v>
      </c>
      <c r="B280" s="41">
        <v>84.8</v>
      </c>
      <c r="C280" s="95">
        <v>512</v>
      </c>
      <c r="D280" s="96">
        <f t="shared" si="5"/>
        <v>8.5333333333333332</v>
      </c>
      <c r="E280"/>
      <c r="F280"/>
      <c r="G280"/>
      <c r="H280"/>
      <c r="I280"/>
      <c r="J280"/>
    </row>
    <row r="281" spans="1:10">
      <c r="A281" s="36">
        <v>84.9</v>
      </c>
      <c r="B281" s="41">
        <v>84.9</v>
      </c>
      <c r="C281" s="95">
        <v>496</v>
      </c>
      <c r="D281" s="96">
        <f t="shared" si="5"/>
        <v>8.2666666666666675</v>
      </c>
      <c r="E281"/>
      <c r="F281"/>
      <c r="G281"/>
      <c r="H281"/>
      <c r="I281"/>
      <c r="J281"/>
    </row>
    <row r="282" spans="1:10">
      <c r="A282" s="36">
        <v>85</v>
      </c>
      <c r="B282" s="42">
        <v>85</v>
      </c>
      <c r="C282" s="94">
        <v>480</v>
      </c>
      <c r="D282" s="96">
        <f t="shared" si="5"/>
        <v>8</v>
      </c>
      <c r="E282"/>
      <c r="F282"/>
      <c r="G282"/>
      <c r="H282"/>
      <c r="I282"/>
      <c r="J282"/>
    </row>
    <row r="283" spans="1:10">
      <c r="A283" s="36">
        <v>85.1</v>
      </c>
      <c r="B283" s="41">
        <v>85.1</v>
      </c>
      <c r="C283" s="95">
        <v>472</v>
      </c>
      <c r="D283" s="96">
        <f t="shared" si="5"/>
        <v>7.8666666666666663</v>
      </c>
      <c r="E283"/>
      <c r="F283"/>
      <c r="G283"/>
      <c r="H283"/>
      <c r="I283"/>
      <c r="J283"/>
    </row>
    <row r="284" spans="1:10">
      <c r="A284" s="36">
        <v>85.2</v>
      </c>
      <c r="B284" s="41">
        <v>85.2</v>
      </c>
      <c r="C284" s="95">
        <v>464</v>
      </c>
      <c r="D284" s="96">
        <f t="shared" si="5"/>
        <v>7.7333333333333334</v>
      </c>
      <c r="E284"/>
      <c r="F284"/>
      <c r="G284"/>
      <c r="H284"/>
      <c r="I284"/>
      <c r="J284"/>
    </row>
    <row r="285" spans="1:10">
      <c r="A285" s="36">
        <v>85.3</v>
      </c>
      <c r="B285" s="41">
        <v>85.3</v>
      </c>
      <c r="C285" s="95">
        <v>456</v>
      </c>
      <c r="D285" s="96">
        <f t="shared" si="5"/>
        <v>7.6</v>
      </c>
      <c r="E285"/>
      <c r="F285"/>
      <c r="G285"/>
      <c r="H285"/>
      <c r="I285"/>
      <c r="J285"/>
    </row>
    <row r="286" spans="1:10">
      <c r="A286" s="36">
        <v>85.4</v>
      </c>
      <c r="B286" s="41">
        <v>85.4</v>
      </c>
      <c r="C286" s="95">
        <v>448</v>
      </c>
      <c r="D286" s="96">
        <f t="shared" si="5"/>
        <v>7.4666666666666668</v>
      </c>
      <c r="E286"/>
      <c r="F286"/>
      <c r="G286"/>
      <c r="H286"/>
      <c r="I286"/>
      <c r="J286"/>
    </row>
    <row r="287" spans="1:10">
      <c r="A287" s="36">
        <v>85.5</v>
      </c>
      <c r="B287" s="41">
        <v>85.5</v>
      </c>
      <c r="C287" s="95">
        <v>440</v>
      </c>
      <c r="D287" s="96">
        <f t="shared" si="5"/>
        <v>7.333333333333333</v>
      </c>
      <c r="E287"/>
      <c r="F287"/>
      <c r="G287"/>
      <c r="H287"/>
      <c r="I287"/>
      <c r="J287"/>
    </row>
    <row r="288" spans="1:10">
      <c r="A288" s="36">
        <v>85.6</v>
      </c>
      <c r="B288" s="41">
        <v>85.6</v>
      </c>
      <c r="C288" s="95">
        <v>432</v>
      </c>
      <c r="D288" s="96">
        <f t="shared" si="5"/>
        <v>7.2</v>
      </c>
      <c r="E288"/>
      <c r="F288"/>
      <c r="G288"/>
      <c r="H288"/>
      <c r="I288"/>
      <c r="J288"/>
    </row>
    <row r="289" spans="1:10">
      <c r="A289" s="36">
        <v>85.7</v>
      </c>
      <c r="B289" s="41">
        <v>85.7</v>
      </c>
      <c r="C289" s="95">
        <v>424</v>
      </c>
      <c r="D289" s="96">
        <f t="shared" si="5"/>
        <v>7.0666666666666664</v>
      </c>
      <c r="E289"/>
      <c r="F289"/>
      <c r="G289"/>
      <c r="H289"/>
      <c r="I289"/>
      <c r="J289"/>
    </row>
    <row r="290" spans="1:10">
      <c r="A290" s="36">
        <v>85.8</v>
      </c>
      <c r="B290" s="41">
        <v>85.8</v>
      </c>
      <c r="C290" s="95">
        <v>416</v>
      </c>
      <c r="D290" s="96">
        <f t="shared" si="5"/>
        <v>6.9333333333333336</v>
      </c>
      <c r="E290"/>
      <c r="F290"/>
      <c r="G290"/>
      <c r="H290"/>
      <c r="I290"/>
      <c r="J290"/>
    </row>
    <row r="291" spans="1:10">
      <c r="A291" s="36">
        <v>85.9</v>
      </c>
      <c r="B291" s="41">
        <v>85.9</v>
      </c>
      <c r="C291" s="95">
        <v>408</v>
      </c>
      <c r="D291" s="96">
        <f t="shared" si="5"/>
        <v>6.8</v>
      </c>
      <c r="E291"/>
      <c r="F291"/>
      <c r="G291"/>
      <c r="H291"/>
      <c r="I291"/>
      <c r="J291"/>
    </row>
    <row r="292" spans="1:10">
      <c r="A292" s="36">
        <v>86</v>
      </c>
      <c r="B292" s="41">
        <v>86</v>
      </c>
      <c r="C292" s="95">
        <v>400</v>
      </c>
      <c r="D292" s="96">
        <f t="shared" si="5"/>
        <v>6.666666666666667</v>
      </c>
      <c r="E292"/>
      <c r="F292"/>
      <c r="G292"/>
      <c r="H292"/>
      <c r="I292"/>
      <c r="J292"/>
    </row>
    <row r="293" spans="1:10">
      <c r="A293" s="36">
        <v>86.1</v>
      </c>
      <c r="B293" s="41">
        <v>86.1</v>
      </c>
      <c r="C293" s="95">
        <v>392</v>
      </c>
      <c r="D293" s="96">
        <f t="shared" si="5"/>
        <v>6.5333333333333332</v>
      </c>
      <c r="E293"/>
      <c r="F293"/>
      <c r="G293"/>
      <c r="H293"/>
      <c r="I293"/>
      <c r="J293"/>
    </row>
    <row r="294" spans="1:10">
      <c r="A294" s="36">
        <v>86.2</v>
      </c>
      <c r="B294" s="41">
        <v>86.2</v>
      </c>
      <c r="C294" s="95">
        <v>384</v>
      </c>
      <c r="D294" s="96">
        <f t="shared" si="5"/>
        <v>6.4</v>
      </c>
      <c r="E294"/>
      <c r="F294"/>
      <c r="G294"/>
      <c r="H294"/>
      <c r="I294"/>
      <c r="J294"/>
    </row>
    <row r="295" spans="1:10">
      <c r="A295" s="36">
        <v>86.3</v>
      </c>
      <c r="B295" s="41">
        <v>86.3</v>
      </c>
      <c r="C295" s="95">
        <v>376</v>
      </c>
      <c r="D295" s="96">
        <f t="shared" si="5"/>
        <v>6.2666666666666666</v>
      </c>
      <c r="E295"/>
      <c r="F295"/>
      <c r="G295"/>
      <c r="H295"/>
      <c r="I295"/>
      <c r="J295"/>
    </row>
    <row r="296" spans="1:10">
      <c r="A296" s="36">
        <v>86.4</v>
      </c>
      <c r="B296" s="41">
        <v>86.4</v>
      </c>
      <c r="C296" s="95">
        <v>368</v>
      </c>
      <c r="D296" s="96">
        <f t="shared" si="5"/>
        <v>6.1333333333333337</v>
      </c>
      <c r="E296"/>
      <c r="F296"/>
      <c r="G296"/>
      <c r="H296"/>
      <c r="I296"/>
      <c r="J296"/>
    </row>
    <row r="297" spans="1:10">
      <c r="A297" s="36">
        <v>86.5</v>
      </c>
      <c r="B297" s="41">
        <v>86.5</v>
      </c>
      <c r="C297" s="95">
        <v>360</v>
      </c>
      <c r="D297" s="96">
        <f t="shared" si="5"/>
        <v>6</v>
      </c>
      <c r="E297"/>
      <c r="F297"/>
      <c r="G297"/>
      <c r="H297"/>
      <c r="I297"/>
      <c r="J297"/>
    </row>
    <row r="298" spans="1:10">
      <c r="A298" s="36">
        <v>86.6</v>
      </c>
      <c r="B298" s="41">
        <v>86.6</v>
      </c>
      <c r="C298" s="95">
        <v>352</v>
      </c>
      <c r="D298" s="96">
        <f t="shared" si="5"/>
        <v>5.8666666666666663</v>
      </c>
      <c r="E298"/>
      <c r="F298"/>
      <c r="G298"/>
      <c r="H298"/>
      <c r="I298"/>
      <c r="J298"/>
    </row>
    <row r="299" spans="1:10">
      <c r="A299" s="36">
        <v>86.7</v>
      </c>
      <c r="B299" s="41">
        <v>86.7</v>
      </c>
      <c r="C299" s="95">
        <v>344</v>
      </c>
      <c r="D299" s="96">
        <f t="shared" si="5"/>
        <v>5.7333333333333334</v>
      </c>
      <c r="E299"/>
      <c r="F299"/>
      <c r="G299"/>
      <c r="H299"/>
      <c r="I299"/>
      <c r="J299"/>
    </row>
    <row r="300" spans="1:10">
      <c r="A300" s="36">
        <v>86.8</v>
      </c>
      <c r="B300" s="41">
        <v>86.8</v>
      </c>
      <c r="C300" s="95">
        <v>336</v>
      </c>
      <c r="D300" s="96">
        <f t="shared" si="5"/>
        <v>5.6</v>
      </c>
      <c r="E300"/>
      <c r="F300"/>
      <c r="G300"/>
      <c r="H300"/>
      <c r="I300"/>
      <c r="J300"/>
    </row>
    <row r="301" spans="1:10">
      <c r="A301" s="36">
        <v>86.9</v>
      </c>
      <c r="B301" s="41">
        <v>86.9</v>
      </c>
      <c r="C301" s="95">
        <v>328</v>
      </c>
      <c r="D301" s="96">
        <f t="shared" si="5"/>
        <v>5.4666666666666668</v>
      </c>
      <c r="E301"/>
      <c r="F301"/>
      <c r="G301"/>
      <c r="H301"/>
      <c r="I301"/>
      <c r="J301"/>
    </row>
    <row r="302" spans="1:10">
      <c r="A302" s="36">
        <v>87</v>
      </c>
      <c r="B302" s="41">
        <v>87</v>
      </c>
      <c r="C302" s="95">
        <v>320</v>
      </c>
      <c r="D302" s="96">
        <f t="shared" si="5"/>
        <v>5.333333333333333</v>
      </c>
      <c r="E302"/>
      <c r="F302"/>
      <c r="G302"/>
      <c r="H302"/>
      <c r="I302"/>
      <c r="J302"/>
    </row>
    <row r="303" spans="1:10">
      <c r="A303" s="36">
        <v>87.1</v>
      </c>
      <c r="B303" s="41">
        <v>87.1</v>
      </c>
      <c r="C303" s="95">
        <v>312</v>
      </c>
      <c r="D303" s="96">
        <f t="shared" si="5"/>
        <v>5.2</v>
      </c>
      <c r="E303"/>
      <c r="F303"/>
      <c r="G303"/>
      <c r="H303"/>
      <c r="I303"/>
      <c r="J303"/>
    </row>
    <row r="304" spans="1:10">
      <c r="A304" s="36">
        <v>87.2</v>
      </c>
      <c r="B304" s="41">
        <v>87.2</v>
      </c>
      <c r="C304" s="95">
        <v>304</v>
      </c>
      <c r="D304" s="96">
        <f t="shared" si="5"/>
        <v>5.0666666666666664</v>
      </c>
      <c r="E304"/>
      <c r="F304"/>
      <c r="G304"/>
      <c r="H304"/>
      <c r="I304"/>
      <c r="J304"/>
    </row>
    <row r="305" spans="1:10">
      <c r="A305" s="36">
        <v>87.3</v>
      </c>
      <c r="B305" s="41">
        <v>87.3</v>
      </c>
      <c r="C305" s="95">
        <v>296</v>
      </c>
      <c r="D305" s="96">
        <f t="shared" si="5"/>
        <v>4.9333333333333336</v>
      </c>
      <c r="E305"/>
      <c r="F305"/>
      <c r="G305"/>
      <c r="H305"/>
      <c r="I305"/>
      <c r="J305"/>
    </row>
    <row r="306" spans="1:10">
      <c r="A306" s="36">
        <v>87.4</v>
      </c>
      <c r="B306" s="41">
        <v>87.4</v>
      </c>
      <c r="C306" s="95">
        <v>288</v>
      </c>
      <c r="D306" s="96">
        <f t="shared" si="5"/>
        <v>4.8</v>
      </c>
      <c r="E306"/>
      <c r="F306"/>
      <c r="G306"/>
      <c r="H306"/>
      <c r="I306"/>
      <c r="J306"/>
    </row>
    <row r="307" spans="1:10">
      <c r="A307" s="36">
        <v>87.5</v>
      </c>
      <c r="B307" s="41">
        <v>87.5</v>
      </c>
      <c r="C307" s="95">
        <v>280</v>
      </c>
      <c r="D307" s="96">
        <f t="shared" si="5"/>
        <v>4.666666666666667</v>
      </c>
      <c r="E307"/>
      <c r="F307"/>
      <c r="G307"/>
      <c r="H307"/>
      <c r="I307"/>
      <c r="J307"/>
    </row>
    <row r="308" spans="1:10">
      <c r="A308" s="36">
        <v>87.6</v>
      </c>
      <c r="B308" s="41">
        <v>87.6</v>
      </c>
      <c r="C308" s="95">
        <v>272</v>
      </c>
      <c r="D308" s="96">
        <f t="shared" si="5"/>
        <v>4.5333333333333332</v>
      </c>
      <c r="E308"/>
      <c r="F308"/>
      <c r="G308"/>
      <c r="H308"/>
      <c r="I308"/>
      <c r="J308"/>
    </row>
    <row r="309" spans="1:10">
      <c r="A309" s="36">
        <v>87.7</v>
      </c>
      <c r="B309" s="41">
        <v>87.7</v>
      </c>
      <c r="C309" s="95">
        <v>264</v>
      </c>
      <c r="D309" s="96">
        <f t="shared" si="5"/>
        <v>4.4000000000000004</v>
      </c>
      <c r="E309"/>
      <c r="F309"/>
      <c r="G309"/>
      <c r="H309"/>
      <c r="I309"/>
      <c r="J309"/>
    </row>
    <row r="310" spans="1:10">
      <c r="A310" s="36">
        <v>87.8</v>
      </c>
      <c r="B310" s="41">
        <v>87.8</v>
      </c>
      <c r="C310" s="95">
        <v>256</v>
      </c>
      <c r="D310" s="96">
        <f t="shared" si="5"/>
        <v>4.2666666666666666</v>
      </c>
      <c r="E310"/>
      <c r="F310"/>
      <c r="G310"/>
      <c r="H310"/>
      <c r="I310"/>
      <c r="J310"/>
    </row>
    <row r="311" spans="1:10">
      <c r="A311" s="36">
        <v>87.9</v>
      </c>
      <c r="B311" s="41">
        <v>87.9</v>
      </c>
      <c r="C311" s="95">
        <v>248</v>
      </c>
      <c r="D311" s="96">
        <f t="shared" si="5"/>
        <v>4.1333333333333337</v>
      </c>
      <c r="E311"/>
      <c r="F311"/>
      <c r="G311"/>
      <c r="H311"/>
      <c r="I311"/>
      <c r="J311"/>
    </row>
    <row r="312" spans="1:10">
      <c r="A312" s="36">
        <v>88</v>
      </c>
      <c r="B312" s="42">
        <v>88</v>
      </c>
      <c r="C312" s="94">
        <v>240</v>
      </c>
      <c r="D312" s="96">
        <f t="shared" si="5"/>
        <v>4</v>
      </c>
      <c r="E312"/>
      <c r="F312"/>
      <c r="G312"/>
      <c r="H312"/>
      <c r="I312"/>
      <c r="J312"/>
    </row>
    <row r="313" spans="1:10">
      <c r="A313" s="36">
        <v>88.1</v>
      </c>
      <c r="B313" s="41">
        <v>88.1</v>
      </c>
      <c r="C313" s="95">
        <v>236</v>
      </c>
      <c r="D313" s="96">
        <f t="shared" si="5"/>
        <v>3.9333333333333331</v>
      </c>
      <c r="E313"/>
      <c r="F313"/>
      <c r="G313"/>
      <c r="H313"/>
      <c r="I313"/>
      <c r="J313"/>
    </row>
    <row r="314" spans="1:10">
      <c r="A314" s="36">
        <v>88.2</v>
      </c>
      <c r="B314" s="41">
        <v>88.2</v>
      </c>
      <c r="C314" s="95">
        <v>232</v>
      </c>
      <c r="D314" s="96">
        <f t="shared" si="5"/>
        <v>3.8666666666666667</v>
      </c>
      <c r="E314"/>
      <c r="F314"/>
      <c r="G314"/>
      <c r="H314"/>
      <c r="I314"/>
      <c r="J314"/>
    </row>
    <row r="315" spans="1:10">
      <c r="A315" s="36">
        <v>88.3</v>
      </c>
      <c r="B315" s="41">
        <v>88.3</v>
      </c>
      <c r="C315" s="95">
        <v>228</v>
      </c>
      <c r="D315" s="96">
        <f t="shared" si="5"/>
        <v>3.8</v>
      </c>
      <c r="E315"/>
      <c r="F315"/>
      <c r="G315"/>
      <c r="H315"/>
      <c r="I315"/>
      <c r="J315"/>
    </row>
    <row r="316" spans="1:10">
      <c r="A316" s="36">
        <v>88.4</v>
      </c>
      <c r="B316" s="41">
        <v>88.4</v>
      </c>
      <c r="C316" s="95">
        <v>224</v>
      </c>
      <c r="D316" s="96">
        <f t="shared" si="5"/>
        <v>3.7333333333333334</v>
      </c>
      <c r="E316"/>
      <c r="F316"/>
      <c r="G316"/>
      <c r="H316"/>
      <c r="I316"/>
      <c r="J316"/>
    </row>
    <row r="317" spans="1:10">
      <c r="A317" s="36">
        <v>88.5</v>
      </c>
      <c r="B317" s="41">
        <v>88.5</v>
      </c>
      <c r="C317" s="95">
        <v>220</v>
      </c>
      <c r="D317" s="96">
        <f t="shared" si="5"/>
        <v>3.6666666666666665</v>
      </c>
      <c r="E317"/>
      <c r="F317"/>
      <c r="G317"/>
      <c r="H317"/>
      <c r="I317"/>
      <c r="J317"/>
    </row>
    <row r="318" spans="1:10">
      <c r="A318" s="36">
        <v>88.6</v>
      </c>
      <c r="B318" s="41">
        <v>88.6</v>
      </c>
      <c r="C318" s="95">
        <v>216</v>
      </c>
      <c r="D318" s="96">
        <f t="shared" si="5"/>
        <v>3.6</v>
      </c>
      <c r="E318"/>
      <c r="F318"/>
      <c r="G318"/>
      <c r="H318"/>
      <c r="I318"/>
      <c r="J318"/>
    </row>
    <row r="319" spans="1:10">
      <c r="A319" s="36">
        <v>88.7</v>
      </c>
      <c r="B319" s="41">
        <v>88.7</v>
      </c>
      <c r="C319" s="95">
        <v>212</v>
      </c>
      <c r="D319" s="96">
        <f t="shared" si="5"/>
        <v>3.5333333333333332</v>
      </c>
      <c r="E319"/>
      <c r="F319"/>
      <c r="G319"/>
      <c r="H319"/>
      <c r="I319"/>
      <c r="J319"/>
    </row>
    <row r="320" spans="1:10">
      <c r="A320" s="36">
        <v>88.8</v>
      </c>
      <c r="B320" s="41">
        <v>88.8</v>
      </c>
      <c r="C320" s="95">
        <v>208</v>
      </c>
      <c r="D320" s="96">
        <f t="shared" si="5"/>
        <v>3.4666666666666668</v>
      </c>
      <c r="E320"/>
      <c r="F320"/>
      <c r="G320"/>
      <c r="H320"/>
      <c r="I320"/>
      <c r="J320"/>
    </row>
    <row r="321" spans="1:10">
      <c r="A321" s="36">
        <v>88.9</v>
      </c>
      <c r="B321" s="41">
        <v>88.9</v>
      </c>
      <c r="C321" s="95">
        <v>204</v>
      </c>
      <c r="D321" s="96">
        <f t="shared" si="5"/>
        <v>3.4</v>
      </c>
      <c r="E321"/>
      <c r="F321"/>
      <c r="G321"/>
      <c r="H321"/>
      <c r="I321"/>
      <c r="J321"/>
    </row>
    <row r="322" spans="1:10">
      <c r="A322" s="36">
        <v>89</v>
      </c>
      <c r="B322" s="41">
        <v>89</v>
      </c>
      <c r="C322" s="95">
        <v>200</v>
      </c>
      <c r="D322" s="96">
        <f t="shared" si="5"/>
        <v>3.3333333333333335</v>
      </c>
      <c r="E322"/>
      <c r="F322"/>
      <c r="G322"/>
      <c r="H322"/>
      <c r="I322"/>
      <c r="J322"/>
    </row>
    <row r="323" spans="1:10">
      <c r="A323" s="36">
        <v>89.1</v>
      </c>
      <c r="B323" s="41">
        <v>89.1</v>
      </c>
      <c r="C323" s="95">
        <v>196</v>
      </c>
      <c r="D323" s="96">
        <f t="shared" si="5"/>
        <v>3.2666666666666666</v>
      </c>
      <c r="E323"/>
      <c r="F323"/>
      <c r="G323"/>
      <c r="H323"/>
      <c r="I323"/>
      <c r="J323"/>
    </row>
    <row r="324" spans="1:10">
      <c r="A324" s="36">
        <v>89.2</v>
      </c>
      <c r="B324" s="41">
        <v>89.2</v>
      </c>
      <c r="C324" s="95">
        <v>192</v>
      </c>
      <c r="D324" s="96">
        <f t="shared" si="5"/>
        <v>3.2</v>
      </c>
      <c r="E324"/>
      <c r="F324"/>
      <c r="G324"/>
      <c r="H324"/>
      <c r="I324"/>
      <c r="J324"/>
    </row>
    <row r="325" spans="1:10">
      <c r="A325" s="36">
        <v>89.3</v>
      </c>
      <c r="B325" s="41">
        <v>89.3</v>
      </c>
      <c r="C325" s="95">
        <v>188</v>
      </c>
      <c r="D325" s="96">
        <f t="shared" si="5"/>
        <v>3.1333333333333333</v>
      </c>
      <c r="E325"/>
      <c r="F325"/>
      <c r="G325"/>
      <c r="H325"/>
      <c r="I325"/>
      <c r="J325"/>
    </row>
    <row r="326" spans="1:10">
      <c r="A326" s="36">
        <v>89.4</v>
      </c>
      <c r="B326" s="41">
        <v>89.4</v>
      </c>
      <c r="C326" s="95">
        <v>184</v>
      </c>
      <c r="D326" s="96">
        <f t="shared" si="5"/>
        <v>3.0666666666666669</v>
      </c>
      <c r="E326"/>
      <c r="F326"/>
      <c r="G326"/>
      <c r="H326"/>
      <c r="I326"/>
      <c r="J326"/>
    </row>
    <row r="327" spans="1:10">
      <c r="A327" s="36">
        <v>89.5</v>
      </c>
      <c r="B327" s="41">
        <v>89.5</v>
      </c>
      <c r="C327" s="95">
        <v>180</v>
      </c>
      <c r="D327" s="96">
        <f t="shared" si="5"/>
        <v>3</v>
      </c>
      <c r="E327"/>
      <c r="F327"/>
      <c r="G327"/>
      <c r="H327"/>
      <c r="I327"/>
      <c r="J327"/>
    </row>
    <row r="328" spans="1:10">
      <c r="A328" s="36">
        <v>89.6</v>
      </c>
      <c r="B328" s="41">
        <v>89.6</v>
      </c>
      <c r="C328" s="95">
        <v>176</v>
      </c>
      <c r="D328" s="96">
        <f t="shared" si="5"/>
        <v>2.9333333333333331</v>
      </c>
      <c r="E328"/>
      <c r="F328"/>
      <c r="G328"/>
      <c r="H328"/>
      <c r="I328"/>
      <c r="J328"/>
    </row>
    <row r="329" spans="1:10">
      <c r="A329" s="36">
        <v>89.7</v>
      </c>
      <c r="B329" s="41">
        <v>89.7</v>
      </c>
      <c r="C329" s="95">
        <v>172</v>
      </c>
      <c r="D329" s="96">
        <f t="shared" si="5"/>
        <v>2.8666666666666667</v>
      </c>
      <c r="E329"/>
      <c r="F329"/>
      <c r="G329"/>
      <c r="H329"/>
      <c r="I329"/>
      <c r="J329"/>
    </row>
    <row r="330" spans="1:10">
      <c r="A330" s="36">
        <v>89.8</v>
      </c>
      <c r="B330" s="41">
        <v>89.8</v>
      </c>
      <c r="C330" s="95">
        <v>168</v>
      </c>
      <c r="D330" s="96">
        <f t="shared" si="5"/>
        <v>2.8</v>
      </c>
      <c r="E330"/>
      <c r="F330"/>
      <c r="G330"/>
      <c r="H330"/>
      <c r="I330"/>
      <c r="J330"/>
    </row>
    <row r="331" spans="1:10">
      <c r="A331" s="36">
        <v>89.9</v>
      </c>
      <c r="B331" s="41">
        <v>89.9</v>
      </c>
      <c r="C331" s="95">
        <v>164</v>
      </c>
      <c r="D331" s="96">
        <f t="shared" si="5"/>
        <v>2.7333333333333334</v>
      </c>
      <c r="E331"/>
      <c r="F331"/>
      <c r="G331"/>
      <c r="H331"/>
      <c r="I331"/>
      <c r="J331"/>
    </row>
    <row r="332" spans="1:10">
      <c r="A332" s="36">
        <v>90</v>
      </c>
      <c r="B332" s="41">
        <v>90</v>
      </c>
      <c r="C332" s="95">
        <v>160</v>
      </c>
      <c r="D332" s="96">
        <f t="shared" si="5"/>
        <v>2.6666666666666665</v>
      </c>
      <c r="E332"/>
      <c r="F332"/>
      <c r="G332"/>
      <c r="H332"/>
      <c r="I332"/>
      <c r="J332"/>
    </row>
    <row r="333" spans="1:10">
      <c r="A333" s="36">
        <v>90.1</v>
      </c>
      <c r="B333" s="41">
        <v>90.1</v>
      </c>
      <c r="C333" s="95">
        <v>156</v>
      </c>
      <c r="D333" s="96">
        <f t="shared" si="5"/>
        <v>2.6</v>
      </c>
      <c r="E333"/>
      <c r="F333"/>
      <c r="G333"/>
      <c r="H333"/>
      <c r="I333"/>
      <c r="J333"/>
    </row>
    <row r="334" spans="1:10">
      <c r="A334" s="36">
        <v>90.2</v>
      </c>
      <c r="B334" s="41">
        <v>90.2</v>
      </c>
      <c r="C334" s="95">
        <v>152</v>
      </c>
      <c r="D334" s="96">
        <f t="shared" ref="D334:D397" si="6">C334/60</f>
        <v>2.5333333333333332</v>
      </c>
      <c r="E334"/>
      <c r="F334"/>
      <c r="G334"/>
      <c r="H334"/>
      <c r="I334"/>
      <c r="J334"/>
    </row>
    <row r="335" spans="1:10">
      <c r="A335" s="36">
        <v>90.3</v>
      </c>
      <c r="B335" s="41">
        <v>90.3</v>
      </c>
      <c r="C335" s="95">
        <v>148</v>
      </c>
      <c r="D335" s="96">
        <f t="shared" si="6"/>
        <v>2.4666666666666668</v>
      </c>
      <c r="E335"/>
      <c r="F335"/>
      <c r="G335"/>
      <c r="H335"/>
      <c r="I335"/>
      <c r="J335"/>
    </row>
    <row r="336" spans="1:10">
      <c r="A336" s="36">
        <v>90.4</v>
      </c>
      <c r="B336" s="41">
        <v>90.4</v>
      </c>
      <c r="C336" s="95">
        <v>144</v>
      </c>
      <c r="D336" s="96">
        <f t="shared" si="6"/>
        <v>2.4</v>
      </c>
      <c r="E336"/>
      <c r="F336"/>
      <c r="G336"/>
      <c r="H336"/>
      <c r="I336"/>
      <c r="J336"/>
    </row>
    <row r="337" spans="1:10">
      <c r="A337" s="36">
        <v>90.5</v>
      </c>
      <c r="B337" s="41">
        <v>90.5</v>
      </c>
      <c r="C337" s="95">
        <v>140</v>
      </c>
      <c r="D337" s="96">
        <f t="shared" si="6"/>
        <v>2.3333333333333335</v>
      </c>
      <c r="E337"/>
      <c r="F337"/>
      <c r="G337"/>
      <c r="H337"/>
      <c r="I337"/>
      <c r="J337"/>
    </row>
    <row r="338" spans="1:10">
      <c r="A338" s="36">
        <v>90.6</v>
      </c>
      <c r="B338" s="41">
        <v>90.6</v>
      </c>
      <c r="C338" s="95">
        <v>136</v>
      </c>
      <c r="D338" s="96">
        <f t="shared" si="6"/>
        <v>2.2666666666666666</v>
      </c>
      <c r="E338"/>
      <c r="F338"/>
      <c r="G338"/>
      <c r="H338"/>
      <c r="I338"/>
      <c r="J338"/>
    </row>
    <row r="339" spans="1:10">
      <c r="A339" s="36">
        <v>90.7</v>
      </c>
      <c r="B339" s="41">
        <v>90.7</v>
      </c>
      <c r="C339" s="95">
        <v>132</v>
      </c>
      <c r="D339" s="96">
        <f t="shared" si="6"/>
        <v>2.2000000000000002</v>
      </c>
      <c r="E339"/>
      <c r="F339"/>
      <c r="G339"/>
      <c r="H339"/>
      <c r="I339"/>
      <c r="J339"/>
    </row>
    <row r="340" spans="1:10">
      <c r="A340" s="36">
        <v>90.8</v>
      </c>
      <c r="B340" s="41">
        <v>90.8</v>
      </c>
      <c r="C340" s="95">
        <v>128</v>
      </c>
      <c r="D340" s="96">
        <f t="shared" si="6"/>
        <v>2.1333333333333333</v>
      </c>
      <c r="E340"/>
      <c r="F340"/>
      <c r="G340"/>
      <c r="H340"/>
      <c r="I340"/>
      <c r="J340"/>
    </row>
    <row r="341" spans="1:10">
      <c r="A341" s="36">
        <v>90.9</v>
      </c>
      <c r="B341" s="41">
        <v>90.9</v>
      </c>
      <c r="C341" s="95">
        <v>124</v>
      </c>
      <c r="D341" s="96">
        <f t="shared" si="6"/>
        <v>2.0666666666666669</v>
      </c>
      <c r="E341"/>
      <c r="F341"/>
      <c r="G341"/>
      <c r="H341"/>
      <c r="I341"/>
      <c r="J341"/>
    </row>
    <row r="342" spans="1:10">
      <c r="A342" s="36">
        <v>91</v>
      </c>
      <c r="B342" s="42">
        <v>91</v>
      </c>
      <c r="C342" s="94">
        <v>120</v>
      </c>
      <c r="D342" s="96">
        <f t="shared" si="6"/>
        <v>2</v>
      </c>
      <c r="E342"/>
      <c r="F342"/>
      <c r="G342"/>
      <c r="H342"/>
      <c r="I342"/>
      <c r="J342"/>
    </row>
    <row r="343" spans="1:10">
      <c r="A343" s="36">
        <v>91.1</v>
      </c>
      <c r="B343" s="41">
        <v>91.1</v>
      </c>
      <c r="C343" s="95">
        <v>118</v>
      </c>
      <c r="D343" s="96">
        <f t="shared" si="6"/>
        <v>1.9666666666666666</v>
      </c>
      <c r="E343"/>
      <c r="F343"/>
      <c r="G343"/>
      <c r="H343"/>
      <c r="I343"/>
      <c r="J343"/>
    </row>
    <row r="344" spans="1:10">
      <c r="A344" s="36">
        <v>91.2</v>
      </c>
      <c r="B344" s="41">
        <v>91.2</v>
      </c>
      <c r="C344" s="95">
        <v>116</v>
      </c>
      <c r="D344" s="96">
        <f t="shared" si="6"/>
        <v>1.9333333333333333</v>
      </c>
      <c r="E344"/>
      <c r="F344"/>
      <c r="G344"/>
      <c r="H344"/>
      <c r="I344"/>
      <c r="J344"/>
    </row>
    <row r="345" spans="1:10">
      <c r="A345" s="36">
        <v>91.3</v>
      </c>
      <c r="B345" s="41">
        <v>91.3</v>
      </c>
      <c r="C345" s="95">
        <v>114</v>
      </c>
      <c r="D345" s="96">
        <f t="shared" si="6"/>
        <v>1.9</v>
      </c>
      <c r="E345"/>
      <c r="F345"/>
      <c r="G345"/>
      <c r="H345"/>
      <c r="I345"/>
      <c r="J345"/>
    </row>
    <row r="346" spans="1:10">
      <c r="A346" s="36">
        <v>91.4</v>
      </c>
      <c r="B346" s="41">
        <v>91.4</v>
      </c>
      <c r="C346" s="95">
        <v>112</v>
      </c>
      <c r="D346" s="96">
        <f t="shared" si="6"/>
        <v>1.8666666666666667</v>
      </c>
      <c r="E346"/>
      <c r="F346"/>
      <c r="G346"/>
      <c r="H346"/>
      <c r="I346"/>
      <c r="J346"/>
    </row>
    <row r="347" spans="1:10">
      <c r="A347" s="36">
        <v>91.5</v>
      </c>
      <c r="B347" s="41">
        <v>91.5</v>
      </c>
      <c r="C347" s="95">
        <v>110</v>
      </c>
      <c r="D347" s="96">
        <f t="shared" si="6"/>
        <v>1.8333333333333333</v>
      </c>
      <c r="E347"/>
      <c r="F347"/>
      <c r="G347"/>
      <c r="H347"/>
      <c r="I347"/>
      <c r="J347"/>
    </row>
    <row r="348" spans="1:10">
      <c r="A348" s="36">
        <v>91.6</v>
      </c>
      <c r="B348" s="41">
        <v>91.6</v>
      </c>
      <c r="C348" s="95">
        <v>108</v>
      </c>
      <c r="D348" s="96">
        <f t="shared" si="6"/>
        <v>1.8</v>
      </c>
      <c r="E348"/>
      <c r="F348"/>
      <c r="G348"/>
      <c r="H348"/>
      <c r="I348"/>
      <c r="J348"/>
    </row>
    <row r="349" spans="1:10">
      <c r="A349" s="36">
        <v>91.7</v>
      </c>
      <c r="B349" s="41">
        <v>91.7</v>
      </c>
      <c r="C349" s="95">
        <v>106</v>
      </c>
      <c r="D349" s="96">
        <f t="shared" si="6"/>
        <v>1.7666666666666666</v>
      </c>
      <c r="E349"/>
      <c r="F349"/>
      <c r="G349"/>
      <c r="H349"/>
      <c r="I349"/>
      <c r="J349"/>
    </row>
    <row r="350" spans="1:10">
      <c r="A350" s="36">
        <v>91.8</v>
      </c>
      <c r="B350" s="41">
        <v>91.8</v>
      </c>
      <c r="C350" s="95">
        <v>104</v>
      </c>
      <c r="D350" s="96">
        <f t="shared" si="6"/>
        <v>1.7333333333333334</v>
      </c>
      <c r="E350"/>
      <c r="F350"/>
      <c r="G350"/>
      <c r="H350"/>
      <c r="I350"/>
      <c r="J350"/>
    </row>
    <row r="351" spans="1:10">
      <c r="A351" s="36">
        <v>91.9</v>
      </c>
      <c r="B351" s="41">
        <v>91.9</v>
      </c>
      <c r="C351" s="95">
        <v>102</v>
      </c>
      <c r="D351" s="96">
        <f t="shared" si="6"/>
        <v>1.7</v>
      </c>
      <c r="E351"/>
      <c r="F351"/>
      <c r="G351"/>
      <c r="H351"/>
      <c r="I351"/>
      <c r="J351"/>
    </row>
    <row r="352" spans="1:10">
      <c r="A352" s="36">
        <v>92</v>
      </c>
      <c r="B352" s="41">
        <v>92</v>
      </c>
      <c r="C352" s="95">
        <v>100</v>
      </c>
      <c r="D352" s="96">
        <f t="shared" si="6"/>
        <v>1.6666666666666667</v>
      </c>
      <c r="E352"/>
      <c r="F352"/>
      <c r="G352"/>
      <c r="H352"/>
      <c r="I352"/>
      <c r="J352"/>
    </row>
    <row r="353" spans="1:10">
      <c r="A353" s="36">
        <v>92.1</v>
      </c>
      <c r="B353" s="41">
        <v>92.1</v>
      </c>
      <c r="C353" s="95">
        <v>98</v>
      </c>
      <c r="D353" s="96">
        <f t="shared" si="6"/>
        <v>1.6333333333333333</v>
      </c>
      <c r="E353"/>
      <c r="F353"/>
      <c r="G353"/>
      <c r="H353"/>
      <c r="I353"/>
      <c r="J353"/>
    </row>
    <row r="354" spans="1:10">
      <c r="A354" s="36">
        <v>92.2</v>
      </c>
      <c r="B354" s="41">
        <v>92.2</v>
      </c>
      <c r="C354" s="95">
        <v>96</v>
      </c>
      <c r="D354" s="96">
        <f t="shared" si="6"/>
        <v>1.6</v>
      </c>
      <c r="E354"/>
      <c r="F354"/>
      <c r="G354"/>
      <c r="H354"/>
      <c r="I354"/>
      <c r="J354"/>
    </row>
    <row r="355" spans="1:10">
      <c r="A355" s="36">
        <v>92.3</v>
      </c>
      <c r="B355" s="41">
        <v>92.3</v>
      </c>
      <c r="C355" s="95">
        <v>94</v>
      </c>
      <c r="D355" s="96">
        <f t="shared" si="6"/>
        <v>1.5666666666666667</v>
      </c>
      <c r="E355"/>
      <c r="F355"/>
      <c r="G355"/>
      <c r="H355"/>
      <c r="I355"/>
      <c r="J355"/>
    </row>
    <row r="356" spans="1:10">
      <c r="A356" s="36">
        <v>92.4</v>
      </c>
      <c r="B356" s="41">
        <v>92.4</v>
      </c>
      <c r="C356" s="95">
        <v>92</v>
      </c>
      <c r="D356" s="96">
        <f t="shared" si="6"/>
        <v>1.5333333333333334</v>
      </c>
      <c r="E356"/>
      <c r="F356"/>
      <c r="G356"/>
      <c r="H356"/>
      <c r="I356"/>
      <c r="J356"/>
    </row>
    <row r="357" spans="1:10">
      <c r="A357" s="36">
        <v>92.5</v>
      </c>
      <c r="B357" s="41">
        <v>92.5</v>
      </c>
      <c r="C357" s="95">
        <v>90</v>
      </c>
      <c r="D357" s="96">
        <f t="shared" si="6"/>
        <v>1.5</v>
      </c>
      <c r="E357"/>
      <c r="F357"/>
      <c r="G357"/>
      <c r="H357"/>
      <c r="I357"/>
      <c r="J357"/>
    </row>
    <row r="358" spans="1:10">
      <c r="A358" s="36">
        <v>92.6</v>
      </c>
      <c r="B358" s="41">
        <v>92.6</v>
      </c>
      <c r="C358" s="95">
        <v>88</v>
      </c>
      <c r="D358" s="96">
        <f t="shared" si="6"/>
        <v>1.4666666666666666</v>
      </c>
      <c r="E358"/>
      <c r="F358"/>
      <c r="G358"/>
      <c r="H358"/>
      <c r="I358"/>
      <c r="J358"/>
    </row>
    <row r="359" spans="1:10">
      <c r="A359" s="36">
        <v>92.7</v>
      </c>
      <c r="B359" s="41">
        <v>92.7</v>
      </c>
      <c r="C359" s="95">
        <v>86</v>
      </c>
      <c r="D359" s="96">
        <f t="shared" si="6"/>
        <v>1.4333333333333333</v>
      </c>
      <c r="E359"/>
      <c r="F359"/>
      <c r="G359"/>
      <c r="H359"/>
      <c r="I359"/>
      <c r="J359"/>
    </row>
    <row r="360" spans="1:10">
      <c r="A360" s="36">
        <v>92.8</v>
      </c>
      <c r="B360" s="41">
        <v>92.8</v>
      </c>
      <c r="C360" s="95">
        <v>84</v>
      </c>
      <c r="D360" s="96">
        <f t="shared" si="6"/>
        <v>1.4</v>
      </c>
      <c r="E360"/>
      <c r="F360"/>
      <c r="G360"/>
      <c r="H360"/>
      <c r="I360"/>
      <c r="J360"/>
    </row>
    <row r="361" spans="1:10">
      <c r="A361" s="36">
        <v>92.9</v>
      </c>
      <c r="B361" s="41">
        <v>92.9</v>
      </c>
      <c r="C361" s="95">
        <v>82</v>
      </c>
      <c r="D361" s="96">
        <f t="shared" si="6"/>
        <v>1.3666666666666667</v>
      </c>
      <c r="E361"/>
      <c r="F361"/>
      <c r="G361"/>
      <c r="H361"/>
      <c r="I361"/>
      <c r="J361"/>
    </row>
    <row r="362" spans="1:10">
      <c r="A362" s="36">
        <v>93</v>
      </c>
      <c r="B362" s="41">
        <v>93</v>
      </c>
      <c r="C362" s="95">
        <v>80</v>
      </c>
      <c r="D362" s="96">
        <f t="shared" si="6"/>
        <v>1.3333333333333333</v>
      </c>
      <c r="E362"/>
      <c r="F362"/>
      <c r="G362"/>
      <c r="H362"/>
      <c r="I362"/>
      <c r="J362"/>
    </row>
    <row r="363" spans="1:10">
      <c r="A363" s="36">
        <v>93.1</v>
      </c>
      <c r="B363" s="41">
        <v>93.1</v>
      </c>
      <c r="C363" s="95">
        <v>78</v>
      </c>
      <c r="D363" s="96">
        <f t="shared" si="6"/>
        <v>1.3</v>
      </c>
      <c r="E363"/>
      <c r="F363"/>
      <c r="G363"/>
      <c r="H363"/>
      <c r="I363"/>
      <c r="J363"/>
    </row>
    <row r="364" spans="1:10">
      <c r="A364" s="36">
        <v>93.2</v>
      </c>
      <c r="B364" s="41">
        <v>93.2</v>
      </c>
      <c r="C364" s="95">
        <v>76</v>
      </c>
      <c r="D364" s="96">
        <f t="shared" si="6"/>
        <v>1.2666666666666666</v>
      </c>
      <c r="E364"/>
      <c r="F364"/>
      <c r="G364"/>
      <c r="H364"/>
      <c r="I364"/>
      <c r="J364"/>
    </row>
    <row r="365" spans="1:10">
      <c r="A365" s="36">
        <v>93.3</v>
      </c>
      <c r="B365" s="41">
        <v>93.3</v>
      </c>
      <c r="C365" s="95">
        <v>74</v>
      </c>
      <c r="D365" s="96">
        <f t="shared" si="6"/>
        <v>1.2333333333333334</v>
      </c>
      <c r="E365"/>
      <c r="F365"/>
      <c r="G365"/>
      <c r="H365"/>
      <c r="I365"/>
      <c r="J365"/>
    </row>
    <row r="366" spans="1:10">
      <c r="A366" s="36">
        <v>93.4</v>
      </c>
      <c r="B366" s="41">
        <v>93.4</v>
      </c>
      <c r="C366" s="95">
        <v>72</v>
      </c>
      <c r="D366" s="96">
        <f t="shared" si="6"/>
        <v>1.2</v>
      </c>
      <c r="E366"/>
      <c r="F366"/>
      <c r="G366"/>
      <c r="H366"/>
      <c r="I366"/>
      <c r="J366"/>
    </row>
    <row r="367" spans="1:10">
      <c r="A367" s="36">
        <v>93.5</v>
      </c>
      <c r="B367" s="41">
        <v>93.5</v>
      </c>
      <c r="C367" s="95">
        <v>70</v>
      </c>
      <c r="D367" s="96">
        <f t="shared" si="6"/>
        <v>1.1666666666666667</v>
      </c>
      <c r="E367"/>
      <c r="F367"/>
      <c r="G367"/>
      <c r="H367"/>
      <c r="I367"/>
      <c r="J367"/>
    </row>
    <row r="368" spans="1:10">
      <c r="A368" s="36">
        <v>93.6</v>
      </c>
      <c r="B368" s="41">
        <v>93.6</v>
      </c>
      <c r="C368" s="95">
        <v>68</v>
      </c>
      <c r="D368" s="96">
        <f t="shared" si="6"/>
        <v>1.1333333333333333</v>
      </c>
      <c r="E368"/>
      <c r="F368"/>
      <c r="G368"/>
      <c r="H368"/>
      <c r="I368"/>
      <c r="J368"/>
    </row>
    <row r="369" spans="1:10">
      <c r="A369" s="36">
        <v>93.7</v>
      </c>
      <c r="B369" s="41">
        <v>93.7</v>
      </c>
      <c r="C369" s="95">
        <v>66</v>
      </c>
      <c r="D369" s="96">
        <f t="shared" si="6"/>
        <v>1.1000000000000001</v>
      </c>
      <c r="E369"/>
      <c r="F369"/>
      <c r="G369"/>
      <c r="H369"/>
      <c r="I369"/>
      <c r="J369"/>
    </row>
    <row r="370" spans="1:10">
      <c r="A370" s="36">
        <v>93.8</v>
      </c>
      <c r="B370" s="41">
        <v>93.8</v>
      </c>
      <c r="C370" s="95">
        <v>64</v>
      </c>
      <c r="D370" s="96">
        <f t="shared" si="6"/>
        <v>1.0666666666666667</v>
      </c>
      <c r="E370"/>
      <c r="F370"/>
      <c r="G370"/>
      <c r="H370"/>
      <c r="I370"/>
      <c r="J370"/>
    </row>
    <row r="371" spans="1:10">
      <c r="A371" s="36">
        <v>93.9</v>
      </c>
      <c r="B371" s="41">
        <v>93.9</v>
      </c>
      <c r="C371" s="95">
        <v>62</v>
      </c>
      <c r="D371" s="96">
        <f t="shared" si="6"/>
        <v>1.0333333333333334</v>
      </c>
      <c r="E371"/>
      <c r="F371"/>
      <c r="G371"/>
      <c r="H371"/>
      <c r="I371"/>
      <c r="J371"/>
    </row>
    <row r="372" spans="1:10">
      <c r="A372" s="36">
        <v>94</v>
      </c>
      <c r="B372" s="42">
        <v>94</v>
      </c>
      <c r="C372" s="94">
        <v>60</v>
      </c>
      <c r="D372" s="96">
        <f t="shared" si="6"/>
        <v>1</v>
      </c>
      <c r="E372"/>
      <c r="F372"/>
      <c r="G372"/>
      <c r="H372"/>
      <c r="I372"/>
      <c r="J372"/>
    </row>
    <row r="373" spans="1:10">
      <c r="A373" s="36">
        <v>94.1</v>
      </c>
      <c r="B373" s="41">
        <v>94.1</v>
      </c>
      <c r="C373" s="95">
        <v>59</v>
      </c>
      <c r="D373" s="96">
        <f t="shared" si="6"/>
        <v>0.98333333333333328</v>
      </c>
      <c r="E373"/>
      <c r="F373"/>
      <c r="G373"/>
      <c r="H373"/>
      <c r="I373"/>
      <c r="J373"/>
    </row>
    <row r="374" spans="1:10">
      <c r="A374" s="36">
        <v>94.2</v>
      </c>
      <c r="B374" s="41">
        <v>94.2</v>
      </c>
      <c r="C374" s="95">
        <v>58</v>
      </c>
      <c r="D374" s="96">
        <f t="shared" si="6"/>
        <v>0.96666666666666667</v>
      </c>
      <c r="E374"/>
      <c r="F374"/>
      <c r="G374"/>
      <c r="H374"/>
      <c r="I374"/>
      <c r="J374"/>
    </row>
    <row r="375" spans="1:10">
      <c r="A375" s="36">
        <v>94.3</v>
      </c>
      <c r="B375" s="41">
        <v>94.3</v>
      </c>
      <c r="C375" s="95">
        <v>57</v>
      </c>
      <c r="D375" s="96">
        <f t="shared" si="6"/>
        <v>0.95</v>
      </c>
      <c r="E375"/>
      <c r="F375"/>
      <c r="G375"/>
      <c r="H375"/>
      <c r="I375"/>
      <c r="J375"/>
    </row>
    <row r="376" spans="1:10">
      <c r="A376" s="36">
        <v>94.4</v>
      </c>
      <c r="B376" s="41">
        <v>94.4</v>
      </c>
      <c r="C376" s="95">
        <v>56</v>
      </c>
      <c r="D376" s="96">
        <f t="shared" si="6"/>
        <v>0.93333333333333335</v>
      </c>
      <c r="E376"/>
      <c r="F376"/>
      <c r="G376"/>
      <c r="H376"/>
      <c r="I376"/>
      <c r="J376"/>
    </row>
    <row r="377" spans="1:10">
      <c r="A377" s="36">
        <v>94.5</v>
      </c>
      <c r="B377" s="41">
        <v>94.5</v>
      </c>
      <c r="C377" s="95">
        <v>55</v>
      </c>
      <c r="D377" s="96">
        <f t="shared" si="6"/>
        <v>0.91666666666666663</v>
      </c>
      <c r="E377"/>
      <c r="F377"/>
      <c r="G377"/>
      <c r="H377"/>
      <c r="I377"/>
      <c r="J377"/>
    </row>
    <row r="378" spans="1:10">
      <c r="A378" s="36">
        <v>94.6</v>
      </c>
      <c r="B378" s="41">
        <v>94.6</v>
      </c>
      <c r="C378" s="95">
        <v>54</v>
      </c>
      <c r="D378" s="96">
        <f t="shared" si="6"/>
        <v>0.9</v>
      </c>
      <c r="E378"/>
      <c r="F378"/>
      <c r="G378"/>
      <c r="H378"/>
      <c r="I378"/>
      <c r="J378"/>
    </row>
    <row r="379" spans="1:10">
      <c r="A379" s="36">
        <v>94.7</v>
      </c>
      <c r="B379" s="41">
        <v>94.7</v>
      </c>
      <c r="C379" s="95">
        <v>53</v>
      </c>
      <c r="D379" s="96">
        <f t="shared" si="6"/>
        <v>0.8833333333333333</v>
      </c>
      <c r="E379"/>
      <c r="F379"/>
      <c r="G379"/>
      <c r="H379"/>
      <c r="I379"/>
      <c r="J379"/>
    </row>
    <row r="380" spans="1:10">
      <c r="A380" s="36">
        <v>94.8</v>
      </c>
      <c r="B380" s="41">
        <v>94.8</v>
      </c>
      <c r="C380" s="95">
        <v>52</v>
      </c>
      <c r="D380" s="96">
        <f t="shared" si="6"/>
        <v>0.8666666666666667</v>
      </c>
      <c r="E380"/>
      <c r="F380"/>
      <c r="G380"/>
      <c r="H380"/>
      <c r="I380"/>
      <c r="J380"/>
    </row>
    <row r="381" spans="1:10">
      <c r="A381" s="36">
        <v>94.9</v>
      </c>
      <c r="B381" s="41">
        <v>94.9</v>
      </c>
      <c r="C381" s="95">
        <v>51</v>
      </c>
      <c r="D381" s="96">
        <f t="shared" si="6"/>
        <v>0.85</v>
      </c>
      <c r="E381"/>
      <c r="F381"/>
      <c r="G381"/>
      <c r="H381"/>
      <c r="I381"/>
      <c r="J381"/>
    </row>
    <row r="382" spans="1:10">
      <c r="A382" s="36">
        <v>95</v>
      </c>
      <c r="B382" s="41">
        <v>95</v>
      </c>
      <c r="C382" s="95">
        <v>50</v>
      </c>
      <c r="D382" s="96">
        <f t="shared" si="6"/>
        <v>0.83333333333333337</v>
      </c>
      <c r="E382"/>
      <c r="F382"/>
      <c r="G382"/>
      <c r="H382"/>
      <c r="I382"/>
      <c r="J382"/>
    </row>
    <row r="383" spans="1:10">
      <c r="A383" s="36">
        <v>95.1</v>
      </c>
      <c r="B383" s="41">
        <v>95.1</v>
      </c>
      <c r="C383" s="95">
        <v>49</v>
      </c>
      <c r="D383" s="96">
        <f t="shared" si="6"/>
        <v>0.81666666666666665</v>
      </c>
      <c r="E383"/>
      <c r="F383"/>
      <c r="G383"/>
      <c r="H383"/>
      <c r="I383"/>
      <c r="J383"/>
    </row>
    <row r="384" spans="1:10">
      <c r="A384" s="36">
        <v>95.2</v>
      </c>
      <c r="B384" s="41">
        <v>95.2</v>
      </c>
      <c r="C384" s="95">
        <v>48</v>
      </c>
      <c r="D384" s="96">
        <f t="shared" si="6"/>
        <v>0.8</v>
      </c>
      <c r="E384"/>
      <c r="F384"/>
      <c r="G384"/>
      <c r="H384"/>
      <c r="I384"/>
      <c r="J384"/>
    </row>
    <row r="385" spans="1:10">
      <c r="A385" s="36">
        <v>95.3</v>
      </c>
      <c r="B385" s="41">
        <v>95.3</v>
      </c>
      <c r="C385" s="95">
        <v>47</v>
      </c>
      <c r="D385" s="96">
        <f t="shared" si="6"/>
        <v>0.78333333333333333</v>
      </c>
      <c r="E385"/>
      <c r="F385"/>
      <c r="G385"/>
      <c r="H385"/>
      <c r="I385"/>
      <c r="J385"/>
    </row>
    <row r="386" spans="1:10">
      <c r="A386" s="36">
        <v>95.4</v>
      </c>
      <c r="B386" s="41">
        <v>95.4</v>
      </c>
      <c r="C386" s="95">
        <v>46</v>
      </c>
      <c r="D386" s="96">
        <f t="shared" si="6"/>
        <v>0.76666666666666672</v>
      </c>
      <c r="E386"/>
      <c r="F386"/>
      <c r="G386"/>
      <c r="H386"/>
      <c r="I386"/>
      <c r="J386"/>
    </row>
    <row r="387" spans="1:10">
      <c r="A387" s="36">
        <v>95.5</v>
      </c>
      <c r="B387" s="41">
        <v>95.5</v>
      </c>
      <c r="C387" s="95">
        <v>45</v>
      </c>
      <c r="D387" s="96">
        <f t="shared" si="6"/>
        <v>0.75</v>
      </c>
      <c r="E387"/>
      <c r="F387"/>
      <c r="G387"/>
      <c r="H387"/>
      <c r="I387"/>
      <c r="J387"/>
    </row>
    <row r="388" spans="1:10">
      <c r="A388" s="36">
        <v>95.6</v>
      </c>
      <c r="B388" s="41">
        <v>95.6</v>
      </c>
      <c r="C388" s="95">
        <v>44</v>
      </c>
      <c r="D388" s="96">
        <f t="shared" si="6"/>
        <v>0.73333333333333328</v>
      </c>
      <c r="E388"/>
      <c r="F388"/>
      <c r="G388"/>
      <c r="H388"/>
      <c r="I388"/>
      <c r="J388"/>
    </row>
    <row r="389" spans="1:10">
      <c r="A389" s="36">
        <v>95.7</v>
      </c>
      <c r="B389" s="41">
        <v>95.7</v>
      </c>
      <c r="C389" s="95">
        <v>43</v>
      </c>
      <c r="D389" s="96">
        <f t="shared" si="6"/>
        <v>0.71666666666666667</v>
      </c>
      <c r="E389"/>
      <c r="F389"/>
      <c r="G389"/>
      <c r="H389"/>
      <c r="I389"/>
      <c r="J389"/>
    </row>
    <row r="390" spans="1:10">
      <c r="A390" s="36">
        <v>95.8</v>
      </c>
      <c r="B390" s="41">
        <v>95.8</v>
      </c>
      <c r="C390" s="95">
        <v>42</v>
      </c>
      <c r="D390" s="96">
        <f t="shared" si="6"/>
        <v>0.7</v>
      </c>
      <c r="E390"/>
      <c r="F390"/>
      <c r="G390"/>
      <c r="H390"/>
      <c r="I390"/>
      <c r="J390"/>
    </row>
    <row r="391" spans="1:10">
      <c r="A391" s="36">
        <v>95.9</v>
      </c>
      <c r="B391" s="41">
        <v>95.9</v>
      </c>
      <c r="C391" s="95">
        <v>41</v>
      </c>
      <c r="D391" s="96">
        <f t="shared" si="6"/>
        <v>0.68333333333333335</v>
      </c>
      <c r="E391"/>
      <c r="F391"/>
      <c r="G391"/>
      <c r="H391"/>
      <c r="I391"/>
      <c r="J391"/>
    </row>
    <row r="392" spans="1:10">
      <c r="A392" s="36">
        <v>96</v>
      </c>
      <c r="B392" s="41">
        <v>96</v>
      </c>
      <c r="C392" s="95">
        <v>40</v>
      </c>
      <c r="D392" s="96">
        <f t="shared" si="6"/>
        <v>0.66666666666666663</v>
      </c>
      <c r="E392"/>
      <c r="F392"/>
      <c r="G392"/>
      <c r="H392"/>
      <c r="I392"/>
      <c r="J392"/>
    </row>
    <row r="393" spans="1:10">
      <c r="A393" s="36">
        <v>96.1</v>
      </c>
      <c r="B393" s="41">
        <v>96.1</v>
      </c>
      <c r="C393" s="95">
        <v>39</v>
      </c>
      <c r="D393" s="96">
        <f t="shared" si="6"/>
        <v>0.65</v>
      </c>
      <c r="E393"/>
      <c r="F393"/>
      <c r="G393"/>
      <c r="H393"/>
      <c r="I393"/>
      <c r="J393"/>
    </row>
    <row r="394" spans="1:10">
      <c r="A394" s="36">
        <v>96.2</v>
      </c>
      <c r="B394" s="41">
        <v>96.2</v>
      </c>
      <c r="C394" s="95">
        <v>38</v>
      </c>
      <c r="D394" s="96">
        <f t="shared" si="6"/>
        <v>0.6333333333333333</v>
      </c>
      <c r="E394"/>
      <c r="F394"/>
      <c r="G394"/>
      <c r="H394"/>
      <c r="I394"/>
      <c r="J394"/>
    </row>
    <row r="395" spans="1:10">
      <c r="A395" s="36">
        <v>96.3</v>
      </c>
      <c r="B395" s="41">
        <v>96.3</v>
      </c>
      <c r="C395" s="95">
        <v>37</v>
      </c>
      <c r="D395" s="96">
        <f t="shared" si="6"/>
        <v>0.6166666666666667</v>
      </c>
      <c r="E395"/>
      <c r="F395"/>
      <c r="G395"/>
      <c r="H395"/>
      <c r="I395"/>
      <c r="J395"/>
    </row>
    <row r="396" spans="1:10">
      <c r="A396" s="36">
        <v>96.4</v>
      </c>
      <c r="B396" s="41">
        <v>96.4</v>
      </c>
      <c r="C396" s="95">
        <v>36</v>
      </c>
      <c r="D396" s="96">
        <f t="shared" si="6"/>
        <v>0.6</v>
      </c>
      <c r="E396"/>
      <c r="F396"/>
      <c r="G396"/>
      <c r="H396"/>
      <c r="I396"/>
      <c r="J396"/>
    </row>
    <row r="397" spans="1:10">
      <c r="A397" s="36">
        <v>96.5</v>
      </c>
      <c r="B397" s="41">
        <v>96.5</v>
      </c>
      <c r="C397" s="95">
        <v>35</v>
      </c>
      <c r="D397" s="96">
        <f t="shared" si="6"/>
        <v>0.58333333333333337</v>
      </c>
      <c r="E397"/>
      <c r="F397"/>
      <c r="G397"/>
      <c r="H397"/>
      <c r="I397"/>
      <c r="J397"/>
    </row>
    <row r="398" spans="1:10">
      <c r="A398" s="36">
        <v>96.6</v>
      </c>
      <c r="B398" s="41">
        <v>96.6</v>
      </c>
      <c r="C398" s="95">
        <v>34</v>
      </c>
      <c r="D398" s="96">
        <f t="shared" ref="D398:D461" si="7">C398/60</f>
        <v>0.56666666666666665</v>
      </c>
      <c r="E398"/>
      <c r="F398"/>
      <c r="G398"/>
      <c r="H398"/>
      <c r="I398"/>
      <c r="J398"/>
    </row>
    <row r="399" spans="1:10">
      <c r="A399" s="36">
        <v>96.7</v>
      </c>
      <c r="B399" s="41">
        <v>96.7</v>
      </c>
      <c r="C399" s="95">
        <v>33</v>
      </c>
      <c r="D399" s="96">
        <f t="shared" si="7"/>
        <v>0.55000000000000004</v>
      </c>
      <c r="E399"/>
      <c r="F399"/>
      <c r="G399"/>
      <c r="H399"/>
      <c r="I399"/>
      <c r="J399"/>
    </row>
    <row r="400" spans="1:10">
      <c r="A400" s="36">
        <v>96.8</v>
      </c>
      <c r="B400" s="41">
        <v>96.8</v>
      </c>
      <c r="C400" s="95">
        <v>32</v>
      </c>
      <c r="D400" s="96">
        <f t="shared" si="7"/>
        <v>0.53333333333333333</v>
      </c>
      <c r="E400"/>
      <c r="F400"/>
      <c r="G400"/>
      <c r="H400"/>
      <c r="I400"/>
      <c r="J400"/>
    </row>
    <row r="401" spans="1:10">
      <c r="A401" s="36">
        <v>96.9</v>
      </c>
      <c r="B401" s="41">
        <v>96.9</v>
      </c>
      <c r="C401" s="95">
        <v>31</v>
      </c>
      <c r="D401" s="96">
        <f t="shared" si="7"/>
        <v>0.51666666666666672</v>
      </c>
      <c r="E401"/>
      <c r="F401"/>
      <c r="G401"/>
      <c r="H401"/>
      <c r="I401"/>
      <c r="J401"/>
    </row>
    <row r="402" spans="1:10">
      <c r="A402" s="36">
        <v>97</v>
      </c>
      <c r="B402" s="42">
        <v>97</v>
      </c>
      <c r="C402" s="94">
        <v>30</v>
      </c>
      <c r="D402" s="96">
        <f t="shared" si="7"/>
        <v>0.5</v>
      </c>
      <c r="E402"/>
      <c r="F402"/>
      <c r="G402"/>
      <c r="H402"/>
      <c r="I402"/>
      <c r="J402"/>
    </row>
    <row r="403" spans="1:10">
      <c r="A403" s="36">
        <v>97.1</v>
      </c>
      <c r="B403" s="41">
        <v>97.1</v>
      </c>
      <c r="C403" s="95">
        <v>29.5</v>
      </c>
      <c r="D403" s="96">
        <f t="shared" si="7"/>
        <v>0.49166666666666664</v>
      </c>
      <c r="E403"/>
      <c r="F403"/>
      <c r="G403"/>
      <c r="H403"/>
      <c r="I403"/>
      <c r="J403"/>
    </row>
    <row r="404" spans="1:10">
      <c r="A404" s="36">
        <v>97.2</v>
      </c>
      <c r="B404" s="41">
        <v>97.2</v>
      </c>
      <c r="C404" s="95">
        <v>29</v>
      </c>
      <c r="D404" s="96">
        <f t="shared" si="7"/>
        <v>0.48333333333333334</v>
      </c>
      <c r="E404"/>
      <c r="F404"/>
      <c r="G404"/>
      <c r="H404"/>
      <c r="I404"/>
      <c r="J404"/>
    </row>
    <row r="405" spans="1:10">
      <c r="A405" s="36">
        <v>97.3</v>
      </c>
      <c r="B405" s="41">
        <v>97.3</v>
      </c>
      <c r="C405" s="95">
        <v>28.5</v>
      </c>
      <c r="D405" s="96">
        <f t="shared" si="7"/>
        <v>0.47499999999999998</v>
      </c>
      <c r="E405"/>
      <c r="F405"/>
      <c r="G405"/>
      <c r="H405"/>
      <c r="I405"/>
      <c r="J405"/>
    </row>
    <row r="406" spans="1:10">
      <c r="A406" s="36">
        <v>97.4</v>
      </c>
      <c r="B406" s="41">
        <v>97.4</v>
      </c>
      <c r="C406" s="95">
        <v>28</v>
      </c>
      <c r="D406" s="96">
        <f t="shared" si="7"/>
        <v>0.46666666666666667</v>
      </c>
      <c r="E406"/>
      <c r="F406"/>
      <c r="G406"/>
      <c r="H406"/>
      <c r="I406"/>
      <c r="J406"/>
    </row>
    <row r="407" spans="1:10">
      <c r="A407" s="36">
        <v>97.5</v>
      </c>
      <c r="B407" s="41">
        <v>97.5</v>
      </c>
      <c r="C407" s="95">
        <v>27.5</v>
      </c>
      <c r="D407" s="96">
        <f t="shared" si="7"/>
        <v>0.45833333333333331</v>
      </c>
      <c r="E407"/>
      <c r="F407"/>
      <c r="G407"/>
      <c r="H407"/>
      <c r="I407"/>
      <c r="J407"/>
    </row>
    <row r="408" spans="1:10">
      <c r="A408" s="36">
        <v>97.6</v>
      </c>
      <c r="B408" s="41">
        <v>97.6</v>
      </c>
      <c r="C408" s="95">
        <v>27</v>
      </c>
      <c r="D408" s="96">
        <f t="shared" si="7"/>
        <v>0.45</v>
      </c>
      <c r="E408"/>
      <c r="F408"/>
      <c r="G408"/>
      <c r="H408"/>
      <c r="I408"/>
      <c r="J408"/>
    </row>
    <row r="409" spans="1:10">
      <c r="A409" s="36">
        <v>97.7</v>
      </c>
      <c r="B409" s="41">
        <v>97.7</v>
      </c>
      <c r="C409" s="95">
        <v>26.5</v>
      </c>
      <c r="D409" s="96">
        <f t="shared" si="7"/>
        <v>0.44166666666666665</v>
      </c>
      <c r="E409"/>
      <c r="F409"/>
      <c r="G409"/>
      <c r="H409"/>
      <c r="I409"/>
      <c r="J409"/>
    </row>
    <row r="410" spans="1:10">
      <c r="A410" s="36">
        <v>97.8</v>
      </c>
      <c r="B410" s="41">
        <v>97.8</v>
      </c>
      <c r="C410" s="95">
        <v>26</v>
      </c>
      <c r="D410" s="96">
        <f t="shared" si="7"/>
        <v>0.43333333333333335</v>
      </c>
      <c r="E410"/>
      <c r="F410"/>
      <c r="G410"/>
      <c r="H410"/>
      <c r="I410"/>
      <c r="J410"/>
    </row>
    <row r="411" spans="1:10">
      <c r="A411" s="36">
        <v>97.9</v>
      </c>
      <c r="B411" s="41">
        <v>97.9</v>
      </c>
      <c r="C411" s="95">
        <v>25.5</v>
      </c>
      <c r="D411" s="96">
        <f t="shared" si="7"/>
        <v>0.42499999999999999</v>
      </c>
      <c r="E411"/>
      <c r="F411"/>
      <c r="G411"/>
      <c r="H411"/>
      <c r="I411"/>
      <c r="J411"/>
    </row>
    <row r="412" spans="1:10">
      <c r="A412" s="36">
        <v>98</v>
      </c>
      <c r="B412" s="41">
        <v>98</v>
      </c>
      <c r="C412" s="95">
        <v>25</v>
      </c>
      <c r="D412" s="96">
        <f t="shared" si="7"/>
        <v>0.41666666666666669</v>
      </c>
      <c r="E412"/>
      <c r="F412"/>
      <c r="G412"/>
      <c r="H412"/>
      <c r="I412"/>
      <c r="J412"/>
    </row>
    <row r="413" spans="1:10">
      <c r="A413" s="36">
        <v>98.1</v>
      </c>
      <c r="B413" s="41">
        <v>98.1</v>
      </c>
      <c r="C413" s="95">
        <v>24.5</v>
      </c>
      <c r="D413" s="96">
        <f t="shared" si="7"/>
        <v>0.40833333333333333</v>
      </c>
      <c r="E413"/>
      <c r="F413"/>
      <c r="G413"/>
      <c r="H413"/>
      <c r="I413"/>
      <c r="J413"/>
    </row>
    <row r="414" spans="1:10">
      <c r="A414" s="36">
        <v>98.2</v>
      </c>
      <c r="B414" s="41">
        <v>98.2</v>
      </c>
      <c r="C414" s="95">
        <v>24</v>
      </c>
      <c r="D414" s="96">
        <f t="shared" si="7"/>
        <v>0.4</v>
      </c>
      <c r="E414"/>
      <c r="F414"/>
      <c r="G414"/>
      <c r="H414"/>
      <c r="I414"/>
      <c r="J414"/>
    </row>
    <row r="415" spans="1:10">
      <c r="A415" s="36">
        <v>98.3</v>
      </c>
      <c r="B415" s="41">
        <v>98.3</v>
      </c>
      <c r="C415" s="95">
        <v>23.5</v>
      </c>
      <c r="D415" s="96">
        <f t="shared" si="7"/>
        <v>0.39166666666666666</v>
      </c>
      <c r="E415"/>
      <c r="F415"/>
      <c r="G415"/>
      <c r="H415"/>
      <c r="I415"/>
      <c r="J415"/>
    </row>
    <row r="416" spans="1:10">
      <c r="A416" s="36">
        <v>98.4</v>
      </c>
      <c r="B416" s="41">
        <v>98.4</v>
      </c>
      <c r="C416" s="95">
        <v>23</v>
      </c>
      <c r="D416" s="96">
        <f t="shared" si="7"/>
        <v>0.38333333333333336</v>
      </c>
      <c r="E416"/>
      <c r="F416"/>
      <c r="G416"/>
      <c r="H416"/>
      <c r="I416"/>
      <c r="J416"/>
    </row>
    <row r="417" spans="1:10">
      <c r="A417" s="36">
        <v>98.5</v>
      </c>
      <c r="B417" s="41">
        <v>98.5</v>
      </c>
      <c r="C417" s="95">
        <v>22.5</v>
      </c>
      <c r="D417" s="96">
        <f t="shared" si="7"/>
        <v>0.375</v>
      </c>
      <c r="E417"/>
      <c r="F417"/>
      <c r="G417"/>
      <c r="H417"/>
      <c r="I417"/>
      <c r="J417"/>
    </row>
    <row r="418" spans="1:10">
      <c r="A418" s="36">
        <v>98.6</v>
      </c>
      <c r="B418" s="41">
        <v>98.6</v>
      </c>
      <c r="C418" s="95">
        <v>22</v>
      </c>
      <c r="D418" s="96">
        <f t="shared" si="7"/>
        <v>0.36666666666666664</v>
      </c>
      <c r="E418"/>
      <c r="F418"/>
      <c r="G418"/>
      <c r="H418"/>
      <c r="I418"/>
      <c r="J418"/>
    </row>
    <row r="419" spans="1:10">
      <c r="A419" s="36">
        <v>98.7</v>
      </c>
      <c r="B419" s="41">
        <v>98.7</v>
      </c>
      <c r="C419" s="95">
        <v>21.5</v>
      </c>
      <c r="D419" s="96">
        <f t="shared" si="7"/>
        <v>0.35833333333333334</v>
      </c>
      <c r="E419"/>
      <c r="F419"/>
      <c r="G419"/>
      <c r="H419"/>
      <c r="I419"/>
      <c r="J419"/>
    </row>
    <row r="420" spans="1:10">
      <c r="A420" s="36">
        <v>98.8</v>
      </c>
      <c r="B420" s="41">
        <v>98.8</v>
      </c>
      <c r="C420" s="95">
        <v>21</v>
      </c>
      <c r="D420" s="96">
        <f t="shared" si="7"/>
        <v>0.35</v>
      </c>
      <c r="E420"/>
      <c r="F420"/>
      <c r="G420"/>
      <c r="H420"/>
      <c r="I420"/>
      <c r="J420"/>
    </row>
    <row r="421" spans="1:10">
      <c r="A421" s="36">
        <v>98.9</v>
      </c>
      <c r="B421" s="41">
        <v>98.9</v>
      </c>
      <c r="C421" s="95">
        <v>20.5</v>
      </c>
      <c r="D421" s="96">
        <f t="shared" si="7"/>
        <v>0.34166666666666667</v>
      </c>
      <c r="E421"/>
      <c r="F421"/>
      <c r="G421"/>
      <c r="H421"/>
      <c r="I421"/>
      <c r="J421"/>
    </row>
    <row r="422" spans="1:10">
      <c r="A422" s="36">
        <v>99</v>
      </c>
      <c r="B422" s="41">
        <v>99</v>
      </c>
      <c r="C422" s="95">
        <v>20</v>
      </c>
      <c r="D422" s="96">
        <f t="shared" si="7"/>
        <v>0.33333333333333331</v>
      </c>
      <c r="E422"/>
      <c r="F422"/>
      <c r="G422"/>
      <c r="H422"/>
      <c r="I422"/>
      <c r="J422"/>
    </row>
    <row r="423" spans="1:10">
      <c r="A423" s="36">
        <v>99.1</v>
      </c>
      <c r="B423" s="41">
        <v>99.1</v>
      </c>
      <c r="C423" s="95">
        <v>19.5</v>
      </c>
      <c r="D423" s="96">
        <f t="shared" si="7"/>
        <v>0.32500000000000001</v>
      </c>
      <c r="E423"/>
      <c r="F423"/>
      <c r="G423"/>
      <c r="H423"/>
      <c r="I423"/>
      <c r="J423"/>
    </row>
    <row r="424" spans="1:10">
      <c r="A424" s="36">
        <v>99.2</v>
      </c>
      <c r="B424" s="41">
        <v>99.2</v>
      </c>
      <c r="C424" s="95">
        <v>19</v>
      </c>
      <c r="D424" s="96">
        <f t="shared" si="7"/>
        <v>0.31666666666666665</v>
      </c>
      <c r="E424"/>
      <c r="F424"/>
      <c r="G424"/>
      <c r="H424"/>
      <c r="I424"/>
      <c r="J424"/>
    </row>
    <row r="425" spans="1:10">
      <c r="A425" s="36">
        <v>99.3</v>
      </c>
      <c r="B425" s="41">
        <v>99.3</v>
      </c>
      <c r="C425" s="95">
        <v>18.5</v>
      </c>
      <c r="D425" s="96">
        <f t="shared" si="7"/>
        <v>0.30833333333333335</v>
      </c>
      <c r="E425"/>
      <c r="F425"/>
      <c r="G425"/>
      <c r="H425"/>
      <c r="I425"/>
      <c r="J425"/>
    </row>
    <row r="426" spans="1:10">
      <c r="A426" s="36">
        <v>99.4</v>
      </c>
      <c r="B426" s="41">
        <v>99.4</v>
      </c>
      <c r="C426" s="95">
        <v>18</v>
      </c>
      <c r="D426" s="96">
        <f t="shared" si="7"/>
        <v>0.3</v>
      </c>
      <c r="E426"/>
      <c r="F426"/>
      <c r="G426"/>
      <c r="H426"/>
      <c r="I426"/>
      <c r="J426"/>
    </row>
    <row r="427" spans="1:10">
      <c r="A427" s="36">
        <v>99.5</v>
      </c>
      <c r="B427" s="41">
        <v>99.5</v>
      </c>
      <c r="C427" s="95">
        <v>17.5</v>
      </c>
      <c r="D427" s="96">
        <f t="shared" si="7"/>
        <v>0.29166666666666669</v>
      </c>
      <c r="E427"/>
      <c r="F427"/>
      <c r="G427"/>
      <c r="H427"/>
      <c r="I427"/>
      <c r="J427"/>
    </row>
    <row r="428" spans="1:10">
      <c r="A428" s="36">
        <v>99.6</v>
      </c>
      <c r="B428" s="41">
        <v>99.6</v>
      </c>
      <c r="C428" s="95">
        <v>17</v>
      </c>
      <c r="D428" s="96">
        <f t="shared" si="7"/>
        <v>0.28333333333333333</v>
      </c>
      <c r="E428"/>
      <c r="F428"/>
      <c r="G428"/>
      <c r="H428"/>
      <c r="I428"/>
      <c r="J428"/>
    </row>
    <row r="429" spans="1:10">
      <c r="A429" s="36">
        <v>99.7</v>
      </c>
      <c r="B429" s="41">
        <v>99.7</v>
      </c>
      <c r="C429" s="95">
        <v>16.5</v>
      </c>
      <c r="D429" s="96">
        <f t="shared" si="7"/>
        <v>0.27500000000000002</v>
      </c>
      <c r="E429"/>
      <c r="F429"/>
      <c r="G429"/>
      <c r="H429"/>
      <c r="I429"/>
      <c r="J429"/>
    </row>
    <row r="430" spans="1:10">
      <c r="A430" s="36">
        <v>99.8</v>
      </c>
      <c r="B430" s="41">
        <v>99.8</v>
      </c>
      <c r="C430" s="95">
        <v>16</v>
      </c>
      <c r="D430" s="96">
        <f t="shared" si="7"/>
        <v>0.26666666666666666</v>
      </c>
      <c r="E430"/>
      <c r="F430"/>
      <c r="G430"/>
      <c r="H430"/>
      <c r="I430"/>
      <c r="J430"/>
    </row>
    <row r="431" spans="1:10">
      <c r="A431" s="36">
        <v>99.9</v>
      </c>
      <c r="B431" s="41">
        <v>99.9</v>
      </c>
      <c r="C431" s="95">
        <v>15.5</v>
      </c>
      <c r="D431" s="96">
        <f t="shared" si="7"/>
        <v>0.25833333333333336</v>
      </c>
      <c r="E431"/>
      <c r="F431"/>
      <c r="G431"/>
      <c r="H431"/>
      <c r="I431"/>
      <c r="J431"/>
    </row>
    <row r="432" spans="1:10">
      <c r="A432" s="36">
        <v>100</v>
      </c>
      <c r="B432" s="42">
        <v>100</v>
      </c>
      <c r="C432" s="94">
        <v>15</v>
      </c>
      <c r="D432" s="96">
        <f t="shared" si="7"/>
        <v>0.25</v>
      </c>
      <c r="E432"/>
      <c r="F432"/>
      <c r="G432"/>
      <c r="H432"/>
      <c r="I432"/>
      <c r="J432"/>
    </row>
    <row r="433" spans="1:10">
      <c r="A433" s="36">
        <v>100.1</v>
      </c>
      <c r="B433" s="41">
        <v>100.1</v>
      </c>
      <c r="C433" s="95">
        <v>14.75</v>
      </c>
      <c r="D433" s="96">
        <f t="shared" si="7"/>
        <v>0.24583333333333332</v>
      </c>
      <c r="E433"/>
      <c r="F433"/>
      <c r="G433"/>
      <c r="H433"/>
      <c r="I433"/>
      <c r="J433"/>
    </row>
    <row r="434" spans="1:10">
      <c r="A434" s="36">
        <v>100.2</v>
      </c>
      <c r="B434" s="41">
        <v>100.2</v>
      </c>
      <c r="C434" s="95">
        <v>14.5</v>
      </c>
      <c r="D434" s="96">
        <f t="shared" si="7"/>
        <v>0.24166666666666667</v>
      </c>
      <c r="E434"/>
      <c r="F434"/>
      <c r="G434"/>
      <c r="H434"/>
      <c r="I434"/>
      <c r="J434"/>
    </row>
    <row r="435" spans="1:10">
      <c r="A435" s="36">
        <v>100.3</v>
      </c>
      <c r="B435" s="41">
        <v>100.3</v>
      </c>
      <c r="C435" s="95">
        <v>14.25</v>
      </c>
      <c r="D435" s="96">
        <f t="shared" si="7"/>
        <v>0.23749999999999999</v>
      </c>
      <c r="E435"/>
      <c r="F435"/>
      <c r="G435"/>
      <c r="H435"/>
      <c r="I435"/>
      <c r="J435"/>
    </row>
    <row r="436" spans="1:10">
      <c r="A436" s="36">
        <v>100.4</v>
      </c>
      <c r="B436" s="41">
        <v>100.4</v>
      </c>
      <c r="C436" s="95">
        <v>14</v>
      </c>
      <c r="D436" s="96">
        <f t="shared" si="7"/>
        <v>0.23333333333333334</v>
      </c>
      <c r="E436"/>
      <c r="F436"/>
      <c r="G436"/>
      <c r="H436"/>
      <c r="I436"/>
      <c r="J436"/>
    </row>
    <row r="437" spans="1:10">
      <c r="A437" s="36">
        <v>100.5</v>
      </c>
      <c r="B437" s="41">
        <v>100.5</v>
      </c>
      <c r="C437" s="95">
        <v>13.75</v>
      </c>
      <c r="D437" s="96">
        <f t="shared" si="7"/>
        <v>0.22916666666666666</v>
      </c>
      <c r="E437"/>
      <c r="F437"/>
      <c r="G437"/>
      <c r="H437"/>
      <c r="I437"/>
      <c r="J437"/>
    </row>
    <row r="438" spans="1:10">
      <c r="A438" s="36">
        <v>100.6</v>
      </c>
      <c r="B438" s="41">
        <v>100.6</v>
      </c>
      <c r="C438" s="95">
        <v>13.5</v>
      </c>
      <c r="D438" s="96">
        <f t="shared" si="7"/>
        <v>0.22500000000000001</v>
      </c>
      <c r="E438"/>
      <c r="F438"/>
      <c r="G438"/>
      <c r="H438"/>
      <c r="I438"/>
      <c r="J438"/>
    </row>
    <row r="439" spans="1:10">
      <c r="A439" s="36">
        <v>100.7</v>
      </c>
      <c r="B439" s="41">
        <v>100.7</v>
      </c>
      <c r="C439" s="95">
        <v>13.25</v>
      </c>
      <c r="D439" s="96">
        <f t="shared" si="7"/>
        <v>0.22083333333333333</v>
      </c>
      <c r="E439"/>
      <c r="F439"/>
      <c r="G439"/>
      <c r="H439"/>
      <c r="I439"/>
      <c r="J439"/>
    </row>
    <row r="440" spans="1:10">
      <c r="A440" s="36">
        <v>100.8</v>
      </c>
      <c r="B440" s="41">
        <v>100.8</v>
      </c>
      <c r="C440" s="95">
        <v>13</v>
      </c>
      <c r="D440" s="96">
        <f t="shared" si="7"/>
        <v>0.21666666666666667</v>
      </c>
      <c r="E440"/>
      <c r="F440"/>
      <c r="G440"/>
      <c r="H440"/>
      <c r="I440"/>
      <c r="J440"/>
    </row>
    <row r="441" spans="1:10">
      <c r="A441" s="36">
        <v>100.9</v>
      </c>
      <c r="B441" s="41">
        <v>100.9</v>
      </c>
      <c r="C441" s="95">
        <v>12.75</v>
      </c>
      <c r="D441" s="96">
        <f t="shared" si="7"/>
        <v>0.21249999999999999</v>
      </c>
      <c r="E441"/>
      <c r="F441"/>
      <c r="G441"/>
      <c r="H441"/>
      <c r="I441"/>
      <c r="J441"/>
    </row>
    <row r="442" spans="1:10">
      <c r="A442" s="36">
        <v>101</v>
      </c>
      <c r="B442" s="41">
        <v>101</v>
      </c>
      <c r="C442" s="95">
        <v>12.5</v>
      </c>
      <c r="D442" s="96">
        <f t="shared" si="7"/>
        <v>0.20833333333333334</v>
      </c>
      <c r="E442"/>
      <c r="F442"/>
      <c r="G442"/>
      <c r="H442"/>
      <c r="I442"/>
      <c r="J442"/>
    </row>
    <row r="443" spans="1:10">
      <c r="A443" s="36">
        <v>101.1</v>
      </c>
      <c r="B443" s="41">
        <v>101.1</v>
      </c>
      <c r="C443" s="95">
        <v>12.25</v>
      </c>
      <c r="D443" s="96">
        <f t="shared" si="7"/>
        <v>0.20416666666666666</v>
      </c>
      <c r="E443"/>
      <c r="F443"/>
      <c r="G443"/>
      <c r="H443"/>
      <c r="I443"/>
      <c r="J443"/>
    </row>
    <row r="444" spans="1:10">
      <c r="A444" s="36">
        <v>101.2</v>
      </c>
      <c r="B444" s="41">
        <v>101.2</v>
      </c>
      <c r="C444" s="95">
        <v>12</v>
      </c>
      <c r="D444" s="96">
        <f t="shared" si="7"/>
        <v>0.2</v>
      </c>
      <c r="E444"/>
      <c r="F444"/>
      <c r="G444"/>
      <c r="H444"/>
      <c r="I444"/>
      <c r="J444"/>
    </row>
    <row r="445" spans="1:10">
      <c r="A445" s="36">
        <v>101.3</v>
      </c>
      <c r="B445" s="41">
        <v>101.3</v>
      </c>
      <c r="C445" s="95">
        <v>11.75</v>
      </c>
      <c r="D445" s="96">
        <f t="shared" si="7"/>
        <v>0.19583333333333333</v>
      </c>
      <c r="E445"/>
      <c r="F445"/>
      <c r="G445"/>
      <c r="H445"/>
      <c r="I445"/>
      <c r="J445"/>
    </row>
    <row r="446" spans="1:10">
      <c r="A446" s="36">
        <v>101.4</v>
      </c>
      <c r="B446" s="41">
        <v>101.4</v>
      </c>
      <c r="C446" s="95">
        <v>11.5</v>
      </c>
      <c r="D446" s="96">
        <f t="shared" si="7"/>
        <v>0.19166666666666668</v>
      </c>
      <c r="E446"/>
      <c r="F446"/>
      <c r="G446"/>
      <c r="H446"/>
      <c r="I446"/>
      <c r="J446"/>
    </row>
    <row r="447" spans="1:10">
      <c r="A447" s="36">
        <v>101.5</v>
      </c>
      <c r="B447" s="41">
        <v>101.5</v>
      </c>
      <c r="C447" s="95">
        <v>11.25</v>
      </c>
      <c r="D447" s="96">
        <f t="shared" si="7"/>
        <v>0.1875</v>
      </c>
      <c r="E447"/>
      <c r="F447"/>
      <c r="G447"/>
      <c r="H447"/>
      <c r="I447"/>
      <c r="J447"/>
    </row>
    <row r="448" spans="1:10">
      <c r="A448" s="36">
        <v>101.6</v>
      </c>
      <c r="B448" s="41">
        <v>101.6</v>
      </c>
      <c r="C448" s="95">
        <v>11</v>
      </c>
      <c r="D448" s="96">
        <f t="shared" si="7"/>
        <v>0.18333333333333332</v>
      </c>
      <c r="E448"/>
      <c r="F448"/>
      <c r="G448"/>
      <c r="H448"/>
      <c r="I448"/>
      <c r="J448"/>
    </row>
    <row r="449" spans="1:10">
      <c r="A449" s="36">
        <v>101.7</v>
      </c>
      <c r="B449" s="41">
        <v>101.7</v>
      </c>
      <c r="C449" s="95">
        <v>10.75</v>
      </c>
      <c r="D449" s="96">
        <f t="shared" si="7"/>
        <v>0.17916666666666667</v>
      </c>
      <c r="E449"/>
      <c r="F449"/>
      <c r="G449"/>
      <c r="H449"/>
      <c r="I449"/>
      <c r="J449"/>
    </row>
    <row r="450" spans="1:10">
      <c r="A450" s="36">
        <v>101.8</v>
      </c>
      <c r="B450" s="41">
        <v>101.8</v>
      </c>
      <c r="C450" s="95">
        <v>10.5</v>
      </c>
      <c r="D450" s="96">
        <f t="shared" si="7"/>
        <v>0.17499999999999999</v>
      </c>
      <c r="E450"/>
      <c r="F450"/>
      <c r="G450"/>
      <c r="H450"/>
      <c r="I450"/>
      <c r="J450"/>
    </row>
    <row r="451" spans="1:10">
      <c r="A451" s="36">
        <v>101.9</v>
      </c>
      <c r="B451" s="41">
        <v>101.9</v>
      </c>
      <c r="C451" s="95">
        <v>10.25</v>
      </c>
      <c r="D451" s="96">
        <f t="shared" si="7"/>
        <v>0.17083333333333334</v>
      </c>
      <c r="E451"/>
      <c r="F451"/>
      <c r="G451"/>
      <c r="H451"/>
      <c r="I451"/>
      <c r="J451"/>
    </row>
    <row r="452" spans="1:10">
      <c r="A452" s="36">
        <v>102</v>
      </c>
      <c r="B452" s="41">
        <v>102</v>
      </c>
      <c r="C452" s="95">
        <v>10</v>
      </c>
      <c r="D452" s="96">
        <f t="shared" si="7"/>
        <v>0.16666666666666666</v>
      </c>
      <c r="E452"/>
      <c r="F452"/>
      <c r="G452"/>
      <c r="H452"/>
      <c r="I452"/>
      <c r="J452"/>
    </row>
    <row r="453" spans="1:10">
      <c r="A453" s="36">
        <v>102.1</v>
      </c>
      <c r="B453" s="41">
        <v>102.1</v>
      </c>
      <c r="C453" s="95">
        <v>9.75</v>
      </c>
      <c r="D453" s="96">
        <f t="shared" si="7"/>
        <v>0.16250000000000001</v>
      </c>
      <c r="E453"/>
      <c r="F453"/>
      <c r="G453"/>
      <c r="H453"/>
      <c r="I453"/>
      <c r="J453"/>
    </row>
    <row r="454" spans="1:10">
      <c r="A454" s="36">
        <v>102.2</v>
      </c>
      <c r="B454" s="41">
        <v>102.2</v>
      </c>
      <c r="C454" s="95">
        <v>9.5</v>
      </c>
      <c r="D454" s="96">
        <f t="shared" si="7"/>
        <v>0.15833333333333333</v>
      </c>
      <c r="E454"/>
      <c r="F454"/>
      <c r="G454"/>
      <c r="H454"/>
      <c r="I454"/>
      <c r="J454"/>
    </row>
    <row r="455" spans="1:10">
      <c r="A455" s="36">
        <v>102.3</v>
      </c>
      <c r="B455" s="41">
        <v>102.3</v>
      </c>
      <c r="C455" s="95">
        <v>9.25</v>
      </c>
      <c r="D455" s="96">
        <f t="shared" si="7"/>
        <v>0.15416666666666667</v>
      </c>
      <c r="E455"/>
      <c r="F455"/>
      <c r="G455"/>
      <c r="H455"/>
      <c r="I455"/>
      <c r="J455"/>
    </row>
    <row r="456" spans="1:10">
      <c r="A456" s="36">
        <v>102.4</v>
      </c>
      <c r="B456" s="41">
        <v>102.4</v>
      </c>
      <c r="C456" s="95">
        <v>9</v>
      </c>
      <c r="D456" s="96">
        <f t="shared" si="7"/>
        <v>0.15</v>
      </c>
      <c r="E456"/>
      <c r="F456"/>
      <c r="G456"/>
      <c r="H456"/>
      <c r="I456"/>
      <c r="J456"/>
    </row>
    <row r="457" spans="1:10">
      <c r="A457" s="36">
        <v>102.5</v>
      </c>
      <c r="B457" s="41">
        <v>102.5</v>
      </c>
      <c r="C457" s="95">
        <v>8.75</v>
      </c>
      <c r="D457" s="96">
        <f t="shared" si="7"/>
        <v>0.14583333333333334</v>
      </c>
      <c r="E457"/>
      <c r="F457"/>
      <c r="G457"/>
      <c r="H457"/>
      <c r="I457"/>
      <c r="J457"/>
    </row>
    <row r="458" spans="1:10">
      <c r="A458" s="36">
        <v>102.6</v>
      </c>
      <c r="B458" s="41">
        <v>102.6</v>
      </c>
      <c r="C458" s="95">
        <v>8.5</v>
      </c>
      <c r="D458" s="96">
        <f t="shared" si="7"/>
        <v>0.14166666666666666</v>
      </c>
      <c r="E458"/>
      <c r="F458"/>
      <c r="G458"/>
      <c r="H458"/>
      <c r="I458"/>
      <c r="J458"/>
    </row>
    <row r="459" spans="1:10">
      <c r="A459" s="36">
        <v>102.7</v>
      </c>
      <c r="B459" s="41">
        <v>102.7</v>
      </c>
      <c r="C459" s="95">
        <v>8.25</v>
      </c>
      <c r="D459" s="96">
        <f t="shared" si="7"/>
        <v>0.13750000000000001</v>
      </c>
      <c r="E459"/>
      <c r="F459"/>
      <c r="G459"/>
      <c r="H459"/>
      <c r="I459"/>
      <c r="J459"/>
    </row>
    <row r="460" spans="1:10">
      <c r="A460" s="36">
        <v>102.8</v>
      </c>
      <c r="B460" s="41">
        <v>102.8</v>
      </c>
      <c r="C460" s="95">
        <v>8</v>
      </c>
      <c r="D460" s="96">
        <f t="shared" si="7"/>
        <v>0.13333333333333333</v>
      </c>
      <c r="E460"/>
      <c r="F460"/>
      <c r="G460"/>
      <c r="H460"/>
      <c r="I460"/>
      <c r="J460"/>
    </row>
    <row r="461" spans="1:10">
      <c r="A461" s="36">
        <v>102.9</v>
      </c>
      <c r="B461" s="41">
        <v>102.9</v>
      </c>
      <c r="C461" s="95">
        <v>7.75</v>
      </c>
      <c r="D461" s="96">
        <f t="shared" si="7"/>
        <v>0.12916666666666668</v>
      </c>
      <c r="E461"/>
      <c r="F461"/>
      <c r="G461"/>
      <c r="H461"/>
      <c r="I461"/>
      <c r="J461"/>
    </row>
    <row r="462" spans="1:10">
      <c r="A462" s="36">
        <v>103</v>
      </c>
      <c r="B462" s="42">
        <v>103</v>
      </c>
      <c r="C462" s="94">
        <v>7.5</v>
      </c>
      <c r="D462" s="96">
        <f t="shared" ref="D462:D525" si="8">C462/60</f>
        <v>0.125</v>
      </c>
      <c r="E462"/>
      <c r="F462"/>
      <c r="G462"/>
      <c r="H462"/>
      <c r="I462"/>
      <c r="J462"/>
    </row>
    <row r="463" spans="1:10">
      <c r="A463" s="36">
        <v>103.1</v>
      </c>
      <c r="B463" s="41">
        <v>103.1</v>
      </c>
      <c r="C463" s="95">
        <v>7.375</v>
      </c>
      <c r="D463" s="96">
        <f t="shared" si="8"/>
        <v>0.12291666666666666</v>
      </c>
      <c r="E463"/>
      <c r="F463"/>
      <c r="G463"/>
      <c r="H463"/>
      <c r="I463"/>
      <c r="J463"/>
    </row>
    <row r="464" spans="1:10">
      <c r="A464" s="36">
        <v>103.2</v>
      </c>
      <c r="B464" s="41">
        <v>103.2</v>
      </c>
      <c r="C464" s="95">
        <v>7.25</v>
      </c>
      <c r="D464" s="96">
        <f t="shared" si="8"/>
        <v>0.12083333333333333</v>
      </c>
      <c r="E464"/>
      <c r="F464"/>
      <c r="G464"/>
      <c r="H464"/>
      <c r="I464"/>
      <c r="J464"/>
    </row>
    <row r="465" spans="1:10">
      <c r="A465" s="36">
        <v>103.3</v>
      </c>
      <c r="B465" s="41">
        <v>103.3</v>
      </c>
      <c r="C465" s="95">
        <v>7.125</v>
      </c>
      <c r="D465" s="96">
        <f t="shared" si="8"/>
        <v>0.11874999999999999</v>
      </c>
      <c r="E465"/>
      <c r="F465"/>
      <c r="G465"/>
      <c r="H465"/>
      <c r="I465"/>
      <c r="J465"/>
    </row>
    <row r="466" spans="1:10">
      <c r="A466" s="36">
        <v>103.4</v>
      </c>
      <c r="B466" s="41">
        <v>103.4</v>
      </c>
      <c r="C466" s="95">
        <v>7</v>
      </c>
      <c r="D466" s="96">
        <f t="shared" si="8"/>
        <v>0.11666666666666667</v>
      </c>
      <c r="E466"/>
      <c r="F466"/>
      <c r="G466"/>
      <c r="H466"/>
      <c r="I466"/>
      <c r="J466"/>
    </row>
    <row r="467" spans="1:10">
      <c r="A467" s="36">
        <v>103.5</v>
      </c>
      <c r="B467" s="41">
        <v>103.5</v>
      </c>
      <c r="C467" s="95">
        <v>6.875</v>
      </c>
      <c r="D467" s="96">
        <f t="shared" si="8"/>
        <v>0.11458333333333333</v>
      </c>
      <c r="E467"/>
      <c r="F467"/>
      <c r="G467"/>
      <c r="H467"/>
      <c r="I467"/>
      <c r="J467"/>
    </row>
    <row r="468" spans="1:10">
      <c r="A468" s="36">
        <v>103.6</v>
      </c>
      <c r="B468" s="41">
        <v>103.6</v>
      </c>
      <c r="C468" s="95">
        <v>6.75</v>
      </c>
      <c r="D468" s="96">
        <f t="shared" si="8"/>
        <v>0.1125</v>
      </c>
      <c r="E468"/>
      <c r="F468"/>
      <c r="G468"/>
      <c r="H468"/>
      <c r="I468"/>
      <c r="J468"/>
    </row>
    <row r="469" spans="1:10">
      <c r="A469" s="36">
        <v>103.7</v>
      </c>
      <c r="B469" s="41">
        <v>103.7</v>
      </c>
      <c r="C469" s="95">
        <v>6.625</v>
      </c>
      <c r="D469" s="96">
        <f t="shared" si="8"/>
        <v>0.11041666666666666</v>
      </c>
      <c r="E469"/>
      <c r="F469"/>
      <c r="G469"/>
      <c r="H469"/>
      <c r="I469"/>
      <c r="J469"/>
    </row>
    <row r="470" spans="1:10">
      <c r="A470" s="36">
        <v>103.8</v>
      </c>
      <c r="B470" s="41">
        <v>103.8</v>
      </c>
      <c r="C470" s="95">
        <v>6.5</v>
      </c>
      <c r="D470" s="96">
        <f t="shared" si="8"/>
        <v>0.10833333333333334</v>
      </c>
      <c r="E470"/>
      <c r="F470"/>
      <c r="G470"/>
      <c r="H470"/>
      <c r="I470"/>
      <c r="J470"/>
    </row>
    <row r="471" spans="1:10">
      <c r="A471" s="36">
        <v>103.9</v>
      </c>
      <c r="B471" s="41">
        <v>103.9</v>
      </c>
      <c r="C471" s="95">
        <v>6.375</v>
      </c>
      <c r="D471" s="96">
        <f t="shared" si="8"/>
        <v>0.10625</v>
      </c>
      <c r="E471"/>
      <c r="F471"/>
      <c r="G471"/>
      <c r="H471"/>
      <c r="I471"/>
      <c r="J471"/>
    </row>
    <row r="472" spans="1:10">
      <c r="A472" s="36">
        <v>104</v>
      </c>
      <c r="B472" s="41">
        <v>104</v>
      </c>
      <c r="C472" s="95">
        <v>6.25</v>
      </c>
      <c r="D472" s="96">
        <f t="shared" si="8"/>
        <v>0.10416666666666667</v>
      </c>
      <c r="E472"/>
      <c r="F472"/>
      <c r="G472"/>
      <c r="H472"/>
      <c r="I472"/>
      <c r="J472"/>
    </row>
    <row r="473" spans="1:10">
      <c r="A473" s="36">
        <v>104.1</v>
      </c>
      <c r="B473" s="41">
        <v>104.1</v>
      </c>
      <c r="C473" s="95">
        <v>6.125</v>
      </c>
      <c r="D473" s="96">
        <f t="shared" si="8"/>
        <v>0.10208333333333333</v>
      </c>
      <c r="E473"/>
      <c r="F473"/>
      <c r="G473"/>
      <c r="H473"/>
      <c r="I473"/>
      <c r="J473"/>
    </row>
    <row r="474" spans="1:10">
      <c r="A474" s="36">
        <v>104.2</v>
      </c>
      <c r="B474" s="41">
        <v>104.2</v>
      </c>
      <c r="C474" s="95">
        <v>6</v>
      </c>
      <c r="D474" s="96">
        <f t="shared" si="8"/>
        <v>0.1</v>
      </c>
      <c r="E474"/>
      <c r="F474"/>
      <c r="G474"/>
      <c r="H474"/>
      <c r="I474"/>
      <c r="J474"/>
    </row>
    <row r="475" spans="1:10">
      <c r="A475" s="36">
        <v>104.3</v>
      </c>
      <c r="B475" s="41">
        <v>104.3</v>
      </c>
      <c r="C475" s="95">
        <v>5.875</v>
      </c>
      <c r="D475" s="96">
        <f t="shared" si="8"/>
        <v>9.7916666666666666E-2</v>
      </c>
      <c r="E475"/>
      <c r="F475"/>
      <c r="G475"/>
      <c r="H475"/>
      <c r="I475"/>
      <c r="J475"/>
    </row>
    <row r="476" spans="1:10">
      <c r="A476" s="36">
        <v>104.4</v>
      </c>
      <c r="B476" s="41">
        <v>104.4</v>
      </c>
      <c r="C476" s="95">
        <v>5.75</v>
      </c>
      <c r="D476" s="96">
        <f t="shared" si="8"/>
        <v>9.583333333333334E-2</v>
      </c>
      <c r="E476"/>
      <c r="F476"/>
      <c r="G476"/>
      <c r="H476"/>
      <c r="I476"/>
      <c r="J476"/>
    </row>
    <row r="477" spans="1:10">
      <c r="A477" s="36">
        <v>104.5</v>
      </c>
      <c r="B477" s="41">
        <v>104.5</v>
      </c>
      <c r="C477" s="95">
        <v>5.625</v>
      </c>
      <c r="D477" s="96">
        <f t="shared" si="8"/>
        <v>9.375E-2</v>
      </c>
      <c r="E477"/>
      <c r="F477"/>
      <c r="G477"/>
      <c r="H477"/>
      <c r="I477"/>
      <c r="J477"/>
    </row>
    <row r="478" spans="1:10">
      <c r="A478" s="36">
        <v>104.6</v>
      </c>
      <c r="B478" s="41">
        <v>104.6</v>
      </c>
      <c r="C478" s="95">
        <v>5.5</v>
      </c>
      <c r="D478" s="96">
        <f t="shared" si="8"/>
        <v>9.166666666666666E-2</v>
      </c>
      <c r="E478"/>
      <c r="F478"/>
      <c r="G478"/>
      <c r="H478"/>
      <c r="I478"/>
      <c r="J478"/>
    </row>
    <row r="479" spans="1:10">
      <c r="A479" s="36">
        <v>104.7</v>
      </c>
      <c r="B479" s="41">
        <v>104.7</v>
      </c>
      <c r="C479" s="95">
        <v>5.375</v>
      </c>
      <c r="D479" s="96">
        <f t="shared" si="8"/>
        <v>8.9583333333333334E-2</v>
      </c>
      <c r="E479"/>
      <c r="F479"/>
      <c r="G479"/>
      <c r="H479"/>
      <c r="I479"/>
      <c r="J479"/>
    </row>
    <row r="480" spans="1:10">
      <c r="A480" s="36">
        <v>104.8</v>
      </c>
      <c r="B480" s="41">
        <v>104.8</v>
      </c>
      <c r="C480" s="95">
        <v>5.25</v>
      </c>
      <c r="D480" s="96">
        <f t="shared" si="8"/>
        <v>8.7499999999999994E-2</v>
      </c>
      <c r="E480"/>
      <c r="F480"/>
      <c r="G480"/>
      <c r="H480"/>
      <c r="I480"/>
      <c r="J480"/>
    </row>
    <row r="481" spans="1:10">
      <c r="A481" s="36">
        <v>104.9</v>
      </c>
      <c r="B481" s="41">
        <v>104.9</v>
      </c>
      <c r="C481" s="95">
        <v>5.125</v>
      </c>
      <c r="D481" s="96">
        <f t="shared" si="8"/>
        <v>8.5416666666666669E-2</v>
      </c>
      <c r="E481"/>
      <c r="F481"/>
      <c r="G481"/>
      <c r="H481"/>
      <c r="I481"/>
      <c r="J481"/>
    </row>
    <row r="482" spans="1:10">
      <c r="A482" s="36">
        <v>105</v>
      </c>
      <c r="B482" s="41">
        <v>105</v>
      </c>
      <c r="C482" s="95">
        <v>5</v>
      </c>
      <c r="D482" s="96">
        <f t="shared" si="8"/>
        <v>8.3333333333333329E-2</v>
      </c>
      <c r="E482"/>
      <c r="F482"/>
      <c r="G482"/>
      <c r="H482"/>
      <c r="I482"/>
      <c r="J482"/>
    </row>
    <row r="483" spans="1:10">
      <c r="A483" s="36">
        <v>105.1</v>
      </c>
      <c r="B483" s="41">
        <v>105.1</v>
      </c>
      <c r="C483" s="95">
        <v>4.875</v>
      </c>
      <c r="D483" s="96">
        <f t="shared" si="8"/>
        <v>8.1250000000000003E-2</v>
      </c>
      <c r="E483"/>
      <c r="F483"/>
      <c r="G483"/>
      <c r="H483"/>
      <c r="I483"/>
      <c r="J483"/>
    </row>
    <row r="484" spans="1:10">
      <c r="A484" s="36">
        <v>105.2</v>
      </c>
      <c r="B484" s="41">
        <v>105.2</v>
      </c>
      <c r="C484" s="95">
        <v>4.75</v>
      </c>
      <c r="D484" s="96">
        <f t="shared" si="8"/>
        <v>7.9166666666666663E-2</v>
      </c>
      <c r="E484"/>
      <c r="F484"/>
      <c r="G484"/>
      <c r="H484"/>
      <c r="I484"/>
      <c r="J484"/>
    </row>
    <row r="485" spans="1:10">
      <c r="A485" s="36">
        <v>105.3</v>
      </c>
      <c r="B485" s="41">
        <v>105.3</v>
      </c>
      <c r="C485" s="95">
        <v>4.625</v>
      </c>
      <c r="D485" s="96">
        <f t="shared" si="8"/>
        <v>7.7083333333333337E-2</v>
      </c>
      <c r="E485"/>
      <c r="F485"/>
      <c r="G485"/>
      <c r="H485"/>
      <c r="I485"/>
      <c r="J485"/>
    </row>
    <row r="486" spans="1:10">
      <c r="A486" s="36">
        <v>105.4</v>
      </c>
      <c r="B486" s="41">
        <v>105.4</v>
      </c>
      <c r="C486" s="95">
        <v>4.5</v>
      </c>
      <c r="D486" s="96">
        <f t="shared" si="8"/>
        <v>7.4999999999999997E-2</v>
      </c>
      <c r="E486"/>
      <c r="F486"/>
      <c r="G486"/>
      <c r="H486"/>
      <c r="I486"/>
      <c r="J486"/>
    </row>
    <row r="487" spans="1:10">
      <c r="A487" s="36">
        <v>105.5</v>
      </c>
      <c r="B487" s="41">
        <v>105.5</v>
      </c>
      <c r="C487" s="95">
        <v>4.375</v>
      </c>
      <c r="D487" s="96">
        <f t="shared" si="8"/>
        <v>7.2916666666666671E-2</v>
      </c>
      <c r="E487"/>
      <c r="F487"/>
      <c r="G487"/>
      <c r="H487"/>
      <c r="I487"/>
      <c r="J487"/>
    </row>
    <row r="488" spans="1:10">
      <c r="A488" s="36">
        <v>105.6</v>
      </c>
      <c r="B488" s="41">
        <v>105.6</v>
      </c>
      <c r="C488" s="95">
        <v>4.25</v>
      </c>
      <c r="D488" s="96">
        <f t="shared" si="8"/>
        <v>7.0833333333333331E-2</v>
      </c>
      <c r="E488"/>
      <c r="F488"/>
      <c r="G488"/>
      <c r="H488"/>
      <c r="I488"/>
      <c r="J488"/>
    </row>
    <row r="489" spans="1:10">
      <c r="A489" s="36">
        <v>105.7</v>
      </c>
      <c r="B489" s="41">
        <v>105.7</v>
      </c>
      <c r="C489" s="95">
        <v>4.125</v>
      </c>
      <c r="D489" s="96">
        <f t="shared" si="8"/>
        <v>6.8750000000000006E-2</v>
      </c>
      <c r="E489"/>
      <c r="F489"/>
      <c r="G489"/>
      <c r="H489"/>
      <c r="I489"/>
      <c r="J489"/>
    </row>
    <row r="490" spans="1:10">
      <c r="A490" s="36">
        <v>105.8</v>
      </c>
      <c r="B490" s="41">
        <v>105.8</v>
      </c>
      <c r="C490" s="95">
        <v>4</v>
      </c>
      <c r="D490" s="96">
        <f t="shared" si="8"/>
        <v>6.6666666666666666E-2</v>
      </c>
      <c r="E490"/>
      <c r="F490"/>
      <c r="G490"/>
      <c r="H490"/>
      <c r="I490"/>
      <c r="J490"/>
    </row>
    <row r="491" spans="1:10">
      <c r="A491" s="36">
        <v>105.9</v>
      </c>
      <c r="B491" s="41">
        <v>105.9</v>
      </c>
      <c r="C491" s="95">
        <v>3.875</v>
      </c>
      <c r="D491" s="96">
        <f t="shared" si="8"/>
        <v>6.458333333333334E-2</v>
      </c>
      <c r="E491"/>
      <c r="F491"/>
      <c r="G491"/>
      <c r="H491"/>
      <c r="I491"/>
      <c r="J491"/>
    </row>
    <row r="492" spans="1:10">
      <c r="A492" s="36">
        <v>106</v>
      </c>
      <c r="B492" s="42">
        <v>106</v>
      </c>
      <c r="C492" s="94">
        <v>3.75</v>
      </c>
      <c r="D492" s="96">
        <f t="shared" si="8"/>
        <v>6.25E-2</v>
      </c>
      <c r="E492"/>
      <c r="F492"/>
      <c r="G492"/>
      <c r="H492"/>
      <c r="I492"/>
      <c r="J492"/>
    </row>
    <row r="493" spans="1:10">
      <c r="A493" s="36">
        <v>106.1</v>
      </c>
      <c r="B493" s="41">
        <v>106.1</v>
      </c>
      <c r="C493" s="95">
        <v>3.6875</v>
      </c>
      <c r="D493" s="96">
        <f t="shared" si="8"/>
        <v>6.145833333333333E-2</v>
      </c>
      <c r="E493"/>
      <c r="F493"/>
      <c r="G493"/>
      <c r="H493"/>
      <c r="I493"/>
      <c r="J493"/>
    </row>
    <row r="494" spans="1:10">
      <c r="A494" s="36">
        <v>106.2</v>
      </c>
      <c r="B494" s="41">
        <v>106.2</v>
      </c>
      <c r="C494" s="95">
        <v>3.625</v>
      </c>
      <c r="D494" s="96">
        <f t="shared" si="8"/>
        <v>6.0416666666666667E-2</v>
      </c>
      <c r="E494"/>
      <c r="F494"/>
      <c r="G494"/>
      <c r="H494"/>
      <c r="I494"/>
      <c r="J494"/>
    </row>
    <row r="495" spans="1:10">
      <c r="A495" s="36">
        <v>106.3</v>
      </c>
      <c r="B495" s="41">
        <v>106.3</v>
      </c>
      <c r="C495" s="95">
        <v>3.5625</v>
      </c>
      <c r="D495" s="96">
        <f t="shared" si="8"/>
        <v>5.9374999999999997E-2</v>
      </c>
      <c r="E495"/>
      <c r="F495"/>
      <c r="G495"/>
      <c r="H495"/>
      <c r="I495"/>
      <c r="J495"/>
    </row>
    <row r="496" spans="1:10">
      <c r="A496" s="36">
        <v>106.4</v>
      </c>
      <c r="B496" s="41">
        <v>106.4</v>
      </c>
      <c r="C496" s="95">
        <v>3.5</v>
      </c>
      <c r="D496" s="96">
        <f t="shared" si="8"/>
        <v>5.8333333333333334E-2</v>
      </c>
      <c r="E496"/>
      <c r="F496"/>
      <c r="G496"/>
      <c r="H496"/>
      <c r="I496"/>
      <c r="J496"/>
    </row>
    <row r="497" spans="1:10">
      <c r="A497" s="36">
        <v>106.5</v>
      </c>
      <c r="B497" s="41">
        <v>106.5</v>
      </c>
      <c r="C497" s="95">
        <v>3.4375</v>
      </c>
      <c r="D497" s="96">
        <f t="shared" si="8"/>
        <v>5.7291666666666664E-2</v>
      </c>
      <c r="E497"/>
      <c r="F497"/>
      <c r="G497"/>
      <c r="H497"/>
      <c r="I497"/>
      <c r="J497"/>
    </row>
    <row r="498" spans="1:10">
      <c r="A498" s="36">
        <v>106.6</v>
      </c>
      <c r="B498" s="41">
        <v>106.6</v>
      </c>
      <c r="C498" s="95">
        <v>3.375</v>
      </c>
      <c r="D498" s="96">
        <f t="shared" si="8"/>
        <v>5.6250000000000001E-2</v>
      </c>
      <c r="E498"/>
      <c r="F498"/>
      <c r="G498"/>
      <c r="H498"/>
      <c r="I498"/>
      <c r="J498"/>
    </row>
    <row r="499" spans="1:10">
      <c r="A499" s="36">
        <v>106.7</v>
      </c>
      <c r="B499" s="41">
        <v>106.7</v>
      </c>
      <c r="C499" s="95">
        <v>3.3125</v>
      </c>
      <c r="D499" s="96">
        <f t="shared" si="8"/>
        <v>5.5208333333333331E-2</v>
      </c>
      <c r="E499"/>
      <c r="F499"/>
      <c r="G499"/>
      <c r="H499"/>
      <c r="I499"/>
      <c r="J499"/>
    </row>
    <row r="500" spans="1:10">
      <c r="A500" s="36">
        <v>106.8</v>
      </c>
      <c r="B500" s="41">
        <v>106.8</v>
      </c>
      <c r="C500" s="95">
        <v>3.25</v>
      </c>
      <c r="D500" s="96">
        <f t="shared" si="8"/>
        <v>5.4166666666666669E-2</v>
      </c>
      <c r="E500"/>
      <c r="F500"/>
      <c r="G500"/>
      <c r="H500"/>
      <c r="I500"/>
      <c r="J500"/>
    </row>
    <row r="501" spans="1:10">
      <c r="A501" s="36">
        <v>106.9</v>
      </c>
      <c r="B501" s="41">
        <v>106.9</v>
      </c>
      <c r="C501" s="95">
        <v>3.1875</v>
      </c>
      <c r="D501" s="96">
        <f t="shared" si="8"/>
        <v>5.3124999999999999E-2</v>
      </c>
      <c r="E501"/>
      <c r="F501"/>
      <c r="G501"/>
      <c r="H501"/>
      <c r="I501"/>
      <c r="J501"/>
    </row>
    <row r="502" spans="1:10">
      <c r="A502" s="36">
        <v>107</v>
      </c>
      <c r="B502" s="41">
        <v>107</v>
      </c>
      <c r="C502" s="95">
        <v>3.125</v>
      </c>
      <c r="D502" s="96">
        <f t="shared" si="8"/>
        <v>5.2083333333333336E-2</v>
      </c>
      <c r="E502"/>
      <c r="F502"/>
      <c r="G502"/>
      <c r="H502"/>
      <c r="I502"/>
      <c r="J502"/>
    </row>
    <row r="503" spans="1:10">
      <c r="A503" s="36">
        <v>107.1</v>
      </c>
      <c r="B503" s="41">
        <v>107.1</v>
      </c>
      <c r="C503" s="95">
        <v>3.0625</v>
      </c>
      <c r="D503" s="96">
        <f t="shared" si="8"/>
        <v>5.1041666666666666E-2</v>
      </c>
      <c r="E503"/>
      <c r="F503"/>
      <c r="G503"/>
      <c r="H503"/>
      <c r="I503"/>
      <c r="J503"/>
    </row>
    <row r="504" spans="1:10">
      <c r="A504" s="36">
        <v>107.2</v>
      </c>
      <c r="B504" s="41">
        <v>107.2</v>
      </c>
      <c r="C504" s="95">
        <v>3</v>
      </c>
      <c r="D504" s="96">
        <f t="shared" si="8"/>
        <v>0.05</v>
      </c>
      <c r="E504"/>
      <c r="F504"/>
      <c r="G504"/>
      <c r="H504"/>
      <c r="I504"/>
      <c r="J504"/>
    </row>
    <row r="505" spans="1:10">
      <c r="A505" s="36">
        <v>107.3</v>
      </c>
      <c r="B505" s="41">
        <v>107.3</v>
      </c>
      <c r="C505" s="95">
        <v>2.9375</v>
      </c>
      <c r="D505" s="96">
        <f t="shared" si="8"/>
        <v>4.8958333333333333E-2</v>
      </c>
      <c r="E505"/>
      <c r="F505"/>
      <c r="G505"/>
      <c r="H505"/>
      <c r="I505"/>
      <c r="J505"/>
    </row>
    <row r="506" spans="1:10">
      <c r="A506" s="36">
        <v>107.4</v>
      </c>
      <c r="B506" s="41">
        <v>107.4</v>
      </c>
      <c r="C506" s="95">
        <v>2.875</v>
      </c>
      <c r="D506" s="96">
        <f t="shared" si="8"/>
        <v>4.791666666666667E-2</v>
      </c>
      <c r="E506"/>
      <c r="F506"/>
      <c r="G506"/>
      <c r="H506"/>
      <c r="I506"/>
      <c r="J506"/>
    </row>
    <row r="507" spans="1:10">
      <c r="A507" s="36">
        <v>107.5</v>
      </c>
      <c r="B507" s="41">
        <v>107.5</v>
      </c>
      <c r="C507" s="95">
        <v>2.8125</v>
      </c>
      <c r="D507" s="96">
        <f t="shared" si="8"/>
        <v>4.6875E-2</v>
      </c>
      <c r="E507"/>
      <c r="F507"/>
      <c r="G507"/>
      <c r="H507"/>
      <c r="I507"/>
      <c r="J507"/>
    </row>
    <row r="508" spans="1:10">
      <c r="A508" s="36">
        <v>107.6</v>
      </c>
      <c r="B508" s="41">
        <v>107.6</v>
      </c>
      <c r="C508" s="95">
        <v>2.75</v>
      </c>
      <c r="D508" s="96">
        <f t="shared" si="8"/>
        <v>4.583333333333333E-2</v>
      </c>
      <c r="E508"/>
      <c r="F508"/>
      <c r="G508"/>
      <c r="H508"/>
      <c r="I508"/>
      <c r="J508"/>
    </row>
    <row r="509" spans="1:10">
      <c r="A509" s="36">
        <v>107.7</v>
      </c>
      <c r="B509" s="41">
        <v>107.7</v>
      </c>
      <c r="C509" s="95">
        <v>2.6875</v>
      </c>
      <c r="D509" s="96">
        <f t="shared" si="8"/>
        <v>4.4791666666666667E-2</v>
      </c>
      <c r="E509"/>
      <c r="F509"/>
      <c r="G509"/>
      <c r="H509"/>
      <c r="I509"/>
      <c r="J509"/>
    </row>
    <row r="510" spans="1:10">
      <c r="A510" s="36">
        <v>107.8</v>
      </c>
      <c r="B510" s="41">
        <v>107.8</v>
      </c>
      <c r="C510" s="95">
        <v>2.625</v>
      </c>
      <c r="D510" s="96">
        <f t="shared" si="8"/>
        <v>4.3749999999999997E-2</v>
      </c>
      <c r="E510"/>
      <c r="F510"/>
      <c r="G510"/>
      <c r="H510"/>
      <c r="I510"/>
      <c r="J510"/>
    </row>
    <row r="511" spans="1:10">
      <c r="A511" s="36">
        <v>107.9</v>
      </c>
      <c r="B511" s="41">
        <v>107.9</v>
      </c>
      <c r="C511" s="95">
        <v>2.5625</v>
      </c>
      <c r="D511" s="96">
        <f t="shared" si="8"/>
        <v>4.2708333333333334E-2</v>
      </c>
      <c r="E511"/>
      <c r="F511"/>
      <c r="G511"/>
      <c r="H511"/>
      <c r="I511"/>
      <c r="J511"/>
    </row>
    <row r="512" spans="1:10">
      <c r="A512" s="36">
        <v>108</v>
      </c>
      <c r="B512" s="41">
        <v>108</v>
      </c>
      <c r="C512" s="95">
        <v>2.5</v>
      </c>
      <c r="D512" s="96">
        <f t="shared" si="8"/>
        <v>4.1666666666666664E-2</v>
      </c>
      <c r="E512"/>
      <c r="F512"/>
      <c r="G512"/>
      <c r="H512"/>
      <c r="I512"/>
      <c r="J512"/>
    </row>
    <row r="513" spans="1:10">
      <c r="A513" s="36">
        <v>108.1</v>
      </c>
      <c r="B513" s="41">
        <v>108.1</v>
      </c>
      <c r="C513" s="95">
        <v>2.4375</v>
      </c>
      <c r="D513" s="96">
        <f t="shared" si="8"/>
        <v>4.0625000000000001E-2</v>
      </c>
      <c r="E513"/>
      <c r="F513"/>
      <c r="G513"/>
      <c r="H513"/>
      <c r="I513"/>
      <c r="J513"/>
    </row>
    <row r="514" spans="1:10">
      <c r="A514" s="36">
        <v>108.2</v>
      </c>
      <c r="B514" s="41">
        <v>108.2</v>
      </c>
      <c r="C514" s="95">
        <v>2.375</v>
      </c>
      <c r="D514" s="96">
        <f t="shared" si="8"/>
        <v>3.9583333333333331E-2</v>
      </c>
      <c r="E514"/>
      <c r="F514"/>
      <c r="G514"/>
      <c r="H514"/>
      <c r="I514"/>
      <c r="J514"/>
    </row>
    <row r="515" spans="1:10">
      <c r="A515" s="36">
        <v>108.3</v>
      </c>
      <c r="B515" s="41">
        <v>108.3</v>
      </c>
      <c r="C515" s="95">
        <v>2.3125</v>
      </c>
      <c r="D515" s="96">
        <f t="shared" si="8"/>
        <v>3.8541666666666669E-2</v>
      </c>
      <c r="E515"/>
      <c r="F515"/>
      <c r="G515"/>
      <c r="H515"/>
      <c r="I515"/>
      <c r="J515"/>
    </row>
    <row r="516" spans="1:10">
      <c r="A516" s="36">
        <v>108.4</v>
      </c>
      <c r="B516" s="41">
        <v>108.4</v>
      </c>
      <c r="C516" s="95">
        <v>2.25</v>
      </c>
      <c r="D516" s="96">
        <f t="shared" si="8"/>
        <v>3.7499999999999999E-2</v>
      </c>
      <c r="E516"/>
      <c r="F516"/>
      <c r="G516"/>
      <c r="H516"/>
      <c r="I516"/>
      <c r="J516"/>
    </row>
    <row r="517" spans="1:10">
      <c r="A517" s="36">
        <v>108.5</v>
      </c>
      <c r="B517" s="41">
        <v>108.5</v>
      </c>
      <c r="C517" s="95">
        <v>2.1875</v>
      </c>
      <c r="D517" s="96">
        <f t="shared" si="8"/>
        <v>3.6458333333333336E-2</v>
      </c>
      <c r="E517"/>
      <c r="F517"/>
      <c r="G517"/>
      <c r="H517"/>
      <c r="I517"/>
      <c r="J517"/>
    </row>
    <row r="518" spans="1:10">
      <c r="A518" s="36">
        <v>108.6</v>
      </c>
      <c r="B518" s="41">
        <v>108.6</v>
      </c>
      <c r="C518" s="95">
        <v>2.125</v>
      </c>
      <c r="D518" s="96">
        <f t="shared" si="8"/>
        <v>3.5416666666666666E-2</v>
      </c>
      <c r="E518"/>
      <c r="F518"/>
      <c r="G518"/>
      <c r="H518"/>
      <c r="I518"/>
      <c r="J518"/>
    </row>
    <row r="519" spans="1:10">
      <c r="A519" s="36">
        <v>108.7</v>
      </c>
      <c r="B519" s="41">
        <v>108.7</v>
      </c>
      <c r="C519" s="95">
        <v>2.0625</v>
      </c>
      <c r="D519" s="96">
        <f t="shared" si="8"/>
        <v>3.4375000000000003E-2</v>
      </c>
      <c r="E519"/>
      <c r="F519"/>
      <c r="G519"/>
      <c r="H519"/>
      <c r="I519"/>
      <c r="J519"/>
    </row>
    <row r="520" spans="1:10">
      <c r="A520" s="36">
        <v>108.8</v>
      </c>
      <c r="B520" s="41">
        <v>108.8</v>
      </c>
      <c r="C520" s="95">
        <v>2</v>
      </c>
      <c r="D520" s="96">
        <f t="shared" si="8"/>
        <v>3.3333333333333333E-2</v>
      </c>
      <c r="E520"/>
      <c r="F520"/>
      <c r="G520"/>
      <c r="H520"/>
      <c r="I520"/>
      <c r="J520"/>
    </row>
    <row r="521" spans="1:10">
      <c r="A521" s="36">
        <v>108.9</v>
      </c>
      <c r="B521" s="41">
        <v>108.9</v>
      </c>
      <c r="C521" s="95">
        <v>1.9375</v>
      </c>
      <c r="D521" s="96">
        <f t="shared" si="8"/>
        <v>3.229166666666667E-2</v>
      </c>
      <c r="E521"/>
      <c r="F521"/>
      <c r="G521"/>
      <c r="H521"/>
      <c r="I521"/>
      <c r="J521"/>
    </row>
    <row r="522" spans="1:10">
      <c r="A522" s="36">
        <v>109</v>
      </c>
      <c r="B522" s="42">
        <v>109</v>
      </c>
      <c r="C522" s="94">
        <v>1.875</v>
      </c>
      <c r="D522" s="96">
        <f t="shared" si="8"/>
        <v>3.125E-2</v>
      </c>
      <c r="E522"/>
      <c r="F522"/>
      <c r="G522"/>
      <c r="H522"/>
      <c r="I522"/>
      <c r="J522"/>
    </row>
    <row r="523" spans="1:10">
      <c r="A523" s="36">
        <v>109.1</v>
      </c>
      <c r="B523" s="41">
        <v>109.1</v>
      </c>
      <c r="C523" s="95">
        <v>1.84375</v>
      </c>
      <c r="D523" s="96">
        <f t="shared" si="8"/>
        <v>3.0729166666666665E-2</v>
      </c>
      <c r="E523"/>
      <c r="F523"/>
      <c r="G523"/>
      <c r="H523"/>
      <c r="I523"/>
      <c r="J523"/>
    </row>
    <row r="524" spans="1:10">
      <c r="A524" s="36">
        <v>109.2</v>
      </c>
      <c r="B524" s="41">
        <v>109.2</v>
      </c>
      <c r="C524" s="95">
        <v>1.8125</v>
      </c>
      <c r="D524" s="96">
        <f t="shared" si="8"/>
        <v>3.0208333333333334E-2</v>
      </c>
      <c r="E524"/>
      <c r="F524"/>
      <c r="G524"/>
      <c r="H524"/>
      <c r="I524"/>
      <c r="J524"/>
    </row>
    <row r="525" spans="1:10">
      <c r="A525" s="36">
        <v>109.3</v>
      </c>
      <c r="B525" s="41">
        <v>109.3</v>
      </c>
      <c r="C525" s="95">
        <v>1.78125</v>
      </c>
      <c r="D525" s="96">
        <f t="shared" si="8"/>
        <v>2.9687499999999999E-2</v>
      </c>
      <c r="E525"/>
      <c r="F525"/>
      <c r="G525"/>
      <c r="H525"/>
      <c r="I525"/>
      <c r="J525"/>
    </row>
    <row r="526" spans="1:10">
      <c r="A526" s="36">
        <v>109.4</v>
      </c>
      <c r="B526" s="41">
        <v>109.4</v>
      </c>
      <c r="C526" s="95">
        <v>1.75</v>
      </c>
      <c r="D526" s="96">
        <f t="shared" ref="D526:D589" si="9">C526/60</f>
        <v>2.9166666666666667E-2</v>
      </c>
      <c r="E526"/>
      <c r="F526"/>
      <c r="G526"/>
      <c r="H526"/>
      <c r="I526"/>
      <c r="J526"/>
    </row>
    <row r="527" spans="1:10">
      <c r="A527" s="36">
        <v>109.5</v>
      </c>
      <c r="B527" s="41">
        <v>109.5</v>
      </c>
      <c r="C527" s="95">
        <v>1.71875</v>
      </c>
      <c r="D527" s="96">
        <f t="shared" si="9"/>
        <v>2.8645833333333332E-2</v>
      </c>
      <c r="E527"/>
      <c r="F527"/>
      <c r="G527"/>
      <c r="H527"/>
      <c r="I527"/>
      <c r="J527"/>
    </row>
    <row r="528" spans="1:10">
      <c r="A528" s="36">
        <v>109.6</v>
      </c>
      <c r="B528" s="41">
        <v>109.6</v>
      </c>
      <c r="C528" s="95">
        <v>1.6875</v>
      </c>
      <c r="D528" s="96">
        <f t="shared" si="9"/>
        <v>2.8125000000000001E-2</v>
      </c>
      <c r="E528"/>
      <c r="F528"/>
      <c r="G528"/>
      <c r="H528"/>
      <c r="I528"/>
      <c r="J528"/>
    </row>
    <row r="529" spans="1:10">
      <c r="A529" s="36">
        <v>109.7</v>
      </c>
      <c r="B529" s="41">
        <v>109.7</v>
      </c>
      <c r="C529" s="95">
        <v>1.65625</v>
      </c>
      <c r="D529" s="96">
        <f t="shared" si="9"/>
        <v>2.7604166666666666E-2</v>
      </c>
      <c r="E529"/>
      <c r="F529"/>
      <c r="G529"/>
      <c r="H529"/>
      <c r="I529"/>
      <c r="J529"/>
    </row>
    <row r="530" spans="1:10">
      <c r="A530" s="36">
        <v>109.8</v>
      </c>
      <c r="B530" s="41">
        <v>109.8</v>
      </c>
      <c r="C530" s="95">
        <v>1.625</v>
      </c>
      <c r="D530" s="96">
        <f t="shared" si="9"/>
        <v>2.7083333333333334E-2</v>
      </c>
      <c r="E530"/>
      <c r="F530"/>
      <c r="G530"/>
      <c r="H530"/>
      <c r="I530"/>
      <c r="J530"/>
    </row>
    <row r="531" spans="1:10">
      <c r="A531" s="36">
        <v>109.9</v>
      </c>
      <c r="B531" s="41">
        <v>109.9</v>
      </c>
      <c r="C531" s="95">
        <v>1.59375</v>
      </c>
      <c r="D531" s="96">
        <f t="shared" si="9"/>
        <v>2.6562499999999999E-2</v>
      </c>
      <c r="E531"/>
      <c r="F531"/>
      <c r="G531"/>
      <c r="H531"/>
      <c r="I531"/>
      <c r="J531"/>
    </row>
    <row r="532" spans="1:10">
      <c r="A532" s="36">
        <v>110</v>
      </c>
      <c r="B532" s="41">
        <v>110</v>
      </c>
      <c r="C532" s="95">
        <v>1.5625</v>
      </c>
      <c r="D532" s="96">
        <f t="shared" si="9"/>
        <v>2.6041666666666668E-2</v>
      </c>
      <c r="E532"/>
      <c r="F532"/>
      <c r="G532"/>
      <c r="H532"/>
      <c r="I532"/>
      <c r="J532"/>
    </row>
    <row r="533" spans="1:10">
      <c r="A533" s="36">
        <v>110.1</v>
      </c>
      <c r="B533" s="41">
        <v>110.1</v>
      </c>
      <c r="C533" s="95">
        <v>1.53125</v>
      </c>
      <c r="D533" s="96">
        <f t="shared" si="9"/>
        <v>2.5520833333333333E-2</v>
      </c>
      <c r="E533"/>
      <c r="F533"/>
      <c r="G533"/>
      <c r="H533"/>
      <c r="I533"/>
      <c r="J533"/>
    </row>
    <row r="534" spans="1:10">
      <c r="A534" s="36">
        <v>110.2</v>
      </c>
      <c r="B534" s="41">
        <v>110.2</v>
      </c>
      <c r="C534" s="95">
        <v>1.5</v>
      </c>
      <c r="D534" s="96">
        <f t="shared" si="9"/>
        <v>2.5000000000000001E-2</v>
      </c>
      <c r="E534"/>
      <c r="F534"/>
      <c r="G534"/>
      <c r="H534"/>
      <c r="I534"/>
      <c r="J534"/>
    </row>
    <row r="535" spans="1:10">
      <c r="A535" s="36">
        <v>110.3</v>
      </c>
      <c r="B535" s="41">
        <v>110.3</v>
      </c>
      <c r="C535" s="95">
        <v>1.46875</v>
      </c>
      <c r="D535" s="96">
        <f t="shared" si="9"/>
        <v>2.4479166666666666E-2</v>
      </c>
      <c r="E535"/>
      <c r="F535"/>
      <c r="G535"/>
      <c r="H535"/>
      <c r="I535"/>
      <c r="J535"/>
    </row>
    <row r="536" spans="1:10">
      <c r="A536" s="36">
        <v>110.4</v>
      </c>
      <c r="B536" s="41">
        <v>110.4</v>
      </c>
      <c r="C536" s="95">
        <v>1.4375</v>
      </c>
      <c r="D536" s="96">
        <f t="shared" si="9"/>
        <v>2.3958333333333335E-2</v>
      </c>
      <c r="E536"/>
      <c r="F536"/>
      <c r="G536"/>
      <c r="H536"/>
      <c r="I536"/>
      <c r="J536"/>
    </row>
    <row r="537" spans="1:10">
      <c r="A537" s="36">
        <v>110.5</v>
      </c>
      <c r="B537" s="41">
        <v>110.5</v>
      </c>
      <c r="C537" s="95">
        <v>1.40625</v>
      </c>
      <c r="D537" s="96">
        <f t="shared" si="9"/>
        <v>2.34375E-2</v>
      </c>
      <c r="E537"/>
      <c r="F537"/>
      <c r="G537"/>
      <c r="H537"/>
      <c r="I537"/>
      <c r="J537"/>
    </row>
    <row r="538" spans="1:10">
      <c r="A538" s="36">
        <v>110.6</v>
      </c>
      <c r="B538" s="41">
        <v>110.6</v>
      </c>
      <c r="C538" s="95">
        <v>1.375</v>
      </c>
      <c r="D538" s="96">
        <f t="shared" si="9"/>
        <v>2.2916666666666665E-2</v>
      </c>
      <c r="E538"/>
      <c r="F538"/>
      <c r="G538"/>
      <c r="H538"/>
      <c r="I538"/>
      <c r="J538"/>
    </row>
    <row r="539" spans="1:10">
      <c r="A539" s="36">
        <v>110.7</v>
      </c>
      <c r="B539" s="41">
        <v>110.7</v>
      </c>
      <c r="C539" s="95">
        <v>1.34375</v>
      </c>
      <c r="D539" s="96">
        <f t="shared" si="9"/>
        <v>2.2395833333333334E-2</v>
      </c>
      <c r="E539"/>
      <c r="F539"/>
      <c r="G539"/>
      <c r="H539"/>
      <c r="I539"/>
      <c r="J539"/>
    </row>
    <row r="540" spans="1:10">
      <c r="A540" s="36">
        <v>110.8</v>
      </c>
      <c r="B540" s="41">
        <v>110.8</v>
      </c>
      <c r="C540" s="95">
        <v>1.3125</v>
      </c>
      <c r="D540" s="96">
        <f t="shared" si="9"/>
        <v>2.1874999999999999E-2</v>
      </c>
      <c r="E540"/>
      <c r="F540"/>
      <c r="G540"/>
      <c r="H540"/>
      <c r="I540"/>
      <c r="J540"/>
    </row>
    <row r="541" spans="1:10">
      <c r="A541" s="36">
        <v>110.9</v>
      </c>
      <c r="B541" s="41">
        <v>110.9</v>
      </c>
      <c r="C541" s="95">
        <v>1.28125</v>
      </c>
      <c r="D541" s="96">
        <f t="shared" si="9"/>
        <v>2.1354166666666667E-2</v>
      </c>
      <c r="E541"/>
      <c r="F541"/>
      <c r="G541"/>
      <c r="H541"/>
      <c r="I541"/>
      <c r="J541"/>
    </row>
    <row r="542" spans="1:10">
      <c r="A542" s="36">
        <v>111</v>
      </c>
      <c r="B542" s="41">
        <v>111</v>
      </c>
      <c r="C542" s="95">
        <v>1.25</v>
      </c>
      <c r="D542" s="96">
        <f t="shared" si="9"/>
        <v>2.0833333333333332E-2</v>
      </c>
      <c r="E542"/>
      <c r="F542"/>
      <c r="G542"/>
      <c r="H542"/>
      <c r="I542"/>
      <c r="J542"/>
    </row>
    <row r="543" spans="1:10">
      <c r="A543" s="36">
        <v>111.1</v>
      </c>
      <c r="B543" s="41">
        <v>111.1</v>
      </c>
      <c r="C543" s="95">
        <v>1.21875</v>
      </c>
      <c r="D543" s="96">
        <f t="shared" si="9"/>
        <v>2.0312500000000001E-2</v>
      </c>
      <c r="E543"/>
      <c r="F543"/>
      <c r="G543"/>
      <c r="H543"/>
      <c r="I543"/>
      <c r="J543"/>
    </row>
    <row r="544" spans="1:10">
      <c r="A544" s="36">
        <v>111.2</v>
      </c>
      <c r="B544" s="41">
        <v>111.2</v>
      </c>
      <c r="C544" s="95">
        <v>1.1875</v>
      </c>
      <c r="D544" s="96">
        <f t="shared" si="9"/>
        <v>1.9791666666666666E-2</v>
      </c>
      <c r="E544"/>
      <c r="F544"/>
      <c r="G544"/>
      <c r="H544"/>
      <c r="I544"/>
      <c r="J544"/>
    </row>
    <row r="545" spans="1:10">
      <c r="A545" s="36">
        <v>111.3</v>
      </c>
      <c r="B545" s="41">
        <v>111.3</v>
      </c>
      <c r="C545" s="95">
        <v>1.15625</v>
      </c>
      <c r="D545" s="96">
        <f t="shared" si="9"/>
        <v>1.9270833333333334E-2</v>
      </c>
      <c r="E545"/>
      <c r="F545"/>
      <c r="G545"/>
      <c r="H545"/>
      <c r="I545"/>
      <c r="J545"/>
    </row>
    <row r="546" spans="1:10">
      <c r="A546" s="36">
        <v>111.4</v>
      </c>
      <c r="B546" s="41">
        <v>111.4</v>
      </c>
      <c r="C546" s="95">
        <v>1.125</v>
      </c>
      <c r="D546" s="96">
        <f t="shared" si="9"/>
        <v>1.8749999999999999E-2</v>
      </c>
      <c r="E546"/>
      <c r="F546"/>
      <c r="G546"/>
      <c r="H546"/>
      <c r="I546"/>
      <c r="J546"/>
    </row>
    <row r="547" spans="1:10">
      <c r="A547" s="36">
        <v>111.5</v>
      </c>
      <c r="B547" s="41">
        <v>111.5</v>
      </c>
      <c r="C547" s="95">
        <v>1.09375</v>
      </c>
      <c r="D547" s="96">
        <f t="shared" si="9"/>
        <v>1.8229166666666668E-2</v>
      </c>
      <c r="E547"/>
      <c r="F547"/>
      <c r="G547"/>
      <c r="H547"/>
      <c r="I547"/>
      <c r="J547"/>
    </row>
    <row r="548" spans="1:10">
      <c r="A548" s="36">
        <v>111.6</v>
      </c>
      <c r="B548" s="41">
        <v>111.6</v>
      </c>
      <c r="C548" s="95">
        <v>1.0625</v>
      </c>
      <c r="D548" s="96">
        <f t="shared" si="9"/>
        <v>1.7708333333333333E-2</v>
      </c>
      <c r="E548"/>
      <c r="F548"/>
      <c r="G548"/>
      <c r="H548"/>
      <c r="I548"/>
      <c r="J548"/>
    </row>
    <row r="549" spans="1:10">
      <c r="A549" s="36">
        <v>111.7</v>
      </c>
      <c r="B549" s="41">
        <v>111.7</v>
      </c>
      <c r="C549" s="95">
        <v>1.03125</v>
      </c>
      <c r="D549" s="96">
        <f t="shared" si="9"/>
        <v>1.7187500000000001E-2</v>
      </c>
      <c r="E549"/>
      <c r="F549"/>
      <c r="G549"/>
      <c r="H549"/>
      <c r="I549"/>
      <c r="J549"/>
    </row>
    <row r="550" spans="1:10">
      <c r="A550" s="36">
        <v>111.8</v>
      </c>
      <c r="B550" s="41">
        <v>111.8</v>
      </c>
      <c r="C550" s="95">
        <v>1</v>
      </c>
      <c r="D550" s="96">
        <f t="shared" si="9"/>
        <v>1.6666666666666666E-2</v>
      </c>
      <c r="E550"/>
      <c r="F550"/>
      <c r="G550"/>
      <c r="H550"/>
      <c r="I550"/>
      <c r="J550"/>
    </row>
    <row r="551" spans="1:10">
      <c r="A551" s="36">
        <v>111.9</v>
      </c>
      <c r="B551" s="41">
        <v>111.9</v>
      </c>
      <c r="C551" s="95">
        <v>0.96875</v>
      </c>
      <c r="D551" s="96">
        <f t="shared" si="9"/>
        <v>1.6145833333333335E-2</v>
      </c>
      <c r="E551"/>
      <c r="F551"/>
      <c r="G551"/>
      <c r="H551"/>
      <c r="I551"/>
      <c r="J551"/>
    </row>
    <row r="552" spans="1:10">
      <c r="A552" s="36">
        <v>112</v>
      </c>
      <c r="B552" s="42">
        <v>112</v>
      </c>
      <c r="C552" s="94">
        <v>0.9375</v>
      </c>
      <c r="D552" s="96">
        <f t="shared" si="9"/>
        <v>1.5625E-2</v>
      </c>
      <c r="E552"/>
      <c r="F552"/>
      <c r="G552"/>
      <c r="H552"/>
      <c r="I552"/>
      <c r="J552"/>
    </row>
    <row r="553" spans="1:10">
      <c r="A553" s="36">
        <v>112.1</v>
      </c>
      <c r="B553" s="41">
        <v>112.1</v>
      </c>
      <c r="C553" s="95">
        <v>0.921875</v>
      </c>
      <c r="D553" s="96">
        <f t="shared" si="9"/>
        <v>1.5364583333333333E-2</v>
      </c>
      <c r="E553"/>
      <c r="F553"/>
      <c r="G553"/>
      <c r="H553"/>
      <c r="I553"/>
      <c r="J553"/>
    </row>
    <row r="554" spans="1:10">
      <c r="A554" s="36">
        <v>112.2</v>
      </c>
      <c r="B554" s="41">
        <v>112.2</v>
      </c>
      <c r="C554" s="95">
        <v>0.90625</v>
      </c>
      <c r="D554" s="96">
        <f t="shared" si="9"/>
        <v>1.5104166666666667E-2</v>
      </c>
      <c r="E554"/>
      <c r="F554"/>
      <c r="G554"/>
      <c r="H554"/>
      <c r="I554"/>
      <c r="J554"/>
    </row>
    <row r="555" spans="1:10">
      <c r="A555" s="36">
        <v>112.3</v>
      </c>
      <c r="B555" s="41">
        <v>112.3</v>
      </c>
      <c r="C555" s="95">
        <v>0.890625</v>
      </c>
      <c r="D555" s="96">
        <f t="shared" si="9"/>
        <v>1.4843749999999999E-2</v>
      </c>
      <c r="E555"/>
      <c r="F555"/>
      <c r="G555"/>
      <c r="H555"/>
      <c r="I555"/>
      <c r="J555"/>
    </row>
    <row r="556" spans="1:10">
      <c r="A556" s="36">
        <v>112.4</v>
      </c>
      <c r="B556" s="41">
        <v>112.4</v>
      </c>
      <c r="C556" s="95">
        <v>0.875</v>
      </c>
      <c r="D556" s="96">
        <f t="shared" si="9"/>
        <v>1.4583333333333334E-2</v>
      </c>
      <c r="E556"/>
      <c r="F556"/>
      <c r="G556"/>
      <c r="H556"/>
      <c r="I556"/>
      <c r="J556"/>
    </row>
    <row r="557" spans="1:10">
      <c r="A557" s="36">
        <v>112.5</v>
      </c>
      <c r="B557" s="41">
        <v>112.5</v>
      </c>
      <c r="C557" s="95">
        <v>0.859375</v>
      </c>
      <c r="D557" s="96">
        <f t="shared" si="9"/>
        <v>1.4322916666666666E-2</v>
      </c>
      <c r="E557"/>
      <c r="F557"/>
      <c r="G557"/>
      <c r="H557"/>
      <c r="I557"/>
      <c r="J557"/>
    </row>
    <row r="558" spans="1:10">
      <c r="A558" s="36">
        <v>112.6</v>
      </c>
      <c r="B558" s="41">
        <v>112.6</v>
      </c>
      <c r="C558" s="95">
        <v>0.84375</v>
      </c>
      <c r="D558" s="96">
        <f t="shared" si="9"/>
        <v>1.40625E-2</v>
      </c>
      <c r="E558"/>
      <c r="F558"/>
      <c r="G558"/>
      <c r="H558"/>
      <c r="I558"/>
      <c r="J558"/>
    </row>
    <row r="559" spans="1:10">
      <c r="A559" s="36">
        <v>112.7</v>
      </c>
      <c r="B559" s="41">
        <v>112.7</v>
      </c>
      <c r="C559" s="95">
        <v>0.828125</v>
      </c>
      <c r="D559" s="96">
        <f t="shared" si="9"/>
        <v>1.3802083333333333E-2</v>
      </c>
      <c r="E559"/>
      <c r="F559"/>
      <c r="G559"/>
      <c r="H559"/>
      <c r="I559"/>
      <c r="J559"/>
    </row>
    <row r="560" spans="1:10">
      <c r="A560" s="36">
        <v>112.8</v>
      </c>
      <c r="B560" s="41">
        <v>112.8</v>
      </c>
      <c r="C560" s="95">
        <v>0.8125</v>
      </c>
      <c r="D560" s="96">
        <f t="shared" si="9"/>
        <v>1.3541666666666667E-2</v>
      </c>
      <c r="E560"/>
      <c r="F560"/>
      <c r="G560"/>
      <c r="H560"/>
      <c r="I560"/>
      <c r="J560"/>
    </row>
    <row r="561" spans="1:10">
      <c r="A561" s="36">
        <v>112.9</v>
      </c>
      <c r="B561" s="41">
        <v>112.9</v>
      </c>
      <c r="C561" s="95">
        <v>0.796875</v>
      </c>
      <c r="D561" s="96">
        <f t="shared" si="9"/>
        <v>1.328125E-2</v>
      </c>
      <c r="E561"/>
      <c r="F561"/>
      <c r="G561"/>
      <c r="H561"/>
      <c r="I561"/>
      <c r="J561"/>
    </row>
    <row r="562" spans="1:10">
      <c r="A562" s="36">
        <v>113</v>
      </c>
      <c r="B562" s="41">
        <v>113</v>
      </c>
      <c r="C562" s="95">
        <v>0.78125</v>
      </c>
      <c r="D562" s="96">
        <f t="shared" si="9"/>
        <v>1.3020833333333334E-2</v>
      </c>
      <c r="E562"/>
      <c r="F562"/>
      <c r="G562"/>
      <c r="H562"/>
      <c r="I562"/>
      <c r="J562"/>
    </row>
    <row r="563" spans="1:10">
      <c r="A563" s="36">
        <v>113.1</v>
      </c>
      <c r="B563" s="41">
        <v>113.1</v>
      </c>
      <c r="C563" s="95">
        <v>0.765625</v>
      </c>
      <c r="D563" s="96">
        <f t="shared" si="9"/>
        <v>1.2760416666666666E-2</v>
      </c>
      <c r="E563"/>
      <c r="F563"/>
      <c r="G563"/>
      <c r="H563"/>
      <c r="I563"/>
      <c r="J563"/>
    </row>
    <row r="564" spans="1:10">
      <c r="A564" s="36">
        <v>113.2</v>
      </c>
      <c r="B564" s="41">
        <v>113.2</v>
      </c>
      <c r="C564" s="95">
        <v>0.75</v>
      </c>
      <c r="D564" s="96">
        <f t="shared" si="9"/>
        <v>1.2500000000000001E-2</v>
      </c>
      <c r="E564"/>
      <c r="F564"/>
      <c r="G564"/>
      <c r="H564"/>
      <c r="I564"/>
      <c r="J564"/>
    </row>
    <row r="565" spans="1:10">
      <c r="A565" s="36">
        <v>113.3</v>
      </c>
      <c r="B565" s="41">
        <v>113.3</v>
      </c>
      <c r="C565" s="95">
        <v>0.734375</v>
      </c>
      <c r="D565" s="96">
        <f t="shared" si="9"/>
        <v>1.2239583333333333E-2</v>
      </c>
      <c r="E565"/>
      <c r="F565"/>
      <c r="G565"/>
      <c r="H565"/>
      <c r="I565"/>
      <c r="J565"/>
    </row>
    <row r="566" spans="1:10">
      <c r="A566" s="36">
        <v>113.4</v>
      </c>
      <c r="B566" s="41">
        <v>113.4</v>
      </c>
      <c r="C566" s="95">
        <v>0.71875</v>
      </c>
      <c r="D566" s="96">
        <f t="shared" si="9"/>
        <v>1.1979166666666667E-2</v>
      </c>
      <c r="E566"/>
      <c r="F566"/>
      <c r="G566"/>
      <c r="H566"/>
      <c r="I566"/>
      <c r="J566"/>
    </row>
    <row r="567" spans="1:10">
      <c r="A567" s="36">
        <v>113.5</v>
      </c>
      <c r="B567" s="41">
        <v>113.5</v>
      </c>
      <c r="C567" s="95">
        <v>0.703125</v>
      </c>
      <c r="D567" s="96">
        <f t="shared" si="9"/>
        <v>1.171875E-2</v>
      </c>
      <c r="E567"/>
      <c r="F567"/>
      <c r="G567"/>
      <c r="H567"/>
      <c r="I567"/>
      <c r="J567"/>
    </row>
    <row r="568" spans="1:10">
      <c r="A568" s="36">
        <v>113.6</v>
      </c>
      <c r="B568" s="41">
        <v>113.6</v>
      </c>
      <c r="C568" s="95">
        <v>0.6875</v>
      </c>
      <c r="D568" s="96">
        <f t="shared" si="9"/>
        <v>1.1458333333333333E-2</v>
      </c>
      <c r="E568"/>
      <c r="F568"/>
      <c r="G568"/>
      <c r="H568"/>
      <c r="I568"/>
      <c r="J568"/>
    </row>
    <row r="569" spans="1:10">
      <c r="A569" s="36">
        <v>113.7</v>
      </c>
      <c r="B569" s="41">
        <v>113.7</v>
      </c>
      <c r="C569" s="95">
        <v>0.671875</v>
      </c>
      <c r="D569" s="96">
        <f t="shared" si="9"/>
        <v>1.1197916666666667E-2</v>
      </c>
      <c r="E569"/>
      <c r="F569"/>
      <c r="G569"/>
      <c r="H569"/>
      <c r="I569"/>
      <c r="J569"/>
    </row>
    <row r="570" spans="1:10">
      <c r="A570" s="36">
        <v>113.8</v>
      </c>
      <c r="B570" s="41">
        <v>113.8</v>
      </c>
      <c r="C570" s="95">
        <v>0.65625</v>
      </c>
      <c r="D570" s="96">
        <f t="shared" si="9"/>
        <v>1.0937499999999999E-2</v>
      </c>
      <c r="E570"/>
      <c r="F570"/>
      <c r="G570"/>
      <c r="H570"/>
      <c r="I570"/>
      <c r="J570"/>
    </row>
    <row r="571" spans="1:10">
      <c r="A571" s="36">
        <v>113.9</v>
      </c>
      <c r="B571" s="41">
        <v>113.9</v>
      </c>
      <c r="C571" s="95">
        <v>0.640625</v>
      </c>
      <c r="D571" s="96">
        <f t="shared" si="9"/>
        <v>1.0677083333333334E-2</v>
      </c>
      <c r="E571"/>
      <c r="F571"/>
      <c r="G571"/>
      <c r="H571"/>
      <c r="I571"/>
      <c r="J571"/>
    </row>
    <row r="572" spans="1:10">
      <c r="A572" s="36">
        <v>114</v>
      </c>
      <c r="B572" s="41">
        <v>114</v>
      </c>
      <c r="C572" s="95">
        <v>0.625</v>
      </c>
      <c r="D572" s="96">
        <f t="shared" si="9"/>
        <v>1.0416666666666666E-2</v>
      </c>
      <c r="E572"/>
      <c r="F572"/>
      <c r="G572"/>
      <c r="H572"/>
      <c r="I572"/>
      <c r="J572"/>
    </row>
    <row r="573" spans="1:10">
      <c r="A573" s="36">
        <v>114.1</v>
      </c>
      <c r="B573" s="41">
        <v>114.1</v>
      </c>
      <c r="C573" s="95">
        <v>0.609375</v>
      </c>
      <c r="D573" s="96">
        <f t="shared" si="9"/>
        <v>1.015625E-2</v>
      </c>
      <c r="E573"/>
      <c r="F573"/>
      <c r="G573"/>
      <c r="H573"/>
      <c r="I573"/>
      <c r="J573"/>
    </row>
    <row r="574" spans="1:10">
      <c r="A574" s="36">
        <v>114.2</v>
      </c>
      <c r="B574" s="41">
        <v>114.2</v>
      </c>
      <c r="C574" s="95">
        <v>0.59375</v>
      </c>
      <c r="D574" s="96">
        <f t="shared" si="9"/>
        <v>9.8958333333333329E-3</v>
      </c>
      <c r="E574"/>
      <c r="F574"/>
      <c r="G574"/>
      <c r="H574"/>
      <c r="I574"/>
      <c r="J574"/>
    </row>
    <row r="575" spans="1:10">
      <c r="A575" s="36">
        <v>114.3</v>
      </c>
      <c r="B575" s="41">
        <v>114.3</v>
      </c>
      <c r="C575" s="95">
        <v>0.578125</v>
      </c>
      <c r="D575" s="96">
        <f t="shared" si="9"/>
        <v>9.6354166666666671E-3</v>
      </c>
      <c r="E575"/>
      <c r="F575"/>
      <c r="G575"/>
      <c r="H575"/>
      <c r="I575"/>
      <c r="J575"/>
    </row>
    <row r="576" spans="1:10">
      <c r="A576" s="36">
        <v>114.4</v>
      </c>
      <c r="B576" s="41">
        <v>114.4</v>
      </c>
      <c r="C576" s="95">
        <v>0.5625</v>
      </c>
      <c r="D576" s="96">
        <f t="shared" si="9"/>
        <v>9.3749999999999997E-3</v>
      </c>
      <c r="E576"/>
      <c r="F576"/>
      <c r="G576"/>
      <c r="H576"/>
      <c r="I576"/>
      <c r="J576"/>
    </row>
    <row r="577" spans="1:10">
      <c r="A577" s="36">
        <v>114.5</v>
      </c>
      <c r="B577" s="41">
        <v>114.5</v>
      </c>
      <c r="C577" s="95">
        <v>0.546875</v>
      </c>
      <c r="D577" s="96">
        <f t="shared" si="9"/>
        <v>9.1145833333333339E-3</v>
      </c>
      <c r="E577"/>
      <c r="F577"/>
      <c r="G577"/>
      <c r="H577"/>
      <c r="I577"/>
      <c r="J577"/>
    </row>
    <row r="578" spans="1:10">
      <c r="A578" s="36">
        <v>114.6</v>
      </c>
      <c r="B578" s="41">
        <v>114.6</v>
      </c>
      <c r="C578" s="95">
        <v>0.53125</v>
      </c>
      <c r="D578" s="96">
        <f t="shared" si="9"/>
        <v>8.8541666666666664E-3</v>
      </c>
      <c r="E578"/>
      <c r="F578"/>
      <c r="G578"/>
      <c r="H578"/>
      <c r="I578"/>
      <c r="J578"/>
    </row>
    <row r="579" spans="1:10">
      <c r="A579" s="36">
        <v>114.7</v>
      </c>
      <c r="B579" s="41">
        <v>114.7</v>
      </c>
      <c r="C579" s="95">
        <v>0.515625</v>
      </c>
      <c r="D579" s="96">
        <f t="shared" si="9"/>
        <v>8.5937500000000007E-3</v>
      </c>
      <c r="E579"/>
      <c r="F579"/>
      <c r="G579"/>
      <c r="H579"/>
      <c r="I579"/>
      <c r="J579"/>
    </row>
    <row r="580" spans="1:10">
      <c r="A580" s="36">
        <v>114.8</v>
      </c>
      <c r="B580" s="41">
        <v>114.8</v>
      </c>
      <c r="C580" s="95">
        <v>0.5</v>
      </c>
      <c r="D580" s="96">
        <f t="shared" si="9"/>
        <v>8.3333333333333332E-3</v>
      </c>
      <c r="E580"/>
      <c r="F580"/>
      <c r="G580"/>
      <c r="H580"/>
      <c r="I580"/>
      <c r="J580"/>
    </row>
    <row r="581" spans="1:10">
      <c r="A581" s="36">
        <v>114.9</v>
      </c>
      <c r="B581" s="41">
        <v>114.9</v>
      </c>
      <c r="C581" s="95">
        <v>0.484375</v>
      </c>
      <c r="D581" s="96">
        <f t="shared" si="9"/>
        <v>8.0729166666666675E-3</v>
      </c>
      <c r="E581"/>
      <c r="F581"/>
      <c r="G581"/>
      <c r="H581"/>
      <c r="I581"/>
      <c r="J581"/>
    </row>
    <row r="582" spans="1:10">
      <c r="A582" s="36">
        <v>115</v>
      </c>
      <c r="B582" s="42">
        <v>115</v>
      </c>
      <c r="C582" s="94">
        <v>0.46875</v>
      </c>
      <c r="D582" s="96">
        <f t="shared" si="9"/>
        <v>7.8125E-3</v>
      </c>
      <c r="E582"/>
      <c r="F582"/>
      <c r="G582"/>
      <c r="H582"/>
      <c r="I582"/>
      <c r="J582"/>
    </row>
    <row r="583" spans="1:10">
      <c r="A583" s="36">
        <v>115.1</v>
      </c>
      <c r="B583" s="41">
        <v>115.1</v>
      </c>
      <c r="C583" s="95">
        <v>0.46093699999999999</v>
      </c>
      <c r="D583" s="96">
        <f t="shared" si="9"/>
        <v>7.682283333333333E-3</v>
      </c>
      <c r="E583"/>
      <c r="F583"/>
      <c r="G583"/>
      <c r="H583"/>
      <c r="I583"/>
      <c r="J583"/>
    </row>
    <row r="584" spans="1:10">
      <c r="A584" s="36">
        <v>115.2</v>
      </c>
      <c r="B584" s="41">
        <v>115.2</v>
      </c>
      <c r="C584" s="95">
        <v>0.45312399999999997</v>
      </c>
      <c r="D584" s="96">
        <f t="shared" si="9"/>
        <v>7.552066666666666E-3</v>
      </c>
      <c r="E584"/>
      <c r="F584"/>
      <c r="G584"/>
      <c r="H584"/>
      <c r="I584"/>
      <c r="J584"/>
    </row>
    <row r="585" spans="1:10">
      <c r="A585" s="36">
        <v>115.3</v>
      </c>
      <c r="B585" s="41">
        <v>115.3</v>
      </c>
      <c r="C585" s="95">
        <v>0.44531099999999996</v>
      </c>
      <c r="D585" s="96">
        <f t="shared" si="9"/>
        <v>7.4218499999999989E-3</v>
      </c>
      <c r="E585"/>
      <c r="F585"/>
      <c r="G585"/>
      <c r="H585"/>
      <c r="I585"/>
      <c r="J585"/>
    </row>
    <row r="586" spans="1:10">
      <c r="A586" s="36">
        <v>115.4</v>
      </c>
      <c r="B586" s="41">
        <v>115.4</v>
      </c>
      <c r="C586" s="95">
        <v>0.43749799999999994</v>
      </c>
      <c r="D586" s="96">
        <f t="shared" si="9"/>
        <v>7.2916333333333328E-3</v>
      </c>
      <c r="E586"/>
      <c r="F586"/>
      <c r="G586"/>
      <c r="H586"/>
      <c r="I586"/>
      <c r="J586"/>
    </row>
    <row r="587" spans="1:10">
      <c r="A587" s="36">
        <v>115.5</v>
      </c>
      <c r="B587" s="41">
        <v>115.5</v>
      </c>
      <c r="C587" s="95">
        <v>0.42968499999999993</v>
      </c>
      <c r="D587" s="96">
        <f t="shared" si="9"/>
        <v>7.1614166666666658E-3</v>
      </c>
      <c r="E587"/>
      <c r="F587"/>
      <c r="G587"/>
      <c r="H587"/>
      <c r="I587"/>
      <c r="J587"/>
    </row>
    <row r="588" spans="1:10">
      <c r="A588" s="36">
        <v>115.6</v>
      </c>
      <c r="B588" s="41">
        <v>115.6</v>
      </c>
      <c r="C588" s="95">
        <v>0.42187199999999991</v>
      </c>
      <c r="D588" s="96">
        <f t="shared" si="9"/>
        <v>7.0311999999999987E-3</v>
      </c>
      <c r="E588"/>
      <c r="F588"/>
      <c r="G588"/>
      <c r="H588"/>
      <c r="I588"/>
      <c r="J588"/>
    </row>
    <row r="589" spans="1:10">
      <c r="A589" s="36">
        <v>115.7</v>
      </c>
      <c r="B589" s="41">
        <v>115.7</v>
      </c>
      <c r="C589" s="95">
        <v>0.4140589999999999</v>
      </c>
      <c r="D589" s="96">
        <f t="shared" si="9"/>
        <v>6.9009833333333317E-3</v>
      </c>
      <c r="E589"/>
      <c r="F589"/>
      <c r="G589"/>
      <c r="H589"/>
      <c r="I589"/>
      <c r="J589"/>
    </row>
    <row r="590" spans="1:10">
      <c r="A590" s="36">
        <v>115.8</v>
      </c>
      <c r="B590" s="41">
        <v>115.8</v>
      </c>
      <c r="C590" s="95">
        <v>0.40624599999999988</v>
      </c>
      <c r="D590" s="96">
        <f t="shared" ref="D590:D653" si="10">C590/60</f>
        <v>6.7707666666666647E-3</v>
      </c>
      <c r="E590"/>
      <c r="F590"/>
      <c r="G590"/>
      <c r="H590"/>
      <c r="I590"/>
      <c r="J590"/>
    </row>
    <row r="591" spans="1:10">
      <c r="A591" s="36">
        <v>115.9</v>
      </c>
      <c r="B591" s="41">
        <v>115.9</v>
      </c>
      <c r="C591" s="95">
        <v>0.39843299999999987</v>
      </c>
      <c r="D591" s="96">
        <f t="shared" si="10"/>
        <v>6.6405499999999977E-3</v>
      </c>
      <c r="E591"/>
      <c r="F591"/>
      <c r="G591"/>
      <c r="H591"/>
      <c r="I591"/>
      <c r="J591"/>
    </row>
    <row r="592" spans="1:10">
      <c r="A592" s="36">
        <v>116</v>
      </c>
      <c r="B592" s="41">
        <v>116</v>
      </c>
      <c r="C592" s="95">
        <v>0.39061999999999986</v>
      </c>
      <c r="D592" s="96">
        <f t="shared" si="10"/>
        <v>6.5103333333333306E-3</v>
      </c>
      <c r="E592"/>
      <c r="F592"/>
      <c r="G592"/>
      <c r="H592"/>
      <c r="I592"/>
      <c r="J592"/>
    </row>
    <row r="593" spans="1:10">
      <c r="A593" s="36">
        <v>116.1</v>
      </c>
      <c r="B593" s="41">
        <v>116.1</v>
      </c>
      <c r="C593" s="95">
        <v>0.38280699999999984</v>
      </c>
      <c r="D593" s="96">
        <f t="shared" si="10"/>
        <v>6.3801166666666636E-3</v>
      </c>
      <c r="E593"/>
      <c r="F593"/>
      <c r="G593"/>
      <c r="H593"/>
      <c r="I593"/>
      <c r="J593"/>
    </row>
    <row r="594" spans="1:10">
      <c r="A594" s="36">
        <v>116.2</v>
      </c>
      <c r="B594" s="41">
        <v>116.2</v>
      </c>
      <c r="C594" s="95">
        <v>0.37499399999999983</v>
      </c>
      <c r="D594" s="96">
        <f t="shared" si="10"/>
        <v>6.2498999999999975E-3</v>
      </c>
      <c r="E594"/>
      <c r="F594"/>
      <c r="G594"/>
      <c r="H594"/>
      <c r="I594"/>
      <c r="J594"/>
    </row>
    <row r="595" spans="1:10">
      <c r="A595" s="36">
        <v>116.3</v>
      </c>
      <c r="B595" s="41">
        <v>116.3</v>
      </c>
      <c r="C595" s="95">
        <v>0.36718099999999981</v>
      </c>
      <c r="D595" s="96">
        <f t="shared" si="10"/>
        <v>6.1196833333333304E-3</v>
      </c>
      <c r="E595"/>
      <c r="F595"/>
      <c r="G595"/>
      <c r="H595"/>
      <c r="I595"/>
      <c r="J595"/>
    </row>
    <row r="596" spans="1:10">
      <c r="A596" s="36">
        <v>116.4</v>
      </c>
      <c r="B596" s="41">
        <v>116.4</v>
      </c>
      <c r="C596" s="95">
        <v>0.3593679999999998</v>
      </c>
      <c r="D596" s="96">
        <f t="shared" si="10"/>
        <v>5.9894666666666634E-3</v>
      </c>
      <c r="E596"/>
      <c r="F596"/>
      <c r="G596"/>
      <c r="H596"/>
      <c r="I596"/>
      <c r="J596"/>
    </row>
    <row r="597" spans="1:10">
      <c r="A597" s="36">
        <v>116.5</v>
      </c>
      <c r="B597" s="41">
        <v>116.5</v>
      </c>
      <c r="C597" s="95">
        <v>0.35155499999999978</v>
      </c>
      <c r="D597" s="96">
        <f t="shared" si="10"/>
        <v>5.8592499999999964E-3</v>
      </c>
      <c r="E597"/>
      <c r="F597"/>
      <c r="G597"/>
      <c r="H597"/>
      <c r="I597"/>
      <c r="J597"/>
    </row>
    <row r="598" spans="1:10">
      <c r="A598" s="36">
        <v>116.6</v>
      </c>
      <c r="B598" s="41">
        <v>116.6</v>
      </c>
      <c r="C598" s="95">
        <v>0.34374199999999977</v>
      </c>
      <c r="D598" s="96">
        <f t="shared" si="10"/>
        <v>5.7290333333333294E-3</v>
      </c>
      <c r="E598"/>
      <c r="F598"/>
      <c r="G598"/>
      <c r="H598"/>
      <c r="I598"/>
      <c r="J598"/>
    </row>
    <row r="599" spans="1:10">
      <c r="A599" s="36">
        <v>116.7</v>
      </c>
      <c r="B599" s="41">
        <v>116.7</v>
      </c>
      <c r="C599" s="95">
        <v>0.33592899999999976</v>
      </c>
      <c r="D599" s="96">
        <f t="shared" si="10"/>
        <v>5.5988166666666624E-3</v>
      </c>
      <c r="E599"/>
      <c r="F599"/>
      <c r="G599"/>
      <c r="H599"/>
      <c r="I599"/>
      <c r="J599"/>
    </row>
    <row r="600" spans="1:10">
      <c r="A600" s="36">
        <v>116.8</v>
      </c>
      <c r="B600" s="41">
        <v>116.8</v>
      </c>
      <c r="C600" s="95">
        <v>0.32811599999999974</v>
      </c>
      <c r="D600" s="96">
        <f t="shared" si="10"/>
        <v>5.4685999999999953E-3</v>
      </c>
      <c r="E600"/>
      <c r="F600"/>
      <c r="G600"/>
      <c r="H600"/>
      <c r="I600"/>
      <c r="J600"/>
    </row>
    <row r="601" spans="1:10">
      <c r="A601" s="36">
        <v>116.9</v>
      </c>
      <c r="B601" s="41">
        <v>116.9</v>
      </c>
      <c r="C601" s="95">
        <v>0.32030299999999973</v>
      </c>
      <c r="D601" s="96">
        <f t="shared" si="10"/>
        <v>5.3383833333333292E-3</v>
      </c>
      <c r="E601"/>
      <c r="F601"/>
      <c r="G601"/>
      <c r="H601"/>
      <c r="I601"/>
      <c r="J601"/>
    </row>
    <row r="602" spans="1:10">
      <c r="A602" s="36">
        <v>117</v>
      </c>
      <c r="B602" s="41">
        <v>117</v>
      </c>
      <c r="C602" s="95">
        <v>0.31248999999999971</v>
      </c>
      <c r="D602" s="96">
        <f t="shared" si="10"/>
        <v>5.2081666666666622E-3</v>
      </c>
      <c r="E602"/>
      <c r="F602"/>
      <c r="G602"/>
      <c r="H602"/>
      <c r="I602"/>
      <c r="J602"/>
    </row>
    <row r="603" spans="1:10">
      <c r="A603" s="36">
        <v>117.1</v>
      </c>
      <c r="B603" s="41">
        <v>117.1</v>
      </c>
      <c r="C603" s="95">
        <v>0.3046769999999997</v>
      </c>
      <c r="D603" s="96">
        <f t="shared" si="10"/>
        <v>5.0779499999999951E-3</v>
      </c>
      <c r="E603"/>
      <c r="F603"/>
      <c r="G603"/>
      <c r="H603"/>
      <c r="I603"/>
      <c r="J603"/>
    </row>
    <row r="604" spans="1:10">
      <c r="A604" s="36">
        <v>117.2</v>
      </c>
      <c r="B604" s="41">
        <v>117.2</v>
      </c>
      <c r="C604" s="95">
        <v>0.29686399999999968</v>
      </c>
      <c r="D604" s="96">
        <f t="shared" si="10"/>
        <v>4.9477333333333281E-3</v>
      </c>
      <c r="E604"/>
      <c r="F604"/>
      <c r="G604"/>
      <c r="H604"/>
      <c r="I604"/>
      <c r="J604"/>
    </row>
    <row r="605" spans="1:10">
      <c r="A605" s="36">
        <v>117.3</v>
      </c>
      <c r="B605" s="41">
        <v>117.3</v>
      </c>
      <c r="C605" s="95">
        <v>0.28905099999999967</v>
      </c>
      <c r="D605" s="96">
        <f t="shared" si="10"/>
        <v>4.8175166666666611E-3</v>
      </c>
      <c r="E605"/>
      <c r="F605"/>
      <c r="G605"/>
      <c r="H605"/>
      <c r="I605"/>
      <c r="J605"/>
    </row>
    <row r="606" spans="1:10">
      <c r="A606" s="36">
        <v>117.4</v>
      </c>
      <c r="B606" s="41">
        <v>117.4</v>
      </c>
      <c r="C606" s="95">
        <v>0.28123799999999965</v>
      </c>
      <c r="D606" s="96">
        <f t="shared" si="10"/>
        <v>4.6872999999999941E-3</v>
      </c>
      <c r="E606"/>
      <c r="F606"/>
      <c r="G606"/>
      <c r="H606"/>
      <c r="I606"/>
      <c r="J606"/>
    </row>
    <row r="607" spans="1:10">
      <c r="A607" s="36">
        <v>117.5</v>
      </c>
      <c r="B607" s="41">
        <v>117.5</v>
      </c>
      <c r="C607" s="95">
        <v>0.27342499999999964</v>
      </c>
      <c r="D607" s="96">
        <f t="shared" si="10"/>
        <v>4.5570833333333271E-3</v>
      </c>
      <c r="E607"/>
      <c r="F607"/>
      <c r="G607"/>
      <c r="H607"/>
      <c r="I607"/>
      <c r="J607"/>
    </row>
    <row r="608" spans="1:10">
      <c r="A608" s="36">
        <v>117.6</v>
      </c>
      <c r="B608" s="41">
        <v>117.6</v>
      </c>
      <c r="C608" s="95">
        <v>0.26561199999999963</v>
      </c>
      <c r="D608" s="96">
        <f t="shared" si="10"/>
        <v>4.42686666666666E-3</v>
      </c>
      <c r="E608"/>
      <c r="F608"/>
      <c r="G608"/>
      <c r="H608"/>
      <c r="I608"/>
      <c r="J608"/>
    </row>
    <row r="609" spans="1:10">
      <c r="A609" s="36">
        <v>117.7</v>
      </c>
      <c r="B609" s="41">
        <v>117.7</v>
      </c>
      <c r="C609" s="95">
        <v>0.25779899999999961</v>
      </c>
      <c r="D609" s="96">
        <f t="shared" si="10"/>
        <v>4.2966499999999939E-3</v>
      </c>
      <c r="E609"/>
      <c r="F609"/>
      <c r="G609"/>
      <c r="H609"/>
      <c r="I609"/>
      <c r="J609"/>
    </row>
    <row r="610" spans="1:10">
      <c r="A610" s="36">
        <v>117.8</v>
      </c>
      <c r="B610" s="41">
        <v>117.8</v>
      </c>
      <c r="C610" s="95">
        <v>0.2499859999999996</v>
      </c>
      <c r="D610" s="96">
        <f t="shared" si="10"/>
        <v>4.1664333333333269E-3</v>
      </c>
      <c r="E610"/>
      <c r="F610"/>
      <c r="G610"/>
      <c r="H610"/>
      <c r="I610"/>
      <c r="J610"/>
    </row>
    <row r="611" spans="1:10">
      <c r="A611" s="36">
        <v>117.9</v>
      </c>
      <c r="B611" s="41">
        <v>117.9</v>
      </c>
      <c r="C611" s="95">
        <v>0.24217299999999958</v>
      </c>
      <c r="D611" s="96">
        <f t="shared" si="10"/>
        <v>4.0362166666666598E-3</v>
      </c>
    </row>
    <row r="612" spans="1:10">
      <c r="A612" s="36">
        <v>118</v>
      </c>
      <c r="B612" s="42">
        <v>118</v>
      </c>
      <c r="C612" s="94">
        <v>0.234375</v>
      </c>
      <c r="D612" s="96">
        <f t="shared" si="10"/>
        <v>3.90625E-3</v>
      </c>
    </row>
    <row r="613" spans="1:10">
      <c r="A613" s="36">
        <v>118.1</v>
      </c>
      <c r="B613" s="41">
        <v>118.1</v>
      </c>
      <c r="C613" s="95">
        <v>0.23046875</v>
      </c>
      <c r="D613" s="96">
        <f t="shared" si="10"/>
        <v>3.8411458333333331E-3</v>
      </c>
    </row>
    <row r="614" spans="1:10">
      <c r="A614" s="36">
        <v>118.2</v>
      </c>
      <c r="B614" s="41">
        <v>118.2</v>
      </c>
      <c r="C614" s="95">
        <v>0.2265625</v>
      </c>
      <c r="D614" s="96">
        <f t="shared" si="10"/>
        <v>3.7760416666666667E-3</v>
      </c>
    </row>
    <row r="615" spans="1:10">
      <c r="A615" s="36">
        <v>118.3</v>
      </c>
      <c r="B615" s="41">
        <v>118.3</v>
      </c>
      <c r="C615" s="95">
        <v>0.22265625</v>
      </c>
      <c r="D615" s="96">
        <f t="shared" si="10"/>
        <v>3.7109374999999998E-3</v>
      </c>
    </row>
    <row r="616" spans="1:10">
      <c r="A616" s="36">
        <v>118.4</v>
      </c>
      <c r="B616" s="41">
        <v>118.4</v>
      </c>
      <c r="C616" s="95">
        <v>0.21875</v>
      </c>
      <c r="D616" s="96">
        <f t="shared" si="10"/>
        <v>3.6458333333333334E-3</v>
      </c>
    </row>
    <row r="617" spans="1:10">
      <c r="A617" s="36">
        <v>118.5</v>
      </c>
      <c r="B617" s="41">
        <v>118.5</v>
      </c>
      <c r="C617" s="95">
        <v>0.21484375</v>
      </c>
      <c r="D617" s="96">
        <f t="shared" si="10"/>
        <v>3.5807291666666665E-3</v>
      </c>
    </row>
    <row r="618" spans="1:10">
      <c r="A618" s="36">
        <v>118.6</v>
      </c>
      <c r="B618" s="41">
        <v>118.6</v>
      </c>
      <c r="C618" s="95">
        <v>0.2109375</v>
      </c>
      <c r="D618" s="96">
        <f t="shared" si="10"/>
        <v>3.5156250000000001E-3</v>
      </c>
    </row>
    <row r="619" spans="1:10">
      <c r="A619" s="36">
        <v>118.7</v>
      </c>
      <c r="B619" s="41">
        <v>118.7</v>
      </c>
      <c r="C619" s="95">
        <v>0.20703125</v>
      </c>
      <c r="D619" s="96">
        <f t="shared" si="10"/>
        <v>3.4505208333333332E-3</v>
      </c>
    </row>
    <row r="620" spans="1:10">
      <c r="A620" s="36">
        <v>118.8</v>
      </c>
      <c r="B620" s="41">
        <v>118.8</v>
      </c>
      <c r="C620" s="95">
        <v>0.203125</v>
      </c>
      <c r="D620" s="96">
        <f t="shared" si="10"/>
        <v>3.3854166666666668E-3</v>
      </c>
    </row>
    <row r="621" spans="1:10">
      <c r="A621" s="36">
        <v>118.9</v>
      </c>
      <c r="B621" s="41">
        <v>118.9</v>
      </c>
      <c r="C621" s="95">
        <v>0.19921875</v>
      </c>
      <c r="D621" s="96">
        <f t="shared" si="10"/>
        <v>3.3203124999999999E-3</v>
      </c>
    </row>
    <row r="622" spans="1:10">
      <c r="A622" s="36">
        <v>119</v>
      </c>
      <c r="B622" s="41">
        <v>119</v>
      </c>
      <c r="C622" s="95">
        <v>0.1953125</v>
      </c>
      <c r="D622" s="96">
        <f t="shared" si="10"/>
        <v>3.2552083333333335E-3</v>
      </c>
    </row>
    <row r="623" spans="1:10">
      <c r="A623" s="36">
        <v>119.1</v>
      </c>
      <c r="B623" s="41">
        <v>119.1</v>
      </c>
      <c r="C623" s="95">
        <v>0.19140625</v>
      </c>
      <c r="D623" s="96">
        <f t="shared" si="10"/>
        <v>3.1901041666666666E-3</v>
      </c>
    </row>
    <row r="624" spans="1:10">
      <c r="A624" s="36">
        <v>119.2</v>
      </c>
      <c r="B624" s="41">
        <v>119.2</v>
      </c>
      <c r="C624" s="95">
        <v>0.1875</v>
      </c>
      <c r="D624" s="96">
        <f t="shared" si="10"/>
        <v>3.1250000000000002E-3</v>
      </c>
    </row>
    <row r="625" spans="1:4">
      <c r="A625" s="36">
        <v>119.3</v>
      </c>
      <c r="B625" s="41">
        <v>119.3</v>
      </c>
      <c r="C625" s="95">
        <v>0.18359375</v>
      </c>
      <c r="D625" s="96">
        <f t="shared" si="10"/>
        <v>3.0598958333333333E-3</v>
      </c>
    </row>
    <row r="626" spans="1:4">
      <c r="A626" s="36">
        <v>119.4</v>
      </c>
      <c r="B626" s="41">
        <v>119.4</v>
      </c>
      <c r="C626" s="95">
        <v>0.1796875</v>
      </c>
      <c r="D626" s="96">
        <f t="shared" si="10"/>
        <v>2.9947916666666669E-3</v>
      </c>
    </row>
    <row r="627" spans="1:4">
      <c r="A627" s="36">
        <v>119.5</v>
      </c>
      <c r="B627" s="41">
        <v>119.5</v>
      </c>
      <c r="C627" s="95">
        <v>0.17578125</v>
      </c>
      <c r="D627" s="96">
        <f t="shared" si="10"/>
        <v>2.9296875E-3</v>
      </c>
    </row>
    <row r="628" spans="1:4">
      <c r="A628" s="36">
        <v>119.6</v>
      </c>
      <c r="B628" s="41">
        <v>119.6</v>
      </c>
      <c r="C628" s="95">
        <v>0.171875</v>
      </c>
      <c r="D628" s="96">
        <f t="shared" si="10"/>
        <v>2.8645833333333331E-3</v>
      </c>
    </row>
    <row r="629" spans="1:4">
      <c r="A629" s="36">
        <v>119.7</v>
      </c>
      <c r="B629" s="41">
        <v>119.7</v>
      </c>
      <c r="C629" s="95">
        <v>0.16796875</v>
      </c>
      <c r="D629" s="96">
        <f t="shared" si="10"/>
        <v>2.7994791666666667E-3</v>
      </c>
    </row>
    <row r="630" spans="1:4">
      <c r="A630" s="36">
        <v>119.8</v>
      </c>
      <c r="B630" s="41">
        <v>119.8</v>
      </c>
      <c r="C630" s="95">
        <v>0.1640625</v>
      </c>
      <c r="D630" s="96">
        <f t="shared" si="10"/>
        <v>2.7343749999999998E-3</v>
      </c>
    </row>
    <row r="631" spans="1:4">
      <c r="A631" s="36">
        <v>119.9</v>
      </c>
      <c r="B631" s="41">
        <v>119.9</v>
      </c>
      <c r="C631" s="95">
        <v>0.16015625</v>
      </c>
      <c r="D631" s="96">
        <f t="shared" si="10"/>
        <v>2.6692708333333334E-3</v>
      </c>
    </row>
    <row r="632" spans="1:4">
      <c r="A632" s="36">
        <v>120</v>
      </c>
      <c r="B632" s="41">
        <v>120</v>
      </c>
      <c r="C632" s="95">
        <v>0.15625</v>
      </c>
      <c r="D632" s="96">
        <f t="shared" si="10"/>
        <v>2.6041666666666665E-3</v>
      </c>
    </row>
    <row r="633" spans="1:4">
      <c r="A633" s="36">
        <v>120.1</v>
      </c>
      <c r="B633" s="41">
        <v>120.1</v>
      </c>
      <c r="C633" s="95">
        <v>0.15234375</v>
      </c>
      <c r="D633" s="96">
        <f t="shared" si="10"/>
        <v>2.5390625000000001E-3</v>
      </c>
    </row>
    <row r="634" spans="1:4">
      <c r="A634" s="36">
        <v>120.2</v>
      </c>
      <c r="B634" s="41">
        <v>120.2</v>
      </c>
      <c r="C634" s="95">
        <v>0.1484375</v>
      </c>
      <c r="D634" s="96">
        <f t="shared" si="10"/>
        <v>2.4739583333333332E-3</v>
      </c>
    </row>
    <row r="635" spans="1:4">
      <c r="A635" s="36">
        <v>120.3</v>
      </c>
      <c r="B635" s="41">
        <v>120.3</v>
      </c>
      <c r="C635" s="95">
        <v>0.14453125</v>
      </c>
      <c r="D635" s="96">
        <f t="shared" si="10"/>
        <v>2.4088541666666668E-3</v>
      </c>
    </row>
    <row r="636" spans="1:4">
      <c r="A636" s="36">
        <v>120.4</v>
      </c>
      <c r="B636" s="41">
        <v>120.4</v>
      </c>
      <c r="C636" s="95">
        <v>0.140625</v>
      </c>
      <c r="D636" s="96">
        <f t="shared" si="10"/>
        <v>2.3437499999999999E-3</v>
      </c>
    </row>
    <row r="637" spans="1:4">
      <c r="A637" s="36">
        <v>120.5</v>
      </c>
      <c r="B637" s="41">
        <v>120.5</v>
      </c>
      <c r="C637" s="95">
        <v>0.13671875</v>
      </c>
      <c r="D637" s="96">
        <f t="shared" si="10"/>
        <v>2.2786458333333335E-3</v>
      </c>
    </row>
    <row r="638" spans="1:4">
      <c r="A638" s="36">
        <v>120.6</v>
      </c>
      <c r="B638" s="41">
        <v>120.6</v>
      </c>
      <c r="C638" s="95">
        <v>0.1328125</v>
      </c>
      <c r="D638" s="96">
        <f t="shared" si="10"/>
        <v>2.2135416666666666E-3</v>
      </c>
    </row>
    <row r="639" spans="1:4">
      <c r="A639" s="36">
        <v>120.7</v>
      </c>
      <c r="B639" s="41">
        <v>120.7</v>
      </c>
      <c r="C639" s="95">
        <v>0.12890625</v>
      </c>
      <c r="D639" s="96">
        <f t="shared" si="10"/>
        <v>2.1484375000000002E-3</v>
      </c>
    </row>
    <row r="640" spans="1:4">
      <c r="A640" s="36">
        <v>120.8</v>
      </c>
      <c r="B640" s="41">
        <v>120.8</v>
      </c>
      <c r="C640" s="95">
        <v>0.125</v>
      </c>
      <c r="D640" s="96">
        <f t="shared" si="10"/>
        <v>2.0833333333333333E-3</v>
      </c>
    </row>
    <row r="641" spans="1:4">
      <c r="A641" s="36">
        <v>120.9</v>
      </c>
      <c r="B641" s="41">
        <v>120.9</v>
      </c>
      <c r="C641" s="95">
        <v>0.12109375</v>
      </c>
      <c r="D641" s="96">
        <f t="shared" si="10"/>
        <v>2.0182291666666669E-3</v>
      </c>
    </row>
    <row r="642" spans="1:4">
      <c r="A642" s="36">
        <v>121</v>
      </c>
      <c r="B642" s="42">
        <v>121</v>
      </c>
      <c r="C642" s="94">
        <v>0.1171875</v>
      </c>
      <c r="D642" s="96">
        <f t="shared" si="10"/>
        <v>1.953125E-3</v>
      </c>
    </row>
    <row r="643" spans="1:4">
      <c r="A643" s="36">
        <v>121.1</v>
      </c>
      <c r="B643" s="41">
        <v>121.1</v>
      </c>
      <c r="C643" s="95">
        <v>0.115234375</v>
      </c>
      <c r="D643" s="96">
        <f t="shared" si="10"/>
        <v>1.9205729166666666E-3</v>
      </c>
    </row>
    <row r="644" spans="1:4">
      <c r="A644" s="36">
        <v>121.2</v>
      </c>
      <c r="B644" s="41">
        <v>121.2</v>
      </c>
      <c r="C644" s="95">
        <v>0.11328125</v>
      </c>
      <c r="D644" s="96">
        <f t="shared" si="10"/>
        <v>1.8880208333333333E-3</v>
      </c>
    </row>
    <row r="645" spans="1:4">
      <c r="A645" s="36">
        <v>121.3</v>
      </c>
      <c r="B645" s="41">
        <v>121.3</v>
      </c>
      <c r="C645" s="95">
        <v>0.111328125</v>
      </c>
      <c r="D645" s="96">
        <f t="shared" si="10"/>
        <v>1.8554687499999999E-3</v>
      </c>
    </row>
    <row r="646" spans="1:4">
      <c r="A646" s="36">
        <v>121.4</v>
      </c>
      <c r="B646" s="41">
        <v>121.4</v>
      </c>
      <c r="C646" s="95">
        <v>0.109375</v>
      </c>
      <c r="D646" s="96">
        <f t="shared" si="10"/>
        <v>1.8229166666666667E-3</v>
      </c>
    </row>
    <row r="647" spans="1:4">
      <c r="A647" s="36">
        <v>121.5</v>
      </c>
      <c r="B647" s="41">
        <v>121.5</v>
      </c>
      <c r="C647" s="95">
        <v>0.107421875</v>
      </c>
      <c r="D647" s="96">
        <f t="shared" si="10"/>
        <v>1.7903645833333333E-3</v>
      </c>
    </row>
    <row r="648" spans="1:4">
      <c r="A648" s="36">
        <v>121.6</v>
      </c>
      <c r="B648" s="41">
        <v>121.6</v>
      </c>
      <c r="C648" s="95">
        <v>0.10546875</v>
      </c>
      <c r="D648" s="96">
        <f t="shared" si="10"/>
        <v>1.7578125E-3</v>
      </c>
    </row>
    <row r="649" spans="1:4">
      <c r="A649" s="36">
        <v>121.7</v>
      </c>
      <c r="B649" s="41">
        <v>121.7</v>
      </c>
      <c r="C649" s="95">
        <v>0.103515625</v>
      </c>
      <c r="D649" s="96">
        <f t="shared" si="10"/>
        <v>1.7252604166666666E-3</v>
      </c>
    </row>
    <row r="650" spans="1:4">
      <c r="A650" s="36">
        <v>121.8</v>
      </c>
      <c r="B650" s="41">
        <v>121.8</v>
      </c>
      <c r="C650" s="95">
        <v>0.1015625</v>
      </c>
      <c r="D650" s="96">
        <f t="shared" si="10"/>
        <v>1.6927083333333334E-3</v>
      </c>
    </row>
    <row r="651" spans="1:4">
      <c r="A651" s="36">
        <v>121.9</v>
      </c>
      <c r="B651" s="41">
        <v>121.9</v>
      </c>
      <c r="C651" s="95">
        <v>9.9609375E-2</v>
      </c>
      <c r="D651" s="96">
        <f t="shared" si="10"/>
        <v>1.66015625E-3</v>
      </c>
    </row>
    <row r="652" spans="1:4">
      <c r="A652" s="36">
        <v>122</v>
      </c>
      <c r="B652" s="41">
        <v>122</v>
      </c>
      <c r="C652" s="95">
        <v>9.765625E-2</v>
      </c>
      <c r="D652" s="96">
        <f t="shared" si="10"/>
        <v>1.6276041666666667E-3</v>
      </c>
    </row>
    <row r="653" spans="1:4">
      <c r="A653" s="36">
        <v>122.1</v>
      </c>
      <c r="B653" s="41">
        <v>122.1</v>
      </c>
      <c r="C653" s="95">
        <v>9.5703125E-2</v>
      </c>
      <c r="D653" s="96">
        <f t="shared" si="10"/>
        <v>1.5950520833333333E-3</v>
      </c>
    </row>
    <row r="654" spans="1:4">
      <c r="A654" s="36">
        <v>122.2</v>
      </c>
      <c r="B654" s="41">
        <v>122.2</v>
      </c>
      <c r="C654" s="95">
        <v>9.375E-2</v>
      </c>
      <c r="D654" s="96">
        <f t="shared" ref="D654:D717" si="11">C654/60</f>
        <v>1.5625000000000001E-3</v>
      </c>
    </row>
    <row r="655" spans="1:4">
      <c r="A655" s="36">
        <v>122.3</v>
      </c>
      <c r="B655" s="41">
        <v>122.3</v>
      </c>
      <c r="C655" s="95">
        <v>9.1796875E-2</v>
      </c>
      <c r="D655" s="96">
        <f t="shared" si="11"/>
        <v>1.5299479166666667E-3</v>
      </c>
    </row>
    <row r="656" spans="1:4">
      <c r="A656" s="36">
        <v>122.4</v>
      </c>
      <c r="B656" s="41">
        <v>122.4</v>
      </c>
      <c r="C656" s="95">
        <v>8.984375E-2</v>
      </c>
      <c r="D656" s="96">
        <f t="shared" si="11"/>
        <v>1.4973958333333334E-3</v>
      </c>
    </row>
    <row r="657" spans="1:4">
      <c r="A657" s="36">
        <v>122.5</v>
      </c>
      <c r="B657" s="41">
        <v>122.5</v>
      </c>
      <c r="C657" s="95">
        <v>8.7890625E-2</v>
      </c>
      <c r="D657" s="96">
        <f t="shared" si="11"/>
        <v>1.46484375E-3</v>
      </c>
    </row>
    <row r="658" spans="1:4">
      <c r="A658" s="36">
        <v>122.6</v>
      </c>
      <c r="B658" s="41">
        <v>122.6</v>
      </c>
      <c r="C658" s="95">
        <v>8.59375E-2</v>
      </c>
      <c r="D658" s="96">
        <f t="shared" si="11"/>
        <v>1.4322916666666666E-3</v>
      </c>
    </row>
    <row r="659" spans="1:4">
      <c r="A659" s="36">
        <v>122.7</v>
      </c>
      <c r="B659" s="41">
        <v>122.7</v>
      </c>
      <c r="C659" s="95">
        <v>8.3984375E-2</v>
      </c>
      <c r="D659" s="96">
        <f t="shared" si="11"/>
        <v>1.3997395833333333E-3</v>
      </c>
    </row>
    <row r="660" spans="1:4">
      <c r="A660" s="36">
        <v>122.8</v>
      </c>
      <c r="B660" s="41">
        <v>122.8</v>
      </c>
      <c r="C660" s="95">
        <v>8.203125E-2</v>
      </c>
      <c r="D660" s="96">
        <f t="shared" si="11"/>
        <v>1.3671874999999999E-3</v>
      </c>
    </row>
    <row r="661" spans="1:4">
      <c r="A661" s="36">
        <v>122.9</v>
      </c>
      <c r="B661" s="41">
        <v>122.9</v>
      </c>
      <c r="C661" s="95">
        <v>8.0078125E-2</v>
      </c>
      <c r="D661" s="96">
        <f t="shared" si="11"/>
        <v>1.3346354166666667E-3</v>
      </c>
    </row>
    <row r="662" spans="1:4">
      <c r="A662" s="36">
        <v>123</v>
      </c>
      <c r="B662" s="41">
        <v>123</v>
      </c>
      <c r="C662" s="95">
        <v>7.8125E-2</v>
      </c>
      <c r="D662" s="96">
        <f t="shared" si="11"/>
        <v>1.3020833333333333E-3</v>
      </c>
    </row>
    <row r="663" spans="1:4">
      <c r="A663" s="36">
        <v>123.1</v>
      </c>
      <c r="B663" s="41">
        <v>123.1</v>
      </c>
      <c r="C663" s="95">
        <v>7.6171875E-2</v>
      </c>
      <c r="D663" s="96">
        <f t="shared" si="11"/>
        <v>1.26953125E-3</v>
      </c>
    </row>
    <row r="664" spans="1:4">
      <c r="A664" s="36">
        <v>123.2</v>
      </c>
      <c r="B664" s="41">
        <v>123.2</v>
      </c>
      <c r="C664" s="95">
        <v>7.421875E-2</v>
      </c>
      <c r="D664" s="96">
        <f t="shared" si="11"/>
        <v>1.2369791666666666E-3</v>
      </c>
    </row>
    <row r="665" spans="1:4">
      <c r="A665" s="36">
        <v>123.3</v>
      </c>
      <c r="B665" s="41">
        <v>123.3</v>
      </c>
      <c r="C665" s="95">
        <v>7.2265625E-2</v>
      </c>
      <c r="D665" s="96">
        <f t="shared" si="11"/>
        <v>1.2044270833333334E-3</v>
      </c>
    </row>
    <row r="666" spans="1:4">
      <c r="A666" s="36">
        <v>123.4</v>
      </c>
      <c r="B666" s="41">
        <v>123.4</v>
      </c>
      <c r="C666" s="95">
        <v>7.03125E-2</v>
      </c>
      <c r="D666" s="96">
        <f t="shared" si="11"/>
        <v>1.171875E-3</v>
      </c>
    </row>
    <row r="667" spans="1:4">
      <c r="A667" s="36">
        <v>123.5</v>
      </c>
      <c r="B667" s="41">
        <v>123.5</v>
      </c>
      <c r="C667" s="95">
        <v>6.8359375E-2</v>
      </c>
      <c r="D667" s="96">
        <f t="shared" si="11"/>
        <v>1.1393229166666667E-3</v>
      </c>
    </row>
    <row r="668" spans="1:4">
      <c r="A668" s="36">
        <v>123.6</v>
      </c>
      <c r="B668" s="41">
        <v>123.6</v>
      </c>
      <c r="C668" s="95">
        <v>6.640625E-2</v>
      </c>
      <c r="D668" s="96">
        <f t="shared" si="11"/>
        <v>1.1067708333333333E-3</v>
      </c>
    </row>
    <row r="669" spans="1:4">
      <c r="A669" s="36">
        <v>123.7</v>
      </c>
      <c r="B669" s="41">
        <v>123.7</v>
      </c>
      <c r="C669" s="95">
        <v>6.4453125E-2</v>
      </c>
      <c r="D669" s="96">
        <f t="shared" si="11"/>
        <v>1.0742187500000001E-3</v>
      </c>
    </row>
    <row r="670" spans="1:4">
      <c r="A670" s="36">
        <v>123.8</v>
      </c>
      <c r="B670" s="41">
        <v>123.8</v>
      </c>
      <c r="C670" s="95">
        <v>6.25E-2</v>
      </c>
      <c r="D670" s="96">
        <f t="shared" si="11"/>
        <v>1.0416666666666667E-3</v>
      </c>
    </row>
    <row r="671" spans="1:4">
      <c r="A671" s="36">
        <v>123.9</v>
      </c>
      <c r="B671" s="41">
        <v>123.9</v>
      </c>
      <c r="C671" s="95">
        <v>6.0546875E-2</v>
      </c>
      <c r="D671" s="96">
        <f t="shared" si="11"/>
        <v>1.0091145833333334E-3</v>
      </c>
    </row>
    <row r="672" spans="1:4">
      <c r="A672" s="36">
        <v>124</v>
      </c>
      <c r="B672" s="42">
        <v>124</v>
      </c>
      <c r="C672" s="94">
        <v>5.859375E-2</v>
      </c>
      <c r="D672" s="96">
        <f t="shared" si="11"/>
        <v>9.765625E-4</v>
      </c>
    </row>
    <row r="673" spans="1:4">
      <c r="A673" s="36">
        <v>124.1</v>
      </c>
      <c r="B673" s="41">
        <v>124.1</v>
      </c>
      <c r="C673" s="95">
        <v>5.76171875E-2</v>
      </c>
      <c r="D673" s="96">
        <f t="shared" si="11"/>
        <v>9.6028645833333328E-4</v>
      </c>
    </row>
    <row r="674" spans="1:4">
      <c r="A674" s="36">
        <v>124.2</v>
      </c>
      <c r="B674" s="41">
        <v>124.2</v>
      </c>
      <c r="C674" s="95">
        <v>5.6640625E-2</v>
      </c>
      <c r="D674" s="96">
        <f t="shared" si="11"/>
        <v>9.4401041666666667E-4</v>
      </c>
    </row>
    <row r="675" spans="1:4">
      <c r="A675" s="36">
        <v>124.3</v>
      </c>
      <c r="B675" s="41">
        <v>124.3</v>
      </c>
      <c r="C675" s="95">
        <v>5.56640625E-2</v>
      </c>
      <c r="D675" s="96">
        <f t="shared" si="11"/>
        <v>9.2773437499999996E-4</v>
      </c>
    </row>
    <row r="676" spans="1:4">
      <c r="A676" s="36">
        <v>124.4</v>
      </c>
      <c r="B676" s="41">
        <v>124.4</v>
      </c>
      <c r="C676" s="95">
        <v>5.46875E-2</v>
      </c>
      <c r="D676" s="96">
        <f t="shared" si="11"/>
        <v>9.1145833333333335E-4</v>
      </c>
    </row>
    <row r="677" spans="1:4">
      <c r="A677" s="36">
        <v>124.5</v>
      </c>
      <c r="B677" s="41">
        <v>124.5</v>
      </c>
      <c r="C677" s="95">
        <v>5.37109375E-2</v>
      </c>
      <c r="D677" s="96">
        <f t="shared" si="11"/>
        <v>8.9518229166666663E-4</v>
      </c>
    </row>
    <row r="678" spans="1:4">
      <c r="A678" s="36">
        <v>124.6</v>
      </c>
      <c r="B678" s="41">
        <v>124.6</v>
      </c>
      <c r="C678" s="95">
        <v>5.2734375E-2</v>
      </c>
      <c r="D678" s="96">
        <f t="shared" si="11"/>
        <v>8.7890625000000002E-4</v>
      </c>
    </row>
    <row r="679" spans="1:4">
      <c r="A679" s="36">
        <v>124.7</v>
      </c>
      <c r="B679" s="41">
        <v>124.7</v>
      </c>
      <c r="C679" s="95">
        <v>5.17578125E-2</v>
      </c>
      <c r="D679" s="96">
        <f t="shared" si="11"/>
        <v>8.626302083333333E-4</v>
      </c>
    </row>
    <row r="680" spans="1:4">
      <c r="A680" s="36">
        <v>124.8</v>
      </c>
      <c r="B680" s="41">
        <v>124.8</v>
      </c>
      <c r="C680" s="95">
        <v>5.078125E-2</v>
      </c>
      <c r="D680" s="96">
        <f t="shared" si="11"/>
        <v>8.463541666666667E-4</v>
      </c>
    </row>
    <row r="681" spans="1:4">
      <c r="A681" s="36">
        <v>124.9</v>
      </c>
      <c r="B681" s="41">
        <v>124.9</v>
      </c>
      <c r="C681" s="95">
        <v>4.98046875E-2</v>
      </c>
      <c r="D681" s="96">
        <f t="shared" si="11"/>
        <v>8.3007812499999998E-4</v>
      </c>
    </row>
    <row r="682" spans="1:4">
      <c r="A682" s="36">
        <v>125</v>
      </c>
      <c r="B682" s="41">
        <v>125</v>
      </c>
      <c r="C682" s="95">
        <v>4.8828125E-2</v>
      </c>
      <c r="D682" s="96">
        <f t="shared" si="11"/>
        <v>8.1380208333333337E-4</v>
      </c>
    </row>
    <row r="683" spans="1:4">
      <c r="A683" s="36">
        <v>125.1</v>
      </c>
      <c r="B683" s="41">
        <v>125.1</v>
      </c>
      <c r="C683" s="95">
        <v>4.78515625E-2</v>
      </c>
      <c r="D683" s="96">
        <f t="shared" si="11"/>
        <v>7.9752604166666665E-4</v>
      </c>
    </row>
    <row r="684" spans="1:4">
      <c r="A684" s="36">
        <v>125.2</v>
      </c>
      <c r="B684" s="41">
        <v>125.2</v>
      </c>
      <c r="C684" s="95">
        <v>4.6875E-2</v>
      </c>
      <c r="D684" s="96">
        <f t="shared" si="11"/>
        <v>7.8125000000000004E-4</v>
      </c>
    </row>
    <row r="685" spans="1:4">
      <c r="A685" s="36">
        <v>125.3</v>
      </c>
      <c r="B685" s="41">
        <v>125.3</v>
      </c>
      <c r="C685" s="95">
        <v>4.58984375E-2</v>
      </c>
      <c r="D685" s="96">
        <f t="shared" si="11"/>
        <v>7.6497395833333333E-4</v>
      </c>
    </row>
    <row r="686" spans="1:4">
      <c r="A686" s="36">
        <v>125.4</v>
      </c>
      <c r="B686" s="41">
        <v>125.4</v>
      </c>
      <c r="C686" s="95">
        <v>4.4921875E-2</v>
      </c>
      <c r="D686" s="96">
        <f t="shared" si="11"/>
        <v>7.4869791666666672E-4</v>
      </c>
    </row>
    <row r="687" spans="1:4">
      <c r="A687" s="36">
        <v>125.5</v>
      </c>
      <c r="B687" s="41">
        <v>125.5</v>
      </c>
      <c r="C687" s="95">
        <v>4.39453125E-2</v>
      </c>
      <c r="D687" s="96">
        <f t="shared" si="11"/>
        <v>7.32421875E-4</v>
      </c>
    </row>
    <row r="688" spans="1:4">
      <c r="A688" s="36">
        <v>125.6</v>
      </c>
      <c r="B688" s="41">
        <v>125.6</v>
      </c>
      <c r="C688" s="95">
        <v>4.296875E-2</v>
      </c>
      <c r="D688" s="96">
        <f t="shared" si="11"/>
        <v>7.1614583333333328E-4</v>
      </c>
    </row>
    <row r="689" spans="1:4">
      <c r="A689" s="36">
        <v>125.7</v>
      </c>
      <c r="B689" s="41">
        <v>125.7</v>
      </c>
      <c r="C689" s="95">
        <v>4.19921875E-2</v>
      </c>
      <c r="D689" s="96">
        <f t="shared" si="11"/>
        <v>6.9986979166666667E-4</v>
      </c>
    </row>
    <row r="690" spans="1:4">
      <c r="A690" s="36">
        <v>125.8</v>
      </c>
      <c r="B690" s="41">
        <v>125.8</v>
      </c>
      <c r="C690" s="95">
        <v>4.1015625E-2</v>
      </c>
      <c r="D690" s="96">
        <f t="shared" si="11"/>
        <v>6.8359374999999996E-4</v>
      </c>
    </row>
    <row r="691" spans="1:4">
      <c r="A691" s="36">
        <v>125.9</v>
      </c>
      <c r="B691" s="41">
        <v>125.9</v>
      </c>
      <c r="C691" s="95">
        <v>4.00390625E-2</v>
      </c>
      <c r="D691" s="96">
        <f t="shared" si="11"/>
        <v>6.6731770833333335E-4</v>
      </c>
    </row>
    <row r="692" spans="1:4">
      <c r="A692" s="36">
        <v>126</v>
      </c>
      <c r="B692" s="41">
        <v>126</v>
      </c>
      <c r="C692" s="95">
        <v>3.90625E-2</v>
      </c>
      <c r="D692" s="96">
        <f t="shared" si="11"/>
        <v>6.5104166666666663E-4</v>
      </c>
    </row>
    <row r="693" spans="1:4">
      <c r="A693" s="36">
        <v>126.1</v>
      </c>
      <c r="B693" s="41">
        <v>126.1</v>
      </c>
      <c r="C693" s="95">
        <v>3.80859375E-2</v>
      </c>
      <c r="D693" s="96">
        <f t="shared" si="11"/>
        <v>6.3476562500000002E-4</v>
      </c>
    </row>
    <row r="694" spans="1:4">
      <c r="A694" s="36">
        <v>126.2</v>
      </c>
      <c r="B694" s="41">
        <v>126.2</v>
      </c>
      <c r="C694" s="95">
        <v>3.7109375E-2</v>
      </c>
      <c r="D694" s="96">
        <f t="shared" si="11"/>
        <v>6.184895833333333E-4</v>
      </c>
    </row>
    <row r="695" spans="1:4">
      <c r="A695" s="36">
        <v>126.3</v>
      </c>
      <c r="B695" s="41">
        <v>126.3</v>
      </c>
      <c r="C695" s="95">
        <v>3.61328125E-2</v>
      </c>
      <c r="D695" s="96">
        <f t="shared" si="11"/>
        <v>6.022135416666667E-4</v>
      </c>
    </row>
    <row r="696" spans="1:4">
      <c r="A696" s="36">
        <v>126.4</v>
      </c>
      <c r="B696" s="41">
        <v>126.4</v>
      </c>
      <c r="C696" s="95">
        <v>3.515625E-2</v>
      </c>
      <c r="D696" s="96">
        <f t="shared" si="11"/>
        <v>5.8593749999999998E-4</v>
      </c>
    </row>
    <row r="697" spans="1:4">
      <c r="A697" s="36">
        <v>126.5</v>
      </c>
      <c r="B697" s="41">
        <v>126.5</v>
      </c>
      <c r="C697" s="95">
        <v>3.41796875E-2</v>
      </c>
      <c r="D697" s="96">
        <f t="shared" si="11"/>
        <v>5.6966145833333337E-4</v>
      </c>
    </row>
    <row r="698" spans="1:4">
      <c r="A698" s="36">
        <v>126.6</v>
      </c>
      <c r="B698" s="41">
        <v>126.6</v>
      </c>
      <c r="C698" s="95">
        <v>3.3203125E-2</v>
      </c>
      <c r="D698" s="96">
        <f t="shared" si="11"/>
        <v>5.5338541666666665E-4</v>
      </c>
    </row>
    <row r="699" spans="1:4">
      <c r="A699" s="36">
        <v>126.7</v>
      </c>
      <c r="B699" s="41">
        <v>126.7</v>
      </c>
      <c r="C699" s="95">
        <v>3.22265625E-2</v>
      </c>
      <c r="D699" s="96">
        <f t="shared" si="11"/>
        <v>5.3710937500000004E-4</v>
      </c>
    </row>
    <row r="700" spans="1:4">
      <c r="A700" s="36">
        <v>126.8</v>
      </c>
      <c r="B700" s="41">
        <v>126.8</v>
      </c>
      <c r="C700" s="95">
        <v>3.125E-2</v>
      </c>
      <c r="D700" s="96">
        <f t="shared" si="11"/>
        <v>5.2083333333333333E-4</v>
      </c>
    </row>
    <row r="701" spans="1:4">
      <c r="A701" s="36">
        <v>126.9</v>
      </c>
      <c r="B701" s="41">
        <v>126.9</v>
      </c>
      <c r="C701" s="95">
        <v>3.02734375E-2</v>
      </c>
      <c r="D701" s="96">
        <f t="shared" si="11"/>
        <v>5.0455729166666672E-4</v>
      </c>
    </row>
    <row r="702" spans="1:4">
      <c r="A702" s="36">
        <v>127</v>
      </c>
      <c r="B702" s="42">
        <v>127</v>
      </c>
      <c r="C702" s="94">
        <v>2.9296875E-2</v>
      </c>
      <c r="D702" s="96">
        <f t="shared" si="11"/>
        <v>4.8828125E-4</v>
      </c>
    </row>
    <row r="703" spans="1:4">
      <c r="A703" s="36">
        <v>127.1</v>
      </c>
      <c r="B703" s="41">
        <v>127.1</v>
      </c>
      <c r="C703" s="95">
        <v>2.8808593699999999E-2</v>
      </c>
      <c r="D703" s="96">
        <f t="shared" si="11"/>
        <v>4.8014322833333335E-4</v>
      </c>
    </row>
    <row r="704" spans="1:4">
      <c r="A704" s="36">
        <v>127.2</v>
      </c>
      <c r="B704" s="41">
        <v>127.2</v>
      </c>
      <c r="C704" s="95">
        <v>2.8320312399999999E-2</v>
      </c>
      <c r="D704" s="96">
        <f t="shared" si="11"/>
        <v>4.7200520666666664E-4</v>
      </c>
    </row>
    <row r="705" spans="1:4">
      <c r="A705" s="36">
        <v>127.3</v>
      </c>
      <c r="B705" s="41">
        <v>127.3</v>
      </c>
      <c r="C705" s="95">
        <v>2.7832031099999998E-2</v>
      </c>
      <c r="D705" s="96">
        <f t="shared" si="11"/>
        <v>4.6386718499999999E-4</v>
      </c>
    </row>
    <row r="706" spans="1:4">
      <c r="A706" s="36">
        <v>127.4</v>
      </c>
      <c r="B706" s="41">
        <v>127.4</v>
      </c>
      <c r="C706" s="95">
        <v>2.7343749799999997E-2</v>
      </c>
      <c r="D706" s="96">
        <f t="shared" si="11"/>
        <v>4.5572916333333328E-4</v>
      </c>
    </row>
    <row r="707" spans="1:4">
      <c r="A707" s="36">
        <v>127.5</v>
      </c>
      <c r="B707" s="41">
        <v>127.5</v>
      </c>
      <c r="C707" s="95">
        <v>2.6855468499999997E-2</v>
      </c>
      <c r="D707" s="96">
        <f t="shared" si="11"/>
        <v>4.4759114166666663E-4</v>
      </c>
    </row>
    <row r="708" spans="1:4">
      <c r="A708" s="36">
        <v>127.6</v>
      </c>
      <c r="B708" s="41">
        <v>127.6</v>
      </c>
      <c r="C708" s="95">
        <v>2.6367187199999996E-2</v>
      </c>
      <c r="D708" s="96">
        <f t="shared" si="11"/>
        <v>4.3945311999999992E-4</v>
      </c>
    </row>
    <row r="709" spans="1:4">
      <c r="A709" s="36">
        <v>127.7</v>
      </c>
      <c r="B709" s="41">
        <v>127.7</v>
      </c>
      <c r="C709" s="95">
        <v>2.5878905899999995E-2</v>
      </c>
      <c r="D709" s="96">
        <f t="shared" si="11"/>
        <v>4.3131509833333327E-4</v>
      </c>
    </row>
    <row r="710" spans="1:4">
      <c r="A710" s="36">
        <v>127.8</v>
      </c>
      <c r="B710" s="41">
        <v>127.8</v>
      </c>
      <c r="C710" s="95">
        <v>2.5390624599999995E-2</v>
      </c>
      <c r="D710" s="96">
        <f t="shared" si="11"/>
        <v>4.2317707666666656E-4</v>
      </c>
    </row>
    <row r="711" spans="1:4">
      <c r="A711" s="36">
        <v>127.9</v>
      </c>
      <c r="B711" s="41">
        <v>127.9</v>
      </c>
      <c r="C711" s="95">
        <v>2.4902343299999994E-2</v>
      </c>
      <c r="D711" s="96">
        <f t="shared" si="11"/>
        <v>4.1503905499999991E-4</v>
      </c>
    </row>
    <row r="712" spans="1:4">
      <c r="A712" s="36">
        <v>128</v>
      </c>
      <c r="B712" s="41">
        <v>128</v>
      </c>
      <c r="C712" s="95">
        <v>2.4414061999999993E-2</v>
      </c>
      <c r="D712" s="96">
        <f t="shared" si="11"/>
        <v>4.069010333333332E-4</v>
      </c>
    </row>
    <row r="713" spans="1:4">
      <c r="A713" s="36">
        <v>128.1</v>
      </c>
      <c r="B713" s="41">
        <v>128.1</v>
      </c>
      <c r="C713" s="95">
        <v>2.3925780699999993E-2</v>
      </c>
      <c r="D713" s="96">
        <f t="shared" si="11"/>
        <v>3.9876301166666655E-4</v>
      </c>
    </row>
    <row r="714" spans="1:4">
      <c r="A714" s="36">
        <v>128.19999999999999</v>
      </c>
      <c r="B714" s="41">
        <v>128.19999999999999</v>
      </c>
      <c r="C714" s="95">
        <v>2.3437499399999992E-2</v>
      </c>
      <c r="D714" s="96">
        <f t="shared" si="11"/>
        <v>3.9062498999999984E-4</v>
      </c>
    </row>
    <row r="715" spans="1:4">
      <c r="A715" s="36">
        <v>128.30000000000001</v>
      </c>
      <c r="B715" s="41">
        <v>128.30000000000001</v>
      </c>
      <c r="C715" s="95">
        <v>2.2949218099999991E-2</v>
      </c>
      <c r="D715" s="96">
        <f t="shared" si="11"/>
        <v>3.8248696833333319E-4</v>
      </c>
    </row>
    <row r="716" spans="1:4">
      <c r="A716" s="36">
        <v>128.4</v>
      </c>
      <c r="B716" s="41">
        <v>128.4</v>
      </c>
      <c r="C716" s="95">
        <v>2.2460936799999991E-2</v>
      </c>
      <c r="D716" s="96">
        <f t="shared" si="11"/>
        <v>3.7434894666666649E-4</v>
      </c>
    </row>
    <row r="717" spans="1:4">
      <c r="A717" s="36">
        <v>128.5</v>
      </c>
      <c r="B717" s="41">
        <v>128.5</v>
      </c>
      <c r="C717" s="95">
        <v>2.197265549999999E-2</v>
      </c>
      <c r="D717" s="96">
        <f t="shared" si="11"/>
        <v>3.6621092499999983E-4</v>
      </c>
    </row>
    <row r="718" spans="1:4">
      <c r="A718" s="36">
        <v>128.6</v>
      </c>
      <c r="B718" s="41">
        <v>128.6</v>
      </c>
      <c r="C718" s="95">
        <v>2.1484374199999989E-2</v>
      </c>
      <c r="D718" s="96">
        <f t="shared" ref="D718:D732" si="12">C718/60</f>
        <v>3.5807290333333318E-4</v>
      </c>
    </row>
    <row r="719" spans="1:4">
      <c r="A719" s="36">
        <v>128.69999999999999</v>
      </c>
      <c r="B719" s="41">
        <v>128.69999999999999</v>
      </c>
      <c r="C719" s="95">
        <v>2.0996092899999989E-2</v>
      </c>
      <c r="D719" s="96">
        <f t="shared" si="12"/>
        <v>3.4993488166666647E-4</v>
      </c>
    </row>
    <row r="720" spans="1:4">
      <c r="A720" s="36">
        <v>128.80000000000001</v>
      </c>
      <c r="B720" s="41">
        <v>128.80000000000001</v>
      </c>
      <c r="C720" s="95">
        <v>2.0507811599999988E-2</v>
      </c>
      <c r="D720" s="96">
        <f t="shared" si="12"/>
        <v>3.4179685999999982E-4</v>
      </c>
    </row>
    <row r="721" spans="1:4">
      <c r="A721" s="36">
        <v>128.9</v>
      </c>
      <c r="B721" s="41">
        <v>128.9</v>
      </c>
      <c r="C721" s="95">
        <v>2.0019530299999987E-2</v>
      </c>
      <c r="D721" s="96">
        <f t="shared" si="12"/>
        <v>3.3365883833333311E-4</v>
      </c>
    </row>
    <row r="722" spans="1:4">
      <c r="A722" s="36">
        <v>129</v>
      </c>
      <c r="B722" s="41">
        <v>129</v>
      </c>
      <c r="C722" s="95">
        <v>1.9531248999999987E-2</v>
      </c>
      <c r="D722" s="96">
        <f t="shared" si="12"/>
        <v>3.2552081666666646E-4</v>
      </c>
    </row>
    <row r="723" spans="1:4">
      <c r="A723" s="36">
        <v>129.1</v>
      </c>
      <c r="B723" s="41">
        <v>129.1</v>
      </c>
      <c r="C723" s="95">
        <v>1.9042967699999986E-2</v>
      </c>
      <c r="D723" s="96">
        <f t="shared" si="12"/>
        <v>3.1738279499999976E-4</v>
      </c>
    </row>
    <row r="724" spans="1:4">
      <c r="A724" s="36">
        <v>129.19999999999999</v>
      </c>
      <c r="B724" s="41">
        <v>129.19999999999999</v>
      </c>
      <c r="C724" s="95">
        <v>1.8554686399999985E-2</v>
      </c>
      <c r="D724" s="96">
        <f t="shared" si="12"/>
        <v>3.092447733333331E-4</v>
      </c>
    </row>
    <row r="725" spans="1:4">
      <c r="A725" s="36">
        <v>129.30000000000001</v>
      </c>
      <c r="B725" s="41">
        <v>129.30000000000001</v>
      </c>
      <c r="C725" s="95">
        <v>1.8066405099999985E-2</v>
      </c>
      <c r="D725" s="96">
        <f t="shared" si="12"/>
        <v>3.011067516666664E-4</v>
      </c>
    </row>
    <row r="726" spans="1:4">
      <c r="A726" s="36">
        <v>129.4</v>
      </c>
      <c r="B726" s="41">
        <v>129.4</v>
      </c>
      <c r="C726" s="95">
        <v>1.7578123799999984E-2</v>
      </c>
      <c r="D726" s="96">
        <f t="shared" si="12"/>
        <v>2.9296872999999974E-4</v>
      </c>
    </row>
    <row r="727" spans="1:4">
      <c r="A727" s="36">
        <v>129.5</v>
      </c>
      <c r="B727" s="41">
        <v>129.5</v>
      </c>
      <c r="C727" s="95">
        <v>1.7089842499999983E-2</v>
      </c>
      <c r="D727" s="96">
        <f t="shared" si="12"/>
        <v>2.8483070833333304E-4</v>
      </c>
    </row>
    <row r="728" spans="1:4">
      <c r="A728" s="36">
        <v>129.6</v>
      </c>
      <c r="B728" s="41">
        <v>129.6</v>
      </c>
      <c r="C728" s="95">
        <v>1.6601561199999983E-2</v>
      </c>
      <c r="D728" s="96">
        <f t="shared" si="12"/>
        <v>2.7669268666666638E-4</v>
      </c>
    </row>
    <row r="729" spans="1:4">
      <c r="A729" s="36">
        <v>129.69999999999999</v>
      </c>
      <c r="B729" s="41">
        <v>129.69999999999999</v>
      </c>
      <c r="C729" s="95">
        <v>1.6113279899999982E-2</v>
      </c>
      <c r="D729" s="96">
        <f t="shared" si="12"/>
        <v>2.6855466499999968E-4</v>
      </c>
    </row>
    <row r="730" spans="1:4">
      <c r="A730" s="36">
        <v>129.80000000000001</v>
      </c>
      <c r="B730" s="41">
        <v>129.80000000000001</v>
      </c>
      <c r="C730" s="95">
        <v>1.5624998599999981E-2</v>
      </c>
      <c r="D730" s="96">
        <f t="shared" si="12"/>
        <v>2.6041664333333303E-4</v>
      </c>
    </row>
    <row r="731" spans="1:4">
      <c r="A731" s="36">
        <v>129.9</v>
      </c>
      <c r="B731" s="41">
        <v>129.9</v>
      </c>
      <c r="C731" s="95">
        <v>1.5136717299999981E-2</v>
      </c>
      <c r="D731" s="96">
        <f t="shared" si="12"/>
        <v>2.5227862166666632E-4</v>
      </c>
    </row>
    <row r="732" spans="1:4">
      <c r="A732" s="36">
        <v>130</v>
      </c>
      <c r="B732" s="42">
        <v>130</v>
      </c>
      <c r="C732" s="94">
        <v>1.46484375E-2</v>
      </c>
      <c r="D732" s="96">
        <f t="shared" si="12"/>
        <v>2.44140625E-4</v>
      </c>
    </row>
  </sheetData>
  <sheetProtection password="C9F1" sheet="1" objects="1" scenarios="1"/>
  <mergeCells count="14">
    <mergeCell ref="B10:D10"/>
    <mergeCell ref="E10:F10"/>
    <mergeCell ref="B8:D8"/>
    <mergeCell ref="E8:F8"/>
    <mergeCell ref="B9:D9"/>
    <mergeCell ref="E9:F9"/>
    <mergeCell ref="B6:D6"/>
    <mergeCell ref="E6:F6"/>
    <mergeCell ref="B7:D7"/>
    <mergeCell ref="E7:F7"/>
    <mergeCell ref="B2:D4"/>
    <mergeCell ref="E2:F4"/>
    <mergeCell ref="B5:D5"/>
    <mergeCell ref="E5:F5"/>
  </mergeCells>
  <phoneticPr fontId="0" type="noConversion"/>
  <pageMargins left="0.19685039370078741" right="0.19685039370078741" top="0.59055118110236227" bottom="0.39370078740157483" header="0.51181102362204722" footer="0.51181102362204722"/>
  <pageSetup paperSize="9" fitToHeight="15" orientation="portrait" r:id="rId1"/>
  <headerFooter alignWithMargins="0"/>
</worksheet>
</file>

<file path=xl/worksheets/sheet47.xml><?xml version="1.0" encoding="utf-8"?>
<worksheet xmlns="http://schemas.openxmlformats.org/spreadsheetml/2006/main" xmlns:r="http://schemas.openxmlformats.org/officeDocument/2006/relationships">
  <sheetPr codeName="Sheet30">
    <pageSetUpPr fitToPage="1"/>
  </sheetPr>
  <dimension ref="A1:L208"/>
  <sheetViews>
    <sheetView workbookViewId="0">
      <selection activeCell="B1" sqref="B1:F1"/>
    </sheetView>
  </sheetViews>
  <sheetFormatPr defaultRowHeight="12.75"/>
  <cols>
    <col min="1" max="1" width="3.85546875" customWidth="1"/>
    <col min="3" max="6" width="12.7109375" customWidth="1"/>
    <col min="7" max="7" width="2.42578125" customWidth="1"/>
    <col min="9" max="9" width="12.7109375" customWidth="1"/>
    <col min="10" max="10" width="2.7109375" customWidth="1"/>
    <col min="12" max="12" width="12.7109375" customWidth="1"/>
    <col min="13" max="13" width="2.7109375" customWidth="1"/>
  </cols>
  <sheetData>
    <row r="1" spans="1:12" ht="18">
      <c r="B1" s="1360" t="s">
        <v>681</v>
      </c>
      <c r="C1" s="1360"/>
      <c r="D1" s="1360"/>
      <c r="E1" s="1360"/>
      <c r="F1" s="1360"/>
      <c r="G1" s="98"/>
      <c r="H1" s="98"/>
      <c r="I1" s="98"/>
      <c r="J1" s="98"/>
      <c r="K1" s="98"/>
      <c r="L1" s="98"/>
    </row>
    <row r="2" spans="1:12" ht="38.25">
      <c r="B2" s="4" t="s">
        <v>576</v>
      </c>
      <c r="C2" s="2" t="s">
        <v>577</v>
      </c>
      <c r="D2" s="2" t="s">
        <v>578</v>
      </c>
      <c r="E2" s="2" t="s">
        <v>579</v>
      </c>
      <c r="F2" s="103"/>
    </row>
    <row r="3" spans="1:12" ht="12.75" customHeight="1">
      <c r="A3" s="1"/>
      <c r="B3" s="3">
        <v>350</v>
      </c>
      <c r="C3" s="11">
        <v>16.2</v>
      </c>
      <c r="D3" s="11">
        <v>16.2</v>
      </c>
      <c r="E3" s="11">
        <v>18</v>
      </c>
      <c r="F3" s="104"/>
      <c r="G3" s="1"/>
      <c r="H3" s="1"/>
    </row>
    <row r="4" spans="1:12" ht="12.75" customHeight="1">
      <c r="A4" s="1"/>
      <c r="B4" s="3">
        <v>450</v>
      </c>
      <c r="C4" s="11" t="s">
        <v>682</v>
      </c>
      <c r="D4" s="11" t="s">
        <v>682</v>
      </c>
      <c r="E4" s="11"/>
      <c r="F4" s="104"/>
      <c r="G4" s="1"/>
      <c r="H4" s="1"/>
    </row>
    <row r="5" spans="1:12" ht="12.75" customHeight="1">
      <c r="A5" s="1"/>
      <c r="B5" s="3">
        <v>550</v>
      </c>
      <c r="C5" s="11">
        <v>19.899999999999999</v>
      </c>
      <c r="D5" s="11">
        <v>19.899999999999999</v>
      </c>
      <c r="E5" s="11">
        <v>21.9</v>
      </c>
      <c r="F5" s="104"/>
      <c r="G5" s="1"/>
      <c r="H5" s="1"/>
    </row>
    <row r="6" spans="1:12" ht="12.75" customHeight="1">
      <c r="A6" s="1"/>
      <c r="B6" s="5"/>
      <c r="C6" s="5"/>
      <c r="D6" s="5"/>
      <c r="E6" s="5"/>
      <c r="F6" s="5"/>
      <c r="G6" s="1"/>
      <c r="H6" s="1"/>
    </row>
    <row r="7" spans="1:12" ht="38.25">
      <c r="B7" s="4" t="s">
        <v>576</v>
      </c>
      <c r="C7" s="2" t="s">
        <v>577</v>
      </c>
      <c r="D7" s="2" t="s">
        <v>578</v>
      </c>
      <c r="E7" s="2" t="s">
        <v>579</v>
      </c>
      <c r="F7" s="2" t="s">
        <v>585</v>
      </c>
    </row>
    <row r="8" spans="1:12">
      <c r="B8" s="6">
        <v>350</v>
      </c>
      <c r="C8" s="12">
        <f>+C3</f>
        <v>16.2</v>
      </c>
      <c r="D8" s="12">
        <f>+D3</f>
        <v>16.2</v>
      </c>
      <c r="E8" s="12">
        <f>+E3</f>
        <v>18</v>
      </c>
      <c r="F8" s="37">
        <v>7.5</v>
      </c>
    </row>
    <row r="9" spans="1:12" ht="12.75" customHeight="1">
      <c r="B9" s="8">
        <v>351</v>
      </c>
      <c r="C9" s="13">
        <f>C8+(($C$208-$C$8)/200)</f>
        <v>16.218499999999999</v>
      </c>
      <c r="D9" s="13">
        <f>D8+(($D$208-$D$8)/200)</f>
        <v>16.218499999999999</v>
      </c>
      <c r="E9" s="13">
        <f>E8+(($E$208-$E$8)/200)</f>
        <v>18.019500000000001</v>
      </c>
      <c r="F9" s="13">
        <f t="shared" ref="F9:F40" si="0">F8+(($F$208-$F$8)/200)</f>
        <v>7.508</v>
      </c>
    </row>
    <row r="10" spans="1:12">
      <c r="B10" s="8">
        <v>352</v>
      </c>
      <c r="C10" s="13">
        <f t="shared" ref="C10:C73" si="1">C9+(($C$208-$C$8)/200)</f>
        <v>16.236999999999998</v>
      </c>
      <c r="D10" s="13">
        <f t="shared" ref="D10:D73" si="2">D9+(($D$208-$D$8)/200)</f>
        <v>16.236999999999998</v>
      </c>
      <c r="E10" s="13">
        <f t="shared" ref="E10:E73" si="3">E9+(($E$208-$E$8)/200)</f>
        <v>18.039000000000001</v>
      </c>
      <c r="F10" s="13">
        <f t="shared" si="0"/>
        <v>7.516</v>
      </c>
    </row>
    <row r="11" spans="1:12">
      <c r="B11" s="8">
        <v>353</v>
      </c>
      <c r="C11" s="13">
        <f t="shared" si="1"/>
        <v>16.255499999999998</v>
      </c>
      <c r="D11" s="13">
        <f t="shared" si="2"/>
        <v>16.255499999999998</v>
      </c>
      <c r="E11" s="13">
        <f t="shared" si="3"/>
        <v>18.058500000000002</v>
      </c>
      <c r="F11" s="13">
        <f t="shared" si="0"/>
        <v>7.524</v>
      </c>
    </row>
    <row r="12" spans="1:12">
      <c r="B12" s="8">
        <v>354</v>
      </c>
      <c r="C12" s="13">
        <f t="shared" si="1"/>
        <v>16.273999999999997</v>
      </c>
      <c r="D12" s="13">
        <f t="shared" si="2"/>
        <v>16.273999999999997</v>
      </c>
      <c r="E12" s="13">
        <f t="shared" si="3"/>
        <v>18.078000000000003</v>
      </c>
      <c r="F12" s="13">
        <f t="shared" si="0"/>
        <v>7.532</v>
      </c>
    </row>
    <row r="13" spans="1:12">
      <c r="B13" s="8">
        <v>355</v>
      </c>
      <c r="C13" s="13">
        <f t="shared" si="1"/>
        <v>16.292499999999997</v>
      </c>
      <c r="D13" s="13">
        <f t="shared" si="2"/>
        <v>16.292499999999997</v>
      </c>
      <c r="E13" s="13">
        <f t="shared" si="3"/>
        <v>18.097500000000004</v>
      </c>
      <c r="F13" s="13">
        <f t="shared" si="0"/>
        <v>7.54</v>
      </c>
    </row>
    <row r="14" spans="1:12">
      <c r="B14" s="8">
        <v>356</v>
      </c>
      <c r="C14" s="13">
        <f t="shared" si="1"/>
        <v>16.310999999999996</v>
      </c>
      <c r="D14" s="13">
        <f t="shared" si="2"/>
        <v>16.310999999999996</v>
      </c>
      <c r="E14" s="13">
        <f t="shared" si="3"/>
        <v>18.117000000000004</v>
      </c>
      <c r="F14" s="13">
        <f t="shared" si="0"/>
        <v>7.548</v>
      </c>
    </row>
    <row r="15" spans="1:12">
      <c r="B15" s="8">
        <v>357</v>
      </c>
      <c r="C15" s="13">
        <f t="shared" si="1"/>
        <v>16.329499999999996</v>
      </c>
      <c r="D15" s="13">
        <f t="shared" si="2"/>
        <v>16.329499999999996</v>
      </c>
      <c r="E15" s="13">
        <f t="shared" si="3"/>
        <v>18.136500000000005</v>
      </c>
      <c r="F15" s="13">
        <f t="shared" si="0"/>
        <v>7.556</v>
      </c>
    </row>
    <row r="16" spans="1:12">
      <c r="B16" s="8">
        <v>358</v>
      </c>
      <c r="C16" s="13">
        <f t="shared" si="1"/>
        <v>16.347999999999995</v>
      </c>
      <c r="D16" s="13">
        <f t="shared" si="2"/>
        <v>16.347999999999995</v>
      </c>
      <c r="E16" s="13">
        <f t="shared" si="3"/>
        <v>18.156000000000006</v>
      </c>
      <c r="F16" s="13">
        <f t="shared" si="0"/>
        <v>7.5640000000000001</v>
      </c>
    </row>
    <row r="17" spans="2:6">
      <c r="B17" s="8">
        <v>359</v>
      </c>
      <c r="C17" s="13">
        <f t="shared" si="1"/>
        <v>16.366499999999995</v>
      </c>
      <c r="D17" s="13">
        <f t="shared" si="2"/>
        <v>16.366499999999995</v>
      </c>
      <c r="E17" s="13">
        <f t="shared" si="3"/>
        <v>18.175500000000007</v>
      </c>
      <c r="F17" s="13">
        <f t="shared" si="0"/>
        <v>7.5720000000000001</v>
      </c>
    </row>
    <row r="18" spans="2:6">
      <c r="B18" s="8">
        <v>360</v>
      </c>
      <c r="C18" s="13">
        <f t="shared" si="1"/>
        <v>16.384999999999994</v>
      </c>
      <c r="D18" s="13">
        <f t="shared" si="2"/>
        <v>16.384999999999994</v>
      </c>
      <c r="E18" s="13">
        <f t="shared" si="3"/>
        <v>18.195000000000007</v>
      </c>
      <c r="F18" s="13">
        <f t="shared" si="0"/>
        <v>7.58</v>
      </c>
    </row>
    <row r="19" spans="2:6">
      <c r="B19" s="8">
        <v>361</v>
      </c>
      <c r="C19" s="13">
        <f t="shared" si="1"/>
        <v>16.403499999999994</v>
      </c>
      <c r="D19" s="13">
        <f t="shared" si="2"/>
        <v>16.403499999999994</v>
      </c>
      <c r="E19" s="13">
        <f t="shared" si="3"/>
        <v>18.214500000000008</v>
      </c>
      <c r="F19" s="13">
        <f t="shared" si="0"/>
        <v>7.5880000000000001</v>
      </c>
    </row>
    <row r="20" spans="2:6">
      <c r="B20" s="8">
        <v>362</v>
      </c>
      <c r="C20" s="13">
        <f t="shared" si="1"/>
        <v>16.421999999999993</v>
      </c>
      <c r="D20" s="13">
        <f t="shared" si="2"/>
        <v>16.421999999999993</v>
      </c>
      <c r="E20" s="13">
        <f t="shared" si="3"/>
        <v>18.234000000000009</v>
      </c>
      <c r="F20" s="13">
        <f t="shared" si="0"/>
        <v>7.5960000000000001</v>
      </c>
    </row>
    <row r="21" spans="2:6">
      <c r="B21" s="8">
        <v>363</v>
      </c>
      <c r="C21" s="13">
        <f t="shared" si="1"/>
        <v>16.440499999999993</v>
      </c>
      <c r="D21" s="13">
        <f t="shared" si="2"/>
        <v>16.440499999999993</v>
      </c>
      <c r="E21" s="13">
        <f t="shared" si="3"/>
        <v>18.25350000000001</v>
      </c>
      <c r="F21" s="13">
        <f t="shared" si="0"/>
        <v>7.6040000000000001</v>
      </c>
    </row>
    <row r="22" spans="2:6">
      <c r="B22" s="8">
        <v>364</v>
      </c>
      <c r="C22" s="13">
        <f t="shared" si="1"/>
        <v>16.458999999999993</v>
      </c>
      <c r="D22" s="13">
        <f t="shared" si="2"/>
        <v>16.458999999999993</v>
      </c>
      <c r="E22" s="13">
        <f t="shared" si="3"/>
        <v>18.27300000000001</v>
      </c>
      <c r="F22" s="13">
        <f t="shared" si="0"/>
        <v>7.6120000000000001</v>
      </c>
    </row>
    <row r="23" spans="2:6">
      <c r="B23" s="8">
        <v>365</v>
      </c>
      <c r="C23" s="13">
        <f t="shared" si="1"/>
        <v>16.477499999999992</v>
      </c>
      <c r="D23" s="13">
        <f t="shared" si="2"/>
        <v>16.477499999999992</v>
      </c>
      <c r="E23" s="13">
        <f t="shared" si="3"/>
        <v>18.292500000000011</v>
      </c>
      <c r="F23" s="13">
        <f t="shared" si="0"/>
        <v>7.62</v>
      </c>
    </row>
    <row r="24" spans="2:6">
      <c r="B24" s="8">
        <v>366</v>
      </c>
      <c r="C24" s="13">
        <f t="shared" si="1"/>
        <v>16.495999999999992</v>
      </c>
      <c r="D24" s="13">
        <f t="shared" si="2"/>
        <v>16.495999999999992</v>
      </c>
      <c r="E24" s="13">
        <f t="shared" si="3"/>
        <v>18.312000000000012</v>
      </c>
      <c r="F24" s="13">
        <f t="shared" si="0"/>
        <v>7.6280000000000001</v>
      </c>
    </row>
    <row r="25" spans="2:6">
      <c r="B25" s="8">
        <v>367</v>
      </c>
      <c r="C25" s="13">
        <f t="shared" si="1"/>
        <v>16.514499999999991</v>
      </c>
      <c r="D25" s="13">
        <f t="shared" si="2"/>
        <v>16.514499999999991</v>
      </c>
      <c r="E25" s="13">
        <f t="shared" si="3"/>
        <v>18.331500000000013</v>
      </c>
      <c r="F25" s="13">
        <f t="shared" si="0"/>
        <v>7.6360000000000001</v>
      </c>
    </row>
    <row r="26" spans="2:6">
      <c r="B26" s="8">
        <v>368</v>
      </c>
      <c r="C26" s="13">
        <f t="shared" si="1"/>
        <v>16.532999999999991</v>
      </c>
      <c r="D26" s="13">
        <f t="shared" si="2"/>
        <v>16.532999999999991</v>
      </c>
      <c r="E26" s="13">
        <f t="shared" si="3"/>
        <v>18.351000000000013</v>
      </c>
      <c r="F26" s="13">
        <f t="shared" si="0"/>
        <v>7.6440000000000001</v>
      </c>
    </row>
    <row r="27" spans="2:6">
      <c r="B27" s="8">
        <v>369</v>
      </c>
      <c r="C27" s="13">
        <f t="shared" si="1"/>
        <v>16.55149999999999</v>
      </c>
      <c r="D27" s="13">
        <f t="shared" si="2"/>
        <v>16.55149999999999</v>
      </c>
      <c r="E27" s="13">
        <f t="shared" si="3"/>
        <v>18.370500000000014</v>
      </c>
      <c r="F27" s="13">
        <f t="shared" si="0"/>
        <v>7.6520000000000001</v>
      </c>
    </row>
    <row r="28" spans="2:6">
      <c r="B28" s="8">
        <v>370</v>
      </c>
      <c r="C28" s="13">
        <f t="shared" si="1"/>
        <v>16.56999999999999</v>
      </c>
      <c r="D28" s="13">
        <f t="shared" si="2"/>
        <v>16.56999999999999</v>
      </c>
      <c r="E28" s="13">
        <f t="shared" si="3"/>
        <v>18.390000000000015</v>
      </c>
      <c r="F28" s="13">
        <f t="shared" si="0"/>
        <v>7.66</v>
      </c>
    </row>
    <row r="29" spans="2:6">
      <c r="B29" s="8">
        <v>371</v>
      </c>
      <c r="C29" s="13">
        <f t="shared" si="1"/>
        <v>16.588499999999989</v>
      </c>
      <c r="D29" s="13">
        <f t="shared" si="2"/>
        <v>16.588499999999989</v>
      </c>
      <c r="E29" s="13">
        <f t="shared" si="3"/>
        <v>18.409500000000016</v>
      </c>
      <c r="F29" s="13">
        <f t="shared" si="0"/>
        <v>7.6680000000000001</v>
      </c>
    </row>
    <row r="30" spans="2:6">
      <c r="B30" s="8">
        <v>372</v>
      </c>
      <c r="C30" s="13">
        <f t="shared" si="1"/>
        <v>16.606999999999989</v>
      </c>
      <c r="D30" s="13">
        <f t="shared" si="2"/>
        <v>16.606999999999989</v>
      </c>
      <c r="E30" s="13">
        <f t="shared" si="3"/>
        <v>18.429000000000016</v>
      </c>
      <c r="F30" s="13">
        <f t="shared" si="0"/>
        <v>7.6760000000000002</v>
      </c>
    </row>
    <row r="31" spans="2:6">
      <c r="B31" s="8">
        <v>373</v>
      </c>
      <c r="C31" s="13">
        <f t="shared" si="1"/>
        <v>16.625499999999988</v>
      </c>
      <c r="D31" s="13">
        <f t="shared" si="2"/>
        <v>16.625499999999988</v>
      </c>
      <c r="E31" s="13">
        <f t="shared" si="3"/>
        <v>18.448500000000017</v>
      </c>
      <c r="F31" s="13">
        <f t="shared" si="0"/>
        <v>7.6840000000000002</v>
      </c>
    </row>
    <row r="32" spans="2:6">
      <c r="B32" s="8">
        <v>374</v>
      </c>
      <c r="C32" s="13">
        <f t="shared" si="1"/>
        <v>16.643999999999988</v>
      </c>
      <c r="D32" s="13">
        <f t="shared" si="2"/>
        <v>16.643999999999988</v>
      </c>
      <c r="E32" s="13">
        <f t="shared" si="3"/>
        <v>18.468000000000018</v>
      </c>
      <c r="F32" s="13">
        <f t="shared" si="0"/>
        <v>7.6920000000000002</v>
      </c>
    </row>
    <row r="33" spans="2:6">
      <c r="B33" s="8">
        <v>375</v>
      </c>
      <c r="C33" s="13">
        <f t="shared" si="1"/>
        <v>16.662499999999987</v>
      </c>
      <c r="D33" s="13">
        <f t="shared" si="2"/>
        <v>16.662499999999987</v>
      </c>
      <c r="E33" s="13">
        <f t="shared" si="3"/>
        <v>18.487500000000018</v>
      </c>
      <c r="F33" s="13">
        <f t="shared" si="0"/>
        <v>7.7</v>
      </c>
    </row>
    <row r="34" spans="2:6">
      <c r="B34" s="8">
        <v>376</v>
      </c>
      <c r="C34" s="13">
        <f t="shared" si="1"/>
        <v>16.680999999999987</v>
      </c>
      <c r="D34" s="13">
        <f t="shared" si="2"/>
        <v>16.680999999999987</v>
      </c>
      <c r="E34" s="13">
        <f t="shared" si="3"/>
        <v>18.507000000000019</v>
      </c>
      <c r="F34" s="13">
        <f t="shared" si="0"/>
        <v>7.7080000000000002</v>
      </c>
    </row>
    <row r="35" spans="2:6">
      <c r="B35" s="8">
        <v>377</v>
      </c>
      <c r="C35" s="13">
        <f t="shared" si="1"/>
        <v>16.699499999999986</v>
      </c>
      <c r="D35" s="13">
        <f t="shared" si="2"/>
        <v>16.699499999999986</v>
      </c>
      <c r="E35" s="13">
        <f t="shared" si="3"/>
        <v>18.52650000000002</v>
      </c>
      <c r="F35" s="13">
        <f t="shared" si="0"/>
        <v>7.7160000000000002</v>
      </c>
    </row>
    <row r="36" spans="2:6">
      <c r="B36" s="8">
        <v>378</v>
      </c>
      <c r="C36" s="13">
        <f t="shared" si="1"/>
        <v>16.717999999999986</v>
      </c>
      <c r="D36" s="13">
        <f t="shared" si="2"/>
        <v>16.717999999999986</v>
      </c>
      <c r="E36" s="13">
        <f t="shared" si="3"/>
        <v>18.546000000000021</v>
      </c>
      <c r="F36" s="13">
        <f t="shared" si="0"/>
        <v>7.7240000000000002</v>
      </c>
    </row>
    <row r="37" spans="2:6">
      <c r="B37" s="8">
        <v>379</v>
      </c>
      <c r="C37" s="13">
        <f t="shared" si="1"/>
        <v>16.736499999999985</v>
      </c>
      <c r="D37" s="13">
        <f t="shared" si="2"/>
        <v>16.736499999999985</v>
      </c>
      <c r="E37" s="13">
        <f t="shared" si="3"/>
        <v>18.565500000000021</v>
      </c>
      <c r="F37" s="13">
        <f t="shared" si="0"/>
        <v>7.7320000000000002</v>
      </c>
    </row>
    <row r="38" spans="2:6">
      <c r="B38" s="8">
        <v>380</v>
      </c>
      <c r="C38" s="13">
        <f t="shared" si="1"/>
        <v>16.754999999999985</v>
      </c>
      <c r="D38" s="13">
        <f t="shared" si="2"/>
        <v>16.754999999999985</v>
      </c>
      <c r="E38" s="13">
        <f t="shared" si="3"/>
        <v>18.585000000000022</v>
      </c>
      <c r="F38" s="13">
        <f t="shared" si="0"/>
        <v>7.74</v>
      </c>
    </row>
    <row r="39" spans="2:6">
      <c r="B39" s="8">
        <v>381</v>
      </c>
      <c r="C39" s="13">
        <f t="shared" si="1"/>
        <v>16.773499999999984</v>
      </c>
      <c r="D39" s="13">
        <f t="shared" si="2"/>
        <v>16.773499999999984</v>
      </c>
      <c r="E39" s="13">
        <f t="shared" si="3"/>
        <v>18.604500000000023</v>
      </c>
      <c r="F39" s="13">
        <f t="shared" si="0"/>
        <v>7.7480000000000002</v>
      </c>
    </row>
    <row r="40" spans="2:6">
      <c r="B40" s="8">
        <v>382</v>
      </c>
      <c r="C40" s="13">
        <f t="shared" si="1"/>
        <v>16.791999999999984</v>
      </c>
      <c r="D40" s="13">
        <f t="shared" si="2"/>
        <v>16.791999999999984</v>
      </c>
      <c r="E40" s="13">
        <f t="shared" si="3"/>
        <v>18.624000000000024</v>
      </c>
      <c r="F40" s="13">
        <f t="shared" si="0"/>
        <v>7.7560000000000002</v>
      </c>
    </row>
    <row r="41" spans="2:6">
      <c r="B41" s="8">
        <v>383</v>
      </c>
      <c r="C41" s="13">
        <f t="shared" si="1"/>
        <v>16.810499999999983</v>
      </c>
      <c r="D41" s="13">
        <f t="shared" si="2"/>
        <v>16.810499999999983</v>
      </c>
      <c r="E41" s="13">
        <f t="shared" si="3"/>
        <v>18.643500000000024</v>
      </c>
      <c r="F41" s="13">
        <f t="shared" ref="F41:F72" si="4">F40+(($F$208-$F$8)/200)</f>
        <v>7.7640000000000002</v>
      </c>
    </row>
    <row r="42" spans="2:6">
      <c r="B42" s="8">
        <v>384</v>
      </c>
      <c r="C42" s="13">
        <f t="shared" si="1"/>
        <v>16.828999999999983</v>
      </c>
      <c r="D42" s="13">
        <f t="shared" si="2"/>
        <v>16.828999999999983</v>
      </c>
      <c r="E42" s="13">
        <f t="shared" si="3"/>
        <v>18.663000000000025</v>
      </c>
      <c r="F42" s="13">
        <f t="shared" si="4"/>
        <v>7.7720000000000002</v>
      </c>
    </row>
    <row r="43" spans="2:6">
      <c r="B43" s="8">
        <v>385</v>
      </c>
      <c r="C43" s="13">
        <f t="shared" si="1"/>
        <v>16.847499999999982</v>
      </c>
      <c r="D43" s="13">
        <f t="shared" si="2"/>
        <v>16.847499999999982</v>
      </c>
      <c r="E43" s="13">
        <f t="shared" si="3"/>
        <v>18.682500000000026</v>
      </c>
      <c r="F43" s="13">
        <f t="shared" si="4"/>
        <v>7.78</v>
      </c>
    </row>
    <row r="44" spans="2:6">
      <c r="B44" s="8">
        <v>386</v>
      </c>
      <c r="C44" s="13">
        <f t="shared" si="1"/>
        <v>16.865999999999982</v>
      </c>
      <c r="D44" s="13">
        <f t="shared" si="2"/>
        <v>16.865999999999982</v>
      </c>
      <c r="E44" s="13">
        <f t="shared" si="3"/>
        <v>18.702000000000027</v>
      </c>
      <c r="F44" s="13">
        <f t="shared" si="4"/>
        <v>7.7880000000000003</v>
      </c>
    </row>
    <row r="45" spans="2:6">
      <c r="B45" s="8">
        <v>387</v>
      </c>
      <c r="C45" s="13">
        <f t="shared" si="1"/>
        <v>16.884499999999981</v>
      </c>
      <c r="D45" s="13">
        <f t="shared" si="2"/>
        <v>16.884499999999981</v>
      </c>
      <c r="E45" s="13">
        <f t="shared" si="3"/>
        <v>18.721500000000027</v>
      </c>
      <c r="F45" s="13">
        <f t="shared" si="4"/>
        <v>7.7960000000000003</v>
      </c>
    </row>
    <row r="46" spans="2:6">
      <c r="B46" s="8">
        <v>388</v>
      </c>
      <c r="C46" s="13">
        <f t="shared" si="1"/>
        <v>16.902999999999981</v>
      </c>
      <c r="D46" s="13">
        <f t="shared" si="2"/>
        <v>16.902999999999981</v>
      </c>
      <c r="E46" s="13">
        <f t="shared" si="3"/>
        <v>18.741000000000028</v>
      </c>
      <c r="F46" s="13">
        <f t="shared" si="4"/>
        <v>7.8040000000000003</v>
      </c>
    </row>
    <row r="47" spans="2:6">
      <c r="B47" s="8">
        <v>389</v>
      </c>
      <c r="C47" s="13">
        <f t="shared" si="1"/>
        <v>16.92149999999998</v>
      </c>
      <c r="D47" s="13">
        <f t="shared" si="2"/>
        <v>16.92149999999998</v>
      </c>
      <c r="E47" s="13">
        <f t="shared" si="3"/>
        <v>18.760500000000029</v>
      </c>
      <c r="F47" s="13">
        <f t="shared" si="4"/>
        <v>7.8120000000000003</v>
      </c>
    </row>
    <row r="48" spans="2:6">
      <c r="B48" s="8">
        <v>390</v>
      </c>
      <c r="C48" s="13">
        <f t="shared" si="1"/>
        <v>16.93999999999998</v>
      </c>
      <c r="D48" s="13">
        <f t="shared" si="2"/>
        <v>16.93999999999998</v>
      </c>
      <c r="E48" s="13">
        <f t="shared" si="3"/>
        <v>18.78000000000003</v>
      </c>
      <c r="F48" s="13">
        <f t="shared" si="4"/>
        <v>7.82</v>
      </c>
    </row>
    <row r="49" spans="2:6">
      <c r="B49" s="8">
        <v>391</v>
      </c>
      <c r="C49" s="13">
        <f t="shared" si="1"/>
        <v>16.958499999999979</v>
      </c>
      <c r="D49" s="13">
        <f t="shared" si="2"/>
        <v>16.958499999999979</v>
      </c>
      <c r="E49" s="13">
        <f t="shared" si="3"/>
        <v>18.79950000000003</v>
      </c>
      <c r="F49" s="13">
        <f t="shared" si="4"/>
        <v>7.8280000000000003</v>
      </c>
    </row>
    <row r="50" spans="2:6">
      <c r="B50" s="8">
        <v>392</v>
      </c>
      <c r="C50" s="13">
        <f t="shared" si="1"/>
        <v>16.976999999999979</v>
      </c>
      <c r="D50" s="13">
        <f t="shared" si="2"/>
        <v>16.976999999999979</v>
      </c>
      <c r="E50" s="13">
        <f t="shared" si="3"/>
        <v>18.819000000000031</v>
      </c>
      <c r="F50" s="13">
        <f t="shared" si="4"/>
        <v>7.8360000000000003</v>
      </c>
    </row>
    <row r="51" spans="2:6">
      <c r="B51" s="8">
        <v>393</v>
      </c>
      <c r="C51" s="13">
        <f t="shared" si="1"/>
        <v>16.995499999999979</v>
      </c>
      <c r="D51" s="13">
        <f t="shared" si="2"/>
        <v>16.995499999999979</v>
      </c>
      <c r="E51" s="13">
        <f t="shared" si="3"/>
        <v>18.838500000000032</v>
      </c>
      <c r="F51" s="13">
        <f t="shared" si="4"/>
        <v>7.8440000000000003</v>
      </c>
    </row>
    <row r="52" spans="2:6">
      <c r="B52" s="8">
        <v>394</v>
      </c>
      <c r="C52" s="13">
        <f t="shared" si="1"/>
        <v>17.013999999999978</v>
      </c>
      <c r="D52" s="13">
        <f t="shared" si="2"/>
        <v>17.013999999999978</v>
      </c>
      <c r="E52" s="13">
        <f t="shared" si="3"/>
        <v>18.858000000000033</v>
      </c>
      <c r="F52" s="13">
        <f t="shared" si="4"/>
        <v>7.8520000000000003</v>
      </c>
    </row>
    <row r="53" spans="2:6">
      <c r="B53" s="8">
        <v>395</v>
      </c>
      <c r="C53" s="13">
        <f t="shared" si="1"/>
        <v>17.032499999999978</v>
      </c>
      <c r="D53" s="13">
        <f t="shared" si="2"/>
        <v>17.032499999999978</v>
      </c>
      <c r="E53" s="13">
        <f t="shared" si="3"/>
        <v>18.877500000000033</v>
      </c>
      <c r="F53" s="13">
        <f t="shared" si="4"/>
        <v>7.86</v>
      </c>
    </row>
    <row r="54" spans="2:6">
      <c r="B54" s="8">
        <v>396</v>
      </c>
      <c r="C54" s="13">
        <f t="shared" si="1"/>
        <v>17.050999999999977</v>
      </c>
      <c r="D54" s="13">
        <f t="shared" si="2"/>
        <v>17.050999999999977</v>
      </c>
      <c r="E54" s="13">
        <f t="shared" si="3"/>
        <v>18.897000000000034</v>
      </c>
      <c r="F54" s="13">
        <f t="shared" si="4"/>
        <v>7.8680000000000003</v>
      </c>
    </row>
    <row r="55" spans="2:6">
      <c r="B55" s="8">
        <v>397</v>
      </c>
      <c r="C55" s="13">
        <f t="shared" si="1"/>
        <v>17.069499999999977</v>
      </c>
      <c r="D55" s="13">
        <f t="shared" si="2"/>
        <v>17.069499999999977</v>
      </c>
      <c r="E55" s="13">
        <f t="shared" si="3"/>
        <v>18.916500000000035</v>
      </c>
      <c r="F55" s="13">
        <f t="shared" si="4"/>
        <v>7.8760000000000003</v>
      </c>
    </row>
    <row r="56" spans="2:6">
      <c r="B56" s="8">
        <v>398</v>
      </c>
      <c r="C56" s="13">
        <f t="shared" si="1"/>
        <v>17.087999999999976</v>
      </c>
      <c r="D56" s="13">
        <f t="shared" si="2"/>
        <v>17.087999999999976</v>
      </c>
      <c r="E56" s="13">
        <f t="shared" si="3"/>
        <v>18.936000000000035</v>
      </c>
      <c r="F56" s="13">
        <f t="shared" si="4"/>
        <v>7.8840000000000003</v>
      </c>
    </row>
    <row r="57" spans="2:6">
      <c r="B57" s="8">
        <v>399</v>
      </c>
      <c r="C57" s="13">
        <f t="shared" si="1"/>
        <v>17.106499999999976</v>
      </c>
      <c r="D57" s="13">
        <f t="shared" si="2"/>
        <v>17.106499999999976</v>
      </c>
      <c r="E57" s="13">
        <f t="shared" si="3"/>
        <v>18.955500000000036</v>
      </c>
      <c r="F57" s="13">
        <f t="shared" si="4"/>
        <v>7.8920000000000003</v>
      </c>
    </row>
    <row r="58" spans="2:6">
      <c r="B58" s="8">
        <v>400</v>
      </c>
      <c r="C58" s="13">
        <f t="shared" si="1"/>
        <v>17.124999999999975</v>
      </c>
      <c r="D58" s="13">
        <f t="shared" si="2"/>
        <v>17.124999999999975</v>
      </c>
      <c r="E58" s="13">
        <f t="shared" si="3"/>
        <v>18.975000000000037</v>
      </c>
      <c r="F58" s="13">
        <f t="shared" si="4"/>
        <v>7.9</v>
      </c>
    </row>
    <row r="59" spans="2:6">
      <c r="B59" s="8">
        <v>401</v>
      </c>
      <c r="C59" s="13">
        <f t="shared" si="1"/>
        <v>17.143499999999975</v>
      </c>
      <c r="D59" s="13">
        <f t="shared" si="2"/>
        <v>17.143499999999975</v>
      </c>
      <c r="E59" s="13">
        <f t="shared" si="3"/>
        <v>18.994500000000038</v>
      </c>
      <c r="F59" s="13">
        <f t="shared" si="4"/>
        <v>7.9080000000000004</v>
      </c>
    </row>
    <row r="60" spans="2:6">
      <c r="B60" s="8">
        <v>402</v>
      </c>
      <c r="C60" s="13">
        <f t="shared" si="1"/>
        <v>17.161999999999974</v>
      </c>
      <c r="D60" s="13">
        <f t="shared" si="2"/>
        <v>17.161999999999974</v>
      </c>
      <c r="E60" s="13">
        <f t="shared" si="3"/>
        <v>19.014000000000038</v>
      </c>
      <c r="F60" s="13">
        <f t="shared" si="4"/>
        <v>7.9160000000000004</v>
      </c>
    </row>
    <row r="61" spans="2:6">
      <c r="B61" s="8">
        <v>403</v>
      </c>
      <c r="C61" s="13">
        <f t="shared" si="1"/>
        <v>17.180499999999974</v>
      </c>
      <c r="D61" s="13">
        <f t="shared" si="2"/>
        <v>17.180499999999974</v>
      </c>
      <c r="E61" s="13">
        <f t="shared" si="3"/>
        <v>19.033500000000039</v>
      </c>
      <c r="F61" s="13">
        <f t="shared" si="4"/>
        <v>7.9240000000000004</v>
      </c>
    </row>
    <row r="62" spans="2:6">
      <c r="B62" s="8">
        <v>404</v>
      </c>
      <c r="C62" s="13">
        <f t="shared" si="1"/>
        <v>17.198999999999973</v>
      </c>
      <c r="D62" s="13">
        <f t="shared" si="2"/>
        <v>17.198999999999973</v>
      </c>
      <c r="E62" s="13">
        <f t="shared" si="3"/>
        <v>19.05300000000004</v>
      </c>
      <c r="F62" s="13">
        <f t="shared" si="4"/>
        <v>7.9320000000000004</v>
      </c>
    </row>
    <row r="63" spans="2:6">
      <c r="B63" s="8">
        <v>405</v>
      </c>
      <c r="C63" s="13">
        <f t="shared" si="1"/>
        <v>17.217499999999973</v>
      </c>
      <c r="D63" s="13">
        <f t="shared" si="2"/>
        <v>17.217499999999973</v>
      </c>
      <c r="E63" s="13">
        <f t="shared" si="3"/>
        <v>19.072500000000041</v>
      </c>
      <c r="F63" s="13">
        <f t="shared" si="4"/>
        <v>7.94</v>
      </c>
    </row>
    <row r="64" spans="2:6">
      <c r="B64" s="8">
        <v>406</v>
      </c>
      <c r="C64" s="13">
        <f t="shared" si="1"/>
        <v>17.235999999999972</v>
      </c>
      <c r="D64" s="13">
        <f t="shared" si="2"/>
        <v>17.235999999999972</v>
      </c>
      <c r="E64" s="13">
        <f t="shared" si="3"/>
        <v>19.092000000000041</v>
      </c>
      <c r="F64" s="13">
        <f t="shared" si="4"/>
        <v>7.9480000000000004</v>
      </c>
    </row>
    <row r="65" spans="2:6">
      <c r="B65" s="8">
        <v>407</v>
      </c>
      <c r="C65" s="13">
        <f t="shared" si="1"/>
        <v>17.254499999999972</v>
      </c>
      <c r="D65" s="13">
        <f t="shared" si="2"/>
        <v>17.254499999999972</v>
      </c>
      <c r="E65" s="13">
        <f t="shared" si="3"/>
        <v>19.111500000000042</v>
      </c>
      <c r="F65" s="13">
        <f t="shared" si="4"/>
        <v>7.9560000000000004</v>
      </c>
    </row>
    <row r="66" spans="2:6">
      <c r="B66" s="8">
        <v>408</v>
      </c>
      <c r="C66" s="13">
        <f t="shared" si="1"/>
        <v>17.272999999999971</v>
      </c>
      <c r="D66" s="13">
        <f t="shared" si="2"/>
        <v>17.272999999999971</v>
      </c>
      <c r="E66" s="13">
        <f t="shared" si="3"/>
        <v>19.131000000000043</v>
      </c>
      <c r="F66" s="13">
        <f t="shared" si="4"/>
        <v>7.9640000000000004</v>
      </c>
    </row>
    <row r="67" spans="2:6">
      <c r="B67" s="8">
        <v>409</v>
      </c>
      <c r="C67" s="13">
        <f t="shared" si="1"/>
        <v>17.291499999999971</v>
      </c>
      <c r="D67" s="13">
        <f t="shared" si="2"/>
        <v>17.291499999999971</v>
      </c>
      <c r="E67" s="13">
        <f t="shared" si="3"/>
        <v>19.150500000000044</v>
      </c>
      <c r="F67" s="13">
        <f t="shared" si="4"/>
        <v>7.9720000000000004</v>
      </c>
    </row>
    <row r="68" spans="2:6">
      <c r="B68" s="8">
        <v>410</v>
      </c>
      <c r="C68" s="13">
        <f t="shared" si="1"/>
        <v>17.30999999999997</v>
      </c>
      <c r="D68" s="13">
        <f t="shared" si="2"/>
        <v>17.30999999999997</v>
      </c>
      <c r="E68" s="13">
        <f t="shared" si="3"/>
        <v>19.170000000000044</v>
      </c>
      <c r="F68" s="13">
        <f t="shared" si="4"/>
        <v>7.98</v>
      </c>
    </row>
    <row r="69" spans="2:6">
      <c r="B69" s="8">
        <v>411</v>
      </c>
      <c r="C69" s="13">
        <f t="shared" si="1"/>
        <v>17.32849999999997</v>
      </c>
      <c r="D69" s="13">
        <f t="shared" si="2"/>
        <v>17.32849999999997</v>
      </c>
      <c r="E69" s="13">
        <f t="shared" si="3"/>
        <v>19.189500000000045</v>
      </c>
      <c r="F69" s="13">
        <f t="shared" si="4"/>
        <v>7.9880000000000004</v>
      </c>
    </row>
    <row r="70" spans="2:6">
      <c r="B70" s="8">
        <v>412</v>
      </c>
      <c r="C70" s="13">
        <f t="shared" si="1"/>
        <v>17.346999999999969</v>
      </c>
      <c r="D70" s="13">
        <f t="shared" si="2"/>
        <v>17.346999999999969</v>
      </c>
      <c r="E70" s="13">
        <f t="shared" si="3"/>
        <v>19.209000000000046</v>
      </c>
      <c r="F70" s="13">
        <f t="shared" si="4"/>
        <v>7.9960000000000004</v>
      </c>
    </row>
    <row r="71" spans="2:6">
      <c r="B71" s="8">
        <v>413</v>
      </c>
      <c r="C71" s="13">
        <f t="shared" si="1"/>
        <v>17.365499999999969</v>
      </c>
      <c r="D71" s="13">
        <f t="shared" si="2"/>
        <v>17.365499999999969</v>
      </c>
      <c r="E71" s="13">
        <f t="shared" si="3"/>
        <v>19.228500000000047</v>
      </c>
      <c r="F71" s="13">
        <f t="shared" si="4"/>
        <v>8.0039999999999996</v>
      </c>
    </row>
    <row r="72" spans="2:6">
      <c r="B72" s="8">
        <v>414</v>
      </c>
      <c r="C72" s="13">
        <f t="shared" si="1"/>
        <v>17.383999999999968</v>
      </c>
      <c r="D72" s="13">
        <f t="shared" si="2"/>
        <v>17.383999999999968</v>
      </c>
      <c r="E72" s="13">
        <f t="shared" si="3"/>
        <v>19.248000000000047</v>
      </c>
      <c r="F72" s="13">
        <f t="shared" si="4"/>
        <v>8.0119999999999987</v>
      </c>
    </row>
    <row r="73" spans="2:6">
      <c r="B73" s="8">
        <v>415</v>
      </c>
      <c r="C73" s="13">
        <f t="shared" si="1"/>
        <v>17.402499999999968</v>
      </c>
      <c r="D73" s="13">
        <f t="shared" si="2"/>
        <v>17.402499999999968</v>
      </c>
      <c r="E73" s="13">
        <f t="shared" si="3"/>
        <v>19.267500000000048</v>
      </c>
      <c r="F73" s="13">
        <f t="shared" ref="F73:F104" si="5">F72+(($F$208-$F$8)/200)</f>
        <v>8.0199999999999978</v>
      </c>
    </row>
    <row r="74" spans="2:6">
      <c r="B74" s="8">
        <v>416</v>
      </c>
      <c r="C74" s="13">
        <f t="shared" ref="C74:C137" si="6">C73+(($C$208-$C$8)/200)</f>
        <v>17.420999999999967</v>
      </c>
      <c r="D74" s="13">
        <f t="shared" ref="D74:D137" si="7">D73+(($D$208-$D$8)/200)</f>
        <v>17.420999999999967</v>
      </c>
      <c r="E74" s="13">
        <f t="shared" ref="E74:E137" si="8">E73+(($E$208-$E$8)/200)</f>
        <v>19.287000000000049</v>
      </c>
      <c r="F74" s="13">
        <f t="shared" si="5"/>
        <v>8.0279999999999969</v>
      </c>
    </row>
    <row r="75" spans="2:6">
      <c r="B75" s="8">
        <v>417</v>
      </c>
      <c r="C75" s="13">
        <f t="shared" si="6"/>
        <v>17.439499999999967</v>
      </c>
      <c r="D75" s="13">
        <f t="shared" si="7"/>
        <v>17.439499999999967</v>
      </c>
      <c r="E75" s="13">
        <f t="shared" si="8"/>
        <v>19.30650000000005</v>
      </c>
      <c r="F75" s="13">
        <f t="shared" si="5"/>
        <v>8.035999999999996</v>
      </c>
    </row>
    <row r="76" spans="2:6">
      <c r="B76" s="8">
        <v>418</v>
      </c>
      <c r="C76" s="13">
        <f t="shared" si="6"/>
        <v>17.457999999999966</v>
      </c>
      <c r="D76" s="13">
        <f t="shared" si="7"/>
        <v>17.457999999999966</v>
      </c>
      <c r="E76" s="13">
        <f t="shared" si="8"/>
        <v>19.32600000000005</v>
      </c>
      <c r="F76" s="13">
        <f t="shared" si="5"/>
        <v>8.0439999999999952</v>
      </c>
    </row>
    <row r="77" spans="2:6">
      <c r="B77" s="8">
        <v>419</v>
      </c>
      <c r="C77" s="13">
        <f t="shared" si="6"/>
        <v>17.476499999999966</v>
      </c>
      <c r="D77" s="13">
        <f t="shared" si="7"/>
        <v>17.476499999999966</v>
      </c>
      <c r="E77" s="13">
        <f t="shared" si="8"/>
        <v>19.345500000000051</v>
      </c>
      <c r="F77" s="13">
        <f t="shared" si="5"/>
        <v>8.0519999999999943</v>
      </c>
    </row>
    <row r="78" spans="2:6">
      <c r="B78" s="8">
        <v>420</v>
      </c>
      <c r="C78" s="13">
        <f t="shared" si="6"/>
        <v>17.494999999999965</v>
      </c>
      <c r="D78" s="13">
        <f t="shared" si="7"/>
        <v>17.494999999999965</v>
      </c>
      <c r="E78" s="13">
        <f t="shared" si="8"/>
        <v>19.365000000000052</v>
      </c>
      <c r="F78" s="13">
        <f t="shared" si="5"/>
        <v>8.0599999999999934</v>
      </c>
    </row>
    <row r="79" spans="2:6">
      <c r="B79" s="8">
        <v>421</v>
      </c>
      <c r="C79" s="13">
        <f t="shared" si="6"/>
        <v>17.513499999999965</v>
      </c>
      <c r="D79" s="13">
        <f t="shared" si="7"/>
        <v>17.513499999999965</v>
      </c>
      <c r="E79" s="13">
        <f t="shared" si="8"/>
        <v>19.384500000000052</v>
      </c>
      <c r="F79" s="13">
        <f t="shared" si="5"/>
        <v>8.0679999999999925</v>
      </c>
    </row>
    <row r="80" spans="2:6">
      <c r="B80" s="8">
        <v>422</v>
      </c>
      <c r="C80" s="13">
        <f t="shared" si="6"/>
        <v>17.531999999999965</v>
      </c>
      <c r="D80" s="13">
        <f t="shared" si="7"/>
        <v>17.531999999999965</v>
      </c>
      <c r="E80" s="13">
        <f t="shared" si="8"/>
        <v>19.404000000000053</v>
      </c>
      <c r="F80" s="13">
        <f t="shared" si="5"/>
        <v>8.0759999999999916</v>
      </c>
    </row>
    <row r="81" spans="2:6">
      <c r="B81" s="8">
        <v>423</v>
      </c>
      <c r="C81" s="13">
        <f t="shared" si="6"/>
        <v>17.550499999999964</v>
      </c>
      <c r="D81" s="13">
        <f t="shared" si="7"/>
        <v>17.550499999999964</v>
      </c>
      <c r="E81" s="13">
        <f t="shared" si="8"/>
        <v>19.423500000000054</v>
      </c>
      <c r="F81" s="13">
        <f t="shared" si="5"/>
        <v>8.0839999999999907</v>
      </c>
    </row>
    <row r="82" spans="2:6">
      <c r="B82" s="8">
        <v>424</v>
      </c>
      <c r="C82" s="13">
        <f t="shared" si="6"/>
        <v>17.568999999999964</v>
      </c>
      <c r="D82" s="13">
        <f t="shared" si="7"/>
        <v>17.568999999999964</v>
      </c>
      <c r="E82" s="13">
        <f t="shared" si="8"/>
        <v>19.443000000000055</v>
      </c>
      <c r="F82" s="13">
        <f t="shared" si="5"/>
        <v>8.0919999999999899</v>
      </c>
    </row>
    <row r="83" spans="2:6">
      <c r="B83" s="8">
        <v>425</v>
      </c>
      <c r="C83" s="13">
        <f t="shared" si="6"/>
        <v>17.587499999999963</v>
      </c>
      <c r="D83" s="13">
        <f t="shared" si="7"/>
        <v>17.587499999999963</v>
      </c>
      <c r="E83" s="13">
        <f t="shared" si="8"/>
        <v>19.462500000000055</v>
      </c>
      <c r="F83" s="13">
        <f t="shared" si="5"/>
        <v>8.099999999999989</v>
      </c>
    </row>
    <row r="84" spans="2:6">
      <c r="B84" s="8">
        <v>426</v>
      </c>
      <c r="C84" s="13">
        <f t="shared" si="6"/>
        <v>17.605999999999963</v>
      </c>
      <c r="D84" s="13">
        <f t="shared" si="7"/>
        <v>17.605999999999963</v>
      </c>
      <c r="E84" s="13">
        <f t="shared" si="8"/>
        <v>19.482000000000056</v>
      </c>
      <c r="F84" s="13">
        <f t="shared" si="5"/>
        <v>8.1079999999999881</v>
      </c>
    </row>
    <row r="85" spans="2:6">
      <c r="B85" s="8">
        <v>427</v>
      </c>
      <c r="C85" s="13">
        <f t="shared" si="6"/>
        <v>17.624499999999962</v>
      </c>
      <c r="D85" s="13">
        <f t="shared" si="7"/>
        <v>17.624499999999962</v>
      </c>
      <c r="E85" s="13">
        <f t="shared" si="8"/>
        <v>19.501500000000057</v>
      </c>
      <c r="F85" s="13">
        <f t="shared" si="5"/>
        <v>8.1159999999999872</v>
      </c>
    </row>
    <row r="86" spans="2:6">
      <c r="B86" s="8">
        <v>428</v>
      </c>
      <c r="C86" s="13">
        <f t="shared" si="6"/>
        <v>17.642999999999962</v>
      </c>
      <c r="D86" s="13">
        <f t="shared" si="7"/>
        <v>17.642999999999962</v>
      </c>
      <c r="E86" s="13">
        <f t="shared" si="8"/>
        <v>19.521000000000058</v>
      </c>
      <c r="F86" s="13">
        <f t="shared" si="5"/>
        <v>8.1239999999999863</v>
      </c>
    </row>
    <row r="87" spans="2:6">
      <c r="B87" s="8">
        <v>429</v>
      </c>
      <c r="C87" s="13">
        <f t="shared" si="6"/>
        <v>17.661499999999961</v>
      </c>
      <c r="D87" s="13">
        <f t="shared" si="7"/>
        <v>17.661499999999961</v>
      </c>
      <c r="E87" s="13">
        <f t="shared" si="8"/>
        <v>19.540500000000058</v>
      </c>
      <c r="F87" s="13">
        <f t="shared" si="5"/>
        <v>8.1319999999999855</v>
      </c>
    </row>
    <row r="88" spans="2:6">
      <c r="B88" s="8">
        <v>430</v>
      </c>
      <c r="C88" s="13">
        <f t="shared" si="6"/>
        <v>17.679999999999961</v>
      </c>
      <c r="D88" s="13">
        <f t="shared" si="7"/>
        <v>17.679999999999961</v>
      </c>
      <c r="E88" s="13">
        <f t="shared" si="8"/>
        <v>19.560000000000059</v>
      </c>
      <c r="F88" s="13">
        <f t="shared" si="5"/>
        <v>8.1399999999999846</v>
      </c>
    </row>
    <row r="89" spans="2:6">
      <c r="B89" s="8">
        <v>431</v>
      </c>
      <c r="C89" s="13">
        <f t="shared" si="6"/>
        <v>17.69849999999996</v>
      </c>
      <c r="D89" s="13">
        <f t="shared" si="7"/>
        <v>17.69849999999996</v>
      </c>
      <c r="E89" s="13">
        <f t="shared" si="8"/>
        <v>19.57950000000006</v>
      </c>
      <c r="F89" s="13">
        <f t="shared" si="5"/>
        <v>8.1479999999999837</v>
      </c>
    </row>
    <row r="90" spans="2:6">
      <c r="B90" s="8">
        <v>432</v>
      </c>
      <c r="C90" s="13">
        <f t="shared" si="6"/>
        <v>17.71699999999996</v>
      </c>
      <c r="D90" s="13">
        <f t="shared" si="7"/>
        <v>17.71699999999996</v>
      </c>
      <c r="E90" s="13">
        <f t="shared" si="8"/>
        <v>19.599000000000061</v>
      </c>
      <c r="F90" s="13">
        <f t="shared" si="5"/>
        <v>8.1559999999999828</v>
      </c>
    </row>
    <row r="91" spans="2:6">
      <c r="B91" s="8">
        <v>433</v>
      </c>
      <c r="C91" s="13">
        <f t="shared" si="6"/>
        <v>17.735499999999959</v>
      </c>
      <c r="D91" s="13">
        <f t="shared" si="7"/>
        <v>17.735499999999959</v>
      </c>
      <c r="E91" s="13">
        <f t="shared" si="8"/>
        <v>19.618500000000061</v>
      </c>
      <c r="F91" s="13">
        <f t="shared" si="5"/>
        <v>8.1639999999999819</v>
      </c>
    </row>
    <row r="92" spans="2:6">
      <c r="B92" s="8">
        <v>434</v>
      </c>
      <c r="C92" s="13">
        <f t="shared" si="6"/>
        <v>17.753999999999959</v>
      </c>
      <c r="D92" s="13">
        <f t="shared" si="7"/>
        <v>17.753999999999959</v>
      </c>
      <c r="E92" s="13">
        <f t="shared" si="8"/>
        <v>19.638000000000062</v>
      </c>
      <c r="F92" s="13">
        <f t="shared" si="5"/>
        <v>8.1719999999999811</v>
      </c>
    </row>
    <row r="93" spans="2:6">
      <c r="B93" s="8">
        <v>435</v>
      </c>
      <c r="C93" s="13">
        <f t="shared" si="6"/>
        <v>17.772499999999958</v>
      </c>
      <c r="D93" s="13">
        <f t="shared" si="7"/>
        <v>17.772499999999958</v>
      </c>
      <c r="E93" s="13">
        <f t="shared" si="8"/>
        <v>19.657500000000063</v>
      </c>
      <c r="F93" s="13">
        <f t="shared" si="5"/>
        <v>8.1799999999999802</v>
      </c>
    </row>
    <row r="94" spans="2:6">
      <c r="B94" s="8">
        <v>436</v>
      </c>
      <c r="C94" s="13">
        <f t="shared" si="6"/>
        <v>17.790999999999958</v>
      </c>
      <c r="D94" s="13">
        <f t="shared" si="7"/>
        <v>17.790999999999958</v>
      </c>
      <c r="E94" s="13">
        <f t="shared" si="8"/>
        <v>19.677000000000064</v>
      </c>
      <c r="F94" s="13">
        <f t="shared" si="5"/>
        <v>8.1879999999999793</v>
      </c>
    </row>
    <row r="95" spans="2:6">
      <c r="B95" s="8">
        <v>437</v>
      </c>
      <c r="C95" s="13">
        <f t="shared" si="6"/>
        <v>17.809499999999957</v>
      </c>
      <c r="D95" s="13">
        <f t="shared" si="7"/>
        <v>17.809499999999957</v>
      </c>
      <c r="E95" s="13">
        <f t="shared" si="8"/>
        <v>19.696500000000064</v>
      </c>
      <c r="F95" s="13">
        <f t="shared" si="5"/>
        <v>8.1959999999999784</v>
      </c>
    </row>
    <row r="96" spans="2:6">
      <c r="B96" s="8">
        <v>438</v>
      </c>
      <c r="C96" s="13">
        <f t="shared" si="6"/>
        <v>17.827999999999957</v>
      </c>
      <c r="D96" s="13">
        <f t="shared" si="7"/>
        <v>17.827999999999957</v>
      </c>
      <c r="E96" s="13">
        <f t="shared" si="8"/>
        <v>19.716000000000065</v>
      </c>
      <c r="F96" s="13">
        <f t="shared" si="5"/>
        <v>8.2039999999999775</v>
      </c>
    </row>
    <row r="97" spans="2:6">
      <c r="B97" s="8">
        <v>439</v>
      </c>
      <c r="C97" s="13">
        <f t="shared" si="6"/>
        <v>17.846499999999956</v>
      </c>
      <c r="D97" s="13">
        <f t="shared" si="7"/>
        <v>17.846499999999956</v>
      </c>
      <c r="E97" s="13">
        <f t="shared" si="8"/>
        <v>19.735500000000066</v>
      </c>
      <c r="F97" s="13">
        <f t="shared" si="5"/>
        <v>8.2119999999999767</v>
      </c>
    </row>
    <row r="98" spans="2:6">
      <c r="B98" s="8">
        <v>440</v>
      </c>
      <c r="C98" s="13">
        <f t="shared" si="6"/>
        <v>17.864999999999956</v>
      </c>
      <c r="D98" s="13">
        <f t="shared" si="7"/>
        <v>17.864999999999956</v>
      </c>
      <c r="E98" s="13">
        <f t="shared" si="8"/>
        <v>19.755000000000067</v>
      </c>
      <c r="F98" s="13">
        <f t="shared" si="5"/>
        <v>8.2199999999999758</v>
      </c>
    </row>
    <row r="99" spans="2:6">
      <c r="B99" s="8">
        <v>441</v>
      </c>
      <c r="C99" s="13">
        <f t="shared" si="6"/>
        <v>17.883499999999955</v>
      </c>
      <c r="D99" s="13">
        <f t="shared" si="7"/>
        <v>17.883499999999955</v>
      </c>
      <c r="E99" s="13">
        <f t="shared" si="8"/>
        <v>19.774500000000067</v>
      </c>
      <c r="F99" s="13">
        <f t="shared" si="5"/>
        <v>8.2279999999999749</v>
      </c>
    </row>
    <row r="100" spans="2:6">
      <c r="B100" s="8">
        <v>442</v>
      </c>
      <c r="C100" s="13">
        <f t="shared" si="6"/>
        <v>17.901999999999955</v>
      </c>
      <c r="D100" s="13">
        <f t="shared" si="7"/>
        <v>17.901999999999955</v>
      </c>
      <c r="E100" s="13">
        <f t="shared" si="8"/>
        <v>19.794000000000068</v>
      </c>
      <c r="F100" s="13">
        <f t="shared" si="5"/>
        <v>8.235999999999974</v>
      </c>
    </row>
    <row r="101" spans="2:6">
      <c r="B101" s="8">
        <v>443</v>
      </c>
      <c r="C101" s="13">
        <f t="shared" si="6"/>
        <v>17.920499999999954</v>
      </c>
      <c r="D101" s="13">
        <f t="shared" si="7"/>
        <v>17.920499999999954</v>
      </c>
      <c r="E101" s="13">
        <f t="shared" si="8"/>
        <v>19.813500000000069</v>
      </c>
      <c r="F101" s="13">
        <f t="shared" si="5"/>
        <v>8.2439999999999731</v>
      </c>
    </row>
    <row r="102" spans="2:6">
      <c r="B102" s="8">
        <v>444</v>
      </c>
      <c r="C102" s="13">
        <f t="shared" si="6"/>
        <v>17.938999999999954</v>
      </c>
      <c r="D102" s="13">
        <f t="shared" si="7"/>
        <v>17.938999999999954</v>
      </c>
      <c r="E102" s="13">
        <f t="shared" si="8"/>
        <v>19.833000000000069</v>
      </c>
      <c r="F102" s="13">
        <f t="shared" si="5"/>
        <v>8.2519999999999722</v>
      </c>
    </row>
    <row r="103" spans="2:6">
      <c r="B103" s="8">
        <v>445</v>
      </c>
      <c r="C103" s="13">
        <f t="shared" si="6"/>
        <v>17.957499999999953</v>
      </c>
      <c r="D103" s="13">
        <f t="shared" si="7"/>
        <v>17.957499999999953</v>
      </c>
      <c r="E103" s="13">
        <f t="shared" si="8"/>
        <v>19.85250000000007</v>
      </c>
      <c r="F103" s="13">
        <f t="shared" si="5"/>
        <v>8.2599999999999714</v>
      </c>
    </row>
    <row r="104" spans="2:6">
      <c r="B104" s="8">
        <v>446</v>
      </c>
      <c r="C104" s="13">
        <f t="shared" si="6"/>
        <v>17.975999999999953</v>
      </c>
      <c r="D104" s="13">
        <f t="shared" si="7"/>
        <v>17.975999999999953</v>
      </c>
      <c r="E104" s="13">
        <f t="shared" si="8"/>
        <v>19.872000000000071</v>
      </c>
      <c r="F104" s="13">
        <f t="shared" si="5"/>
        <v>8.2679999999999705</v>
      </c>
    </row>
    <row r="105" spans="2:6">
      <c r="B105" s="8">
        <v>447</v>
      </c>
      <c r="C105" s="13">
        <f t="shared" si="6"/>
        <v>17.994499999999952</v>
      </c>
      <c r="D105" s="13">
        <f t="shared" si="7"/>
        <v>17.994499999999952</v>
      </c>
      <c r="E105" s="13">
        <f t="shared" si="8"/>
        <v>19.891500000000072</v>
      </c>
      <c r="F105" s="13">
        <f t="shared" ref="F105:F136" si="9">F104+(($F$208-$F$8)/200)</f>
        <v>8.2759999999999696</v>
      </c>
    </row>
    <row r="106" spans="2:6">
      <c r="B106" s="8">
        <v>448</v>
      </c>
      <c r="C106" s="13">
        <f t="shared" si="6"/>
        <v>18.012999999999952</v>
      </c>
      <c r="D106" s="13">
        <f t="shared" si="7"/>
        <v>18.012999999999952</v>
      </c>
      <c r="E106" s="13">
        <f t="shared" si="8"/>
        <v>19.911000000000072</v>
      </c>
      <c r="F106" s="13">
        <f t="shared" si="9"/>
        <v>8.2839999999999687</v>
      </c>
    </row>
    <row r="107" spans="2:6">
      <c r="B107" s="8">
        <v>449</v>
      </c>
      <c r="C107" s="13">
        <f t="shared" si="6"/>
        <v>18.031499999999951</v>
      </c>
      <c r="D107" s="13">
        <f t="shared" si="7"/>
        <v>18.031499999999951</v>
      </c>
      <c r="E107" s="13">
        <f t="shared" si="8"/>
        <v>19.930500000000073</v>
      </c>
      <c r="F107" s="13">
        <f t="shared" si="9"/>
        <v>8.2919999999999678</v>
      </c>
    </row>
    <row r="108" spans="2:6">
      <c r="B108" s="6">
        <v>450</v>
      </c>
      <c r="C108" s="13">
        <f t="shared" si="6"/>
        <v>18.049999999999951</v>
      </c>
      <c r="D108" s="13">
        <f t="shared" si="7"/>
        <v>18.049999999999951</v>
      </c>
      <c r="E108" s="13">
        <f t="shared" si="8"/>
        <v>19.950000000000074</v>
      </c>
      <c r="F108" s="13">
        <f t="shared" si="9"/>
        <v>8.299999999999967</v>
      </c>
    </row>
    <row r="109" spans="2:6">
      <c r="B109" s="8">
        <v>451</v>
      </c>
      <c r="C109" s="13">
        <f t="shared" si="6"/>
        <v>18.06849999999995</v>
      </c>
      <c r="D109" s="13">
        <f t="shared" si="7"/>
        <v>18.06849999999995</v>
      </c>
      <c r="E109" s="13">
        <f t="shared" si="8"/>
        <v>19.969500000000075</v>
      </c>
      <c r="F109" s="13">
        <f t="shared" si="9"/>
        <v>8.3079999999999661</v>
      </c>
    </row>
    <row r="110" spans="2:6">
      <c r="B110" s="8">
        <v>452</v>
      </c>
      <c r="C110" s="13">
        <f t="shared" si="6"/>
        <v>18.08699999999995</v>
      </c>
      <c r="D110" s="13">
        <f t="shared" si="7"/>
        <v>18.08699999999995</v>
      </c>
      <c r="E110" s="13">
        <f t="shared" si="8"/>
        <v>19.989000000000075</v>
      </c>
      <c r="F110" s="13">
        <f t="shared" si="9"/>
        <v>8.3159999999999652</v>
      </c>
    </row>
    <row r="111" spans="2:6">
      <c r="B111" s="8">
        <v>453</v>
      </c>
      <c r="C111" s="13">
        <f t="shared" si="6"/>
        <v>18.10549999999995</v>
      </c>
      <c r="D111" s="13">
        <f t="shared" si="7"/>
        <v>18.10549999999995</v>
      </c>
      <c r="E111" s="13">
        <f t="shared" si="8"/>
        <v>20.008500000000076</v>
      </c>
      <c r="F111" s="13">
        <f t="shared" si="9"/>
        <v>8.3239999999999643</v>
      </c>
    </row>
    <row r="112" spans="2:6">
      <c r="B112" s="8">
        <v>454</v>
      </c>
      <c r="C112" s="13">
        <f t="shared" si="6"/>
        <v>18.123999999999949</v>
      </c>
      <c r="D112" s="13">
        <f t="shared" si="7"/>
        <v>18.123999999999949</v>
      </c>
      <c r="E112" s="13">
        <f t="shared" si="8"/>
        <v>20.028000000000077</v>
      </c>
      <c r="F112" s="13">
        <f t="shared" si="9"/>
        <v>8.3319999999999634</v>
      </c>
    </row>
    <row r="113" spans="2:6">
      <c r="B113" s="8">
        <v>455</v>
      </c>
      <c r="C113" s="13">
        <f t="shared" si="6"/>
        <v>18.142499999999949</v>
      </c>
      <c r="D113" s="13">
        <f t="shared" si="7"/>
        <v>18.142499999999949</v>
      </c>
      <c r="E113" s="13">
        <f t="shared" si="8"/>
        <v>20.047500000000078</v>
      </c>
      <c r="F113" s="13">
        <f t="shared" si="9"/>
        <v>8.3399999999999626</v>
      </c>
    </row>
    <row r="114" spans="2:6">
      <c r="B114" s="8">
        <v>456</v>
      </c>
      <c r="C114" s="13">
        <f t="shared" si="6"/>
        <v>18.160999999999948</v>
      </c>
      <c r="D114" s="13">
        <f t="shared" si="7"/>
        <v>18.160999999999948</v>
      </c>
      <c r="E114" s="13">
        <f t="shared" si="8"/>
        <v>20.067000000000078</v>
      </c>
      <c r="F114" s="13">
        <f t="shared" si="9"/>
        <v>8.3479999999999617</v>
      </c>
    </row>
    <row r="115" spans="2:6">
      <c r="B115" s="8">
        <v>457</v>
      </c>
      <c r="C115" s="13">
        <f t="shared" si="6"/>
        <v>18.179499999999948</v>
      </c>
      <c r="D115" s="13">
        <f t="shared" si="7"/>
        <v>18.179499999999948</v>
      </c>
      <c r="E115" s="13">
        <f t="shared" si="8"/>
        <v>20.086500000000079</v>
      </c>
      <c r="F115" s="13">
        <f t="shared" si="9"/>
        <v>8.3559999999999608</v>
      </c>
    </row>
    <row r="116" spans="2:6">
      <c r="B116" s="8">
        <v>458</v>
      </c>
      <c r="C116" s="13">
        <f t="shared" si="6"/>
        <v>18.197999999999947</v>
      </c>
      <c r="D116" s="13">
        <f t="shared" si="7"/>
        <v>18.197999999999947</v>
      </c>
      <c r="E116" s="13">
        <f t="shared" si="8"/>
        <v>20.10600000000008</v>
      </c>
      <c r="F116" s="13">
        <f t="shared" si="9"/>
        <v>8.3639999999999599</v>
      </c>
    </row>
    <row r="117" spans="2:6">
      <c r="B117" s="8">
        <v>459</v>
      </c>
      <c r="C117" s="13">
        <f t="shared" si="6"/>
        <v>18.216499999999947</v>
      </c>
      <c r="D117" s="13">
        <f t="shared" si="7"/>
        <v>18.216499999999947</v>
      </c>
      <c r="E117" s="13">
        <f t="shared" si="8"/>
        <v>20.125500000000081</v>
      </c>
      <c r="F117" s="13">
        <f t="shared" si="9"/>
        <v>8.371999999999959</v>
      </c>
    </row>
    <row r="118" spans="2:6">
      <c r="B118" s="8">
        <v>460</v>
      </c>
      <c r="C118" s="13">
        <f t="shared" si="6"/>
        <v>18.234999999999946</v>
      </c>
      <c r="D118" s="13">
        <f t="shared" si="7"/>
        <v>18.234999999999946</v>
      </c>
      <c r="E118" s="13">
        <f t="shared" si="8"/>
        <v>20.145000000000081</v>
      </c>
      <c r="F118" s="13">
        <f t="shared" si="9"/>
        <v>8.3799999999999581</v>
      </c>
    </row>
    <row r="119" spans="2:6">
      <c r="B119" s="8">
        <v>461</v>
      </c>
      <c r="C119" s="13">
        <f t="shared" si="6"/>
        <v>18.253499999999946</v>
      </c>
      <c r="D119" s="13">
        <f t="shared" si="7"/>
        <v>18.253499999999946</v>
      </c>
      <c r="E119" s="13">
        <f t="shared" si="8"/>
        <v>20.164500000000082</v>
      </c>
      <c r="F119" s="13">
        <f t="shared" si="9"/>
        <v>8.3879999999999573</v>
      </c>
    </row>
    <row r="120" spans="2:6">
      <c r="B120" s="8">
        <v>462</v>
      </c>
      <c r="C120" s="13">
        <f t="shared" si="6"/>
        <v>18.271999999999945</v>
      </c>
      <c r="D120" s="13">
        <f t="shared" si="7"/>
        <v>18.271999999999945</v>
      </c>
      <c r="E120" s="13">
        <f t="shared" si="8"/>
        <v>20.184000000000083</v>
      </c>
      <c r="F120" s="13">
        <f t="shared" si="9"/>
        <v>8.3959999999999564</v>
      </c>
    </row>
    <row r="121" spans="2:6">
      <c r="B121" s="8">
        <v>463</v>
      </c>
      <c r="C121" s="13">
        <f t="shared" si="6"/>
        <v>18.290499999999945</v>
      </c>
      <c r="D121" s="13">
        <f t="shared" si="7"/>
        <v>18.290499999999945</v>
      </c>
      <c r="E121" s="13">
        <f t="shared" si="8"/>
        <v>20.203500000000084</v>
      </c>
      <c r="F121" s="13">
        <f t="shared" si="9"/>
        <v>8.4039999999999555</v>
      </c>
    </row>
    <row r="122" spans="2:6">
      <c r="B122" s="8">
        <v>464</v>
      </c>
      <c r="C122" s="13">
        <f t="shared" si="6"/>
        <v>18.308999999999944</v>
      </c>
      <c r="D122" s="13">
        <f t="shared" si="7"/>
        <v>18.308999999999944</v>
      </c>
      <c r="E122" s="13">
        <f t="shared" si="8"/>
        <v>20.223000000000084</v>
      </c>
      <c r="F122" s="13">
        <f t="shared" si="9"/>
        <v>8.4119999999999546</v>
      </c>
    </row>
    <row r="123" spans="2:6">
      <c r="B123" s="8">
        <v>465</v>
      </c>
      <c r="C123" s="13">
        <f t="shared" si="6"/>
        <v>18.327499999999944</v>
      </c>
      <c r="D123" s="13">
        <f t="shared" si="7"/>
        <v>18.327499999999944</v>
      </c>
      <c r="E123" s="13">
        <f t="shared" si="8"/>
        <v>20.242500000000085</v>
      </c>
      <c r="F123" s="13">
        <f t="shared" si="9"/>
        <v>8.4199999999999537</v>
      </c>
    </row>
    <row r="124" spans="2:6">
      <c r="B124" s="8">
        <v>466</v>
      </c>
      <c r="C124" s="13">
        <f t="shared" si="6"/>
        <v>18.345999999999943</v>
      </c>
      <c r="D124" s="13">
        <f t="shared" si="7"/>
        <v>18.345999999999943</v>
      </c>
      <c r="E124" s="13">
        <f t="shared" si="8"/>
        <v>20.262000000000086</v>
      </c>
      <c r="F124" s="13">
        <f t="shared" si="9"/>
        <v>8.4279999999999529</v>
      </c>
    </row>
    <row r="125" spans="2:6">
      <c r="B125" s="8">
        <v>467</v>
      </c>
      <c r="C125" s="13">
        <f t="shared" si="6"/>
        <v>18.364499999999943</v>
      </c>
      <c r="D125" s="13">
        <f t="shared" si="7"/>
        <v>18.364499999999943</v>
      </c>
      <c r="E125" s="13">
        <f t="shared" si="8"/>
        <v>20.281500000000086</v>
      </c>
      <c r="F125" s="13">
        <f t="shared" si="9"/>
        <v>8.435999999999952</v>
      </c>
    </row>
    <row r="126" spans="2:6">
      <c r="B126" s="8">
        <v>468</v>
      </c>
      <c r="C126" s="13">
        <f t="shared" si="6"/>
        <v>18.382999999999942</v>
      </c>
      <c r="D126" s="13">
        <f t="shared" si="7"/>
        <v>18.382999999999942</v>
      </c>
      <c r="E126" s="13">
        <f t="shared" si="8"/>
        <v>20.301000000000087</v>
      </c>
      <c r="F126" s="13">
        <f t="shared" si="9"/>
        <v>8.4439999999999511</v>
      </c>
    </row>
    <row r="127" spans="2:6">
      <c r="B127" s="8">
        <v>469</v>
      </c>
      <c r="C127" s="13">
        <f t="shared" si="6"/>
        <v>18.401499999999942</v>
      </c>
      <c r="D127" s="13">
        <f t="shared" si="7"/>
        <v>18.401499999999942</v>
      </c>
      <c r="E127" s="13">
        <f t="shared" si="8"/>
        <v>20.320500000000088</v>
      </c>
      <c r="F127" s="13">
        <f t="shared" si="9"/>
        <v>8.4519999999999502</v>
      </c>
    </row>
    <row r="128" spans="2:6">
      <c r="B128" s="8">
        <v>470</v>
      </c>
      <c r="C128" s="13">
        <f t="shared" si="6"/>
        <v>18.419999999999941</v>
      </c>
      <c r="D128" s="13">
        <f t="shared" si="7"/>
        <v>18.419999999999941</v>
      </c>
      <c r="E128" s="13">
        <f t="shared" si="8"/>
        <v>20.340000000000089</v>
      </c>
      <c r="F128" s="13">
        <f t="shared" si="9"/>
        <v>8.4599999999999493</v>
      </c>
    </row>
    <row r="129" spans="2:6">
      <c r="B129" s="8">
        <v>471</v>
      </c>
      <c r="C129" s="13">
        <f t="shared" si="6"/>
        <v>18.438499999999941</v>
      </c>
      <c r="D129" s="13">
        <f t="shared" si="7"/>
        <v>18.438499999999941</v>
      </c>
      <c r="E129" s="13">
        <f t="shared" si="8"/>
        <v>20.359500000000089</v>
      </c>
      <c r="F129" s="13">
        <f t="shared" si="9"/>
        <v>8.4679999999999485</v>
      </c>
    </row>
    <row r="130" spans="2:6">
      <c r="B130" s="8">
        <v>472</v>
      </c>
      <c r="C130" s="13">
        <f t="shared" si="6"/>
        <v>18.45699999999994</v>
      </c>
      <c r="D130" s="13">
        <f t="shared" si="7"/>
        <v>18.45699999999994</v>
      </c>
      <c r="E130" s="13">
        <f t="shared" si="8"/>
        <v>20.37900000000009</v>
      </c>
      <c r="F130" s="13">
        <f t="shared" si="9"/>
        <v>8.4759999999999476</v>
      </c>
    </row>
    <row r="131" spans="2:6">
      <c r="B131" s="8">
        <v>473</v>
      </c>
      <c r="C131" s="13">
        <f t="shared" si="6"/>
        <v>18.47549999999994</v>
      </c>
      <c r="D131" s="13">
        <f t="shared" si="7"/>
        <v>18.47549999999994</v>
      </c>
      <c r="E131" s="13">
        <f t="shared" si="8"/>
        <v>20.398500000000091</v>
      </c>
      <c r="F131" s="13">
        <f t="shared" si="9"/>
        <v>8.4839999999999467</v>
      </c>
    </row>
    <row r="132" spans="2:6">
      <c r="B132" s="8">
        <v>474</v>
      </c>
      <c r="C132" s="13">
        <f t="shared" si="6"/>
        <v>18.493999999999939</v>
      </c>
      <c r="D132" s="13">
        <f t="shared" si="7"/>
        <v>18.493999999999939</v>
      </c>
      <c r="E132" s="13">
        <f t="shared" si="8"/>
        <v>20.418000000000092</v>
      </c>
      <c r="F132" s="13">
        <f t="shared" si="9"/>
        <v>8.4919999999999458</v>
      </c>
    </row>
    <row r="133" spans="2:6">
      <c r="B133" s="8">
        <v>475</v>
      </c>
      <c r="C133" s="13">
        <f t="shared" si="6"/>
        <v>18.512499999999939</v>
      </c>
      <c r="D133" s="13">
        <f t="shared" si="7"/>
        <v>18.512499999999939</v>
      </c>
      <c r="E133" s="13">
        <f t="shared" si="8"/>
        <v>20.437500000000092</v>
      </c>
      <c r="F133" s="13">
        <f t="shared" si="9"/>
        <v>8.4999999999999449</v>
      </c>
    </row>
    <row r="134" spans="2:6">
      <c r="B134" s="8">
        <v>476</v>
      </c>
      <c r="C134" s="13">
        <f t="shared" si="6"/>
        <v>18.530999999999938</v>
      </c>
      <c r="D134" s="13">
        <f t="shared" si="7"/>
        <v>18.530999999999938</v>
      </c>
      <c r="E134" s="13">
        <f t="shared" si="8"/>
        <v>20.457000000000093</v>
      </c>
      <c r="F134" s="13">
        <f t="shared" si="9"/>
        <v>8.5079999999999441</v>
      </c>
    </row>
    <row r="135" spans="2:6">
      <c r="B135" s="8">
        <v>477</v>
      </c>
      <c r="C135" s="13">
        <f t="shared" si="6"/>
        <v>18.549499999999938</v>
      </c>
      <c r="D135" s="13">
        <f t="shared" si="7"/>
        <v>18.549499999999938</v>
      </c>
      <c r="E135" s="13">
        <f t="shared" si="8"/>
        <v>20.476500000000094</v>
      </c>
      <c r="F135" s="13">
        <f t="shared" si="9"/>
        <v>8.5159999999999432</v>
      </c>
    </row>
    <row r="136" spans="2:6">
      <c r="B136" s="8">
        <v>478</v>
      </c>
      <c r="C136" s="13">
        <f t="shared" si="6"/>
        <v>18.567999999999937</v>
      </c>
      <c r="D136" s="13">
        <f t="shared" si="7"/>
        <v>18.567999999999937</v>
      </c>
      <c r="E136" s="13">
        <f t="shared" si="8"/>
        <v>20.496000000000095</v>
      </c>
      <c r="F136" s="13">
        <f t="shared" si="9"/>
        <v>8.5239999999999423</v>
      </c>
    </row>
    <row r="137" spans="2:6">
      <c r="B137" s="8">
        <v>479</v>
      </c>
      <c r="C137" s="13">
        <f t="shared" si="6"/>
        <v>18.586499999999937</v>
      </c>
      <c r="D137" s="13">
        <f t="shared" si="7"/>
        <v>18.586499999999937</v>
      </c>
      <c r="E137" s="13">
        <f t="shared" si="8"/>
        <v>20.515500000000095</v>
      </c>
      <c r="F137" s="13">
        <f t="shared" ref="F137:F168" si="10">F136+(($F$208-$F$8)/200)</f>
        <v>8.5319999999999414</v>
      </c>
    </row>
    <row r="138" spans="2:6">
      <c r="B138" s="8">
        <v>480</v>
      </c>
      <c r="C138" s="13">
        <f t="shared" ref="C138:C201" si="11">C137+(($C$208-$C$8)/200)</f>
        <v>18.604999999999936</v>
      </c>
      <c r="D138" s="13">
        <f t="shared" ref="D138:D201" si="12">D137+(($D$208-$D$8)/200)</f>
        <v>18.604999999999936</v>
      </c>
      <c r="E138" s="13">
        <f t="shared" ref="E138:E201" si="13">E137+(($E$208-$E$8)/200)</f>
        <v>20.535000000000096</v>
      </c>
      <c r="F138" s="13">
        <f t="shared" si="10"/>
        <v>8.5399999999999405</v>
      </c>
    </row>
    <row r="139" spans="2:6">
      <c r="B139" s="8">
        <v>481</v>
      </c>
      <c r="C139" s="13">
        <f t="shared" si="11"/>
        <v>18.623499999999936</v>
      </c>
      <c r="D139" s="13">
        <f t="shared" si="12"/>
        <v>18.623499999999936</v>
      </c>
      <c r="E139" s="13">
        <f t="shared" si="13"/>
        <v>20.554500000000097</v>
      </c>
      <c r="F139" s="13">
        <f t="shared" si="10"/>
        <v>8.5479999999999396</v>
      </c>
    </row>
    <row r="140" spans="2:6">
      <c r="B140" s="8">
        <v>482</v>
      </c>
      <c r="C140" s="13">
        <f t="shared" si="11"/>
        <v>18.641999999999936</v>
      </c>
      <c r="D140" s="13">
        <f t="shared" si="12"/>
        <v>18.641999999999936</v>
      </c>
      <c r="E140" s="13">
        <f t="shared" si="13"/>
        <v>20.574000000000098</v>
      </c>
      <c r="F140" s="13">
        <f t="shared" si="10"/>
        <v>8.5559999999999388</v>
      </c>
    </row>
    <row r="141" spans="2:6">
      <c r="B141" s="8">
        <v>483</v>
      </c>
      <c r="C141" s="13">
        <f t="shared" si="11"/>
        <v>18.660499999999935</v>
      </c>
      <c r="D141" s="13">
        <f t="shared" si="12"/>
        <v>18.660499999999935</v>
      </c>
      <c r="E141" s="13">
        <f t="shared" si="13"/>
        <v>20.593500000000098</v>
      </c>
      <c r="F141" s="13">
        <f t="shared" si="10"/>
        <v>8.5639999999999379</v>
      </c>
    </row>
    <row r="142" spans="2:6">
      <c r="B142" s="8">
        <v>484</v>
      </c>
      <c r="C142" s="13">
        <f t="shared" si="11"/>
        <v>18.678999999999935</v>
      </c>
      <c r="D142" s="13">
        <f t="shared" si="12"/>
        <v>18.678999999999935</v>
      </c>
      <c r="E142" s="13">
        <f t="shared" si="13"/>
        <v>20.613000000000099</v>
      </c>
      <c r="F142" s="13">
        <f t="shared" si="10"/>
        <v>8.571999999999937</v>
      </c>
    </row>
    <row r="143" spans="2:6">
      <c r="B143" s="8">
        <v>485</v>
      </c>
      <c r="C143" s="13">
        <f t="shared" si="11"/>
        <v>18.697499999999934</v>
      </c>
      <c r="D143" s="13">
        <f t="shared" si="12"/>
        <v>18.697499999999934</v>
      </c>
      <c r="E143" s="13">
        <f t="shared" si="13"/>
        <v>20.6325000000001</v>
      </c>
      <c r="F143" s="13">
        <f t="shared" si="10"/>
        <v>8.5799999999999361</v>
      </c>
    </row>
    <row r="144" spans="2:6">
      <c r="B144" s="8">
        <v>486</v>
      </c>
      <c r="C144" s="13">
        <f t="shared" si="11"/>
        <v>18.715999999999934</v>
      </c>
      <c r="D144" s="13">
        <f t="shared" si="12"/>
        <v>18.715999999999934</v>
      </c>
      <c r="E144" s="13">
        <f t="shared" si="13"/>
        <v>20.6520000000001</v>
      </c>
      <c r="F144" s="13">
        <f t="shared" si="10"/>
        <v>8.5879999999999352</v>
      </c>
    </row>
    <row r="145" spans="2:6">
      <c r="B145" s="8">
        <v>487</v>
      </c>
      <c r="C145" s="13">
        <f t="shared" si="11"/>
        <v>18.734499999999933</v>
      </c>
      <c r="D145" s="13">
        <f t="shared" si="12"/>
        <v>18.734499999999933</v>
      </c>
      <c r="E145" s="13">
        <f t="shared" si="13"/>
        <v>20.671500000000101</v>
      </c>
      <c r="F145" s="13">
        <f t="shared" si="10"/>
        <v>8.5959999999999344</v>
      </c>
    </row>
    <row r="146" spans="2:6">
      <c r="B146" s="8">
        <v>488</v>
      </c>
      <c r="C146" s="13">
        <f t="shared" si="11"/>
        <v>18.752999999999933</v>
      </c>
      <c r="D146" s="13">
        <f t="shared" si="12"/>
        <v>18.752999999999933</v>
      </c>
      <c r="E146" s="13">
        <f t="shared" si="13"/>
        <v>20.691000000000102</v>
      </c>
      <c r="F146" s="13">
        <f t="shared" si="10"/>
        <v>8.6039999999999335</v>
      </c>
    </row>
    <row r="147" spans="2:6">
      <c r="B147" s="8">
        <v>489</v>
      </c>
      <c r="C147" s="13">
        <f t="shared" si="11"/>
        <v>18.771499999999932</v>
      </c>
      <c r="D147" s="13">
        <f t="shared" si="12"/>
        <v>18.771499999999932</v>
      </c>
      <c r="E147" s="13">
        <f t="shared" si="13"/>
        <v>20.710500000000103</v>
      </c>
      <c r="F147" s="13">
        <f t="shared" si="10"/>
        <v>8.6119999999999326</v>
      </c>
    </row>
    <row r="148" spans="2:6">
      <c r="B148" s="8">
        <v>490</v>
      </c>
      <c r="C148" s="13">
        <f t="shared" si="11"/>
        <v>18.789999999999932</v>
      </c>
      <c r="D148" s="13">
        <f t="shared" si="12"/>
        <v>18.789999999999932</v>
      </c>
      <c r="E148" s="13">
        <f t="shared" si="13"/>
        <v>20.730000000000103</v>
      </c>
      <c r="F148" s="13">
        <f t="shared" si="10"/>
        <v>8.6199999999999317</v>
      </c>
    </row>
    <row r="149" spans="2:6">
      <c r="B149" s="8">
        <v>491</v>
      </c>
      <c r="C149" s="13">
        <f t="shared" si="11"/>
        <v>18.808499999999931</v>
      </c>
      <c r="D149" s="13">
        <f t="shared" si="12"/>
        <v>18.808499999999931</v>
      </c>
      <c r="E149" s="13">
        <f t="shared" si="13"/>
        <v>20.749500000000104</v>
      </c>
      <c r="F149" s="13">
        <f t="shared" si="10"/>
        <v>8.6279999999999308</v>
      </c>
    </row>
    <row r="150" spans="2:6">
      <c r="B150" s="8">
        <v>492</v>
      </c>
      <c r="C150" s="13">
        <f t="shared" si="11"/>
        <v>18.826999999999931</v>
      </c>
      <c r="D150" s="13">
        <f t="shared" si="12"/>
        <v>18.826999999999931</v>
      </c>
      <c r="E150" s="13">
        <f t="shared" si="13"/>
        <v>20.769000000000105</v>
      </c>
      <c r="F150" s="13">
        <f t="shared" si="10"/>
        <v>8.63599999999993</v>
      </c>
    </row>
    <row r="151" spans="2:6">
      <c r="B151" s="8">
        <v>493</v>
      </c>
      <c r="C151" s="13">
        <f t="shared" si="11"/>
        <v>18.84549999999993</v>
      </c>
      <c r="D151" s="13">
        <f t="shared" si="12"/>
        <v>18.84549999999993</v>
      </c>
      <c r="E151" s="13">
        <f t="shared" si="13"/>
        <v>20.788500000000106</v>
      </c>
      <c r="F151" s="13">
        <f t="shared" si="10"/>
        <v>8.6439999999999291</v>
      </c>
    </row>
    <row r="152" spans="2:6">
      <c r="B152" s="8">
        <v>494</v>
      </c>
      <c r="C152" s="13">
        <f t="shared" si="11"/>
        <v>18.86399999999993</v>
      </c>
      <c r="D152" s="13">
        <f t="shared" si="12"/>
        <v>18.86399999999993</v>
      </c>
      <c r="E152" s="13">
        <f t="shared" si="13"/>
        <v>20.808000000000106</v>
      </c>
      <c r="F152" s="13">
        <f t="shared" si="10"/>
        <v>8.6519999999999282</v>
      </c>
    </row>
    <row r="153" spans="2:6">
      <c r="B153" s="8">
        <v>495</v>
      </c>
      <c r="C153" s="13">
        <f t="shared" si="11"/>
        <v>18.882499999999929</v>
      </c>
      <c r="D153" s="13">
        <f t="shared" si="12"/>
        <v>18.882499999999929</v>
      </c>
      <c r="E153" s="13">
        <f t="shared" si="13"/>
        <v>20.827500000000107</v>
      </c>
      <c r="F153" s="13">
        <f t="shared" si="10"/>
        <v>8.6599999999999273</v>
      </c>
    </row>
    <row r="154" spans="2:6">
      <c r="B154" s="8">
        <v>496</v>
      </c>
      <c r="C154" s="13">
        <f t="shared" si="11"/>
        <v>18.900999999999929</v>
      </c>
      <c r="D154" s="13">
        <f t="shared" si="12"/>
        <v>18.900999999999929</v>
      </c>
      <c r="E154" s="13">
        <f t="shared" si="13"/>
        <v>20.847000000000108</v>
      </c>
      <c r="F154" s="13">
        <f t="shared" si="10"/>
        <v>8.6679999999999264</v>
      </c>
    </row>
    <row r="155" spans="2:6">
      <c r="B155" s="8">
        <v>497</v>
      </c>
      <c r="C155" s="13">
        <f t="shared" si="11"/>
        <v>18.919499999999928</v>
      </c>
      <c r="D155" s="13">
        <f t="shared" si="12"/>
        <v>18.919499999999928</v>
      </c>
      <c r="E155" s="13">
        <f t="shared" si="13"/>
        <v>20.866500000000109</v>
      </c>
      <c r="F155" s="13">
        <f t="shared" si="10"/>
        <v>8.6759999999999255</v>
      </c>
    </row>
    <row r="156" spans="2:6">
      <c r="B156" s="8">
        <v>498</v>
      </c>
      <c r="C156" s="13">
        <f t="shared" si="11"/>
        <v>18.937999999999928</v>
      </c>
      <c r="D156" s="13">
        <f t="shared" si="12"/>
        <v>18.937999999999928</v>
      </c>
      <c r="E156" s="13">
        <f t="shared" si="13"/>
        <v>20.886000000000109</v>
      </c>
      <c r="F156" s="13">
        <f t="shared" si="10"/>
        <v>8.6839999999999247</v>
      </c>
    </row>
    <row r="157" spans="2:6">
      <c r="B157" s="8">
        <v>499</v>
      </c>
      <c r="C157" s="13">
        <f t="shared" si="11"/>
        <v>18.956499999999927</v>
      </c>
      <c r="D157" s="13">
        <f t="shared" si="12"/>
        <v>18.956499999999927</v>
      </c>
      <c r="E157" s="13">
        <f t="shared" si="13"/>
        <v>20.90550000000011</v>
      </c>
      <c r="F157" s="13">
        <f t="shared" si="10"/>
        <v>8.6919999999999238</v>
      </c>
    </row>
    <row r="158" spans="2:6">
      <c r="B158" s="8">
        <v>500</v>
      </c>
      <c r="C158" s="13">
        <f t="shared" si="11"/>
        <v>18.974999999999927</v>
      </c>
      <c r="D158" s="13">
        <f t="shared" si="12"/>
        <v>18.974999999999927</v>
      </c>
      <c r="E158" s="13">
        <f t="shared" si="13"/>
        <v>20.925000000000111</v>
      </c>
      <c r="F158" s="13">
        <f t="shared" si="10"/>
        <v>8.6999999999999229</v>
      </c>
    </row>
    <row r="159" spans="2:6">
      <c r="B159" s="8">
        <v>501</v>
      </c>
      <c r="C159" s="13">
        <f t="shared" si="11"/>
        <v>18.993499999999926</v>
      </c>
      <c r="D159" s="13">
        <f t="shared" si="12"/>
        <v>18.993499999999926</v>
      </c>
      <c r="E159" s="13">
        <f t="shared" si="13"/>
        <v>20.944500000000112</v>
      </c>
      <c r="F159" s="13">
        <f t="shared" si="10"/>
        <v>8.707999999999922</v>
      </c>
    </row>
    <row r="160" spans="2:6">
      <c r="B160" s="8">
        <v>502</v>
      </c>
      <c r="C160" s="13">
        <f t="shared" si="11"/>
        <v>19.011999999999926</v>
      </c>
      <c r="D160" s="13">
        <f t="shared" si="12"/>
        <v>19.011999999999926</v>
      </c>
      <c r="E160" s="13">
        <f t="shared" si="13"/>
        <v>20.964000000000112</v>
      </c>
      <c r="F160" s="13">
        <f t="shared" si="10"/>
        <v>8.7159999999999211</v>
      </c>
    </row>
    <row r="161" spans="2:6">
      <c r="B161" s="8">
        <v>503</v>
      </c>
      <c r="C161" s="13">
        <f t="shared" si="11"/>
        <v>19.030499999999925</v>
      </c>
      <c r="D161" s="13">
        <f t="shared" si="12"/>
        <v>19.030499999999925</v>
      </c>
      <c r="E161" s="13">
        <f t="shared" si="13"/>
        <v>20.983500000000113</v>
      </c>
      <c r="F161" s="13">
        <f t="shared" si="10"/>
        <v>8.7239999999999203</v>
      </c>
    </row>
    <row r="162" spans="2:6">
      <c r="B162" s="8">
        <v>504</v>
      </c>
      <c r="C162" s="13">
        <f t="shared" si="11"/>
        <v>19.048999999999925</v>
      </c>
      <c r="D162" s="13">
        <f t="shared" si="12"/>
        <v>19.048999999999925</v>
      </c>
      <c r="E162" s="13">
        <f t="shared" si="13"/>
        <v>21.003000000000114</v>
      </c>
      <c r="F162" s="13">
        <f t="shared" si="10"/>
        <v>8.7319999999999194</v>
      </c>
    </row>
    <row r="163" spans="2:6">
      <c r="B163" s="8">
        <v>505</v>
      </c>
      <c r="C163" s="13">
        <f t="shared" si="11"/>
        <v>19.067499999999924</v>
      </c>
      <c r="D163" s="13">
        <f t="shared" si="12"/>
        <v>19.067499999999924</v>
      </c>
      <c r="E163" s="13">
        <f t="shared" si="13"/>
        <v>21.022500000000115</v>
      </c>
      <c r="F163" s="13">
        <f t="shared" si="10"/>
        <v>8.7399999999999185</v>
      </c>
    </row>
    <row r="164" spans="2:6">
      <c r="B164" s="8">
        <v>506</v>
      </c>
      <c r="C164" s="13">
        <f t="shared" si="11"/>
        <v>19.085999999999924</v>
      </c>
      <c r="D164" s="13">
        <f t="shared" si="12"/>
        <v>19.085999999999924</v>
      </c>
      <c r="E164" s="13">
        <f t="shared" si="13"/>
        <v>21.042000000000115</v>
      </c>
      <c r="F164" s="13">
        <f t="shared" si="10"/>
        <v>8.7479999999999176</v>
      </c>
    </row>
    <row r="165" spans="2:6">
      <c r="B165" s="8">
        <v>507</v>
      </c>
      <c r="C165" s="13">
        <f t="shared" si="11"/>
        <v>19.104499999999923</v>
      </c>
      <c r="D165" s="13">
        <f t="shared" si="12"/>
        <v>19.104499999999923</v>
      </c>
      <c r="E165" s="13">
        <f t="shared" si="13"/>
        <v>21.061500000000116</v>
      </c>
      <c r="F165" s="13">
        <f t="shared" si="10"/>
        <v>8.7559999999999167</v>
      </c>
    </row>
    <row r="166" spans="2:6">
      <c r="B166" s="8">
        <v>508</v>
      </c>
      <c r="C166" s="13">
        <f t="shared" si="11"/>
        <v>19.122999999999923</v>
      </c>
      <c r="D166" s="13">
        <f t="shared" si="12"/>
        <v>19.122999999999923</v>
      </c>
      <c r="E166" s="13">
        <f t="shared" si="13"/>
        <v>21.081000000000117</v>
      </c>
      <c r="F166" s="13">
        <f t="shared" si="10"/>
        <v>8.7639999999999159</v>
      </c>
    </row>
    <row r="167" spans="2:6">
      <c r="B167" s="8">
        <v>509</v>
      </c>
      <c r="C167" s="13">
        <f t="shared" si="11"/>
        <v>19.141499999999922</v>
      </c>
      <c r="D167" s="13">
        <f t="shared" si="12"/>
        <v>19.141499999999922</v>
      </c>
      <c r="E167" s="13">
        <f t="shared" si="13"/>
        <v>21.100500000000117</v>
      </c>
      <c r="F167" s="13">
        <f t="shared" si="10"/>
        <v>8.771999999999915</v>
      </c>
    </row>
    <row r="168" spans="2:6">
      <c r="B168" s="8">
        <v>510</v>
      </c>
      <c r="C168" s="13">
        <f t="shared" si="11"/>
        <v>19.159999999999922</v>
      </c>
      <c r="D168" s="13">
        <f t="shared" si="12"/>
        <v>19.159999999999922</v>
      </c>
      <c r="E168" s="13">
        <f t="shared" si="13"/>
        <v>21.120000000000118</v>
      </c>
      <c r="F168" s="13">
        <f t="shared" si="10"/>
        <v>8.7799999999999141</v>
      </c>
    </row>
    <row r="169" spans="2:6">
      <c r="B169" s="8">
        <v>511</v>
      </c>
      <c r="C169" s="13">
        <f t="shared" si="11"/>
        <v>19.178499999999921</v>
      </c>
      <c r="D169" s="13">
        <f t="shared" si="12"/>
        <v>19.178499999999921</v>
      </c>
      <c r="E169" s="13">
        <f t="shared" si="13"/>
        <v>21.139500000000119</v>
      </c>
      <c r="F169" s="13">
        <f t="shared" ref="F169:F200" si="14">F168+(($F$208-$F$8)/200)</f>
        <v>8.7879999999999132</v>
      </c>
    </row>
    <row r="170" spans="2:6">
      <c r="B170" s="8">
        <v>512</v>
      </c>
      <c r="C170" s="13">
        <f t="shared" si="11"/>
        <v>19.196999999999921</v>
      </c>
      <c r="D170" s="13">
        <f t="shared" si="12"/>
        <v>19.196999999999921</v>
      </c>
      <c r="E170" s="13">
        <f t="shared" si="13"/>
        <v>21.15900000000012</v>
      </c>
      <c r="F170" s="13">
        <f t="shared" si="14"/>
        <v>8.7959999999999123</v>
      </c>
    </row>
    <row r="171" spans="2:6">
      <c r="B171" s="8">
        <v>513</v>
      </c>
      <c r="C171" s="13">
        <f t="shared" si="11"/>
        <v>19.215499999999921</v>
      </c>
      <c r="D171" s="13">
        <f t="shared" si="12"/>
        <v>19.215499999999921</v>
      </c>
      <c r="E171" s="13">
        <f t="shared" si="13"/>
        <v>21.17850000000012</v>
      </c>
      <c r="F171" s="13">
        <f t="shared" si="14"/>
        <v>8.8039999999999115</v>
      </c>
    </row>
    <row r="172" spans="2:6">
      <c r="B172" s="8">
        <v>514</v>
      </c>
      <c r="C172" s="13">
        <f t="shared" si="11"/>
        <v>19.23399999999992</v>
      </c>
      <c r="D172" s="13">
        <f t="shared" si="12"/>
        <v>19.23399999999992</v>
      </c>
      <c r="E172" s="13">
        <f t="shared" si="13"/>
        <v>21.198000000000121</v>
      </c>
      <c r="F172" s="13">
        <f t="shared" si="14"/>
        <v>8.8119999999999106</v>
      </c>
    </row>
    <row r="173" spans="2:6">
      <c r="B173" s="8">
        <v>515</v>
      </c>
      <c r="C173" s="13">
        <f t="shared" si="11"/>
        <v>19.25249999999992</v>
      </c>
      <c r="D173" s="13">
        <f t="shared" si="12"/>
        <v>19.25249999999992</v>
      </c>
      <c r="E173" s="13">
        <f t="shared" si="13"/>
        <v>21.217500000000122</v>
      </c>
      <c r="F173" s="13">
        <f t="shared" si="14"/>
        <v>8.8199999999999097</v>
      </c>
    </row>
    <row r="174" spans="2:6">
      <c r="B174" s="8">
        <v>516</v>
      </c>
      <c r="C174" s="13">
        <f t="shared" si="11"/>
        <v>19.270999999999919</v>
      </c>
      <c r="D174" s="13">
        <f t="shared" si="12"/>
        <v>19.270999999999919</v>
      </c>
      <c r="E174" s="13">
        <f t="shared" si="13"/>
        <v>21.237000000000123</v>
      </c>
      <c r="F174" s="13">
        <f t="shared" si="14"/>
        <v>8.8279999999999088</v>
      </c>
    </row>
    <row r="175" spans="2:6">
      <c r="B175" s="8">
        <v>517</v>
      </c>
      <c r="C175" s="13">
        <f t="shared" si="11"/>
        <v>19.289499999999919</v>
      </c>
      <c r="D175" s="13">
        <f t="shared" si="12"/>
        <v>19.289499999999919</v>
      </c>
      <c r="E175" s="13">
        <f t="shared" si="13"/>
        <v>21.256500000000123</v>
      </c>
      <c r="F175" s="13">
        <f t="shared" si="14"/>
        <v>8.8359999999999079</v>
      </c>
    </row>
    <row r="176" spans="2:6">
      <c r="B176" s="8">
        <v>518</v>
      </c>
      <c r="C176" s="13">
        <f t="shared" si="11"/>
        <v>19.307999999999918</v>
      </c>
      <c r="D176" s="13">
        <f t="shared" si="12"/>
        <v>19.307999999999918</v>
      </c>
      <c r="E176" s="13">
        <f t="shared" si="13"/>
        <v>21.276000000000124</v>
      </c>
      <c r="F176" s="13">
        <f t="shared" si="14"/>
        <v>8.843999999999907</v>
      </c>
    </row>
    <row r="177" spans="2:6">
      <c r="B177" s="8">
        <v>519</v>
      </c>
      <c r="C177" s="13">
        <f t="shared" si="11"/>
        <v>19.326499999999918</v>
      </c>
      <c r="D177" s="13">
        <f t="shared" si="12"/>
        <v>19.326499999999918</v>
      </c>
      <c r="E177" s="13">
        <f t="shared" si="13"/>
        <v>21.295500000000125</v>
      </c>
      <c r="F177" s="13">
        <f t="shared" si="14"/>
        <v>8.8519999999999062</v>
      </c>
    </row>
    <row r="178" spans="2:6">
      <c r="B178" s="8">
        <v>520</v>
      </c>
      <c r="C178" s="13">
        <f t="shared" si="11"/>
        <v>19.344999999999917</v>
      </c>
      <c r="D178" s="13">
        <f t="shared" si="12"/>
        <v>19.344999999999917</v>
      </c>
      <c r="E178" s="13">
        <f t="shared" si="13"/>
        <v>21.315000000000126</v>
      </c>
      <c r="F178" s="13">
        <f t="shared" si="14"/>
        <v>8.8599999999999053</v>
      </c>
    </row>
    <row r="179" spans="2:6">
      <c r="B179" s="8">
        <v>521</v>
      </c>
      <c r="C179" s="13">
        <f t="shared" si="11"/>
        <v>19.363499999999917</v>
      </c>
      <c r="D179" s="13">
        <f t="shared" si="12"/>
        <v>19.363499999999917</v>
      </c>
      <c r="E179" s="13">
        <f t="shared" si="13"/>
        <v>21.334500000000126</v>
      </c>
      <c r="F179" s="13">
        <f t="shared" si="14"/>
        <v>8.8679999999999044</v>
      </c>
    </row>
    <row r="180" spans="2:6">
      <c r="B180" s="8">
        <v>522</v>
      </c>
      <c r="C180" s="13">
        <f t="shared" si="11"/>
        <v>19.381999999999916</v>
      </c>
      <c r="D180" s="13">
        <f t="shared" si="12"/>
        <v>19.381999999999916</v>
      </c>
      <c r="E180" s="13">
        <f t="shared" si="13"/>
        <v>21.354000000000127</v>
      </c>
      <c r="F180" s="13">
        <f t="shared" si="14"/>
        <v>8.8759999999999035</v>
      </c>
    </row>
    <row r="181" spans="2:6">
      <c r="B181" s="8">
        <v>523</v>
      </c>
      <c r="C181" s="13">
        <f t="shared" si="11"/>
        <v>19.400499999999916</v>
      </c>
      <c r="D181" s="13">
        <f t="shared" si="12"/>
        <v>19.400499999999916</v>
      </c>
      <c r="E181" s="13">
        <f t="shared" si="13"/>
        <v>21.373500000000128</v>
      </c>
      <c r="F181" s="13">
        <f t="shared" si="14"/>
        <v>8.8839999999999026</v>
      </c>
    </row>
    <row r="182" spans="2:6">
      <c r="B182" s="8">
        <v>524</v>
      </c>
      <c r="C182" s="13">
        <f t="shared" si="11"/>
        <v>19.418999999999915</v>
      </c>
      <c r="D182" s="13">
        <f t="shared" si="12"/>
        <v>19.418999999999915</v>
      </c>
      <c r="E182" s="13">
        <f t="shared" si="13"/>
        <v>21.393000000000129</v>
      </c>
      <c r="F182" s="13">
        <f t="shared" si="14"/>
        <v>8.8919999999999018</v>
      </c>
    </row>
    <row r="183" spans="2:6">
      <c r="B183" s="8">
        <v>525</v>
      </c>
      <c r="C183" s="13">
        <f t="shared" si="11"/>
        <v>19.437499999999915</v>
      </c>
      <c r="D183" s="13">
        <f t="shared" si="12"/>
        <v>19.437499999999915</v>
      </c>
      <c r="E183" s="13">
        <f t="shared" si="13"/>
        <v>21.412500000000129</v>
      </c>
      <c r="F183" s="13">
        <f t="shared" si="14"/>
        <v>8.8999999999999009</v>
      </c>
    </row>
    <row r="184" spans="2:6">
      <c r="B184" s="8">
        <v>526</v>
      </c>
      <c r="C184" s="13">
        <f t="shared" si="11"/>
        <v>19.455999999999914</v>
      </c>
      <c r="D184" s="13">
        <f t="shared" si="12"/>
        <v>19.455999999999914</v>
      </c>
      <c r="E184" s="13">
        <f t="shared" si="13"/>
        <v>21.43200000000013</v>
      </c>
      <c r="F184" s="13">
        <f t="shared" si="14"/>
        <v>8.9079999999999</v>
      </c>
    </row>
    <row r="185" spans="2:6">
      <c r="B185" s="8">
        <v>527</v>
      </c>
      <c r="C185" s="13">
        <f t="shared" si="11"/>
        <v>19.474499999999914</v>
      </c>
      <c r="D185" s="13">
        <f t="shared" si="12"/>
        <v>19.474499999999914</v>
      </c>
      <c r="E185" s="13">
        <f t="shared" si="13"/>
        <v>21.451500000000131</v>
      </c>
      <c r="F185" s="13">
        <f t="shared" si="14"/>
        <v>8.9159999999998991</v>
      </c>
    </row>
    <row r="186" spans="2:6">
      <c r="B186" s="8">
        <v>528</v>
      </c>
      <c r="C186" s="13">
        <f t="shared" si="11"/>
        <v>19.492999999999913</v>
      </c>
      <c r="D186" s="13">
        <f t="shared" si="12"/>
        <v>19.492999999999913</v>
      </c>
      <c r="E186" s="13">
        <f t="shared" si="13"/>
        <v>21.471000000000132</v>
      </c>
      <c r="F186" s="13">
        <f t="shared" si="14"/>
        <v>8.9239999999998982</v>
      </c>
    </row>
    <row r="187" spans="2:6">
      <c r="B187" s="8">
        <v>529</v>
      </c>
      <c r="C187" s="13">
        <f t="shared" si="11"/>
        <v>19.511499999999913</v>
      </c>
      <c r="D187" s="13">
        <f t="shared" si="12"/>
        <v>19.511499999999913</v>
      </c>
      <c r="E187" s="13">
        <f t="shared" si="13"/>
        <v>21.490500000000132</v>
      </c>
      <c r="F187" s="13">
        <f t="shared" si="14"/>
        <v>8.9319999999998974</v>
      </c>
    </row>
    <row r="188" spans="2:6">
      <c r="B188" s="8">
        <v>530</v>
      </c>
      <c r="C188" s="13">
        <f t="shared" si="11"/>
        <v>19.529999999999912</v>
      </c>
      <c r="D188" s="13">
        <f t="shared" si="12"/>
        <v>19.529999999999912</v>
      </c>
      <c r="E188" s="13">
        <f t="shared" si="13"/>
        <v>21.510000000000133</v>
      </c>
      <c r="F188" s="13">
        <f t="shared" si="14"/>
        <v>8.9399999999998965</v>
      </c>
    </row>
    <row r="189" spans="2:6">
      <c r="B189" s="8">
        <v>531</v>
      </c>
      <c r="C189" s="13">
        <f t="shared" si="11"/>
        <v>19.548499999999912</v>
      </c>
      <c r="D189" s="13">
        <f t="shared" si="12"/>
        <v>19.548499999999912</v>
      </c>
      <c r="E189" s="13">
        <f t="shared" si="13"/>
        <v>21.529500000000134</v>
      </c>
      <c r="F189" s="13">
        <f t="shared" si="14"/>
        <v>8.9479999999998956</v>
      </c>
    </row>
    <row r="190" spans="2:6">
      <c r="B190" s="8">
        <v>532</v>
      </c>
      <c r="C190" s="13">
        <f t="shared" si="11"/>
        <v>19.566999999999911</v>
      </c>
      <c r="D190" s="13">
        <f t="shared" si="12"/>
        <v>19.566999999999911</v>
      </c>
      <c r="E190" s="13">
        <f t="shared" si="13"/>
        <v>21.549000000000134</v>
      </c>
      <c r="F190" s="13">
        <f t="shared" si="14"/>
        <v>8.9559999999998947</v>
      </c>
    </row>
    <row r="191" spans="2:6">
      <c r="B191" s="8">
        <v>533</v>
      </c>
      <c r="C191" s="13">
        <f t="shared" si="11"/>
        <v>19.585499999999911</v>
      </c>
      <c r="D191" s="13">
        <f t="shared" si="12"/>
        <v>19.585499999999911</v>
      </c>
      <c r="E191" s="13">
        <f t="shared" si="13"/>
        <v>21.568500000000135</v>
      </c>
      <c r="F191" s="13">
        <f t="shared" si="14"/>
        <v>8.9639999999998938</v>
      </c>
    </row>
    <row r="192" spans="2:6">
      <c r="B192" s="8">
        <v>534</v>
      </c>
      <c r="C192" s="13">
        <f t="shared" si="11"/>
        <v>19.60399999999991</v>
      </c>
      <c r="D192" s="13">
        <f t="shared" si="12"/>
        <v>19.60399999999991</v>
      </c>
      <c r="E192" s="13">
        <f t="shared" si="13"/>
        <v>21.588000000000136</v>
      </c>
      <c r="F192" s="13">
        <f t="shared" si="14"/>
        <v>8.9719999999998929</v>
      </c>
    </row>
    <row r="193" spans="2:6">
      <c r="B193" s="8">
        <v>535</v>
      </c>
      <c r="C193" s="13">
        <f t="shared" si="11"/>
        <v>19.62249999999991</v>
      </c>
      <c r="D193" s="13">
        <f t="shared" si="12"/>
        <v>19.62249999999991</v>
      </c>
      <c r="E193" s="13">
        <f t="shared" si="13"/>
        <v>21.607500000000137</v>
      </c>
      <c r="F193" s="13">
        <f t="shared" si="14"/>
        <v>8.9799999999998921</v>
      </c>
    </row>
    <row r="194" spans="2:6">
      <c r="B194" s="8">
        <v>536</v>
      </c>
      <c r="C194" s="13">
        <f t="shared" si="11"/>
        <v>19.640999999999909</v>
      </c>
      <c r="D194" s="13">
        <f t="shared" si="12"/>
        <v>19.640999999999909</v>
      </c>
      <c r="E194" s="13">
        <f t="shared" si="13"/>
        <v>21.627000000000137</v>
      </c>
      <c r="F194" s="13">
        <f t="shared" si="14"/>
        <v>8.9879999999998912</v>
      </c>
    </row>
    <row r="195" spans="2:6">
      <c r="B195" s="8">
        <v>537</v>
      </c>
      <c r="C195" s="13">
        <f t="shared" si="11"/>
        <v>19.659499999999909</v>
      </c>
      <c r="D195" s="13">
        <f t="shared" si="12"/>
        <v>19.659499999999909</v>
      </c>
      <c r="E195" s="13">
        <f t="shared" si="13"/>
        <v>21.646500000000138</v>
      </c>
      <c r="F195" s="13">
        <f t="shared" si="14"/>
        <v>8.9959999999998903</v>
      </c>
    </row>
    <row r="196" spans="2:6">
      <c r="B196" s="8">
        <v>538</v>
      </c>
      <c r="C196" s="13">
        <f t="shared" si="11"/>
        <v>19.677999999999908</v>
      </c>
      <c r="D196" s="13">
        <f t="shared" si="12"/>
        <v>19.677999999999908</v>
      </c>
      <c r="E196" s="13">
        <f t="shared" si="13"/>
        <v>21.666000000000139</v>
      </c>
      <c r="F196" s="13">
        <f t="shared" si="14"/>
        <v>9.0039999999998894</v>
      </c>
    </row>
    <row r="197" spans="2:6">
      <c r="B197" s="8">
        <v>539</v>
      </c>
      <c r="C197" s="13">
        <f t="shared" si="11"/>
        <v>19.696499999999908</v>
      </c>
      <c r="D197" s="13">
        <f t="shared" si="12"/>
        <v>19.696499999999908</v>
      </c>
      <c r="E197" s="13">
        <f t="shared" si="13"/>
        <v>21.68550000000014</v>
      </c>
      <c r="F197" s="13">
        <f t="shared" si="14"/>
        <v>9.0119999999998885</v>
      </c>
    </row>
    <row r="198" spans="2:6">
      <c r="B198" s="8">
        <v>540</v>
      </c>
      <c r="C198" s="13">
        <f t="shared" si="11"/>
        <v>19.714999999999907</v>
      </c>
      <c r="D198" s="13">
        <f t="shared" si="12"/>
        <v>19.714999999999907</v>
      </c>
      <c r="E198" s="13">
        <f t="shared" si="13"/>
        <v>21.70500000000014</v>
      </c>
      <c r="F198" s="13">
        <f t="shared" si="14"/>
        <v>9.0199999999998877</v>
      </c>
    </row>
    <row r="199" spans="2:6">
      <c r="B199" s="8">
        <v>541</v>
      </c>
      <c r="C199" s="13">
        <f t="shared" si="11"/>
        <v>19.733499999999907</v>
      </c>
      <c r="D199" s="13">
        <f t="shared" si="12"/>
        <v>19.733499999999907</v>
      </c>
      <c r="E199" s="13">
        <f t="shared" si="13"/>
        <v>21.724500000000141</v>
      </c>
      <c r="F199" s="13">
        <f t="shared" si="14"/>
        <v>9.0279999999998868</v>
      </c>
    </row>
    <row r="200" spans="2:6">
      <c r="B200" s="8">
        <v>542</v>
      </c>
      <c r="C200" s="13">
        <f t="shared" si="11"/>
        <v>19.751999999999907</v>
      </c>
      <c r="D200" s="13">
        <f t="shared" si="12"/>
        <v>19.751999999999907</v>
      </c>
      <c r="E200" s="13">
        <f t="shared" si="13"/>
        <v>21.744000000000142</v>
      </c>
      <c r="F200" s="13">
        <f t="shared" si="14"/>
        <v>9.0359999999998859</v>
      </c>
    </row>
    <row r="201" spans="2:6">
      <c r="B201" s="8">
        <v>543</v>
      </c>
      <c r="C201" s="13">
        <f t="shared" si="11"/>
        <v>19.770499999999906</v>
      </c>
      <c r="D201" s="13">
        <f t="shared" si="12"/>
        <v>19.770499999999906</v>
      </c>
      <c r="E201" s="13">
        <f t="shared" si="13"/>
        <v>21.763500000000143</v>
      </c>
      <c r="F201" s="13">
        <f t="shared" ref="F201:F207" si="15">F200+(($F$208-$F$8)/200)</f>
        <v>9.043999999999885</v>
      </c>
    </row>
    <row r="202" spans="2:6">
      <c r="B202" s="8">
        <v>544</v>
      </c>
      <c r="C202" s="13">
        <f t="shared" ref="C202:C207" si="16">C201+(($C$208-$C$8)/200)</f>
        <v>19.788999999999906</v>
      </c>
      <c r="D202" s="13">
        <f t="shared" ref="D202:D207" si="17">D201+(($D$208-$D$8)/200)</f>
        <v>19.788999999999906</v>
      </c>
      <c r="E202" s="13">
        <f t="shared" ref="E202:E207" si="18">E201+(($E$208-$E$8)/200)</f>
        <v>21.783000000000143</v>
      </c>
      <c r="F202" s="13">
        <f t="shared" si="15"/>
        <v>9.0519999999998841</v>
      </c>
    </row>
    <row r="203" spans="2:6">
      <c r="B203" s="8">
        <v>545</v>
      </c>
      <c r="C203" s="13">
        <f t="shared" si="16"/>
        <v>19.807499999999905</v>
      </c>
      <c r="D203" s="13">
        <f t="shared" si="17"/>
        <v>19.807499999999905</v>
      </c>
      <c r="E203" s="13">
        <f t="shared" si="18"/>
        <v>21.802500000000144</v>
      </c>
      <c r="F203" s="13">
        <f t="shared" si="15"/>
        <v>9.0599999999998833</v>
      </c>
    </row>
    <row r="204" spans="2:6">
      <c r="B204" s="8">
        <v>546</v>
      </c>
      <c r="C204" s="13">
        <f t="shared" si="16"/>
        <v>19.825999999999905</v>
      </c>
      <c r="D204" s="13">
        <f t="shared" si="17"/>
        <v>19.825999999999905</v>
      </c>
      <c r="E204" s="13">
        <f t="shared" si="18"/>
        <v>21.822000000000145</v>
      </c>
      <c r="F204" s="13">
        <f t="shared" si="15"/>
        <v>9.0679999999998824</v>
      </c>
    </row>
    <row r="205" spans="2:6">
      <c r="B205" s="8">
        <v>547</v>
      </c>
      <c r="C205" s="13">
        <f t="shared" si="16"/>
        <v>19.844499999999904</v>
      </c>
      <c r="D205" s="13">
        <f t="shared" si="17"/>
        <v>19.844499999999904</v>
      </c>
      <c r="E205" s="13">
        <f t="shared" si="18"/>
        <v>21.841500000000146</v>
      </c>
      <c r="F205" s="13">
        <f t="shared" si="15"/>
        <v>9.0759999999998815</v>
      </c>
    </row>
    <row r="206" spans="2:6">
      <c r="B206" s="8">
        <v>548</v>
      </c>
      <c r="C206" s="13">
        <f t="shared" si="16"/>
        <v>19.862999999999904</v>
      </c>
      <c r="D206" s="13">
        <f t="shared" si="17"/>
        <v>19.862999999999904</v>
      </c>
      <c r="E206" s="13">
        <f t="shared" si="18"/>
        <v>21.861000000000146</v>
      </c>
      <c r="F206" s="13">
        <f t="shared" si="15"/>
        <v>9.0839999999998806</v>
      </c>
    </row>
    <row r="207" spans="2:6">
      <c r="B207" s="8">
        <v>549</v>
      </c>
      <c r="C207" s="13">
        <f t="shared" si="16"/>
        <v>19.881499999999903</v>
      </c>
      <c r="D207" s="13">
        <f t="shared" si="17"/>
        <v>19.881499999999903</v>
      </c>
      <c r="E207" s="13">
        <f t="shared" si="18"/>
        <v>21.880500000000147</v>
      </c>
      <c r="F207" s="13">
        <f t="shared" si="15"/>
        <v>9.0919999999998797</v>
      </c>
    </row>
    <row r="208" spans="2:6">
      <c r="B208" s="6">
        <v>550</v>
      </c>
      <c r="C208" s="12">
        <f>+C5</f>
        <v>19.899999999999999</v>
      </c>
      <c r="D208" s="12">
        <f>+D5</f>
        <v>19.899999999999999</v>
      </c>
      <c r="E208" s="12">
        <f>+E5</f>
        <v>21.9</v>
      </c>
      <c r="F208" s="14">
        <v>9.1</v>
      </c>
    </row>
  </sheetData>
  <sheetProtection password="C9F1" sheet="1" objects="1" scenarios="1"/>
  <mergeCells count="1">
    <mergeCell ref="B1:F1"/>
  </mergeCells>
  <phoneticPr fontId="0" type="noConversion"/>
  <pageMargins left="0.75" right="0.75" top="1" bottom="1" header="0.5" footer="0.5"/>
  <pageSetup paperSize="9" fitToHeight="4" orientation="portrait" r:id="rId1"/>
  <headerFooter alignWithMargins="0"/>
</worksheet>
</file>

<file path=xl/worksheets/sheet48.xml><?xml version="1.0" encoding="utf-8"?>
<worksheet xmlns="http://schemas.openxmlformats.org/spreadsheetml/2006/main" xmlns:r="http://schemas.openxmlformats.org/officeDocument/2006/relationships">
  <sheetPr codeName="Sheet27">
    <pageSetUpPr fitToPage="1"/>
  </sheetPr>
  <dimension ref="A1:N208"/>
  <sheetViews>
    <sheetView workbookViewId="0">
      <selection activeCell="B1" sqref="B1:K1"/>
    </sheetView>
  </sheetViews>
  <sheetFormatPr defaultRowHeight="12.75"/>
  <cols>
    <col min="1" max="1" width="3.85546875" customWidth="1"/>
    <col min="3" max="5" width="12.7109375" customWidth="1"/>
    <col min="6" max="6" width="2.42578125" customWidth="1"/>
    <col min="8" max="8" width="12.7109375" customWidth="1"/>
    <col min="9" max="9" width="2.7109375" customWidth="1"/>
    <col min="11" max="11" width="12.7109375" customWidth="1"/>
    <col min="12" max="12" width="2.7109375" customWidth="1"/>
  </cols>
  <sheetData>
    <row r="1" spans="1:14" ht="18">
      <c r="B1" s="1360" t="s">
        <v>584</v>
      </c>
      <c r="C1" s="1360"/>
      <c r="D1" s="1360"/>
      <c r="E1" s="1360"/>
      <c r="F1" s="1360"/>
      <c r="G1" s="1360"/>
      <c r="H1" s="1360"/>
      <c r="I1" s="1360"/>
      <c r="J1" s="1360"/>
      <c r="K1" s="1360"/>
    </row>
    <row r="2" spans="1:14" ht="38.25">
      <c r="B2" s="4" t="s">
        <v>576</v>
      </c>
      <c r="C2" s="2" t="s">
        <v>577</v>
      </c>
      <c r="D2" s="2" t="s">
        <v>578</v>
      </c>
      <c r="E2" s="2" t="s">
        <v>579</v>
      </c>
    </row>
    <row r="3" spans="1:14" ht="12.75" customHeight="1">
      <c r="A3" s="1"/>
      <c r="B3" s="3">
        <v>350</v>
      </c>
      <c r="C3" s="11">
        <v>8.8999999999999996E-2</v>
      </c>
      <c r="D3" s="11">
        <v>0.107</v>
      </c>
      <c r="E3" s="11">
        <v>0.126</v>
      </c>
      <c r="F3" s="1"/>
      <c r="G3" s="1"/>
    </row>
    <row r="4" spans="1:14" ht="12.75" customHeight="1">
      <c r="A4" s="1"/>
      <c r="B4" s="3">
        <v>450</v>
      </c>
      <c r="C4" s="11">
        <v>0.1</v>
      </c>
      <c r="D4" s="11">
        <v>0.13</v>
      </c>
      <c r="E4" s="11">
        <v>0.14799999999999999</v>
      </c>
      <c r="F4" s="1"/>
      <c r="G4" s="1"/>
    </row>
    <row r="5" spans="1:14" ht="12.75" customHeight="1">
      <c r="A5" s="1"/>
      <c r="B5" s="3">
        <v>550</v>
      </c>
      <c r="C5" s="11">
        <v>9.4E-2</v>
      </c>
      <c r="D5" s="11">
        <v>0.108</v>
      </c>
      <c r="E5" s="11">
        <v>0.159</v>
      </c>
      <c r="F5" s="1"/>
      <c r="G5" s="1"/>
    </row>
    <row r="6" spans="1:14" ht="12.75" customHeight="1">
      <c r="A6" s="1"/>
      <c r="B6" s="5"/>
      <c r="C6" s="5"/>
      <c r="D6" s="5"/>
      <c r="E6" s="5"/>
      <c r="F6" s="1"/>
      <c r="G6" s="1"/>
    </row>
    <row r="7" spans="1:14" ht="38.25">
      <c r="B7" s="4" t="s">
        <v>576</v>
      </c>
      <c r="C7" s="2" t="s">
        <v>577</v>
      </c>
      <c r="D7" s="2" t="s">
        <v>578</v>
      </c>
      <c r="E7" s="2" t="s">
        <v>579</v>
      </c>
      <c r="G7" s="4" t="s">
        <v>576</v>
      </c>
      <c r="H7" s="2" t="s">
        <v>578</v>
      </c>
      <c r="J7" s="4" t="s">
        <v>576</v>
      </c>
      <c r="K7" s="2" t="s">
        <v>579</v>
      </c>
      <c r="M7" s="4" t="s">
        <v>576</v>
      </c>
      <c r="N7" s="2" t="s">
        <v>585</v>
      </c>
    </row>
    <row r="8" spans="1:14">
      <c r="B8" s="6">
        <v>350</v>
      </c>
      <c r="C8" s="12">
        <f>+C3</f>
        <v>8.8999999999999996E-2</v>
      </c>
      <c r="D8" s="12">
        <f>+D3</f>
        <v>0.107</v>
      </c>
      <c r="E8" s="12">
        <f>+E3</f>
        <v>0.126</v>
      </c>
      <c r="G8" s="6">
        <v>350</v>
      </c>
      <c r="H8" s="12">
        <f>+D8</f>
        <v>0.107</v>
      </c>
      <c r="J8" s="6">
        <v>350</v>
      </c>
      <c r="K8" s="12">
        <f>+E8</f>
        <v>0.126</v>
      </c>
      <c r="M8" s="6">
        <v>350</v>
      </c>
      <c r="N8" s="14">
        <v>0.107</v>
      </c>
    </row>
    <row r="9" spans="1:14" ht="12.75" customHeight="1">
      <c r="B9" s="8">
        <v>351</v>
      </c>
      <c r="C9" s="13">
        <f t="shared" ref="C9:C40" si="0">C8+(($C$108-$C$8)/100)</f>
        <v>8.9109999999999995E-2</v>
      </c>
      <c r="D9" s="13">
        <f t="shared" ref="D9:D40" si="1">D8+(($D$108-$D$8)/100)</f>
        <v>0.10722999999999999</v>
      </c>
      <c r="E9" s="13">
        <f t="shared" ref="E9:E40" si="2">E8+(($E$108-$E$8)/100)</f>
        <v>0.12622</v>
      </c>
      <c r="G9" s="8">
        <v>351</v>
      </c>
      <c r="H9" s="13">
        <f t="shared" ref="H9:H40" si="3">H8+(($D$108-$D$8)/100)</f>
        <v>0.10722999999999999</v>
      </c>
      <c r="J9" s="8">
        <v>351</v>
      </c>
      <c r="K9" s="13">
        <f t="shared" ref="K9:K40" si="4">K8+(($E$108-$E$8)/100)</f>
        <v>0.12622</v>
      </c>
      <c r="M9" s="8">
        <v>351</v>
      </c>
      <c r="N9" s="14">
        <v>0.107</v>
      </c>
    </row>
    <row r="10" spans="1:14">
      <c r="B10" s="8">
        <v>352</v>
      </c>
      <c r="C10" s="13">
        <f t="shared" si="0"/>
        <v>8.9219999999999994E-2</v>
      </c>
      <c r="D10" s="13">
        <f t="shared" si="1"/>
        <v>0.10745999999999999</v>
      </c>
      <c r="E10" s="13">
        <f t="shared" si="2"/>
        <v>0.12644</v>
      </c>
      <c r="G10" s="8">
        <v>352</v>
      </c>
      <c r="H10" s="13">
        <f t="shared" si="3"/>
        <v>0.10745999999999999</v>
      </c>
      <c r="J10" s="8">
        <v>352</v>
      </c>
      <c r="K10" s="13">
        <f t="shared" si="4"/>
        <v>0.12644</v>
      </c>
      <c r="M10" s="8">
        <v>352</v>
      </c>
      <c r="N10" s="14">
        <v>0.107</v>
      </c>
    </row>
    <row r="11" spans="1:14">
      <c r="B11" s="8">
        <v>353</v>
      </c>
      <c r="C11" s="13">
        <f t="shared" si="0"/>
        <v>8.9329999999999993E-2</v>
      </c>
      <c r="D11" s="13">
        <f t="shared" si="1"/>
        <v>0.10768999999999998</v>
      </c>
      <c r="E11" s="13">
        <f t="shared" si="2"/>
        <v>0.12665999999999999</v>
      </c>
      <c r="G11" s="8">
        <v>353</v>
      </c>
      <c r="H11" s="13">
        <f t="shared" si="3"/>
        <v>0.10768999999999998</v>
      </c>
      <c r="J11" s="8">
        <v>353</v>
      </c>
      <c r="K11" s="13">
        <f t="shared" si="4"/>
        <v>0.12665999999999999</v>
      </c>
      <c r="M11" s="8">
        <v>353</v>
      </c>
      <c r="N11" s="14">
        <v>0.107</v>
      </c>
    </row>
    <row r="12" spans="1:14">
      <c r="B12" s="8">
        <v>354</v>
      </c>
      <c r="C12" s="13">
        <f t="shared" si="0"/>
        <v>8.9439999999999992E-2</v>
      </c>
      <c r="D12" s="13">
        <f t="shared" si="1"/>
        <v>0.10791999999999997</v>
      </c>
      <c r="E12" s="13">
        <f t="shared" si="2"/>
        <v>0.12687999999999999</v>
      </c>
      <c r="G12" s="8">
        <v>354</v>
      </c>
      <c r="H12" s="13">
        <f t="shared" si="3"/>
        <v>0.10791999999999997</v>
      </c>
      <c r="J12" s="8">
        <v>354</v>
      </c>
      <c r="K12" s="13">
        <f t="shared" si="4"/>
        <v>0.12687999999999999</v>
      </c>
      <c r="M12" s="8">
        <v>354</v>
      </c>
      <c r="N12" s="14">
        <v>0.107</v>
      </c>
    </row>
    <row r="13" spans="1:14">
      <c r="B13" s="8">
        <v>355</v>
      </c>
      <c r="C13" s="13">
        <f t="shared" si="0"/>
        <v>8.9549999999999991E-2</v>
      </c>
      <c r="D13" s="13">
        <f t="shared" si="1"/>
        <v>0.10814999999999997</v>
      </c>
      <c r="E13" s="13">
        <f t="shared" si="2"/>
        <v>0.12709999999999999</v>
      </c>
      <c r="G13" s="8">
        <v>355</v>
      </c>
      <c r="H13" s="13">
        <f t="shared" si="3"/>
        <v>0.10814999999999997</v>
      </c>
      <c r="J13" s="8">
        <v>355</v>
      </c>
      <c r="K13" s="13">
        <f t="shared" si="4"/>
        <v>0.12709999999999999</v>
      </c>
      <c r="M13" s="8">
        <v>355</v>
      </c>
      <c r="N13" s="14">
        <v>0.107</v>
      </c>
    </row>
    <row r="14" spans="1:14">
      <c r="B14" s="8">
        <v>356</v>
      </c>
      <c r="C14" s="13">
        <f t="shared" si="0"/>
        <v>8.965999999999999E-2</v>
      </c>
      <c r="D14" s="13">
        <f t="shared" si="1"/>
        <v>0.10837999999999996</v>
      </c>
      <c r="E14" s="13">
        <f t="shared" si="2"/>
        <v>0.12731999999999999</v>
      </c>
      <c r="G14" s="8">
        <v>356</v>
      </c>
      <c r="H14" s="13">
        <f t="shared" si="3"/>
        <v>0.10837999999999996</v>
      </c>
      <c r="J14" s="8">
        <v>356</v>
      </c>
      <c r="K14" s="13">
        <f t="shared" si="4"/>
        <v>0.12731999999999999</v>
      </c>
      <c r="M14" s="8">
        <v>356</v>
      </c>
      <c r="N14" s="14">
        <v>0.107</v>
      </c>
    </row>
    <row r="15" spans="1:14">
      <c r="B15" s="8">
        <v>357</v>
      </c>
      <c r="C15" s="13">
        <f t="shared" si="0"/>
        <v>8.9769999999999989E-2</v>
      </c>
      <c r="D15" s="13">
        <f t="shared" si="1"/>
        <v>0.10860999999999996</v>
      </c>
      <c r="E15" s="13">
        <f t="shared" si="2"/>
        <v>0.12753999999999999</v>
      </c>
      <c r="G15" s="8">
        <v>357</v>
      </c>
      <c r="H15" s="13">
        <f t="shared" si="3"/>
        <v>0.10860999999999996</v>
      </c>
      <c r="J15" s="8">
        <v>357</v>
      </c>
      <c r="K15" s="13">
        <f t="shared" si="4"/>
        <v>0.12753999999999999</v>
      </c>
      <c r="M15" s="8">
        <v>357</v>
      </c>
      <c r="N15" s="14">
        <v>0.107</v>
      </c>
    </row>
    <row r="16" spans="1:14">
      <c r="B16" s="8">
        <v>358</v>
      </c>
      <c r="C16" s="13">
        <f t="shared" si="0"/>
        <v>8.9879999999999988E-2</v>
      </c>
      <c r="D16" s="13">
        <f t="shared" si="1"/>
        <v>0.10883999999999995</v>
      </c>
      <c r="E16" s="13">
        <f t="shared" si="2"/>
        <v>0.12775999999999998</v>
      </c>
      <c r="G16" s="8">
        <v>358</v>
      </c>
      <c r="H16" s="13">
        <f t="shared" si="3"/>
        <v>0.10883999999999995</v>
      </c>
      <c r="J16" s="8">
        <v>358</v>
      </c>
      <c r="K16" s="13">
        <f t="shared" si="4"/>
        <v>0.12775999999999998</v>
      </c>
      <c r="M16" s="8">
        <v>358</v>
      </c>
      <c r="N16" s="14">
        <v>0.107</v>
      </c>
    </row>
    <row r="17" spans="2:14">
      <c r="B17" s="8">
        <v>359</v>
      </c>
      <c r="C17" s="13">
        <f t="shared" si="0"/>
        <v>8.9989999999999987E-2</v>
      </c>
      <c r="D17" s="13">
        <f t="shared" si="1"/>
        <v>0.10906999999999994</v>
      </c>
      <c r="E17" s="13">
        <f t="shared" si="2"/>
        <v>0.12797999999999998</v>
      </c>
      <c r="G17" s="8">
        <v>359</v>
      </c>
      <c r="H17" s="13">
        <f t="shared" si="3"/>
        <v>0.10906999999999994</v>
      </c>
      <c r="J17" s="8">
        <v>359</v>
      </c>
      <c r="K17" s="13">
        <f t="shared" si="4"/>
        <v>0.12797999999999998</v>
      </c>
      <c r="M17" s="8">
        <v>359</v>
      </c>
      <c r="N17" s="14">
        <v>0.107</v>
      </c>
    </row>
    <row r="18" spans="2:14">
      <c r="B18" s="8">
        <v>360</v>
      </c>
      <c r="C18" s="13">
        <f t="shared" si="0"/>
        <v>9.0099999999999986E-2</v>
      </c>
      <c r="D18" s="13">
        <f t="shared" si="1"/>
        <v>0.10929999999999994</v>
      </c>
      <c r="E18" s="13">
        <f t="shared" si="2"/>
        <v>0.12819999999999998</v>
      </c>
      <c r="G18" s="8">
        <v>360</v>
      </c>
      <c r="H18" s="13">
        <f t="shared" si="3"/>
        <v>0.10929999999999994</v>
      </c>
      <c r="J18" s="8">
        <v>360</v>
      </c>
      <c r="K18" s="13">
        <f t="shared" si="4"/>
        <v>0.12819999999999998</v>
      </c>
      <c r="M18" s="8">
        <v>360</v>
      </c>
      <c r="N18" s="14">
        <v>0.107</v>
      </c>
    </row>
    <row r="19" spans="2:14">
      <c r="B19" s="8">
        <v>361</v>
      </c>
      <c r="C19" s="13">
        <f t="shared" si="0"/>
        <v>9.0209999999999985E-2</v>
      </c>
      <c r="D19" s="13">
        <f t="shared" si="1"/>
        <v>0.10952999999999993</v>
      </c>
      <c r="E19" s="13">
        <f t="shared" si="2"/>
        <v>0.12841999999999998</v>
      </c>
      <c r="G19" s="8">
        <v>361</v>
      </c>
      <c r="H19" s="13">
        <f t="shared" si="3"/>
        <v>0.10952999999999993</v>
      </c>
      <c r="J19" s="8">
        <v>361</v>
      </c>
      <c r="K19" s="13">
        <f t="shared" si="4"/>
        <v>0.12841999999999998</v>
      </c>
      <c r="M19" s="8">
        <v>361</v>
      </c>
      <c r="N19" s="14">
        <v>0.107</v>
      </c>
    </row>
    <row r="20" spans="2:14">
      <c r="B20" s="8">
        <v>362</v>
      </c>
      <c r="C20" s="13">
        <f t="shared" si="0"/>
        <v>9.0319999999999984E-2</v>
      </c>
      <c r="D20" s="13">
        <f t="shared" si="1"/>
        <v>0.10975999999999993</v>
      </c>
      <c r="E20" s="13">
        <f t="shared" si="2"/>
        <v>0.12863999999999998</v>
      </c>
      <c r="G20" s="8">
        <v>362</v>
      </c>
      <c r="H20" s="13">
        <f t="shared" si="3"/>
        <v>0.10975999999999993</v>
      </c>
      <c r="J20" s="8">
        <v>362</v>
      </c>
      <c r="K20" s="13">
        <f t="shared" si="4"/>
        <v>0.12863999999999998</v>
      </c>
      <c r="M20" s="8">
        <v>362</v>
      </c>
      <c r="N20" s="14">
        <v>0.107</v>
      </c>
    </row>
    <row r="21" spans="2:14">
      <c r="B21" s="8">
        <v>363</v>
      </c>
      <c r="C21" s="13">
        <f t="shared" si="0"/>
        <v>9.0429999999999983E-2</v>
      </c>
      <c r="D21" s="13">
        <f t="shared" si="1"/>
        <v>0.10998999999999992</v>
      </c>
      <c r="E21" s="13">
        <f t="shared" si="2"/>
        <v>0.12885999999999997</v>
      </c>
      <c r="G21" s="8">
        <v>363</v>
      </c>
      <c r="H21" s="13">
        <f t="shared" si="3"/>
        <v>0.10998999999999992</v>
      </c>
      <c r="J21" s="8">
        <v>363</v>
      </c>
      <c r="K21" s="13">
        <f t="shared" si="4"/>
        <v>0.12885999999999997</v>
      </c>
      <c r="M21" s="8">
        <v>363</v>
      </c>
      <c r="N21" s="14">
        <v>0.107</v>
      </c>
    </row>
    <row r="22" spans="2:14">
      <c r="B22" s="8">
        <v>364</v>
      </c>
      <c r="C22" s="13">
        <f t="shared" si="0"/>
        <v>9.0539999999999982E-2</v>
      </c>
      <c r="D22" s="13">
        <f t="shared" si="1"/>
        <v>0.11021999999999992</v>
      </c>
      <c r="E22" s="13">
        <f t="shared" si="2"/>
        <v>0.12907999999999997</v>
      </c>
      <c r="G22" s="8">
        <v>364</v>
      </c>
      <c r="H22" s="13">
        <f t="shared" si="3"/>
        <v>0.11021999999999992</v>
      </c>
      <c r="J22" s="8">
        <v>364</v>
      </c>
      <c r="K22" s="13">
        <f t="shared" si="4"/>
        <v>0.12907999999999997</v>
      </c>
      <c r="M22" s="8">
        <v>364</v>
      </c>
      <c r="N22" s="14">
        <v>0.107</v>
      </c>
    </row>
    <row r="23" spans="2:14">
      <c r="B23" s="8">
        <v>365</v>
      </c>
      <c r="C23" s="13">
        <f t="shared" si="0"/>
        <v>9.0649999999999981E-2</v>
      </c>
      <c r="D23" s="13">
        <f t="shared" si="1"/>
        <v>0.11044999999999991</v>
      </c>
      <c r="E23" s="13">
        <f t="shared" si="2"/>
        <v>0.12929999999999997</v>
      </c>
      <c r="G23" s="8">
        <v>365</v>
      </c>
      <c r="H23" s="13">
        <f t="shared" si="3"/>
        <v>0.11044999999999991</v>
      </c>
      <c r="J23" s="8">
        <v>365</v>
      </c>
      <c r="K23" s="13">
        <f t="shared" si="4"/>
        <v>0.12929999999999997</v>
      </c>
      <c r="M23" s="8">
        <v>365</v>
      </c>
      <c r="N23" s="14">
        <v>0.107</v>
      </c>
    </row>
    <row r="24" spans="2:14">
      <c r="B24" s="8">
        <v>366</v>
      </c>
      <c r="C24" s="13">
        <f t="shared" si="0"/>
        <v>9.075999999999998E-2</v>
      </c>
      <c r="D24" s="13">
        <f t="shared" si="1"/>
        <v>0.1106799999999999</v>
      </c>
      <c r="E24" s="13">
        <f t="shared" si="2"/>
        <v>0.12951999999999997</v>
      </c>
      <c r="G24" s="8">
        <v>366</v>
      </c>
      <c r="H24" s="13">
        <f t="shared" si="3"/>
        <v>0.1106799999999999</v>
      </c>
      <c r="J24" s="8">
        <v>366</v>
      </c>
      <c r="K24" s="13">
        <f t="shared" si="4"/>
        <v>0.12951999999999997</v>
      </c>
      <c r="M24" s="8">
        <v>366</v>
      </c>
      <c r="N24" s="14">
        <v>0.107</v>
      </c>
    </row>
    <row r="25" spans="2:14">
      <c r="B25" s="8">
        <v>367</v>
      </c>
      <c r="C25" s="13">
        <f t="shared" si="0"/>
        <v>9.0869999999999979E-2</v>
      </c>
      <c r="D25" s="13">
        <f t="shared" si="1"/>
        <v>0.1109099999999999</v>
      </c>
      <c r="E25" s="13">
        <f t="shared" si="2"/>
        <v>0.12973999999999997</v>
      </c>
      <c r="G25" s="8">
        <v>367</v>
      </c>
      <c r="H25" s="13">
        <f t="shared" si="3"/>
        <v>0.1109099999999999</v>
      </c>
      <c r="J25" s="8">
        <v>367</v>
      </c>
      <c r="K25" s="13">
        <f t="shared" si="4"/>
        <v>0.12973999999999997</v>
      </c>
      <c r="M25" s="8">
        <v>367</v>
      </c>
      <c r="N25" s="14">
        <v>0.107</v>
      </c>
    </row>
    <row r="26" spans="2:14">
      <c r="B26" s="8">
        <v>368</v>
      </c>
      <c r="C26" s="13">
        <f t="shared" si="0"/>
        <v>9.0979999999999978E-2</v>
      </c>
      <c r="D26" s="13">
        <f t="shared" si="1"/>
        <v>0.11113999999999989</v>
      </c>
      <c r="E26" s="13">
        <f t="shared" si="2"/>
        <v>0.12995999999999996</v>
      </c>
      <c r="G26" s="8">
        <v>368</v>
      </c>
      <c r="H26" s="13">
        <f t="shared" si="3"/>
        <v>0.11113999999999989</v>
      </c>
      <c r="J26" s="8">
        <v>368</v>
      </c>
      <c r="K26" s="13">
        <f t="shared" si="4"/>
        <v>0.12995999999999996</v>
      </c>
      <c r="M26" s="8">
        <v>368</v>
      </c>
      <c r="N26" s="14">
        <v>0.107</v>
      </c>
    </row>
    <row r="27" spans="2:14">
      <c r="B27" s="8">
        <v>369</v>
      </c>
      <c r="C27" s="13">
        <f t="shared" si="0"/>
        <v>9.1089999999999977E-2</v>
      </c>
      <c r="D27" s="13">
        <f t="shared" si="1"/>
        <v>0.11136999999999989</v>
      </c>
      <c r="E27" s="13">
        <f t="shared" si="2"/>
        <v>0.13017999999999996</v>
      </c>
      <c r="G27" s="8">
        <v>369</v>
      </c>
      <c r="H27" s="13">
        <f t="shared" si="3"/>
        <v>0.11136999999999989</v>
      </c>
      <c r="J27" s="8">
        <v>369</v>
      </c>
      <c r="K27" s="13">
        <f t="shared" si="4"/>
        <v>0.13017999999999996</v>
      </c>
      <c r="M27" s="8">
        <v>369</v>
      </c>
      <c r="N27" s="14">
        <v>0.107</v>
      </c>
    </row>
    <row r="28" spans="2:14">
      <c r="B28" s="8">
        <v>370</v>
      </c>
      <c r="C28" s="13">
        <f t="shared" si="0"/>
        <v>9.1199999999999976E-2</v>
      </c>
      <c r="D28" s="13">
        <f t="shared" si="1"/>
        <v>0.11159999999999988</v>
      </c>
      <c r="E28" s="13">
        <f t="shared" si="2"/>
        <v>0.13039999999999996</v>
      </c>
      <c r="G28" s="8">
        <v>370</v>
      </c>
      <c r="H28" s="13">
        <f t="shared" si="3"/>
        <v>0.11159999999999988</v>
      </c>
      <c r="J28" s="8">
        <v>370</v>
      </c>
      <c r="K28" s="13">
        <f t="shared" si="4"/>
        <v>0.13039999999999996</v>
      </c>
      <c r="M28" s="8">
        <v>370</v>
      </c>
      <c r="N28" s="14">
        <v>0.107</v>
      </c>
    </row>
    <row r="29" spans="2:14">
      <c r="B29" s="8">
        <v>371</v>
      </c>
      <c r="C29" s="13">
        <f t="shared" si="0"/>
        <v>9.1309999999999975E-2</v>
      </c>
      <c r="D29" s="13">
        <f t="shared" si="1"/>
        <v>0.11182999999999987</v>
      </c>
      <c r="E29" s="13">
        <f t="shared" si="2"/>
        <v>0.13061999999999996</v>
      </c>
      <c r="G29" s="8">
        <v>371</v>
      </c>
      <c r="H29" s="13">
        <f t="shared" si="3"/>
        <v>0.11182999999999987</v>
      </c>
      <c r="J29" s="8">
        <v>371</v>
      </c>
      <c r="K29" s="13">
        <f t="shared" si="4"/>
        <v>0.13061999999999996</v>
      </c>
      <c r="M29" s="8">
        <v>371</v>
      </c>
      <c r="N29" s="14">
        <v>0.107</v>
      </c>
    </row>
    <row r="30" spans="2:14">
      <c r="B30" s="8">
        <v>372</v>
      </c>
      <c r="C30" s="13">
        <f t="shared" si="0"/>
        <v>9.1419999999999974E-2</v>
      </c>
      <c r="D30" s="13">
        <f t="shared" si="1"/>
        <v>0.11205999999999987</v>
      </c>
      <c r="E30" s="13">
        <f t="shared" si="2"/>
        <v>0.13083999999999996</v>
      </c>
      <c r="G30" s="8">
        <v>372</v>
      </c>
      <c r="H30" s="13">
        <f t="shared" si="3"/>
        <v>0.11205999999999987</v>
      </c>
      <c r="J30" s="8">
        <v>372</v>
      </c>
      <c r="K30" s="13">
        <f t="shared" si="4"/>
        <v>0.13083999999999996</v>
      </c>
      <c r="M30" s="8">
        <v>372</v>
      </c>
      <c r="N30" s="14">
        <v>0.107</v>
      </c>
    </row>
    <row r="31" spans="2:14">
      <c r="B31" s="8">
        <v>373</v>
      </c>
      <c r="C31" s="13">
        <f t="shared" si="0"/>
        <v>9.1529999999999972E-2</v>
      </c>
      <c r="D31" s="13">
        <f t="shared" si="1"/>
        <v>0.11228999999999986</v>
      </c>
      <c r="E31" s="13">
        <f t="shared" si="2"/>
        <v>0.13105999999999995</v>
      </c>
      <c r="G31" s="8">
        <v>373</v>
      </c>
      <c r="H31" s="13">
        <f t="shared" si="3"/>
        <v>0.11228999999999986</v>
      </c>
      <c r="J31" s="8">
        <v>373</v>
      </c>
      <c r="K31" s="13">
        <f t="shared" si="4"/>
        <v>0.13105999999999995</v>
      </c>
      <c r="M31" s="8">
        <v>373</v>
      </c>
      <c r="N31" s="14">
        <v>0.107</v>
      </c>
    </row>
    <row r="32" spans="2:14">
      <c r="B32" s="8">
        <v>374</v>
      </c>
      <c r="C32" s="13">
        <f t="shared" si="0"/>
        <v>9.1639999999999971E-2</v>
      </c>
      <c r="D32" s="13">
        <f t="shared" si="1"/>
        <v>0.11251999999999986</v>
      </c>
      <c r="E32" s="13">
        <f t="shared" si="2"/>
        <v>0.13127999999999995</v>
      </c>
      <c r="G32" s="8">
        <v>374</v>
      </c>
      <c r="H32" s="13">
        <f t="shared" si="3"/>
        <v>0.11251999999999986</v>
      </c>
      <c r="J32" s="8">
        <v>374</v>
      </c>
      <c r="K32" s="13">
        <f t="shared" si="4"/>
        <v>0.13127999999999995</v>
      </c>
      <c r="M32" s="8">
        <v>374</v>
      </c>
      <c r="N32" s="14">
        <v>0.107</v>
      </c>
    </row>
    <row r="33" spans="2:14">
      <c r="B33" s="8">
        <v>375</v>
      </c>
      <c r="C33" s="13">
        <f t="shared" si="0"/>
        <v>9.174999999999997E-2</v>
      </c>
      <c r="D33" s="13">
        <f t="shared" si="1"/>
        <v>0.11274999999999985</v>
      </c>
      <c r="E33" s="13">
        <f t="shared" si="2"/>
        <v>0.13149999999999995</v>
      </c>
      <c r="G33" s="8">
        <v>375</v>
      </c>
      <c r="H33" s="13">
        <f t="shared" si="3"/>
        <v>0.11274999999999985</v>
      </c>
      <c r="J33" s="8">
        <v>375</v>
      </c>
      <c r="K33" s="13">
        <f t="shared" si="4"/>
        <v>0.13149999999999995</v>
      </c>
      <c r="M33" s="8">
        <v>375</v>
      </c>
      <c r="N33" s="14">
        <v>0.107</v>
      </c>
    </row>
    <row r="34" spans="2:14">
      <c r="B34" s="8">
        <v>376</v>
      </c>
      <c r="C34" s="13">
        <f t="shared" si="0"/>
        <v>9.1859999999999969E-2</v>
      </c>
      <c r="D34" s="13">
        <f t="shared" si="1"/>
        <v>0.11297999999999984</v>
      </c>
      <c r="E34" s="13">
        <f t="shared" si="2"/>
        <v>0.13171999999999995</v>
      </c>
      <c r="G34" s="8">
        <v>376</v>
      </c>
      <c r="H34" s="13">
        <f t="shared" si="3"/>
        <v>0.11297999999999984</v>
      </c>
      <c r="J34" s="8">
        <v>376</v>
      </c>
      <c r="K34" s="13">
        <f t="shared" si="4"/>
        <v>0.13171999999999995</v>
      </c>
      <c r="M34" s="8">
        <v>376</v>
      </c>
      <c r="N34" s="14">
        <v>0.107</v>
      </c>
    </row>
    <row r="35" spans="2:14">
      <c r="B35" s="8">
        <v>377</v>
      </c>
      <c r="C35" s="13">
        <f t="shared" si="0"/>
        <v>9.1969999999999968E-2</v>
      </c>
      <c r="D35" s="13">
        <f t="shared" si="1"/>
        <v>0.11320999999999984</v>
      </c>
      <c r="E35" s="13">
        <f t="shared" si="2"/>
        <v>0.13193999999999995</v>
      </c>
      <c r="G35" s="8">
        <v>377</v>
      </c>
      <c r="H35" s="13">
        <f t="shared" si="3"/>
        <v>0.11320999999999984</v>
      </c>
      <c r="J35" s="8">
        <v>377</v>
      </c>
      <c r="K35" s="13">
        <f t="shared" si="4"/>
        <v>0.13193999999999995</v>
      </c>
      <c r="M35" s="8">
        <v>377</v>
      </c>
      <c r="N35" s="14">
        <v>0.107</v>
      </c>
    </row>
    <row r="36" spans="2:14">
      <c r="B36" s="8">
        <v>378</v>
      </c>
      <c r="C36" s="13">
        <f t="shared" si="0"/>
        <v>9.2079999999999967E-2</v>
      </c>
      <c r="D36" s="13">
        <f t="shared" si="1"/>
        <v>0.11343999999999983</v>
      </c>
      <c r="E36" s="13">
        <f t="shared" si="2"/>
        <v>0.13215999999999994</v>
      </c>
      <c r="G36" s="8">
        <v>378</v>
      </c>
      <c r="H36" s="13">
        <f t="shared" si="3"/>
        <v>0.11343999999999983</v>
      </c>
      <c r="J36" s="8">
        <v>378</v>
      </c>
      <c r="K36" s="13">
        <f t="shared" si="4"/>
        <v>0.13215999999999994</v>
      </c>
      <c r="M36" s="8">
        <v>378</v>
      </c>
      <c r="N36" s="14">
        <v>0.107</v>
      </c>
    </row>
    <row r="37" spans="2:14">
      <c r="B37" s="8">
        <v>379</v>
      </c>
      <c r="C37" s="13">
        <f t="shared" si="0"/>
        <v>9.2189999999999966E-2</v>
      </c>
      <c r="D37" s="13">
        <f t="shared" si="1"/>
        <v>0.11366999999999983</v>
      </c>
      <c r="E37" s="13">
        <f t="shared" si="2"/>
        <v>0.13237999999999994</v>
      </c>
      <c r="G37" s="8">
        <v>379</v>
      </c>
      <c r="H37" s="13">
        <f t="shared" si="3"/>
        <v>0.11366999999999983</v>
      </c>
      <c r="J37" s="8">
        <v>379</v>
      </c>
      <c r="K37" s="13">
        <f t="shared" si="4"/>
        <v>0.13237999999999994</v>
      </c>
      <c r="M37" s="8">
        <v>379</v>
      </c>
      <c r="N37" s="14">
        <v>0.107</v>
      </c>
    </row>
    <row r="38" spans="2:14">
      <c r="B38" s="8">
        <v>380</v>
      </c>
      <c r="C38" s="13">
        <f t="shared" si="0"/>
        <v>9.2299999999999965E-2</v>
      </c>
      <c r="D38" s="13">
        <f t="shared" si="1"/>
        <v>0.11389999999999982</v>
      </c>
      <c r="E38" s="13">
        <f t="shared" si="2"/>
        <v>0.13259999999999994</v>
      </c>
      <c r="G38" s="8">
        <v>380</v>
      </c>
      <c r="H38" s="13">
        <f t="shared" si="3"/>
        <v>0.11389999999999982</v>
      </c>
      <c r="J38" s="8">
        <v>380</v>
      </c>
      <c r="K38" s="13">
        <f t="shared" si="4"/>
        <v>0.13259999999999994</v>
      </c>
      <c r="M38" s="8">
        <v>380</v>
      </c>
      <c r="N38" s="14">
        <v>0.107</v>
      </c>
    </row>
    <row r="39" spans="2:14">
      <c r="B39" s="8">
        <v>381</v>
      </c>
      <c r="C39" s="13">
        <f t="shared" si="0"/>
        <v>9.2409999999999964E-2</v>
      </c>
      <c r="D39" s="13">
        <f t="shared" si="1"/>
        <v>0.11412999999999981</v>
      </c>
      <c r="E39" s="13">
        <f t="shared" si="2"/>
        <v>0.13281999999999994</v>
      </c>
      <c r="G39" s="8">
        <v>381</v>
      </c>
      <c r="H39" s="13">
        <f t="shared" si="3"/>
        <v>0.11412999999999981</v>
      </c>
      <c r="J39" s="8">
        <v>381</v>
      </c>
      <c r="K39" s="13">
        <f t="shared" si="4"/>
        <v>0.13281999999999994</v>
      </c>
      <c r="M39" s="8">
        <v>381</v>
      </c>
      <c r="N39" s="14">
        <v>0.107</v>
      </c>
    </row>
    <row r="40" spans="2:14">
      <c r="B40" s="8">
        <v>382</v>
      </c>
      <c r="C40" s="13">
        <f t="shared" si="0"/>
        <v>9.2519999999999963E-2</v>
      </c>
      <c r="D40" s="13">
        <f t="shared" si="1"/>
        <v>0.11435999999999981</v>
      </c>
      <c r="E40" s="13">
        <f t="shared" si="2"/>
        <v>0.13303999999999994</v>
      </c>
      <c r="G40" s="8">
        <v>382</v>
      </c>
      <c r="H40" s="13">
        <f t="shared" si="3"/>
        <v>0.11435999999999981</v>
      </c>
      <c r="J40" s="8">
        <v>382</v>
      </c>
      <c r="K40" s="13">
        <f t="shared" si="4"/>
        <v>0.13303999999999994</v>
      </c>
      <c r="M40" s="8">
        <v>382</v>
      </c>
      <c r="N40" s="14">
        <v>0.107</v>
      </c>
    </row>
    <row r="41" spans="2:14">
      <c r="B41" s="8">
        <v>383</v>
      </c>
      <c r="C41" s="13">
        <f t="shared" ref="C41:C72" si="5">C40+(($C$108-$C$8)/100)</f>
        <v>9.2629999999999962E-2</v>
      </c>
      <c r="D41" s="13">
        <f t="shared" ref="D41:D72" si="6">D40+(($D$108-$D$8)/100)</f>
        <v>0.1145899999999998</v>
      </c>
      <c r="E41" s="13">
        <f t="shared" ref="E41:E72" si="7">E40+(($E$108-$E$8)/100)</f>
        <v>0.13325999999999993</v>
      </c>
      <c r="G41" s="8">
        <v>383</v>
      </c>
      <c r="H41" s="13">
        <f t="shared" ref="H41:H72" si="8">H40+(($D$108-$D$8)/100)</f>
        <v>0.1145899999999998</v>
      </c>
      <c r="J41" s="8">
        <v>383</v>
      </c>
      <c r="K41" s="13">
        <f t="shared" ref="K41:K72" si="9">K40+(($E$108-$E$8)/100)</f>
        <v>0.13325999999999993</v>
      </c>
      <c r="M41" s="8">
        <v>383</v>
      </c>
      <c r="N41" s="14">
        <v>0.107</v>
      </c>
    </row>
    <row r="42" spans="2:14">
      <c r="B42" s="8">
        <v>384</v>
      </c>
      <c r="C42" s="13">
        <f t="shared" si="5"/>
        <v>9.2739999999999961E-2</v>
      </c>
      <c r="D42" s="13">
        <f t="shared" si="6"/>
        <v>0.1148199999999998</v>
      </c>
      <c r="E42" s="13">
        <f t="shared" si="7"/>
        <v>0.13347999999999993</v>
      </c>
      <c r="G42" s="8">
        <v>384</v>
      </c>
      <c r="H42" s="13">
        <f t="shared" si="8"/>
        <v>0.1148199999999998</v>
      </c>
      <c r="J42" s="8">
        <v>384</v>
      </c>
      <c r="K42" s="13">
        <f t="shared" si="9"/>
        <v>0.13347999999999993</v>
      </c>
      <c r="M42" s="8">
        <v>384</v>
      </c>
      <c r="N42" s="14">
        <v>0.107</v>
      </c>
    </row>
    <row r="43" spans="2:14">
      <c r="B43" s="8">
        <v>385</v>
      </c>
      <c r="C43" s="13">
        <f t="shared" si="5"/>
        <v>9.284999999999996E-2</v>
      </c>
      <c r="D43" s="13">
        <f t="shared" si="6"/>
        <v>0.11504999999999979</v>
      </c>
      <c r="E43" s="13">
        <f t="shared" si="7"/>
        <v>0.13369999999999993</v>
      </c>
      <c r="G43" s="8">
        <v>385</v>
      </c>
      <c r="H43" s="13">
        <f t="shared" si="8"/>
        <v>0.11504999999999979</v>
      </c>
      <c r="J43" s="8">
        <v>385</v>
      </c>
      <c r="K43" s="13">
        <f t="shared" si="9"/>
        <v>0.13369999999999993</v>
      </c>
      <c r="M43" s="8">
        <v>385</v>
      </c>
      <c r="N43" s="14">
        <v>0.107</v>
      </c>
    </row>
    <row r="44" spans="2:14">
      <c r="B44" s="8">
        <v>386</v>
      </c>
      <c r="C44" s="13">
        <f t="shared" si="5"/>
        <v>9.2959999999999959E-2</v>
      </c>
      <c r="D44" s="13">
        <f t="shared" si="6"/>
        <v>0.11527999999999979</v>
      </c>
      <c r="E44" s="13">
        <f t="shared" si="7"/>
        <v>0.13391999999999993</v>
      </c>
      <c r="G44" s="8">
        <v>386</v>
      </c>
      <c r="H44" s="13">
        <f t="shared" si="8"/>
        <v>0.11527999999999979</v>
      </c>
      <c r="J44" s="8">
        <v>386</v>
      </c>
      <c r="K44" s="13">
        <f t="shared" si="9"/>
        <v>0.13391999999999993</v>
      </c>
      <c r="M44" s="8">
        <v>386</v>
      </c>
      <c r="N44" s="14">
        <v>0.107</v>
      </c>
    </row>
    <row r="45" spans="2:14">
      <c r="B45" s="8">
        <v>387</v>
      </c>
      <c r="C45" s="13">
        <f t="shared" si="5"/>
        <v>9.3069999999999958E-2</v>
      </c>
      <c r="D45" s="13">
        <f t="shared" si="6"/>
        <v>0.11550999999999978</v>
      </c>
      <c r="E45" s="13">
        <f t="shared" si="7"/>
        <v>0.13413999999999993</v>
      </c>
      <c r="G45" s="8">
        <v>387</v>
      </c>
      <c r="H45" s="13">
        <f t="shared" si="8"/>
        <v>0.11550999999999978</v>
      </c>
      <c r="J45" s="8">
        <v>387</v>
      </c>
      <c r="K45" s="13">
        <f t="shared" si="9"/>
        <v>0.13413999999999993</v>
      </c>
      <c r="M45" s="8">
        <v>387</v>
      </c>
      <c r="N45" s="14">
        <v>0.107</v>
      </c>
    </row>
    <row r="46" spans="2:14">
      <c r="B46" s="8">
        <v>388</v>
      </c>
      <c r="C46" s="13">
        <f t="shared" si="5"/>
        <v>9.3179999999999957E-2</v>
      </c>
      <c r="D46" s="13">
        <f t="shared" si="6"/>
        <v>0.11573999999999977</v>
      </c>
      <c r="E46" s="13">
        <f t="shared" si="7"/>
        <v>0.13435999999999992</v>
      </c>
      <c r="G46" s="8">
        <v>388</v>
      </c>
      <c r="H46" s="13">
        <f t="shared" si="8"/>
        <v>0.11573999999999977</v>
      </c>
      <c r="J46" s="8">
        <v>388</v>
      </c>
      <c r="K46" s="13">
        <f t="shared" si="9"/>
        <v>0.13435999999999992</v>
      </c>
      <c r="M46" s="8">
        <v>388</v>
      </c>
      <c r="N46" s="14">
        <v>0.107</v>
      </c>
    </row>
    <row r="47" spans="2:14">
      <c r="B47" s="8">
        <v>389</v>
      </c>
      <c r="C47" s="13">
        <f t="shared" si="5"/>
        <v>9.3289999999999956E-2</v>
      </c>
      <c r="D47" s="13">
        <f t="shared" si="6"/>
        <v>0.11596999999999977</v>
      </c>
      <c r="E47" s="13">
        <f t="shared" si="7"/>
        <v>0.13457999999999992</v>
      </c>
      <c r="G47" s="8">
        <v>389</v>
      </c>
      <c r="H47" s="13">
        <f t="shared" si="8"/>
        <v>0.11596999999999977</v>
      </c>
      <c r="J47" s="8">
        <v>389</v>
      </c>
      <c r="K47" s="13">
        <f t="shared" si="9"/>
        <v>0.13457999999999992</v>
      </c>
      <c r="M47" s="8">
        <v>389</v>
      </c>
      <c r="N47" s="14">
        <v>0.107</v>
      </c>
    </row>
    <row r="48" spans="2:14">
      <c r="B48" s="8">
        <v>390</v>
      </c>
      <c r="C48" s="13">
        <f t="shared" si="5"/>
        <v>9.3399999999999955E-2</v>
      </c>
      <c r="D48" s="13">
        <f t="shared" si="6"/>
        <v>0.11619999999999976</v>
      </c>
      <c r="E48" s="13">
        <f t="shared" si="7"/>
        <v>0.13479999999999992</v>
      </c>
      <c r="G48" s="8">
        <v>390</v>
      </c>
      <c r="H48" s="13">
        <f t="shared" si="8"/>
        <v>0.11619999999999976</v>
      </c>
      <c r="J48" s="8">
        <v>390</v>
      </c>
      <c r="K48" s="13">
        <f t="shared" si="9"/>
        <v>0.13479999999999992</v>
      </c>
      <c r="M48" s="8">
        <v>390</v>
      </c>
      <c r="N48" s="14">
        <v>0.107</v>
      </c>
    </row>
    <row r="49" spans="2:14">
      <c r="B49" s="8">
        <v>391</v>
      </c>
      <c r="C49" s="13">
        <f t="shared" si="5"/>
        <v>9.3509999999999954E-2</v>
      </c>
      <c r="D49" s="13">
        <f t="shared" si="6"/>
        <v>0.11642999999999976</v>
      </c>
      <c r="E49" s="13">
        <f t="shared" si="7"/>
        <v>0.13501999999999992</v>
      </c>
      <c r="G49" s="8">
        <v>391</v>
      </c>
      <c r="H49" s="13">
        <f t="shared" si="8"/>
        <v>0.11642999999999976</v>
      </c>
      <c r="J49" s="8">
        <v>391</v>
      </c>
      <c r="K49" s="13">
        <f t="shared" si="9"/>
        <v>0.13501999999999992</v>
      </c>
      <c r="M49" s="8">
        <v>391</v>
      </c>
      <c r="N49" s="14">
        <v>0.107</v>
      </c>
    </row>
    <row r="50" spans="2:14">
      <c r="B50" s="8">
        <v>392</v>
      </c>
      <c r="C50" s="13">
        <f t="shared" si="5"/>
        <v>9.3619999999999953E-2</v>
      </c>
      <c r="D50" s="13">
        <f t="shared" si="6"/>
        <v>0.11665999999999975</v>
      </c>
      <c r="E50" s="13">
        <f t="shared" si="7"/>
        <v>0.13523999999999992</v>
      </c>
      <c r="G50" s="8">
        <v>392</v>
      </c>
      <c r="H50" s="13">
        <f t="shared" si="8"/>
        <v>0.11665999999999975</v>
      </c>
      <c r="J50" s="8">
        <v>392</v>
      </c>
      <c r="K50" s="13">
        <f t="shared" si="9"/>
        <v>0.13523999999999992</v>
      </c>
      <c r="M50" s="8">
        <v>392</v>
      </c>
      <c r="N50" s="14">
        <v>0.107</v>
      </c>
    </row>
    <row r="51" spans="2:14">
      <c r="B51" s="8">
        <v>393</v>
      </c>
      <c r="C51" s="13">
        <f t="shared" si="5"/>
        <v>9.3729999999999952E-2</v>
      </c>
      <c r="D51" s="13">
        <f t="shared" si="6"/>
        <v>0.11688999999999974</v>
      </c>
      <c r="E51" s="13">
        <f t="shared" si="7"/>
        <v>0.13545999999999991</v>
      </c>
      <c r="G51" s="8">
        <v>393</v>
      </c>
      <c r="H51" s="13">
        <f t="shared" si="8"/>
        <v>0.11688999999999974</v>
      </c>
      <c r="J51" s="8">
        <v>393</v>
      </c>
      <c r="K51" s="13">
        <f t="shared" si="9"/>
        <v>0.13545999999999991</v>
      </c>
      <c r="M51" s="8">
        <v>393</v>
      </c>
      <c r="N51" s="14">
        <v>0.107</v>
      </c>
    </row>
    <row r="52" spans="2:14">
      <c r="B52" s="8">
        <v>394</v>
      </c>
      <c r="C52" s="13">
        <f t="shared" si="5"/>
        <v>9.3839999999999951E-2</v>
      </c>
      <c r="D52" s="13">
        <f t="shared" si="6"/>
        <v>0.11711999999999974</v>
      </c>
      <c r="E52" s="13">
        <f t="shared" si="7"/>
        <v>0.13567999999999991</v>
      </c>
      <c r="G52" s="8">
        <v>394</v>
      </c>
      <c r="H52" s="13">
        <f t="shared" si="8"/>
        <v>0.11711999999999974</v>
      </c>
      <c r="J52" s="8">
        <v>394</v>
      </c>
      <c r="K52" s="13">
        <f t="shared" si="9"/>
        <v>0.13567999999999991</v>
      </c>
      <c r="M52" s="8">
        <v>394</v>
      </c>
      <c r="N52" s="14">
        <v>0.107</v>
      </c>
    </row>
    <row r="53" spans="2:14">
      <c r="B53" s="8">
        <v>395</v>
      </c>
      <c r="C53" s="13">
        <f t="shared" si="5"/>
        <v>9.394999999999995E-2</v>
      </c>
      <c r="D53" s="13">
        <f t="shared" si="6"/>
        <v>0.11734999999999973</v>
      </c>
      <c r="E53" s="13">
        <f t="shared" si="7"/>
        <v>0.13589999999999991</v>
      </c>
      <c r="G53" s="8">
        <v>395</v>
      </c>
      <c r="H53" s="13">
        <f t="shared" si="8"/>
        <v>0.11734999999999973</v>
      </c>
      <c r="J53" s="8">
        <v>395</v>
      </c>
      <c r="K53" s="13">
        <f t="shared" si="9"/>
        <v>0.13589999999999991</v>
      </c>
      <c r="M53" s="8">
        <v>395</v>
      </c>
      <c r="N53" s="14">
        <v>0.107</v>
      </c>
    </row>
    <row r="54" spans="2:14">
      <c r="B54" s="8">
        <v>396</v>
      </c>
      <c r="C54" s="13">
        <f t="shared" si="5"/>
        <v>9.4059999999999949E-2</v>
      </c>
      <c r="D54" s="13">
        <f t="shared" si="6"/>
        <v>0.11757999999999973</v>
      </c>
      <c r="E54" s="13">
        <f t="shared" si="7"/>
        <v>0.13611999999999991</v>
      </c>
      <c r="G54" s="8">
        <v>396</v>
      </c>
      <c r="H54" s="13">
        <f t="shared" si="8"/>
        <v>0.11757999999999973</v>
      </c>
      <c r="J54" s="8">
        <v>396</v>
      </c>
      <c r="K54" s="13">
        <f t="shared" si="9"/>
        <v>0.13611999999999991</v>
      </c>
      <c r="M54" s="8">
        <v>396</v>
      </c>
      <c r="N54" s="14">
        <v>0.107</v>
      </c>
    </row>
    <row r="55" spans="2:14">
      <c r="B55" s="8">
        <v>397</v>
      </c>
      <c r="C55" s="13">
        <f t="shared" si="5"/>
        <v>9.4169999999999948E-2</v>
      </c>
      <c r="D55" s="13">
        <f t="shared" si="6"/>
        <v>0.11780999999999972</v>
      </c>
      <c r="E55" s="13">
        <f t="shared" si="7"/>
        <v>0.13633999999999991</v>
      </c>
      <c r="G55" s="8">
        <v>397</v>
      </c>
      <c r="H55" s="13">
        <f t="shared" si="8"/>
        <v>0.11780999999999972</v>
      </c>
      <c r="J55" s="8">
        <v>397</v>
      </c>
      <c r="K55" s="13">
        <f t="shared" si="9"/>
        <v>0.13633999999999991</v>
      </c>
      <c r="M55" s="8">
        <v>397</v>
      </c>
      <c r="N55" s="14">
        <v>0.107</v>
      </c>
    </row>
    <row r="56" spans="2:14">
      <c r="B56" s="8">
        <v>398</v>
      </c>
      <c r="C56" s="13">
        <f t="shared" si="5"/>
        <v>9.4279999999999947E-2</v>
      </c>
      <c r="D56" s="13">
        <f t="shared" si="6"/>
        <v>0.11803999999999971</v>
      </c>
      <c r="E56" s="13">
        <f t="shared" si="7"/>
        <v>0.1365599999999999</v>
      </c>
      <c r="G56" s="8">
        <v>398</v>
      </c>
      <c r="H56" s="13">
        <f t="shared" si="8"/>
        <v>0.11803999999999971</v>
      </c>
      <c r="J56" s="8">
        <v>398</v>
      </c>
      <c r="K56" s="13">
        <f t="shared" si="9"/>
        <v>0.1365599999999999</v>
      </c>
      <c r="M56" s="8">
        <v>398</v>
      </c>
      <c r="N56" s="14">
        <v>0.107</v>
      </c>
    </row>
    <row r="57" spans="2:14">
      <c r="B57" s="8">
        <v>399</v>
      </c>
      <c r="C57" s="13">
        <f t="shared" si="5"/>
        <v>9.4389999999999946E-2</v>
      </c>
      <c r="D57" s="13">
        <f t="shared" si="6"/>
        <v>0.11826999999999971</v>
      </c>
      <c r="E57" s="13">
        <f t="shared" si="7"/>
        <v>0.1367799999999999</v>
      </c>
      <c r="G57" s="8">
        <v>399</v>
      </c>
      <c r="H57" s="13">
        <f t="shared" si="8"/>
        <v>0.11826999999999971</v>
      </c>
      <c r="J57" s="8">
        <v>399</v>
      </c>
      <c r="K57" s="13">
        <f t="shared" si="9"/>
        <v>0.1367799999999999</v>
      </c>
      <c r="M57" s="8">
        <v>399</v>
      </c>
      <c r="N57" s="14">
        <v>0.107</v>
      </c>
    </row>
    <row r="58" spans="2:14">
      <c r="B58" s="8">
        <v>400</v>
      </c>
      <c r="C58" s="13">
        <f t="shared" si="5"/>
        <v>9.4499999999999945E-2</v>
      </c>
      <c r="D58" s="13">
        <f t="shared" si="6"/>
        <v>0.1184999999999997</v>
      </c>
      <c r="E58" s="13">
        <f t="shared" si="7"/>
        <v>0.1369999999999999</v>
      </c>
      <c r="G58" s="8">
        <v>400</v>
      </c>
      <c r="H58" s="13">
        <f t="shared" si="8"/>
        <v>0.1184999999999997</v>
      </c>
      <c r="J58" s="8">
        <v>400</v>
      </c>
      <c r="K58" s="13">
        <f t="shared" si="9"/>
        <v>0.1369999999999999</v>
      </c>
      <c r="M58" s="8">
        <v>400</v>
      </c>
      <c r="N58" s="14">
        <v>0.107</v>
      </c>
    </row>
    <row r="59" spans="2:14">
      <c r="B59" s="8">
        <v>401</v>
      </c>
      <c r="C59" s="13">
        <f t="shared" si="5"/>
        <v>9.4609999999999944E-2</v>
      </c>
      <c r="D59" s="13">
        <f t="shared" si="6"/>
        <v>0.1187299999999997</v>
      </c>
      <c r="E59" s="13">
        <f t="shared" si="7"/>
        <v>0.1372199999999999</v>
      </c>
      <c r="G59" s="8">
        <v>401</v>
      </c>
      <c r="H59" s="13">
        <f t="shared" si="8"/>
        <v>0.1187299999999997</v>
      </c>
      <c r="J59" s="8">
        <v>401</v>
      </c>
      <c r="K59" s="13">
        <f t="shared" si="9"/>
        <v>0.1372199999999999</v>
      </c>
      <c r="M59" s="8">
        <v>401</v>
      </c>
      <c r="N59" s="14">
        <v>0.107</v>
      </c>
    </row>
    <row r="60" spans="2:14">
      <c r="B60" s="8">
        <v>402</v>
      </c>
      <c r="C60" s="13">
        <f t="shared" si="5"/>
        <v>9.4719999999999943E-2</v>
      </c>
      <c r="D60" s="13">
        <f t="shared" si="6"/>
        <v>0.11895999999999969</v>
      </c>
      <c r="E60" s="13">
        <f t="shared" si="7"/>
        <v>0.1374399999999999</v>
      </c>
      <c r="G60" s="8">
        <v>402</v>
      </c>
      <c r="H60" s="13">
        <f t="shared" si="8"/>
        <v>0.11895999999999969</v>
      </c>
      <c r="J60" s="8">
        <v>402</v>
      </c>
      <c r="K60" s="13">
        <f t="shared" si="9"/>
        <v>0.1374399999999999</v>
      </c>
      <c r="M60" s="8">
        <v>402</v>
      </c>
      <c r="N60" s="14">
        <v>0.107</v>
      </c>
    </row>
    <row r="61" spans="2:14">
      <c r="B61" s="8">
        <v>403</v>
      </c>
      <c r="C61" s="13">
        <f t="shared" si="5"/>
        <v>9.4829999999999942E-2</v>
      </c>
      <c r="D61" s="13">
        <f t="shared" si="6"/>
        <v>0.11918999999999969</v>
      </c>
      <c r="E61" s="13">
        <f t="shared" si="7"/>
        <v>0.13765999999999989</v>
      </c>
      <c r="G61" s="8">
        <v>403</v>
      </c>
      <c r="H61" s="13">
        <f t="shared" si="8"/>
        <v>0.11918999999999969</v>
      </c>
      <c r="J61" s="8">
        <v>403</v>
      </c>
      <c r="K61" s="13">
        <f t="shared" si="9"/>
        <v>0.13765999999999989</v>
      </c>
      <c r="M61" s="8">
        <v>403</v>
      </c>
      <c r="N61" s="14">
        <v>0.107</v>
      </c>
    </row>
    <row r="62" spans="2:14">
      <c r="B62" s="8">
        <v>404</v>
      </c>
      <c r="C62" s="13">
        <f t="shared" si="5"/>
        <v>9.4939999999999941E-2</v>
      </c>
      <c r="D62" s="13">
        <f t="shared" si="6"/>
        <v>0.11941999999999968</v>
      </c>
      <c r="E62" s="13">
        <f t="shared" si="7"/>
        <v>0.13787999999999989</v>
      </c>
      <c r="G62" s="8">
        <v>404</v>
      </c>
      <c r="H62" s="13">
        <f t="shared" si="8"/>
        <v>0.11941999999999968</v>
      </c>
      <c r="J62" s="8">
        <v>404</v>
      </c>
      <c r="K62" s="13">
        <f t="shared" si="9"/>
        <v>0.13787999999999989</v>
      </c>
      <c r="M62" s="8">
        <v>404</v>
      </c>
      <c r="N62" s="14">
        <v>0.107</v>
      </c>
    </row>
    <row r="63" spans="2:14">
      <c r="B63" s="8">
        <v>405</v>
      </c>
      <c r="C63" s="13">
        <f t="shared" si="5"/>
        <v>9.504999999999994E-2</v>
      </c>
      <c r="D63" s="13">
        <f t="shared" si="6"/>
        <v>0.11964999999999967</v>
      </c>
      <c r="E63" s="13">
        <f t="shared" si="7"/>
        <v>0.13809999999999989</v>
      </c>
      <c r="G63" s="8">
        <v>405</v>
      </c>
      <c r="H63" s="13">
        <f t="shared" si="8"/>
        <v>0.11964999999999967</v>
      </c>
      <c r="J63" s="8">
        <v>405</v>
      </c>
      <c r="K63" s="13">
        <f t="shared" si="9"/>
        <v>0.13809999999999989</v>
      </c>
      <c r="M63" s="8">
        <v>405</v>
      </c>
      <c r="N63" s="14">
        <v>0.107</v>
      </c>
    </row>
    <row r="64" spans="2:14">
      <c r="B64" s="8">
        <v>406</v>
      </c>
      <c r="C64" s="13">
        <f t="shared" si="5"/>
        <v>9.5159999999999939E-2</v>
      </c>
      <c r="D64" s="13">
        <f t="shared" si="6"/>
        <v>0.11987999999999967</v>
      </c>
      <c r="E64" s="13">
        <f t="shared" si="7"/>
        <v>0.13831999999999989</v>
      </c>
      <c r="G64" s="8">
        <v>406</v>
      </c>
      <c r="H64" s="13">
        <f t="shared" si="8"/>
        <v>0.11987999999999967</v>
      </c>
      <c r="J64" s="8">
        <v>406</v>
      </c>
      <c r="K64" s="13">
        <f t="shared" si="9"/>
        <v>0.13831999999999989</v>
      </c>
      <c r="M64" s="8">
        <v>406</v>
      </c>
      <c r="N64" s="14">
        <v>0.107</v>
      </c>
    </row>
    <row r="65" spans="2:14">
      <c r="B65" s="8">
        <v>407</v>
      </c>
      <c r="C65" s="13">
        <f t="shared" si="5"/>
        <v>9.5269999999999938E-2</v>
      </c>
      <c r="D65" s="13">
        <f t="shared" si="6"/>
        <v>0.12010999999999966</v>
      </c>
      <c r="E65" s="13">
        <f t="shared" si="7"/>
        <v>0.13853999999999989</v>
      </c>
      <c r="G65" s="8">
        <v>407</v>
      </c>
      <c r="H65" s="13">
        <f t="shared" si="8"/>
        <v>0.12010999999999966</v>
      </c>
      <c r="J65" s="8">
        <v>407</v>
      </c>
      <c r="K65" s="13">
        <f t="shared" si="9"/>
        <v>0.13853999999999989</v>
      </c>
      <c r="M65" s="8">
        <v>407</v>
      </c>
      <c r="N65" s="14">
        <v>0.107</v>
      </c>
    </row>
    <row r="66" spans="2:14">
      <c r="B66" s="8">
        <v>408</v>
      </c>
      <c r="C66" s="13">
        <f t="shared" si="5"/>
        <v>9.5379999999999937E-2</v>
      </c>
      <c r="D66" s="13">
        <f t="shared" si="6"/>
        <v>0.12033999999999966</v>
      </c>
      <c r="E66" s="13">
        <f t="shared" si="7"/>
        <v>0.13875999999999988</v>
      </c>
      <c r="G66" s="8">
        <v>408</v>
      </c>
      <c r="H66" s="13">
        <f t="shared" si="8"/>
        <v>0.12033999999999966</v>
      </c>
      <c r="J66" s="8">
        <v>408</v>
      </c>
      <c r="K66" s="13">
        <f t="shared" si="9"/>
        <v>0.13875999999999988</v>
      </c>
      <c r="M66" s="8">
        <v>408</v>
      </c>
      <c r="N66" s="14">
        <v>0.107</v>
      </c>
    </row>
    <row r="67" spans="2:14">
      <c r="B67" s="8">
        <v>409</v>
      </c>
      <c r="C67" s="13">
        <f t="shared" si="5"/>
        <v>9.5489999999999936E-2</v>
      </c>
      <c r="D67" s="13">
        <f t="shared" si="6"/>
        <v>0.12056999999999965</v>
      </c>
      <c r="E67" s="13">
        <f t="shared" si="7"/>
        <v>0.13897999999999988</v>
      </c>
      <c r="G67" s="8">
        <v>409</v>
      </c>
      <c r="H67" s="13">
        <f t="shared" si="8"/>
        <v>0.12056999999999965</v>
      </c>
      <c r="J67" s="8">
        <v>409</v>
      </c>
      <c r="K67" s="13">
        <f t="shared" si="9"/>
        <v>0.13897999999999988</v>
      </c>
      <c r="M67" s="8">
        <v>409</v>
      </c>
      <c r="N67" s="14">
        <v>0.107</v>
      </c>
    </row>
    <row r="68" spans="2:14">
      <c r="B68" s="8">
        <v>410</v>
      </c>
      <c r="C68" s="13">
        <f t="shared" si="5"/>
        <v>9.5599999999999935E-2</v>
      </c>
      <c r="D68" s="13">
        <f t="shared" si="6"/>
        <v>0.12079999999999964</v>
      </c>
      <c r="E68" s="13">
        <f t="shared" si="7"/>
        <v>0.13919999999999988</v>
      </c>
      <c r="G68" s="8">
        <v>410</v>
      </c>
      <c r="H68" s="13">
        <f t="shared" si="8"/>
        <v>0.12079999999999964</v>
      </c>
      <c r="J68" s="8">
        <v>410</v>
      </c>
      <c r="K68" s="13">
        <f t="shared" si="9"/>
        <v>0.13919999999999988</v>
      </c>
      <c r="M68" s="8">
        <v>410</v>
      </c>
      <c r="N68" s="14">
        <v>0.107</v>
      </c>
    </row>
    <row r="69" spans="2:14">
      <c r="B69" s="8">
        <v>411</v>
      </c>
      <c r="C69" s="13">
        <f t="shared" si="5"/>
        <v>9.5709999999999934E-2</v>
      </c>
      <c r="D69" s="13">
        <f t="shared" si="6"/>
        <v>0.12102999999999964</v>
      </c>
      <c r="E69" s="13">
        <f t="shared" si="7"/>
        <v>0.13941999999999988</v>
      </c>
      <c r="G69" s="8">
        <v>411</v>
      </c>
      <c r="H69" s="13">
        <f t="shared" si="8"/>
        <v>0.12102999999999964</v>
      </c>
      <c r="J69" s="8">
        <v>411</v>
      </c>
      <c r="K69" s="13">
        <f t="shared" si="9"/>
        <v>0.13941999999999988</v>
      </c>
      <c r="M69" s="8">
        <v>411</v>
      </c>
      <c r="N69" s="14">
        <v>0.107</v>
      </c>
    </row>
    <row r="70" spans="2:14">
      <c r="B70" s="8">
        <v>412</v>
      </c>
      <c r="C70" s="13">
        <f t="shared" si="5"/>
        <v>9.5819999999999933E-2</v>
      </c>
      <c r="D70" s="13">
        <f t="shared" si="6"/>
        <v>0.12125999999999963</v>
      </c>
      <c r="E70" s="13">
        <f t="shared" si="7"/>
        <v>0.13963999999999988</v>
      </c>
      <c r="G70" s="8">
        <v>412</v>
      </c>
      <c r="H70" s="13">
        <f t="shared" si="8"/>
        <v>0.12125999999999963</v>
      </c>
      <c r="J70" s="8">
        <v>412</v>
      </c>
      <c r="K70" s="13">
        <f t="shared" si="9"/>
        <v>0.13963999999999988</v>
      </c>
      <c r="M70" s="8">
        <v>412</v>
      </c>
      <c r="N70" s="14">
        <v>0.107</v>
      </c>
    </row>
    <row r="71" spans="2:14">
      <c r="B71" s="8">
        <v>413</v>
      </c>
      <c r="C71" s="13">
        <f t="shared" si="5"/>
        <v>9.5929999999999932E-2</v>
      </c>
      <c r="D71" s="13">
        <f t="shared" si="6"/>
        <v>0.12148999999999963</v>
      </c>
      <c r="E71" s="13">
        <f t="shared" si="7"/>
        <v>0.13985999999999987</v>
      </c>
      <c r="G71" s="8">
        <v>413</v>
      </c>
      <c r="H71" s="13">
        <f t="shared" si="8"/>
        <v>0.12148999999999963</v>
      </c>
      <c r="J71" s="8">
        <v>413</v>
      </c>
      <c r="K71" s="13">
        <f t="shared" si="9"/>
        <v>0.13985999999999987</v>
      </c>
      <c r="M71" s="8">
        <v>413</v>
      </c>
      <c r="N71" s="14">
        <v>0.107</v>
      </c>
    </row>
    <row r="72" spans="2:14">
      <c r="B72" s="8">
        <v>414</v>
      </c>
      <c r="C72" s="13">
        <f t="shared" si="5"/>
        <v>9.6039999999999931E-2</v>
      </c>
      <c r="D72" s="13">
        <f t="shared" si="6"/>
        <v>0.12171999999999962</v>
      </c>
      <c r="E72" s="13">
        <f t="shared" si="7"/>
        <v>0.14007999999999987</v>
      </c>
      <c r="G72" s="8">
        <v>414</v>
      </c>
      <c r="H72" s="13">
        <f t="shared" si="8"/>
        <v>0.12171999999999962</v>
      </c>
      <c r="J72" s="8">
        <v>414</v>
      </c>
      <c r="K72" s="13">
        <f t="shared" si="9"/>
        <v>0.14007999999999987</v>
      </c>
      <c r="M72" s="8">
        <v>414</v>
      </c>
      <c r="N72" s="14">
        <v>0.107</v>
      </c>
    </row>
    <row r="73" spans="2:14">
      <c r="B73" s="8">
        <v>415</v>
      </c>
      <c r="C73" s="13">
        <f t="shared" ref="C73:C107" si="10">C72+(($C$108-$C$8)/100)</f>
        <v>9.614999999999993E-2</v>
      </c>
      <c r="D73" s="13">
        <f t="shared" ref="D73:D107" si="11">D72+(($D$108-$D$8)/100)</f>
        <v>0.12194999999999961</v>
      </c>
      <c r="E73" s="13">
        <f t="shared" ref="E73:E107" si="12">E72+(($E$108-$E$8)/100)</f>
        <v>0.14029999999999987</v>
      </c>
      <c r="G73" s="8">
        <v>415</v>
      </c>
      <c r="H73" s="13">
        <f t="shared" ref="H73:H107" si="13">H72+(($D$108-$D$8)/100)</f>
        <v>0.12194999999999961</v>
      </c>
      <c r="J73" s="8">
        <v>415</v>
      </c>
      <c r="K73" s="13">
        <f t="shared" ref="K73:K107" si="14">K72+(($E$108-$E$8)/100)</f>
        <v>0.14029999999999987</v>
      </c>
      <c r="M73" s="8">
        <v>415</v>
      </c>
      <c r="N73" s="14">
        <v>0.107</v>
      </c>
    </row>
    <row r="74" spans="2:14">
      <c r="B74" s="8">
        <v>416</v>
      </c>
      <c r="C74" s="13">
        <f t="shared" si="10"/>
        <v>9.6259999999999929E-2</v>
      </c>
      <c r="D74" s="13">
        <f t="shared" si="11"/>
        <v>0.12217999999999961</v>
      </c>
      <c r="E74" s="13">
        <f t="shared" si="12"/>
        <v>0.14051999999999987</v>
      </c>
      <c r="G74" s="8">
        <v>416</v>
      </c>
      <c r="H74" s="13">
        <f t="shared" si="13"/>
        <v>0.12217999999999961</v>
      </c>
      <c r="J74" s="8">
        <v>416</v>
      </c>
      <c r="K74" s="13">
        <f t="shared" si="14"/>
        <v>0.14051999999999987</v>
      </c>
      <c r="M74" s="8">
        <v>416</v>
      </c>
      <c r="N74" s="14">
        <v>0.107</v>
      </c>
    </row>
    <row r="75" spans="2:14">
      <c r="B75" s="8">
        <v>417</v>
      </c>
      <c r="C75" s="13">
        <f t="shared" si="10"/>
        <v>9.6369999999999928E-2</v>
      </c>
      <c r="D75" s="13">
        <f t="shared" si="11"/>
        <v>0.1224099999999996</v>
      </c>
      <c r="E75" s="13">
        <f t="shared" si="12"/>
        <v>0.14073999999999987</v>
      </c>
      <c r="G75" s="8">
        <v>417</v>
      </c>
      <c r="H75" s="13">
        <f t="shared" si="13"/>
        <v>0.1224099999999996</v>
      </c>
      <c r="J75" s="8">
        <v>417</v>
      </c>
      <c r="K75" s="13">
        <f t="shared" si="14"/>
        <v>0.14073999999999987</v>
      </c>
      <c r="M75" s="8">
        <v>417</v>
      </c>
      <c r="N75" s="14">
        <v>0.107</v>
      </c>
    </row>
    <row r="76" spans="2:14">
      <c r="B76" s="8">
        <v>418</v>
      </c>
      <c r="C76" s="13">
        <f t="shared" si="10"/>
        <v>9.6479999999999927E-2</v>
      </c>
      <c r="D76" s="13">
        <f t="shared" si="11"/>
        <v>0.1226399999999996</v>
      </c>
      <c r="E76" s="13">
        <f t="shared" si="12"/>
        <v>0.14095999999999986</v>
      </c>
      <c r="G76" s="8">
        <v>418</v>
      </c>
      <c r="H76" s="13">
        <f t="shared" si="13"/>
        <v>0.1226399999999996</v>
      </c>
      <c r="J76" s="8">
        <v>418</v>
      </c>
      <c r="K76" s="13">
        <f t="shared" si="14"/>
        <v>0.14095999999999986</v>
      </c>
      <c r="M76" s="8">
        <v>418</v>
      </c>
      <c r="N76" s="14">
        <v>0.107</v>
      </c>
    </row>
    <row r="77" spans="2:14">
      <c r="B77" s="8">
        <v>419</v>
      </c>
      <c r="C77" s="13">
        <f t="shared" si="10"/>
        <v>9.6589999999999926E-2</v>
      </c>
      <c r="D77" s="13">
        <f t="shared" si="11"/>
        <v>0.12286999999999959</v>
      </c>
      <c r="E77" s="13">
        <f t="shared" si="12"/>
        <v>0.14117999999999986</v>
      </c>
      <c r="G77" s="8">
        <v>419</v>
      </c>
      <c r="H77" s="13">
        <f t="shared" si="13"/>
        <v>0.12286999999999959</v>
      </c>
      <c r="J77" s="8">
        <v>419</v>
      </c>
      <c r="K77" s="13">
        <f t="shared" si="14"/>
        <v>0.14117999999999986</v>
      </c>
      <c r="M77" s="8">
        <v>419</v>
      </c>
      <c r="N77" s="14">
        <v>0.107</v>
      </c>
    </row>
    <row r="78" spans="2:14">
      <c r="B78" s="8">
        <v>420</v>
      </c>
      <c r="C78" s="13">
        <f t="shared" si="10"/>
        <v>9.6699999999999925E-2</v>
      </c>
      <c r="D78" s="13">
        <f t="shared" si="11"/>
        <v>0.12309999999999958</v>
      </c>
      <c r="E78" s="13">
        <f t="shared" si="12"/>
        <v>0.14139999999999986</v>
      </c>
      <c r="G78" s="8">
        <v>420</v>
      </c>
      <c r="H78" s="13">
        <f t="shared" si="13"/>
        <v>0.12309999999999958</v>
      </c>
      <c r="J78" s="8">
        <v>420</v>
      </c>
      <c r="K78" s="13">
        <f t="shared" si="14"/>
        <v>0.14139999999999986</v>
      </c>
      <c r="M78" s="8">
        <v>420</v>
      </c>
      <c r="N78" s="14">
        <v>0.107</v>
      </c>
    </row>
    <row r="79" spans="2:14">
      <c r="B79" s="8">
        <v>421</v>
      </c>
      <c r="C79" s="13">
        <f t="shared" si="10"/>
        <v>9.6809999999999924E-2</v>
      </c>
      <c r="D79" s="13">
        <f t="shared" si="11"/>
        <v>0.12332999999999958</v>
      </c>
      <c r="E79" s="13">
        <f t="shared" si="12"/>
        <v>0.14161999999999986</v>
      </c>
      <c r="G79" s="8">
        <v>421</v>
      </c>
      <c r="H79" s="13">
        <f t="shared" si="13"/>
        <v>0.12332999999999958</v>
      </c>
      <c r="J79" s="8">
        <v>421</v>
      </c>
      <c r="K79" s="13">
        <f t="shared" si="14"/>
        <v>0.14161999999999986</v>
      </c>
      <c r="M79" s="8">
        <v>421</v>
      </c>
      <c r="N79" s="14">
        <v>0.107</v>
      </c>
    </row>
    <row r="80" spans="2:14">
      <c r="B80" s="8">
        <v>422</v>
      </c>
      <c r="C80" s="13">
        <f t="shared" si="10"/>
        <v>9.6919999999999923E-2</v>
      </c>
      <c r="D80" s="13">
        <f t="shared" si="11"/>
        <v>0.12355999999999957</v>
      </c>
      <c r="E80" s="13">
        <f t="shared" si="12"/>
        <v>0.14183999999999986</v>
      </c>
      <c r="G80" s="8">
        <v>422</v>
      </c>
      <c r="H80" s="13">
        <f t="shared" si="13"/>
        <v>0.12355999999999957</v>
      </c>
      <c r="J80" s="8">
        <v>422</v>
      </c>
      <c r="K80" s="13">
        <f t="shared" si="14"/>
        <v>0.14183999999999986</v>
      </c>
      <c r="M80" s="8">
        <v>422</v>
      </c>
      <c r="N80" s="14">
        <v>0.107</v>
      </c>
    </row>
    <row r="81" spans="2:14">
      <c r="B81" s="8">
        <v>423</v>
      </c>
      <c r="C81" s="13">
        <f t="shared" si="10"/>
        <v>9.7029999999999922E-2</v>
      </c>
      <c r="D81" s="13">
        <f t="shared" si="11"/>
        <v>0.12378999999999957</v>
      </c>
      <c r="E81" s="13">
        <f t="shared" si="12"/>
        <v>0.14205999999999985</v>
      </c>
      <c r="G81" s="8">
        <v>423</v>
      </c>
      <c r="H81" s="13">
        <f t="shared" si="13"/>
        <v>0.12378999999999957</v>
      </c>
      <c r="J81" s="8">
        <v>423</v>
      </c>
      <c r="K81" s="13">
        <f t="shared" si="14"/>
        <v>0.14205999999999985</v>
      </c>
      <c r="M81" s="8">
        <v>423</v>
      </c>
      <c r="N81" s="14">
        <v>0.107</v>
      </c>
    </row>
    <row r="82" spans="2:14">
      <c r="B82" s="8">
        <v>424</v>
      </c>
      <c r="C82" s="13">
        <f t="shared" si="10"/>
        <v>9.7139999999999921E-2</v>
      </c>
      <c r="D82" s="13">
        <f t="shared" si="11"/>
        <v>0.12401999999999956</v>
      </c>
      <c r="E82" s="13">
        <f t="shared" si="12"/>
        <v>0.14227999999999985</v>
      </c>
      <c r="G82" s="8">
        <v>424</v>
      </c>
      <c r="H82" s="13">
        <f t="shared" si="13"/>
        <v>0.12401999999999956</v>
      </c>
      <c r="J82" s="8">
        <v>424</v>
      </c>
      <c r="K82" s="13">
        <f t="shared" si="14"/>
        <v>0.14227999999999985</v>
      </c>
      <c r="M82" s="8">
        <v>424</v>
      </c>
      <c r="N82" s="14">
        <v>0.107</v>
      </c>
    </row>
    <row r="83" spans="2:14">
      <c r="B83" s="8">
        <v>425</v>
      </c>
      <c r="C83" s="13">
        <f t="shared" si="10"/>
        <v>9.724999999999992E-2</v>
      </c>
      <c r="D83" s="13">
        <f t="shared" si="11"/>
        <v>0.12424999999999956</v>
      </c>
      <c r="E83" s="13">
        <f t="shared" si="12"/>
        <v>0.14249999999999985</v>
      </c>
      <c r="G83" s="8">
        <v>425</v>
      </c>
      <c r="H83" s="13">
        <f t="shared" si="13"/>
        <v>0.12424999999999956</v>
      </c>
      <c r="J83" s="8">
        <v>425</v>
      </c>
      <c r="K83" s="13">
        <f t="shared" si="14"/>
        <v>0.14249999999999985</v>
      </c>
      <c r="M83" s="8">
        <v>425</v>
      </c>
      <c r="N83" s="14">
        <v>0.107</v>
      </c>
    </row>
    <row r="84" spans="2:14">
      <c r="B84" s="8">
        <v>426</v>
      </c>
      <c r="C84" s="13">
        <f t="shared" si="10"/>
        <v>9.7359999999999919E-2</v>
      </c>
      <c r="D84" s="13">
        <f t="shared" si="11"/>
        <v>0.12447999999999955</v>
      </c>
      <c r="E84" s="13">
        <f t="shared" si="12"/>
        <v>0.14271999999999985</v>
      </c>
      <c r="G84" s="8">
        <v>426</v>
      </c>
      <c r="H84" s="13">
        <f t="shared" si="13"/>
        <v>0.12447999999999955</v>
      </c>
      <c r="J84" s="8">
        <v>426</v>
      </c>
      <c r="K84" s="13">
        <f t="shared" si="14"/>
        <v>0.14271999999999985</v>
      </c>
      <c r="M84" s="8">
        <v>426</v>
      </c>
      <c r="N84" s="14">
        <v>0.107</v>
      </c>
    </row>
    <row r="85" spans="2:14">
      <c r="B85" s="8">
        <v>427</v>
      </c>
      <c r="C85" s="13">
        <f t="shared" si="10"/>
        <v>9.7469999999999918E-2</v>
      </c>
      <c r="D85" s="13">
        <f t="shared" si="11"/>
        <v>0.12470999999999954</v>
      </c>
      <c r="E85" s="13">
        <f t="shared" si="12"/>
        <v>0.14293999999999984</v>
      </c>
      <c r="G85" s="8">
        <v>427</v>
      </c>
      <c r="H85" s="13">
        <f t="shared" si="13"/>
        <v>0.12470999999999954</v>
      </c>
      <c r="J85" s="8">
        <v>427</v>
      </c>
      <c r="K85" s="13">
        <f t="shared" si="14"/>
        <v>0.14293999999999984</v>
      </c>
      <c r="M85" s="8">
        <v>427</v>
      </c>
      <c r="N85" s="14">
        <v>0.107</v>
      </c>
    </row>
    <row r="86" spans="2:14">
      <c r="B86" s="8">
        <v>428</v>
      </c>
      <c r="C86" s="13">
        <f t="shared" si="10"/>
        <v>9.7579999999999917E-2</v>
      </c>
      <c r="D86" s="13">
        <f t="shared" si="11"/>
        <v>0.12493999999999954</v>
      </c>
      <c r="E86" s="13">
        <f t="shared" si="12"/>
        <v>0.14315999999999984</v>
      </c>
      <c r="G86" s="8">
        <v>428</v>
      </c>
      <c r="H86" s="13">
        <f t="shared" si="13"/>
        <v>0.12493999999999954</v>
      </c>
      <c r="J86" s="8">
        <v>428</v>
      </c>
      <c r="K86" s="13">
        <f t="shared" si="14"/>
        <v>0.14315999999999984</v>
      </c>
      <c r="M86" s="8">
        <v>428</v>
      </c>
      <c r="N86" s="14">
        <v>0.107</v>
      </c>
    </row>
    <row r="87" spans="2:14">
      <c r="B87" s="8">
        <v>429</v>
      </c>
      <c r="C87" s="13">
        <f t="shared" si="10"/>
        <v>9.7689999999999916E-2</v>
      </c>
      <c r="D87" s="13">
        <f t="shared" si="11"/>
        <v>0.12516999999999953</v>
      </c>
      <c r="E87" s="13">
        <f t="shared" si="12"/>
        <v>0.14337999999999984</v>
      </c>
      <c r="G87" s="8">
        <v>429</v>
      </c>
      <c r="H87" s="13">
        <f t="shared" si="13"/>
        <v>0.12516999999999953</v>
      </c>
      <c r="J87" s="8">
        <v>429</v>
      </c>
      <c r="K87" s="13">
        <f t="shared" si="14"/>
        <v>0.14337999999999984</v>
      </c>
      <c r="M87" s="8">
        <v>429</v>
      </c>
      <c r="N87" s="14">
        <v>0.107</v>
      </c>
    </row>
    <row r="88" spans="2:14">
      <c r="B88" s="8">
        <v>430</v>
      </c>
      <c r="C88" s="13">
        <f t="shared" si="10"/>
        <v>9.7799999999999915E-2</v>
      </c>
      <c r="D88" s="13">
        <f t="shared" si="11"/>
        <v>0.12539999999999954</v>
      </c>
      <c r="E88" s="13">
        <f t="shared" si="12"/>
        <v>0.14359999999999984</v>
      </c>
      <c r="G88" s="8">
        <v>430</v>
      </c>
      <c r="H88" s="13">
        <f t="shared" si="13"/>
        <v>0.12539999999999954</v>
      </c>
      <c r="J88" s="8">
        <v>430</v>
      </c>
      <c r="K88" s="13">
        <f t="shared" si="14"/>
        <v>0.14359999999999984</v>
      </c>
      <c r="M88" s="8">
        <v>430</v>
      </c>
      <c r="N88" s="14">
        <v>0.107</v>
      </c>
    </row>
    <row r="89" spans="2:14">
      <c r="B89" s="8">
        <v>431</v>
      </c>
      <c r="C89" s="13">
        <f t="shared" si="10"/>
        <v>9.7909999999999914E-2</v>
      </c>
      <c r="D89" s="13">
        <f t="shared" si="11"/>
        <v>0.12562999999999955</v>
      </c>
      <c r="E89" s="13">
        <f t="shared" si="12"/>
        <v>0.14381999999999984</v>
      </c>
      <c r="G89" s="8">
        <v>431</v>
      </c>
      <c r="H89" s="13">
        <f t="shared" si="13"/>
        <v>0.12562999999999955</v>
      </c>
      <c r="J89" s="8">
        <v>431</v>
      </c>
      <c r="K89" s="13">
        <f t="shared" si="14"/>
        <v>0.14381999999999984</v>
      </c>
      <c r="M89" s="8">
        <v>431</v>
      </c>
      <c r="N89" s="14">
        <v>0.107</v>
      </c>
    </row>
    <row r="90" spans="2:14">
      <c r="B90" s="8">
        <v>432</v>
      </c>
      <c r="C90" s="13">
        <f t="shared" si="10"/>
        <v>9.8019999999999913E-2</v>
      </c>
      <c r="D90" s="13">
        <f t="shared" si="11"/>
        <v>0.12585999999999956</v>
      </c>
      <c r="E90" s="13">
        <f t="shared" si="12"/>
        <v>0.14403999999999983</v>
      </c>
      <c r="G90" s="8">
        <v>432</v>
      </c>
      <c r="H90" s="13">
        <f t="shared" si="13"/>
        <v>0.12585999999999956</v>
      </c>
      <c r="J90" s="8">
        <v>432</v>
      </c>
      <c r="K90" s="13">
        <f t="shared" si="14"/>
        <v>0.14403999999999983</v>
      </c>
      <c r="M90" s="8">
        <v>432</v>
      </c>
      <c r="N90" s="14">
        <v>0.107</v>
      </c>
    </row>
    <row r="91" spans="2:14">
      <c r="B91" s="8">
        <v>433</v>
      </c>
      <c r="C91" s="13">
        <f t="shared" si="10"/>
        <v>9.8129999999999912E-2</v>
      </c>
      <c r="D91" s="13">
        <f t="shared" si="11"/>
        <v>0.12608999999999956</v>
      </c>
      <c r="E91" s="13">
        <f t="shared" si="12"/>
        <v>0.14425999999999983</v>
      </c>
      <c r="G91" s="8">
        <v>433</v>
      </c>
      <c r="H91" s="13">
        <f t="shared" si="13"/>
        <v>0.12608999999999956</v>
      </c>
      <c r="J91" s="8">
        <v>433</v>
      </c>
      <c r="K91" s="13">
        <f t="shared" si="14"/>
        <v>0.14425999999999983</v>
      </c>
      <c r="M91" s="8">
        <v>433</v>
      </c>
      <c r="N91" s="14">
        <v>0.107</v>
      </c>
    </row>
    <row r="92" spans="2:14">
      <c r="B92" s="8">
        <v>434</v>
      </c>
      <c r="C92" s="13">
        <f t="shared" si="10"/>
        <v>9.8239999999999911E-2</v>
      </c>
      <c r="D92" s="13">
        <f t="shared" si="11"/>
        <v>0.12631999999999957</v>
      </c>
      <c r="E92" s="13">
        <f t="shared" si="12"/>
        <v>0.14447999999999983</v>
      </c>
      <c r="G92" s="8">
        <v>434</v>
      </c>
      <c r="H92" s="13">
        <f t="shared" si="13"/>
        <v>0.12631999999999957</v>
      </c>
      <c r="J92" s="8">
        <v>434</v>
      </c>
      <c r="K92" s="13">
        <f t="shared" si="14"/>
        <v>0.14447999999999983</v>
      </c>
      <c r="M92" s="8">
        <v>434</v>
      </c>
      <c r="N92" s="14">
        <v>0.107</v>
      </c>
    </row>
    <row r="93" spans="2:14">
      <c r="B93" s="8">
        <v>435</v>
      </c>
      <c r="C93" s="13">
        <f t="shared" si="10"/>
        <v>9.834999999999991E-2</v>
      </c>
      <c r="D93" s="13">
        <f t="shared" si="11"/>
        <v>0.12654999999999958</v>
      </c>
      <c r="E93" s="13">
        <f t="shared" si="12"/>
        <v>0.14469999999999983</v>
      </c>
      <c r="G93" s="8">
        <v>435</v>
      </c>
      <c r="H93" s="13">
        <f t="shared" si="13"/>
        <v>0.12654999999999958</v>
      </c>
      <c r="J93" s="8">
        <v>435</v>
      </c>
      <c r="K93" s="13">
        <f t="shared" si="14"/>
        <v>0.14469999999999983</v>
      </c>
      <c r="M93" s="8">
        <v>435</v>
      </c>
      <c r="N93" s="14">
        <v>0.107</v>
      </c>
    </row>
    <row r="94" spans="2:14">
      <c r="B94" s="8">
        <v>436</v>
      </c>
      <c r="C94" s="13">
        <f t="shared" si="10"/>
        <v>9.8459999999999909E-2</v>
      </c>
      <c r="D94" s="13">
        <f t="shared" si="11"/>
        <v>0.12677999999999959</v>
      </c>
      <c r="E94" s="13">
        <f t="shared" si="12"/>
        <v>0.14491999999999983</v>
      </c>
      <c r="G94" s="8">
        <v>436</v>
      </c>
      <c r="H94" s="13">
        <f t="shared" si="13"/>
        <v>0.12677999999999959</v>
      </c>
      <c r="J94" s="8">
        <v>436</v>
      </c>
      <c r="K94" s="13">
        <f t="shared" si="14"/>
        <v>0.14491999999999983</v>
      </c>
      <c r="M94" s="8">
        <v>436</v>
      </c>
      <c r="N94" s="14">
        <v>0.107</v>
      </c>
    </row>
    <row r="95" spans="2:14">
      <c r="B95" s="8">
        <v>437</v>
      </c>
      <c r="C95" s="13">
        <f t="shared" si="10"/>
        <v>9.8569999999999908E-2</v>
      </c>
      <c r="D95" s="13">
        <f t="shared" si="11"/>
        <v>0.1270099999999996</v>
      </c>
      <c r="E95" s="13">
        <f t="shared" si="12"/>
        <v>0.14513999999999982</v>
      </c>
      <c r="G95" s="8">
        <v>437</v>
      </c>
      <c r="H95" s="13">
        <f t="shared" si="13"/>
        <v>0.1270099999999996</v>
      </c>
      <c r="J95" s="8">
        <v>437</v>
      </c>
      <c r="K95" s="13">
        <f t="shared" si="14"/>
        <v>0.14513999999999982</v>
      </c>
      <c r="M95" s="8">
        <v>437</v>
      </c>
      <c r="N95" s="14">
        <v>0.107</v>
      </c>
    </row>
    <row r="96" spans="2:14">
      <c r="B96" s="8">
        <v>438</v>
      </c>
      <c r="C96" s="13">
        <f t="shared" si="10"/>
        <v>9.8679999999999907E-2</v>
      </c>
      <c r="D96" s="13">
        <f t="shared" si="11"/>
        <v>0.1272399999999996</v>
      </c>
      <c r="E96" s="13">
        <f t="shared" si="12"/>
        <v>0.14535999999999982</v>
      </c>
      <c r="G96" s="8">
        <v>438</v>
      </c>
      <c r="H96" s="13">
        <f t="shared" si="13"/>
        <v>0.1272399999999996</v>
      </c>
      <c r="J96" s="8">
        <v>438</v>
      </c>
      <c r="K96" s="13">
        <f t="shared" si="14"/>
        <v>0.14535999999999982</v>
      </c>
      <c r="M96" s="8">
        <v>438</v>
      </c>
      <c r="N96" s="14">
        <v>0.107</v>
      </c>
    </row>
    <row r="97" spans="2:14">
      <c r="B97" s="8">
        <v>439</v>
      </c>
      <c r="C97" s="13">
        <f t="shared" si="10"/>
        <v>9.8789999999999906E-2</v>
      </c>
      <c r="D97" s="13">
        <f t="shared" si="11"/>
        <v>0.12746999999999961</v>
      </c>
      <c r="E97" s="13">
        <f t="shared" si="12"/>
        <v>0.14557999999999982</v>
      </c>
      <c r="G97" s="8">
        <v>439</v>
      </c>
      <c r="H97" s="13">
        <f t="shared" si="13"/>
        <v>0.12746999999999961</v>
      </c>
      <c r="J97" s="8">
        <v>439</v>
      </c>
      <c r="K97" s="13">
        <f t="shared" si="14"/>
        <v>0.14557999999999982</v>
      </c>
      <c r="M97" s="8">
        <v>439</v>
      </c>
      <c r="N97" s="14">
        <v>0.107</v>
      </c>
    </row>
    <row r="98" spans="2:14">
      <c r="B98" s="8">
        <v>440</v>
      </c>
      <c r="C98" s="13">
        <f t="shared" si="10"/>
        <v>9.8899999999999905E-2</v>
      </c>
      <c r="D98" s="13">
        <f t="shared" si="11"/>
        <v>0.12769999999999962</v>
      </c>
      <c r="E98" s="13">
        <f t="shared" si="12"/>
        <v>0.14579999999999982</v>
      </c>
      <c r="G98" s="8">
        <v>440</v>
      </c>
      <c r="H98" s="13">
        <f t="shared" si="13"/>
        <v>0.12769999999999962</v>
      </c>
      <c r="J98" s="8">
        <v>440</v>
      </c>
      <c r="K98" s="13">
        <f t="shared" si="14"/>
        <v>0.14579999999999982</v>
      </c>
      <c r="M98" s="8">
        <v>440</v>
      </c>
      <c r="N98" s="14">
        <v>0.107</v>
      </c>
    </row>
    <row r="99" spans="2:14">
      <c r="B99" s="8">
        <v>441</v>
      </c>
      <c r="C99" s="13">
        <f t="shared" si="10"/>
        <v>9.9009999999999904E-2</v>
      </c>
      <c r="D99" s="13">
        <f t="shared" si="11"/>
        <v>0.12792999999999963</v>
      </c>
      <c r="E99" s="13">
        <f t="shared" si="12"/>
        <v>0.14601999999999982</v>
      </c>
      <c r="G99" s="8">
        <v>441</v>
      </c>
      <c r="H99" s="13">
        <f t="shared" si="13"/>
        <v>0.12792999999999963</v>
      </c>
      <c r="J99" s="8">
        <v>441</v>
      </c>
      <c r="K99" s="13">
        <f t="shared" si="14"/>
        <v>0.14601999999999982</v>
      </c>
      <c r="M99" s="8">
        <v>441</v>
      </c>
      <c r="N99" s="14">
        <v>0.107</v>
      </c>
    </row>
    <row r="100" spans="2:14">
      <c r="B100" s="8">
        <v>442</v>
      </c>
      <c r="C100" s="13">
        <f t="shared" si="10"/>
        <v>9.9119999999999903E-2</v>
      </c>
      <c r="D100" s="13">
        <f t="shared" si="11"/>
        <v>0.12815999999999964</v>
      </c>
      <c r="E100" s="13">
        <f t="shared" si="12"/>
        <v>0.14623999999999981</v>
      </c>
      <c r="G100" s="8">
        <v>442</v>
      </c>
      <c r="H100" s="13">
        <f t="shared" si="13"/>
        <v>0.12815999999999964</v>
      </c>
      <c r="J100" s="8">
        <v>442</v>
      </c>
      <c r="K100" s="13">
        <f t="shared" si="14"/>
        <v>0.14623999999999981</v>
      </c>
      <c r="M100" s="8">
        <v>442</v>
      </c>
      <c r="N100" s="14">
        <v>0.107</v>
      </c>
    </row>
    <row r="101" spans="2:14">
      <c r="B101" s="8">
        <v>443</v>
      </c>
      <c r="C101" s="13">
        <f t="shared" si="10"/>
        <v>9.9229999999999902E-2</v>
      </c>
      <c r="D101" s="13">
        <f t="shared" si="11"/>
        <v>0.12838999999999964</v>
      </c>
      <c r="E101" s="13">
        <f t="shared" si="12"/>
        <v>0.14645999999999981</v>
      </c>
      <c r="G101" s="8">
        <v>443</v>
      </c>
      <c r="H101" s="13">
        <f t="shared" si="13"/>
        <v>0.12838999999999964</v>
      </c>
      <c r="J101" s="8">
        <v>443</v>
      </c>
      <c r="K101" s="13">
        <f t="shared" si="14"/>
        <v>0.14645999999999981</v>
      </c>
      <c r="M101" s="8">
        <v>443</v>
      </c>
      <c r="N101" s="14">
        <v>0.107</v>
      </c>
    </row>
    <row r="102" spans="2:14">
      <c r="B102" s="8">
        <v>444</v>
      </c>
      <c r="C102" s="13">
        <f t="shared" si="10"/>
        <v>9.9339999999999901E-2</v>
      </c>
      <c r="D102" s="13">
        <f t="shared" si="11"/>
        <v>0.12861999999999965</v>
      </c>
      <c r="E102" s="13">
        <f t="shared" si="12"/>
        <v>0.14667999999999981</v>
      </c>
      <c r="G102" s="8">
        <v>444</v>
      </c>
      <c r="H102" s="13">
        <f t="shared" si="13"/>
        <v>0.12861999999999965</v>
      </c>
      <c r="J102" s="8">
        <v>444</v>
      </c>
      <c r="K102" s="13">
        <f t="shared" si="14"/>
        <v>0.14667999999999981</v>
      </c>
      <c r="M102" s="8">
        <v>444</v>
      </c>
      <c r="N102" s="14">
        <v>0.107</v>
      </c>
    </row>
    <row r="103" spans="2:14">
      <c r="B103" s="8">
        <v>445</v>
      </c>
      <c r="C103" s="13">
        <f t="shared" si="10"/>
        <v>9.94499999999999E-2</v>
      </c>
      <c r="D103" s="13">
        <f t="shared" si="11"/>
        <v>0.12884999999999966</v>
      </c>
      <c r="E103" s="13">
        <f t="shared" si="12"/>
        <v>0.14689999999999981</v>
      </c>
      <c r="G103" s="8">
        <v>445</v>
      </c>
      <c r="H103" s="13">
        <f t="shared" si="13"/>
        <v>0.12884999999999966</v>
      </c>
      <c r="J103" s="8">
        <v>445</v>
      </c>
      <c r="K103" s="13">
        <f t="shared" si="14"/>
        <v>0.14689999999999981</v>
      </c>
      <c r="M103" s="8">
        <v>445</v>
      </c>
      <c r="N103" s="14">
        <v>0.107</v>
      </c>
    </row>
    <row r="104" spans="2:14">
      <c r="B104" s="8">
        <v>446</v>
      </c>
      <c r="C104" s="13">
        <f t="shared" si="10"/>
        <v>9.9559999999999899E-2</v>
      </c>
      <c r="D104" s="13">
        <f t="shared" si="11"/>
        <v>0.12907999999999967</v>
      </c>
      <c r="E104" s="13">
        <f t="shared" si="12"/>
        <v>0.14711999999999981</v>
      </c>
      <c r="G104" s="8">
        <v>446</v>
      </c>
      <c r="H104" s="13">
        <f t="shared" si="13"/>
        <v>0.12907999999999967</v>
      </c>
      <c r="J104" s="8">
        <v>446</v>
      </c>
      <c r="K104" s="13">
        <f t="shared" si="14"/>
        <v>0.14711999999999981</v>
      </c>
      <c r="M104" s="8">
        <v>446</v>
      </c>
      <c r="N104" s="14">
        <v>0.107</v>
      </c>
    </row>
    <row r="105" spans="2:14">
      <c r="B105" s="8">
        <v>447</v>
      </c>
      <c r="C105" s="13">
        <f t="shared" si="10"/>
        <v>9.9669999999999898E-2</v>
      </c>
      <c r="D105" s="13">
        <f t="shared" si="11"/>
        <v>0.12930999999999968</v>
      </c>
      <c r="E105" s="13">
        <f t="shared" si="12"/>
        <v>0.1473399999999998</v>
      </c>
      <c r="G105" s="8">
        <v>447</v>
      </c>
      <c r="H105" s="13">
        <f t="shared" si="13"/>
        <v>0.12930999999999968</v>
      </c>
      <c r="J105" s="8">
        <v>447</v>
      </c>
      <c r="K105" s="13">
        <f t="shared" si="14"/>
        <v>0.1473399999999998</v>
      </c>
      <c r="M105" s="8">
        <v>447</v>
      </c>
      <c r="N105" s="14">
        <v>0.107</v>
      </c>
    </row>
    <row r="106" spans="2:14">
      <c r="B106" s="8">
        <v>448</v>
      </c>
      <c r="C106" s="13">
        <f t="shared" si="10"/>
        <v>9.9779999999999897E-2</v>
      </c>
      <c r="D106" s="13">
        <f t="shared" si="11"/>
        <v>0.12953999999999968</v>
      </c>
      <c r="E106" s="13">
        <f t="shared" si="12"/>
        <v>0.1475599999999998</v>
      </c>
      <c r="G106" s="8">
        <v>448</v>
      </c>
      <c r="H106" s="13">
        <f t="shared" si="13"/>
        <v>0.12953999999999968</v>
      </c>
      <c r="J106" s="8">
        <v>448</v>
      </c>
      <c r="K106" s="13">
        <f t="shared" si="14"/>
        <v>0.1475599999999998</v>
      </c>
      <c r="M106" s="8">
        <v>448</v>
      </c>
      <c r="N106" s="14">
        <v>0.107</v>
      </c>
    </row>
    <row r="107" spans="2:14">
      <c r="B107" s="8">
        <v>449</v>
      </c>
      <c r="C107" s="13">
        <f t="shared" si="10"/>
        <v>9.9889999999999896E-2</v>
      </c>
      <c r="D107" s="13">
        <f t="shared" si="11"/>
        <v>0.12976999999999969</v>
      </c>
      <c r="E107" s="13">
        <f t="shared" si="12"/>
        <v>0.1477799999999998</v>
      </c>
      <c r="G107" s="8">
        <v>449</v>
      </c>
      <c r="H107" s="13">
        <f t="shared" si="13"/>
        <v>0.12976999999999969</v>
      </c>
      <c r="J107" s="8">
        <v>449</v>
      </c>
      <c r="K107" s="13">
        <f t="shared" si="14"/>
        <v>0.1477799999999998</v>
      </c>
      <c r="M107" s="8">
        <v>449</v>
      </c>
      <c r="N107" s="14">
        <v>0.107</v>
      </c>
    </row>
    <row r="108" spans="2:14">
      <c r="B108" s="6">
        <v>450</v>
      </c>
      <c r="C108" s="12">
        <f>+C4</f>
        <v>0.1</v>
      </c>
      <c r="D108" s="12">
        <f>+D4</f>
        <v>0.13</v>
      </c>
      <c r="E108" s="12">
        <f>+E4</f>
        <v>0.14799999999999999</v>
      </c>
      <c r="G108" s="6">
        <v>450</v>
      </c>
      <c r="H108" s="12">
        <f>+D108</f>
        <v>0.13</v>
      </c>
      <c r="J108" s="6">
        <v>450</v>
      </c>
      <c r="K108" s="12">
        <f>+E108</f>
        <v>0.14799999999999999</v>
      </c>
      <c r="M108" s="6">
        <v>450</v>
      </c>
      <c r="N108" s="14">
        <v>0.107</v>
      </c>
    </row>
    <row r="109" spans="2:14">
      <c r="B109" s="8">
        <v>451</v>
      </c>
      <c r="C109" s="13">
        <f t="shared" ref="C109:C140" si="15">C108+(($C$208-$C$108)/100)</f>
        <v>9.9940000000000001E-2</v>
      </c>
      <c r="D109" s="13">
        <f t="shared" ref="D109:D140" si="16">D108+(($D$208-$D$108)/100)</f>
        <v>0.12978000000000001</v>
      </c>
      <c r="E109" s="13">
        <f t="shared" ref="E109:E140" si="17">E108+(($E$208-$E$108)/100)</f>
        <v>0.14810999999999999</v>
      </c>
      <c r="G109" s="8">
        <v>451</v>
      </c>
      <c r="H109" s="13">
        <f t="shared" ref="H109:H140" si="18">H108+(($D$208-$D$108)/100)</f>
        <v>0.12978000000000001</v>
      </c>
      <c r="J109" s="8">
        <v>451</v>
      </c>
      <c r="K109" s="13">
        <f t="shared" ref="K109:K140" si="19">K108+(($E$208-$E$108)/100)</f>
        <v>0.14810999999999999</v>
      </c>
      <c r="M109" s="8">
        <v>451</v>
      </c>
      <c r="N109" s="14">
        <v>0.107</v>
      </c>
    </row>
    <row r="110" spans="2:14">
      <c r="B110" s="8">
        <v>452</v>
      </c>
      <c r="C110" s="13">
        <f t="shared" si="15"/>
        <v>9.9879999999999997E-2</v>
      </c>
      <c r="D110" s="13">
        <f t="shared" si="16"/>
        <v>0.12956000000000001</v>
      </c>
      <c r="E110" s="13">
        <f t="shared" si="17"/>
        <v>0.14821999999999999</v>
      </c>
      <c r="G110" s="8">
        <v>452</v>
      </c>
      <c r="H110" s="13">
        <f t="shared" si="18"/>
        <v>0.12956000000000001</v>
      </c>
      <c r="J110" s="8">
        <v>452</v>
      </c>
      <c r="K110" s="13">
        <f t="shared" si="19"/>
        <v>0.14821999999999999</v>
      </c>
      <c r="M110" s="8">
        <v>452</v>
      </c>
      <c r="N110" s="14">
        <v>0.107</v>
      </c>
    </row>
    <row r="111" spans="2:14">
      <c r="B111" s="8">
        <v>453</v>
      </c>
      <c r="C111" s="13">
        <f t="shared" si="15"/>
        <v>9.9819999999999992E-2</v>
      </c>
      <c r="D111" s="13">
        <f t="shared" si="16"/>
        <v>0.12934000000000001</v>
      </c>
      <c r="E111" s="13">
        <f t="shared" si="17"/>
        <v>0.14832999999999999</v>
      </c>
      <c r="G111" s="8">
        <v>453</v>
      </c>
      <c r="H111" s="13">
        <f t="shared" si="18"/>
        <v>0.12934000000000001</v>
      </c>
      <c r="J111" s="8">
        <v>453</v>
      </c>
      <c r="K111" s="13">
        <f t="shared" si="19"/>
        <v>0.14832999999999999</v>
      </c>
      <c r="M111" s="8">
        <v>453</v>
      </c>
      <c r="N111" s="14">
        <v>0.107</v>
      </c>
    </row>
    <row r="112" spans="2:14">
      <c r="B112" s="8">
        <v>454</v>
      </c>
      <c r="C112" s="13">
        <f t="shared" si="15"/>
        <v>9.9759999999999988E-2</v>
      </c>
      <c r="D112" s="13">
        <f t="shared" si="16"/>
        <v>0.12912000000000001</v>
      </c>
      <c r="E112" s="13">
        <f t="shared" si="17"/>
        <v>0.14843999999999999</v>
      </c>
      <c r="G112" s="8">
        <v>454</v>
      </c>
      <c r="H112" s="13">
        <f t="shared" si="18"/>
        <v>0.12912000000000001</v>
      </c>
      <c r="J112" s="8">
        <v>454</v>
      </c>
      <c r="K112" s="13">
        <f t="shared" si="19"/>
        <v>0.14843999999999999</v>
      </c>
      <c r="M112" s="8">
        <v>454</v>
      </c>
      <c r="N112" s="14">
        <v>0.107</v>
      </c>
    </row>
    <row r="113" spans="2:14">
      <c r="B113" s="8">
        <v>455</v>
      </c>
      <c r="C113" s="13">
        <f t="shared" si="15"/>
        <v>9.9699999999999983E-2</v>
      </c>
      <c r="D113" s="13">
        <f t="shared" si="16"/>
        <v>0.12890000000000001</v>
      </c>
      <c r="E113" s="13">
        <f t="shared" si="17"/>
        <v>0.14854999999999999</v>
      </c>
      <c r="G113" s="8">
        <v>455</v>
      </c>
      <c r="H113" s="13">
        <f t="shared" si="18"/>
        <v>0.12890000000000001</v>
      </c>
      <c r="J113" s="8">
        <v>455</v>
      </c>
      <c r="K113" s="13">
        <f t="shared" si="19"/>
        <v>0.14854999999999999</v>
      </c>
      <c r="M113" s="8">
        <v>455</v>
      </c>
      <c r="N113" s="14">
        <v>0.107</v>
      </c>
    </row>
    <row r="114" spans="2:14">
      <c r="B114" s="8">
        <v>456</v>
      </c>
      <c r="C114" s="13">
        <f t="shared" si="15"/>
        <v>9.9639999999999979E-2</v>
      </c>
      <c r="D114" s="13">
        <f t="shared" si="16"/>
        <v>0.12868000000000002</v>
      </c>
      <c r="E114" s="13">
        <f t="shared" si="17"/>
        <v>0.14865999999999999</v>
      </c>
      <c r="G114" s="8">
        <v>456</v>
      </c>
      <c r="H114" s="13">
        <f t="shared" si="18"/>
        <v>0.12868000000000002</v>
      </c>
      <c r="J114" s="8">
        <v>456</v>
      </c>
      <c r="K114" s="13">
        <f t="shared" si="19"/>
        <v>0.14865999999999999</v>
      </c>
      <c r="M114" s="8">
        <v>456</v>
      </c>
      <c r="N114" s="14">
        <v>0.107</v>
      </c>
    </row>
    <row r="115" spans="2:14">
      <c r="B115" s="8">
        <v>457</v>
      </c>
      <c r="C115" s="13">
        <f t="shared" si="15"/>
        <v>9.9579999999999974E-2</v>
      </c>
      <c r="D115" s="13">
        <f t="shared" si="16"/>
        <v>0.12846000000000002</v>
      </c>
      <c r="E115" s="13">
        <f t="shared" si="17"/>
        <v>0.14876999999999999</v>
      </c>
      <c r="G115" s="8">
        <v>457</v>
      </c>
      <c r="H115" s="13">
        <f t="shared" si="18"/>
        <v>0.12846000000000002</v>
      </c>
      <c r="J115" s="8">
        <v>457</v>
      </c>
      <c r="K115" s="13">
        <f t="shared" si="19"/>
        <v>0.14876999999999999</v>
      </c>
      <c r="M115" s="8">
        <v>457</v>
      </c>
      <c r="N115" s="14">
        <v>0.107</v>
      </c>
    </row>
    <row r="116" spans="2:14">
      <c r="B116" s="8">
        <v>458</v>
      </c>
      <c r="C116" s="13">
        <f t="shared" si="15"/>
        <v>9.951999999999997E-2</v>
      </c>
      <c r="D116" s="13">
        <f t="shared" si="16"/>
        <v>0.12824000000000002</v>
      </c>
      <c r="E116" s="13">
        <f t="shared" si="17"/>
        <v>0.14887999999999998</v>
      </c>
      <c r="G116" s="8">
        <v>458</v>
      </c>
      <c r="H116" s="13">
        <f t="shared" si="18"/>
        <v>0.12824000000000002</v>
      </c>
      <c r="J116" s="8">
        <v>458</v>
      </c>
      <c r="K116" s="13">
        <f t="shared" si="19"/>
        <v>0.14887999999999998</v>
      </c>
      <c r="M116" s="8">
        <v>458</v>
      </c>
      <c r="N116" s="14">
        <v>0.107</v>
      </c>
    </row>
    <row r="117" spans="2:14">
      <c r="B117" s="8">
        <v>459</v>
      </c>
      <c r="C117" s="13">
        <f t="shared" si="15"/>
        <v>9.9459999999999965E-2</v>
      </c>
      <c r="D117" s="13">
        <f t="shared" si="16"/>
        <v>0.12802000000000002</v>
      </c>
      <c r="E117" s="13">
        <f t="shared" si="17"/>
        <v>0.14898999999999998</v>
      </c>
      <c r="G117" s="8">
        <v>459</v>
      </c>
      <c r="H117" s="13">
        <f t="shared" si="18"/>
        <v>0.12802000000000002</v>
      </c>
      <c r="J117" s="8">
        <v>459</v>
      </c>
      <c r="K117" s="13">
        <f t="shared" si="19"/>
        <v>0.14898999999999998</v>
      </c>
      <c r="M117" s="8">
        <v>459</v>
      </c>
      <c r="N117" s="14">
        <v>0.107</v>
      </c>
    </row>
    <row r="118" spans="2:14">
      <c r="B118" s="8">
        <v>460</v>
      </c>
      <c r="C118" s="13">
        <f t="shared" si="15"/>
        <v>9.9399999999999961E-2</v>
      </c>
      <c r="D118" s="13">
        <f t="shared" si="16"/>
        <v>0.12780000000000002</v>
      </c>
      <c r="E118" s="13">
        <f t="shared" si="17"/>
        <v>0.14909999999999998</v>
      </c>
      <c r="G118" s="8">
        <v>460</v>
      </c>
      <c r="H118" s="13">
        <f t="shared" si="18"/>
        <v>0.12780000000000002</v>
      </c>
      <c r="J118" s="8">
        <v>460</v>
      </c>
      <c r="K118" s="13">
        <f t="shared" si="19"/>
        <v>0.14909999999999998</v>
      </c>
      <c r="M118" s="8">
        <v>460</v>
      </c>
      <c r="N118" s="14">
        <v>0.107</v>
      </c>
    </row>
    <row r="119" spans="2:14">
      <c r="B119" s="8">
        <v>461</v>
      </c>
      <c r="C119" s="13">
        <f t="shared" si="15"/>
        <v>9.9339999999999956E-2</v>
      </c>
      <c r="D119" s="13">
        <f t="shared" si="16"/>
        <v>0.12758000000000003</v>
      </c>
      <c r="E119" s="13">
        <f t="shared" si="17"/>
        <v>0.14920999999999998</v>
      </c>
      <c r="G119" s="8">
        <v>461</v>
      </c>
      <c r="H119" s="13">
        <f t="shared" si="18"/>
        <v>0.12758000000000003</v>
      </c>
      <c r="J119" s="8">
        <v>461</v>
      </c>
      <c r="K119" s="13">
        <f t="shared" si="19"/>
        <v>0.14920999999999998</v>
      </c>
      <c r="M119" s="8">
        <v>461</v>
      </c>
      <c r="N119" s="14">
        <v>0.107</v>
      </c>
    </row>
    <row r="120" spans="2:14">
      <c r="B120" s="8">
        <v>462</v>
      </c>
      <c r="C120" s="13">
        <f t="shared" si="15"/>
        <v>9.9279999999999952E-2</v>
      </c>
      <c r="D120" s="13">
        <f t="shared" si="16"/>
        <v>0.12736000000000003</v>
      </c>
      <c r="E120" s="13">
        <f t="shared" si="17"/>
        <v>0.14931999999999998</v>
      </c>
      <c r="G120" s="8">
        <v>462</v>
      </c>
      <c r="H120" s="13">
        <f t="shared" si="18"/>
        <v>0.12736000000000003</v>
      </c>
      <c r="J120" s="8">
        <v>462</v>
      </c>
      <c r="K120" s="13">
        <f t="shared" si="19"/>
        <v>0.14931999999999998</v>
      </c>
      <c r="M120" s="8">
        <v>462</v>
      </c>
      <c r="N120" s="14">
        <v>0.107</v>
      </c>
    </row>
    <row r="121" spans="2:14">
      <c r="B121" s="8">
        <v>463</v>
      </c>
      <c r="C121" s="13">
        <f t="shared" si="15"/>
        <v>9.9219999999999947E-2</v>
      </c>
      <c r="D121" s="13">
        <f t="shared" si="16"/>
        <v>0.12714000000000003</v>
      </c>
      <c r="E121" s="13">
        <f t="shared" si="17"/>
        <v>0.14942999999999998</v>
      </c>
      <c r="G121" s="8">
        <v>463</v>
      </c>
      <c r="H121" s="13">
        <f t="shared" si="18"/>
        <v>0.12714000000000003</v>
      </c>
      <c r="J121" s="8">
        <v>463</v>
      </c>
      <c r="K121" s="13">
        <f t="shared" si="19"/>
        <v>0.14942999999999998</v>
      </c>
      <c r="M121" s="8">
        <v>463</v>
      </c>
      <c r="N121" s="14">
        <v>0.107</v>
      </c>
    </row>
    <row r="122" spans="2:14">
      <c r="B122" s="8">
        <v>464</v>
      </c>
      <c r="C122" s="13">
        <f t="shared" si="15"/>
        <v>9.9159999999999943E-2</v>
      </c>
      <c r="D122" s="13">
        <f t="shared" si="16"/>
        <v>0.12692000000000003</v>
      </c>
      <c r="E122" s="13">
        <f t="shared" si="17"/>
        <v>0.14953999999999998</v>
      </c>
      <c r="G122" s="8">
        <v>464</v>
      </c>
      <c r="H122" s="13">
        <f t="shared" si="18"/>
        <v>0.12692000000000003</v>
      </c>
      <c r="J122" s="8">
        <v>464</v>
      </c>
      <c r="K122" s="13">
        <f t="shared" si="19"/>
        <v>0.14953999999999998</v>
      </c>
      <c r="M122" s="8">
        <v>464</v>
      </c>
      <c r="N122" s="14">
        <v>0.107</v>
      </c>
    </row>
    <row r="123" spans="2:14">
      <c r="B123" s="8">
        <v>465</v>
      </c>
      <c r="C123" s="13">
        <f t="shared" si="15"/>
        <v>9.9099999999999938E-2</v>
      </c>
      <c r="D123" s="13">
        <f t="shared" si="16"/>
        <v>0.12670000000000003</v>
      </c>
      <c r="E123" s="13">
        <f t="shared" si="17"/>
        <v>0.14964999999999998</v>
      </c>
      <c r="G123" s="8">
        <v>465</v>
      </c>
      <c r="H123" s="13">
        <f t="shared" si="18"/>
        <v>0.12670000000000003</v>
      </c>
      <c r="J123" s="8">
        <v>465</v>
      </c>
      <c r="K123" s="13">
        <f t="shared" si="19"/>
        <v>0.14964999999999998</v>
      </c>
      <c r="M123" s="8">
        <v>465</v>
      </c>
      <c r="N123" s="14">
        <v>0.107</v>
      </c>
    </row>
    <row r="124" spans="2:14">
      <c r="B124" s="8">
        <v>466</v>
      </c>
      <c r="C124" s="13">
        <f t="shared" si="15"/>
        <v>9.9039999999999934E-2</v>
      </c>
      <c r="D124" s="13">
        <f t="shared" si="16"/>
        <v>0.12648000000000004</v>
      </c>
      <c r="E124" s="13">
        <f t="shared" si="17"/>
        <v>0.14975999999999998</v>
      </c>
      <c r="G124" s="8">
        <v>466</v>
      </c>
      <c r="H124" s="13">
        <f t="shared" si="18"/>
        <v>0.12648000000000004</v>
      </c>
      <c r="J124" s="8">
        <v>466</v>
      </c>
      <c r="K124" s="13">
        <f t="shared" si="19"/>
        <v>0.14975999999999998</v>
      </c>
      <c r="M124" s="8">
        <v>466</v>
      </c>
      <c r="N124" s="14">
        <v>0.107</v>
      </c>
    </row>
    <row r="125" spans="2:14">
      <c r="B125" s="8">
        <v>467</v>
      </c>
      <c r="C125" s="13">
        <f t="shared" si="15"/>
        <v>9.8979999999999929E-2</v>
      </c>
      <c r="D125" s="13">
        <f t="shared" si="16"/>
        <v>0.12626000000000004</v>
      </c>
      <c r="E125" s="13">
        <f t="shared" si="17"/>
        <v>0.14986999999999998</v>
      </c>
      <c r="G125" s="8">
        <v>467</v>
      </c>
      <c r="H125" s="13">
        <f t="shared" si="18"/>
        <v>0.12626000000000004</v>
      </c>
      <c r="J125" s="8">
        <v>467</v>
      </c>
      <c r="K125" s="13">
        <f t="shared" si="19"/>
        <v>0.14986999999999998</v>
      </c>
      <c r="M125" s="8">
        <v>467</v>
      </c>
      <c r="N125" s="14">
        <v>0.107</v>
      </c>
    </row>
    <row r="126" spans="2:14">
      <c r="B126" s="8">
        <v>468</v>
      </c>
      <c r="C126" s="13">
        <f t="shared" si="15"/>
        <v>9.8919999999999925E-2</v>
      </c>
      <c r="D126" s="13">
        <f t="shared" si="16"/>
        <v>0.12604000000000004</v>
      </c>
      <c r="E126" s="13">
        <f t="shared" si="17"/>
        <v>0.14997999999999997</v>
      </c>
      <c r="G126" s="8">
        <v>468</v>
      </c>
      <c r="H126" s="13">
        <f t="shared" si="18"/>
        <v>0.12604000000000004</v>
      </c>
      <c r="J126" s="8">
        <v>468</v>
      </c>
      <c r="K126" s="13">
        <f t="shared" si="19"/>
        <v>0.14997999999999997</v>
      </c>
      <c r="M126" s="8">
        <v>468</v>
      </c>
      <c r="N126" s="14">
        <v>0.107</v>
      </c>
    </row>
    <row r="127" spans="2:14">
      <c r="B127" s="8">
        <v>469</v>
      </c>
      <c r="C127" s="13">
        <f t="shared" si="15"/>
        <v>9.885999999999992E-2</v>
      </c>
      <c r="D127" s="13">
        <f t="shared" si="16"/>
        <v>0.12582000000000004</v>
      </c>
      <c r="E127" s="13">
        <f t="shared" si="17"/>
        <v>0.15008999999999997</v>
      </c>
      <c r="G127" s="8">
        <v>469</v>
      </c>
      <c r="H127" s="13">
        <f t="shared" si="18"/>
        <v>0.12582000000000004</v>
      </c>
      <c r="J127" s="8">
        <v>469</v>
      </c>
      <c r="K127" s="13">
        <f t="shared" si="19"/>
        <v>0.15008999999999997</v>
      </c>
      <c r="M127" s="8">
        <v>469</v>
      </c>
      <c r="N127" s="14">
        <v>0.107</v>
      </c>
    </row>
    <row r="128" spans="2:14">
      <c r="B128" s="8">
        <v>470</v>
      </c>
      <c r="C128" s="13">
        <f t="shared" si="15"/>
        <v>9.8799999999999916E-2</v>
      </c>
      <c r="D128" s="13">
        <f t="shared" si="16"/>
        <v>0.12560000000000004</v>
      </c>
      <c r="E128" s="13">
        <f t="shared" si="17"/>
        <v>0.15019999999999997</v>
      </c>
      <c r="G128" s="8">
        <v>470</v>
      </c>
      <c r="H128" s="13">
        <f t="shared" si="18"/>
        <v>0.12560000000000004</v>
      </c>
      <c r="J128" s="8">
        <v>470</v>
      </c>
      <c r="K128" s="13">
        <f t="shared" si="19"/>
        <v>0.15019999999999997</v>
      </c>
      <c r="M128" s="8">
        <v>470</v>
      </c>
      <c r="N128" s="14">
        <v>0.107</v>
      </c>
    </row>
    <row r="129" spans="2:14">
      <c r="B129" s="8">
        <v>471</v>
      </c>
      <c r="C129" s="13">
        <f t="shared" si="15"/>
        <v>9.8739999999999911E-2</v>
      </c>
      <c r="D129" s="13">
        <f t="shared" si="16"/>
        <v>0.12538000000000005</v>
      </c>
      <c r="E129" s="13">
        <f t="shared" si="17"/>
        <v>0.15030999999999997</v>
      </c>
      <c r="G129" s="8">
        <v>471</v>
      </c>
      <c r="H129" s="13">
        <f t="shared" si="18"/>
        <v>0.12538000000000005</v>
      </c>
      <c r="J129" s="8">
        <v>471</v>
      </c>
      <c r="K129" s="13">
        <f t="shared" si="19"/>
        <v>0.15030999999999997</v>
      </c>
      <c r="M129" s="8">
        <v>471</v>
      </c>
      <c r="N129" s="14">
        <v>0.107</v>
      </c>
    </row>
    <row r="130" spans="2:14">
      <c r="B130" s="8">
        <v>472</v>
      </c>
      <c r="C130" s="13">
        <f t="shared" si="15"/>
        <v>9.8679999999999907E-2</v>
      </c>
      <c r="D130" s="13">
        <f t="shared" si="16"/>
        <v>0.12516000000000005</v>
      </c>
      <c r="E130" s="13">
        <f t="shared" si="17"/>
        <v>0.15041999999999997</v>
      </c>
      <c r="G130" s="8">
        <v>472</v>
      </c>
      <c r="H130" s="13">
        <f t="shared" si="18"/>
        <v>0.12516000000000005</v>
      </c>
      <c r="J130" s="8">
        <v>472</v>
      </c>
      <c r="K130" s="13">
        <f t="shared" si="19"/>
        <v>0.15041999999999997</v>
      </c>
      <c r="M130" s="8">
        <v>472</v>
      </c>
      <c r="N130" s="14">
        <v>0.107</v>
      </c>
    </row>
    <row r="131" spans="2:14">
      <c r="B131" s="8">
        <v>473</v>
      </c>
      <c r="C131" s="13">
        <f t="shared" si="15"/>
        <v>9.8619999999999902E-2</v>
      </c>
      <c r="D131" s="13">
        <f t="shared" si="16"/>
        <v>0.12494000000000005</v>
      </c>
      <c r="E131" s="13">
        <f t="shared" si="17"/>
        <v>0.15052999999999997</v>
      </c>
      <c r="G131" s="8">
        <v>473</v>
      </c>
      <c r="H131" s="13">
        <f t="shared" si="18"/>
        <v>0.12494000000000005</v>
      </c>
      <c r="J131" s="8">
        <v>473</v>
      </c>
      <c r="K131" s="13">
        <f t="shared" si="19"/>
        <v>0.15052999999999997</v>
      </c>
      <c r="M131" s="8">
        <v>473</v>
      </c>
      <c r="N131" s="14">
        <v>0.107</v>
      </c>
    </row>
    <row r="132" spans="2:14">
      <c r="B132" s="8">
        <v>474</v>
      </c>
      <c r="C132" s="13">
        <f t="shared" si="15"/>
        <v>9.8559999999999898E-2</v>
      </c>
      <c r="D132" s="13">
        <f t="shared" si="16"/>
        <v>0.12472000000000005</v>
      </c>
      <c r="E132" s="13">
        <f t="shared" si="17"/>
        <v>0.15063999999999997</v>
      </c>
      <c r="G132" s="8">
        <v>474</v>
      </c>
      <c r="H132" s="13">
        <f t="shared" si="18"/>
        <v>0.12472000000000005</v>
      </c>
      <c r="J132" s="8">
        <v>474</v>
      </c>
      <c r="K132" s="13">
        <f t="shared" si="19"/>
        <v>0.15063999999999997</v>
      </c>
      <c r="M132" s="8">
        <v>474</v>
      </c>
      <c r="N132" s="14">
        <v>0.107</v>
      </c>
    </row>
    <row r="133" spans="2:14">
      <c r="B133" s="8">
        <v>475</v>
      </c>
      <c r="C133" s="13">
        <f t="shared" si="15"/>
        <v>9.8499999999999893E-2</v>
      </c>
      <c r="D133" s="13">
        <f t="shared" si="16"/>
        <v>0.12450000000000006</v>
      </c>
      <c r="E133" s="13">
        <f t="shared" si="17"/>
        <v>0.15074999999999997</v>
      </c>
      <c r="G133" s="8">
        <v>475</v>
      </c>
      <c r="H133" s="13">
        <f t="shared" si="18"/>
        <v>0.12450000000000006</v>
      </c>
      <c r="J133" s="8">
        <v>475</v>
      </c>
      <c r="K133" s="13">
        <f t="shared" si="19"/>
        <v>0.15074999999999997</v>
      </c>
      <c r="M133" s="8">
        <v>475</v>
      </c>
      <c r="N133" s="14">
        <v>0.107</v>
      </c>
    </row>
    <row r="134" spans="2:14">
      <c r="B134" s="8">
        <v>476</v>
      </c>
      <c r="C134" s="13">
        <f t="shared" si="15"/>
        <v>9.8439999999999889E-2</v>
      </c>
      <c r="D134" s="13">
        <f t="shared" si="16"/>
        <v>0.12428000000000006</v>
      </c>
      <c r="E134" s="13">
        <f t="shared" si="17"/>
        <v>0.15085999999999997</v>
      </c>
      <c r="G134" s="8">
        <v>476</v>
      </c>
      <c r="H134" s="13">
        <f t="shared" si="18"/>
        <v>0.12428000000000006</v>
      </c>
      <c r="J134" s="8">
        <v>476</v>
      </c>
      <c r="K134" s="13">
        <f t="shared" si="19"/>
        <v>0.15085999999999997</v>
      </c>
      <c r="M134" s="8">
        <v>476</v>
      </c>
      <c r="N134" s="14">
        <v>0.107</v>
      </c>
    </row>
    <row r="135" spans="2:14">
      <c r="B135" s="8">
        <v>477</v>
      </c>
      <c r="C135" s="13">
        <f t="shared" si="15"/>
        <v>9.8379999999999884E-2</v>
      </c>
      <c r="D135" s="13">
        <f t="shared" si="16"/>
        <v>0.12406000000000006</v>
      </c>
      <c r="E135" s="13">
        <f t="shared" si="17"/>
        <v>0.15096999999999997</v>
      </c>
      <c r="G135" s="8">
        <v>477</v>
      </c>
      <c r="H135" s="13">
        <f t="shared" si="18"/>
        <v>0.12406000000000006</v>
      </c>
      <c r="J135" s="8">
        <v>477</v>
      </c>
      <c r="K135" s="13">
        <f t="shared" si="19"/>
        <v>0.15096999999999997</v>
      </c>
      <c r="M135" s="8">
        <v>477</v>
      </c>
      <c r="N135" s="14">
        <v>0.107</v>
      </c>
    </row>
    <row r="136" spans="2:14">
      <c r="B136" s="8">
        <v>478</v>
      </c>
      <c r="C136" s="13">
        <f t="shared" si="15"/>
        <v>9.831999999999988E-2</v>
      </c>
      <c r="D136" s="13">
        <f t="shared" si="16"/>
        <v>0.12384000000000006</v>
      </c>
      <c r="E136" s="13">
        <f t="shared" si="17"/>
        <v>0.15107999999999996</v>
      </c>
      <c r="G136" s="8">
        <v>478</v>
      </c>
      <c r="H136" s="13">
        <f t="shared" si="18"/>
        <v>0.12384000000000006</v>
      </c>
      <c r="J136" s="8">
        <v>478</v>
      </c>
      <c r="K136" s="13">
        <f t="shared" si="19"/>
        <v>0.15107999999999996</v>
      </c>
      <c r="M136" s="8">
        <v>478</v>
      </c>
      <c r="N136" s="14">
        <v>0.107</v>
      </c>
    </row>
    <row r="137" spans="2:14">
      <c r="B137" s="8">
        <v>479</v>
      </c>
      <c r="C137" s="13">
        <f t="shared" si="15"/>
        <v>9.8259999999999875E-2</v>
      </c>
      <c r="D137" s="13">
        <f t="shared" si="16"/>
        <v>0.12362000000000006</v>
      </c>
      <c r="E137" s="13">
        <f t="shared" si="17"/>
        <v>0.15118999999999996</v>
      </c>
      <c r="G137" s="8">
        <v>479</v>
      </c>
      <c r="H137" s="13">
        <f t="shared" si="18"/>
        <v>0.12362000000000006</v>
      </c>
      <c r="J137" s="8">
        <v>479</v>
      </c>
      <c r="K137" s="13">
        <f t="shared" si="19"/>
        <v>0.15118999999999996</v>
      </c>
      <c r="M137" s="8">
        <v>479</v>
      </c>
      <c r="N137" s="14">
        <v>0.107</v>
      </c>
    </row>
    <row r="138" spans="2:14">
      <c r="B138" s="8">
        <v>480</v>
      </c>
      <c r="C138" s="13">
        <f t="shared" si="15"/>
        <v>9.8199999999999871E-2</v>
      </c>
      <c r="D138" s="13">
        <f t="shared" si="16"/>
        <v>0.12340000000000007</v>
      </c>
      <c r="E138" s="13">
        <f t="shared" si="17"/>
        <v>0.15129999999999996</v>
      </c>
      <c r="G138" s="8">
        <v>480</v>
      </c>
      <c r="H138" s="13">
        <f t="shared" si="18"/>
        <v>0.12340000000000007</v>
      </c>
      <c r="J138" s="8">
        <v>480</v>
      </c>
      <c r="K138" s="13">
        <f t="shared" si="19"/>
        <v>0.15129999999999996</v>
      </c>
      <c r="M138" s="8">
        <v>480</v>
      </c>
      <c r="N138" s="14">
        <v>0.107</v>
      </c>
    </row>
    <row r="139" spans="2:14">
      <c r="B139" s="8">
        <v>481</v>
      </c>
      <c r="C139" s="13">
        <f t="shared" si="15"/>
        <v>9.8139999999999866E-2</v>
      </c>
      <c r="D139" s="13">
        <f t="shared" si="16"/>
        <v>0.12318000000000007</v>
      </c>
      <c r="E139" s="13">
        <f t="shared" si="17"/>
        <v>0.15140999999999996</v>
      </c>
      <c r="G139" s="8">
        <v>481</v>
      </c>
      <c r="H139" s="13">
        <f t="shared" si="18"/>
        <v>0.12318000000000007</v>
      </c>
      <c r="J139" s="8">
        <v>481</v>
      </c>
      <c r="K139" s="13">
        <f t="shared" si="19"/>
        <v>0.15140999999999996</v>
      </c>
      <c r="M139" s="8">
        <v>481</v>
      </c>
      <c r="N139" s="14">
        <v>0.107</v>
      </c>
    </row>
    <row r="140" spans="2:14">
      <c r="B140" s="8">
        <v>482</v>
      </c>
      <c r="C140" s="13">
        <f t="shared" si="15"/>
        <v>9.8079999999999862E-2</v>
      </c>
      <c r="D140" s="13">
        <f t="shared" si="16"/>
        <v>0.12296000000000007</v>
      </c>
      <c r="E140" s="13">
        <f t="shared" si="17"/>
        <v>0.15151999999999996</v>
      </c>
      <c r="G140" s="8">
        <v>482</v>
      </c>
      <c r="H140" s="13">
        <f t="shared" si="18"/>
        <v>0.12296000000000007</v>
      </c>
      <c r="J140" s="8">
        <v>482</v>
      </c>
      <c r="K140" s="13">
        <f t="shared" si="19"/>
        <v>0.15151999999999996</v>
      </c>
      <c r="M140" s="8">
        <v>482</v>
      </c>
      <c r="N140" s="14">
        <v>0.107</v>
      </c>
    </row>
    <row r="141" spans="2:14">
      <c r="B141" s="8">
        <v>483</v>
      </c>
      <c r="C141" s="13">
        <f t="shared" ref="C141:C172" si="20">C140+(($C$208-$C$108)/100)</f>
        <v>9.8019999999999857E-2</v>
      </c>
      <c r="D141" s="13">
        <f t="shared" ref="D141:D172" si="21">D140+(($D$208-$D$108)/100)</f>
        <v>0.12274000000000007</v>
      </c>
      <c r="E141" s="13">
        <f t="shared" ref="E141:E172" si="22">E140+(($E$208-$E$108)/100)</f>
        <v>0.15162999999999996</v>
      </c>
      <c r="G141" s="8">
        <v>483</v>
      </c>
      <c r="H141" s="13">
        <f t="shared" ref="H141:H172" si="23">H140+(($D$208-$D$108)/100)</f>
        <v>0.12274000000000007</v>
      </c>
      <c r="J141" s="8">
        <v>483</v>
      </c>
      <c r="K141" s="13">
        <f t="shared" ref="K141:K172" si="24">K140+(($E$208-$E$108)/100)</f>
        <v>0.15162999999999996</v>
      </c>
      <c r="M141" s="8">
        <v>483</v>
      </c>
      <c r="N141" s="14">
        <v>0.107</v>
      </c>
    </row>
    <row r="142" spans="2:14">
      <c r="B142" s="8">
        <v>484</v>
      </c>
      <c r="C142" s="13">
        <f t="shared" si="20"/>
        <v>9.7959999999999853E-2</v>
      </c>
      <c r="D142" s="13">
        <f t="shared" si="21"/>
        <v>0.12252000000000007</v>
      </c>
      <c r="E142" s="13">
        <f t="shared" si="22"/>
        <v>0.15173999999999996</v>
      </c>
      <c r="G142" s="8">
        <v>484</v>
      </c>
      <c r="H142" s="13">
        <f t="shared" si="23"/>
        <v>0.12252000000000007</v>
      </c>
      <c r="J142" s="8">
        <v>484</v>
      </c>
      <c r="K142" s="13">
        <f t="shared" si="24"/>
        <v>0.15173999999999996</v>
      </c>
      <c r="M142" s="8">
        <v>484</v>
      </c>
      <c r="N142" s="14">
        <v>0.107</v>
      </c>
    </row>
    <row r="143" spans="2:14">
      <c r="B143" s="8">
        <v>485</v>
      </c>
      <c r="C143" s="13">
        <f t="shared" si="20"/>
        <v>9.7899999999999848E-2</v>
      </c>
      <c r="D143" s="13">
        <f t="shared" si="21"/>
        <v>0.12230000000000008</v>
      </c>
      <c r="E143" s="13">
        <f t="shared" si="22"/>
        <v>0.15184999999999996</v>
      </c>
      <c r="G143" s="8">
        <v>485</v>
      </c>
      <c r="H143" s="13">
        <f t="shared" si="23"/>
        <v>0.12230000000000008</v>
      </c>
      <c r="J143" s="8">
        <v>485</v>
      </c>
      <c r="K143" s="13">
        <f t="shared" si="24"/>
        <v>0.15184999999999996</v>
      </c>
      <c r="M143" s="8">
        <v>485</v>
      </c>
      <c r="N143" s="14">
        <v>0.107</v>
      </c>
    </row>
    <row r="144" spans="2:14">
      <c r="B144" s="8">
        <v>486</v>
      </c>
      <c r="C144" s="13">
        <f t="shared" si="20"/>
        <v>9.7839999999999844E-2</v>
      </c>
      <c r="D144" s="13">
        <f t="shared" si="21"/>
        <v>0.12208000000000008</v>
      </c>
      <c r="E144" s="13">
        <f t="shared" si="22"/>
        <v>0.15195999999999996</v>
      </c>
      <c r="G144" s="8">
        <v>486</v>
      </c>
      <c r="H144" s="13">
        <f t="shared" si="23"/>
        <v>0.12208000000000008</v>
      </c>
      <c r="J144" s="8">
        <v>486</v>
      </c>
      <c r="K144" s="13">
        <f t="shared" si="24"/>
        <v>0.15195999999999996</v>
      </c>
      <c r="M144" s="8">
        <v>486</v>
      </c>
      <c r="N144" s="14">
        <v>0.107</v>
      </c>
    </row>
    <row r="145" spans="2:14">
      <c r="B145" s="8">
        <v>487</v>
      </c>
      <c r="C145" s="13">
        <f t="shared" si="20"/>
        <v>9.7779999999999839E-2</v>
      </c>
      <c r="D145" s="13">
        <f t="shared" si="21"/>
        <v>0.12186000000000008</v>
      </c>
      <c r="E145" s="13">
        <f t="shared" si="22"/>
        <v>0.15206999999999996</v>
      </c>
      <c r="G145" s="8">
        <v>487</v>
      </c>
      <c r="H145" s="13">
        <f t="shared" si="23"/>
        <v>0.12186000000000008</v>
      </c>
      <c r="J145" s="8">
        <v>487</v>
      </c>
      <c r="K145" s="13">
        <f t="shared" si="24"/>
        <v>0.15206999999999996</v>
      </c>
      <c r="M145" s="8">
        <v>487</v>
      </c>
      <c r="N145" s="14">
        <v>0.107</v>
      </c>
    </row>
    <row r="146" spans="2:14">
      <c r="B146" s="8">
        <v>488</v>
      </c>
      <c r="C146" s="13">
        <f t="shared" si="20"/>
        <v>9.7719999999999835E-2</v>
      </c>
      <c r="D146" s="13">
        <f t="shared" si="21"/>
        <v>0.12164000000000008</v>
      </c>
      <c r="E146" s="13">
        <f t="shared" si="22"/>
        <v>0.15217999999999995</v>
      </c>
      <c r="G146" s="8">
        <v>488</v>
      </c>
      <c r="H146" s="13">
        <f t="shared" si="23"/>
        <v>0.12164000000000008</v>
      </c>
      <c r="J146" s="8">
        <v>488</v>
      </c>
      <c r="K146" s="13">
        <f t="shared" si="24"/>
        <v>0.15217999999999995</v>
      </c>
      <c r="M146" s="8">
        <v>488</v>
      </c>
      <c r="N146" s="14">
        <v>0.107</v>
      </c>
    </row>
    <row r="147" spans="2:14">
      <c r="B147" s="8">
        <v>489</v>
      </c>
      <c r="C147" s="13">
        <f t="shared" si="20"/>
        <v>9.765999999999983E-2</v>
      </c>
      <c r="D147" s="13">
        <f t="shared" si="21"/>
        <v>0.12142000000000008</v>
      </c>
      <c r="E147" s="13">
        <f t="shared" si="22"/>
        <v>0.15228999999999995</v>
      </c>
      <c r="G147" s="8">
        <v>489</v>
      </c>
      <c r="H147" s="13">
        <f t="shared" si="23"/>
        <v>0.12142000000000008</v>
      </c>
      <c r="J147" s="8">
        <v>489</v>
      </c>
      <c r="K147" s="13">
        <f t="shared" si="24"/>
        <v>0.15228999999999995</v>
      </c>
      <c r="M147" s="8">
        <v>489</v>
      </c>
      <c r="N147" s="14">
        <v>0.107</v>
      </c>
    </row>
    <row r="148" spans="2:14">
      <c r="B148" s="8">
        <v>490</v>
      </c>
      <c r="C148" s="13">
        <f t="shared" si="20"/>
        <v>9.7599999999999826E-2</v>
      </c>
      <c r="D148" s="13">
        <f t="shared" si="21"/>
        <v>0.12120000000000009</v>
      </c>
      <c r="E148" s="13">
        <f t="shared" si="22"/>
        <v>0.15239999999999995</v>
      </c>
      <c r="G148" s="8">
        <v>490</v>
      </c>
      <c r="H148" s="13">
        <f t="shared" si="23"/>
        <v>0.12120000000000009</v>
      </c>
      <c r="J148" s="8">
        <v>490</v>
      </c>
      <c r="K148" s="13">
        <f t="shared" si="24"/>
        <v>0.15239999999999995</v>
      </c>
      <c r="M148" s="8">
        <v>490</v>
      </c>
      <c r="N148" s="14">
        <v>0.107</v>
      </c>
    </row>
    <row r="149" spans="2:14">
      <c r="B149" s="8">
        <v>491</v>
      </c>
      <c r="C149" s="13">
        <f t="shared" si="20"/>
        <v>9.7539999999999821E-2</v>
      </c>
      <c r="D149" s="13">
        <f t="shared" si="21"/>
        <v>0.12098000000000009</v>
      </c>
      <c r="E149" s="13">
        <f t="shared" si="22"/>
        <v>0.15250999999999995</v>
      </c>
      <c r="G149" s="8">
        <v>491</v>
      </c>
      <c r="H149" s="13">
        <f t="shared" si="23"/>
        <v>0.12098000000000009</v>
      </c>
      <c r="J149" s="8">
        <v>491</v>
      </c>
      <c r="K149" s="13">
        <f t="shared" si="24"/>
        <v>0.15250999999999995</v>
      </c>
      <c r="M149" s="8">
        <v>491</v>
      </c>
      <c r="N149" s="14">
        <v>0.107</v>
      </c>
    </row>
    <row r="150" spans="2:14">
      <c r="B150" s="8">
        <v>492</v>
      </c>
      <c r="C150" s="13">
        <f t="shared" si="20"/>
        <v>9.7479999999999817E-2</v>
      </c>
      <c r="D150" s="13">
        <f t="shared" si="21"/>
        <v>0.12076000000000009</v>
      </c>
      <c r="E150" s="13">
        <f t="shared" si="22"/>
        <v>0.15261999999999995</v>
      </c>
      <c r="G150" s="8">
        <v>492</v>
      </c>
      <c r="H150" s="13">
        <f t="shared" si="23"/>
        <v>0.12076000000000009</v>
      </c>
      <c r="J150" s="8">
        <v>492</v>
      </c>
      <c r="K150" s="13">
        <f t="shared" si="24"/>
        <v>0.15261999999999995</v>
      </c>
      <c r="M150" s="8">
        <v>492</v>
      </c>
      <c r="N150" s="14">
        <v>0.107</v>
      </c>
    </row>
    <row r="151" spans="2:14">
      <c r="B151" s="8">
        <v>493</v>
      </c>
      <c r="C151" s="13">
        <f t="shared" si="20"/>
        <v>9.7419999999999812E-2</v>
      </c>
      <c r="D151" s="13">
        <f t="shared" si="21"/>
        <v>0.12054000000000009</v>
      </c>
      <c r="E151" s="13">
        <f t="shared" si="22"/>
        <v>0.15272999999999995</v>
      </c>
      <c r="G151" s="8">
        <v>493</v>
      </c>
      <c r="H151" s="13">
        <f t="shared" si="23"/>
        <v>0.12054000000000009</v>
      </c>
      <c r="J151" s="8">
        <v>493</v>
      </c>
      <c r="K151" s="13">
        <f t="shared" si="24"/>
        <v>0.15272999999999995</v>
      </c>
      <c r="M151" s="8">
        <v>493</v>
      </c>
      <c r="N151" s="14">
        <v>0.107</v>
      </c>
    </row>
    <row r="152" spans="2:14">
      <c r="B152" s="8">
        <v>494</v>
      </c>
      <c r="C152" s="13">
        <f t="shared" si="20"/>
        <v>9.7359999999999808E-2</v>
      </c>
      <c r="D152" s="13">
        <f t="shared" si="21"/>
        <v>0.12032000000000009</v>
      </c>
      <c r="E152" s="13">
        <f t="shared" si="22"/>
        <v>0.15283999999999995</v>
      </c>
      <c r="G152" s="8">
        <v>494</v>
      </c>
      <c r="H152" s="13">
        <f t="shared" si="23"/>
        <v>0.12032000000000009</v>
      </c>
      <c r="J152" s="8">
        <v>494</v>
      </c>
      <c r="K152" s="13">
        <f t="shared" si="24"/>
        <v>0.15283999999999995</v>
      </c>
      <c r="M152" s="8">
        <v>494</v>
      </c>
      <c r="N152" s="14">
        <v>0.107</v>
      </c>
    </row>
    <row r="153" spans="2:14">
      <c r="B153" s="8">
        <v>495</v>
      </c>
      <c r="C153" s="13">
        <f t="shared" si="20"/>
        <v>9.7299999999999803E-2</v>
      </c>
      <c r="D153" s="13">
        <f t="shared" si="21"/>
        <v>0.1201000000000001</v>
      </c>
      <c r="E153" s="13">
        <f t="shared" si="22"/>
        <v>0.15294999999999995</v>
      </c>
      <c r="G153" s="8">
        <v>495</v>
      </c>
      <c r="H153" s="13">
        <f t="shared" si="23"/>
        <v>0.1201000000000001</v>
      </c>
      <c r="J153" s="8">
        <v>495</v>
      </c>
      <c r="K153" s="13">
        <f t="shared" si="24"/>
        <v>0.15294999999999995</v>
      </c>
      <c r="M153" s="8">
        <v>495</v>
      </c>
      <c r="N153" s="14">
        <v>0.107</v>
      </c>
    </row>
    <row r="154" spans="2:14">
      <c r="B154" s="8">
        <v>496</v>
      </c>
      <c r="C154" s="13">
        <f t="shared" si="20"/>
        <v>9.7239999999999799E-2</v>
      </c>
      <c r="D154" s="13">
        <f t="shared" si="21"/>
        <v>0.1198800000000001</v>
      </c>
      <c r="E154" s="13">
        <f t="shared" si="22"/>
        <v>0.15305999999999995</v>
      </c>
      <c r="G154" s="8">
        <v>496</v>
      </c>
      <c r="H154" s="13">
        <f t="shared" si="23"/>
        <v>0.1198800000000001</v>
      </c>
      <c r="J154" s="8">
        <v>496</v>
      </c>
      <c r="K154" s="13">
        <f t="shared" si="24"/>
        <v>0.15305999999999995</v>
      </c>
      <c r="M154" s="8">
        <v>496</v>
      </c>
      <c r="N154" s="14">
        <v>0.107</v>
      </c>
    </row>
    <row r="155" spans="2:14">
      <c r="B155" s="8">
        <v>497</v>
      </c>
      <c r="C155" s="13">
        <f t="shared" si="20"/>
        <v>9.7179999999999794E-2</v>
      </c>
      <c r="D155" s="13">
        <f t="shared" si="21"/>
        <v>0.1196600000000001</v>
      </c>
      <c r="E155" s="13">
        <f t="shared" si="22"/>
        <v>0.15316999999999995</v>
      </c>
      <c r="G155" s="8">
        <v>497</v>
      </c>
      <c r="H155" s="13">
        <f t="shared" si="23"/>
        <v>0.1196600000000001</v>
      </c>
      <c r="J155" s="8">
        <v>497</v>
      </c>
      <c r="K155" s="13">
        <f t="shared" si="24"/>
        <v>0.15316999999999995</v>
      </c>
      <c r="M155" s="8">
        <v>497</v>
      </c>
      <c r="N155" s="14">
        <v>0.107</v>
      </c>
    </row>
    <row r="156" spans="2:14">
      <c r="B156" s="8">
        <v>498</v>
      </c>
      <c r="C156" s="13">
        <f t="shared" si="20"/>
        <v>9.711999999999979E-2</v>
      </c>
      <c r="D156" s="13">
        <f t="shared" si="21"/>
        <v>0.1194400000000001</v>
      </c>
      <c r="E156" s="13">
        <f t="shared" si="22"/>
        <v>0.15327999999999994</v>
      </c>
      <c r="G156" s="8">
        <v>498</v>
      </c>
      <c r="H156" s="13">
        <f t="shared" si="23"/>
        <v>0.1194400000000001</v>
      </c>
      <c r="J156" s="8">
        <v>498</v>
      </c>
      <c r="K156" s="13">
        <f t="shared" si="24"/>
        <v>0.15327999999999994</v>
      </c>
      <c r="M156" s="8">
        <v>498</v>
      </c>
      <c r="N156" s="14">
        <v>0.107</v>
      </c>
    </row>
    <row r="157" spans="2:14">
      <c r="B157" s="8">
        <v>499</v>
      </c>
      <c r="C157" s="13">
        <f t="shared" si="20"/>
        <v>9.7059999999999785E-2</v>
      </c>
      <c r="D157" s="13">
        <f t="shared" si="21"/>
        <v>0.1192200000000001</v>
      </c>
      <c r="E157" s="13">
        <f t="shared" si="22"/>
        <v>0.15338999999999994</v>
      </c>
      <c r="G157" s="8">
        <v>499</v>
      </c>
      <c r="H157" s="13">
        <f t="shared" si="23"/>
        <v>0.1192200000000001</v>
      </c>
      <c r="J157" s="8">
        <v>499</v>
      </c>
      <c r="K157" s="13">
        <f t="shared" si="24"/>
        <v>0.15338999999999994</v>
      </c>
      <c r="M157" s="8">
        <v>499</v>
      </c>
      <c r="N157" s="14">
        <v>0.107</v>
      </c>
    </row>
    <row r="158" spans="2:14">
      <c r="B158" s="8">
        <v>500</v>
      </c>
      <c r="C158" s="13">
        <f t="shared" si="20"/>
        <v>9.6999999999999781E-2</v>
      </c>
      <c r="D158" s="13">
        <f t="shared" si="21"/>
        <v>0.11900000000000011</v>
      </c>
      <c r="E158" s="13">
        <f t="shared" si="22"/>
        <v>0.15349999999999994</v>
      </c>
      <c r="G158" s="8">
        <v>500</v>
      </c>
      <c r="H158" s="13">
        <f t="shared" si="23"/>
        <v>0.11900000000000011</v>
      </c>
      <c r="J158" s="8">
        <v>500</v>
      </c>
      <c r="K158" s="13">
        <f t="shared" si="24"/>
        <v>0.15349999999999994</v>
      </c>
      <c r="M158" s="8">
        <v>500</v>
      </c>
      <c r="N158" s="14">
        <v>0.107</v>
      </c>
    </row>
    <row r="159" spans="2:14">
      <c r="B159" s="8">
        <v>501</v>
      </c>
      <c r="C159" s="13">
        <f t="shared" si="20"/>
        <v>9.6939999999999776E-2</v>
      </c>
      <c r="D159" s="13">
        <f t="shared" si="21"/>
        <v>0.11878000000000011</v>
      </c>
      <c r="E159" s="13">
        <f t="shared" si="22"/>
        <v>0.15360999999999994</v>
      </c>
      <c r="G159" s="8">
        <v>501</v>
      </c>
      <c r="H159" s="13">
        <f t="shared" si="23"/>
        <v>0.11878000000000011</v>
      </c>
      <c r="J159" s="8">
        <v>501</v>
      </c>
      <c r="K159" s="13">
        <f t="shared" si="24"/>
        <v>0.15360999999999994</v>
      </c>
      <c r="M159" s="8">
        <v>501</v>
      </c>
      <c r="N159" s="14">
        <v>0.107</v>
      </c>
    </row>
    <row r="160" spans="2:14">
      <c r="B160" s="8">
        <v>502</v>
      </c>
      <c r="C160" s="13">
        <f t="shared" si="20"/>
        <v>9.6879999999999772E-2</v>
      </c>
      <c r="D160" s="13">
        <f t="shared" si="21"/>
        <v>0.11856000000000011</v>
      </c>
      <c r="E160" s="13">
        <f t="shared" si="22"/>
        <v>0.15371999999999994</v>
      </c>
      <c r="G160" s="8">
        <v>502</v>
      </c>
      <c r="H160" s="13">
        <f t="shared" si="23"/>
        <v>0.11856000000000011</v>
      </c>
      <c r="J160" s="8">
        <v>502</v>
      </c>
      <c r="K160" s="13">
        <f t="shared" si="24"/>
        <v>0.15371999999999994</v>
      </c>
      <c r="M160" s="8">
        <v>502</v>
      </c>
      <c r="N160" s="14">
        <v>0.107</v>
      </c>
    </row>
    <row r="161" spans="2:14">
      <c r="B161" s="8">
        <v>503</v>
      </c>
      <c r="C161" s="13">
        <f t="shared" si="20"/>
        <v>9.6819999999999767E-2</v>
      </c>
      <c r="D161" s="13">
        <f t="shared" si="21"/>
        <v>0.11834000000000011</v>
      </c>
      <c r="E161" s="13">
        <f t="shared" si="22"/>
        <v>0.15382999999999994</v>
      </c>
      <c r="G161" s="8">
        <v>503</v>
      </c>
      <c r="H161" s="13">
        <f t="shared" si="23"/>
        <v>0.11834000000000011</v>
      </c>
      <c r="J161" s="8">
        <v>503</v>
      </c>
      <c r="K161" s="13">
        <f t="shared" si="24"/>
        <v>0.15382999999999994</v>
      </c>
      <c r="M161" s="8">
        <v>503</v>
      </c>
      <c r="N161" s="14">
        <v>0.107</v>
      </c>
    </row>
    <row r="162" spans="2:14">
      <c r="B162" s="8">
        <v>504</v>
      </c>
      <c r="C162" s="13">
        <f t="shared" si="20"/>
        <v>9.6759999999999763E-2</v>
      </c>
      <c r="D162" s="13">
        <f t="shared" si="21"/>
        <v>0.11812000000000011</v>
      </c>
      <c r="E162" s="13">
        <f t="shared" si="22"/>
        <v>0.15393999999999994</v>
      </c>
      <c r="G162" s="8">
        <v>504</v>
      </c>
      <c r="H162" s="13">
        <f t="shared" si="23"/>
        <v>0.11812000000000011</v>
      </c>
      <c r="J162" s="8">
        <v>504</v>
      </c>
      <c r="K162" s="13">
        <f t="shared" si="24"/>
        <v>0.15393999999999994</v>
      </c>
      <c r="M162" s="8">
        <v>504</v>
      </c>
      <c r="N162" s="14">
        <v>0.107</v>
      </c>
    </row>
    <row r="163" spans="2:14">
      <c r="B163" s="8">
        <v>505</v>
      </c>
      <c r="C163" s="13">
        <f t="shared" si="20"/>
        <v>9.6699999999999758E-2</v>
      </c>
      <c r="D163" s="13">
        <f t="shared" si="21"/>
        <v>0.11790000000000012</v>
      </c>
      <c r="E163" s="13">
        <f t="shared" si="22"/>
        <v>0.15404999999999994</v>
      </c>
      <c r="G163" s="8">
        <v>505</v>
      </c>
      <c r="H163" s="13">
        <f t="shared" si="23"/>
        <v>0.11790000000000012</v>
      </c>
      <c r="J163" s="8">
        <v>505</v>
      </c>
      <c r="K163" s="13">
        <f t="shared" si="24"/>
        <v>0.15404999999999994</v>
      </c>
      <c r="M163" s="8">
        <v>505</v>
      </c>
      <c r="N163" s="14">
        <v>0.107</v>
      </c>
    </row>
    <row r="164" spans="2:14">
      <c r="B164" s="8">
        <v>506</v>
      </c>
      <c r="C164" s="13">
        <f t="shared" si="20"/>
        <v>9.6639999999999754E-2</v>
      </c>
      <c r="D164" s="13">
        <f t="shared" si="21"/>
        <v>0.11768000000000012</v>
      </c>
      <c r="E164" s="13">
        <f t="shared" si="22"/>
        <v>0.15415999999999994</v>
      </c>
      <c r="G164" s="8">
        <v>506</v>
      </c>
      <c r="H164" s="13">
        <f t="shared" si="23"/>
        <v>0.11768000000000012</v>
      </c>
      <c r="J164" s="8">
        <v>506</v>
      </c>
      <c r="K164" s="13">
        <f t="shared" si="24"/>
        <v>0.15415999999999994</v>
      </c>
      <c r="M164" s="8">
        <v>506</v>
      </c>
      <c r="N164" s="14">
        <v>0.107</v>
      </c>
    </row>
    <row r="165" spans="2:14">
      <c r="B165" s="8">
        <v>507</v>
      </c>
      <c r="C165" s="13">
        <f t="shared" si="20"/>
        <v>9.6579999999999749E-2</v>
      </c>
      <c r="D165" s="13">
        <f t="shared" si="21"/>
        <v>0.11746000000000012</v>
      </c>
      <c r="E165" s="13">
        <f t="shared" si="22"/>
        <v>0.15426999999999993</v>
      </c>
      <c r="G165" s="8">
        <v>507</v>
      </c>
      <c r="H165" s="13">
        <f t="shared" si="23"/>
        <v>0.11746000000000012</v>
      </c>
      <c r="J165" s="8">
        <v>507</v>
      </c>
      <c r="K165" s="13">
        <f t="shared" si="24"/>
        <v>0.15426999999999993</v>
      </c>
      <c r="M165" s="8">
        <v>507</v>
      </c>
      <c r="N165" s="14">
        <v>0.107</v>
      </c>
    </row>
    <row r="166" spans="2:14">
      <c r="B166" s="8">
        <v>508</v>
      </c>
      <c r="C166" s="13">
        <f t="shared" si="20"/>
        <v>9.6519999999999745E-2</v>
      </c>
      <c r="D166" s="13">
        <f t="shared" si="21"/>
        <v>0.11724000000000012</v>
      </c>
      <c r="E166" s="13">
        <f t="shared" si="22"/>
        <v>0.15437999999999993</v>
      </c>
      <c r="G166" s="8">
        <v>508</v>
      </c>
      <c r="H166" s="13">
        <f t="shared" si="23"/>
        <v>0.11724000000000012</v>
      </c>
      <c r="J166" s="8">
        <v>508</v>
      </c>
      <c r="K166" s="13">
        <f t="shared" si="24"/>
        <v>0.15437999999999993</v>
      </c>
      <c r="M166" s="8">
        <v>508</v>
      </c>
      <c r="N166" s="14">
        <v>0.107</v>
      </c>
    </row>
    <row r="167" spans="2:14">
      <c r="B167" s="8">
        <v>509</v>
      </c>
      <c r="C167" s="13">
        <f t="shared" si="20"/>
        <v>9.645999999999974E-2</v>
      </c>
      <c r="D167" s="13">
        <f t="shared" si="21"/>
        <v>0.11702000000000012</v>
      </c>
      <c r="E167" s="13">
        <f t="shared" si="22"/>
        <v>0.15448999999999993</v>
      </c>
      <c r="G167" s="8">
        <v>509</v>
      </c>
      <c r="H167" s="13">
        <f t="shared" si="23"/>
        <v>0.11702000000000012</v>
      </c>
      <c r="J167" s="8">
        <v>509</v>
      </c>
      <c r="K167" s="13">
        <f t="shared" si="24"/>
        <v>0.15448999999999993</v>
      </c>
      <c r="M167" s="8">
        <v>509</v>
      </c>
      <c r="N167" s="14">
        <v>0.107</v>
      </c>
    </row>
    <row r="168" spans="2:14">
      <c r="B168" s="8">
        <v>510</v>
      </c>
      <c r="C168" s="13">
        <f t="shared" si="20"/>
        <v>9.6399999999999736E-2</v>
      </c>
      <c r="D168" s="13">
        <f t="shared" si="21"/>
        <v>0.11680000000000013</v>
      </c>
      <c r="E168" s="13">
        <f t="shared" si="22"/>
        <v>0.15459999999999993</v>
      </c>
      <c r="G168" s="8">
        <v>510</v>
      </c>
      <c r="H168" s="13">
        <f t="shared" si="23"/>
        <v>0.11680000000000013</v>
      </c>
      <c r="J168" s="8">
        <v>510</v>
      </c>
      <c r="K168" s="13">
        <f t="shared" si="24"/>
        <v>0.15459999999999993</v>
      </c>
      <c r="M168" s="8">
        <v>510</v>
      </c>
      <c r="N168" s="14">
        <v>0.107</v>
      </c>
    </row>
    <row r="169" spans="2:14">
      <c r="B169" s="8">
        <v>511</v>
      </c>
      <c r="C169" s="13">
        <f t="shared" si="20"/>
        <v>9.6339999999999731E-2</v>
      </c>
      <c r="D169" s="13">
        <f t="shared" si="21"/>
        <v>0.11658000000000013</v>
      </c>
      <c r="E169" s="13">
        <f t="shared" si="22"/>
        <v>0.15470999999999993</v>
      </c>
      <c r="G169" s="8">
        <v>511</v>
      </c>
      <c r="H169" s="13">
        <f t="shared" si="23"/>
        <v>0.11658000000000013</v>
      </c>
      <c r="J169" s="8">
        <v>511</v>
      </c>
      <c r="K169" s="13">
        <f t="shared" si="24"/>
        <v>0.15470999999999993</v>
      </c>
      <c r="M169" s="8">
        <v>511</v>
      </c>
      <c r="N169" s="14">
        <v>0.107</v>
      </c>
    </row>
    <row r="170" spans="2:14">
      <c r="B170" s="8">
        <v>512</v>
      </c>
      <c r="C170" s="13">
        <f t="shared" si="20"/>
        <v>9.6279999999999727E-2</v>
      </c>
      <c r="D170" s="13">
        <f t="shared" si="21"/>
        <v>0.11636000000000013</v>
      </c>
      <c r="E170" s="13">
        <f t="shared" si="22"/>
        <v>0.15481999999999993</v>
      </c>
      <c r="G170" s="8">
        <v>512</v>
      </c>
      <c r="H170" s="13">
        <f t="shared" si="23"/>
        <v>0.11636000000000013</v>
      </c>
      <c r="J170" s="8">
        <v>512</v>
      </c>
      <c r="K170" s="13">
        <f t="shared" si="24"/>
        <v>0.15481999999999993</v>
      </c>
      <c r="M170" s="8">
        <v>512</v>
      </c>
      <c r="N170" s="14">
        <v>0.107</v>
      </c>
    </row>
    <row r="171" spans="2:14">
      <c r="B171" s="8">
        <v>513</v>
      </c>
      <c r="C171" s="13">
        <f t="shared" si="20"/>
        <v>9.6219999999999722E-2</v>
      </c>
      <c r="D171" s="13">
        <f t="shared" si="21"/>
        <v>0.11614000000000013</v>
      </c>
      <c r="E171" s="13">
        <f t="shared" si="22"/>
        <v>0.15492999999999993</v>
      </c>
      <c r="G171" s="8">
        <v>513</v>
      </c>
      <c r="H171" s="13">
        <f t="shared" si="23"/>
        <v>0.11614000000000013</v>
      </c>
      <c r="J171" s="8">
        <v>513</v>
      </c>
      <c r="K171" s="13">
        <f t="shared" si="24"/>
        <v>0.15492999999999993</v>
      </c>
      <c r="M171" s="8">
        <v>513</v>
      </c>
      <c r="N171" s="14">
        <v>0.107</v>
      </c>
    </row>
    <row r="172" spans="2:14">
      <c r="B172" s="8">
        <v>514</v>
      </c>
      <c r="C172" s="13">
        <f t="shared" si="20"/>
        <v>9.6159999999999718E-2</v>
      </c>
      <c r="D172" s="13">
        <f t="shared" si="21"/>
        <v>0.11592000000000013</v>
      </c>
      <c r="E172" s="13">
        <f t="shared" si="22"/>
        <v>0.15503999999999993</v>
      </c>
      <c r="G172" s="8">
        <v>514</v>
      </c>
      <c r="H172" s="13">
        <f t="shared" si="23"/>
        <v>0.11592000000000013</v>
      </c>
      <c r="J172" s="8">
        <v>514</v>
      </c>
      <c r="K172" s="13">
        <f t="shared" si="24"/>
        <v>0.15503999999999993</v>
      </c>
      <c r="M172" s="8">
        <v>514</v>
      </c>
      <c r="N172" s="14">
        <v>0.107</v>
      </c>
    </row>
    <row r="173" spans="2:14">
      <c r="B173" s="8">
        <v>515</v>
      </c>
      <c r="C173" s="13">
        <f t="shared" ref="C173:C207" si="25">C172+(($C$208-$C$108)/100)</f>
        <v>9.6099999999999713E-2</v>
      </c>
      <c r="D173" s="13">
        <f t="shared" ref="D173:D207" si="26">D172+(($D$208-$D$108)/100)</f>
        <v>0.11570000000000014</v>
      </c>
      <c r="E173" s="13">
        <f t="shared" ref="E173:E207" si="27">E172+(($E$208-$E$108)/100)</f>
        <v>0.15514999999999993</v>
      </c>
      <c r="G173" s="8">
        <v>515</v>
      </c>
      <c r="H173" s="13">
        <f t="shared" ref="H173:H207" si="28">H172+(($D$208-$D$108)/100)</f>
        <v>0.11570000000000014</v>
      </c>
      <c r="J173" s="8">
        <v>515</v>
      </c>
      <c r="K173" s="13">
        <f t="shared" ref="K173:K207" si="29">K172+(($E$208-$E$108)/100)</f>
        <v>0.15514999999999993</v>
      </c>
      <c r="M173" s="8">
        <v>515</v>
      </c>
      <c r="N173" s="14">
        <v>0.107</v>
      </c>
    </row>
    <row r="174" spans="2:14">
      <c r="B174" s="8">
        <v>516</v>
      </c>
      <c r="C174" s="13">
        <f t="shared" si="25"/>
        <v>9.6039999999999709E-2</v>
      </c>
      <c r="D174" s="13">
        <f t="shared" si="26"/>
        <v>0.11548000000000014</v>
      </c>
      <c r="E174" s="13">
        <f t="shared" si="27"/>
        <v>0.15525999999999993</v>
      </c>
      <c r="G174" s="8">
        <v>516</v>
      </c>
      <c r="H174" s="13">
        <f t="shared" si="28"/>
        <v>0.11548000000000014</v>
      </c>
      <c r="J174" s="8">
        <v>516</v>
      </c>
      <c r="K174" s="13">
        <f t="shared" si="29"/>
        <v>0.15525999999999993</v>
      </c>
      <c r="M174" s="8">
        <v>516</v>
      </c>
      <c r="N174" s="14">
        <v>0.107</v>
      </c>
    </row>
    <row r="175" spans="2:14">
      <c r="B175" s="8">
        <v>517</v>
      </c>
      <c r="C175" s="13">
        <f t="shared" si="25"/>
        <v>9.5979999999999704E-2</v>
      </c>
      <c r="D175" s="13">
        <f t="shared" si="26"/>
        <v>0.11526000000000014</v>
      </c>
      <c r="E175" s="13">
        <f t="shared" si="27"/>
        <v>0.15536999999999992</v>
      </c>
      <c r="G175" s="8">
        <v>517</v>
      </c>
      <c r="H175" s="13">
        <f t="shared" si="28"/>
        <v>0.11526000000000014</v>
      </c>
      <c r="J175" s="8">
        <v>517</v>
      </c>
      <c r="K175" s="13">
        <f t="shared" si="29"/>
        <v>0.15536999999999992</v>
      </c>
      <c r="M175" s="8">
        <v>517</v>
      </c>
      <c r="N175" s="14">
        <v>0.107</v>
      </c>
    </row>
    <row r="176" spans="2:14">
      <c r="B176" s="8">
        <v>518</v>
      </c>
      <c r="C176" s="13">
        <f t="shared" si="25"/>
        <v>9.59199999999997E-2</v>
      </c>
      <c r="D176" s="13">
        <f t="shared" si="26"/>
        <v>0.11504000000000014</v>
      </c>
      <c r="E176" s="13">
        <f t="shared" si="27"/>
        <v>0.15547999999999992</v>
      </c>
      <c r="G176" s="8">
        <v>518</v>
      </c>
      <c r="H176" s="13">
        <f t="shared" si="28"/>
        <v>0.11504000000000014</v>
      </c>
      <c r="J176" s="8">
        <v>518</v>
      </c>
      <c r="K176" s="13">
        <f t="shared" si="29"/>
        <v>0.15547999999999992</v>
      </c>
      <c r="M176" s="8">
        <v>518</v>
      </c>
      <c r="N176" s="14">
        <v>0.107</v>
      </c>
    </row>
    <row r="177" spans="2:14">
      <c r="B177" s="8">
        <v>519</v>
      </c>
      <c r="C177" s="13">
        <f t="shared" si="25"/>
        <v>9.5859999999999695E-2</v>
      </c>
      <c r="D177" s="13">
        <f t="shared" si="26"/>
        <v>0.11482000000000014</v>
      </c>
      <c r="E177" s="13">
        <f t="shared" si="27"/>
        <v>0.15558999999999992</v>
      </c>
      <c r="G177" s="8">
        <v>519</v>
      </c>
      <c r="H177" s="13">
        <f t="shared" si="28"/>
        <v>0.11482000000000014</v>
      </c>
      <c r="J177" s="8">
        <v>519</v>
      </c>
      <c r="K177" s="13">
        <f t="shared" si="29"/>
        <v>0.15558999999999992</v>
      </c>
      <c r="M177" s="8">
        <v>519</v>
      </c>
      <c r="N177" s="14">
        <v>0.107</v>
      </c>
    </row>
    <row r="178" spans="2:14">
      <c r="B178" s="8">
        <v>520</v>
      </c>
      <c r="C178" s="13">
        <f t="shared" si="25"/>
        <v>9.5799999999999691E-2</v>
      </c>
      <c r="D178" s="13">
        <f t="shared" si="26"/>
        <v>0.11460000000000015</v>
      </c>
      <c r="E178" s="13">
        <f t="shared" si="27"/>
        <v>0.15569999999999992</v>
      </c>
      <c r="G178" s="8">
        <v>520</v>
      </c>
      <c r="H178" s="13">
        <f t="shared" si="28"/>
        <v>0.11460000000000015</v>
      </c>
      <c r="J178" s="8">
        <v>520</v>
      </c>
      <c r="K178" s="13">
        <f t="shared" si="29"/>
        <v>0.15569999999999992</v>
      </c>
      <c r="M178" s="8">
        <v>520</v>
      </c>
      <c r="N178" s="14">
        <v>0.107</v>
      </c>
    </row>
    <row r="179" spans="2:14">
      <c r="B179" s="8">
        <v>521</v>
      </c>
      <c r="C179" s="13">
        <f t="shared" si="25"/>
        <v>9.5739999999999686E-2</v>
      </c>
      <c r="D179" s="13">
        <f t="shared" si="26"/>
        <v>0.11438000000000015</v>
      </c>
      <c r="E179" s="13">
        <f t="shared" si="27"/>
        <v>0.15580999999999992</v>
      </c>
      <c r="G179" s="8">
        <v>521</v>
      </c>
      <c r="H179" s="13">
        <f t="shared" si="28"/>
        <v>0.11438000000000015</v>
      </c>
      <c r="J179" s="8">
        <v>521</v>
      </c>
      <c r="K179" s="13">
        <f t="shared" si="29"/>
        <v>0.15580999999999992</v>
      </c>
      <c r="M179" s="8">
        <v>521</v>
      </c>
      <c r="N179" s="14">
        <v>0.107</v>
      </c>
    </row>
    <row r="180" spans="2:14">
      <c r="B180" s="8">
        <v>522</v>
      </c>
      <c r="C180" s="13">
        <f t="shared" si="25"/>
        <v>9.5679999999999682E-2</v>
      </c>
      <c r="D180" s="13">
        <f t="shared" si="26"/>
        <v>0.11416000000000015</v>
      </c>
      <c r="E180" s="13">
        <f t="shared" si="27"/>
        <v>0.15591999999999992</v>
      </c>
      <c r="G180" s="8">
        <v>522</v>
      </c>
      <c r="H180" s="13">
        <f t="shared" si="28"/>
        <v>0.11416000000000015</v>
      </c>
      <c r="J180" s="8">
        <v>522</v>
      </c>
      <c r="K180" s="13">
        <f t="shared" si="29"/>
        <v>0.15591999999999992</v>
      </c>
      <c r="M180" s="8">
        <v>522</v>
      </c>
      <c r="N180" s="14">
        <v>0.107</v>
      </c>
    </row>
    <row r="181" spans="2:14">
      <c r="B181" s="8">
        <v>523</v>
      </c>
      <c r="C181" s="13">
        <f t="shared" si="25"/>
        <v>9.5619999999999677E-2</v>
      </c>
      <c r="D181" s="13">
        <f t="shared" si="26"/>
        <v>0.11394000000000015</v>
      </c>
      <c r="E181" s="13">
        <f t="shared" si="27"/>
        <v>0.15602999999999992</v>
      </c>
      <c r="G181" s="8">
        <v>523</v>
      </c>
      <c r="H181" s="13">
        <f t="shared" si="28"/>
        <v>0.11394000000000015</v>
      </c>
      <c r="J181" s="8">
        <v>523</v>
      </c>
      <c r="K181" s="13">
        <f t="shared" si="29"/>
        <v>0.15602999999999992</v>
      </c>
      <c r="M181" s="8">
        <v>523</v>
      </c>
      <c r="N181" s="14">
        <v>0.107</v>
      </c>
    </row>
    <row r="182" spans="2:14">
      <c r="B182" s="8">
        <v>524</v>
      </c>
      <c r="C182" s="13">
        <f t="shared" si="25"/>
        <v>9.5559999999999673E-2</v>
      </c>
      <c r="D182" s="13">
        <f t="shared" si="26"/>
        <v>0.11372000000000015</v>
      </c>
      <c r="E182" s="13">
        <f t="shared" si="27"/>
        <v>0.15613999999999992</v>
      </c>
      <c r="G182" s="8">
        <v>524</v>
      </c>
      <c r="H182" s="13">
        <f t="shared" si="28"/>
        <v>0.11372000000000015</v>
      </c>
      <c r="J182" s="8">
        <v>524</v>
      </c>
      <c r="K182" s="13">
        <f t="shared" si="29"/>
        <v>0.15613999999999992</v>
      </c>
      <c r="M182" s="8">
        <v>524</v>
      </c>
      <c r="N182" s="14">
        <v>0.107</v>
      </c>
    </row>
    <row r="183" spans="2:14">
      <c r="B183" s="8">
        <v>525</v>
      </c>
      <c r="C183" s="13">
        <f t="shared" si="25"/>
        <v>9.5499999999999668E-2</v>
      </c>
      <c r="D183" s="13">
        <f t="shared" si="26"/>
        <v>0.11350000000000016</v>
      </c>
      <c r="E183" s="13">
        <f t="shared" si="27"/>
        <v>0.15624999999999992</v>
      </c>
      <c r="G183" s="8">
        <v>525</v>
      </c>
      <c r="H183" s="13">
        <f t="shared" si="28"/>
        <v>0.11350000000000016</v>
      </c>
      <c r="J183" s="8">
        <v>525</v>
      </c>
      <c r="K183" s="13">
        <f t="shared" si="29"/>
        <v>0.15624999999999992</v>
      </c>
      <c r="M183" s="8">
        <v>525</v>
      </c>
      <c r="N183" s="14">
        <v>0.107</v>
      </c>
    </row>
    <row r="184" spans="2:14">
      <c r="B184" s="8">
        <v>526</v>
      </c>
      <c r="C184" s="13">
        <f t="shared" si="25"/>
        <v>9.5439999999999664E-2</v>
      </c>
      <c r="D184" s="13">
        <f t="shared" si="26"/>
        <v>0.11328000000000016</v>
      </c>
      <c r="E184" s="13">
        <f t="shared" si="27"/>
        <v>0.15635999999999992</v>
      </c>
      <c r="G184" s="8">
        <v>526</v>
      </c>
      <c r="H184" s="13">
        <f t="shared" si="28"/>
        <v>0.11328000000000016</v>
      </c>
      <c r="J184" s="8">
        <v>526</v>
      </c>
      <c r="K184" s="13">
        <f t="shared" si="29"/>
        <v>0.15635999999999992</v>
      </c>
      <c r="M184" s="8">
        <v>526</v>
      </c>
      <c r="N184" s="14">
        <v>0.107</v>
      </c>
    </row>
    <row r="185" spans="2:14">
      <c r="B185" s="8">
        <v>527</v>
      </c>
      <c r="C185" s="13">
        <f t="shared" si="25"/>
        <v>9.5379999999999659E-2</v>
      </c>
      <c r="D185" s="13">
        <f t="shared" si="26"/>
        <v>0.11306000000000016</v>
      </c>
      <c r="E185" s="13">
        <f t="shared" si="27"/>
        <v>0.15646999999999991</v>
      </c>
      <c r="G185" s="8">
        <v>527</v>
      </c>
      <c r="H185" s="13">
        <f t="shared" si="28"/>
        <v>0.11306000000000016</v>
      </c>
      <c r="J185" s="8">
        <v>527</v>
      </c>
      <c r="K185" s="13">
        <f t="shared" si="29"/>
        <v>0.15646999999999991</v>
      </c>
      <c r="M185" s="8">
        <v>527</v>
      </c>
      <c r="N185" s="14">
        <v>0.107</v>
      </c>
    </row>
    <row r="186" spans="2:14">
      <c r="B186" s="8">
        <v>528</v>
      </c>
      <c r="C186" s="13">
        <f t="shared" si="25"/>
        <v>9.5319999999999655E-2</v>
      </c>
      <c r="D186" s="13">
        <f t="shared" si="26"/>
        <v>0.11284000000000016</v>
      </c>
      <c r="E186" s="13">
        <f t="shared" si="27"/>
        <v>0.15657999999999991</v>
      </c>
      <c r="G186" s="8">
        <v>528</v>
      </c>
      <c r="H186" s="13">
        <f t="shared" si="28"/>
        <v>0.11284000000000016</v>
      </c>
      <c r="J186" s="8">
        <v>528</v>
      </c>
      <c r="K186" s="13">
        <f t="shared" si="29"/>
        <v>0.15657999999999991</v>
      </c>
      <c r="M186" s="8">
        <v>528</v>
      </c>
      <c r="N186" s="14">
        <v>0.107</v>
      </c>
    </row>
    <row r="187" spans="2:14">
      <c r="B187" s="8">
        <v>529</v>
      </c>
      <c r="C187" s="13">
        <f t="shared" si="25"/>
        <v>9.5259999999999651E-2</v>
      </c>
      <c r="D187" s="13">
        <f t="shared" si="26"/>
        <v>0.11262000000000016</v>
      </c>
      <c r="E187" s="13">
        <f t="shared" si="27"/>
        <v>0.15668999999999991</v>
      </c>
      <c r="G187" s="8">
        <v>529</v>
      </c>
      <c r="H187" s="13">
        <f t="shared" si="28"/>
        <v>0.11262000000000016</v>
      </c>
      <c r="J187" s="8">
        <v>529</v>
      </c>
      <c r="K187" s="13">
        <f t="shared" si="29"/>
        <v>0.15668999999999991</v>
      </c>
      <c r="M187" s="8">
        <v>529</v>
      </c>
      <c r="N187" s="14">
        <v>0.107</v>
      </c>
    </row>
    <row r="188" spans="2:14">
      <c r="B188" s="8">
        <v>530</v>
      </c>
      <c r="C188" s="13">
        <f t="shared" si="25"/>
        <v>9.5199999999999646E-2</v>
      </c>
      <c r="D188" s="13">
        <f t="shared" si="26"/>
        <v>0.11240000000000017</v>
      </c>
      <c r="E188" s="13">
        <f t="shared" si="27"/>
        <v>0.15679999999999991</v>
      </c>
      <c r="G188" s="8">
        <v>530</v>
      </c>
      <c r="H188" s="13">
        <f t="shared" si="28"/>
        <v>0.11240000000000017</v>
      </c>
      <c r="J188" s="8">
        <v>530</v>
      </c>
      <c r="K188" s="13">
        <f t="shared" si="29"/>
        <v>0.15679999999999991</v>
      </c>
      <c r="M188" s="8">
        <v>530</v>
      </c>
      <c r="N188" s="14">
        <v>0.107</v>
      </c>
    </row>
    <row r="189" spans="2:14">
      <c r="B189" s="8">
        <v>531</v>
      </c>
      <c r="C189" s="13">
        <f t="shared" si="25"/>
        <v>9.5139999999999642E-2</v>
      </c>
      <c r="D189" s="13">
        <f t="shared" si="26"/>
        <v>0.11218000000000017</v>
      </c>
      <c r="E189" s="13">
        <f t="shared" si="27"/>
        <v>0.15690999999999991</v>
      </c>
      <c r="G189" s="8">
        <v>531</v>
      </c>
      <c r="H189" s="13">
        <f t="shared" si="28"/>
        <v>0.11218000000000017</v>
      </c>
      <c r="J189" s="8">
        <v>531</v>
      </c>
      <c r="K189" s="13">
        <f t="shared" si="29"/>
        <v>0.15690999999999991</v>
      </c>
      <c r="M189" s="8">
        <v>531</v>
      </c>
      <c r="N189" s="14">
        <v>0.107</v>
      </c>
    </row>
    <row r="190" spans="2:14">
      <c r="B190" s="8">
        <v>532</v>
      </c>
      <c r="C190" s="13">
        <f t="shared" si="25"/>
        <v>9.5079999999999637E-2</v>
      </c>
      <c r="D190" s="13">
        <f t="shared" si="26"/>
        <v>0.11196000000000017</v>
      </c>
      <c r="E190" s="13">
        <f t="shared" si="27"/>
        <v>0.15701999999999991</v>
      </c>
      <c r="G190" s="8">
        <v>532</v>
      </c>
      <c r="H190" s="13">
        <f t="shared" si="28"/>
        <v>0.11196000000000017</v>
      </c>
      <c r="J190" s="8">
        <v>532</v>
      </c>
      <c r="K190" s="13">
        <f t="shared" si="29"/>
        <v>0.15701999999999991</v>
      </c>
      <c r="M190" s="8">
        <v>532</v>
      </c>
      <c r="N190" s="14">
        <v>0.107</v>
      </c>
    </row>
    <row r="191" spans="2:14">
      <c r="B191" s="8">
        <v>533</v>
      </c>
      <c r="C191" s="13">
        <f t="shared" si="25"/>
        <v>9.5019999999999633E-2</v>
      </c>
      <c r="D191" s="13">
        <f t="shared" si="26"/>
        <v>0.11174000000000017</v>
      </c>
      <c r="E191" s="13">
        <f t="shared" si="27"/>
        <v>0.15712999999999991</v>
      </c>
      <c r="G191" s="8">
        <v>533</v>
      </c>
      <c r="H191" s="13">
        <f t="shared" si="28"/>
        <v>0.11174000000000017</v>
      </c>
      <c r="J191" s="8">
        <v>533</v>
      </c>
      <c r="K191" s="13">
        <f t="shared" si="29"/>
        <v>0.15712999999999991</v>
      </c>
      <c r="M191" s="8">
        <v>533</v>
      </c>
      <c r="N191" s="14">
        <v>0.107</v>
      </c>
    </row>
    <row r="192" spans="2:14">
      <c r="B192" s="8">
        <v>534</v>
      </c>
      <c r="C192" s="13">
        <f t="shared" si="25"/>
        <v>9.4959999999999628E-2</v>
      </c>
      <c r="D192" s="13">
        <f t="shared" si="26"/>
        <v>0.11152000000000017</v>
      </c>
      <c r="E192" s="13">
        <f t="shared" si="27"/>
        <v>0.15723999999999991</v>
      </c>
      <c r="G192" s="8">
        <v>534</v>
      </c>
      <c r="H192" s="13">
        <f t="shared" si="28"/>
        <v>0.11152000000000017</v>
      </c>
      <c r="J192" s="8">
        <v>534</v>
      </c>
      <c r="K192" s="13">
        <f t="shared" si="29"/>
        <v>0.15723999999999991</v>
      </c>
      <c r="M192" s="8">
        <v>534</v>
      </c>
      <c r="N192" s="14">
        <v>0.107</v>
      </c>
    </row>
    <row r="193" spans="2:14">
      <c r="B193" s="8">
        <v>535</v>
      </c>
      <c r="C193" s="13">
        <f t="shared" si="25"/>
        <v>9.4899999999999624E-2</v>
      </c>
      <c r="D193" s="13">
        <f t="shared" si="26"/>
        <v>0.11130000000000018</v>
      </c>
      <c r="E193" s="13">
        <f t="shared" si="27"/>
        <v>0.15734999999999991</v>
      </c>
      <c r="G193" s="8">
        <v>535</v>
      </c>
      <c r="H193" s="13">
        <f t="shared" si="28"/>
        <v>0.11130000000000018</v>
      </c>
      <c r="J193" s="8">
        <v>535</v>
      </c>
      <c r="K193" s="13">
        <f t="shared" si="29"/>
        <v>0.15734999999999991</v>
      </c>
      <c r="M193" s="8">
        <v>535</v>
      </c>
      <c r="N193" s="14">
        <v>0.107</v>
      </c>
    </row>
    <row r="194" spans="2:14">
      <c r="B194" s="8">
        <v>536</v>
      </c>
      <c r="C194" s="13">
        <f t="shared" si="25"/>
        <v>9.4839999999999619E-2</v>
      </c>
      <c r="D194" s="13">
        <f t="shared" si="26"/>
        <v>0.11108000000000018</v>
      </c>
      <c r="E194" s="13">
        <f t="shared" si="27"/>
        <v>0.15745999999999991</v>
      </c>
      <c r="G194" s="8">
        <v>536</v>
      </c>
      <c r="H194" s="13">
        <f t="shared" si="28"/>
        <v>0.11108000000000018</v>
      </c>
      <c r="J194" s="8">
        <v>536</v>
      </c>
      <c r="K194" s="13">
        <f t="shared" si="29"/>
        <v>0.15745999999999991</v>
      </c>
      <c r="M194" s="8">
        <v>536</v>
      </c>
      <c r="N194" s="14">
        <v>0.107</v>
      </c>
    </row>
    <row r="195" spans="2:14">
      <c r="B195" s="8">
        <v>537</v>
      </c>
      <c r="C195" s="13">
        <f t="shared" si="25"/>
        <v>9.4779999999999615E-2</v>
      </c>
      <c r="D195" s="13">
        <f t="shared" si="26"/>
        <v>0.11086000000000018</v>
      </c>
      <c r="E195" s="13">
        <f t="shared" si="27"/>
        <v>0.1575699999999999</v>
      </c>
      <c r="G195" s="8">
        <v>537</v>
      </c>
      <c r="H195" s="13">
        <f t="shared" si="28"/>
        <v>0.11086000000000018</v>
      </c>
      <c r="J195" s="8">
        <v>537</v>
      </c>
      <c r="K195" s="13">
        <f t="shared" si="29"/>
        <v>0.1575699999999999</v>
      </c>
      <c r="M195" s="8">
        <v>537</v>
      </c>
      <c r="N195" s="14">
        <v>0.107</v>
      </c>
    </row>
    <row r="196" spans="2:14">
      <c r="B196" s="8">
        <v>538</v>
      </c>
      <c r="C196" s="13">
        <f t="shared" si="25"/>
        <v>9.471999999999961E-2</v>
      </c>
      <c r="D196" s="13">
        <f t="shared" si="26"/>
        <v>0.11064000000000018</v>
      </c>
      <c r="E196" s="13">
        <f t="shared" si="27"/>
        <v>0.1576799999999999</v>
      </c>
      <c r="G196" s="8">
        <v>538</v>
      </c>
      <c r="H196" s="13">
        <f t="shared" si="28"/>
        <v>0.11064000000000018</v>
      </c>
      <c r="J196" s="8">
        <v>538</v>
      </c>
      <c r="K196" s="13">
        <f t="shared" si="29"/>
        <v>0.1576799999999999</v>
      </c>
      <c r="M196" s="8">
        <v>538</v>
      </c>
      <c r="N196" s="14">
        <v>0.107</v>
      </c>
    </row>
    <row r="197" spans="2:14">
      <c r="B197" s="8">
        <v>539</v>
      </c>
      <c r="C197" s="13">
        <f t="shared" si="25"/>
        <v>9.4659999999999606E-2</v>
      </c>
      <c r="D197" s="13">
        <f t="shared" si="26"/>
        <v>0.11042000000000018</v>
      </c>
      <c r="E197" s="13">
        <f t="shared" si="27"/>
        <v>0.1577899999999999</v>
      </c>
      <c r="G197" s="8">
        <v>539</v>
      </c>
      <c r="H197" s="13">
        <f t="shared" si="28"/>
        <v>0.11042000000000018</v>
      </c>
      <c r="J197" s="8">
        <v>539</v>
      </c>
      <c r="K197" s="13">
        <f t="shared" si="29"/>
        <v>0.1577899999999999</v>
      </c>
      <c r="M197" s="8">
        <v>539</v>
      </c>
      <c r="N197" s="14">
        <v>0.107</v>
      </c>
    </row>
    <row r="198" spans="2:14">
      <c r="B198" s="8">
        <v>540</v>
      </c>
      <c r="C198" s="13">
        <f t="shared" si="25"/>
        <v>9.4599999999999601E-2</v>
      </c>
      <c r="D198" s="13">
        <f t="shared" si="26"/>
        <v>0.11020000000000019</v>
      </c>
      <c r="E198" s="13">
        <f t="shared" si="27"/>
        <v>0.1578999999999999</v>
      </c>
      <c r="G198" s="8">
        <v>540</v>
      </c>
      <c r="H198" s="13">
        <f t="shared" si="28"/>
        <v>0.11020000000000019</v>
      </c>
      <c r="J198" s="8">
        <v>540</v>
      </c>
      <c r="K198" s="13">
        <f t="shared" si="29"/>
        <v>0.1578999999999999</v>
      </c>
      <c r="M198" s="8">
        <v>540</v>
      </c>
      <c r="N198" s="14">
        <v>0.107</v>
      </c>
    </row>
    <row r="199" spans="2:14">
      <c r="B199" s="8">
        <v>541</v>
      </c>
      <c r="C199" s="13">
        <f t="shared" si="25"/>
        <v>9.4539999999999597E-2</v>
      </c>
      <c r="D199" s="13">
        <f t="shared" si="26"/>
        <v>0.10998000000000019</v>
      </c>
      <c r="E199" s="13">
        <f t="shared" si="27"/>
        <v>0.1580099999999999</v>
      </c>
      <c r="G199" s="8">
        <v>541</v>
      </c>
      <c r="H199" s="13">
        <f t="shared" si="28"/>
        <v>0.10998000000000019</v>
      </c>
      <c r="J199" s="8">
        <v>541</v>
      </c>
      <c r="K199" s="13">
        <f t="shared" si="29"/>
        <v>0.1580099999999999</v>
      </c>
      <c r="M199" s="8">
        <v>541</v>
      </c>
      <c r="N199" s="14">
        <v>0.107</v>
      </c>
    </row>
    <row r="200" spans="2:14">
      <c r="B200" s="8">
        <v>542</v>
      </c>
      <c r="C200" s="13">
        <f t="shared" si="25"/>
        <v>9.4479999999999592E-2</v>
      </c>
      <c r="D200" s="13">
        <f t="shared" si="26"/>
        <v>0.10976000000000019</v>
      </c>
      <c r="E200" s="13">
        <f t="shared" si="27"/>
        <v>0.1581199999999999</v>
      </c>
      <c r="G200" s="8">
        <v>542</v>
      </c>
      <c r="H200" s="13">
        <f t="shared" si="28"/>
        <v>0.10976000000000019</v>
      </c>
      <c r="J200" s="8">
        <v>542</v>
      </c>
      <c r="K200" s="13">
        <f t="shared" si="29"/>
        <v>0.1581199999999999</v>
      </c>
      <c r="M200" s="8">
        <v>542</v>
      </c>
      <c r="N200" s="14">
        <v>0.107</v>
      </c>
    </row>
    <row r="201" spans="2:14">
      <c r="B201" s="8">
        <v>543</v>
      </c>
      <c r="C201" s="13">
        <f t="shared" si="25"/>
        <v>9.4419999999999588E-2</v>
      </c>
      <c r="D201" s="13">
        <f t="shared" si="26"/>
        <v>0.10954000000000019</v>
      </c>
      <c r="E201" s="13">
        <f t="shared" si="27"/>
        <v>0.1582299999999999</v>
      </c>
      <c r="G201" s="8">
        <v>543</v>
      </c>
      <c r="H201" s="13">
        <f t="shared" si="28"/>
        <v>0.10954000000000019</v>
      </c>
      <c r="J201" s="8">
        <v>543</v>
      </c>
      <c r="K201" s="13">
        <f t="shared" si="29"/>
        <v>0.1582299999999999</v>
      </c>
      <c r="M201" s="8">
        <v>543</v>
      </c>
      <c r="N201" s="14">
        <v>0.107</v>
      </c>
    </row>
    <row r="202" spans="2:14">
      <c r="B202" s="8">
        <v>544</v>
      </c>
      <c r="C202" s="13">
        <f t="shared" si="25"/>
        <v>9.4359999999999583E-2</v>
      </c>
      <c r="D202" s="13">
        <f t="shared" si="26"/>
        <v>0.10932000000000019</v>
      </c>
      <c r="E202" s="13">
        <f t="shared" si="27"/>
        <v>0.1583399999999999</v>
      </c>
      <c r="G202" s="8">
        <v>544</v>
      </c>
      <c r="H202" s="13">
        <f t="shared" si="28"/>
        <v>0.10932000000000019</v>
      </c>
      <c r="J202" s="8">
        <v>544</v>
      </c>
      <c r="K202" s="13">
        <f t="shared" si="29"/>
        <v>0.1583399999999999</v>
      </c>
      <c r="M202" s="8">
        <v>544</v>
      </c>
      <c r="N202" s="14">
        <v>0.107</v>
      </c>
    </row>
    <row r="203" spans="2:14">
      <c r="B203" s="8">
        <v>545</v>
      </c>
      <c r="C203" s="13">
        <f t="shared" si="25"/>
        <v>9.4299999999999579E-2</v>
      </c>
      <c r="D203" s="13">
        <f t="shared" si="26"/>
        <v>0.1091000000000002</v>
      </c>
      <c r="E203" s="13">
        <f t="shared" si="27"/>
        <v>0.1584499999999999</v>
      </c>
      <c r="G203" s="8">
        <v>545</v>
      </c>
      <c r="H203" s="13">
        <f t="shared" si="28"/>
        <v>0.1091000000000002</v>
      </c>
      <c r="J203" s="8">
        <v>545</v>
      </c>
      <c r="K203" s="13">
        <f t="shared" si="29"/>
        <v>0.1584499999999999</v>
      </c>
      <c r="M203" s="8">
        <v>545</v>
      </c>
      <c r="N203" s="14">
        <v>0.107</v>
      </c>
    </row>
    <row r="204" spans="2:14">
      <c r="B204" s="8">
        <v>546</v>
      </c>
      <c r="C204" s="13">
        <f t="shared" si="25"/>
        <v>9.4239999999999574E-2</v>
      </c>
      <c r="D204" s="13">
        <f t="shared" si="26"/>
        <v>0.1088800000000002</v>
      </c>
      <c r="E204" s="13">
        <f t="shared" si="27"/>
        <v>0.1585599999999999</v>
      </c>
      <c r="G204" s="8">
        <v>546</v>
      </c>
      <c r="H204" s="13">
        <f t="shared" si="28"/>
        <v>0.1088800000000002</v>
      </c>
      <c r="J204" s="8">
        <v>546</v>
      </c>
      <c r="K204" s="13">
        <f t="shared" si="29"/>
        <v>0.1585599999999999</v>
      </c>
      <c r="M204" s="8">
        <v>546</v>
      </c>
      <c r="N204" s="14">
        <v>0.107</v>
      </c>
    </row>
    <row r="205" spans="2:14">
      <c r="B205" s="8">
        <v>547</v>
      </c>
      <c r="C205" s="13">
        <f t="shared" si="25"/>
        <v>9.417999999999957E-2</v>
      </c>
      <c r="D205" s="13">
        <f t="shared" si="26"/>
        <v>0.1086600000000002</v>
      </c>
      <c r="E205" s="13">
        <f t="shared" si="27"/>
        <v>0.15866999999999989</v>
      </c>
      <c r="G205" s="8">
        <v>547</v>
      </c>
      <c r="H205" s="13">
        <f t="shared" si="28"/>
        <v>0.1086600000000002</v>
      </c>
      <c r="J205" s="8">
        <v>547</v>
      </c>
      <c r="K205" s="13">
        <f t="shared" si="29"/>
        <v>0.15866999999999989</v>
      </c>
      <c r="M205" s="8">
        <v>547</v>
      </c>
      <c r="N205" s="14">
        <v>0.107</v>
      </c>
    </row>
    <row r="206" spans="2:14">
      <c r="B206" s="8">
        <v>548</v>
      </c>
      <c r="C206" s="13">
        <f t="shared" si="25"/>
        <v>9.4119999999999565E-2</v>
      </c>
      <c r="D206" s="13">
        <f t="shared" si="26"/>
        <v>0.1084400000000002</v>
      </c>
      <c r="E206" s="13">
        <f t="shared" si="27"/>
        <v>0.15877999999999989</v>
      </c>
      <c r="G206" s="8">
        <v>548</v>
      </c>
      <c r="H206" s="13">
        <f t="shared" si="28"/>
        <v>0.1084400000000002</v>
      </c>
      <c r="J206" s="8">
        <v>548</v>
      </c>
      <c r="K206" s="13">
        <f t="shared" si="29"/>
        <v>0.15877999999999989</v>
      </c>
      <c r="M206" s="8">
        <v>548</v>
      </c>
      <c r="N206" s="14">
        <v>0.107</v>
      </c>
    </row>
    <row r="207" spans="2:14">
      <c r="B207" s="8">
        <v>549</v>
      </c>
      <c r="C207" s="13">
        <f t="shared" si="25"/>
        <v>9.4059999999999561E-2</v>
      </c>
      <c r="D207" s="13">
        <f t="shared" si="26"/>
        <v>0.1082200000000002</v>
      </c>
      <c r="E207" s="13">
        <f t="shared" si="27"/>
        <v>0.15888999999999989</v>
      </c>
      <c r="G207" s="8">
        <v>549</v>
      </c>
      <c r="H207" s="13">
        <f t="shared" si="28"/>
        <v>0.1082200000000002</v>
      </c>
      <c r="J207" s="8">
        <v>549</v>
      </c>
      <c r="K207" s="13">
        <f t="shared" si="29"/>
        <v>0.15888999999999989</v>
      </c>
      <c r="M207" s="8">
        <v>549</v>
      </c>
      <c r="N207" s="14">
        <v>0.107</v>
      </c>
    </row>
    <row r="208" spans="2:14">
      <c r="B208" s="6">
        <v>550</v>
      </c>
      <c r="C208" s="12">
        <f>+C5</f>
        <v>9.4E-2</v>
      </c>
      <c r="D208" s="12">
        <f>+D5</f>
        <v>0.108</v>
      </c>
      <c r="E208" s="12">
        <f>+E5</f>
        <v>0.159</v>
      </c>
      <c r="G208" s="6">
        <v>550</v>
      </c>
      <c r="H208" s="12">
        <f>+D208</f>
        <v>0.108</v>
      </c>
      <c r="J208" s="6">
        <v>550</v>
      </c>
      <c r="K208" s="12">
        <f>+E208</f>
        <v>0.159</v>
      </c>
      <c r="M208" s="6">
        <v>550</v>
      </c>
      <c r="N208" s="14">
        <v>0.107</v>
      </c>
    </row>
  </sheetData>
  <sheetProtection password="C9F1" sheet="1" objects="1" scenarios="1"/>
  <mergeCells count="1">
    <mergeCell ref="B1:K1"/>
  </mergeCells>
  <phoneticPr fontId="0" type="noConversion"/>
  <pageMargins left="0.75" right="0.75" top="1" bottom="1" header="0.5" footer="0.5"/>
  <pageSetup paperSize="9" scale="75" fitToHeight="4" orientation="portrait" r:id="rId1"/>
  <headerFooter alignWithMargins="0"/>
</worksheet>
</file>

<file path=xl/worksheets/sheet49.xml><?xml version="1.0" encoding="utf-8"?>
<worksheet xmlns="http://schemas.openxmlformats.org/spreadsheetml/2006/main" xmlns:r="http://schemas.openxmlformats.org/officeDocument/2006/relationships">
  <sheetPr codeName="Sheet25">
    <pageSetUpPr fitToPage="1"/>
  </sheetPr>
  <dimension ref="A1:K208"/>
  <sheetViews>
    <sheetView workbookViewId="0">
      <selection activeCell="B1" sqref="B1:K1"/>
    </sheetView>
  </sheetViews>
  <sheetFormatPr defaultRowHeight="12.75"/>
  <cols>
    <col min="1" max="1" width="3.85546875" customWidth="1"/>
    <col min="3" max="5" width="12.7109375" customWidth="1"/>
    <col min="6" max="6" width="2.42578125" customWidth="1"/>
    <col min="8" max="8" width="12.7109375" customWidth="1"/>
    <col min="9" max="9" width="2.5703125" customWidth="1"/>
    <col min="11" max="11" width="12.7109375" customWidth="1"/>
  </cols>
  <sheetData>
    <row r="1" spans="1:11" ht="18">
      <c r="B1" s="1360" t="s">
        <v>580</v>
      </c>
      <c r="C1" s="1360"/>
      <c r="D1" s="1360"/>
      <c r="E1" s="1360"/>
      <c r="F1" s="1360"/>
      <c r="G1" s="1360"/>
      <c r="H1" s="1360"/>
      <c r="I1" s="1360"/>
      <c r="J1" s="1360"/>
      <c r="K1" s="1360"/>
    </row>
    <row r="2" spans="1:11" ht="38.25">
      <c r="B2" s="4" t="s">
        <v>576</v>
      </c>
      <c r="C2" s="2" t="s">
        <v>577</v>
      </c>
      <c r="D2" s="2" t="s">
        <v>578</v>
      </c>
      <c r="E2" s="2" t="s">
        <v>579</v>
      </c>
    </row>
    <row r="3" spans="1:11" ht="12.75" customHeight="1">
      <c r="A3" s="1"/>
      <c r="B3" s="3">
        <v>350</v>
      </c>
      <c r="C3" s="7">
        <v>31</v>
      </c>
      <c r="D3" s="7">
        <v>27</v>
      </c>
      <c r="E3" s="7">
        <v>39</v>
      </c>
      <c r="F3" s="1"/>
      <c r="G3" s="1"/>
    </row>
    <row r="4" spans="1:11" ht="12.75" customHeight="1">
      <c r="A4" s="1"/>
      <c r="B4" s="3">
        <v>450</v>
      </c>
      <c r="C4" s="7">
        <v>41</v>
      </c>
      <c r="D4" s="7">
        <v>38</v>
      </c>
      <c r="E4" s="7">
        <v>50</v>
      </c>
      <c r="F4" s="1"/>
      <c r="G4" s="1"/>
    </row>
    <row r="5" spans="1:11" ht="12.75" customHeight="1">
      <c r="A5" s="1"/>
      <c r="B5" s="3">
        <v>550</v>
      </c>
      <c r="C5" s="7">
        <v>50</v>
      </c>
      <c r="D5" s="7">
        <v>49</v>
      </c>
      <c r="E5" s="7">
        <v>61</v>
      </c>
      <c r="F5" s="1"/>
      <c r="G5" s="1"/>
    </row>
    <row r="6" spans="1:11" ht="12.75" customHeight="1">
      <c r="A6" s="1"/>
      <c r="B6" s="5"/>
      <c r="C6" s="5"/>
      <c r="D6" s="5"/>
      <c r="E6" s="5"/>
      <c r="F6" s="1"/>
      <c r="G6" s="1"/>
    </row>
    <row r="7" spans="1:11" ht="38.25">
      <c r="B7" s="4" t="s">
        <v>576</v>
      </c>
      <c r="C7" s="2" t="s">
        <v>577</v>
      </c>
      <c r="D7" s="2" t="s">
        <v>578</v>
      </c>
      <c r="E7" s="2" t="s">
        <v>579</v>
      </c>
      <c r="G7" s="4" t="s">
        <v>576</v>
      </c>
      <c r="H7" s="2" t="s">
        <v>578</v>
      </c>
      <c r="J7" s="4" t="s">
        <v>576</v>
      </c>
      <c r="K7" s="2" t="s">
        <v>579</v>
      </c>
    </row>
    <row r="8" spans="1:11">
      <c r="B8" s="6">
        <v>350</v>
      </c>
      <c r="C8" s="7">
        <f>+C3</f>
        <v>31</v>
      </c>
      <c r="D8" s="7">
        <f>+D3</f>
        <v>27</v>
      </c>
      <c r="E8" s="7">
        <f>+E3</f>
        <v>39</v>
      </c>
      <c r="G8" s="6">
        <v>350</v>
      </c>
      <c r="H8" s="7">
        <f>+D8</f>
        <v>27</v>
      </c>
      <c r="J8" s="6">
        <v>350</v>
      </c>
      <c r="K8" s="7">
        <f>+E8</f>
        <v>39</v>
      </c>
    </row>
    <row r="9" spans="1:11" ht="12.75" customHeight="1">
      <c r="B9" s="8">
        <v>351</v>
      </c>
      <c r="C9" s="9">
        <f t="shared" ref="C9:C40" si="0">C8+(($C$108-$C$8)/100)</f>
        <v>31.1</v>
      </c>
      <c r="D9" s="9">
        <f t="shared" ref="D9:D40" si="1">D8+(($D$108-$D$8)/100)</f>
        <v>27.11</v>
      </c>
      <c r="E9" s="9">
        <f t="shared" ref="E9:E40" si="2">E8+(($E$108-$E$8)/100)</f>
        <v>39.11</v>
      </c>
      <c r="G9" s="8">
        <v>351</v>
      </c>
      <c r="H9" s="9">
        <f t="shared" ref="H9:H72" si="3">H8+(($D$108-$D$8)/100)</f>
        <v>27.11</v>
      </c>
      <c r="J9" s="8">
        <v>351</v>
      </c>
      <c r="K9" s="9">
        <f t="shared" ref="K9:K72" si="4">K8+(($E$108-$E$8)/100)</f>
        <v>39.11</v>
      </c>
    </row>
    <row r="10" spans="1:11">
      <c r="B10" s="8">
        <v>352</v>
      </c>
      <c r="C10" s="9">
        <f t="shared" si="0"/>
        <v>31.200000000000003</v>
      </c>
      <c r="D10" s="9">
        <f t="shared" si="1"/>
        <v>27.22</v>
      </c>
      <c r="E10" s="9">
        <f t="shared" si="2"/>
        <v>39.22</v>
      </c>
      <c r="G10" s="8">
        <v>352</v>
      </c>
      <c r="H10" s="9">
        <f t="shared" si="3"/>
        <v>27.22</v>
      </c>
      <c r="J10" s="8">
        <v>352</v>
      </c>
      <c r="K10" s="9">
        <f t="shared" si="4"/>
        <v>39.22</v>
      </c>
    </row>
    <row r="11" spans="1:11">
      <c r="B11" s="8">
        <v>353</v>
      </c>
      <c r="C11" s="9">
        <f t="shared" si="0"/>
        <v>31.300000000000004</v>
      </c>
      <c r="D11" s="9">
        <f t="shared" si="1"/>
        <v>27.33</v>
      </c>
      <c r="E11" s="9">
        <f t="shared" si="2"/>
        <v>39.33</v>
      </c>
      <c r="G11" s="8">
        <v>353</v>
      </c>
      <c r="H11" s="9">
        <f t="shared" si="3"/>
        <v>27.33</v>
      </c>
      <c r="J11" s="8">
        <v>353</v>
      </c>
      <c r="K11" s="9">
        <f t="shared" si="4"/>
        <v>39.33</v>
      </c>
    </row>
    <row r="12" spans="1:11">
      <c r="B12" s="8">
        <v>354</v>
      </c>
      <c r="C12" s="9">
        <f t="shared" si="0"/>
        <v>31.400000000000006</v>
      </c>
      <c r="D12" s="9">
        <f t="shared" si="1"/>
        <v>27.439999999999998</v>
      </c>
      <c r="E12" s="9">
        <f t="shared" si="2"/>
        <v>39.44</v>
      </c>
      <c r="G12" s="8">
        <v>354</v>
      </c>
      <c r="H12" s="9">
        <f t="shared" si="3"/>
        <v>27.439999999999998</v>
      </c>
      <c r="J12" s="8">
        <v>354</v>
      </c>
      <c r="K12" s="9">
        <f t="shared" si="4"/>
        <v>39.44</v>
      </c>
    </row>
    <row r="13" spans="1:11">
      <c r="B13" s="8">
        <v>355</v>
      </c>
      <c r="C13" s="9">
        <f t="shared" si="0"/>
        <v>31.500000000000007</v>
      </c>
      <c r="D13" s="9">
        <f t="shared" si="1"/>
        <v>27.549999999999997</v>
      </c>
      <c r="E13" s="9">
        <f t="shared" si="2"/>
        <v>39.549999999999997</v>
      </c>
      <c r="G13" s="8">
        <v>355</v>
      </c>
      <c r="H13" s="9">
        <f t="shared" si="3"/>
        <v>27.549999999999997</v>
      </c>
      <c r="J13" s="8">
        <v>355</v>
      </c>
      <c r="K13" s="9">
        <f t="shared" si="4"/>
        <v>39.549999999999997</v>
      </c>
    </row>
    <row r="14" spans="1:11">
      <c r="B14" s="8">
        <v>356</v>
      </c>
      <c r="C14" s="9">
        <f t="shared" si="0"/>
        <v>31.600000000000009</v>
      </c>
      <c r="D14" s="9">
        <f t="shared" si="1"/>
        <v>27.659999999999997</v>
      </c>
      <c r="E14" s="9">
        <f t="shared" si="2"/>
        <v>39.659999999999997</v>
      </c>
      <c r="G14" s="8">
        <v>356</v>
      </c>
      <c r="H14" s="9">
        <f t="shared" si="3"/>
        <v>27.659999999999997</v>
      </c>
      <c r="J14" s="8">
        <v>356</v>
      </c>
      <c r="K14" s="9">
        <f t="shared" si="4"/>
        <v>39.659999999999997</v>
      </c>
    </row>
    <row r="15" spans="1:11">
      <c r="B15" s="8">
        <v>357</v>
      </c>
      <c r="C15" s="9">
        <f t="shared" si="0"/>
        <v>31.70000000000001</v>
      </c>
      <c r="D15" s="9">
        <f t="shared" si="1"/>
        <v>27.769999999999996</v>
      </c>
      <c r="E15" s="9">
        <f t="shared" si="2"/>
        <v>39.769999999999996</v>
      </c>
      <c r="G15" s="8">
        <v>357</v>
      </c>
      <c r="H15" s="9">
        <f t="shared" si="3"/>
        <v>27.769999999999996</v>
      </c>
      <c r="J15" s="8">
        <v>357</v>
      </c>
      <c r="K15" s="9">
        <f t="shared" si="4"/>
        <v>39.769999999999996</v>
      </c>
    </row>
    <row r="16" spans="1:11">
      <c r="B16" s="8">
        <v>358</v>
      </c>
      <c r="C16" s="9">
        <f t="shared" si="0"/>
        <v>31.800000000000011</v>
      </c>
      <c r="D16" s="9">
        <f t="shared" si="1"/>
        <v>27.879999999999995</v>
      </c>
      <c r="E16" s="9">
        <f t="shared" si="2"/>
        <v>39.879999999999995</v>
      </c>
      <c r="G16" s="8">
        <v>358</v>
      </c>
      <c r="H16" s="9">
        <f t="shared" si="3"/>
        <v>27.879999999999995</v>
      </c>
      <c r="J16" s="8">
        <v>358</v>
      </c>
      <c r="K16" s="9">
        <f t="shared" si="4"/>
        <v>39.879999999999995</v>
      </c>
    </row>
    <row r="17" spans="2:11">
      <c r="B17" s="8">
        <v>359</v>
      </c>
      <c r="C17" s="9">
        <f t="shared" si="0"/>
        <v>31.900000000000013</v>
      </c>
      <c r="D17" s="9">
        <f t="shared" si="1"/>
        <v>27.989999999999995</v>
      </c>
      <c r="E17" s="9">
        <f t="shared" si="2"/>
        <v>39.989999999999995</v>
      </c>
      <c r="G17" s="8">
        <v>359</v>
      </c>
      <c r="H17" s="9">
        <f t="shared" si="3"/>
        <v>27.989999999999995</v>
      </c>
      <c r="J17" s="8">
        <v>359</v>
      </c>
      <c r="K17" s="9">
        <f t="shared" si="4"/>
        <v>39.989999999999995</v>
      </c>
    </row>
    <row r="18" spans="2:11">
      <c r="B18" s="8">
        <v>360</v>
      </c>
      <c r="C18" s="9">
        <f t="shared" si="0"/>
        <v>32.000000000000014</v>
      </c>
      <c r="D18" s="9">
        <f t="shared" si="1"/>
        <v>28.099999999999994</v>
      </c>
      <c r="E18" s="9">
        <f t="shared" si="2"/>
        <v>40.099999999999994</v>
      </c>
      <c r="G18" s="8">
        <v>360</v>
      </c>
      <c r="H18" s="9">
        <f t="shared" si="3"/>
        <v>28.099999999999994</v>
      </c>
      <c r="J18" s="8">
        <v>360</v>
      </c>
      <c r="K18" s="9">
        <f t="shared" si="4"/>
        <v>40.099999999999994</v>
      </c>
    </row>
    <row r="19" spans="2:11">
      <c r="B19" s="8">
        <v>361</v>
      </c>
      <c r="C19" s="9">
        <f t="shared" si="0"/>
        <v>32.100000000000016</v>
      </c>
      <c r="D19" s="9">
        <f t="shared" si="1"/>
        <v>28.209999999999994</v>
      </c>
      <c r="E19" s="9">
        <f t="shared" si="2"/>
        <v>40.209999999999994</v>
      </c>
      <c r="G19" s="8">
        <v>361</v>
      </c>
      <c r="H19" s="9">
        <f t="shared" si="3"/>
        <v>28.209999999999994</v>
      </c>
      <c r="J19" s="8">
        <v>361</v>
      </c>
      <c r="K19" s="9">
        <f t="shared" si="4"/>
        <v>40.209999999999994</v>
      </c>
    </row>
    <row r="20" spans="2:11">
      <c r="B20" s="8">
        <v>362</v>
      </c>
      <c r="C20" s="9">
        <f t="shared" si="0"/>
        <v>32.200000000000017</v>
      </c>
      <c r="D20" s="9">
        <f t="shared" si="1"/>
        <v>28.319999999999993</v>
      </c>
      <c r="E20" s="9">
        <f t="shared" si="2"/>
        <v>40.319999999999993</v>
      </c>
      <c r="G20" s="8">
        <v>362</v>
      </c>
      <c r="H20" s="9">
        <f t="shared" si="3"/>
        <v>28.319999999999993</v>
      </c>
      <c r="J20" s="8">
        <v>362</v>
      </c>
      <c r="K20" s="9">
        <f t="shared" si="4"/>
        <v>40.319999999999993</v>
      </c>
    </row>
    <row r="21" spans="2:11">
      <c r="B21" s="8">
        <v>363</v>
      </c>
      <c r="C21" s="9">
        <f t="shared" si="0"/>
        <v>32.300000000000018</v>
      </c>
      <c r="D21" s="9">
        <f t="shared" si="1"/>
        <v>28.429999999999993</v>
      </c>
      <c r="E21" s="9">
        <f t="shared" si="2"/>
        <v>40.429999999999993</v>
      </c>
      <c r="G21" s="8">
        <v>363</v>
      </c>
      <c r="H21" s="9">
        <f t="shared" si="3"/>
        <v>28.429999999999993</v>
      </c>
      <c r="J21" s="8">
        <v>363</v>
      </c>
      <c r="K21" s="9">
        <f t="shared" si="4"/>
        <v>40.429999999999993</v>
      </c>
    </row>
    <row r="22" spans="2:11">
      <c r="B22" s="8">
        <v>364</v>
      </c>
      <c r="C22" s="9">
        <f t="shared" si="0"/>
        <v>32.40000000000002</v>
      </c>
      <c r="D22" s="9">
        <f t="shared" si="1"/>
        <v>28.539999999999992</v>
      </c>
      <c r="E22" s="9">
        <f t="shared" si="2"/>
        <v>40.539999999999992</v>
      </c>
      <c r="G22" s="8">
        <v>364</v>
      </c>
      <c r="H22" s="9">
        <f t="shared" si="3"/>
        <v>28.539999999999992</v>
      </c>
      <c r="J22" s="8">
        <v>364</v>
      </c>
      <c r="K22" s="9">
        <f t="shared" si="4"/>
        <v>40.539999999999992</v>
      </c>
    </row>
    <row r="23" spans="2:11">
      <c r="B23" s="8">
        <v>365</v>
      </c>
      <c r="C23" s="9">
        <f t="shared" si="0"/>
        <v>32.500000000000021</v>
      </c>
      <c r="D23" s="9">
        <f t="shared" si="1"/>
        <v>28.649999999999991</v>
      </c>
      <c r="E23" s="9">
        <f t="shared" si="2"/>
        <v>40.649999999999991</v>
      </c>
      <c r="G23" s="8">
        <v>365</v>
      </c>
      <c r="H23" s="9">
        <f t="shared" si="3"/>
        <v>28.649999999999991</v>
      </c>
      <c r="J23" s="8">
        <v>365</v>
      </c>
      <c r="K23" s="9">
        <f t="shared" si="4"/>
        <v>40.649999999999991</v>
      </c>
    </row>
    <row r="24" spans="2:11">
      <c r="B24" s="8">
        <v>366</v>
      </c>
      <c r="C24" s="9">
        <f t="shared" si="0"/>
        <v>32.600000000000023</v>
      </c>
      <c r="D24" s="9">
        <f t="shared" si="1"/>
        <v>28.759999999999991</v>
      </c>
      <c r="E24" s="9">
        <f t="shared" si="2"/>
        <v>40.759999999999991</v>
      </c>
      <c r="G24" s="8">
        <v>366</v>
      </c>
      <c r="H24" s="9">
        <f t="shared" si="3"/>
        <v>28.759999999999991</v>
      </c>
      <c r="J24" s="8">
        <v>366</v>
      </c>
      <c r="K24" s="9">
        <f t="shared" si="4"/>
        <v>40.759999999999991</v>
      </c>
    </row>
    <row r="25" spans="2:11">
      <c r="B25" s="8">
        <v>367</v>
      </c>
      <c r="C25" s="9">
        <f t="shared" si="0"/>
        <v>32.700000000000024</v>
      </c>
      <c r="D25" s="9">
        <f t="shared" si="1"/>
        <v>28.86999999999999</v>
      </c>
      <c r="E25" s="9">
        <f t="shared" si="2"/>
        <v>40.86999999999999</v>
      </c>
      <c r="G25" s="8">
        <v>367</v>
      </c>
      <c r="H25" s="9">
        <f t="shared" si="3"/>
        <v>28.86999999999999</v>
      </c>
      <c r="J25" s="8">
        <v>367</v>
      </c>
      <c r="K25" s="9">
        <f t="shared" si="4"/>
        <v>40.86999999999999</v>
      </c>
    </row>
    <row r="26" spans="2:11">
      <c r="B26" s="8">
        <v>368</v>
      </c>
      <c r="C26" s="9">
        <f t="shared" si="0"/>
        <v>32.800000000000026</v>
      </c>
      <c r="D26" s="9">
        <f t="shared" si="1"/>
        <v>28.97999999999999</v>
      </c>
      <c r="E26" s="9">
        <f t="shared" si="2"/>
        <v>40.97999999999999</v>
      </c>
      <c r="G26" s="8">
        <v>368</v>
      </c>
      <c r="H26" s="9">
        <f t="shared" si="3"/>
        <v>28.97999999999999</v>
      </c>
      <c r="J26" s="8">
        <v>368</v>
      </c>
      <c r="K26" s="9">
        <f t="shared" si="4"/>
        <v>40.97999999999999</v>
      </c>
    </row>
    <row r="27" spans="2:11">
      <c r="B27" s="8">
        <v>369</v>
      </c>
      <c r="C27" s="9">
        <f t="shared" si="0"/>
        <v>32.900000000000027</v>
      </c>
      <c r="D27" s="9">
        <f t="shared" si="1"/>
        <v>29.089999999999989</v>
      </c>
      <c r="E27" s="9">
        <f t="shared" si="2"/>
        <v>41.089999999999989</v>
      </c>
      <c r="G27" s="8">
        <v>369</v>
      </c>
      <c r="H27" s="9">
        <f t="shared" si="3"/>
        <v>29.089999999999989</v>
      </c>
      <c r="J27" s="8">
        <v>369</v>
      </c>
      <c r="K27" s="9">
        <f t="shared" si="4"/>
        <v>41.089999999999989</v>
      </c>
    </row>
    <row r="28" spans="2:11">
      <c r="B28" s="8">
        <v>370</v>
      </c>
      <c r="C28" s="9">
        <f t="shared" si="0"/>
        <v>33.000000000000028</v>
      </c>
      <c r="D28" s="9">
        <f t="shared" si="1"/>
        <v>29.199999999999989</v>
      </c>
      <c r="E28" s="9">
        <f t="shared" si="2"/>
        <v>41.199999999999989</v>
      </c>
      <c r="G28" s="8">
        <v>370</v>
      </c>
      <c r="H28" s="9">
        <f t="shared" si="3"/>
        <v>29.199999999999989</v>
      </c>
      <c r="J28" s="8">
        <v>370</v>
      </c>
      <c r="K28" s="9">
        <f t="shared" si="4"/>
        <v>41.199999999999989</v>
      </c>
    </row>
    <row r="29" spans="2:11">
      <c r="B29" s="8">
        <v>371</v>
      </c>
      <c r="C29" s="9">
        <f t="shared" si="0"/>
        <v>33.10000000000003</v>
      </c>
      <c r="D29" s="9">
        <f t="shared" si="1"/>
        <v>29.309999999999988</v>
      </c>
      <c r="E29" s="9">
        <f t="shared" si="2"/>
        <v>41.309999999999988</v>
      </c>
      <c r="G29" s="8">
        <v>371</v>
      </c>
      <c r="H29" s="9">
        <f t="shared" si="3"/>
        <v>29.309999999999988</v>
      </c>
      <c r="J29" s="8">
        <v>371</v>
      </c>
      <c r="K29" s="9">
        <f t="shared" si="4"/>
        <v>41.309999999999988</v>
      </c>
    </row>
    <row r="30" spans="2:11">
      <c r="B30" s="8">
        <v>372</v>
      </c>
      <c r="C30" s="9">
        <f t="shared" si="0"/>
        <v>33.200000000000031</v>
      </c>
      <c r="D30" s="9">
        <f t="shared" si="1"/>
        <v>29.419999999999987</v>
      </c>
      <c r="E30" s="9">
        <f t="shared" si="2"/>
        <v>41.419999999999987</v>
      </c>
      <c r="G30" s="8">
        <v>372</v>
      </c>
      <c r="H30" s="9">
        <f t="shared" si="3"/>
        <v>29.419999999999987</v>
      </c>
      <c r="J30" s="8">
        <v>372</v>
      </c>
      <c r="K30" s="9">
        <f t="shared" si="4"/>
        <v>41.419999999999987</v>
      </c>
    </row>
    <row r="31" spans="2:11">
      <c r="B31" s="8">
        <v>373</v>
      </c>
      <c r="C31" s="9">
        <f t="shared" si="0"/>
        <v>33.300000000000033</v>
      </c>
      <c r="D31" s="9">
        <f t="shared" si="1"/>
        <v>29.529999999999987</v>
      </c>
      <c r="E31" s="9">
        <f t="shared" si="2"/>
        <v>41.529999999999987</v>
      </c>
      <c r="G31" s="8">
        <v>373</v>
      </c>
      <c r="H31" s="9">
        <f t="shared" si="3"/>
        <v>29.529999999999987</v>
      </c>
      <c r="J31" s="8">
        <v>373</v>
      </c>
      <c r="K31" s="9">
        <f t="shared" si="4"/>
        <v>41.529999999999987</v>
      </c>
    </row>
    <row r="32" spans="2:11">
      <c r="B32" s="8">
        <v>374</v>
      </c>
      <c r="C32" s="9">
        <f t="shared" si="0"/>
        <v>33.400000000000034</v>
      </c>
      <c r="D32" s="9">
        <f t="shared" si="1"/>
        <v>29.639999999999986</v>
      </c>
      <c r="E32" s="9">
        <f t="shared" si="2"/>
        <v>41.639999999999986</v>
      </c>
      <c r="G32" s="8">
        <v>374</v>
      </c>
      <c r="H32" s="9">
        <f t="shared" si="3"/>
        <v>29.639999999999986</v>
      </c>
      <c r="J32" s="8">
        <v>374</v>
      </c>
      <c r="K32" s="9">
        <f t="shared" si="4"/>
        <v>41.639999999999986</v>
      </c>
    </row>
    <row r="33" spans="2:11">
      <c r="B33" s="8">
        <v>375</v>
      </c>
      <c r="C33" s="9">
        <f t="shared" si="0"/>
        <v>33.500000000000036</v>
      </c>
      <c r="D33" s="9">
        <f t="shared" si="1"/>
        <v>29.749999999999986</v>
      </c>
      <c r="E33" s="9">
        <f t="shared" si="2"/>
        <v>41.749999999999986</v>
      </c>
      <c r="G33" s="8">
        <v>375</v>
      </c>
      <c r="H33" s="9">
        <f t="shared" si="3"/>
        <v>29.749999999999986</v>
      </c>
      <c r="J33" s="8">
        <v>375</v>
      </c>
      <c r="K33" s="9">
        <f t="shared" si="4"/>
        <v>41.749999999999986</v>
      </c>
    </row>
    <row r="34" spans="2:11">
      <c r="B34" s="8">
        <v>376</v>
      </c>
      <c r="C34" s="9">
        <f t="shared" si="0"/>
        <v>33.600000000000037</v>
      </c>
      <c r="D34" s="9">
        <f t="shared" si="1"/>
        <v>29.859999999999985</v>
      </c>
      <c r="E34" s="9">
        <f t="shared" si="2"/>
        <v>41.859999999999985</v>
      </c>
      <c r="G34" s="8">
        <v>376</v>
      </c>
      <c r="H34" s="9">
        <f t="shared" si="3"/>
        <v>29.859999999999985</v>
      </c>
      <c r="J34" s="8">
        <v>376</v>
      </c>
      <c r="K34" s="9">
        <f t="shared" si="4"/>
        <v>41.859999999999985</v>
      </c>
    </row>
    <row r="35" spans="2:11">
      <c r="B35" s="8">
        <v>377</v>
      </c>
      <c r="C35" s="9">
        <f t="shared" si="0"/>
        <v>33.700000000000038</v>
      </c>
      <c r="D35" s="9">
        <f t="shared" si="1"/>
        <v>29.969999999999985</v>
      </c>
      <c r="E35" s="9">
        <f t="shared" si="2"/>
        <v>41.969999999999985</v>
      </c>
      <c r="G35" s="8">
        <v>377</v>
      </c>
      <c r="H35" s="9">
        <f t="shared" si="3"/>
        <v>29.969999999999985</v>
      </c>
      <c r="J35" s="8">
        <v>377</v>
      </c>
      <c r="K35" s="9">
        <f t="shared" si="4"/>
        <v>41.969999999999985</v>
      </c>
    </row>
    <row r="36" spans="2:11">
      <c r="B36" s="8">
        <v>378</v>
      </c>
      <c r="C36" s="9">
        <f t="shared" si="0"/>
        <v>33.80000000000004</v>
      </c>
      <c r="D36" s="9">
        <f t="shared" si="1"/>
        <v>30.079999999999984</v>
      </c>
      <c r="E36" s="9">
        <f t="shared" si="2"/>
        <v>42.079999999999984</v>
      </c>
      <c r="G36" s="8">
        <v>378</v>
      </c>
      <c r="H36" s="9">
        <f t="shared" si="3"/>
        <v>30.079999999999984</v>
      </c>
      <c r="J36" s="8">
        <v>378</v>
      </c>
      <c r="K36" s="9">
        <f t="shared" si="4"/>
        <v>42.079999999999984</v>
      </c>
    </row>
    <row r="37" spans="2:11">
      <c r="B37" s="8">
        <v>379</v>
      </c>
      <c r="C37" s="9">
        <f t="shared" si="0"/>
        <v>33.900000000000041</v>
      </c>
      <c r="D37" s="9">
        <f t="shared" si="1"/>
        <v>30.189999999999984</v>
      </c>
      <c r="E37" s="9">
        <f t="shared" si="2"/>
        <v>42.189999999999984</v>
      </c>
      <c r="G37" s="8">
        <v>379</v>
      </c>
      <c r="H37" s="9">
        <f t="shared" si="3"/>
        <v>30.189999999999984</v>
      </c>
      <c r="J37" s="8">
        <v>379</v>
      </c>
      <c r="K37" s="9">
        <f t="shared" si="4"/>
        <v>42.189999999999984</v>
      </c>
    </row>
    <row r="38" spans="2:11">
      <c r="B38" s="8">
        <v>380</v>
      </c>
      <c r="C38" s="9">
        <f t="shared" si="0"/>
        <v>34.000000000000043</v>
      </c>
      <c r="D38" s="9">
        <f t="shared" si="1"/>
        <v>30.299999999999983</v>
      </c>
      <c r="E38" s="9">
        <f t="shared" si="2"/>
        <v>42.299999999999983</v>
      </c>
      <c r="G38" s="8">
        <v>380</v>
      </c>
      <c r="H38" s="9">
        <f t="shared" si="3"/>
        <v>30.299999999999983</v>
      </c>
      <c r="J38" s="8">
        <v>380</v>
      </c>
      <c r="K38" s="9">
        <f t="shared" si="4"/>
        <v>42.299999999999983</v>
      </c>
    </row>
    <row r="39" spans="2:11">
      <c r="B39" s="8">
        <v>381</v>
      </c>
      <c r="C39" s="9">
        <f t="shared" si="0"/>
        <v>34.100000000000044</v>
      </c>
      <c r="D39" s="9">
        <f t="shared" si="1"/>
        <v>30.409999999999982</v>
      </c>
      <c r="E39" s="9">
        <f t="shared" si="2"/>
        <v>42.409999999999982</v>
      </c>
      <c r="G39" s="8">
        <v>381</v>
      </c>
      <c r="H39" s="9">
        <f t="shared" si="3"/>
        <v>30.409999999999982</v>
      </c>
      <c r="J39" s="8">
        <v>381</v>
      </c>
      <c r="K39" s="9">
        <f t="shared" si="4"/>
        <v>42.409999999999982</v>
      </c>
    </row>
    <row r="40" spans="2:11">
      <c r="B40" s="8">
        <v>382</v>
      </c>
      <c r="C40" s="9">
        <f t="shared" si="0"/>
        <v>34.200000000000045</v>
      </c>
      <c r="D40" s="9">
        <f t="shared" si="1"/>
        <v>30.519999999999982</v>
      </c>
      <c r="E40" s="9">
        <f t="shared" si="2"/>
        <v>42.519999999999982</v>
      </c>
      <c r="G40" s="8">
        <v>382</v>
      </c>
      <c r="H40" s="9">
        <f t="shared" si="3"/>
        <v>30.519999999999982</v>
      </c>
      <c r="J40" s="8">
        <v>382</v>
      </c>
      <c r="K40" s="9">
        <f t="shared" si="4"/>
        <v>42.519999999999982</v>
      </c>
    </row>
    <row r="41" spans="2:11">
      <c r="B41" s="8">
        <v>383</v>
      </c>
      <c r="C41" s="9">
        <f t="shared" ref="C41:C72" si="5">C40+(($C$108-$C$8)/100)</f>
        <v>34.300000000000047</v>
      </c>
      <c r="D41" s="9">
        <f t="shared" ref="D41:D72" si="6">D40+(($D$108-$D$8)/100)</f>
        <v>30.629999999999981</v>
      </c>
      <c r="E41" s="9">
        <f t="shared" ref="E41:E72" si="7">E40+(($E$108-$E$8)/100)</f>
        <v>42.629999999999981</v>
      </c>
      <c r="G41" s="8">
        <v>383</v>
      </c>
      <c r="H41" s="9">
        <f t="shared" si="3"/>
        <v>30.629999999999981</v>
      </c>
      <c r="J41" s="8">
        <v>383</v>
      </c>
      <c r="K41" s="9">
        <f t="shared" si="4"/>
        <v>42.629999999999981</v>
      </c>
    </row>
    <row r="42" spans="2:11">
      <c r="B42" s="8">
        <v>384</v>
      </c>
      <c r="C42" s="9">
        <f t="shared" si="5"/>
        <v>34.400000000000048</v>
      </c>
      <c r="D42" s="9">
        <f t="shared" si="6"/>
        <v>30.739999999999981</v>
      </c>
      <c r="E42" s="9">
        <f t="shared" si="7"/>
        <v>42.739999999999981</v>
      </c>
      <c r="G42" s="8">
        <v>384</v>
      </c>
      <c r="H42" s="9">
        <f t="shared" si="3"/>
        <v>30.739999999999981</v>
      </c>
      <c r="J42" s="8">
        <v>384</v>
      </c>
      <c r="K42" s="9">
        <f t="shared" si="4"/>
        <v>42.739999999999981</v>
      </c>
    </row>
    <row r="43" spans="2:11">
      <c r="B43" s="8">
        <v>385</v>
      </c>
      <c r="C43" s="9">
        <f t="shared" si="5"/>
        <v>34.50000000000005</v>
      </c>
      <c r="D43" s="9">
        <f t="shared" si="6"/>
        <v>30.84999999999998</v>
      </c>
      <c r="E43" s="9">
        <f t="shared" si="7"/>
        <v>42.84999999999998</v>
      </c>
      <c r="G43" s="8">
        <v>385</v>
      </c>
      <c r="H43" s="9">
        <f t="shared" si="3"/>
        <v>30.84999999999998</v>
      </c>
      <c r="J43" s="8">
        <v>385</v>
      </c>
      <c r="K43" s="9">
        <f t="shared" si="4"/>
        <v>42.84999999999998</v>
      </c>
    </row>
    <row r="44" spans="2:11">
      <c r="B44" s="8">
        <v>386</v>
      </c>
      <c r="C44" s="9">
        <f t="shared" si="5"/>
        <v>34.600000000000051</v>
      </c>
      <c r="D44" s="9">
        <f t="shared" si="6"/>
        <v>30.95999999999998</v>
      </c>
      <c r="E44" s="9">
        <f t="shared" si="7"/>
        <v>42.95999999999998</v>
      </c>
      <c r="G44" s="8">
        <v>386</v>
      </c>
      <c r="H44" s="9">
        <f t="shared" si="3"/>
        <v>30.95999999999998</v>
      </c>
      <c r="J44" s="8">
        <v>386</v>
      </c>
      <c r="K44" s="9">
        <f t="shared" si="4"/>
        <v>42.95999999999998</v>
      </c>
    </row>
    <row r="45" spans="2:11">
      <c r="B45" s="8">
        <v>387</v>
      </c>
      <c r="C45" s="9">
        <f t="shared" si="5"/>
        <v>34.700000000000053</v>
      </c>
      <c r="D45" s="9">
        <f t="shared" si="6"/>
        <v>31.069999999999979</v>
      </c>
      <c r="E45" s="9">
        <f t="shared" si="7"/>
        <v>43.069999999999979</v>
      </c>
      <c r="G45" s="8">
        <v>387</v>
      </c>
      <c r="H45" s="9">
        <f t="shared" si="3"/>
        <v>31.069999999999979</v>
      </c>
      <c r="J45" s="8">
        <v>387</v>
      </c>
      <c r="K45" s="9">
        <f t="shared" si="4"/>
        <v>43.069999999999979</v>
      </c>
    </row>
    <row r="46" spans="2:11">
      <c r="B46" s="8">
        <v>388</v>
      </c>
      <c r="C46" s="9">
        <f t="shared" si="5"/>
        <v>34.800000000000054</v>
      </c>
      <c r="D46" s="9">
        <f t="shared" si="6"/>
        <v>31.179999999999978</v>
      </c>
      <c r="E46" s="9">
        <f t="shared" si="7"/>
        <v>43.179999999999978</v>
      </c>
      <c r="G46" s="8">
        <v>388</v>
      </c>
      <c r="H46" s="9">
        <f t="shared" si="3"/>
        <v>31.179999999999978</v>
      </c>
      <c r="J46" s="8">
        <v>388</v>
      </c>
      <c r="K46" s="9">
        <f t="shared" si="4"/>
        <v>43.179999999999978</v>
      </c>
    </row>
    <row r="47" spans="2:11">
      <c r="B47" s="8">
        <v>389</v>
      </c>
      <c r="C47" s="9">
        <f t="shared" si="5"/>
        <v>34.900000000000055</v>
      </c>
      <c r="D47" s="9">
        <f t="shared" si="6"/>
        <v>31.289999999999978</v>
      </c>
      <c r="E47" s="9">
        <f t="shared" si="7"/>
        <v>43.289999999999978</v>
      </c>
      <c r="G47" s="8">
        <v>389</v>
      </c>
      <c r="H47" s="9">
        <f t="shared" si="3"/>
        <v>31.289999999999978</v>
      </c>
      <c r="J47" s="8">
        <v>389</v>
      </c>
      <c r="K47" s="9">
        <f t="shared" si="4"/>
        <v>43.289999999999978</v>
      </c>
    </row>
    <row r="48" spans="2:11">
      <c r="B48" s="8">
        <v>390</v>
      </c>
      <c r="C48" s="9">
        <f t="shared" si="5"/>
        <v>35.000000000000057</v>
      </c>
      <c r="D48" s="9">
        <f t="shared" si="6"/>
        <v>31.399999999999977</v>
      </c>
      <c r="E48" s="9">
        <f t="shared" si="7"/>
        <v>43.399999999999977</v>
      </c>
      <c r="G48" s="8">
        <v>390</v>
      </c>
      <c r="H48" s="9">
        <f t="shared" si="3"/>
        <v>31.399999999999977</v>
      </c>
      <c r="J48" s="8">
        <v>390</v>
      </c>
      <c r="K48" s="9">
        <f t="shared" si="4"/>
        <v>43.399999999999977</v>
      </c>
    </row>
    <row r="49" spans="2:11">
      <c r="B49" s="8">
        <v>391</v>
      </c>
      <c r="C49" s="9">
        <f t="shared" si="5"/>
        <v>35.100000000000058</v>
      </c>
      <c r="D49" s="9">
        <f t="shared" si="6"/>
        <v>31.509999999999977</v>
      </c>
      <c r="E49" s="9">
        <f t="shared" si="7"/>
        <v>43.509999999999977</v>
      </c>
      <c r="G49" s="8">
        <v>391</v>
      </c>
      <c r="H49" s="9">
        <f t="shared" si="3"/>
        <v>31.509999999999977</v>
      </c>
      <c r="J49" s="8">
        <v>391</v>
      </c>
      <c r="K49" s="9">
        <f t="shared" si="4"/>
        <v>43.509999999999977</v>
      </c>
    </row>
    <row r="50" spans="2:11">
      <c r="B50" s="8">
        <v>392</v>
      </c>
      <c r="C50" s="9">
        <f t="shared" si="5"/>
        <v>35.20000000000006</v>
      </c>
      <c r="D50" s="9">
        <f t="shared" si="6"/>
        <v>31.619999999999976</v>
      </c>
      <c r="E50" s="9">
        <f t="shared" si="7"/>
        <v>43.619999999999976</v>
      </c>
      <c r="G50" s="8">
        <v>392</v>
      </c>
      <c r="H50" s="9">
        <f t="shared" si="3"/>
        <v>31.619999999999976</v>
      </c>
      <c r="J50" s="8">
        <v>392</v>
      </c>
      <c r="K50" s="9">
        <f t="shared" si="4"/>
        <v>43.619999999999976</v>
      </c>
    </row>
    <row r="51" spans="2:11">
      <c r="B51" s="8">
        <v>393</v>
      </c>
      <c r="C51" s="9">
        <f t="shared" si="5"/>
        <v>35.300000000000061</v>
      </c>
      <c r="D51" s="9">
        <f t="shared" si="6"/>
        <v>31.729999999999976</v>
      </c>
      <c r="E51" s="9">
        <f t="shared" si="7"/>
        <v>43.729999999999976</v>
      </c>
      <c r="G51" s="8">
        <v>393</v>
      </c>
      <c r="H51" s="9">
        <f t="shared" si="3"/>
        <v>31.729999999999976</v>
      </c>
      <c r="J51" s="8">
        <v>393</v>
      </c>
      <c r="K51" s="9">
        <f t="shared" si="4"/>
        <v>43.729999999999976</v>
      </c>
    </row>
    <row r="52" spans="2:11">
      <c r="B52" s="8">
        <v>394</v>
      </c>
      <c r="C52" s="9">
        <f t="shared" si="5"/>
        <v>35.400000000000063</v>
      </c>
      <c r="D52" s="9">
        <f t="shared" si="6"/>
        <v>31.839999999999975</v>
      </c>
      <c r="E52" s="9">
        <f t="shared" si="7"/>
        <v>43.839999999999975</v>
      </c>
      <c r="G52" s="8">
        <v>394</v>
      </c>
      <c r="H52" s="9">
        <f t="shared" si="3"/>
        <v>31.839999999999975</v>
      </c>
      <c r="J52" s="8">
        <v>394</v>
      </c>
      <c r="K52" s="9">
        <f t="shared" si="4"/>
        <v>43.839999999999975</v>
      </c>
    </row>
    <row r="53" spans="2:11">
      <c r="B53" s="8">
        <v>395</v>
      </c>
      <c r="C53" s="9">
        <f t="shared" si="5"/>
        <v>35.500000000000064</v>
      </c>
      <c r="D53" s="9">
        <f t="shared" si="6"/>
        <v>31.949999999999974</v>
      </c>
      <c r="E53" s="9">
        <f t="shared" si="7"/>
        <v>43.949999999999974</v>
      </c>
      <c r="G53" s="8">
        <v>395</v>
      </c>
      <c r="H53" s="9">
        <f t="shared" si="3"/>
        <v>31.949999999999974</v>
      </c>
      <c r="J53" s="8">
        <v>395</v>
      </c>
      <c r="K53" s="9">
        <f t="shared" si="4"/>
        <v>43.949999999999974</v>
      </c>
    </row>
    <row r="54" spans="2:11">
      <c r="B54" s="8">
        <v>396</v>
      </c>
      <c r="C54" s="9">
        <f t="shared" si="5"/>
        <v>35.600000000000065</v>
      </c>
      <c r="D54" s="9">
        <f t="shared" si="6"/>
        <v>32.059999999999974</v>
      </c>
      <c r="E54" s="9">
        <f t="shared" si="7"/>
        <v>44.059999999999974</v>
      </c>
      <c r="G54" s="8">
        <v>396</v>
      </c>
      <c r="H54" s="9">
        <f t="shared" si="3"/>
        <v>32.059999999999974</v>
      </c>
      <c r="J54" s="8">
        <v>396</v>
      </c>
      <c r="K54" s="9">
        <f t="shared" si="4"/>
        <v>44.059999999999974</v>
      </c>
    </row>
    <row r="55" spans="2:11">
      <c r="B55" s="8">
        <v>397</v>
      </c>
      <c r="C55" s="9">
        <f t="shared" si="5"/>
        <v>35.700000000000067</v>
      </c>
      <c r="D55" s="9">
        <f t="shared" si="6"/>
        <v>32.169999999999973</v>
      </c>
      <c r="E55" s="9">
        <f t="shared" si="7"/>
        <v>44.169999999999973</v>
      </c>
      <c r="G55" s="8">
        <v>397</v>
      </c>
      <c r="H55" s="9">
        <f t="shared" si="3"/>
        <v>32.169999999999973</v>
      </c>
      <c r="J55" s="8">
        <v>397</v>
      </c>
      <c r="K55" s="9">
        <f t="shared" si="4"/>
        <v>44.169999999999973</v>
      </c>
    </row>
    <row r="56" spans="2:11">
      <c r="B56" s="8">
        <v>398</v>
      </c>
      <c r="C56" s="9">
        <f t="shared" si="5"/>
        <v>35.800000000000068</v>
      </c>
      <c r="D56" s="9">
        <f t="shared" si="6"/>
        <v>32.279999999999973</v>
      </c>
      <c r="E56" s="9">
        <f t="shared" si="7"/>
        <v>44.279999999999973</v>
      </c>
      <c r="G56" s="8">
        <v>398</v>
      </c>
      <c r="H56" s="9">
        <f t="shared" si="3"/>
        <v>32.279999999999973</v>
      </c>
      <c r="J56" s="8">
        <v>398</v>
      </c>
      <c r="K56" s="9">
        <f t="shared" si="4"/>
        <v>44.279999999999973</v>
      </c>
    </row>
    <row r="57" spans="2:11">
      <c r="B57" s="8">
        <v>399</v>
      </c>
      <c r="C57" s="9">
        <f t="shared" si="5"/>
        <v>35.90000000000007</v>
      </c>
      <c r="D57" s="9">
        <f t="shared" si="6"/>
        <v>32.389999999999972</v>
      </c>
      <c r="E57" s="9">
        <f t="shared" si="7"/>
        <v>44.389999999999972</v>
      </c>
      <c r="G57" s="8">
        <v>399</v>
      </c>
      <c r="H57" s="9">
        <f t="shared" si="3"/>
        <v>32.389999999999972</v>
      </c>
      <c r="J57" s="8">
        <v>399</v>
      </c>
      <c r="K57" s="9">
        <f t="shared" si="4"/>
        <v>44.389999999999972</v>
      </c>
    </row>
    <row r="58" spans="2:11">
      <c r="B58" s="8">
        <v>400</v>
      </c>
      <c r="C58" s="9">
        <f t="shared" si="5"/>
        <v>36.000000000000071</v>
      </c>
      <c r="D58" s="9">
        <f t="shared" si="6"/>
        <v>32.499999999999972</v>
      </c>
      <c r="E58" s="9">
        <f t="shared" si="7"/>
        <v>44.499999999999972</v>
      </c>
      <c r="G58" s="8">
        <v>400</v>
      </c>
      <c r="H58" s="9">
        <f t="shared" si="3"/>
        <v>32.499999999999972</v>
      </c>
      <c r="J58" s="8">
        <v>400</v>
      </c>
      <c r="K58" s="9">
        <f t="shared" si="4"/>
        <v>44.499999999999972</v>
      </c>
    </row>
    <row r="59" spans="2:11">
      <c r="B59" s="8">
        <v>401</v>
      </c>
      <c r="C59" s="9">
        <f t="shared" si="5"/>
        <v>36.100000000000072</v>
      </c>
      <c r="D59" s="9">
        <f t="shared" si="6"/>
        <v>32.609999999999971</v>
      </c>
      <c r="E59" s="9">
        <f t="shared" si="7"/>
        <v>44.609999999999971</v>
      </c>
      <c r="G59" s="8">
        <v>401</v>
      </c>
      <c r="H59" s="9">
        <f t="shared" si="3"/>
        <v>32.609999999999971</v>
      </c>
      <c r="J59" s="8">
        <v>401</v>
      </c>
      <c r="K59" s="9">
        <f t="shared" si="4"/>
        <v>44.609999999999971</v>
      </c>
    </row>
    <row r="60" spans="2:11">
      <c r="B60" s="8">
        <v>402</v>
      </c>
      <c r="C60" s="9">
        <f t="shared" si="5"/>
        <v>36.200000000000074</v>
      </c>
      <c r="D60" s="9">
        <f t="shared" si="6"/>
        <v>32.71999999999997</v>
      </c>
      <c r="E60" s="9">
        <f t="shared" si="7"/>
        <v>44.71999999999997</v>
      </c>
      <c r="G60" s="8">
        <v>402</v>
      </c>
      <c r="H60" s="9">
        <f t="shared" si="3"/>
        <v>32.71999999999997</v>
      </c>
      <c r="J60" s="8">
        <v>402</v>
      </c>
      <c r="K60" s="9">
        <f t="shared" si="4"/>
        <v>44.71999999999997</v>
      </c>
    </row>
    <row r="61" spans="2:11">
      <c r="B61" s="8">
        <v>403</v>
      </c>
      <c r="C61" s="9">
        <f t="shared" si="5"/>
        <v>36.300000000000075</v>
      </c>
      <c r="D61" s="9">
        <f t="shared" si="6"/>
        <v>32.82999999999997</v>
      </c>
      <c r="E61" s="9">
        <f t="shared" si="7"/>
        <v>44.82999999999997</v>
      </c>
      <c r="G61" s="8">
        <v>403</v>
      </c>
      <c r="H61" s="9">
        <f t="shared" si="3"/>
        <v>32.82999999999997</v>
      </c>
      <c r="J61" s="8">
        <v>403</v>
      </c>
      <c r="K61" s="9">
        <f t="shared" si="4"/>
        <v>44.82999999999997</v>
      </c>
    </row>
    <row r="62" spans="2:11">
      <c r="B62" s="8">
        <v>404</v>
      </c>
      <c r="C62" s="9">
        <f t="shared" si="5"/>
        <v>36.400000000000077</v>
      </c>
      <c r="D62" s="9">
        <f t="shared" si="6"/>
        <v>32.939999999999969</v>
      </c>
      <c r="E62" s="9">
        <f t="shared" si="7"/>
        <v>44.939999999999969</v>
      </c>
      <c r="G62" s="8">
        <v>404</v>
      </c>
      <c r="H62" s="9">
        <f t="shared" si="3"/>
        <v>32.939999999999969</v>
      </c>
      <c r="J62" s="8">
        <v>404</v>
      </c>
      <c r="K62" s="9">
        <f t="shared" si="4"/>
        <v>44.939999999999969</v>
      </c>
    </row>
    <row r="63" spans="2:11">
      <c r="B63" s="8">
        <v>405</v>
      </c>
      <c r="C63" s="9">
        <f t="shared" si="5"/>
        <v>36.500000000000078</v>
      </c>
      <c r="D63" s="9">
        <f t="shared" si="6"/>
        <v>33.049999999999969</v>
      </c>
      <c r="E63" s="9">
        <f t="shared" si="7"/>
        <v>45.049999999999969</v>
      </c>
      <c r="G63" s="8">
        <v>405</v>
      </c>
      <c r="H63" s="9">
        <f t="shared" si="3"/>
        <v>33.049999999999969</v>
      </c>
      <c r="J63" s="8">
        <v>405</v>
      </c>
      <c r="K63" s="9">
        <f t="shared" si="4"/>
        <v>45.049999999999969</v>
      </c>
    </row>
    <row r="64" spans="2:11">
      <c r="B64" s="8">
        <v>406</v>
      </c>
      <c r="C64" s="9">
        <f t="shared" si="5"/>
        <v>36.60000000000008</v>
      </c>
      <c r="D64" s="9">
        <f t="shared" si="6"/>
        <v>33.159999999999968</v>
      </c>
      <c r="E64" s="9">
        <f t="shared" si="7"/>
        <v>45.159999999999968</v>
      </c>
      <c r="G64" s="8">
        <v>406</v>
      </c>
      <c r="H64" s="9">
        <f t="shared" si="3"/>
        <v>33.159999999999968</v>
      </c>
      <c r="J64" s="8">
        <v>406</v>
      </c>
      <c r="K64" s="9">
        <f t="shared" si="4"/>
        <v>45.159999999999968</v>
      </c>
    </row>
    <row r="65" spans="2:11">
      <c r="B65" s="8">
        <v>407</v>
      </c>
      <c r="C65" s="9">
        <f t="shared" si="5"/>
        <v>36.700000000000081</v>
      </c>
      <c r="D65" s="9">
        <f t="shared" si="6"/>
        <v>33.269999999999968</v>
      </c>
      <c r="E65" s="9">
        <f t="shared" si="7"/>
        <v>45.269999999999968</v>
      </c>
      <c r="G65" s="8">
        <v>407</v>
      </c>
      <c r="H65" s="9">
        <f t="shared" si="3"/>
        <v>33.269999999999968</v>
      </c>
      <c r="J65" s="8">
        <v>407</v>
      </c>
      <c r="K65" s="9">
        <f t="shared" si="4"/>
        <v>45.269999999999968</v>
      </c>
    </row>
    <row r="66" spans="2:11">
      <c r="B66" s="8">
        <v>408</v>
      </c>
      <c r="C66" s="9">
        <f t="shared" si="5"/>
        <v>36.800000000000082</v>
      </c>
      <c r="D66" s="9">
        <f t="shared" si="6"/>
        <v>33.379999999999967</v>
      </c>
      <c r="E66" s="9">
        <f t="shared" si="7"/>
        <v>45.379999999999967</v>
      </c>
      <c r="G66" s="8">
        <v>408</v>
      </c>
      <c r="H66" s="9">
        <f t="shared" si="3"/>
        <v>33.379999999999967</v>
      </c>
      <c r="J66" s="8">
        <v>408</v>
      </c>
      <c r="K66" s="9">
        <f t="shared" si="4"/>
        <v>45.379999999999967</v>
      </c>
    </row>
    <row r="67" spans="2:11">
      <c r="B67" s="8">
        <v>409</v>
      </c>
      <c r="C67" s="9">
        <f t="shared" si="5"/>
        <v>36.900000000000084</v>
      </c>
      <c r="D67" s="9">
        <f t="shared" si="6"/>
        <v>33.489999999999966</v>
      </c>
      <c r="E67" s="9">
        <f t="shared" si="7"/>
        <v>45.489999999999966</v>
      </c>
      <c r="G67" s="8">
        <v>409</v>
      </c>
      <c r="H67" s="9">
        <f t="shared" si="3"/>
        <v>33.489999999999966</v>
      </c>
      <c r="J67" s="8">
        <v>409</v>
      </c>
      <c r="K67" s="9">
        <f t="shared" si="4"/>
        <v>45.489999999999966</v>
      </c>
    </row>
    <row r="68" spans="2:11">
      <c r="B68" s="8">
        <v>410</v>
      </c>
      <c r="C68" s="9">
        <f t="shared" si="5"/>
        <v>37.000000000000085</v>
      </c>
      <c r="D68" s="9">
        <f t="shared" si="6"/>
        <v>33.599999999999966</v>
      </c>
      <c r="E68" s="9">
        <f t="shared" si="7"/>
        <v>45.599999999999966</v>
      </c>
      <c r="G68" s="8">
        <v>410</v>
      </c>
      <c r="H68" s="9">
        <f t="shared" si="3"/>
        <v>33.599999999999966</v>
      </c>
      <c r="J68" s="8">
        <v>410</v>
      </c>
      <c r="K68" s="9">
        <f t="shared" si="4"/>
        <v>45.599999999999966</v>
      </c>
    </row>
    <row r="69" spans="2:11">
      <c r="B69" s="8">
        <v>411</v>
      </c>
      <c r="C69" s="9">
        <f t="shared" si="5"/>
        <v>37.100000000000087</v>
      </c>
      <c r="D69" s="9">
        <f t="shared" si="6"/>
        <v>33.709999999999965</v>
      </c>
      <c r="E69" s="9">
        <f t="shared" si="7"/>
        <v>45.709999999999965</v>
      </c>
      <c r="G69" s="8">
        <v>411</v>
      </c>
      <c r="H69" s="9">
        <f t="shared" si="3"/>
        <v>33.709999999999965</v>
      </c>
      <c r="J69" s="8">
        <v>411</v>
      </c>
      <c r="K69" s="9">
        <f t="shared" si="4"/>
        <v>45.709999999999965</v>
      </c>
    </row>
    <row r="70" spans="2:11">
      <c r="B70" s="8">
        <v>412</v>
      </c>
      <c r="C70" s="9">
        <f t="shared" si="5"/>
        <v>37.200000000000088</v>
      </c>
      <c r="D70" s="9">
        <f t="shared" si="6"/>
        <v>33.819999999999965</v>
      </c>
      <c r="E70" s="9">
        <f t="shared" si="7"/>
        <v>45.819999999999965</v>
      </c>
      <c r="G70" s="8">
        <v>412</v>
      </c>
      <c r="H70" s="9">
        <f t="shared" si="3"/>
        <v>33.819999999999965</v>
      </c>
      <c r="J70" s="8">
        <v>412</v>
      </c>
      <c r="K70" s="9">
        <f t="shared" si="4"/>
        <v>45.819999999999965</v>
      </c>
    </row>
    <row r="71" spans="2:11">
      <c r="B71" s="8">
        <v>413</v>
      </c>
      <c r="C71" s="9">
        <f t="shared" si="5"/>
        <v>37.30000000000009</v>
      </c>
      <c r="D71" s="9">
        <f t="shared" si="6"/>
        <v>33.929999999999964</v>
      </c>
      <c r="E71" s="9">
        <f t="shared" si="7"/>
        <v>45.929999999999964</v>
      </c>
      <c r="G71" s="8">
        <v>413</v>
      </c>
      <c r="H71" s="9">
        <f t="shared" si="3"/>
        <v>33.929999999999964</v>
      </c>
      <c r="J71" s="8">
        <v>413</v>
      </c>
      <c r="K71" s="9">
        <f t="shared" si="4"/>
        <v>45.929999999999964</v>
      </c>
    </row>
    <row r="72" spans="2:11">
      <c r="B72" s="8">
        <v>414</v>
      </c>
      <c r="C72" s="9">
        <f t="shared" si="5"/>
        <v>37.400000000000091</v>
      </c>
      <c r="D72" s="9">
        <f t="shared" si="6"/>
        <v>34.039999999999964</v>
      </c>
      <c r="E72" s="9">
        <f t="shared" si="7"/>
        <v>46.039999999999964</v>
      </c>
      <c r="G72" s="8">
        <v>414</v>
      </c>
      <c r="H72" s="9">
        <f t="shared" si="3"/>
        <v>34.039999999999964</v>
      </c>
      <c r="J72" s="8">
        <v>414</v>
      </c>
      <c r="K72" s="9">
        <f t="shared" si="4"/>
        <v>46.039999999999964</v>
      </c>
    </row>
    <row r="73" spans="2:11">
      <c r="B73" s="8">
        <v>415</v>
      </c>
      <c r="C73" s="9">
        <f t="shared" ref="C73:C107" si="8">C72+(($C$108-$C$8)/100)</f>
        <v>37.500000000000092</v>
      </c>
      <c r="D73" s="9">
        <f t="shared" ref="D73:D107" si="9">D72+(($D$108-$D$8)/100)</f>
        <v>34.149999999999963</v>
      </c>
      <c r="E73" s="9">
        <f t="shared" ref="E73:E107" si="10">E72+(($E$108-$E$8)/100)</f>
        <v>46.149999999999963</v>
      </c>
      <c r="G73" s="8">
        <v>415</v>
      </c>
      <c r="H73" s="9">
        <f t="shared" ref="H73:H107" si="11">H72+(($D$108-$D$8)/100)</f>
        <v>34.149999999999963</v>
      </c>
      <c r="J73" s="8">
        <v>415</v>
      </c>
      <c r="K73" s="9">
        <f t="shared" ref="K73:K107" si="12">K72+(($E$108-$E$8)/100)</f>
        <v>46.149999999999963</v>
      </c>
    </row>
    <row r="74" spans="2:11">
      <c r="B74" s="8">
        <v>416</v>
      </c>
      <c r="C74" s="9">
        <f t="shared" si="8"/>
        <v>37.600000000000094</v>
      </c>
      <c r="D74" s="9">
        <f t="shared" si="9"/>
        <v>34.259999999999962</v>
      </c>
      <c r="E74" s="9">
        <f t="shared" si="10"/>
        <v>46.259999999999962</v>
      </c>
      <c r="G74" s="8">
        <v>416</v>
      </c>
      <c r="H74" s="9">
        <f t="shared" si="11"/>
        <v>34.259999999999962</v>
      </c>
      <c r="J74" s="8">
        <v>416</v>
      </c>
      <c r="K74" s="9">
        <f t="shared" si="12"/>
        <v>46.259999999999962</v>
      </c>
    </row>
    <row r="75" spans="2:11">
      <c r="B75" s="8">
        <v>417</v>
      </c>
      <c r="C75" s="9">
        <f t="shared" si="8"/>
        <v>37.700000000000095</v>
      </c>
      <c r="D75" s="9">
        <f t="shared" si="9"/>
        <v>34.369999999999962</v>
      </c>
      <c r="E75" s="9">
        <f t="shared" si="10"/>
        <v>46.369999999999962</v>
      </c>
      <c r="G75" s="8">
        <v>417</v>
      </c>
      <c r="H75" s="9">
        <f t="shared" si="11"/>
        <v>34.369999999999962</v>
      </c>
      <c r="J75" s="8">
        <v>417</v>
      </c>
      <c r="K75" s="9">
        <f t="shared" si="12"/>
        <v>46.369999999999962</v>
      </c>
    </row>
    <row r="76" spans="2:11">
      <c r="B76" s="8">
        <v>418</v>
      </c>
      <c r="C76" s="9">
        <f t="shared" si="8"/>
        <v>37.800000000000097</v>
      </c>
      <c r="D76" s="9">
        <f t="shared" si="9"/>
        <v>34.479999999999961</v>
      </c>
      <c r="E76" s="9">
        <f t="shared" si="10"/>
        <v>46.479999999999961</v>
      </c>
      <c r="G76" s="8">
        <v>418</v>
      </c>
      <c r="H76" s="9">
        <f t="shared" si="11"/>
        <v>34.479999999999961</v>
      </c>
      <c r="J76" s="8">
        <v>418</v>
      </c>
      <c r="K76" s="9">
        <f t="shared" si="12"/>
        <v>46.479999999999961</v>
      </c>
    </row>
    <row r="77" spans="2:11">
      <c r="B77" s="8">
        <v>419</v>
      </c>
      <c r="C77" s="9">
        <f t="shared" si="8"/>
        <v>37.900000000000098</v>
      </c>
      <c r="D77" s="9">
        <f t="shared" si="9"/>
        <v>34.589999999999961</v>
      </c>
      <c r="E77" s="9">
        <f t="shared" si="10"/>
        <v>46.589999999999961</v>
      </c>
      <c r="G77" s="8">
        <v>419</v>
      </c>
      <c r="H77" s="9">
        <f t="shared" si="11"/>
        <v>34.589999999999961</v>
      </c>
      <c r="J77" s="8">
        <v>419</v>
      </c>
      <c r="K77" s="9">
        <f t="shared" si="12"/>
        <v>46.589999999999961</v>
      </c>
    </row>
    <row r="78" spans="2:11">
      <c r="B78" s="8">
        <v>420</v>
      </c>
      <c r="C78" s="9">
        <f t="shared" si="8"/>
        <v>38.000000000000099</v>
      </c>
      <c r="D78" s="9">
        <f t="shared" si="9"/>
        <v>34.69999999999996</v>
      </c>
      <c r="E78" s="9">
        <f t="shared" si="10"/>
        <v>46.69999999999996</v>
      </c>
      <c r="G78" s="8">
        <v>420</v>
      </c>
      <c r="H78" s="9">
        <f t="shared" si="11"/>
        <v>34.69999999999996</v>
      </c>
      <c r="J78" s="8">
        <v>420</v>
      </c>
      <c r="K78" s="9">
        <f t="shared" si="12"/>
        <v>46.69999999999996</v>
      </c>
    </row>
    <row r="79" spans="2:11">
      <c r="B79" s="8">
        <v>421</v>
      </c>
      <c r="C79" s="9">
        <f t="shared" si="8"/>
        <v>38.100000000000101</v>
      </c>
      <c r="D79" s="9">
        <f t="shared" si="9"/>
        <v>34.80999999999996</v>
      </c>
      <c r="E79" s="9">
        <f t="shared" si="10"/>
        <v>46.80999999999996</v>
      </c>
      <c r="G79" s="8">
        <v>421</v>
      </c>
      <c r="H79" s="9">
        <f t="shared" si="11"/>
        <v>34.80999999999996</v>
      </c>
      <c r="J79" s="8">
        <v>421</v>
      </c>
      <c r="K79" s="9">
        <f t="shared" si="12"/>
        <v>46.80999999999996</v>
      </c>
    </row>
    <row r="80" spans="2:11">
      <c r="B80" s="8">
        <v>422</v>
      </c>
      <c r="C80" s="9">
        <f t="shared" si="8"/>
        <v>38.200000000000102</v>
      </c>
      <c r="D80" s="9">
        <f t="shared" si="9"/>
        <v>34.919999999999959</v>
      </c>
      <c r="E80" s="9">
        <f t="shared" si="10"/>
        <v>46.919999999999959</v>
      </c>
      <c r="G80" s="8">
        <v>422</v>
      </c>
      <c r="H80" s="9">
        <f t="shared" si="11"/>
        <v>34.919999999999959</v>
      </c>
      <c r="J80" s="8">
        <v>422</v>
      </c>
      <c r="K80" s="9">
        <f t="shared" si="12"/>
        <v>46.919999999999959</v>
      </c>
    </row>
    <row r="81" spans="2:11">
      <c r="B81" s="8">
        <v>423</v>
      </c>
      <c r="C81" s="9">
        <f t="shared" si="8"/>
        <v>38.300000000000104</v>
      </c>
      <c r="D81" s="9">
        <f t="shared" si="9"/>
        <v>35.029999999999959</v>
      </c>
      <c r="E81" s="9">
        <f t="shared" si="10"/>
        <v>47.029999999999959</v>
      </c>
      <c r="G81" s="8">
        <v>423</v>
      </c>
      <c r="H81" s="9">
        <f t="shared" si="11"/>
        <v>35.029999999999959</v>
      </c>
      <c r="J81" s="8">
        <v>423</v>
      </c>
      <c r="K81" s="9">
        <f t="shared" si="12"/>
        <v>47.029999999999959</v>
      </c>
    </row>
    <row r="82" spans="2:11">
      <c r="B82" s="8">
        <v>424</v>
      </c>
      <c r="C82" s="9">
        <f t="shared" si="8"/>
        <v>38.400000000000105</v>
      </c>
      <c r="D82" s="9">
        <f t="shared" si="9"/>
        <v>35.139999999999958</v>
      </c>
      <c r="E82" s="9">
        <f t="shared" si="10"/>
        <v>47.139999999999958</v>
      </c>
      <c r="G82" s="8">
        <v>424</v>
      </c>
      <c r="H82" s="9">
        <f t="shared" si="11"/>
        <v>35.139999999999958</v>
      </c>
      <c r="J82" s="8">
        <v>424</v>
      </c>
      <c r="K82" s="9">
        <f t="shared" si="12"/>
        <v>47.139999999999958</v>
      </c>
    </row>
    <row r="83" spans="2:11">
      <c r="B83" s="8">
        <v>425</v>
      </c>
      <c r="C83" s="9">
        <f t="shared" si="8"/>
        <v>38.500000000000107</v>
      </c>
      <c r="D83" s="9">
        <f t="shared" si="9"/>
        <v>35.249999999999957</v>
      </c>
      <c r="E83" s="9">
        <f t="shared" si="10"/>
        <v>47.249999999999957</v>
      </c>
      <c r="G83" s="8">
        <v>425</v>
      </c>
      <c r="H83" s="9">
        <f t="shared" si="11"/>
        <v>35.249999999999957</v>
      </c>
      <c r="J83" s="8">
        <v>425</v>
      </c>
      <c r="K83" s="9">
        <f t="shared" si="12"/>
        <v>47.249999999999957</v>
      </c>
    </row>
    <row r="84" spans="2:11">
      <c r="B84" s="8">
        <v>426</v>
      </c>
      <c r="C84" s="9">
        <f t="shared" si="8"/>
        <v>38.600000000000108</v>
      </c>
      <c r="D84" s="9">
        <f t="shared" si="9"/>
        <v>35.359999999999957</v>
      </c>
      <c r="E84" s="9">
        <f t="shared" si="10"/>
        <v>47.359999999999957</v>
      </c>
      <c r="G84" s="8">
        <v>426</v>
      </c>
      <c r="H84" s="9">
        <f t="shared" si="11"/>
        <v>35.359999999999957</v>
      </c>
      <c r="J84" s="8">
        <v>426</v>
      </c>
      <c r="K84" s="9">
        <f t="shared" si="12"/>
        <v>47.359999999999957</v>
      </c>
    </row>
    <row r="85" spans="2:11">
      <c r="B85" s="8">
        <v>427</v>
      </c>
      <c r="C85" s="9">
        <f t="shared" si="8"/>
        <v>38.700000000000109</v>
      </c>
      <c r="D85" s="9">
        <f t="shared" si="9"/>
        <v>35.469999999999956</v>
      </c>
      <c r="E85" s="9">
        <f t="shared" si="10"/>
        <v>47.469999999999956</v>
      </c>
      <c r="G85" s="8">
        <v>427</v>
      </c>
      <c r="H85" s="9">
        <f t="shared" si="11"/>
        <v>35.469999999999956</v>
      </c>
      <c r="J85" s="8">
        <v>427</v>
      </c>
      <c r="K85" s="9">
        <f t="shared" si="12"/>
        <v>47.469999999999956</v>
      </c>
    </row>
    <row r="86" spans="2:11">
      <c r="B86" s="8">
        <v>428</v>
      </c>
      <c r="C86" s="9">
        <f t="shared" si="8"/>
        <v>38.800000000000111</v>
      </c>
      <c r="D86" s="9">
        <f t="shared" si="9"/>
        <v>35.579999999999956</v>
      </c>
      <c r="E86" s="9">
        <f t="shared" si="10"/>
        <v>47.579999999999956</v>
      </c>
      <c r="G86" s="8">
        <v>428</v>
      </c>
      <c r="H86" s="9">
        <f t="shared" si="11"/>
        <v>35.579999999999956</v>
      </c>
      <c r="J86" s="8">
        <v>428</v>
      </c>
      <c r="K86" s="9">
        <f t="shared" si="12"/>
        <v>47.579999999999956</v>
      </c>
    </row>
    <row r="87" spans="2:11">
      <c r="B87" s="8">
        <v>429</v>
      </c>
      <c r="C87" s="9">
        <f t="shared" si="8"/>
        <v>38.900000000000112</v>
      </c>
      <c r="D87" s="9">
        <f t="shared" si="9"/>
        <v>35.689999999999955</v>
      </c>
      <c r="E87" s="9">
        <f t="shared" si="10"/>
        <v>47.689999999999955</v>
      </c>
      <c r="G87" s="8">
        <v>429</v>
      </c>
      <c r="H87" s="9">
        <f t="shared" si="11"/>
        <v>35.689999999999955</v>
      </c>
      <c r="J87" s="8">
        <v>429</v>
      </c>
      <c r="K87" s="9">
        <f t="shared" si="12"/>
        <v>47.689999999999955</v>
      </c>
    </row>
    <row r="88" spans="2:11">
      <c r="B88" s="8">
        <v>430</v>
      </c>
      <c r="C88" s="9">
        <f t="shared" si="8"/>
        <v>39.000000000000114</v>
      </c>
      <c r="D88" s="9">
        <f t="shared" si="9"/>
        <v>35.799999999999955</v>
      </c>
      <c r="E88" s="9">
        <f t="shared" si="10"/>
        <v>47.799999999999955</v>
      </c>
      <c r="G88" s="8">
        <v>430</v>
      </c>
      <c r="H88" s="9">
        <f t="shared" si="11"/>
        <v>35.799999999999955</v>
      </c>
      <c r="J88" s="8">
        <v>430</v>
      </c>
      <c r="K88" s="9">
        <f t="shared" si="12"/>
        <v>47.799999999999955</v>
      </c>
    </row>
    <row r="89" spans="2:11">
      <c r="B89" s="8">
        <v>431</v>
      </c>
      <c r="C89" s="9">
        <f t="shared" si="8"/>
        <v>39.100000000000115</v>
      </c>
      <c r="D89" s="9">
        <f t="shared" si="9"/>
        <v>35.909999999999954</v>
      </c>
      <c r="E89" s="9">
        <f t="shared" si="10"/>
        <v>47.909999999999954</v>
      </c>
      <c r="G89" s="8">
        <v>431</v>
      </c>
      <c r="H89" s="9">
        <f t="shared" si="11"/>
        <v>35.909999999999954</v>
      </c>
      <c r="J89" s="8">
        <v>431</v>
      </c>
      <c r="K89" s="9">
        <f t="shared" si="12"/>
        <v>47.909999999999954</v>
      </c>
    </row>
    <row r="90" spans="2:11">
      <c r="B90" s="8">
        <v>432</v>
      </c>
      <c r="C90" s="9">
        <f t="shared" si="8"/>
        <v>39.200000000000117</v>
      </c>
      <c r="D90" s="9">
        <f t="shared" si="9"/>
        <v>36.019999999999953</v>
      </c>
      <c r="E90" s="9">
        <f t="shared" si="10"/>
        <v>48.019999999999953</v>
      </c>
      <c r="G90" s="8">
        <v>432</v>
      </c>
      <c r="H90" s="9">
        <f t="shared" si="11"/>
        <v>36.019999999999953</v>
      </c>
      <c r="J90" s="8">
        <v>432</v>
      </c>
      <c r="K90" s="9">
        <f t="shared" si="12"/>
        <v>48.019999999999953</v>
      </c>
    </row>
    <row r="91" spans="2:11">
      <c r="B91" s="8">
        <v>433</v>
      </c>
      <c r="C91" s="9">
        <f t="shared" si="8"/>
        <v>39.300000000000118</v>
      </c>
      <c r="D91" s="9">
        <f t="shared" si="9"/>
        <v>36.129999999999953</v>
      </c>
      <c r="E91" s="9">
        <f t="shared" si="10"/>
        <v>48.129999999999953</v>
      </c>
      <c r="G91" s="8">
        <v>433</v>
      </c>
      <c r="H91" s="9">
        <f t="shared" si="11"/>
        <v>36.129999999999953</v>
      </c>
      <c r="J91" s="8">
        <v>433</v>
      </c>
      <c r="K91" s="9">
        <f t="shared" si="12"/>
        <v>48.129999999999953</v>
      </c>
    </row>
    <row r="92" spans="2:11">
      <c r="B92" s="8">
        <v>434</v>
      </c>
      <c r="C92" s="9">
        <f t="shared" si="8"/>
        <v>39.400000000000119</v>
      </c>
      <c r="D92" s="9">
        <f t="shared" si="9"/>
        <v>36.239999999999952</v>
      </c>
      <c r="E92" s="9">
        <f t="shared" si="10"/>
        <v>48.239999999999952</v>
      </c>
      <c r="G92" s="8">
        <v>434</v>
      </c>
      <c r="H92" s="9">
        <f t="shared" si="11"/>
        <v>36.239999999999952</v>
      </c>
      <c r="J92" s="8">
        <v>434</v>
      </c>
      <c r="K92" s="9">
        <f t="shared" si="12"/>
        <v>48.239999999999952</v>
      </c>
    </row>
    <row r="93" spans="2:11">
      <c r="B93" s="8">
        <v>435</v>
      </c>
      <c r="C93" s="9">
        <f t="shared" si="8"/>
        <v>39.500000000000121</v>
      </c>
      <c r="D93" s="9">
        <f t="shared" si="9"/>
        <v>36.349999999999952</v>
      </c>
      <c r="E93" s="9">
        <f t="shared" si="10"/>
        <v>48.349999999999952</v>
      </c>
      <c r="G93" s="8">
        <v>435</v>
      </c>
      <c r="H93" s="9">
        <f t="shared" si="11"/>
        <v>36.349999999999952</v>
      </c>
      <c r="J93" s="8">
        <v>435</v>
      </c>
      <c r="K93" s="9">
        <f t="shared" si="12"/>
        <v>48.349999999999952</v>
      </c>
    </row>
    <row r="94" spans="2:11">
      <c r="B94" s="8">
        <v>436</v>
      </c>
      <c r="C94" s="9">
        <f t="shared" si="8"/>
        <v>39.600000000000122</v>
      </c>
      <c r="D94" s="9">
        <f t="shared" si="9"/>
        <v>36.459999999999951</v>
      </c>
      <c r="E94" s="9">
        <f t="shared" si="10"/>
        <v>48.459999999999951</v>
      </c>
      <c r="G94" s="8">
        <v>436</v>
      </c>
      <c r="H94" s="9">
        <f t="shared" si="11"/>
        <v>36.459999999999951</v>
      </c>
      <c r="J94" s="8">
        <v>436</v>
      </c>
      <c r="K94" s="9">
        <f t="shared" si="12"/>
        <v>48.459999999999951</v>
      </c>
    </row>
    <row r="95" spans="2:11">
      <c r="B95" s="8">
        <v>437</v>
      </c>
      <c r="C95" s="9">
        <f t="shared" si="8"/>
        <v>39.700000000000124</v>
      </c>
      <c r="D95" s="9">
        <f t="shared" si="9"/>
        <v>36.569999999999951</v>
      </c>
      <c r="E95" s="9">
        <f t="shared" si="10"/>
        <v>48.569999999999951</v>
      </c>
      <c r="G95" s="8">
        <v>437</v>
      </c>
      <c r="H95" s="9">
        <f t="shared" si="11"/>
        <v>36.569999999999951</v>
      </c>
      <c r="J95" s="8">
        <v>437</v>
      </c>
      <c r="K95" s="9">
        <f t="shared" si="12"/>
        <v>48.569999999999951</v>
      </c>
    </row>
    <row r="96" spans="2:11">
      <c r="B96" s="8">
        <v>438</v>
      </c>
      <c r="C96" s="9">
        <f t="shared" si="8"/>
        <v>39.800000000000125</v>
      </c>
      <c r="D96" s="9">
        <f t="shared" si="9"/>
        <v>36.67999999999995</v>
      </c>
      <c r="E96" s="9">
        <f t="shared" si="10"/>
        <v>48.67999999999995</v>
      </c>
      <c r="G96" s="8">
        <v>438</v>
      </c>
      <c r="H96" s="9">
        <f t="shared" si="11"/>
        <v>36.67999999999995</v>
      </c>
      <c r="J96" s="8">
        <v>438</v>
      </c>
      <c r="K96" s="9">
        <f t="shared" si="12"/>
        <v>48.67999999999995</v>
      </c>
    </row>
    <row r="97" spans="2:11">
      <c r="B97" s="8">
        <v>439</v>
      </c>
      <c r="C97" s="9">
        <f t="shared" si="8"/>
        <v>39.900000000000126</v>
      </c>
      <c r="D97" s="9">
        <f t="shared" si="9"/>
        <v>36.789999999999949</v>
      </c>
      <c r="E97" s="9">
        <f t="shared" si="10"/>
        <v>48.789999999999949</v>
      </c>
      <c r="G97" s="8">
        <v>439</v>
      </c>
      <c r="H97" s="9">
        <f t="shared" si="11"/>
        <v>36.789999999999949</v>
      </c>
      <c r="J97" s="8">
        <v>439</v>
      </c>
      <c r="K97" s="9">
        <f t="shared" si="12"/>
        <v>48.789999999999949</v>
      </c>
    </row>
    <row r="98" spans="2:11">
      <c r="B98" s="8">
        <v>440</v>
      </c>
      <c r="C98" s="9">
        <f t="shared" si="8"/>
        <v>40.000000000000128</v>
      </c>
      <c r="D98" s="9">
        <f t="shared" si="9"/>
        <v>36.899999999999949</v>
      </c>
      <c r="E98" s="9">
        <f t="shared" si="10"/>
        <v>48.899999999999949</v>
      </c>
      <c r="G98" s="8">
        <v>440</v>
      </c>
      <c r="H98" s="9">
        <f t="shared" si="11"/>
        <v>36.899999999999949</v>
      </c>
      <c r="J98" s="8">
        <v>440</v>
      </c>
      <c r="K98" s="9">
        <f t="shared" si="12"/>
        <v>48.899999999999949</v>
      </c>
    </row>
    <row r="99" spans="2:11">
      <c r="B99" s="8">
        <v>441</v>
      </c>
      <c r="C99" s="9">
        <f t="shared" si="8"/>
        <v>40.100000000000129</v>
      </c>
      <c r="D99" s="9">
        <f t="shared" si="9"/>
        <v>37.009999999999948</v>
      </c>
      <c r="E99" s="9">
        <f t="shared" si="10"/>
        <v>49.009999999999948</v>
      </c>
      <c r="G99" s="8">
        <v>441</v>
      </c>
      <c r="H99" s="9">
        <f t="shared" si="11"/>
        <v>37.009999999999948</v>
      </c>
      <c r="J99" s="8">
        <v>441</v>
      </c>
      <c r="K99" s="9">
        <f t="shared" si="12"/>
        <v>49.009999999999948</v>
      </c>
    </row>
    <row r="100" spans="2:11">
      <c r="B100" s="8">
        <v>442</v>
      </c>
      <c r="C100" s="9">
        <f t="shared" si="8"/>
        <v>40.200000000000131</v>
      </c>
      <c r="D100" s="9">
        <f t="shared" si="9"/>
        <v>37.119999999999948</v>
      </c>
      <c r="E100" s="9">
        <f t="shared" si="10"/>
        <v>49.119999999999948</v>
      </c>
      <c r="G100" s="8">
        <v>442</v>
      </c>
      <c r="H100" s="9">
        <f t="shared" si="11"/>
        <v>37.119999999999948</v>
      </c>
      <c r="J100" s="8">
        <v>442</v>
      </c>
      <c r="K100" s="9">
        <f t="shared" si="12"/>
        <v>49.119999999999948</v>
      </c>
    </row>
    <row r="101" spans="2:11">
      <c r="B101" s="8">
        <v>443</v>
      </c>
      <c r="C101" s="9">
        <f t="shared" si="8"/>
        <v>40.300000000000132</v>
      </c>
      <c r="D101" s="9">
        <f t="shared" si="9"/>
        <v>37.229999999999947</v>
      </c>
      <c r="E101" s="9">
        <f t="shared" si="10"/>
        <v>49.229999999999947</v>
      </c>
      <c r="G101" s="8">
        <v>443</v>
      </c>
      <c r="H101" s="9">
        <f t="shared" si="11"/>
        <v>37.229999999999947</v>
      </c>
      <c r="J101" s="8">
        <v>443</v>
      </c>
      <c r="K101" s="9">
        <f t="shared" si="12"/>
        <v>49.229999999999947</v>
      </c>
    </row>
    <row r="102" spans="2:11">
      <c r="B102" s="8">
        <v>444</v>
      </c>
      <c r="C102" s="9">
        <f t="shared" si="8"/>
        <v>40.400000000000134</v>
      </c>
      <c r="D102" s="9">
        <f t="shared" si="9"/>
        <v>37.339999999999947</v>
      </c>
      <c r="E102" s="9">
        <f t="shared" si="10"/>
        <v>49.339999999999947</v>
      </c>
      <c r="G102" s="8">
        <v>444</v>
      </c>
      <c r="H102" s="9">
        <f t="shared" si="11"/>
        <v>37.339999999999947</v>
      </c>
      <c r="J102" s="8">
        <v>444</v>
      </c>
      <c r="K102" s="9">
        <f t="shared" si="12"/>
        <v>49.339999999999947</v>
      </c>
    </row>
    <row r="103" spans="2:11">
      <c r="B103" s="8">
        <v>445</v>
      </c>
      <c r="C103" s="9">
        <f t="shared" si="8"/>
        <v>40.500000000000135</v>
      </c>
      <c r="D103" s="9">
        <f t="shared" si="9"/>
        <v>37.449999999999946</v>
      </c>
      <c r="E103" s="9">
        <f t="shared" si="10"/>
        <v>49.449999999999946</v>
      </c>
      <c r="G103" s="8">
        <v>445</v>
      </c>
      <c r="H103" s="9">
        <f t="shared" si="11"/>
        <v>37.449999999999946</v>
      </c>
      <c r="J103" s="8">
        <v>445</v>
      </c>
      <c r="K103" s="9">
        <f t="shared" si="12"/>
        <v>49.449999999999946</v>
      </c>
    </row>
    <row r="104" spans="2:11">
      <c r="B104" s="8">
        <v>446</v>
      </c>
      <c r="C104" s="9">
        <f t="shared" si="8"/>
        <v>40.600000000000136</v>
      </c>
      <c r="D104" s="9">
        <f t="shared" si="9"/>
        <v>37.559999999999945</v>
      </c>
      <c r="E104" s="9">
        <f t="shared" si="10"/>
        <v>49.559999999999945</v>
      </c>
      <c r="G104" s="8">
        <v>446</v>
      </c>
      <c r="H104" s="9">
        <f t="shared" si="11"/>
        <v>37.559999999999945</v>
      </c>
      <c r="J104" s="8">
        <v>446</v>
      </c>
      <c r="K104" s="9">
        <f t="shared" si="12"/>
        <v>49.559999999999945</v>
      </c>
    </row>
    <row r="105" spans="2:11">
      <c r="B105" s="8">
        <v>447</v>
      </c>
      <c r="C105" s="9">
        <f t="shared" si="8"/>
        <v>40.700000000000138</v>
      </c>
      <c r="D105" s="9">
        <f t="shared" si="9"/>
        <v>37.669999999999945</v>
      </c>
      <c r="E105" s="9">
        <f t="shared" si="10"/>
        <v>49.669999999999945</v>
      </c>
      <c r="G105" s="8">
        <v>447</v>
      </c>
      <c r="H105" s="9">
        <f t="shared" si="11"/>
        <v>37.669999999999945</v>
      </c>
      <c r="J105" s="8">
        <v>447</v>
      </c>
      <c r="K105" s="9">
        <f t="shared" si="12"/>
        <v>49.669999999999945</v>
      </c>
    </row>
    <row r="106" spans="2:11">
      <c r="B106" s="8">
        <v>448</v>
      </c>
      <c r="C106" s="9">
        <f t="shared" si="8"/>
        <v>40.800000000000139</v>
      </c>
      <c r="D106" s="9">
        <f t="shared" si="9"/>
        <v>37.779999999999944</v>
      </c>
      <c r="E106" s="9">
        <f t="shared" si="10"/>
        <v>49.779999999999944</v>
      </c>
      <c r="G106" s="8">
        <v>448</v>
      </c>
      <c r="H106" s="9">
        <f t="shared" si="11"/>
        <v>37.779999999999944</v>
      </c>
      <c r="J106" s="8">
        <v>448</v>
      </c>
      <c r="K106" s="9">
        <f t="shared" si="12"/>
        <v>49.779999999999944</v>
      </c>
    </row>
    <row r="107" spans="2:11">
      <c r="B107" s="8">
        <v>449</v>
      </c>
      <c r="C107" s="9">
        <f t="shared" si="8"/>
        <v>40.900000000000141</v>
      </c>
      <c r="D107" s="9">
        <f t="shared" si="9"/>
        <v>37.889999999999944</v>
      </c>
      <c r="E107" s="9">
        <f t="shared" si="10"/>
        <v>49.889999999999944</v>
      </c>
      <c r="G107" s="8">
        <v>449</v>
      </c>
      <c r="H107" s="9">
        <f t="shared" si="11"/>
        <v>37.889999999999944</v>
      </c>
      <c r="J107" s="8">
        <v>449</v>
      </c>
      <c r="K107" s="9">
        <f t="shared" si="12"/>
        <v>49.889999999999944</v>
      </c>
    </row>
    <row r="108" spans="2:11">
      <c r="B108" s="6">
        <v>450</v>
      </c>
      <c r="C108" s="7">
        <f>+C4</f>
        <v>41</v>
      </c>
      <c r="D108" s="7">
        <f>+D4</f>
        <v>38</v>
      </c>
      <c r="E108" s="7">
        <f>+E4</f>
        <v>50</v>
      </c>
      <c r="G108" s="6">
        <v>450</v>
      </c>
      <c r="H108" s="7">
        <f>+D108</f>
        <v>38</v>
      </c>
      <c r="J108" s="6">
        <v>450</v>
      </c>
      <c r="K108" s="7">
        <f>+E108</f>
        <v>50</v>
      </c>
    </row>
    <row r="109" spans="2:11">
      <c r="B109" s="8">
        <v>451</v>
      </c>
      <c r="C109" s="9">
        <f t="shared" ref="C109:C140" si="13">C108+(($C$208-$C$108)/100)</f>
        <v>41.09</v>
      </c>
      <c r="D109" s="9">
        <f t="shared" ref="D109:D140" si="14">D108+(($D$208-$D$108)/100)</f>
        <v>38.11</v>
      </c>
      <c r="E109" s="9">
        <f t="shared" ref="E109:E140" si="15">E108+(($E$208-$E$108)/100)</f>
        <v>50.11</v>
      </c>
      <c r="G109" s="8">
        <v>451</v>
      </c>
      <c r="H109" s="9">
        <f t="shared" ref="H109:H172" si="16">H108+(($D$208-$D$108)/100)</f>
        <v>38.11</v>
      </c>
      <c r="J109" s="8">
        <v>451</v>
      </c>
      <c r="K109" s="9">
        <f t="shared" ref="K109:K172" si="17">K108+(($E$208-$E$108)/100)</f>
        <v>50.11</v>
      </c>
    </row>
    <row r="110" spans="2:11">
      <c r="B110" s="8">
        <v>452</v>
      </c>
      <c r="C110" s="9">
        <f t="shared" si="13"/>
        <v>41.180000000000007</v>
      </c>
      <c r="D110" s="9">
        <f t="shared" si="14"/>
        <v>38.22</v>
      </c>
      <c r="E110" s="9">
        <f t="shared" si="15"/>
        <v>50.22</v>
      </c>
      <c r="G110" s="8">
        <v>452</v>
      </c>
      <c r="H110" s="9">
        <f t="shared" si="16"/>
        <v>38.22</v>
      </c>
      <c r="J110" s="8">
        <v>452</v>
      </c>
      <c r="K110" s="9">
        <f t="shared" si="17"/>
        <v>50.22</v>
      </c>
    </row>
    <row r="111" spans="2:11">
      <c r="B111" s="8">
        <v>453</v>
      </c>
      <c r="C111" s="9">
        <f t="shared" si="13"/>
        <v>41.27000000000001</v>
      </c>
      <c r="D111" s="9">
        <f t="shared" si="14"/>
        <v>38.33</v>
      </c>
      <c r="E111" s="9">
        <f t="shared" si="15"/>
        <v>50.33</v>
      </c>
      <c r="G111" s="8">
        <v>453</v>
      </c>
      <c r="H111" s="9">
        <f t="shared" si="16"/>
        <v>38.33</v>
      </c>
      <c r="J111" s="8">
        <v>453</v>
      </c>
      <c r="K111" s="9">
        <f t="shared" si="17"/>
        <v>50.33</v>
      </c>
    </row>
    <row r="112" spans="2:11">
      <c r="B112" s="8">
        <v>454</v>
      </c>
      <c r="C112" s="9">
        <f t="shared" si="13"/>
        <v>41.360000000000014</v>
      </c>
      <c r="D112" s="9">
        <f t="shared" si="14"/>
        <v>38.44</v>
      </c>
      <c r="E112" s="9">
        <f t="shared" si="15"/>
        <v>50.44</v>
      </c>
      <c r="G112" s="8">
        <v>454</v>
      </c>
      <c r="H112" s="9">
        <f t="shared" si="16"/>
        <v>38.44</v>
      </c>
      <c r="J112" s="8">
        <v>454</v>
      </c>
      <c r="K112" s="9">
        <f t="shared" si="17"/>
        <v>50.44</v>
      </c>
    </row>
    <row r="113" spans="2:11">
      <c r="B113" s="8">
        <v>455</v>
      </c>
      <c r="C113" s="9">
        <f t="shared" si="13"/>
        <v>41.450000000000017</v>
      </c>
      <c r="D113" s="9">
        <f t="shared" si="14"/>
        <v>38.549999999999997</v>
      </c>
      <c r="E113" s="9">
        <f t="shared" si="15"/>
        <v>50.55</v>
      </c>
      <c r="G113" s="8">
        <v>455</v>
      </c>
      <c r="H113" s="9">
        <f t="shared" si="16"/>
        <v>38.549999999999997</v>
      </c>
      <c r="J113" s="8">
        <v>455</v>
      </c>
      <c r="K113" s="9">
        <f t="shared" si="17"/>
        <v>50.55</v>
      </c>
    </row>
    <row r="114" spans="2:11">
      <c r="B114" s="8">
        <v>456</v>
      </c>
      <c r="C114" s="9">
        <f t="shared" si="13"/>
        <v>41.54000000000002</v>
      </c>
      <c r="D114" s="9">
        <f t="shared" si="14"/>
        <v>38.659999999999997</v>
      </c>
      <c r="E114" s="9">
        <f t="shared" si="15"/>
        <v>50.66</v>
      </c>
      <c r="G114" s="8">
        <v>456</v>
      </c>
      <c r="H114" s="9">
        <f t="shared" si="16"/>
        <v>38.659999999999997</v>
      </c>
      <c r="J114" s="8">
        <v>456</v>
      </c>
      <c r="K114" s="9">
        <f t="shared" si="17"/>
        <v>50.66</v>
      </c>
    </row>
    <row r="115" spans="2:11">
      <c r="B115" s="8">
        <v>457</v>
      </c>
      <c r="C115" s="9">
        <f t="shared" si="13"/>
        <v>41.630000000000024</v>
      </c>
      <c r="D115" s="9">
        <f t="shared" si="14"/>
        <v>38.769999999999996</v>
      </c>
      <c r="E115" s="9">
        <f t="shared" si="15"/>
        <v>50.769999999999996</v>
      </c>
      <c r="G115" s="8">
        <v>457</v>
      </c>
      <c r="H115" s="9">
        <f t="shared" si="16"/>
        <v>38.769999999999996</v>
      </c>
      <c r="J115" s="8">
        <v>457</v>
      </c>
      <c r="K115" s="9">
        <f t="shared" si="17"/>
        <v>50.769999999999996</v>
      </c>
    </row>
    <row r="116" spans="2:11">
      <c r="B116" s="8">
        <v>458</v>
      </c>
      <c r="C116" s="9">
        <f t="shared" si="13"/>
        <v>41.720000000000027</v>
      </c>
      <c r="D116" s="9">
        <f t="shared" si="14"/>
        <v>38.879999999999995</v>
      </c>
      <c r="E116" s="9">
        <f t="shared" si="15"/>
        <v>50.879999999999995</v>
      </c>
      <c r="G116" s="8">
        <v>458</v>
      </c>
      <c r="H116" s="9">
        <f t="shared" si="16"/>
        <v>38.879999999999995</v>
      </c>
      <c r="J116" s="8">
        <v>458</v>
      </c>
      <c r="K116" s="9">
        <f t="shared" si="17"/>
        <v>50.879999999999995</v>
      </c>
    </row>
    <row r="117" spans="2:11">
      <c r="B117" s="8">
        <v>459</v>
      </c>
      <c r="C117" s="9">
        <f t="shared" si="13"/>
        <v>41.810000000000031</v>
      </c>
      <c r="D117" s="9">
        <f t="shared" si="14"/>
        <v>38.989999999999995</v>
      </c>
      <c r="E117" s="9">
        <f t="shared" si="15"/>
        <v>50.989999999999995</v>
      </c>
      <c r="G117" s="8">
        <v>459</v>
      </c>
      <c r="H117" s="9">
        <f t="shared" si="16"/>
        <v>38.989999999999995</v>
      </c>
      <c r="J117" s="8">
        <v>459</v>
      </c>
      <c r="K117" s="9">
        <f t="shared" si="17"/>
        <v>50.989999999999995</v>
      </c>
    </row>
    <row r="118" spans="2:11">
      <c r="B118" s="8">
        <v>460</v>
      </c>
      <c r="C118" s="9">
        <f t="shared" si="13"/>
        <v>41.900000000000034</v>
      </c>
      <c r="D118" s="9">
        <f t="shared" si="14"/>
        <v>39.099999999999994</v>
      </c>
      <c r="E118" s="9">
        <f t="shared" si="15"/>
        <v>51.099999999999994</v>
      </c>
      <c r="G118" s="8">
        <v>460</v>
      </c>
      <c r="H118" s="9">
        <f t="shared" si="16"/>
        <v>39.099999999999994</v>
      </c>
      <c r="J118" s="8">
        <v>460</v>
      </c>
      <c r="K118" s="9">
        <f t="shared" si="17"/>
        <v>51.099999999999994</v>
      </c>
    </row>
    <row r="119" spans="2:11">
      <c r="B119" s="8">
        <v>461</v>
      </c>
      <c r="C119" s="9">
        <f t="shared" si="13"/>
        <v>41.990000000000038</v>
      </c>
      <c r="D119" s="9">
        <f t="shared" si="14"/>
        <v>39.209999999999994</v>
      </c>
      <c r="E119" s="9">
        <f t="shared" si="15"/>
        <v>51.209999999999994</v>
      </c>
      <c r="G119" s="8">
        <v>461</v>
      </c>
      <c r="H119" s="9">
        <f t="shared" si="16"/>
        <v>39.209999999999994</v>
      </c>
      <c r="J119" s="8">
        <v>461</v>
      </c>
      <c r="K119" s="9">
        <f t="shared" si="17"/>
        <v>51.209999999999994</v>
      </c>
    </row>
    <row r="120" spans="2:11">
      <c r="B120" s="8">
        <v>462</v>
      </c>
      <c r="C120" s="9">
        <f t="shared" si="13"/>
        <v>42.080000000000041</v>
      </c>
      <c r="D120" s="9">
        <f t="shared" si="14"/>
        <v>39.319999999999993</v>
      </c>
      <c r="E120" s="9">
        <f t="shared" si="15"/>
        <v>51.319999999999993</v>
      </c>
      <c r="G120" s="8">
        <v>462</v>
      </c>
      <c r="H120" s="9">
        <f t="shared" si="16"/>
        <v>39.319999999999993</v>
      </c>
      <c r="J120" s="8">
        <v>462</v>
      </c>
      <c r="K120" s="9">
        <f t="shared" si="17"/>
        <v>51.319999999999993</v>
      </c>
    </row>
    <row r="121" spans="2:11">
      <c r="B121" s="8">
        <v>463</v>
      </c>
      <c r="C121" s="9">
        <f t="shared" si="13"/>
        <v>42.170000000000044</v>
      </c>
      <c r="D121" s="9">
        <f t="shared" si="14"/>
        <v>39.429999999999993</v>
      </c>
      <c r="E121" s="9">
        <f t="shared" si="15"/>
        <v>51.429999999999993</v>
      </c>
      <c r="G121" s="8">
        <v>463</v>
      </c>
      <c r="H121" s="9">
        <f t="shared" si="16"/>
        <v>39.429999999999993</v>
      </c>
      <c r="J121" s="8">
        <v>463</v>
      </c>
      <c r="K121" s="9">
        <f t="shared" si="17"/>
        <v>51.429999999999993</v>
      </c>
    </row>
    <row r="122" spans="2:11">
      <c r="B122" s="8">
        <v>464</v>
      </c>
      <c r="C122" s="9">
        <f t="shared" si="13"/>
        <v>42.260000000000048</v>
      </c>
      <c r="D122" s="9">
        <f t="shared" si="14"/>
        <v>39.539999999999992</v>
      </c>
      <c r="E122" s="9">
        <f t="shared" si="15"/>
        <v>51.539999999999992</v>
      </c>
      <c r="G122" s="8">
        <v>464</v>
      </c>
      <c r="H122" s="9">
        <f t="shared" si="16"/>
        <v>39.539999999999992</v>
      </c>
      <c r="J122" s="8">
        <v>464</v>
      </c>
      <c r="K122" s="9">
        <f t="shared" si="17"/>
        <v>51.539999999999992</v>
      </c>
    </row>
    <row r="123" spans="2:11">
      <c r="B123" s="8">
        <v>465</v>
      </c>
      <c r="C123" s="9">
        <f t="shared" si="13"/>
        <v>42.350000000000051</v>
      </c>
      <c r="D123" s="9">
        <f t="shared" si="14"/>
        <v>39.649999999999991</v>
      </c>
      <c r="E123" s="9">
        <f t="shared" si="15"/>
        <v>51.649999999999991</v>
      </c>
      <c r="G123" s="8">
        <v>465</v>
      </c>
      <c r="H123" s="9">
        <f t="shared" si="16"/>
        <v>39.649999999999991</v>
      </c>
      <c r="J123" s="8">
        <v>465</v>
      </c>
      <c r="K123" s="9">
        <f t="shared" si="17"/>
        <v>51.649999999999991</v>
      </c>
    </row>
    <row r="124" spans="2:11">
      <c r="B124" s="8">
        <v>466</v>
      </c>
      <c r="C124" s="9">
        <f t="shared" si="13"/>
        <v>42.440000000000055</v>
      </c>
      <c r="D124" s="9">
        <f t="shared" si="14"/>
        <v>39.759999999999991</v>
      </c>
      <c r="E124" s="9">
        <f t="shared" si="15"/>
        <v>51.759999999999991</v>
      </c>
      <c r="G124" s="8">
        <v>466</v>
      </c>
      <c r="H124" s="9">
        <f t="shared" si="16"/>
        <v>39.759999999999991</v>
      </c>
      <c r="J124" s="8">
        <v>466</v>
      </c>
      <c r="K124" s="9">
        <f t="shared" si="17"/>
        <v>51.759999999999991</v>
      </c>
    </row>
    <row r="125" spans="2:11">
      <c r="B125" s="8">
        <v>467</v>
      </c>
      <c r="C125" s="9">
        <f t="shared" si="13"/>
        <v>42.530000000000058</v>
      </c>
      <c r="D125" s="9">
        <f t="shared" si="14"/>
        <v>39.86999999999999</v>
      </c>
      <c r="E125" s="9">
        <f t="shared" si="15"/>
        <v>51.86999999999999</v>
      </c>
      <c r="G125" s="8">
        <v>467</v>
      </c>
      <c r="H125" s="9">
        <f t="shared" si="16"/>
        <v>39.86999999999999</v>
      </c>
      <c r="J125" s="8">
        <v>467</v>
      </c>
      <c r="K125" s="9">
        <f t="shared" si="17"/>
        <v>51.86999999999999</v>
      </c>
    </row>
    <row r="126" spans="2:11">
      <c r="B126" s="8">
        <v>468</v>
      </c>
      <c r="C126" s="9">
        <f t="shared" si="13"/>
        <v>42.620000000000061</v>
      </c>
      <c r="D126" s="9">
        <f t="shared" si="14"/>
        <v>39.97999999999999</v>
      </c>
      <c r="E126" s="9">
        <f t="shared" si="15"/>
        <v>51.97999999999999</v>
      </c>
      <c r="G126" s="8">
        <v>468</v>
      </c>
      <c r="H126" s="9">
        <f t="shared" si="16"/>
        <v>39.97999999999999</v>
      </c>
      <c r="J126" s="8">
        <v>468</v>
      </c>
      <c r="K126" s="9">
        <f t="shared" si="17"/>
        <v>51.97999999999999</v>
      </c>
    </row>
    <row r="127" spans="2:11">
      <c r="B127" s="8">
        <v>469</v>
      </c>
      <c r="C127" s="9">
        <f t="shared" si="13"/>
        <v>42.710000000000065</v>
      </c>
      <c r="D127" s="9">
        <f t="shared" si="14"/>
        <v>40.089999999999989</v>
      </c>
      <c r="E127" s="9">
        <f t="shared" si="15"/>
        <v>52.089999999999989</v>
      </c>
      <c r="G127" s="8">
        <v>469</v>
      </c>
      <c r="H127" s="9">
        <f t="shared" si="16"/>
        <v>40.089999999999989</v>
      </c>
      <c r="J127" s="8">
        <v>469</v>
      </c>
      <c r="K127" s="9">
        <f t="shared" si="17"/>
        <v>52.089999999999989</v>
      </c>
    </row>
    <row r="128" spans="2:11">
      <c r="B128" s="8">
        <v>470</v>
      </c>
      <c r="C128" s="9">
        <f t="shared" si="13"/>
        <v>42.800000000000068</v>
      </c>
      <c r="D128" s="9">
        <f t="shared" si="14"/>
        <v>40.199999999999989</v>
      </c>
      <c r="E128" s="9">
        <f t="shared" si="15"/>
        <v>52.199999999999989</v>
      </c>
      <c r="G128" s="8">
        <v>470</v>
      </c>
      <c r="H128" s="9">
        <f t="shared" si="16"/>
        <v>40.199999999999989</v>
      </c>
      <c r="J128" s="8">
        <v>470</v>
      </c>
      <c r="K128" s="9">
        <f t="shared" si="17"/>
        <v>52.199999999999989</v>
      </c>
    </row>
    <row r="129" spans="2:11">
      <c r="B129" s="8">
        <v>471</v>
      </c>
      <c r="C129" s="9">
        <f t="shared" si="13"/>
        <v>42.890000000000072</v>
      </c>
      <c r="D129" s="9">
        <f t="shared" si="14"/>
        <v>40.309999999999988</v>
      </c>
      <c r="E129" s="9">
        <f t="shared" si="15"/>
        <v>52.309999999999988</v>
      </c>
      <c r="G129" s="8">
        <v>471</v>
      </c>
      <c r="H129" s="9">
        <f t="shared" si="16"/>
        <v>40.309999999999988</v>
      </c>
      <c r="J129" s="8">
        <v>471</v>
      </c>
      <c r="K129" s="9">
        <f t="shared" si="17"/>
        <v>52.309999999999988</v>
      </c>
    </row>
    <row r="130" spans="2:11">
      <c r="B130" s="8">
        <v>472</v>
      </c>
      <c r="C130" s="9">
        <f t="shared" si="13"/>
        <v>42.980000000000075</v>
      </c>
      <c r="D130" s="9">
        <f t="shared" si="14"/>
        <v>40.419999999999987</v>
      </c>
      <c r="E130" s="9">
        <f t="shared" si="15"/>
        <v>52.419999999999987</v>
      </c>
      <c r="G130" s="8">
        <v>472</v>
      </c>
      <c r="H130" s="9">
        <f t="shared" si="16"/>
        <v>40.419999999999987</v>
      </c>
      <c r="J130" s="8">
        <v>472</v>
      </c>
      <c r="K130" s="9">
        <f t="shared" si="17"/>
        <v>52.419999999999987</v>
      </c>
    </row>
    <row r="131" spans="2:11">
      <c r="B131" s="8">
        <v>473</v>
      </c>
      <c r="C131" s="9">
        <f t="shared" si="13"/>
        <v>43.070000000000078</v>
      </c>
      <c r="D131" s="9">
        <f t="shared" si="14"/>
        <v>40.529999999999987</v>
      </c>
      <c r="E131" s="9">
        <f t="shared" si="15"/>
        <v>52.529999999999987</v>
      </c>
      <c r="G131" s="8">
        <v>473</v>
      </c>
      <c r="H131" s="9">
        <f t="shared" si="16"/>
        <v>40.529999999999987</v>
      </c>
      <c r="J131" s="8">
        <v>473</v>
      </c>
      <c r="K131" s="9">
        <f t="shared" si="17"/>
        <v>52.529999999999987</v>
      </c>
    </row>
    <row r="132" spans="2:11">
      <c r="B132" s="8">
        <v>474</v>
      </c>
      <c r="C132" s="9">
        <f t="shared" si="13"/>
        <v>43.160000000000082</v>
      </c>
      <c r="D132" s="9">
        <f t="shared" si="14"/>
        <v>40.639999999999986</v>
      </c>
      <c r="E132" s="9">
        <f t="shared" si="15"/>
        <v>52.639999999999986</v>
      </c>
      <c r="G132" s="8">
        <v>474</v>
      </c>
      <c r="H132" s="9">
        <f t="shared" si="16"/>
        <v>40.639999999999986</v>
      </c>
      <c r="J132" s="8">
        <v>474</v>
      </c>
      <c r="K132" s="9">
        <f t="shared" si="17"/>
        <v>52.639999999999986</v>
      </c>
    </row>
    <row r="133" spans="2:11">
      <c r="B133" s="8">
        <v>475</v>
      </c>
      <c r="C133" s="9">
        <f t="shared" si="13"/>
        <v>43.250000000000085</v>
      </c>
      <c r="D133" s="9">
        <f t="shared" si="14"/>
        <v>40.749999999999986</v>
      </c>
      <c r="E133" s="9">
        <f t="shared" si="15"/>
        <v>52.749999999999986</v>
      </c>
      <c r="G133" s="8">
        <v>475</v>
      </c>
      <c r="H133" s="9">
        <f t="shared" si="16"/>
        <v>40.749999999999986</v>
      </c>
      <c r="J133" s="8">
        <v>475</v>
      </c>
      <c r="K133" s="9">
        <f t="shared" si="17"/>
        <v>52.749999999999986</v>
      </c>
    </row>
    <row r="134" spans="2:11">
      <c r="B134" s="8">
        <v>476</v>
      </c>
      <c r="C134" s="9">
        <f t="shared" si="13"/>
        <v>43.340000000000089</v>
      </c>
      <c r="D134" s="9">
        <f t="shared" si="14"/>
        <v>40.859999999999985</v>
      </c>
      <c r="E134" s="9">
        <f t="shared" si="15"/>
        <v>52.859999999999985</v>
      </c>
      <c r="G134" s="8">
        <v>476</v>
      </c>
      <c r="H134" s="9">
        <f t="shared" si="16"/>
        <v>40.859999999999985</v>
      </c>
      <c r="J134" s="8">
        <v>476</v>
      </c>
      <c r="K134" s="9">
        <f t="shared" si="17"/>
        <v>52.859999999999985</v>
      </c>
    </row>
    <row r="135" spans="2:11">
      <c r="B135" s="8">
        <v>477</v>
      </c>
      <c r="C135" s="9">
        <f t="shared" si="13"/>
        <v>43.430000000000092</v>
      </c>
      <c r="D135" s="9">
        <f t="shared" si="14"/>
        <v>40.969999999999985</v>
      </c>
      <c r="E135" s="9">
        <f t="shared" si="15"/>
        <v>52.969999999999985</v>
      </c>
      <c r="G135" s="8">
        <v>477</v>
      </c>
      <c r="H135" s="9">
        <f t="shared" si="16"/>
        <v>40.969999999999985</v>
      </c>
      <c r="J135" s="8">
        <v>477</v>
      </c>
      <c r="K135" s="9">
        <f t="shared" si="17"/>
        <v>52.969999999999985</v>
      </c>
    </row>
    <row r="136" spans="2:11">
      <c r="B136" s="8">
        <v>478</v>
      </c>
      <c r="C136" s="9">
        <f t="shared" si="13"/>
        <v>43.520000000000095</v>
      </c>
      <c r="D136" s="9">
        <f t="shared" si="14"/>
        <v>41.079999999999984</v>
      </c>
      <c r="E136" s="9">
        <f t="shared" si="15"/>
        <v>53.079999999999984</v>
      </c>
      <c r="G136" s="8">
        <v>478</v>
      </c>
      <c r="H136" s="9">
        <f t="shared" si="16"/>
        <v>41.079999999999984</v>
      </c>
      <c r="J136" s="8">
        <v>478</v>
      </c>
      <c r="K136" s="9">
        <f t="shared" si="17"/>
        <v>53.079999999999984</v>
      </c>
    </row>
    <row r="137" spans="2:11">
      <c r="B137" s="8">
        <v>479</v>
      </c>
      <c r="C137" s="9">
        <f t="shared" si="13"/>
        <v>43.610000000000099</v>
      </c>
      <c r="D137" s="9">
        <f t="shared" si="14"/>
        <v>41.189999999999984</v>
      </c>
      <c r="E137" s="9">
        <f t="shared" si="15"/>
        <v>53.189999999999984</v>
      </c>
      <c r="G137" s="8">
        <v>479</v>
      </c>
      <c r="H137" s="9">
        <f t="shared" si="16"/>
        <v>41.189999999999984</v>
      </c>
      <c r="J137" s="8">
        <v>479</v>
      </c>
      <c r="K137" s="9">
        <f t="shared" si="17"/>
        <v>53.189999999999984</v>
      </c>
    </row>
    <row r="138" spans="2:11">
      <c r="B138" s="8">
        <v>480</v>
      </c>
      <c r="C138" s="9">
        <f t="shared" si="13"/>
        <v>43.700000000000102</v>
      </c>
      <c r="D138" s="9">
        <f t="shared" si="14"/>
        <v>41.299999999999983</v>
      </c>
      <c r="E138" s="9">
        <f t="shared" si="15"/>
        <v>53.299999999999983</v>
      </c>
      <c r="G138" s="8">
        <v>480</v>
      </c>
      <c r="H138" s="9">
        <f t="shared" si="16"/>
        <v>41.299999999999983</v>
      </c>
      <c r="J138" s="8">
        <v>480</v>
      </c>
      <c r="K138" s="9">
        <f t="shared" si="17"/>
        <v>53.299999999999983</v>
      </c>
    </row>
    <row r="139" spans="2:11">
      <c r="B139" s="8">
        <v>481</v>
      </c>
      <c r="C139" s="9">
        <f t="shared" si="13"/>
        <v>43.790000000000106</v>
      </c>
      <c r="D139" s="9">
        <f t="shared" si="14"/>
        <v>41.409999999999982</v>
      </c>
      <c r="E139" s="9">
        <f t="shared" si="15"/>
        <v>53.409999999999982</v>
      </c>
      <c r="G139" s="8">
        <v>481</v>
      </c>
      <c r="H139" s="9">
        <f t="shared" si="16"/>
        <v>41.409999999999982</v>
      </c>
      <c r="J139" s="8">
        <v>481</v>
      </c>
      <c r="K139" s="9">
        <f t="shared" si="17"/>
        <v>53.409999999999982</v>
      </c>
    </row>
    <row r="140" spans="2:11">
      <c r="B140" s="8">
        <v>482</v>
      </c>
      <c r="C140" s="9">
        <f t="shared" si="13"/>
        <v>43.880000000000109</v>
      </c>
      <c r="D140" s="9">
        <f t="shared" si="14"/>
        <v>41.519999999999982</v>
      </c>
      <c r="E140" s="9">
        <f t="shared" si="15"/>
        <v>53.519999999999982</v>
      </c>
      <c r="G140" s="8">
        <v>482</v>
      </c>
      <c r="H140" s="9">
        <f t="shared" si="16"/>
        <v>41.519999999999982</v>
      </c>
      <c r="J140" s="8">
        <v>482</v>
      </c>
      <c r="K140" s="9">
        <f t="shared" si="17"/>
        <v>53.519999999999982</v>
      </c>
    </row>
    <row r="141" spans="2:11">
      <c r="B141" s="8">
        <v>483</v>
      </c>
      <c r="C141" s="9">
        <f t="shared" ref="C141:C172" si="18">C140+(($C$208-$C$108)/100)</f>
        <v>43.970000000000113</v>
      </c>
      <c r="D141" s="9">
        <f t="shared" ref="D141:D172" si="19">D140+(($D$208-$D$108)/100)</f>
        <v>41.629999999999981</v>
      </c>
      <c r="E141" s="9">
        <f t="shared" ref="E141:E172" si="20">E140+(($E$208-$E$108)/100)</f>
        <v>53.629999999999981</v>
      </c>
      <c r="G141" s="8">
        <v>483</v>
      </c>
      <c r="H141" s="9">
        <f t="shared" si="16"/>
        <v>41.629999999999981</v>
      </c>
      <c r="J141" s="8">
        <v>483</v>
      </c>
      <c r="K141" s="9">
        <f t="shared" si="17"/>
        <v>53.629999999999981</v>
      </c>
    </row>
    <row r="142" spans="2:11">
      <c r="B142" s="8">
        <v>484</v>
      </c>
      <c r="C142" s="9">
        <f t="shared" si="18"/>
        <v>44.060000000000116</v>
      </c>
      <c r="D142" s="9">
        <f t="shared" si="19"/>
        <v>41.739999999999981</v>
      </c>
      <c r="E142" s="9">
        <f t="shared" si="20"/>
        <v>53.739999999999981</v>
      </c>
      <c r="G142" s="8">
        <v>484</v>
      </c>
      <c r="H142" s="9">
        <f t="shared" si="16"/>
        <v>41.739999999999981</v>
      </c>
      <c r="J142" s="8">
        <v>484</v>
      </c>
      <c r="K142" s="9">
        <f t="shared" si="17"/>
        <v>53.739999999999981</v>
      </c>
    </row>
    <row r="143" spans="2:11">
      <c r="B143" s="8">
        <v>485</v>
      </c>
      <c r="C143" s="9">
        <f t="shared" si="18"/>
        <v>44.150000000000119</v>
      </c>
      <c r="D143" s="9">
        <f t="shared" si="19"/>
        <v>41.84999999999998</v>
      </c>
      <c r="E143" s="9">
        <f t="shared" si="20"/>
        <v>53.84999999999998</v>
      </c>
      <c r="G143" s="8">
        <v>485</v>
      </c>
      <c r="H143" s="9">
        <f t="shared" si="16"/>
        <v>41.84999999999998</v>
      </c>
      <c r="J143" s="8">
        <v>485</v>
      </c>
      <c r="K143" s="9">
        <f t="shared" si="17"/>
        <v>53.84999999999998</v>
      </c>
    </row>
    <row r="144" spans="2:11">
      <c r="B144" s="8">
        <v>486</v>
      </c>
      <c r="C144" s="9">
        <f t="shared" si="18"/>
        <v>44.240000000000123</v>
      </c>
      <c r="D144" s="9">
        <f t="shared" si="19"/>
        <v>41.95999999999998</v>
      </c>
      <c r="E144" s="9">
        <f t="shared" si="20"/>
        <v>53.95999999999998</v>
      </c>
      <c r="G144" s="8">
        <v>486</v>
      </c>
      <c r="H144" s="9">
        <f t="shared" si="16"/>
        <v>41.95999999999998</v>
      </c>
      <c r="J144" s="8">
        <v>486</v>
      </c>
      <c r="K144" s="9">
        <f t="shared" si="17"/>
        <v>53.95999999999998</v>
      </c>
    </row>
    <row r="145" spans="2:11">
      <c r="B145" s="8">
        <v>487</v>
      </c>
      <c r="C145" s="9">
        <f t="shared" si="18"/>
        <v>44.330000000000126</v>
      </c>
      <c r="D145" s="9">
        <f t="shared" si="19"/>
        <v>42.069999999999979</v>
      </c>
      <c r="E145" s="9">
        <f t="shared" si="20"/>
        <v>54.069999999999979</v>
      </c>
      <c r="G145" s="8">
        <v>487</v>
      </c>
      <c r="H145" s="9">
        <f t="shared" si="16"/>
        <v>42.069999999999979</v>
      </c>
      <c r="J145" s="8">
        <v>487</v>
      </c>
      <c r="K145" s="9">
        <f t="shared" si="17"/>
        <v>54.069999999999979</v>
      </c>
    </row>
    <row r="146" spans="2:11">
      <c r="B146" s="8">
        <v>488</v>
      </c>
      <c r="C146" s="9">
        <f t="shared" si="18"/>
        <v>44.42000000000013</v>
      </c>
      <c r="D146" s="9">
        <f t="shared" si="19"/>
        <v>42.179999999999978</v>
      </c>
      <c r="E146" s="9">
        <f t="shared" si="20"/>
        <v>54.179999999999978</v>
      </c>
      <c r="G146" s="8">
        <v>488</v>
      </c>
      <c r="H146" s="9">
        <f t="shared" si="16"/>
        <v>42.179999999999978</v>
      </c>
      <c r="J146" s="8">
        <v>488</v>
      </c>
      <c r="K146" s="9">
        <f t="shared" si="17"/>
        <v>54.179999999999978</v>
      </c>
    </row>
    <row r="147" spans="2:11">
      <c r="B147" s="8">
        <v>489</v>
      </c>
      <c r="C147" s="9">
        <f t="shared" si="18"/>
        <v>44.510000000000133</v>
      </c>
      <c r="D147" s="9">
        <f t="shared" si="19"/>
        <v>42.289999999999978</v>
      </c>
      <c r="E147" s="9">
        <f t="shared" si="20"/>
        <v>54.289999999999978</v>
      </c>
      <c r="G147" s="8">
        <v>489</v>
      </c>
      <c r="H147" s="9">
        <f t="shared" si="16"/>
        <v>42.289999999999978</v>
      </c>
      <c r="J147" s="8">
        <v>489</v>
      </c>
      <c r="K147" s="9">
        <f t="shared" si="17"/>
        <v>54.289999999999978</v>
      </c>
    </row>
    <row r="148" spans="2:11">
      <c r="B148" s="8">
        <v>490</v>
      </c>
      <c r="C148" s="9">
        <f t="shared" si="18"/>
        <v>44.600000000000136</v>
      </c>
      <c r="D148" s="9">
        <f t="shared" si="19"/>
        <v>42.399999999999977</v>
      </c>
      <c r="E148" s="9">
        <f t="shared" si="20"/>
        <v>54.399999999999977</v>
      </c>
      <c r="G148" s="8">
        <v>490</v>
      </c>
      <c r="H148" s="9">
        <f t="shared" si="16"/>
        <v>42.399999999999977</v>
      </c>
      <c r="J148" s="8">
        <v>490</v>
      </c>
      <c r="K148" s="9">
        <f t="shared" si="17"/>
        <v>54.399999999999977</v>
      </c>
    </row>
    <row r="149" spans="2:11">
      <c r="B149" s="8">
        <v>491</v>
      </c>
      <c r="C149" s="9">
        <f t="shared" si="18"/>
        <v>44.69000000000014</v>
      </c>
      <c r="D149" s="9">
        <f t="shared" si="19"/>
        <v>42.509999999999977</v>
      </c>
      <c r="E149" s="9">
        <f t="shared" si="20"/>
        <v>54.509999999999977</v>
      </c>
      <c r="G149" s="8">
        <v>491</v>
      </c>
      <c r="H149" s="9">
        <f t="shared" si="16"/>
        <v>42.509999999999977</v>
      </c>
      <c r="J149" s="8">
        <v>491</v>
      </c>
      <c r="K149" s="9">
        <f t="shared" si="17"/>
        <v>54.509999999999977</v>
      </c>
    </row>
    <row r="150" spans="2:11">
      <c r="B150" s="8">
        <v>492</v>
      </c>
      <c r="C150" s="9">
        <f t="shared" si="18"/>
        <v>44.780000000000143</v>
      </c>
      <c r="D150" s="9">
        <f t="shared" si="19"/>
        <v>42.619999999999976</v>
      </c>
      <c r="E150" s="9">
        <f t="shared" si="20"/>
        <v>54.619999999999976</v>
      </c>
      <c r="G150" s="8">
        <v>492</v>
      </c>
      <c r="H150" s="9">
        <f t="shared" si="16"/>
        <v>42.619999999999976</v>
      </c>
      <c r="J150" s="8">
        <v>492</v>
      </c>
      <c r="K150" s="9">
        <f t="shared" si="17"/>
        <v>54.619999999999976</v>
      </c>
    </row>
    <row r="151" spans="2:11">
      <c r="B151" s="8">
        <v>493</v>
      </c>
      <c r="C151" s="9">
        <f t="shared" si="18"/>
        <v>44.870000000000147</v>
      </c>
      <c r="D151" s="9">
        <f t="shared" si="19"/>
        <v>42.729999999999976</v>
      </c>
      <c r="E151" s="9">
        <f t="shared" si="20"/>
        <v>54.729999999999976</v>
      </c>
      <c r="G151" s="8">
        <v>493</v>
      </c>
      <c r="H151" s="9">
        <f t="shared" si="16"/>
        <v>42.729999999999976</v>
      </c>
      <c r="J151" s="8">
        <v>493</v>
      </c>
      <c r="K151" s="9">
        <f t="shared" si="17"/>
        <v>54.729999999999976</v>
      </c>
    </row>
    <row r="152" spans="2:11">
      <c r="B152" s="8">
        <v>494</v>
      </c>
      <c r="C152" s="9">
        <f t="shared" si="18"/>
        <v>44.96000000000015</v>
      </c>
      <c r="D152" s="9">
        <f t="shared" si="19"/>
        <v>42.839999999999975</v>
      </c>
      <c r="E152" s="9">
        <f t="shared" si="20"/>
        <v>54.839999999999975</v>
      </c>
      <c r="G152" s="8">
        <v>494</v>
      </c>
      <c r="H152" s="9">
        <f t="shared" si="16"/>
        <v>42.839999999999975</v>
      </c>
      <c r="J152" s="8">
        <v>494</v>
      </c>
      <c r="K152" s="9">
        <f t="shared" si="17"/>
        <v>54.839999999999975</v>
      </c>
    </row>
    <row r="153" spans="2:11">
      <c r="B153" s="8">
        <v>495</v>
      </c>
      <c r="C153" s="9">
        <f t="shared" si="18"/>
        <v>45.050000000000153</v>
      </c>
      <c r="D153" s="9">
        <f t="shared" si="19"/>
        <v>42.949999999999974</v>
      </c>
      <c r="E153" s="9">
        <f t="shared" si="20"/>
        <v>54.949999999999974</v>
      </c>
      <c r="G153" s="8">
        <v>495</v>
      </c>
      <c r="H153" s="9">
        <f t="shared" si="16"/>
        <v>42.949999999999974</v>
      </c>
      <c r="J153" s="8">
        <v>495</v>
      </c>
      <c r="K153" s="9">
        <f t="shared" si="17"/>
        <v>54.949999999999974</v>
      </c>
    </row>
    <row r="154" spans="2:11">
      <c r="B154" s="8">
        <v>496</v>
      </c>
      <c r="C154" s="9">
        <f t="shared" si="18"/>
        <v>45.140000000000157</v>
      </c>
      <c r="D154" s="9">
        <f t="shared" si="19"/>
        <v>43.059999999999974</v>
      </c>
      <c r="E154" s="9">
        <f t="shared" si="20"/>
        <v>55.059999999999974</v>
      </c>
      <c r="G154" s="8">
        <v>496</v>
      </c>
      <c r="H154" s="9">
        <f t="shared" si="16"/>
        <v>43.059999999999974</v>
      </c>
      <c r="J154" s="8">
        <v>496</v>
      </c>
      <c r="K154" s="9">
        <f t="shared" si="17"/>
        <v>55.059999999999974</v>
      </c>
    </row>
    <row r="155" spans="2:11">
      <c r="B155" s="8">
        <v>497</v>
      </c>
      <c r="C155" s="9">
        <f t="shared" si="18"/>
        <v>45.23000000000016</v>
      </c>
      <c r="D155" s="9">
        <f t="shared" si="19"/>
        <v>43.169999999999973</v>
      </c>
      <c r="E155" s="9">
        <f t="shared" si="20"/>
        <v>55.169999999999973</v>
      </c>
      <c r="G155" s="8">
        <v>497</v>
      </c>
      <c r="H155" s="9">
        <f t="shared" si="16"/>
        <v>43.169999999999973</v>
      </c>
      <c r="J155" s="8">
        <v>497</v>
      </c>
      <c r="K155" s="9">
        <f t="shared" si="17"/>
        <v>55.169999999999973</v>
      </c>
    </row>
    <row r="156" spans="2:11">
      <c r="B156" s="8">
        <v>498</v>
      </c>
      <c r="C156" s="9">
        <f t="shared" si="18"/>
        <v>45.320000000000164</v>
      </c>
      <c r="D156" s="9">
        <f t="shared" si="19"/>
        <v>43.279999999999973</v>
      </c>
      <c r="E156" s="9">
        <f t="shared" si="20"/>
        <v>55.279999999999973</v>
      </c>
      <c r="G156" s="8">
        <v>498</v>
      </c>
      <c r="H156" s="9">
        <f t="shared" si="16"/>
        <v>43.279999999999973</v>
      </c>
      <c r="J156" s="8">
        <v>498</v>
      </c>
      <c r="K156" s="9">
        <f t="shared" si="17"/>
        <v>55.279999999999973</v>
      </c>
    </row>
    <row r="157" spans="2:11">
      <c r="B157" s="8">
        <v>499</v>
      </c>
      <c r="C157" s="9">
        <f t="shared" si="18"/>
        <v>45.410000000000167</v>
      </c>
      <c r="D157" s="9">
        <f t="shared" si="19"/>
        <v>43.389999999999972</v>
      </c>
      <c r="E157" s="9">
        <f t="shared" si="20"/>
        <v>55.389999999999972</v>
      </c>
      <c r="G157" s="8">
        <v>499</v>
      </c>
      <c r="H157" s="9">
        <f t="shared" si="16"/>
        <v>43.389999999999972</v>
      </c>
      <c r="J157" s="8">
        <v>499</v>
      </c>
      <c r="K157" s="9">
        <f t="shared" si="17"/>
        <v>55.389999999999972</v>
      </c>
    </row>
    <row r="158" spans="2:11">
      <c r="B158" s="8">
        <v>500</v>
      </c>
      <c r="C158" s="9">
        <f t="shared" si="18"/>
        <v>45.500000000000171</v>
      </c>
      <c r="D158" s="9">
        <f t="shared" si="19"/>
        <v>43.499999999999972</v>
      </c>
      <c r="E158" s="9">
        <f t="shared" si="20"/>
        <v>55.499999999999972</v>
      </c>
      <c r="G158" s="8">
        <v>500</v>
      </c>
      <c r="H158" s="9">
        <f t="shared" si="16"/>
        <v>43.499999999999972</v>
      </c>
      <c r="J158" s="8">
        <v>500</v>
      </c>
      <c r="K158" s="9">
        <f t="shared" si="17"/>
        <v>55.499999999999972</v>
      </c>
    </row>
    <row r="159" spans="2:11">
      <c r="B159" s="8">
        <v>501</v>
      </c>
      <c r="C159" s="9">
        <f t="shared" si="18"/>
        <v>45.590000000000174</v>
      </c>
      <c r="D159" s="9">
        <f t="shared" si="19"/>
        <v>43.609999999999971</v>
      </c>
      <c r="E159" s="9">
        <f t="shared" si="20"/>
        <v>55.609999999999971</v>
      </c>
      <c r="G159" s="8">
        <v>501</v>
      </c>
      <c r="H159" s="9">
        <f t="shared" si="16"/>
        <v>43.609999999999971</v>
      </c>
      <c r="J159" s="8">
        <v>501</v>
      </c>
      <c r="K159" s="9">
        <f t="shared" si="17"/>
        <v>55.609999999999971</v>
      </c>
    </row>
    <row r="160" spans="2:11">
      <c r="B160" s="8">
        <v>502</v>
      </c>
      <c r="C160" s="9">
        <f t="shared" si="18"/>
        <v>45.680000000000177</v>
      </c>
      <c r="D160" s="9">
        <f t="shared" si="19"/>
        <v>43.71999999999997</v>
      </c>
      <c r="E160" s="9">
        <f t="shared" si="20"/>
        <v>55.71999999999997</v>
      </c>
      <c r="G160" s="8">
        <v>502</v>
      </c>
      <c r="H160" s="9">
        <f t="shared" si="16"/>
        <v>43.71999999999997</v>
      </c>
      <c r="J160" s="8">
        <v>502</v>
      </c>
      <c r="K160" s="9">
        <f t="shared" si="17"/>
        <v>55.71999999999997</v>
      </c>
    </row>
    <row r="161" spans="2:11">
      <c r="B161" s="8">
        <v>503</v>
      </c>
      <c r="C161" s="9">
        <f t="shared" si="18"/>
        <v>45.770000000000181</v>
      </c>
      <c r="D161" s="9">
        <f t="shared" si="19"/>
        <v>43.82999999999997</v>
      </c>
      <c r="E161" s="9">
        <f t="shared" si="20"/>
        <v>55.82999999999997</v>
      </c>
      <c r="G161" s="8">
        <v>503</v>
      </c>
      <c r="H161" s="9">
        <f t="shared" si="16"/>
        <v>43.82999999999997</v>
      </c>
      <c r="J161" s="8">
        <v>503</v>
      </c>
      <c r="K161" s="9">
        <f t="shared" si="17"/>
        <v>55.82999999999997</v>
      </c>
    </row>
    <row r="162" spans="2:11">
      <c r="B162" s="8">
        <v>504</v>
      </c>
      <c r="C162" s="9">
        <f t="shared" si="18"/>
        <v>45.860000000000184</v>
      </c>
      <c r="D162" s="9">
        <f t="shared" si="19"/>
        <v>43.939999999999969</v>
      </c>
      <c r="E162" s="9">
        <f t="shared" si="20"/>
        <v>55.939999999999969</v>
      </c>
      <c r="G162" s="8">
        <v>504</v>
      </c>
      <c r="H162" s="9">
        <f t="shared" si="16"/>
        <v>43.939999999999969</v>
      </c>
      <c r="J162" s="8">
        <v>504</v>
      </c>
      <c r="K162" s="9">
        <f t="shared" si="17"/>
        <v>55.939999999999969</v>
      </c>
    </row>
    <row r="163" spans="2:11">
      <c r="B163" s="8">
        <v>505</v>
      </c>
      <c r="C163" s="9">
        <f t="shared" si="18"/>
        <v>45.950000000000188</v>
      </c>
      <c r="D163" s="9">
        <f t="shared" si="19"/>
        <v>44.049999999999969</v>
      </c>
      <c r="E163" s="9">
        <f t="shared" si="20"/>
        <v>56.049999999999969</v>
      </c>
      <c r="G163" s="8">
        <v>505</v>
      </c>
      <c r="H163" s="9">
        <f t="shared" si="16"/>
        <v>44.049999999999969</v>
      </c>
      <c r="J163" s="8">
        <v>505</v>
      </c>
      <c r="K163" s="9">
        <f t="shared" si="17"/>
        <v>56.049999999999969</v>
      </c>
    </row>
    <row r="164" spans="2:11">
      <c r="B164" s="8">
        <v>506</v>
      </c>
      <c r="C164" s="9">
        <f t="shared" si="18"/>
        <v>46.040000000000191</v>
      </c>
      <c r="D164" s="9">
        <f t="shared" si="19"/>
        <v>44.159999999999968</v>
      </c>
      <c r="E164" s="9">
        <f t="shared" si="20"/>
        <v>56.159999999999968</v>
      </c>
      <c r="G164" s="8">
        <v>506</v>
      </c>
      <c r="H164" s="9">
        <f t="shared" si="16"/>
        <v>44.159999999999968</v>
      </c>
      <c r="J164" s="8">
        <v>506</v>
      </c>
      <c r="K164" s="9">
        <f t="shared" si="17"/>
        <v>56.159999999999968</v>
      </c>
    </row>
    <row r="165" spans="2:11">
      <c r="B165" s="8">
        <v>507</v>
      </c>
      <c r="C165" s="9">
        <f t="shared" si="18"/>
        <v>46.130000000000194</v>
      </c>
      <c r="D165" s="9">
        <f t="shared" si="19"/>
        <v>44.269999999999968</v>
      </c>
      <c r="E165" s="9">
        <f t="shared" si="20"/>
        <v>56.269999999999968</v>
      </c>
      <c r="G165" s="8">
        <v>507</v>
      </c>
      <c r="H165" s="9">
        <f t="shared" si="16"/>
        <v>44.269999999999968</v>
      </c>
      <c r="J165" s="8">
        <v>507</v>
      </c>
      <c r="K165" s="9">
        <f t="shared" si="17"/>
        <v>56.269999999999968</v>
      </c>
    </row>
    <row r="166" spans="2:11">
      <c r="B166" s="8">
        <v>508</v>
      </c>
      <c r="C166" s="9">
        <f t="shared" si="18"/>
        <v>46.220000000000198</v>
      </c>
      <c r="D166" s="9">
        <f t="shared" si="19"/>
        <v>44.379999999999967</v>
      </c>
      <c r="E166" s="9">
        <f t="shared" si="20"/>
        <v>56.379999999999967</v>
      </c>
      <c r="G166" s="8">
        <v>508</v>
      </c>
      <c r="H166" s="9">
        <f t="shared" si="16"/>
        <v>44.379999999999967</v>
      </c>
      <c r="J166" s="8">
        <v>508</v>
      </c>
      <c r="K166" s="9">
        <f t="shared" si="17"/>
        <v>56.379999999999967</v>
      </c>
    </row>
    <row r="167" spans="2:11">
      <c r="B167" s="8">
        <v>509</v>
      </c>
      <c r="C167" s="9">
        <f t="shared" si="18"/>
        <v>46.310000000000201</v>
      </c>
      <c r="D167" s="9">
        <f t="shared" si="19"/>
        <v>44.489999999999966</v>
      </c>
      <c r="E167" s="9">
        <f t="shared" si="20"/>
        <v>56.489999999999966</v>
      </c>
      <c r="G167" s="8">
        <v>509</v>
      </c>
      <c r="H167" s="9">
        <f t="shared" si="16"/>
        <v>44.489999999999966</v>
      </c>
      <c r="J167" s="8">
        <v>509</v>
      </c>
      <c r="K167" s="9">
        <f t="shared" si="17"/>
        <v>56.489999999999966</v>
      </c>
    </row>
    <row r="168" spans="2:11">
      <c r="B168" s="8">
        <v>510</v>
      </c>
      <c r="C168" s="9">
        <f t="shared" si="18"/>
        <v>46.400000000000205</v>
      </c>
      <c r="D168" s="9">
        <f t="shared" si="19"/>
        <v>44.599999999999966</v>
      </c>
      <c r="E168" s="9">
        <f t="shared" si="20"/>
        <v>56.599999999999966</v>
      </c>
      <c r="G168" s="8">
        <v>510</v>
      </c>
      <c r="H168" s="9">
        <f t="shared" si="16"/>
        <v>44.599999999999966</v>
      </c>
      <c r="J168" s="8">
        <v>510</v>
      </c>
      <c r="K168" s="9">
        <f t="shared" si="17"/>
        <v>56.599999999999966</v>
      </c>
    </row>
    <row r="169" spans="2:11">
      <c r="B169" s="8">
        <v>511</v>
      </c>
      <c r="C169" s="9">
        <f t="shared" si="18"/>
        <v>46.490000000000208</v>
      </c>
      <c r="D169" s="9">
        <f t="shared" si="19"/>
        <v>44.709999999999965</v>
      </c>
      <c r="E169" s="9">
        <f t="shared" si="20"/>
        <v>56.709999999999965</v>
      </c>
      <c r="G169" s="8">
        <v>511</v>
      </c>
      <c r="H169" s="9">
        <f t="shared" si="16"/>
        <v>44.709999999999965</v>
      </c>
      <c r="J169" s="8">
        <v>511</v>
      </c>
      <c r="K169" s="9">
        <f t="shared" si="17"/>
        <v>56.709999999999965</v>
      </c>
    </row>
    <row r="170" spans="2:11">
      <c r="B170" s="8">
        <v>512</v>
      </c>
      <c r="C170" s="9">
        <f t="shared" si="18"/>
        <v>46.580000000000211</v>
      </c>
      <c r="D170" s="9">
        <f t="shared" si="19"/>
        <v>44.819999999999965</v>
      </c>
      <c r="E170" s="9">
        <f t="shared" si="20"/>
        <v>56.819999999999965</v>
      </c>
      <c r="G170" s="8">
        <v>512</v>
      </c>
      <c r="H170" s="9">
        <f t="shared" si="16"/>
        <v>44.819999999999965</v>
      </c>
      <c r="J170" s="8">
        <v>512</v>
      </c>
      <c r="K170" s="9">
        <f t="shared" si="17"/>
        <v>56.819999999999965</v>
      </c>
    </row>
    <row r="171" spans="2:11">
      <c r="B171" s="8">
        <v>513</v>
      </c>
      <c r="C171" s="9">
        <f t="shared" si="18"/>
        <v>46.670000000000215</v>
      </c>
      <c r="D171" s="9">
        <f t="shared" si="19"/>
        <v>44.929999999999964</v>
      </c>
      <c r="E171" s="9">
        <f t="shared" si="20"/>
        <v>56.929999999999964</v>
      </c>
      <c r="G171" s="8">
        <v>513</v>
      </c>
      <c r="H171" s="9">
        <f t="shared" si="16"/>
        <v>44.929999999999964</v>
      </c>
      <c r="J171" s="8">
        <v>513</v>
      </c>
      <c r="K171" s="9">
        <f t="shared" si="17"/>
        <v>56.929999999999964</v>
      </c>
    </row>
    <row r="172" spans="2:11">
      <c r="B172" s="8">
        <v>514</v>
      </c>
      <c r="C172" s="9">
        <f t="shared" si="18"/>
        <v>46.760000000000218</v>
      </c>
      <c r="D172" s="9">
        <f t="shared" si="19"/>
        <v>45.039999999999964</v>
      </c>
      <c r="E172" s="9">
        <f t="shared" si="20"/>
        <v>57.039999999999964</v>
      </c>
      <c r="G172" s="8">
        <v>514</v>
      </c>
      <c r="H172" s="9">
        <f t="shared" si="16"/>
        <v>45.039999999999964</v>
      </c>
      <c r="J172" s="8">
        <v>514</v>
      </c>
      <c r="K172" s="9">
        <f t="shared" si="17"/>
        <v>57.039999999999964</v>
      </c>
    </row>
    <row r="173" spans="2:11">
      <c r="B173" s="8">
        <v>515</v>
      </c>
      <c r="C173" s="9">
        <f t="shared" ref="C173:C207" si="21">C172+(($C$208-$C$108)/100)</f>
        <v>46.850000000000222</v>
      </c>
      <c r="D173" s="9">
        <f t="shared" ref="D173:D207" si="22">D172+(($D$208-$D$108)/100)</f>
        <v>45.149999999999963</v>
      </c>
      <c r="E173" s="9">
        <f t="shared" ref="E173:E207" si="23">E172+(($E$208-$E$108)/100)</f>
        <v>57.149999999999963</v>
      </c>
      <c r="G173" s="8">
        <v>515</v>
      </c>
      <c r="H173" s="9">
        <f t="shared" ref="H173:H207" si="24">H172+(($D$208-$D$108)/100)</f>
        <v>45.149999999999963</v>
      </c>
      <c r="J173" s="8">
        <v>515</v>
      </c>
      <c r="K173" s="9">
        <f t="shared" ref="K173:K207" si="25">K172+(($E$208-$E$108)/100)</f>
        <v>57.149999999999963</v>
      </c>
    </row>
    <row r="174" spans="2:11">
      <c r="B174" s="8">
        <v>516</v>
      </c>
      <c r="C174" s="9">
        <f t="shared" si="21"/>
        <v>46.940000000000225</v>
      </c>
      <c r="D174" s="9">
        <f t="shared" si="22"/>
        <v>45.259999999999962</v>
      </c>
      <c r="E174" s="9">
        <f t="shared" si="23"/>
        <v>57.259999999999962</v>
      </c>
      <c r="G174" s="8">
        <v>516</v>
      </c>
      <c r="H174" s="9">
        <f t="shared" si="24"/>
        <v>45.259999999999962</v>
      </c>
      <c r="J174" s="8">
        <v>516</v>
      </c>
      <c r="K174" s="9">
        <f t="shared" si="25"/>
        <v>57.259999999999962</v>
      </c>
    </row>
    <row r="175" spans="2:11">
      <c r="B175" s="8">
        <v>517</v>
      </c>
      <c r="C175" s="9">
        <f t="shared" si="21"/>
        <v>47.030000000000229</v>
      </c>
      <c r="D175" s="9">
        <f t="shared" si="22"/>
        <v>45.369999999999962</v>
      </c>
      <c r="E175" s="9">
        <f t="shared" si="23"/>
        <v>57.369999999999962</v>
      </c>
      <c r="G175" s="8">
        <v>517</v>
      </c>
      <c r="H175" s="9">
        <f t="shared" si="24"/>
        <v>45.369999999999962</v>
      </c>
      <c r="J175" s="8">
        <v>517</v>
      </c>
      <c r="K175" s="9">
        <f t="shared" si="25"/>
        <v>57.369999999999962</v>
      </c>
    </row>
    <row r="176" spans="2:11">
      <c r="B176" s="8">
        <v>518</v>
      </c>
      <c r="C176" s="9">
        <f t="shared" si="21"/>
        <v>47.120000000000232</v>
      </c>
      <c r="D176" s="9">
        <f t="shared" si="22"/>
        <v>45.479999999999961</v>
      </c>
      <c r="E176" s="9">
        <f t="shared" si="23"/>
        <v>57.479999999999961</v>
      </c>
      <c r="G176" s="8">
        <v>518</v>
      </c>
      <c r="H176" s="9">
        <f t="shared" si="24"/>
        <v>45.479999999999961</v>
      </c>
      <c r="J176" s="8">
        <v>518</v>
      </c>
      <c r="K176" s="9">
        <f t="shared" si="25"/>
        <v>57.479999999999961</v>
      </c>
    </row>
    <row r="177" spans="2:11">
      <c r="B177" s="8">
        <v>519</v>
      </c>
      <c r="C177" s="9">
        <f t="shared" si="21"/>
        <v>47.210000000000235</v>
      </c>
      <c r="D177" s="9">
        <f t="shared" si="22"/>
        <v>45.589999999999961</v>
      </c>
      <c r="E177" s="9">
        <f t="shared" si="23"/>
        <v>57.589999999999961</v>
      </c>
      <c r="G177" s="8">
        <v>519</v>
      </c>
      <c r="H177" s="9">
        <f t="shared" si="24"/>
        <v>45.589999999999961</v>
      </c>
      <c r="J177" s="8">
        <v>519</v>
      </c>
      <c r="K177" s="9">
        <f t="shared" si="25"/>
        <v>57.589999999999961</v>
      </c>
    </row>
    <row r="178" spans="2:11">
      <c r="B178" s="8">
        <v>520</v>
      </c>
      <c r="C178" s="9">
        <f t="shared" si="21"/>
        <v>47.300000000000239</v>
      </c>
      <c r="D178" s="9">
        <f t="shared" si="22"/>
        <v>45.69999999999996</v>
      </c>
      <c r="E178" s="9">
        <f t="shared" si="23"/>
        <v>57.69999999999996</v>
      </c>
      <c r="G178" s="8">
        <v>520</v>
      </c>
      <c r="H178" s="9">
        <f t="shared" si="24"/>
        <v>45.69999999999996</v>
      </c>
      <c r="J178" s="8">
        <v>520</v>
      </c>
      <c r="K178" s="9">
        <f t="shared" si="25"/>
        <v>57.69999999999996</v>
      </c>
    </row>
    <row r="179" spans="2:11">
      <c r="B179" s="8">
        <v>521</v>
      </c>
      <c r="C179" s="9">
        <f t="shared" si="21"/>
        <v>47.390000000000242</v>
      </c>
      <c r="D179" s="9">
        <f t="shared" si="22"/>
        <v>45.80999999999996</v>
      </c>
      <c r="E179" s="9">
        <f t="shared" si="23"/>
        <v>57.80999999999996</v>
      </c>
      <c r="G179" s="8">
        <v>521</v>
      </c>
      <c r="H179" s="9">
        <f t="shared" si="24"/>
        <v>45.80999999999996</v>
      </c>
      <c r="J179" s="8">
        <v>521</v>
      </c>
      <c r="K179" s="9">
        <f t="shared" si="25"/>
        <v>57.80999999999996</v>
      </c>
    </row>
    <row r="180" spans="2:11">
      <c r="B180" s="8">
        <v>522</v>
      </c>
      <c r="C180" s="9">
        <f t="shared" si="21"/>
        <v>47.480000000000246</v>
      </c>
      <c r="D180" s="9">
        <f t="shared" si="22"/>
        <v>45.919999999999959</v>
      </c>
      <c r="E180" s="9">
        <f t="shared" si="23"/>
        <v>57.919999999999959</v>
      </c>
      <c r="G180" s="8">
        <v>522</v>
      </c>
      <c r="H180" s="9">
        <f t="shared" si="24"/>
        <v>45.919999999999959</v>
      </c>
      <c r="J180" s="8">
        <v>522</v>
      </c>
      <c r="K180" s="9">
        <f t="shared" si="25"/>
        <v>57.919999999999959</v>
      </c>
    </row>
    <row r="181" spans="2:11">
      <c r="B181" s="8">
        <v>523</v>
      </c>
      <c r="C181" s="9">
        <f t="shared" si="21"/>
        <v>47.570000000000249</v>
      </c>
      <c r="D181" s="9">
        <f t="shared" si="22"/>
        <v>46.029999999999959</v>
      </c>
      <c r="E181" s="9">
        <f t="shared" si="23"/>
        <v>58.029999999999959</v>
      </c>
      <c r="G181" s="8">
        <v>523</v>
      </c>
      <c r="H181" s="9">
        <f t="shared" si="24"/>
        <v>46.029999999999959</v>
      </c>
      <c r="J181" s="8">
        <v>523</v>
      </c>
      <c r="K181" s="9">
        <f t="shared" si="25"/>
        <v>58.029999999999959</v>
      </c>
    </row>
    <row r="182" spans="2:11">
      <c r="B182" s="8">
        <v>524</v>
      </c>
      <c r="C182" s="9">
        <f t="shared" si="21"/>
        <v>47.660000000000252</v>
      </c>
      <c r="D182" s="9">
        <f t="shared" si="22"/>
        <v>46.139999999999958</v>
      </c>
      <c r="E182" s="9">
        <f t="shared" si="23"/>
        <v>58.139999999999958</v>
      </c>
      <c r="G182" s="8">
        <v>524</v>
      </c>
      <c r="H182" s="9">
        <f t="shared" si="24"/>
        <v>46.139999999999958</v>
      </c>
      <c r="J182" s="8">
        <v>524</v>
      </c>
      <c r="K182" s="9">
        <f t="shared" si="25"/>
        <v>58.139999999999958</v>
      </c>
    </row>
    <row r="183" spans="2:11">
      <c r="B183" s="8">
        <v>525</v>
      </c>
      <c r="C183" s="9">
        <f t="shared" si="21"/>
        <v>47.750000000000256</v>
      </c>
      <c r="D183" s="9">
        <f t="shared" si="22"/>
        <v>46.249999999999957</v>
      </c>
      <c r="E183" s="9">
        <f t="shared" si="23"/>
        <v>58.249999999999957</v>
      </c>
      <c r="G183" s="8">
        <v>525</v>
      </c>
      <c r="H183" s="9">
        <f t="shared" si="24"/>
        <v>46.249999999999957</v>
      </c>
      <c r="J183" s="8">
        <v>525</v>
      </c>
      <c r="K183" s="9">
        <f t="shared" si="25"/>
        <v>58.249999999999957</v>
      </c>
    </row>
    <row r="184" spans="2:11">
      <c r="B184" s="8">
        <v>526</v>
      </c>
      <c r="C184" s="9">
        <f t="shared" si="21"/>
        <v>47.840000000000259</v>
      </c>
      <c r="D184" s="9">
        <f t="shared" si="22"/>
        <v>46.359999999999957</v>
      </c>
      <c r="E184" s="9">
        <f t="shared" si="23"/>
        <v>58.359999999999957</v>
      </c>
      <c r="G184" s="8">
        <v>526</v>
      </c>
      <c r="H184" s="9">
        <f t="shared" si="24"/>
        <v>46.359999999999957</v>
      </c>
      <c r="J184" s="8">
        <v>526</v>
      </c>
      <c r="K184" s="9">
        <f t="shared" si="25"/>
        <v>58.359999999999957</v>
      </c>
    </row>
    <row r="185" spans="2:11">
      <c r="B185" s="8">
        <v>527</v>
      </c>
      <c r="C185" s="9">
        <f t="shared" si="21"/>
        <v>47.930000000000263</v>
      </c>
      <c r="D185" s="9">
        <f t="shared" si="22"/>
        <v>46.469999999999956</v>
      </c>
      <c r="E185" s="9">
        <f t="shared" si="23"/>
        <v>58.469999999999956</v>
      </c>
      <c r="G185" s="8">
        <v>527</v>
      </c>
      <c r="H185" s="9">
        <f t="shared" si="24"/>
        <v>46.469999999999956</v>
      </c>
      <c r="J185" s="8">
        <v>527</v>
      </c>
      <c r="K185" s="9">
        <f t="shared" si="25"/>
        <v>58.469999999999956</v>
      </c>
    </row>
    <row r="186" spans="2:11">
      <c r="B186" s="8">
        <v>528</v>
      </c>
      <c r="C186" s="9">
        <f t="shared" si="21"/>
        <v>48.020000000000266</v>
      </c>
      <c r="D186" s="9">
        <f t="shared" si="22"/>
        <v>46.579999999999956</v>
      </c>
      <c r="E186" s="9">
        <f t="shared" si="23"/>
        <v>58.579999999999956</v>
      </c>
      <c r="G186" s="8">
        <v>528</v>
      </c>
      <c r="H186" s="9">
        <f t="shared" si="24"/>
        <v>46.579999999999956</v>
      </c>
      <c r="J186" s="8">
        <v>528</v>
      </c>
      <c r="K186" s="9">
        <f t="shared" si="25"/>
        <v>58.579999999999956</v>
      </c>
    </row>
    <row r="187" spans="2:11">
      <c r="B187" s="8">
        <v>529</v>
      </c>
      <c r="C187" s="9">
        <f t="shared" si="21"/>
        <v>48.110000000000269</v>
      </c>
      <c r="D187" s="9">
        <f t="shared" si="22"/>
        <v>46.689999999999955</v>
      </c>
      <c r="E187" s="9">
        <f t="shared" si="23"/>
        <v>58.689999999999955</v>
      </c>
      <c r="G187" s="8">
        <v>529</v>
      </c>
      <c r="H187" s="9">
        <f t="shared" si="24"/>
        <v>46.689999999999955</v>
      </c>
      <c r="J187" s="8">
        <v>529</v>
      </c>
      <c r="K187" s="9">
        <f t="shared" si="25"/>
        <v>58.689999999999955</v>
      </c>
    </row>
    <row r="188" spans="2:11">
      <c r="B188" s="8">
        <v>530</v>
      </c>
      <c r="C188" s="9">
        <f t="shared" si="21"/>
        <v>48.200000000000273</v>
      </c>
      <c r="D188" s="9">
        <f t="shared" si="22"/>
        <v>46.799999999999955</v>
      </c>
      <c r="E188" s="9">
        <f t="shared" si="23"/>
        <v>58.799999999999955</v>
      </c>
      <c r="G188" s="8">
        <v>530</v>
      </c>
      <c r="H188" s="9">
        <f t="shared" si="24"/>
        <v>46.799999999999955</v>
      </c>
      <c r="J188" s="8">
        <v>530</v>
      </c>
      <c r="K188" s="9">
        <f t="shared" si="25"/>
        <v>58.799999999999955</v>
      </c>
    </row>
    <row r="189" spans="2:11">
      <c r="B189" s="8">
        <v>531</v>
      </c>
      <c r="C189" s="9">
        <f t="shared" si="21"/>
        <v>48.290000000000276</v>
      </c>
      <c r="D189" s="9">
        <f t="shared" si="22"/>
        <v>46.909999999999954</v>
      </c>
      <c r="E189" s="9">
        <f t="shared" si="23"/>
        <v>58.909999999999954</v>
      </c>
      <c r="G189" s="8">
        <v>531</v>
      </c>
      <c r="H189" s="9">
        <f t="shared" si="24"/>
        <v>46.909999999999954</v>
      </c>
      <c r="J189" s="8">
        <v>531</v>
      </c>
      <c r="K189" s="9">
        <f t="shared" si="25"/>
        <v>58.909999999999954</v>
      </c>
    </row>
    <row r="190" spans="2:11">
      <c r="B190" s="8">
        <v>532</v>
      </c>
      <c r="C190" s="9">
        <f t="shared" si="21"/>
        <v>48.38000000000028</v>
      </c>
      <c r="D190" s="9">
        <f t="shared" si="22"/>
        <v>47.019999999999953</v>
      </c>
      <c r="E190" s="9">
        <f t="shared" si="23"/>
        <v>59.019999999999953</v>
      </c>
      <c r="G190" s="8">
        <v>532</v>
      </c>
      <c r="H190" s="9">
        <f t="shared" si="24"/>
        <v>47.019999999999953</v>
      </c>
      <c r="J190" s="8">
        <v>532</v>
      </c>
      <c r="K190" s="9">
        <f t="shared" si="25"/>
        <v>59.019999999999953</v>
      </c>
    </row>
    <row r="191" spans="2:11">
      <c r="B191" s="8">
        <v>533</v>
      </c>
      <c r="C191" s="9">
        <f t="shared" si="21"/>
        <v>48.470000000000283</v>
      </c>
      <c r="D191" s="9">
        <f t="shared" si="22"/>
        <v>47.129999999999953</v>
      </c>
      <c r="E191" s="9">
        <f t="shared" si="23"/>
        <v>59.129999999999953</v>
      </c>
      <c r="G191" s="8">
        <v>533</v>
      </c>
      <c r="H191" s="9">
        <f t="shared" si="24"/>
        <v>47.129999999999953</v>
      </c>
      <c r="J191" s="8">
        <v>533</v>
      </c>
      <c r="K191" s="9">
        <f t="shared" si="25"/>
        <v>59.129999999999953</v>
      </c>
    </row>
    <row r="192" spans="2:11">
      <c r="B192" s="8">
        <v>534</v>
      </c>
      <c r="C192" s="9">
        <f t="shared" si="21"/>
        <v>48.560000000000286</v>
      </c>
      <c r="D192" s="9">
        <f t="shared" si="22"/>
        <v>47.239999999999952</v>
      </c>
      <c r="E192" s="9">
        <f t="shared" si="23"/>
        <v>59.239999999999952</v>
      </c>
      <c r="G192" s="8">
        <v>534</v>
      </c>
      <c r="H192" s="9">
        <f t="shared" si="24"/>
        <v>47.239999999999952</v>
      </c>
      <c r="J192" s="8">
        <v>534</v>
      </c>
      <c r="K192" s="9">
        <f t="shared" si="25"/>
        <v>59.239999999999952</v>
      </c>
    </row>
    <row r="193" spans="2:11">
      <c r="B193" s="8">
        <v>535</v>
      </c>
      <c r="C193" s="9">
        <f t="shared" si="21"/>
        <v>48.65000000000029</v>
      </c>
      <c r="D193" s="9">
        <f t="shared" si="22"/>
        <v>47.349999999999952</v>
      </c>
      <c r="E193" s="9">
        <f t="shared" si="23"/>
        <v>59.349999999999952</v>
      </c>
      <c r="G193" s="8">
        <v>535</v>
      </c>
      <c r="H193" s="9">
        <f t="shared" si="24"/>
        <v>47.349999999999952</v>
      </c>
      <c r="J193" s="8">
        <v>535</v>
      </c>
      <c r="K193" s="9">
        <f t="shared" si="25"/>
        <v>59.349999999999952</v>
      </c>
    </row>
    <row r="194" spans="2:11">
      <c r="B194" s="8">
        <v>536</v>
      </c>
      <c r="C194" s="9">
        <f t="shared" si="21"/>
        <v>48.740000000000293</v>
      </c>
      <c r="D194" s="9">
        <f t="shared" si="22"/>
        <v>47.459999999999951</v>
      </c>
      <c r="E194" s="9">
        <f t="shared" si="23"/>
        <v>59.459999999999951</v>
      </c>
      <c r="G194" s="8">
        <v>536</v>
      </c>
      <c r="H194" s="9">
        <f t="shared" si="24"/>
        <v>47.459999999999951</v>
      </c>
      <c r="J194" s="8">
        <v>536</v>
      </c>
      <c r="K194" s="9">
        <f t="shared" si="25"/>
        <v>59.459999999999951</v>
      </c>
    </row>
    <row r="195" spans="2:11">
      <c r="B195" s="8">
        <v>537</v>
      </c>
      <c r="C195" s="9">
        <f t="shared" si="21"/>
        <v>48.830000000000297</v>
      </c>
      <c r="D195" s="9">
        <f t="shared" si="22"/>
        <v>47.569999999999951</v>
      </c>
      <c r="E195" s="9">
        <f t="shared" si="23"/>
        <v>59.569999999999951</v>
      </c>
      <c r="G195" s="8">
        <v>537</v>
      </c>
      <c r="H195" s="9">
        <f t="shared" si="24"/>
        <v>47.569999999999951</v>
      </c>
      <c r="J195" s="8">
        <v>537</v>
      </c>
      <c r="K195" s="9">
        <f t="shared" si="25"/>
        <v>59.569999999999951</v>
      </c>
    </row>
    <row r="196" spans="2:11">
      <c r="B196" s="8">
        <v>538</v>
      </c>
      <c r="C196" s="9">
        <f t="shared" si="21"/>
        <v>48.9200000000003</v>
      </c>
      <c r="D196" s="9">
        <f t="shared" si="22"/>
        <v>47.67999999999995</v>
      </c>
      <c r="E196" s="9">
        <f t="shared" si="23"/>
        <v>59.67999999999995</v>
      </c>
      <c r="G196" s="8">
        <v>538</v>
      </c>
      <c r="H196" s="9">
        <f t="shared" si="24"/>
        <v>47.67999999999995</v>
      </c>
      <c r="J196" s="8">
        <v>538</v>
      </c>
      <c r="K196" s="9">
        <f t="shared" si="25"/>
        <v>59.67999999999995</v>
      </c>
    </row>
    <row r="197" spans="2:11">
      <c r="B197" s="8">
        <v>539</v>
      </c>
      <c r="C197" s="9">
        <f t="shared" si="21"/>
        <v>49.010000000000304</v>
      </c>
      <c r="D197" s="9">
        <f t="shared" si="22"/>
        <v>47.789999999999949</v>
      </c>
      <c r="E197" s="9">
        <f t="shared" si="23"/>
        <v>59.789999999999949</v>
      </c>
      <c r="G197" s="8">
        <v>539</v>
      </c>
      <c r="H197" s="9">
        <f t="shared" si="24"/>
        <v>47.789999999999949</v>
      </c>
      <c r="J197" s="8">
        <v>539</v>
      </c>
      <c r="K197" s="9">
        <f t="shared" si="25"/>
        <v>59.789999999999949</v>
      </c>
    </row>
    <row r="198" spans="2:11">
      <c r="B198" s="8">
        <v>540</v>
      </c>
      <c r="C198" s="9">
        <f t="shared" si="21"/>
        <v>49.100000000000307</v>
      </c>
      <c r="D198" s="9">
        <f t="shared" si="22"/>
        <v>47.899999999999949</v>
      </c>
      <c r="E198" s="9">
        <f t="shared" si="23"/>
        <v>59.899999999999949</v>
      </c>
      <c r="G198" s="8">
        <v>540</v>
      </c>
      <c r="H198" s="9">
        <f t="shared" si="24"/>
        <v>47.899999999999949</v>
      </c>
      <c r="J198" s="8">
        <v>540</v>
      </c>
      <c r="K198" s="9">
        <f t="shared" si="25"/>
        <v>59.899999999999949</v>
      </c>
    </row>
    <row r="199" spans="2:11">
      <c r="B199" s="8">
        <v>541</v>
      </c>
      <c r="C199" s="9">
        <f t="shared" si="21"/>
        <v>49.19000000000031</v>
      </c>
      <c r="D199" s="9">
        <f t="shared" si="22"/>
        <v>48.009999999999948</v>
      </c>
      <c r="E199" s="9">
        <f t="shared" si="23"/>
        <v>60.009999999999948</v>
      </c>
      <c r="G199" s="8">
        <v>541</v>
      </c>
      <c r="H199" s="9">
        <f t="shared" si="24"/>
        <v>48.009999999999948</v>
      </c>
      <c r="J199" s="8">
        <v>541</v>
      </c>
      <c r="K199" s="9">
        <f t="shared" si="25"/>
        <v>60.009999999999948</v>
      </c>
    </row>
    <row r="200" spans="2:11">
      <c r="B200" s="8">
        <v>542</v>
      </c>
      <c r="C200" s="9">
        <f t="shared" si="21"/>
        <v>49.280000000000314</v>
      </c>
      <c r="D200" s="9">
        <f t="shared" si="22"/>
        <v>48.119999999999948</v>
      </c>
      <c r="E200" s="9">
        <f t="shared" si="23"/>
        <v>60.119999999999948</v>
      </c>
      <c r="G200" s="8">
        <v>542</v>
      </c>
      <c r="H200" s="9">
        <f t="shared" si="24"/>
        <v>48.119999999999948</v>
      </c>
      <c r="J200" s="8">
        <v>542</v>
      </c>
      <c r="K200" s="9">
        <f t="shared" si="25"/>
        <v>60.119999999999948</v>
      </c>
    </row>
    <row r="201" spans="2:11">
      <c r="B201" s="8">
        <v>543</v>
      </c>
      <c r="C201" s="9">
        <f t="shared" si="21"/>
        <v>49.370000000000317</v>
      </c>
      <c r="D201" s="9">
        <f t="shared" si="22"/>
        <v>48.229999999999947</v>
      </c>
      <c r="E201" s="9">
        <f t="shared" si="23"/>
        <v>60.229999999999947</v>
      </c>
      <c r="G201" s="8">
        <v>543</v>
      </c>
      <c r="H201" s="9">
        <f t="shared" si="24"/>
        <v>48.229999999999947</v>
      </c>
      <c r="J201" s="8">
        <v>543</v>
      </c>
      <c r="K201" s="9">
        <f t="shared" si="25"/>
        <v>60.229999999999947</v>
      </c>
    </row>
    <row r="202" spans="2:11">
      <c r="B202" s="8">
        <v>544</v>
      </c>
      <c r="C202" s="9">
        <f t="shared" si="21"/>
        <v>49.460000000000321</v>
      </c>
      <c r="D202" s="9">
        <f t="shared" si="22"/>
        <v>48.339999999999947</v>
      </c>
      <c r="E202" s="9">
        <f t="shared" si="23"/>
        <v>60.339999999999947</v>
      </c>
      <c r="G202" s="8">
        <v>544</v>
      </c>
      <c r="H202" s="9">
        <f t="shared" si="24"/>
        <v>48.339999999999947</v>
      </c>
      <c r="J202" s="8">
        <v>544</v>
      </c>
      <c r="K202" s="9">
        <f t="shared" si="25"/>
        <v>60.339999999999947</v>
      </c>
    </row>
    <row r="203" spans="2:11">
      <c r="B203" s="8">
        <v>545</v>
      </c>
      <c r="C203" s="9">
        <f t="shared" si="21"/>
        <v>49.550000000000324</v>
      </c>
      <c r="D203" s="9">
        <f t="shared" si="22"/>
        <v>48.449999999999946</v>
      </c>
      <c r="E203" s="9">
        <f t="shared" si="23"/>
        <v>60.449999999999946</v>
      </c>
      <c r="G203" s="8">
        <v>545</v>
      </c>
      <c r="H203" s="9">
        <f t="shared" si="24"/>
        <v>48.449999999999946</v>
      </c>
      <c r="J203" s="8">
        <v>545</v>
      </c>
      <c r="K203" s="9">
        <f t="shared" si="25"/>
        <v>60.449999999999946</v>
      </c>
    </row>
    <row r="204" spans="2:11">
      <c r="B204" s="8">
        <v>546</v>
      </c>
      <c r="C204" s="9">
        <f t="shared" si="21"/>
        <v>49.640000000000327</v>
      </c>
      <c r="D204" s="9">
        <f t="shared" si="22"/>
        <v>48.559999999999945</v>
      </c>
      <c r="E204" s="9">
        <f t="shared" si="23"/>
        <v>60.559999999999945</v>
      </c>
      <c r="G204" s="8">
        <v>546</v>
      </c>
      <c r="H204" s="9">
        <f t="shared" si="24"/>
        <v>48.559999999999945</v>
      </c>
      <c r="J204" s="8">
        <v>546</v>
      </c>
      <c r="K204" s="9">
        <f t="shared" si="25"/>
        <v>60.559999999999945</v>
      </c>
    </row>
    <row r="205" spans="2:11">
      <c r="B205" s="8">
        <v>547</v>
      </c>
      <c r="C205" s="9">
        <f t="shared" si="21"/>
        <v>49.730000000000331</v>
      </c>
      <c r="D205" s="9">
        <f t="shared" si="22"/>
        <v>48.669999999999945</v>
      </c>
      <c r="E205" s="9">
        <f t="shared" si="23"/>
        <v>60.669999999999945</v>
      </c>
      <c r="G205" s="8">
        <v>547</v>
      </c>
      <c r="H205" s="9">
        <f t="shared" si="24"/>
        <v>48.669999999999945</v>
      </c>
      <c r="J205" s="8">
        <v>547</v>
      </c>
      <c r="K205" s="9">
        <f t="shared" si="25"/>
        <v>60.669999999999945</v>
      </c>
    </row>
    <row r="206" spans="2:11">
      <c r="B206" s="8">
        <v>548</v>
      </c>
      <c r="C206" s="9">
        <f t="shared" si="21"/>
        <v>49.820000000000334</v>
      </c>
      <c r="D206" s="9">
        <f t="shared" si="22"/>
        <v>48.779999999999944</v>
      </c>
      <c r="E206" s="9">
        <f t="shared" si="23"/>
        <v>60.779999999999944</v>
      </c>
      <c r="G206" s="8">
        <v>548</v>
      </c>
      <c r="H206" s="9">
        <f t="shared" si="24"/>
        <v>48.779999999999944</v>
      </c>
      <c r="J206" s="8">
        <v>548</v>
      </c>
      <c r="K206" s="9">
        <f t="shared" si="25"/>
        <v>60.779999999999944</v>
      </c>
    </row>
    <row r="207" spans="2:11">
      <c r="B207" s="8">
        <v>549</v>
      </c>
      <c r="C207" s="9">
        <f t="shared" si="21"/>
        <v>49.910000000000338</v>
      </c>
      <c r="D207" s="9">
        <f t="shared" si="22"/>
        <v>48.889999999999944</v>
      </c>
      <c r="E207" s="9">
        <f t="shared" si="23"/>
        <v>60.889999999999944</v>
      </c>
      <c r="G207" s="8">
        <v>549</v>
      </c>
      <c r="H207" s="9">
        <f t="shared" si="24"/>
        <v>48.889999999999944</v>
      </c>
      <c r="J207" s="8">
        <v>549</v>
      </c>
      <c r="K207" s="9">
        <f t="shared" si="25"/>
        <v>60.889999999999944</v>
      </c>
    </row>
    <row r="208" spans="2:11">
      <c r="B208" s="6">
        <v>550</v>
      </c>
      <c r="C208" s="7">
        <f>+C5</f>
        <v>50</v>
      </c>
      <c r="D208" s="7">
        <f>+D5</f>
        <v>49</v>
      </c>
      <c r="E208" s="7">
        <f>+E5</f>
        <v>61</v>
      </c>
      <c r="G208" s="6">
        <v>550</v>
      </c>
      <c r="H208" s="7">
        <f>+D208</f>
        <v>49</v>
      </c>
      <c r="J208" s="6">
        <v>550</v>
      </c>
      <c r="K208" s="7">
        <f>+E208</f>
        <v>61</v>
      </c>
    </row>
  </sheetData>
  <sheetProtection password="C9F1" sheet="1" objects="1" scenarios="1"/>
  <mergeCells count="1">
    <mergeCell ref="B1:K1"/>
  </mergeCells>
  <phoneticPr fontId="0" type="noConversion"/>
  <pageMargins left="0.75" right="0.75" top="1" bottom="1" header="0.5" footer="0.5"/>
  <pageSetup paperSize="9" scale="88" fitToHeight="4" orientation="portrait" r:id="rId1"/>
  <headerFooter alignWithMargins="0"/>
</worksheet>
</file>

<file path=xl/worksheets/sheet5.xml><?xml version="1.0" encoding="utf-8"?>
<worksheet xmlns="http://schemas.openxmlformats.org/spreadsheetml/2006/main" xmlns:r="http://schemas.openxmlformats.org/officeDocument/2006/relationships">
  <sheetPr codeName="Sheet2">
    <pageSetUpPr autoPageBreaks="0" fitToPage="1"/>
  </sheetPr>
  <dimension ref="A1:AE925"/>
  <sheetViews>
    <sheetView showGridLines="0" showRowColHeaders="0" workbookViewId="0">
      <selection activeCell="H29" sqref="H29"/>
    </sheetView>
  </sheetViews>
  <sheetFormatPr defaultRowHeight="12.75"/>
  <cols>
    <col min="1" max="1" width="10.7109375" style="20" customWidth="1"/>
    <col min="2" max="7" width="11.7109375" style="18" customWidth="1"/>
    <col min="8" max="9" width="12.7109375" style="18" customWidth="1"/>
    <col min="10" max="10" width="11.7109375" style="18" customWidth="1"/>
    <col min="11" max="11" width="11.7109375" customWidth="1"/>
    <col min="12" max="12" width="10.7109375" customWidth="1"/>
    <col min="13" max="13" width="13" customWidth="1"/>
    <col min="14" max="15" width="10.7109375" customWidth="1"/>
    <col min="16" max="16" width="12" customWidth="1"/>
    <col min="17" max="19" width="10.7109375" customWidth="1"/>
    <col min="20" max="36" width="10.28515625" customWidth="1"/>
    <col min="37" max="92" width="10.7109375" customWidth="1"/>
  </cols>
  <sheetData>
    <row r="1" spans="1:17" ht="6" customHeight="1" thickBot="1">
      <c r="A1" s="115"/>
      <c r="B1" s="271"/>
      <c r="C1" s="271"/>
      <c r="D1" s="271"/>
      <c r="E1" s="271"/>
      <c r="F1" s="271"/>
      <c r="G1" s="271"/>
      <c r="H1" s="271"/>
      <c r="I1" s="271"/>
      <c r="J1" s="271"/>
      <c r="K1" s="114"/>
      <c r="L1" s="114"/>
      <c r="M1" s="114"/>
      <c r="N1" s="114"/>
      <c r="O1" s="114"/>
      <c r="P1" s="114"/>
      <c r="Q1" s="114"/>
    </row>
    <row r="2" spans="1:17" ht="12.75" customHeight="1" thickTop="1">
      <c r="A2" s="272"/>
      <c r="B2" s="753" t="s">
        <v>661</v>
      </c>
      <c r="C2" s="754"/>
      <c r="D2" s="754"/>
      <c r="E2" s="754"/>
      <c r="F2" s="754"/>
      <c r="G2" s="754"/>
      <c r="H2" s="754"/>
      <c r="I2" s="754"/>
      <c r="J2" s="754"/>
      <c r="K2" s="755"/>
      <c r="L2" s="114"/>
      <c r="M2" s="114"/>
      <c r="N2" s="114"/>
      <c r="O2" s="114"/>
      <c r="P2" s="114"/>
      <c r="Q2" s="114"/>
    </row>
    <row r="3" spans="1:17" ht="12.75" customHeight="1" thickBot="1">
      <c r="A3" s="272"/>
      <c r="B3" s="756"/>
      <c r="C3" s="757"/>
      <c r="D3" s="757"/>
      <c r="E3" s="757"/>
      <c r="F3" s="757"/>
      <c r="G3" s="757"/>
      <c r="H3" s="757"/>
      <c r="I3" s="757"/>
      <c r="J3" s="757"/>
      <c r="K3" s="758"/>
      <c r="L3" s="114"/>
      <c r="M3" s="114"/>
      <c r="N3" s="114"/>
      <c r="O3" s="114"/>
      <c r="P3" s="114"/>
      <c r="Q3" s="114"/>
    </row>
    <row r="4" spans="1:17" ht="12.75" customHeight="1" thickTop="1">
      <c r="A4" s="272"/>
      <c r="B4" s="271"/>
      <c r="C4" s="271"/>
      <c r="D4" s="271"/>
      <c r="E4" s="271"/>
      <c r="F4" s="271"/>
      <c r="G4" s="271"/>
      <c r="H4" s="271"/>
      <c r="I4" s="271"/>
      <c r="J4" s="271"/>
      <c r="K4" s="114"/>
      <c r="L4" s="114"/>
      <c r="M4" s="114"/>
      <c r="N4" s="114"/>
      <c r="O4" s="114"/>
      <c r="P4" s="114"/>
      <c r="Q4" s="114"/>
    </row>
    <row r="5" spans="1:17" ht="12.75" customHeight="1">
      <c r="A5" s="720">
        <v>1</v>
      </c>
      <c r="B5" s="828" t="s">
        <v>581</v>
      </c>
      <c r="C5" s="829"/>
      <c r="D5" s="830"/>
      <c r="E5" s="460">
        <v>450</v>
      </c>
      <c r="F5" s="461">
        <f>+E5</f>
        <v>450</v>
      </c>
      <c r="G5" s="271"/>
      <c r="H5" s="271"/>
      <c r="I5" s="271"/>
      <c r="J5" s="271"/>
      <c r="K5" s="114"/>
      <c r="L5" s="114"/>
      <c r="M5" s="114"/>
      <c r="N5" s="114"/>
      <c r="O5" s="114"/>
      <c r="P5" s="114"/>
      <c r="Q5" s="114"/>
    </row>
    <row r="6" spans="1:17" ht="12.75" customHeight="1" thickBot="1">
      <c r="A6" s="720"/>
      <c r="B6" s="271"/>
      <c r="C6" s="271"/>
      <c r="D6" s="271"/>
      <c r="E6" s="271"/>
      <c r="F6" s="271"/>
      <c r="G6" s="271"/>
      <c r="H6" s="271"/>
      <c r="I6" s="271"/>
      <c r="J6" s="271"/>
      <c r="K6" s="114"/>
      <c r="L6" s="114"/>
      <c r="M6" s="114"/>
      <c r="N6" s="114"/>
      <c r="O6" s="114"/>
      <c r="P6" s="114"/>
      <c r="Q6" s="114"/>
    </row>
    <row r="7" spans="1:17" ht="12.75" customHeight="1" thickTop="1">
      <c r="A7" s="721">
        <v>2</v>
      </c>
      <c r="B7" s="785" t="s">
        <v>586</v>
      </c>
      <c r="C7" s="786"/>
      <c r="D7" s="786"/>
      <c r="E7" s="786"/>
      <c r="F7" s="787"/>
      <c r="G7" s="274">
        <v>4</v>
      </c>
      <c r="H7" s="803" t="s">
        <v>521</v>
      </c>
      <c r="I7" s="804"/>
      <c r="J7" s="804"/>
      <c r="K7" s="805"/>
      <c r="L7" s="114"/>
      <c r="M7" s="114"/>
      <c r="N7" s="114"/>
      <c r="O7" s="114"/>
      <c r="P7" s="114"/>
      <c r="Q7" s="114"/>
    </row>
    <row r="8" spans="1:17" ht="12.75" customHeight="1">
      <c r="A8" s="720"/>
      <c r="B8" s="793" t="s">
        <v>25</v>
      </c>
      <c r="C8" s="794"/>
      <c r="D8" s="794"/>
      <c r="E8" s="794"/>
      <c r="F8" s="286">
        <v>23</v>
      </c>
      <c r="G8" s="272" t="str">
        <f>IF(F8&gt;31,"Max = 31"," ")</f>
        <v xml:space="preserve"> </v>
      </c>
      <c r="H8" s="791" t="s">
        <v>518</v>
      </c>
      <c r="I8" s="792"/>
      <c r="J8" s="792"/>
      <c r="K8" s="287"/>
      <c r="L8" s="114"/>
      <c r="M8" s="114"/>
      <c r="N8" s="114"/>
      <c r="O8" s="114"/>
      <c r="P8" s="114"/>
      <c r="Q8" s="114"/>
    </row>
    <row r="9" spans="1:17" ht="12.75" customHeight="1">
      <c r="A9" s="720"/>
      <c r="B9" s="793" t="s">
        <v>158</v>
      </c>
      <c r="C9" s="794"/>
      <c r="D9" s="794"/>
      <c r="E9" s="794"/>
      <c r="F9" s="286">
        <v>23</v>
      </c>
      <c r="G9" s="272" t="str">
        <f>IF(F9&gt;31,"Max = 31"," ")</f>
        <v xml:space="preserve"> </v>
      </c>
      <c r="H9" s="727" t="s">
        <v>574</v>
      </c>
      <c r="I9" s="728"/>
      <c r="J9" s="731">
        <v>408</v>
      </c>
      <c r="K9" s="288">
        <f>J9/100</f>
        <v>4.08</v>
      </c>
      <c r="L9" s="114"/>
      <c r="M9" s="114"/>
      <c r="N9" s="114"/>
      <c r="O9" s="114"/>
      <c r="P9" s="114"/>
      <c r="Q9" s="114"/>
    </row>
    <row r="10" spans="1:17" ht="12.75" customHeight="1">
      <c r="A10" s="720"/>
      <c r="B10" s="822" t="s">
        <v>26</v>
      </c>
      <c r="C10" s="823"/>
      <c r="D10" s="823"/>
      <c r="E10" s="833"/>
      <c r="F10" s="286">
        <v>6</v>
      </c>
      <c r="G10" s="271"/>
      <c r="H10" s="727" t="s">
        <v>519</v>
      </c>
      <c r="I10" s="728"/>
      <c r="J10" s="731">
        <v>300</v>
      </c>
      <c r="K10" s="287">
        <f>J10/10</f>
        <v>30</v>
      </c>
      <c r="L10" s="114"/>
      <c r="M10" s="114"/>
      <c r="N10" s="114"/>
      <c r="O10" s="114"/>
      <c r="P10" s="114"/>
      <c r="Q10" s="114"/>
    </row>
    <row r="11" spans="1:17" ht="12.75" customHeight="1">
      <c r="A11" s="720"/>
      <c r="B11" s="793" t="s">
        <v>27</v>
      </c>
      <c r="C11" s="794"/>
      <c r="D11" s="794"/>
      <c r="E11" s="794"/>
      <c r="F11" s="286">
        <v>52</v>
      </c>
      <c r="G11" s="271"/>
      <c r="H11" s="727" t="s">
        <v>520</v>
      </c>
      <c r="I11" s="728"/>
      <c r="J11" s="731">
        <v>10</v>
      </c>
      <c r="K11" s="288">
        <f>J11/10</f>
        <v>1</v>
      </c>
      <c r="L11" s="114"/>
      <c r="M11" s="114"/>
      <c r="N11" s="114"/>
      <c r="O11" s="114"/>
      <c r="P11" s="114"/>
      <c r="Q11" s="114"/>
    </row>
    <row r="12" spans="1:17" ht="12.75" customHeight="1" thickBot="1">
      <c r="A12" s="720"/>
      <c r="B12" s="793" t="s">
        <v>28</v>
      </c>
      <c r="C12" s="794"/>
      <c r="D12" s="794"/>
      <c r="E12" s="794"/>
      <c r="F12" s="286">
        <v>260</v>
      </c>
      <c r="G12" s="271"/>
      <c r="H12" s="729" t="s">
        <v>522</v>
      </c>
      <c r="I12" s="730"/>
      <c r="J12" s="731">
        <v>12</v>
      </c>
      <c r="K12" s="289">
        <f>J12/10</f>
        <v>1.2</v>
      </c>
      <c r="L12" s="114"/>
      <c r="M12" s="114"/>
      <c r="N12" s="114"/>
      <c r="O12" s="114"/>
      <c r="P12" s="114"/>
      <c r="Q12" s="114"/>
    </row>
    <row r="13" spans="1:17" ht="12.75" customHeight="1" thickTop="1">
      <c r="A13" s="720"/>
      <c r="B13" s="793" t="s">
        <v>29</v>
      </c>
      <c r="C13" s="794"/>
      <c r="D13" s="794"/>
      <c r="E13" s="794"/>
      <c r="F13" s="286">
        <v>30</v>
      </c>
      <c r="G13" s="271"/>
      <c r="H13" s="114"/>
      <c r="I13" s="114"/>
      <c r="J13" s="114"/>
      <c r="K13" s="114"/>
      <c r="L13" s="114"/>
      <c r="M13" s="114"/>
      <c r="N13" s="114"/>
      <c r="O13" s="114"/>
      <c r="P13" s="114"/>
      <c r="Q13" s="114"/>
    </row>
    <row r="14" spans="1:17" ht="12.75" customHeight="1" thickBot="1">
      <c r="A14" s="720"/>
      <c r="B14" s="831" t="s">
        <v>30</v>
      </c>
      <c r="C14" s="832"/>
      <c r="D14" s="832"/>
      <c r="E14" s="832"/>
      <c r="F14" s="275">
        <f>F12-F13</f>
        <v>230</v>
      </c>
      <c r="G14" s="271"/>
      <c r="H14" s="114"/>
      <c r="I14" s="114"/>
      <c r="J14" s="114"/>
      <c r="K14" s="114"/>
      <c r="L14" s="114"/>
      <c r="M14" s="114"/>
      <c r="N14" s="114"/>
      <c r="O14" s="114"/>
      <c r="P14" s="114"/>
      <c r="Q14" s="114"/>
    </row>
    <row r="15" spans="1:17" ht="12.75" customHeight="1" thickTop="1" thickBot="1">
      <c r="A15" s="720"/>
      <c r="B15" s="271"/>
      <c r="C15" s="271"/>
      <c r="D15" s="271"/>
      <c r="E15" s="271"/>
      <c r="F15" s="271"/>
      <c r="G15" s="271"/>
      <c r="H15" s="271"/>
      <c r="I15" s="271"/>
      <c r="J15" s="271"/>
      <c r="K15" s="114"/>
      <c r="L15" s="114"/>
      <c r="M15" s="114"/>
      <c r="N15" s="114"/>
      <c r="O15" s="114"/>
      <c r="P15" s="114"/>
      <c r="Q15" s="114"/>
    </row>
    <row r="16" spans="1:17" ht="12.75" customHeight="1" thickTop="1" thickBot="1">
      <c r="A16" s="720">
        <v>3</v>
      </c>
      <c r="B16" s="788" t="s">
        <v>19</v>
      </c>
      <c r="C16" s="789"/>
      <c r="D16" s="789"/>
      <c r="E16" s="789"/>
      <c r="F16" s="790"/>
      <c r="G16" s="271"/>
      <c r="H16" s="271"/>
      <c r="I16" s="271"/>
      <c r="J16" s="271"/>
      <c r="K16" s="114"/>
      <c r="L16" s="114"/>
      <c r="M16" s="114"/>
      <c r="N16" s="114"/>
      <c r="O16" s="114"/>
      <c r="P16" s="114"/>
      <c r="Q16" s="114"/>
    </row>
    <row r="17" spans="1:20" ht="12.75" customHeight="1" thickTop="1">
      <c r="A17" s="720"/>
      <c r="B17" s="725" t="s">
        <v>314</v>
      </c>
      <c r="C17" s="726"/>
      <c r="D17" s="726"/>
      <c r="E17" s="724"/>
      <c r="F17" s="286">
        <v>160</v>
      </c>
      <c r="G17" s="274">
        <v>5</v>
      </c>
      <c r="H17" s="803" t="s">
        <v>523</v>
      </c>
      <c r="I17" s="804"/>
      <c r="J17" s="279" t="s">
        <v>524</v>
      </c>
      <c r="K17" s="280" t="s">
        <v>525</v>
      </c>
      <c r="L17" s="114"/>
      <c r="M17" s="114"/>
      <c r="N17" s="114"/>
      <c r="O17" s="114"/>
      <c r="P17" s="114"/>
      <c r="Q17" s="114"/>
    </row>
    <row r="18" spans="1:20" ht="12.75" customHeight="1">
      <c r="A18" s="115"/>
      <c r="B18" s="725" t="s">
        <v>31</v>
      </c>
      <c r="C18" s="726"/>
      <c r="D18" s="726"/>
      <c r="E18" s="724">
        <v>12</v>
      </c>
      <c r="F18" s="286">
        <f>E18/10</f>
        <v>1.2</v>
      </c>
      <c r="G18" s="271"/>
      <c r="H18" s="801" t="s">
        <v>526</v>
      </c>
      <c r="I18" s="802"/>
      <c r="J18" s="281">
        <f>K10*K12</f>
        <v>36</v>
      </c>
      <c r="K18" s="282">
        <f>J18*K9*K11</f>
        <v>146.88</v>
      </c>
      <c r="L18" s="114"/>
      <c r="M18" s="114"/>
      <c r="N18" s="114"/>
      <c r="O18" s="114"/>
      <c r="P18" s="114"/>
      <c r="Q18" s="114"/>
    </row>
    <row r="19" spans="1:20" ht="12.75" customHeight="1">
      <c r="A19" s="115"/>
      <c r="B19" s="822" t="s">
        <v>453</v>
      </c>
      <c r="C19" s="823"/>
      <c r="D19" s="823"/>
      <c r="E19" s="724">
        <v>10</v>
      </c>
      <c r="F19" s="286">
        <v>4</v>
      </c>
      <c r="G19" s="271"/>
      <c r="H19" s="801" t="s">
        <v>306</v>
      </c>
      <c r="I19" s="802"/>
      <c r="J19" s="283">
        <f>J18*F20</f>
        <v>1440</v>
      </c>
      <c r="K19" s="284">
        <f>K18*F20</f>
        <v>5875.2</v>
      </c>
      <c r="L19" s="114"/>
      <c r="M19" s="114"/>
      <c r="N19" s="114"/>
      <c r="O19" s="114"/>
      <c r="P19" s="114"/>
      <c r="Q19" s="114"/>
    </row>
    <row r="20" spans="1:20" ht="12.75" customHeight="1">
      <c r="A20" s="115"/>
      <c r="B20" s="822" t="s">
        <v>20</v>
      </c>
      <c r="C20" s="823"/>
      <c r="D20" s="823"/>
      <c r="E20" s="724"/>
      <c r="F20" s="286">
        <v>40</v>
      </c>
      <c r="G20" s="271"/>
      <c r="H20" s="801" t="s">
        <v>307</v>
      </c>
      <c r="I20" s="802"/>
      <c r="J20" s="283">
        <f>J19*F9</f>
        <v>33120</v>
      </c>
      <c r="K20" s="284">
        <f>K19*F9</f>
        <v>135129.60000000001</v>
      </c>
      <c r="L20" s="114"/>
      <c r="M20" s="114"/>
      <c r="N20" s="114"/>
      <c r="O20" s="114"/>
      <c r="P20" s="114"/>
      <c r="Q20" s="114"/>
    </row>
    <row r="21" spans="1:20" ht="12.75" customHeight="1" thickBot="1">
      <c r="A21" s="115"/>
      <c r="B21" s="793" t="s">
        <v>310</v>
      </c>
      <c r="C21" s="794"/>
      <c r="D21" s="794"/>
      <c r="E21" s="794"/>
      <c r="F21" s="276">
        <f>F19*F20</f>
        <v>160</v>
      </c>
      <c r="G21" s="271"/>
      <c r="H21" s="826" t="s">
        <v>104</v>
      </c>
      <c r="I21" s="827"/>
      <c r="J21" s="285">
        <f>J20*12</f>
        <v>397440</v>
      </c>
      <c r="K21" s="278">
        <f>K20*12</f>
        <v>1621555.2000000002</v>
      </c>
      <c r="L21" s="114"/>
      <c r="M21" s="114"/>
      <c r="N21" s="114"/>
      <c r="O21" s="114"/>
      <c r="P21" s="114"/>
      <c r="Q21" s="114"/>
    </row>
    <row r="22" spans="1:20" ht="12.75" customHeight="1" thickTop="1">
      <c r="A22" s="115"/>
      <c r="B22" s="793" t="s">
        <v>315</v>
      </c>
      <c r="C22" s="794"/>
      <c r="D22" s="794"/>
      <c r="E22" s="794"/>
      <c r="F22" s="277">
        <f>F17*F20</f>
        <v>6400</v>
      </c>
      <c r="G22" s="271"/>
      <c r="H22" s="271"/>
      <c r="I22" s="271"/>
      <c r="J22" s="271"/>
      <c r="K22" s="114"/>
      <c r="L22" s="114"/>
      <c r="M22" s="114"/>
      <c r="N22" s="114"/>
      <c r="O22" s="114"/>
      <c r="P22" s="114"/>
      <c r="Q22" s="114"/>
    </row>
    <row r="23" spans="1:20" ht="12.75" customHeight="1">
      <c r="A23" s="115"/>
      <c r="B23" s="793" t="s">
        <v>187</v>
      </c>
      <c r="C23" s="794"/>
      <c r="D23" s="794"/>
      <c r="E23" s="794"/>
      <c r="F23" s="277">
        <f>F22*F18</f>
        <v>7680</v>
      </c>
      <c r="G23" s="271"/>
      <c r="H23" s="271"/>
      <c r="I23" s="271"/>
      <c r="J23" s="271"/>
      <c r="K23" s="114"/>
      <c r="L23" s="114"/>
      <c r="M23" s="114"/>
      <c r="N23" s="114"/>
      <c r="O23" s="114"/>
      <c r="P23" s="114"/>
      <c r="Q23" s="114"/>
    </row>
    <row r="24" spans="1:20" ht="12.75" customHeight="1" thickBot="1">
      <c r="A24" s="115"/>
      <c r="B24" s="831" t="s">
        <v>200</v>
      </c>
      <c r="C24" s="832"/>
      <c r="D24" s="832"/>
      <c r="E24" s="832"/>
      <c r="F24" s="278">
        <f>F23*F9</f>
        <v>176640</v>
      </c>
      <c r="G24" s="271"/>
      <c r="H24" s="271"/>
      <c r="I24" s="271"/>
      <c r="J24" s="271"/>
      <c r="K24" s="114"/>
      <c r="L24" s="114"/>
      <c r="M24" s="114"/>
      <c r="N24" s="114"/>
      <c r="O24" s="114"/>
      <c r="P24" s="114"/>
      <c r="Q24" s="114"/>
    </row>
    <row r="25" spans="1:20" ht="12.75" customHeight="1" thickTop="1">
      <c r="A25" s="115"/>
      <c r="B25" s="271"/>
      <c r="C25" s="271"/>
      <c r="D25" s="271"/>
      <c r="E25" s="271"/>
      <c r="F25" s="271"/>
      <c r="G25" s="271"/>
      <c r="H25" s="271"/>
      <c r="I25" s="271"/>
      <c r="J25" s="271"/>
      <c r="K25" s="114"/>
      <c r="L25" s="114"/>
      <c r="M25" s="114"/>
      <c r="N25" s="114"/>
      <c r="O25" s="114"/>
      <c r="P25" s="114"/>
      <c r="Q25" s="114"/>
      <c r="R25" s="10"/>
      <c r="S25" s="10"/>
      <c r="T25" s="10"/>
    </row>
    <row r="26" spans="1:20" ht="12.75" customHeight="1">
      <c r="A26" s="114"/>
      <c r="B26" s="114"/>
      <c r="C26" s="114"/>
      <c r="D26" s="114"/>
      <c r="E26" s="114"/>
      <c r="F26" s="114"/>
      <c r="G26" s="114"/>
      <c r="H26" s="114"/>
      <c r="I26" s="114"/>
      <c r="J26" s="114"/>
      <c r="K26" s="114"/>
      <c r="L26" s="114"/>
      <c r="M26" s="114"/>
      <c r="N26" s="114"/>
      <c r="O26" s="114"/>
      <c r="P26" s="114"/>
      <c r="Q26" s="114"/>
      <c r="R26" s="10"/>
      <c r="S26" s="10"/>
      <c r="T26" s="10"/>
    </row>
    <row r="27" spans="1:20" ht="12.75" customHeight="1">
      <c r="A27" s="114"/>
      <c r="B27" s="114"/>
      <c r="C27" s="114"/>
      <c r="D27" s="114"/>
      <c r="E27" s="114"/>
      <c r="F27" s="114"/>
      <c r="G27" s="114"/>
      <c r="H27" s="114"/>
      <c r="I27" s="114"/>
      <c r="J27" s="114"/>
      <c r="K27" s="114"/>
      <c r="L27" s="114"/>
      <c r="M27" s="114"/>
      <c r="N27" s="114"/>
      <c r="O27" s="114"/>
      <c r="P27" s="114"/>
      <c r="Q27" s="114"/>
      <c r="R27" s="10"/>
      <c r="S27" s="10"/>
      <c r="T27" s="10"/>
    </row>
    <row r="28" spans="1:20" ht="12.75" customHeight="1">
      <c r="A28" s="114"/>
      <c r="B28" s="114"/>
      <c r="C28" s="114"/>
      <c r="D28" s="114"/>
      <c r="E28" s="114"/>
      <c r="F28" s="114"/>
      <c r="G28" s="114"/>
      <c r="H28" s="114"/>
      <c r="I28" s="114"/>
      <c r="J28" s="114"/>
      <c r="K28" s="114"/>
      <c r="L28" s="114"/>
      <c r="M28" s="114"/>
      <c r="N28" s="114"/>
      <c r="O28" s="114"/>
      <c r="P28" s="114"/>
      <c r="Q28" s="114"/>
      <c r="R28" s="10"/>
      <c r="S28" s="10"/>
      <c r="T28" s="10"/>
    </row>
    <row r="29" spans="1:20" ht="12.75" customHeight="1">
      <c r="A29" s="114"/>
      <c r="B29" s="114"/>
      <c r="C29" s="114"/>
      <c r="D29" s="114"/>
      <c r="E29" s="114"/>
      <c r="F29" s="114"/>
      <c r="G29" s="114"/>
      <c r="H29" s="114"/>
      <c r="I29" s="114"/>
      <c r="J29" s="114"/>
      <c r="K29" s="114"/>
      <c r="L29" s="114"/>
      <c r="M29" s="114"/>
      <c r="N29" s="114"/>
      <c r="O29" s="114"/>
      <c r="P29" s="114"/>
      <c r="Q29" s="114"/>
    </row>
    <row r="30" spans="1:20" ht="12.75" customHeight="1">
      <c r="A30" s="114"/>
      <c r="B30" s="114"/>
      <c r="C30" s="114"/>
      <c r="D30" s="114"/>
      <c r="E30" s="114"/>
      <c r="F30" s="114"/>
      <c r="G30" s="114"/>
      <c r="H30" s="114"/>
      <c r="I30" s="114"/>
      <c r="J30" s="114"/>
      <c r="K30" s="114"/>
      <c r="L30" s="114"/>
      <c r="M30" s="114"/>
      <c r="N30" s="114"/>
      <c r="O30" s="114"/>
      <c r="P30" s="114"/>
      <c r="Q30" s="114"/>
    </row>
    <row r="31" spans="1:20" ht="12.75" customHeight="1">
      <c r="A31" s="114"/>
      <c r="B31" s="114"/>
      <c r="C31" s="114"/>
      <c r="D31" s="114"/>
      <c r="E31" s="114"/>
      <c r="F31" s="114"/>
      <c r="G31" s="114"/>
      <c r="H31" s="114"/>
      <c r="I31" s="114"/>
      <c r="J31" s="114"/>
      <c r="K31" s="114"/>
      <c r="L31" s="114"/>
      <c r="M31" s="114"/>
      <c r="N31" s="114"/>
      <c r="O31" s="114"/>
      <c r="P31" s="114"/>
      <c r="Q31" s="114"/>
    </row>
    <row r="32" spans="1:20" ht="12.75" customHeight="1">
      <c r="A32" s="114"/>
      <c r="B32" s="114"/>
      <c r="C32" s="114"/>
      <c r="D32" s="114"/>
      <c r="E32" s="114"/>
      <c r="F32" s="114"/>
      <c r="G32" s="114"/>
      <c r="H32" s="114"/>
      <c r="I32" s="114"/>
      <c r="J32" s="114"/>
      <c r="K32" s="114"/>
      <c r="L32" s="114"/>
      <c r="M32" s="114"/>
      <c r="N32" s="114"/>
      <c r="O32" s="114"/>
      <c r="P32" s="114"/>
      <c r="Q32" s="114"/>
    </row>
    <row r="33" spans="1:17" ht="12.75" customHeight="1">
      <c r="A33" s="114"/>
      <c r="B33" s="114"/>
      <c r="C33" s="114"/>
      <c r="D33" s="114"/>
      <c r="E33" s="114"/>
      <c r="F33" s="114"/>
      <c r="G33" s="114"/>
      <c r="H33" s="114"/>
      <c r="I33" s="114"/>
      <c r="J33" s="114"/>
      <c r="K33" s="114"/>
      <c r="L33" s="114"/>
      <c r="M33" s="114"/>
      <c r="N33" s="114"/>
      <c r="O33" s="114"/>
      <c r="P33" s="114"/>
      <c r="Q33" s="114"/>
    </row>
    <row r="34" spans="1:17" ht="12.75" customHeight="1">
      <c r="A34" s="114"/>
      <c r="B34" s="114"/>
      <c r="C34" s="114"/>
      <c r="D34" s="114"/>
      <c r="E34" s="114"/>
      <c r="F34" s="114"/>
      <c r="G34" s="114"/>
      <c r="H34" s="114"/>
      <c r="I34" s="114"/>
      <c r="J34" s="114"/>
      <c r="K34" s="114"/>
      <c r="L34" s="114"/>
      <c r="M34" s="114"/>
      <c r="N34" s="114"/>
      <c r="O34" s="114"/>
      <c r="P34" s="114"/>
      <c r="Q34" s="114"/>
    </row>
    <row r="35" spans="1:17" ht="12.75" customHeight="1">
      <c r="A35" s="114"/>
      <c r="B35" s="114"/>
      <c r="C35" s="114"/>
      <c r="D35" s="114"/>
      <c r="E35" s="114"/>
      <c r="F35" s="114"/>
      <c r="G35" s="114"/>
      <c r="H35" s="114"/>
      <c r="I35" s="114"/>
      <c r="J35" s="114"/>
      <c r="K35" s="114"/>
      <c r="L35" s="114"/>
      <c r="M35" s="114"/>
      <c r="N35" s="114"/>
      <c r="O35" s="114"/>
      <c r="P35" s="114"/>
      <c r="Q35" s="114"/>
    </row>
    <row r="36" spans="1:17" ht="12.75" customHeight="1">
      <c r="A36" s="114"/>
      <c r="B36" s="114"/>
      <c r="C36" s="114"/>
      <c r="D36" s="114"/>
      <c r="E36" s="114"/>
      <c r="F36" s="114"/>
      <c r="G36" s="114"/>
      <c r="H36" s="114"/>
      <c r="I36" s="114"/>
      <c r="J36" s="114"/>
      <c r="K36" s="114"/>
      <c r="L36" s="114"/>
      <c r="M36" s="114"/>
      <c r="N36" s="114"/>
      <c r="O36" s="114"/>
      <c r="P36" s="114"/>
      <c r="Q36" s="114"/>
    </row>
    <row r="37" spans="1:17" ht="12.75" customHeight="1">
      <c r="A37" s="114"/>
      <c r="B37" s="114"/>
      <c r="C37" s="114"/>
      <c r="D37" s="114"/>
      <c r="E37" s="114"/>
      <c r="F37" s="114"/>
      <c r="G37" s="114"/>
      <c r="H37" s="114"/>
      <c r="I37" s="114"/>
      <c r="J37" s="114"/>
      <c r="K37" s="114"/>
      <c r="L37" s="114"/>
      <c r="M37" s="114"/>
      <c r="N37" s="114"/>
      <c r="O37" s="114"/>
      <c r="P37" s="114"/>
      <c r="Q37" s="114"/>
    </row>
    <row r="38" spans="1:17" ht="12.75" customHeight="1">
      <c r="A38" s="114"/>
      <c r="B38" s="114"/>
      <c r="C38" s="114"/>
      <c r="D38" s="114"/>
      <c r="E38" s="114"/>
      <c r="F38" s="114"/>
      <c r="G38" s="114"/>
      <c r="H38" s="114"/>
      <c r="I38" s="114"/>
      <c r="J38" s="114"/>
      <c r="K38" s="114"/>
      <c r="L38" s="114"/>
      <c r="M38" s="114"/>
      <c r="N38" s="114"/>
      <c r="O38" s="114"/>
      <c r="P38" s="114"/>
      <c r="Q38" s="114"/>
    </row>
    <row r="39" spans="1:17" ht="12.75" customHeight="1">
      <c r="A39" s="114"/>
      <c r="B39" s="114"/>
      <c r="C39" s="114"/>
      <c r="D39" s="114"/>
      <c r="E39" s="114"/>
      <c r="F39" s="114"/>
      <c r="G39" s="114"/>
      <c r="H39" s="114"/>
      <c r="I39" s="114"/>
      <c r="J39" s="114"/>
      <c r="K39" s="114"/>
      <c r="L39" s="114"/>
      <c r="M39" s="114"/>
      <c r="N39" s="114"/>
      <c r="O39" s="114"/>
      <c r="P39" s="114"/>
      <c r="Q39" s="114"/>
    </row>
    <row r="40" spans="1:17" ht="12.75" customHeight="1">
      <c r="A40" s="114"/>
      <c r="B40" s="114"/>
      <c r="C40" s="114"/>
      <c r="D40" s="114"/>
      <c r="E40" s="114"/>
      <c r="F40" s="114"/>
      <c r="G40" s="114"/>
      <c r="H40" s="114"/>
      <c r="I40" s="114"/>
      <c r="J40" s="114"/>
      <c r="K40" s="114"/>
      <c r="L40" s="114"/>
      <c r="M40" s="114"/>
      <c r="N40" s="114"/>
      <c r="O40" s="114"/>
      <c r="P40" s="114"/>
      <c r="Q40" s="114"/>
    </row>
    <row r="41" spans="1:17" ht="12.75" customHeight="1">
      <c r="A41" s="114"/>
      <c r="B41" s="114"/>
      <c r="C41" s="114"/>
      <c r="D41" s="114"/>
      <c r="E41" s="114"/>
      <c r="F41" s="114"/>
      <c r="G41" s="114"/>
      <c r="H41" s="114"/>
      <c r="I41" s="114"/>
      <c r="J41" s="114"/>
      <c r="K41" s="114"/>
      <c r="L41" s="114"/>
      <c r="M41" s="114"/>
      <c r="N41" s="114"/>
      <c r="O41" s="114"/>
      <c r="P41" s="114"/>
      <c r="Q41" s="114"/>
    </row>
    <row r="42" spans="1:17" ht="12.75" customHeight="1">
      <c r="A42" s="114"/>
      <c r="B42" s="114"/>
      <c r="C42" s="114"/>
      <c r="D42" s="114"/>
      <c r="E42" s="114"/>
      <c r="F42" s="114"/>
      <c r="G42" s="114"/>
      <c r="H42" s="114"/>
      <c r="I42" s="114"/>
      <c r="J42" s="114"/>
      <c r="K42" s="114"/>
      <c r="L42" s="114"/>
      <c r="M42" s="114"/>
      <c r="N42" s="114"/>
      <c r="O42" s="114"/>
      <c r="P42" s="114"/>
      <c r="Q42" s="114"/>
    </row>
    <row r="43" spans="1:17" ht="12.75" customHeight="1">
      <c r="A43" s="114"/>
      <c r="B43" s="114"/>
      <c r="C43" s="114"/>
      <c r="D43" s="114"/>
      <c r="E43" s="114"/>
      <c r="F43" s="114"/>
      <c r="G43" s="114"/>
      <c r="H43" s="114"/>
      <c r="I43" s="114"/>
      <c r="J43" s="114"/>
      <c r="K43" s="114"/>
      <c r="L43" s="114"/>
      <c r="M43" s="114"/>
      <c r="N43" s="114"/>
      <c r="O43" s="114"/>
      <c r="P43" s="114"/>
      <c r="Q43" s="114"/>
    </row>
    <row r="44" spans="1:17" ht="12.75" customHeight="1">
      <c r="A44" s="114"/>
      <c r="B44" s="114"/>
      <c r="C44" s="114"/>
      <c r="D44" s="114"/>
      <c r="E44" s="114"/>
      <c r="F44" s="114"/>
      <c r="G44" s="114"/>
      <c r="H44" s="114"/>
      <c r="I44" s="114"/>
      <c r="J44" s="114"/>
      <c r="K44" s="114"/>
      <c r="L44" s="114"/>
      <c r="M44" s="114"/>
      <c r="N44" s="114"/>
      <c r="O44" s="114"/>
      <c r="P44" s="114"/>
      <c r="Q44" s="114"/>
    </row>
    <row r="45" spans="1:17" ht="12.75" customHeight="1">
      <c r="A45" s="114"/>
      <c r="B45" s="114"/>
      <c r="C45" s="114"/>
      <c r="D45" s="114"/>
      <c r="E45" s="114"/>
      <c r="F45" s="114"/>
      <c r="G45" s="114"/>
      <c r="H45" s="114"/>
      <c r="I45" s="114"/>
      <c r="J45" s="114"/>
      <c r="K45" s="114"/>
      <c r="L45" s="114"/>
      <c r="M45" s="114"/>
      <c r="N45" s="114"/>
      <c r="O45" s="114"/>
      <c r="P45" s="114"/>
      <c r="Q45" s="114"/>
    </row>
    <row r="46" spans="1:17" ht="12.75" customHeight="1">
      <c r="A46" s="114"/>
      <c r="B46" s="114"/>
      <c r="C46" s="114"/>
      <c r="D46" s="114"/>
      <c r="E46" s="114"/>
      <c r="F46" s="114"/>
      <c r="G46" s="114"/>
      <c r="H46" s="114"/>
      <c r="I46" s="114"/>
      <c r="J46" s="114"/>
      <c r="K46" s="114"/>
      <c r="L46" s="114"/>
      <c r="M46" s="114"/>
      <c r="N46" s="114"/>
      <c r="O46" s="114"/>
      <c r="P46" s="114"/>
      <c r="Q46" s="114"/>
    </row>
    <row r="47" spans="1:17" ht="12.75" customHeight="1">
      <c r="A47" s="114"/>
      <c r="B47" s="114"/>
      <c r="C47" s="114"/>
      <c r="D47" s="114"/>
      <c r="E47" s="114"/>
      <c r="F47" s="114"/>
      <c r="G47" s="114"/>
      <c r="H47" s="114"/>
      <c r="I47" s="114"/>
      <c r="J47" s="114"/>
      <c r="K47" s="114"/>
      <c r="L47" s="114"/>
      <c r="M47" s="114"/>
      <c r="N47" s="114"/>
      <c r="O47" s="114"/>
      <c r="P47" s="114"/>
      <c r="Q47" s="114"/>
    </row>
    <row r="48" spans="1:17" ht="12.75" customHeight="1">
      <c r="A48" s="114"/>
      <c r="B48" s="114"/>
      <c r="C48" s="114"/>
      <c r="D48" s="114"/>
      <c r="E48" s="114"/>
      <c r="F48" s="114"/>
      <c r="G48" s="114"/>
      <c r="H48" s="114"/>
      <c r="I48" s="114"/>
      <c r="J48" s="114"/>
      <c r="K48" s="114"/>
      <c r="L48" s="114"/>
      <c r="M48" s="114"/>
      <c r="N48" s="114"/>
      <c r="O48" s="114"/>
      <c r="P48" s="114"/>
      <c r="Q48" s="114"/>
    </row>
    <row r="49" spans="1:31" ht="12.75" customHeight="1">
      <c r="A49" s="114"/>
      <c r="B49" s="114"/>
      <c r="C49" s="114"/>
      <c r="D49" s="114"/>
      <c r="E49" s="114"/>
      <c r="F49" s="114"/>
      <c r="G49" s="114"/>
      <c r="H49" s="114"/>
      <c r="I49" s="114"/>
      <c r="J49" s="114"/>
      <c r="K49" s="114"/>
      <c r="L49" s="114"/>
      <c r="M49" s="114"/>
      <c r="N49" s="114"/>
      <c r="O49" s="114"/>
      <c r="P49" s="114"/>
      <c r="Q49" s="114"/>
    </row>
    <row r="50" spans="1:31" ht="12.75" customHeight="1">
      <c r="A50" s="114"/>
      <c r="B50" s="114"/>
      <c r="C50" s="114"/>
      <c r="D50" s="114"/>
      <c r="E50" s="114"/>
      <c r="F50" s="114"/>
      <c r="G50" s="114"/>
      <c r="H50" s="114"/>
      <c r="I50" s="114"/>
      <c r="J50" s="114"/>
      <c r="K50" s="114"/>
      <c r="L50" s="114"/>
      <c r="M50" s="114"/>
      <c r="N50" s="114"/>
      <c r="O50" s="114"/>
      <c r="P50" s="114"/>
      <c r="Q50" s="114"/>
    </row>
    <row r="51" spans="1:31" ht="12.75" customHeight="1">
      <c r="A51" s="114"/>
      <c r="B51" s="114"/>
      <c r="C51" s="114"/>
      <c r="D51" s="114"/>
      <c r="E51" s="114"/>
      <c r="F51" s="114"/>
      <c r="G51" s="114"/>
      <c r="H51" s="114"/>
      <c r="I51" s="114"/>
      <c r="J51" s="114"/>
      <c r="K51" s="114"/>
      <c r="L51" s="114"/>
      <c r="M51" s="114"/>
      <c r="N51" s="114"/>
      <c r="O51" s="114"/>
      <c r="P51" s="114"/>
      <c r="Q51" s="114"/>
    </row>
    <row r="52" spans="1:31" ht="12.75" customHeight="1">
      <c r="A52" s="114"/>
      <c r="B52" s="114"/>
      <c r="C52" s="114"/>
      <c r="D52" s="114"/>
      <c r="E52" s="114"/>
      <c r="F52" s="114"/>
      <c r="G52" s="114"/>
      <c r="H52" s="114"/>
      <c r="I52" s="114"/>
      <c r="J52" s="114"/>
      <c r="K52" s="114"/>
      <c r="L52" s="114"/>
      <c r="M52" s="114"/>
      <c r="N52" s="114"/>
      <c r="O52" s="114"/>
      <c r="P52" s="114"/>
      <c r="Q52" s="114"/>
    </row>
    <row r="53" spans="1:31" ht="12.75" customHeight="1">
      <c r="A53" s="114"/>
      <c r="B53" s="114"/>
      <c r="C53" s="114"/>
      <c r="D53" s="114"/>
      <c r="E53" s="114"/>
      <c r="F53" s="114"/>
      <c r="G53" s="114"/>
      <c r="H53" s="114"/>
      <c r="I53" s="114"/>
      <c r="J53" s="114"/>
      <c r="K53" s="114"/>
      <c r="L53" s="114"/>
      <c r="M53" s="114"/>
      <c r="N53" s="114"/>
      <c r="O53" s="114"/>
      <c r="P53" s="114"/>
      <c r="Q53" s="114"/>
    </row>
    <row r="54" spans="1:31" ht="12.75" customHeight="1">
      <c r="A54" s="114"/>
      <c r="B54" s="114"/>
      <c r="C54" s="114"/>
      <c r="D54" s="114"/>
      <c r="E54" s="114"/>
      <c r="F54" s="114"/>
      <c r="G54" s="114"/>
      <c r="H54" s="114"/>
      <c r="I54" s="114"/>
      <c r="J54" s="114"/>
      <c r="K54" s="114"/>
      <c r="L54" s="114"/>
      <c r="M54" s="114"/>
      <c r="N54" s="114"/>
      <c r="O54" s="114"/>
      <c r="P54" s="114"/>
      <c r="Q54" s="114"/>
    </row>
    <row r="55" spans="1:31" ht="12.75" customHeight="1">
      <c r="A55" s="114"/>
      <c r="B55" s="114"/>
      <c r="C55" s="114"/>
      <c r="D55" s="114"/>
      <c r="E55" s="114"/>
      <c r="F55" s="114"/>
      <c r="G55" s="114"/>
      <c r="H55" s="114"/>
      <c r="I55" s="114"/>
      <c r="J55" s="114"/>
      <c r="K55" s="114"/>
      <c r="L55" s="114"/>
      <c r="M55" s="114"/>
      <c r="N55" s="114"/>
      <c r="O55" s="114"/>
      <c r="P55" s="114"/>
      <c r="Q55" s="114"/>
    </row>
    <row r="56" spans="1:31" ht="12.75" customHeight="1">
      <c r="A56" s="114"/>
      <c r="B56" s="114"/>
      <c r="C56" s="114"/>
      <c r="D56" s="114"/>
      <c r="E56" s="114"/>
      <c r="F56" s="114"/>
      <c r="G56" s="114"/>
      <c r="H56" s="114"/>
      <c r="I56" s="114"/>
      <c r="J56" s="114"/>
      <c r="K56" s="114"/>
      <c r="L56" s="114"/>
      <c r="M56" s="114"/>
      <c r="N56" s="114"/>
      <c r="O56" s="114"/>
      <c r="P56" s="114"/>
      <c r="Q56" s="114"/>
    </row>
    <row r="57" spans="1:31" ht="12.75" customHeight="1">
      <c r="A57" s="114"/>
      <c r="B57" s="114"/>
      <c r="C57" s="114"/>
      <c r="D57" s="114"/>
      <c r="E57" s="114"/>
      <c r="F57" s="114"/>
      <c r="G57" s="114"/>
      <c r="H57" s="114"/>
      <c r="I57" s="114"/>
      <c r="J57" s="114"/>
      <c r="K57" s="114"/>
      <c r="L57" s="114"/>
      <c r="M57" s="114"/>
      <c r="N57" s="114"/>
      <c r="O57" s="114"/>
      <c r="P57" s="114"/>
      <c r="Q57" s="114"/>
    </row>
    <row r="58" spans="1:31" ht="12.75" customHeight="1" thickBot="1">
      <c r="A58" s="114"/>
      <c r="B58" s="114"/>
      <c r="C58" s="114"/>
      <c r="D58" s="114"/>
      <c r="E58" s="114"/>
      <c r="F58" s="114"/>
      <c r="G58" s="114"/>
      <c r="H58" s="114"/>
      <c r="I58" s="114"/>
      <c r="J58" s="114"/>
      <c r="K58" s="114"/>
      <c r="L58" s="114"/>
      <c r="M58" s="114"/>
      <c r="N58" s="114"/>
      <c r="O58" s="114"/>
      <c r="P58" s="114"/>
      <c r="Q58" s="114"/>
    </row>
    <row r="59" spans="1:31" ht="12.75" customHeight="1" thickBot="1">
      <c r="A59" s="114"/>
      <c r="B59" s="114"/>
      <c r="C59" s="114"/>
      <c r="D59" s="114"/>
      <c r="E59" s="114"/>
      <c r="F59" s="114"/>
      <c r="G59" s="114"/>
      <c r="H59" s="114"/>
      <c r="I59" s="114"/>
      <c r="J59" s="114"/>
      <c r="K59" s="114"/>
      <c r="L59" s="114"/>
      <c r="M59" s="824" t="s">
        <v>195</v>
      </c>
      <c r="N59" s="824"/>
      <c r="O59" s="824"/>
      <c r="P59" s="824"/>
      <c r="Q59" s="824"/>
      <c r="S59" s="816" t="s">
        <v>205</v>
      </c>
      <c r="T59" s="817"/>
      <c r="U59" s="817"/>
      <c r="V59" s="817"/>
      <c r="W59" s="817"/>
      <c r="X59" s="818"/>
      <c r="Z59" s="816" t="s">
        <v>205</v>
      </c>
      <c r="AA59" s="817"/>
      <c r="AB59" s="817"/>
      <c r="AC59" s="817"/>
      <c r="AD59" s="817"/>
      <c r="AE59" s="818"/>
    </row>
    <row r="60" spans="1:31" ht="12.75" customHeight="1" thickBot="1">
      <c r="A60" s="114"/>
      <c r="B60" s="114"/>
      <c r="C60" s="114"/>
      <c r="D60" s="114"/>
      <c r="E60" s="114"/>
      <c r="F60" s="114"/>
      <c r="G60" s="114"/>
      <c r="H60" s="114"/>
      <c r="I60" s="114"/>
      <c r="J60" s="114"/>
      <c r="K60" s="114"/>
      <c r="L60" s="114"/>
      <c r="M60" s="824"/>
      <c r="N60" s="824"/>
      <c r="O60" s="824"/>
      <c r="P60" s="824"/>
      <c r="Q60" s="824"/>
      <c r="S60" s="71" t="s">
        <v>59</v>
      </c>
      <c r="T60" s="33"/>
      <c r="U60" s="34"/>
      <c r="V60" s="34"/>
      <c r="W60" s="34"/>
      <c r="X60" s="72"/>
      <c r="Z60" s="76" t="s">
        <v>59</v>
      </c>
      <c r="AA60" s="30"/>
      <c r="AB60" s="15"/>
      <c r="AC60" s="15"/>
      <c r="AD60" s="15"/>
      <c r="AE60" s="74"/>
    </row>
    <row r="61" spans="1:31" ht="12.75" customHeight="1">
      <c r="A61" s="114"/>
      <c r="B61" s="114"/>
      <c r="C61" s="114"/>
      <c r="D61" s="114"/>
      <c r="E61" s="114"/>
      <c r="F61" s="114"/>
      <c r="G61" s="114"/>
      <c r="H61" s="114"/>
      <c r="I61" s="114"/>
      <c r="J61" s="114"/>
      <c r="K61" s="114"/>
      <c r="L61" s="114"/>
      <c r="M61" s="825" t="s">
        <v>323</v>
      </c>
      <c r="N61" s="825"/>
      <c r="O61" s="114"/>
      <c r="P61" s="825" t="s">
        <v>324</v>
      </c>
      <c r="Q61" s="825"/>
      <c r="S61" s="795" t="s">
        <v>845</v>
      </c>
      <c r="T61" s="796"/>
      <c r="U61" s="808" t="s">
        <v>835</v>
      </c>
      <c r="V61" s="808" t="s">
        <v>836</v>
      </c>
      <c r="W61" s="808" t="s">
        <v>837</v>
      </c>
      <c r="X61" s="806" t="s">
        <v>838</v>
      </c>
      <c r="Z61" s="795" t="s">
        <v>845</v>
      </c>
      <c r="AA61" s="796"/>
      <c r="AB61" s="812" t="s">
        <v>835</v>
      </c>
      <c r="AC61" s="812" t="s">
        <v>836</v>
      </c>
      <c r="AD61" s="812" t="s">
        <v>837</v>
      </c>
      <c r="AE61" s="814" t="s">
        <v>838</v>
      </c>
    </row>
    <row r="62" spans="1:31" ht="12.75" customHeight="1">
      <c r="A62" s="114"/>
      <c r="B62" s="114"/>
      <c r="C62" s="114"/>
      <c r="D62" s="114"/>
      <c r="E62" s="114"/>
      <c r="F62" s="114"/>
      <c r="G62" s="114"/>
      <c r="H62" s="114"/>
      <c r="I62" s="114"/>
      <c r="J62" s="114"/>
      <c r="K62" s="114"/>
      <c r="L62" s="114"/>
      <c r="M62" s="234" t="s">
        <v>194</v>
      </c>
      <c r="N62" s="313">
        <f>+E61</f>
        <v>0</v>
      </c>
      <c r="O62" s="316"/>
      <c r="P62" s="234" t="s">
        <v>194</v>
      </c>
      <c r="Q62" s="313">
        <f>+H61</f>
        <v>0</v>
      </c>
      <c r="S62" s="797"/>
      <c r="T62" s="798"/>
      <c r="U62" s="809"/>
      <c r="V62" s="809"/>
      <c r="W62" s="809"/>
      <c r="X62" s="807"/>
      <c r="Z62" s="797"/>
      <c r="AA62" s="798"/>
      <c r="AB62" s="813"/>
      <c r="AC62" s="813"/>
      <c r="AD62" s="813"/>
      <c r="AE62" s="815"/>
    </row>
    <row r="63" spans="1:31" ht="12.75" customHeight="1">
      <c r="A63" s="114"/>
      <c r="B63" s="114"/>
      <c r="C63" s="114"/>
      <c r="D63" s="114"/>
      <c r="E63" s="114"/>
      <c r="F63" s="114"/>
      <c r="G63" s="114"/>
      <c r="H63" s="114"/>
      <c r="I63" s="114"/>
      <c r="J63" s="114"/>
      <c r="K63" s="114"/>
      <c r="L63" s="114"/>
      <c r="M63" s="234" t="s">
        <v>204</v>
      </c>
      <c r="N63" s="234" t="s">
        <v>846</v>
      </c>
      <c r="O63" s="316"/>
      <c r="P63" s="234" t="s">
        <v>204</v>
      </c>
      <c r="Q63" s="234" t="s">
        <v>846</v>
      </c>
      <c r="S63" s="797"/>
      <c r="T63" s="798"/>
      <c r="U63" s="59">
        <f>+E65</f>
        <v>0</v>
      </c>
      <c r="V63" s="40">
        <f>+E55</f>
        <v>0</v>
      </c>
      <c r="W63" s="53" t="str">
        <f>IF(U63&gt;0,X63*V63," ")</f>
        <v xml:space="preserve"> </v>
      </c>
      <c r="X63" s="60" t="str">
        <f>IF(U63&gt;0,(VLOOKUP(U63,'Lookup Ready-reckoner'!$B$5:$E$1207,4))," ")</f>
        <v xml:space="preserve"> </v>
      </c>
      <c r="Z63" s="797"/>
      <c r="AA63" s="798"/>
      <c r="AB63" s="59">
        <f>+H65</f>
        <v>0</v>
      </c>
      <c r="AC63" s="40">
        <f>+H55</f>
        <v>0</v>
      </c>
      <c r="AD63" s="53" t="str">
        <f>IF(AB63&gt;0,AE63*AC63," ")</f>
        <v xml:space="preserve"> </v>
      </c>
      <c r="AE63" s="60" t="str">
        <f>IF(AB63&gt;0,(VLOOKUP(AB63,'Lookup Ready-reckoner'!$B$5:$E$1207,4))," ")</f>
        <v xml:space="preserve"> </v>
      </c>
    </row>
    <row r="64" spans="1:31" ht="12.75" customHeight="1">
      <c r="A64" s="114"/>
      <c r="B64" s="114"/>
      <c r="C64" s="114"/>
      <c r="D64" s="114"/>
      <c r="E64" s="114"/>
      <c r="F64" s="114"/>
      <c r="G64" s="114"/>
      <c r="H64" s="114"/>
      <c r="I64" s="114"/>
      <c r="J64" s="114"/>
      <c r="K64" s="114"/>
      <c r="L64" s="114"/>
      <c r="M64" s="321">
        <v>1</v>
      </c>
      <c r="N64" s="323">
        <f>+N62</f>
        <v>0</v>
      </c>
      <c r="O64" s="114"/>
      <c r="P64" s="321">
        <v>1</v>
      </c>
      <c r="Q64" s="323">
        <f>+Q62</f>
        <v>0</v>
      </c>
      <c r="S64" s="799"/>
      <c r="T64" s="800"/>
      <c r="U64" s="38"/>
      <c r="V64" s="40"/>
      <c r="W64" s="53" t="str">
        <f>IF(U64&gt;0,X64*V64," ")</f>
        <v xml:space="preserve"> </v>
      </c>
      <c r="X64" s="60" t="str">
        <f>IF(U64&gt;0,(VLOOKUP(U64,'Lookup Ready-reckoner'!$B$5:$E$1007,4))," ")</f>
        <v xml:space="preserve"> </v>
      </c>
      <c r="Z64" s="799"/>
      <c r="AA64" s="800"/>
      <c r="AB64" s="38"/>
      <c r="AC64" s="40"/>
      <c r="AD64" s="53" t="str">
        <f>IF(AB64&gt;0,AE64*AC64," ")</f>
        <v xml:space="preserve"> </v>
      </c>
      <c r="AE64" s="60" t="str">
        <f>IF(AB64&gt;0,(VLOOKUP(AB64,'Lookup Ready-reckoner'!$B$5:$E$1007,4))," ")</f>
        <v xml:space="preserve"> </v>
      </c>
    </row>
    <row r="65" spans="1:31" ht="12.75" customHeight="1" thickBot="1">
      <c r="A65" s="114"/>
      <c r="B65" s="114"/>
      <c r="C65" s="114"/>
      <c r="D65" s="114"/>
      <c r="E65" s="114"/>
      <c r="F65" s="114"/>
      <c r="G65" s="114"/>
      <c r="H65" s="114"/>
      <c r="I65" s="114"/>
      <c r="J65" s="114"/>
      <c r="K65" s="114"/>
      <c r="L65" s="114"/>
      <c r="M65" s="321">
        <v>2</v>
      </c>
      <c r="N65" s="323">
        <f>(LOG((10^(N62/10))+(10^(N62/10))))*10</f>
        <v>3.0102999566398121</v>
      </c>
      <c r="O65" s="114"/>
      <c r="P65" s="321">
        <v>2</v>
      </c>
      <c r="Q65" s="323">
        <f>(LOG((10^(Q62/10))+(10^(Q62/10))))*10</f>
        <v>3.0102999566398121</v>
      </c>
      <c r="S65" s="61" t="s">
        <v>839</v>
      </c>
      <c r="T65" s="62"/>
      <c r="U65" s="62"/>
      <c r="V65" s="63" t="str">
        <f>IF(U63&gt;0,(VLOOKUP(W65,'Lookup Ready-reckoner'!$L$5:$M$1207,2))," ")</f>
        <v xml:space="preserve"> </v>
      </c>
      <c r="W65" s="64" t="str">
        <f>IF(V63&gt;0,(SUM(W63:W64))," ")</f>
        <v xml:space="preserve"> </v>
      </c>
      <c r="X65" s="65"/>
      <c r="Z65" s="61" t="s">
        <v>839</v>
      </c>
      <c r="AA65" s="62"/>
      <c r="AB65" s="62"/>
      <c r="AC65" s="63" t="str">
        <f>IF(AB63&gt;0,(VLOOKUP(AD65,'Lookup Ready-reckoner'!$L$5:$M$1207,2))," ")</f>
        <v xml:space="preserve"> </v>
      </c>
      <c r="AD65" s="64" t="str">
        <f>IF(AC63&gt;0,(SUM(AD63:AD64))," ")</f>
        <v xml:space="preserve"> </v>
      </c>
      <c r="AE65" s="65"/>
    </row>
    <row r="66" spans="1:31" ht="12.75" customHeight="1" thickBot="1">
      <c r="A66" s="114"/>
      <c r="B66" s="114"/>
      <c r="C66" s="114"/>
      <c r="D66" s="114"/>
      <c r="E66" s="114"/>
      <c r="F66" s="114"/>
      <c r="G66" s="114"/>
      <c r="H66" s="114"/>
      <c r="I66" s="114"/>
      <c r="J66" s="114"/>
      <c r="K66" s="114"/>
      <c r="L66" s="114"/>
      <c r="M66" s="321">
        <v>3</v>
      </c>
      <c r="N66" s="323">
        <f>(LOG((10^(N62/10))+(10^(N62/10))+(10^(N62/10)))*10)</f>
        <v>4.7712125471966242</v>
      </c>
      <c r="O66" s="114"/>
      <c r="P66" s="321">
        <v>3</v>
      </c>
      <c r="Q66" s="323">
        <f>(LOG((10^(Q62/10))+(10^(Q62/10))+(10^(Q62/10)))*10)</f>
        <v>4.7712125471966242</v>
      </c>
      <c r="S66" s="819"/>
      <c r="T66" s="820"/>
      <c r="U66" s="820"/>
      <c r="V66" s="820"/>
      <c r="W66" s="820"/>
      <c r="X66" s="821"/>
      <c r="Z66" s="797"/>
      <c r="AA66" s="810"/>
      <c r="AB66" s="810"/>
      <c r="AC66" s="810"/>
      <c r="AD66" s="810"/>
      <c r="AE66" s="811"/>
    </row>
    <row r="67" spans="1:31" ht="12.75" customHeight="1">
      <c r="A67" s="114"/>
      <c r="B67" s="114"/>
      <c r="C67" s="114"/>
      <c r="D67" s="114"/>
      <c r="E67" s="114"/>
      <c r="F67" s="114"/>
      <c r="G67" s="114"/>
      <c r="H67" s="114"/>
      <c r="I67" s="114"/>
      <c r="J67" s="114"/>
      <c r="K67" s="114"/>
      <c r="L67" s="114"/>
      <c r="M67" s="321">
        <v>4</v>
      </c>
      <c r="N67" s="323">
        <f>(LOG((10^(N62/10))+(10^(N62/10))+(10^(N62/10))+(10^(N62/10))))*10</f>
        <v>6.0205999132796242</v>
      </c>
      <c r="O67" s="114"/>
      <c r="P67" s="321">
        <v>4</v>
      </c>
      <c r="Q67" s="323">
        <f>(LOG((10^(Q62/10))+(10^(Q62/10))+(10^(Q62/10))+(10^(Q62/10))))*10</f>
        <v>6.0205999132796242</v>
      </c>
      <c r="S67" s="795" t="s">
        <v>886</v>
      </c>
      <c r="T67" s="796"/>
      <c r="U67" s="808" t="s">
        <v>835</v>
      </c>
      <c r="V67" s="808" t="s">
        <v>836</v>
      </c>
      <c r="W67" s="808" t="s">
        <v>837</v>
      </c>
      <c r="X67" s="806" t="s">
        <v>838</v>
      </c>
      <c r="Z67" s="795" t="s">
        <v>886</v>
      </c>
      <c r="AA67" s="796"/>
      <c r="AB67" s="812" t="s">
        <v>835</v>
      </c>
      <c r="AC67" s="812" t="s">
        <v>836</v>
      </c>
      <c r="AD67" s="812" t="s">
        <v>837</v>
      </c>
      <c r="AE67" s="814" t="s">
        <v>838</v>
      </c>
    </row>
    <row r="68" spans="1:31" ht="12.75" customHeight="1">
      <c r="A68" s="114"/>
      <c r="B68" s="114"/>
      <c r="C68" s="114"/>
      <c r="D68" s="114"/>
      <c r="E68" s="114"/>
      <c r="F68" s="114"/>
      <c r="G68" s="114"/>
      <c r="H68" s="114"/>
      <c r="I68" s="114"/>
      <c r="J68" s="114"/>
      <c r="K68" s="114"/>
      <c r="L68" s="114"/>
      <c r="M68" s="321">
        <v>5</v>
      </c>
      <c r="N68" s="323">
        <f>(LOG((10^(N62/10))+(10^(N62/10))+(10^(N62/10))+(10^(N62/10))+(10^(N62/10))))*10</f>
        <v>6.9897000433601884</v>
      </c>
      <c r="O68" s="114"/>
      <c r="P68" s="321">
        <v>5</v>
      </c>
      <c r="Q68" s="323">
        <f>(LOG((10^(Q62/10))+(10^(Q62/10))+(10^(Q62/10))+(10^(Q62/10))+(10^(Q62/10))))*10</f>
        <v>6.9897000433601884</v>
      </c>
      <c r="S68" s="797"/>
      <c r="T68" s="798"/>
      <c r="U68" s="809"/>
      <c r="V68" s="809"/>
      <c r="W68" s="809"/>
      <c r="X68" s="807"/>
      <c r="Z68" s="797"/>
      <c r="AA68" s="798"/>
      <c r="AB68" s="813"/>
      <c r="AC68" s="813"/>
      <c r="AD68" s="813"/>
      <c r="AE68" s="815"/>
    </row>
    <row r="69" spans="1:31" ht="12.75" customHeight="1">
      <c r="A69" s="114"/>
      <c r="B69" s="114"/>
      <c r="C69" s="114"/>
      <c r="D69" s="114"/>
      <c r="E69" s="114"/>
      <c r="F69" s="114"/>
      <c r="G69" s="114"/>
      <c r="H69" s="114"/>
      <c r="I69" s="114"/>
      <c r="J69" s="114"/>
      <c r="K69" s="114"/>
      <c r="L69" s="114"/>
      <c r="M69" s="321">
        <v>6</v>
      </c>
      <c r="N69" s="323">
        <f>(LOG((10^(N62/10))+(10^(N62/10))+(10^(N62/10))+(10^(N62/10))+(10^(N62/10))+(10^(N62/10)))*10)</f>
        <v>7.7815125038364368</v>
      </c>
      <c r="O69" s="114"/>
      <c r="P69" s="321">
        <v>6</v>
      </c>
      <c r="Q69" s="323">
        <f>(LOG((10^(Q62/10))+(10^(Q62/10))+(10^(Q62/10))+(10^(Q62/10))+(10^(Q62/10))+(10^(Q62/10)))*10)</f>
        <v>7.7815125038364368</v>
      </c>
      <c r="S69" s="797"/>
      <c r="T69" s="798"/>
      <c r="U69" s="59">
        <f>U63*(1-0.0178*2)</f>
        <v>0</v>
      </c>
      <c r="V69" s="40">
        <f>+V63</f>
        <v>0</v>
      </c>
      <c r="W69" s="53" t="str">
        <f>IF(U69&gt;0,X69*V69," ")</f>
        <v xml:space="preserve"> </v>
      </c>
      <c r="X69" s="60" t="str">
        <f>IF(U69&gt;0,(VLOOKUP(U69,'Lookup Ready-reckoner'!$B$5:$E$1207,4))," ")</f>
        <v xml:space="preserve"> </v>
      </c>
      <c r="Z69" s="797"/>
      <c r="AA69" s="798"/>
      <c r="AB69" s="59">
        <f>AB63*(1-0.0178*2)</f>
        <v>0</v>
      </c>
      <c r="AC69" s="40">
        <f>+AC63</f>
        <v>0</v>
      </c>
      <c r="AD69" s="53" t="str">
        <f>IF(AB69&gt;0,AE69*AC69," ")</f>
        <v xml:space="preserve"> </v>
      </c>
      <c r="AE69" s="60" t="str">
        <f>IF(AB69&gt;0,(VLOOKUP(AB69,'Lookup Ready-reckoner'!$B$5:$E$1207,4))," ")</f>
        <v xml:space="preserve"> </v>
      </c>
    </row>
    <row r="70" spans="1:31" ht="12.75" customHeight="1">
      <c r="A70" s="114"/>
      <c r="B70" s="114"/>
      <c r="C70" s="114"/>
      <c r="D70" s="114"/>
      <c r="E70" s="114"/>
      <c r="F70" s="114"/>
      <c r="G70" s="114"/>
      <c r="H70" s="114"/>
      <c r="I70" s="114"/>
      <c r="J70" s="114"/>
      <c r="K70" s="114"/>
      <c r="L70" s="114"/>
      <c r="M70" s="114"/>
      <c r="N70" s="114"/>
      <c r="O70" s="114"/>
      <c r="P70" s="114"/>
      <c r="Q70" s="114"/>
      <c r="S70" s="799"/>
      <c r="T70" s="800"/>
      <c r="U70" s="38"/>
      <c r="V70" s="40"/>
      <c r="W70" s="53" t="str">
        <f>IF(U70&gt;0,X70*V70," ")</f>
        <v xml:space="preserve"> </v>
      </c>
      <c r="X70" s="60" t="str">
        <f>IF(U70&gt;0,(VLOOKUP(U70,'Lookup Ready-reckoner'!$B$5:$E$1007,4))," ")</f>
        <v xml:space="preserve"> </v>
      </c>
      <c r="Z70" s="799"/>
      <c r="AA70" s="800"/>
      <c r="AB70" s="38"/>
      <c r="AC70" s="40"/>
      <c r="AD70" s="53" t="str">
        <f>IF(AB70&gt;0,AE70*AC70," ")</f>
        <v xml:space="preserve"> </v>
      </c>
      <c r="AE70" s="60" t="str">
        <f>IF(AB70&gt;0,(VLOOKUP(AB70,'Lookup Ready-reckoner'!$B$5:$E$1007,4))," ")</f>
        <v xml:space="preserve"> </v>
      </c>
    </row>
    <row r="71" spans="1:31" ht="12.75" customHeight="1" thickBot="1">
      <c r="A71" s="114"/>
      <c r="B71" s="114"/>
      <c r="C71" s="114"/>
      <c r="D71" s="114"/>
      <c r="E71" s="114"/>
      <c r="F71" s="114"/>
      <c r="G71" s="114"/>
      <c r="H71" s="114"/>
      <c r="I71" s="114"/>
      <c r="J71" s="114"/>
      <c r="K71" s="114"/>
      <c r="L71" s="114"/>
      <c r="M71" s="114"/>
      <c r="N71" s="114"/>
      <c r="O71" s="114"/>
      <c r="P71" s="114"/>
      <c r="Q71" s="114"/>
      <c r="S71" s="61" t="s">
        <v>839</v>
      </c>
      <c r="T71" s="62"/>
      <c r="U71" s="62"/>
      <c r="V71" s="63" t="str">
        <f>IF(U69&gt;0,(VLOOKUP(W71,'Lookup Ready-reckoner'!$L$5:$M$1207,2))," ")</f>
        <v xml:space="preserve"> </v>
      </c>
      <c r="W71" s="64" t="str">
        <f>IF(V69&gt;0,(SUM(W69:W70))," ")</f>
        <v xml:space="preserve"> </v>
      </c>
      <c r="X71" s="65"/>
      <c r="Z71" s="61" t="s">
        <v>839</v>
      </c>
      <c r="AA71" s="62"/>
      <c r="AB71" s="62"/>
      <c r="AC71" s="63" t="str">
        <f>IF(AB69&gt;0,(VLOOKUP(AD71,'Lookup Ready-reckoner'!$L$5:$M$1207,2))," ")</f>
        <v xml:space="preserve"> </v>
      </c>
      <c r="AD71" s="64" t="str">
        <f>IF(AC69&gt;0,(SUM(AD69:AD70))," ")</f>
        <v xml:space="preserve"> </v>
      </c>
      <c r="AE71" s="65"/>
    </row>
    <row r="72" spans="1:31" ht="12.75" customHeight="1">
      <c r="A72" s="114"/>
      <c r="B72" s="114"/>
      <c r="C72" s="114"/>
      <c r="D72" s="114"/>
      <c r="E72" s="114"/>
      <c r="F72" s="114"/>
      <c r="G72" s="114"/>
      <c r="H72" s="114"/>
      <c r="I72" s="114"/>
      <c r="J72" s="114"/>
      <c r="K72" s="114"/>
      <c r="L72" s="114"/>
      <c r="M72" s="114"/>
      <c r="N72" s="114"/>
      <c r="O72" s="114"/>
      <c r="P72" s="114"/>
      <c r="Q72" s="114"/>
      <c r="S72" s="73"/>
      <c r="T72" s="15"/>
      <c r="U72" s="15"/>
      <c r="V72" s="66"/>
      <c r="W72" s="67"/>
      <c r="X72" s="74"/>
      <c r="Z72" s="73"/>
      <c r="AA72" s="15"/>
      <c r="AB72" s="15"/>
      <c r="AC72" s="66"/>
      <c r="AD72" s="67"/>
      <c r="AE72" s="74"/>
    </row>
    <row r="73" spans="1:31" ht="12.75" customHeight="1" thickBot="1">
      <c r="A73" s="114"/>
      <c r="B73" s="114"/>
      <c r="C73" s="114"/>
      <c r="D73" s="114"/>
      <c r="E73" s="114"/>
      <c r="F73" s="114"/>
      <c r="G73" s="114"/>
      <c r="H73" s="114"/>
      <c r="I73" s="114"/>
      <c r="J73" s="114"/>
      <c r="K73" s="114"/>
      <c r="L73" s="114"/>
      <c r="M73" s="114"/>
      <c r="N73" s="114"/>
      <c r="O73" s="114"/>
      <c r="P73" s="114"/>
      <c r="Q73" s="114"/>
      <c r="S73" s="71" t="s">
        <v>60</v>
      </c>
      <c r="T73" s="33"/>
      <c r="U73" s="33"/>
      <c r="V73" s="33"/>
      <c r="W73" s="33"/>
      <c r="X73" s="75"/>
      <c r="Z73" s="76" t="s">
        <v>60</v>
      </c>
      <c r="AA73" s="30"/>
      <c r="AB73" s="30"/>
      <c r="AC73" s="30"/>
      <c r="AD73" s="30"/>
      <c r="AE73" s="77"/>
    </row>
    <row r="74" spans="1:31" ht="12.75" customHeight="1">
      <c r="A74" s="114"/>
      <c r="B74" s="114"/>
      <c r="C74" s="114"/>
      <c r="D74" s="114"/>
      <c r="E74" s="114"/>
      <c r="F74" s="114"/>
      <c r="G74" s="114"/>
      <c r="H74" s="114"/>
      <c r="I74" s="114"/>
      <c r="J74" s="114"/>
      <c r="K74" s="114"/>
      <c r="L74" s="114"/>
      <c r="M74" s="114"/>
      <c r="N74" s="114"/>
      <c r="O74" s="114"/>
      <c r="P74" s="114"/>
      <c r="Q74" s="114"/>
      <c r="S74" s="795" t="s">
        <v>845</v>
      </c>
      <c r="T74" s="796"/>
      <c r="U74" s="808" t="s">
        <v>835</v>
      </c>
      <c r="V74" s="808" t="s">
        <v>836</v>
      </c>
      <c r="W74" s="808" t="s">
        <v>837</v>
      </c>
      <c r="X74" s="806" t="s">
        <v>838</v>
      </c>
      <c r="Z74" s="795" t="s">
        <v>845</v>
      </c>
      <c r="AA74" s="796"/>
      <c r="AB74" s="812" t="s">
        <v>835</v>
      </c>
      <c r="AC74" s="812" t="s">
        <v>836</v>
      </c>
      <c r="AD74" s="812" t="s">
        <v>837</v>
      </c>
      <c r="AE74" s="814" t="s">
        <v>838</v>
      </c>
    </row>
    <row r="75" spans="1:31" ht="12.75" customHeight="1">
      <c r="A75" s="114"/>
      <c r="B75" s="114"/>
      <c r="C75" s="114"/>
      <c r="D75" s="114"/>
      <c r="E75" s="114"/>
      <c r="F75" s="114"/>
      <c r="G75" s="114"/>
      <c r="H75" s="114"/>
      <c r="I75" s="114"/>
      <c r="J75" s="114"/>
      <c r="K75" s="114"/>
      <c r="L75" s="114"/>
      <c r="M75" s="114"/>
      <c r="N75" s="114"/>
      <c r="O75" s="114"/>
      <c r="P75" s="114"/>
      <c r="Q75" s="114"/>
      <c r="S75" s="797"/>
      <c r="T75" s="798"/>
      <c r="U75" s="809"/>
      <c r="V75" s="809"/>
      <c r="W75" s="809"/>
      <c r="X75" s="807"/>
      <c r="Z75" s="797"/>
      <c r="AA75" s="798"/>
      <c r="AB75" s="813"/>
      <c r="AC75" s="813"/>
      <c r="AD75" s="813"/>
      <c r="AE75" s="815"/>
    </row>
    <row r="76" spans="1:31" ht="12.75" customHeight="1">
      <c r="A76" s="114"/>
      <c r="B76" s="114"/>
      <c r="C76" s="114"/>
      <c r="D76" s="114"/>
      <c r="E76" s="114"/>
      <c r="F76" s="114"/>
      <c r="G76" s="114"/>
      <c r="H76" s="114"/>
      <c r="I76" s="114"/>
      <c r="J76" s="114"/>
      <c r="K76" s="114"/>
      <c r="L76" s="114"/>
      <c r="M76" s="114"/>
      <c r="N76" s="114"/>
      <c r="O76" s="114"/>
      <c r="P76" s="114"/>
      <c r="Q76" s="114"/>
      <c r="S76" s="797"/>
      <c r="T76" s="798"/>
      <c r="U76" s="59">
        <f>U63-PPE!$I$15</f>
        <v>-13</v>
      </c>
      <c r="V76" s="40">
        <f>+V69</f>
        <v>0</v>
      </c>
      <c r="W76" s="53" t="str">
        <f>IF(U76&gt;0,X76*V76," ")</f>
        <v xml:space="preserve"> </v>
      </c>
      <c r="X76" s="60" t="str">
        <f>IF(U76&gt;0,(VLOOKUP(U76,'Lookup Ready-reckoner'!$B$5:$E$1207,4))," ")</f>
        <v xml:space="preserve"> </v>
      </c>
      <c r="Z76" s="797"/>
      <c r="AA76" s="798"/>
      <c r="AB76" s="59">
        <f>AB63-PPE!$I$15</f>
        <v>-13</v>
      </c>
      <c r="AC76" s="40">
        <f>+AC69</f>
        <v>0</v>
      </c>
      <c r="AD76" s="53" t="str">
        <f>IF(AB76&gt;0,AE76*AC76," ")</f>
        <v xml:space="preserve"> </v>
      </c>
      <c r="AE76" s="60" t="str">
        <f>IF(AB76&gt;0,(VLOOKUP(AB76,'Lookup Ready-reckoner'!$B$5:$E$1207,4))," ")</f>
        <v xml:space="preserve"> </v>
      </c>
    </row>
    <row r="77" spans="1:31" ht="12.75" customHeight="1">
      <c r="A77" s="114"/>
      <c r="B77" s="114"/>
      <c r="C77" s="114"/>
      <c r="D77" s="114"/>
      <c r="E77" s="114"/>
      <c r="F77" s="114"/>
      <c r="G77" s="114"/>
      <c r="H77" s="114"/>
      <c r="I77" s="114"/>
      <c r="J77" s="114"/>
      <c r="K77" s="114"/>
      <c r="L77" s="114"/>
      <c r="M77" s="114"/>
      <c r="N77" s="114"/>
      <c r="O77" s="114"/>
      <c r="P77" s="114"/>
      <c r="Q77" s="114"/>
      <c r="S77" s="799"/>
      <c r="T77" s="800"/>
      <c r="U77" s="38"/>
      <c r="V77" s="40"/>
      <c r="W77" s="53" t="str">
        <f>IF(U77&gt;0,X77*V77," ")</f>
        <v xml:space="preserve"> </v>
      </c>
      <c r="X77" s="60" t="str">
        <f>IF(U77&gt;0,(VLOOKUP(U77,'Lookup Ready-reckoner'!$B$5:$E$1007,4))," ")</f>
        <v xml:space="preserve"> </v>
      </c>
      <c r="Z77" s="799"/>
      <c r="AA77" s="800"/>
      <c r="AB77" s="38"/>
      <c r="AC77" s="40"/>
      <c r="AD77" s="53" t="str">
        <f>IF(AB77&gt;0,AE77*AC77," ")</f>
        <v xml:space="preserve"> </v>
      </c>
      <c r="AE77" s="60" t="str">
        <f>IF(AB77&gt;0,(VLOOKUP(AB77,'Lookup Ready-reckoner'!$B$5:$E$1007,4))," ")</f>
        <v xml:space="preserve"> </v>
      </c>
    </row>
    <row r="78" spans="1:31" ht="12.75" customHeight="1" thickBot="1">
      <c r="A78" s="114"/>
      <c r="B78" s="114"/>
      <c r="C78" s="114"/>
      <c r="D78" s="114"/>
      <c r="E78" s="114"/>
      <c r="F78" s="114"/>
      <c r="G78" s="114"/>
      <c r="H78" s="114"/>
      <c r="I78" s="114"/>
      <c r="J78" s="114"/>
      <c r="K78" s="114"/>
      <c r="L78" s="114"/>
      <c r="M78" s="114"/>
      <c r="N78" s="114"/>
      <c r="O78" s="114"/>
      <c r="P78" s="114"/>
      <c r="Q78" s="114"/>
      <c r="S78" s="61" t="s">
        <v>839</v>
      </c>
      <c r="T78" s="62"/>
      <c r="U78" s="62"/>
      <c r="V78" s="63" t="str">
        <f>IF(U76&gt;0,(VLOOKUP(W78,'Lookup Ready-reckoner'!$L$5:$M$1207,2))," ")</f>
        <v xml:space="preserve"> </v>
      </c>
      <c r="W78" s="64" t="str">
        <f>IF(V76&gt;0,(SUM(W76:W77))," ")</f>
        <v xml:space="preserve"> </v>
      </c>
      <c r="X78" s="65"/>
      <c r="Z78" s="61" t="s">
        <v>839</v>
      </c>
      <c r="AA78" s="62"/>
      <c r="AB78" s="62"/>
      <c r="AC78" s="63" t="str">
        <f>IF(AB76&gt;0,(VLOOKUP(AD78,'Lookup Ready-reckoner'!$L$5:$M$1207,2))," ")</f>
        <v xml:space="preserve"> </v>
      </c>
      <c r="AD78" s="64" t="str">
        <f>IF(AC76&gt;0,(SUM(AD76:AD77))," ")</f>
        <v xml:space="preserve"> </v>
      </c>
      <c r="AE78" s="65"/>
    </row>
    <row r="79" spans="1:31" ht="12.75" customHeight="1" thickBot="1">
      <c r="A79"/>
      <c r="B79"/>
      <c r="C79"/>
      <c r="D79"/>
      <c r="E79"/>
      <c r="F79"/>
      <c r="G79"/>
      <c r="H79"/>
      <c r="I79"/>
      <c r="J79"/>
      <c r="S79" s="819"/>
      <c r="T79" s="820"/>
      <c r="U79" s="820"/>
      <c r="V79" s="820"/>
      <c r="W79" s="820"/>
      <c r="X79" s="821"/>
      <c r="Z79" s="797"/>
      <c r="AA79" s="810"/>
      <c r="AB79" s="810"/>
      <c r="AC79" s="810"/>
      <c r="AD79" s="810"/>
      <c r="AE79" s="811"/>
    </row>
    <row r="80" spans="1:31" ht="12.75" customHeight="1">
      <c r="A80"/>
      <c r="B80"/>
      <c r="C80"/>
      <c r="D80"/>
      <c r="E80"/>
      <c r="F80"/>
      <c r="G80"/>
      <c r="H80"/>
      <c r="I80"/>
      <c r="J80"/>
      <c r="S80" s="795" t="s">
        <v>886</v>
      </c>
      <c r="T80" s="796"/>
      <c r="U80" s="808" t="s">
        <v>835</v>
      </c>
      <c r="V80" s="808" t="s">
        <v>836</v>
      </c>
      <c r="W80" s="808" t="s">
        <v>837</v>
      </c>
      <c r="X80" s="806" t="s">
        <v>838</v>
      </c>
      <c r="Z80" s="795" t="s">
        <v>886</v>
      </c>
      <c r="AA80" s="796"/>
      <c r="AB80" s="812" t="s">
        <v>835</v>
      </c>
      <c r="AC80" s="812" t="s">
        <v>836</v>
      </c>
      <c r="AD80" s="812" t="s">
        <v>837</v>
      </c>
      <c r="AE80" s="814" t="s">
        <v>838</v>
      </c>
    </row>
    <row r="81" spans="1:31" ht="12.75" customHeight="1">
      <c r="A81"/>
      <c r="B81"/>
      <c r="C81"/>
      <c r="D81"/>
      <c r="E81"/>
      <c r="F81"/>
      <c r="G81"/>
      <c r="H81"/>
      <c r="I81"/>
      <c r="J81"/>
      <c r="S81" s="797"/>
      <c r="T81" s="798"/>
      <c r="U81" s="809"/>
      <c r="V81" s="809"/>
      <c r="W81" s="809"/>
      <c r="X81" s="807"/>
      <c r="Z81" s="797"/>
      <c r="AA81" s="798"/>
      <c r="AB81" s="813"/>
      <c r="AC81" s="813"/>
      <c r="AD81" s="813"/>
      <c r="AE81" s="815"/>
    </row>
    <row r="82" spans="1:31" ht="12.75" customHeight="1">
      <c r="A82"/>
      <c r="B82"/>
      <c r="C82"/>
      <c r="D82"/>
      <c r="E82"/>
      <c r="F82"/>
      <c r="G82"/>
      <c r="H82"/>
      <c r="I82"/>
      <c r="J82"/>
      <c r="S82" s="797"/>
      <c r="T82" s="798"/>
      <c r="U82" s="59">
        <f>U69-PPE!$I$15</f>
        <v>-13</v>
      </c>
      <c r="V82" s="40">
        <f>+V76</f>
        <v>0</v>
      </c>
      <c r="W82" s="53" t="str">
        <f>IF(U82&gt;0,X82*V82," ")</f>
        <v xml:space="preserve"> </v>
      </c>
      <c r="X82" s="60" t="str">
        <f>IF(U82&gt;0,(VLOOKUP(U82,'Lookup Ready-reckoner'!$B$5:$E$1207,4))," ")</f>
        <v xml:space="preserve"> </v>
      </c>
      <c r="Z82" s="797"/>
      <c r="AA82" s="798"/>
      <c r="AB82" s="59">
        <f>AB69-PPE!$I$15</f>
        <v>-13</v>
      </c>
      <c r="AC82" s="40">
        <f>+AC76</f>
        <v>0</v>
      </c>
      <c r="AD82" s="53" t="str">
        <f>IF(AB82&gt;0,AE82*AC82," ")</f>
        <v xml:space="preserve"> </v>
      </c>
      <c r="AE82" s="60" t="str">
        <f>IF(AB82&gt;0,(VLOOKUP(AB82,'Lookup Ready-reckoner'!$B$5:$E$1207,4))," ")</f>
        <v xml:space="preserve"> </v>
      </c>
    </row>
    <row r="83" spans="1:31" ht="12.75" customHeight="1">
      <c r="A83"/>
      <c r="B83"/>
      <c r="C83"/>
      <c r="D83"/>
      <c r="E83"/>
      <c r="F83"/>
      <c r="G83"/>
      <c r="H83"/>
      <c r="I83"/>
      <c r="J83"/>
      <c r="S83" s="799"/>
      <c r="T83" s="800"/>
      <c r="U83" s="59"/>
      <c r="V83" s="40"/>
      <c r="W83" s="53" t="str">
        <f>IF(U83&gt;0,X83*V83," ")</f>
        <v xml:space="preserve"> </v>
      </c>
      <c r="X83" s="60" t="str">
        <f>IF(U83&gt;0,(VLOOKUP(U83,'Lookup Ready-reckoner'!$B$5:$E$1007,4))," ")</f>
        <v xml:space="preserve"> </v>
      </c>
      <c r="Z83" s="799"/>
      <c r="AA83" s="800"/>
      <c r="AB83" s="59"/>
      <c r="AC83" s="40"/>
      <c r="AD83" s="53" t="str">
        <f>IF(AB83&gt;0,AE83*AC83," ")</f>
        <v xml:space="preserve"> </v>
      </c>
      <c r="AE83" s="60" t="str">
        <f>IF(AB83&gt;0,(VLOOKUP(AB83,'Lookup Ready-reckoner'!$B$5:$E$1007,4))," ")</f>
        <v xml:space="preserve"> </v>
      </c>
    </row>
    <row r="84" spans="1:31" ht="12.75" customHeight="1" thickBot="1">
      <c r="A84"/>
      <c r="B84"/>
      <c r="C84"/>
      <c r="D84"/>
      <c r="E84"/>
      <c r="F84"/>
      <c r="G84"/>
      <c r="H84"/>
      <c r="I84"/>
      <c r="J84"/>
      <c r="S84" s="61" t="s">
        <v>839</v>
      </c>
      <c r="T84" s="62"/>
      <c r="U84" s="62"/>
      <c r="V84" s="63" t="str">
        <f>IF(U82&gt;0,(VLOOKUP(W84,'Lookup Ready-reckoner'!$L$5:$M$1207,2))," ")</f>
        <v xml:space="preserve"> </v>
      </c>
      <c r="W84" s="64" t="str">
        <f>IF(V82&gt;0,(SUM(W82:W83))," ")</f>
        <v xml:space="preserve"> </v>
      </c>
      <c r="X84" s="65"/>
      <c r="Z84" s="61" t="s">
        <v>839</v>
      </c>
      <c r="AA84" s="62"/>
      <c r="AB84" s="62"/>
      <c r="AC84" s="63" t="str">
        <f>IF(AB82&gt;0,(VLOOKUP(AD84,'Lookup Ready-reckoner'!$L$5:$M$1207,2))," ")</f>
        <v xml:space="preserve"> </v>
      </c>
      <c r="AD84" s="64" t="str">
        <f>IF(AC82&gt;0,(SUM(AD82:AD83))," ")</f>
        <v xml:space="preserve"> </v>
      </c>
      <c r="AE84" s="65"/>
    </row>
    <row r="85" spans="1:31" ht="12.75" customHeight="1">
      <c r="A85"/>
      <c r="B85"/>
      <c r="C85"/>
      <c r="D85"/>
      <c r="E85"/>
      <c r="F85"/>
      <c r="G85"/>
      <c r="H85"/>
      <c r="I85"/>
      <c r="J85"/>
    </row>
    <row r="86" spans="1:31" ht="12.75" customHeight="1">
      <c r="A86"/>
      <c r="B86"/>
      <c r="C86"/>
      <c r="D86"/>
      <c r="E86"/>
      <c r="F86"/>
      <c r="G86"/>
      <c r="H86"/>
      <c r="I86"/>
      <c r="J86"/>
    </row>
    <row r="87" spans="1:31" ht="12.75" customHeight="1">
      <c r="A87"/>
      <c r="B87"/>
      <c r="C87"/>
      <c r="D87"/>
      <c r="E87"/>
      <c r="F87"/>
      <c r="G87"/>
      <c r="H87"/>
      <c r="I87"/>
      <c r="J87"/>
    </row>
    <row r="88" spans="1:31" ht="12.75" customHeight="1">
      <c r="A88"/>
      <c r="B88"/>
      <c r="C88"/>
      <c r="D88"/>
      <c r="E88"/>
      <c r="F88"/>
      <c r="G88"/>
      <c r="H88"/>
      <c r="I88"/>
      <c r="J88"/>
      <c r="L88" s="28"/>
      <c r="M88" s="28"/>
      <c r="N88" s="28"/>
      <c r="O88" s="28"/>
      <c r="P88" s="28"/>
    </row>
    <row r="89" spans="1:31" ht="12.75" customHeight="1">
      <c r="A89"/>
      <c r="B89"/>
      <c r="C89"/>
      <c r="D89"/>
      <c r="E89"/>
      <c r="F89"/>
      <c r="G89"/>
      <c r="H89"/>
      <c r="I89"/>
      <c r="J89"/>
      <c r="N89" s="22" t="e">
        <f>(VLOOKUP(E76,'Lookup Exposure Time'!$B$37:$C$139,2))</f>
        <v>#N/A</v>
      </c>
      <c r="O89" s="22" t="e">
        <f>(VLOOKUP(H76,'Lookup Exposure Time'!$B$37:$C$139,2))</f>
        <v>#N/A</v>
      </c>
      <c r="P89" s="28"/>
    </row>
    <row r="90" spans="1:31" ht="12.75" customHeight="1">
      <c r="A90"/>
      <c r="B90"/>
      <c r="C90"/>
      <c r="D90"/>
      <c r="E90"/>
      <c r="F90"/>
      <c r="G90"/>
      <c r="H90"/>
      <c r="I90"/>
      <c r="J90"/>
      <c r="N90" s="22" t="e">
        <f>(VLOOKUP(E77,'Lookup Exposure Time'!$B$37:$C$139,2))</f>
        <v>#N/A</v>
      </c>
      <c r="O90" s="22" t="e">
        <f>(VLOOKUP(H77,'Lookup Exposure Time'!$B$37:$C$139,2))</f>
        <v>#N/A</v>
      </c>
      <c r="P90" s="28"/>
    </row>
    <row r="91" spans="1:31" ht="12.75" customHeight="1">
      <c r="A91"/>
      <c r="B91"/>
      <c r="C91"/>
      <c r="D91"/>
      <c r="E91"/>
      <c r="F91"/>
      <c r="G91"/>
      <c r="H91"/>
      <c r="I91"/>
      <c r="J91"/>
      <c r="L91" s="28"/>
      <c r="M91" s="28"/>
      <c r="N91" s="28"/>
      <c r="O91" s="28"/>
      <c r="P91" s="28"/>
    </row>
    <row r="92" spans="1:31" ht="12.75" customHeight="1">
      <c r="A92"/>
      <c r="B92"/>
      <c r="C92"/>
      <c r="D92"/>
      <c r="E92"/>
      <c r="F92"/>
      <c r="G92"/>
      <c r="H92"/>
      <c r="I92"/>
      <c r="J92"/>
    </row>
    <row r="93" spans="1:31" ht="12.75" customHeight="1">
      <c r="A93"/>
      <c r="B93"/>
      <c r="C93"/>
      <c r="D93"/>
      <c r="E93"/>
      <c r="F93"/>
      <c r="G93"/>
      <c r="H93"/>
      <c r="I93"/>
      <c r="J93"/>
    </row>
    <row r="94" spans="1:31" ht="12.75" customHeight="1">
      <c r="A94"/>
      <c r="B94"/>
      <c r="C94"/>
      <c r="D94"/>
      <c r="E94"/>
      <c r="F94"/>
      <c r="G94"/>
      <c r="H94"/>
      <c r="I94"/>
      <c r="J94"/>
    </row>
    <row r="95" spans="1:31" ht="12.75" customHeight="1">
      <c r="A95"/>
      <c r="B95"/>
      <c r="C95"/>
      <c r="D95"/>
      <c r="E95"/>
      <c r="F95"/>
      <c r="G95"/>
      <c r="H95"/>
      <c r="I95"/>
      <c r="J95"/>
    </row>
    <row r="96" spans="1:31" ht="12.75" customHeight="1">
      <c r="A96"/>
      <c r="B96"/>
      <c r="C96"/>
      <c r="D96"/>
      <c r="E96"/>
      <c r="F96"/>
      <c r="G96"/>
      <c r="H96"/>
      <c r="I96"/>
      <c r="J96"/>
    </row>
    <row r="97" spans="1:10" ht="12.75" customHeight="1">
      <c r="A97"/>
      <c r="B97"/>
      <c r="C97"/>
      <c r="D97"/>
      <c r="E97"/>
      <c r="F97"/>
      <c r="G97"/>
      <c r="H97"/>
      <c r="I97"/>
      <c r="J97"/>
    </row>
    <row r="98" spans="1:10" ht="12.75" customHeight="1">
      <c r="A98"/>
      <c r="B98"/>
      <c r="C98"/>
      <c r="D98"/>
      <c r="E98"/>
      <c r="F98"/>
      <c r="G98"/>
      <c r="H98"/>
      <c r="I98"/>
      <c r="J98"/>
    </row>
    <row r="99" spans="1:10" ht="12.75" customHeight="1">
      <c r="A99"/>
      <c r="B99"/>
      <c r="C99"/>
      <c r="D99"/>
      <c r="E99"/>
      <c r="F99"/>
      <c r="G99"/>
      <c r="H99"/>
      <c r="I99"/>
      <c r="J99"/>
    </row>
    <row r="100" spans="1:10" ht="12.75" customHeight="1">
      <c r="A100"/>
      <c r="B100"/>
      <c r="C100"/>
      <c r="D100"/>
      <c r="E100"/>
      <c r="F100"/>
      <c r="G100"/>
      <c r="H100"/>
      <c r="I100"/>
      <c r="J100"/>
    </row>
    <row r="101" spans="1:10" ht="12.75" customHeight="1">
      <c r="A101"/>
      <c r="B101"/>
      <c r="C101"/>
      <c r="D101"/>
      <c r="E101"/>
      <c r="F101"/>
      <c r="G101"/>
      <c r="H101"/>
      <c r="I101"/>
      <c r="J101"/>
    </row>
    <row r="102" spans="1:10" ht="12.75" customHeight="1">
      <c r="A102"/>
      <c r="B102"/>
      <c r="C102"/>
      <c r="D102"/>
      <c r="E102"/>
      <c r="F102"/>
      <c r="G102"/>
      <c r="H102"/>
      <c r="I102"/>
      <c r="J102"/>
    </row>
    <row r="103" spans="1:10" ht="12.75" customHeight="1">
      <c r="A103"/>
      <c r="B103"/>
      <c r="C103"/>
      <c r="D103"/>
      <c r="E103"/>
      <c r="F103"/>
      <c r="G103"/>
      <c r="H103"/>
      <c r="I103"/>
      <c r="J103"/>
    </row>
    <row r="104" spans="1:10" ht="12.75" customHeight="1">
      <c r="A104"/>
      <c r="B104"/>
      <c r="C104"/>
      <c r="D104"/>
      <c r="E104"/>
      <c r="F104"/>
      <c r="G104"/>
      <c r="H104"/>
      <c r="I104"/>
      <c r="J104"/>
    </row>
    <row r="105" spans="1:10" ht="12.75" customHeight="1">
      <c r="A105"/>
      <c r="B105"/>
      <c r="C105"/>
      <c r="D105"/>
      <c r="E105"/>
      <c r="F105"/>
      <c r="G105"/>
      <c r="H105"/>
      <c r="I105"/>
      <c r="J105"/>
    </row>
    <row r="106" spans="1:10" ht="12.75" customHeight="1">
      <c r="A106"/>
      <c r="B106"/>
      <c r="C106"/>
      <c r="D106"/>
      <c r="E106"/>
      <c r="F106"/>
      <c r="G106"/>
      <c r="H106"/>
      <c r="I106"/>
      <c r="J106"/>
    </row>
    <row r="107" spans="1:10" ht="12.75" customHeight="1">
      <c r="A107"/>
      <c r="B107"/>
      <c r="C107"/>
      <c r="D107"/>
      <c r="E107"/>
      <c r="F107"/>
      <c r="G107"/>
      <c r="H107"/>
      <c r="I107"/>
      <c r="J107"/>
    </row>
    <row r="108" spans="1:10" ht="12.75" customHeight="1">
      <c r="A108"/>
      <c r="B108"/>
      <c r="C108"/>
      <c r="D108"/>
      <c r="E108"/>
      <c r="F108"/>
      <c r="G108"/>
      <c r="H108"/>
      <c r="I108"/>
      <c r="J108"/>
    </row>
    <row r="109" spans="1:10" ht="12.75" customHeight="1">
      <c r="A109"/>
      <c r="B109"/>
      <c r="C109"/>
      <c r="D109"/>
      <c r="E109"/>
      <c r="F109"/>
      <c r="G109"/>
      <c r="H109"/>
      <c r="I109"/>
      <c r="J109"/>
    </row>
    <row r="110" spans="1:10" ht="13.5" customHeight="1">
      <c r="A110"/>
      <c r="B110"/>
      <c r="C110"/>
      <c r="D110"/>
      <c r="E110"/>
      <c r="F110"/>
      <c r="G110"/>
      <c r="H110"/>
      <c r="I110"/>
      <c r="J110"/>
    </row>
    <row r="111" spans="1:10" ht="13.5" customHeight="1">
      <c r="A111"/>
      <c r="B111"/>
      <c r="C111"/>
      <c r="D111"/>
      <c r="E111"/>
      <c r="F111"/>
      <c r="G111"/>
      <c r="H111"/>
      <c r="I111"/>
      <c r="J111"/>
    </row>
    <row r="112" spans="1:10" ht="13.5" customHeight="1">
      <c r="A112"/>
      <c r="B112"/>
      <c r="C112"/>
      <c r="D112"/>
      <c r="E112"/>
      <c r="F112"/>
      <c r="G112"/>
      <c r="H112"/>
      <c r="I112"/>
      <c r="J112"/>
    </row>
    <row r="113" spans="1:10" ht="13.5" customHeight="1">
      <c r="A113"/>
      <c r="B113"/>
      <c r="C113"/>
      <c r="D113"/>
      <c r="E113"/>
      <c r="F113"/>
      <c r="G113"/>
      <c r="H113"/>
      <c r="I113"/>
      <c r="J113"/>
    </row>
    <row r="114" spans="1:10" ht="13.5" customHeight="1">
      <c r="A114"/>
      <c r="B114"/>
      <c r="C114"/>
      <c r="D114"/>
      <c r="E114"/>
      <c r="F114"/>
      <c r="G114"/>
      <c r="H114"/>
      <c r="I114"/>
      <c r="J114"/>
    </row>
    <row r="115" spans="1:10" ht="12.75" customHeight="1">
      <c r="A115"/>
      <c r="B115"/>
      <c r="C115"/>
      <c r="D115"/>
      <c r="E115"/>
      <c r="F115"/>
      <c r="G115"/>
      <c r="H115"/>
      <c r="I115"/>
      <c r="J115"/>
    </row>
    <row r="116" spans="1:10" ht="12.75" customHeight="1">
      <c r="A116"/>
      <c r="B116"/>
      <c r="C116"/>
      <c r="D116"/>
      <c r="E116"/>
      <c r="F116"/>
      <c r="G116"/>
      <c r="H116"/>
      <c r="I116"/>
      <c r="J116"/>
    </row>
    <row r="117" spans="1:10" ht="12.75" customHeight="1">
      <c r="A117"/>
      <c r="B117"/>
      <c r="C117"/>
      <c r="D117"/>
      <c r="E117"/>
      <c r="F117"/>
      <c r="G117"/>
      <c r="H117"/>
      <c r="I117"/>
      <c r="J117"/>
    </row>
    <row r="118" spans="1:10" ht="12.75" customHeight="1">
      <c r="A118"/>
      <c r="B118"/>
      <c r="C118"/>
      <c r="D118"/>
      <c r="E118"/>
      <c r="F118"/>
      <c r="G118"/>
      <c r="H118"/>
      <c r="I118"/>
      <c r="J118"/>
    </row>
    <row r="119" spans="1:10" ht="12.75" customHeight="1">
      <c r="A119"/>
      <c r="B119"/>
      <c r="C119"/>
      <c r="D119"/>
      <c r="E119"/>
      <c r="F119"/>
      <c r="G119"/>
      <c r="H119"/>
      <c r="I119"/>
      <c r="J119"/>
    </row>
    <row r="120" spans="1:10" ht="12.75" customHeight="1">
      <c r="A120"/>
      <c r="B120"/>
      <c r="C120"/>
      <c r="D120"/>
      <c r="E120"/>
      <c r="F120"/>
      <c r="G120"/>
      <c r="H120"/>
      <c r="I120"/>
      <c r="J120"/>
    </row>
    <row r="121" spans="1:10" ht="12.75" customHeight="1">
      <c r="A121"/>
      <c r="B121"/>
      <c r="C121"/>
      <c r="D121"/>
      <c r="E121"/>
      <c r="F121"/>
      <c r="G121"/>
      <c r="H121"/>
      <c r="I121"/>
      <c r="J121"/>
    </row>
    <row r="122" spans="1:10" ht="12.75" customHeight="1">
      <c r="A122"/>
      <c r="B122"/>
      <c r="C122"/>
      <c r="D122"/>
      <c r="E122"/>
      <c r="F122"/>
      <c r="G122"/>
      <c r="H122"/>
      <c r="I122"/>
      <c r="J122"/>
    </row>
    <row r="123" spans="1:10" ht="12.75" customHeight="1">
      <c r="A123"/>
      <c r="B123"/>
      <c r="C123"/>
      <c r="D123"/>
      <c r="E123"/>
      <c r="F123"/>
      <c r="G123"/>
      <c r="H123"/>
      <c r="I123"/>
      <c r="J123"/>
    </row>
    <row r="124" spans="1:10" ht="12.75" customHeight="1">
      <c r="A124"/>
      <c r="B124"/>
      <c r="C124"/>
      <c r="D124"/>
      <c r="E124"/>
      <c r="F124"/>
      <c r="G124"/>
      <c r="H124"/>
      <c r="I124"/>
      <c r="J124"/>
    </row>
    <row r="125" spans="1:10" ht="12.75" customHeight="1">
      <c r="A125"/>
      <c r="B125"/>
      <c r="C125"/>
      <c r="D125"/>
      <c r="E125"/>
      <c r="F125"/>
      <c r="G125"/>
      <c r="H125"/>
      <c r="I125"/>
      <c r="J125"/>
    </row>
    <row r="126" spans="1:10" ht="12.75" customHeight="1">
      <c r="A126"/>
      <c r="B126"/>
      <c r="C126"/>
      <c r="D126"/>
      <c r="E126"/>
      <c r="F126"/>
      <c r="G126"/>
      <c r="H126"/>
      <c r="I126"/>
      <c r="J126"/>
    </row>
    <row r="127" spans="1:10" ht="12.75" customHeight="1">
      <c r="A127"/>
      <c r="B127"/>
      <c r="C127"/>
      <c r="D127"/>
      <c r="E127"/>
      <c r="F127"/>
      <c r="G127"/>
      <c r="H127"/>
      <c r="I127"/>
      <c r="J127"/>
    </row>
    <row r="128" spans="1:10" ht="12.75" customHeight="1">
      <c r="A128"/>
      <c r="B128"/>
      <c r="C128"/>
      <c r="D128"/>
      <c r="E128"/>
      <c r="F128"/>
      <c r="G128"/>
      <c r="H128"/>
      <c r="I128"/>
      <c r="J128"/>
    </row>
    <row r="129" spans="1:10" ht="12.75" customHeight="1">
      <c r="A129"/>
      <c r="B129"/>
      <c r="C129"/>
      <c r="D129"/>
      <c r="E129"/>
      <c r="F129"/>
      <c r="G129"/>
      <c r="H129"/>
      <c r="I129"/>
      <c r="J129"/>
    </row>
    <row r="130" spans="1:10" ht="12.75" customHeight="1">
      <c r="A130"/>
      <c r="B130"/>
      <c r="C130"/>
      <c r="D130"/>
      <c r="E130"/>
      <c r="F130"/>
      <c r="G130"/>
      <c r="H130"/>
      <c r="I130"/>
      <c r="J130"/>
    </row>
    <row r="131" spans="1:10" ht="12.75" customHeight="1">
      <c r="A131"/>
      <c r="B131"/>
      <c r="C131"/>
      <c r="D131"/>
      <c r="E131"/>
      <c r="F131"/>
      <c r="G131"/>
      <c r="H131"/>
      <c r="I131"/>
      <c r="J131"/>
    </row>
    <row r="132" spans="1:10" ht="12.75" customHeight="1">
      <c r="A132"/>
      <c r="B132"/>
      <c r="C132"/>
      <c r="D132"/>
      <c r="E132"/>
      <c r="F132"/>
      <c r="G132"/>
      <c r="H132"/>
      <c r="I132"/>
      <c r="J132"/>
    </row>
    <row r="133" spans="1:10" ht="12.75" customHeight="1">
      <c r="A133"/>
      <c r="B133"/>
      <c r="C133"/>
      <c r="D133"/>
      <c r="E133"/>
      <c r="F133"/>
      <c r="G133"/>
      <c r="H133"/>
      <c r="I133"/>
      <c r="J133"/>
    </row>
    <row r="134" spans="1:10" ht="12.75" customHeight="1">
      <c r="A134"/>
      <c r="B134"/>
      <c r="C134"/>
      <c r="D134"/>
      <c r="E134"/>
      <c r="F134"/>
      <c r="G134"/>
      <c r="H134"/>
      <c r="I134"/>
      <c r="J134"/>
    </row>
    <row r="135" spans="1:10" ht="12.75" customHeight="1">
      <c r="A135"/>
      <c r="B135"/>
      <c r="C135"/>
      <c r="D135"/>
      <c r="E135"/>
      <c r="F135"/>
      <c r="G135"/>
      <c r="H135"/>
      <c r="I135"/>
      <c r="J135"/>
    </row>
    <row r="136" spans="1:10" ht="12.75" customHeight="1">
      <c r="A136"/>
      <c r="B136"/>
      <c r="C136"/>
      <c r="D136"/>
      <c r="E136"/>
      <c r="F136"/>
      <c r="G136"/>
      <c r="H136"/>
      <c r="I136"/>
      <c r="J136"/>
    </row>
    <row r="137" spans="1:10" ht="12.75" customHeight="1">
      <c r="A137"/>
      <c r="B137"/>
      <c r="C137"/>
      <c r="D137"/>
      <c r="E137"/>
      <c r="F137"/>
      <c r="G137"/>
      <c r="H137"/>
      <c r="I137"/>
      <c r="J137"/>
    </row>
    <row r="138" spans="1:10" ht="12.75" customHeight="1">
      <c r="A138"/>
      <c r="B138"/>
      <c r="C138"/>
      <c r="D138"/>
      <c r="E138"/>
      <c r="F138"/>
      <c r="G138"/>
      <c r="H138"/>
      <c r="I138"/>
      <c r="J138"/>
    </row>
    <row r="139" spans="1:10" ht="12.75" customHeight="1">
      <c r="A139"/>
      <c r="B139"/>
      <c r="C139"/>
      <c r="D139"/>
      <c r="E139"/>
      <c r="F139"/>
      <c r="G139"/>
      <c r="H139"/>
      <c r="I139"/>
      <c r="J139"/>
    </row>
    <row r="140" spans="1:10" ht="12.75" customHeight="1">
      <c r="A140"/>
      <c r="B140"/>
      <c r="C140"/>
      <c r="D140"/>
      <c r="E140"/>
      <c r="F140"/>
      <c r="G140"/>
      <c r="H140"/>
      <c r="I140"/>
      <c r="J140"/>
    </row>
    <row r="141" spans="1:10" ht="12.75" customHeight="1">
      <c r="A141"/>
      <c r="B141"/>
      <c r="C141"/>
      <c r="D141"/>
      <c r="E141"/>
      <c r="F141"/>
      <c r="G141"/>
      <c r="H141"/>
      <c r="I141"/>
      <c r="J141"/>
    </row>
    <row r="142" spans="1:10" ht="12.75" customHeight="1">
      <c r="A142"/>
      <c r="B142"/>
      <c r="C142"/>
      <c r="D142"/>
      <c r="E142"/>
      <c r="F142"/>
      <c r="G142"/>
      <c r="H142"/>
      <c r="I142"/>
      <c r="J142"/>
    </row>
    <row r="143" spans="1:10" ht="12.75" customHeight="1">
      <c r="A143"/>
      <c r="B143"/>
      <c r="C143"/>
      <c r="D143"/>
      <c r="E143"/>
      <c r="F143"/>
      <c r="G143"/>
      <c r="H143"/>
      <c r="I143"/>
      <c r="J143"/>
    </row>
    <row r="144" spans="1:10" ht="12.75" customHeight="1">
      <c r="A144"/>
      <c r="B144"/>
      <c r="C144"/>
      <c r="D144"/>
      <c r="E144"/>
      <c r="F144"/>
      <c r="G144"/>
      <c r="H144"/>
      <c r="I144"/>
      <c r="J144"/>
    </row>
    <row r="145" spans="1:10" ht="12.75" customHeight="1">
      <c r="A145"/>
      <c r="B145"/>
      <c r="C145"/>
      <c r="D145"/>
      <c r="E145"/>
      <c r="F145"/>
      <c r="G145"/>
      <c r="H145"/>
      <c r="I145"/>
      <c r="J145"/>
    </row>
    <row r="146" spans="1:10" ht="12.75" customHeight="1">
      <c r="A146"/>
      <c r="B146"/>
      <c r="C146"/>
      <c r="D146"/>
      <c r="E146"/>
      <c r="F146"/>
      <c r="G146"/>
      <c r="H146"/>
      <c r="I146"/>
      <c r="J146"/>
    </row>
    <row r="147" spans="1:10" ht="12.75" customHeight="1">
      <c r="A147"/>
      <c r="B147"/>
      <c r="C147"/>
      <c r="D147"/>
      <c r="E147"/>
      <c r="F147"/>
      <c r="G147"/>
      <c r="H147"/>
      <c r="I147"/>
      <c r="J147"/>
    </row>
    <row r="148" spans="1:10" ht="12.75" customHeight="1">
      <c r="A148"/>
      <c r="B148"/>
      <c r="C148"/>
      <c r="D148"/>
      <c r="E148"/>
      <c r="F148"/>
      <c r="G148"/>
      <c r="H148"/>
      <c r="I148"/>
      <c r="J148"/>
    </row>
    <row r="149" spans="1:10" ht="12.75" customHeight="1">
      <c r="A149"/>
      <c r="B149"/>
      <c r="C149"/>
      <c r="D149"/>
      <c r="E149"/>
      <c r="F149"/>
      <c r="G149"/>
      <c r="H149"/>
      <c r="I149"/>
      <c r="J149"/>
    </row>
    <row r="150" spans="1:10" ht="12.75" customHeight="1">
      <c r="A150"/>
      <c r="B150"/>
      <c r="C150"/>
      <c r="D150"/>
      <c r="E150"/>
      <c r="F150"/>
      <c r="G150"/>
      <c r="H150"/>
      <c r="I150"/>
      <c r="J150"/>
    </row>
    <row r="151" spans="1:10" ht="12.75" customHeight="1">
      <c r="A151"/>
      <c r="B151"/>
      <c r="C151"/>
      <c r="D151"/>
      <c r="E151"/>
      <c r="F151"/>
      <c r="G151"/>
      <c r="H151"/>
      <c r="I151"/>
      <c r="J151"/>
    </row>
    <row r="152" spans="1:10" ht="12.75" customHeight="1">
      <c r="A152"/>
      <c r="B152"/>
      <c r="C152"/>
      <c r="D152"/>
      <c r="E152"/>
      <c r="F152"/>
      <c r="G152"/>
      <c r="H152"/>
      <c r="I152"/>
      <c r="J152"/>
    </row>
    <row r="153" spans="1:10" ht="12.75" customHeight="1">
      <c r="A153"/>
      <c r="B153"/>
      <c r="C153"/>
      <c r="D153"/>
      <c r="E153"/>
      <c r="F153"/>
      <c r="G153"/>
      <c r="H153"/>
      <c r="I153"/>
      <c r="J153"/>
    </row>
    <row r="154" spans="1:10" ht="12.75" customHeight="1">
      <c r="A154"/>
      <c r="B154"/>
      <c r="C154"/>
      <c r="D154"/>
      <c r="E154"/>
      <c r="F154"/>
      <c r="G154"/>
      <c r="H154"/>
      <c r="I154"/>
      <c r="J154"/>
    </row>
    <row r="155" spans="1:10" ht="12.75" customHeight="1">
      <c r="A155"/>
      <c r="B155"/>
      <c r="C155"/>
      <c r="D155"/>
      <c r="E155"/>
      <c r="F155"/>
      <c r="G155"/>
      <c r="H155"/>
      <c r="I155"/>
      <c r="J155"/>
    </row>
    <row r="156" spans="1:10" ht="12.75" customHeight="1">
      <c r="A156"/>
      <c r="B156"/>
      <c r="C156"/>
      <c r="D156"/>
      <c r="E156"/>
      <c r="F156"/>
      <c r="G156"/>
      <c r="H156"/>
      <c r="I156"/>
      <c r="J156"/>
    </row>
    <row r="157" spans="1:10" ht="12.75" customHeight="1">
      <c r="A157"/>
      <c r="B157"/>
      <c r="C157"/>
      <c r="D157"/>
      <c r="E157"/>
      <c r="F157"/>
      <c r="G157"/>
      <c r="H157"/>
      <c r="I157"/>
      <c r="J157"/>
    </row>
    <row r="158" spans="1:10" ht="12.75" customHeight="1">
      <c r="A158"/>
      <c r="B158"/>
      <c r="C158"/>
      <c r="D158"/>
      <c r="E158"/>
      <c r="F158"/>
      <c r="G158"/>
      <c r="H158"/>
      <c r="I158"/>
      <c r="J158"/>
    </row>
    <row r="159" spans="1:10" ht="12.75" customHeight="1">
      <c r="A159"/>
      <c r="B159"/>
      <c r="C159"/>
      <c r="D159"/>
      <c r="E159"/>
      <c r="F159"/>
      <c r="G159"/>
      <c r="H159"/>
      <c r="I159"/>
      <c r="J159"/>
    </row>
    <row r="160" spans="1:10" ht="12.75" customHeight="1">
      <c r="A160"/>
      <c r="B160"/>
      <c r="C160"/>
      <c r="D160"/>
      <c r="E160"/>
      <c r="F160"/>
      <c r="G160"/>
      <c r="H160"/>
      <c r="I160"/>
      <c r="J160"/>
    </row>
    <row r="161" spans="1:10" ht="12.75" customHeight="1">
      <c r="A161"/>
      <c r="B161"/>
      <c r="C161"/>
      <c r="D161"/>
      <c r="E161"/>
      <c r="F161"/>
      <c r="G161"/>
      <c r="H161"/>
      <c r="I161"/>
      <c r="J161"/>
    </row>
    <row r="162" spans="1:10" ht="12.75" customHeight="1">
      <c r="A162"/>
      <c r="B162"/>
      <c r="C162"/>
      <c r="D162"/>
      <c r="E162"/>
      <c r="F162"/>
      <c r="G162"/>
      <c r="H162"/>
      <c r="I162"/>
      <c r="J162"/>
    </row>
    <row r="163" spans="1:10" ht="12.75" customHeight="1">
      <c r="A163"/>
      <c r="B163"/>
      <c r="C163"/>
      <c r="D163"/>
      <c r="E163"/>
      <c r="F163"/>
      <c r="G163"/>
      <c r="H163"/>
      <c r="I163"/>
      <c r="J163"/>
    </row>
    <row r="164" spans="1:10" ht="12.75" customHeight="1">
      <c r="A164"/>
      <c r="B164"/>
      <c r="C164"/>
      <c r="D164"/>
      <c r="E164"/>
      <c r="F164"/>
      <c r="G164"/>
      <c r="H164"/>
      <c r="I164"/>
      <c r="J164"/>
    </row>
    <row r="165" spans="1:10" ht="12.75" customHeight="1">
      <c r="A165"/>
      <c r="B165"/>
      <c r="C165"/>
      <c r="D165"/>
      <c r="E165"/>
      <c r="F165"/>
      <c r="G165"/>
      <c r="H165"/>
      <c r="I165"/>
      <c r="J165"/>
    </row>
    <row r="166" spans="1:10" ht="12.75" customHeight="1">
      <c r="A166"/>
      <c r="B166"/>
      <c r="C166"/>
      <c r="D166"/>
      <c r="E166"/>
      <c r="F166"/>
      <c r="G166"/>
      <c r="H166"/>
      <c r="I166"/>
      <c r="J166"/>
    </row>
    <row r="167" spans="1:10" ht="12.75" customHeight="1">
      <c r="A167"/>
      <c r="B167"/>
      <c r="C167"/>
      <c r="D167"/>
      <c r="E167"/>
      <c r="F167"/>
      <c r="G167"/>
      <c r="H167"/>
      <c r="I167"/>
      <c r="J167"/>
    </row>
    <row r="168" spans="1:10" ht="12.75" customHeight="1">
      <c r="A168"/>
      <c r="B168"/>
      <c r="C168"/>
      <c r="D168"/>
      <c r="E168"/>
      <c r="F168"/>
      <c r="G168"/>
      <c r="H168"/>
      <c r="I168"/>
      <c r="J168"/>
    </row>
    <row r="169" spans="1:10" ht="12.75" customHeight="1">
      <c r="A169"/>
      <c r="B169"/>
      <c r="C169"/>
      <c r="D169"/>
      <c r="E169"/>
      <c r="F169"/>
      <c r="G169"/>
      <c r="H169"/>
      <c r="I169"/>
      <c r="J169"/>
    </row>
    <row r="170" spans="1:10" ht="12.75" customHeight="1">
      <c r="A170"/>
      <c r="B170"/>
      <c r="C170"/>
      <c r="D170"/>
      <c r="E170"/>
      <c r="F170"/>
      <c r="G170"/>
      <c r="H170"/>
      <c r="I170"/>
      <c r="J170"/>
    </row>
    <row r="171" spans="1:10" ht="12.75" customHeight="1">
      <c r="A171"/>
      <c r="B171"/>
      <c r="C171"/>
      <c r="D171"/>
      <c r="E171"/>
      <c r="F171"/>
      <c r="G171"/>
      <c r="H171"/>
      <c r="I171"/>
      <c r="J171"/>
    </row>
    <row r="172" spans="1:10" ht="12.75" customHeight="1">
      <c r="A172"/>
      <c r="B172"/>
      <c r="C172"/>
      <c r="D172"/>
      <c r="E172"/>
      <c r="F172"/>
      <c r="G172"/>
      <c r="H172"/>
      <c r="I172"/>
      <c r="J172"/>
    </row>
    <row r="173" spans="1:10" ht="12.75" customHeight="1">
      <c r="A173"/>
      <c r="B173"/>
      <c r="C173"/>
      <c r="D173"/>
      <c r="E173"/>
      <c r="F173"/>
      <c r="G173"/>
      <c r="H173"/>
      <c r="I173"/>
      <c r="J173"/>
    </row>
    <row r="174" spans="1:10" ht="12.75" customHeight="1">
      <c r="A174"/>
      <c r="B174"/>
      <c r="C174"/>
      <c r="D174"/>
      <c r="E174"/>
      <c r="F174"/>
      <c r="G174"/>
      <c r="H174"/>
      <c r="I174"/>
      <c r="J174"/>
    </row>
    <row r="175" spans="1:10" ht="12.75" customHeight="1">
      <c r="A175"/>
      <c r="B175"/>
      <c r="C175"/>
      <c r="D175"/>
      <c r="E175"/>
      <c r="F175"/>
      <c r="G175"/>
      <c r="H175"/>
      <c r="I175"/>
      <c r="J175"/>
    </row>
    <row r="176" spans="1:10" ht="12.75" customHeight="1">
      <c r="A176"/>
      <c r="B176"/>
      <c r="C176"/>
      <c r="D176"/>
      <c r="E176"/>
      <c r="F176"/>
      <c r="G176"/>
      <c r="H176"/>
      <c r="I176"/>
      <c r="J176"/>
    </row>
    <row r="177" spans="1:12" ht="12.75" customHeight="1">
      <c r="A177"/>
      <c r="B177"/>
      <c r="C177"/>
      <c r="D177"/>
      <c r="E177"/>
      <c r="F177"/>
      <c r="G177"/>
      <c r="H177"/>
      <c r="I177"/>
      <c r="J177"/>
    </row>
    <row r="178" spans="1:12" ht="12.75" customHeight="1">
      <c r="A178"/>
      <c r="B178"/>
      <c r="C178"/>
      <c r="D178"/>
      <c r="E178"/>
      <c r="F178"/>
      <c r="G178"/>
      <c r="H178"/>
      <c r="I178"/>
      <c r="J178"/>
    </row>
    <row r="179" spans="1:12" ht="12.75" customHeight="1">
      <c r="A179"/>
      <c r="B179"/>
      <c r="C179"/>
      <c r="D179"/>
      <c r="E179"/>
      <c r="F179"/>
      <c r="G179"/>
      <c r="H179"/>
      <c r="I179"/>
      <c r="J179"/>
    </row>
    <row r="180" spans="1:12" ht="12.75" customHeight="1">
      <c r="A180"/>
      <c r="B180"/>
      <c r="C180"/>
      <c r="D180"/>
      <c r="E180"/>
      <c r="F180"/>
      <c r="G180"/>
      <c r="H180"/>
      <c r="I180"/>
      <c r="J180"/>
    </row>
    <row r="181" spans="1:12" ht="12.75" customHeight="1">
      <c r="A181"/>
      <c r="B181"/>
      <c r="C181"/>
      <c r="D181"/>
      <c r="E181"/>
      <c r="F181"/>
      <c r="G181"/>
      <c r="H181"/>
      <c r="I181"/>
      <c r="J181"/>
    </row>
    <row r="182" spans="1:12" ht="12.75" customHeight="1">
      <c r="A182"/>
      <c r="B182"/>
      <c r="C182"/>
      <c r="D182"/>
      <c r="E182"/>
      <c r="F182"/>
      <c r="G182"/>
      <c r="H182"/>
      <c r="I182"/>
      <c r="J182"/>
    </row>
    <row r="183" spans="1:12" ht="12.75" customHeight="1">
      <c r="A183"/>
      <c r="B183"/>
      <c r="C183"/>
      <c r="D183"/>
      <c r="E183"/>
      <c r="F183"/>
      <c r="G183"/>
      <c r="H183"/>
      <c r="I183"/>
      <c r="J183"/>
    </row>
    <row r="184" spans="1:12" ht="12.75" customHeight="1">
      <c r="A184"/>
      <c r="B184"/>
      <c r="C184"/>
      <c r="D184"/>
      <c r="E184"/>
      <c r="F184"/>
      <c r="G184"/>
      <c r="H184"/>
      <c r="I184"/>
      <c r="J184"/>
    </row>
    <row r="185" spans="1:12" ht="12.75" customHeight="1">
      <c r="A185"/>
      <c r="B185"/>
      <c r="C185"/>
      <c r="D185"/>
      <c r="E185"/>
      <c r="F185"/>
      <c r="G185"/>
      <c r="H185"/>
      <c r="I185"/>
      <c r="J185"/>
    </row>
    <row r="186" spans="1:12" ht="12.75" customHeight="1">
      <c r="A186"/>
      <c r="B186"/>
      <c r="C186"/>
      <c r="D186"/>
      <c r="E186"/>
      <c r="F186"/>
      <c r="G186"/>
      <c r="H186"/>
      <c r="I186"/>
      <c r="J186"/>
      <c r="L186" s="20"/>
    </row>
    <row r="187" spans="1:12" ht="12.75" customHeight="1">
      <c r="A187"/>
      <c r="B187"/>
      <c r="C187"/>
      <c r="D187"/>
      <c r="E187"/>
      <c r="F187"/>
      <c r="G187"/>
      <c r="H187"/>
      <c r="I187"/>
      <c r="J187"/>
      <c r="L187" s="20"/>
    </row>
    <row r="188" spans="1:12" ht="12.75" customHeight="1">
      <c r="A188"/>
      <c r="B188"/>
      <c r="C188"/>
      <c r="D188"/>
      <c r="E188"/>
      <c r="F188"/>
      <c r="G188"/>
      <c r="H188"/>
      <c r="I188"/>
      <c r="J188"/>
      <c r="L188" s="20"/>
    </row>
    <row r="189" spans="1:12" ht="12.75" customHeight="1">
      <c r="A189"/>
      <c r="B189"/>
      <c r="C189"/>
      <c r="D189"/>
      <c r="E189"/>
      <c r="F189"/>
      <c r="G189"/>
      <c r="H189"/>
      <c r="I189"/>
      <c r="J189"/>
      <c r="L189" s="20"/>
    </row>
    <row r="190" spans="1:12" ht="12.75" customHeight="1">
      <c r="A190"/>
      <c r="B190"/>
      <c r="C190"/>
      <c r="D190"/>
      <c r="E190"/>
      <c r="F190"/>
      <c r="G190"/>
      <c r="H190"/>
      <c r="I190"/>
      <c r="J190"/>
      <c r="L190" s="20"/>
    </row>
    <row r="191" spans="1:12" ht="12.75" customHeight="1">
      <c r="A191"/>
      <c r="B191"/>
      <c r="C191"/>
      <c r="D191"/>
      <c r="E191"/>
      <c r="F191"/>
      <c r="G191"/>
      <c r="H191"/>
      <c r="I191"/>
      <c r="J191"/>
      <c r="L191" s="20"/>
    </row>
    <row r="192" spans="1:12" ht="12.75" customHeight="1">
      <c r="A192"/>
      <c r="B192"/>
      <c r="C192"/>
      <c r="D192"/>
      <c r="E192"/>
      <c r="F192"/>
      <c r="G192"/>
      <c r="H192"/>
      <c r="I192"/>
      <c r="J192"/>
      <c r="L192" s="20"/>
    </row>
    <row r="193" spans="1:12" ht="12.75" customHeight="1">
      <c r="A193"/>
      <c r="B193"/>
      <c r="C193"/>
      <c r="D193"/>
      <c r="E193"/>
      <c r="F193"/>
      <c r="G193"/>
      <c r="H193"/>
      <c r="I193"/>
      <c r="J193"/>
      <c r="L193" s="20"/>
    </row>
    <row r="194" spans="1:12" ht="12.75" customHeight="1">
      <c r="A194"/>
      <c r="B194"/>
      <c r="C194"/>
      <c r="D194"/>
      <c r="E194"/>
      <c r="F194"/>
      <c r="G194"/>
      <c r="H194"/>
      <c r="I194"/>
      <c r="J194"/>
      <c r="L194" s="25"/>
    </row>
    <row r="195" spans="1:12" ht="12.75" customHeight="1">
      <c r="A195"/>
      <c r="B195"/>
      <c r="C195"/>
      <c r="D195"/>
      <c r="E195"/>
      <c r="F195"/>
      <c r="G195"/>
      <c r="H195"/>
      <c r="I195"/>
      <c r="J195"/>
      <c r="L195" s="25"/>
    </row>
    <row r="196" spans="1:12" ht="12.75" customHeight="1">
      <c r="A196"/>
      <c r="B196"/>
      <c r="C196"/>
      <c r="D196"/>
      <c r="E196"/>
      <c r="F196"/>
      <c r="G196"/>
      <c r="H196"/>
      <c r="I196"/>
      <c r="J196"/>
      <c r="L196" s="25"/>
    </row>
    <row r="197" spans="1:12" ht="12.75" customHeight="1">
      <c r="A197"/>
      <c r="B197"/>
      <c r="C197"/>
      <c r="D197"/>
      <c r="E197"/>
      <c r="F197"/>
      <c r="G197"/>
      <c r="H197"/>
      <c r="I197"/>
      <c r="J197"/>
      <c r="L197" s="31"/>
    </row>
    <row r="198" spans="1:12" ht="12.75" customHeight="1">
      <c r="A198"/>
      <c r="B198"/>
      <c r="C198"/>
      <c r="D198"/>
      <c r="E198"/>
      <c r="F198"/>
      <c r="G198"/>
      <c r="H198"/>
      <c r="I198"/>
      <c r="J198"/>
      <c r="L198" s="31"/>
    </row>
    <row r="199" spans="1:12" ht="12.75" customHeight="1">
      <c r="A199"/>
      <c r="B199"/>
      <c r="C199"/>
      <c r="D199"/>
      <c r="E199"/>
      <c r="F199"/>
      <c r="G199"/>
      <c r="H199"/>
      <c r="I199"/>
      <c r="J199"/>
      <c r="L199" s="31"/>
    </row>
    <row r="200" spans="1:12" ht="12.75" customHeight="1">
      <c r="A200"/>
      <c r="B200"/>
      <c r="C200"/>
      <c r="D200"/>
      <c r="E200"/>
      <c r="F200"/>
      <c r="G200"/>
      <c r="H200"/>
      <c r="I200"/>
      <c r="J200"/>
      <c r="L200" s="31"/>
    </row>
    <row r="201" spans="1:12" ht="12.75" customHeight="1">
      <c r="A201"/>
      <c r="B201"/>
      <c r="C201"/>
      <c r="D201"/>
      <c r="E201"/>
      <c r="F201"/>
      <c r="G201"/>
      <c r="H201"/>
      <c r="I201"/>
      <c r="J201"/>
      <c r="L201" s="31"/>
    </row>
    <row r="202" spans="1:12" ht="12.75" customHeight="1">
      <c r="A202"/>
      <c r="B202"/>
      <c r="C202"/>
      <c r="D202"/>
      <c r="E202"/>
      <c r="F202"/>
      <c r="G202"/>
      <c r="H202"/>
      <c r="I202"/>
      <c r="J202"/>
      <c r="L202" s="31"/>
    </row>
    <row r="203" spans="1:12" ht="12.75" customHeight="1">
      <c r="A203"/>
      <c r="B203"/>
      <c r="C203"/>
      <c r="D203"/>
      <c r="E203"/>
      <c r="F203"/>
      <c r="G203"/>
      <c r="H203"/>
      <c r="I203"/>
      <c r="J203"/>
      <c r="L203" s="31"/>
    </row>
    <row r="204" spans="1:12" ht="12.75" customHeight="1">
      <c r="A204"/>
      <c r="B204"/>
      <c r="C204"/>
      <c r="D204"/>
      <c r="E204"/>
      <c r="F204"/>
      <c r="G204"/>
      <c r="H204"/>
      <c r="I204"/>
      <c r="J204"/>
      <c r="L204" s="31"/>
    </row>
    <row r="205" spans="1:12" ht="12.75" customHeight="1">
      <c r="A205"/>
      <c r="B205"/>
      <c r="C205"/>
      <c r="D205"/>
      <c r="E205"/>
      <c r="F205"/>
      <c r="G205"/>
      <c r="H205"/>
      <c r="I205"/>
      <c r="J205"/>
      <c r="L205" s="31"/>
    </row>
    <row r="206" spans="1:12" ht="12.75" customHeight="1">
      <c r="A206"/>
      <c r="B206"/>
      <c r="C206"/>
      <c r="D206"/>
      <c r="E206"/>
      <c r="F206"/>
      <c r="G206"/>
      <c r="H206"/>
      <c r="I206"/>
      <c r="J206"/>
      <c r="L206" s="31"/>
    </row>
    <row r="207" spans="1:12" ht="12.75" customHeight="1">
      <c r="A207"/>
      <c r="B207"/>
      <c r="C207"/>
      <c r="D207"/>
      <c r="E207"/>
      <c r="F207"/>
      <c r="G207"/>
      <c r="H207"/>
      <c r="I207"/>
      <c r="J207"/>
      <c r="L207" s="31"/>
    </row>
    <row r="208" spans="1:12" ht="12.75" customHeight="1">
      <c r="A208"/>
      <c r="B208"/>
      <c r="C208"/>
      <c r="D208"/>
      <c r="E208"/>
      <c r="F208"/>
      <c r="G208"/>
      <c r="H208"/>
      <c r="I208"/>
      <c r="J208"/>
      <c r="L208" s="31"/>
    </row>
    <row r="209" spans="1:12" ht="12.75" customHeight="1">
      <c r="A209"/>
      <c r="B209"/>
      <c r="C209"/>
      <c r="D209"/>
      <c r="E209"/>
      <c r="F209"/>
      <c r="G209"/>
      <c r="H209"/>
      <c r="I209"/>
      <c r="J209"/>
      <c r="L209" s="31"/>
    </row>
    <row r="210" spans="1:12" ht="12.75" customHeight="1">
      <c r="A210"/>
      <c r="B210"/>
      <c r="C210"/>
      <c r="D210"/>
      <c r="E210"/>
      <c r="F210"/>
      <c r="G210"/>
      <c r="H210"/>
      <c r="I210"/>
      <c r="J210"/>
      <c r="L210" s="31"/>
    </row>
    <row r="211" spans="1:12" ht="12.75" customHeight="1">
      <c r="A211"/>
      <c r="B211"/>
      <c r="C211"/>
      <c r="D211"/>
      <c r="E211"/>
      <c r="F211"/>
      <c r="G211"/>
      <c r="H211"/>
      <c r="I211"/>
      <c r="J211"/>
      <c r="L211" s="31"/>
    </row>
    <row r="212" spans="1:12" ht="12.75" customHeight="1">
      <c r="A212"/>
      <c r="B212"/>
      <c r="C212"/>
      <c r="D212"/>
      <c r="E212"/>
      <c r="F212"/>
      <c r="G212"/>
      <c r="H212"/>
      <c r="I212"/>
      <c r="J212"/>
      <c r="L212" s="31"/>
    </row>
    <row r="213" spans="1:12" ht="12.75" customHeight="1">
      <c r="A213"/>
      <c r="B213"/>
      <c r="C213"/>
      <c r="D213"/>
      <c r="E213"/>
      <c r="F213"/>
      <c r="G213"/>
      <c r="H213"/>
      <c r="I213"/>
      <c r="J213"/>
      <c r="L213" s="31"/>
    </row>
    <row r="214" spans="1:12" ht="12.75" customHeight="1">
      <c r="A214"/>
      <c r="B214"/>
      <c r="C214"/>
      <c r="D214"/>
      <c r="E214"/>
      <c r="F214"/>
      <c r="G214"/>
      <c r="H214"/>
      <c r="I214"/>
      <c r="J214"/>
      <c r="L214" s="31"/>
    </row>
    <row r="215" spans="1:12" ht="12.75" customHeight="1">
      <c r="A215"/>
      <c r="B215"/>
      <c r="C215"/>
      <c r="D215"/>
      <c r="E215"/>
      <c r="F215"/>
      <c r="G215"/>
      <c r="H215"/>
      <c r="I215"/>
      <c r="J215"/>
      <c r="L215" s="31"/>
    </row>
    <row r="216" spans="1:12" ht="12.75" customHeight="1">
      <c r="A216"/>
      <c r="B216"/>
      <c r="C216"/>
      <c r="D216"/>
      <c r="E216"/>
      <c r="F216"/>
      <c r="G216"/>
      <c r="H216"/>
      <c r="I216"/>
      <c r="J216"/>
      <c r="L216" s="31"/>
    </row>
    <row r="217" spans="1:12" ht="12.75" customHeight="1">
      <c r="A217"/>
      <c r="B217"/>
      <c r="C217"/>
      <c r="D217"/>
      <c r="E217"/>
      <c r="F217"/>
      <c r="G217"/>
      <c r="H217"/>
      <c r="I217"/>
      <c r="J217"/>
      <c r="L217" s="31"/>
    </row>
    <row r="218" spans="1:12" ht="12.75" customHeight="1">
      <c r="A218"/>
      <c r="B218"/>
      <c r="C218"/>
      <c r="D218"/>
      <c r="E218"/>
      <c r="F218"/>
      <c r="G218"/>
      <c r="H218"/>
      <c r="I218"/>
      <c r="J218"/>
      <c r="L218" s="31"/>
    </row>
    <row r="219" spans="1:12" ht="12.75" customHeight="1">
      <c r="A219"/>
      <c r="B219"/>
      <c r="C219"/>
      <c r="D219"/>
      <c r="E219"/>
      <c r="F219"/>
      <c r="G219"/>
      <c r="H219"/>
      <c r="I219"/>
      <c r="J219"/>
      <c r="L219" s="31"/>
    </row>
    <row r="220" spans="1:12" ht="12.75" customHeight="1">
      <c r="A220"/>
      <c r="B220"/>
      <c r="C220"/>
      <c r="D220"/>
      <c r="E220"/>
      <c r="F220"/>
      <c r="G220"/>
      <c r="H220"/>
      <c r="I220"/>
      <c r="J220"/>
      <c r="L220" s="31"/>
    </row>
    <row r="221" spans="1:12" ht="12.75" customHeight="1">
      <c r="A221"/>
      <c r="B221"/>
      <c r="C221"/>
      <c r="D221"/>
      <c r="E221"/>
      <c r="F221"/>
      <c r="G221"/>
      <c r="H221"/>
      <c r="I221"/>
      <c r="J221"/>
      <c r="L221" s="31"/>
    </row>
    <row r="222" spans="1:12" ht="12.75" customHeight="1">
      <c r="A222"/>
      <c r="B222"/>
      <c r="C222"/>
      <c r="D222"/>
      <c r="E222"/>
      <c r="F222"/>
      <c r="G222"/>
      <c r="H222"/>
      <c r="I222"/>
      <c r="J222"/>
      <c r="L222" s="31"/>
    </row>
    <row r="223" spans="1:12" ht="12.75" customHeight="1">
      <c r="A223"/>
      <c r="B223"/>
      <c r="C223"/>
      <c r="D223"/>
      <c r="E223"/>
      <c r="F223"/>
      <c r="G223"/>
      <c r="H223"/>
      <c r="I223"/>
      <c r="J223"/>
      <c r="L223" s="31"/>
    </row>
    <row r="224" spans="1:12" ht="12.75" customHeight="1">
      <c r="A224"/>
      <c r="B224"/>
      <c r="C224"/>
      <c r="D224"/>
      <c r="E224"/>
      <c r="F224"/>
      <c r="G224"/>
      <c r="H224"/>
      <c r="I224"/>
      <c r="J224"/>
    </row>
    <row r="225" spans="1:10" ht="12.75" customHeight="1">
      <c r="A225"/>
      <c r="B225"/>
      <c r="C225"/>
      <c r="D225"/>
      <c r="E225"/>
      <c r="F225"/>
      <c r="G225"/>
      <c r="H225"/>
      <c r="I225"/>
      <c r="J225"/>
    </row>
    <row r="226" spans="1:10" ht="12.75" customHeight="1">
      <c r="A226"/>
      <c r="B226"/>
      <c r="C226"/>
      <c r="D226"/>
      <c r="E226"/>
      <c r="F226"/>
      <c r="G226"/>
      <c r="H226"/>
      <c r="I226"/>
      <c r="J226"/>
    </row>
    <row r="227" spans="1:10" ht="12.75" customHeight="1">
      <c r="A227"/>
      <c r="B227"/>
      <c r="C227"/>
      <c r="D227"/>
      <c r="E227"/>
      <c r="F227"/>
      <c r="G227"/>
      <c r="H227"/>
      <c r="I227"/>
      <c r="J227"/>
    </row>
    <row r="228" spans="1:10" ht="12.75" customHeight="1">
      <c r="A228"/>
      <c r="B228"/>
      <c r="C228"/>
      <c r="D228"/>
      <c r="E228"/>
      <c r="F228"/>
      <c r="G228"/>
      <c r="H228"/>
      <c r="I228"/>
      <c r="J228"/>
    </row>
    <row r="229" spans="1:10" ht="12.75" customHeight="1">
      <c r="A229"/>
      <c r="B229"/>
      <c r="C229"/>
      <c r="D229"/>
      <c r="E229"/>
      <c r="F229"/>
      <c r="G229"/>
      <c r="H229"/>
      <c r="I229"/>
      <c r="J229"/>
    </row>
    <row r="230" spans="1:10" ht="12.75" customHeight="1">
      <c r="A230"/>
      <c r="B230"/>
      <c r="C230"/>
      <c r="D230"/>
      <c r="E230"/>
      <c r="F230"/>
      <c r="G230"/>
      <c r="H230"/>
      <c r="I230"/>
      <c r="J230"/>
    </row>
    <row r="231" spans="1:10" ht="12.75" customHeight="1">
      <c r="A231"/>
      <c r="B231"/>
      <c r="C231"/>
      <c r="D231"/>
      <c r="E231"/>
      <c r="F231"/>
      <c r="G231"/>
      <c r="H231"/>
      <c r="I231"/>
      <c r="J231"/>
    </row>
    <row r="232" spans="1:10" ht="12.75" customHeight="1">
      <c r="A232"/>
      <c r="B232"/>
      <c r="C232"/>
      <c r="D232"/>
      <c r="E232"/>
      <c r="F232"/>
      <c r="G232"/>
      <c r="H232"/>
      <c r="I232"/>
      <c r="J232"/>
    </row>
    <row r="233" spans="1:10" ht="12.75" customHeight="1">
      <c r="A233"/>
      <c r="B233"/>
      <c r="C233"/>
      <c r="D233"/>
      <c r="E233"/>
      <c r="F233"/>
      <c r="G233"/>
      <c r="H233"/>
      <c r="I233"/>
      <c r="J233"/>
    </row>
    <row r="234" spans="1:10" ht="12.75" customHeight="1">
      <c r="A234"/>
      <c r="B234"/>
      <c r="C234"/>
      <c r="D234"/>
      <c r="E234"/>
      <c r="F234"/>
      <c r="G234"/>
      <c r="H234"/>
      <c r="I234"/>
      <c r="J234"/>
    </row>
    <row r="235" spans="1:10" ht="12.75" customHeight="1">
      <c r="A235"/>
      <c r="B235"/>
      <c r="C235"/>
      <c r="D235"/>
      <c r="E235"/>
      <c r="F235"/>
      <c r="G235"/>
      <c r="H235"/>
      <c r="I235"/>
      <c r="J235"/>
    </row>
    <row r="236" spans="1:10" ht="12.75" customHeight="1">
      <c r="A236"/>
      <c r="B236"/>
      <c r="C236"/>
      <c r="D236"/>
      <c r="E236"/>
      <c r="F236"/>
      <c r="G236"/>
      <c r="H236"/>
      <c r="I236"/>
      <c r="J236"/>
    </row>
    <row r="237" spans="1:10" ht="12.75" customHeight="1">
      <c r="A237"/>
      <c r="B237"/>
      <c r="C237"/>
      <c r="D237"/>
      <c r="E237"/>
      <c r="F237"/>
      <c r="G237"/>
      <c r="H237"/>
      <c r="I237"/>
      <c r="J237"/>
    </row>
    <row r="238" spans="1:10" ht="12.75" customHeight="1">
      <c r="A238"/>
      <c r="B238"/>
      <c r="C238"/>
      <c r="D238"/>
      <c r="E238"/>
      <c r="F238"/>
      <c r="G238"/>
      <c r="H238"/>
      <c r="I238"/>
      <c r="J238"/>
    </row>
    <row r="239" spans="1:10" ht="12.75" customHeight="1">
      <c r="A239"/>
      <c r="B239"/>
      <c r="C239"/>
      <c r="D239"/>
      <c r="E239"/>
      <c r="F239"/>
      <c r="G239"/>
      <c r="H239"/>
      <c r="I239"/>
      <c r="J239"/>
    </row>
    <row r="240" spans="1:10" ht="12.75" customHeight="1">
      <c r="A240"/>
      <c r="B240"/>
      <c r="C240"/>
      <c r="D240"/>
      <c r="E240"/>
      <c r="F240"/>
      <c r="G240"/>
      <c r="H240"/>
      <c r="I240"/>
      <c r="J240"/>
    </row>
    <row r="241" spans="1:10" ht="12.75" customHeight="1">
      <c r="A241"/>
      <c r="B241"/>
      <c r="C241"/>
      <c r="D241"/>
      <c r="E241"/>
      <c r="F241"/>
      <c r="G241"/>
      <c r="H241"/>
      <c r="I241"/>
      <c r="J241"/>
    </row>
    <row r="242" spans="1:10" ht="12.75" customHeight="1">
      <c r="A242"/>
      <c r="B242"/>
      <c r="C242"/>
      <c r="D242"/>
      <c r="E242"/>
      <c r="F242"/>
      <c r="G242"/>
      <c r="H242"/>
      <c r="I242"/>
      <c r="J242"/>
    </row>
    <row r="243" spans="1:10" ht="12.75" customHeight="1">
      <c r="A243"/>
      <c r="B243"/>
      <c r="C243"/>
      <c r="D243"/>
      <c r="E243"/>
      <c r="F243"/>
      <c r="G243"/>
      <c r="H243"/>
      <c r="I243"/>
      <c r="J243"/>
    </row>
    <row r="244" spans="1:10" ht="12.75" customHeight="1">
      <c r="A244"/>
      <c r="B244"/>
      <c r="C244"/>
      <c r="D244"/>
      <c r="E244"/>
      <c r="F244"/>
      <c r="G244"/>
      <c r="H244"/>
      <c r="I244"/>
      <c r="J244"/>
    </row>
    <row r="245" spans="1:10" ht="12.75" customHeight="1">
      <c r="A245"/>
      <c r="B245"/>
      <c r="C245"/>
      <c r="D245"/>
      <c r="E245"/>
      <c r="F245"/>
      <c r="G245"/>
      <c r="H245"/>
      <c r="I245"/>
      <c r="J245"/>
    </row>
    <row r="246" spans="1:10" ht="12.75" customHeight="1">
      <c r="A246"/>
      <c r="B246"/>
      <c r="C246"/>
      <c r="D246"/>
      <c r="E246"/>
      <c r="F246"/>
      <c r="G246"/>
      <c r="H246"/>
      <c r="I246"/>
      <c r="J246"/>
    </row>
    <row r="247" spans="1:10" ht="12.75" customHeight="1">
      <c r="A247"/>
      <c r="B247"/>
      <c r="C247"/>
      <c r="D247"/>
      <c r="E247"/>
      <c r="F247"/>
      <c r="G247"/>
      <c r="H247"/>
      <c r="I247"/>
      <c r="J247"/>
    </row>
    <row r="248" spans="1:10" ht="12.75" customHeight="1">
      <c r="A248"/>
      <c r="B248"/>
      <c r="C248"/>
      <c r="D248"/>
      <c r="E248"/>
      <c r="F248"/>
      <c r="G248"/>
      <c r="H248"/>
      <c r="I248"/>
      <c r="J248"/>
    </row>
    <row r="249" spans="1:10" ht="12.75" customHeight="1">
      <c r="A249"/>
      <c r="B249"/>
      <c r="C249"/>
      <c r="D249"/>
      <c r="E249"/>
      <c r="F249"/>
      <c r="G249"/>
      <c r="H249"/>
      <c r="I249"/>
      <c r="J249"/>
    </row>
    <row r="250" spans="1:10" ht="12.75" customHeight="1">
      <c r="A250"/>
      <c r="B250"/>
      <c r="C250"/>
      <c r="D250"/>
      <c r="E250"/>
      <c r="F250"/>
      <c r="G250"/>
      <c r="H250"/>
      <c r="I250"/>
      <c r="J250"/>
    </row>
    <row r="251" spans="1:10" ht="12.75" customHeight="1">
      <c r="A251"/>
      <c r="B251"/>
      <c r="C251"/>
      <c r="D251"/>
      <c r="E251"/>
      <c r="F251"/>
      <c r="G251"/>
      <c r="H251"/>
      <c r="I251"/>
      <c r="J251"/>
    </row>
    <row r="252" spans="1:10" ht="12.75" customHeight="1">
      <c r="A252"/>
      <c r="B252"/>
      <c r="C252"/>
      <c r="D252"/>
      <c r="E252"/>
      <c r="F252"/>
      <c r="G252"/>
      <c r="H252"/>
      <c r="I252"/>
      <c r="J252"/>
    </row>
    <row r="253" spans="1:10" ht="12.75" customHeight="1">
      <c r="A253"/>
      <c r="B253"/>
      <c r="C253"/>
      <c r="D253"/>
      <c r="E253"/>
      <c r="F253"/>
      <c r="G253"/>
      <c r="H253"/>
      <c r="I253"/>
      <c r="J253"/>
    </row>
    <row r="254" spans="1:10" ht="12.75" customHeight="1">
      <c r="A254"/>
      <c r="B254"/>
      <c r="C254"/>
      <c r="D254"/>
      <c r="E254"/>
      <c r="F254"/>
      <c r="G254"/>
      <c r="H254"/>
      <c r="I254"/>
      <c r="J254"/>
    </row>
    <row r="255" spans="1:10" ht="12.75" customHeight="1">
      <c r="A255"/>
      <c r="B255"/>
      <c r="C255"/>
      <c r="D255"/>
      <c r="E255"/>
      <c r="F255"/>
      <c r="G255"/>
      <c r="H255"/>
      <c r="I255"/>
      <c r="J255"/>
    </row>
    <row r="256" spans="1:10" ht="12.75" customHeight="1">
      <c r="A256"/>
      <c r="B256"/>
      <c r="C256"/>
      <c r="D256"/>
      <c r="E256"/>
      <c r="F256"/>
      <c r="G256"/>
      <c r="H256"/>
      <c r="I256"/>
      <c r="J256"/>
    </row>
    <row r="257" spans="1:10" ht="12.75" customHeight="1">
      <c r="A257"/>
      <c r="B257"/>
      <c r="C257"/>
      <c r="D257"/>
      <c r="E257"/>
      <c r="F257"/>
      <c r="G257"/>
      <c r="H257"/>
      <c r="I257"/>
      <c r="J257"/>
    </row>
    <row r="258" spans="1:10" ht="12.75" customHeight="1">
      <c r="A258"/>
      <c r="B258"/>
      <c r="C258"/>
      <c r="D258"/>
      <c r="E258"/>
      <c r="F258"/>
      <c r="G258"/>
      <c r="H258"/>
      <c r="I258"/>
      <c r="J258"/>
    </row>
    <row r="259" spans="1:10" ht="12.75" customHeight="1">
      <c r="A259"/>
      <c r="B259"/>
      <c r="C259"/>
      <c r="D259"/>
      <c r="E259"/>
      <c r="F259"/>
      <c r="G259"/>
      <c r="H259"/>
      <c r="I259"/>
      <c r="J259"/>
    </row>
    <row r="260" spans="1:10" ht="12.75" customHeight="1">
      <c r="A260"/>
      <c r="B260"/>
      <c r="C260"/>
      <c r="D260"/>
      <c r="E260"/>
      <c r="F260"/>
      <c r="G260"/>
      <c r="H260"/>
      <c r="I260"/>
      <c r="J260"/>
    </row>
    <row r="261" spans="1:10" ht="12.75" customHeight="1">
      <c r="A261"/>
      <c r="B261"/>
      <c r="C261"/>
      <c r="D261"/>
      <c r="E261"/>
      <c r="F261"/>
      <c r="G261"/>
      <c r="H261"/>
      <c r="I261"/>
      <c r="J261"/>
    </row>
    <row r="262" spans="1:10" ht="12.75" customHeight="1">
      <c r="A262"/>
      <c r="B262"/>
      <c r="C262"/>
      <c r="D262"/>
      <c r="E262"/>
      <c r="F262"/>
      <c r="G262"/>
      <c r="H262"/>
      <c r="I262"/>
      <c r="J262"/>
    </row>
    <row r="263" spans="1:10" ht="12.75" customHeight="1">
      <c r="A263"/>
      <c r="B263"/>
      <c r="C263"/>
      <c r="D263"/>
      <c r="E263"/>
      <c r="F263"/>
      <c r="G263"/>
      <c r="H263"/>
      <c r="I263"/>
      <c r="J263"/>
    </row>
    <row r="264" spans="1:10" ht="12.75" customHeight="1">
      <c r="A264"/>
      <c r="B264"/>
      <c r="C264"/>
      <c r="D264"/>
      <c r="E264"/>
      <c r="F264"/>
      <c r="G264"/>
      <c r="H264"/>
      <c r="I264"/>
      <c r="J264"/>
    </row>
    <row r="265" spans="1:10" ht="12.75" customHeight="1">
      <c r="A265"/>
      <c r="B265"/>
      <c r="C265"/>
      <c r="D265"/>
      <c r="E265"/>
      <c r="F265"/>
      <c r="G265"/>
      <c r="H265"/>
      <c r="I265"/>
      <c r="J265"/>
    </row>
    <row r="266" spans="1:10" ht="12.75" customHeight="1">
      <c r="A266"/>
      <c r="B266"/>
      <c r="C266"/>
      <c r="D266"/>
      <c r="E266"/>
      <c r="F266"/>
      <c r="G266"/>
      <c r="H266"/>
      <c r="I266"/>
      <c r="J266"/>
    </row>
    <row r="267" spans="1:10" ht="12.75" customHeight="1">
      <c r="A267"/>
      <c r="B267"/>
      <c r="C267"/>
      <c r="D267"/>
      <c r="E267"/>
      <c r="F267"/>
      <c r="G267"/>
      <c r="H267"/>
      <c r="I267"/>
      <c r="J267"/>
    </row>
    <row r="268" spans="1:10" ht="12.75" customHeight="1">
      <c r="A268"/>
      <c r="B268"/>
      <c r="C268"/>
      <c r="D268"/>
      <c r="E268"/>
      <c r="F268"/>
      <c r="G268"/>
      <c r="H268"/>
      <c r="I268"/>
      <c r="J268"/>
    </row>
    <row r="269" spans="1:10" ht="12.75" customHeight="1">
      <c r="A269"/>
      <c r="B269"/>
      <c r="C269"/>
      <c r="D269"/>
      <c r="E269"/>
      <c r="F269"/>
      <c r="G269"/>
      <c r="H269"/>
      <c r="I269"/>
      <c r="J269"/>
    </row>
    <row r="270" spans="1:10" ht="12.75" customHeight="1">
      <c r="A270"/>
      <c r="B270"/>
      <c r="C270"/>
      <c r="D270"/>
      <c r="E270"/>
      <c r="F270"/>
      <c r="G270"/>
      <c r="H270"/>
      <c r="I270"/>
      <c r="J270"/>
    </row>
    <row r="271" spans="1:10" ht="12.75" customHeight="1">
      <c r="A271"/>
      <c r="B271"/>
      <c r="C271"/>
      <c r="D271"/>
      <c r="E271"/>
      <c r="F271"/>
      <c r="G271"/>
      <c r="H271"/>
      <c r="I271"/>
      <c r="J271"/>
    </row>
    <row r="272" spans="1:10" ht="12.75" customHeight="1">
      <c r="A272"/>
      <c r="B272"/>
      <c r="C272"/>
      <c r="D272"/>
      <c r="E272"/>
      <c r="F272"/>
      <c r="G272"/>
      <c r="H272"/>
      <c r="I272"/>
      <c r="J272"/>
    </row>
    <row r="273" spans="1:10" ht="12.75" customHeight="1">
      <c r="A273"/>
      <c r="B273"/>
      <c r="C273"/>
      <c r="D273"/>
      <c r="E273"/>
      <c r="F273"/>
      <c r="G273"/>
      <c r="H273"/>
      <c r="I273"/>
      <c r="J273"/>
    </row>
    <row r="274" spans="1:10" ht="12.75" customHeight="1">
      <c r="A274"/>
      <c r="B274"/>
      <c r="C274"/>
      <c r="D274"/>
      <c r="E274"/>
      <c r="F274"/>
      <c r="G274"/>
      <c r="H274"/>
      <c r="I274"/>
      <c r="J274"/>
    </row>
    <row r="275" spans="1:10" ht="12.75" customHeight="1">
      <c r="A275"/>
      <c r="B275"/>
      <c r="C275"/>
      <c r="D275"/>
      <c r="E275"/>
      <c r="F275"/>
      <c r="G275"/>
      <c r="H275"/>
      <c r="I275"/>
      <c r="J275"/>
    </row>
    <row r="276" spans="1:10" ht="12.75" customHeight="1">
      <c r="A276"/>
      <c r="B276"/>
      <c r="C276"/>
      <c r="D276"/>
      <c r="E276"/>
      <c r="F276"/>
      <c r="G276"/>
      <c r="H276"/>
      <c r="I276"/>
      <c r="J276"/>
    </row>
    <row r="277" spans="1:10" ht="12.75" customHeight="1">
      <c r="A277"/>
      <c r="B277"/>
      <c r="C277"/>
      <c r="D277"/>
      <c r="E277"/>
      <c r="F277"/>
      <c r="G277"/>
      <c r="H277"/>
      <c r="I277"/>
      <c r="J277"/>
    </row>
    <row r="278" spans="1:10" ht="12.75" customHeight="1">
      <c r="A278"/>
      <c r="B278"/>
      <c r="C278"/>
      <c r="D278"/>
      <c r="E278"/>
      <c r="F278"/>
      <c r="G278"/>
      <c r="H278"/>
      <c r="I278"/>
      <c r="J278"/>
    </row>
    <row r="279" spans="1:10" ht="12.75" customHeight="1">
      <c r="A279"/>
      <c r="B279"/>
      <c r="C279"/>
      <c r="D279"/>
      <c r="E279"/>
      <c r="F279"/>
      <c r="G279"/>
      <c r="H279"/>
      <c r="I279"/>
      <c r="J279"/>
    </row>
    <row r="280" spans="1:10" ht="12.75" customHeight="1">
      <c r="A280"/>
      <c r="B280"/>
      <c r="C280"/>
      <c r="D280"/>
      <c r="E280"/>
      <c r="F280"/>
      <c r="G280"/>
      <c r="H280"/>
      <c r="I280"/>
      <c r="J280"/>
    </row>
    <row r="281" spans="1:10" ht="12.75" customHeight="1">
      <c r="A281"/>
      <c r="B281"/>
      <c r="C281"/>
      <c r="D281"/>
      <c r="E281"/>
      <c r="F281"/>
      <c r="G281"/>
      <c r="H281"/>
      <c r="I281"/>
      <c r="J281"/>
    </row>
    <row r="282" spans="1:10" ht="12.75" customHeight="1">
      <c r="A282"/>
      <c r="B282"/>
      <c r="C282"/>
      <c r="D282"/>
      <c r="E282"/>
      <c r="F282"/>
      <c r="G282"/>
      <c r="H282"/>
      <c r="I282"/>
      <c r="J282"/>
    </row>
    <row r="283" spans="1:10" ht="12.75" customHeight="1">
      <c r="A283"/>
      <c r="B283"/>
      <c r="C283"/>
      <c r="D283"/>
      <c r="E283"/>
      <c r="F283"/>
      <c r="G283"/>
      <c r="H283"/>
      <c r="I283"/>
      <c r="J283"/>
    </row>
    <row r="284" spans="1:10" ht="12.75" customHeight="1">
      <c r="A284"/>
      <c r="B284"/>
      <c r="C284"/>
      <c r="D284"/>
      <c r="E284"/>
      <c r="F284"/>
      <c r="G284"/>
      <c r="H284"/>
      <c r="I284"/>
      <c r="J284"/>
    </row>
    <row r="285" spans="1:10" ht="12.75" customHeight="1">
      <c r="A285"/>
      <c r="B285"/>
      <c r="C285"/>
      <c r="D285"/>
      <c r="E285"/>
      <c r="F285"/>
      <c r="G285"/>
      <c r="H285"/>
      <c r="I285"/>
      <c r="J285"/>
    </row>
    <row r="286" spans="1:10" ht="12.75" customHeight="1">
      <c r="A286"/>
      <c r="B286"/>
      <c r="C286"/>
      <c r="D286"/>
      <c r="E286"/>
      <c r="F286"/>
      <c r="G286"/>
      <c r="H286"/>
      <c r="I286"/>
      <c r="J286"/>
    </row>
    <row r="287" spans="1:10" ht="12.75" customHeight="1">
      <c r="A287"/>
      <c r="B287"/>
      <c r="C287"/>
      <c r="D287"/>
      <c r="E287"/>
      <c r="F287"/>
      <c r="G287"/>
      <c r="H287"/>
      <c r="I287"/>
      <c r="J287"/>
    </row>
    <row r="288" spans="1:10" ht="12.75" customHeight="1">
      <c r="A288"/>
      <c r="B288"/>
      <c r="C288"/>
      <c r="D288"/>
      <c r="E288"/>
      <c r="F288"/>
      <c r="G288"/>
      <c r="H288"/>
      <c r="I288"/>
      <c r="J288"/>
    </row>
    <row r="289" spans="1:10" ht="12.75" customHeight="1">
      <c r="A289"/>
      <c r="B289"/>
      <c r="C289"/>
      <c r="D289"/>
      <c r="E289"/>
      <c r="F289"/>
      <c r="G289"/>
      <c r="H289"/>
      <c r="I289"/>
      <c r="J289"/>
    </row>
    <row r="290" spans="1:10" ht="12.75" customHeight="1">
      <c r="A290"/>
      <c r="B290"/>
      <c r="C290"/>
      <c r="D290"/>
      <c r="E290"/>
      <c r="F290"/>
      <c r="G290"/>
      <c r="H290"/>
      <c r="I290"/>
      <c r="J290"/>
    </row>
    <row r="291" spans="1:10" ht="12.75" customHeight="1">
      <c r="A291"/>
      <c r="B291"/>
      <c r="C291"/>
      <c r="D291"/>
      <c r="E291"/>
      <c r="F291"/>
      <c r="G291"/>
      <c r="H291"/>
      <c r="I291"/>
      <c r="J291"/>
    </row>
    <row r="292" spans="1:10" ht="12.75" customHeight="1">
      <c r="A292"/>
      <c r="B292"/>
      <c r="C292"/>
      <c r="D292"/>
      <c r="E292"/>
      <c r="F292"/>
      <c r="G292"/>
      <c r="H292"/>
      <c r="I292"/>
      <c r="J292"/>
    </row>
    <row r="293" spans="1:10" ht="12.75" customHeight="1">
      <c r="A293"/>
      <c r="B293"/>
      <c r="C293"/>
      <c r="D293"/>
      <c r="E293"/>
      <c r="F293"/>
      <c r="G293"/>
      <c r="H293"/>
      <c r="I293"/>
      <c r="J293"/>
    </row>
    <row r="294" spans="1:10" ht="12.75" customHeight="1">
      <c r="A294"/>
      <c r="B294"/>
      <c r="C294"/>
      <c r="D294"/>
      <c r="E294"/>
      <c r="F294"/>
      <c r="G294"/>
      <c r="H294"/>
      <c r="I294"/>
      <c r="J294"/>
    </row>
    <row r="295" spans="1:10" ht="12.75" customHeight="1">
      <c r="A295"/>
      <c r="B295"/>
      <c r="C295"/>
      <c r="D295"/>
      <c r="E295"/>
      <c r="F295"/>
      <c r="G295"/>
      <c r="H295"/>
      <c r="I295"/>
      <c r="J295"/>
    </row>
    <row r="296" spans="1:10" ht="12.75" customHeight="1">
      <c r="A296"/>
      <c r="B296"/>
      <c r="C296"/>
      <c r="D296"/>
      <c r="E296"/>
      <c r="F296"/>
      <c r="G296"/>
      <c r="H296"/>
      <c r="I296"/>
      <c r="J296"/>
    </row>
    <row r="297" spans="1:10" ht="12.75" customHeight="1">
      <c r="A297"/>
      <c r="B297"/>
      <c r="C297"/>
      <c r="D297"/>
      <c r="E297"/>
      <c r="F297"/>
      <c r="G297"/>
      <c r="H297"/>
      <c r="I297"/>
      <c r="J297"/>
    </row>
    <row r="298" spans="1:10" ht="12.75" customHeight="1">
      <c r="A298"/>
      <c r="B298"/>
      <c r="C298"/>
      <c r="D298"/>
      <c r="E298"/>
      <c r="F298"/>
      <c r="G298"/>
      <c r="H298"/>
      <c r="I298"/>
      <c r="J298"/>
    </row>
    <row r="299" spans="1:10" ht="12.75" customHeight="1">
      <c r="A299"/>
      <c r="B299"/>
      <c r="C299"/>
      <c r="D299"/>
      <c r="E299"/>
      <c r="F299"/>
      <c r="G299"/>
      <c r="H299"/>
      <c r="I299"/>
      <c r="J299"/>
    </row>
    <row r="300" spans="1:10" ht="12.75" customHeight="1">
      <c r="A300" s="23"/>
      <c r="B300"/>
      <c r="C300"/>
      <c r="D300"/>
      <c r="E300"/>
      <c r="F300"/>
      <c r="G300"/>
      <c r="H300"/>
      <c r="I300"/>
      <c r="J300"/>
    </row>
    <row r="301" spans="1:10" ht="12.75" customHeight="1">
      <c r="A301" s="23"/>
      <c r="B301"/>
      <c r="C301"/>
      <c r="D301"/>
      <c r="E301"/>
      <c r="F301"/>
      <c r="G301"/>
      <c r="H301"/>
      <c r="I301"/>
      <c r="J301"/>
    </row>
    <row r="302" spans="1:10" ht="12.75" customHeight="1">
      <c r="A302" s="23"/>
      <c r="B302"/>
      <c r="C302"/>
      <c r="D302"/>
      <c r="E302"/>
      <c r="F302"/>
      <c r="G302"/>
      <c r="H302"/>
      <c r="I302"/>
      <c r="J302"/>
    </row>
    <row r="303" spans="1:10" ht="12.75" customHeight="1">
      <c r="A303" s="23"/>
      <c r="B303"/>
      <c r="C303"/>
      <c r="D303"/>
      <c r="E303"/>
      <c r="F303"/>
      <c r="G303"/>
      <c r="H303"/>
      <c r="I303"/>
      <c r="J303"/>
    </row>
    <row r="304" spans="1:10" ht="12.75" customHeight="1">
      <c r="A304" s="23"/>
      <c r="B304"/>
      <c r="C304"/>
      <c r="D304"/>
      <c r="E304"/>
      <c r="F304"/>
      <c r="G304"/>
      <c r="H304"/>
      <c r="I304"/>
      <c r="J304"/>
    </row>
    <row r="305" spans="1:10" ht="12.75" customHeight="1">
      <c r="A305" s="23"/>
      <c r="B305"/>
      <c r="C305"/>
      <c r="D305"/>
      <c r="E305"/>
      <c r="F305"/>
      <c r="G305"/>
      <c r="H305"/>
      <c r="I305"/>
      <c r="J305"/>
    </row>
    <row r="306" spans="1:10" ht="12.75" customHeight="1">
      <c r="A306" s="23"/>
      <c r="B306"/>
      <c r="C306"/>
      <c r="D306"/>
      <c r="E306"/>
      <c r="F306"/>
      <c r="G306"/>
      <c r="H306"/>
      <c r="I306"/>
      <c r="J306"/>
    </row>
    <row r="307" spans="1:10" ht="12.75" customHeight="1">
      <c r="A307" s="23"/>
      <c r="B307"/>
      <c r="C307"/>
      <c r="D307"/>
      <c r="E307"/>
      <c r="F307"/>
      <c r="G307"/>
      <c r="H307"/>
      <c r="I307"/>
      <c r="J307"/>
    </row>
    <row r="308" spans="1:10" ht="12.75" customHeight="1">
      <c r="A308" s="23"/>
      <c r="B308"/>
      <c r="C308"/>
      <c r="D308"/>
      <c r="E308"/>
      <c r="F308"/>
      <c r="G308"/>
      <c r="H308"/>
      <c r="I308"/>
      <c r="J308"/>
    </row>
    <row r="309" spans="1:10" ht="12.75" customHeight="1">
      <c r="A309" s="23"/>
      <c r="B309"/>
      <c r="C309"/>
      <c r="D309"/>
      <c r="E309"/>
      <c r="F309"/>
      <c r="G309"/>
      <c r="H309"/>
      <c r="I309"/>
      <c r="J309"/>
    </row>
    <row r="310" spans="1:10" ht="12.75" customHeight="1">
      <c r="A310" s="23"/>
      <c r="B310"/>
      <c r="C310"/>
      <c r="D310"/>
      <c r="E310"/>
      <c r="F310"/>
      <c r="G310"/>
      <c r="H310"/>
      <c r="I310"/>
      <c r="J310"/>
    </row>
    <row r="311" spans="1:10" ht="12.75" customHeight="1">
      <c r="A311" s="23"/>
      <c r="B311"/>
      <c r="C311"/>
      <c r="D311"/>
      <c r="E311"/>
      <c r="F311"/>
      <c r="G311"/>
      <c r="H311"/>
      <c r="I311"/>
      <c r="J311"/>
    </row>
    <row r="312" spans="1:10" ht="12.75" customHeight="1">
      <c r="A312" s="23"/>
      <c r="B312"/>
      <c r="C312"/>
      <c r="D312"/>
      <c r="E312"/>
      <c r="F312"/>
      <c r="G312"/>
      <c r="H312"/>
      <c r="I312"/>
      <c r="J312"/>
    </row>
    <row r="313" spans="1:10" ht="12.75" customHeight="1">
      <c r="A313" s="23"/>
      <c r="B313"/>
      <c r="C313"/>
      <c r="D313"/>
      <c r="E313"/>
      <c r="F313"/>
      <c r="G313"/>
      <c r="H313"/>
      <c r="I313"/>
      <c r="J313"/>
    </row>
    <row r="314" spans="1:10" ht="12.75" customHeight="1">
      <c r="A314" s="23"/>
      <c r="B314"/>
      <c r="C314"/>
      <c r="D314"/>
      <c r="E314"/>
      <c r="F314"/>
      <c r="G314"/>
      <c r="H314"/>
      <c r="I314"/>
      <c r="J314"/>
    </row>
    <row r="315" spans="1:10" ht="12.75" customHeight="1">
      <c r="A315" s="23"/>
      <c r="B315"/>
      <c r="C315"/>
      <c r="D315"/>
      <c r="E315"/>
      <c r="F315"/>
      <c r="G315"/>
      <c r="H315"/>
      <c r="I315"/>
      <c r="J315"/>
    </row>
    <row r="316" spans="1:10" ht="12.75" customHeight="1">
      <c r="A316" s="23"/>
      <c r="B316"/>
      <c r="C316"/>
      <c r="D316"/>
      <c r="E316"/>
      <c r="F316"/>
      <c r="G316"/>
      <c r="H316"/>
      <c r="I316"/>
      <c r="J316"/>
    </row>
    <row r="317" spans="1:10" ht="12.75" customHeight="1">
      <c r="A317" s="23"/>
      <c r="B317"/>
      <c r="C317"/>
      <c r="D317"/>
      <c r="E317"/>
      <c r="F317"/>
      <c r="G317"/>
      <c r="H317"/>
      <c r="I317"/>
      <c r="J317"/>
    </row>
    <row r="318" spans="1:10" ht="12.75" customHeight="1">
      <c r="A318" s="23"/>
      <c r="B318"/>
      <c r="C318"/>
      <c r="D318"/>
      <c r="E318"/>
      <c r="F318"/>
      <c r="G318"/>
      <c r="H318"/>
      <c r="I318"/>
      <c r="J318"/>
    </row>
    <row r="319" spans="1:10" ht="12.75" customHeight="1">
      <c r="A319" s="23"/>
      <c r="B319"/>
      <c r="C319"/>
      <c r="D319"/>
      <c r="E319"/>
      <c r="F319"/>
      <c r="G319"/>
      <c r="H319"/>
      <c r="I319"/>
      <c r="J319"/>
    </row>
    <row r="320" spans="1:10" ht="12.75" customHeight="1">
      <c r="A320" s="23"/>
      <c r="B320"/>
      <c r="C320"/>
      <c r="D320"/>
      <c r="E320"/>
      <c r="F320"/>
      <c r="G320"/>
      <c r="H320"/>
      <c r="I320"/>
      <c r="J320"/>
    </row>
    <row r="321" spans="1:10" ht="12.75" customHeight="1">
      <c r="A321" s="23"/>
      <c r="B321"/>
      <c r="C321"/>
      <c r="D321"/>
      <c r="E321"/>
      <c r="F321"/>
      <c r="G321"/>
      <c r="H321"/>
      <c r="I321"/>
      <c r="J321"/>
    </row>
    <row r="322" spans="1:10" ht="12.75" customHeight="1">
      <c r="A322" s="23"/>
      <c r="B322"/>
      <c r="C322"/>
      <c r="D322"/>
      <c r="E322"/>
      <c r="F322"/>
      <c r="G322"/>
      <c r="H322"/>
      <c r="I322"/>
      <c r="J322"/>
    </row>
    <row r="323" spans="1:10" ht="12.75" customHeight="1">
      <c r="A323" s="23"/>
      <c r="B323"/>
      <c r="C323"/>
      <c r="D323"/>
      <c r="E323"/>
      <c r="F323"/>
      <c r="G323"/>
      <c r="H323"/>
      <c r="I323"/>
      <c r="J323"/>
    </row>
    <row r="324" spans="1:10" ht="12.75" customHeight="1">
      <c r="A324" s="23"/>
      <c r="B324"/>
      <c r="C324"/>
      <c r="D324"/>
      <c r="E324"/>
      <c r="F324"/>
      <c r="G324"/>
      <c r="H324"/>
      <c r="I324"/>
      <c r="J324"/>
    </row>
    <row r="325" spans="1:10" ht="12.75" customHeight="1">
      <c r="A325" s="23"/>
      <c r="B325"/>
      <c r="C325"/>
      <c r="D325"/>
      <c r="E325"/>
      <c r="F325"/>
      <c r="G325"/>
      <c r="H325"/>
      <c r="I325"/>
      <c r="J325"/>
    </row>
    <row r="326" spans="1:10" ht="12.75" customHeight="1">
      <c r="A326" s="23"/>
      <c r="B326"/>
      <c r="C326"/>
      <c r="D326"/>
      <c r="E326"/>
      <c r="F326"/>
      <c r="G326"/>
      <c r="H326"/>
      <c r="I326"/>
      <c r="J326"/>
    </row>
    <row r="327" spans="1:10" ht="12.75" customHeight="1">
      <c r="A327" s="23"/>
      <c r="B327"/>
      <c r="C327"/>
      <c r="D327"/>
      <c r="E327"/>
      <c r="F327"/>
      <c r="G327"/>
      <c r="H327"/>
      <c r="I327"/>
      <c r="J327"/>
    </row>
    <row r="328" spans="1:10" ht="12.75" customHeight="1">
      <c r="A328" s="23"/>
      <c r="B328"/>
      <c r="C328"/>
      <c r="D328"/>
      <c r="E328"/>
      <c r="F328"/>
      <c r="G328"/>
      <c r="H328"/>
      <c r="I328"/>
      <c r="J328"/>
    </row>
    <row r="329" spans="1:10" ht="12.75" customHeight="1">
      <c r="A329" s="23"/>
      <c r="B329"/>
      <c r="C329"/>
      <c r="D329"/>
      <c r="E329"/>
      <c r="F329"/>
      <c r="G329"/>
      <c r="H329"/>
      <c r="I329"/>
      <c r="J329"/>
    </row>
    <row r="330" spans="1:10" ht="12.75" customHeight="1">
      <c r="A330" s="23"/>
      <c r="B330"/>
      <c r="C330"/>
      <c r="D330"/>
      <c r="E330"/>
      <c r="F330"/>
      <c r="G330"/>
      <c r="H330"/>
      <c r="I330"/>
      <c r="J330"/>
    </row>
    <row r="331" spans="1:10" ht="12.75" customHeight="1">
      <c r="A331" s="23"/>
      <c r="B331"/>
      <c r="C331"/>
      <c r="D331"/>
      <c r="E331"/>
      <c r="F331"/>
      <c r="G331"/>
      <c r="H331"/>
      <c r="I331"/>
      <c r="J331"/>
    </row>
    <row r="332" spans="1:10" ht="12.75" customHeight="1">
      <c r="A332" s="23"/>
      <c r="B332"/>
      <c r="C332"/>
      <c r="D332"/>
      <c r="E332"/>
      <c r="F332"/>
      <c r="G332"/>
      <c r="H332"/>
      <c r="I332"/>
      <c r="J332"/>
    </row>
    <row r="333" spans="1:10" ht="12.75" customHeight="1">
      <c r="A333" s="23"/>
      <c r="B333"/>
      <c r="C333"/>
      <c r="D333"/>
      <c r="E333"/>
      <c r="F333"/>
      <c r="G333"/>
      <c r="H333"/>
      <c r="I333"/>
      <c r="J333"/>
    </row>
    <row r="334" spans="1:10" ht="12.75" customHeight="1">
      <c r="A334" s="23"/>
      <c r="B334"/>
      <c r="C334"/>
      <c r="D334"/>
      <c r="E334"/>
      <c r="F334"/>
      <c r="G334"/>
      <c r="H334"/>
      <c r="I334"/>
      <c r="J334"/>
    </row>
    <row r="335" spans="1:10" ht="12.75" customHeight="1">
      <c r="A335" s="23"/>
      <c r="B335"/>
      <c r="C335"/>
      <c r="D335"/>
      <c r="E335"/>
      <c r="F335"/>
      <c r="G335"/>
      <c r="H335"/>
      <c r="I335"/>
      <c r="J335"/>
    </row>
    <row r="336" spans="1:10" ht="12.75" customHeight="1">
      <c r="A336" s="23"/>
      <c r="B336"/>
      <c r="C336"/>
      <c r="D336"/>
      <c r="E336"/>
      <c r="F336"/>
      <c r="G336"/>
      <c r="H336"/>
      <c r="I336"/>
      <c r="J336"/>
    </row>
    <row r="337" spans="1:10" ht="12.75" customHeight="1">
      <c r="A337" s="23"/>
      <c r="B337"/>
      <c r="C337"/>
      <c r="D337"/>
      <c r="E337"/>
      <c r="F337"/>
      <c r="G337"/>
      <c r="H337"/>
      <c r="I337"/>
      <c r="J337"/>
    </row>
    <row r="338" spans="1:10" ht="12.75" customHeight="1">
      <c r="A338" s="23"/>
      <c r="B338"/>
      <c r="C338"/>
      <c r="D338"/>
      <c r="E338"/>
      <c r="F338"/>
      <c r="G338"/>
      <c r="H338"/>
      <c r="I338"/>
      <c r="J338"/>
    </row>
    <row r="339" spans="1:10" ht="12.75" customHeight="1">
      <c r="A339" s="23"/>
      <c r="B339"/>
      <c r="C339"/>
      <c r="D339"/>
      <c r="E339"/>
      <c r="F339"/>
      <c r="G339"/>
      <c r="H339"/>
      <c r="I339"/>
      <c r="J339"/>
    </row>
    <row r="340" spans="1:10" ht="12.75" customHeight="1">
      <c r="A340" s="23"/>
      <c r="B340"/>
      <c r="C340"/>
      <c r="D340"/>
      <c r="E340"/>
      <c r="F340"/>
      <c r="G340"/>
      <c r="H340"/>
      <c r="I340"/>
      <c r="J340"/>
    </row>
    <row r="341" spans="1:10" ht="12.75" customHeight="1">
      <c r="A341" s="23"/>
      <c r="B341"/>
      <c r="C341"/>
      <c r="D341"/>
      <c r="E341"/>
      <c r="F341"/>
      <c r="G341"/>
      <c r="H341"/>
      <c r="I341"/>
      <c r="J341"/>
    </row>
    <row r="342" spans="1:10" ht="12.75" customHeight="1">
      <c r="A342" s="23"/>
      <c r="B342"/>
      <c r="C342"/>
      <c r="D342"/>
      <c r="E342"/>
      <c r="F342"/>
      <c r="G342"/>
      <c r="H342"/>
      <c r="I342"/>
      <c r="J342"/>
    </row>
    <row r="343" spans="1:10" ht="12.75" customHeight="1">
      <c r="A343" s="23"/>
      <c r="B343"/>
      <c r="C343"/>
      <c r="D343"/>
      <c r="E343"/>
      <c r="F343"/>
      <c r="G343"/>
      <c r="H343"/>
      <c r="I343"/>
      <c r="J343"/>
    </row>
    <row r="344" spans="1:10" ht="12.75" customHeight="1">
      <c r="A344" s="23"/>
      <c r="B344"/>
      <c r="C344"/>
      <c r="D344"/>
      <c r="E344"/>
      <c r="F344"/>
      <c r="G344"/>
      <c r="H344"/>
      <c r="I344"/>
      <c r="J344"/>
    </row>
    <row r="345" spans="1:10" ht="12.75" customHeight="1">
      <c r="A345" s="23"/>
      <c r="B345"/>
      <c r="C345"/>
      <c r="D345"/>
      <c r="E345"/>
      <c r="F345"/>
      <c r="G345"/>
      <c r="H345"/>
      <c r="I345"/>
      <c r="J345"/>
    </row>
    <row r="346" spans="1:10" ht="12.75" customHeight="1">
      <c r="A346" s="23"/>
      <c r="B346"/>
      <c r="C346"/>
      <c r="D346"/>
      <c r="E346"/>
      <c r="F346"/>
      <c r="G346"/>
      <c r="H346"/>
      <c r="I346"/>
      <c r="J346"/>
    </row>
    <row r="347" spans="1:10" ht="12.75" customHeight="1">
      <c r="A347" s="23"/>
      <c r="B347"/>
      <c r="C347"/>
      <c r="D347"/>
      <c r="E347"/>
      <c r="F347"/>
      <c r="G347"/>
      <c r="H347"/>
      <c r="I347"/>
      <c r="J347"/>
    </row>
    <row r="348" spans="1:10" ht="12.75" customHeight="1">
      <c r="A348" s="23"/>
      <c r="B348"/>
      <c r="C348"/>
      <c r="D348"/>
      <c r="E348"/>
      <c r="F348"/>
      <c r="G348"/>
      <c r="H348"/>
      <c r="I348"/>
      <c r="J348"/>
    </row>
    <row r="349" spans="1:10" ht="12.75" customHeight="1">
      <c r="A349" s="23"/>
      <c r="B349"/>
      <c r="C349"/>
      <c r="D349"/>
      <c r="E349"/>
      <c r="F349"/>
      <c r="G349"/>
      <c r="H349"/>
      <c r="I349"/>
      <c r="J349"/>
    </row>
    <row r="350" spans="1:10" ht="12.75" customHeight="1">
      <c r="A350" s="23"/>
      <c r="B350"/>
      <c r="C350"/>
      <c r="D350"/>
      <c r="E350"/>
      <c r="F350"/>
      <c r="G350"/>
      <c r="H350"/>
      <c r="I350"/>
      <c r="J350"/>
    </row>
    <row r="351" spans="1:10" ht="12.75" customHeight="1">
      <c r="A351" s="23"/>
      <c r="B351"/>
      <c r="C351"/>
      <c r="D351"/>
      <c r="E351"/>
      <c r="F351"/>
      <c r="G351"/>
      <c r="H351"/>
      <c r="I351"/>
      <c r="J351"/>
    </row>
    <row r="352" spans="1:10" ht="12.75" customHeight="1">
      <c r="A352" s="23"/>
      <c r="B352"/>
      <c r="C352"/>
      <c r="D352"/>
      <c r="E352"/>
      <c r="F352"/>
      <c r="G352"/>
      <c r="H352"/>
      <c r="I352"/>
      <c r="J352"/>
    </row>
    <row r="353" spans="1:10" ht="12.75" customHeight="1">
      <c r="A353" s="23"/>
      <c r="B353"/>
      <c r="C353"/>
      <c r="D353"/>
      <c r="E353"/>
      <c r="F353"/>
      <c r="G353"/>
      <c r="H353"/>
      <c r="I353"/>
      <c r="J353"/>
    </row>
    <row r="354" spans="1:10" ht="12.75" customHeight="1">
      <c r="A354" s="23"/>
      <c r="B354"/>
      <c r="C354"/>
      <c r="D354"/>
      <c r="E354"/>
      <c r="F354"/>
      <c r="G354"/>
      <c r="H354"/>
      <c r="I354"/>
      <c r="J354"/>
    </row>
    <row r="355" spans="1:10" ht="12.75" customHeight="1">
      <c r="A355" s="23"/>
      <c r="B355"/>
      <c r="C355"/>
      <c r="D355"/>
      <c r="E355"/>
      <c r="F355"/>
      <c r="G355"/>
      <c r="H355"/>
      <c r="I355"/>
      <c r="J355"/>
    </row>
    <row r="356" spans="1:10" ht="12.75" customHeight="1">
      <c r="A356" s="23"/>
      <c r="B356"/>
      <c r="C356"/>
      <c r="D356"/>
      <c r="E356"/>
      <c r="F356"/>
      <c r="G356"/>
      <c r="H356"/>
      <c r="I356"/>
      <c r="J356"/>
    </row>
    <row r="357" spans="1:10" ht="12.75" customHeight="1">
      <c r="A357" s="23"/>
      <c r="B357"/>
      <c r="C357"/>
      <c r="D357"/>
      <c r="E357"/>
      <c r="F357"/>
      <c r="G357"/>
      <c r="H357"/>
      <c r="I357"/>
      <c r="J357"/>
    </row>
    <row r="358" spans="1:10" ht="12.75" customHeight="1">
      <c r="A358" s="23"/>
      <c r="B358"/>
      <c r="C358"/>
      <c r="D358"/>
      <c r="E358"/>
      <c r="F358"/>
      <c r="G358"/>
      <c r="H358"/>
      <c r="I358"/>
      <c r="J358"/>
    </row>
    <row r="359" spans="1:10" ht="12.75" customHeight="1">
      <c r="A359" s="23"/>
      <c r="B359"/>
      <c r="C359"/>
      <c r="D359"/>
      <c r="E359"/>
      <c r="F359"/>
      <c r="G359"/>
      <c r="H359"/>
      <c r="I359"/>
      <c r="J359"/>
    </row>
    <row r="360" spans="1:10" ht="12.75" customHeight="1">
      <c r="A360" s="23"/>
      <c r="B360"/>
      <c r="C360"/>
      <c r="D360"/>
      <c r="E360"/>
      <c r="F360"/>
      <c r="G360"/>
      <c r="H360"/>
      <c r="I360"/>
      <c r="J360"/>
    </row>
    <row r="361" spans="1:10" ht="12.75" customHeight="1">
      <c r="A361" s="23"/>
      <c r="B361"/>
      <c r="C361"/>
      <c r="D361"/>
      <c r="E361"/>
      <c r="F361"/>
      <c r="G361"/>
      <c r="H361"/>
      <c r="I361"/>
      <c r="J361"/>
    </row>
    <row r="362" spans="1:10" ht="12.75" customHeight="1">
      <c r="A362" s="23"/>
      <c r="B362"/>
      <c r="C362"/>
      <c r="D362"/>
      <c r="E362"/>
      <c r="F362"/>
      <c r="G362"/>
      <c r="H362"/>
      <c r="I362"/>
      <c r="J362"/>
    </row>
    <row r="363" spans="1:10" ht="12.75" customHeight="1">
      <c r="A363" s="23"/>
      <c r="B363"/>
      <c r="C363"/>
      <c r="D363"/>
      <c r="E363"/>
      <c r="F363"/>
      <c r="G363"/>
      <c r="H363"/>
      <c r="I363"/>
      <c r="J363"/>
    </row>
    <row r="364" spans="1:10" ht="12.75" customHeight="1">
      <c r="A364" s="23"/>
      <c r="B364"/>
      <c r="C364"/>
      <c r="D364"/>
      <c r="E364"/>
      <c r="F364"/>
      <c r="G364"/>
      <c r="H364"/>
      <c r="I364"/>
      <c r="J364"/>
    </row>
    <row r="365" spans="1:10" ht="12.75" customHeight="1">
      <c r="A365" s="23"/>
      <c r="B365"/>
      <c r="C365"/>
      <c r="D365"/>
      <c r="E365"/>
      <c r="F365"/>
      <c r="G365"/>
      <c r="H365"/>
      <c r="I365"/>
      <c r="J365"/>
    </row>
    <row r="366" spans="1:10" ht="12.75" customHeight="1">
      <c r="A366" s="23"/>
      <c r="B366"/>
      <c r="C366"/>
      <c r="D366"/>
      <c r="E366"/>
      <c r="F366"/>
      <c r="G366"/>
      <c r="H366"/>
      <c r="I366"/>
      <c r="J366"/>
    </row>
    <row r="367" spans="1:10" ht="12.75" customHeight="1">
      <c r="A367" s="23"/>
      <c r="B367"/>
      <c r="C367"/>
      <c r="D367"/>
      <c r="E367"/>
      <c r="F367"/>
      <c r="G367"/>
      <c r="H367"/>
      <c r="I367"/>
      <c r="J367"/>
    </row>
    <row r="368" spans="1:10" ht="12.75" customHeight="1">
      <c r="A368" s="23"/>
      <c r="B368"/>
      <c r="C368"/>
      <c r="D368"/>
      <c r="E368"/>
      <c r="F368"/>
      <c r="G368"/>
      <c r="H368"/>
      <c r="I368"/>
      <c r="J368"/>
    </row>
    <row r="369" spans="1:10" ht="12.75" customHeight="1">
      <c r="A369" s="23"/>
      <c r="B369"/>
      <c r="C369"/>
      <c r="D369"/>
      <c r="E369"/>
      <c r="F369"/>
      <c r="G369"/>
      <c r="H369"/>
      <c r="I369"/>
      <c r="J369"/>
    </row>
    <row r="370" spans="1:10" ht="12.75" customHeight="1">
      <c r="A370" s="23"/>
      <c r="B370"/>
      <c r="C370"/>
      <c r="D370"/>
      <c r="E370"/>
      <c r="F370"/>
      <c r="G370"/>
      <c r="H370"/>
      <c r="I370"/>
      <c r="J370"/>
    </row>
    <row r="371" spans="1:10" ht="12.75" customHeight="1">
      <c r="A371" s="23"/>
      <c r="B371"/>
      <c r="C371"/>
      <c r="D371"/>
      <c r="E371"/>
      <c r="F371"/>
      <c r="G371"/>
      <c r="H371"/>
      <c r="I371"/>
      <c r="J371"/>
    </row>
    <row r="372" spans="1:10" ht="12.75" customHeight="1">
      <c r="A372" s="23"/>
      <c r="B372"/>
      <c r="C372"/>
      <c r="D372"/>
      <c r="E372"/>
      <c r="F372"/>
      <c r="G372"/>
      <c r="H372"/>
      <c r="I372"/>
      <c r="J372"/>
    </row>
    <row r="373" spans="1:10" ht="12.75" customHeight="1">
      <c r="A373" s="23"/>
      <c r="B373"/>
      <c r="C373"/>
      <c r="D373"/>
      <c r="E373"/>
      <c r="F373"/>
      <c r="G373"/>
      <c r="H373"/>
      <c r="I373"/>
      <c r="J373"/>
    </row>
    <row r="374" spans="1:10" ht="12.75" customHeight="1">
      <c r="A374" s="23"/>
      <c r="B374"/>
      <c r="C374"/>
      <c r="D374"/>
      <c r="E374"/>
      <c r="F374"/>
      <c r="G374"/>
      <c r="H374"/>
      <c r="I374"/>
      <c r="J374"/>
    </row>
    <row r="375" spans="1:10" ht="12.75" customHeight="1">
      <c r="A375" s="23"/>
      <c r="B375"/>
      <c r="C375"/>
      <c r="D375"/>
      <c r="E375"/>
      <c r="F375"/>
      <c r="G375"/>
      <c r="H375"/>
      <c r="I375"/>
      <c r="J375"/>
    </row>
    <row r="376" spans="1:10" ht="12.75" customHeight="1">
      <c r="A376" s="23"/>
      <c r="B376"/>
      <c r="C376"/>
      <c r="D376"/>
      <c r="E376"/>
      <c r="F376"/>
      <c r="G376"/>
      <c r="H376"/>
      <c r="I376"/>
      <c r="J376"/>
    </row>
    <row r="377" spans="1:10" ht="12.75" customHeight="1">
      <c r="A377" s="23"/>
      <c r="B377"/>
      <c r="C377"/>
      <c r="D377"/>
      <c r="E377"/>
      <c r="F377"/>
      <c r="G377"/>
      <c r="H377"/>
      <c r="I377"/>
      <c r="J377"/>
    </row>
    <row r="378" spans="1:10" ht="12.75" customHeight="1">
      <c r="A378" s="23"/>
      <c r="B378"/>
      <c r="C378"/>
      <c r="D378"/>
      <c r="E378"/>
      <c r="F378"/>
      <c r="G378"/>
      <c r="H378"/>
      <c r="I378"/>
      <c r="J378"/>
    </row>
    <row r="379" spans="1:10" ht="12.75" customHeight="1">
      <c r="A379" s="23"/>
      <c r="B379"/>
      <c r="C379"/>
      <c r="D379"/>
      <c r="E379"/>
      <c r="F379"/>
      <c r="G379"/>
      <c r="H379"/>
      <c r="I379"/>
      <c r="J379"/>
    </row>
    <row r="380" spans="1:10" ht="12.75" customHeight="1">
      <c r="A380" s="23"/>
      <c r="B380"/>
      <c r="C380"/>
      <c r="D380"/>
      <c r="E380"/>
      <c r="F380"/>
      <c r="G380"/>
      <c r="H380"/>
      <c r="I380"/>
      <c r="J380"/>
    </row>
    <row r="381" spans="1:10" ht="12.75" customHeight="1">
      <c r="A381" s="23"/>
      <c r="B381"/>
      <c r="C381"/>
      <c r="D381"/>
      <c r="E381"/>
      <c r="F381"/>
      <c r="G381"/>
      <c r="H381"/>
      <c r="I381"/>
      <c r="J381"/>
    </row>
    <row r="382" spans="1:10" ht="12.75" customHeight="1">
      <c r="A382" s="23"/>
      <c r="B382"/>
      <c r="C382"/>
      <c r="D382"/>
      <c r="E382"/>
      <c r="F382"/>
      <c r="G382"/>
      <c r="H382"/>
      <c r="I382"/>
      <c r="J382"/>
    </row>
    <row r="383" spans="1:10" ht="12.75" customHeight="1">
      <c r="A383" s="23"/>
      <c r="B383"/>
      <c r="C383"/>
      <c r="D383"/>
      <c r="E383"/>
      <c r="F383"/>
      <c r="G383"/>
      <c r="H383"/>
      <c r="I383"/>
      <c r="J383"/>
    </row>
    <row r="384" spans="1:10" ht="12.75" customHeight="1">
      <c r="A384" s="23"/>
      <c r="B384"/>
      <c r="C384"/>
      <c r="D384"/>
      <c r="E384"/>
      <c r="F384"/>
      <c r="G384"/>
      <c r="H384"/>
      <c r="I384"/>
      <c r="J384"/>
    </row>
    <row r="385" spans="1:10" ht="12.75" customHeight="1">
      <c r="A385" s="23"/>
      <c r="B385"/>
      <c r="C385"/>
      <c r="D385"/>
      <c r="E385"/>
      <c r="F385"/>
      <c r="G385"/>
      <c r="H385"/>
      <c r="I385"/>
      <c r="J385"/>
    </row>
    <row r="386" spans="1:10" ht="12.75" customHeight="1">
      <c r="A386" s="23"/>
      <c r="B386"/>
      <c r="C386"/>
      <c r="D386"/>
      <c r="E386"/>
      <c r="F386"/>
      <c r="G386"/>
      <c r="H386"/>
      <c r="I386"/>
      <c r="J386"/>
    </row>
    <row r="387" spans="1:10" ht="12.75" customHeight="1">
      <c r="A387" s="23"/>
      <c r="B387"/>
      <c r="C387"/>
      <c r="D387"/>
      <c r="E387"/>
      <c r="F387"/>
      <c r="G387"/>
      <c r="H387"/>
      <c r="I387"/>
      <c r="J387"/>
    </row>
    <row r="388" spans="1:10" ht="12.75" customHeight="1">
      <c r="A388" s="23"/>
      <c r="B388"/>
      <c r="C388"/>
      <c r="D388"/>
      <c r="E388"/>
      <c r="F388"/>
      <c r="G388"/>
      <c r="H388"/>
      <c r="I388"/>
      <c r="J388"/>
    </row>
    <row r="389" spans="1:10" ht="12.75" customHeight="1">
      <c r="A389" s="23"/>
      <c r="B389"/>
      <c r="C389"/>
      <c r="D389"/>
      <c r="E389"/>
      <c r="F389"/>
      <c r="G389"/>
      <c r="H389"/>
      <c r="I389"/>
      <c r="J389"/>
    </row>
    <row r="390" spans="1:10" ht="12.75" customHeight="1">
      <c r="A390" s="23"/>
      <c r="B390"/>
      <c r="C390"/>
      <c r="D390"/>
      <c r="E390"/>
      <c r="F390"/>
      <c r="G390"/>
      <c r="H390"/>
      <c r="I390"/>
      <c r="J390"/>
    </row>
    <row r="391" spans="1:10" ht="12.75" customHeight="1">
      <c r="A391" s="23"/>
      <c r="B391"/>
      <c r="C391"/>
      <c r="D391"/>
      <c r="E391"/>
      <c r="F391"/>
      <c r="G391"/>
      <c r="H391"/>
      <c r="I391"/>
      <c r="J391"/>
    </row>
    <row r="392" spans="1:10" ht="12.75" customHeight="1">
      <c r="A392" s="23"/>
      <c r="B392"/>
      <c r="C392"/>
      <c r="D392"/>
      <c r="E392"/>
      <c r="F392"/>
      <c r="G392"/>
      <c r="H392"/>
      <c r="I392"/>
      <c r="J392"/>
    </row>
    <row r="393" spans="1:10" ht="12.75" customHeight="1">
      <c r="A393" s="23"/>
      <c r="B393"/>
      <c r="C393"/>
      <c r="D393"/>
      <c r="E393"/>
      <c r="F393"/>
      <c r="G393"/>
      <c r="H393"/>
      <c r="I393"/>
      <c r="J393"/>
    </row>
    <row r="394" spans="1:10" ht="12.75" customHeight="1">
      <c r="A394" s="23"/>
      <c r="B394"/>
      <c r="C394"/>
      <c r="D394"/>
      <c r="E394"/>
      <c r="F394"/>
      <c r="G394"/>
      <c r="H394"/>
      <c r="I394"/>
      <c r="J394"/>
    </row>
    <row r="395" spans="1:10" ht="12.75" customHeight="1">
      <c r="A395" s="23"/>
      <c r="B395"/>
      <c r="C395"/>
      <c r="D395"/>
      <c r="E395"/>
      <c r="F395"/>
      <c r="G395"/>
      <c r="H395"/>
      <c r="I395"/>
      <c r="J395"/>
    </row>
    <row r="396" spans="1:10" ht="12.75" customHeight="1">
      <c r="A396" s="23"/>
      <c r="B396"/>
      <c r="C396"/>
      <c r="D396"/>
      <c r="E396"/>
      <c r="F396"/>
      <c r="G396"/>
      <c r="H396"/>
      <c r="I396"/>
      <c r="J396"/>
    </row>
    <row r="397" spans="1:10" ht="12.75" customHeight="1">
      <c r="A397" s="23"/>
      <c r="B397"/>
      <c r="C397"/>
      <c r="D397"/>
      <c r="E397"/>
      <c r="F397"/>
      <c r="G397"/>
      <c r="H397"/>
      <c r="I397"/>
      <c r="J397"/>
    </row>
    <row r="398" spans="1:10" ht="12.75" customHeight="1">
      <c r="A398" s="23"/>
      <c r="B398"/>
      <c r="C398"/>
      <c r="D398"/>
      <c r="E398"/>
      <c r="F398"/>
      <c r="G398"/>
      <c r="H398"/>
      <c r="I398"/>
      <c r="J398"/>
    </row>
    <row r="399" spans="1:10" ht="12.75" customHeight="1">
      <c r="A399" s="23"/>
      <c r="B399"/>
      <c r="C399"/>
      <c r="D399"/>
      <c r="E399"/>
      <c r="F399"/>
      <c r="G399"/>
      <c r="H399"/>
      <c r="I399"/>
      <c r="J399"/>
    </row>
    <row r="400" spans="1:10" ht="12.75" customHeight="1">
      <c r="A400" s="23"/>
      <c r="B400"/>
      <c r="C400"/>
      <c r="D400"/>
      <c r="E400"/>
      <c r="F400"/>
      <c r="G400"/>
      <c r="H400"/>
      <c r="I400"/>
      <c r="J400"/>
    </row>
    <row r="401" spans="1:10" ht="12.75" customHeight="1">
      <c r="A401" s="23"/>
      <c r="B401"/>
      <c r="C401"/>
      <c r="D401"/>
      <c r="E401"/>
      <c r="F401"/>
      <c r="G401"/>
      <c r="H401"/>
      <c r="I401"/>
      <c r="J401"/>
    </row>
    <row r="402" spans="1:10" ht="12.75" customHeight="1">
      <c r="A402" s="23"/>
      <c r="B402"/>
      <c r="C402"/>
      <c r="D402"/>
      <c r="E402"/>
      <c r="F402"/>
      <c r="G402"/>
      <c r="H402"/>
      <c r="I402"/>
      <c r="J402"/>
    </row>
    <row r="403" spans="1:10" ht="12.75" customHeight="1">
      <c r="A403" s="23"/>
      <c r="B403"/>
      <c r="C403"/>
      <c r="D403"/>
      <c r="E403"/>
      <c r="F403"/>
      <c r="G403"/>
      <c r="H403"/>
      <c r="I403"/>
      <c r="J403"/>
    </row>
    <row r="404" spans="1:10" ht="12.75" customHeight="1">
      <c r="A404" s="23"/>
      <c r="B404"/>
      <c r="C404"/>
      <c r="D404"/>
      <c r="E404"/>
      <c r="F404"/>
      <c r="G404"/>
      <c r="H404"/>
      <c r="I404"/>
      <c r="J404"/>
    </row>
    <row r="405" spans="1:10" ht="12.75" customHeight="1">
      <c r="A405" s="23"/>
      <c r="B405"/>
      <c r="C405"/>
      <c r="D405"/>
      <c r="E405"/>
      <c r="F405"/>
      <c r="G405"/>
      <c r="H405"/>
      <c r="I405"/>
      <c r="J405"/>
    </row>
    <row r="406" spans="1:10" ht="12.75" customHeight="1">
      <c r="A406" s="23"/>
      <c r="B406"/>
      <c r="C406"/>
      <c r="D406"/>
      <c r="E406"/>
      <c r="F406"/>
      <c r="G406"/>
      <c r="H406"/>
      <c r="I406"/>
      <c r="J406"/>
    </row>
    <row r="407" spans="1:10" ht="12.75" customHeight="1">
      <c r="A407" s="23"/>
      <c r="B407"/>
      <c r="C407"/>
      <c r="D407"/>
      <c r="E407"/>
      <c r="F407"/>
      <c r="G407"/>
      <c r="H407"/>
      <c r="I407"/>
      <c r="J407"/>
    </row>
    <row r="408" spans="1:10" ht="12.75" customHeight="1">
      <c r="A408" s="23"/>
      <c r="B408"/>
      <c r="C408"/>
      <c r="D408"/>
      <c r="E408"/>
      <c r="F408"/>
      <c r="G408"/>
      <c r="H408"/>
      <c r="I408"/>
      <c r="J408"/>
    </row>
    <row r="409" spans="1:10" ht="12.75" customHeight="1">
      <c r="A409" s="23"/>
      <c r="B409"/>
      <c r="C409"/>
      <c r="D409"/>
      <c r="E409"/>
      <c r="F409"/>
      <c r="G409"/>
      <c r="H409"/>
      <c r="I409"/>
      <c r="J409"/>
    </row>
    <row r="410" spans="1:10" ht="12.75" customHeight="1">
      <c r="A410" s="23"/>
      <c r="B410"/>
      <c r="C410"/>
      <c r="D410"/>
      <c r="E410"/>
      <c r="F410"/>
      <c r="G410"/>
      <c r="H410"/>
      <c r="I410"/>
      <c r="J410"/>
    </row>
    <row r="411" spans="1:10" ht="12.75" customHeight="1">
      <c r="A411" s="23"/>
      <c r="B411"/>
      <c r="C411"/>
      <c r="D411"/>
      <c r="E411"/>
      <c r="F411"/>
      <c r="G411"/>
      <c r="H411"/>
      <c r="I411"/>
      <c r="J411"/>
    </row>
    <row r="412" spans="1:10" ht="12.75" customHeight="1">
      <c r="A412" s="23"/>
      <c r="B412"/>
      <c r="C412"/>
      <c r="D412"/>
      <c r="E412"/>
      <c r="F412"/>
      <c r="G412"/>
      <c r="H412"/>
      <c r="I412"/>
      <c r="J412"/>
    </row>
    <row r="413" spans="1:10" ht="12.75" customHeight="1">
      <c r="A413" s="23"/>
      <c r="B413"/>
      <c r="C413"/>
      <c r="D413"/>
      <c r="E413"/>
      <c r="F413"/>
      <c r="G413"/>
      <c r="H413"/>
      <c r="I413"/>
      <c r="J413"/>
    </row>
    <row r="414" spans="1:10" ht="12.75" customHeight="1">
      <c r="A414" s="23"/>
      <c r="B414"/>
      <c r="C414"/>
      <c r="D414"/>
      <c r="E414"/>
      <c r="F414"/>
      <c r="G414"/>
      <c r="H414"/>
      <c r="I414"/>
      <c r="J414"/>
    </row>
    <row r="415" spans="1:10" ht="12.75" customHeight="1">
      <c r="A415" s="23"/>
      <c r="B415"/>
      <c r="C415"/>
      <c r="D415"/>
      <c r="E415"/>
      <c r="F415"/>
      <c r="G415"/>
      <c r="H415"/>
      <c r="I415"/>
      <c r="J415"/>
    </row>
    <row r="416" spans="1:10" ht="12.75" customHeight="1">
      <c r="A416" s="23"/>
      <c r="B416"/>
      <c r="C416"/>
      <c r="D416"/>
      <c r="E416"/>
      <c r="F416"/>
      <c r="G416"/>
      <c r="H416"/>
      <c r="I416"/>
      <c r="J416"/>
    </row>
    <row r="417" spans="1:10" ht="12.75" customHeight="1">
      <c r="A417" s="23"/>
      <c r="B417"/>
      <c r="C417"/>
      <c r="D417"/>
      <c r="E417"/>
      <c r="F417"/>
      <c r="G417"/>
      <c r="H417"/>
      <c r="I417"/>
      <c r="J417"/>
    </row>
    <row r="418" spans="1:10" ht="12.75" customHeight="1">
      <c r="A418" s="23"/>
      <c r="B418"/>
      <c r="C418"/>
      <c r="D418"/>
      <c r="E418"/>
      <c r="F418"/>
      <c r="G418"/>
      <c r="H418"/>
      <c r="I418"/>
      <c r="J418"/>
    </row>
    <row r="419" spans="1:10" ht="12.75" customHeight="1">
      <c r="A419" s="23"/>
      <c r="B419"/>
      <c r="C419"/>
      <c r="D419"/>
      <c r="E419"/>
      <c r="F419"/>
      <c r="G419"/>
      <c r="H419"/>
      <c r="I419"/>
      <c r="J419"/>
    </row>
    <row r="420" spans="1:10" ht="12.75" customHeight="1">
      <c r="A420" s="23"/>
      <c r="B420"/>
      <c r="C420"/>
      <c r="D420"/>
      <c r="E420"/>
      <c r="F420"/>
      <c r="G420"/>
      <c r="H420"/>
      <c r="I420"/>
      <c r="J420"/>
    </row>
    <row r="421" spans="1:10" ht="12.75" customHeight="1">
      <c r="A421" s="23"/>
      <c r="B421"/>
      <c r="C421"/>
      <c r="D421"/>
      <c r="E421"/>
      <c r="F421"/>
      <c r="G421"/>
      <c r="H421"/>
      <c r="I421"/>
      <c r="J421"/>
    </row>
    <row r="422" spans="1:10" ht="12.75" customHeight="1">
      <c r="A422" s="23"/>
      <c r="B422"/>
      <c r="C422"/>
      <c r="D422"/>
      <c r="E422"/>
      <c r="F422"/>
      <c r="G422"/>
      <c r="H422"/>
      <c r="I422"/>
      <c r="J422"/>
    </row>
    <row r="423" spans="1:10" ht="12.75" customHeight="1">
      <c r="A423" s="23"/>
      <c r="B423"/>
      <c r="C423"/>
      <c r="D423"/>
      <c r="E423"/>
      <c r="F423"/>
      <c r="G423"/>
      <c r="H423"/>
      <c r="I423"/>
      <c r="J423"/>
    </row>
    <row r="424" spans="1:10" ht="12.75" customHeight="1">
      <c r="A424" s="23"/>
      <c r="B424"/>
      <c r="C424"/>
      <c r="D424"/>
      <c r="E424"/>
      <c r="F424"/>
      <c r="G424"/>
      <c r="H424"/>
      <c r="I424"/>
      <c r="J424"/>
    </row>
    <row r="425" spans="1:10" ht="12.75" customHeight="1">
      <c r="A425" s="23"/>
      <c r="B425"/>
      <c r="C425"/>
      <c r="D425"/>
      <c r="E425"/>
      <c r="F425"/>
      <c r="G425"/>
      <c r="H425"/>
      <c r="I425"/>
      <c r="J425"/>
    </row>
    <row r="426" spans="1:10" ht="12.75" customHeight="1">
      <c r="A426" s="23"/>
      <c r="B426"/>
      <c r="C426"/>
      <c r="D426"/>
      <c r="E426"/>
      <c r="F426"/>
      <c r="G426"/>
      <c r="H426"/>
      <c r="I426"/>
      <c r="J426"/>
    </row>
    <row r="427" spans="1:10" ht="12.75" customHeight="1">
      <c r="A427" s="23"/>
      <c r="B427"/>
      <c r="C427"/>
      <c r="D427"/>
      <c r="E427"/>
      <c r="F427"/>
      <c r="G427"/>
      <c r="H427"/>
      <c r="I427"/>
      <c r="J427"/>
    </row>
    <row r="428" spans="1:10" ht="12.75" customHeight="1">
      <c r="A428" s="23"/>
      <c r="B428"/>
      <c r="C428"/>
      <c r="D428"/>
      <c r="E428"/>
      <c r="F428"/>
      <c r="G428"/>
      <c r="H428"/>
      <c r="I428"/>
      <c r="J428"/>
    </row>
    <row r="429" spans="1:10" ht="12.75" customHeight="1">
      <c r="A429" s="23"/>
      <c r="B429"/>
      <c r="C429"/>
      <c r="D429"/>
      <c r="E429"/>
      <c r="F429"/>
      <c r="G429"/>
      <c r="H429"/>
      <c r="I429"/>
      <c r="J429"/>
    </row>
    <row r="430" spans="1:10" ht="12.75" customHeight="1">
      <c r="A430" s="23"/>
      <c r="B430"/>
      <c r="C430"/>
      <c r="D430"/>
      <c r="E430"/>
      <c r="F430"/>
      <c r="G430"/>
      <c r="H430"/>
      <c r="I430"/>
      <c r="J430"/>
    </row>
    <row r="431" spans="1:10" ht="12.75" customHeight="1">
      <c r="A431" s="23"/>
      <c r="B431"/>
      <c r="C431"/>
      <c r="D431"/>
      <c r="E431"/>
      <c r="F431"/>
      <c r="G431"/>
      <c r="H431"/>
      <c r="I431"/>
      <c r="J431"/>
    </row>
    <row r="432" spans="1:10" ht="12.75" customHeight="1">
      <c r="A432" s="23"/>
      <c r="B432"/>
      <c r="C432"/>
      <c r="D432"/>
      <c r="E432"/>
      <c r="F432"/>
      <c r="G432"/>
      <c r="H432"/>
      <c r="I432"/>
      <c r="J432"/>
    </row>
    <row r="433" spans="1:10" ht="12.75" customHeight="1">
      <c r="A433" s="23"/>
      <c r="B433"/>
      <c r="C433"/>
      <c r="D433"/>
      <c r="E433"/>
      <c r="F433"/>
      <c r="G433"/>
      <c r="H433"/>
      <c r="I433"/>
      <c r="J433"/>
    </row>
    <row r="434" spans="1:10" ht="12.75" customHeight="1">
      <c r="A434" s="23"/>
      <c r="B434"/>
      <c r="C434"/>
      <c r="D434"/>
      <c r="E434"/>
      <c r="F434"/>
      <c r="G434"/>
      <c r="H434"/>
      <c r="I434"/>
      <c r="J434"/>
    </row>
    <row r="435" spans="1:10" ht="12.75" customHeight="1">
      <c r="A435" s="23"/>
      <c r="B435"/>
      <c r="C435"/>
      <c r="D435"/>
      <c r="E435"/>
      <c r="F435"/>
      <c r="G435"/>
      <c r="H435"/>
      <c r="I435"/>
      <c r="J435"/>
    </row>
    <row r="436" spans="1:10" ht="12.75" customHeight="1">
      <c r="A436" s="23"/>
      <c r="B436"/>
      <c r="C436"/>
      <c r="D436"/>
      <c r="E436"/>
      <c r="F436"/>
      <c r="G436"/>
      <c r="H436"/>
      <c r="I436"/>
      <c r="J436"/>
    </row>
    <row r="437" spans="1:10" ht="12.75" customHeight="1">
      <c r="A437" s="23"/>
      <c r="B437"/>
      <c r="C437"/>
      <c r="D437"/>
      <c r="E437"/>
      <c r="F437"/>
      <c r="G437"/>
      <c r="H437"/>
      <c r="I437"/>
      <c r="J437"/>
    </row>
    <row r="438" spans="1:10" ht="12.75" customHeight="1">
      <c r="A438" s="23"/>
      <c r="B438"/>
      <c r="C438"/>
      <c r="D438"/>
      <c r="E438"/>
      <c r="F438"/>
      <c r="G438"/>
      <c r="H438"/>
      <c r="I438"/>
      <c r="J438"/>
    </row>
    <row r="439" spans="1:10" ht="12.75" customHeight="1">
      <c r="A439" s="23"/>
      <c r="B439"/>
      <c r="C439"/>
      <c r="D439"/>
      <c r="E439"/>
      <c r="F439"/>
      <c r="G439"/>
      <c r="H439"/>
      <c r="I439"/>
      <c r="J439"/>
    </row>
    <row r="440" spans="1:10" ht="12.75" customHeight="1">
      <c r="A440" s="23"/>
      <c r="B440"/>
      <c r="C440"/>
      <c r="D440"/>
      <c r="E440"/>
      <c r="F440"/>
      <c r="G440"/>
      <c r="H440"/>
      <c r="I440"/>
      <c r="J440"/>
    </row>
    <row r="441" spans="1:10" ht="12.75" customHeight="1">
      <c r="A441" s="23"/>
      <c r="B441"/>
      <c r="C441"/>
      <c r="D441"/>
      <c r="E441"/>
      <c r="F441"/>
      <c r="G441"/>
      <c r="H441"/>
      <c r="I441"/>
      <c r="J441"/>
    </row>
    <row r="442" spans="1:10" ht="12.75" customHeight="1">
      <c r="A442" s="23"/>
      <c r="B442"/>
      <c r="C442"/>
      <c r="D442"/>
      <c r="E442"/>
      <c r="F442"/>
      <c r="G442"/>
      <c r="H442"/>
      <c r="I442"/>
      <c r="J442"/>
    </row>
    <row r="443" spans="1:10" ht="12.75" customHeight="1">
      <c r="A443" s="23"/>
      <c r="B443"/>
      <c r="C443"/>
      <c r="D443"/>
      <c r="E443"/>
      <c r="F443"/>
      <c r="G443"/>
      <c r="H443"/>
      <c r="I443"/>
      <c r="J443"/>
    </row>
    <row r="444" spans="1:10" ht="12.75" customHeight="1">
      <c r="A444" s="23"/>
      <c r="B444"/>
      <c r="C444"/>
      <c r="D444"/>
      <c r="E444"/>
      <c r="F444"/>
      <c r="G444"/>
      <c r="H444"/>
      <c r="I444"/>
      <c r="J444"/>
    </row>
    <row r="445" spans="1:10" ht="12.75" customHeight="1">
      <c r="A445" s="23"/>
      <c r="B445"/>
      <c r="C445"/>
      <c r="D445"/>
      <c r="E445"/>
      <c r="F445"/>
      <c r="G445"/>
      <c r="H445"/>
      <c r="I445"/>
      <c r="J445"/>
    </row>
    <row r="446" spans="1:10" ht="12.75" customHeight="1">
      <c r="A446" s="23"/>
      <c r="B446"/>
      <c r="C446"/>
      <c r="D446"/>
      <c r="E446"/>
      <c r="F446"/>
      <c r="G446"/>
      <c r="H446"/>
      <c r="I446"/>
      <c r="J446"/>
    </row>
    <row r="447" spans="1:10" ht="12.75" customHeight="1">
      <c r="A447" s="23"/>
      <c r="B447"/>
      <c r="C447"/>
      <c r="D447"/>
      <c r="E447"/>
      <c r="F447"/>
      <c r="G447"/>
      <c r="H447"/>
      <c r="I447"/>
      <c r="J447"/>
    </row>
    <row r="448" spans="1:10" ht="12.75" customHeight="1">
      <c r="A448" s="23"/>
      <c r="B448"/>
      <c r="C448"/>
      <c r="D448"/>
      <c r="E448"/>
      <c r="F448"/>
      <c r="G448"/>
      <c r="H448"/>
      <c r="I448"/>
      <c r="J448"/>
    </row>
    <row r="449" spans="1:10" ht="12.75" customHeight="1">
      <c r="A449" s="23"/>
      <c r="B449"/>
      <c r="C449"/>
      <c r="D449"/>
      <c r="E449"/>
      <c r="F449"/>
      <c r="G449"/>
      <c r="H449"/>
      <c r="I449"/>
      <c r="J449"/>
    </row>
    <row r="450" spans="1:10" ht="12.75" customHeight="1">
      <c r="A450" s="23"/>
      <c r="B450"/>
      <c r="C450"/>
      <c r="D450"/>
      <c r="E450"/>
      <c r="F450"/>
      <c r="G450"/>
      <c r="H450"/>
      <c r="I450"/>
      <c r="J450"/>
    </row>
    <row r="451" spans="1:10" ht="12.75" customHeight="1">
      <c r="A451" s="23"/>
      <c r="B451"/>
      <c r="C451"/>
      <c r="D451"/>
      <c r="E451"/>
      <c r="F451"/>
      <c r="G451"/>
      <c r="H451"/>
      <c r="I451"/>
      <c r="J451"/>
    </row>
    <row r="452" spans="1:10" ht="12.75" customHeight="1">
      <c r="A452" s="23"/>
      <c r="B452"/>
      <c r="C452"/>
      <c r="D452"/>
      <c r="E452"/>
      <c r="F452"/>
      <c r="G452"/>
      <c r="H452"/>
      <c r="I452"/>
      <c r="J452"/>
    </row>
    <row r="453" spans="1:10" ht="12.75" customHeight="1">
      <c r="A453" s="23"/>
      <c r="B453"/>
      <c r="C453"/>
      <c r="D453"/>
      <c r="E453"/>
      <c r="F453"/>
      <c r="G453"/>
      <c r="H453"/>
      <c r="I453"/>
      <c r="J453"/>
    </row>
    <row r="454" spans="1:10" ht="12.75" customHeight="1">
      <c r="A454" s="23"/>
      <c r="B454"/>
      <c r="C454"/>
      <c r="D454"/>
      <c r="E454"/>
      <c r="F454"/>
      <c r="G454"/>
      <c r="H454"/>
      <c r="I454"/>
      <c r="J454"/>
    </row>
    <row r="455" spans="1:10" ht="12.75" customHeight="1">
      <c r="A455" s="23"/>
      <c r="B455"/>
      <c r="C455"/>
      <c r="D455"/>
      <c r="E455"/>
      <c r="F455"/>
      <c r="G455"/>
      <c r="H455"/>
      <c r="I455"/>
      <c r="J455"/>
    </row>
    <row r="456" spans="1:10" ht="12.75" customHeight="1">
      <c r="A456" s="23"/>
      <c r="B456"/>
      <c r="C456"/>
      <c r="D456"/>
      <c r="E456"/>
      <c r="F456"/>
      <c r="G456"/>
      <c r="H456"/>
      <c r="I456"/>
      <c r="J456"/>
    </row>
    <row r="457" spans="1:10" ht="12.75" customHeight="1">
      <c r="A457" s="23"/>
      <c r="B457"/>
      <c r="C457"/>
      <c r="D457"/>
      <c r="E457"/>
      <c r="F457"/>
      <c r="G457"/>
      <c r="H457"/>
      <c r="I457"/>
      <c r="J457"/>
    </row>
    <row r="458" spans="1:10" ht="12.75" customHeight="1">
      <c r="A458" s="23"/>
      <c r="B458"/>
      <c r="C458"/>
      <c r="D458"/>
      <c r="E458"/>
      <c r="F458"/>
      <c r="G458"/>
      <c r="H458"/>
      <c r="I458"/>
      <c r="J458"/>
    </row>
    <row r="459" spans="1:10" ht="12.75" customHeight="1">
      <c r="A459" s="23"/>
      <c r="B459"/>
      <c r="C459"/>
      <c r="D459"/>
      <c r="E459"/>
      <c r="F459"/>
      <c r="G459"/>
      <c r="H459"/>
      <c r="I459"/>
      <c r="J459"/>
    </row>
    <row r="460" spans="1:10" ht="12.75" customHeight="1">
      <c r="A460" s="23"/>
      <c r="B460"/>
      <c r="C460"/>
      <c r="D460"/>
      <c r="E460"/>
      <c r="F460"/>
      <c r="G460"/>
      <c r="H460"/>
      <c r="I460"/>
      <c r="J460"/>
    </row>
    <row r="461" spans="1:10" ht="12.75" customHeight="1">
      <c r="A461" s="23"/>
      <c r="B461"/>
      <c r="C461"/>
      <c r="D461"/>
      <c r="E461"/>
      <c r="F461"/>
      <c r="G461"/>
      <c r="H461"/>
      <c r="I461"/>
      <c r="J461"/>
    </row>
    <row r="462" spans="1:10" ht="12.75" customHeight="1">
      <c r="A462" s="23"/>
      <c r="B462"/>
      <c r="C462"/>
      <c r="D462"/>
      <c r="E462"/>
      <c r="F462"/>
      <c r="G462"/>
      <c r="H462"/>
      <c r="I462"/>
      <c r="J462"/>
    </row>
    <row r="463" spans="1:10" ht="12.75" customHeight="1">
      <c r="A463" s="23"/>
      <c r="B463"/>
      <c r="C463"/>
      <c r="D463"/>
      <c r="E463"/>
      <c r="F463"/>
      <c r="G463"/>
      <c r="H463"/>
      <c r="I463"/>
      <c r="J463"/>
    </row>
    <row r="464" spans="1:10" ht="12.75" customHeight="1">
      <c r="A464" s="23"/>
      <c r="B464"/>
      <c r="C464"/>
      <c r="D464"/>
      <c r="E464"/>
      <c r="F464"/>
      <c r="G464"/>
      <c r="H464"/>
      <c r="I464"/>
      <c r="J464"/>
    </row>
    <row r="465" spans="1:10" ht="12.75" customHeight="1">
      <c r="A465" s="23"/>
      <c r="B465"/>
      <c r="C465"/>
      <c r="D465"/>
      <c r="E465"/>
      <c r="F465"/>
      <c r="G465"/>
      <c r="H465"/>
      <c r="I465"/>
      <c r="J465"/>
    </row>
    <row r="466" spans="1:10" ht="12.75" customHeight="1">
      <c r="A466" s="23"/>
      <c r="B466"/>
      <c r="C466"/>
      <c r="D466"/>
      <c r="E466"/>
      <c r="F466"/>
      <c r="G466"/>
      <c r="H466"/>
      <c r="I466"/>
      <c r="J466"/>
    </row>
    <row r="467" spans="1:10" ht="12.75" customHeight="1">
      <c r="A467" s="23"/>
      <c r="B467"/>
      <c r="C467"/>
      <c r="D467"/>
      <c r="E467"/>
      <c r="F467"/>
      <c r="G467"/>
      <c r="H467"/>
      <c r="I467"/>
      <c r="J467"/>
    </row>
    <row r="468" spans="1:10" ht="12.75" customHeight="1">
      <c r="A468" s="23"/>
      <c r="B468"/>
      <c r="C468"/>
      <c r="D468"/>
      <c r="E468"/>
      <c r="F468"/>
      <c r="G468"/>
      <c r="H468"/>
      <c r="I468"/>
      <c r="J468"/>
    </row>
    <row r="469" spans="1:10" ht="12.75" customHeight="1">
      <c r="A469" s="23"/>
      <c r="B469"/>
      <c r="C469"/>
      <c r="D469"/>
      <c r="E469"/>
      <c r="F469"/>
      <c r="G469"/>
      <c r="H469"/>
      <c r="I469"/>
      <c r="J469"/>
    </row>
    <row r="470" spans="1:10" ht="12.75" customHeight="1">
      <c r="A470" s="23"/>
      <c r="B470"/>
      <c r="C470"/>
      <c r="D470"/>
      <c r="E470"/>
      <c r="F470"/>
      <c r="G470"/>
      <c r="H470"/>
      <c r="I470"/>
      <c r="J470"/>
    </row>
    <row r="471" spans="1:10" ht="12.75" customHeight="1">
      <c r="A471" s="23"/>
      <c r="B471"/>
      <c r="C471"/>
      <c r="D471"/>
      <c r="E471"/>
      <c r="F471"/>
      <c r="G471"/>
      <c r="H471"/>
      <c r="I471"/>
      <c r="J471"/>
    </row>
    <row r="472" spans="1:10" ht="12.75" customHeight="1">
      <c r="A472" s="23"/>
      <c r="B472"/>
      <c r="C472"/>
      <c r="D472"/>
      <c r="E472"/>
      <c r="F472"/>
      <c r="G472"/>
      <c r="H472"/>
      <c r="I472"/>
      <c r="J472"/>
    </row>
    <row r="473" spans="1:10" ht="12.75" customHeight="1">
      <c r="A473" s="23"/>
      <c r="B473"/>
      <c r="C473"/>
      <c r="D473"/>
      <c r="E473"/>
      <c r="F473"/>
      <c r="G473"/>
      <c r="H473"/>
      <c r="I473"/>
      <c r="J473"/>
    </row>
    <row r="474" spans="1:10" ht="12.75" customHeight="1">
      <c r="A474" s="23"/>
      <c r="B474"/>
      <c r="C474"/>
      <c r="D474"/>
      <c r="E474"/>
      <c r="F474"/>
      <c r="G474"/>
      <c r="H474"/>
      <c r="I474"/>
      <c r="J474"/>
    </row>
    <row r="475" spans="1:10" ht="12.75" customHeight="1">
      <c r="A475" s="23"/>
      <c r="B475"/>
      <c r="C475"/>
      <c r="D475"/>
      <c r="E475"/>
      <c r="F475"/>
      <c r="G475"/>
      <c r="H475"/>
      <c r="I475"/>
      <c r="J475"/>
    </row>
    <row r="476" spans="1:10" ht="12.75" customHeight="1">
      <c r="A476" s="23"/>
      <c r="B476"/>
      <c r="C476"/>
      <c r="D476"/>
      <c r="E476"/>
      <c r="F476"/>
      <c r="G476"/>
      <c r="H476"/>
      <c r="I476"/>
      <c r="J476"/>
    </row>
    <row r="477" spans="1:10" ht="12.75" customHeight="1">
      <c r="A477" s="23"/>
      <c r="B477"/>
      <c r="C477"/>
      <c r="D477"/>
      <c r="E477"/>
      <c r="F477"/>
      <c r="G477"/>
      <c r="H477"/>
      <c r="I477"/>
      <c r="J477"/>
    </row>
    <row r="478" spans="1:10" ht="12.75" customHeight="1">
      <c r="A478" s="23"/>
      <c r="B478"/>
      <c r="C478"/>
      <c r="D478"/>
      <c r="E478"/>
      <c r="F478"/>
      <c r="G478"/>
      <c r="H478"/>
      <c r="I478"/>
      <c r="J478"/>
    </row>
    <row r="479" spans="1:10" ht="12.75" customHeight="1">
      <c r="A479" s="23"/>
      <c r="B479"/>
      <c r="C479"/>
      <c r="D479"/>
      <c r="E479"/>
      <c r="F479"/>
      <c r="G479"/>
      <c r="H479"/>
      <c r="I479"/>
      <c r="J479"/>
    </row>
    <row r="480" spans="1:10" ht="12.75" customHeight="1">
      <c r="A480" s="23"/>
      <c r="B480"/>
      <c r="C480"/>
      <c r="D480"/>
      <c r="E480"/>
      <c r="F480"/>
      <c r="G480"/>
      <c r="H480"/>
      <c r="I480"/>
      <c r="J480"/>
    </row>
    <row r="481" spans="1:10" ht="12.75" customHeight="1">
      <c r="A481" s="23"/>
      <c r="B481"/>
      <c r="C481"/>
      <c r="D481"/>
      <c r="E481"/>
      <c r="F481"/>
      <c r="G481"/>
      <c r="H481"/>
      <c r="I481"/>
      <c r="J481"/>
    </row>
    <row r="482" spans="1:10" ht="12.75" customHeight="1">
      <c r="A482" s="23"/>
      <c r="B482"/>
      <c r="C482"/>
      <c r="D482"/>
      <c r="E482"/>
      <c r="F482"/>
      <c r="G482"/>
      <c r="H482"/>
      <c r="I482"/>
      <c r="J482"/>
    </row>
    <row r="483" spans="1:10" ht="12.75" customHeight="1">
      <c r="A483" s="23"/>
      <c r="B483"/>
      <c r="C483"/>
      <c r="D483"/>
      <c r="E483"/>
      <c r="F483"/>
      <c r="G483"/>
      <c r="H483"/>
      <c r="I483"/>
      <c r="J483"/>
    </row>
    <row r="484" spans="1:10" ht="12.75" customHeight="1">
      <c r="A484" s="23"/>
      <c r="B484"/>
      <c r="C484"/>
      <c r="D484"/>
      <c r="E484"/>
      <c r="F484"/>
      <c r="G484"/>
      <c r="H484"/>
      <c r="I484"/>
      <c r="J484"/>
    </row>
    <row r="485" spans="1:10" ht="12.75" customHeight="1">
      <c r="A485" s="23"/>
      <c r="B485"/>
      <c r="C485"/>
      <c r="D485"/>
      <c r="E485"/>
      <c r="F485"/>
      <c r="G485"/>
      <c r="H485"/>
      <c r="I485"/>
      <c r="J485"/>
    </row>
    <row r="486" spans="1:10" ht="12.75" customHeight="1">
      <c r="A486" s="23"/>
      <c r="B486"/>
      <c r="C486"/>
      <c r="D486"/>
      <c r="E486"/>
      <c r="F486"/>
      <c r="G486"/>
      <c r="H486"/>
      <c r="I486"/>
      <c r="J486"/>
    </row>
    <row r="487" spans="1:10" ht="12.75" customHeight="1">
      <c r="A487" s="23"/>
      <c r="B487"/>
      <c r="C487"/>
      <c r="D487"/>
      <c r="E487"/>
      <c r="F487"/>
      <c r="G487"/>
      <c r="H487"/>
      <c r="I487"/>
      <c r="J487"/>
    </row>
    <row r="488" spans="1:10" ht="12.75" customHeight="1">
      <c r="A488" s="23"/>
      <c r="B488"/>
      <c r="C488"/>
      <c r="D488"/>
      <c r="E488"/>
      <c r="F488"/>
      <c r="G488"/>
      <c r="H488"/>
      <c r="I488"/>
      <c r="J488"/>
    </row>
    <row r="489" spans="1:10" ht="12.75" customHeight="1">
      <c r="A489" s="23"/>
      <c r="B489"/>
      <c r="C489"/>
      <c r="D489"/>
      <c r="E489"/>
      <c r="F489"/>
      <c r="G489"/>
      <c r="H489"/>
      <c r="I489"/>
      <c r="J489"/>
    </row>
    <row r="490" spans="1:10" ht="12.75" customHeight="1">
      <c r="A490" s="23"/>
      <c r="B490"/>
      <c r="C490"/>
      <c r="D490"/>
      <c r="E490"/>
      <c r="F490"/>
      <c r="G490"/>
      <c r="H490"/>
      <c r="I490"/>
      <c r="J490"/>
    </row>
    <row r="491" spans="1:10" ht="12.75" customHeight="1">
      <c r="A491" s="23"/>
      <c r="B491"/>
      <c r="C491"/>
      <c r="D491"/>
      <c r="E491"/>
      <c r="F491"/>
      <c r="G491"/>
      <c r="H491"/>
      <c r="I491"/>
      <c r="J491"/>
    </row>
    <row r="492" spans="1:10" ht="12.75" customHeight="1">
      <c r="A492" s="23"/>
      <c r="B492"/>
      <c r="C492"/>
      <c r="D492"/>
      <c r="E492"/>
      <c r="F492"/>
      <c r="G492"/>
      <c r="H492"/>
      <c r="I492"/>
      <c r="J492"/>
    </row>
    <row r="493" spans="1:10" ht="12.75" customHeight="1">
      <c r="A493" s="23"/>
      <c r="B493"/>
      <c r="C493"/>
      <c r="D493"/>
      <c r="E493"/>
      <c r="F493"/>
      <c r="G493"/>
      <c r="H493"/>
      <c r="I493"/>
      <c r="J493"/>
    </row>
    <row r="494" spans="1:10" ht="12.75" customHeight="1">
      <c r="A494" s="23"/>
      <c r="B494"/>
      <c r="C494"/>
      <c r="D494"/>
      <c r="E494"/>
      <c r="F494"/>
      <c r="G494"/>
      <c r="H494"/>
      <c r="I494"/>
      <c r="J494"/>
    </row>
    <row r="495" spans="1:10" ht="12.75" customHeight="1">
      <c r="A495" s="23"/>
      <c r="B495"/>
      <c r="C495"/>
      <c r="D495"/>
      <c r="E495"/>
      <c r="F495"/>
      <c r="G495"/>
      <c r="H495"/>
      <c r="I495"/>
      <c r="J495"/>
    </row>
    <row r="496" spans="1:10" ht="12.75" customHeight="1">
      <c r="A496" s="23"/>
      <c r="B496"/>
      <c r="C496"/>
      <c r="D496"/>
      <c r="E496"/>
      <c r="F496"/>
      <c r="G496"/>
      <c r="H496"/>
      <c r="I496"/>
      <c r="J496"/>
    </row>
    <row r="497" spans="1:10" ht="12.75" customHeight="1">
      <c r="A497" s="23"/>
      <c r="B497"/>
      <c r="C497"/>
      <c r="D497"/>
      <c r="E497"/>
      <c r="F497"/>
      <c r="G497"/>
      <c r="H497"/>
      <c r="I497"/>
      <c r="J497"/>
    </row>
    <row r="498" spans="1:10" ht="12.75" customHeight="1">
      <c r="A498" s="23"/>
      <c r="B498"/>
      <c r="C498"/>
      <c r="D498"/>
      <c r="E498"/>
      <c r="F498"/>
      <c r="G498"/>
      <c r="H498"/>
      <c r="I498"/>
      <c r="J498"/>
    </row>
    <row r="499" spans="1:10" ht="12.75" customHeight="1">
      <c r="A499" s="23"/>
      <c r="B499"/>
      <c r="C499"/>
      <c r="D499"/>
      <c r="E499"/>
      <c r="F499"/>
      <c r="G499"/>
      <c r="H499"/>
      <c r="I499"/>
      <c r="J499"/>
    </row>
    <row r="500" spans="1:10" ht="12.75" customHeight="1">
      <c r="A500" s="23"/>
      <c r="B500"/>
      <c r="C500"/>
      <c r="D500"/>
      <c r="E500"/>
      <c r="F500"/>
      <c r="G500"/>
      <c r="H500"/>
      <c r="I500"/>
      <c r="J500"/>
    </row>
    <row r="501" spans="1:10" ht="12.75" customHeight="1">
      <c r="A501" s="23"/>
      <c r="B501"/>
      <c r="C501"/>
      <c r="D501"/>
      <c r="E501"/>
      <c r="F501"/>
      <c r="G501"/>
      <c r="H501"/>
      <c r="I501"/>
      <c r="J501"/>
    </row>
    <row r="502" spans="1:10" ht="12.75" customHeight="1">
      <c r="A502" s="23"/>
      <c r="B502"/>
      <c r="C502"/>
      <c r="D502"/>
      <c r="E502"/>
      <c r="F502"/>
      <c r="G502"/>
      <c r="H502"/>
      <c r="I502"/>
      <c r="J502"/>
    </row>
    <row r="503" spans="1:10" ht="12.75" customHeight="1">
      <c r="A503" s="23"/>
      <c r="B503"/>
      <c r="C503"/>
      <c r="D503"/>
      <c r="E503"/>
      <c r="F503"/>
      <c r="G503"/>
      <c r="H503"/>
      <c r="I503"/>
      <c r="J503"/>
    </row>
    <row r="504" spans="1:10" ht="12.75" customHeight="1">
      <c r="A504" s="23"/>
      <c r="B504"/>
      <c r="C504"/>
      <c r="D504"/>
      <c r="E504"/>
      <c r="F504"/>
      <c r="G504"/>
      <c r="H504"/>
      <c r="I504"/>
      <c r="J504"/>
    </row>
    <row r="505" spans="1:10" ht="12.75" customHeight="1">
      <c r="A505" s="23"/>
      <c r="B505"/>
      <c r="C505"/>
      <c r="D505"/>
      <c r="E505"/>
      <c r="F505"/>
      <c r="G505"/>
      <c r="H505"/>
      <c r="I505"/>
      <c r="J505"/>
    </row>
    <row r="506" spans="1:10" ht="12.75" customHeight="1">
      <c r="A506" s="23"/>
      <c r="B506"/>
      <c r="C506"/>
      <c r="D506"/>
      <c r="E506"/>
      <c r="F506"/>
      <c r="G506"/>
      <c r="H506"/>
      <c r="I506"/>
      <c r="J506"/>
    </row>
    <row r="507" spans="1:10" ht="12.75" customHeight="1">
      <c r="A507" s="23"/>
      <c r="B507"/>
      <c r="C507"/>
      <c r="D507"/>
      <c r="E507"/>
      <c r="F507"/>
      <c r="G507"/>
      <c r="H507"/>
      <c r="I507"/>
      <c r="J507"/>
    </row>
    <row r="508" spans="1:10" ht="12.75" customHeight="1">
      <c r="A508" s="23"/>
      <c r="B508"/>
      <c r="C508"/>
      <c r="D508"/>
      <c r="E508"/>
      <c r="F508"/>
      <c r="G508"/>
      <c r="H508"/>
      <c r="I508"/>
      <c r="J508"/>
    </row>
    <row r="509" spans="1:10" ht="12.75" customHeight="1">
      <c r="A509" s="23"/>
      <c r="B509"/>
      <c r="C509"/>
      <c r="D509"/>
      <c r="E509"/>
      <c r="F509"/>
      <c r="G509"/>
      <c r="H509"/>
      <c r="I509"/>
      <c r="J509"/>
    </row>
    <row r="510" spans="1:10" ht="12.75" customHeight="1">
      <c r="A510" s="23"/>
      <c r="B510"/>
      <c r="C510"/>
      <c r="D510"/>
      <c r="E510"/>
      <c r="F510"/>
      <c r="G510"/>
      <c r="H510"/>
      <c r="I510"/>
      <c r="J510"/>
    </row>
    <row r="511" spans="1:10" ht="12.75" customHeight="1">
      <c r="A511" s="23"/>
      <c r="B511"/>
      <c r="C511"/>
      <c r="D511"/>
      <c r="E511"/>
      <c r="F511"/>
      <c r="G511"/>
      <c r="H511"/>
      <c r="I511"/>
      <c r="J511"/>
    </row>
    <row r="512" spans="1:10" ht="12.75" customHeight="1">
      <c r="A512" s="23"/>
      <c r="B512"/>
      <c r="C512"/>
      <c r="D512"/>
      <c r="E512"/>
      <c r="F512"/>
      <c r="G512"/>
      <c r="H512"/>
      <c r="I512"/>
      <c r="J512"/>
    </row>
    <row r="513" spans="1:10" ht="12.75" customHeight="1">
      <c r="A513" s="23"/>
      <c r="B513"/>
      <c r="C513"/>
      <c r="D513"/>
      <c r="E513"/>
      <c r="F513"/>
      <c r="G513"/>
      <c r="H513"/>
      <c r="I513"/>
      <c r="J513"/>
    </row>
    <row r="514" spans="1:10" ht="12.75" customHeight="1">
      <c r="A514" s="23"/>
      <c r="B514"/>
      <c r="C514"/>
      <c r="D514"/>
      <c r="E514"/>
      <c r="F514"/>
      <c r="G514"/>
      <c r="H514"/>
      <c r="I514"/>
      <c r="J514"/>
    </row>
    <row r="515" spans="1:10" ht="12.75" customHeight="1">
      <c r="A515" s="23"/>
      <c r="B515"/>
      <c r="C515"/>
      <c r="D515"/>
      <c r="E515"/>
      <c r="F515"/>
      <c r="G515"/>
      <c r="H515"/>
      <c r="I515"/>
      <c r="J515"/>
    </row>
    <row r="516" spans="1:10" ht="12.75" customHeight="1">
      <c r="A516" s="23"/>
      <c r="B516"/>
      <c r="C516"/>
      <c r="D516"/>
      <c r="E516"/>
      <c r="F516"/>
      <c r="G516"/>
      <c r="H516"/>
      <c r="I516"/>
      <c r="J516"/>
    </row>
    <row r="517" spans="1:10" ht="12.75" customHeight="1">
      <c r="A517" s="23"/>
      <c r="B517"/>
      <c r="C517"/>
      <c r="D517"/>
      <c r="E517"/>
      <c r="F517"/>
      <c r="G517"/>
      <c r="H517"/>
      <c r="I517"/>
      <c r="J517"/>
    </row>
    <row r="518" spans="1:10" ht="12.75" customHeight="1">
      <c r="A518" s="23"/>
      <c r="B518"/>
      <c r="C518"/>
      <c r="D518"/>
      <c r="E518"/>
      <c r="F518"/>
      <c r="G518"/>
      <c r="H518"/>
      <c r="I518"/>
      <c r="J518"/>
    </row>
    <row r="519" spans="1:10" ht="12.75" customHeight="1">
      <c r="A519" s="23"/>
      <c r="B519"/>
      <c r="C519"/>
      <c r="D519"/>
      <c r="E519"/>
      <c r="F519"/>
      <c r="G519"/>
      <c r="H519"/>
      <c r="I519"/>
      <c r="J519"/>
    </row>
    <row r="520" spans="1:10" ht="12.75" customHeight="1">
      <c r="A520" s="23"/>
      <c r="B520"/>
      <c r="C520"/>
      <c r="D520"/>
      <c r="E520"/>
      <c r="F520"/>
      <c r="G520"/>
      <c r="H520"/>
      <c r="I520"/>
      <c r="J520"/>
    </row>
    <row r="521" spans="1:10" ht="12.75" customHeight="1">
      <c r="A521" s="23"/>
      <c r="B521"/>
      <c r="C521"/>
      <c r="D521"/>
      <c r="E521"/>
      <c r="F521"/>
      <c r="G521"/>
      <c r="H521"/>
      <c r="I521"/>
      <c r="J521"/>
    </row>
    <row r="522" spans="1:10" ht="12.75" customHeight="1">
      <c r="A522" s="23"/>
      <c r="B522"/>
      <c r="C522"/>
      <c r="D522"/>
      <c r="E522"/>
      <c r="F522"/>
      <c r="G522"/>
      <c r="H522"/>
      <c r="I522"/>
      <c r="J522"/>
    </row>
    <row r="523" spans="1:10" ht="12.75" customHeight="1">
      <c r="A523" s="23"/>
      <c r="B523"/>
      <c r="C523"/>
      <c r="D523"/>
      <c r="E523"/>
      <c r="F523"/>
      <c r="G523"/>
      <c r="H523"/>
      <c r="I523"/>
      <c r="J523"/>
    </row>
    <row r="524" spans="1:10" ht="12.75" customHeight="1">
      <c r="A524" s="23"/>
      <c r="B524"/>
      <c r="C524"/>
      <c r="D524"/>
      <c r="E524"/>
      <c r="F524"/>
      <c r="G524"/>
      <c r="H524"/>
      <c r="I524"/>
      <c r="J524"/>
    </row>
    <row r="525" spans="1:10" ht="12.75" customHeight="1">
      <c r="A525" s="23"/>
      <c r="B525"/>
      <c r="C525"/>
      <c r="D525"/>
      <c r="E525"/>
      <c r="F525"/>
      <c r="G525"/>
      <c r="H525"/>
      <c r="I525"/>
      <c r="J525"/>
    </row>
    <row r="526" spans="1:10" ht="12.75" customHeight="1">
      <c r="A526" s="23"/>
      <c r="B526"/>
      <c r="C526"/>
      <c r="D526"/>
      <c r="E526"/>
      <c r="F526"/>
      <c r="G526"/>
      <c r="H526"/>
      <c r="I526"/>
      <c r="J526"/>
    </row>
    <row r="527" spans="1:10" ht="12.75" customHeight="1">
      <c r="A527" s="23"/>
      <c r="B527"/>
      <c r="C527"/>
      <c r="D527"/>
      <c r="E527"/>
      <c r="F527"/>
      <c r="G527"/>
      <c r="H527"/>
      <c r="I527"/>
      <c r="J527"/>
    </row>
    <row r="528" spans="1:10" ht="12.75" customHeight="1">
      <c r="A528" s="23"/>
      <c r="B528"/>
      <c r="C528"/>
      <c r="D528"/>
      <c r="E528"/>
      <c r="F528"/>
      <c r="G528"/>
      <c r="H528"/>
      <c r="I528"/>
      <c r="J528"/>
    </row>
    <row r="529" spans="1:10" ht="12.75" customHeight="1">
      <c r="A529" s="23"/>
      <c r="B529"/>
      <c r="C529"/>
      <c r="D529"/>
      <c r="E529"/>
      <c r="F529"/>
      <c r="G529"/>
      <c r="H529"/>
      <c r="I529"/>
      <c r="J529"/>
    </row>
    <row r="530" spans="1:10" ht="12.75" customHeight="1">
      <c r="A530" s="23"/>
      <c r="B530"/>
      <c r="C530"/>
      <c r="D530"/>
      <c r="E530"/>
      <c r="F530"/>
      <c r="G530"/>
      <c r="H530"/>
      <c r="I530"/>
      <c r="J530"/>
    </row>
    <row r="531" spans="1:10" ht="12.75" customHeight="1">
      <c r="A531" s="23"/>
      <c r="B531"/>
      <c r="C531"/>
      <c r="D531"/>
      <c r="E531"/>
      <c r="F531"/>
      <c r="G531"/>
      <c r="H531"/>
      <c r="I531"/>
      <c r="J531"/>
    </row>
    <row r="532" spans="1:10" ht="12.75" customHeight="1">
      <c r="A532" s="23"/>
      <c r="B532"/>
      <c r="C532"/>
      <c r="D532"/>
      <c r="E532"/>
      <c r="F532"/>
      <c r="G532"/>
      <c r="H532"/>
      <c r="I532"/>
      <c r="J532"/>
    </row>
    <row r="533" spans="1:10" ht="12.75" customHeight="1">
      <c r="A533" s="23"/>
      <c r="B533"/>
      <c r="C533"/>
      <c r="D533"/>
      <c r="E533"/>
      <c r="F533"/>
      <c r="G533"/>
      <c r="H533"/>
      <c r="I533"/>
      <c r="J533"/>
    </row>
    <row r="534" spans="1:10" ht="12.75" customHeight="1">
      <c r="A534" s="23"/>
      <c r="B534"/>
      <c r="C534"/>
      <c r="D534"/>
      <c r="E534"/>
      <c r="F534"/>
      <c r="G534"/>
      <c r="H534"/>
      <c r="I534"/>
      <c r="J534"/>
    </row>
    <row r="535" spans="1:10" ht="12.75" customHeight="1">
      <c r="A535" s="23"/>
      <c r="B535"/>
      <c r="C535"/>
      <c r="D535"/>
      <c r="E535"/>
      <c r="F535"/>
      <c r="G535"/>
      <c r="H535"/>
      <c r="I535"/>
      <c r="J535"/>
    </row>
    <row r="536" spans="1:10" ht="12.75" customHeight="1">
      <c r="A536" s="23"/>
      <c r="B536"/>
      <c r="C536"/>
      <c r="D536"/>
      <c r="E536"/>
      <c r="F536"/>
      <c r="G536"/>
      <c r="H536"/>
      <c r="I536"/>
      <c r="J536"/>
    </row>
    <row r="537" spans="1:10" ht="12.75" customHeight="1">
      <c r="A537" s="23"/>
      <c r="B537"/>
      <c r="C537"/>
      <c r="D537"/>
      <c r="E537"/>
      <c r="F537"/>
      <c r="G537"/>
      <c r="H537"/>
      <c r="I537"/>
      <c r="J537"/>
    </row>
    <row r="538" spans="1:10" ht="12.75" customHeight="1">
      <c r="A538" s="23"/>
      <c r="B538"/>
      <c r="C538"/>
      <c r="D538"/>
      <c r="E538"/>
      <c r="F538"/>
      <c r="G538"/>
      <c r="H538"/>
      <c r="I538"/>
      <c r="J538"/>
    </row>
    <row r="539" spans="1:10" ht="12.75" customHeight="1">
      <c r="A539" s="23"/>
      <c r="B539"/>
      <c r="C539"/>
      <c r="D539"/>
      <c r="E539"/>
      <c r="F539"/>
      <c r="G539"/>
      <c r="H539"/>
      <c r="I539"/>
      <c r="J539"/>
    </row>
    <row r="540" spans="1:10" ht="12.75" customHeight="1">
      <c r="A540" s="23"/>
      <c r="B540"/>
      <c r="C540"/>
      <c r="D540"/>
      <c r="E540"/>
      <c r="F540"/>
      <c r="G540"/>
      <c r="H540"/>
      <c r="I540"/>
      <c r="J540"/>
    </row>
    <row r="541" spans="1:10" ht="12.75" customHeight="1">
      <c r="A541" s="23"/>
      <c r="B541"/>
      <c r="C541"/>
      <c r="D541"/>
      <c r="E541"/>
      <c r="F541"/>
      <c r="G541"/>
      <c r="H541"/>
      <c r="I541"/>
      <c r="J541"/>
    </row>
    <row r="542" spans="1:10" ht="12.75" customHeight="1">
      <c r="A542" s="23"/>
      <c r="B542"/>
      <c r="C542"/>
      <c r="D542"/>
      <c r="E542"/>
      <c r="F542"/>
      <c r="G542"/>
      <c r="H542"/>
      <c r="I542"/>
      <c r="J542"/>
    </row>
    <row r="543" spans="1:10" ht="12.75" customHeight="1">
      <c r="A543" s="23"/>
      <c r="B543"/>
      <c r="C543"/>
      <c r="D543"/>
      <c r="E543"/>
      <c r="F543"/>
      <c r="G543"/>
      <c r="H543"/>
      <c r="I543"/>
      <c r="J543"/>
    </row>
    <row r="544" spans="1:10" ht="12.75" customHeight="1">
      <c r="A544" s="23"/>
      <c r="B544"/>
      <c r="C544"/>
      <c r="D544"/>
      <c r="E544"/>
      <c r="F544"/>
      <c r="G544"/>
      <c r="H544"/>
      <c r="I544"/>
      <c r="J544"/>
    </row>
    <row r="545" spans="1:10" ht="12.75" customHeight="1">
      <c r="A545" s="23"/>
      <c r="B545"/>
      <c r="C545"/>
      <c r="D545"/>
      <c r="E545"/>
      <c r="F545"/>
      <c r="G545"/>
      <c r="H545"/>
      <c r="I545"/>
      <c r="J545"/>
    </row>
    <row r="546" spans="1:10" ht="12.75" customHeight="1">
      <c r="A546" s="23"/>
      <c r="B546"/>
      <c r="C546"/>
      <c r="D546"/>
      <c r="E546"/>
      <c r="F546"/>
      <c r="G546"/>
      <c r="H546"/>
      <c r="I546"/>
      <c r="J546"/>
    </row>
    <row r="547" spans="1:10" ht="12.75" customHeight="1">
      <c r="A547" s="23"/>
      <c r="B547"/>
      <c r="C547"/>
      <c r="D547"/>
      <c r="E547"/>
      <c r="F547"/>
      <c r="G547"/>
      <c r="H547"/>
      <c r="I547"/>
      <c r="J547"/>
    </row>
    <row r="548" spans="1:10" ht="12.75" customHeight="1">
      <c r="A548" s="23"/>
      <c r="B548"/>
      <c r="C548"/>
      <c r="D548"/>
      <c r="E548"/>
      <c r="F548"/>
      <c r="G548"/>
      <c r="H548"/>
      <c r="I548"/>
      <c r="J548"/>
    </row>
    <row r="549" spans="1:10" ht="12.75" customHeight="1">
      <c r="A549" s="23"/>
      <c r="B549"/>
      <c r="C549"/>
      <c r="D549"/>
      <c r="E549"/>
      <c r="F549"/>
      <c r="G549"/>
      <c r="H549"/>
      <c r="I549"/>
      <c r="J549"/>
    </row>
    <row r="550" spans="1:10" ht="12.75" customHeight="1">
      <c r="A550" s="23"/>
      <c r="B550"/>
      <c r="C550"/>
      <c r="D550"/>
      <c r="E550"/>
      <c r="F550"/>
      <c r="G550"/>
      <c r="H550"/>
      <c r="I550"/>
      <c r="J550"/>
    </row>
    <row r="551" spans="1:10" ht="12.75" customHeight="1">
      <c r="A551" s="23"/>
      <c r="B551"/>
      <c r="C551"/>
      <c r="D551"/>
      <c r="E551"/>
      <c r="F551"/>
      <c r="G551"/>
      <c r="H551"/>
      <c r="I551"/>
      <c r="J551"/>
    </row>
    <row r="552" spans="1:10" ht="12.75" customHeight="1">
      <c r="A552" s="23"/>
      <c r="B552"/>
      <c r="C552"/>
      <c r="D552"/>
      <c r="E552"/>
      <c r="F552"/>
      <c r="G552"/>
      <c r="H552"/>
      <c r="I552"/>
      <c r="J552"/>
    </row>
    <row r="553" spans="1:10" ht="12.75" customHeight="1">
      <c r="A553" s="23"/>
      <c r="B553"/>
      <c r="C553"/>
      <c r="D553"/>
      <c r="E553"/>
      <c r="F553"/>
      <c r="G553"/>
      <c r="H553"/>
      <c r="I553"/>
      <c r="J553"/>
    </row>
    <row r="554" spans="1:10" ht="12.75" customHeight="1">
      <c r="A554" s="23"/>
      <c r="B554"/>
      <c r="C554"/>
      <c r="D554"/>
      <c r="E554"/>
      <c r="F554"/>
      <c r="G554"/>
      <c r="H554"/>
      <c r="I554"/>
      <c r="J554"/>
    </row>
    <row r="555" spans="1:10" ht="12.75" customHeight="1">
      <c r="A555" s="23"/>
      <c r="B555"/>
      <c r="C555"/>
      <c r="D555"/>
      <c r="E555"/>
      <c r="F555"/>
      <c r="G555"/>
      <c r="H555"/>
      <c r="I555"/>
      <c r="J555"/>
    </row>
    <row r="556" spans="1:10" ht="12.75" customHeight="1">
      <c r="A556" s="23"/>
      <c r="B556"/>
      <c r="C556"/>
      <c r="D556"/>
      <c r="E556"/>
      <c r="F556"/>
      <c r="G556"/>
      <c r="H556"/>
      <c r="I556"/>
      <c r="J556"/>
    </row>
    <row r="557" spans="1:10" ht="12.75" customHeight="1">
      <c r="A557" s="23"/>
      <c r="B557"/>
      <c r="C557"/>
      <c r="D557"/>
      <c r="E557"/>
      <c r="F557"/>
      <c r="G557"/>
      <c r="H557"/>
      <c r="I557"/>
      <c r="J557"/>
    </row>
    <row r="558" spans="1:10" ht="12.75" customHeight="1">
      <c r="A558" s="23"/>
      <c r="B558"/>
      <c r="C558"/>
      <c r="D558"/>
      <c r="E558"/>
      <c r="F558"/>
      <c r="G558"/>
      <c r="H558"/>
      <c r="I558"/>
      <c r="J558"/>
    </row>
    <row r="559" spans="1:10" ht="12.75" customHeight="1">
      <c r="A559" s="23"/>
      <c r="B559"/>
      <c r="C559"/>
      <c r="D559"/>
      <c r="E559"/>
      <c r="F559"/>
      <c r="G559"/>
      <c r="H559"/>
      <c r="I559"/>
      <c r="J559"/>
    </row>
    <row r="560" spans="1:10" ht="12.75" customHeight="1">
      <c r="A560" s="23"/>
      <c r="B560"/>
      <c r="C560"/>
      <c r="D560"/>
      <c r="E560"/>
      <c r="F560"/>
      <c r="G560"/>
      <c r="H560"/>
      <c r="I560"/>
      <c r="J560"/>
    </row>
    <row r="561" spans="1:10" ht="12.75" customHeight="1">
      <c r="A561" s="23"/>
      <c r="B561"/>
      <c r="C561"/>
      <c r="D561"/>
      <c r="E561"/>
      <c r="F561"/>
      <c r="G561"/>
      <c r="H561"/>
      <c r="I561"/>
      <c r="J561"/>
    </row>
    <row r="562" spans="1:10" ht="12.75" customHeight="1">
      <c r="A562" s="23"/>
      <c r="B562"/>
      <c r="C562"/>
      <c r="D562"/>
      <c r="E562"/>
      <c r="F562"/>
      <c r="G562"/>
      <c r="H562"/>
      <c r="I562"/>
      <c r="J562"/>
    </row>
    <row r="563" spans="1:10" ht="12.75" customHeight="1">
      <c r="A563" s="23"/>
      <c r="B563"/>
      <c r="C563"/>
      <c r="D563"/>
      <c r="E563"/>
      <c r="F563"/>
      <c r="G563"/>
      <c r="H563"/>
      <c r="I563"/>
      <c r="J563"/>
    </row>
    <row r="564" spans="1:10" ht="12.75" customHeight="1">
      <c r="A564" s="23"/>
      <c r="B564"/>
      <c r="C564"/>
      <c r="D564"/>
      <c r="E564"/>
      <c r="F564"/>
      <c r="G564"/>
      <c r="H564"/>
      <c r="I564"/>
      <c r="J564"/>
    </row>
    <row r="565" spans="1:10" ht="12.75" customHeight="1">
      <c r="A565" s="23"/>
      <c r="B565"/>
      <c r="C565"/>
      <c r="D565"/>
      <c r="E565"/>
      <c r="F565"/>
      <c r="G565"/>
      <c r="H565"/>
      <c r="I565"/>
      <c r="J565"/>
    </row>
    <row r="566" spans="1:10" ht="12.75" customHeight="1">
      <c r="A566" s="23"/>
      <c r="B566"/>
      <c r="C566"/>
      <c r="D566"/>
      <c r="E566"/>
      <c r="F566"/>
      <c r="G566"/>
      <c r="H566"/>
      <c r="I566"/>
      <c r="J566"/>
    </row>
    <row r="567" spans="1:10" ht="12.75" customHeight="1">
      <c r="A567" s="23"/>
      <c r="B567"/>
      <c r="C567"/>
      <c r="D567"/>
      <c r="E567"/>
      <c r="F567"/>
      <c r="G567"/>
      <c r="H567"/>
      <c r="I567"/>
      <c r="J567"/>
    </row>
    <row r="568" spans="1:10" ht="12.75" customHeight="1">
      <c r="A568" s="23"/>
      <c r="B568"/>
      <c r="C568"/>
      <c r="D568"/>
      <c r="E568"/>
      <c r="F568"/>
      <c r="G568"/>
      <c r="H568"/>
      <c r="I568"/>
      <c r="J568"/>
    </row>
    <row r="569" spans="1:10" ht="12.75" customHeight="1">
      <c r="A569" s="23"/>
      <c r="B569"/>
      <c r="C569"/>
      <c r="D569"/>
      <c r="E569"/>
      <c r="F569"/>
      <c r="G569"/>
      <c r="H569"/>
      <c r="I569"/>
      <c r="J569"/>
    </row>
    <row r="570" spans="1:10" ht="12.75" customHeight="1">
      <c r="A570" s="23"/>
      <c r="B570"/>
      <c r="C570"/>
      <c r="D570"/>
      <c r="E570"/>
      <c r="F570"/>
      <c r="G570"/>
      <c r="H570"/>
      <c r="I570"/>
      <c r="J570"/>
    </row>
    <row r="571" spans="1:10" ht="12.75" customHeight="1">
      <c r="A571" s="23"/>
      <c r="B571"/>
      <c r="C571"/>
      <c r="D571"/>
      <c r="E571"/>
      <c r="F571"/>
      <c r="G571"/>
      <c r="H571"/>
      <c r="I571"/>
      <c r="J571"/>
    </row>
    <row r="572" spans="1:10" ht="12.75" customHeight="1">
      <c r="A572" s="23"/>
      <c r="B572"/>
      <c r="C572"/>
      <c r="D572"/>
      <c r="E572"/>
      <c r="F572"/>
      <c r="G572"/>
      <c r="H572"/>
      <c r="I572"/>
      <c r="J572"/>
    </row>
    <row r="573" spans="1:10" ht="12.75" customHeight="1">
      <c r="A573" s="23"/>
      <c r="B573"/>
      <c r="C573"/>
      <c r="D573"/>
      <c r="E573"/>
      <c r="F573"/>
      <c r="G573"/>
      <c r="H573"/>
      <c r="I573"/>
      <c r="J573"/>
    </row>
    <row r="574" spans="1:10" ht="12.75" customHeight="1">
      <c r="A574" s="23"/>
      <c r="B574"/>
      <c r="C574"/>
      <c r="D574"/>
      <c r="E574"/>
      <c r="F574"/>
      <c r="G574"/>
      <c r="H574"/>
      <c r="I574"/>
      <c r="J574"/>
    </row>
    <row r="575" spans="1:10" ht="12.75" customHeight="1">
      <c r="A575" s="23"/>
      <c r="B575"/>
      <c r="C575"/>
      <c r="D575"/>
      <c r="E575"/>
      <c r="F575"/>
      <c r="G575"/>
      <c r="H575"/>
      <c r="I575"/>
      <c r="J575"/>
    </row>
    <row r="576" spans="1:10" ht="12.75" customHeight="1">
      <c r="A576" s="23"/>
      <c r="B576"/>
      <c r="C576"/>
      <c r="D576"/>
      <c r="E576"/>
      <c r="F576"/>
      <c r="G576"/>
      <c r="H576"/>
      <c r="I576"/>
      <c r="J576"/>
    </row>
    <row r="577" spans="1:10" ht="12.75" customHeight="1">
      <c r="A577" s="23"/>
      <c r="B577"/>
      <c r="C577"/>
      <c r="D577"/>
      <c r="E577"/>
      <c r="F577"/>
      <c r="G577"/>
      <c r="H577"/>
      <c r="I577"/>
      <c r="J577"/>
    </row>
    <row r="578" spans="1:10" ht="12.75" customHeight="1">
      <c r="A578" s="23"/>
      <c r="B578"/>
      <c r="C578"/>
      <c r="D578"/>
      <c r="E578"/>
      <c r="F578"/>
      <c r="G578"/>
      <c r="H578"/>
      <c r="I578"/>
      <c r="J578"/>
    </row>
    <row r="579" spans="1:10" ht="12.75" customHeight="1">
      <c r="A579" s="23"/>
      <c r="B579"/>
      <c r="C579"/>
      <c r="D579"/>
      <c r="E579"/>
      <c r="F579"/>
      <c r="G579"/>
      <c r="H579"/>
      <c r="I579"/>
      <c r="J579"/>
    </row>
    <row r="580" spans="1:10" ht="12.75" customHeight="1">
      <c r="A580" s="23"/>
      <c r="B580"/>
      <c r="C580"/>
      <c r="D580"/>
      <c r="E580"/>
      <c r="F580"/>
      <c r="G580"/>
      <c r="H580"/>
      <c r="I580"/>
      <c r="J580"/>
    </row>
    <row r="581" spans="1:10" ht="12.75" customHeight="1">
      <c r="A581" s="23"/>
      <c r="B581"/>
      <c r="C581"/>
      <c r="D581"/>
      <c r="E581"/>
      <c r="F581"/>
      <c r="G581"/>
      <c r="H581"/>
      <c r="I581"/>
      <c r="J581"/>
    </row>
    <row r="582" spans="1:10" ht="12.75" customHeight="1">
      <c r="A582" s="23"/>
      <c r="B582"/>
      <c r="C582"/>
      <c r="D582"/>
      <c r="E582"/>
      <c r="F582"/>
      <c r="G582"/>
      <c r="H582"/>
      <c r="I582"/>
      <c r="J582"/>
    </row>
    <row r="583" spans="1:10" ht="12.75" customHeight="1">
      <c r="A583" s="23"/>
      <c r="B583"/>
      <c r="C583"/>
      <c r="D583"/>
      <c r="E583"/>
      <c r="F583"/>
      <c r="G583"/>
      <c r="H583"/>
      <c r="I583"/>
      <c r="J583"/>
    </row>
    <row r="584" spans="1:10" ht="12.75" customHeight="1">
      <c r="A584" s="23"/>
      <c r="B584"/>
      <c r="C584"/>
      <c r="D584"/>
      <c r="E584"/>
      <c r="F584"/>
      <c r="G584"/>
      <c r="H584"/>
      <c r="I584"/>
      <c r="J584"/>
    </row>
    <row r="585" spans="1:10" ht="12.75" customHeight="1">
      <c r="A585" s="23"/>
      <c r="B585"/>
      <c r="C585"/>
      <c r="D585"/>
      <c r="E585"/>
      <c r="F585"/>
      <c r="G585"/>
      <c r="H585"/>
      <c r="I585"/>
      <c r="J585"/>
    </row>
    <row r="586" spans="1:10" ht="12.75" customHeight="1">
      <c r="A586" s="23"/>
      <c r="B586"/>
      <c r="C586"/>
      <c r="D586"/>
      <c r="E586"/>
      <c r="F586"/>
      <c r="G586"/>
      <c r="H586"/>
      <c r="I586"/>
      <c r="J586"/>
    </row>
    <row r="587" spans="1:10" ht="12.75" customHeight="1">
      <c r="A587" s="23"/>
      <c r="B587"/>
      <c r="C587"/>
      <c r="D587"/>
      <c r="E587"/>
      <c r="F587"/>
      <c r="G587"/>
      <c r="H587"/>
      <c r="I587"/>
      <c r="J587"/>
    </row>
    <row r="588" spans="1:10" ht="12.75" customHeight="1">
      <c r="A588" s="23"/>
      <c r="B588"/>
      <c r="C588"/>
      <c r="D588"/>
      <c r="E588"/>
      <c r="F588"/>
      <c r="G588"/>
      <c r="H588"/>
      <c r="I588"/>
      <c r="J588"/>
    </row>
    <row r="589" spans="1:10" ht="12.75" customHeight="1">
      <c r="A589" s="23"/>
      <c r="B589"/>
      <c r="C589"/>
      <c r="D589"/>
      <c r="E589"/>
      <c r="F589"/>
      <c r="G589"/>
      <c r="H589"/>
      <c r="I589"/>
      <c r="J589"/>
    </row>
    <row r="590" spans="1:10" ht="12.75" customHeight="1">
      <c r="A590" s="23"/>
      <c r="B590"/>
      <c r="C590"/>
      <c r="D590"/>
      <c r="E590"/>
      <c r="F590"/>
      <c r="G590"/>
      <c r="H590"/>
      <c r="I590"/>
      <c r="J590"/>
    </row>
    <row r="591" spans="1:10" ht="12.75" customHeight="1">
      <c r="A591" s="23"/>
      <c r="B591"/>
      <c r="C591"/>
      <c r="D591"/>
      <c r="E591"/>
      <c r="F591"/>
      <c r="G591"/>
      <c r="H591"/>
      <c r="I591"/>
      <c r="J591"/>
    </row>
    <row r="592" spans="1:10" ht="12.75" customHeight="1">
      <c r="A592" s="23"/>
      <c r="B592"/>
      <c r="C592"/>
      <c r="D592"/>
      <c r="E592"/>
      <c r="F592"/>
      <c r="G592"/>
      <c r="H592"/>
      <c r="I592"/>
      <c r="J592"/>
    </row>
    <row r="593" spans="1:10" ht="12.75" customHeight="1">
      <c r="A593" s="23"/>
      <c r="B593"/>
      <c r="C593"/>
      <c r="D593"/>
      <c r="E593"/>
      <c r="F593"/>
      <c r="G593"/>
      <c r="H593"/>
      <c r="I593"/>
      <c r="J593"/>
    </row>
    <row r="594" spans="1:10" ht="12.75" customHeight="1">
      <c r="A594" s="23"/>
      <c r="B594"/>
      <c r="C594"/>
      <c r="D594"/>
      <c r="E594"/>
      <c r="F594"/>
      <c r="G594"/>
      <c r="H594"/>
      <c r="I594"/>
      <c r="J594"/>
    </row>
    <row r="595" spans="1:10" ht="12.75" customHeight="1">
      <c r="A595" s="23"/>
      <c r="B595"/>
      <c r="C595"/>
      <c r="D595"/>
      <c r="E595"/>
      <c r="F595"/>
      <c r="G595"/>
      <c r="H595"/>
      <c r="I595"/>
      <c r="J595"/>
    </row>
    <row r="596" spans="1:10" ht="12.75" customHeight="1">
      <c r="A596" s="23"/>
      <c r="B596"/>
      <c r="C596"/>
      <c r="D596"/>
      <c r="E596"/>
      <c r="F596"/>
      <c r="G596"/>
      <c r="H596"/>
      <c r="I596"/>
      <c r="J596"/>
    </row>
    <row r="597" spans="1:10" ht="12.75" customHeight="1">
      <c r="A597" s="23"/>
      <c r="B597"/>
      <c r="C597"/>
      <c r="D597"/>
      <c r="E597"/>
      <c r="F597"/>
      <c r="G597"/>
      <c r="H597"/>
      <c r="I597"/>
      <c r="J597"/>
    </row>
    <row r="598" spans="1:10" ht="12.75" customHeight="1">
      <c r="A598" s="23"/>
      <c r="B598"/>
      <c r="C598"/>
      <c r="D598"/>
      <c r="E598"/>
      <c r="F598"/>
      <c r="G598"/>
      <c r="H598"/>
      <c r="I598"/>
      <c r="J598"/>
    </row>
    <row r="599" spans="1:10" ht="12.75" customHeight="1">
      <c r="A599" s="23"/>
      <c r="B599"/>
      <c r="C599"/>
      <c r="D599"/>
      <c r="E599"/>
      <c r="F599"/>
      <c r="G599"/>
      <c r="H599"/>
      <c r="I599"/>
      <c r="J599"/>
    </row>
    <row r="600" spans="1:10" ht="12.75" customHeight="1">
      <c r="A600" s="23"/>
      <c r="B600"/>
      <c r="C600"/>
      <c r="D600"/>
      <c r="E600"/>
      <c r="F600"/>
      <c r="G600"/>
      <c r="H600"/>
      <c r="I600"/>
      <c r="J600"/>
    </row>
    <row r="601" spans="1:10" ht="12.75" customHeight="1">
      <c r="A601" s="23"/>
      <c r="B601"/>
      <c r="C601"/>
      <c r="D601"/>
      <c r="E601"/>
      <c r="F601"/>
      <c r="G601"/>
      <c r="H601"/>
      <c r="I601"/>
      <c r="J601"/>
    </row>
    <row r="602" spans="1:10" ht="12.75" customHeight="1">
      <c r="A602" s="23"/>
      <c r="B602"/>
      <c r="C602"/>
      <c r="D602"/>
      <c r="E602"/>
      <c r="F602"/>
      <c r="G602"/>
      <c r="H602"/>
      <c r="I602"/>
      <c r="J602"/>
    </row>
    <row r="603" spans="1:10" ht="12.75" customHeight="1">
      <c r="A603" s="23"/>
      <c r="B603"/>
      <c r="C603"/>
      <c r="D603"/>
      <c r="E603"/>
      <c r="F603"/>
      <c r="G603"/>
      <c r="H603"/>
      <c r="I603"/>
      <c r="J603"/>
    </row>
    <row r="604" spans="1:10" ht="12.75" customHeight="1">
      <c r="A604" s="23"/>
      <c r="B604"/>
      <c r="C604"/>
      <c r="D604"/>
      <c r="E604"/>
      <c r="F604"/>
      <c r="G604"/>
      <c r="H604"/>
      <c r="I604"/>
      <c r="J604"/>
    </row>
    <row r="605" spans="1:10" ht="12.75" customHeight="1">
      <c r="A605" s="23"/>
      <c r="B605"/>
      <c r="C605"/>
      <c r="D605"/>
      <c r="E605"/>
      <c r="F605"/>
      <c r="G605"/>
      <c r="H605"/>
      <c r="I605"/>
      <c r="J605"/>
    </row>
    <row r="606" spans="1:10" ht="12.75" customHeight="1">
      <c r="A606" s="23"/>
      <c r="B606"/>
      <c r="C606"/>
      <c r="D606"/>
      <c r="E606"/>
      <c r="F606"/>
      <c r="G606"/>
      <c r="H606"/>
      <c r="I606"/>
      <c r="J606"/>
    </row>
    <row r="607" spans="1:10" ht="12.75" customHeight="1">
      <c r="A607" s="23"/>
      <c r="B607"/>
      <c r="C607"/>
      <c r="D607"/>
      <c r="E607"/>
      <c r="F607"/>
      <c r="G607"/>
      <c r="H607"/>
      <c r="I607"/>
      <c r="J607"/>
    </row>
    <row r="608" spans="1:10" ht="12.75" customHeight="1">
      <c r="A608" s="23"/>
      <c r="B608"/>
      <c r="C608"/>
      <c r="D608"/>
      <c r="E608"/>
      <c r="F608"/>
      <c r="G608"/>
      <c r="H608"/>
      <c r="I608"/>
      <c r="J608"/>
    </row>
    <row r="609" spans="1:10" ht="12.75" customHeight="1">
      <c r="A609" s="23"/>
      <c r="B609"/>
      <c r="C609"/>
      <c r="D609"/>
      <c r="E609"/>
      <c r="F609"/>
      <c r="G609"/>
      <c r="H609"/>
      <c r="I609"/>
      <c r="J609"/>
    </row>
    <row r="610" spans="1:10" ht="12.75" customHeight="1">
      <c r="A610" s="23"/>
      <c r="B610"/>
      <c r="C610"/>
      <c r="D610"/>
      <c r="E610"/>
      <c r="F610"/>
      <c r="G610"/>
      <c r="H610"/>
      <c r="I610"/>
      <c r="J610"/>
    </row>
    <row r="611" spans="1:10" ht="12.75" customHeight="1">
      <c r="A611" s="23"/>
      <c r="B611"/>
      <c r="C611"/>
      <c r="D611"/>
      <c r="E611"/>
      <c r="F611"/>
      <c r="G611"/>
      <c r="H611"/>
      <c r="I611"/>
      <c r="J611"/>
    </row>
    <row r="612" spans="1:10" ht="12.75" customHeight="1">
      <c r="A612" s="23"/>
      <c r="B612"/>
      <c r="C612"/>
      <c r="D612"/>
      <c r="E612"/>
      <c r="F612"/>
      <c r="G612"/>
      <c r="H612"/>
      <c r="I612"/>
      <c r="J612"/>
    </row>
    <row r="613" spans="1:10" ht="12.75" customHeight="1">
      <c r="A613" s="23"/>
      <c r="B613"/>
      <c r="C613"/>
      <c r="D613"/>
      <c r="E613"/>
      <c r="F613"/>
      <c r="G613"/>
      <c r="H613"/>
      <c r="I613"/>
      <c r="J613"/>
    </row>
    <row r="614" spans="1:10" ht="12.75" customHeight="1">
      <c r="A614" s="23"/>
      <c r="B614"/>
      <c r="C614"/>
      <c r="D614"/>
      <c r="E614"/>
      <c r="F614"/>
      <c r="G614"/>
      <c r="H614"/>
      <c r="I614"/>
      <c r="J614"/>
    </row>
    <row r="615" spans="1:10" ht="12.75" customHeight="1">
      <c r="A615" s="23"/>
      <c r="B615"/>
      <c r="C615"/>
      <c r="D615"/>
      <c r="E615"/>
      <c r="F615"/>
      <c r="G615"/>
      <c r="H615"/>
      <c r="I615"/>
      <c r="J615"/>
    </row>
    <row r="616" spans="1:10" ht="12.75" customHeight="1">
      <c r="A616" s="23"/>
      <c r="B616"/>
      <c r="C616"/>
      <c r="D616"/>
      <c r="E616"/>
      <c r="F616"/>
      <c r="G616"/>
      <c r="H616"/>
      <c r="I616"/>
      <c r="J616"/>
    </row>
    <row r="617" spans="1:10" ht="12.75" customHeight="1">
      <c r="A617" s="23"/>
      <c r="B617"/>
      <c r="C617"/>
      <c r="D617"/>
      <c r="E617"/>
      <c r="F617"/>
      <c r="G617"/>
      <c r="H617"/>
      <c r="I617"/>
      <c r="J617"/>
    </row>
    <row r="618" spans="1:10" ht="12.75" customHeight="1">
      <c r="A618" s="23"/>
      <c r="B618"/>
      <c r="C618"/>
      <c r="D618"/>
      <c r="E618"/>
      <c r="F618"/>
      <c r="G618"/>
      <c r="H618"/>
      <c r="I618"/>
      <c r="J618"/>
    </row>
    <row r="619" spans="1:10" ht="12.75" customHeight="1">
      <c r="A619" s="23"/>
      <c r="B619"/>
      <c r="C619"/>
      <c r="D619"/>
      <c r="E619"/>
      <c r="F619"/>
      <c r="G619"/>
      <c r="H619"/>
      <c r="I619"/>
      <c r="J619"/>
    </row>
    <row r="620" spans="1:10" ht="12.75" customHeight="1">
      <c r="A620" s="23"/>
      <c r="B620"/>
      <c r="C620"/>
      <c r="D620"/>
      <c r="E620"/>
      <c r="F620"/>
      <c r="G620"/>
      <c r="H620"/>
      <c r="I620"/>
      <c r="J620"/>
    </row>
    <row r="621" spans="1:10" ht="12.75" customHeight="1">
      <c r="A621" s="23"/>
      <c r="B621"/>
      <c r="C621"/>
      <c r="D621"/>
      <c r="E621"/>
      <c r="F621"/>
      <c r="G621"/>
      <c r="H621"/>
      <c r="I621"/>
      <c r="J621"/>
    </row>
    <row r="622" spans="1:10" ht="12.75" customHeight="1">
      <c r="A622" s="23"/>
      <c r="B622"/>
      <c r="C622"/>
      <c r="D622"/>
      <c r="E622"/>
      <c r="F622"/>
      <c r="G622"/>
      <c r="H622"/>
      <c r="I622"/>
      <c r="J622"/>
    </row>
    <row r="623" spans="1:10" ht="12.75" customHeight="1">
      <c r="A623" s="23"/>
      <c r="B623"/>
      <c r="C623"/>
      <c r="D623"/>
      <c r="E623"/>
      <c r="F623"/>
      <c r="G623"/>
      <c r="H623"/>
      <c r="I623"/>
      <c r="J623"/>
    </row>
    <row r="624" spans="1:10" ht="12.75" customHeight="1">
      <c r="A624" s="23"/>
      <c r="B624"/>
      <c r="C624"/>
      <c r="D624"/>
      <c r="E624"/>
      <c r="F624"/>
      <c r="G624"/>
      <c r="H624"/>
      <c r="I624"/>
      <c r="J624"/>
    </row>
    <row r="625" spans="1:10" ht="12.75" customHeight="1">
      <c r="A625" s="23"/>
      <c r="B625"/>
      <c r="C625"/>
      <c r="D625"/>
      <c r="E625"/>
      <c r="F625"/>
      <c r="G625"/>
      <c r="H625"/>
      <c r="I625"/>
      <c r="J625"/>
    </row>
    <row r="626" spans="1:10" ht="12.75" customHeight="1">
      <c r="A626" s="23"/>
      <c r="B626"/>
      <c r="C626"/>
      <c r="D626"/>
      <c r="E626"/>
      <c r="F626"/>
      <c r="G626"/>
      <c r="H626"/>
      <c r="I626"/>
      <c r="J626"/>
    </row>
    <row r="627" spans="1:10" ht="12.75" customHeight="1">
      <c r="A627" s="23"/>
      <c r="B627"/>
      <c r="C627"/>
      <c r="D627"/>
      <c r="E627"/>
      <c r="F627"/>
      <c r="G627"/>
      <c r="H627"/>
      <c r="I627"/>
      <c r="J627"/>
    </row>
    <row r="628" spans="1:10" ht="12.75" customHeight="1">
      <c r="A628" s="23"/>
      <c r="B628"/>
      <c r="C628"/>
      <c r="D628"/>
      <c r="E628"/>
      <c r="F628"/>
      <c r="G628"/>
      <c r="H628"/>
      <c r="I628"/>
      <c r="J628"/>
    </row>
    <row r="629" spans="1:10" ht="12.75" customHeight="1">
      <c r="A629" s="23"/>
      <c r="B629"/>
      <c r="C629"/>
      <c r="D629"/>
      <c r="E629"/>
      <c r="F629"/>
      <c r="G629"/>
      <c r="H629"/>
      <c r="I629"/>
      <c r="J629"/>
    </row>
    <row r="630" spans="1:10" ht="12.75" customHeight="1">
      <c r="A630" s="23"/>
      <c r="B630"/>
      <c r="C630"/>
      <c r="D630"/>
      <c r="E630"/>
      <c r="F630"/>
      <c r="G630"/>
      <c r="H630"/>
      <c r="I630"/>
      <c r="J630"/>
    </row>
    <row r="631" spans="1:10" ht="12.75" customHeight="1">
      <c r="A631" s="23"/>
      <c r="B631"/>
      <c r="C631"/>
      <c r="D631"/>
      <c r="E631"/>
      <c r="F631"/>
      <c r="G631"/>
      <c r="H631"/>
      <c r="I631"/>
      <c r="J631"/>
    </row>
    <row r="632" spans="1:10" ht="12.75" customHeight="1">
      <c r="A632" s="23"/>
      <c r="B632"/>
      <c r="C632"/>
      <c r="D632"/>
      <c r="E632"/>
      <c r="F632"/>
      <c r="G632"/>
      <c r="H632"/>
      <c r="I632"/>
      <c r="J632"/>
    </row>
    <row r="633" spans="1:10" ht="12.75" customHeight="1">
      <c r="A633" s="23"/>
      <c r="B633"/>
      <c r="C633"/>
      <c r="D633"/>
      <c r="E633"/>
      <c r="F633"/>
      <c r="G633"/>
      <c r="H633"/>
      <c r="I633"/>
      <c r="J633"/>
    </row>
    <row r="634" spans="1:10" ht="12.75" customHeight="1">
      <c r="A634" s="23"/>
      <c r="B634"/>
      <c r="C634"/>
      <c r="D634"/>
      <c r="E634"/>
      <c r="F634"/>
      <c r="G634"/>
      <c r="H634"/>
      <c r="I634"/>
      <c r="J634"/>
    </row>
    <row r="635" spans="1:10" ht="12.75" customHeight="1">
      <c r="A635" s="23"/>
      <c r="B635"/>
      <c r="C635"/>
      <c r="D635"/>
      <c r="E635"/>
      <c r="F635"/>
      <c r="G635"/>
      <c r="H635"/>
      <c r="I635"/>
      <c r="J635"/>
    </row>
    <row r="636" spans="1:10" ht="12.75" customHeight="1">
      <c r="A636" s="23"/>
      <c r="B636"/>
      <c r="C636"/>
      <c r="D636"/>
      <c r="E636"/>
      <c r="F636"/>
      <c r="G636"/>
      <c r="H636"/>
      <c r="I636"/>
      <c r="J636"/>
    </row>
    <row r="637" spans="1:10" ht="12.75" customHeight="1">
      <c r="A637" s="23"/>
      <c r="B637"/>
      <c r="C637"/>
      <c r="D637"/>
      <c r="E637"/>
      <c r="F637"/>
      <c r="G637"/>
      <c r="H637"/>
      <c r="I637"/>
      <c r="J637"/>
    </row>
    <row r="638" spans="1:10" ht="12.75" customHeight="1">
      <c r="A638" s="23"/>
      <c r="B638"/>
      <c r="C638"/>
      <c r="D638"/>
      <c r="E638"/>
      <c r="F638"/>
      <c r="G638"/>
      <c r="H638"/>
      <c r="I638"/>
      <c r="J638"/>
    </row>
    <row r="639" spans="1:10" ht="12.75" customHeight="1">
      <c r="A639" s="23"/>
      <c r="B639"/>
      <c r="C639"/>
      <c r="D639"/>
      <c r="E639"/>
      <c r="F639"/>
      <c r="G639"/>
      <c r="H639"/>
      <c r="I639"/>
      <c r="J639"/>
    </row>
    <row r="640" spans="1:10" ht="12.75" customHeight="1">
      <c r="A640" s="23"/>
      <c r="B640"/>
      <c r="C640"/>
      <c r="D640"/>
      <c r="E640"/>
      <c r="F640"/>
      <c r="G640"/>
      <c r="H640"/>
      <c r="I640"/>
      <c r="J640"/>
    </row>
    <row r="641" spans="1:10" ht="12.75" customHeight="1">
      <c r="A641" s="23"/>
      <c r="B641"/>
      <c r="C641"/>
      <c r="D641"/>
      <c r="E641"/>
      <c r="F641"/>
      <c r="G641"/>
      <c r="H641"/>
      <c r="I641"/>
      <c r="J641"/>
    </row>
    <row r="642" spans="1:10" ht="12.75" customHeight="1">
      <c r="A642" s="23"/>
      <c r="B642"/>
      <c r="C642"/>
      <c r="D642"/>
      <c r="E642"/>
      <c r="F642"/>
      <c r="G642"/>
      <c r="H642"/>
      <c r="I642"/>
      <c r="J642"/>
    </row>
    <row r="643" spans="1:10" ht="12.75" customHeight="1">
      <c r="A643" s="23"/>
      <c r="B643"/>
      <c r="C643"/>
      <c r="D643"/>
      <c r="E643"/>
      <c r="F643"/>
      <c r="G643"/>
      <c r="H643"/>
      <c r="I643"/>
      <c r="J643"/>
    </row>
    <row r="644" spans="1:10" ht="12.75" customHeight="1">
      <c r="A644" s="23"/>
      <c r="B644"/>
      <c r="C644"/>
      <c r="D644"/>
      <c r="E644"/>
      <c r="F644"/>
      <c r="G644"/>
      <c r="H644"/>
      <c r="I644"/>
      <c r="J644"/>
    </row>
    <row r="645" spans="1:10" ht="12.75" customHeight="1">
      <c r="A645" s="23"/>
      <c r="B645"/>
      <c r="C645"/>
      <c r="D645"/>
      <c r="E645"/>
      <c r="F645"/>
      <c r="G645"/>
      <c r="H645"/>
      <c r="I645"/>
      <c r="J645"/>
    </row>
    <row r="646" spans="1:10" ht="12.75" customHeight="1">
      <c r="A646" s="23"/>
      <c r="B646"/>
      <c r="C646"/>
      <c r="D646"/>
      <c r="E646"/>
      <c r="F646"/>
      <c r="G646"/>
      <c r="H646"/>
      <c r="I646"/>
      <c r="J646"/>
    </row>
    <row r="647" spans="1:10" ht="12.75" customHeight="1">
      <c r="A647" s="23"/>
      <c r="B647"/>
      <c r="C647"/>
      <c r="D647"/>
      <c r="E647"/>
      <c r="F647"/>
      <c r="G647"/>
      <c r="H647"/>
      <c r="I647"/>
      <c r="J647"/>
    </row>
    <row r="648" spans="1:10" ht="12.75" customHeight="1">
      <c r="A648" s="23"/>
      <c r="B648"/>
      <c r="C648"/>
      <c r="D648"/>
      <c r="E648"/>
      <c r="F648"/>
      <c r="G648"/>
      <c r="H648"/>
      <c r="I648"/>
      <c r="J648"/>
    </row>
    <row r="649" spans="1:10" ht="12.75" customHeight="1">
      <c r="A649" s="23"/>
      <c r="B649"/>
      <c r="C649"/>
      <c r="D649"/>
      <c r="E649"/>
      <c r="F649"/>
      <c r="G649"/>
      <c r="H649"/>
      <c r="I649"/>
      <c r="J649"/>
    </row>
    <row r="650" spans="1:10" ht="12.75" customHeight="1">
      <c r="A650" s="23"/>
      <c r="B650"/>
      <c r="C650"/>
      <c r="D650"/>
      <c r="E650"/>
      <c r="F650"/>
      <c r="G650"/>
      <c r="H650"/>
      <c r="I650"/>
      <c r="J650"/>
    </row>
    <row r="651" spans="1:10" ht="12.75" customHeight="1">
      <c r="A651" s="23"/>
      <c r="B651"/>
      <c r="C651"/>
      <c r="D651"/>
      <c r="E651"/>
      <c r="F651"/>
      <c r="G651"/>
      <c r="H651"/>
      <c r="I651"/>
      <c r="J651"/>
    </row>
    <row r="652" spans="1:10" ht="12.75" customHeight="1">
      <c r="A652" s="23"/>
      <c r="B652"/>
      <c r="C652"/>
      <c r="D652"/>
      <c r="E652"/>
      <c r="F652"/>
      <c r="G652"/>
      <c r="H652"/>
      <c r="I652"/>
      <c r="J652"/>
    </row>
    <row r="653" spans="1:10" ht="12.75" customHeight="1">
      <c r="A653" s="23"/>
      <c r="B653"/>
      <c r="C653"/>
      <c r="D653"/>
      <c r="E653"/>
      <c r="F653"/>
      <c r="G653"/>
      <c r="H653"/>
      <c r="I653"/>
      <c r="J653"/>
    </row>
    <row r="654" spans="1:10" ht="12.75" customHeight="1">
      <c r="A654" s="23"/>
      <c r="B654"/>
      <c r="C654"/>
      <c r="D654"/>
      <c r="E654"/>
      <c r="F654"/>
      <c r="G654"/>
      <c r="H654"/>
      <c r="I654"/>
      <c r="J654"/>
    </row>
    <row r="655" spans="1:10" ht="12.75" customHeight="1">
      <c r="A655" s="23"/>
      <c r="B655"/>
      <c r="C655"/>
      <c r="D655"/>
      <c r="E655"/>
      <c r="F655"/>
      <c r="G655"/>
      <c r="H655"/>
      <c r="I655"/>
      <c r="J655"/>
    </row>
    <row r="656" spans="1:10" ht="12.75" customHeight="1">
      <c r="A656" s="23"/>
      <c r="B656"/>
      <c r="C656"/>
      <c r="D656"/>
      <c r="E656"/>
      <c r="F656"/>
      <c r="G656"/>
      <c r="H656"/>
      <c r="I656"/>
      <c r="J656"/>
    </row>
    <row r="657" spans="1:10" ht="12.75" customHeight="1">
      <c r="A657" s="23"/>
      <c r="B657"/>
      <c r="C657"/>
      <c r="D657"/>
      <c r="E657"/>
      <c r="F657"/>
      <c r="G657"/>
      <c r="H657"/>
      <c r="I657"/>
      <c r="J657"/>
    </row>
    <row r="658" spans="1:10" ht="12.75" customHeight="1">
      <c r="A658" s="23"/>
      <c r="B658"/>
      <c r="C658"/>
      <c r="D658"/>
      <c r="E658"/>
      <c r="F658"/>
      <c r="G658"/>
      <c r="H658"/>
      <c r="I658"/>
      <c r="J658"/>
    </row>
    <row r="659" spans="1:10" ht="12.75" customHeight="1">
      <c r="A659" s="23"/>
      <c r="B659"/>
      <c r="C659"/>
      <c r="D659"/>
      <c r="E659"/>
      <c r="F659"/>
      <c r="G659"/>
      <c r="H659"/>
      <c r="I659"/>
      <c r="J659"/>
    </row>
    <row r="660" spans="1:10" ht="12.75" customHeight="1">
      <c r="A660" s="23"/>
      <c r="B660"/>
      <c r="C660"/>
      <c r="D660"/>
      <c r="E660"/>
      <c r="F660"/>
      <c r="G660"/>
      <c r="H660"/>
      <c r="I660"/>
      <c r="J660"/>
    </row>
    <row r="661" spans="1:10" ht="12.75" customHeight="1">
      <c r="A661" s="23"/>
      <c r="B661"/>
      <c r="C661"/>
      <c r="D661"/>
      <c r="E661"/>
      <c r="F661"/>
      <c r="G661"/>
      <c r="H661"/>
      <c r="I661"/>
      <c r="J661"/>
    </row>
    <row r="662" spans="1:10" ht="12.75" customHeight="1">
      <c r="A662" s="23"/>
      <c r="B662"/>
      <c r="C662"/>
      <c r="D662"/>
      <c r="E662"/>
      <c r="F662"/>
      <c r="G662"/>
      <c r="H662"/>
      <c r="I662"/>
      <c r="J662"/>
    </row>
    <row r="663" spans="1:10" ht="12.75" customHeight="1">
      <c r="A663" s="23"/>
      <c r="B663"/>
      <c r="C663"/>
      <c r="D663"/>
      <c r="E663"/>
      <c r="F663"/>
      <c r="G663"/>
      <c r="H663"/>
      <c r="I663"/>
      <c r="J663"/>
    </row>
    <row r="664" spans="1:10" ht="12.75" customHeight="1">
      <c r="A664" s="23"/>
      <c r="B664"/>
      <c r="C664"/>
      <c r="D664"/>
      <c r="E664"/>
      <c r="F664"/>
      <c r="G664"/>
      <c r="H664"/>
      <c r="I664"/>
      <c r="J664"/>
    </row>
    <row r="665" spans="1:10" ht="12.75" customHeight="1">
      <c r="A665" s="23"/>
      <c r="B665"/>
      <c r="C665"/>
      <c r="D665"/>
      <c r="E665"/>
      <c r="F665"/>
      <c r="G665"/>
      <c r="H665"/>
      <c r="I665"/>
      <c r="J665"/>
    </row>
    <row r="666" spans="1:10" ht="12.75" customHeight="1">
      <c r="A666" s="23"/>
      <c r="B666"/>
      <c r="C666"/>
      <c r="D666"/>
      <c r="E666"/>
      <c r="F666"/>
      <c r="G666"/>
      <c r="H666"/>
      <c r="I666"/>
      <c r="J666"/>
    </row>
    <row r="667" spans="1:10" ht="12.75" customHeight="1">
      <c r="A667" s="23"/>
      <c r="B667"/>
      <c r="C667"/>
      <c r="D667"/>
      <c r="E667"/>
      <c r="F667"/>
      <c r="G667"/>
      <c r="H667"/>
      <c r="I667"/>
      <c r="J667"/>
    </row>
    <row r="668" spans="1:10" ht="12.75" customHeight="1">
      <c r="A668" s="23"/>
      <c r="B668"/>
      <c r="C668"/>
      <c r="D668"/>
      <c r="E668"/>
      <c r="F668"/>
      <c r="G668"/>
      <c r="H668"/>
      <c r="I668"/>
      <c r="J668"/>
    </row>
    <row r="669" spans="1:10" ht="12.75" customHeight="1">
      <c r="A669" s="23"/>
      <c r="B669"/>
      <c r="C669"/>
      <c r="D669"/>
      <c r="E669"/>
      <c r="F669"/>
      <c r="G669"/>
      <c r="H669"/>
      <c r="I669"/>
      <c r="J669"/>
    </row>
    <row r="670" spans="1:10" ht="12.75" customHeight="1">
      <c r="A670" s="23"/>
      <c r="B670"/>
      <c r="C670"/>
      <c r="D670"/>
      <c r="E670"/>
      <c r="F670"/>
      <c r="G670"/>
      <c r="H670"/>
      <c r="I670"/>
      <c r="J670"/>
    </row>
    <row r="671" spans="1:10" ht="12.75" customHeight="1">
      <c r="A671" s="23"/>
      <c r="B671"/>
      <c r="C671"/>
      <c r="D671"/>
      <c r="E671"/>
      <c r="F671"/>
      <c r="G671"/>
      <c r="H671"/>
      <c r="I671"/>
      <c r="J671"/>
    </row>
    <row r="672" spans="1:10" ht="12.75" customHeight="1">
      <c r="A672" s="23"/>
      <c r="B672"/>
      <c r="C672"/>
      <c r="D672"/>
      <c r="E672"/>
      <c r="F672"/>
      <c r="G672"/>
      <c r="H672"/>
      <c r="I672"/>
      <c r="J672"/>
    </row>
    <row r="673" spans="1:10" ht="12.75" customHeight="1">
      <c r="A673" s="23"/>
      <c r="B673"/>
      <c r="C673"/>
      <c r="D673"/>
      <c r="E673"/>
      <c r="F673"/>
      <c r="G673"/>
      <c r="H673"/>
      <c r="I673"/>
      <c r="J673"/>
    </row>
    <row r="674" spans="1:10" ht="12.75" customHeight="1">
      <c r="A674" s="23"/>
      <c r="B674"/>
      <c r="C674"/>
      <c r="D674"/>
      <c r="E674"/>
      <c r="F674"/>
      <c r="G674"/>
      <c r="H674"/>
      <c r="I674"/>
      <c r="J674"/>
    </row>
    <row r="675" spans="1:10" ht="12.75" customHeight="1">
      <c r="A675" s="23"/>
      <c r="B675"/>
      <c r="C675"/>
      <c r="D675"/>
      <c r="E675"/>
      <c r="F675"/>
      <c r="G675"/>
      <c r="H675"/>
      <c r="I675"/>
      <c r="J675"/>
    </row>
    <row r="676" spans="1:10" ht="12.75" customHeight="1">
      <c r="A676" s="23"/>
      <c r="B676"/>
      <c r="C676"/>
      <c r="D676"/>
      <c r="E676"/>
      <c r="F676"/>
      <c r="G676"/>
      <c r="H676"/>
      <c r="I676"/>
      <c r="J676"/>
    </row>
    <row r="677" spans="1:10" ht="12.75" customHeight="1">
      <c r="A677" s="23"/>
      <c r="B677"/>
      <c r="C677"/>
      <c r="D677"/>
      <c r="E677"/>
      <c r="F677"/>
      <c r="G677"/>
      <c r="H677"/>
      <c r="I677"/>
      <c r="J677"/>
    </row>
    <row r="678" spans="1:10" ht="12.75" customHeight="1">
      <c r="A678" s="23"/>
      <c r="B678"/>
      <c r="C678"/>
      <c r="D678"/>
      <c r="E678"/>
      <c r="F678"/>
      <c r="G678"/>
      <c r="H678"/>
      <c r="I678"/>
      <c r="J678"/>
    </row>
    <row r="679" spans="1:10" ht="12.75" customHeight="1">
      <c r="A679" s="23"/>
      <c r="B679"/>
      <c r="C679"/>
      <c r="D679"/>
      <c r="E679"/>
      <c r="F679"/>
      <c r="G679"/>
      <c r="H679"/>
      <c r="I679"/>
      <c r="J679"/>
    </row>
    <row r="680" spans="1:10" ht="12.75" customHeight="1">
      <c r="A680" s="23"/>
      <c r="B680"/>
      <c r="C680"/>
      <c r="D680"/>
      <c r="E680"/>
      <c r="F680"/>
      <c r="G680"/>
      <c r="H680"/>
      <c r="I680"/>
      <c r="J680"/>
    </row>
    <row r="681" spans="1:10" ht="12.75" customHeight="1">
      <c r="A681" s="23"/>
      <c r="B681"/>
      <c r="C681"/>
      <c r="D681"/>
      <c r="E681"/>
      <c r="F681"/>
      <c r="G681"/>
      <c r="H681"/>
      <c r="I681"/>
      <c r="J681"/>
    </row>
    <row r="682" spans="1:10" ht="12.75" customHeight="1">
      <c r="A682" s="23"/>
      <c r="B682"/>
      <c r="C682"/>
      <c r="D682"/>
      <c r="E682"/>
      <c r="F682"/>
      <c r="G682"/>
      <c r="H682"/>
      <c r="I682"/>
      <c r="J682"/>
    </row>
    <row r="683" spans="1:10" ht="12.75" customHeight="1">
      <c r="A683" s="23"/>
      <c r="B683"/>
      <c r="C683"/>
      <c r="D683"/>
      <c r="E683"/>
      <c r="F683"/>
      <c r="G683"/>
      <c r="H683"/>
      <c r="I683"/>
      <c r="J683"/>
    </row>
    <row r="684" spans="1:10" ht="12.75" customHeight="1">
      <c r="A684" s="23"/>
      <c r="B684"/>
      <c r="C684"/>
      <c r="D684"/>
      <c r="E684"/>
      <c r="F684"/>
      <c r="G684"/>
      <c r="H684"/>
      <c r="I684"/>
      <c r="J684"/>
    </row>
    <row r="685" spans="1:10" ht="12.75" customHeight="1">
      <c r="A685" s="23"/>
      <c r="B685"/>
      <c r="C685"/>
      <c r="D685"/>
      <c r="E685"/>
      <c r="F685"/>
      <c r="G685"/>
      <c r="H685"/>
      <c r="I685"/>
      <c r="J685"/>
    </row>
    <row r="686" spans="1:10" ht="12.75" customHeight="1">
      <c r="A686" s="23"/>
      <c r="B686"/>
      <c r="C686"/>
      <c r="D686"/>
      <c r="E686"/>
      <c r="F686"/>
      <c r="G686"/>
      <c r="H686"/>
      <c r="I686"/>
      <c r="J686"/>
    </row>
    <row r="687" spans="1:10" ht="12.75" customHeight="1">
      <c r="A687" s="23"/>
      <c r="B687"/>
      <c r="C687"/>
      <c r="D687"/>
      <c r="E687"/>
      <c r="F687"/>
      <c r="G687"/>
      <c r="H687"/>
      <c r="I687"/>
      <c r="J687"/>
    </row>
    <row r="688" spans="1:10" ht="12.75" customHeight="1">
      <c r="A688" s="23"/>
      <c r="B688"/>
      <c r="C688"/>
      <c r="D688"/>
      <c r="E688"/>
      <c r="F688"/>
      <c r="G688"/>
      <c r="H688"/>
      <c r="I688"/>
      <c r="J688"/>
    </row>
    <row r="689" spans="1:10" ht="12.75" customHeight="1">
      <c r="A689" s="23"/>
      <c r="B689"/>
      <c r="C689"/>
      <c r="D689"/>
      <c r="E689"/>
      <c r="F689"/>
      <c r="G689"/>
      <c r="H689"/>
      <c r="I689"/>
      <c r="J689"/>
    </row>
    <row r="690" spans="1:10" ht="12.75" customHeight="1">
      <c r="A690" s="23"/>
      <c r="B690"/>
      <c r="C690"/>
      <c r="D690"/>
      <c r="E690"/>
      <c r="F690"/>
      <c r="G690"/>
      <c r="H690"/>
      <c r="I690"/>
      <c r="J690"/>
    </row>
    <row r="691" spans="1:10" ht="12.75" customHeight="1">
      <c r="A691" s="23"/>
      <c r="B691"/>
      <c r="C691"/>
      <c r="D691"/>
      <c r="E691"/>
      <c r="F691"/>
      <c r="G691"/>
      <c r="H691"/>
      <c r="I691"/>
      <c r="J691"/>
    </row>
    <row r="692" spans="1:10" ht="12.75" customHeight="1">
      <c r="A692" s="23"/>
      <c r="B692"/>
      <c r="C692"/>
      <c r="D692"/>
      <c r="E692"/>
      <c r="F692"/>
      <c r="G692"/>
      <c r="H692"/>
      <c r="I692"/>
      <c r="J692"/>
    </row>
    <row r="693" spans="1:10" ht="12.75" customHeight="1">
      <c r="A693" s="23"/>
      <c r="B693"/>
      <c r="C693"/>
      <c r="D693"/>
      <c r="E693"/>
      <c r="F693"/>
      <c r="G693"/>
      <c r="H693"/>
      <c r="I693"/>
      <c r="J693"/>
    </row>
    <row r="694" spans="1:10" ht="12.75" customHeight="1">
      <c r="A694" s="23"/>
      <c r="B694"/>
      <c r="C694"/>
      <c r="D694"/>
      <c r="E694"/>
      <c r="F694"/>
      <c r="G694"/>
      <c r="H694"/>
      <c r="I694"/>
      <c r="J694"/>
    </row>
    <row r="695" spans="1:10" ht="12.75" customHeight="1">
      <c r="A695" s="23"/>
      <c r="B695"/>
      <c r="C695"/>
      <c r="D695"/>
      <c r="E695"/>
      <c r="F695"/>
      <c r="G695"/>
      <c r="H695"/>
      <c r="I695"/>
      <c r="J695"/>
    </row>
    <row r="696" spans="1:10" ht="12.75" customHeight="1">
      <c r="A696" s="23"/>
      <c r="B696"/>
      <c r="C696"/>
      <c r="D696"/>
      <c r="E696"/>
      <c r="F696"/>
      <c r="G696"/>
      <c r="H696"/>
      <c r="I696"/>
      <c r="J696"/>
    </row>
    <row r="697" spans="1:10" ht="12.75" customHeight="1">
      <c r="A697" s="23"/>
      <c r="B697"/>
      <c r="C697"/>
      <c r="D697"/>
      <c r="E697"/>
      <c r="F697"/>
      <c r="G697"/>
      <c r="H697"/>
      <c r="I697"/>
      <c r="J697"/>
    </row>
    <row r="698" spans="1:10" ht="12.75" customHeight="1">
      <c r="A698" s="23"/>
      <c r="B698"/>
      <c r="C698"/>
      <c r="D698"/>
      <c r="E698"/>
      <c r="F698"/>
      <c r="G698"/>
      <c r="H698"/>
      <c r="I698"/>
      <c r="J698"/>
    </row>
    <row r="699" spans="1:10" ht="12.75" customHeight="1">
      <c r="A699" s="23"/>
      <c r="B699"/>
      <c r="C699"/>
      <c r="D699"/>
      <c r="E699"/>
      <c r="F699"/>
      <c r="G699"/>
      <c r="H699"/>
      <c r="I699"/>
      <c r="J699"/>
    </row>
    <row r="700" spans="1:10" ht="12.75" customHeight="1">
      <c r="A700" s="23"/>
      <c r="B700"/>
      <c r="C700"/>
      <c r="D700"/>
      <c r="E700"/>
      <c r="F700"/>
      <c r="G700"/>
      <c r="H700"/>
      <c r="I700"/>
      <c r="J700"/>
    </row>
    <row r="701" spans="1:10" ht="12.75" customHeight="1">
      <c r="A701" s="23"/>
      <c r="B701"/>
      <c r="C701"/>
      <c r="D701"/>
      <c r="E701"/>
      <c r="F701"/>
      <c r="G701"/>
      <c r="H701"/>
      <c r="I701"/>
      <c r="J701"/>
    </row>
    <row r="702" spans="1:10" ht="12.75" customHeight="1">
      <c r="A702" s="23"/>
      <c r="B702"/>
      <c r="C702"/>
      <c r="D702"/>
      <c r="E702"/>
      <c r="F702"/>
      <c r="G702"/>
      <c r="H702"/>
      <c r="I702"/>
      <c r="J702"/>
    </row>
    <row r="703" spans="1:10" ht="12.75" customHeight="1">
      <c r="A703" s="23"/>
      <c r="B703"/>
      <c r="C703"/>
      <c r="D703"/>
      <c r="E703"/>
      <c r="F703"/>
      <c r="G703"/>
      <c r="H703"/>
      <c r="I703"/>
      <c r="J703"/>
    </row>
    <row r="704" spans="1:10" ht="12.75" customHeight="1">
      <c r="A704" s="23"/>
      <c r="B704"/>
      <c r="C704"/>
      <c r="D704"/>
      <c r="E704"/>
      <c r="F704"/>
      <c r="G704"/>
      <c r="H704"/>
      <c r="I704"/>
      <c r="J704"/>
    </row>
    <row r="705" spans="1:10" ht="12.75" customHeight="1">
      <c r="A705" s="23"/>
      <c r="B705"/>
      <c r="C705"/>
      <c r="D705"/>
      <c r="E705"/>
      <c r="F705"/>
      <c r="G705"/>
      <c r="H705"/>
      <c r="I705"/>
      <c r="J705"/>
    </row>
    <row r="706" spans="1:10" ht="12.75" customHeight="1">
      <c r="A706" s="23"/>
      <c r="B706"/>
      <c r="C706"/>
      <c r="D706"/>
      <c r="E706"/>
      <c r="F706"/>
      <c r="G706"/>
      <c r="H706"/>
      <c r="I706"/>
      <c r="J706"/>
    </row>
    <row r="707" spans="1:10" ht="12.75" customHeight="1">
      <c r="A707" s="23"/>
      <c r="B707"/>
      <c r="C707"/>
      <c r="D707"/>
      <c r="E707"/>
      <c r="F707"/>
      <c r="G707"/>
      <c r="H707"/>
      <c r="I707"/>
      <c r="J707"/>
    </row>
    <row r="708" spans="1:10">
      <c r="A708" s="23"/>
      <c r="B708"/>
      <c r="C708"/>
      <c r="D708"/>
      <c r="E708"/>
      <c r="F708"/>
      <c r="G708"/>
      <c r="H708"/>
      <c r="I708"/>
      <c r="J708"/>
    </row>
    <row r="709" spans="1:10">
      <c r="A709" s="23"/>
      <c r="B709"/>
      <c r="C709"/>
      <c r="D709"/>
      <c r="E709"/>
      <c r="F709"/>
      <c r="G709"/>
      <c r="H709"/>
      <c r="I709"/>
      <c r="J709"/>
    </row>
    <row r="710" spans="1:10">
      <c r="A710" s="23"/>
      <c r="B710"/>
      <c r="C710"/>
      <c r="D710"/>
      <c r="E710"/>
      <c r="F710"/>
      <c r="G710"/>
      <c r="H710"/>
      <c r="I710"/>
      <c r="J710"/>
    </row>
    <row r="711" spans="1:10">
      <c r="A711" s="23"/>
      <c r="B711"/>
      <c r="C711"/>
      <c r="D711"/>
      <c r="E711"/>
      <c r="F711"/>
      <c r="G711"/>
      <c r="H711"/>
      <c r="I711"/>
      <c r="J711"/>
    </row>
    <row r="712" spans="1:10">
      <c r="A712" s="23"/>
      <c r="B712"/>
      <c r="C712"/>
      <c r="D712"/>
      <c r="E712"/>
      <c r="F712"/>
      <c r="G712"/>
      <c r="H712"/>
      <c r="I712"/>
      <c r="J712"/>
    </row>
    <row r="713" spans="1:10">
      <c r="A713" s="23"/>
      <c r="B713"/>
      <c r="C713"/>
      <c r="D713"/>
      <c r="E713"/>
      <c r="F713"/>
      <c r="G713"/>
      <c r="H713"/>
      <c r="I713"/>
      <c r="J713"/>
    </row>
    <row r="714" spans="1:10">
      <c r="A714" s="23"/>
      <c r="B714"/>
      <c r="C714"/>
      <c r="D714"/>
      <c r="E714"/>
      <c r="F714"/>
      <c r="G714"/>
      <c r="H714"/>
      <c r="I714"/>
      <c r="J714"/>
    </row>
    <row r="715" spans="1:10">
      <c r="A715" s="23"/>
      <c r="B715"/>
      <c r="C715"/>
      <c r="D715"/>
      <c r="E715"/>
      <c r="F715"/>
      <c r="G715"/>
      <c r="H715"/>
      <c r="I715"/>
      <c r="J715"/>
    </row>
    <row r="716" spans="1:10">
      <c r="A716" s="23"/>
      <c r="B716"/>
      <c r="C716"/>
      <c r="D716"/>
      <c r="E716"/>
      <c r="F716"/>
      <c r="G716"/>
      <c r="H716"/>
      <c r="I716"/>
      <c r="J716"/>
    </row>
    <row r="717" spans="1:10">
      <c r="A717" s="23"/>
      <c r="B717"/>
      <c r="C717"/>
      <c r="D717"/>
      <c r="E717"/>
      <c r="F717"/>
      <c r="G717"/>
      <c r="H717"/>
      <c r="I717"/>
      <c r="J717"/>
    </row>
    <row r="718" spans="1:10">
      <c r="A718" s="23"/>
      <c r="B718"/>
      <c r="C718"/>
      <c r="D718"/>
      <c r="E718"/>
      <c r="F718"/>
      <c r="G718"/>
      <c r="H718"/>
      <c r="I718"/>
      <c r="J718"/>
    </row>
    <row r="719" spans="1:10">
      <c r="A719" s="23"/>
      <c r="B719"/>
      <c r="C719"/>
      <c r="D719"/>
      <c r="E719"/>
      <c r="F719"/>
      <c r="G719"/>
      <c r="H719"/>
      <c r="I719"/>
      <c r="J719"/>
    </row>
    <row r="720" spans="1:10">
      <c r="A720" s="23"/>
      <c r="B720"/>
      <c r="C720"/>
      <c r="D720"/>
      <c r="E720"/>
      <c r="F720"/>
      <c r="G720"/>
      <c r="H720"/>
      <c r="I720"/>
      <c r="J720"/>
    </row>
    <row r="721" spans="1:10">
      <c r="A721" s="23"/>
      <c r="B721"/>
      <c r="C721"/>
      <c r="D721"/>
      <c r="E721"/>
      <c r="F721"/>
      <c r="G721"/>
      <c r="H721"/>
      <c r="I721"/>
      <c r="J721"/>
    </row>
    <row r="722" spans="1:10">
      <c r="A722" s="23"/>
      <c r="B722"/>
      <c r="C722"/>
      <c r="D722"/>
      <c r="E722"/>
      <c r="F722"/>
      <c r="G722"/>
      <c r="H722"/>
      <c r="I722"/>
      <c r="J722"/>
    </row>
    <row r="723" spans="1:10">
      <c r="A723" s="23"/>
      <c r="B723"/>
      <c r="C723"/>
      <c r="D723"/>
      <c r="E723"/>
      <c r="F723"/>
      <c r="G723"/>
      <c r="H723"/>
      <c r="I723"/>
      <c r="J723"/>
    </row>
    <row r="724" spans="1:10">
      <c r="A724" s="23"/>
      <c r="B724"/>
      <c r="C724"/>
      <c r="D724"/>
      <c r="E724"/>
      <c r="F724"/>
      <c r="G724"/>
      <c r="H724"/>
      <c r="I724"/>
      <c r="J724"/>
    </row>
    <row r="725" spans="1:10">
      <c r="A725" s="23"/>
      <c r="B725"/>
      <c r="C725"/>
      <c r="D725"/>
      <c r="E725"/>
      <c r="F725"/>
      <c r="G725"/>
      <c r="H725"/>
      <c r="I725"/>
      <c r="J725"/>
    </row>
    <row r="726" spans="1:10">
      <c r="A726" s="23"/>
      <c r="B726"/>
      <c r="C726"/>
      <c r="D726"/>
      <c r="E726"/>
      <c r="F726"/>
      <c r="G726"/>
      <c r="H726"/>
      <c r="I726"/>
      <c r="J726"/>
    </row>
    <row r="727" spans="1:10">
      <c r="A727" s="23"/>
      <c r="B727"/>
      <c r="C727"/>
      <c r="D727"/>
      <c r="E727"/>
      <c r="F727"/>
      <c r="G727"/>
      <c r="H727"/>
      <c r="I727"/>
      <c r="J727"/>
    </row>
    <row r="728" spans="1:10">
      <c r="A728" s="23"/>
      <c r="B728"/>
      <c r="C728"/>
      <c r="D728"/>
      <c r="E728"/>
      <c r="F728"/>
      <c r="G728"/>
      <c r="H728"/>
      <c r="I728"/>
      <c r="J728"/>
    </row>
    <row r="729" spans="1:10">
      <c r="A729" s="23"/>
      <c r="B729"/>
      <c r="C729"/>
      <c r="D729"/>
      <c r="E729"/>
      <c r="F729"/>
      <c r="G729"/>
      <c r="H729"/>
      <c r="I729"/>
      <c r="J729"/>
    </row>
    <row r="730" spans="1:10">
      <c r="A730" s="23"/>
      <c r="B730"/>
      <c r="C730"/>
      <c r="D730"/>
      <c r="E730"/>
      <c r="F730"/>
      <c r="G730"/>
      <c r="H730"/>
      <c r="I730"/>
      <c r="J730"/>
    </row>
    <row r="731" spans="1:10">
      <c r="A731" s="23"/>
      <c r="B731"/>
      <c r="C731"/>
      <c r="D731"/>
      <c r="E731"/>
      <c r="F731"/>
      <c r="G731"/>
      <c r="H731"/>
      <c r="I731"/>
      <c r="J731"/>
    </row>
    <row r="732" spans="1:10">
      <c r="A732" s="23"/>
      <c r="B732"/>
      <c r="C732"/>
      <c r="D732"/>
      <c r="E732"/>
      <c r="F732"/>
      <c r="G732"/>
      <c r="H732"/>
      <c r="I732"/>
      <c r="J732"/>
    </row>
    <row r="733" spans="1:10">
      <c r="A733" s="23"/>
      <c r="B733"/>
      <c r="C733"/>
      <c r="D733"/>
      <c r="E733"/>
      <c r="F733"/>
      <c r="G733"/>
      <c r="H733"/>
      <c r="I733"/>
      <c r="J733"/>
    </row>
    <row r="734" spans="1:10">
      <c r="A734" s="23"/>
      <c r="B734"/>
      <c r="C734"/>
      <c r="D734"/>
      <c r="E734"/>
      <c r="F734"/>
      <c r="G734"/>
      <c r="H734"/>
      <c r="I734"/>
      <c r="J734"/>
    </row>
    <row r="735" spans="1:10">
      <c r="A735" s="23"/>
      <c r="B735"/>
      <c r="C735"/>
      <c r="D735"/>
      <c r="E735"/>
      <c r="F735"/>
      <c r="G735"/>
      <c r="H735"/>
      <c r="I735"/>
      <c r="J735"/>
    </row>
    <row r="736" spans="1:10">
      <c r="A736" s="23"/>
      <c r="B736"/>
      <c r="C736"/>
      <c r="D736"/>
      <c r="E736"/>
      <c r="F736"/>
      <c r="G736"/>
      <c r="H736"/>
      <c r="I736"/>
      <c r="J736"/>
    </row>
    <row r="737" spans="1:10">
      <c r="A737" s="23"/>
      <c r="B737"/>
      <c r="C737"/>
      <c r="D737"/>
      <c r="E737"/>
      <c r="F737"/>
      <c r="G737"/>
      <c r="H737"/>
      <c r="I737"/>
      <c r="J737"/>
    </row>
    <row r="738" spans="1:10">
      <c r="A738" s="23"/>
      <c r="B738"/>
      <c r="C738"/>
      <c r="D738"/>
      <c r="E738"/>
      <c r="F738"/>
      <c r="G738"/>
      <c r="H738"/>
      <c r="I738"/>
      <c r="J738"/>
    </row>
    <row r="739" spans="1:10">
      <c r="A739" s="23"/>
      <c r="B739"/>
      <c r="C739"/>
      <c r="D739"/>
      <c r="E739"/>
      <c r="F739"/>
      <c r="G739"/>
      <c r="H739"/>
      <c r="I739"/>
      <c r="J739"/>
    </row>
    <row r="740" spans="1:10">
      <c r="A740" s="23"/>
      <c r="B740"/>
      <c r="C740"/>
      <c r="D740"/>
      <c r="E740"/>
      <c r="F740"/>
      <c r="G740"/>
      <c r="H740"/>
      <c r="I740"/>
      <c r="J740"/>
    </row>
    <row r="741" spans="1:10">
      <c r="A741" s="23"/>
      <c r="B741"/>
      <c r="C741"/>
      <c r="D741"/>
      <c r="E741"/>
      <c r="F741"/>
      <c r="G741"/>
      <c r="H741"/>
      <c r="I741"/>
      <c r="J741"/>
    </row>
    <row r="742" spans="1:10">
      <c r="A742" s="23"/>
      <c r="B742"/>
      <c r="C742"/>
      <c r="D742"/>
      <c r="E742"/>
      <c r="F742"/>
      <c r="G742"/>
      <c r="H742"/>
      <c r="I742"/>
      <c r="J742"/>
    </row>
    <row r="743" spans="1:10">
      <c r="A743" s="23"/>
      <c r="B743"/>
      <c r="C743"/>
      <c r="D743"/>
      <c r="E743"/>
      <c r="F743"/>
      <c r="G743"/>
      <c r="H743"/>
      <c r="I743"/>
      <c r="J743"/>
    </row>
    <row r="744" spans="1:10">
      <c r="A744" s="23"/>
      <c r="B744"/>
      <c r="C744"/>
      <c r="D744"/>
      <c r="E744"/>
      <c r="F744"/>
      <c r="G744"/>
      <c r="H744"/>
      <c r="I744"/>
      <c r="J744"/>
    </row>
    <row r="745" spans="1:10">
      <c r="A745" s="23"/>
      <c r="B745"/>
      <c r="C745"/>
      <c r="D745"/>
      <c r="E745"/>
      <c r="F745"/>
      <c r="G745"/>
      <c r="H745"/>
      <c r="I745"/>
      <c r="J745"/>
    </row>
    <row r="746" spans="1:10">
      <c r="A746" s="23"/>
      <c r="B746"/>
      <c r="C746"/>
      <c r="D746"/>
      <c r="E746"/>
      <c r="F746"/>
      <c r="G746"/>
      <c r="H746"/>
      <c r="I746"/>
      <c r="J746"/>
    </row>
    <row r="747" spans="1:10">
      <c r="A747" s="23"/>
      <c r="B747"/>
      <c r="C747"/>
      <c r="D747"/>
      <c r="E747"/>
      <c r="F747"/>
      <c r="G747"/>
      <c r="H747"/>
      <c r="I747"/>
      <c r="J747"/>
    </row>
    <row r="748" spans="1:10">
      <c r="A748" s="23"/>
      <c r="B748"/>
      <c r="C748"/>
      <c r="D748"/>
      <c r="E748"/>
      <c r="F748"/>
      <c r="G748"/>
      <c r="H748"/>
      <c r="I748"/>
      <c r="J748"/>
    </row>
    <row r="749" spans="1:10">
      <c r="A749" s="23"/>
      <c r="B749"/>
      <c r="C749"/>
      <c r="D749"/>
      <c r="E749"/>
      <c r="F749"/>
      <c r="G749"/>
      <c r="H749"/>
      <c r="I749"/>
      <c r="J749"/>
    </row>
    <row r="750" spans="1:10">
      <c r="A750" s="23"/>
      <c r="B750"/>
      <c r="C750"/>
      <c r="D750"/>
      <c r="E750"/>
      <c r="F750"/>
      <c r="G750"/>
      <c r="H750"/>
      <c r="I750"/>
      <c r="J750"/>
    </row>
    <row r="751" spans="1:10">
      <c r="A751" s="23"/>
      <c r="B751"/>
      <c r="C751"/>
      <c r="D751"/>
      <c r="E751"/>
      <c r="F751"/>
      <c r="G751"/>
      <c r="H751"/>
      <c r="I751"/>
      <c r="J751"/>
    </row>
    <row r="752" spans="1:10">
      <c r="A752" s="23"/>
      <c r="B752"/>
      <c r="C752"/>
      <c r="D752"/>
      <c r="E752"/>
      <c r="F752"/>
      <c r="G752"/>
      <c r="H752"/>
      <c r="I752"/>
      <c r="J752"/>
    </row>
    <row r="753" spans="1:10">
      <c r="A753" s="23"/>
      <c r="B753"/>
      <c r="C753"/>
      <c r="D753"/>
      <c r="E753"/>
      <c r="F753"/>
      <c r="G753"/>
      <c r="H753"/>
      <c r="I753"/>
      <c r="J753"/>
    </row>
    <row r="754" spans="1:10">
      <c r="A754" s="23"/>
      <c r="B754"/>
      <c r="C754"/>
      <c r="D754"/>
      <c r="E754"/>
      <c r="F754"/>
      <c r="G754"/>
      <c r="H754"/>
      <c r="I754"/>
      <c r="J754"/>
    </row>
    <row r="755" spans="1:10">
      <c r="A755" s="23"/>
      <c r="B755"/>
      <c r="C755"/>
      <c r="D755"/>
      <c r="E755"/>
      <c r="F755"/>
      <c r="G755"/>
      <c r="H755"/>
      <c r="I755"/>
      <c r="J755"/>
    </row>
    <row r="756" spans="1:10">
      <c r="A756" s="23"/>
      <c r="B756"/>
      <c r="C756"/>
      <c r="D756"/>
      <c r="E756"/>
      <c r="F756"/>
      <c r="G756"/>
      <c r="H756"/>
      <c r="I756"/>
      <c r="J756"/>
    </row>
    <row r="757" spans="1:10">
      <c r="A757" s="23"/>
      <c r="B757"/>
      <c r="C757"/>
      <c r="D757"/>
      <c r="E757"/>
      <c r="F757"/>
      <c r="G757"/>
      <c r="H757"/>
      <c r="I757"/>
      <c r="J757"/>
    </row>
    <row r="758" spans="1:10">
      <c r="A758" s="23"/>
      <c r="B758"/>
      <c r="C758"/>
      <c r="D758"/>
      <c r="E758"/>
      <c r="F758"/>
      <c r="G758"/>
      <c r="H758"/>
      <c r="I758"/>
      <c r="J758"/>
    </row>
    <row r="759" spans="1:10">
      <c r="A759" s="23"/>
      <c r="B759"/>
      <c r="C759"/>
      <c r="D759"/>
      <c r="E759"/>
      <c r="F759"/>
      <c r="G759"/>
      <c r="H759"/>
      <c r="I759"/>
      <c r="J759"/>
    </row>
    <row r="760" spans="1:10">
      <c r="A760" s="23"/>
      <c r="B760"/>
      <c r="C760"/>
      <c r="D760"/>
      <c r="E760"/>
      <c r="F760"/>
      <c r="G760"/>
      <c r="H760"/>
      <c r="I760"/>
      <c r="J760"/>
    </row>
    <row r="761" spans="1:10">
      <c r="A761" s="23"/>
      <c r="B761"/>
      <c r="C761"/>
      <c r="D761"/>
      <c r="E761"/>
      <c r="F761"/>
      <c r="G761"/>
      <c r="H761"/>
      <c r="I761"/>
      <c r="J761"/>
    </row>
    <row r="762" spans="1:10">
      <c r="A762" s="23"/>
      <c r="B762"/>
      <c r="C762"/>
      <c r="D762"/>
      <c r="E762"/>
      <c r="F762"/>
      <c r="G762"/>
      <c r="H762"/>
      <c r="I762"/>
      <c r="J762"/>
    </row>
    <row r="763" spans="1:10">
      <c r="A763" s="23"/>
      <c r="B763"/>
      <c r="C763"/>
      <c r="D763"/>
      <c r="E763"/>
      <c r="F763"/>
      <c r="G763"/>
      <c r="H763"/>
      <c r="I763"/>
      <c r="J763"/>
    </row>
    <row r="764" spans="1:10">
      <c r="A764" s="23"/>
      <c r="B764"/>
      <c r="C764"/>
      <c r="D764"/>
      <c r="E764"/>
      <c r="F764"/>
      <c r="G764"/>
      <c r="H764"/>
      <c r="I764"/>
      <c r="J764"/>
    </row>
    <row r="765" spans="1:10">
      <c r="A765" s="23"/>
      <c r="B765"/>
      <c r="C765"/>
      <c r="D765"/>
      <c r="E765"/>
      <c r="F765"/>
      <c r="G765"/>
      <c r="H765"/>
      <c r="I765"/>
      <c r="J765"/>
    </row>
    <row r="766" spans="1:10">
      <c r="A766" s="23"/>
      <c r="B766"/>
      <c r="C766"/>
      <c r="D766"/>
      <c r="E766"/>
      <c r="F766"/>
      <c r="G766"/>
      <c r="H766"/>
      <c r="I766"/>
      <c r="J766"/>
    </row>
    <row r="767" spans="1:10">
      <c r="A767" s="23"/>
      <c r="B767"/>
      <c r="C767"/>
      <c r="D767"/>
      <c r="E767"/>
      <c r="F767"/>
      <c r="G767"/>
      <c r="H767"/>
      <c r="I767"/>
      <c r="J767"/>
    </row>
    <row r="768" spans="1:10">
      <c r="A768" s="23"/>
      <c r="B768"/>
      <c r="C768"/>
      <c r="D768"/>
      <c r="E768"/>
      <c r="F768"/>
      <c r="G768"/>
      <c r="H768"/>
      <c r="I768"/>
      <c r="J768"/>
    </row>
    <row r="769" spans="1:10">
      <c r="A769" s="23"/>
      <c r="B769"/>
      <c r="C769"/>
      <c r="D769"/>
      <c r="E769"/>
      <c r="F769"/>
      <c r="G769"/>
      <c r="H769"/>
      <c r="I769"/>
      <c r="J769"/>
    </row>
    <row r="770" spans="1:10">
      <c r="A770" s="23"/>
      <c r="B770"/>
      <c r="C770"/>
      <c r="D770"/>
      <c r="E770"/>
      <c r="F770"/>
      <c r="G770"/>
      <c r="H770"/>
      <c r="I770"/>
      <c r="J770"/>
    </row>
    <row r="771" spans="1:10">
      <c r="A771" s="23"/>
      <c r="B771"/>
      <c r="C771"/>
      <c r="D771"/>
      <c r="E771"/>
      <c r="F771"/>
      <c r="G771"/>
      <c r="H771"/>
      <c r="I771"/>
      <c r="J771"/>
    </row>
    <row r="772" spans="1:10">
      <c r="A772" s="23"/>
      <c r="B772"/>
      <c r="C772"/>
      <c r="D772"/>
      <c r="E772"/>
      <c r="F772"/>
      <c r="G772"/>
      <c r="H772"/>
      <c r="I772"/>
      <c r="J772"/>
    </row>
    <row r="773" spans="1:10">
      <c r="A773" s="23"/>
      <c r="B773"/>
      <c r="C773"/>
      <c r="D773"/>
      <c r="E773"/>
      <c r="F773"/>
      <c r="G773"/>
      <c r="H773"/>
      <c r="I773"/>
      <c r="J773"/>
    </row>
    <row r="774" spans="1:10">
      <c r="A774" s="23"/>
      <c r="B774"/>
      <c r="C774"/>
      <c r="D774"/>
      <c r="E774"/>
      <c r="F774"/>
      <c r="G774"/>
      <c r="H774"/>
      <c r="I774"/>
      <c r="J774"/>
    </row>
    <row r="775" spans="1:10">
      <c r="A775" s="23"/>
      <c r="B775"/>
      <c r="C775"/>
      <c r="D775"/>
      <c r="E775"/>
      <c r="F775"/>
      <c r="G775"/>
      <c r="H775"/>
      <c r="I775"/>
      <c r="J775"/>
    </row>
    <row r="776" spans="1:10">
      <c r="A776" s="23"/>
      <c r="B776"/>
      <c r="C776"/>
      <c r="D776"/>
      <c r="E776"/>
      <c r="F776"/>
      <c r="G776"/>
      <c r="H776"/>
      <c r="I776"/>
      <c r="J776"/>
    </row>
    <row r="777" spans="1:10">
      <c r="A777" s="23"/>
      <c r="B777"/>
      <c r="C777"/>
      <c r="D777"/>
      <c r="E777"/>
      <c r="F777"/>
      <c r="G777"/>
      <c r="H777"/>
      <c r="I777"/>
      <c r="J777"/>
    </row>
    <row r="778" spans="1:10">
      <c r="A778" s="23"/>
      <c r="B778"/>
      <c r="C778"/>
      <c r="D778"/>
      <c r="E778"/>
      <c r="F778"/>
      <c r="G778"/>
      <c r="H778"/>
      <c r="I778"/>
      <c r="J778"/>
    </row>
    <row r="779" spans="1:10">
      <c r="A779" s="23"/>
      <c r="B779"/>
      <c r="C779"/>
      <c r="D779"/>
      <c r="E779"/>
      <c r="F779"/>
      <c r="G779"/>
      <c r="H779"/>
      <c r="I779"/>
      <c r="J779"/>
    </row>
    <row r="780" spans="1:10">
      <c r="A780" s="23"/>
      <c r="B780"/>
      <c r="C780"/>
      <c r="D780"/>
      <c r="E780"/>
      <c r="F780"/>
      <c r="G780"/>
      <c r="H780"/>
      <c r="I780"/>
      <c r="J780"/>
    </row>
    <row r="781" spans="1:10">
      <c r="A781" s="23"/>
      <c r="B781"/>
      <c r="C781"/>
      <c r="D781"/>
      <c r="E781"/>
      <c r="F781"/>
      <c r="G781"/>
      <c r="H781"/>
      <c r="I781"/>
      <c r="J781"/>
    </row>
    <row r="782" spans="1:10">
      <c r="A782" s="23"/>
      <c r="B782"/>
      <c r="C782"/>
      <c r="D782"/>
      <c r="E782"/>
      <c r="F782"/>
      <c r="G782"/>
      <c r="H782"/>
      <c r="I782"/>
      <c r="J782"/>
    </row>
    <row r="783" spans="1:10">
      <c r="A783" s="23"/>
      <c r="B783"/>
      <c r="C783"/>
      <c r="D783"/>
      <c r="E783"/>
      <c r="F783"/>
      <c r="G783"/>
      <c r="H783"/>
      <c r="I783"/>
      <c r="J783"/>
    </row>
    <row r="784" spans="1:10">
      <c r="A784" s="23"/>
      <c r="B784"/>
      <c r="C784"/>
      <c r="D784"/>
      <c r="E784"/>
      <c r="F784"/>
      <c r="G784"/>
      <c r="H784"/>
      <c r="I784"/>
      <c r="J784"/>
    </row>
    <row r="785" spans="1:10">
      <c r="A785" s="23"/>
      <c r="B785"/>
      <c r="C785"/>
      <c r="D785"/>
      <c r="E785"/>
      <c r="F785"/>
      <c r="G785"/>
      <c r="H785"/>
      <c r="I785"/>
      <c r="J785"/>
    </row>
    <row r="786" spans="1:10">
      <c r="A786" s="23"/>
      <c r="B786"/>
      <c r="C786"/>
      <c r="D786"/>
      <c r="E786"/>
      <c r="F786"/>
      <c r="G786"/>
      <c r="H786"/>
      <c r="I786"/>
      <c r="J786"/>
    </row>
    <row r="787" spans="1:10">
      <c r="A787" s="23"/>
      <c r="B787"/>
      <c r="C787"/>
      <c r="D787"/>
      <c r="E787"/>
      <c r="F787"/>
      <c r="G787"/>
      <c r="H787"/>
      <c r="I787"/>
      <c r="J787"/>
    </row>
    <row r="788" spans="1:10">
      <c r="A788" s="23"/>
      <c r="B788"/>
      <c r="C788"/>
      <c r="D788"/>
      <c r="E788"/>
      <c r="F788"/>
      <c r="G788"/>
      <c r="H788"/>
      <c r="I788"/>
      <c r="J788"/>
    </row>
    <row r="789" spans="1:10">
      <c r="A789" s="23"/>
      <c r="B789"/>
      <c r="C789"/>
      <c r="D789"/>
      <c r="E789"/>
      <c r="F789"/>
      <c r="G789"/>
      <c r="H789"/>
      <c r="I789"/>
      <c r="J789"/>
    </row>
    <row r="790" spans="1:10">
      <c r="A790" s="23"/>
      <c r="B790"/>
      <c r="C790"/>
      <c r="D790"/>
      <c r="E790"/>
      <c r="F790"/>
      <c r="G790"/>
      <c r="H790"/>
      <c r="I790"/>
      <c r="J790"/>
    </row>
    <row r="791" spans="1:10">
      <c r="A791" s="23"/>
      <c r="B791"/>
      <c r="C791"/>
      <c r="D791"/>
      <c r="E791"/>
      <c r="F791"/>
      <c r="G791"/>
      <c r="H791"/>
      <c r="I791"/>
      <c r="J791"/>
    </row>
    <row r="792" spans="1:10">
      <c r="A792" s="23"/>
      <c r="B792"/>
      <c r="C792"/>
      <c r="D792"/>
      <c r="E792"/>
      <c r="F792"/>
      <c r="G792"/>
      <c r="H792"/>
      <c r="I792"/>
      <c r="J792"/>
    </row>
    <row r="793" spans="1:10">
      <c r="A793" s="23"/>
      <c r="B793"/>
      <c r="C793"/>
      <c r="D793"/>
      <c r="E793"/>
      <c r="F793"/>
      <c r="G793"/>
      <c r="H793"/>
      <c r="I793"/>
      <c r="J793"/>
    </row>
    <row r="794" spans="1:10">
      <c r="A794" s="23"/>
      <c r="B794"/>
      <c r="C794"/>
      <c r="D794"/>
      <c r="E794"/>
      <c r="F794"/>
      <c r="G794"/>
      <c r="H794"/>
      <c r="I794"/>
      <c r="J794"/>
    </row>
    <row r="795" spans="1:10">
      <c r="A795" s="23"/>
      <c r="B795"/>
      <c r="C795"/>
      <c r="D795"/>
      <c r="E795"/>
      <c r="F795"/>
      <c r="G795"/>
      <c r="H795"/>
      <c r="I795"/>
      <c r="J795"/>
    </row>
    <row r="796" spans="1:10">
      <c r="A796" s="23"/>
      <c r="B796"/>
      <c r="C796"/>
      <c r="D796"/>
      <c r="E796"/>
      <c r="F796"/>
      <c r="G796"/>
      <c r="H796"/>
      <c r="I796"/>
      <c r="J796"/>
    </row>
    <row r="797" spans="1:10">
      <c r="A797" s="23"/>
      <c r="B797"/>
      <c r="C797"/>
      <c r="D797"/>
      <c r="E797"/>
      <c r="F797"/>
      <c r="G797"/>
      <c r="H797"/>
      <c r="I797"/>
      <c r="J797"/>
    </row>
    <row r="798" spans="1:10">
      <c r="A798" s="23"/>
      <c r="B798"/>
      <c r="C798"/>
      <c r="D798"/>
      <c r="E798"/>
      <c r="F798"/>
      <c r="G798"/>
      <c r="H798"/>
      <c r="I798"/>
      <c r="J798"/>
    </row>
    <row r="799" spans="1:10">
      <c r="A799" s="23"/>
      <c r="B799"/>
      <c r="C799"/>
      <c r="D799"/>
      <c r="E799"/>
      <c r="F799"/>
      <c r="G799"/>
      <c r="H799"/>
      <c r="I799"/>
      <c r="J799"/>
    </row>
    <row r="800" spans="1:10">
      <c r="A800" s="23"/>
      <c r="B800"/>
      <c r="C800"/>
      <c r="D800"/>
      <c r="E800"/>
      <c r="F800"/>
      <c r="G800"/>
      <c r="H800"/>
      <c r="I800"/>
      <c r="J800"/>
    </row>
    <row r="801" spans="1:10">
      <c r="A801" s="23"/>
      <c r="B801"/>
      <c r="C801"/>
      <c r="D801"/>
      <c r="E801"/>
      <c r="F801"/>
      <c r="G801"/>
      <c r="H801"/>
      <c r="I801"/>
      <c r="J801"/>
    </row>
    <row r="802" spans="1:10">
      <c r="A802" s="23"/>
      <c r="B802"/>
      <c r="C802"/>
      <c r="D802"/>
      <c r="E802"/>
      <c r="F802"/>
      <c r="G802"/>
      <c r="H802"/>
      <c r="I802"/>
      <c r="J802"/>
    </row>
    <row r="803" spans="1:10">
      <c r="A803" s="23"/>
      <c r="B803"/>
      <c r="C803"/>
      <c r="D803"/>
      <c r="E803"/>
      <c r="F803"/>
      <c r="G803"/>
      <c r="H803"/>
      <c r="I803"/>
      <c r="J803"/>
    </row>
    <row r="804" spans="1:10">
      <c r="A804" s="23"/>
      <c r="B804"/>
      <c r="C804"/>
      <c r="D804"/>
      <c r="E804"/>
      <c r="F804"/>
      <c r="G804"/>
      <c r="H804"/>
      <c r="I804"/>
      <c r="J804"/>
    </row>
    <row r="805" spans="1:10">
      <c r="A805" s="23"/>
      <c r="B805"/>
      <c r="C805"/>
      <c r="D805"/>
      <c r="E805"/>
      <c r="F805"/>
      <c r="G805"/>
      <c r="H805"/>
      <c r="I805"/>
      <c r="J805"/>
    </row>
    <row r="806" spans="1:10">
      <c r="A806" s="23"/>
      <c r="B806"/>
      <c r="C806"/>
      <c r="D806"/>
      <c r="E806"/>
      <c r="F806"/>
      <c r="G806"/>
      <c r="H806"/>
      <c r="I806"/>
      <c r="J806"/>
    </row>
    <row r="807" spans="1:10">
      <c r="A807" s="23"/>
      <c r="B807"/>
      <c r="C807"/>
      <c r="D807"/>
      <c r="E807"/>
      <c r="F807"/>
      <c r="G807"/>
      <c r="H807"/>
      <c r="I807"/>
      <c r="J807"/>
    </row>
    <row r="808" spans="1:10">
      <c r="A808" s="23"/>
      <c r="B808"/>
      <c r="C808"/>
      <c r="D808"/>
      <c r="E808"/>
      <c r="F808"/>
      <c r="G808"/>
      <c r="H808"/>
      <c r="I808"/>
      <c r="J808"/>
    </row>
    <row r="809" spans="1:10">
      <c r="A809" s="23"/>
      <c r="B809"/>
      <c r="C809"/>
      <c r="D809"/>
      <c r="E809"/>
      <c r="F809"/>
      <c r="G809"/>
      <c r="H809"/>
      <c r="I809"/>
      <c r="J809"/>
    </row>
    <row r="810" spans="1:10">
      <c r="A810" s="23"/>
      <c r="B810"/>
      <c r="C810"/>
      <c r="D810"/>
      <c r="E810"/>
      <c r="F810"/>
      <c r="G810"/>
      <c r="H810"/>
      <c r="I810"/>
      <c r="J810"/>
    </row>
    <row r="811" spans="1:10">
      <c r="A811" s="23"/>
      <c r="B811"/>
      <c r="C811"/>
      <c r="D811"/>
      <c r="E811"/>
      <c r="F811"/>
      <c r="G811"/>
      <c r="H811"/>
      <c r="I811"/>
      <c r="J811"/>
    </row>
    <row r="812" spans="1:10">
      <c r="A812" s="23"/>
      <c r="B812"/>
      <c r="C812"/>
      <c r="D812"/>
      <c r="E812"/>
      <c r="F812"/>
      <c r="G812"/>
      <c r="H812"/>
      <c r="I812"/>
      <c r="J812"/>
    </row>
    <row r="813" spans="1:10">
      <c r="A813" s="23"/>
      <c r="B813"/>
      <c r="C813"/>
      <c r="D813"/>
      <c r="E813"/>
      <c r="F813"/>
      <c r="G813"/>
      <c r="H813"/>
      <c r="I813"/>
      <c r="J813"/>
    </row>
    <row r="814" spans="1:10">
      <c r="A814" s="23"/>
      <c r="B814"/>
      <c r="C814"/>
      <c r="D814"/>
      <c r="E814"/>
      <c r="F814"/>
      <c r="G814"/>
      <c r="H814"/>
      <c r="I814"/>
      <c r="J814"/>
    </row>
    <row r="815" spans="1:10">
      <c r="A815" s="23"/>
      <c r="B815"/>
      <c r="C815"/>
      <c r="D815"/>
      <c r="E815"/>
      <c r="F815"/>
      <c r="G815"/>
      <c r="H815"/>
      <c r="I815"/>
      <c r="J815"/>
    </row>
    <row r="816" spans="1:10">
      <c r="A816" s="23"/>
      <c r="B816"/>
      <c r="C816"/>
      <c r="D816"/>
      <c r="E816"/>
      <c r="F816"/>
      <c r="G816"/>
      <c r="H816"/>
      <c r="I816"/>
      <c r="J816"/>
    </row>
    <row r="817" spans="1:10">
      <c r="A817" s="23"/>
      <c r="B817"/>
      <c r="C817"/>
      <c r="D817"/>
      <c r="E817"/>
      <c r="F817"/>
      <c r="G817"/>
      <c r="H817"/>
      <c r="I817"/>
      <c r="J817"/>
    </row>
    <row r="818" spans="1:10">
      <c r="A818" s="23"/>
      <c r="B818"/>
      <c r="C818"/>
      <c r="D818"/>
      <c r="E818"/>
      <c r="F818"/>
      <c r="G818"/>
      <c r="H818"/>
      <c r="I818"/>
      <c r="J818"/>
    </row>
    <row r="819" spans="1:10">
      <c r="A819" s="23"/>
      <c r="B819"/>
      <c r="C819"/>
      <c r="D819"/>
      <c r="E819"/>
      <c r="F819"/>
      <c r="G819"/>
      <c r="H819"/>
      <c r="I819"/>
      <c r="J819"/>
    </row>
    <row r="820" spans="1:10">
      <c r="A820" s="23"/>
      <c r="B820"/>
      <c r="C820"/>
      <c r="D820"/>
      <c r="E820"/>
      <c r="F820"/>
      <c r="G820"/>
      <c r="H820"/>
      <c r="I820"/>
      <c r="J820"/>
    </row>
    <row r="821" spans="1:10">
      <c r="A821" s="23"/>
      <c r="B821"/>
      <c r="C821"/>
      <c r="D821"/>
      <c r="E821"/>
      <c r="F821"/>
      <c r="G821"/>
      <c r="H821"/>
      <c r="I821"/>
      <c r="J821"/>
    </row>
    <row r="822" spans="1:10">
      <c r="A822" s="23"/>
      <c r="B822"/>
      <c r="C822"/>
      <c r="D822"/>
      <c r="E822"/>
      <c r="F822"/>
      <c r="G822"/>
      <c r="H822"/>
      <c r="I822"/>
      <c r="J822"/>
    </row>
    <row r="823" spans="1:10">
      <c r="A823" s="23"/>
      <c r="B823"/>
      <c r="C823"/>
      <c r="D823"/>
      <c r="E823"/>
      <c r="F823"/>
      <c r="G823"/>
      <c r="H823"/>
      <c r="I823"/>
      <c r="J823"/>
    </row>
    <row r="824" spans="1:10">
      <c r="A824" s="23"/>
      <c r="B824"/>
      <c r="C824"/>
      <c r="D824"/>
      <c r="E824"/>
      <c r="F824"/>
      <c r="G824"/>
      <c r="H824"/>
      <c r="I824"/>
      <c r="J824"/>
    </row>
    <row r="825" spans="1:10">
      <c r="A825" s="23"/>
      <c r="B825"/>
      <c r="C825"/>
      <c r="D825"/>
      <c r="E825"/>
      <c r="F825"/>
      <c r="G825"/>
      <c r="H825"/>
      <c r="I825"/>
      <c r="J825"/>
    </row>
    <row r="826" spans="1:10">
      <c r="A826" s="23"/>
      <c r="B826"/>
      <c r="C826"/>
      <c r="D826"/>
      <c r="E826"/>
      <c r="F826"/>
      <c r="G826"/>
      <c r="H826"/>
      <c r="I826"/>
      <c r="J826"/>
    </row>
    <row r="827" spans="1:10">
      <c r="A827" s="23"/>
      <c r="B827"/>
      <c r="C827"/>
      <c r="D827"/>
      <c r="E827"/>
      <c r="F827"/>
      <c r="G827"/>
      <c r="H827"/>
      <c r="I827"/>
      <c r="J827"/>
    </row>
    <row r="828" spans="1:10">
      <c r="A828" s="23"/>
      <c r="B828"/>
      <c r="C828"/>
      <c r="D828"/>
      <c r="E828"/>
      <c r="F828"/>
      <c r="G828"/>
      <c r="H828"/>
      <c r="I828"/>
      <c r="J828"/>
    </row>
    <row r="829" spans="1:10">
      <c r="A829" s="23"/>
      <c r="B829"/>
      <c r="C829"/>
      <c r="D829"/>
      <c r="E829"/>
      <c r="F829"/>
      <c r="G829"/>
      <c r="H829"/>
      <c r="I829"/>
      <c r="J829"/>
    </row>
    <row r="830" spans="1:10">
      <c r="A830" s="23"/>
      <c r="B830"/>
      <c r="C830"/>
      <c r="D830"/>
      <c r="E830"/>
      <c r="F830"/>
      <c r="G830"/>
      <c r="H830"/>
      <c r="I830"/>
      <c r="J830"/>
    </row>
    <row r="831" spans="1:10">
      <c r="A831" s="23"/>
      <c r="B831"/>
      <c r="C831"/>
      <c r="D831"/>
      <c r="E831"/>
      <c r="F831"/>
      <c r="G831"/>
      <c r="H831"/>
      <c r="I831"/>
      <c r="J831"/>
    </row>
    <row r="832" spans="1:10">
      <c r="A832" s="23"/>
      <c r="B832"/>
      <c r="C832"/>
      <c r="D832"/>
      <c r="E832"/>
      <c r="F832"/>
      <c r="G832"/>
      <c r="H832"/>
      <c r="I832"/>
      <c r="J832"/>
    </row>
    <row r="833" spans="1:10">
      <c r="A833" s="23"/>
      <c r="B833"/>
      <c r="C833"/>
      <c r="D833"/>
      <c r="E833"/>
      <c r="F833"/>
      <c r="G833"/>
      <c r="H833"/>
      <c r="I833"/>
      <c r="J833"/>
    </row>
    <row r="834" spans="1:10">
      <c r="A834" s="23"/>
      <c r="B834"/>
      <c r="C834"/>
      <c r="D834"/>
      <c r="E834"/>
      <c r="F834"/>
      <c r="G834"/>
      <c r="H834"/>
      <c r="I834"/>
      <c r="J834"/>
    </row>
    <row r="835" spans="1:10">
      <c r="A835" s="23"/>
      <c r="B835"/>
      <c r="C835"/>
      <c r="D835"/>
      <c r="E835"/>
      <c r="F835"/>
      <c r="G835"/>
      <c r="H835"/>
      <c r="I835"/>
      <c r="J835"/>
    </row>
    <row r="836" spans="1:10">
      <c r="A836" s="23"/>
      <c r="B836"/>
      <c r="C836"/>
      <c r="D836"/>
      <c r="E836"/>
      <c r="F836"/>
      <c r="G836"/>
      <c r="H836"/>
      <c r="I836"/>
      <c r="J836"/>
    </row>
    <row r="837" spans="1:10">
      <c r="A837" s="23"/>
      <c r="B837"/>
      <c r="C837"/>
      <c r="D837"/>
      <c r="E837"/>
      <c r="F837"/>
      <c r="G837"/>
      <c r="H837"/>
      <c r="I837"/>
      <c r="J837"/>
    </row>
    <row r="838" spans="1:10">
      <c r="A838" s="23"/>
      <c r="B838"/>
      <c r="C838"/>
      <c r="D838"/>
      <c r="E838"/>
      <c r="F838"/>
      <c r="G838"/>
      <c r="H838"/>
      <c r="I838"/>
      <c r="J838"/>
    </row>
    <row r="839" spans="1:10">
      <c r="A839" s="23"/>
      <c r="B839"/>
      <c r="C839"/>
      <c r="D839"/>
      <c r="E839"/>
      <c r="F839"/>
      <c r="G839"/>
      <c r="H839"/>
      <c r="I839"/>
      <c r="J839"/>
    </row>
    <row r="840" spans="1:10">
      <c r="A840" s="23"/>
      <c r="B840"/>
      <c r="C840"/>
      <c r="D840"/>
      <c r="E840"/>
      <c r="F840"/>
      <c r="G840"/>
      <c r="H840"/>
      <c r="I840"/>
      <c r="J840"/>
    </row>
    <row r="841" spans="1:10">
      <c r="A841" s="23"/>
      <c r="B841"/>
      <c r="C841"/>
      <c r="D841"/>
      <c r="E841"/>
      <c r="F841"/>
      <c r="G841"/>
      <c r="H841"/>
      <c r="I841"/>
      <c r="J841"/>
    </row>
    <row r="842" spans="1:10">
      <c r="A842" s="23"/>
      <c r="B842"/>
      <c r="C842"/>
      <c r="D842"/>
      <c r="E842"/>
      <c r="F842"/>
      <c r="G842"/>
      <c r="H842"/>
      <c r="I842"/>
      <c r="J842"/>
    </row>
    <row r="843" spans="1:10">
      <c r="A843" s="23"/>
      <c r="B843"/>
      <c r="C843"/>
      <c r="D843"/>
      <c r="E843"/>
      <c r="F843"/>
      <c r="G843"/>
      <c r="H843"/>
      <c r="I843"/>
      <c r="J843"/>
    </row>
    <row r="844" spans="1:10">
      <c r="A844" s="23"/>
      <c r="B844"/>
      <c r="C844"/>
      <c r="D844"/>
      <c r="E844"/>
      <c r="F844"/>
      <c r="G844"/>
      <c r="H844"/>
      <c r="I844"/>
      <c r="J844"/>
    </row>
    <row r="845" spans="1:10">
      <c r="A845" s="23"/>
      <c r="B845"/>
      <c r="C845"/>
      <c r="D845"/>
      <c r="E845"/>
      <c r="F845"/>
      <c r="G845"/>
      <c r="H845"/>
      <c r="I845"/>
      <c r="J845"/>
    </row>
    <row r="846" spans="1:10">
      <c r="A846" s="23"/>
      <c r="B846"/>
      <c r="C846"/>
      <c r="D846"/>
      <c r="E846"/>
      <c r="F846"/>
      <c r="G846"/>
      <c r="H846"/>
      <c r="I846"/>
      <c r="J846"/>
    </row>
    <row r="847" spans="1:10">
      <c r="A847" s="23"/>
      <c r="B847"/>
      <c r="C847"/>
      <c r="D847"/>
      <c r="E847"/>
      <c r="F847"/>
      <c r="G847"/>
      <c r="H847"/>
      <c r="I847"/>
      <c r="J847"/>
    </row>
    <row r="848" spans="1:10">
      <c r="A848" s="23"/>
      <c r="B848"/>
      <c r="C848"/>
      <c r="D848"/>
      <c r="E848"/>
      <c r="F848"/>
      <c r="G848"/>
      <c r="H848"/>
      <c r="I848"/>
      <c r="J848"/>
    </row>
    <row r="849" spans="1:10">
      <c r="A849" s="23"/>
      <c r="B849"/>
      <c r="C849"/>
      <c r="D849"/>
      <c r="E849"/>
      <c r="F849"/>
      <c r="G849"/>
      <c r="H849"/>
      <c r="I849"/>
      <c r="J849"/>
    </row>
    <row r="850" spans="1:10">
      <c r="A850" s="23"/>
      <c r="B850"/>
      <c r="C850"/>
      <c r="D850"/>
      <c r="E850"/>
      <c r="F850"/>
      <c r="G850"/>
      <c r="H850"/>
      <c r="I850"/>
      <c r="J850"/>
    </row>
    <row r="851" spans="1:10">
      <c r="A851" s="23"/>
      <c r="B851"/>
      <c r="C851"/>
      <c r="D851"/>
      <c r="E851"/>
      <c r="F851"/>
      <c r="G851"/>
      <c r="H851"/>
      <c r="I851"/>
      <c r="J851"/>
    </row>
    <row r="852" spans="1:10">
      <c r="A852" s="23"/>
      <c r="B852"/>
      <c r="C852"/>
      <c r="D852"/>
      <c r="E852"/>
      <c r="F852"/>
      <c r="G852"/>
      <c r="H852"/>
      <c r="I852"/>
      <c r="J852"/>
    </row>
    <row r="853" spans="1:10">
      <c r="A853" s="23"/>
      <c r="B853"/>
      <c r="C853"/>
      <c r="D853"/>
      <c r="E853"/>
      <c r="F853"/>
      <c r="G853"/>
      <c r="H853"/>
      <c r="I853"/>
      <c r="J853"/>
    </row>
    <row r="854" spans="1:10">
      <c r="A854" s="23"/>
      <c r="B854"/>
      <c r="C854"/>
      <c r="D854"/>
      <c r="E854"/>
      <c r="F854"/>
      <c r="G854"/>
      <c r="H854"/>
      <c r="I854"/>
      <c r="J854"/>
    </row>
    <row r="855" spans="1:10">
      <c r="A855" s="23"/>
      <c r="B855"/>
      <c r="C855"/>
      <c r="D855"/>
      <c r="E855"/>
      <c r="F855"/>
      <c r="G855"/>
      <c r="H855"/>
      <c r="I855"/>
      <c r="J855"/>
    </row>
    <row r="856" spans="1:10">
      <c r="A856" s="23"/>
      <c r="B856"/>
      <c r="C856"/>
      <c r="D856"/>
      <c r="E856"/>
      <c r="F856"/>
      <c r="G856"/>
      <c r="H856"/>
      <c r="I856"/>
      <c r="J856"/>
    </row>
    <row r="857" spans="1:10">
      <c r="A857" s="23"/>
      <c r="B857"/>
      <c r="C857"/>
      <c r="D857"/>
      <c r="E857"/>
      <c r="F857"/>
      <c r="G857"/>
      <c r="H857"/>
      <c r="I857"/>
      <c r="J857"/>
    </row>
    <row r="858" spans="1:10">
      <c r="A858" s="23"/>
      <c r="B858"/>
      <c r="C858"/>
      <c r="D858"/>
      <c r="E858"/>
      <c r="F858"/>
      <c r="G858"/>
      <c r="H858"/>
      <c r="I858"/>
      <c r="J858"/>
    </row>
    <row r="859" spans="1:10">
      <c r="A859" s="23"/>
      <c r="B859"/>
      <c r="C859"/>
      <c r="D859"/>
      <c r="E859"/>
      <c r="F859"/>
      <c r="G859"/>
      <c r="H859"/>
      <c r="I859"/>
      <c r="J859"/>
    </row>
    <row r="860" spans="1:10">
      <c r="A860" s="23"/>
      <c r="B860"/>
      <c r="C860"/>
      <c r="D860"/>
      <c r="E860"/>
      <c r="F860"/>
      <c r="G860"/>
      <c r="H860"/>
      <c r="I860"/>
      <c r="J860"/>
    </row>
    <row r="861" spans="1:10">
      <c r="A861" s="23"/>
      <c r="B861"/>
      <c r="C861"/>
      <c r="D861"/>
      <c r="E861"/>
      <c r="F861"/>
      <c r="G861"/>
      <c r="H861"/>
      <c r="I861"/>
      <c r="J861"/>
    </row>
    <row r="862" spans="1:10">
      <c r="A862" s="23"/>
      <c r="B862"/>
      <c r="C862"/>
      <c r="D862"/>
      <c r="E862"/>
      <c r="F862"/>
      <c r="G862"/>
      <c r="H862"/>
      <c r="I862"/>
      <c r="J862"/>
    </row>
    <row r="863" spans="1:10">
      <c r="A863" s="23"/>
      <c r="B863"/>
      <c r="C863"/>
      <c r="D863"/>
      <c r="E863"/>
      <c r="F863"/>
      <c r="G863"/>
      <c r="H863"/>
      <c r="I863"/>
      <c r="J863"/>
    </row>
    <row r="864" spans="1:10">
      <c r="A864" s="23"/>
      <c r="B864"/>
      <c r="C864"/>
      <c r="D864"/>
      <c r="E864"/>
      <c r="F864"/>
      <c r="G864"/>
      <c r="H864"/>
      <c r="I864"/>
      <c r="J864"/>
    </row>
    <row r="865" spans="1:10">
      <c r="A865" s="23"/>
      <c r="B865"/>
      <c r="C865"/>
      <c r="D865"/>
      <c r="E865"/>
      <c r="F865"/>
      <c r="G865"/>
      <c r="H865"/>
      <c r="I865"/>
      <c r="J865"/>
    </row>
    <row r="866" spans="1:10">
      <c r="A866" s="23"/>
      <c r="B866"/>
      <c r="C866"/>
      <c r="D866"/>
      <c r="E866"/>
      <c r="F866"/>
      <c r="G866"/>
      <c r="H866"/>
      <c r="I866"/>
      <c r="J866"/>
    </row>
    <row r="867" spans="1:10">
      <c r="A867" s="23"/>
      <c r="B867"/>
      <c r="C867"/>
      <c r="D867"/>
      <c r="E867"/>
      <c r="F867"/>
      <c r="G867"/>
      <c r="H867"/>
      <c r="I867"/>
      <c r="J867"/>
    </row>
    <row r="868" spans="1:10">
      <c r="A868" s="23"/>
      <c r="B868"/>
      <c r="C868"/>
      <c r="D868"/>
      <c r="E868"/>
      <c r="F868"/>
      <c r="G868"/>
      <c r="H868"/>
      <c r="I868"/>
      <c r="J868"/>
    </row>
    <row r="869" spans="1:10">
      <c r="A869" s="23"/>
      <c r="B869"/>
      <c r="C869"/>
      <c r="D869"/>
      <c r="E869"/>
      <c r="F869"/>
      <c r="G869"/>
      <c r="H869"/>
      <c r="I869"/>
      <c r="J869"/>
    </row>
    <row r="870" spans="1:10">
      <c r="A870" s="23"/>
      <c r="B870"/>
      <c r="C870"/>
      <c r="D870"/>
      <c r="E870"/>
      <c r="F870"/>
      <c r="G870"/>
      <c r="H870"/>
      <c r="I870"/>
      <c r="J870"/>
    </row>
    <row r="871" spans="1:10">
      <c r="A871" s="23"/>
      <c r="B871"/>
      <c r="C871"/>
      <c r="D871"/>
      <c r="E871"/>
      <c r="F871"/>
      <c r="G871"/>
      <c r="H871"/>
      <c r="I871"/>
      <c r="J871"/>
    </row>
    <row r="872" spans="1:10">
      <c r="A872" s="23"/>
      <c r="B872"/>
      <c r="C872"/>
      <c r="D872"/>
      <c r="E872"/>
      <c r="F872"/>
      <c r="G872"/>
      <c r="H872"/>
      <c r="I872"/>
      <c r="J872"/>
    </row>
    <row r="873" spans="1:10">
      <c r="A873" s="23"/>
      <c r="B873"/>
      <c r="C873"/>
      <c r="D873"/>
      <c r="E873"/>
      <c r="F873"/>
      <c r="G873"/>
      <c r="H873"/>
      <c r="I873"/>
      <c r="J873"/>
    </row>
    <row r="874" spans="1:10">
      <c r="A874" s="23"/>
      <c r="B874"/>
      <c r="C874"/>
      <c r="D874"/>
      <c r="E874"/>
      <c r="F874"/>
      <c r="G874"/>
      <c r="H874"/>
      <c r="I874"/>
      <c r="J874"/>
    </row>
    <row r="875" spans="1:10">
      <c r="A875" s="23"/>
      <c r="B875"/>
      <c r="C875"/>
      <c r="D875"/>
      <c r="E875"/>
      <c r="F875"/>
      <c r="G875"/>
      <c r="H875"/>
      <c r="I875"/>
      <c r="J875"/>
    </row>
    <row r="876" spans="1:10">
      <c r="A876" s="23"/>
      <c r="B876"/>
      <c r="C876"/>
      <c r="D876"/>
      <c r="E876"/>
      <c r="F876"/>
      <c r="G876"/>
      <c r="H876"/>
      <c r="I876"/>
      <c r="J876"/>
    </row>
    <row r="877" spans="1:10">
      <c r="A877" s="23"/>
      <c r="B877"/>
      <c r="C877"/>
      <c r="D877"/>
      <c r="E877"/>
      <c r="F877"/>
      <c r="G877"/>
      <c r="H877"/>
      <c r="I877"/>
      <c r="J877"/>
    </row>
    <row r="878" spans="1:10">
      <c r="A878" s="23"/>
      <c r="B878"/>
      <c r="C878"/>
      <c r="D878"/>
      <c r="E878"/>
      <c r="F878"/>
      <c r="G878"/>
      <c r="H878"/>
      <c r="I878"/>
      <c r="J878"/>
    </row>
    <row r="879" spans="1:10">
      <c r="A879" s="23"/>
      <c r="B879"/>
      <c r="C879"/>
      <c r="D879"/>
      <c r="E879"/>
      <c r="F879"/>
      <c r="G879"/>
      <c r="H879"/>
      <c r="I879"/>
      <c r="J879"/>
    </row>
    <row r="880" spans="1:10">
      <c r="A880" s="23"/>
      <c r="B880"/>
      <c r="C880"/>
      <c r="D880"/>
      <c r="E880"/>
      <c r="F880"/>
      <c r="G880"/>
      <c r="H880"/>
      <c r="I880"/>
      <c r="J880"/>
    </row>
    <row r="881" spans="1:10">
      <c r="A881" s="23"/>
      <c r="B881"/>
      <c r="C881"/>
      <c r="D881"/>
      <c r="E881"/>
      <c r="F881"/>
      <c r="G881"/>
      <c r="H881"/>
      <c r="I881"/>
      <c r="J881"/>
    </row>
    <row r="882" spans="1:10">
      <c r="A882" s="23"/>
      <c r="B882"/>
      <c r="C882"/>
      <c r="D882"/>
      <c r="E882"/>
      <c r="F882"/>
      <c r="G882"/>
      <c r="H882"/>
      <c r="I882"/>
      <c r="J882"/>
    </row>
    <row r="883" spans="1:10">
      <c r="A883" s="23"/>
      <c r="B883"/>
      <c r="C883"/>
      <c r="D883"/>
      <c r="E883"/>
      <c r="F883"/>
      <c r="G883"/>
      <c r="H883"/>
      <c r="I883"/>
      <c r="J883"/>
    </row>
    <row r="884" spans="1:10">
      <c r="A884" s="23"/>
      <c r="B884"/>
      <c r="C884"/>
      <c r="D884"/>
      <c r="E884"/>
      <c r="F884"/>
      <c r="G884"/>
      <c r="H884"/>
      <c r="I884"/>
      <c r="J884"/>
    </row>
    <row r="885" spans="1:10">
      <c r="A885" s="23"/>
      <c r="B885"/>
      <c r="C885"/>
      <c r="D885"/>
      <c r="E885"/>
      <c r="F885"/>
      <c r="G885"/>
      <c r="H885"/>
      <c r="I885"/>
      <c r="J885"/>
    </row>
    <row r="886" spans="1:10">
      <c r="A886" s="23"/>
      <c r="B886"/>
      <c r="C886"/>
      <c r="D886"/>
      <c r="E886"/>
      <c r="F886"/>
      <c r="G886"/>
      <c r="H886"/>
      <c r="I886"/>
      <c r="J886"/>
    </row>
    <row r="887" spans="1:10">
      <c r="A887" s="23"/>
      <c r="B887"/>
      <c r="C887"/>
      <c r="D887"/>
      <c r="E887"/>
      <c r="F887"/>
      <c r="G887"/>
      <c r="H887"/>
      <c r="I887"/>
      <c r="J887"/>
    </row>
    <row r="888" spans="1:10">
      <c r="A888" s="23"/>
      <c r="B888"/>
      <c r="C888"/>
      <c r="D888"/>
      <c r="E888"/>
      <c r="F888"/>
      <c r="G888"/>
      <c r="H888"/>
      <c r="I888"/>
      <c r="J888"/>
    </row>
    <row r="889" spans="1:10">
      <c r="A889" s="23"/>
      <c r="B889"/>
      <c r="C889"/>
      <c r="D889"/>
      <c r="E889"/>
      <c r="F889"/>
      <c r="G889"/>
      <c r="H889"/>
      <c r="I889"/>
      <c r="J889"/>
    </row>
    <row r="890" spans="1:10">
      <c r="A890" s="23"/>
      <c r="B890"/>
      <c r="C890"/>
      <c r="D890"/>
      <c r="E890"/>
      <c r="F890"/>
      <c r="G890"/>
      <c r="H890"/>
      <c r="I890"/>
      <c r="J890"/>
    </row>
    <row r="891" spans="1:10">
      <c r="A891" s="23"/>
      <c r="B891"/>
      <c r="C891"/>
      <c r="D891"/>
      <c r="E891"/>
      <c r="F891"/>
      <c r="G891"/>
      <c r="H891"/>
      <c r="I891"/>
      <c r="J891"/>
    </row>
    <row r="892" spans="1:10">
      <c r="A892" s="23"/>
      <c r="B892"/>
      <c r="C892"/>
      <c r="D892"/>
      <c r="E892"/>
      <c r="F892"/>
      <c r="G892"/>
      <c r="H892"/>
      <c r="I892"/>
      <c r="J892"/>
    </row>
    <row r="893" spans="1:10">
      <c r="A893" s="23"/>
      <c r="B893"/>
      <c r="C893"/>
      <c r="D893"/>
      <c r="E893"/>
      <c r="F893"/>
      <c r="G893"/>
      <c r="H893"/>
      <c r="I893"/>
      <c r="J893"/>
    </row>
    <row r="894" spans="1:10">
      <c r="A894" s="23"/>
      <c r="B894"/>
      <c r="C894"/>
      <c r="D894"/>
      <c r="E894"/>
      <c r="F894"/>
      <c r="G894"/>
      <c r="H894"/>
      <c r="I894"/>
      <c r="J894"/>
    </row>
    <row r="895" spans="1:10">
      <c r="A895" s="23"/>
      <c r="B895"/>
      <c r="C895"/>
      <c r="D895"/>
      <c r="E895"/>
      <c r="F895"/>
      <c r="G895"/>
      <c r="H895"/>
      <c r="I895"/>
      <c r="J895"/>
    </row>
    <row r="896" spans="1:10">
      <c r="A896" s="23"/>
      <c r="B896"/>
      <c r="C896"/>
      <c r="D896"/>
      <c r="E896"/>
      <c r="F896"/>
      <c r="G896"/>
      <c r="H896"/>
      <c r="I896"/>
      <c r="J896"/>
    </row>
    <row r="897" spans="1:10">
      <c r="A897" s="23"/>
      <c r="B897"/>
      <c r="C897"/>
      <c r="D897"/>
      <c r="E897"/>
      <c r="F897"/>
      <c r="G897"/>
      <c r="H897"/>
      <c r="I897"/>
      <c r="J897"/>
    </row>
    <row r="898" spans="1:10">
      <c r="A898" s="23"/>
      <c r="B898"/>
      <c r="C898"/>
      <c r="D898"/>
      <c r="E898"/>
      <c r="F898"/>
      <c r="G898"/>
      <c r="H898"/>
      <c r="I898"/>
      <c r="J898"/>
    </row>
    <row r="899" spans="1:10">
      <c r="A899" s="23"/>
      <c r="B899"/>
      <c r="C899"/>
      <c r="D899"/>
      <c r="E899"/>
      <c r="F899"/>
      <c r="G899"/>
      <c r="H899"/>
      <c r="I899"/>
      <c r="J899"/>
    </row>
    <row r="900" spans="1:10">
      <c r="A900" s="23"/>
      <c r="B900"/>
      <c r="C900"/>
      <c r="D900"/>
      <c r="E900"/>
      <c r="F900"/>
      <c r="G900"/>
      <c r="H900"/>
      <c r="I900"/>
      <c r="J900"/>
    </row>
    <row r="901" spans="1:10">
      <c r="A901" s="23"/>
      <c r="B901"/>
      <c r="C901"/>
      <c r="D901"/>
      <c r="E901"/>
      <c r="F901"/>
      <c r="G901"/>
      <c r="H901"/>
      <c r="I901"/>
      <c r="J901"/>
    </row>
    <row r="902" spans="1:10">
      <c r="A902" s="23"/>
      <c r="B902"/>
      <c r="C902"/>
      <c r="D902"/>
      <c r="E902"/>
      <c r="F902"/>
      <c r="G902"/>
      <c r="H902"/>
      <c r="I902"/>
      <c r="J902"/>
    </row>
    <row r="903" spans="1:10">
      <c r="A903" s="23"/>
      <c r="B903"/>
      <c r="C903"/>
      <c r="D903"/>
      <c r="E903"/>
      <c r="F903"/>
      <c r="G903"/>
      <c r="H903"/>
      <c r="I903"/>
      <c r="J903"/>
    </row>
    <row r="904" spans="1:10">
      <c r="A904" s="23"/>
      <c r="B904"/>
      <c r="C904"/>
      <c r="D904"/>
      <c r="E904"/>
      <c r="F904"/>
      <c r="G904"/>
      <c r="H904"/>
      <c r="I904"/>
      <c r="J904"/>
    </row>
    <row r="905" spans="1:10">
      <c r="A905" s="23"/>
      <c r="B905"/>
      <c r="C905"/>
      <c r="D905"/>
      <c r="E905"/>
      <c r="F905"/>
      <c r="G905"/>
      <c r="H905"/>
      <c r="I905"/>
      <c r="J905"/>
    </row>
    <row r="906" spans="1:10">
      <c r="A906" s="23"/>
      <c r="B906"/>
      <c r="C906"/>
      <c r="D906"/>
      <c r="E906"/>
      <c r="F906"/>
      <c r="G906"/>
      <c r="H906"/>
      <c r="I906"/>
      <c r="J906"/>
    </row>
    <row r="907" spans="1:10">
      <c r="A907" s="23"/>
      <c r="B907"/>
      <c r="C907"/>
      <c r="D907"/>
      <c r="E907"/>
      <c r="F907"/>
      <c r="G907"/>
      <c r="H907"/>
      <c r="I907"/>
      <c r="J907"/>
    </row>
    <row r="908" spans="1:10">
      <c r="A908" s="23"/>
      <c r="B908"/>
      <c r="C908"/>
      <c r="D908"/>
      <c r="E908"/>
      <c r="F908"/>
      <c r="G908"/>
      <c r="H908"/>
      <c r="I908"/>
      <c r="J908"/>
    </row>
    <row r="909" spans="1:10">
      <c r="A909" s="23"/>
      <c r="B909"/>
      <c r="C909"/>
      <c r="D909"/>
      <c r="E909"/>
      <c r="F909"/>
      <c r="G909"/>
      <c r="H909"/>
      <c r="I909"/>
      <c r="J909"/>
    </row>
    <row r="910" spans="1:10">
      <c r="A910" s="23"/>
      <c r="B910"/>
      <c r="C910"/>
      <c r="D910"/>
      <c r="E910"/>
      <c r="F910"/>
      <c r="G910"/>
      <c r="H910"/>
      <c r="I910"/>
      <c r="J910"/>
    </row>
    <row r="911" spans="1:10">
      <c r="A911" s="23"/>
      <c r="B911"/>
      <c r="C911"/>
      <c r="D911"/>
      <c r="E911"/>
      <c r="F911"/>
      <c r="G911"/>
      <c r="H911"/>
      <c r="I911"/>
      <c r="J911"/>
    </row>
    <row r="912" spans="1:10">
      <c r="A912" s="23"/>
      <c r="B912"/>
      <c r="C912"/>
      <c r="D912"/>
      <c r="E912"/>
      <c r="F912"/>
      <c r="G912"/>
      <c r="H912"/>
      <c r="I912"/>
      <c r="J912"/>
    </row>
    <row r="913" spans="1:10">
      <c r="A913" s="23"/>
      <c r="B913"/>
      <c r="C913"/>
      <c r="D913"/>
      <c r="E913"/>
      <c r="F913"/>
      <c r="G913"/>
      <c r="H913"/>
      <c r="I913"/>
      <c r="J913"/>
    </row>
    <row r="914" spans="1:10">
      <c r="A914" s="23"/>
      <c r="B914"/>
      <c r="C914"/>
      <c r="D914"/>
      <c r="E914"/>
      <c r="F914"/>
      <c r="G914"/>
      <c r="H914"/>
      <c r="I914"/>
      <c r="J914"/>
    </row>
    <row r="915" spans="1:10">
      <c r="A915" s="23"/>
      <c r="B915"/>
      <c r="C915"/>
      <c r="D915"/>
      <c r="E915"/>
      <c r="F915"/>
      <c r="G915"/>
      <c r="H915"/>
      <c r="I915"/>
      <c r="J915"/>
    </row>
    <row r="916" spans="1:10">
      <c r="A916" s="23"/>
      <c r="B916"/>
      <c r="C916"/>
      <c r="D916"/>
      <c r="E916"/>
      <c r="F916"/>
      <c r="G916"/>
      <c r="H916"/>
      <c r="I916"/>
      <c r="J916"/>
    </row>
    <row r="917" spans="1:10">
      <c r="A917"/>
      <c r="B917"/>
      <c r="C917"/>
      <c r="D917"/>
      <c r="E917"/>
      <c r="F917"/>
      <c r="G917"/>
      <c r="H917"/>
      <c r="I917"/>
      <c r="J917"/>
    </row>
    <row r="918" spans="1:10">
      <c r="A918"/>
      <c r="B918"/>
      <c r="C918"/>
      <c r="D918"/>
      <c r="E918"/>
      <c r="F918"/>
      <c r="G918"/>
      <c r="H918"/>
      <c r="I918"/>
      <c r="J918"/>
    </row>
    <row r="919" spans="1:10">
      <c r="A919"/>
      <c r="B919"/>
      <c r="C919"/>
      <c r="D919"/>
      <c r="E919"/>
      <c r="F919"/>
      <c r="G919"/>
      <c r="H919"/>
      <c r="I919"/>
      <c r="J919"/>
    </row>
    <row r="920" spans="1:10">
      <c r="A920"/>
      <c r="B920"/>
      <c r="C920"/>
      <c r="D920"/>
      <c r="E920"/>
      <c r="F920"/>
      <c r="G920"/>
      <c r="H920"/>
      <c r="I920"/>
      <c r="J920"/>
    </row>
    <row r="921" spans="1:10">
      <c r="A921"/>
      <c r="B921"/>
      <c r="C921"/>
      <c r="D921"/>
      <c r="E921"/>
      <c r="F921"/>
      <c r="G921"/>
      <c r="H921"/>
      <c r="I921"/>
      <c r="J921"/>
    </row>
    <row r="922" spans="1:10">
      <c r="A922"/>
      <c r="B922"/>
      <c r="C922"/>
      <c r="D922"/>
      <c r="E922"/>
      <c r="F922"/>
      <c r="G922"/>
      <c r="H922"/>
      <c r="I922"/>
      <c r="J922"/>
    </row>
    <row r="923" spans="1:10">
      <c r="A923"/>
      <c r="B923"/>
      <c r="C923"/>
      <c r="D923"/>
      <c r="E923"/>
      <c r="F923"/>
      <c r="G923"/>
      <c r="H923"/>
      <c r="I923"/>
      <c r="J923"/>
    </row>
    <row r="924" spans="1:10">
      <c r="A924"/>
      <c r="B924"/>
      <c r="C924"/>
      <c r="D924"/>
      <c r="E924"/>
      <c r="F924"/>
      <c r="G924"/>
      <c r="H924"/>
      <c r="I924"/>
      <c r="J924"/>
    </row>
    <row r="925" spans="1:10">
      <c r="A925"/>
      <c r="B925"/>
      <c r="C925"/>
      <c r="D925"/>
      <c r="E925"/>
      <c r="F925"/>
      <c r="G925"/>
      <c r="H925"/>
      <c r="I925"/>
      <c r="J925"/>
    </row>
  </sheetData>
  <mergeCells count="73">
    <mergeCell ref="H21:I21"/>
    <mergeCell ref="B5:D5"/>
    <mergeCell ref="B24:E24"/>
    <mergeCell ref="B9:E9"/>
    <mergeCell ref="B22:E22"/>
    <mergeCell ref="B12:E12"/>
    <mergeCell ref="B10:E10"/>
    <mergeCell ref="B23:E23"/>
    <mergeCell ref="B13:E13"/>
    <mergeCell ref="B14:E14"/>
    <mergeCell ref="B21:E21"/>
    <mergeCell ref="B20:D20"/>
    <mergeCell ref="B19:D19"/>
    <mergeCell ref="S66:X66"/>
    <mergeCell ref="M59:Q60"/>
    <mergeCell ref="M61:N61"/>
    <mergeCell ref="P61:Q61"/>
    <mergeCell ref="S59:X59"/>
    <mergeCell ref="S61:T64"/>
    <mergeCell ref="U61:U62"/>
    <mergeCell ref="V61:V62"/>
    <mergeCell ref="W61:W62"/>
    <mergeCell ref="X61:X62"/>
    <mergeCell ref="X67:X68"/>
    <mergeCell ref="W67:W68"/>
    <mergeCell ref="S74:T77"/>
    <mergeCell ref="U74:U75"/>
    <mergeCell ref="V74:V75"/>
    <mergeCell ref="W74:W75"/>
    <mergeCell ref="S79:X79"/>
    <mergeCell ref="S80:T83"/>
    <mergeCell ref="U80:U81"/>
    <mergeCell ref="V80:V81"/>
    <mergeCell ref="W80:W81"/>
    <mergeCell ref="X80:X81"/>
    <mergeCell ref="AB74:AB75"/>
    <mergeCell ref="Z59:AE59"/>
    <mergeCell ref="Z61:AA64"/>
    <mergeCell ref="AB61:AB62"/>
    <mergeCell ref="AC61:AC62"/>
    <mergeCell ref="AD61:AD62"/>
    <mergeCell ref="AE61:AE62"/>
    <mergeCell ref="Z66:AE66"/>
    <mergeCell ref="Z67:AA70"/>
    <mergeCell ref="AB67:AB68"/>
    <mergeCell ref="AC67:AC68"/>
    <mergeCell ref="AD67:AD68"/>
    <mergeCell ref="AE67:AE68"/>
    <mergeCell ref="AC74:AC75"/>
    <mergeCell ref="AD74:AD75"/>
    <mergeCell ref="AE74:AE75"/>
    <mergeCell ref="Z79:AE79"/>
    <mergeCell ref="Z80:AA83"/>
    <mergeCell ref="AB80:AB81"/>
    <mergeCell ref="AC80:AC81"/>
    <mergeCell ref="AD80:AD81"/>
    <mergeCell ref="AE80:AE81"/>
    <mergeCell ref="Z74:AA77"/>
    <mergeCell ref="H19:I19"/>
    <mergeCell ref="H20:I20"/>
    <mergeCell ref="H7:K7"/>
    <mergeCell ref="H17:I17"/>
    <mergeCell ref="H18:I18"/>
    <mergeCell ref="X74:X75"/>
    <mergeCell ref="S67:T70"/>
    <mergeCell ref="U67:U68"/>
    <mergeCell ref="V67:V68"/>
    <mergeCell ref="B7:F7"/>
    <mergeCell ref="B16:F16"/>
    <mergeCell ref="B2:K3"/>
    <mergeCell ref="H8:J8"/>
    <mergeCell ref="B11:E11"/>
    <mergeCell ref="B8:E8"/>
  </mergeCells>
  <phoneticPr fontId="0" type="noConversion"/>
  <conditionalFormatting sqref="N89:O90">
    <cfRule type="cellIs" dxfId="629" priority="1" stopIfTrue="1" operator="equal">
      <formula>"yes"</formula>
    </cfRule>
    <cfRule type="cellIs" dxfId="628" priority="2" stopIfTrue="1" operator="equal">
      <formula>"no"</formula>
    </cfRule>
  </conditionalFormatting>
  <conditionalFormatting sqref="G8">
    <cfRule type="cellIs" dxfId="627" priority="3" stopIfTrue="1" operator="equal">
      <formula>$G$8</formula>
    </cfRule>
  </conditionalFormatting>
  <conditionalFormatting sqref="F8">
    <cfRule type="cellIs" dxfId="626" priority="4" stopIfTrue="1" operator="greaterThan">
      <formula>31</formula>
    </cfRule>
  </conditionalFormatting>
  <conditionalFormatting sqref="F9">
    <cfRule type="cellIs" dxfId="625" priority="5" stopIfTrue="1" operator="greaterThan">
      <formula>31</formula>
    </cfRule>
  </conditionalFormatting>
  <conditionalFormatting sqref="G9">
    <cfRule type="cellIs" dxfId="624" priority="6" stopIfTrue="1" operator="equal">
      <formula>$G$9</formula>
    </cfRule>
  </conditionalFormatting>
  <pageMargins left="0" right="0" top="0.59055118110236227" bottom="0.39370078740157483" header="0.51181102362204722" footer="0.51181102362204722"/>
  <pageSetup paperSize="9" scale="93" fitToHeight="6" orientation="portrait" r:id="rId1"/>
  <headerFooter alignWithMargins="0"/>
  <ignoredErrors>
    <ignoredError sqref="F18 K9:K12" unlockedFormula="1"/>
  </ignoredErrors>
  <legacyDrawing r:id="rId2"/>
</worksheet>
</file>

<file path=xl/worksheets/sheet50.xml><?xml version="1.0" encoding="utf-8"?>
<worksheet xmlns="http://schemas.openxmlformats.org/spreadsheetml/2006/main" xmlns:r="http://schemas.openxmlformats.org/officeDocument/2006/relationships">
  <sheetPr codeName="Sheet28">
    <pageSetUpPr fitToPage="1"/>
  </sheetPr>
  <dimension ref="A1:O208"/>
  <sheetViews>
    <sheetView workbookViewId="0">
      <selection activeCell="B1" sqref="B1:L1"/>
    </sheetView>
  </sheetViews>
  <sheetFormatPr defaultRowHeight="12.75"/>
  <cols>
    <col min="1" max="1" width="3.85546875" customWidth="1"/>
    <col min="3" max="6" width="12.7109375" customWidth="1"/>
    <col min="7" max="7" width="2.42578125" customWidth="1"/>
    <col min="9" max="9" width="12.7109375" customWidth="1"/>
    <col min="10" max="10" width="2.7109375" customWidth="1"/>
    <col min="12" max="12" width="12.7109375" customWidth="1"/>
    <col min="13" max="13" width="2.7109375" customWidth="1"/>
  </cols>
  <sheetData>
    <row r="1" spans="1:15" ht="18">
      <c r="B1" s="1360" t="s">
        <v>79</v>
      </c>
      <c r="C1" s="1360"/>
      <c r="D1" s="1360"/>
      <c r="E1" s="1360"/>
      <c r="F1" s="1360"/>
      <c r="G1" s="1360"/>
      <c r="H1" s="1360"/>
      <c r="I1" s="1360"/>
      <c r="J1" s="1360"/>
      <c r="K1" s="1360"/>
      <c r="L1" s="1360"/>
    </row>
    <row r="2" spans="1:15" ht="38.25">
      <c r="B2" s="4" t="s">
        <v>576</v>
      </c>
      <c r="C2" s="2" t="s">
        <v>577</v>
      </c>
      <c r="D2" s="2" t="s">
        <v>578</v>
      </c>
      <c r="E2" s="2" t="s">
        <v>579</v>
      </c>
      <c r="F2" s="103"/>
      <c r="I2" s="2" t="s">
        <v>78</v>
      </c>
    </row>
    <row r="3" spans="1:15" ht="12.75" customHeight="1">
      <c r="A3" s="1"/>
      <c r="B3" s="3">
        <v>350</v>
      </c>
      <c r="C3" s="11">
        <v>12.1</v>
      </c>
      <c r="D3" s="11">
        <v>6.2</v>
      </c>
      <c r="E3" s="11">
        <v>12.1</v>
      </c>
      <c r="F3" s="104"/>
      <c r="G3" s="1"/>
      <c r="H3" s="1"/>
      <c r="I3" s="11">
        <v>12.1</v>
      </c>
    </row>
    <row r="4" spans="1:15" ht="12.75" customHeight="1">
      <c r="A4" s="1"/>
      <c r="B4" s="3">
        <v>450</v>
      </c>
      <c r="C4" s="11">
        <v>12.6</v>
      </c>
      <c r="D4" s="11">
        <v>6.9</v>
      </c>
      <c r="E4" s="11">
        <v>12.1</v>
      </c>
      <c r="F4" s="104"/>
      <c r="G4" s="1"/>
      <c r="H4" s="1"/>
      <c r="I4" s="11">
        <v>12.1</v>
      </c>
    </row>
    <row r="5" spans="1:15" ht="12.75" customHeight="1">
      <c r="A5" s="1"/>
      <c r="B5" s="3">
        <v>550</v>
      </c>
      <c r="C5" s="11">
        <v>13</v>
      </c>
      <c r="D5" s="11">
        <v>7.6</v>
      </c>
      <c r="E5" s="11">
        <v>12.1</v>
      </c>
      <c r="F5" s="104"/>
      <c r="G5" s="1"/>
      <c r="H5" s="1"/>
      <c r="I5" s="11">
        <v>12.1</v>
      </c>
    </row>
    <row r="6" spans="1:15" ht="12.75" customHeight="1">
      <c r="A6" s="1"/>
      <c r="B6" s="5"/>
      <c r="C6" s="5"/>
      <c r="D6" s="5"/>
      <c r="E6" s="5"/>
      <c r="F6" s="5"/>
      <c r="G6" s="1"/>
      <c r="H6" s="1"/>
    </row>
    <row r="7" spans="1:15" ht="38.25">
      <c r="B7" s="4" t="s">
        <v>576</v>
      </c>
      <c r="C7" s="2" t="s">
        <v>577</v>
      </c>
      <c r="D7" s="2" t="s">
        <v>578</v>
      </c>
      <c r="E7" s="2" t="s">
        <v>579</v>
      </c>
      <c r="F7" s="2" t="s">
        <v>78</v>
      </c>
      <c r="H7" s="4" t="s">
        <v>576</v>
      </c>
      <c r="I7" s="2" t="s">
        <v>578</v>
      </c>
      <c r="K7" s="4" t="s">
        <v>576</v>
      </c>
      <c r="L7" s="2" t="s">
        <v>579</v>
      </c>
      <c r="N7" s="4" t="s">
        <v>576</v>
      </c>
      <c r="O7" s="2" t="s">
        <v>585</v>
      </c>
    </row>
    <row r="8" spans="1:15">
      <c r="B8" s="6">
        <v>350</v>
      </c>
      <c r="C8" s="12">
        <f>+C3</f>
        <v>12.1</v>
      </c>
      <c r="D8" s="12">
        <f>+D3</f>
        <v>6.2</v>
      </c>
      <c r="E8" s="12">
        <f>+E3</f>
        <v>12.1</v>
      </c>
      <c r="F8" s="105"/>
      <c r="H8" s="6">
        <v>350</v>
      </c>
      <c r="I8" s="12">
        <f>+D8</f>
        <v>6.2</v>
      </c>
      <c r="K8" s="6">
        <v>350</v>
      </c>
      <c r="L8" s="12">
        <f>+E8</f>
        <v>12.1</v>
      </c>
      <c r="N8" s="6">
        <v>350</v>
      </c>
      <c r="O8" s="14">
        <v>0.107</v>
      </c>
    </row>
    <row r="9" spans="1:15" ht="12.75" customHeight="1">
      <c r="B9" s="8">
        <v>351</v>
      </c>
      <c r="C9" s="13">
        <f t="shared" ref="C9:C40" si="0">C8+(($C$108-$C$8)/100)</f>
        <v>12.105</v>
      </c>
      <c r="D9" s="13">
        <f t="shared" ref="D9:D40" si="1">D8+(($D$108-$D$8)/100)</f>
        <v>6.2069999999999999</v>
      </c>
      <c r="E9" s="13">
        <f t="shared" ref="E9:E40" si="2">E8+(($E$108-$E$8)/100)</f>
        <v>12.1</v>
      </c>
      <c r="F9" s="106"/>
      <c r="H9" s="8">
        <v>351</v>
      </c>
      <c r="I9" s="13">
        <f t="shared" ref="I9:I40" si="3">I8+(($D$108-$D$8)/100)</f>
        <v>6.2069999999999999</v>
      </c>
      <c r="K9" s="8">
        <v>351</v>
      </c>
      <c r="L9" s="13">
        <f t="shared" ref="L9:L40" si="4">L8+(($E$108-$E$8)/100)</f>
        <v>12.1</v>
      </c>
      <c r="N9" s="8">
        <v>351</v>
      </c>
      <c r="O9" s="14">
        <v>0.107</v>
      </c>
    </row>
    <row r="10" spans="1:15">
      <c r="B10" s="8">
        <v>352</v>
      </c>
      <c r="C10" s="13">
        <f t="shared" si="0"/>
        <v>12.110000000000001</v>
      </c>
      <c r="D10" s="13">
        <f t="shared" si="1"/>
        <v>6.2139999999999995</v>
      </c>
      <c r="E10" s="13">
        <f t="shared" si="2"/>
        <v>12.1</v>
      </c>
      <c r="F10" s="106"/>
      <c r="H10" s="8">
        <v>352</v>
      </c>
      <c r="I10" s="13">
        <f t="shared" si="3"/>
        <v>6.2139999999999995</v>
      </c>
      <c r="K10" s="8">
        <v>352</v>
      </c>
      <c r="L10" s="13">
        <f t="shared" si="4"/>
        <v>12.1</v>
      </c>
      <c r="N10" s="8">
        <v>352</v>
      </c>
      <c r="O10" s="14">
        <v>0.107</v>
      </c>
    </row>
    <row r="11" spans="1:15">
      <c r="B11" s="8">
        <v>353</v>
      </c>
      <c r="C11" s="13">
        <f t="shared" si="0"/>
        <v>12.115000000000002</v>
      </c>
      <c r="D11" s="13">
        <f t="shared" si="1"/>
        <v>6.2209999999999992</v>
      </c>
      <c r="E11" s="13">
        <f t="shared" si="2"/>
        <v>12.1</v>
      </c>
      <c r="F11" s="106"/>
      <c r="H11" s="8">
        <v>353</v>
      </c>
      <c r="I11" s="13">
        <f t="shared" si="3"/>
        <v>6.2209999999999992</v>
      </c>
      <c r="K11" s="8">
        <v>353</v>
      </c>
      <c r="L11" s="13">
        <f t="shared" si="4"/>
        <v>12.1</v>
      </c>
      <c r="N11" s="8">
        <v>353</v>
      </c>
      <c r="O11" s="14">
        <v>0.107</v>
      </c>
    </row>
    <row r="12" spans="1:15">
      <c r="B12" s="8">
        <v>354</v>
      </c>
      <c r="C12" s="13">
        <f t="shared" si="0"/>
        <v>12.120000000000003</v>
      </c>
      <c r="D12" s="13">
        <f t="shared" si="1"/>
        <v>6.2279999999999989</v>
      </c>
      <c r="E12" s="13">
        <f t="shared" si="2"/>
        <v>12.1</v>
      </c>
      <c r="F12" s="106"/>
      <c r="H12" s="8">
        <v>354</v>
      </c>
      <c r="I12" s="13">
        <f t="shared" si="3"/>
        <v>6.2279999999999989</v>
      </c>
      <c r="K12" s="8">
        <v>354</v>
      </c>
      <c r="L12" s="13">
        <f t="shared" si="4"/>
        <v>12.1</v>
      </c>
      <c r="N12" s="8">
        <v>354</v>
      </c>
      <c r="O12" s="14">
        <v>0.107</v>
      </c>
    </row>
    <row r="13" spans="1:15">
      <c r="B13" s="8">
        <v>355</v>
      </c>
      <c r="C13" s="13">
        <f t="shared" si="0"/>
        <v>12.125000000000004</v>
      </c>
      <c r="D13" s="13">
        <f t="shared" si="1"/>
        <v>6.2349999999999985</v>
      </c>
      <c r="E13" s="13">
        <f t="shared" si="2"/>
        <v>12.1</v>
      </c>
      <c r="F13" s="106"/>
      <c r="H13" s="8">
        <v>355</v>
      </c>
      <c r="I13" s="13">
        <f t="shared" si="3"/>
        <v>6.2349999999999985</v>
      </c>
      <c r="K13" s="8">
        <v>355</v>
      </c>
      <c r="L13" s="13">
        <f t="shared" si="4"/>
        <v>12.1</v>
      </c>
      <c r="N13" s="8">
        <v>355</v>
      </c>
      <c r="O13" s="14">
        <v>0.107</v>
      </c>
    </row>
    <row r="14" spans="1:15">
      <c r="B14" s="8">
        <v>356</v>
      </c>
      <c r="C14" s="13">
        <f t="shared" si="0"/>
        <v>12.130000000000004</v>
      </c>
      <c r="D14" s="13">
        <f t="shared" si="1"/>
        <v>6.2419999999999982</v>
      </c>
      <c r="E14" s="13">
        <f t="shared" si="2"/>
        <v>12.1</v>
      </c>
      <c r="F14" s="106"/>
      <c r="H14" s="8">
        <v>356</v>
      </c>
      <c r="I14" s="13">
        <f t="shared" si="3"/>
        <v>6.2419999999999982</v>
      </c>
      <c r="K14" s="8">
        <v>356</v>
      </c>
      <c r="L14" s="13">
        <f t="shared" si="4"/>
        <v>12.1</v>
      </c>
      <c r="N14" s="8">
        <v>356</v>
      </c>
      <c r="O14" s="14">
        <v>0.107</v>
      </c>
    </row>
    <row r="15" spans="1:15">
      <c r="B15" s="8">
        <v>357</v>
      </c>
      <c r="C15" s="13">
        <f t="shared" si="0"/>
        <v>12.135000000000005</v>
      </c>
      <c r="D15" s="13">
        <f t="shared" si="1"/>
        <v>6.2489999999999979</v>
      </c>
      <c r="E15" s="13">
        <f t="shared" si="2"/>
        <v>12.1</v>
      </c>
      <c r="F15" s="106"/>
      <c r="H15" s="8">
        <v>357</v>
      </c>
      <c r="I15" s="13">
        <f t="shared" si="3"/>
        <v>6.2489999999999979</v>
      </c>
      <c r="K15" s="8">
        <v>357</v>
      </c>
      <c r="L15" s="13">
        <f t="shared" si="4"/>
        <v>12.1</v>
      </c>
      <c r="N15" s="8">
        <v>357</v>
      </c>
      <c r="O15" s="14">
        <v>0.107</v>
      </c>
    </row>
    <row r="16" spans="1:15">
      <c r="B16" s="8">
        <v>358</v>
      </c>
      <c r="C16" s="13">
        <f t="shared" si="0"/>
        <v>12.140000000000006</v>
      </c>
      <c r="D16" s="13">
        <f t="shared" si="1"/>
        <v>6.2559999999999976</v>
      </c>
      <c r="E16" s="13">
        <f t="shared" si="2"/>
        <v>12.1</v>
      </c>
      <c r="F16" s="106"/>
      <c r="H16" s="8">
        <v>358</v>
      </c>
      <c r="I16" s="13">
        <f t="shared" si="3"/>
        <v>6.2559999999999976</v>
      </c>
      <c r="K16" s="8">
        <v>358</v>
      </c>
      <c r="L16" s="13">
        <f t="shared" si="4"/>
        <v>12.1</v>
      </c>
      <c r="N16" s="8">
        <v>358</v>
      </c>
      <c r="O16" s="14">
        <v>0.107</v>
      </c>
    </row>
    <row r="17" spans="2:15">
      <c r="B17" s="8">
        <v>359</v>
      </c>
      <c r="C17" s="13">
        <f t="shared" si="0"/>
        <v>12.145000000000007</v>
      </c>
      <c r="D17" s="13">
        <f t="shared" si="1"/>
        <v>6.2629999999999972</v>
      </c>
      <c r="E17" s="13">
        <f t="shared" si="2"/>
        <v>12.1</v>
      </c>
      <c r="F17" s="106"/>
      <c r="H17" s="8">
        <v>359</v>
      </c>
      <c r="I17" s="13">
        <f t="shared" si="3"/>
        <v>6.2629999999999972</v>
      </c>
      <c r="K17" s="8">
        <v>359</v>
      </c>
      <c r="L17" s="13">
        <f t="shared" si="4"/>
        <v>12.1</v>
      </c>
      <c r="N17" s="8">
        <v>359</v>
      </c>
      <c r="O17" s="14">
        <v>0.107</v>
      </c>
    </row>
    <row r="18" spans="2:15">
      <c r="B18" s="8">
        <v>360</v>
      </c>
      <c r="C18" s="13">
        <f t="shared" si="0"/>
        <v>12.150000000000007</v>
      </c>
      <c r="D18" s="13">
        <f t="shared" si="1"/>
        <v>6.2699999999999969</v>
      </c>
      <c r="E18" s="13">
        <f t="shared" si="2"/>
        <v>12.1</v>
      </c>
      <c r="F18" s="106"/>
      <c r="H18" s="8">
        <v>360</v>
      </c>
      <c r="I18" s="13">
        <f t="shared" si="3"/>
        <v>6.2699999999999969</v>
      </c>
      <c r="K18" s="8">
        <v>360</v>
      </c>
      <c r="L18" s="13">
        <f t="shared" si="4"/>
        <v>12.1</v>
      </c>
      <c r="N18" s="8">
        <v>360</v>
      </c>
      <c r="O18" s="14">
        <v>0.107</v>
      </c>
    </row>
    <row r="19" spans="2:15">
      <c r="B19" s="8">
        <v>361</v>
      </c>
      <c r="C19" s="13">
        <f t="shared" si="0"/>
        <v>12.155000000000008</v>
      </c>
      <c r="D19" s="13">
        <f t="shared" si="1"/>
        <v>6.2769999999999966</v>
      </c>
      <c r="E19" s="13">
        <f t="shared" si="2"/>
        <v>12.1</v>
      </c>
      <c r="F19" s="106"/>
      <c r="H19" s="8">
        <v>361</v>
      </c>
      <c r="I19" s="13">
        <f t="shared" si="3"/>
        <v>6.2769999999999966</v>
      </c>
      <c r="K19" s="8">
        <v>361</v>
      </c>
      <c r="L19" s="13">
        <f t="shared" si="4"/>
        <v>12.1</v>
      </c>
      <c r="N19" s="8">
        <v>361</v>
      </c>
      <c r="O19" s="14">
        <v>0.107</v>
      </c>
    </row>
    <row r="20" spans="2:15">
      <c r="B20" s="8">
        <v>362</v>
      </c>
      <c r="C20" s="13">
        <f t="shared" si="0"/>
        <v>12.160000000000009</v>
      </c>
      <c r="D20" s="13">
        <f t="shared" si="1"/>
        <v>6.2839999999999963</v>
      </c>
      <c r="E20" s="13">
        <f t="shared" si="2"/>
        <v>12.1</v>
      </c>
      <c r="F20" s="106"/>
      <c r="H20" s="8">
        <v>362</v>
      </c>
      <c r="I20" s="13">
        <f t="shared" si="3"/>
        <v>6.2839999999999963</v>
      </c>
      <c r="K20" s="8">
        <v>362</v>
      </c>
      <c r="L20" s="13">
        <f t="shared" si="4"/>
        <v>12.1</v>
      </c>
      <c r="N20" s="8">
        <v>362</v>
      </c>
      <c r="O20" s="14">
        <v>0.107</v>
      </c>
    </row>
    <row r="21" spans="2:15">
      <c r="B21" s="8">
        <v>363</v>
      </c>
      <c r="C21" s="13">
        <f t="shared" si="0"/>
        <v>12.16500000000001</v>
      </c>
      <c r="D21" s="13">
        <f t="shared" si="1"/>
        <v>6.2909999999999959</v>
      </c>
      <c r="E21" s="13">
        <f t="shared" si="2"/>
        <v>12.1</v>
      </c>
      <c r="F21" s="106"/>
      <c r="H21" s="8">
        <v>363</v>
      </c>
      <c r="I21" s="13">
        <f t="shared" si="3"/>
        <v>6.2909999999999959</v>
      </c>
      <c r="K21" s="8">
        <v>363</v>
      </c>
      <c r="L21" s="13">
        <f t="shared" si="4"/>
        <v>12.1</v>
      </c>
      <c r="N21" s="8">
        <v>363</v>
      </c>
      <c r="O21" s="14">
        <v>0.107</v>
      </c>
    </row>
    <row r="22" spans="2:15">
      <c r="B22" s="8">
        <v>364</v>
      </c>
      <c r="C22" s="13">
        <f t="shared" si="0"/>
        <v>12.170000000000011</v>
      </c>
      <c r="D22" s="13">
        <f t="shared" si="1"/>
        <v>6.2979999999999956</v>
      </c>
      <c r="E22" s="13">
        <f t="shared" si="2"/>
        <v>12.1</v>
      </c>
      <c r="F22" s="106"/>
      <c r="H22" s="8">
        <v>364</v>
      </c>
      <c r="I22" s="13">
        <f t="shared" si="3"/>
        <v>6.2979999999999956</v>
      </c>
      <c r="K22" s="8">
        <v>364</v>
      </c>
      <c r="L22" s="13">
        <f t="shared" si="4"/>
        <v>12.1</v>
      </c>
      <c r="N22" s="8">
        <v>364</v>
      </c>
      <c r="O22" s="14">
        <v>0.107</v>
      </c>
    </row>
    <row r="23" spans="2:15">
      <c r="B23" s="8">
        <v>365</v>
      </c>
      <c r="C23" s="13">
        <f t="shared" si="0"/>
        <v>12.175000000000011</v>
      </c>
      <c r="D23" s="13">
        <f t="shared" si="1"/>
        <v>6.3049999999999953</v>
      </c>
      <c r="E23" s="13">
        <f t="shared" si="2"/>
        <v>12.1</v>
      </c>
      <c r="F23" s="106"/>
      <c r="H23" s="8">
        <v>365</v>
      </c>
      <c r="I23" s="13">
        <f t="shared" si="3"/>
        <v>6.3049999999999953</v>
      </c>
      <c r="K23" s="8">
        <v>365</v>
      </c>
      <c r="L23" s="13">
        <f t="shared" si="4"/>
        <v>12.1</v>
      </c>
      <c r="N23" s="8">
        <v>365</v>
      </c>
      <c r="O23" s="14">
        <v>0.107</v>
      </c>
    </row>
    <row r="24" spans="2:15">
      <c r="B24" s="8">
        <v>366</v>
      </c>
      <c r="C24" s="13">
        <f t="shared" si="0"/>
        <v>12.180000000000012</v>
      </c>
      <c r="D24" s="13">
        <f t="shared" si="1"/>
        <v>6.3119999999999949</v>
      </c>
      <c r="E24" s="13">
        <f t="shared" si="2"/>
        <v>12.1</v>
      </c>
      <c r="F24" s="106"/>
      <c r="H24" s="8">
        <v>366</v>
      </c>
      <c r="I24" s="13">
        <f t="shared" si="3"/>
        <v>6.3119999999999949</v>
      </c>
      <c r="K24" s="8">
        <v>366</v>
      </c>
      <c r="L24" s="13">
        <f t="shared" si="4"/>
        <v>12.1</v>
      </c>
      <c r="N24" s="8">
        <v>366</v>
      </c>
      <c r="O24" s="14">
        <v>0.107</v>
      </c>
    </row>
    <row r="25" spans="2:15">
      <c r="B25" s="8">
        <v>367</v>
      </c>
      <c r="C25" s="13">
        <f t="shared" si="0"/>
        <v>12.185000000000013</v>
      </c>
      <c r="D25" s="13">
        <f t="shared" si="1"/>
        <v>6.3189999999999946</v>
      </c>
      <c r="E25" s="13">
        <f t="shared" si="2"/>
        <v>12.1</v>
      </c>
      <c r="F25" s="106"/>
      <c r="H25" s="8">
        <v>367</v>
      </c>
      <c r="I25" s="13">
        <f t="shared" si="3"/>
        <v>6.3189999999999946</v>
      </c>
      <c r="K25" s="8">
        <v>367</v>
      </c>
      <c r="L25" s="13">
        <f t="shared" si="4"/>
        <v>12.1</v>
      </c>
      <c r="N25" s="8">
        <v>367</v>
      </c>
      <c r="O25" s="14">
        <v>0.107</v>
      </c>
    </row>
    <row r="26" spans="2:15">
      <c r="B26" s="8">
        <v>368</v>
      </c>
      <c r="C26" s="13">
        <f t="shared" si="0"/>
        <v>12.190000000000014</v>
      </c>
      <c r="D26" s="13">
        <f t="shared" si="1"/>
        <v>6.3259999999999943</v>
      </c>
      <c r="E26" s="13">
        <f t="shared" si="2"/>
        <v>12.1</v>
      </c>
      <c r="F26" s="106"/>
      <c r="H26" s="8">
        <v>368</v>
      </c>
      <c r="I26" s="13">
        <f t="shared" si="3"/>
        <v>6.3259999999999943</v>
      </c>
      <c r="K26" s="8">
        <v>368</v>
      </c>
      <c r="L26" s="13">
        <f t="shared" si="4"/>
        <v>12.1</v>
      </c>
      <c r="N26" s="8">
        <v>368</v>
      </c>
      <c r="O26" s="14">
        <v>0.107</v>
      </c>
    </row>
    <row r="27" spans="2:15">
      <c r="B27" s="8">
        <v>369</v>
      </c>
      <c r="C27" s="13">
        <f t="shared" si="0"/>
        <v>12.195000000000014</v>
      </c>
      <c r="D27" s="13">
        <f t="shared" si="1"/>
        <v>6.332999999999994</v>
      </c>
      <c r="E27" s="13">
        <f t="shared" si="2"/>
        <v>12.1</v>
      </c>
      <c r="F27" s="106"/>
      <c r="H27" s="8">
        <v>369</v>
      </c>
      <c r="I27" s="13">
        <f t="shared" si="3"/>
        <v>6.332999999999994</v>
      </c>
      <c r="K27" s="8">
        <v>369</v>
      </c>
      <c r="L27" s="13">
        <f t="shared" si="4"/>
        <v>12.1</v>
      </c>
      <c r="N27" s="8">
        <v>369</v>
      </c>
      <c r="O27" s="14">
        <v>0.107</v>
      </c>
    </row>
    <row r="28" spans="2:15">
      <c r="B28" s="8">
        <v>370</v>
      </c>
      <c r="C28" s="13">
        <f t="shared" si="0"/>
        <v>12.200000000000015</v>
      </c>
      <c r="D28" s="13">
        <f t="shared" si="1"/>
        <v>6.3399999999999936</v>
      </c>
      <c r="E28" s="13">
        <f t="shared" si="2"/>
        <v>12.1</v>
      </c>
      <c r="F28" s="106"/>
      <c r="H28" s="8">
        <v>370</v>
      </c>
      <c r="I28" s="13">
        <f t="shared" si="3"/>
        <v>6.3399999999999936</v>
      </c>
      <c r="K28" s="8">
        <v>370</v>
      </c>
      <c r="L28" s="13">
        <f t="shared" si="4"/>
        <v>12.1</v>
      </c>
      <c r="N28" s="8">
        <v>370</v>
      </c>
      <c r="O28" s="14">
        <v>0.107</v>
      </c>
    </row>
    <row r="29" spans="2:15">
      <c r="B29" s="8">
        <v>371</v>
      </c>
      <c r="C29" s="13">
        <f t="shared" si="0"/>
        <v>12.205000000000016</v>
      </c>
      <c r="D29" s="13">
        <f t="shared" si="1"/>
        <v>6.3469999999999933</v>
      </c>
      <c r="E29" s="13">
        <f t="shared" si="2"/>
        <v>12.1</v>
      </c>
      <c r="F29" s="106"/>
      <c r="H29" s="8">
        <v>371</v>
      </c>
      <c r="I29" s="13">
        <f t="shared" si="3"/>
        <v>6.3469999999999933</v>
      </c>
      <c r="K29" s="8">
        <v>371</v>
      </c>
      <c r="L29" s="13">
        <f t="shared" si="4"/>
        <v>12.1</v>
      </c>
      <c r="N29" s="8">
        <v>371</v>
      </c>
      <c r="O29" s="14">
        <v>0.107</v>
      </c>
    </row>
    <row r="30" spans="2:15">
      <c r="B30" s="8">
        <v>372</v>
      </c>
      <c r="C30" s="13">
        <f t="shared" si="0"/>
        <v>12.210000000000017</v>
      </c>
      <c r="D30" s="13">
        <f t="shared" si="1"/>
        <v>6.353999999999993</v>
      </c>
      <c r="E30" s="13">
        <f t="shared" si="2"/>
        <v>12.1</v>
      </c>
      <c r="F30" s="106"/>
      <c r="H30" s="8">
        <v>372</v>
      </c>
      <c r="I30" s="13">
        <f t="shared" si="3"/>
        <v>6.353999999999993</v>
      </c>
      <c r="K30" s="8">
        <v>372</v>
      </c>
      <c r="L30" s="13">
        <f t="shared" si="4"/>
        <v>12.1</v>
      </c>
      <c r="N30" s="8">
        <v>372</v>
      </c>
      <c r="O30" s="14">
        <v>0.107</v>
      </c>
    </row>
    <row r="31" spans="2:15">
      <c r="B31" s="8">
        <v>373</v>
      </c>
      <c r="C31" s="13">
        <f t="shared" si="0"/>
        <v>12.215000000000018</v>
      </c>
      <c r="D31" s="13">
        <f t="shared" si="1"/>
        <v>6.3609999999999927</v>
      </c>
      <c r="E31" s="13">
        <f t="shared" si="2"/>
        <v>12.1</v>
      </c>
      <c r="F31" s="106"/>
      <c r="H31" s="8">
        <v>373</v>
      </c>
      <c r="I31" s="13">
        <f t="shared" si="3"/>
        <v>6.3609999999999927</v>
      </c>
      <c r="K31" s="8">
        <v>373</v>
      </c>
      <c r="L31" s="13">
        <f t="shared" si="4"/>
        <v>12.1</v>
      </c>
      <c r="N31" s="8">
        <v>373</v>
      </c>
      <c r="O31" s="14">
        <v>0.107</v>
      </c>
    </row>
    <row r="32" spans="2:15">
      <c r="B32" s="8">
        <v>374</v>
      </c>
      <c r="C32" s="13">
        <f t="shared" si="0"/>
        <v>12.220000000000018</v>
      </c>
      <c r="D32" s="13">
        <f t="shared" si="1"/>
        <v>6.3679999999999923</v>
      </c>
      <c r="E32" s="13">
        <f t="shared" si="2"/>
        <v>12.1</v>
      </c>
      <c r="F32" s="106"/>
      <c r="H32" s="8">
        <v>374</v>
      </c>
      <c r="I32" s="13">
        <f t="shared" si="3"/>
        <v>6.3679999999999923</v>
      </c>
      <c r="K32" s="8">
        <v>374</v>
      </c>
      <c r="L32" s="13">
        <f t="shared" si="4"/>
        <v>12.1</v>
      </c>
      <c r="N32" s="8">
        <v>374</v>
      </c>
      <c r="O32" s="14">
        <v>0.107</v>
      </c>
    </row>
    <row r="33" spans="2:15">
      <c r="B33" s="8">
        <v>375</v>
      </c>
      <c r="C33" s="13">
        <f t="shared" si="0"/>
        <v>12.225000000000019</v>
      </c>
      <c r="D33" s="13">
        <f t="shared" si="1"/>
        <v>6.374999999999992</v>
      </c>
      <c r="E33" s="13">
        <f t="shared" si="2"/>
        <v>12.1</v>
      </c>
      <c r="F33" s="106"/>
      <c r="H33" s="8">
        <v>375</v>
      </c>
      <c r="I33" s="13">
        <f t="shared" si="3"/>
        <v>6.374999999999992</v>
      </c>
      <c r="K33" s="8">
        <v>375</v>
      </c>
      <c r="L33" s="13">
        <f t="shared" si="4"/>
        <v>12.1</v>
      </c>
      <c r="N33" s="8">
        <v>375</v>
      </c>
      <c r="O33" s="14">
        <v>0.107</v>
      </c>
    </row>
    <row r="34" spans="2:15">
      <c r="B34" s="8">
        <v>376</v>
      </c>
      <c r="C34" s="13">
        <f t="shared" si="0"/>
        <v>12.23000000000002</v>
      </c>
      <c r="D34" s="13">
        <f t="shared" si="1"/>
        <v>6.3819999999999917</v>
      </c>
      <c r="E34" s="13">
        <f t="shared" si="2"/>
        <v>12.1</v>
      </c>
      <c r="F34" s="106"/>
      <c r="H34" s="8">
        <v>376</v>
      </c>
      <c r="I34" s="13">
        <f t="shared" si="3"/>
        <v>6.3819999999999917</v>
      </c>
      <c r="K34" s="8">
        <v>376</v>
      </c>
      <c r="L34" s="13">
        <f t="shared" si="4"/>
        <v>12.1</v>
      </c>
      <c r="N34" s="8">
        <v>376</v>
      </c>
      <c r="O34" s="14">
        <v>0.107</v>
      </c>
    </row>
    <row r="35" spans="2:15">
      <c r="B35" s="8">
        <v>377</v>
      </c>
      <c r="C35" s="13">
        <f t="shared" si="0"/>
        <v>12.235000000000021</v>
      </c>
      <c r="D35" s="13">
        <f t="shared" si="1"/>
        <v>6.3889999999999914</v>
      </c>
      <c r="E35" s="13">
        <f t="shared" si="2"/>
        <v>12.1</v>
      </c>
      <c r="F35" s="106"/>
      <c r="H35" s="8">
        <v>377</v>
      </c>
      <c r="I35" s="13">
        <f t="shared" si="3"/>
        <v>6.3889999999999914</v>
      </c>
      <c r="K35" s="8">
        <v>377</v>
      </c>
      <c r="L35" s="13">
        <f t="shared" si="4"/>
        <v>12.1</v>
      </c>
      <c r="N35" s="8">
        <v>377</v>
      </c>
      <c r="O35" s="14">
        <v>0.107</v>
      </c>
    </row>
    <row r="36" spans="2:15">
      <c r="B36" s="8">
        <v>378</v>
      </c>
      <c r="C36" s="13">
        <f t="shared" si="0"/>
        <v>12.240000000000022</v>
      </c>
      <c r="D36" s="13">
        <f t="shared" si="1"/>
        <v>6.395999999999991</v>
      </c>
      <c r="E36" s="13">
        <f t="shared" si="2"/>
        <v>12.1</v>
      </c>
      <c r="F36" s="106"/>
      <c r="H36" s="8">
        <v>378</v>
      </c>
      <c r="I36" s="13">
        <f t="shared" si="3"/>
        <v>6.395999999999991</v>
      </c>
      <c r="K36" s="8">
        <v>378</v>
      </c>
      <c r="L36" s="13">
        <f t="shared" si="4"/>
        <v>12.1</v>
      </c>
      <c r="N36" s="8">
        <v>378</v>
      </c>
      <c r="O36" s="14">
        <v>0.107</v>
      </c>
    </row>
    <row r="37" spans="2:15">
      <c r="B37" s="8">
        <v>379</v>
      </c>
      <c r="C37" s="13">
        <f t="shared" si="0"/>
        <v>12.245000000000022</v>
      </c>
      <c r="D37" s="13">
        <f t="shared" si="1"/>
        <v>6.4029999999999907</v>
      </c>
      <c r="E37" s="13">
        <f t="shared" si="2"/>
        <v>12.1</v>
      </c>
      <c r="F37" s="106"/>
      <c r="H37" s="8">
        <v>379</v>
      </c>
      <c r="I37" s="13">
        <f t="shared" si="3"/>
        <v>6.4029999999999907</v>
      </c>
      <c r="K37" s="8">
        <v>379</v>
      </c>
      <c r="L37" s="13">
        <f t="shared" si="4"/>
        <v>12.1</v>
      </c>
      <c r="N37" s="8">
        <v>379</v>
      </c>
      <c r="O37" s="14">
        <v>0.107</v>
      </c>
    </row>
    <row r="38" spans="2:15">
      <c r="B38" s="8">
        <v>380</v>
      </c>
      <c r="C38" s="13">
        <f t="shared" si="0"/>
        <v>12.250000000000023</v>
      </c>
      <c r="D38" s="13">
        <f t="shared" si="1"/>
        <v>6.4099999999999904</v>
      </c>
      <c r="E38" s="13">
        <f t="shared" si="2"/>
        <v>12.1</v>
      </c>
      <c r="F38" s="106"/>
      <c r="H38" s="8">
        <v>380</v>
      </c>
      <c r="I38" s="13">
        <f t="shared" si="3"/>
        <v>6.4099999999999904</v>
      </c>
      <c r="K38" s="8">
        <v>380</v>
      </c>
      <c r="L38" s="13">
        <f t="shared" si="4"/>
        <v>12.1</v>
      </c>
      <c r="N38" s="8">
        <v>380</v>
      </c>
      <c r="O38" s="14">
        <v>0.107</v>
      </c>
    </row>
    <row r="39" spans="2:15">
      <c r="B39" s="8">
        <v>381</v>
      </c>
      <c r="C39" s="13">
        <f t="shared" si="0"/>
        <v>12.255000000000024</v>
      </c>
      <c r="D39" s="13">
        <f t="shared" si="1"/>
        <v>6.41699999999999</v>
      </c>
      <c r="E39" s="13">
        <f t="shared" si="2"/>
        <v>12.1</v>
      </c>
      <c r="F39" s="106"/>
      <c r="H39" s="8">
        <v>381</v>
      </c>
      <c r="I39" s="13">
        <f t="shared" si="3"/>
        <v>6.41699999999999</v>
      </c>
      <c r="K39" s="8">
        <v>381</v>
      </c>
      <c r="L39" s="13">
        <f t="shared" si="4"/>
        <v>12.1</v>
      </c>
      <c r="N39" s="8">
        <v>381</v>
      </c>
      <c r="O39" s="14">
        <v>0.107</v>
      </c>
    </row>
    <row r="40" spans="2:15">
      <c r="B40" s="8">
        <v>382</v>
      </c>
      <c r="C40" s="13">
        <f t="shared" si="0"/>
        <v>12.260000000000025</v>
      </c>
      <c r="D40" s="13">
        <f t="shared" si="1"/>
        <v>6.4239999999999897</v>
      </c>
      <c r="E40" s="13">
        <f t="shared" si="2"/>
        <v>12.1</v>
      </c>
      <c r="F40" s="106"/>
      <c r="H40" s="8">
        <v>382</v>
      </c>
      <c r="I40" s="13">
        <f t="shared" si="3"/>
        <v>6.4239999999999897</v>
      </c>
      <c r="K40" s="8">
        <v>382</v>
      </c>
      <c r="L40" s="13">
        <f t="shared" si="4"/>
        <v>12.1</v>
      </c>
      <c r="N40" s="8">
        <v>382</v>
      </c>
      <c r="O40" s="14">
        <v>0.107</v>
      </c>
    </row>
    <row r="41" spans="2:15">
      <c r="B41" s="8">
        <v>383</v>
      </c>
      <c r="C41" s="13">
        <f t="shared" ref="C41:C72" si="5">C40+(($C$108-$C$8)/100)</f>
        <v>12.265000000000025</v>
      </c>
      <c r="D41" s="13">
        <f t="shared" ref="D41:D72" si="6">D40+(($D$108-$D$8)/100)</f>
        <v>6.4309999999999894</v>
      </c>
      <c r="E41" s="13">
        <f t="shared" ref="E41:E72" si="7">E40+(($E$108-$E$8)/100)</f>
        <v>12.1</v>
      </c>
      <c r="F41" s="106"/>
      <c r="H41" s="8">
        <v>383</v>
      </c>
      <c r="I41" s="13">
        <f t="shared" ref="I41:I72" si="8">I40+(($D$108-$D$8)/100)</f>
        <v>6.4309999999999894</v>
      </c>
      <c r="K41" s="8">
        <v>383</v>
      </c>
      <c r="L41" s="13">
        <f t="shared" ref="L41:L72" si="9">L40+(($E$108-$E$8)/100)</f>
        <v>12.1</v>
      </c>
      <c r="N41" s="8">
        <v>383</v>
      </c>
      <c r="O41" s="14">
        <v>0.107</v>
      </c>
    </row>
    <row r="42" spans="2:15">
      <c r="B42" s="8">
        <v>384</v>
      </c>
      <c r="C42" s="13">
        <f t="shared" si="5"/>
        <v>12.270000000000026</v>
      </c>
      <c r="D42" s="13">
        <f t="shared" si="6"/>
        <v>6.4379999999999891</v>
      </c>
      <c r="E42" s="13">
        <f t="shared" si="7"/>
        <v>12.1</v>
      </c>
      <c r="F42" s="106"/>
      <c r="H42" s="8">
        <v>384</v>
      </c>
      <c r="I42" s="13">
        <f t="shared" si="8"/>
        <v>6.4379999999999891</v>
      </c>
      <c r="K42" s="8">
        <v>384</v>
      </c>
      <c r="L42" s="13">
        <f t="shared" si="9"/>
        <v>12.1</v>
      </c>
      <c r="N42" s="8">
        <v>384</v>
      </c>
      <c r="O42" s="14">
        <v>0.107</v>
      </c>
    </row>
    <row r="43" spans="2:15">
      <c r="B43" s="8">
        <v>385</v>
      </c>
      <c r="C43" s="13">
        <f t="shared" si="5"/>
        <v>12.275000000000027</v>
      </c>
      <c r="D43" s="13">
        <f t="shared" si="6"/>
        <v>6.4449999999999887</v>
      </c>
      <c r="E43" s="13">
        <f t="shared" si="7"/>
        <v>12.1</v>
      </c>
      <c r="F43" s="106"/>
      <c r="H43" s="8">
        <v>385</v>
      </c>
      <c r="I43" s="13">
        <f t="shared" si="8"/>
        <v>6.4449999999999887</v>
      </c>
      <c r="K43" s="8">
        <v>385</v>
      </c>
      <c r="L43" s="13">
        <f t="shared" si="9"/>
        <v>12.1</v>
      </c>
      <c r="N43" s="8">
        <v>385</v>
      </c>
      <c r="O43" s="14">
        <v>0.107</v>
      </c>
    </row>
    <row r="44" spans="2:15">
      <c r="B44" s="8">
        <v>386</v>
      </c>
      <c r="C44" s="13">
        <f t="shared" si="5"/>
        <v>12.280000000000028</v>
      </c>
      <c r="D44" s="13">
        <f t="shared" si="6"/>
        <v>6.4519999999999884</v>
      </c>
      <c r="E44" s="13">
        <f t="shared" si="7"/>
        <v>12.1</v>
      </c>
      <c r="F44" s="106"/>
      <c r="H44" s="8">
        <v>386</v>
      </c>
      <c r="I44" s="13">
        <f t="shared" si="8"/>
        <v>6.4519999999999884</v>
      </c>
      <c r="K44" s="8">
        <v>386</v>
      </c>
      <c r="L44" s="13">
        <f t="shared" si="9"/>
        <v>12.1</v>
      </c>
      <c r="N44" s="8">
        <v>386</v>
      </c>
      <c r="O44" s="14">
        <v>0.107</v>
      </c>
    </row>
    <row r="45" spans="2:15">
      <c r="B45" s="8">
        <v>387</v>
      </c>
      <c r="C45" s="13">
        <f t="shared" si="5"/>
        <v>12.285000000000029</v>
      </c>
      <c r="D45" s="13">
        <f t="shared" si="6"/>
        <v>6.4589999999999881</v>
      </c>
      <c r="E45" s="13">
        <f t="shared" si="7"/>
        <v>12.1</v>
      </c>
      <c r="F45" s="106"/>
      <c r="H45" s="8">
        <v>387</v>
      </c>
      <c r="I45" s="13">
        <f t="shared" si="8"/>
        <v>6.4589999999999881</v>
      </c>
      <c r="K45" s="8">
        <v>387</v>
      </c>
      <c r="L45" s="13">
        <f t="shared" si="9"/>
        <v>12.1</v>
      </c>
      <c r="N45" s="8">
        <v>387</v>
      </c>
      <c r="O45" s="14">
        <v>0.107</v>
      </c>
    </row>
    <row r="46" spans="2:15">
      <c r="B46" s="8">
        <v>388</v>
      </c>
      <c r="C46" s="13">
        <f t="shared" si="5"/>
        <v>12.290000000000029</v>
      </c>
      <c r="D46" s="13">
        <f t="shared" si="6"/>
        <v>6.4659999999999878</v>
      </c>
      <c r="E46" s="13">
        <f t="shared" si="7"/>
        <v>12.1</v>
      </c>
      <c r="F46" s="106"/>
      <c r="H46" s="8">
        <v>388</v>
      </c>
      <c r="I46" s="13">
        <f t="shared" si="8"/>
        <v>6.4659999999999878</v>
      </c>
      <c r="K46" s="8">
        <v>388</v>
      </c>
      <c r="L46" s="13">
        <f t="shared" si="9"/>
        <v>12.1</v>
      </c>
      <c r="N46" s="8">
        <v>388</v>
      </c>
      <c r="O46" s="14">
        <v>0.107</v>
      </c>
    </row>
    <row r="47" spans="2:15">
      <c r="B47" s="8">
        <v>389</v>
      </c>
      <c r="C47" s="13">
        <f t="shared" si="5"/>
        <v>12.29500000000003</v>
      </c>
      <c r="D47" s="13">
        <f t="shared" si="6"/>
        <v>6.4729999999999874</v>
      </c>
      <c r="E47" s="13">
        <f t="shared" si="7"/>
        <v>12.1</v>
      </c>
      <c r="F47" s="106"/>
      <c r="H47" s="8">
        <v>389</v>
      </c>
      <c r="I47" s="13">
        <f t="shared" si="8"/>
        <v>6.4729999999999874</v>
      </c>
      <c r="K47" s="8">
        <v>389</v>
      </c>
      <c r="L47" s="13">
        <f t="shared" si="9"/>
        <v>12.1</v>
      </c>
      <c r="N47" s="8">
        <v>389</v>
      </c>
      <c r="O47" s="14">
        <v>0.107</v>
      </c>
    </row>
    <row r="48" spans="2:15">
      <c r="B48" s="8">
        <v>390</v>
      </c>
      <c r="C48" s="13">
        <f t="shared" si="5"/>
        <v>12.300000000000031</v>
      </c>
      <c r="D48" s="13">
        <f t="shared" si="6"/>
        <v>6.4799999999999871</v>
      </c>
      <c r="E48" s="13">
        <f t="shared" si="7"/>
        <v>12.1</v>
      </c>
      <c r="F48" s="106"/>
      <c r="H48" s="8">
        <v>390</v>
      </c>
      <c r="I48" s="13">
        <f t="shared" si="8"/>
        <v>6.4799999999999871</v>
      </c>
      <c r="K48" s="8">
        <v>390</v>
      </c>
      <c r="L48" s="13">
        <f t="shared" si="9"/>
        <v>12.1</v>
      </c>
      <c r="N48" s="8">
        <v>390</v>
      </c>
      <c r="O48" s="14">
        <v>0.107</v>
      </c>
    </row>
    <row r="49" spans="2:15">
      <c r="B49" s="8">
        <v>391</v>
      </c>
      <c r="C49" s="13">
        <f t="shared" si="5"/>
        <v>12.305000000000032</v>
      </c>
      <c r="D49" s="13">
        <f t="shared" si="6"/>
        <v>6.4869999999999868</v>
      </c>
      <c r="E49" s="13">
        <f t="shared" si="7"/>
        <v>12.1</v>
      </c>
      <c r="F49" s="106"/>
      <c r="H49" s="8">
        <v>391</v>
      </c>
      <c r="I49" s="13">
        <f t="shared" si="8"/>
        <v>6.4869999999999868</v>
      </c>
      <c r="K49" s="8">
        <v>391</v>
      </c>
      <c r="L49" s="13">
        <f t="shared" si="9"/>
        <v>12.1</v>
      </c>
      <c r="N49" s="8">
        <v>391</v>
      </c>
      <c r="O49" s="14">
        <v>0.107</v>
      </c>
    </row>
    <row r="50" spans="2:15">
      <c r="B50" s="8">
        <v>392</v>
      </c>
      <c r="C50" s="13">
        <f t="shared" si="5"/>
        <v>12.310000000000032</v>
      </c>
      <c r="D50" s="13">
        <f t="shared" si="6"/>
        <v>6.4939999999999864</v>
      </c>
      <c r="E50" s="13">
        <f t="shared" si="7"/>
        <v>12.1</v>
      </c>
      <c r="F50" s="106"/>
      <c r="H50" s="8">
        <v>392</v>
      </c>
      <c r="I50" s="13">
        <f t="shared" si="8"/>
        <v>6.4939999999999864</v>
      </c>
      <c r="K50" s="8">
        <v>392</v>
      </c>
      <c r="L50" s="13">
        <f t="shared" si="9"/>
        <v>12.1</v>
      </c>
      <c r="N50" s="8">
        <v>392</v>
      </c>
      <c r="O50" s="14">
        <v>0.107</v>
      </c>
    </row>
    <row r="51" spans="2:15">
      <c r="B51" s="8">
        <v>393</v>
      </c>
      <c r="C51" s="13">
        <f t="shared" si="5"/>
        <v>12.315000000000033</v>
      </c>
      <c r="D51" s="13">
        <f t="shared" si="6"/>
        <v>6.5009999999999861</v>
      </c>
      <c r="E51" s="13">
        <f t="shared" si="7"/>
        <v>12.1</v>
      </c>
      <c r="F51" s="106"/>
      <c r="H51" s="8">
        <v>393</v>
      </c>
      <c r="I51" s="13">
        <f t="shared" si="8"/>
        <v>6.5009999999999861</v>
      </c>
      <c r="K51" s="8">
        <v>393</v>
      </c>
      <c r="L51" s="13">
        <f t="shared" si="9"/>
        <v>12.1</v>
      </c>
      <c r="N51" s="8">
        <v>393</v>
      </c>
      <c r="O51" s="14">
        <v>0.107</v>
      </c>
    </row>
    <row r="52" spans="2:15">
      <c r="B52" s="8">
        <v>394</v>
      </c>
      <c r="C52" s="13">
        <f t="shared" si="5"/>
        <v>12.320000000000034</v>
      </c>
      <c r="D52" s="13">
        <f t="shared" si="6"/>
        <v>6.5079999999999858</v>
      </c>
      <c r="E52" s="13">
        <f t="shared" si="7"/>
        <v>12.1</v>
      </c>
      <c r="F52" s="106"/>
      <c r="H52" s="8">
        <v>394</v>
      </c>
      <c r="I52" s="13">
        <f t="shared" si="8"/>
        <v>6.5079999999999858</v>
      </c>
      <c r="K52" s="8">
        <v>394</v>
      </c>
      <c r="L52" s="13">
        <f t="shared" si="9"/>
        <v>12.1</v>
      </c>
      <c r="N52" s="8">
        <v>394</v>
      </c>
      <c r="O52" s="14">
        <v>0.107</v>
      </c>
    </row>
    <row r="53" spans="2:15">
      <c r="B53" s="8">
        <v>395</v>
      </c>
      <c r="C53" s="13">
        <f t="shared" si="5"/>
        <v>12.325000000000035</v>
      </c>
      <c r="D53" s="13">
        <f t="shared" si="6"/>
        <v>6.5149999999999855</v>
      </c>
      <c r="E53" s="13">
        <f t="shared" si="7"/>
        <v>12.1</v>
      </c>
      <c r="F53" s="106"/>
      <c r="H53" s="8">
        <v>395</v>
      </c>
      <c r="I53" s="13">
        <f t="shared" si="8"/>
        <v>6.5149999999999855</v>
      </c>
      <c r="K53" s="8">
        <v>395</v>
      </c>
      <c r="L53" s="13">
        <f t="shared" si="9"/>
        <v>12.1</v>
      </c>
      <c r="N53" s="8">
        <v>395</v>
      </c>
      <c r="O53" s="14">
        <v>0.107</v>
      </c>
    </row>
    <row r="54" spans="2:15">
      <c r="B54" s="8">
        <v>396</v>
      </c>
      <c r="C54" s="13">
        <f t="shared" si="5"/>
        <v>12.330000000000036</v>
      </c>
      <c r="D54" s="13">
        <f t="shared" si="6"/>
        <v>6.5219999999999851</v>
      </c>
      <c r="E54" s="13">
        <f t="shared" si="7"/>
        <v>12.1</v>
      </c>
      <c r="F54" s="106"/>
      <c r="H54" s="8">
        <v>396</v>
      </c>
      <c r="I54" s="13">
        <f t="shared" si="8"/>
        <v>6.5219999999999851</v>
      </c>
      <c r="K54" s="8">
        <v>396</v>
      </c>
      <c r="L54" s="13">
        <f t="shared" si="9"/>
        <v>12.1</v>
      </c>
      <c r="N54" s="8">
        <v>396</v>
      </c>
      <c r="O54" s="14">
        <v>0.107</v>
      </c>
    </row>
    <row r="55" spans="2:15">
      <c r="B55" s="8">
        <v>397</v>
      </c>
      <c r="C55" s="13">
        <f t="shared" si="5"/>
        <v>12.335000000000036</v>
      </c>
      <c r="D55" s="13">
        <f t="shared" si="6"/>
        <v>6.5289999999999848</v>
      </c>
      <c r="E55" s="13">
        <f t="shared" si="7"/>
        <v>12.1</v>
      </c>
      <c r="F55" s="106"/>
      <c r="H55" s="8">
        <v>397</v>
      </c>
      <c r="I55" s="13">
        <f t="shared" si="8"/>
        <v>6.5289999999999848</v>
      </c>
      <c r="K55" s="8">
        <v>397</v>
      </c>
      <c r="L55" s="13">
        <f t="shared" si="9"/>
        <v>12.1</v>
      </c>
      <c r="N55" s="8">
        <v>397</v>
      </c>
      <c r="O55" s="14">
        <v>0.107</v>
      </c>
    </row>
    <row r="56" spans="2:15">
      <c r="B56" s="8">
        <v>398</v>
      </c>
      <c r="C56" s="13">
        <f t="shared" si="5"/>
        <v>12.340000000000037</v>
      </c>
      <c r="D56" s="13">
        <f t="shared" si="6"/>
        <v>6.5359999999999845</v>
      </c>
      <c r="E56" s="13">
        <f t="shared" si="7"/>
        <v>12.1</v>
      </c>
      <c r="F56" s="106"/>
      <c r="H56" s="8">
        <v>398</v>
      </c>
      <c r="I56" s="13">
        <f t="shared" si="8"/>
        <v>6.5359999999999845</v>
      </c>
      <c r="K56" s="8">
        <v>398</v>
      </c>
      <c r="L56" s="13">
        <f t="shared" si="9"/>
        <v>12.1</v>
      </c>
      <c r="N56" s="8">
        <v>398</v>
      </c>
      <c r="O56" s="14">
        <v>0.107</v>
      </c>
    </row>
    <row r="57" spans="2:15">
      <c r="B57" s="8">
        <v>399</v>
      </c>
      <c r="C57" s="13">
        <f t="shared" si="5"/>
        <v>12.345000000000038</v>
      </c>
      <c r="D57" s="13">
        <f t="shared" si="6"/>
        <v>6.5429999999999842</v>
      </c>
      <c r="E57" s="13">
        <f t="shared" si="7"/>
        <v>12.1</v>
      </c>
      <c r="F57" s="106"/>
      <c r="H57" s="8">
        <v>399</v>
      </c>
      <c r="I57" s="13">
        <f t="shared" si="8"/>
        <v>6.5429999999999842</v>
      </c>
      <c r="K57" s="8">
        <v>399</v>
      </c>
      <c r="L57" s="13">
        <f t="shared" si="9"/>
        <v>12.1</v>
      </c>
      <c r="N57" s="8">
        <v>399</v>
      </c>
      <c r="O57" s="14">
        <v>0.107</v>
      </c>
    </row>
    <row r="58" spans="2:15">
      <c r="B58" s="8">
        <v>400</v>
      </c>
      <c r="C58" s="13">
        <f t="shared" si="5"/>
        <v>12.350000000000039</v>
      </c>
      <c r="D58" s="13">
        <f t="shared" si="6"/>
        <v>6.5499999999999838</v>
      </c>
      <c r="E58" s="13">
        <f t="shared" si="7"/>
        <v>12.1</v>
      </c>
      <c r="F58" s="106"/>
      <c r="H58" s="8">
        <v>400</v>
      </c>
      <c r="I58" s="13">
        <f t="shared" si="8"/>
        <v>6.5499999999999838</v>
      </c>
      <c r="K58" s="8">
        <v>400</v>
      </c>
      <c r="L58" s="13">
        <f t="shared" si="9"/>
        <v>12.1</v>
      </c>
      <c r="N58" s="8">
        <v>400</v>
      </c>
      <c r="O58" s="14">
        <v>0.107</v>
      </c>
    </row>
    <row r="59" spans="2:15">
      <c r="B59" s="8">
        <v>401</v>
      </c>
      <c r="C59" s="13">
        <f t="shared" si="5"/>
        <v>12.35500000000004</v>
      </c>
      <c r="D59" s="13">
        <f t="shared" si="6"/>
        <v>6.5569999999999835</v>
      </c>
      <c r="E59" s="13">
        <f t="shared" si="7"/>
        <v>12.1</v>
      </c>
      <c r="F59" s="106"/>
      <c r="H59" s="8">
        <v>401</v>
      </c>
      <c r="I59" s="13">
        <f t="shared" si="8"/>
        <v>6.5569999999999835</v>
      </c>
      <c r="K59" s="8">
        <v>401</v>
      </c>
      <c r="L59" s="13">
        <f t="shared" si="9"/>
        <v>12.1</v>
      </c>
      <c r="N59" s="8">
        <v>401</v>
      </c>
      <c r="O59" s="14">
        <v>0.107</v>
      </c>
    </row>
    <row r="60" spans="2:15">
      <c r="B60" s="8">
        <v>402</v>
      </c>
      <c r="C60" s="13">
        <f t="shared" si="5"/>
        <v>12.36000000000004</v>
      </c>
      <c r="D60" s="13">
        <f t="shared" si="6"/>
        <v>6.5639999999999832</v>
      </c>
      <c r="E60" s="13">
        <f t="shared" si="7"/>
        <v>12.1</v>
      </c>
      <c r="F60" s="106"/>
      <c r="H60" s="8">
        <v>402</v>
      </c>
      <c r="I60" s="13">
        <f t="shared" si="8"/>
        <v>6.5639999999999832</v>
      </c>
      <c r="K60" s="8">
        <v>402</v>
      </c>
      <c r="L60" s="13">
        <f t="shared" si="9"/>
        <v>12.1</v>
      </c>
      <c r="N60" s="8">
        <v>402</v>
      </c>
      <c r="O60" s="14">
        <v>0.107</v>
      </c>
    </row>
    <row r="61" spans="2:15">
      <c r="B61" s="8">
        <v>403</v>
      </c>
      <c r="C61" s="13">
        <f t="shared" si="5"/>
        <v>12.365000000000041</v>
      </c>
      <c r="D61" s="13">
        <f t="shared" si="6"/>
        <v>6.5709999999999829</v>
      </c>
      <c r="E61" s="13">
        <f t="shared" si="7"/>
        <v>12.1</v>
      </c>
      <c r="F61" s="106"/>
      <c r="H61" s="8">
        <v>403</v>
      </c>
      <c r="I61" s="13">
        <f t="shared" si="8"/>
        <v>6.5709999999999829</v>
      </c>
      <c r="K61" s="8">
        <v>403</v>
      </c>
      <c r="L61" s="13">
        <f t="shared" si="9"/>
        <v>12.1</v>
      </c>
      <c r="N61" s="8">
        <v>403</v>
      </c>
      <c r="O61" s="14">
        <v>0.107</v>
      </c>
    </row>
    <row r="62" spans="2:15">
      <c r="B62" s="8">
        <v>404</v>
      </c>
      <c r="C62" s="13">
        <f t="shared" si="5"/>
        <v>12.370000000000042</v>
      </c>
      <c r="D62" s="13">
        <f t="shared" si="6"/>
        <v>6.5779999999999825</v>
      </c>
      <c r="E62" s="13">
        <f t="shared" si="7"/>
        <v>12.1</v>
      </c>
      <c r="F62" s="106"/>
      <c r="H62" s="8">
        <v>404</v>
      </c>
      <c r="I62" s="13">
        <f t="shared" si="8"/>
        <v>6.5779999999999825</v>
      </c>
      <c r="K62" s="8">
        <v>404</v>
      </c>
      <c r="L62" s="13">
        <f t="shared" si="9"/>
        <v>12.1</v>
      </c>
      <c r="N62" s="8">
        <v>404</v>
      </c>
      <c r="O62" s="14">
        <v>0.107</v>
      </c>
    </row>
    <row r="63" spans="2:15">
      <c r="B63" s="8">
        <v>405</v>
      </c>
      <c r="C63" s="13">
        <f t="shared" si="5"/>
        <v>12.375000000000043</v>
      </c>
      <c r="D63" s="13">
        <f t="shared" si="6"/>
        <v>6.5849999999999822</v>
      </c>
      <c r="E63" s="13">
        <f t="shared" si="7"/>
        <v>12.1</v>
      </c>
      <c r="F63" s="106"/>
      <c r="H63" s="8">
        <v>405</v>
      </c>
      <c r="I63" s="13">
        <f t="shared" si="8"/>
        <v>6.5849999999999822</v>
      </c>
      <c r="K63" s="8">
        <v>405</v>
      </c>
      <c r="L63" s="13">
        <f t="shared" si="9"/>
        <v>12.1</v>
      </c>
      <c r="N63" s="8">
        <v>405</v>
      </c>
      <c r="O63" s="14">
        <v>0.107</v>
      </c>
    </row>
    <row r="64" spans="2:15">
      <c r="B64" s="8">
        <v>406</v>
      </c>
      <c r="C64" s="13">
        <f t="shared" si="5"/>
        <v>12.380000000000043</v>
      </c>
      <c r="D64" s="13">
        <f t="shared" si="6"/>
        <v>6.5919999999999819</v>
      </c>
      <c r="E64" s="13">
        <f t="shared" si="7"/>
        <v>12.1</v>
      </c>
      <c r="F64" s="106"/>
      <c r="H64" s="8">
        <v>406</v>
      </c>
      <c r="I64" s="13">
        <f t="shared" si="8"/>
        <v>6.5919999999999819</v>
      </c>
      <c r="K64" s="8">
        <v>406</v>
      </c>
      <c r="L64" s="13">
        <f t="shared" si="9"/>
        <v>12.1</v>
      </c>
      <c r="N64" s="8">
        <v>406</v>
      </c>
      <c r="O64" s="14">
        <v>0.107</v>
      </c>
    </row>
    <row r="65" spans="2:15">
      <c r="B65" s="8">
        <v>407</v>
      </c>
      <c r="C65" s="13">
        <f t="shared" si="5"/>
        <v>12.385000000000044</v>
      </c>
      <c r="D65" s="13">
        <f t="shared" si="6"/>
        <v>6.5989999999999815</v>
      </c>
      <c r="E65" s="13">
        <f t="shared" si="7"/>
        <v>12.1</v>
      </c>
      <c r="F65" s="106"/>
      <c r="H65" s="8">
        <v>407</v>
      </c>
      <c r="I65" s="13">
        <f t="shared" si="8"/>
        <v>6.5989999999999815</v>
      </c>
      <c r="K65" s="8">
        <v>407</v>
      </c>
      <c r="L65" s="13">
        <f t="shared" si="9"/>
        <v>12.1</v>
      </c>
      <c r="N65" s="8">
        <v>407</v>
      </c>
      <c r="O65" s="14">
        <v>0.107</v>
      </c>
    </row>
    <row r="66" spans="2:15">
      <c r="B66" s="8">
        <v>408</v>
      </c>
      <c r="C66" s="13">
        <f t="shared" si="5"/>
        <v>12.390000000000045</v>
      </c>
      <c r="D66" s="13">
        <f t="shared" si="6"/>
        <v>6.6059999999999812</v>
      </c>
      <c r="E66" s="13">
        <f t="shared" si="7"/>
        <v>12.1</v>
      </c>
      <c r="F66" s="106"/>
      <c r="H66" s="8">
        <v>408</v>
      </c>
      <c r="I66" s="13">
        <f t="shared" si="8"/>
        <v>6.6059999999999812</v>
      </c>
      <c r="K66" s="8">
        <v>408</v>
      </c>
      <c r="L66" s="13">
        <f t="shared" si="9"/>
        <v>12.1</v>
      </c>
      <c r="N66" s="8">
        <v>408</v>
      </c>
      <c r="O66" s="14">
        <v>0.107</v>
      </c>
    </row>
    <row r="67" spans="2:15">
      <c r="B67" s="8">
        <v>409</v>
      </c>
      <c r="C67" s="13">
        <f t="shared" si="5"/>
        <v>12.395000000000046</v>
      </c>
      <c r="D67" s="13">
        <f t="shared" si="6"/>
        <v>6.6129999999999809</v>
      </c>
      <c r="E67" s="13">
        <f t="shared" si="7"/>
        <v>12.1</v>
      </c>
      <c r="F67" s="106"/>
      <c r="H67" s="8">
        <v>409</v>
      </c>
      <c r="I67" s="13">
        <f t="shared" si="8"/>
        <v>6.6129999999999809</v>
      </c>
      <c r="K67" s="8">
        <v>409</v>
      </c>
      <c r="L67" s="13">
        <f t="shared" si="9"/>
        <v>12.1</v>
      </c>
      <c r="N67" s="8">
        <v>409</v>
      </c>
      <c r="O67" s="14">
        <v>0.107</v>
      </c>
    </row>
    <row r="68" spans="2:15">
      <c r="B68" s="8">
        <v>410</v>
      </c>
      <c r="C68" s="13">
        <f t="shared" si="5"/>
        <v>12.400000000000047</v>
      </c>
      <c r="D68" s="13">
        <f t="shared" si="6"/>
        <v>6.6199999999999806</v>
      </c>
      <c r="E68" s="13">
        <f t="shared" si="7"/>
        <v>12.1</v>
      </c>
      <c r="F68" s="106"/>
      <c r="H68" s="8">
        <v>410</v>
      </c>
      <c r="I68" s="13">
        <f t="shared" si="8"/>
        <v>6.6199999999999806</v>
      </c>
      <c r="K68" s="8">
        <v>410</v>
      </c>
      <c r="L68" s="13">
        <f t="shared" si="9"/>
        <v>12.1</v>
      </c>
      <c r="N68" s="8">
        <v>410</v>
      </c>
      <c r="O68" s="14">
        <v>0.107</v>
      </c>
    </row>
    <row r="69" spans="2:15">
      <c r="B69" s="8">
        <v>411</v>
      </c>
      <c r="C69" s="13">
        <f t="shared" si="5"/>
        <v>12.405000000000047</v>
      </c>
      <c r="D69" s="13">
        <f t="shared" si="6"/>
        <v>6.6269999999999802</v>
      </c>
      <c r="E69" s="13">
        <f t="shared" si="7"/>
        <v>12.1</v>
      </c>
      <c r="F69" s="106"/>
      <c r="H69" s="8">
        <v>411</v>
      </c>
      <c r="I69" s="13">
        <f t="shared" si="8"/>
        <v>6.6269999999999802</v>
      </c>
      <c r="K69" s="8">
        <v>411</v>
      </c>
      <c r="L69" s="13">
        <f t="shared" si="9"/>
        <v>12.1</v>
      </c>
      <c r="N69" s="8">
        <v>411</v>
      </c>
      <c r="O69" s="14">
        <v>0.107</v>
      </c>
    </row>
    <row r="70" spans="2:15">
      <c r="B70" s="8">
        <v>412</v>
      </c>
      <c r="C70" s="13">
        <f t="shared" si="5"/>
        <v>12.410000000000048</v>
      </c>
      <c r="D70" s="13">
        <f t="shared" si="6"/>
        <v>6.6339999999999799</v>
      </c>
      <c r="E70" s="13">
        <f t="shared" si="7"/>
        <v>12.1</v>
      </c>
      <c r="F70" s="106"/>
      <c r="H70" s="8">
        <v>412</v>
      </c>
      <c r="I70" s="13">
        <f t="shared" si="8"/>
        <v>6.6339999999999799</v>
      </c>
      <c r="K70" s="8">
        <v>412</v>
      </c>
      <c r="L70" s="13">
        <f t="shared" si="9"/>
        <v>12.1</v>
      </c>
      <c r="N70" s="8">
        <v>412</v>
      </c>
      <c r="O70" s="14">
        <v>0.107</v>
      </c>
    </row>
    <row r="71" spans="2:15">
      <c r="B71" s="8">
        <v>413</v>
      </c>
      <c r="C71" s="13">
        <f t="shared" si="5"/>
        <v>12.415000000000049</v>
      </c>
      <c r="D71" s="13">
        <f t="shared" si="6"/>
        <v>6.6409999999999796</v>
      </c>
      <c r="E71" s="13">
        <f t="shared" si="7"/>
        <v>12.1</v>
      </c>
      <c r="F71" s="106"/>
      <c r="H71" s="8">
        <v>413</v>
      </c>
      <c r="I71" s="13">
        <f t="shared" si="8"/>
        <v>6.6409999999999796</v>
      </c>
      <c r="K71" s="8">
        <v>413</v>
      </c>
      <c r="L71" s="13">
        <f t="shared" si="9"/>
        <v>12.1</v>
      </c>
      <c r="N71" s="8">
        <v>413</v>
      </c>
      <c r="O71" s="14">
        <v>0.107</v>
      </c>
    </row>
    <row r="72" spans="2:15">
      <c r="B72" s="8">
        <v>414</v>
      </c>
      <c r="C72" s="13">
        <f t="shared" si="5"/>
        <v>12.42000000000005</v>
      </c>
      <c r="D72" s="13">
        <f t="shared" si="6"/>
        <v>6.6479999999999793</v>
      </c>
      <c r="E72" s="13">
        <f t="shared" si="7"/>
        <v>12.1</v>
      </c>
      <c r="F72" s="106"/>
      <c r="H72" s="8">
        <v>414</v>
      </c>
      <c r="I72" s="13">
        <f t="shared" si="8"/>
        <v>6.6479999999999793</v>
      </c>
      <c r="K72" s="8">
        <v>414</v>
      </c>
      <c r="L72" s="13">
        <f t="shared" si="9"/>
        <v>12.1</v>
      </c>
      <c r="N72" s="8">
        <v>414</v>
      </c>
      <c r="O72" s="14">
        <v>0.107</v>
      </c>
    </row>
    <row r="73" spans="2:15">
      <c r="B73" s="8">
        <v>415</v>
      </c>
      <c r="C73" s="13">
        <f t="shared" ref="C73:C107" si="10">C72+(($C$108-$C$8)/100)</f>
        <v>12.42500000000005</v>
      </c>
      <c r="D73" s="13">
        <f t="shared" ref="D73:D107" si="11">D72+(($D$108-$D$8)/100)</f>
        <v>6.6549999999999789</v>
      </c>
      <c r="E73" s="13">
        <f t="shared" ref="E73:E107" si="12">E72+(($E$108-$E$8)/100)</f>
        <v>12.1</v>
      </c>
      <c r="F73" s="106"/>
      <c r="H73" s="8">
        <v>415</v>
      </c>
      <c r="I73" s="13">
        <f t="shared" ref="I73:I107" si="13">I72+(($D$108-$D$8)/100)</f>
        <v>6.6549999999999789</v>
      </c>
      <c r="K73" s="8">
        <v>415</v>
      </c>
      <c r="L73" s="13">
        <f t="shared" ref="L73:L107" si="14">L72+(($E$108-$E$8)/100)</f>
        <v>12.1</v>
      </c>
      <c r="N73" s="8">
        <v>415</v>
      </c>
      <c r="O73" s="14">
        <v>0.107</v>
      </c>
    </row>
    <row r="74" spans="2:15">
      <c r="B74" s="8">
        <v>416</v>
      </c>
      <c r="C74" s="13">
        <f t="shared" si="10"/>
        <v>12.430000000000051</v>
      </c>
      <c r="D74" s="13">
        <f t="shared" si="11"/>
        <v>6.6619999999999786</v>
      </c>
      <c r="E74" s="13">
        <f t="shared" si="12"/>
        <v>12.1</v>
      </c>
      <c r="F74" s="106"/>
      <c r="H74" s="8">
        <v>416</v>
      </c>
      <c r="I74" s="13">
        <f t="shared" si="13"/>
        <v>6.6619999999999786</v>
      </c>
      <c r="K74" s="8">
        <v>416</v>
      </c>
      <c r="L74" s="13">
        <f t="shared" si="14"/>
        <v>12.1</v>
      </c>
      <c r="N74" s="8">
        <v>416</v>
      </c>
      <c r="O74" s="14">
        <v>0.107</v>
      </c>
    </row>
    <row r="75" spans="2:15">
      <c r="B75" s="8">
        <v>417</v>
      </c>
      <c r="C75" s="13">
        <f t="shared" si="10"/>
        <v>12.435000000000052</v>
      </c>
      <c r="D75" s="13">
        <f t="shared" si="11"/>
        <v>6.6689999999999783</v>
      </c>
      <c r="E75" s="13">
        <f t="shared" si="12"/>
        <v>12.1</v>
      </c>
      <c r="F75" s="106"/>
      <c r="H75" s="8">
        <v>417</v>
      </c>
      <c r="I75" s="13">
        <f t="shared" si="13"/>
        <v>6.6689999999999783</v>
      </c>
      <c r="K75" s="8">
        <v>417</v>
      </c>
      <c r="L75" s="13">
        <f t="shared" si="14"/>
        <v>12.1</v>
      </c>
      <c r="N75" s="8">
        <v>417</v>
      </c>
      <c r="O75" s="14">
        <v>0.107</v>
      </c>
    </row>
    <row r="76" spans="2:15">
      <c r="B76" s="8">
        <v>418</v>
      </c>
      <c r="C76" s="13">
        <f t="shared" si="10"/>
        <v>12.440000000000053</v>
      </c>
      <c r="D76" s="13">
        <f t="shared" si="11"/>
        <v>6.675999999999978</v>
      </c>
      <c r="E76" s="13">
        <f t="shared" si="12"/>
        <v>12.1</v>
      </c>
      <c r="F76" s="106"/>
      <c r="H76" s="8">
        <v>418</v>
      </c>
      <c r="I76" s="13">
        <f t="shared" si="13"/>
        <v>6.675999999999978</v>
      </c>
      <c r="K76" s="8">
        <v>418</v>
      </c>
      <c r="L76" s="13">
        <f t="shared" si="14"/>
        <v>12.1</v>
      </c>
      <c r="N76" s="8">
        <v>418</v>
      </c>
      <c r="O76" s="14">
        <v>0.107</v>
      </c>
    </row>
    <row r="77" spans="2:15">
      <c r="B77" s="8">
        <v>419</v>
      </c>
      <c r="C77" s="13">
        <f t="shared" si="10"/>
        <v>12.445000000000054</v>
      </c>
      <c r="D77" s="13">
        <f t="shared" si="11"/>
        <v>6.6829999999999776</v>
      </c>
      <c r="E77" s="13">
        <f t="shared" si="12"/>
        <v>12.1</v>
      </c>
      <c r="F77" s="106"/>
      <c r="H77" s="8">
        <v>419</v>
      </c>
      <c r="I77" s="13">
        <f t="shared" si="13"/>
        <v>6.6829999999999776</v>
      </c>
      <c r="K77" s="8">
        <v>419</v>
      </c>
      <c r="L77" s="13">
        <f t="shared" si="14"/>
        <v>12.1</v>
      </c>
      <c r="N77" s="8">
        <v>419</v>
      </c>
      <c r="O77" s="14">
        <v>0.107</v>
      </c>
    </row>
    <row r="78" spans="2:15">
      <c r="B78" s="8">
        <v>420</v>
      </c>
      <c r="C78" s="13">
        <f t="shared" si="10"/>
        <v>12.450000000000054</v>
      </c>
      <c r="D78" s="13">
        <f t="shared" si="11"/>
        <v>6.6899999999999773</v>
      </c>
      <c r="E78" s="13">
        <f t="shared" si="12"/>
        <v>12.1</v>
      </c>
      <c r="F78" s="106"/>
      <c r="H78" s="8">
        <v>420</v>
      </c>
      <c r="I78" s="13">
        <f t="shared" si="13"/>
        <v>6.6899999999999773</v>
      </c>
      <c r="K78" s="8">
        <v>420</v>
      </c>
      <c r="L78" s="13">
        <f t="shared" si="14"/>
        <v>12.1</v>
      </c>
      <c r="N78" s="8">
        <v>420</v>
      </c>
      <c r="O78" s="14">
        <v>0.107</v>
      </c>
    </row>
    <row r="79" spans="2:15">
      <c r="B79" s="8">
        <v>421</v>
      </c>
      <c r="C79" s="13">
        <f t="shared" si="10"/>
        <v>12.455000000000055</v>
      </c>
      <c r="D79" s="13">
        <f t="shared" si="11"/>
        <v>6.696999999999977</v>
      </c>
      <c r="E79" s="13">
        <f t="shared" si="12"/>
        <v>12.1</v>
      </c>
      <c r="F79" s="106"/>
      <c r="H79" s="8">
        <v>421</v>
      </c>
      <c r="I79" s="13">
        <f t="shared" si="13"/>
        <v>6.696999999999977</v>
      </c>
      <c r="K79" s="8">
        <v>421</v>
      </c>
      <c r="L79" s="13">
        <f t="shared" si="14"/>
        <v>12.1</v>
      </c>
      <c r="N79" s="8">
        <v>421</v>
      </c>
      <c r="O79" s="14">
        <v>0.107</v>
      </c>
    </row>
    <row r="80" spans="2:15">
      <c r="B80" s="8">
        <v>422</v>
      </c>
      <c r="C80" s="13">
        <f t="shared" si="10"/>
        <v>12.460000000000056</v>
      </c>
      <c r="D80" s="13">
        <f t="shared" si="11"/>
        <v>6.7039999999999766</v>
      </c>
      <c r="E80" s="13">
        <f t="shared" si="12"/>
        <v>12.1</v>
      </c>
      <c r="F80" s="106"/>
      <c r="H80" s="8">
        <v>422</v>
      </c>
      <c r="I80" s="13">
        <f t="shared" si="13"/>
        <v>6.7039999999999766</v>
      </c>
      <c r="K80" s="8">
        <v>422</v>
      </c>
      <c r="L80" s="13">
        <f t="shared" si="14"/>
        <v>12.1</v>
      </c>
      <c r="N80" s="8">
        <v>422</v>
      </c>
      <c r="O80" s="14">
        <v>0.107</v>
      </c>
    </row>
    <row r="81" spans="2:15">
      <c r="B81" s="8">
        <v>423</v>
      </c>
      <c r="C81" s="13">
        <f t="shared" si="10"/>
        <v>12.465000000000057</v>
      </c>
      <c r="D81" s="13">
        <f t="shared" si="11"/>
        <v>6.7109999999999763</v>
      </c>
      <c r="E81" s="13">
        <f t="shared" si="12"/>
        <v>12.1</v>
      </c>
      <c r="F81" s="106"/>
      <c r="H81" s="8">
        <v>423</v>
      </c>
      <c r="I81" s="13">
        <f t="shared" si="13"/>
        <v>6.7109999999999763</v>
      </c>
      <c r="K81" s="8">
        <v>423</v>
      </c>
      <c r="L81" s="13">
        <f t="shared" si="14"/>
        <v>12.1</v>
      </c>
      <c r="N81" s="8">
        <v>423</v>
      </c>
      <c r="O81" s="14">
        <v>0.107</v>
      </c>
    </row>
    <row r="82" spans="2:15">
      <c r="B82" s="8">
        <v>424</v>
      </c>
      <c r="C82" s="13">
        <f t="shared" si="10"/>
        <v>12.470000000000057</v>
      </c>
      <c r="D82" s="13">
        <f t="shared" si="11"/>
        <v>6.717999999999976</v>
      </c>
      <c r="E82" s="13">
        <f t="shared" si="12"/>
        <v>12.1</v>
      </c>
      <c r="F82" s="106"/>
      <c r="H82" s="8">
        <v>424</v>
      </c>
      <c r="I82" s="13">
        <f t="shared" si="13"/>
        <v>6.717999999999976</v>
      </c>
      <c r="K82" s="8">
        <v>424</v>
      </c>
      <c r="L82" s="13">
        <f t="shared" si="14"/>
        <v>12.1</v>
      </c>
      <c r="N82" s="8">
        <v>424</v>
      </c>
      <c r="O82" s="14">
        <v>0.107</v>
      </c>
    </row>
    <row r="83" spans="2:15">
      <c r="B83" s="8">
        <v>425</v>
      </c>
      <c r="C83" s="13">
        <f t="shared" si="10"/>
        <v>12.475000000000058</v>
      </c>
      <c r="D83" s="13">
        <f t="shared" si="11"/>
        <v>6.7249999999999757</v>
      </c>
      <c r="E83" s="13">
        <f t="shared" si="12"/>
        <v>12.1</v>
      </c>
      <c r="F83" s="106"/>
      <c r="H83" s="8">
        <v>425</v>
      </c>
      <c r="I83" s="13">
        <f t="shared" si="13"/>
        <v>6.7249999999999757</v>
      </c>
      <c r="K83" s="8">
        <v>425</v>
      </c>
      <c r="L83" s="13">
        <f t="shared" si="14"/>
        <v>12.1</v>
      </c>
      <c r="N83" s="8">
        <v>425</v>
      </c>
      <c r="O83" s="14">
        <v>0.107</v>
      </c>
    </row>
    <row r="84" spans="2:15">
      <c r="B84" s="8">
        <v>426</v>
      </c>
      <c r="C84" s="13">
        <f t="shared" si="10"/>
        <v>12.480000000000059</v>
      </c>
      <c r="D84" s="13">
        <f t="shared" si="11"/>
        <v>6.7319999999999753</v>
      </c>
      <c r="E84" s="13">
        <f t="shared" si="12"/>
        <v>12.1</v>
      </c>
      <c r="F84" s="106"/>
      <c r="H84" s="8">
        <v>426</v>
      </c>
      <c r="I84" s="13">
        <f t="shared" si="13"/>
        <v>6.7319999999999753</v>
      </c>
      <c r="K84" s="8">
        <v>426</v>
      </c>
      <c r="L84" s="13">
        <f t="shared" si="14"/>
        <v>12.1</v>
      </c>
      <c r="N84" s="8">
        <v>426</v>
      </c>
      <c r="O84" s="14">
        <v>0.107</v>
      </c>
    </row>
    <row r="85" spans="2:15">
      <c r="B85" s="8">
        <v>427</v>
      </c>
      <c r="C85" s="13">
        <f t="shared" si="10"/>
        <v>12.48500000000006</v>
      </c>
      <c r="D85" s="13">
        <f t="shared" si="11"/>
        <v>6.738999999999975</v>
      </c>
      <c r="E85" s="13">
        <f t="shared" si="12"/>
        <v>12.1</v>
      </c>
      <c r="F85" s="106"/>
      <c r="H85" s="8">
        <v>427</v>
      </c>
      <c r="I85" s="13">
        <f t="shared" si="13"/>
        <v>6.738999999999975</v>
      </c>
      <c r="K85" s="8">
        <v>427</v>
      </c>
      <c r="L85" s="13">
        <f t="shared" si="14"/>
        <v>12.1</v>
      </c>
      <c r="N85" s="8">
        <v>427</v>
      </c>
      <c r="O85" s="14">
        <v>0.107</v>
      </c>
    </row>
    <row r="86" spans="2:15">
      <c r="B86" s="8">
        <v>428</v>
      </c>
      <c r="C86" s="13">
        <f t="shared" si="10"/>
        <v>12.490000000000061</v>
      </c>
      <c r="D86" s="13">
        <f t="shared" si="11"/>
        <v>6.7459999999999747</v>
      </c>
      <c r="E86" s="13">
        <f t="shared" si="12"/>
        <v>12.1</v>
      </c>
      <c r="F86" s="106"/>
      <c r="H86" s="8">
        <v>428</v>
      </c>
      <c r="I86" s="13">
        <f t="shared" si="13"/>
        <v>6.7459999999999747</v>
      </c>
      <c r="K86" s="8">
        <v>428</v>
      </c>
      <c r="L86" s="13">
        <f t="shared" si="14"/>
        <v>12.1</v>
      </c>
      <c r="N86" s="8">
        <v>428</v>
      </c>
      <c r="O86" s="14">
        <v>0.107</v>
      </c>
    </row>
    <row r="87" spans="2:15">
      <c r="B87" s="8">
        <v>429</v>
      </c>
      <c r="C87" s="13">
        <f t="shared" si="10"/>
        <v>12.495000000000061</v>
      </c>
      <c r="D87" s="13">
        <f t="shared" si="11"/>
        <v>6.7529999999999744</v>
      </c>
      <c r="E87" s="13">
        <f t="shared" si="12"/>
        <v>12.1</v>
      </c>
      <c r="F87" s="106"/>
      <c r="H87" s="8">
        <v>429</v>
      </c>
      <c r="I87" s="13">
        <f t="shared" si="13"/>
        <v>6.7529999999999744</v>
      </c>
      <c r="K87" s="8">
        <v>429</v>
      </c>
      <c r="L87" s="13">
        <f t="shared" si="14"/>
        <v>12.1</v>
      </c>
      <c r="N87" s="8">
        <v>429</v>
      </c>
      <c r="O87" s="14">
        <v>0.107</v>
      </c>
    </row>
    <row r="88" spans="2:15">
      <c r="B88" s="8">
        <v>430</v>
      </c>
      <c r="C88" s="13">
        <f t="shared" si="10"/>
        <v>12.500000000000062</v>
      </c>
      <c r="D88" s="13">
        <f t="shared" si="11"/>
        <v>6.759999999999974</v>
      </c>
      <c r="E88" s="13">
        <f t="shared" si="12"/>
        <v>12.1</v>
      </c>
      <c r="F88" s="106"/>
      <c r="H88" s="8">
        <v>430</v>
      </c>
      <c r="I88" s="13">
        <f t="shared" si="13"/>
        <v>6.759999999999974</v>
      </c>
      <c r="K88" s="8">
        <v>430</v>
      </c>
      <c r="L88" s="13">
        <f t="shared" si="14"/>
        <v>12.1</v>
      </c>
      <c r="N88" s="8">
        <v>430</v>
      </c>
      <c r="O88" s="14">
        <v>0.107</v>
      </c>
    </row>
    <row r="89" spans="2:15">
      <c r="B89" s="8">
        <v>431</v>
      </c>
      <c r="C89" s="13">
        <f t="shared" si="10"/>
        <v>12.505000000000063</v>
      </c>
      <c r="D89" s="13">
        <f t="shared" si="11"/>
        <v>6.7669999999999737</v>
      </c>
      <c r="E89" s="13">
        <f t="shared" si="12"/>
        <v>12.1</v>
      </c>
      <c r="F89" s="106"/>
      <c r="H89" s="8">
        <v>431</v>
      </c>
      <c r="I89" s="13">
        <f t="shared" si="13"/>
        <v>6.7669999999999737</v>
      </c>
      <c r="K89" s="8">
        <v>431</v>
      </c>
      <c r="L89" s="13">
        <f t="shared" si="14"/>
        <v>12.1</v>
      </c>
      <c r="N89" s="8">
        <v>431</v>
      </c>
      <c r="O89" s="14">
        <v>0.107</v>
      </c>
    </row>
    <row r="90" spans="2:15">
      <c r="B90" s="8">
        <v>432</v>
      </c>
      <c r="C90" s="13">
        <f t="shared" si="10"/>
        <v>12.510000000000064</v>
      </c>
      <c r="D90" s="13">
        <f t="shared" si="11"/>
        <v>6.7739999999999734</v>
      </c>
      <c r="E90" s="13">
        <f t="shared" si="12"/>
        <v>12.1</v>
      </c>
      <c r="F90" s="106"/>
      <c r="H90" s="8">
        <v>432</v>
      </c>
      <c r="I90" s="13">
        <f t="shared" si="13"/>
        <v>6.7739999999999734</v>
      </c>
      <c r="K90" s="8">
        <v>432</v>
      </c>
      <c r="L90" s="13">
        <f t="shared" si="14"/>
        <v>12.1</v>
      </c>
      <c r="N90" s="8">
        <v>432</v>
      </c>
      <c r="O90" s="14">
        <v>0.107</v>
      </c>
    </row>
    <row r="91" spans="2:15">
      <c r="B91" s="8">
        <v>433</v>
      </c>
      <c r="C91" s="13">
        <f t="shared" si="10"/>
        <v>12.515000000000065</v>
      </c>
      <c r="D91" s="13">
        <f t="shared" si="11"/>
        <v>6.780999999999973</v>
      </c>
      <c r="E91" s="13">
        <f t="shared" si="12"/>
        <v>12.1</v>
      </c>
      <c r="F91" s="106"/>
      <c r="H91" s="8">
        <v>433</v>
      </c>
      <c r="I91" s="13">
        <f t="shared" si="13"/>
        <v>6.780999999999973</v>
      </c>
      <c r="K91" s="8">
        <v>433</v>
      </c>
      <c r="L91" s="13">
        <f t="shared" si="14"/>
        <v>12.1</v>
      </c>
      <c r="N91" s="8">
        <v>433</v>
      </c>
      <c r="O91" s="14">
        <v>0.107</v>
      </c>
    </row>
    <row r="92" spans="2:15">
      <c r="B92" s="8">
        <v>434</v>
      </c>
      <c r="C92" s="13">
        <f t="shared" si="10"/>
        <v>12.520000000000065</v>
      </c>
      <c r="D92" s="13">
        <f t="shared" si="11"/>
        <v>6.7879999999999727</v>
      </c>
      <c r="E92" s="13">
        <f t="shared" si="12"/>
        <v>12.1</v>
      </c>
      <c r="F92" s="106"/>
      <c r="H92" s="8">
        <v>434</v>
      </c>
      <c r="I92" s="13">
        <f t="shared" si="13"/>
        <v>6.7879999999999727</v>
      </c>
      <c r="K92" s="8">
        <v>434</v>
      </c>
      <c r="L92" s="13">
        <f t="shared" si="14"/>
        <v>12.1</v>
      </c>
      <c r="N92" s="8">
        <v>434</v>
      </c>
      <c r="O92" s="14">
        <v>0.107</v>
      </c>
    </row>
    <row r="93" spans="2:15">
      <c r="B93" s="8">
        <v>435</v>
      </c>
      <c r="C93" s="13">
        <f t="shared" si="10"/>
        <v>12.525000000000066</v>
      </c>
      <c r="D93" s="13">
        <f t="shared" si="11"/>
        <v>6.7949999999999724</v>
      </c>
      <c r="E93" s="13">
        <f t="shared" si="12"/>
        <v>12.1</v>
      </c>
      <c r="F93" s="106"/>
      <c r="H93" s="8">
        <v>435</v>
      </c>
      <c r="I93" s="13">
        <f t="shared" si="13"/>
        <v>6.7949999999999724</v>
      </c>
      <c r="K93" s="8">
        <v>435</v>
      </c>
      <c r="L93" s="13">
        <f t="shared" si="14"/>
        <v>12.1</v>
      </c>
      <c r="N93" s="8">
        <v>435</v>
      </c>
      <c r="O93" s="14">
        <v>0.107</v>
      </c>
    </row>
    <row r="94" spans="2:15">
      <c r="B94" s="8">
        <v>436</v>
      </c>
      <c r="C94" s="13">
        <f t="shared" si="10"/>
        <v>12.530000000000067</v>
      </c>
      <c r="D94" s="13">
        <f t="shared" si="11"/>
        <v>6.8019999999999721</v>
      </c>
      <c r="E94" s="13">
        <f t="shared" si="12"/>
        <v>12.1</v>
      </c>
      <c r="F94" s="106"/>
      <c r="H94" s="8">
        <v>436</v>
      </c>
      <c r="I94" s="13">
        <f t="shared" si="13"/>
        <v>6.8019999999999721</v>
      </c>
      <c r="K94" s="8">
        <v>436</v>
      </c>
      <c r="L94" s="13">
        <f t="shared" si="14"/>
        <v>12.1</v>
      </c>
      <c r="N94" s="8">
        <v>436</v>
      </c>
      <c r="O94" s="14">
        <v>0.107</v>
      </c>
    </row>
    <row r="95" spans="2:15">
      <c r="B95" s="8">
        <v>437</v>
      </c>
      <c r="C95" s="13">
        <f t="shared" si="10"/>
        <v>12.535000000000068</v>
      </c>
      <c r="D95" s="13">
        <f t="shared" si="11"/>
        <v>6.8089999999999717</v>
      </c>
      <c r="E95" s="13">
        <f t="shared" si="12"/>
        <v>12.1</v>
      </c>
      <c r="F95" s="106"/>
      <c r="H95" s="8">
        <v>437</v>
      </c>
      <c r="I95" s="13">
        <f t="shared" si="13"/>
        <v>6.8089999999999717</v>
      </c>
      <c r="K95" s="8">
        <v>437</v>
      </c>
      <c r="L95" s="13">
        <f t="shared" si="14"/>
        <v>12.1</v>
      </c>
      <c r="N95" s="8">
        <v>437</v>
      </c>
      <c r="O95" s="14">
        <v>0.107</v>
      </c>
    </row>
    <row r="96" spans="2:15">
      <c r="B96" s="8">
        <v>438</v>
      </c>
      <c r="C96" s="13">
        <f t="shared" si="10"/>
        <v>12.540000000000068</v>
      </c>
      <c r="D96" s="13">
        <f t="shared" si="11"/>
        <v>6.8159999999999714</v>
      </c>
      <c r="E96" s="13">
        <f t="shared" si="12"/>
        <v>12.1</v>
      </c>
      <c r="F96" s="106"/>
      <c r="H96" s="8">
        <v>438</v>
      </c>
      <c r="I96" s="13">
        <f t="shared" si="13"/>
        <v>6.8159999999999714</v>
      </c>
      <c r="K96" s="8">
        <v>438</v>
      </c>
      <c r="L96" s="13">
        <f t="shared" si="14"/>
        <v>12.1</v>
      </c>
      <c r="N96" s="8">
        <v>438</v>
      </c>
      <c r="O96" s="14">
        <v>0.107</v>
      </c>
    </row>
    <row r="97" spans="2:15">
      <c r="B97" s="8">
        <v>439</v>
      </c>
      <c r="C97" s="13">
        <f t="shared" si="10"/>
        <v>12.545000000000069</v>
      </c>
      <c r="D97" s="13">
        <f t="shared" si="11"/>
        <v>6.8229999999999711</v>
      </c>
      <c r="E97" s="13">
        <f t="shared" si="12"/>
        <v>12.1</v>
      </c>
      <c r="F97" s="106"/>
      <c r="H97" s="8">
        <v>439</v>
      </c>
      <c r="I97" s="13">
        <f t="shared" si="13"/>
        <v>6.8229999999999711</v>
      </c>
      <c r="K97" s="8">
        <v>439</v>
      </c>
      <c r="L97" s="13">
        <f t="shared" si="14"/>
        <v>12.1</v>
      </c>
      <c r="N97" s="8">
        <v>439</v>
      </c>
      <c r="O97" s="14">
        <v>0.107</v>
      </c>
    </row>
    <row r="98" spans="2:15">
      <c r="B98" s="8">
        <v>440</v>
      </c>
      <c r="C98" s="13">
        <f t="shared" si="10"/>
        <v>12.55000000000007</v>
      </c>
      <c r="D98" s="13">
        <f t="shared" si="11"/>
        <v>6.8299999999999708</v>
      </c>
      <c r="E98" s="13">
        <f t="shared" si="12"/>
        <v>12.1</v>
      </c>
      <c r="F98" s="106"/>
      <c r="H98" s="8">
        <v>440</v>
      </c>
      <c r="I98" s="13">
        <f t="shared" si="13"/>
        <v>6.8299999999999708</v>
      </c>
      <c r="K98" s="8">
        <v>440</v>
      </c>
      <c r="L98" s="13">
        <f t="shared" si="14"/>
        <v>12.1</v>
      </c>
      <c r="N98" s="8">
        <v>440</v>
      </c>
      <c r="O98" s="14">
        <v>0.107</v>
      </c>
    </row>
    <row r="99" spans="2:15">
      <c r="B99" s="8">
        <v>441</v>
      </c>
      <c r="C99" s="13">
        <f t="shared" si="10"/>
        <v>12.555000000000071</v>
      </c>
      <c r="D99" s="13">
        <f t="shared" si="11"/>
        <v>6.8369999999999704</v>
      </c>
      <c r="E99" s="13">
        <f t="shared" si="12"/>
        <v>12.1</v>
      </c>
      <c r="F99" s="106"/>
      <c r="H99" s="8">
        <v>441</v>
      </c>
      <c r="I99" s="13">
        <f t="shared" si="13"/>
        <v>6.8369999999999704</v>
      </c>
      <c r="K99" s="8">
        <v>441</v>
      </c>
      <c r="L99" s="13">
        <f t="shared" si="14"/>
        <v>12.1</v>
      </c>
      <c r="N99" s="8">
        <v>441</v>
      </c>
      <c r="O99" s="14">
        <v>0.107</v>
      </c>
    </row>
    <row r="100" spans="2:15">
      <c r="B100" s="8">
        <v>442</v>
      </c>
      <c r="C100" s="13">
        <f t="shared" si="10"/>
        <v>12.560000000000072</v>
      </c>
      <c r="D100" s="13">
        <f t="shared" si="11"/>
        <v>6.8439999999999701</v>
      </c>
      <c r="E100" s="13">
        <f t="shared" si="12"/>
        <v>12.1</v>
      </c>
      <c r="F100" s="106"/>
      <c r="H100" s="8">
        <v>442</v>
      </c>
      <c r="I100" s="13">
        <f t="shared" si="13"/>
        <v>6.8439999999999701</v>
      </c>
      <c r="K100" s="8">
        <v>442</v>
      </c>
      <c r="L100" s="13">
        <f t="shared" si="14"/>
        <v>12.1</v>
      </c>
      <c r="N100" s="8">
        <v>442</v>
      </c>
      <c r="O100" s="14">
        <v>0.107</v>
      </c>
    </row>
    <row r="101" spans="2:15">
      <c r="B101" s="8">
        <v>443</v>
      </c>
      <c r="C101" s="13">
        <f t="shared" si="10"/>
        <v>12.565000000000072</v>
      </c>
      <c r="D101" s="13">
        <f t="shared" si="11"/>
        <v>6.8509999999999698</v>
      </c>
      <c r="E101" s="13">
        <f t="shared" si="12"/>
        <v>12.1</v>
      </c>
      <c r="F101" s="106"/>
      <c r="H101" s="8">
        <v>443</v>
      </c>
      <c r="I101" s="13">
        <f t="shared" si="13"/>
        <v>6.8509999999999698</v>
      </c>
      <c r="K101" s="8">
        <v>443</v>
      </c>
      <c r="L101" s="13">
        <f t="shared" si="14"/>
        <v>12.1</v>
      </c>
      <c r="N101" s="8">
        <v>443</v>
      </c>
      <c r="O101" s="14">
        <v>0.107</v>
      </c>
    </row>
    <row r="102" spans="2:15">
      <c r="B102" s="8">
        <v>444</v>
      </c>
      <c r="C102" s="13">
        <f t="shared" si="10"/>
        <v>12.570000000000073</v>
      </c>
      <c r="D102" s="13">
        <f t="shared" si="11"/>
        <v>6.8579999999999695</v>
      </c>
      <c r="E102" s="13">
        <f t="shared" si="12"/>
        <v>12.1</v>
      </c>
      <c r="F102" s="106"/>
      <c r="H102" s="8">
        <v>444</v>
      </c>
      <c r="I102" s="13">
        <f t="shared" si="13"/>
        <v>6.8579999999999695</v>
      </c>
      <c r="K102" s="8">
        <v>444</v>
      </c>
      <c r="L102" s="13">
        <f t="shared" si="14"/>
        <v>12.1</v>
      </c>
      <c r="N102" s="8">
        <v>444</v>
      </c>
      <c r="O102" s="14">
        <v>0.107</v>
      </c>
    </row>
    <row r="103" spans="2:15">
      <c r="B103" s="8">
        <v>445</v>
      </c>
      <c r="C103" s="13">
        <f t="shared" si="10"/>
        <v>12.575000000000074</v>
      </c>
      <c r="D103" s="13">
        <f t="shared" si="11"/>
        <v>6.8649999999999691</v>
      </c>
      <c r="E103" s="13">
        <f t="shared" si="12"/>
        <v>12.1</v>
      </c>
      <c r="F103" s="106"/>
      <c r="H103" s="8">
        <v>445</v>
      </c>
      <c r="I103" s="13">
        <f t="shared" si="13"/>
        <v>6.8649999999999691</v>
      </c>
      <c r="K103" s="8">
        <v>445</v>
      </c>
      <c r="L103" s="13">
        <f t="shared" si="14"/>
        <v>12.1</v>
      </c>
      <c r="N103" s="8">
        <v>445</v>
      </c>
      <c r="O103" s="14">
        <v>0.107</v>
      </c>
    </row>
    <row r="104" spans="2:15">
      <c r="B104" s="8">
        <v>446</v>
      </c>
      <c r="C104" s="13">
        <f t="shared" si="10"/>
        <v>12.580000000000075</v>
      </c>
      <c r="D104" s="13">
        <f t="shared" si="11"/>
        <v>6.8719999999999688</v>
      </c>
      <c r="E104" s="13">
        <f t="shared" si="12"/>
        <v>12.1</v>
      </c>
      <c r="F104" s="106"/>
      <c r="H104" s="8">
        <v>446</v>
      </c>
      <c r="I104" s="13">
        <f t="shared" si="13"/>
        <v>6.8719999999999688</v>
      </c>
      <c r="K104" s="8">
        <v>446</v>
      </c>
      <c r="L104" s="13">
        <f t="shared" si="14"/>
        <v>12.1</v>
      </c>
      <c r="N104" s="8">
        <v>446</v>
      </c>
      <c r="O104" s="14">
        <v>0.107</v>
      </c>
    </row>
    <row r="105" spans="2:15">
      <c r="B105" s="8">
        <v>447</v>
      </c>
      <c r="C105" s="13">
        <f t="shared" si="10"/>
        <v>12.585000000000075</v>
      </c>
      <c r="D105" s="13">
        <f t="shared" si="11"/>
        <v>6.8789999999999685</v>
      </c>
      <c r="E105" s="13">
        <f t="shared" si="12"/>
        <v>12.1</v>
      </c>
      <c r="F105" s="106"/>
      <c r="H105" s="8">
        <v>447</v>
      </c>
      <c r="I105" s="13">
        <f t="shared" si="13"/>
        <v>6.8789999999999685</v>
      </c>
      <c r="K105" s="8">
        <v>447</v>
      </c>
      <c r="L105" s="13">
        <f t="shared" si="14"/>
        <v>12.1</v>
      </c>
      <c r="N105" s="8">
        <v>447</v>
      </c>
      <c r="O105" s="14">
        <v>0.107</v>
      </c>
    </row>
    <row r="106" spans="2:15">
      <c r="B106" s="8">
        <v>448</v>
      </c>
      <c r="C106" s="13">
        <f t="shared" si="10"/>
        <v>12.590000000000076</v>
      </c>
      <c r="D106" s="13">
        <f t="shared" si="11"/>
        <v>6.8859999999999681</v>
      </c>
      <c r="E106" s="13">
        <f t="shared" si="12"/>
        <v>12.1</v>
      </c>
      <c r="F106" s="106"/>
      <c r="H106" s="8">
        <v>448</v>
      </c>
      <c r="I106" s="13">
        <f t="shared" si="13"/>
        <v>6.8859999999999681</v>
      </c>
      <c r="K106" s="8">
        <v>448</v>
      </c>
      <c r="L106" s="13">
        <f t="shared" si="14"/>
        <v>12.1</v>
      </c>
      <c r="N106" s="8">
        <v>448</v>
      </c>
      <c r="O106" s="14">
        <v>0.107</v>
      </c>
    </row>
    <row r="107" spans="2:15">
      <c r="B107" s="8">
        <v>449</v>
      </c>
      <c r="C107" s="13">
        <f t="shared" si="10"/>
        <v>12.595000000000077</v>
      </c>
      <c r="D107" s="13">
        <f t="shared" si="11"/>
        <v>6.8929999999999678</v>
      </c>
      <c r="E107" s="13">
        <f t="shared" si="12"/>
        <v>12.1</v>
      </c>
      <c r="F107" s="106"/>
      <c r="H107" s="8">
        <v>449</v>
      </c>
      <c r="I107" s="13">
        <f t="shared" si="13"/>
        <v>6.8929999999999678</v>
      </c>
      <c r="K107" s="8">
        <v>449</v>
      </c>
      <c r="L107" s="13">
        <f t="shared" si="14"/>
        <v>12.1</v>
      </c>
      <c r="N107" s="8">
        <v>449</v>
      </c>
      <c r="O107" s="14">
        <v>0.107</v>
      </c>
    </row>
    <row r="108" spans="2:15">
      <c r="B108" s="6">
        <v>450</v>
      </c>
      <c r="C108" s="12">
        <f>+C4</f>
        <v>12.6</v>
      </c>
      <c r="D108" s="12">
        <f>+D4</f>
        <v>6.9</v>
      </c>
      <c r="E108" s="12">
        <f>+E4</f>
        <v>12.1</v>
      </c>
      <c r="F108" s="105"/>
      <c r="H108" s="6">
        <v>450</v>
      </c>
      <c r="I108" s="12">
        <f>+D108</f>
        <v>6.9</v>
      </c>
      <c r="K108" s="6">
        <v>450</v>
      </c>
      <c r="L108" s="12">
        <f>+E108</f>
        <v>12.1</v>
      </c>
      <c r="N108" s="6">
        <v>450</v>
      </c>
      <c r="O108" s="14">
        <v>0.107</v>
      </c>
    </row>
    <row r="109" spans="2:15">
      <c r="B109" s="8">
        <v>451</v>
      </c>
      <c r="C109" s="13">
        <f t="shared" ref="C109:C140" si="15">C108+(($C$208-$C$108)/100)</f>
        <v>12.603999999999999</v>
      </c>
      <c r="D109" s="13">
        <f t="shared" ref="D109:D140" si="16">D108+(($D$208-$D$108)/100)</f>
        <v>6.907</v>
      </c>
      <c r="E109" s="13">
        <f t="shared" ref="E109:E140" si="17">E108+(($E$208-$E$108)/100)</f>
        <v>12.1</v>
      </c>
      <c r="F109" s="106"/>
      <c r="H109" s="8">
        <v>451</v>
      </c>
      <c r="I109" s="13">
        <f t="shared" ref="I109:I140" si="18">I108+(($D$208-$D$108)/100)</f>
        <v>6.907</v>
      </c>
      <c r="K109" s="8">
        <v>451</v>
      </c>
      <c r="L109" s="13">
        <f t="shared" ref="L109:L140" si="19">L108+(($E$208-$E$108)/100)</f>
        <v>12.1</v>
      </c>
      <c r="N109" s="8">
        <v>451</v>
      </c>
      <c r="O109" s="14">
        <v>0.107</v>
      </c>
    </row>
    <row r="110" spans="2:15">
      <c r="B110" s="8">
        <v>452</v>
      </c>
      <c r="C110" s="13">
        <f t="shared" si="15"/>
        <v>12.607999999999999</v>
      </c>
      <c r="D110" s="13">
        <f t="shared" si="16"/>
        <v>6.9139999999999997</v>
      </c>
      <c r="E110" s="13">
        <f t="shared" si="17"/>
        <v>12.1</v>
      </c>
      <c r="F110" s="106"/>
      <c r="H110" s="8">
        <v>452</v>
      </c>
      <c r="I110" s="13">
        <f t="shared" si="18"/>
        <v>6.9139999999999997</v>
      </c>
      <c r="K110" s="8">
        <v>452</v>
      </c>
      <c r="L110" s="13">
        <f t="shared" si="19"/>
        <v>12.1</v>
      </c>
      <c r="N110" s="8">
        <v>452</v>
      </c>
      <c r="O110" s="14">
        <v>0.107</v>
      </c>
    </row>
    <row r="111" spans="2:15">
      <c r="B111" s="8">
        <v>453</v>
      </c>
      <c r="C111" s="13">
        <f t="shared" si="15"/>
        <v>12.611999999999998</v>
      </c>
      <c r="D111" s="13">
        <f t="shared" si="16"/>
        <v>6.9209999999999994</v>
      </c>
      <c r="E111" s="13">
        <f t="shared" si="17"/>
        <v>12.1</v>
      </c>
      <c r="F111" s="106"/>
      <c r="H111" s="8">
        <v>453</v>
      </c>
      <c r="I111" s="13">
        <f t="shared" si="18"/>
        <v>6.9209999999999994</v>
      </c>
      <c r="K111" s="8">
        <v>453</v>
      </c>
      <c r="L111" s="13">
        <f t="shared" si="19"/>
        <v>12.1</v>
      </c>
      <c r="N111" s="8">
        <v>453</v>
      </c>
      <c r="O111" s="14">
        <v>0.107</v>
      </c>
    </row>
    <row r="112" spans="2:15">
      <c r="B112" s="8">
        <v>454</v>
      </c>
      <c r="C112" s="13">
        <f t="shared" si="15"/>
        <v>12.615999999999998</v>
      </c>
      <c r="D112" s="13">
        <f t="shared" si="16"/>
        <v>6.927999999999999</v>
      </c>
      <c r="E112" s="13">
        <f t="shared" si="17"/>
        <v>12.1</v>
      </c>
      <c r="F112" s="106"/>
      <c r="H112" s="8">
        <v>454</v>
      </c>
      <c r="I112" s="13">
        <f t="shared" si="18"/>
        <v>6.927999999999999</v>
      </c>
      <c r="K112" s="8">
        <v>454</v>
      </c>
      <c r="L112" s="13">
        <f t="shared" si="19"/>
        <v>12.1</v>
      </c>
      <c r="N112" s="8">
        <v>454</v>
      </c>
      <c r="O112" s="14">
        <v>0.107</v>
      </c>
    </row>
    <row r="113" spans="2:15">
      <c r="B113" s="8">
        <v>455</v>
      </c>
      <c r="C113" s="13">
        <f t="shared" si="15"/>
        <v>12.619999999999997</v>
      </c>
      <c r="D113" s="13">
        <f t="shared" si="16"/>
        <v>6.9349999999999987</v>
      </c>
      <c r="E113" s="13">
        <f t="shared" si="17"/>
        <v>12.1</v>
      </c>
      <c r="F113" s="106"/>
      <c r="H113" s="8">
        <v>455</v>
      </c>
      <c r="I113" s="13">
        <f t="shared" si="18"/>
        <v>6.9349999999999987</v>
      </c>
      <c r="K113" s="8">
        <v>455</v>
      </c>
      <c r="L113" s="13">
        <f t="shared" si="19"/>
        <v>12.1</v>
      </c>
      <c r="N113" s="8">
        <v>455</v>
      </c>
      <c r="O113" s="14">
        <v>0.107</v>
      </c>
    </row>
    <row r="114" spans="2:15">
      <c r="B114" s="8">
        <v>456</v>
      </c>
      <c r="C114" s="13">
        <f t="shared" si="15"/>
        <v>12.623999999999997</v>
      </c>
      <c r="D114" s="13">
        <f t="shared" si="16"/>
        <v>6.9419999999999984</v>
      </c>
      <c r="E114" s="13">
        <f t="shared" si="17"/>
        <v>12.1</v>
      </c>
      <c r="F114" s="106"/>
      <c r="H114" s="8">
        <v>456</v>
      </c>
      <c r="I114" s="13">
        <f t="shared" si="18"/>
        <v>6.9419999999999984</v>
      </c>
      <c r="K114" s="8">
        <v>456</v>
      </c>
      <c r="L114" s="13">
        <f t="shared" si="19"/>
        <v>12.1</v>
      </c>
      <c r="N114" s="8">
        <v>456</v>
      </c>
      <c r="O114" s="14">
        <v>0.107</v>
      </c>
    </row>
    <row r="115" spans="2:15">
      <c r="B115" s="8">
        <v>457</v>
      </c>
      <c r="C115" s="13">
        <f t="shared" si="15"/>
        <v>12.627999999999997</v>
      </c>
      <c r="D115" s="13">
        <f t="shared" si="16"/>
        <v>6.9489999999999981</v>
      </c>
      <c r="E115" s="13">
        <f t="shared" si="17"/>
        <v>12.1</v>
      </c>
      <c r="F115" s="106"/>
      <c r="H115" s="8">
        <v>457</v>
      </c>
      <c r="I115" s="13">
        <f t="shared" si="18"/>
        <v>6.9489999999999981</v>
      </c>
      <c r="K115" s="8">
        <v>457</v>
      </c>
      <c r="L115" s="13">
        <f t="shared" si="19"/>
        <v>12.1</v>
      </c>
      <c r="N115" s="8">
        <v>457</v>
      </c>
      <c r="O115" s="14">
        <v>0.107</v>
      </c>
    </row>
    <row r="116" spans="2:15">
      <c r="B116" s="8">
        <v>458</v>
      </c>
      <c r="C116" s="13">
        <f t="shared" si="15"/>
        <v>12.631999999999996</v>
      </c>
      <c r="D116" s="13">
        <f t="shared" si="16"/>
        <v>6.9559999999999977</v>
      </c>
      <c r="E116" s="13">
        <f t="shared" si="17"/>
        <v>12.1</v>
      </c>
      <c r="F116" s="106"/>
      <c r="H116" s="8">
        <v>458</v>
      </c>
      <c r="I116" s="13">
        <f t="shared" si="18"/>
        <v>6.9559999999999977</v>
      </c>
      <c r="K116" s="8">
        <v>458</v>
      </c>
      <c r="L116" s="13">
        <f t="shared" si="19"/>
        <v>12.1</v>
      </c>
      <c r="N116" s="8">
        <v>458</v>
      </c>
      <c r="O116" s="14">
        <v>0.107</v>
      </c>
    </row>
    <row r="117" spans="2:15">
      <c r="B117" s="8">
        <v>459</v>
      </c>
      <c r="C117" s="13">
        <f t="shared" si="15"/>
        <v>12.635999999999996</v>
      </c>
      <c r="D117" s="13">
        <f t="shared" si="16"/>
        <v>6.9629999999999974</v>
      </c>
      <c r="E117" s="13">
        <f t="shared" si="17"/>
        <v>12.1</v>
      </c>
      <c r="F117" s="106"/>
      <c r="H117" s="8">
        <v>459</v>
      </c>
      <c r="I117" s="13">
        <f t="shared" si="18"/>
        <v>6.9629999999999974</v>
      </c>
      <c r="K117" s="8">
        <v>459</v>
      </c>
      <c r="L117" s="13">
        <f t="shared" si="19"/>
        <v>12.1</v>
      </c>
      <c r="N117" s="8">
        <v>459</v>
      </c>
      <c r="O117" s="14">
        <v>0.107</v>
      </c>
    </row>
    <row r="118" spans="2:15">
      <c r="B118" s="8">
        <v>460</v>
      </c>
      <c r="C118" s="13">
        <f t="shared" si="15"/>
        <v>12.639999999999995</v>
      </c>
      <c r="D118" s="13">
        <f t="shared" si="16"/>
        <v>6.9699999999999971</v>
      </c>
      <c r="E118" s="13">
        <f t="shared" si="17"/>
        <v>12.1</v>
      </c>
      <c r="F118" s="106"/>
      <c r="H118" s="8">
        <v>460</v>
      </c>
      <c r="I118" s="13">
        <f t="shared" si="18"/>
        <v>6.9699999999999971</v>
      </c>
      <c r="K118" s="8">
        <v>460</v>
      </c>
      <c r="L118" s="13">
        <f t="shared" si="19"/>
        <v>12.1</v>
      </c>
      <c r="N118" s="8">
        <v>460</v>
      </c>
      <c r="O118" s="14">
        <v>0.107</v>
      </c>
    </row>
    <row r="119" spans="2:15">
      <c r="B119" s="8">
        <v>461</v>
      </c>
      <c r="C119" s="13">
        <f t="shared" si="15"/>
        <v>12.643999999999995</v>
      </c>
      <c r="D119" s="13">
        <f t="shared" si="16"/>
        <v>6.9769999999999968</v>
      </c>
      <c r="E119" s="13">
        <f t="shared" si="17"/>
        <v>12.1</v>
      </c>
      <c r="F119" s="106"/>
      <c r="H119" s="8">
        <v>461</v>
      </c>
      <c r="I119" s="13">
        <f t="shared" si="18"/>
        <v>6.9769999999999968</v>
      </c>
      <c r="K119" s="8">
        <v>461</v>
      </c>
      <c r="L119" s="13">
        <f t="shared" si="19"/>
        <v>12.1</v>
      </c>
      <c r="N119" s="8">
        <v>461</v>
      </c>
      <c r="O119" s="14">
        <v>0.107</v>
      </c>
    </row>
    <row r="120" spans="2:15">
      <c r="B120" s="8">
        <v>462</v>
      </c>
      <c r="C120" s="13">
        <f t="shared" si="15"/>
        <v>12.647999999999994</v>
      </c>
      <c r="D120" s="13">
        <f t="shared" si="16"/>
        <v>6.9839999999999964</v>
      </c>
      <c r="E120" s="13">
        <f t="shared" si="17"/>
        <v>12.1</v>
      </c>
      <c r="F120" s="106"/>
      <c r="H120" s="8">
        <v>462</v>
      </c>
      <c r="I120" s="13">
        <f t="shared" si="18"/>
        <v>6.9839999999999964</v>
      </c>
      <c r="K120" s="8">
        <v>462</v>
      </c>
      <c r="L120" s="13">
        <f t="shared" si="19"/>
        <v>12.1</v>
      </c>
      <c r="N120" s="8">
        <v>462</v>
      </c>
      <c r="O120" s="14">
        <v>0.107</v>
      </c>
    </row>
    <row r="121" spans="2:15">
      <c r="B121" s="8">
        <v>463</v>
      </c>
      <c r="C121" s="13">
        <f t="shared" si="15"/>
        <v>12.651999999999994</v>
      </c>
      <c r="D121" s="13">
        <f t="shared" si="16"/>
        <v>6.9909999999999961</v>
      </c>
      <c r="E121" s="13">
        <f t="shared" si="17"/>
        <v>12.1</v>
      </c>
      <c r="F121" s="106"/>
      <c r="H121" s="8">
        <v>463</v>
      </c>
      <c r="I121" s="13">
        <f t="shared" si="18"/>
        <v>6.9909999999999961</v>
      </c>
      <c r="K121" s="8">
        <v>463</v>
      </c>
      <c r="L121" s="13">
        <f t="shared" si="19"/>
        <v>12.1</v>
      </c>
      <c r="N121" s="8">
        <v>463</v>
      </c>
      <c r="O121" s="14">
        <v>0.107</v>
      </c>
    </row>
    <row r="122" spans="2:15">
      <c r="B122" s="8">
        <v>464</v>
      </c>
      <c r="C122" s="13">
        <f t="shared" si="15"/>
        <v>12.655999999999993</v>
      </c>
      <c r="D122" s="13">
        <f t="shared" si="16"/>
        <v>6.9979999999999958</v>
      </c>
      <c r="E122" s="13">
        <f t="shared" si="17"/>
        <v>12.1</v>
      </c>
      <c r="F122" s="106"/>
      <c r="H122" s="8">
        <v>464</v>
      </c>
      <c r="I122" s="13">
        <f t="shared" si="18"/>
        <v>6.9979999999999958</v>
      </c>
      <c r="K122" s="8">
        <v>464</v>
      </c>
      <c r="L122" s="13">
        <f t="shared" si="19"/>
        <v>12.1</v>
      </c>
      <c r="N122" s="8">
        <v>464</v>
      </c>
      <c r="O122" s="14">
        <v>0.107</v>
      </c>
    </row>
    <row r="123" spans="2:15">
      <c r="B123" s="8">
        <v>465</v>
      </c>
      <c r="C123" s="13">
        <f t="shared" si="15"/>
        <v>12.659999999999993</v>
      </c>
      <c r="D123" s="13">
        <f t="shared" si="16"/>
        <v>7.0049999999999955</v>
      </c>
      <c r="E123" s="13">
        <f t="shared" si="17"/>
        <v>12.1</v>
      </c>
      <c r="F123" s="106"/>
      <c r="H123" s="8">
        <v>465</v>
      </c>
      <c r="I123" s="13">
        <f t="shared" si="18"/>
        <v>7.0049999999999955</v>
      </c>
      <c r="K123" s="8">
        <v>465</v>
      </c>
      <c r="L123" s="13">
        <f t="shared" si="19"/>
        <v>12.1</v>
      </c>
      <c r="N123" s="8">
        <v>465</v>
      </c>
      <c r="O123" s="14">
        <v>0.107</v>
      </c>
    </row>
    <row r="124" spans="2:15">
      <c r="B124" s="8">
        <v>466</v>
      </c>
      <c r="C124" s="13">
        <f t="shared" si="15"/>
        <v>12.663999999999993</v>
      </c>
      <c r="D124" s="13">
        <f t="shared" si="16"/>
        <v>7.0119999999999951</v>
      </c>
      <c r="E124" s="13">
        <f t="shared" si="17"/>
        <v>12.1</v>
      </c>
      <c r="F124" s="106"/>
      <c r="H124" s="8">
        <v>466</v>
      </c>
      <c r="I124" s="13">
        <f t="shared" si="18"/>
        <v>7.0119999999999951</v>
      </c>
      <c r="K124" s="8">
        <v>466</v>
      </c>
      <c r="L124" s="13">
        <f t="shared" si="19"/>
        <v>12.1</v>
      </c>
      <c r="N124" s="8">
        <v>466</v>
      </c>
      <c r="O124" s="14">
        <v>0.107</v>
      </c>
    </row>
    <row r="125" spans="2:15">
      <c r="B125" s="8">
        <v>467</v>
      </c>
      <c r="C125" s="13">
        <f t="shared" si="15"/>
        <v>12.667999999999992</v>
      </c>
      <c r="D125" s="13">
        <f t="shared" si="16"/>
        <v>7.0189999999999948</v>
      </c>
      <c r="E125" s="13">
        <f t="shared" si="17"/>
        <v>12.1</v>
      </c>
      <c r="F125" s="106"/>
      <c r="H125" s="8">
        <v>467</v>
      </c>
      <c r="I125" s="13">
        <f t="shared" si="18"/>
        <v>7.0189999999999948</v>
      </c>
      <c r="K125" s="8">
        <v>467</v>
      </c>
      <c r="L125" s="13">
        <f t="shared" si="19"/>
        <v>12.1</v>
      </c>
      <c r="N125" s="8">
        <v>467</v>
      </c>
      <c r="O125" s="14">
        <v>0.107</v>
      </c>
    </row>
    <row r="126" spans="2:15">
      <c r="B126" s="8">
        <v>468</v>
      </c>
      <c r="C126" s="13">
        <f t="shared" si="15"/>
        <v>12.671999999999992</v>
      </c>
      <c r="D126" s="13">
        <f t="shared" si="16"/>
        <v>7.0259999999999945</v>
      </c>
      <c r="E126" s="13">
        <f t="shared" si="17"/>
        <v>12.1</v>
      </c>
      <c r="F126" s="106"/>
      <c r="H126" s="8">
        <v>468</v>
      </c>
      <c r="I126" s="13">
        <f t="shared" si="18"/>
        <v>7.0259999999999945</v>
      </c>
      <c r="K126" s="8">
        <v>468</v>
      </c>
      <c r="L126" s="13">
        <f t="shared" si="19"/>
        <v>12.1</v>
      </c>
      <c r="N126" s="8">
        <v>468</v>
      </c>
      <c r="O126" s="14">
        <v>0.107</v>
      </c>
    </row>
    <row r="127" spans="2:15">
      <c r="B127" s="8">
        <v>469</v>
      </c>
      <c r="C127" s="13">
        <f t="shared" si="15"/>
        <v>12.675999999999991</v>
      </c>
      <c r="D127" s="13">
        <f t="shared" si="16"/>
        <v>7.0329999999999941</v>
      </c>
      <c r="E127" s="13">
        <f t="shared" si="17"/>
        <v>12.1</v>
      </c>
      <c r="F127" s="106"/>
      <c r="H127" s="8">
        <v>469</v>
      </c>
      <c r="I127" s="13">
        <f t="shared" si="18"/>
        <v>7.0329999999999941</v>
      </c>
      <c r="K127" s="8">
        <v>469</v>
      </c>
      <c r="L127" s="13">
        <f t="shared" si="19"/>
        <v>12.1</v>
      </c>
      <c r="N127" s="8">
        <v>469</v>
      </c>
      <c r="O127" s="14">
        <v>0.107</v>
      </c>
    </row>
    <row r="128" spans="2:15">
      <c r="B128" s="8">
        <v>470</v>
      </c>
      <c r="C128" s="13">
        <f t="shared" si="15"/>
        <v>12.679999999999991</v>
      </c>
      <c r="D128" s="13">
        <f t="shared" si="16"/>
        <v>7.0399999999999938</v>
      </c>
      <c r="E128" s="13">
        <f t="shared" si="17"/>
        <v>12.1</v>
      </c>
      <c r="F128" s="106"/>
      <c r="H128" s="8">
        <v>470</v>
      </c>
      <c r="I128" s="13">
        <f t="shared" si="18"/>
        <v>7.0399999999999938</v>
      </c>
      <c r="K128" s="8">
        <v>470</v>
      </c>
      <c r="L128" s="13">
        <f t="shared" si="19"/>
        <v>12.1</v>
      </c>
      <c r="N128" s="8">
        <v>470</v>
      </c>
      <c r="O128" s="14">
        <v>0.107</v>
      </c>
    </row>
    <row r="129" spans="2:15">
      <c r="B129" s="8">
        <v>471</v>
      </c>
      <c r="C129" s="13">
        <f t="shared" si="15"/>
        <v>12.68399999999999</v>
      </c>
      <c r="D129" s="13">
        <f t="shared" si="16"/>
        <v>7.0469999999999935</v>
      </c>
      <c r="E129" s="13">
        <f t="shared" si="17"/>
        <v>12.1</v>
      </c>
      <c r="F129" s="106"/>
      <c r="H129" s="8">
        <v>471</v>
      </c>
      <c r="I129" s="13">
        <f t="shared" si="18"/>
        <v>7.0469999999999935</v>
      </c>
      <c r="K129" s="8">
        <v>471</v>
      </c>
      <c r="L129" s="13">
        <f t="shared" si="19"/>
        <v>12.1</v>
      </c>
      <c r="N129" s="8">
        <v>471</v>
      </c>
      <c r="O129" s="14">
        <v>0.107</v>
      </c>
    </row>
    <row r="130" spans="2:15">
      <c r="B130" s="8">
        <v>472</v>
      </c>
      <c r="C130" s="13">
        <f t="shared" si="15"/>
        <v>12.68799999999999</v>
      </c>
      <c r="D130" s="13">
        <f t="shared" si="16"/>
        <v>7.0539999999999932</v>
      </c>
      <c r="E130" s="13">
        <f t="shared" si="17"/>
        <v>12.1</v>
      </c>
      <c r="F130" s="106"/>
      <c r="H130" s="8">
        <v>472</v>
      </c>
      <c r="I130" s="13">
        <f t="shared" si="18"/>
        <v>7.0539999999999932</v>
      </c>
      <c r="K130" s="8">
        <v>472</v>
      </c>
      <c r="L130" s="13">
        <f t="shared" si="19"/>
        <v>12.1</v>
      </c>
      <c r="N130" s="8">
        <v>472</v>
      </c>
      <c r="O130" s="14">
        <v>0.107</v>
      </c>
    </row>
    <row r="131" spans="2:15">
      <c r="B131" s="8">
        <v>473</v>
      </c>
      <c r="C131" s="13">
        <f t="shared" si="15"/>
        <v>12.69199999999999</v>
      </c>
      <c r="D131" s="13">
        <f t="shared" si="16"/>
        <v>7.0609999999999928</v>
      </c>
      <c r="E131" s="13">
        <f t="shared" si="17"/>
        <v>12.1</v>
      </c>
      <c r="F131" s="106"/>
      <c r="H131" s="8">
        <v>473</v>
      </c>
      <c r="I131" s="13">
        <f t="shared" si="18"/>
        <v>7.0609999999999928</v>
      </c>
      <c r="K131" s="8">
        <v>473</v>
      </c>
      <c r="L131" s="13">
        <f t="shared" si="19"/>
        <v>12.1</v>
      </c>
      <c r="N131" s="8">
        <v>473</v>
      </c>
      <c r="O131" s="14">
        <v>0.107</v>
      </c>
    </row>
    <row r="132" spans="2:15">
      <c r="B132" s="8">
        <v>474</v>
      </c>
      <c r="C132" s="13">
        <f t="shared" si="15"/>
        <v>12.695999999999989</v>
      </c>
      <c r="D132" s="13">
        <f t="shared" si="16"/>
        <v>7.0679999999999925</v>
      </c>
      <c r="E132" s="13">
        <f t="shared" si="17"/>
        <v>12.1</v>
      </c>
      <c r="F132" s="106"/>
      <c r="H132" s="8">
        <v>474</v>
      </c>
      <c r="I132" s="13">
        <f t="shared" si="18"/>
        <v>7.0679999999999925</v>
      </c>
      <c r="K132" s="8">
        <v>474</v>
      </c>
      <c r="L132" s="13">
        <f t="shared" si="19"/>
        <v>12.1</v>
      </c>
      <c r="N132" s="8">
        <v>474</v>
      </c>
      <c r="O132" s="14">
        <v>0.107</v>
      </c>
    </row>
    <row r="133" spans="2:15">
      <c r="B133" s="8">
        <v>475</v>
      </c>
      <c r="C133" s="13">
        <f t="shared" si="15"/>
        <v>12.699999999999989</v>
      </c>
      <c r="D133" s="13">
        <f t="shared" si="16"/>
        <v>7.0749999999999922</v>
      </c>
      <c r="E133" s="13">
        <f t="shared" si="17"/>
        <v>12.1</v>
      </c>
      <c r="F133" s="106"/>
      <c r="H133" s="8">
        <v>475</v>
      </c>
      <c r="I133" s="13">
        <f t="shared" si="18"/>
        <v>7.0749999999999922</v>
      </c>
      <c r="K133" s="8">
        <v>475</v>
      </c>
      <c r="L133" s="13">
        <f t="shared" si="19"/>
        <v>12.1</v>
      </c>
      <c r="N133" s="8">
        <v>475</v>
      </c>
      <c r="O133" s="14">
        <v>0.107</v>
      </c>
    </row>
    <row r="134" spans="2:15">
      <c r="B134" s="8">
        <v>476</v>
      </c>
      <c r="C134" s="13">
        <f t="shared" si="15"/>
        <v>12.703999999999988</v>
      </c>
      <c r="D134" s="13">
        <f t="shared" si="16"/>
        <v>7.0819999999999919</v>
      </c>
      <c r="E134" s="13">
        <f t="shared" si="17"/>
        <v>12.1</v>
      </c>
      <c r="F134" s="106"/>
      <c r="H134" s="8">
        <v>476</v>
      </c>
      <c r="I134" s="13">
        <f t="shared" si="18"/>
        <v>7.0819999999999919</v>
      </c>
      <c r="K134" s="8">
        <v>476</v>
      </c>
      <c r="L134" s="13">
        <f t="shared" si="19"/>
        <v>12.1</v>
      </c>
      <c r="N134" s="8">
        <v>476</v>
      </c>
      <c r="O134" s="14">
        <v>0.107</v>
      </c>
    </row>
    <row r="135" spans="2:15">
      <c r="B135" s="8">
        <v>477</v>
      </c>
      <c r="C135" s="13">
        <f t="shared" si="15"/>
        <v>12.707999999999988</v>
      </c>
      <c r="D135" s="13">
        <f t="shared" si="16"/>
        <v>7.0889999999999915</v>
      </c>
      <c r="E135" s="13">
        <f t="shared" si="17"/>
        <v>12.1</v>
      </c>
      <c r="F135" s="106"/>
      <c r="H135" s="8">
        <v>477</v>
      </c>
      <c r="I135" s="13">
        <f t="shared" si="18"/>
        <v>7.0889999999999915</v>
      </c>
      <c r="K135" s="8">
        <v>477</v>
      </c>
      <c r="L135" s="13">
        <f t="shared" si="19"/>
        <v>12.1</v>
      </c>
      <c r="N135" s="8">
        <v>477</v>
      </c>
      <c r="O135" s="14">
        <v>0.107</v>
      </c>
    </row>
    <row r="136" spans="2:15">
      <c r="B136" s="8">
        <v>478</v>
      </c>
      <c r="C136" s="13">
        <f t="shared" si="15"/>
        <v>12.711999999999987</v>
      </c>
      <c r="D136" s="13">
        <f t="shared" si="16"/>
        <v>7.0959999999999912</v>
      </c>
      <c r="E136" s="13">
        <f t="shared" si="17"/>
        <v>12.1</v>
      </c>
      <c r="F136" s="106"/>
      <c r="H136" s="8">
        <v>478</v>
      </c>
      <c r="I136" s="13">
        <f t="shared" si="18"/>
        <v>7.0959999999999912</v>
      </c>
      <c r="K136" s="8">
        <v>478</v>
      </c>
      <c r="L136" s="13">
        <f t="shared" si="19"/>
        <v>12.1</v>
      </c>
      <c r="N136" s="8">
        <v>478</v>
      </c>
      <c r="O136" s="14">
        <v>0.107</v>
      </c>
    </row>
    <row r="137" spans="2:15">
      <c r="B137" s="8">
        <v>479</v>
      </c>
      <c r="C137" s="13">
        <f t="shared" si="15"/>
        <v>12.715999999999987</v>
      </c>
      <c r="D137" s="13">
        <f t="shared" si="16"/>
        <v>7.1029999999999909</v>
      </c>
      <c r="E137" s="13">
        <f t="shared" si="17"/>
        <v>12.1</v>
      </c>
      <c r="F137" s="106"/>
      <c r="H137" s="8">
        <v>479</v>
      </c>
      <c r="I137" s="13">
        <f t="shared" si="18"/>
        <v>7.1029999999999909</v>
      </c>
      <c r="K137" s="8">
        <v>479</v>
      </c>
      <c r="L137" s="13">
        <f t="shared" si="19"/>
        <v>12.1</v>
      </c>
      <c r="N137" s="8">
        <v>479</v>
      </c>
      <c r="O137" s="14">
        <v>0.107</v>
      </c>
    </row>
    <row r="138" spans="2:15">
      <c r="B138" s="8">
        <v>480</v>
      </c>
      <c r="C138" s="13">
        <f t="shared" si="15"/>
        <v>12.719999999999986</v>
      </c>
      <c r="D138" s="13">
        <f t="shared" si="16"/>
        <v>7.1099999999999905</v>
      </c>
      <c r="E138" s="13">
        <f t="shared" si="17"/>
        <v>12.1</v>
      </c>
      <c r="F138" s="106"/>
      <c r="H138" s="8">
        <v>480</v>
      </c>
      <c r="I138" s="13">
        <f t="shared" si="18"/>
        <v>7.1099999999999905</v>
      </c>
      <c r="K138" s="8">
        <v>480</v>
      </c>
      <c r="L138" s="13">
        <f t="shared" si="19"/>
        <v>12.1</v>
      </c>
      <c r="N138" s="8">
        <v>480</v>
      </c>
      <c r="O138" s="14">
        <v>0.107</v>
      </c>
    </row>
    <row r="139" spans="2:15">
      <c r="B139" s="8">
        <v>481</v>
      </c>
      <c r="C139" s="13">
        <f t="shared" si="15"/>
        <v>12.723999999999986</v>
      </c>
      <c r="D139" s="13">
        <f t="shared" si="16"/>
        <v>7.1169999999999902</v>
      </c>
      <c r="E139" s="13">
        <f t="shared" si="17"/>
        <v>12.1</v>
      </c>
      <c r="F139" s="106"/>
      <c r="H139" s="8">
        <v>481</v>
      </c>
      <c r="I139" s="13">
        <f t="shared" si="18"/>
        <v>7.1169999999999902</v>
      </c>
      <c r="K139" s="8">
        <v>481</v>
      </c>
      <c r="L139" s="13">
        <f t="shared" si="19"/>
        <v>12.1</v>
      </c>
      <c r="N139" s="8">
        <v>481</v>
      </c>
      <c r="O139" s="14">
        <v>0.107</v>
      </c>
    </row>
    <row r="140" spans="2:15">
      <c r="B140" s="8">
        <v>482</v>
      </c>
      <c r="C140" s="13">
        <f t="shared" si="15"/>
        <v>12.727999999999986</v>
      </c>
      <c r="D140" s="13">
        <f t="shared" si="16"/>
        <v>7.1239999999999899</v>
      </c>
      <c r="E140" s="13">
        <f t="shared" si="17"/>
        <v>12.1</v>
      </c>
      <c r="F140" s="106"/>
      <c r="H140" s="8">
        <v>482</v>
      </c>
      <c r="I140" s="13">
        <f t="shared" si="18"/>
        <v>7.1239999999999899</v>
      </c>
      <c r="K140" s="8">
        <v>482</v>
      </c>
      <c r="L140" s="13">
        <f t="shared" si="19"/>
        <v>12.1</v>
      </c>
      <c r="N140" s="8">
        <v>482</v>
      </c>
      <c r="O140" s="14">
        <v>0.107</v>
      </c>
    </row>
    <row r="141" spans="2:15">
      <c r="B141" s="8">
        <v>483</v>
      </c>
      <c r="C141" s="13">
        <f t="shared" ref="C141:C172" si="20">C140+(($C$208-$C$108)/100)</f>
        <v>12.731999999999985</v>
      </c>
      <c r="D141" s="13">
        <f t="shared" ref="D141:D172" si="21">D140+(($D$208-$D$108)/100)</f>
        <v>7.1309999999999896</v>
      </c>
      <c r="E141" s="13">
        <f t="shared" ref="E141:E172" si="22">E140+(($E$208-$E$108)/100)</f>
        <v>12.1</v>
      </c>
      <c r="F141" s="106"/>
      <c r="H141" s="8">
        <v>483</v>
      </c>
      <c r="I141" s="13">
        <f t="shared" ref="I141:I172" si="23">I140+(($D$208-$D$108)/100)</f>
        <v>7.1309999999999896</v>
      </c>
      <c r="K141" s="8">
        <v>483</v>
      </c>
      <c r="L141" s="13">
        <f t="shared" ref="L141:L172" si="24">L140+(($E$208-$E$108)/100)</f>
        <v>12.1</v>
      </c>
      <c r="N141" s="8">
        <v>483</v>
      </c>
      <c r="O141" s="14">
        <v>0.107</v>
      </c>
    </row>
    <row r="142" spans="2:15">
      <c r="B142" s="8">
        <v>484</v>
      </c>
      <c r="C142" s="13">
        <f t="shared" si="20"/>
        <v>12.735999999999985</v>
      </c>
      <c r="D142" s="13">
        <f t="shared" si="21"/>
        <v>7.1379999999999892</v>
      </c>
      <c r="E142" s="13">
        <f t="shared" si="22"/>
        <v>12.1</v>
      </c>
      <c r="F142" s="106"/>
      <c r="H142" s="8">
        <v>484</v>
      </c>
      <c r="I142" s="13">
        <f t="shared" si="23"/>
        <v>7.1379999999999892</v>
      </c>
      <c r="K142" s="8">
        <v>484</v>
      </c>
      <c r="L142" s="13">
        <f t="shared" si="24"/>
        <v>12.1</v>
      </c>
      <c r="N142" s="8">
        <v>484</v>
      </c>
      <c r="O142" s="14">
        <v>0.107</v>
      </c>
    </row>
    <row r="143" spans="2:15">
      <c r="B143" s="8">
        <v>485</v>
      </c>
      <c r="C143" s="13">
        <f t="shared" si="20"/>
        <v>12.739999999999984</v>
      </c>
      <c r="D143" s="13">
        <f t="shared" si="21"/>
        <v>7.1449999999999889</v>
      </c>
      <c r="E143" s="13">
        <f t="shared" si="22"/>
        <v>12.1</v>
      </c>
      <c r="F143" s="106"/>
      <c r="H143" s="8">
        <v>485</v>
      </c>
      <c r="I143" s="13">
        <f t="shared" si="23"/>
        <v>7.1449999999999889</v>
      </c>
      <c r="K143" s="8">
        <v>485</v>
      </c>
      <c r="L143" s="13">
        <f t="shared" si="24"/>
        <v>12.1</v>
      </c>
      <c r="N143" s="8">
        <v>485</v>
      </c>
      <c r="O143" s="14">
        <v>0.107</v>
      </c>
    </row>
    <row r="144" spans="2:15">
      <c r="B144" s="8">
        <v>486</v>
      </c>
      <c r="C144" s="13">
        <f t="shared" si="20"/>
        <v>12.743999999999984</v>
      </c>
      <c r="D144" s="13">
        <f t="shared" si="21"/>
        <v>7.1519999999999886</v>
      </c>
      <c r="E144" s="13">
        <f t="shared" si="22"/>
        <v>12.1</v>
      </c>
      <c r="F144" s="106"/>
      <c r="H144" s="8">
        <v>486</v>
      </c>
      <c r="I144" s="13">
        <f t="shared" si="23"/>
        <v>7.1519999999999886</v>
      </c>
      <c r="K144" s="8">
        <v>486</v>
      </c>
      <c r="L144" s="13">
        <f t="shared" si="24"/>
        <v>12.1</v>
      </c>
      <c r="N144" s="8">
        <v>486</v>
      </c>
      <c r="O144" s="14">
        <v>0.107</v>
      </c>
    </row>
    <row r="145" spans="2:15">
      <c r="B145" s="8">
        <v>487</v>
      </c>
      <c r="C145" s="13">
        <f t="shared" si="20"/>
        <v>12.747999999999983</v>
      </c>
      <c r="D145" s="13">
        <f t="shared" si="21"/>
        <v>7.1589999999999883</v>
      </c>
      <c r="E145" s="13">
        <f t="shared" si="22"/>
        <v>12.1</v>
      </c>
      <c r="F145" s="106"/>
      <c r="H145" s="8">
        <v>487</v>
      </c>
      <c r="I145" s="13">
        <f t="shared" si="23"/>
        <v>7.1589999999999883</v>
      </c>
      <c r="K145" s="8">
        <v>487</v>
      </c>
      <c r="L145" s="13">
        <f t="shared" si="24"/>
        <v>12.1</v>
      </c>
      <c r="N145" s="8">
        <v>487</v>
      </c>
      <c r="O145" s="14">
        <v>0.107</v>
      </c>
    </row>
    <row r="146" spans="2:15">
      <c r="B146" s="8">
        <v>488</v>
      </c>
      <c r="C146" s="13">
        <f t="shared" si="20"/>
        <v>12.751999999999983</v>
      </c>
      <c r="D146" s="13">
        <f t="shared" si="21"/>
        <v>7.1659999999999879</v>
      </c>
      <c r="E146" s="13">
        <f t="shared" si="22"/>
        <v>12.1</v>
      </c>
      <c r="F146" s="106"/>
      <c r="H146" s="8">
        <v>488</v>
      </c>
      <c r="I146" s="13">
        <f t="shared" si="23"/>
        <v>7.1659999999999879</v>
      </c>
      <c r="K146" s="8">
        <v>488</v>
      </c>
      <c r="L146" s="13">
        <f t="shared" si="24"/>
        <v>12.1</v>
      </c>
      <c r="N146" s="8">
        <v>488</v>
      </c>
      <c r="O146" s="14">
        <v>0.107</v>
      </c>
    </row>
    <row r="147" spans="2:15">
      <c r="B147" s="8">
        <v>489</v>
      </c>
      <c r="C147" s="13">
        <f t="shared" si="20"/>
        <v>12.755999999999982</v>
      </c>
      <c r="D147" s="13">
        <f t="shared" si="21"/>
        <v>7.1729999999999876</v>
      </c>
      <c r="E147" s="13">
        <f t="shared" si="22"/>
        <v>12.1</v>
      </c>
      <c r="F147" s="106"/>
      <c r="H147" s="8">
        <v>489</v>
      </c>
      <c r="I147" s="13">
        <f t="shared" si="23"/>
        <v>7.1729999999999876</v>
      </c>
      <c r="K147" s="8">
        <v>489</v>
      </c>
      <c r="L147" s="13">
        <f t="shared" si="24"/>
        <v>12.1</v>
      </c>
      <c r="N147" s="8">
        <v>489</v>
      </c>
      <c r="O147" s="14">
        <v>0.107</v>
      </c>
    </row>
    <row r="148" spans="2:15">
      <c r="B148" s="8">
        <v>490</v>
      </c>
      <c r="C148" s="13">
        <f t="shared" si="20"/>
        <v>12.759999999999982</v>
      </c>
      <c r="D148" s="13">
        <f t="shared" si="21"/>
        <v>7.1799999999999873</v>
      </c>
      <c r="E148" s="13">
        <f t="shared" si="22"/>
        <v>12.1</v>
      </c>
      <c r="F148" s="106"/>
      <c r="H148" s="8">
        <v>490</v>
      </c>
      <c r="I148" s="13">
        <f t="shared" si="23"/>
        <v>7.1799999999999873</v>
      </c>
      <c r="K148" s="8">
        <v>490</v>
      </c>
      <c r="L148" s="13">
        <f t="shared" si="24"/>
        <v>12.1</v>
      </c>
      <c r="N148" s="8">
        <v>490</v>
      </c>
      <c r="O148" s="14">
        <v>0.107</v>
      </c>
    </row>
    <row r="149" spans="2:15">
      <c r="B149" s="8">
        <v>491</v>
      </c>
      <c r="C149" s="13">
        <f t="shared" si="20"/>
        <v>12.763999999999982</v>
      </c>
      <c r="D149" s="13">
        <f t="shared" si="21"/>
        <v>7.186999999999987</v>
      </c>
      <c r="E149" s="13">
        <f t="shared" si="22"/>
        <v>12.1</v>
      </c>
      <c r="F149" s="106"/>
      <c r="H149" s="8">
        <v>491</v>
      </c>
      <c r="I149" s="13">
        <f t="shared" si="23"/>
        <v>7.186999999999987</v>
      </c>
      <c r="K149" s="8">
        <v>491</v>
      </c>
      <c r="L149" s="13">
        <f t="shared" si="24"/>
        <v>12.1</v>
      </c>
      <c r="N149" s="8">
        <v>491</v>
      </c>
      <c r="O149" s="14">
        <v>0.107</v>
      </c>
    </row>
    <row r="150" spans="2:15">
      <c r="B150" s="8">
        <v>492</v>
      </c>
      <c r="C150" s="13">
        <f t="shared" si="20"/>
        <v>12.767999999999981</v>
      </c>
      <c r="D150" s="13">
        <f t="shared" si="21"/>
        <v>7.1939999999999866</v>
      </c>
      <c r="E150" s="13">
        <f t="shared" si="22"/>
        <v>12.1</v>
      </c>
      <c r="F150" s="106"/>
      <c r="H150" s="8">
        <v>492</v>
      </c>
      <c r="I150" s="13">
        <f t="shared" si="23"/>
        <v>7.1939999999999866</v>
      </c>
      <c r="K150" s="8">
        <v>492</v>
      </c>
      <c r="L150" s="13">
        <f t="shared" si="24"/>
        <v>12.1</v>
      </c>
      <c r="N150" s="8">
        <v>492</v>
      </c>
      <c r="O150" s="14">
        <v>0.107</v>
      </c>
    </row>
    <row r="151" spans="2:15">
      <c r="B151" s="8">
        <v>493</v>
      </c>
      <c r="C151" s="13">
        <f t="shared" si="20"/>
        <v>12.771999999999981</v>
      </c>
      <c r="D151" s="13">
        <f t="shared" si="21"/>
        <v>7.2009999999999863</v>
      </c>
      <c r="E151" s="13">
        <f t="shared" si="22"/>
        <v>12.1</v>
      </c>
      <c r="F151" s="106"/>
      <c r="H151" s="8">
        <v>493</v>
      </c>
      <c r="I151" s="13">
        <f t="shared" si="23"/>
        <v>7.2009999999999863</v>
      </c>
      <c r="K151" s="8">
        <v>493</v>
      </c>
      <c r="L151" s="13">
        <f t="shared" si="24"/>
        <v>12.1</v>
      </c>
      <c r="N151" s="8">
        <v>493</v>
      </c>
      <c r="O151" s="14">
        <v>0.107</v>
      </c>
    </row>
    <row r="152" spans="2:15">
      <c r="B152" s="8">
        <v>494</v>
      </c>
      <c r="C152" s="13">
        <f t="shared" si="20"/>
        <v>12.77599999999998</v>
      </c>
      <c r="D152" s="13">
        <f t="shared" si="21"/>
        <v>7.207999999999986</v>
      </c>
      <c r="E152" s="13">
        <f t="shared" si="22"/>
        <v>12.1</v>
      </c>
      <c r="F152" s="106"/>
      <c r="H152" s="8">
        <v>494</v>
      </c>
      <c r="I152" s="13">
        <f t="shared" si="23"/>
        <v>7.207999999999986</v>
      </c>
      <c r="K152" s="8">
        <v>494</v>
      </c>
      <c r="L152" s="13">
        <f t="shared" si="24"/>
        <v>12.1</v>
      </c>
      <c r="N152" s="8">
        <v>494</v>
      </c>
      <c r="O152" s="14">
        <v>0.107</v>
      </c>
    </row>
    <row r="153" spans="2:15">
      <c r="B153" s="8">
        <v>495</v>
      </c>
      <c r="C153" s="13">
        <f t="shared" si="20"/>
        <v>12.77999999999998</v>
      </c>
      <c r="D153" s="13">
        <f t="shared" si="21"/>
        <v>7.2149999999999856</v>
      </c>
      <c r="E153" s="13">
        <f t="shared" si="22"/>
        <v>12.1</v>
      </c>
      <c r="F153" s="106"/>
      <c r="H153" s="8">
        <v>495</v>
      </c>
      <c r="I153" s="13">
        <f t="shared" si="23"/>
        <v>7.2149999999999856</v>
      </c>
      <c r="K153" s="8">
        <v>495</v>
      </c>
      <c r="L153" s="13">
        <f t="shared" si="24"/>
        <v>12.1</v>
      </c>
      <c r="N153" s="8">
        <v>495</v>
      </c>
      <c r="O153" s="14">
        <v>0.107</v>
      </c>
    </row>
    <row r="154" spans="2:15">
      <c r="B154" s="8">
        <v>496</v>
      </c>
      <c r="C154" s="13">
        <f t="shared" si="20"/>
        <v>12.783999999999979</v>
      </c>
      <c r="D154" s="13">
        <f t="shared" si="21"/>
        <v>7.2219999999999853</v>
      </c>
      <c r="E154" s="13">
        <f t="shared" si="22"/>
        <v>12.1</v>
      </c>
      <c r="F154" s="106"/>
      <c r="H154" s="8">
        <v>496</v>
      </c>
      <c r="I154" s="13">
        <f t="shared" si="23"/>
        <v>7.2219999999999853</v>
      </c>
      <c r="K154" s="8">
        <v>496</v>
      </c>
      <c r="L154" s="13">
        <f t="shared" si="24"/>
        <v>12.1</v>
      </c>
      <c r="N154" s="8">
        <v>496</v>
      </c>
      <c r="O154" s="14">
        <v>0.107</v>
      </c>
    </row>
    <row r="155" spans="2:15">
      <c r="B155" s="8">
        <v>497</v>
      </c>
      <c r="C155" s="13">
        <f t="shared" si="20"/>
        <v>12.787999999999979</v>
      </c>
      <c r="D155" s="13">
        <f t="shared" si="21"/>
        <v>7.228999999999985</v>
      </c>
      <c r="E155" s="13">
        <f t="shared" si="22"/>
        <v>12.1</v>
      </c>
      <c r="F155" s="106"/>
      <c r="H155" s="8">
        <v>497</v>
      </c>
      <c r="I155" s="13">
        <f t="shared" si="23"/>
        <v>7.228999999999985</v>
      </c>
      <c r="K155" s="8">
        <v>497</v>
      </c>
      <c r="L155" s="13">
        <f t="shared" si="24"/>
        <v>12.1</v>
      </c>
      <c r="N155" s="8">
        <v>497</v>
      </c>
      <c r="O155" s="14">
        <v>0.107</v>
      </c>
    </row>
    <row r="156" spans="2:15">
      <c r="B156" s="8">
        <v>498</v>
      </c>
      <c r="C156" s="13">
        <f t="shared" si="20"/>
        <v>12.791999999999978</v>
      </c>
      <c r="D156" s="13">
        <f t="shared" si="21"/>
        <v>7.2359999999999847</v>
      </c>
      <c r="E156" s="13">
        <f t="shared" si="22"/>
        <v>12.1</v>
      </c>
      <c r="F156" s="106"/>
      <c r="H156" s="8">
        <v>498</v>
      </c>
      <c r="I156" s="13">
        <f t="shared" si="23"/>
        <v>7.2359999999999847</v>
      </c>
      <c r="K156" s="8">
        <v>498</v>
      </c>
      <c r="L156" s="13">
        <f t="shared" si="24"/>
        <v>12.1</v>
      </c>
      <c r="N156" s="8">
        <v>498</v>
      </c>
      <c r="O156" s="14">
        <v>0.107</v>
      </c>
    </row>
    <row r="157" spans="2:15">
      <c r="B157" s="8">
        <v>499</v>
      </c>
      <c r="C157" s="13">
        <f t="shared" si="20"/>
        <v>12.795999999999978</v>
      </c>
      <c r="D157" s="13">
        <f t="shared" si="21"/>
        <v>7.2429999999999843</v>
      </c>
      <c r="E157" s="13">
        <f t="shared" si="22"/>
        <v>12.1</v>
      </c>
      <c r="F157" s="106"/>
      <c r="H157" s="8">
        <v>499</v>
      </c>
      <c r="I157" s="13">
        <f t="shared" si="23"/>
        <v>7.2429999999999843</v>
      </c>
      <c r="K157" s="8">
        <v>499</v>
      </c>
      <c r="L157" s="13">
        <f t="shared" si="24"/>
        <v>12.1</v>
      </c>
      <c r="N157" s="8">
        <v>499</v>
      </c>
      <c r="O157" s="14">
        <v>0.107</v>
      </c>
    </row>
    <row r="158" spans="2:15">
      <c r="B158" s="8">
        <v>500</v>
      </c>
      <c r="C158" s="13">
        <f t="shared" si="20"/>
        <v>12.799999999999978</v>
      </c>
      <c r="D158" s="13">
        <f t="shared" si="21"/>
        <v>7.249999999999984</v>
      </c>
      <c r="E158" s="13">
        <f t="shared" si="22"/>
        <v>12.1</v>
      </c>
      <c r="F158" s="106"/>
      <c r="H158" s="8">
        <v>500</v>
      </c>
      <c r="I158" s="13">
        <f t="shared" si="23"/>
        <v>7.249999999999984</v>
      </c>
      <c r="K158" s="8">
        <v>500</v>
      </c>
      <c r="L158" s="13">
        <f t="shared" si="24"/>
        <v>12.1</v>
      </c>
      <c r="N158" s="8">
        <v>500</v>
      </c>
      <c r="O158" s="14">
        <v>0.107</v>
      </c>
    </row>
    <row r="159" spans="2:15">
      <c r="B159" s="8">
        <v>501</v>
      </c>
      <c r="C159" s="13">
        <f t="shared" si="20"/>
        <v>12.803999999999977</v>
      </c>
      <c r="D159" s="13">
        <f t="shared" si="21"/>
        <v>7.2569999999999837</v>
      </c>
      <c r="E159" s="13">
        <f t="shared" si="22"/>
        <v>12.1</v>
      </c>
      <c r="F159" s="106"/>
      <c r="H159" s="8">
        <v>501</v>
      </c>
      <c r="I159" s="13">
        <f t="shared" si="23"/>
        <v>7.2569999999999837</v>
      </c>
      <c r="K159" s="8">
        <v>501</v>
      </c>
      <c r="L159" s="13">
        <f t="shared" si="24"/>
        <v>12.1</v>
      </c>
      <c r="N159" s="8">
        <v>501</v>
      </c>
      <c r="O159" s="14">
        <v>0.107</v>
      </c>
    </row>
    <row r="160" spans="2:15">
      <c r="B160" s="8">
        <v>502</v>
      </c>
      <c r="C160" s="13">
        <f t="shared" si="20"/>
        <v>12.807999999999977</v>
      </c>
      <c r="D160" s="13">
        <f t="shared" si="21"/>
        <v>7.2639999999999834</v>
      </c>
      <c r="E160" s="13">
        <f t="shared" si="22"/>
        <v>12.1</v>
      </c>
      <c r="F160" s="106"/>
      <c r="H160" s="8">
        <v>502</v>
      </c>
      <c r="I160" s="13">
        <f t="shared" si="23"/>
        <v>7.2639999999999834</v>
      </c>
      <c r="K160" s="8">
        <v>502</v>
      </c>
      <c r="L160" s="13">
        <f t="shared" si="24"/>
        <v>12.1</v>
      </c>
      <c r="N160" s="8">
        <v>502</v>
      </c>
      <c r="O160" s="14">
        <v>0.107</v>
      </c>
    </row>
    <row r="161" spans="2:15">
      <c r="B161" s="8">
        <v>503</v>
      </c>
      <c r="C161" s="13">
        <f t="shared" si="20"/>
        <v>12.811999999999976</v>
      </c>
      <c r="D161" s="13">
        <f t="shared" si="21"/>
        <v>7.270999999999983</v>
      </c>
      <c r="E161" s="13">
        <f t="shared" si="22"/>
        <v>12.1</v>
      </c>
      <c r="F161" s="106"/>
      <c r="H161" s="8">
        <v>503</v>
      </c>
      <c r="I161" s="13">
        <f t="shared" si="23"/>
        <v>7.270999999999983</v>
      </c>
      <c r="K161" s="8">
        <v>503</v>
      </c>
      <c r="L161" s="13">
        <f t="shared" si="24"/>
        <v>12.1</v>
      </c>
      <c r="N161" s="8">
        <v>503</v>
      </c>
      <c r="O161" s="14">
        <v>0.107</v>
      </c>
    </row>
    <row r="162" spans="2:15">
      <c r="B162" s="8">
        <v>504</v>
      </c>
      <c r="C162" s="13">
        <f t="shared" si="20"/>
        <v>12.815999999999976</v>
      </c>
      <c r="D162" s="13">
        <f t="shared" si="21"/>
        <v>7.2779999999999827</v>
      </c>
      <c r="E162" s="13">
        <f t="shared" si="22"/>
        <v>12.1</v>
      </c>
      <c r="F162" s="106"/>
      <c r="H162" s="8">
        <v>504</v>
      </c>
      <c r="I162" s="13">
        <f t="shared" si="23"/>
        <v>7.2779999999999827</v>
      </c>
      <c r="K162" s="8">
        <v>504</v>
      </c>
      <c r="L162" s="13">
        <f t="shared" si="24"/>
        <v>12.1</v>
      </c>
      <c r="N162" s="8">
        <v>504</v>
      </c>
      <c r="O162" s="14">
        <v>0.107</v>
      </c>
    </row>
    <row r="163" spans="2:15">
      <c r="B163" s="8">
        <v>505</v>
      </c>
      <c r="C163" s="13">
        <f t="shared" si="20"/>
        <v>12.819999999999975</v>
      </c>
      <c r="D163" s="13">
        <f t="shared" si="21"/>
        <v>7.2849999999999824</v>
      </c>
      <c r="E163" s="13">
        <f t="shared" si="22"/>
        <v>12.1</v>
      </c>
      <c r="F163" s="106"/>
      <c r="H163" s="8">
        <v>505</v>
      </c>
      <c r="I163" s="13">
        <f t="shared" si="23"/>
        <v>7.2849999999999824</v>
      </c>
      <c r="K163" s="8">
        <v>505</v>
      </c>
      <c r="L163" s="13">
        <f t="shared" si="24"/>
        <v>12.1</v>
      </c>
      <c r="N163" s="8">
        <v>505</v>
      </c>
      <c r="O163" s="14">
        <v>0.107</v>
      </c>
    </row>
    <row r="164" spans="2:15">
      <c r="B164" s="8">
        <v>506</v>
      </c>
      <c r="C164" s="13">
        <f t="shared" si="20"/>
        <v>12.823999999999975</v>
      </c>
      <c r="D164" s="13">
        <f t="shared" si="21"/>
        <v>7.2919999999999821</v>
      </c>
      <c r="E164" s="13">
        <f t="shared" si="22"/>
        <v>12.1</v>
      </c>
      <c r="F164" s="106"/>
      <c r="H164" s="8">
        <v>506</v>
      </c>
      <c r="I164" s="13">
        <f t="shared" si="23"/>
        <v>7.2919999999999821</v>
      </c>
      <c r="K164" s="8">
        <v>506</v>
      </c>
      <c r="L164" s="13">
        <f t="shared" si="24"/>
        <v>12.1</v>
      </c>
      <c r="N164" s="8">
        <v>506</v>
      </c>
      <c r="O164" s="14">
        <v>0.107</v>
      </c>
    </row>
    <row r="165" spans="2:15">
      <c r="B165" s="8">
        <v>507</v>
      </c>
      <c r="C165" s="13">
        <f t="shared" si="20"/>
        <v>12.827999999999975</v>
      </c>
      <c r="D165" s="13">
        <f t="shared" si="21"/>
        <v>7.2989999999999817</v>
      </c>
      <c r="E165" s="13">
        <f t="shared" si="22"/>
        <v>12.1</v>
      </c>
      <c r="F165" s="106"/>
      <c r="H165" s="8">
        <v>507</v>
      </c>
      <c r="I165" s="13">
        <f t="shared" si="23"/>
        <v>7.2989999999999817</v>
      </c>
      <c r="K165" s="8">
        <v>507</v>
      </c>
      <c r="L165" s="13">
        <f t="shared" si="24"/>
        <v>12.1</v>
      </c>
      <c r="N165" s="8">
        <v>507</v>
      </c>
      <c r="O165" s="14">
        <v>0.107</v>
      </c>
    </row>
    <row r="166" spans="2:15">
      <c r="B166" s="8">
        <v>508</v>
      </c>
      <c r="C166" s="13">
        <f t="shared" si="20"/>
        <v>12.831999999999974</v>
      </c>
      <c r="D166" s="13">
        <f t="shared" si="21"/>
        <v>7.3059999999999814</v>
      </c>
      <c r="E166" s="13">
        <f t="shared" si="22"/>
        <v>12.1</v>
      </c>
      <c r="F166" s="106"/>
      <c r="H166" s="8">
        <v>508</v>
      </c>
      <c r="I166" s="13">
        <f t="shared" si="23"/>
        <v>7.3059999999999814</v>
      </c>
      <c r="K166" s="8">
        <v>508</v>
      </c>
      <c r="L166" s="13">
        <f t="shared" si="24"/>
        <v>12.1</v>
      </c>
      <c r="N166" s="8">
        <v>508</v>
      </c>
      <c r="O166" s="14">
        <v>0.107</v>
      </c>
    </row>
    <row r="167" spans="2:15">
      <c r="B167" s="8">
        <v>509</v>
      </c>
      <c r="C167" s="13">
        <f t="shared" si="20"/>
        <v>12.835999999999974</v>
      </c>
      <c r="D167" s="13">
        <f t="shared" si="21"/>
        <v>7.3129999999999811</v>
      </c>
      <c r="E167" s="13">
        <f t="shared" si="22"/>
        <v>12.1</v>
      </c>
      <c r="F167" s="106"/>
      <c r="H167" s="8">
        <v>509</v>
      </c>
      <c r="I167" s="13">
        <f t="shared" si="23"/>
        <v>7.3129999999999811</v>
      </c>
      <c r="K167" s="8">
        <v>509</v>
      </c>
      <c r="L167" s="13">
        <f t="shared" si="24"/>
        <v>12.1</v>
      </c>
      <c r="N167" s="8">
        <v>509</v>
      </c>
      <c r="O167" s="14">
        <v>0.107</v>
      </c>
    </row>
    <row r="168" spans="2:15">
      <c r="B168" s="8">
        <v>510</v>
      </c>
      <c r="C168" s="13">
        <f t="shared" si="20"/>
        <v>12.839999999999973</v>
      </c>
      <c r="D168" s="13">
        <f t="shared" si="21"/>
        <v>7.3199999999999807</v>
      </c>
      <c r="E168" s="13">
        <f t="shared" si="22"/>
        <v>12.1</v>
      </c>
      <c r="F168" s="106"/>
      <c r="H168" s="8">
        <v>510</v>
      </c>
      <c r="I168" s="13">
        <f t="shared" si="23"/>
        <v>7.3199999999999807</v>
      </c>
      <c r="K168" s="8">
        <v>510</v>
      </c>
      <c r="L168" s="13">
        <f t="shared" si="24"/>
        <v>12.1</v>
      </c>
      <c r="N168" s="8">
        <v>510</v>
      </c>
      <c r="O168" s="14">
        <v>0.107</v>
      </c>
    </row>
    <row r="169" spans="2:15">
      <c r="B169" s="8">
        <v>511</v>
      </c>
      <c r="C169" s="13">
        <f t="shared" si="20"/>
        <v>12.843999999999973</v>
      </c>
      <c r="D169" s="13">
        <f t="shared" si="21"/>
        <v>7.3269999999999804</v>
      </c>
      <c r="E169" s="13">
        <f t="shared" si="22"/>
        <v>12.1</v>
      </c>
      <c r="F169" s="106"/>
      <c r="H169" s="8">
        <v>511</v>
      </c>
      <c r="I169" s="13">
        <f t="shared" si="23"/>
        <v>7.3269999999999804</v>
      </c>
      <c r="K169" s="8">
        <v>511</v>
      </c>
      <c r="L169" s="13">
        <f t="shared" si="24"/>
        <v>12.1</v>
      </c>
      <c r="N169" s="8">
        <v>511</v>
      </c>
      <c r="O169" s="14">
        <v>0.107</v>
      </c>
    </row>
    <row r="170" spans="2:15">
      <c r="B170" s="8">
        <v>512</v>
      </c>
      <c r="C170" s="13">
        <f t="shared" si="20"/>
        <v>12.847999999999972</v>
      </c>
      <c r="D170" s="13">
        <f t="shared" si="21"/>
        <v>7.3339999999999801</v>
      </c>
      <c r="E170" s="13">
        <f t="shared" si="22"/>
        <v>12.1</v>
      </c>
      <c r="F170" s="106"/>
      <c r="H170" s="8">
        <v>512</v>
      </c>
      <c r="I170" s="13">
        <f t="shared" si="23"/>
        <v>7.3339999999999801</v>
      </c>
      <c r="K170" s="8">
        <v>512</v>
      </c>
      <c r="L170" s="13">
        <f t="shared" si="24"/>
        <v>12.1</v>
      </c>
      <c r="N170" s="8">
        <v>512</v>
      </c>
      <c r="O170" s="14">
        <v>0.107</v>
      </c>
    </row>
    <row r="171" spans="2:15">
      <c r="B171" s="8">
        <v>513</v>
      </c>
      <c r="C171" s="13">
        <f t="shared" si="20"/>
        <v>12.851999999999972</v>
      </c>
      <c r="D171" s="13">
        <f t="shared" si="21"/>
        <v>7.3409999999999798</v>
      </c>
      <c r="E171" s="13">
        <f t="shared" si="22"/>
        <v>12.1</v>
      </c>
      <c r="F171" s="106"/>
      <c r="H171" s="8">
        <v>513</v>
      </c>
      <c r="I171" s="13">
        <f t="shared" si="23"/>
        <v>7.3409999999999798</v>
      </c>
      <c r="K171" s="8">
        <v>513</v>
      </c>
      <c r="L171" s="13">
        <f t="shared" si="24"/>
        <v>12.1</v>
      </c>
      <c r="N171" s="8">
        <v>513</v>
      </c>
      <c r="O171" s="14">
        <v>0.107</v>
      </c>
    </row>
    <row r="172" spans="2:15">
      <c r="B172" s="8">
        <v>514</v>
      </c>
      <c r="C172" s="13">
        <f t="shared" si="20"/>
        <v>12.855999999999971</v>
      </c>
      <c r="D172" s="13">
        <f t="shared" si="21"/>
        <v>7.3479999999999794</v>
      </c>
      <c r="E172" s="13">
        <f t="shared" si="22"/>
        <v>12.1</v>
      </c>
      <c r="F172" s="106"/>
      <c r="H172" s="8">
        <v>514</v>
      </c>
      <c r="I172" s="13">
        <f t="shared" si="23"/>
        <v>7.3479999999999794</v>
      </c>
      <c r="K172" s="8">
        <v>514</v>
      </c>
      <c r="L172" s="13">
        <f t="shared" si="24"/>
        <v>12.1</v>
      </c>
      <c r="N172" s="8">
        <v>514</v>
      </c>
      <c r="O172" s="14">
        <v>0.107</v>
      </c>
    </row>
    <row r="173" spans="2:15">
      <c r="B173" s="8">
        <v>515</v>
      </c>
      <c r="C173" s="13">
        <f t="shared" ref="C173:C207" si="25">C172+(($C$208-$C$108)/100)</f>
        <v>12.859999999999971</v>
      </c>
      <c r="D173" s="13">
        <f t="shared" ref="D173:D207" si="26">D172+(($D$208-$D$108)/100)</f>
        <v>7.3549999999999791</v>
      </c>
      <c r="E173" s="13">
        <f t="shared" ref="E173:E207" si="27">E172+(($E$208-$E$108)/100)</f>
        <v>12.1</v>
      </c>
      <c r="F173" s="106"/>
      <c r="H173" s="8">
        <v>515</v>
      </c>
      <c r="I173" s="13">
        <f t="shared" ref="I173:I207" si="28">I172+(($D$208-$D$108)/100)</f>
        <v>7.3549999999999791</v>
      </c>
      <c r="K173" s="8">
        <v>515</v>
      </c>
      <c r="L173" s="13">
        <f t="shared" ref="L173:L207" si="29">L172+(($E$208-$E$108)/100)</f>
        <v>12.1</v>
      </c>
      <c r="N173" s="8">
        <v>515</v>
      </c>
      <c r="O173" s="14">
        <v>0.107</v>
      </c>
    </row>
    <row r="174" spans="2:15">
      <c r="B174" s="8">
        <v>516</v>
      </c>
      <c r="C174" s="13">
        <f t="shared" si="25"/>
        <v>12.863999999999971</v>
      </c>
      <c r="D174" s="13">
        <f t="shared" si="26"/>
        <v>7.3619999999999788</v>
      </c>
      <c r="E174" s="13">
        <f t="shared" si="27"/>
        <v>12.1</v>
      </c>
      <c r="F174" s="106"/>
      <c r="H174" s="8">
        <v>516</v>
      </c>
      <c r="I174" s="13">
        <f t="shared" si="28"/>
        <v>7.3619999999999788</v>
      </c>
      <c r="K174" s="8">
        <v>516</v>
      </c>
      <c r="L174" s="13">
        <f t="shared" si="29"/>
        <v>12.1</v>
      </c>
      <c r="N174" s="8">
        <v>516</v>
      </c>
      <c r="O174" s="14">
        <v>0.107</v>
      </c>
    </row>
    <row r="175" spans="2:15">
      <c r="B175" s="8">
        <v>517</v>
      </c>
      <c r="C175" s="13">
        <f t="shared" si="25"/>
        <v>12.86799999999997</v>
      </c>
      <c r="D175" s="13">
        <f t="shared" si="26"/>
        <v>7.3689999999999785</v>
      </c>
      <c r="E175" s="13">
        <f t="shared" si="27"/>
        <v>12.1</v>
      </c>
      <c r="F175" s="106"/>
      <c r="H175" s="8">
        <v>517</v>
      </c>
      <c r="I175" s="13">
        <f t="shared" si="28"/>
        <v>7.3689999999999785</v>
      </c>
      <c r="K175" s="8">
        <v>517</v>
      </c>
      <c r="L175" s="13">
        <f t="shared" si="29"/>
        <v>12.1</v>
      </c>
      <c r="N175" s="8">
        <v>517</v>
      </c>
      <c r="O175" s="14">
        <v>0.107</v>
      </c>
    </row>
    <row r="176" spans="2:15">
      <c r="B176" s="8">
        <v>518</v>
      </c>
      <c r="C176" s="13">
        <f t="shared" si="25"/>
        <v>12.87199999999997</v>
      </c>
      <c r="D176" s="13">
        <f t="shared" si="26"/>
        <v>7.3759999999999781</v>
      </c>
      <c r="E176" s="13">
        <f t="shared" si="27"/>
        <v>12.1</v>
      </c>
      <c r="F176" s="106"/>
      <c r="H176" s="8">
        <v>518</v>
      </c>
      <c r="I176" s="13">
        <f t="shared" si="28"/>
        <v>7.3759999999999781</v>
      </c>
      <c r="K176" s="8">
        <v>518</v>
      </c>
      <c r="L176" s="13">
        <f t="shared" si="29"/>
        <v>12.1</v>
      </c>
      <c r="N176" s="8">
        <v>518</v>
      </c>
      <c r="O176" s="14">
        <v>0.107</v>
      </c>
    </row>
    <row r="177" spans="2:15">
      <c r="B177" s="8">
        <v>519</v>
      </c>
      <c r="C177" s="13">
        <f t="shared" si="25"/>
        <v>12.875999999999969</v>
      </c>
      <c r="D177" s="13">
        <f t="shared" si="26"/>
        <v>7.3829999999999778</v>
      </c>
      <c r="E177" s="13">
        <f t="shared" si="27"/>
        <v>12.1</v>
      </c>
      <c r="F177" s="106"/>
      <c r="H177" s="8">
        <v>519</v>
      </c>
      <c r="I177" s="13">
        <f t="shared" si="28"/>
        <v>7.3829999999999778</v>
      </c>
      <c r="K177" s="8">
        <v>519</v>
      </c>
      <c r="L177" s="13">
        <f t="shared" si="29"/>
        <v>12.1</v>
      </c>
      <c r="N177" s="8">
        <v>519</v>
      </c>
      <c r="O177" s="14">
        <v>0.107</v>
      </c>
    </row>
    <row r="178" spans="2:15">
      <c r="B178" s="8">
        <v>520</v>
      </c>
      <c r="C178" s="13">
        <f t="shared" si="25"/>
        <v>12.879999999999969</v>
      </c>
      <c r="D178" s="13">
        <f t="shared" si="26"/>
        <v>7.3899999999999775</v>
      </c>
      <c r="E178" s="13">
        <f t="shared" si="27"/>
        <v>12.1</v>
      </c>
      <c r="F178" s="106"/>
      <c r="H178" s="8">
        <v>520</v>
      </c>
      <c r="I178" s="13">
        <f t="shared" si="28"/>
        <v>7.3899999999999775</v>
      </c>
      <c r="K178" s="8">
        <v>520</v>
      </c>
      <c r="L178" s="13">
        <f t="shared" si="29"/>
        <v>12.1</v>
      </c>
      <c r="N178" s="8">
        <v>520</v>
      </c>
      <c r="O178" s="14">
        <v>0.107</v>
      </c>
    </row>
    <row r="179" spans="2:15">
      <c r="B179" s="8">
        <v>521</v>
      </c>
      <c r="C179" s="13">
        <f t="shared" si="25"/>
        <v>12.883999999999968</v>
      </c>
      <c r="D179" s="13">
        <f t="shared" si="26"/>
        <v>7.3969999999999771</v>
      </c>
      <c r="E179" s="13">
        <f t="shared" si="27"/>
        <v>12.1</v>
      </c>
      <c r="F179" s="106"/>
      <c r="H179" s="8">
        <v>521</v>
      </c>
      <c r="I179" s="13">
        <f t="shared" si="28"/>
        <v>7.3969999999999771</v>
      </c>
      <c r="K179" s="8">
        <v>521</v>
      </c>
      <c r="L179" s="13">
        <f t="shared" si="29"/>
        <v>12.1</v>
      </c>
      <c r="N179" s="8">
        <v>521</v>
      </c>
      <c r="O179" s="14">
        <v>0.107</v>
      </c>
    </row>
    <row r="180" spans="2:15">
      <c r="B180" s="8">
        <v>522</v>
      </c>
      <c r="C180" s="13">
        <f t="shared" si="25"/>
        <v>12.887999999999968</v>
      </c>
      <c r="D180" s="13">
        <f t="shared" si="26"/>
        <v>7.4039999999999768</v>
      </c>
      <c r="E180" s="13">
        <f t="shared" si="27"/>
        <v>12.1</v>
      </c>
      <c r="F180" s="106"/>
      <c r="H180" s="8">
        <v>522</v>
      </c>
      <c r="I180" s="13">
        <f t="shared" si="28"/>
        <v>7.4039999999999768</v>
      </c>
      <c r="K180" s="8">
        <v>522</v>
      </c>
      <c r="L180" s="13">
        <f t="shared" si="29"/>
        <v>12.1</v>
      </c>
      <c r="N180" s="8">
        <v>522</v>
      </c>
      <c r="O180" s="14">
        <v>0.107</v>
      </c>
    </row>
    <row r="181" spans="2:15">
      <c r="B181" s="8">
        <v>523</v>
      </c>
      <c r="C181" s="13">
        <f t="shared" si="25"/>
        <v>12.891999999999967</v>
      </c>
      <c r="D181" s="13">
        <f t="shared" si="26"/>
        <v>7.4109999999999765</v>
      </c>
      <c r="E181" s="13">
        <f t="shared" si="27"/>
        <v>12.1</v>
      </c>
      <c r="F181" s="106"/>
      <c r="H181" s="8">
        <v>523</v>
      </c>
      <c r="I181" s="13">
        <f t="shared" si="28"/>
        <v>7.4109999999999765</v>
      </c>
      <c r="K181" s="8">
        <v>523</v>
      </c>
      <c r="L181" s="13">
        <f t="shared" si="29"/>
        <v>12.1</v>
      </c>
      <c r="N181" s="8">
        <v>523</v>
      </c>
      <c r="O181" s="14">
        <v>0.107</v>
      </c>
    </row>
    <row r="182" spans="2:15">
      <c r="B182" s="8">
        <v>524</v>
      </c>
      <c r="C182" s="13">
        <f t="shared" si="25"/>
        <v>12.895999999999967</v>
      </c>
      <c r="D182" s="13">
        <f t="shared" si="26"/>
        <v>7.4179999999999762</v>
      </c>
      <c r="E182" s="13">
        <f t="shared" si="27"/>
        <v>12.1</v>
      </c>
      <c r="F182" s="106"/>
      <c r="H182" s="8">
        <v>524</v>
      </c>
      <c r="I182" s="13">
        <f t="shared" si="28"/>
        <v>7.4179999999999762</v>
      </c>
      <c r="K182" s="8">
        <v>524</v>
      </c>
      <c r="L182" s="13">
        <f t="shared" si="29"/>
        <v>12.1</v>
      </c>
      <c r="N182" s="8">
        <v>524</v>
      </c>
      <c r="O182" s="14">
        <v>0.107</v>
      </c>
    </row>
    <row r="183" spans="2:15">
      <c r="B183" s="8">
        <v>525</v>
      </c>
      <c r="C183" s="13">
        <f t="shared" si="25"/>
        <v>12.899999999999967</v>
      </c>
      <c r="D183" s="13">
        <f t="shared" si="26"/>
        <v>7.4249999999999758</v>
      </c>
      <c r="E183" s="13">
        <f t="shared" si="27"/>
        <v>12.1</v>
      </c>
      <c r="F183" s="106"/>
      <c r="H183" s="8">
        <v>525</v>
      </c>
      <c r="I183" s="13">
        <f t="shared" si="28"/>
        <v>7.4249999999999758</v>
      </c>
      <c r="K183" s="8">
        <v>525</v>
      </c>
      <c r="L183" s="13">
        <f t="shared" si="29"/>
        <v>12.1</v>
      </c>
      <c r="N183" s="8">
        <v>525</v>
      </c>
      <c r="O183" s="14">
        <v>0.107</v>
      </c>
    </row>
    <row r="184" spans="2:15">
      <c r="B184" s="8">
        <v>526</v>
      </c>
      <c r="C184" s="13">
        <f t="shared" si="25"/>
        <v>12.903999999999966</v>
      </c>
      <c r="D184" s="13">
        <f t="shared" si="26"/>
        <v>7.4319999999999755</v>
      </c>
      <c r="E184" s="13">
        <f t="shared" si="27"/>
        <v>12.1</v>
      </c>
      <c r="F184" s="106"/>
      <c r="H184" s="8">
        <v>526</v>
      </c>
      <c r="I184" s="13">
        <f t="shared" si="28"/>
        <v>7.4319999999999755</v>
      </c>
      <c r="K184" s="8">
        <v>526</v>
      </c>
      <c r="L184" s="13">
        <f t="shared" si="29"/>
        <v>12.1</v>
      </c>
      <c r="N184" s="8">
        <v>526</v>
      </c>
      <c r="O184" s="14">
        <v>0.107</v>
      </c>
    </row>
    <row r="185" spans="2:15">
      <c r="B185" s="8">
        <v>527</v>
      </c>
      <c r="C185" s="13">
        <f t="shared" si="25"/>
        <v>12.907999999999966</v>
      </c>
      <c r="D185" s="13">
        <f t="shared" si="26"/>
        <v>7.4389999999999752</v>
      </c>
      <c r="E185" s="13">
        <f t="shared" si="27"/>
        <v>12.1</v>
      </c>
      <c r="F185" s="106"/>
      <c r="H185" s="8">
        <v>527</v>
      </c>
      <c r="I185" s="13">
        <f t="shared" si="28"/>
        <v>7.4389999999999752</v>
      </c>
      <c r="K185" s="8">
        <v>527</v>
      </c>
      <c r="L185" s="13">
        <f t="shared" si="29"/>
        <v>12.1</v>
      </c>
      <c r="N185" s="8">
        <v>527</v>
      </c>
      <c r="O185" s="14">
        <v>0.107</v>
      </c>
    </row>
    <row r="186" spans="2:15">
      <c r="B186" s="8">
        <v>528</v>
      </c>
      <c r="C186" s="13">
        <f t="shared" si="25"/>
        <v>12.911999999999965</v>
      </c>
      <c r="D186" s="13">
        <f t="shared" si="26"/>
        <v>7.4459999999999749</v>
      </c>
      <c r="E186" s="13">
        <f t="shared" si="27"/>
        <v>12.1</v>
      </c>
      <c r="F186" s="106"/>
      <c r="H186" s="8">
        <v>528</v>
      </c>
      <c r="I186" s="13">
        <f t="shared" si="28"/>
        <v>7.4459999999999749</v>
      </c>
      <c r="K186" s="8">
        <v>528</v>
      </c>
      <c r="L186" s="13">
        <f t="shared" si="29"/>
        <v>12.1</v>
      </c>
      <c r="N186" s="8">
        <v>528</v>
      </c>
      <c r="O186" s="14">
        <v>0.107</v>
      </c>
    </row>
    <row r="187" spans="2:15">
      <c r="B187" s="8">
        <v>529</v>
      </c>
      <c r="C187" s="13">
        <f t="shared" si="25"/>
        <v>12.915999999999965</v>
      </c>
      <c r="D187" s="13">
        <f t="shared" si="26"/>
        <v>7.4529999999999745</v>
      </c>
      <c r="E187" s="13">
        <f t="shared" si="27"/>
        <v>12.1</v>
      </c>
      <c r="F187" s="106"/>
      <c r="H187" s="8">
        <v>529</v>
      </c>
      <c r="I187" s="13">
        <f t="shared" si="28"/>
        <v>7.4529999999999745</v>
      </c>
      <c r="K187" s="8">
        <v>529</v>
      </c>
      <c r="L187" s="13">
        <f t="shared" si="29"/>
        <v>12.1</v>
      </c>
      <c r="N187" s="8">
        <v>529</v>
      </c>
      <c r="O187" s="14">
        <v>0.107</v>
      </c>
    </row>
    <row r="188" spans="2:15">
      <c r="B188" s="8">
        <v>530</v>
      </c>
      <c r="C188" s="13">
        <f t="shared" si="25"/>
        <v>12.919999999999964</v>
      </c>
      <c r="D188" s="13">
        <f t="shared" si="26"/>
        <v>7.4599999999999742</v>
      </c>
      <c r="E188" s="13">
        <f t="shared" si="27"/>
        <v>12.1</v>
      </c>
      <c r="F188" s="106"/>
      <c r="H188" s="8">
        <v>530</v>
      </c>
      <c r="I188" s="13">
        <f t="shared" si="28"/>
        <v>7.4599999999999742</v>
      </c>
      <c r="K188" s="8">
        <v>530</v>
      </c>
      <c r="L188" s="13">
        <f t="shared" si="29"/>
        <v>12.1</v>
      </c>
      <c r="N188" s="8">
        <v>530</v>
      </c>
      <c r="O188" s="14">
        <v>0.107</v>
      </c>
    </row>
    <row r="189" spans="2:15">
      <c r="B189" s="8">
        <v>531</v>
      </c>
      <c r="C189" s="13">
        <f t="shared" si="25"/>
        <v>12.923999999999964</v>
      </c>
      <c r="D189" s="13">
        <f t="shared" si="26"/>
        <v>7.4669999999999739</v>
      </c>
      <c r="E189" s="13">
        <f t="shared" si="27"/>
        <v>12.1</v>
      </c>
      <c r="F189" s="106"/>
      <c r="H189" s="8">
        <v>531</v>
      </c>
      <c r="I189" s="13">
        <f t="shared" si="28"/>
        <v>7.4669999999999739</v>
      </c>
      <c r="K189" s="8">
        <v>531</v>
      </c>
      <c r="L189" s="13">
        <f t="shared" si="29"/>
        <v>12.1</v>
      </c>
      <c r="N189" s="8">
        <v>531</v>
      </c>
      <c r="O189" s="14">
        <v>0.107</v>
      </c>
    </row>
    <row r="190" spans="2:15">
      <c r="B190" s="8">
        <v>532</v>
      </c>
      <c r="C190" s="13">
        <f t="shared" si="25"/>
        <v>12.927999999999964</v>
      </c>
      <c r="D190" s="13">
        <f t="shared" si="26"/>
        <v>7.4739999999999736</v>
      </c>
      <c r="E190" s="13">
        <f t="shared" si="27"/>
        <v>12.1</v>
      </c>
      <c r="F190" s="106"/>
      <c r="H190" s="8">
        <v>532</v>
      </c>
      <c r="I190" s="13">
        <f t="shared" si="28"/>
        <v>7.4739999999999736</v>
      </c>
      <c r="K190" s="8">
        <v>532</v>
      </c>
      <c r="L190" s="13">
        <f t="shared" si="29"/>
        <v>12.1</v>
      </c>
      <c r="N190" s="8">
        <v>532</v>
      </c>
      <c r="O190" s="14">
        <v>0.107</v>
      </c>
    </row>
    <row r="191" spans="2:15">
      <c r="B191" s="8">
        <v>533</v>
      </c>
      <c r="C191" s="13">
        <f t="shared" si="25"/>
        <v>12.931999999999963</v>
      </c>
      <c r="D191" s="13">
        <f t="shared" si="26"/>
        <v>7.4809999999999732</v>
      </c>
      <c r="E191" s="13">
        <f t="shared" si="27"/>
        <v>12.1</v>
      </c>
      <c r="F191" s="106"/>
      <c r="H191" s="8">
        <v>533</v>
      </c>
      <c r="I191" s="13">
        <f t="shared" si="28"/>
        <v>7.4809999999999732</v>
      </c>
      <c r="K191" s="8">
        <v>533</v>
      </c>
      <c r="L191" s="13">
        <f t="shared" si="29"/>
        <v>12.1</v>
      </c>
      <c r="N191" s="8">
        <v>533</v>
      </c>
      <c r="O191" s="14">
        <v>0.107</v>
      </c>
    </row>
    <row r="192" spans="2:15">
      <c r="B192" s="8">
        <v>534</v>
      </c>
      <c r="C192" s="13">
        <f t="shared" si="25"/>
        <v>12.935999999999963</v>
      </c>
      <c r="D192" s="13">
        <f t="shared" si="26"/>
        <v>7.4879999999999729</v>
      </c>
      <c r="E192" s="13">
        <f t="shared" si="27"/>
        <v>12.1</v>
      </c>
      <c r="F192" s="106"/>
      <c r="H192" s="8">
        <v>534</v>
      </c>
      <c r="I192" s="13">
        <f t="shared" si="28"/>
        <v>7.4879999999999729</v>
      </c>
      <c r="K192" s="8">
        <v>534</v>
      </c>
      <c r="L192" s="13">
        <f t="shared" si="29"/>
        <v>12.1</v>
      </c>
      <c r="N192" s="8">
        <v>534</v>
      </c>
      <c r="O192" s="14">
        <v>0.107</v>
      </c>
    </row>
    <row r="193" spans="2:15">
      <c r="B193" s="8">
        <v>535</v>
      </c>
      <c r="C193" s="13">
        <f t="shared" si="25"/>
        <v>12.939999999999962</v>
      </c>
      <c r="D193" s="13">
        <f t="shared" si="26"/>
        <v>7.4949999999999726</v>
      </c>
      <c r="E193" s="13">
        <f t="shared" si="27"/>
        <v>12.1</v>
      </c>
      <c r="F193" s="106"/>
      <c r="H193" s="8">
        <v>535</v>
      </c>
      <c r="I193" s="13">
        <f t="shared" si="28"/>
        <v>7.4949999999999726</v>
      </c>
      <c r="K193" s="8">
        <v>535</v>
      </c>
      <c r="L193" s="13">
        <f t="shared" si="29"/>
        <v>12.1</v>
      </c>
      <c r="N193" s="8">
        <v>535</v>
      </c>
      <c r="O193" s="14">
        <v>0.107</v>
      </c>
    </row>
    <row r="194" spans="2:15">
      <c r="B194" s="8">
        <v>536</v>
      </c>
      <c r="C194" s="13">
        <f t="shared" si="25"/>
        <v>12.943999999999962</v>
      </c>
      <c r="D194" s="13">
        <f t="shared" si="26"/>
        <v>7.5019999999999722</v>
      </c>
      <c r="E194" s="13">
        <f t="shared" si="27"/>
        <v>12.1</v>
      </c>
      <c r="F194" s="106"/>
      <c r="H194" s="8">
        <v>536</v>
      </c>
      <c r="I194" s="13">
        <f t="shared" si="28"/>
        <v>7.5019999999999722</v>
      </c>
      <c r="K194" s="8">
        <v>536</v>
      </c>
      <c r="L194" s="13">
        <f t="shared" si="29"/>
        <v>12.1</v>
      </c>
      <c r="N194" s="8">
        <v>536</v>
      </c>
      <c r="O194" s="14">
        <v>0.107</v>
      </c>
    </row>
    <row r="195" spans="2:15">
      <c r="B195" s="8">
        <v>537</v>
      </c>
      <c r="C195" s="13">
        <f t="shared" si="25"/>
        <v>12.947999999999961</v>
      </c>
      <c r="D195" s="13">
        <f t="shared" si="26"/>
        <v>7.5089999999999719</v>
      </c>
      <c r="E195" s="13">
        <f t="shared" si="27"/>
        <v>12.1</v>
      </c>
      <c r="F195" s="106"/>
      <c r="H195" s="8">
        <v>537</v>
      </c>
      <c r="I195" s="13">
        <f t="shared" si="28"/>
        <v>7.5089999999999719</v>
      </c>
      <c r="K195" s="8">
        <v>537</v>
      </c>
      <c r="L195" s="13">
        <f t="shared" si="29"/>
        <v>12.1</v>
      </c>
      <c r="N195" s="8">
        <v>537</v>
      </c>
      <c r="O195" s="14">
        <v>0.107</v>
      </c>
    </row>
    <row r="196" spans="2:15">
      <c r="B196" s="8">
        <v>538</v>
      </c>
      <c r="C196" s="13">
        <f t="shared" si="25"/>
        <v>12.951999999999961</v>
      </c>
      <c r="D196" s="13">
        <f t="shared" si="26"/>
        <v>7.5159999999999716</v>
      </c>
      <c r="E196" s="13">
        <f t="shared" si="27"/>
        <v>12.1</v>
      </c>
      <c r="F196" s="106"/>
      <c r="H196" s="8">
        <v>538</v>
      </c>
      <c r="I196" s="13">
        <f t="shared" si="28"/>
        <v>7.5159999999999716</v>
      </c>
      <c r="K196" s="8">
        <v>538</v>
      </c>
      <c r="L196" s="13">
        <f t="shared" si="29"/>
        <v>12.1</v>
      </c>
      <c r="N196" s="8">
        <v>538</v>
      </c>
      <c r="O196" s="14">
        <v>0.107</v>
      </c>
    </row>
    <row r="197" spans="2:15">
      <c r="B197" s="8">
        <v>539</v>
      </c>
      <c r="C197" s="13">
        <f t="shared" si="25"/>
        <v>12.95599999999996</v>
      </c>
      <c r="D197" s="13">
        <f t="shared" si="26"/>
        <v>7.5229999999999713</v>
      </c>
      <c r="E197" s="13">
        <f t="shared" si="27"/>
        <v>12.1</v>
      </c>
      <c r="F197" s="106"/>
      <c r="H197" s="8">
        <v>539</v>
      </c>
      <c r="I197" s="13">
        <f t="shared" si="28"/>
        <v>7.5229999999999713</v>
      </c>
      <c r="K197" s="8">
        <v>539</v>
      </c>
      <c r="L197" s="13">
        <f t="shared" si="29"/>
        <v>12.1</v>
      </c>
      <c r="N197" s="8">
        <v>539</v>
      </c>
      <c r="O197" s="14">
        <v>0.107</v>
      </c>
    </row>
    <row r="198" spans="2:15">
      <c r="B198" s="8">
        <v>540</v>
      </c>
      <c r="C198" s="13">
        <f t="shared" si="25"/>
        <v>12.95999999999996</v>
      </c>
      <c r="D198" s="13">
        <f t="shared" si="26"/>
        <v>7.5299999999999709</v>
      </c>
      <c r="E198" s="13">
        <f t="shared" si="27"/>
        <v>12.1</v>
      </c>
      <c r="F198" s="106"/>
      <c r="H198" s="8">
        <v>540</v>
      </c>
      <c r="I198" s="13">
        <f t="shared" si="28"/>
        <v>7.5299999999999709</v>
      </c>
      <c r="K198" s="8">
        <v>540</v>
      </c>
      <c r="L198" s="13">
        <f t="shared" si="29"/>
        <v>12.1</v>
      </c>
      <c r="N198" s="8">
        <v>540</v>
      </c>
      <c r="O198" s="14">
        <v>0.107</v>
      </c>
    </row>
    <row r="199" spans="2:15">
      <c r="B199" s="8">
        <v>541</v>
      </c>
      <c r="C199" s="13">
        <f t="shared" si="25"/>
        <v>12.96399999999996</v>
      </c>
      <c r="D199" s="13">
        <f t="shared" si="26"/>
        <v>7.5369999999999706</v>
      </c>
      <c r="E199" s="13">
        <f t="shared" si="27"/>
        <v>12.1</v>
      </c>
      <c r="F199" s="106"/>
      <c r="H199" s="8">
        <v>541</v>
      </c>
      <c r="I199" s="13">
        <f t="shared" si="28"/>
        <v>7.5369999999999706</v>
      </c>
      <c r="K199" s="8">
        <v>541</v>
      </c>
      <c r="L199" s="13">
        <f t="shared" si="29"/>
        <v>12.1</v>
      </c>
      <c r="N199" s="8">
        <v>541</v>
      </c>
      <c r="O199" s="14">
        <v>0.107</v>
      </c>
    </row>
    <row r="200" spans="2:15">
      <c r="B200" s="8">
        <v>542</v>
      </c>
      <c r="C200" s="13">
        <f t="shared" si="25"/>
        <v>12.967999999999959</v>
      </c>
      <c r="D200" s="13">
        <f t="shared" si="26"/>
        <v>7.5439999999999703</v>
      </c>
      <c r="E200" s="13">
        <f t="shared" si="27"/>
        <v>12.1</v>
      </c>
      <c r="F200" s="106"/>
      <c r="H200" s="8">
        <v>542</v>
      </c>
      <c r="I200" s="13">
        <f t="shared" si="28"/>
        <v>7.5439999999999703</v>
      </c>
      <c r="K200" s="8">
        <v>542</v>
      </c>
      <c r="L200" s="13">
        <f t="shared" si="29"/>
        <v>12.1</v>
      </c>
      <c r="N200" s="8">
        <v>542</v>
      </c>
      <c r="O200" s="14">
        <v>0.107</v>
      </c>
    </row>
    <row r="201" spans="2:15">
      <c r="B201" s="8">
        <v>543</v>
      </c>
      <c r="C201" s="13">
        <f t="shared" si="25"/>
        <v>12.971999999999959</v>
      </c>
      <c r="D201" s="13">
        <f t="shared" si="26"/>
        <v>7.55099999999997</v>
      </c>
      <c r="E201" s="13">
        <f t="shared" si="27"/>
        <v>12.1</v>
      </c>
      <c r="F201" s="106"/>
      <c r="H201" s="8">
        <v>543</v>
      </c>
      <c r="I201" s="13">
        <f t="shared" si="28"/>
        <v>7.55099999999997</v>
      </c>
      <c r="K201" s="8">
        <v>543</v>
      </c>
      <c r="L201" s="13">
        <f t="shared" si="29"/>
        <v>12.1</v>
      </c>
      <c r="N201" s="8">
        <v>543</v>
      </c>
      <c r="O201" s="14">
        <v>0.107</v>
      </c>
    </row>
    <row r="202" spans="2:15">
      <c r="B202" s="8">
        <v>544</v>
      </c>
      <c r="C202" s="13">
        <f t="shared" si="25"/>
        <v>12.975999999999958</v>
      </c>
      <c r="D202" s="13">
        <f t="shared" si="26"/>
        <v>7.5579999999999696</v>
      </c>
      <c r="E202" s="13">
        <f t="shared" si="27"/>
        <v>12.1</v>
      </c>
      <c r="F202" s="106"/>
      <c r="H202" s="8">
        <v>544</v>
      </c>
      <c r="I202" s="13">
        <f t="shared" si="28"/>
        <v>7.5579999999999696</v>
      </c>
      <c r="K202" s="8">
        <v>544</v>
      </c>
      <c r="L202" s="13">
        <f t="shared" si="29"/>
        <v>12.1</v>
      </c>
      <c r="N202" s="8">
        <v>544</v>
      </c>
      <c r="O202" s="14">
        <v>0.107</v>
      </c>
    </row>
    <row r="203" spans="2:15">
      <c r="B203" s="8">
        <v>545</v>
      </c>
      <c r="C203" s="13">
        <f t="shared" si="25"/>
        <v>12.979999999999958</v>
      </c>
      <c r="D203" s="13">
        <f t="shared" si="26"/>
        <v>7.5649999999999693</v>
      </c>
      <c r="E203" s="13">
        <f t="shared" si="27"/>
        <v>12.1</v>
      </c>
      <c r="F203" s="106"/>
      <c r="H203" s="8">
        <v>545</v>
      </c>
      <c r="I203" s="13">
        <f t="shared" si="28"/>
        <v>7.5649999999999693</v>
      </c>
      <c r="K203" s="8">
        <v>545</v>
      </c>
      <c r="L203" s="13">
        <f t="shared" si="29"/>
        <v>12.1</v>
      </c>
      <c r="N203" s="8">
        <v>545</v>
      </c>
      <c r="O203" s="14">
        <v>0.107</v>
      </c>
    </row>
    <row r="204" spans="2:15">
      <c r="B204" s="8">
        <v>546</v>
      </c>
      <c r="C204" s="13">
        <f t="shared" si="25"/>
        <v>12.983999999999957</v>
      </c>
      <c r="D204" s="13">
        <f t="shared" si="26"/>
        <v>7.571999999999969</v>
      </c>
      <c r="E204" s="13">
        <f t="shared" si="27"/>
        <v>12.1</v>
      </c>
      <c r="F204" s="106"/>
      <c r="H204" s="8">
        <v>546</v>
      </c>
      <c r="I204" s="13">
        <f t="shared" si="28"/>
        <v>7.571999999999969</v>
      </c>
      <c r="K204" s="8">
        <v>546</v>
      </c>
      <c r="L204" s="13">
        <f t="shared" si="29"/>
        <v>12.1</v>
      </c>
      <c r="N204" s="8">
        <v>546</v>
      </c>
      <c r="O204" s="14">
        <v>0.107</v>
      </c>
    </row>
    <row r="205" spans="2:15">
      <c r="B205" s="8">
        <v>547</v>
      </c>
      <c r="C205" s="13">
        <f t="shared" si="25"/>
        <v>12.987999999999957</v>
      </c>
      <c r="D205" s="13">
        <f t="shared" si="26"/>
        <v>7.5789999999999687</v>
      </c>
      <c r="E205" s="13">
        <f t="shared" si="27"/>
        <v>12.1</v>
      </c>
      <c r="F205" s="106"/>
      <c r="H205" s="8">
        <v>547</v>
      </c>
      <c r="I205" s="13">
        <f t="shared" si="28"/>
        <v>7.5789999999999687</v>
      </c>
      <c r="K205" s="8">
        <v>547</v>
      </c>
      <c r="L205" s="13">
        <f t="shared" si="29"/>
        <v>12.1</v>
      </c>
      <c r="N205" s="8">
        <v>547</v>
      </c>
      <c r="O205" s="14">
        <v>0.107</v>
      </c>
    </row>
    <row r="206" spans="2:15">
      <c r="B206" s="8">
        <v>548</v>
      </c>
      <c r="C206" s="13">
        <f t="shared" si="25"/>
        <v>12.991999999999956</v>
      </c>
      <c r="D206" s="13">
        <f t="shared" si="26"/>
        <v>7.5859999999999683</v>
      </c>
      <c r="E206" s="13">
        <f t="shared" si="27"/>
        <v>12.1</v>
      </c>
      <c r="F206" s="106"/>
      <c r="H206" s="8">
        <v>548</v>
      </c>
      <c r="I206" s="13">
        <f t="shared" si="28"/>
        <v>7.5859999999999683</v>
      </c>
      <c r="K206" s="8">
        <v>548</v>
      </c>
      <c r="L206" s="13">
        <f t="shared" si="29"/>
        <v>12.1</v>
      </c>
      <c r="N206" s="8">
        <v>548</v>
      </c>
      <c r="O206" s="14">
        <v>0.107</v>
      </c>
    </row>
    <row r="207" spans="2:15">
      <c r="B207" s="8">
        <v>549</v>
      </c>
      <c r="C207" s="13">
        <f t="shared" si="25"/>
        <v>12.995999999999956</v>
      </c>
      <c r="D207" s="13">
        <f t="shared" si="26"/>
        <v>7.592999999999968</v>
      </c>
      <c r="E207" s="13">
        <f t="shared" si="27"/>
        <v>12.1</v>
      </c>
      <c r="F207" s="106"/>
      <c r="H207" s="8">
        <v>549</v>
      </c>
      <c r="I207" s="13">
        <f t="shared" si="28"/>
        <v>7.592999999999968</v>
      </c>
      <c r="K207" s="8">
        <v>549</v>
      </c>
      <c r="L207" s="13">
        <f t="shared" si="29"/>
        <v>12.1</v>
      </c>
      <c r="N207" s="8">
        <v>549</v>
      </c>
      <c r="O207" s="14">
        <v>0.107</v>
      </c>
    </row>
    <row r="208" spans="2:15">
      <c r="B208" s="6">
        <v>550</v>
      </c>
      <c r="C208" s="12">
        <f>+C5</f>
        <v>13</v>
      </c>
      <c r="D208" s="12">
        <f>+D5</f>
        <v>7.6</v>
      </c>
      <c r="E208" s="12">
        <f>+E5</f>
        <v>12.1</v>
      </c>
      <c r="F208" s="105"/>
      <c r="H208" s="6">
        <v>550</v>
      </c>
      <c r="I208" s="12">
        <f>+D208</f>
        <v>7.6</v>
      </c>
      <c r="K208" s="6">
        <v>550</v>
      </c>
      <c r="L208" s="12">
        <f>+E208</f>
        <v>12.1</v>
      </c>
      <c r="N208" s="6">
        <v>550</v>
      </c>
      <c r="O208" s="14">
        <v>0.107</v>
      </c>
    </row>
  </sheetData>
  <sheetProtection password="C9F1" sheet="1" objects="1" scenarios="1"/>
  <mergeCells count="1">
    <mergeCell ref="B1:L1"/>
  </mergeCells>
  <phoneticPr fontId="0" type="noConversion"/>
  <pageMargins left="0.75" right="0.75" top="1" bottom="1" header="0.5" footer="0.5"/>
  <pageSetup paperSize="9" scale="65" fitToHeight="4" orientation="portrait" r:id="rId1"/>
  <headerFooter alignWithMargins="0"/>
</worksheet>
</file>

<file path=xl/worksheets/sheet51.xml><?xml version="1.0" encoding="utf-8"?>
<worksheet xmlns="http://schemas.openxmlformats.org/spreadsheetml/2006/main" xmlns:r="http://schemas.openxmlformats.org/officeDocument/2006/relationships">
  <sheetPr codeName="Sheet56"/>
  <dimension ref="Q1:AU933"/>
  <sheetViews>
    <sheetView topLeftCell="P1" workbookViewId="0">
      <selection activeCell="R2" sqref="R2:Y3"/>
    </sheetView>
  </sheetViews>
  <sheetFormatPr defaultRowHeight="12.75"/>
  <cols>
    <col min="1" max="16" width="9.140625" style="1"/>
    <col min="17" max="17" width="4.7109375" style="20" customWidth="1"/>
    <col min="18" max="21" width="10.7109375" style="18" customWidth="1"/>
    <col min="22" max="22" width="11.85546875" style="18" customWidth="1"/>
    <col min="23" max="23" width="12.28515625" style="18" customWidth="1"/>
    <col min="24" max="24" width="12.140625" style="18" customWidth="1"/>
    <col min="25" max="25" width="12" style="18" bestFit="1" customWidth="1"/>
    <col min="26" max="26" width="4.7109375" style="18" customWidth="1"/>
    <col min="27" max="27" width="4.7109375" style="1" customWidth="1"/>
    <col min="28" max="30" width="8.7109375" style="1" customWidth="1"/>
    <col min="31" max="35" width="13.7109375" style="1" customWidth="1"/>
    <col min="36" max="37" width="10.7109375" style="1" customWidth="1"/>
    <col min="38" max="54" width="10.28515625" style="1" customWidth="1"/>
    <col min="55" max="110" width="10.7109375" style="1" customWidth="1"/>
    <col min="111" max="16384" width="9.140625" style="1"/>
  </cols>
  <sheetData>
    <row r="1" spans="17:27" ht="6" customHeight="1" thickBot="1">
      <c r="Q1" s="360"/>
      <c r="R1" s="361"/>
      <c r="S1" s="361"/>
      <c r="T1" s="361"/>
      <c r="U1" s="361"/>
      <c r="V1" s="361"/>
      <c r="W1" s="361"/>
      <c r="X1" s="361"/>
      <c r="Y1" s="361"/>
      <c r="Z1" s="361"/>
      <c r="AA1" s="362"/>
    </row>
    <row r="2" spans="17:27" ht="12.75" customHeight="1" thickTop="1">
      <c r="Q2" s="363"/>
      <c r="R2" s="1024" t="s">
        <v>396</v>
      </c>
      <c r="S2" s="1025"/>
      <c r="T2" s="1025"/>
      <c r="U2" s="1025"/>
      <c r="V2" s="1025"/>
      <c r="W2" s="1025"/>
      <c r="X2" s="1025"/>
      <c r="Y2" s="1026"/>
      <c r="Z2" s="362"/>
      <c r="AA2" s="362"/>
    </row>
    <row r="3" spans="17:27" ht="12.75" customHeight="1" thickBot="1">
      <c r="Q3" s="363"/>
      <c r="R3" s="1027"/>
      <c r="S3" s="1028"/>
      <c r="T3" s="1028"/>
      <c r="U3" s="1028"/>
      <c r="V3" s="1028"/>
      <c r="W3" s="1028"/>
      <c r="X3" s="1028"/>
      <c r="Y3" s="1029"/>
      <c r="Z3" s="362"/>
      <c r="AA3" s="362"/>
    </row>
    <row r="4" spans="17:27" ht="12.75" customHeight="1" thickTop="1">
      <c r="Q4" s="363"/>
      <c r="R4" s="361"/>
      <c r="S4" s="361"/>
      <c r="T4" s="361"/>
      <c r="U4" s="361"/>
      <c r="V4" s="361"/>
      <c r="W4" s="361"/>
      <c r="X4" s="361"/>
      <c r="Y4" s="361"/>
      <c r="Z4" s="361"/>
      <c r="AA4" s="362"/>
    </row>
    <row r="5" spans="17:27" ht="12.75" customHeight="1">
      <c r="Q5" s="360"/>
      <c r="R5" s="951" t="s">
        <v>868</v>
      </c>
      <c r="S5" s="951"/>
      <c r="T5" s="951"/>
      <c r="U5" s="951"/>
      <c r="V5" s="447">
        <f>'Prod Parameters'!F5</f>
        <v>450</v>
      </c>
      <c r="W5" s="362"/>
      <c r="X5" s="362"/>
      <c r="Y5" s="362"/>
      <c r="Z5" s="362"/>
      <c r="AA5" s="362"/>
    </row>
    <row r="6" spans="17:27" ht="12.75" customHeight="1">
      <c r="Q6" s="360"/>
      <c r="R6" s="362"/>
      <c r="S6" s="362"/>
      <c r="T6" s="362"/>
      <c r="U6" s="362"/>
      <c r="V6" s="361"/>
      <c r="W6" s="361"/>
      <c r="X6" s="361"/>
      <c r="Y6" s="361"/>
      <c r="Z6" s="361"/>
      <c r="AA6" s="362"/>
    </row>
    <row r="7" spans="17:27" ht="12.75" customHeight="1">
      <c r="Q7" s="385">
        <v>1</v>
      </c>
      <c r="R7" s="1008" t="s">
        <v>24</v>
      </c>
      <c r="S7" s="1008"/>
      <c r="T7" s="1008"/>
      <c r="U7" s="1008"/>
      <c r="V7" s="1008"/>
      <c r="W7" s="1008"/>
      <c r="X7" s="1008"/>
      <c r="Y7" s="1008"/>
      <c r="Z7" s="536"/>
      <c r="AA7" s="362"/>
    </row>
    <row r="8" spans="17:27" ht="12.75" customHeight="1">
      <c r="Q8" s="386"/>
      <c r="R8" s="361"/>
      <c r="S8" s="361"/>
      <c r="T8" s="361"/>
      <c r="U8" s="361"/>
      <c r="V8" s="361"/>
      <c r="W8" s="361"/>
      <c r="X8" s="361"/>
      <c r="Y8" s="361"/>
      <c r="Z8" s="361"/>
      <c r="AA8" s="362"/>
    </row>
    <row r="9" spans="17:27" ht="12.75" customHeight="1">
      <c r="Q9" s="360">
        <v>1.1000000000000001</v>
      </c>
      <c r="R9" s="364" t="s">
        <v>586</v>
      </c>
      <c r="S9" s="363"/>
      <c r="T9" s="363"/>
      <c r="U9" s="363"/>
      <c r="V9" s="363"/>
      <c r="W9" s="363"/>
      <c r="X9" s="363"/>
      <c r="Y9" s="363"/>
      <c r="Z9" s="363"/>
      <c r="AA9" s="362"/>
    </row>
    <row r="10" spans="17:27" ht="12.75" customHeight="1">
      <c r="Q10" s="360"/>
      <c r="R10" s="969" t="s">
        <v>25</v>
      </c>
      <c r="S10" s="969"/>
      <c r="T10" s="969"/>
      <c r="U10" s="969"/>
      <c r="V10" s="447">
        <f>'Prod Parameters'!$F$8</f>
        <v>23</v>
      </c>
      <c r="W10" s="363"/>
      <c r="X10" s="363"/>
      <c r="Y10" s="363"/>
      <c r="Z10" s="363"/>
      <c r="AA10" s="362"/>
    </row>
    <row r="11" spans="17:27" ht="12.75" customHeight="1">
      <c r="Q11" s="360"/>
      <c r="R11" s="969" t="s">
        <v>325</v>
      </c>
      <c r="S11" s="969"/>
      <c r="T11" s="969"/>
      <c r="U11" s="969"/>
      <c r="V11" s="447">
        <f>'Prod Parameters'!$F$9</f>
        <v>23</v>
      </c>
      <c r="W11" s="363"/>
      <c r="X11" s="363"/>
      <c r="Y11" s="363"/>
      <c r="Z11" s="363"/>
      <c r="AA11" s="362"/>
    </row>
    <row r="12" spans="17:27" ht="12.75" customHeight="1">
      <c r="Q12" s="360"/>
      <c r="R12" s="1021" t="s">
        <v>26</v>
      </c>
      <c r="S12" s="1022"/>
      <c r="T12" s="1022"/>
      <c r="U12" s="1023"/>
      <c r="V12" s="447">
        <f>'Prod Parameters'!$F$10</f>
        <v>6</v>
      </c>
      <c r="W12" s="363"/>
      <c r="X12" s="363"/>
      <c r="Y12" s="363"/>
      <c r="Z12" s="363"/>
      <c r="AA12" s="362"/>
    </row>
    <row r="13" spans="17:27" ht="12.75" customHeight="1">
      <c r="Q13" s="360"/>
      <c r="R13" s="969" t="s">
        <v>27</v>
      </c>
      <c r="S13" s="969"/>
      <c r="T13" s="969"/>
      <c r="U13" s="969"/>
      <c r="V13" s="447">
        <f>'Prod Parameters'!$F$11</f>
        <v>52</v>
      </c>
      <c r="W13" s="363"/>
      <c r="X13" s="363"/>
      <c r="Y13" s="363"/>
      <c r="Z13" s="363"/>
      <c r="AA13" s="362"/>
    </row>
    <row r="14" spans="17:27" ht="12.75" customHeight="1">
      <c r="Q14" s="360"/>
      <c r="R14" s="969" t="s">
        <v>28</v>
      </c>
      <c r="S14" s="969"/>
      <c r="T14" s="969"/>
      <c r="U14" s="969"/>
      <c r="V14" s="447">
        <f>'Prod Parameters'!$F$12</f>
        <v>260</v>
      </c>
      <c r="W14" s="363"/>
      <c r="X14" s="363"/>
      <c r="Y14" s="363"/>
      <c r="Z14" s="363"/>
      <c r="AA14" s="362"/>
    </row>
    <row r="15" spans="17:27" ht="12.75" customHeight="1">
      <c r="Q15" s="360"/>
      <c r="R15" s="969" t="s">
        <v>29</v>
      </c>
      <c r="S15" s="969"/>
      <c r="T15" s="969"/>
      <c r="U15" s="969"/>
      <c r="V15" s="447">
        <f>'Prod Parameters'!$F$13</f>
        <v>30</v>
      </c>
      <c r="W15" s="363"/>
      <c r="X15" s="363"/>
      <c r="Y15" s="363"/>
      <c r="Z15" s="363"/>
      <c r="AA15" s="362"/>
    </row>
    <row r="16" spans="17:27" ht="12.75" customHeight="1">
      <c r="Q16" s="360"/>
      <c r="R16" s="968" t="s">
        <v>30</v>
      </c>
      <c r="S16" s="968"/>
      <c r="T16" s="968"/>
      <c r="U16" s="968"/>
      <c r="V16" s="447">
        <f>'Prod Parameters'!$F$14</f>
        <v>230</v>
      </c>
      <c r="W16" s="363"/>
      <c r="X16" s="363"/>
      <c r="Y16" s="363"/>
      <c r="Z16" s="363"/>
      <c r="AA16" s="362"/>
    </row>
    <row r="17" spans="17:47" ht="12.75" customHeight="1">
      <c r="Q17" s="360"/>
      <c r="R17" s="363"/>
      <c r="S17" s="363"/>
      <c r="T17" s="363"/>
      <c r="U17" s="363"/>
      <c r="V17" s="363"/>
      <c r="W17" s="363"/>
      <c r="X17" s="363"/>
      <c r="Y17" s="363"/>
      <c r="Z17" s="363"/>
      <c r="AA17" s="367"/>
      <c r="AB17"/>
      <c r="AC17"/>
      <c r="AD17"/>
      <c r="AE17"/>
      <c r="AF17"/>
      <c r="AG17"/>
      <c r="AH17"/>
      <c r="AI17"/>
      <c r="AJ17"/>
      <c r="AK17"/>
      <c r="AL17"/>
      <c r="AM17"/>
      <c r="AN17"/>
      <c r="AO17"/>
      <c r="AP17"/>
      <c r="AQ17"/>
      <c r="AR17"/>
      <c r="AS17"/>
      <c r="AT17"/>
      <c r="AU17"/>
    </row>
    <row r="18" spans="17:47" ht="12.75" customHeight="1">
      <c r="Q18" s="360">
        <v>1.2</v>
      </c>
      <c r="R18" s="364" t="s">
        <v>19</v>
      </c>
      <c r="S18" s="363"/>
      <c r="T18" s="363"/>
      <c r="U18" s="363"/>
      <c r="V18" s="363"/>
      <c r="W18" s="363"/>
      <c r="X18" s="363"/>
      <c r="Y18" s="363"/>
      <c r="Z18" s="363"/>
      <c r="AA18" s="367"/>
      <c r="AB18"/>
      <c r="AC18"/>
      <c r="AD18"/>
      <c r="AE18"/>
      <c r="AF18"/>
      <c r="AG18"/>
      <c r="AH18"/>
      <c r="AI18"/>
      <c r="AJ18"/>
      <c r="AK18"/>
      <c r="AL18"/>
      <c r="AM18"/>
      <c r="AN18"/>
      <c r="AO18"/>
      <c r="AP18"/>
      <c r="AQ18"/>
      <c r="AR18"/>
      <c r="AS18"/>
      <c r="AT18"/>
      <c r="AU18"/>
    </row>
    <row r="19" spans="17:47" ht="12.75" customHeight="1">
      <c r="Q19" s="360"/>
      <c r="R19" s="969" t="s">
        <v>314</v>
      </c>
      <c r="S19" s="969"/>
      <c r="T19" s="969"/>
      <c r="U19" s="969"/>
      <c r="V19" s="447">
        <f>'Prod Parameters'!$F$17</f>
        <v>160</v>
      </c>
      <c r="W19" s="363"/>
      <c r="X19" s="363"/>
      <c r="Y19" s="363"/>
      <c r="Z19" s="363"/>
      <c r="AA19" s="367"/>
      <c r="AB19"/>
      <c r="AC19"/>
      <c r="AD19"/>
      <c r="AE19"/>
      <c r="AF19"/>
      <c r="AG19"/>
      <c r="AH19"/>
      <c r="AI19"/>
      <c r="AJ19"/>
      <c r="AK19"/>
      <c r="AL19"/>
      <c r="AM19"/>
      <c r="AN19"/>
      <c r="AO19"/>
      <c r="AP19"/>
      <c r="AQ19"/>
      <c r="AR19"/>
      <c r="AS19"/>
      <c r="AT19"/>
      <c r="AU19"/>
    </row>
    <row r="20" spans="17:47" ht="12.75" customHeight="1">
      <c r="Q20" s="360"/>
      <c r="R20" s="969" t="s">
        <v>31</v>
      </c>
      <c r="S20" s="969"/>
      <c r="T20" s="969"/>
      <c r="U20" s="969"/>
      <c r="V20" s="447">
        <f>'Prod Parameters'!$F$18</f>
        <v>1.2</v>
      </c>
      <c r="W20" s="363"/>
      <c r="X20" s="363"/>
      <c r="Y20" s="363"/>
      <c r="Z20" s="363"/>
      <c r="AA20" s="367"/>
      <c r="AB20"/>
      <c r="AC20"/>
      <c r="AD20"/>
      <c r="AE20"/>
      <c r="AF20"/>
      <c r="AG20"/>
      <c r="AH20"/>
      <c r="AI20"/>
      <c r="AJ20"/>
      <c r="AK20"/>
      <c r="AL20"/>
      <c r="AM20"/>
      <c r="AN20"/>
      <c r="AO20"/>
      <c r="AP20"/>
      <c r="AQ20"/>
      <c r="AR20"/>
      <c r="AS20"/>
      <c r="AT20"/>
      <c r="AU20"/>
    </row>
    <row r="21" spans="17:47" ht="12.75" customHeight="1">
      <c r="Q21" s="360"/>
      <c r="R21" s="969" t="s">
        <v>199</v>
      </c>
      <c r="S21" s="969"/>
      <c r="T21" s="969"/>
      <c r="U21" s="969"/>
      <c r="V21" s="447">
        <f>'Prod Parameters'!$F$19</f>
        <v>4</v>
      </c>
      <c r="W21" s="363"/>
      <c r="X21" s="363"/>
      <c r="Y21" s="363"/>
      <c r="Z21" s="363"/>
      <c r="AA21" s="367"/>
      <c r="AB21"/>
      <c r="AC21"/>
      <c r="AD21"/>
      <c r="AE21"/>
      <c r="AF21"/>
      <c r="AG21"/>
      <c r="AH21"/>
      <c r="AI21"/>
      <c r="AJ21"/>
      <c r="AK21"/>
      <c r="AL21"/>
      <c r="AM21"/>
      <c r="AN21"/>
      <c r="AO21"/>
      <c r="AP21"/>
      <c r="AQ21"/>
      <c r="AR21"/>
      <c r="AS21"/>
      <c r="AT21"/>
      <c r="AU21"/>
    </row>
    <row r="22" spans="17:47" ht="12.75" customHeight="1">
      <c r="Q22" s="360"/>
      <c r="R22" s="969" t="s">
        <v>20</v>
      </c>
      <c r="S22" s="969"/>
      <c r="T22" s="969"/>
      <c r="U22" s="969"/>
      <c r="V22" s="447">
        <f>'Prod Parameters'!$F$20</f>
        <v>40</v>
      </c>
      <c r="W22" s="363"/>
      <c r="X22" s="363"/>
      <c r="Y22" s="363"/>
      <c r="Z22" s="363"/>
      <c r="AA22" s="367"/>
      <c r="AB22"/>
      <c r="AC22"/>
      <c r="AD22"/>
      <c r="AE22"/>
      <c r="AF22"/>
      <c r="AG22"/>
      <c r="AH22"/>
      <c r="AI22"/>
      <c r="AJ22"/>
      <c r="AK22"/>
      <c r="AL22"/>
      <c r="AM22"/>
      <c r="AN22"/>
      <c r="AO22"/>
      <c r="AP22"/>
      <c r="AQ22"/>
      <c r="AR22"/>
      <c r="AS22"/>
      <c r="AT22"/>
      <c r="AU22"/>
    </row>
    <row r="23" spans="17:47" ht="12.75" customHeight="1">
      <c r="Q23" s="360"/>
      <c r="R23" s="969" t="s">
        <v>310</v>
      </c>
      <c r="S23" s="969"/>
      <c r="T23" s="969"/>
      <c r="U23" s="969"/>
      <c r="V23" s="447">
        <f>'Prod Parameters'!$F$21</f>
        <v>160</v>
      </c>
      <c r="W23" s="363"/>
      <c r="X23" s="363"/>
      <c r="Y23" s="363"/>
      <c r="Z23" s="363"/>
      <c r="AA23" s="367"/>
      <c r="AB23"/>
      <c r="AC23"/>
      <c r="AD23"/>
      <c r="AE23"/>
      <c r="AF23"/>
      <c r="AG23"/>
      <c r="AH23"/>
      <c r="AI23"/>
      <c r="AJ23"/>
      <c r="AK23"/>
      <c r="AL23"/>
      <c r="AM23"/>
      <c r="AN23"/>
      <c r="AO23"/>
      <c r="AP23"/>
      <c r="AQ23"/>
      <c r="AR23"/>
      <c r="AS23"/>
      <c r="AT23"/>
      <c r="AU23"/>
    </row>
    <row r="24" spans="17:47" ht="12.75" customHeight="1">
      <c r="Q24" s="360"/>
      <c r="R24" s="969" t="s">
        <v>315</v>
      </c>
      <c r="S24" s="969"/>
      <c r="T24" s="969"/>
      <c r="U24" s="969"/>
      <c r="V24" s="549">
        <f>'Prod Parameters'!$F$22</f>
        <v>6400</v>
      </c>
      <c r="W24" s="363"/>
      <c r="X24" s="363"/>
      <c r="Y24" s="363"/>
      <c r="Z24" s="363"/>
      <c r="AA24" s="367"/>
      <c r="AB24"/>
      <c r="AC24"/>
      <c r="AD24"/>
      <c r="AE24"/>
      <c r="AF24"/>
      <c r="AG24"/>
      <c r="AH24"/>
      <c r="AI24"/>
      <c r="AJ24"/>
      <c r="AK24"/>
      <c r="AL24"/>
      <c r="AM24"/>
      <c r="AN24"/>
      <c r="AO24"/>
      <c r="AP24"/>
      <c r="AQ24"/>
      <c r="AR24"/>
      <c r="AS24"/>
      <c r="AT24"/>
      <c r="AU24"/>
    </row>
    <row r="25" spans="17:47" ht="12.75" customHeight="1">
      <c r="Q25" s="360"/>
      <c r="R25" s="969" t="s">
        <v>187</v>
      </c>
      <c r="S25" s="969"/>
      <c r="T25" s="969"/>
      <c r="U25" s="969"/>
      <c r="V25" s="549">
        <f>'Prod Parameters'!$F$23</f>
        <v>7680</v>
      </c>
      <c r="W25" s="363"/>
      <c r="X25" s="363"/>
      <c r="Y25" s="363"/>
      <c r="Z25" s="363"/>
      <c r="AA25" s="367"/>
      <c r="AB25"/>
      <c r="AC25"/>
      <c r="AD25"/>
      <c r="AE25"/>
      <c r="AF25"/>
      <c r="AG25"/>
      <c r="AH25"/>
      <c r="AI25"/>
      <c r="AJ25"/>
      <c r="AK25"/>
      <c r="AL25"/>
      <c r="AM25"/>
      <c r="AN25"/>
      <c r="AO25"/>
      <c r="AP25"/>
      <c r="AQ25"/>
      <c r="AR25"/>
      <c r="AS25"/>
      <c r="AT25"/>
      <c r="AU25"/>
    </row>
    <row r="26" spans="17:47" ht="12.75" customHeight="1">
      <c r="Q26" s="360"/>
      <c r="R26" s="969" t="s">
        <v>200</v>
      </c>
      <c r="S26" s="969"/>
      <c r="T26" s="969"/>
      <c r="U26" s="969"/>
      <c r="V26" s="549">
        <f>'Prod Parameters'!$F$24</f>
        <v>176640</v>
      </c>
      <c r="W26" s="363"/>
      <c r="X26" s="363"/>
      <c r="Y26" s="363"/>
      <c r="Z26" s="363"/>
      <c r="AA26" s="367"/>
      <c r="AB26"/>
      <c r="AC26"/>
      <c r="AD26"/>
      <c r="AE26"/>
      <c r="AF26"/>
      <c r="AG26"/>
      <c r="AH26"/>
      <c r="AI26"/>
      <c r="AJ26"/>
      <c r="AK26"/>
      <c r="AL26"/>
      <c r="AM26"/>
      <c r="AN26"/>
      <c r="AO26"/>
      <c r="AP26"/>
      <c r="AQ26"/>
      <c r="AR26"/>
      <c r="AS26"/>
      <c r="AT26"/>
      <c r="AU26"/>
    </row>
    <row r="27" spans="17:47" ht="12.75" customHeight="1">
      <c r="Q27" s="360"/>
      <c r="R27" s="363"/>
      <c r="S27" s="363"/>
      <c r="T27" s="363"/>
      <c r="U27" s="363"/>
      <c r="V27" s="363"/>
      <c r="W27" s="363"/>
      <c r="X27" s="363"/>
      <c r="Y27" s="363"/>
      <c r="Z27" s="363"/>
      <c r="AA27" s="367"/>
      <c r="AB27"/>
      <c r="AC27"/>
      <c r="AD27"/>
      <c r="AE27"/>
      <c r="AF27"/>
      <c r="AG27"/>
      <c r="AH27"/>
      <c r="AI27"/>
      <c r="AJ27"/>
      <c r="AK27"/>
      <c r="AL27"/>
      <c r="AM27"/>
      <c r="AN27"/>
      <c r="AO27"/>
      <c r="AP27"/>
      <c r="AQ27"/>
      <c r="AR27"/>
      <c r="AS27"/>
      <c r="AT27"/>
      <c r="AU27"/>
    </row>
    <row r="28" spans="17:47" ht="12.75" customHeight="1">
      <c r="Q28" s="385" t="s">
        <v>33</v>
      </c>
      <c r="R28" s="1008" t="s">
        <v>821</v>
      </c>
      <c r="S28" s="1008"/>
      <c r="T28" s="1008"/>
      <c r="U28" s="1008"/>
      <c r="V28" s="1008"/>
      <c r="W28" s="1008"/>
      <c r="X28" s="1008"/>
      <c r="Y28" s="1008"/>
      <c r="Z28" s="536"/>
      <c r="AA28" s="367"/>
      <c r="AB28"/>
      <c r="AC28"/>
      <c r="AD28"/>
      <c r="AE28"/>
      <c r="AF28"/>
      <c r="AG28"/>
      <c r="AH28"/>
      <c r="AI28"/>
      <c r="AJ28"/>
      <c r="AK28"/>
      <c r="AL28"/>
      <c r="AM28"/>
      <c r="AN28"/>
      <c r="AO28"/>
      <c r="AP28"/>
      <c r="AQ28"/>
      <c r="AR28"/>
      <c r="AS28"/>
      <c r="AT28"/>
      <c r="AU28"/>
    </row>
    <row r="29" spans="17:47" ht="12.75" customHeight="1">
      <c r="Q29" s="546"/>
      <c r="R29" s="363"/>
      <c r="S29" s="363"/>
      <c r="T29" s="363"/>
      <c r="U29" s="363"/>
      <c r="V29" s="363"/>
      <c r="W29" s="363"/>
      <c r="X29" s="363"/>
      <c r="Y29" s="363"/>
      <c r="Z29" s="363"/>
      <c r="AA29" s="367"/>
      <c r="AB29"/>
      <c r="AC29"/>
      <c r="AD29"/>
      <c r="AE29"/>
      <c r="AF29"/>
      <c r="AG29"/>
      <c r="AH29"/>
      <c r="AI29"/>
      <c r="AJ29"/>
      <c r="AK29"/>
      <c r="AL29"/>
      <c r="AM29"/>
      <c r="AN29"/>
      <c r="AO29"/>
      <c r="AP29"/>
      <c r="AQ29"/>
      <c r="AR29"/>
      <c r="AS29"/>
      <c r="AT29"/>
      <c r="AU29"/>
    </row>
    <row r="30" spans="17:47" ht="12.75" customHeight="1">
      <c r="Q30" s="546">
        <v>2.1</v>
      </c>
      <c r="R30" s="363" t="s">
        <v>831</v>
      </c>
      <c r="S30" s="363"/>
      <c r="T30" s="363"/>
      <c r="U30" s="550"/>
      <c r="V30" s="550"/>
      <c r="W30" s="550"/>
      <c r="X30" s="550"/>
      <c r="Y30" s="551"/>
      <c r="Z30" s="551"/>
      <c r="AA30" s="367"/>
      <c r="AB30"/>
      <c r="AC30"/>
      <c r="AD30"/>
      <c r="AE30"/>
      <c r="AF30"/>
      <c r="AG30"/>
      <c r="AH30"/>
      <c r="AI30"/>
      <c r="AJ30"/>
      <c r="AK30"/>
      <c r="AL30"/>
      <c r="AM30"/>
      <c r="AN30"/>
      <c r="AO30"/>
      <c r="AP30"/>
      <c r="AQ30"/>
      <c r="AR30"/>
      <c r="AS30"/>
      <c r="AT30"/>
      <c r="AU30"/>
    </row>
    <row r="31" spans="17:47" ht="12.75" customHeight="1">
      <c r="Q31" s="546"/>
      <c r="R31" s="998" t="s">
        <v>77</v>
      </c>
      <c r="S31" s="999"/>
      <c r="T31" s="1000"/>
      <c r="U31" s="1019" t="s">
        <v>824</v>
      </c>
      <c r="V31" s="1019" t="s">
        <v>828</v>
      </c>
      <c r="W31" s="1019" t="s">
        <v>826</v>
      </c>
      <c r="X31" s="1019" t="s">
        <v>23</v>
      </c>
      <c r="Y31" s="552"/>
      <c r="Z31" s="552"/>
      <c r="AA31" s="367"/>
      <c r="AB31"/>
      <c r="AC31"/>
      <c r="AD31"/>
      <c r="AE31"/>
      <c r="AF31"/>
      <c r="AG31"/>
      <c r="AH31"/>
      <c r="AI31"/>
      <c r="AJ31"/>
      <c r="AK31"/>
      <c r="AL31"/>
      <c r="AM31"/>
      <c r="AN31"/>
      <c r="AO31"/>
      <c r="AP31"/>
      <c r="AQ31"/>
      <c r="AR31"/>
      <c r="AS31"/>
      <c r="AT31"/>
      <c r="AU31"/>
    </row>
    <row r="32" spans="17:47" ht="12.75" customHeight="1">
      <c r="Q32" s="546"/>
      <c r="R32" s="1001"/>
      <c r="S32" s="1002"/>
      <c r="T32" s="1003"/>
      <c r="U32" s="1019"/>
      <c r="V32" s="1019"/>
      <c r="W32" s="1019"/>
      <c r="X32" s="1019"/>
      <c r="Y32" s="364"/>
      <c r="Z32" s="364"/>
      <c r="AA32" s="367"/>
      <c r="AB32"/>
      <c r="AC32"/>
      <c r="AD32"/>
      <c r="AE32"/>
      <c r="AF32"/>
      <c r="AG32"/>
      <c r="AH32"/>
      <c r="AI32"/>
      <c r="AJ32"/>
      <c r="AK32"/>
      <c r="AL32"/>
      <c r="AM32"/>
      <c r="AN32"/>
      <c r="AO32"/>
      <c r="AP32"/>
      <c r="AQ32"/>
      <c r="AR32"/>
      <c r="AS32"/>
      <c r="AT32"/>
      <c r="AU32"/>
    </row>
    <row r="33" spans="17:47" ht="12.75" customHeight="1">
      <c r="Q33" s="546"/>
      <c r="R33" s="1020" t="s">
        <v>500</v>
      </c>
      <c r="S33" s="1020"/>
      <c r="T33" s="1020"/>
      <c r="U33" s="369">
        <v>23.9</v>
      </c>
      <c r="V33" s="369">
        <f>'Lookup Properties'!$C$7</f>
        <v>15.4</v>
      </c>
      <c r="W33" s="369">
        <f>'Lookup Properties'!$D$7</f>
        <v>4.8</v>
      </c>
      <c r="X33" s="553">
        <f>SUM(U33:W33)</f>
        <v>44.099999999999994</v>
      </c>
      <c r="Y33" s="364"/>
      <c r="Z33" s="364"/>
      <c r="AA33" s="367"/>
      <c r="AB33"/>
      <c r="AC33"/>
      <c r="AD33"/>
      <c r="AE33"/>
      <c r="AF33"/>
      <c r="AG33"/>
      <c r="AH33"/>
      <c r="AI33"/>
      <c r="AJ33"/>
      <c r="AK33"/>
      <c r="AL33"/>
      <c r="AM33"/>
      <c r="AN33"/>
      <c r="AO33"/>
      <c r="AP33"/>
      <c r="AQ33"/>
      <c r="AR33"/>
      <c r="AS33"/>
      <c r="AT33"/>
      <c r="AU33"/>
    </row>
    <row r="34" spans="17:47" ht="12.75" customHeight="1">
      <c r="Q34" s="546"/>
      <c r="R34" s="1017" t="s">
        <v>22</v>
      </c>
      <c r="S34" s="1017"/>
      <c r="T34" s="1017"/>
      <c r="U34" s="369">
        <f>'Lookup Properties'!$B$5</f>
        <v>22.35</v>
      </c>
      <c r="V34" s="369">
        <f>'Lookup Properties'!$C$5</f>
        <v>17.399999999999999</v>
      </c>
      <c r="W34" s="369">
        <f>'Lookup Properties'!$D$5</f>
        <v>5</v>
      </c>
      <c r="X34" s="553">
        <f>SUM(U34:W34)</f>
        <v>44.75</v>
      </c>
      <c r="Y34" s="364"/>
      <c r="Z34" s="364"/>
      <c r="AA34" s="367"/>
      <c r="AB34"/>
      <c r="AC34"/>
      <c r="AD34"/>
      <c r="AE34"/>
      <c r="AF34"/>
      <c r="AG34"/>
      <c r="AH34"/>
      <c r="AI34"/>
      <c r="AJ34"/>
      <c r="AK34"/>
      <c r="AL34"/>
      <c r="AM34"/>
      <c r="AN34"/>
      <c r="AO34"/>
      <c r="AP34"/>
      <c r="AQ34"/>
      <c r="AR34"/>
      <c r="AS34"/>
      <c r="AT34"/>
      <c r="AU34"/>
    </row>
    <row r="35" spans="17:47" ht="12.75" customHeight="1">
      <c r="Q35" s="546"/>
      <c r="R35" s="1018" t="s">
        <v>579</v>
      </c>
      <c r="S35" s="1018"/>
      <c r="T35" s="1018"/>
      <c r="U35" s="369">
        <f>'Lookup Properties'!$B$6</f>
        <v>22.15</v>
      </c>
      <c r="V35" s="369">
        <f>'Lookup Properties'!$C$6</f>
        <v>18.149999999999999</v>
      </c>
      <c r="W35" s="369">
        <f>'Lookup Properties'!$D$6</f>
        <v>5</v>
      </c>
      <c r="X35" s="553">
        <f>SUM(U35:W35)</f>
        <v>45.3</v>
      </c>
      <c r="Y35" s="364"/>
      <c r="Z35" s="364"/>
      <c r="AA35" s="367"/>
      <c r="AB35"/>
      <c r="AC35"/>
      <c r="AD35"/>
      <c r="AE35"/>
      <c r="AF35"/>
      <c r="AG35"/>
      <c r="AH35"/>
      <c r="AI35"/>
      <c r="AJ35"/>
      <c r="AK35"/>
      <c r="AL35"/>
      <c r="AM35"/>
      <c r="AN35"/>
      <c r="AO35"/>
      <c r="AP35"/>
      <c r="AQ35"/>
      <c r="AR35"/>
      <c r="AS35"/>
      <c r="AT35"/>
      <c r="AU35"/>
    </row>
    <row r="36" spans="17:47" ht="12.75" customHeight="1">
      <c r="Q36" s="546"/>
      <c r="R36" s="1016" t="s">
        <v>21</v>
      </c>
      <c r="S36" s="1016"/>
      <c r="T36" s="1016"/>
      <c r="U36" s="369">
        <f>'Lookup Properties'!$B$4</f>
        <v>21.25</v>
      </c>
      <c r="V36" s="369">
        <f>'Lookup Properties'!$C$4</f>
        <v>17.399999999999999</v>
      </c>
      <c r="W36" s="369">
        <f>'Lookup Properties'!$D$4</f>
        <v>5</v>
      </c>
      <c r="X36" s="553">
        <f>SUM(U36:W36)</f>
        <v>43.65</v>
      </c>
      <c r="Y36" s="364"/>
      <c r="Z36" s="364"/>
      <c r="AA36" s="367"/>
      <c r="AB36"/>
      <c r="AC36"/>
      <c r="AD36"/>
      <c r="AE36"/>
      <c r="AF36"/>
      <c r="AG36"/>
      <c r="AH36"/>
      <c r="AI36"/>
      <c r="AJ36"/>
      <c r="AK36"/>
      <c r="AL36"/>
      <c r="AM36"/>
      <c r="AN36"/>
      <c r="AO36"/>
      <c r="AP36"/>
      <c r="AQ36"/>
      <c r="AR36"/>
      <c r="AS36"/>
      <c r="AT36"/>
      <c r="AU36"/>
    </row>
    <row r="37" spans="17:47" ht="12.75" customHeight="1">
      <c r="Q37" s="364"/>
      <c r="R37" s="364"/>
      <c r="S37" s="364"/>
      <c r="T37" s="364"/>
      <c r="U37" s="555"/>
      <c r="V37" s="555"/>
      <c r="W37" s="555"/>
      <c r="X37" s="555"/>
      <c r="Y37" s="555"/>
      <c r="Z37" s="364"/>
      <c r="AA37" s="367"/>
      <c r="AB37"/>
      <c r="AC37"/>
      <c r="AD37"/>
      <c r="AE37"/>
      <c r="AF37"/>
      <c r="AG37"/>
      <c r="AH37"/>
      <c r="AI37"/>
      <c r="AJ37"/>
      <c r="AK37"/>
      <c r="AL37"/>
      <c r="AM37"/>
      <c r="AN37"/>
      <c r="AO37"/>
      <c r="AP37"/>
      <c r="AQ37"/>
      <c r="AR37"/>
      <c r="AS37"/>
      <c r="AT37"/>
      <c r="AU37"/>
    </row>
    <row r="38" spans="17:47" ht="12.75" customHeight="1">
      <c r="Q38" s="360">
        <v>2.2000000000000002</v>
      </c>
      <c r="R38" s="363" t="s">
        <v>832</v>
      </c>
      <c r="S38" s="363"/>
      <c r="T38" s="363"/>
      <c r="U38" s="363"/>
      <c r="V38" s="363"/>
      <c r="W38" s="363"/>
      <c r="X38" s="363"/>
      <c r="Y38" s="363"/>
      <c r="Z38" s="364"/>
      <c r="AA38" s="367"/>
      <c r="AB38"/>
      <c r="AC38"/>
      <c r="AD38"/>
      <c r="AE38"/>
      <c r="AF38"/>
      <c r="AG38"/>
      <c r="AH38"/>
      <c r="AI38"/>
      <c r="AJ38"/>
      <c r="AK38"/>
      <c r="AL38"/>
      <c r="AM38"/>
      <c r="AN38"/>
      <c r="AO38"/>
      <c r="AP38"/>
      <c r="AQ38"/>
      <c r="AR38"/>
      <c r="AS38"/>
      <c r="AT38"/>
      <c r="AU38"/>
    </row>
    <row r="39" spans="17:47" ht="12.75" customHeight="1">
      <c r="Q39" s="360"/>
      <c r="R39" s="998" t="s">
        <v>77</v>
      </c>
      <c r="S39" s="999"/>
      <c r="T39" s="1000"/>
      <c r="U39" s="1019" t="s">
        <v>824</v>
      </c>
      <c r="V39" s="1019" t="s">
        <v>828</v>
      </c>
      <c r="W39" s="1019" t="s">
        <v>826</v>
      </c>
      <c r="X39" s="1019" t="s">
        <v>23</v>
      </c>
      <c r="Y39" s="364"/>
      <c r="Z39" s="364"/>
      <c r="AA39" s="367"/>
      <c r="AB39"/>
      <c r="AC39"/>
      <c r="AD39"/>
      <c r="AE39"/>
      <c r="AF39"/>
      <c r="AG39"/>
      <c r="AH39"/>
      <c r="AI39"/>
      <c r="AJ39"/>
      <c r="AK39"/>
      <c r="AL39"/>
      <c r="AM39"/>
      <c r="AN39"/>
      <c r="AO39"/>
      <c r="AP39"/>
      <c r="AQ39"/>
      <c r="AR39"/>
      <c r="AS39"/>
      <c r="AT39"/>
      <c r="AU39"/>
    </row>
    <row r="40" spans="17:47" ht="12.75" customHeight="1">
      <c r="Q40" s="360"/>
      <c r="R40" s="1001"/>
      <c r="S40" s="1002"/>
      <c r="T40" s="1003"/>
      <c r="U40" s="1019"/>
      <c r="V40" s="1019"/>
      <c r="W40" s="1019"/>
      <c r="X40" s="1019"/>
      <c r="Y40" s="364"/>
      <c r="Z40" s="364"/>
      <c r="AA40" s="367"/>
      <c r="AB40"/>
      <c r="AC40"/>
      <c r="AD40"/>
      <c r="AE40"/>
      <c r="AF40"/>
      <c r="AG40"/>
      <c r="AH40"/>
      <c r="AI40"/>
      <c r="AJ40"/>
      <c r="AK40"/>
      <c r="AL40"/>
      <c r="AM40"/>
      <c r="AN40"/>
      <c r="AO40"/>
      <c r="AP40"/>
      <c r="AQ40"/>
      <c r="AR40"/>
      <c r="AS40"/>
      <c r="AT40"/>
      <c r="AU40"/>
    </row>
    <row r="41" spans="17:47" ht="12.75" customHeight="1">
      <c r="Q41" s="360"/>
      <c r="R41" s="1020" t="s">
        <v>500</v>
      </c>
      <c r="S41" s="1020"/>
      <c r="T41" s="1020"/>
      <c r="U41" s="556">
        <f>'Lookup Properties'!$B$13</f>
        <v>0.74</v>
      </c>
      <c r="V41" s="556">
        <f>'Lookup Properties'!$C$13</f>
        <v>0.78</v>
      </c>
      <c r="W41" s="556">
        <f>'Lookup Properties'!$D$13</f>
        <v>1.26</v>
      </c>
      <c r="X41" s="553">
        <f>SUM(U41:W41)</f>
        <v>2.7800000000000002</v>
      </c>
      <c r="Y41" s="364"/>
      <c r="Z41" s="364"/>
      <c r="AA41" s="367"/>
      <c r="AB41"/>
      <c r="AC41"/>
      <c r="AD41"/>
      <c r="AE41"/>
      <c r="AF41"/>
      <c r="AG41"/>
      <c r="AH41"/>
      <c r="AI41"/>
      <c r="AJ41"/>
      <c r="AK41"/>
      <c r="AL41"/>
      <c r="AM41"/>
      <c r="AN41"/>
      <c r="AO41"/>
      <c r="AP41"/>
      <c r="AQ41"/>
      <c r="AR41"/>
      <c r="AS41"/>
      <c r="AT41"/>
      <c r="AU41"/>
    </row>
    <row r="42" spans="17:47" ht="12.75" customHeight="1">
      <c r="Q42" s="360"/>
      <c r="R42" s="1017" t="s">
        <v>22</v>
      </c>
      <c r="S42" s="1017"/>
      <c r="T42" s="1017"/>
      <c r="U42" s="557">
        <f>'Lookup Properties'!$B$11</f>
        <v>0.71499999999999997</v>
      </c>
      <c r="V42" s="557">
        <f>'Lookup Properties'!$C$11</f>
        <v>1.03</v>
      </c>
      <c r="W42" s="557">
        <f>'Lookup Properties'!$D$11</f>
        <v>1.29</v>
      </c>
      <c r="X42" s="553">
        <f>SUM(U42:W42)</f>
        <v>3.0350000000000001</v>
      </c>
      <c r="Y42" s="364"/>
      <c r="Z42" s="364"/>
      <c r="AA42" s="367"/>
      <c r="AB42"/>
      <c r="AC42"/>
      <c r="AD42"/>
      <c r="AE42"/>
      <c r="AF42"/>
      <c r="AG42"/>
      <c r="AH42"/>
      <c r="AI42"/>
      <c r="AJ42"/>
      <c r="AK42"/>
      <c r="AL42"/>
      <c r="AM42"/>
      <c r="AN42"/>
      <c r="AO42"/>
      <c r="AP42"/>
      <c r="AQ42"/>
      <c r="AR42"/>
      <c r="AS42"/>
      <c r="AT42"/>
      <c r="AU42"/>
    </row>
    <row r="43" spans="17:47" ht="12.75" customHeight="1">
      <c r="Q43" s="360"/>
      <c r="R43" s="1018" t="s">
        <v>579</v>
      </c>
      <c r="S43" s="1018"/>
      <c r="T43" s="1018"/>
      <c r="U43" s="557">
        <f>'Lookup Properties'!$B$12</f>
        <v>0.755</v>
      </c>
      <c r="V43" s="557">
        <f>'Lookup Properties'!$C$12</f>
        <v>1.07</v>
      </c>
      <c r="W43" s="557">
        <f>'Lookup Properties'!$D$12</f>
        <v>1.2949999999999999</v>
      </c>
      <c r="X43" s="553">
        <f>SUM(U43:W43)</f>
        <v>3.12</v>
      </c>
      <c r="Y43" s="364"/>
      <c r="Z43" s="364"/>
      <c r="AA43" s="367"/>
      <c r="AB43"/>
      <c r="AC43"/>
      <c r="AD43"/>
      <c r="AE43"/>
      <c r="AF43"/>
      <c r="AG43"/>
      <c r="AH43"/>
      <c r="AI43"/>
      <c r="AJ43"/>
      <c r="AK43"/>
      <c r="AL43"/>
      <c r="AM43"/>
      <c r="AN43"/>
      <c r="AO43"/>
      <c r="AP43"/>
      <c r="AQ43"/>
      <c r="AR43"/>
      <c r="AS43"/>
      <c r="AT43"/>
      <c r="AU43"/>
    </row>
    <row r="44" spans="17:47" ht="12.75" customHeight="1">
      <c r="Q44" s="360"/>
      <c r="R44" s="1016" t="s">
        <v>21</v>
      </c>
      <c r="S44" s="1016"/>
      <c r="T44" s="1016"/>
      <c r="U44" s="557">
        <f>'Lookup Properties'!$B$10</f>
        <v>0.71</v>
      </c>
      <c r="V44" s="557">
        <f>'Lookup Properties'!$C$10</f>
        <v>1.03</v>
      </c>
      <c r="W44" s="557">
        <f>'Lookup Properties'!$D$10</f>
        <v>1.29</v>
      </c>
      <c r="X44" s="553">
        <f>SUM(U44:W44)</f>
        <v>3.0300000000000002</v>
      </c>
      <c r="Y44" s="364"/>
      <c r="Z44" s="364"/>
      <c r="AA44" s="367"/>
      <c r="AB44"/>
      <c r="AC44"/>
      <c r="AD44"/>
      <c r="AE44"/>
      <c r="AF44"/>
      <c r="AG44"/>
      <c r="AH44"/>
      <c r="AI44"/>
      <c r="AJ44"/>
      <c r="AK44"/>
      <c r="AL44"/>
      <c r="AM44"/>
      <c r="AN44"/>
      <c r="AO44"/>
      <c r="AP44"/>
      <c r="AQ44"/>
      <c r="AR44"/>
      <c r="AS44"/>
      <c r="AT44"/>
      <c r="AU44"/>
    </row>
    <row r="45" spans="17:47" ht="12.75" customHeight="1">
      <c r="Q45" s="364"/>
      <c r="R45" s="364"/>
      <c r="S45" s="364"/>
      <c r="T45" s="364"/>
      <c r="U45" s="555"/>
      <c r="V45" s="555"/>
      <c r="W45" s="555"/>
      <c r="X45" s="555"/>
      <c r="Y45" s="555"/>
      <c r="Z45" s="364"/>
      <c r="AA45" s="367"/>
      <c r="AB45"/>
      <c r="AC45"/>
      <c r="AD45"/>
      <c r="AE45"/>
      <c r="AF45"/>
      <c r="AG45"/>
      <c r="AH45"/>
      <c r="AI45"/>
      <c r="AJ45"/>
      <c r="AK45"/>
      <c r="AL45"/>
      <c r="AM45"/>
      <c r="AN45"/>
      <c r="AO45"/>
      <c r="AP45"/>
      <c r="AQ45"/>
      <c r="AR45"/>
      <c r="AS45"/>
      <c r="AT45"/>
      <c r="AU45"/>
    </row>
    <row r="46" spans="17:47" ht="12.75" customHeight="1">
      <c r="Q46" s="387" t="s">
        <v>817</v>
      </c>
      <c r="R46" s="1015" t="s">
        <v>206</v>
      </c>
      <c r="S46" s="1015"/>
      <c r="T46" s="1015"/>
      <c r="U46" s="1015"/>
      <c r="V46" s="1015"/>
      <c r="W46" s="1015"/>
      <c r="X46" s="1015"/>
      <c r="Y46" s="1015"/>
      <c r="Z46" s="536"/>
      <c r="AA46" s="367"/>
      <c r="AB46"/>
      <c r="AC46"/>
      <c r="AD46"/>
      <c r="AE46"/>
      <c r="AF46"/>
      <c r="AG46"/>
      <c r="AH46"/>
      <c r="AI46"/>
      <c r="AJ46"/>
      <c r="AK46"/>
      <c r="AL46"/>
      <c r="AM46"/>
      <c r="AN46"/>
      <c r="AO46"/>
      <c r="AP46"/>
      <c r="AQ46"/>
      <c r="AR46"/>
      <c r="AS46"/>
      <c r="AT46"/>
      <c r="AU46"/>
    </row>
    <row r="47" spans="17:47" ht="12.75" customHeight="1">
      <c r="Q47" s="668"/>
      <c r="R47" s="364"/>
      <c r="S47" s="364"/>
      <c r="T47" s="364"/>
      <c r="U47" s="555"/>
      <c r="V47" s="555"/>
      <c r="W47" s="555"/>
      <c r="X47" s="555"/>
      <c r="Y47" s="555"/>
      <c r="Z47" s="364"/>
      <c r="AA47" s="367"/>
      <c r="AB47"/>
      <c r="AC47"/>
      <c r="AD47"/>
      <c r="AE47"/>
      <c r="AF47"/>
      <c r="AG47"/>
      <c r="AH47"/>
      <c r="AI47"/>
      <c r="AJ47"/>
      <c r="AK47"/>
      <c r="AL47"/>
      <c r="AM47"/>
      <c r="AN47"/>
      <c r="AO47"/>
      <c r="AP47"/>
      <c r="AQ47"/>
      <c r="AR47"/>
      <c r="AS47"/>
      <c r="AT47"/>
      <c r="AU47"/>
    </row>
    <row r="48" spans="17:47" ht="12.75" customHeight="1">
      <c r="Q48" s="668" t="s">
        <v>196</v>
      </c>
      <c r="R48" s="364" t="s">
        <v>207</v>
      </c>
      <c r="S48" s="364"/>
      <c r="T48" s="364"/>
      <c r="U48" s="555"/>
      <c r="V48" s="555"/>
      <c r="W48" s="555"/>
      <c r="X48" s="555"/>
      <c r="Y48" s="555"/>
      <c r="Z48" s="364"/>
      <c r="AA48" s="367"/>
      <c r="AB48"/>
      <c r="AC48"/>
      <c r="AD48"/>
      <c r="AE48"/>
      <c r="AF48"/>
      <c r="AG48"/>
      <c r="AH48"/>
      <c r="AI48"/>
      <c r="AJ48"/>
      <c r="AK48"/>
      <c r="AL48"/>
      <c r="AM48"/>
      <c r="AN48"/>
      <c r="AO48"/>
      <c r="AP48"/>
      <c r="AQ48"/>
      <c r="AR48"/>
      <c r="AS48"/>
      <c r="AT48"/>
      <c r="AU48"/>
    </row>
    <row r="49" spans="17:47" ht="12.75" customHeight="1">
      <c r="Q49" s="364"/>
      <c r="R49" s="962" t="s">
        <v>678</v>
      </c>
      <c r="S49" s="963"/>
      <c r="T49" s="964"/>
      <c r="U49" s="949" t="s">
        <v>500</v>
      </c>
      <c r="V49" s="938" t="s">
        <v>22</v>
      </c>
      <c r="W49" s="940" t="s">
        <v>579</v>
      </c>
      <c r="X49" s="942" t="s">
        <v>21</v>
      </c>
      <c r="Y49" s="361"/>
      <c r="Z49" s="364"/>
      <c r="AA49" s="367"/>
      <c r="AB49"/>
      <c r="AC49"/>
      <c r="AD49"/>
      <c r="AE49"/>
      <c r="AF49"/>
      <c r="AG49"/>
      <c r="AH49"/>
      <c r="AI49"/>
      <c r="AJ49"/>
      <c r="AK49"/>
      <c r="AL49"/>
      <c r="AM49"/>
      <c r="AN49"/>
      <c r="AO49"/>
      <c r="AP49"/>
      <c r="AQ49"/>
      <c r="AR49"/>
      <c r="AS49"/>
      <c r="AT49"/>
      <c r="AU49"/>
    </row>
    <row r="50" spans="17:47" ht="12.75" customHeight="1">
      <c r="Q50" s="364"/>
      <c r="R50" s="965"/>
      <c r="S50" s="966"/>
      <c r="T50" s="967"/>
      <c r="U50" s="950"/>
      <c r="V50" s="939"/>
      <c r="W50" s="941"/>
      <c r="X50" s="943"/>
      <c r="Y50" s="361"/>
      <c r="Z50" s="364"/>
      <c r="AA50" s="367"/>
      <c r="AB50"/>
      <c r="AC50"/>
      <c r="AD50"/>
      <c r="AE50"/>
      <c r="AF50"/>
      <c r="AG50"/>
      <c r="AH50"/>
      <c r="AI50"/>
      <c r="AJ50"/>
      <c r="AK50"/>
      <c r="AL50"/>
      <c r="AM50"/>
      <c r="AN50"/>
      <c r="AO50"/>
      <c r="AP50"/>
      <c r="AQ50"/>
      <c r="AR50"/>
      <c r="AS50"/>
      <c r="AT50"/>
      <c r="AU50"/>
    </row>
    <row r="51" spans="17:47" ht="12.75" customHeight="1">
      <c r="Q51" s="364"/>
      <c r="R51" s="969" t="s">
        <v>210</v>
      </c>
      <c r="S51" s="969"/>
      <c r="T51" s="969"/>
      <c r="U51" s="560">
        <v>0.3</v>
      </c>
      <c r="V51" s="537">
        <f>VLOOKUP($V$5,'Lookup Penetration Rate'!$B$8:$E$208,3)</f>
        <v>0.4</v>
      </c>
      <c r="W51" s="537">
        <f>VLOOKUP($V$5,'Lookup Penetration Rate'!$B$8:$E$208,4)</f>
        <v>0.46</v>
      </c>
      <c r="X51" s="537">
        <f>VLOOKUP($V$5,'Lookup Penetration Rate'!$B$8:$E$208,2)</f>
        <v>0.56000000000000005</v>
      </c>
      <c r="Y51" s="361"/>
      <c r="Z51" s="364"/>
      <c r="AA51" s="367"/>
      <c r="AB51"/>
      <c r="AC51"/>
      <c r="AD51"/>
      <c r="AE51"/>
      <c r="AF51"/>
      <c r="AG51"/>
      <c r="AH51"/>
      <c r="AI51"/>
      <c r="AJ51"/>
      <c r="AK51"/>
      <c r="AL51"/>
      <c r="AM51"/>
      <c r="AN51"/>
      <c r="AO51"/>
      <c r="AP51"/>
      <c r="AQ51"/>
      <c r="AR51"/>
      <c r="AS51"/>
      <c r="AT51"/>
      <c r="AU51"/>
    </row>
    <row r="52" spans="17:47" ht="12.75" customHeight="1">
      <c r="Q52" s="364"/>
      <c r="R52" s="364"/>
      <c r="S52" s="364"/>
      <c r="T52" s="364"/>
      <c r="U52" s="555"/>
      <c r="V52" s="555"/>
      <c r="W52" s="555"/>
      <c r="X52" s="555"/>
      <c r="Y52" s="555"/>
      <c r="Z52" s="364"/>
      <c r="AA52" s="367"/>
      <c r="AB52"/>
      <c r="AC52"/>
      <c r="AD52"/>
      <c r="AE52"/>
      <c r="AF52"/>
      <c r="AG52"/>
      <c r="AH52"/>
      <c r="AI52"/>
      <c r="AJ52"/>
      <c r="AK52"/>
      <c r="AL52"/>
      <c r="AM52"/>
      <c r="AN52"/>
      <c r="AO52"/>
      <c r="AP52"/>
      <c r="AQ52"/>
      <c r="AR52"/>
      <c r="AS52"/>
      <c r="AT52"/>
      <c r="AU52"/>
    </row>
    <row r="53" spans="17:47" ht="12.75" customHeight="1">
      <c r="Q53" s="668" t="s">
        <v>197</v>
      </c>
      <c r="R53" s="364" t="s">
        <v>208</v>
      </c>
      <c r="S53" s="364"/>
      <c r="T53" s="364"/>
      <c r="U53" s="555"/>
      <c r="V53" s="555"/>
      <c r="W53" s="555"/>
      <c r="X53" s="555"/>
      <c r="Y53" s="555"/>
      <c r="Z53" s="364"/>
      <c r="AA53" s="367"/>
      <c r="AB53"/>
      <c r="AC53"/>
      <c r="AD53"/>
      <c r="AE53"/>
      <c r="AF53"/>
      <c r="AG53"/>
      <c r="AH53"/>
      <c r="AI53"/>
      <c r="AJ53"/>
      <c r="AK53"/>
      <c r="AL53"/>
      <c r="AM53"/>
      <c r="AN53"/>
      <c r="AO53"/>
      <c r="AP53"/>
      <c r="AQ53"/>
      <c r="AR53"/>
      <c r="AS53"/>
      <c r="AT53"/>
      <c r="AU53"/>
    </row>
    <row r="54" spans="17:47" ht="12.75" customHeight="1">
      <c r="Q54" s="668"/>
      <c r="R54" s="962" t="s">
        <v>678</v>
      </c>
      <c r="S54" s="963"/>
      <c r="T54" s="964"/>
      <c r="U54" s="949" t="s">
        <v>500</v>
      </c>
      <c r="V54" s="938" t="s">
        <v>22</v>
      </c>
      <c r="W54" s="940" t="s">
        <v>579</v>
      </c>
      <c r="X54" s="942" t="s">
        <v>21</v>
      </c>
      <c r="Y54" s="361"/>
      <c r="Z54" s="364"/>
      <c r="AA54" s="367"/>
      <c r="AB54"/>
      <c r="AC54"/>
      <c r="AD54"/>
      <c r="AE54"/>
      <c r="AF54"/>
      <c r="AG54"/>
      <c r="AH54"/>
      <c r="AI54"/>
      <c r="AJ54"/>
      <c r="AK54"/>
      <c r="AL54"/>
      <c r="AM54"/>
      <c r="AN54"/>
      <c r="AO54"/>
      <c r="AP54"/>
      <c r="AQ54"/>
      <c r="AR54"/>
      <c r="AS54"/>
      <c r="AT54"/>
      <c r="AU54"/>
    </row>
    <row r="55" spans="17:47" ht="12.75" customHeight="1">
      <c r="Q55" s="668"/>
      <c r="R55" s="965"/>
      <c r="S55" s="966"/>
      <c r="T55" s="967"/>
      <c r="U55" s="950"/>
      <c r="V55" s="939"/>
      <c r="W55" s="941"/>
      <c r="X55" s="943"/>
      <c r="Y55" s="361"/>
      <c r="Z55" s="364"/>
      <c r="AA55" s="367"/>
      <c r="AB55"/>
      <c r="AC55"/>
      <c r="AD55"/>
      <c r="AE55"/>
      <c r="AF55"/>
      <c r="AG55"/>
      <c r="AH55"/>
      <c r="AI55"/>
      <c r="AJ55"/>
      <c r="AK55"/>
      <c r="AL55"/>
      <c r="AM55"/>
      <c r="AN55"/>
      <c r="AO55"/>
      <c r="AP55"/>
      <c r="AQ55"/>
      <c r="AR55"/>
      <c r="AS55"/>
      <c r="AT55"/>
      <c r="AU55"/>
    </row>
    <row r="56" spans="17:47" ht="12.75" customHeight="1">
      <c r="Q56" s="668"/>
      <c r="R56" s="969" t="s">
        <v>209</v>
      </c>
      <c r="S56" s="969"/>
      <c r="T56" s="969"/>
      <c r="U56" s="560">
        <f>$V$20/U51</f>
        <v>4</v>
      </c>
      <c r="V56" s="669">
        <f>$V$20/V51</f>
        <v>2.9999999999999996</v>
      </c>
      <c r="W56" s="669">
        <f>$V$20/W51</f>
        <v>2.6086956521739126</v>
      </c>
      <c r="X56" s="669">
        <f>$V$20/X51</f>
        <v>2.1428571428571428</v>
      </c>
      <c r="Y56" s="361"/>
      <c r="Z56" s="364"/>
      <c r="AA56" s="367"/>
      <c r="AB56"/>
      <c r="AC56"/>
      <c r="AD56"/>
      <c r="AE56"/>
      <c r="AF56"/>
      <c r="AG56"/>
      <c r="AH56"/>
      <c r="AI56"/>
      <c r="AJ56"/>
      <c r="AK56"/>
      <c r="AL56"/>
      <c r="AM56"/>
      <c r="AN56"/>
      <c r="AO56"/>
      <c r="AP56"/>
      <c r="AQ56"/>
      <c r="AR56"/>
      <c r="AS56"/>
      <c r="AT56"/>
      <c r="AU56"/>
    </row>
    <row r="57" spans="17:47" ht="12.75" customHeight="1">
      <c r="Q57" s="364"/>
      <c r="R57" s="364"/>
      <c r="S57" s="364"/>
      <c r="T57" s="364"/>
      <c r="U57" s="555"/>
      <c r="V57" s="555"/>
      <c r="W57" s="555"/>
      <c r="X57" s="555"/>
      <c r="Y57" s="555"/>
      <c r="Z57" s="364"/>
      <c r="AA57" s="367"/>
      <c r="AB57"/>
      <c r="AC57"/>
      <c r="AD57"/>
      <c r="AE57"/>
      <c r="AF57"/>
      <c r="AG57"/>
      <c r="AH57"/>
      <c r="AI57"/>
      <c r="AJ57"/>
      <c r="AK57"/>
      <c r="AL57"/>
      <c r="AM57"/>
      <c r="AN57"/>
      <c r="AO57"/>
      <c r="AP57"/>
      <c r="AQ57"/>
      <c r="AR57"/>
      <c r="AS57"/>
      <c r="AT57"/>
      <c r="AU57"/>
    </row>
    <row r="58" spans="17:47" ht="12.75" customHeight="1">
      <c r="Q58" s="563">
        <v>3.3</v>
      </c>
      <c r="R58" s="363" t="s">
        <v>211</v>
      </c>
      <c r="S58" s="363"/>
      <c r="T58" s="363"/>
      <c r="U58" s="363"/>
      <c r="V58" s="363"/>
      <c r="W58" s="363"/>
      <c r="X58" s="363"/>
      <c r="Y58" s="363"/>
      <c r="Z58" s="364"/>
      <c r="AA58" s="367"/>
      <c r="AB58"/>
      <c r="AC58"/>
      <c r="AD58"/>
      <c r="AE58"/>
      <c r="AF58"/>
      <c r="AG58"/>
      <c r="AH58"/>
      <c r="AI58"/>
      <c r="AJ58"/>
      <c r="AK58"/>
      <c r="AL58"/>
      <c r="AM58"/>
      <c r="AN58"/>
      <c r="AO58"/>
      <c r="AP58"/>
      <c r="AQ58"/>
      <c r="AR58"/>
      <c r="AS58"/>
      <c r="AT58"/>
      <c r="AU58"/>
    </row>
    <row r="59" spans="17:47" ht="12.75" customHeight="1">
      <c r="Q59" s="563"/>
      <c r="R59" s="962" t="s">
        <v>678</v>
      </c>
      <c r="S59" s="963"/>
      <c r="T59" s="964"/>
      <c r="U59" s="949" t="s">
        <v>500</v>
      </c>
      <c r="V59" s="938" t="s">
        <v>22</v>
      </c>
      <c r="W59" s="940" t="s">
        <v>579</v>
      </c>
      <c r="X59" s="942" t="s">
        <v>21</v>
      </c>
      <c r="Y59" s="361"/>
      <c r="Z59" s="364"/>
      <c r="AA59" s="367"/>
      <c r="AB59"/>
      <c r="AC59"/>
      <c r="AD59"/>
      <c r="AE59"/>
      <c r="AF59"/>
      <c r="AG59"/>
      <c r="AH59"/>
      <c r="AI59"/>
      <c r="AJ59"/>
      <c r="AK59"/>
      <c r="AL59"/>
      <c r="AM59"/>
      <c r="AN59"/>
      <c r="AO59"/>
      <c r="AP59"/>
      <c r="AQ59"/>
      <c r="AR59"/>
      <c r="AS59"/>
      <c r="AT59"/>
      <c r="AU59"/>
    </row>
    <row r="60" spans="17:47" ht="12.75" customHeight="1">
      <c r="Q60" s="563"/>
      <c r="R60" s="965"/>
      <c r="S60" s="966"/>
      <c r="T60" s="967"/>
      <c r="U60" s="950"/>
      <c r="V60" s="939"/>
      <c r="W60" s="941"/>
      <c r="X60" s="943"/>
      <c r="Y60" s="361"/>
      <c r="Z60" s="364"/>
      <c r="AA60" s="367"/>
      <c r="AB60"/>
      <c r="AC60"/>
      <c r="AD60"/>
      <c r="AE60"/>
      <c r="AF60"/>
      <c r="AG60"/>
      <c r="AH60"/>
      <c r="AI60"/>
      <c r="AJ60"/>
      <c r="AK60"/>
      <c r="AL60"/>
      <c r="AM60"/>
      <c r="AN60"/>
      <c r="AO60"/>
      <c r="AP60"/>
      <c r="AQ60"/>
      <c r="AR60"/>
      <c r="AS60"/>
      <c r="AT60"/>
      <c r="AU60"/>
    </row>
    <row r="61" spans="17:47" ht="12.75" customHeight="1">
      <c r="Q61" s="563"/>
      <c r="R61" s="969" t="s">
        <v>209</v>
      </c>
      <c r="S61" s="969"/>
      <c r="T61" s="969"/>
      <c r="U61" s="562">
        <f>(U56*$V$24)/$V$23</f>
        <v>160</v>
      </c>
      <c r="V61" s="670">
        <f>(V56*$V$24)/$V$23</f>
        <v>119.99999999999997</v>
      </c>
      <c r="W61" s="670">
        <f>(W56*$V$24)/$V$23</f>
        <v>104.3478260869565</v>
      </c>
      <c r="X61" s="670">
        <f>(X56*$V$24)/$V$23</f>
        <v>85.714285714285708</v>
      </c>
      <c r="Y61" s="361"/>
      <c r="Z61" s="364"/>
      <c r="AA61" s="367"/>
      <c r="AB61"/>
      <c r="AC61"/>
      <c r="AD61"/>
      <c r="AE61"/>
      <c r="AF61"/>
      <c r="AG61"/>
      <c r="AH61"/>
      <c r="AI61"/>
      <c r="AJ61"/>
      <c r="AK61"/>
      <c r="AL61"/>
      <c r="AM61"/>
      <c r="AN61"/>
      <c r="AO61"/>
      <c r="AP61"/>
      <c r="AQ61"/>
      <c r="AR61"/>
      <c r="AS61"/>
      <c r="AT61"/>
      <c r="AU61"/>
    </row>
    <row r="62" spans="17:47" ht="12.75" customHeight="1">
      <c r="Q62" s="563"/>
      <c r="R62" s="931" t="s">
        <v>212</v>
      </c>
      <c r="S62" s="931"/>
      <c r="T62" s="931"/>
      <c r="U62" s="537">
        <f>U61/60</f>
        <v>2.6666666666666665</v>
      </c>
      <c r="V62" s="557">
        <f>V61/60</f>
        <v>1.9999999999999996</v>
      </c>
      <c r="W62" s="557">
        <f>W61/60</f>
        <v>1.7391304347826084</v>
      </c>
      <c r="X62" s="557">
        <f>X61/60</f>
        <v>1.4285714285714284</v>
      </c>
      <c r="Y62" s="361"/>
      <c r="Z62" s="364"/>
      <c r="AA62" s="367"/>
      <c r="AB62"/>
      <c r="AC62"/>
      <c r="AD62"/>
      <c r="AE62"/>
      <c r="AF62"/>
      <c r="AG62"/>
      <c r="AH62"/>
      <c r="AI62"/>
      <c r="AJ62"/>
      <c r="AK62"/>
      <c r="AL62"/>
      <c r="AM62"/>
      <c r="AN62"/>
      <c r="AO62"/>
      <c r="AP62"/>
      <c r="AQ62"/>
      <c r="AR62"/>
      <c r="AS62"/>
      <c r="AT62"/>
      <c r="AU62"/>
    </row>
    <row r="63" spans="17:47" ht="12.75" customHeight="1">
      <c r="Q63" s="563"/>
      <c r="R63" s="363"/>
      <c r="S63" s="363"/>
      <c r="T63" s="363"/>
      <c r="U63" s="363"/>
      <c r="V63" s="363"/>
      <c r="W63" s="363"/>
      <c r="X63" s="363"/>
      <c r="Y63" s="363"/>
      <c r="Z63" s="364"/>
      <c r="AA63" s="367"/>
      <c r="AB63"/>
      <c r="AC63"/>
      <c r="AD63"/>
      <c r="AE63"/>
      <c r="AF63"/>
      <c r="AG63"/>
      <c r="AH63"/>
      <c r="AI63"/>
      <c r="AJ63"/>
      <c r="AK63"/>
      <c r="AL63"/>
      <c r="AM63"/>
      <c r="AN63"/>
      <c r="AO63"/>
      <c r="AP63"/>
      <c r="AQ63"/>
      <c r="AR63"/>
      <c r="AS63"/>
      <c r="AT63"/>
      <c r="AU63"/>
    </row>
    <row r="64" spans="17:47" ht="12.75" customHeight="1">
      <c r="Q64" s="388" t="s">
        <v>295</v>
      </c>
      <c r="R64" s="1015" t="s">
        <v>216</v>
      </c>
      <c r="S64" s="1015"/>
      <c r="T64" s="1015"/>
      <c r="U64" s="1015"/>
      <c r="V64" s="1015"/>
      <c r="W64" s="1015"/>
      <c r="X64" s="1015"/>
      <c r="Y64" s="1015"/>
      <c r="Z64" s="536"/>
      <c r="AA64" s="367"/>
      <c r="AB64"/>
      <c r="AC64"/>
      <c r="AD64"/>
      <c r="AE64"/>
      <c r="AF64"/>
      <c r="AG64"/>
      <c r="AH64"/>
      <c r="AI64"/>
      <c r="AJ64"/>
      <c r="AK64"/>
      <c r="AL64"/>
      <c r="AM64"/>
      <c r="AN64"/>
      <c r="AO64"/>
      <c r="AP64"/>
      <c r="AQ64"/>
      <c r="AR64"/>
      <c r="AS64"/>
      <c r="AT64"/>
      <c r="AU64"/>
    </row>
    <row r="65" spans="17:47" ht="12.75" customHeight="1">
      <c r="Q65" s="563"/>
      <c r="R65" s="363"/>
      <c r="S65" s="363"/>
      <c r="T65" s="363"/>
      <c r="U65" s="363"/>
      <c r="V65" s="363"/>
      <c r="W65" s="363"/>
      <c r="X65" s="363"/>
      <c r="Y65" s="363"/>
      <c r="Z65" s="364"/>
      <c r="AA65" s="367"/>
      <c r="AB65"/>
      <c r="AC65"/>
      <c r="AD65"/>
      <c r="AE65"/>
      <c r="AF65"/>
      <c r="AG65"/>
      <c r="AH65"/>
      <c r="AI65"/>
      <c r="AJ65"/>
      <c r="AK65"/>
      <c r="AL65"/>
      <c r="AM65"/>
      <c r="AN65"/>
      <c r="AO65"/>
      <c r="AP65"/>
      <c r="AQ65"/>
      <c r="AR65"/>
      <c r="AS65"/>
      <c r="AT65"/>
      <c r="AU65"/>
    </row>
    <row r="66" spans="17:47" ht="12.75" customHeight="1">
      <c r="Q66" s="360" t="s">
        <v>502</v>
      </c>
      <c r="R66" s="364" t="s">
        <v>527</v>
      </c>
      <c r="S66" s="364"/>
      <c r="T66" s="364"/>
      <c r="U66" s="555"/>
      <c r="V66" s="555"/>
      <c r="W66" s="555"/>
      <c r="X66" s="555"/>
      <c r="Y66" s="555"/>
      <c r="Z66" s="364"/>
      <c r="AA66" s="367"/>
      <c r="AB66"/>
      <c r="AC66"/>
      <c r="AD66"/>
      <c r="AE66"/>
      <c r="AF66"/>
      <c r="AG66"/>
      <c r="AH66"/>
      <c r="AI66"/>
      <c r="AJ66"/>
      <c r="AK66"/>
      <c r="AL66"/>
      <c r="AM66"/>
      <c r="AN66"/>
      <c r="AO66"/>
      <c r="AP66"/>
      <c r="AQ66"/>
      <c r="AR66"/>
      <c r="AS66"/>
      <c r="AT66"/>
      <c r="AU66"/>
    </row>
    <row r="67" spans="17:47" ht="12.75" customHeight="1">
      <c r="Q67" s="360"/>
      <c r="R67" s="962" t="s">
        <v>678</v>
      </c>
      <c r="S67" s="963"/>
      <c r="T67" s="964"/>
      <c r="U67" s="949" t="s">
        <v>500</v>
      </c>
      <c r="V67" s="938" t="s">
        <v>22</v>
      </c>
      <c r="W67" s="940" t="s">
        <v>579</v>
      </c>
      <c r="X67" s="942" t="s">
        <v>21</v>
      </c>
      <c r="Y67" s="361"/>
      <c r="Z67" s="364"/>
      <c r="AA67" s="367"/>
      <c r="AB67"/>
      <c r="AC67"/>
      <c r="AD67"/>
      <c r="AE67"/>
      <c r="AF67"/>
      <c r="AG67"/>
      <c r="AH67"/>
      <c r="AI67"/>
      <c r="AJ67"/>
      <c r="AK67"/>
      <c r="AL67"/>
      <c r="AM67"/>
      <c r="AN67"/>
      <c r="AO67"/>
      <c r="AP67"/>
      <c r="AQ67"/>
      <c r="AR67"/>
      <c r="AS67"/>
      <c r="AT67"/>
      <c r="AU67"/>
    </row>
    <row r="68" spans="17:47" ht="12.75" customHeight="1">
      <c r="Q68" s="360"/>
      <c r="R68" s="965"/>
      <c r="S68" s="966"/>
      <c r="T68" s="967"/>
      <c r="U68" s="950"/>
      <c r="V68" s="939"/>
      <c r="W68" s="941"/>
      <c r="X68" s="943"/>
      <c r="Y68" s="361"/>
      <c r="Z68" s="364"/>
      <c r="AA68" s="367"/>
      <c r="AB68"/>
      <c r="AC68"/>
      <c r="AD68"/>
      <c r="AE68"/>
      <c r="AF68"/>
      <c r="AG68"/>
      <c r="AH68"/>
      <c r="AI68"/>
      <c r="AJ68"/>
      <c r="AK68"/>
      <c r="AL68"/>
      <c r="AM68"/>
      <c r="AN68"/>
      <c r="AO68"/>
      <c r="AP68"/>
      <c r="AQ68"/>
      <c r="AR68"/>
      <c r="AS68"/>
      <c r="AT68"/>
      <c r="AU68"/>
    </row>
    <row r="69" spans="17:47" ht="12.75" customHeight="1">
      <c r="Q69" s="360"/>
      <c r="R69" s="969" t="s">
        <v>63</v>
      </c>
      <c r="S69" s="969"/>
      <c r="T69" s="969"/>
      <c r="U69" s="369">
        <v>102</v>
      </c>
      <c r="V69" s="369">
        <f>VLOOKUP($V$5,'Lookup dBA'!$B$8:$E$208,3)</f>
        <v>108</v>
      </c>
      <c r="W69" s="369">
        <f>VLOOKUP($V$5,'Lookup dBA'!$B$8:$E$208,4)</f>
        <v>109</v>
      </c>
      <c r="X69" s="369">
        <f>VLOOKUP($V$5,'Lookup dBA'!$B$8:$E$208,2)</f>
        <v>116</v>
      </c>
      <c r="Y69" s="361"/>
      <c r="Z69" s="364"/>
      <c r="AA69" s="367"/>
      <c r="AB69"/>
      <c r="AC69"/>
      <c r="AD69"/>
      <c r="AE69"/>
      <c r="AF69"/>
      <c r="AG69"/>
      <c r="AH69"/>
      <c r="AI69"/>
      <c r="AJ69"/>
      <c r="AK69"/>
      <c r="AL69"/>
      <c r="AM69"/>
      <c r="AN69"/>
      <c r="AO69"/>
      <c r="AP69"/>
      <c r="AQ69"/>
      <c r="AR69"/>
      <c r="AS69"/>
      <c r="AT69"/>
      <c r="AU69"/>
    </row>
    <row r="70" spans="17:47" ht="12.75" customHeight="1">
      <c r="Q70" s="360"/>
      <c r="R70" s="969" t="s">
        <v>64</v>
      </c>
      <c r="S70" s="969"/>
      <c r="T70" s="969"/>
      <c r="U70" s="369">
        <f>U69-PPE!$I$15</f>
        <v>89</v>
      </c>
      <c r="V70" s="369">
        <f>V69-PPE!$I$15</f>
        <v>95</v>
      </c>
      <c r="W70" s="369">
        <f>W69-PPE!$I$15</f>
        <v>96</v>
      </c>
      <c r="X70" s="369">
        <f>X69-PPE!$I$15</f>
        <v>103</v>
      </c>
      <c r="Y70" s="361"/>
      <c r="Z70" s="364"/>
      <c r="AA70" s="367"/>
      <c r="AB70"/>
      <c r="AC70"/>
      <c r="AD70"/>
      <c r="AE70"/>
      <c r="AF70"/>
      <c r="AG70"/>
      <c r="AH70"/>
      <c r="AI70"/>
      <c r="AJ70"/>
      <c r="AK70"/>
      <c r="AL70"/>
      <c r="AM70"/>
      <c r="AN70"/>
      <c r="AO70"/>
      <c r="AP70"/>
      <c r="AQ70"/>
      <c r="AR70"/>
      <c r="AS70"/>
      <c r="AT70"/>
      <c r="AU70"/>
    </row>
    <row r="71" spans="17:47" ht="12.75" customHeight="1">
      <c r="Q71" s="360"/>
      <c r="R71" s="969" t="s">
        <v>529</v>
      </c>
      <c r="S71" s="969"/>
      <c r="T71" s="969"/>
      <c r="U71" s="369">
        <v>110</v>
      </c>
      <c r="V71" s="369">
        <v>110</v>
      </c>
      <c r="W71" s="369">
        <v>110</v>
      </c>
      <c r="X71" s="369">
        <v>110</v>
      </c>
      <c r="Y71" s="361"/>
      <c r="Z71" s="364"/>
      <c r="AA71" s="367"/>
      <c r="AB71"/>
      <c r="AC71"/>
      <c r="AD71"/>
      <c r="AE71"/>
      <c r="AF71"/>
      <c r="AG71"/>
      <c r="AH71"/>
      <c r="AI71"/>
      <c r="AJ71"/>
      <c r="AK71"/>
      <c r="AL71"/>
      <c r="AM71"/>
      <c r="AN71"/>
      <c r="AO71"/>
      <c r="AP71"/>
      <c r="AQ71"/>
      <c r="AR71"/>
      <c r="AS71"/>
      <c r="AT71"/>
      <c r="AU71"/>
    </row>
    <row r="72" spans="17:47" ht="12.75" customHeight="1">
      <c r="Q72" s="360"/>
      <c r="R72" s="363"/>
      <c r="S72" s="363"/>
      <c r="T72" s="363"/>
      <c r="U72" s="363"/>
      <c r="V72" s="363"/>
      <c r="W72" s="363"/>
      <c r="X72" s="363"/>
      <c r="Y72" s="555"/>
      <c r="Z72" s="364"/>
      <c r="AA72" s="367"/>
      <c r="AB72"/>
      <c r="AC72"/>
      <c r="AD72"/>
      <c r="AE72"/>
      <c r="AF72"/>
      <c r="AG72"/>
      <c r="AH72"/>
      <c r="AI72"/>
      <c r="AJ72"/>
      <c r="AK72"/>
      <c r="AL72"/>
      <c r="AM72"/>
      <c r="AN72"/>
      <c r="AO72"/>
      <c r="AP72"/>
      <c r="AQ72"/>
      <c r="AR72"/>
      <c r="AS72"/>
      <c r="AT72"/>
      <c r="AU72"/>
    </row>
    <row r="73" spans="17:47" ht="12.75" customHeight="1">
      <c r="Q73" s="360" t="s">
        <v>503</v>
      </c>
      <c r="R73" s="364" t="s">
        <v>528</v>
      </c>
      <c r="S73" s="364"/>
      <c r="T73" s="364"/>
      <c r="U73" s="555"/>
      <c r="V73" s="555"/>
      <c r="W73" s="555"/>
      <c r="X73" s="555"/>
      <c r="Y73" s="555"/>
      <c r="Z73" s="364"/>
      <c r="AA73" s="367"/>
      <c r="AB73"/>
      <c r="AC73"/>
      <c r="AD73"/>
      <c r="AE73"/>
      <c r="AF73"/>
      <c r="AG73"/>
      <c r="AH73"/>
      <c r="AI73"/>
      <c r="AJ73"/>
      <c r="AK73"/>
      <c r="AL73"/>
      <c r="AM73"/>
      <c r="AN73"/>
      <c r="AO73"/>
      <c r="AP73"/>
      <c r="AQ73"/>
      <c r="AR73"/>
      <c r="AS73"/>
      <c r="AT73"/>
      <c r="AU73"/>
    </row>
    <row r="74" spans="17:47" ht="12.75" customHeight="1">
      <c r="Q74" s="360"/>
      <c r="R74" s="935" t="s">
        <v>678</v>
      </c>
      <c r="S74" s="935"/>
      <c r="T74" s="935"/>
      <c r="U74" s="930" t="s">
        <v>500</v>
      </c>
      <c r="V74" s="928" t="s">
        <v>22</v>
      </c>
      <c r="W74" s="929" t="s">
        <v>579</v>
      </c>
      <c r="X74" s="927" t="s">
        <v>21</v>
      </c>
      <c r="Y74" s="361"/>
      <c r="Z74" s="364"/>
      <c r="AA74" s="367"/>
      <c r="AB74"/>
      <c r="AC74"/>
      <c r="AD74"/>
      <c r="AE74"/>
      <c r="AF74"/>
      <c r="AG74"/>
      <c r="AH74"/>
      <c r="AI74"/>
      <c r="AJ74"/>
      <c r="AK74"/>
      <c r="AL74"/>
      <c r="AM74"/>
      <c r="AN74"/>
      <c r="AO74"/>
      <c r="AP74"/>
      <c r="AQ74"/>
      <c r="AR74"/>
      <c r="AS74"/>
      <c r="AT74"/>
      <c r="AU74"/>
    </row>
    <row r="75" spans="17:47" ht="12.75" customHeight="1">
      <c r="Q75" s="360"/>
      <c r="R75" s="935"/>
      <c r="S75" s="935"/>
      <c r="T75" s="935"/>
      <c r="U75" s="930"/>
      <c r="V75" s="928"/>
      <c r="W75" s="929"/>
      <c r="X75" s="927"/>
      <c r="Y75" s="361"/>
      <c r="Z75" s="364"/>
      <c r="AA75" s="367"/>
      <c r="AB75"/>
      <c r="AC75"/>
      <c r="AD75"/>
      <c r="AE75"/>
      <c r="AF75"/>
      <c r="AG75"/>
      <c r="AH75"/>
      <c r="AI75"/>
      <c r="AJ75"/>
      <c r="AK75"/>
      <c r="AL75"/>
      <c r="AM75"/>
      <c r="AN75"/>
      <c r="AO75"/>
      <c r="AP75"/>
      <c r="AQ75"/>
      <c r="AR75"/>
      <c r="AS75"/>
      <c r="AT75"/>
      <c r="AU75"/>
    </row>
    <row r="76" spans="17:47" ht="12.75" customHeight="1">
      <c r="Q76" s="360"/>
      <c r="R76" s="969" t="s">
        <v>63</v>
      </c>
      <c r="S76" s="969"/>
      <c r="T76" s="969"/>
      <c r="U76" s="369">
        <f>VLOOKUP($V$21,$R$309:$Z$314,5)</f>
        <v>108.02059991327964</v>
      </c>
      <c r="V76" s="369">
        <f>VLOOKUP($V$21,$R$309:$Z$314,3)</f>
        <v>114.02059991327963</v>
      </c>
      <c r="W76" s="369">
        <f>VLOOKUP($V$21,$R$309:$Z$314,4)</f>
        <v>115.02059991327963</v>
      </c>
      <c r="X76" s="369">
        <f>VLOOKUP($V$21,$R$309:$Z$314,2)</f>
        <v>122.02059991327964</v>
      </c>
      <c r="Y76" s="361"/>
      <c r="Z76" s="364"/>
      <c r="AA76" s="367"/>
      <c r="AB76"/>
      <c r="AC76"/>
      <c r="AD76"/>
      <c r="AE76"/>
      <c r="AF76"/>
      <c r="AG76"/>
      <c r="AH76"/>
      <c r="AI76"/>
      <c r="AJ76"/>
      <c r="AK76"/>
      <c r="AL76"/>
      <c r="AM76"/>
      <c r="AN76"/>
      <c r="AO76"/>
      <c r="AP76"/>
      <c r="AQ76"/>
      <c r="AR76"/>
      <c r="AS76"/>
      <c r="AT76"/>
      <c r="AU76"/>
    </row>
    <row r="77" spans="17:47" ht="12.75" customHeight="1">
      <c r="Q77" s="360"/>
      <c r="R77" s="969" t="s">
        <v>64</v>
      </c>
      <c r="S77" s="969"/>
      <c r="T77" s="969"/>
      <c r="U77" s="369">
        <f>U76-PPE!$I$15</f>
        <v>95.020599913279639</v>
      </c>
      <c r="V77" s="369">
        <f>V76-PPE!$I$15</f>
        <v>101.02059991327963</v>
      </c>
      <c r="W77" s="369">
        <f>W76-PPE!$I$15</f>
        <v>102.02059991327963</v>
      </c>
      <c r="X77" s="369">
        <f>X76-PPE!$I$15</f>
        <v>109.02059991327964</v>
      </c>
      <c r="Y77" s="361"/>
      <c r="Z77" s="364"/>
      <c r="AA77" s="367"/>
      <c r="AB77"/>
      <c r="AC77"/>
      <c r="AD77"/>
      <c r="AE77"/>
      <c r="AF77"/>
      <c r="AG77"/>
      <c r="AH77"/>
      <c r="AI77"/>
      <c r="AJ77"/>
      <c r="AK77"/>
      <c r="AL77"/>
      <c r="AM77"/>
      <c r="AN77"/>
      <c r="AO77"/>
      <c r="AP77"/>
      <c r="AQ77"/>
      <c r="AR77"/>
      <c r="AS77"/>
      <c r="AT77"/>
      <c r="AU77"/>
    </row>
    <row r="78" spans="17:47" ht="12.75" customHeight="1">
      <c r="Q78" s="360"/>
      <c r="R78" s="969" t="s">
        <v>529</v>
      </c>
      <c r="S78" s="969"/>
      <c r="T78" s="969"/>
      <c r="U78" s="369">
        <v>110</v>
      </c>
      <c r="V78" s="369">
        <v>110</v>
      </c>
      <c r="W78" s="369">
        <v>110</v>
      </c>
      <c r="X78" s="369">
        <v>110</v>
      </c>
      <c r="Y78" s="361"/>
      <c r="Z78" s="364"/>
      <c r="AA78" s="367"/>
      <c r="AB78"/>
      <c r="AC78"/>
      <c r="AD78"/>
      <c r="AE78"/>
      <c r="AF78"/>
      <c r="AG78"/>
      <c r="AH78"/>
      <c r="AI78"/>
      <c r="AJ78"/>
      <c r="AK78"/>
      <c r="AL78"/>
      <c r="AM78"/>
      <c r="AN78"/>
      <c r="AO78"/>
      <c r="AP78"/>
      <c r="AQ78"/>
      <c r="AR78"/>
      <c r="AS78"/>
      <c r="AT78"/>
      <c r="AU78"/>
    </row>
    <row r="79" spans="17:47" ht="12.75" customHeight="1">
      <c r="Q79" s="360"/>
      <c r="R79" s="364"/>
      <c r="S79" s="364"/>
      <c r="T79" s="364"/>
      <c r="U79" s="555"/>
      <c r="V79" s="555"/>
      <c r="W79" s="555"/>
      <c r="X79" s="555"/>
      <c r="Y79" s="555"/>
      <c r="Z79" s="364"/>
      <c r="AA79" s="367"/>
      <c r="AB79"/>
      <c r="AC79"/>
      <c r="AD79"/>
      <c r="AE79"/>
      <c r="AF79"/>
      <c r="AG79"/>
      <c r="AH79"/>
      <c r="AI79"/>
      <c r="AJ79"/>
      <c r="AK79"/>
      <c r="AL79"/>
      <c r="AM79"/>
      <c r="AN79"/>
      <c r="AO79"/>
      <c r="AP79"/>
      <c r="AQ79"/>
      <c r="AR79"/>
      <c r="AS79"/>
      <c r="AT79"/>
      <c r="AU79"/>
    </row>
    <row r="80" spans="17:47" ht="12.75" customHeight="1">
      <c r="Q80" s="385" t="s">
        <v>305</v>
      </c>
      <c r="R80" s="1008" t="s">
        <v>218</v>
      </c>
      <c r="S80" s="1008"/>
      <c r="T80" s="1008"/>
      <c r="U80" s="1008"/>
      <c r="V80" s="1008"/>
      <c r="W80" s="1008"/>
      <c r="X80" s="1008"/>
      <c r="Y80" s="1008"/>
      <c r="Z80" s="536"/>
      <c r="AA80" s="367"/>
      <c r="AB80"/>
      <c r="AC80"/>
      <c r="AD80"/>
      <c r="AE80"/>
      <c r="AF80"/>
      <c r="AG80"/>
      <c r="AH80"/>
      <c r="AI80"/>
      <c r="AJ80"/>
      <c r="AK80"/>
      <c r="AL80"/>
      <c r="AM80"/>
      <c r="AN80"/>
      <c r="AO80"/>
      <c r="AP80"/>
      <c r="AQ80"/>
      <c r="AR80"/>
      <c r="AS80"/>
      <c r="AT80"/>
      <c r="AU80"/>
    </row>
    <row r="81" spans="17:47" ht="12.75" customHeight="1">
      <c r="Q81" s="546"/>
      <c r="R81" s="363"/>
      <c r="S81" s="363"/>
      <c r="T81" s="363"/>
      <c r="U81" s="363"/>
      <c r="V81" s="363"/>
      <c r="W81" s="363"/>
      <c r="X81" s="363"/>
      <c r="Y81" s="363"/>
      <c r="Z81" s="364"/>
      <c r="AA81" s="367"/>
      <c r="AB81"/>
      <c r="AC81"/>
      <c r="AD81"/>
      <c r="AE81"/>
      <c r="AF81"/>
      <c r="AG81"/>
      <c r="AH81"/>
      <c r="AI81"/>
      <c r="AJ81"/>
      <c r="AK81"/>
      <c r="AL81"/>
      <c r="AM81"/>
      <c r="AN81"/>
      <c r="AO81"/>
      <c r="AP81"/>
      <c r="AQ81"/>
      <c r="AR81"/>
      <c r="AS81"/>
      <c r="AT81"/>
      <c r="AU81"/>
    </row>
    <row r="82" spans="17:47" ht="12.75" customHeight="1">
      <c r="Q82" s="546"/>
      <c r="R82" s="363" t="s">
        <v>436</v>
      </c>
      <c r="S82" s="363"/>
      <c r="T82" s="363"/>
      <c r="U82" s="363"/>
      <c r="V82" s="363"/>
      <c r="W82" s="363"/>
      <c r="X82" s="363"/>
      <c r="Y82" s="363"/>
      <c r="Z82" s="364"/>
      <c r="AA82" s="367"/>
      <c r="AB82"/>
      <c r="AC82"/>
      <c r="AD82"/>
      <c r="AE82"/>
      <c r="AF82"/>
      <c r="AG82"/>
      <c r="AH82"/>
      <c r="AI82"/>
      <c r="AJ82"/>
      <c r="AK82"/>
      <c r="AL82"/>
      <c r="AM82"/>
      <c r="AN82"/>
      <c r="AO82"/>
      <c r="AP82"/>
      <c r="AQ82"/>
      <c r="AR82"/>
      <c r="AS82"/>
      <c r="AT82"/>
      <c r="AU82"/>
    </row>
    <row r="83" spans="17:47" ht="12.75" customHeight="1">
      <c r="Q83" s="360"/>
      <c r="R83" s="935" t="s">
        <v>678</v>
      </c>
      <c r="S83" s="935"/>
      <c r="T83" s="935"/>
      <c r="U83" s="949" t="s">
        <v>500</v>
      </c>
      <c r="V83" s="1011" t="s">
        <v>22</v>
      </c>
      <c r="W83" s="1013" t="s">
        <v>579</v>
      </c>
      <c r="X83" s="1009" t="s">
        <v>21</v>
      </c>
      <c r="Y83" s="361"/>
      <c r="Z83" s="364"/>
      <c r="AA83" s="367"/>
      <c r="AB83"/>
      <c r="AC83"/>
      <c r="AD83"/>
      <c r="AE83"/>
      <c r="AF83"/>
      <c r="AG83"/>
      <c r="AH83"/>
      <c r="AI83"/>
      <c r="AJ83"/>
      <c r="AK83"/>
      <c r="AL83"/>
      <c r="AM83"/>
      <c r="AN83"/>
      <c r="AO83"/>
      <c r="AP83"/>
      <c r="AQ83"/>
      <c r="AR83"/>
      <c r="AS83"/>
      <c r="AT83"/>
      <c r="AU83"/>
    </row>
    <row r="84" spans="17:47" ht="12.75" customHeight="1">
      <c r="Q84" s="360"/>
      <c r="R84" s="935"/>
      <c r="S84" s="935"/>
      <c r="T84" s="935"/>
      <c r="U84" s="950"/>
      <c r="V84" s="1012"/>
      <c r="W84" s="1014"/>
      <c r="X84" s="1010"/>
      <c r="Y84" s="361"/>
      <c r="Z84" s="364"/>
      <c r="AA84" s="367"/>
      <c r="AB84"/>
      <c r="AC84"/>
      <c r="AD84"/>
      <c r="AE84"/>
      <c r="AF84"/>
      <c r="AG84"/>
      <c r="AH84"/>
      <c r="AI84"/>
      <c r="AJ84"/>
      <c r="AK84"/>
      <c r="AL84"/>
      <c r="AM84"/>
      <c r="AN84"/>
      <c r="AO84"/>
      <c r="AP84"/>
      <c r="AQ84"/>
      <c r="AR84"/>
      <c r="AS84"/>
      <c r="AT84"/>
      <c r="AU84"/>
    </row>
    <row r="85" spans="17:47" ht="12.75" customHeight="1">
      <c r="Q85" s="360"/>
      <c r="R85" s="969" t="s">
        <v>63</v>
      </c>
      <c r="S85" s="969"/>
      <c r="T85" s="969"/>
      <c r="U85" s="369">
        <f>U414</f>
        <v>97.15</v>
      </c>
      <c r="V85" s="369">
        <f>U356</f>
        <v>101.95</v>
      </c>
      <c r="W85" s="369">
        <f>U385</f>
        <v>102.4</v>
      </c>
      <c r="X85" s="369">
        <f>U327</f>
        <v>108.5</v>
      </c>
      <c r="Y85" s="361"/>
      <c r="Z85" s="364"/>
      <c r="AA85" s="367"/>
      <c r="AB85"/>
      <c r="AC85"/>
      <c r="AD85"/>
      <c r="AE85"/>
      <c r="AF85"/>
      <c r="AG85"/>
      <c r="AH85"/>
      <c r="AI85"/>
      <c r="AJ85"/>
      <c r="AK85"/>
      <c r="AL85"/>
      <c r="AM85"/>
      <c r="AN85"/>
      <c r="AO85"/>
      <c r="AP85"/>
      <c r="AQ85"/>
      <c r="AR85"/>
      <c r="AS85"/>
      <c r="AT85"/>
      <c r="AU85"/>
    </row>
    <row r="86" spans="17:47" ht="12.75" customHeight="1">
      <c r="Q86" s="360"/>
      <c r="R86" s="969" t="s">
        <v>64</v>
      </c>
      <c r="S86" s="969"/>
      <c r="T86" s="969"/>
      <c r="U86" s="369">
        <f>U427</f>
        <v>84.15</v>
      </c>
      <c r="V86" s="369">
        <f>U369</f>
        <v>88.95</v>
      </c>
      <c r="W86" s="369">
        <f>U398</f>
        <v>89.3</v>
      </c>
      <c r="X86" s="369">
        <f>U340</f>
        <v>95.55</v>
      </c>
      <c r="Y86" s="361"/>
      <c r="Z86" s="364"/>
      <c r="AA86" s="367"/>
      <c r="AB86"/>
      <c r="AC86"/>
      <c r="AD86"/>
      <c r="AE86"/>
      <c r="AF86"/>
      <c r="AG86"/>
      <c r="AH86"/>
      <c r="AI86"/>
      <c r="AJ86"/>
      <c r="AK86"/>
      <c r="AL86"/>
      <c r="AM86"/>
      <c r="AN86"/>
      <c r="AO86"/>
      <c r="AP86"/>
      <c r="AQ86"/>
      <c r="AR86"/>
      <c r="AS86"/>
      <c r="AT86"/>
      <c r="AU86"/>
    </row>
    <row r="87" spans="17:47" ht="12.75" customHeight="1">
      <c r="Q87" s="360"/>
      <c r="R87" s="969" t="s">
        <v>530</v>
      </c>
      <c r="S87" s="969"/>
      <c r="T87" s="969"/>
      <c r="U87" s="369">
        <v>85</v>
      </c>
      <c r="V87" s="369">
        <v>85</v>
      </c>
      <c r="W87" s="369">
        <v>85</v>
      </c>
      <c r="X87" s="369">
        <v>85</v>
      </c>
      <c r="Y87" s="361"/>
      <c r="Z87" s="364"/>
      <c r="AA87" s="367"/>
      <c r="AB87"/>
      <c r="AC87"/>
      <c r="AD87"/>
      <c r="AE87"/>
      <c r="AF87"/>
      <c r="AG87"/>
      <c r="AH87"/>
      <c r="AI87"/>
      <c r="AJ87"/>
      <c r="AK87"/>
      <c r="AL87"/>
      <c r="AM87"/>
      <c r="AN87"/>
      <c r="AO87"/>
      <c r="AP87"/>
      <c r="AQ87"/>
      <c r="AR87"/>
      <c r="AS87"/>
      <c r="AT87"/>
      <c r="AU87"/>
    </row>
    <row r="88" spans="17:47" ht="12.75" customHeight="1">
      <c r="Q88" s="360"/>
      <c r="R88" s="363"/>
      <c r="S88" s="363"/>
      <c r="T88" s="363"/>
      <c r="U88" s="363"/>
      <c r="V88" s="363"/>
      <c r="W88" s="363"/>
      <c r="X88" s="363"/>
      <c r="Y88" s="363"/>
      <c r="Z88" s="364"/>
      <c r="AA88" s="367"/>
      <c r="AB88"/>
      <c r="AC88"/>
      <c r="AD88"/>
      <c r="AE88"/>
      <c r="AF88"/>
      <c r="AG88"/>
      <c r="AH88"/>
      <c r="AI88"/>
      <c r="AJ88"/>
      <c r="AK88"/>
      <c r="AL88"/>
      <c r="AM88"/>
      <c r="AN88"/>
      <c r="AO88"/>
      <c r="AP88"/>
      <c r="AQ88"/>
      <c r="AR88"/>
      <c r="AS88"/>
      <c r="AT88"/>
      <c r="AU88"/>
    </row>
    <row r="89" spans="17:47" ht="12.75" customHeight="1">
      <c r="Q89" s="360"/>
      <c r="R89" s="363" t="s">
        <v>437</v>
      </c>
      <c r="S89" s="363"/>
      <c r="T89" s="363"/>
      <c r="U89" s="363"/>
      <c r="V89" s="363"/>
      <c r="W89" s="363"/>
      <c r="X89" s="363"/>
      <c r="Y89" s="363"/>
      <c r="Z89" s="364"/>
      <c r="AA89" s="367"/>
      <c r="AB89"/>
      <c r="AC89"/>
      <c r="AD89"/>
      <c r="AE89"/>
      <c r="AF89"/>
      <c r="AG89"/>
      <c r="AH89"/>
      <c r="AI89"/>
      <c r="AJ89"/>
      <c r="AK89"/>
      <c r="AL89"/>
      <c r="AM89"/>
      <c r="AN89"/>
      <c r="AO89"/>
      <c r="AP89"/>
      <c r="AQ89"/>
      <c r="AR89"/>
      <c r="AS89"/>
      <c r="AT89"/>
      <c r="AU89"/>
    </row>
    <row r="90" spans="17:47" ht="12.75" customHeight="1">
      <c r="Q90" s="360"/>
      <c r="R90" s="935" t="s">
        <v>678</v>
      </c>
      <c r="S90" s="935"/>
      <c r="T90" s="935"/>
      <c r="U90" s="949" t="s">
        <v>500</v>
      </c>
      <c r="V90" s="1011" t="s">
        <v>22</v>
      </c>
      <c r="W90" s="1013" t="s">
        <v>579</v>
      </c>
      <c r="X90" s="1009" t="s">
        <v>21</v>
      </c>
      <c r="Y90" s="361"/>
      <c r="Z90" s="364"/>
      <c r="AA90" s="367"/>
      <c r="AB90"/>
      <c r="AC90"/>
      <c r="AD90"/>
      <c r="AE90"/>
      <c r="AF90"/>
      <c r="AG90"/>
      <c r="AH90"/>
      <c r="AI90"/>
      <c r="AJ90"/>
      <c r="AK90"/>
      <c r="AL90"/>
      <c r="AM90"/>
      <c r="AN90"/>
      <c r="AO90"/>
      <c r="AP90"/>
      <c r="AQ90"/>
      <c r="AR90"/>
      <c r="AS90"/>
      <c r="AT90"/>
      <c r="AU90"/>
    </row>
    <row r="91" spans="17:47" ht="12.75" customHeight="1">
      <c r="Q91" s="360"/>
      <c r="R91" s="935"/>
      <c r="S91" s="935"/>
      <c r="T91" s="935"/>
      <c r="U91" s="950"/>
      <c r="V91" s="1012"/>
      <c r="W91" s="1014"/>
      <c r="X91" s="1010"/>
      <c r="Y91" s="361"/>
      <c r="Z91" s="364"/>
      <c r="AA91" s="367"/>
      <c r="AB91"/>
      <c r="AC91"/>
      <c r="AD91"/>
      <c r="AE91"/>
      <c r="AF91"/>
      <c r="AG91"/>
      <c r="AH91"/>
      <c r="AI91"/>
      <c r="AJ91"/>
      <c r="AK91"/>
      <c r="AL91"/>
      <c r="AM91"/>
      <c r="AN91"/>
      <c r="AO91"/>
      <c r="AP91"/>
      <c r="AQ91"/>
      <c r="AR91"/>
      <c r="AS91"/>
      <c r="AT91"/>
      <c r="AU91"/>
    </row>
    <row r="92" spans="17:47" ht="12.75" customHeight="1">
      <c r="Q92" s="360"/>
      <c r="R92" s="969" t="s">
        <v>63</v>
      </c>
      <c r="S92" s="969"/>
      <c r="T92" s="969"/>
      <c r="U92" s="369">
        <f>U533</f>
        <v>103.15</v>
      </c>
      <c r="V92" s="369">
        <f>U475</f>
        <v>107.95</v>
      </c>
      <c r="W92" s="369">
        <f>U504</f>
        <v>108.4</v>
      </c>
      <c r="X92" s="369">
        <f>U446</f>
        <v>113.95</v>
      </c>
      <c r="Y92" s="361"/>
      <c r="Z92" s="364"/>
      <c r="AA92" s="367"/>
      <c r="AB92"/>
      <c r="AC92"/>
      <c r="AD92"/>
      <c r="AE92"/>
      <c r="AF92"/>
      <c r="AG92"/>
      <c r="AH92"/>
      <c r="AI92"/>
      <c r="AJ92"/>
      <c r="AK92"/>
      <c r="AL92"/>
      <c r="AM92"/>
      <c r="AN92"/>
      <c r="AO92"/>
      <c r="AP92"/>
      <c r="AQ92"/>
      <c r="AR92"/>
      <c r="AS92"/>
      <c r="AT92"/>
      <c r="AU92"/>
    </row>
    <row r="93" spans="17:47" ht="12.75" customHeight="1">
      <c r="Q93" s="360"/>
      <c r="R93" s="969" t="s">
        <v>64</v>
      </c>
      <c r="S93" s="969"/>
      <c r="T93" s="969"/>
      <c r="U93" s="369">
        <f>U546</f>
        <v>90.15</v>
      </c>
      <c r="V93" s="369">
        <f>U488</f>
        <v>94.95</v>
      </c>
      <c r="W93" s="369">
        <f>U517</f>
        <v>95.3</v>
      </c>
      <c r="X93" s="369">
        <f>U459</f>
        <v>101.55</v>
      </c>
      <c r="Y93" s="361"/>
      <c r="Z93" s="364"/>
      <c r="AA93" s="367"/>
      <c r="AB93"/>
      <c r="AC93"/>
      <c r="AD93"/>
      <c r="AE93"/>
      <c r="AF93"/>
      <c r="AG93"/>
      <c r="AH93"/>
      <c r="AI93"/>
      <c r="AJ93"/>
      <c r="AK93"/>
      <c r="AL93"/>
      <c r="AM93"/>
      <c r="AN93"/>
      <c r="AO93"/>
      <c r="AP93"/>
      <c r="AQ93"/>
      <c r="AR93"/>
      <c r="AS93"/>
      <c r="AT93"/>
      <c r="AU93"/>
    </row>
    <row r="94" spans="17:47" ht="12.75" customHeight="1">
      <c r="Q94" s="360"/>
      <c r="R94" s="969" t="s">
        <v>530</v>
      </c>
      <c r="S94" s="969"/>
      <c r="T94" s="969"/>
      <c r="U94" s="369">
        <v>85</v>
      </c>
      <c r="V94" s="369">
        <v>85</v>
      </c>
      <c r="W94" s="369">
        <v>85</v>
      </c>
      <c r="X94" s="369">
        <v>85</v>
      </c>
      <c r="Y94" s="361"/>
      <c r="Z94" s="364"/>
      <c r="AA94" s="367"/>
      <c r="AB94"/>
      <c r="AC94"/>
      <c r="AD94"/>
      <c r="AE94"/>
      <c r="AF94"/>
      <c r="AG94"/>
      <c r="AH94"/>
      <c r="AI94"/>
      <c r="AJ94"/>
      <c r="AK94"/>
      <c r="AL94"/>
      <c r="AM94"/>
      <c r="AN94"/>
      <c r="AO94"/>
      <c r="AP94"/>
      <c r="AQ94"/>
      <c r="AR94"/>
      <c r="AS94"/>
      <c r="AT94"/>
      <c r="AU94"/>
    </row>
    <row r="95" spans="17:47" ht="12.75" customHeight="1">
      <c r="Q95" s="360"/>
      <c r="R95" s="363"/>
      <c r="S95" s="363"/>
      <c r="T95" s="363"/>
      <c r="U95" s="363"/>
      <c r="V95" s="363"/>
      <c r="W95" s="363"/>
      <c r="X95" s="363"/>
      <c r="Y95" s="363"/>
      <c r="Z95" s="364"/>
      <c r="AA95" s="367"/>
      <c r="AB95"/>
      <c r="AC95"/>
      <c r="AD95"/>
      <c r="AE95"/>
      <c r="AF95"/>
      <c r="AG95"/>
      <c r="AH95"/>
      <c r="AI95"/>
      <c r="AJ95"/>
      <c r="AK95"/>
      <c r="AL95"/>
      <c r="AM95"/>
      <c r="AN95"/>
      <c r="AO95"/>
      <c r="AP95"/>
      <c r="AQ95"/>
      <c r="AR95"/>
      <c r="AS95"/>
      <c r="AT95"/>
      <c r="AU95"/>
    </row>
    <row r="96" spans="17:47" s="133" customFormat="1" ht="12.75" customHeight="1">
      <c r="Q96" s="385" t="s">
        <v>222</v>
      </c>
      <c r="R96" s="1008" t="s">
        <v>504</v>
      </c>
      <c r="S96" s="1008"/>
      <c r="T96" s="1008"/>
      <c r="U96" s="1008"/>
      <c r="V96" s="1008"/>
      <c r="W96" s="1008"/>
      <c r="X96" s="1008"/>
      <c r="Y96" s="1008"/>
      <c r="Z96" s="547"/>
      <c r="AA96" s="367"/>
      <c r="AB96"/>
      <c r="AC96"/>
      <c r="AD96"/>
      <c r="AE96"/>
      <c r="AF96"/>
      <c r="AG96"/>
      <c r="AH96"/>
      <c r="AI96"/>
      <c r="AJ96"/>
      <c r="AK96"/>
      <c r="AL96"/>
      <c r="AM96"/>
      <c r="AN96"/>
      <c r="AO96"/>
      <c r="AP96"/>
      <c r="AQ96"/>
      <c r="AR96"/>
      <c r="AS96"/>
      <c r="AT96"/>
      <c r="AU96"/>
    </row>
    <row r="97" spans="17:47" ht="12.75" customHeight="1">
      <c r="Q97" s="360"/>
      <c r="R97" s="363"/>
      <c r="S97" s="363"/>
      <c r="T97" s="363"/>
      <c r="U97" s="363"/>
      <c r="V97" s="363"/>
      <c r="W97" s="363"/>
      <c r="X97" s="363"/>
      <c r="Y97" s="363"/>
      <c r="Z97" s="364"/>
      <c r="AA97" s="367"/>
      <c r="AB97"/>
      <c r="AC97"/>
      <c r="AD97"/>
      <c r="AE97"/>
      <c r="AF97"/>
      <c r="AG97"/>
      <c r="AH97"/>
      <c r="AI97"/>
      <c r="AJ97"/>
      <c r="AK97"/>
      <c r="AL97"/>
      <c r="AM97"/>
      <c r="AN97"/>
      <c r="AO97"/>
      <c r="AP97"/>
      <c r="AQ97"/>
      <c r="AR97"/>
      <c r="AS97"/>
      <c r="AT97"/>
      <c r="AU97"/>
    </row>
    <row r="98" spans="17:47" ht="12.75" customHeight="1">
      <c r="Q98" s="360" t="s">
        <v>505</v>
      </c>
      <c r="R98" s="363" t="s">
        <v>514</v>
      </c>
      <c r="S98" s="363"/>
      <c r="T98" s="363"/>
      <c r="U98" s="363"/>
      <c r="V98" s="363"/>
      <c r="W98" s="363"/>
      <c r="X98" s="363"/>
      <c r="Y98" s="363"/>
      <c r="Z98" s="364"/>
      <c r="AA98" s="367"/>
      <c r="AB98"/>
      <c r="AC98"/>
      <c r="AD98"/>
      <c r="AE98"/>
      <c r="AF98"/>
      <c r="AG98"/>
      <c r="AH98"/>
      <c r="AI98"/>
      <c r="AJ98"/>
      <c r="AK98"/>
      <c r="AL98"/>
      <c r="AM98"/>
      <c r="AN98"/>
      <c r="AO98"/>
      <c r="AP98"/>
      <c r="AQ98"/>
      <c r="AR98"/>
      <c r="AS98"/>
      <c r="AT98"/>
      <c r="AU98"/>
    </row>
    <row r="99" spans="17:47" ht="12.75" customHeight="1">
      <c r="Q99" s="360"/>
      <c r="R99" s="363" t="s">
        <v>512</v>
      </c>
      <c r="S99" s="363"/>
      <c r="T99" s="363"/>
      <c r="U99" s="363"/>
      <c r="V99" s="363"/>
      <c r="W99" s="363"/>
      <c r="X99" s="363"/>
      <c r="Y99" s="363"/>
      <c r="Z99" s="364"/>
      <c r="AA99" s="367"/>
      <c r="AB99"/>
      <c r="AC99"/>
      <c r="AD99"/>
      <c r="AE99"/>
      <c r="AF99"/>
      <c r="AG99"/>
      <c r="AH99"/>
      <c r="AI99"/>
      <c r="AJ99"/>
      <c r="AK99"/>
      <c r="AL99"/>
      <c r="AM99"/>
      <c r="AN99"/>
      <c r="AO99"/>
      <c r="AP99"/>
      <c r="AQ99"/>
      <c r="AR99"/>
      <c r="AS99"/>
      <c r="AT99"/>
      <c r="AU99"/>
    </row>
    <row r="100" spans="17:47" ht="12.75" customHeight="1">
      <c r="Q100" s="360"/>
      <c r="R100" s="998" t="s">
        <v>191</v>
      </c>
      <c r="S100" s="999"/>
      <c r="T100" s="1000"/>
      <c r="U100" s="949" t="s">
        <v>500</v>
      </c>
      <c r="V100" s="938" t="s">
        <v>22</v>
      </c>
      <c r="W100" s="940" t="s">
        <v>579</v>
      </c>
      <c r="X100" s="942" t="s">
        <v>21</v>
      </c>
      <c r="Y100" s="361"/>
      <c r="Z100" s="364"/>
      <c r="AA100" s="367"/>
      <c r="AB100"/>
      <c r="AC100"/>
      <c r="AD100"/>
      <c r="AE100"/>
      <c r="AF100"/>
      <c r="AG100"/>
      <c r="AH100"/>
      <c r="AI100"/>
      <c r="AJ100"/>
      <c r="AK100"/>
      <c r="AL100"/>
      <c r="AM100"/>
      <c r="AN100"/>
      <c r="AO100"/>
      <c r="AP100"/>
      <c r="AQ100"/>
      <c r="AR100"/>
      <c r="AS100"/>
      <c r="AT100"/>
      <c r="AU100"/>
    </row>
    <row r="101" spans="17:47" ht="12.75" customHeight="1">
      <c r="Q101" s="360"/>
      <c r="R101" s="1001"/>
      <c r="S101" s="1002"/>
      <c r="T101" s="1003"/>
      <c r="U101" s="950"/>
      <c r="V101" s="939"/>
      <c r="W101" s="941"/>
      <c r="X101" s="943"/>
      <c r="Y101" s="361"/>
      <c r="Z101" s="364"/>
      <c r="AA101" s="367"/>
      <c r="AB101"/>
      <c r="AC101"/>
      <c r="AD101"/>
      <c r="AE101"/>
      <c r="AF101"/>
      <c r="AG101"/>
      <c r="AH101"/>
      <c r="AI101"/>
      <c r="AJ101"/>
      <c r="AK101"/>
      <c r="AL101"/>
      <c r="AM101"/>
      <c r="AN101"/>
      <c r="AO101"/>
      <c r="AP101"/>
      <c r="AQ101"/>
      <c r="AR101"/>
      <c r="AS101"/>
      <c r="AT101"/>
      <c r="AU101"/>
    </row>
    <row r="102" spans="17:47" ht="12.75" customHeight="1">
      <c r="Q102" s="360"/>
      <c r="R102" s="969" t="s">
        <v>63</v>
      </c>
      <c r="S102" s="969"/>
      <c r="T102" s="969"/>
      <c r="U102" s="537">
        <f>VLOOKUP(U69,'Lookup Exposure Time'!$B$12:$C$732,2)</f>
        <v>10</v>
      </c>
      <c r="V102" s="537">
        <f>VLOOKUP(V69,'Lookup Exposure Time'!$B$12:$C$732,2)</f>
        <v>2.5</v>
      </c>
      <c r="W102" s="537">
        <f>VLOOKUP(W69,'Lookup Exposure Time'!$B$12:$C$732,2)</f>
        <v>1.875</v>
      </c>
      <c r="X102" s="537">
        <f>VLOOKUP(X69,'Lookup Exposure Time'!$B$12:$C$732,2)</f>
        <v>0.39061999999999986</v>
      </c>
      <c r="Y102" s="361"/>
      <c r="Z102" s="364"/>
      <c r="AA102" s="367"/>
      <c r="AB102"/>
      <c r="AC102"/>
      <c r="AD102"/>
      <c r="AE102"/>
      <c r="AF102"/>
      <c r="AG102"/>
      <c r="AH102"/>
      <c r="AI102"/>
      <c r="AJ102"/>
      <c r="AK102"/>
      <c r="AL102"/>
      <c r="AM102"/>
      <c r="AN102"/>
      <c r="AO102"/>
      <c r="AP102"/>
      <c r="AQ102"/>
      <c r="AR102"/>
      <c r="AS102"/>
      <c r="AT102"/>
      <c r="AU102"/>
    </row>
    <row r="103" spans="17:47" ht="12.75" customHeight="1">
      <c r="Q103" s="360"/>
      <c r="R103" s="969" t="s">
        <v>64</v>
      </c>
      <c r="S103" s="969"/>
      <c r="T103" s="969"/>
      <c r="U103" s="537">
        <f>VLOOKUP(U70,'Lookup Exposure Time'!$B$12:$C$732,2)</f>
        <v>200</v>
      </c>
      <c r="V103" s="537">
        <f>VLOOKUP(V70,'Lookup Exposure Time'!$B$12:$C$732,2)</f>
        <v>50</v>
      </c>
      <c r="W103" s="537">
        <f>VLOOKUP(W70,'Lookup Exposure Time'!$B$12:$C$732,2)</f>
        <v>40</v>
      </c>
      <c r="X103" s="537">
        <f>VLOOKUP(X70,'Lookup Exposure Time'!$B$12:$C$732,2)</f>
        <v>7.5</v>
      </c>
      <c r="Y103" s="361"/>
      <c r="Z103" s="364"/>
      <c r="AA103" s="367"/>
      <c r="AB103"/>
      <c r="AC103"/>
      <c r="AD103"/>
      <c r="AE103"/>
      <c r="AF103"/>
      <c r="AG103"/>
      <c r="AH103"/>
      <c r="AI103"/>
      <c r="AJ103"/>
      <c r="AK103"/>
      <c r="AL103"/>
      <c r="AM103"/>
      <c r="AN103"/>
      <c r="AO103"/>
      <c r="AP103"/>
      <c r="AQ103"/>
      <c r="AR103"/>
      <c r="AS103"/>
      <c r="AT103"/>
      <c r="AU103"/>
    </row>
    <row r="104" spans="17:47" ht="12.75" customHeight="1">
      <c r="Q104" s="360"/>
      <c r="R104" s="364"/>
      <c r="S104" s="364"/>
      <c r="T104" s="364"/>
      <c r="U104" s="364"/>
      <c r="V104" s="364"/>
      <c r="W104" s="364"/>
      <c r="X104" s="364"/>
      <c r="Y104" s="363"/>
      <c r="Z104" s="364"/>
      <c r="AA104" s="367"/>
      <c r="AB104"/>
      <c r="AC104"/>
      <c r="AD104"/>
      <c r="AE104"/>
      <c r="AF104"/>
      <c r="AG104"/>
      <c r="AH104"/>
      <c r="AI104"/>
      <c r="AJ104"/>
      <c r="AK104"/>
      <c r="AL104"/>
      <c r="AM104"/>
      <c r="AN104"/>
      <c r="AO104"/>
      <c r="AP104"/>
      <c r="AQ104"/>
      <c r="AR104"/>
      <c r="AS104"/>
      <c r="AT104"/>
      <c r="AU104"/>
    </row>
    <row r="105" spans="17:47" ht="12.75" customHeight="1">
      <c r="Q105" s="360" t="s">
        <v>507</v>
      </c>
      <c r="R105" s="363" t="s">
        <v>513</v>
      </c>
      <c r="S105" s="363"/>
      <c r="T105" s="363"/>
      <c r="U105" s="363"/>
      <c r="V105" s="363"/>
      <c r="W105" s="363"/>
      <c r="X105" s="363"/>
      <c r="Y105" s="363"/>
      <c r="Z105" s="364"/>
      <c r="AA105" s="367"/>
      <c r="AB105"/>
      <c r="AC105"/>
      <c r="AD105"/>
      <c r="AE105"/>
      <c r="AF105"/>
      <c r="AG105"/>
      <c r="AH105"/>
      <c r="AI105"/>
      <c r="AJ105"/>
      <c r="AK105"/>
      <c r="AL105"/>
      <c r="AM105"/>
      <c r="AN105"/>
      <c r="AO105"/>
      <c r="AP105"/>
      <c r="AQ105"/>
      <c r="AR105"/>
      <c r="AS105"/>
      <c r="AT105"/>
      <c r="AU105"/>
    </row>
    <row r="106" spans="17:47" ht="12.75" customHeight="1">
      <c r="Q106" s="360"/>
      <c r="R106" s="998" t="s">
        <v>191</v>
      </c>
      <c r="S106" s="999"/>
      <c r="T106" s="1000"/>
      <c r="U106" s="949" t="s">
        <v>500</v>
      </c>
      <c r="V106" s="938" t="s">
        <v>22</v>
      </c>
      <c r="W106" s="940" t="s">
        <v>579</v>
      </c>
      <c r="X106" s="942" t="s">
        <v>21</v>
      </c>
      <c r="Y106" s="361"/>
      <c r="Z106" s="364"/>
      <c r="AA106" s="367"/>
      <c r="AB106"/>
      <c r="AC106"/>
      <c r="AD106"/>
      <c r="AE106"/>
      <c r="AF106"/>
      <c r="AG106"/>
      <c r="AH106"/>
      <c r="AI106"/>
      <c r="AJ106"/>
      <c r="AK106"/>
      <c r="AL106"/>
      <c r="AM106"/>
      <c r="AN106"/>
      <c r="AO106"/>
      <c r="AP106"/>
      <c r="AQ106"/>
      <c r="AR106"/>
      <c r="AS106"/>
      <c r="AT106"/>
      <c r="AU106"/>
    </row>
    <row r="107" spans="17:47" ht="12.75" customHeight="1">
      <c r="Q107" s="360"/>
      <c r="R107" s="1001"/>
      <c r="S107" s="1002"/>
      <c r="T107" s="1003"/>
      <c r="U107" s="950"/>
      <c r="V107" s="939"/>
      <c r="W107" s="941"/>
      <c r="X107" s="943"/>
      <c r="Y107" s="361"/>
      <c r="Z107" s="364"/>
      <c r="AA107" s="367"/>
      <c r="AB107"/>
      <c r="AC107"/>
      <c r="AD107"/>
      <c r="AE107"/>
      <c r="AF107"/>
      <c r="AG107"/>
      <c r="AH107"/>
      <c r="AI107"/>
      <c r="AJ107"/>
      <c r="AK107"/>
      <c r="AL107"/>
      <c r="AM107"/>
      <c r="AN107"/>
      <c r="AO107"/>
      <c r="AP107"/>
      <c r="AQ107"/>
      <c r="AR107"/>
      <c r="AS107"/>
      <c r="AT107"/>
      <c r="AU107"/>
    </row>
    <row r="108" spans="17:47" ht="12.75" customHeight="1">
      <c r="Q108" s="360"/>
      <c r="R108" s="969" t="s">
        <v>63</v>
      </c>
      <c r="S108" s="969"/>
      <c r="T108" s="969"/>
      <c r="U108" s="671">
        <f>VLOOKUP(U76,'Lookup Exposure Time'!$B$12:$C$732,2)</f>
        <v>2.5</v>
      </c>
      <c r="V108" s="671">
        <f>VLOOKUP(V76,'Lookup Exposure Time'!$B$12:$C$732,2)</f>
        <v>0.625</v>
      </c>
      <c r="W108" s="671">
        <f>VLOOKUP(W76,'Lookup Exposure Time'!$B$12:$C$732,2)</f>
        <v>0.46875</v>
      </c>
      <c r="X108" s="671">
        <f>VLOOKUP(X76,'Lookup Exposure Time'!$B$12:$C$732,2)</f>
        <v>9.765625E-2</v>
      </c>
      <c r="Y108" s="361"/>
      <c r="Z108" s="364"/>
      <c r="AA108" s="367"/>
      <c r="AB108"/>
      <c r="AC108"/>
      <c r="AD108"/>
      <c r="AE108"/>
      <c r="AF108"/>
      <c r="AG108"/>
      <c r="AH108"/>
      <c r="AI108"/>
      <c r="AJ108"/>
      <c r="AK108"/>
      <c r="AL108"/>
      <c r="AM108"/>
      <c r="AN108"/>
      <c r="AO108"/>
      <c r="AP108"/>
      <c r="AQ108"/>
      <c r="AR108"/>
      <c r="AS108"/>
      <c r="AT108"/>
      <c r="AU108"/>
    </row>
    <row r="109" spans="17:47" ht="12.75" customHeight="1">
      <c r="Q109" s="360"/>
      <c r="R109" s="969" t="s">
        <v>64</v>
      </c>
      <c r="S109" s="969"/>
      <c r="T109" s="969"/>
      <c r="U109" s="557">
        <f>VLOOKUP(U77,'Lookup Exposure Time'!$B$12:$C$732,2)</f>
        <v>50</v>
      </c>
      <c r="V109" s="557">
        <f>VLOOKUP(V77,'Lookup Exposure Time'!$B$12:$C$732,2)</f>
        <v>12.5</v>
      </c>
      <c r="W109" s="557">
        <f>VLOOKUP(W77,'Lookup Exposure Time'!$B$12:$C$732,2)</f>
        <v>10</v>
      </c>
      <c r="X109" s="557">
        <f>VLOOKUP(X77,'Lookup Exposure Time'!$B$12:$C$732,2)</f>
        <v>1.875</v>
      </c>
      <c r="Y109" s="361"/>
      <c r="Z109" s="364"/>
      <c r="AA109" s="367"/>
      <c r="AB109"/>
      <c r="AC109"/>
      <c r="AD109"/>
      <c r="AE109"/>
      <c r="AF109"/>
      <c r="AG109"/>
      <c r="AH109"/>
      <c r="AI109"/>
      <c r="AJ109"/>
      <c r="AK109"/>
      <c r="AL109"/>
      <c r="AM109"/>
      <c r="AN109"/>
      <c r="AO109"/>
      <c r="AP109"/>
      <c r="AQ109"/>
      <c r="AR109"/>
      <c r="AS109"/>
      <c r="AT109"/>
      <c r="AU109"/>
    </row>
    <row r="110" spans="17:47" ht="12.75" customHeight="1">
      <c r="Q110" s="360"/>
      <c r="R110" s="363"/>
      <c r="S110" s="363"/>
      <c r="T110" s="363"/>
      <c r="U110" s="363"/>
      <c r="V110" s="363"/>
      <c r="W110" s="363"/>
      <c r="X110" s="363"/>
      <c r="Y110" s="363"/>
      <c r="Z110" s="364"/>
      <c r="AA110" s="367"/>
      <c r="AB110"/>
      <c r="AC110"/>
      <c r="AD110"/>
      <c r="AE110"/>
      <c r="AF110"/>
      <c r="AG110"/>
      <c r="AH110"/>
      <c r="AI110"/>
      <c r="AJ110"/>
      <c r="AK110"/>
      <c r="AL110"/>
      <c r="AM110"/>
      <c r="AN110"/>
      <c r="AO110"/>
      <c r="AP110"/>
      <c r="AQ110"/>
      <c r="AR110"/>
      <c r="AS110"/>
      <c r="AT110"/>
      <c r="AU110"/>
    </row>
    <row r="111" spans="17:47" ht="12.75" customHeight="1">
      <c r="Q111" s="360" t="s">
        <v>508</v>
      </c>
      <c r="R111" s="363" t="s">
        <v>531</v>
      </c>
      <c r="S111" s="363"/>
      <c r="T111" s="363"/>
      <c r="U111" s="363"/>
      <c r="V111" s="363"/>
      <c r="W111" s="363"/>
      <c r="X111" s="363"/>
      <c r="Y111" s="363"/>
      <c r="Z111" s="364"/>
      <c r="AA111" s="367"/>
      <c r="AB111"/>
      <c r="AC111"/>
      <c r="AD111"/>
      <c r="AE111"/>
      <c r="AF111"/>
      <c r="AG111"/>
      <c r="AH111"/>
      <c r="AI111"/>
      <c r="AJ111"/>
      <c r="AK111"/>
      <c r="AL111"/>
      <c r="AM111"/>
      <c r="AN111"/>
      <c r="AO111"/>
      <c r="AP111"/>
      <c r="AQ111"/>
      <c r="AR111"/>
      <c r="AS111"/>
      <c r="AT111"/>
      <c r="AU111"/>
    </row>
    <row r="112" spans="17:47" ht="12.75" customHeight="1">
      <c r="Q112" s="360"/>
      <c r="R112" s="998" t="s">
        <v>191</v>
      </c>
      <c r="S112" s="999"/>
      <c r="T112" s="1000"/>
      <c r="U112" s="949" t="s">
        <v>500</v>
      </c>
      <c r="V112" s="938" t="s">
        <v>22</v>
      </c>
      <c r="W112" s="940" t="s">
        <v>579</v>
      </c>
      <c r="X112" s="942" t="s">
        <v>21</v>
      </c>
      <c r="Y112" s="361"/>
      <c r="Z112" s="364"/>
      <c r="AA112" s="367"/>
      <c r="AB112"/>
      <c r="AC112"/>
      <c r="AD112"/>
      <c r="AE112"/>
      <c r="AF112"/>
      <c r="AG112"/>
      <c r="AH112"/>
      <c r="AI112"/>
      <c r="AJ112"/>
      <c r="AK112"/>
      <c r="AL112"/>
      <c r="AM112"/>
      <c r="AN112"/>
      <c r="AO112"/>
      <c r="AP112"/>
      <c r="AQ112"/>
      <c r="AR112"/>
      <c r="AS112"/>
      <c r="AT112"/>
      <c r="AU112"/>
    </row>
    <row r="113" spans="17:47" ht="12.75" customHeight="1">
      <c r="Q113" s="360"/>
      <c r="R113" s="1001"/>
      <c r="S113" s="1002"/>
      <c r="T113" s="1003"/>
      <c r="U113" s="950"/>
      <c r="V113" s="939"/>
      <c r="W113" s="941"/>
      <c r="X113" s="943"/>
      <c r="Y113" s="361"/>
      <c r="Z113" s="364"/>
      <c r="AA113" s="367"/>
      <c r="AB113"/>
      <c r="AC113"/>
      <c r="AD113"/>
      <c r="AE113"/>
      <c r="AF113"/>
      <c r="AG113"/>
      <c r="AH113"/>
      <c r="AI113"/>
      <c r="AJ113"/>
      <c r="AK113"/>
      <c r="AL113"/>
      <c r="AM113"/>
      <c r="AN113"/>
      <c r="AO113"/>
      <c r="AP113"/>
      <c r="AQ113"/>
      <c r="AR113"/>
      <c r="AS113"/>
      <c r="AT113"/>
      <c r="AU113"/>
    </row>
    <row r="114" spans="17:47" ht="12.75" customHeight="1">
      <c r="Q114" s="360"/>
      <c r="R114" s="969" t="s">
        <v>63</v>
      </c>
      <c r="S114" s="969"/>
      <c r="T114" s="969"/>
      <c r="U114" s="537">
        <f t="shared" ref="U114:X115" si="0">U102/60</f>
        <v>0.16666666666666666</v>
      </c>
      <c r="V114" s="537">
        <f t="shared" si="0"/>
        <v>4.1666666666666664E-2</v>
      </c>
      <c r="W114" s="537">
        <f t="shared" si="0"/>
        <v>3.125E-2</v>
      </c>
      <c r="X114" s="537">
        <f t="shared" si="0"/>
        <v>6.5103333333333306E-3</v>
      </c>
      <c r="Y114" s="361"/>
      <c r="Z114" s="364"/>
      <c r="AA114" s="367"/>
      <c r="AB114"/>
      <c r="AC114"/>
      <c r="AD114"/>
      <c r="AE114"/>
      <c r="AF114"/>
      <c r="AG114"/>
      <c r="AH114"/>
      <c r="AI114"/>
      <c r="AJ114"/>
      <c r="AK114"/>
      <c r="AL114"/>
      <c r="AM114"/>
      <c r="AN114"/>
      <c r="AO114"/>
      <c r="AP114"/>
      <c r="AQ114"/>
      <c r="AR114"/>
      <c r="AS114"/>
      <c r="AT114"/>
      <c r="AU114"/>
    </row>
    <row r="115" spans="17:47" ht="12.75" customHeight="1">
      <c r="Q115" s="360"/>
      <c r="R115" s="969" t="s">
        <v>64</v>
      </c>
      <c r="S115" s="969"/>
      <c r="T115" s="969"/>
      <c r="U115" s="537">
        <f t="shared" si="0"/>
        <v>3.3333333333333335</v>
      </c>
      <c r="V115" s="537">
        <f t="shared" si="0"/>
        <v>0.83333333333333337</v>
      </c>
      <c r="W115" s="537">
        <f t="shared" si="0"/>
        <v>0.66666666666666663</v>
      </c>
      <c r="X115" s="537">
        <f t="shared" si="0"/>
        <v>0.125</v>
      </c>
      <c r="Y115" s="361"/>
      <c r="Z115" s="364"/>
      <c r="AA115" s="367"/>
      <c r="AB115"/>
      <c r="AC115"/>
      <c r="AD115"/>
      <c r="AE115"/>
      <c r="AF115"/>
      <c r="AG115"/>
      <c r="AH115"/>
      <c r="AI115"/>
      <c r="AJ115"/>
      <c r="AK115"/>
      <c r="AL115"/>
      <c r="AM115"/>
      <c r="AN115"/>
      <c r="AO115"/>
      <c r="AP115"/>
      <c r="AQ115"/>
      <c r="AR115"/>
      <c r="AS115"/>
      <c r="AT115"/>
      <c r="AU115"/>
    </row>
    <row r="116" spans="17:47" ht="12.75" customHeight="1">
      <c r="Q116" s="360"/>
      <c r="R116" s="364"/>
      <c r="S116" s="364"/>
      <c r="T116" s="364"/>
      <c r="U116" s="364"/>
      <c r="V116" s="364"/>
      <c r="W116" s="364"/>
      <c r="X116" s="364"/>
      <c r="Y116" s="363"/>
      <c r="Z116" s="364"/>
      <c r="AA116" s="367"/>
      <c r="AB116"/>
      <c r="AC116"/>
      <c r="AD116"/>
      <c r="AE116"/>
      <c r="AF116"/>
      <c r="AG116"/>
      <c r="AH116"/>
      <c r="AI116"/>
      <c r="AJ116"/>
      <c r="AK116"/>
      <c r="AL116"/>
      <c r="AM116"/>
      <c r="AN116"/>
      <c r="AO116"/>
      <c r="AP116"/>
      <c r="AQ116"/>
      <c r="AR116"/>
      <c r="AS116"/>
      <c r="AT116"/>
      <c r="AU116"/>
    </row>
    <row r="117" spans="17:47" ht="12.75" customHeight="1">
      <c r="Q117" s="360" t="s">
        <v>506</v>
      </c>
      <c r="R117" s="363" t="s">
        <v>532</v>
      </c>
      <c r="S117" s="363"/>
      <c r="T117" s="363"/>
      <c r="U117" s="363"/>
      <c r="V117" s="363"/>
      <c r="W117" s="363"/>
      <c r="X117" s="363"/>
      <c r="Y117" s="363"/>
      <c r="Z117" s="364"/>
      <c r="AA117" s="367"/>
      <c r="AB117"/>
      <c r="AC117"/>
      <c r="AD117"/>
      <c r="AE117"/>
      <c r="AF117"/>
      <c r="AG117"/>
      <c r="AH117"/>
      <c r="AI117"/>
      <c r="AJ117"/>
      <c r="AK117"/>
      <c r="AL117"/>
      <c r="AM117"/>
      <c r="AN117"/>
      <c r="AO117"/>
      <c r="AP117"/>
      <c r="AQ117"/>
      <c r="AR117"/>
      <c r="AS117"/>
      <c r="AT117"/>
      <c r="AU117"/>
    </row>
    <row r="118" spans="17:47" ht="12.75" customHeight="1">
      <c r="Q118" s="360"/>
      <c r="R118" s="998" t="s">
        <v>191</v>
      </c>
      <c r="S118" s="999"/>
      <c r="T118" s="1000"/>
      <c r="U118" s="949" t="s">
        <v>500</v>
      </c>
      <c r="V118" s="938" t="s">
        <v>22</v>
      </c>
      <c r="W118" s="940" t="s">
        <v>579</v>
      </c>
      <c r="X118" s="942" t="s">
        <v>21</v>
      </c>
      <c r="Y118" s="361"/>
      <c r="Z118" s="364"/>
      <c r="AA118" s="367"/>
      <c r="AB118"/>
      <c r="AC118"/>
      <c r="AD118"/>
      <c r="AE118"/>
      <c r="AF118"/>
      <c r="AG118"/>
      <c r="AH118"/>
      <c r="AI118"/>
      <c r="AJ118"/>
      <c r="AK118"/>
      <c r="AL118"/>
      <c r="AM118"/>
      <c r="AN118"/>
      <c r="AO118"/>
      <c r="AP118"/>
      <c r="AQ118"/>
      <c r="AR118"/>
      <c r="AS118"/>
      <c r="AT118"/>
      <c r="AU118"/>
    </row>
    <row r="119" spans="17:47" ht="12.75" customHeight="1">
      <c r="Q119" s="360"/>
      <c r="R119" s="1001"/>
      <c r="S119" s="1002"/>
      <c r="T119" s="1003"/>
      <c r="U119" s="950"/>
      <c r="V119" s="939"/>
      <c r="W119" s="941"/>
      <c r="X119" s="943"/>
      <c r="Y119" s="361"/>
      <c r="Z119" s="364"/>
      <c r="AA119" s="367"/>
      <c r="AB119"/>
      <c r="AC119"/>
      <c r="AD119"/>
      <c r="AE119"/>
      <c r="AF119"/>
      <c r="AG119"/>
      <c r="AH119"/>
      <c r="AI119"/>
      <c r="AJ119"/>
      <c r="AK119"/>
      <c r="AL119"/>
      <c r="AM119"/>
      <c r="AN119"/>
      <c r="AO119"/>
      <c r="AP119"/>
      <c r="AQ119"/>
      <c r="AR119"/>
      <c r="AS119"/>
      <c r="AT119"/>
      <c r="AU119"/>
    </row>
    <row r="120" spans="17:47" ht="12.75" customHeight="1">
      <c r="Q120" s="360"/>
      <c r="R120" s="969" t="s">
        <v>63</v>
      </c>
      <c r="S120" s="969"/>
      <c r="T120" s="969"/>
      <c r="U120" s="537">
        <f t="shared" ref="U120:X121" si="1">U108/60</f>
        <v>4.1666666666666664E-2</v>
      </c>
      <c r="V120" s="537">
        <f t="shared" si="1"/>
        <v>1.0416666666666666E-2</v>
      </c>
      <c r="W120" s="537">
        <f t="shared" si="1"/>
        <v>7.8125E-3</v>
      </c>
      <c r="X120" s="537">
        <f t="shared" si="1"/>
        <v>1.6276041666666667E-3</v>
      </c>
      <c r="Y120" s="361"/>
      <c r="Z120" s="364"/>
      <c r="AA120" s="367"/>
      <c r="AB120"/>
      <c r="AC120"/>
      <c r="AD120"/>
      <c r="AE120"/>
      <c r="AF120"/>
      <c r="AG120"/>
      <c r="AH120"/>
      <c r="AI120"/>
      <c r="AJ120"/>
      <c r="AK120"/>
      <c r="AL120"/>
      <c r="AM120"/>
      <c r="AN120"/>
      <c r="AO120"/>
      <c r="AP120"/>
      <c r="AQ120"/>
      <c r="AR120"/>
      <c r="AS120"/>
      <c r="AT120"/>
      <c r="AU120"/>
    </row>
    <row r="121" spans="17:47" ht="12.75" customHeight="1">
      <c r="Q121" s="360"/>
      <c r="R121" s="969" t="s">
        <v>64</v>
      </c>
      <c r="S121" s="969"/>
      <c r="T121" s="969"/>
      <c r="U121" s="537">
        <f t="shared" si="1"/>
        <v>0.83333333333333337</v>
      </c>
      <c r="V121" s="537">
        <f t="shared" si="1"/>
        <v>0.20833333333333334</v>
      </c>
      <c r="W121" s="537">
        <f t="shared" si="1"/>
        <v>0.16666666666666666</v>
      </c>
      <c r="X121" s="537">
        <f t="shared" si="1"/>
        <v>3.125E-2</v>
      </c>
      <c r="Y121" s="361"/>
      <c r="Z121" s="364"/>
      <c r="AA121" s="367"/>
      <c r="AB121"/>
      <c r="AC121"/>
      <c r="AD121"/>
      <c r="AE121"/>
      <c r="AF121"/>
      <c r="AG121"/>
      <c r="AH121"/>
      <c r="AI121"/>
      <c r="AJ121"/>
      <c r="AK121"/>
      <c r="AL121"/>
      <c r="AM121"/>
      <c r="AN121"/>
      <c r="AO121"/>
      <c r="AP121"/>
      <c r="AQ121"/>
      <c r="AR121"/>
      <c r="AS121"/>
      <c r="AT121"/>
      <c r="AU121"/>
    </row>
    <row r="122" spans="17:47" ht="12.75" customHeight="1">
      <c r="Q122" s="360"/>
      <c r="R122" s="363"/>
      <c r="S122" s="363"/>
      <c r="T122" s="363"/>
      <c r="U122" s="363"/>
      <c r="V122" s="363"/>
      <c r="W122" s="363"/>
      <c r="X122" s="363"/>
      <c r="Y122" s="363"/>
      <c r="Z122" s="364"/>
      <c r="AA122" s="367"/>
      <c r="AB122"/>
      <c r="AC122"/>
      <c r="AD122"/>
      <c r="AE122"/>
      <c r="AF122"/>
      <c r="AG122"/>
      <c r="AH122"/>
      <c r="AI122"/>
      <c r="AJ122"/>
      <c r="AK122"/>
      <c r="AL122"/>
      <c r="AM122"/>
      <c r="AN122"/>
      <c r="AO122"/>
      <c r="AP122"/>
      <c r="AQ122"/>
      <c r="AR122"/>
      <c r="AS122"/>
      <c r="AT122"/>
      <c r="AU122"/>
    </row>
    <row r="123" spans="17:47" ht="12.75" customHeight="1">
      <c r="Q123" s="546" t="s">
        <v>231</v>
      </c>
      <c r="R123" s="952" t="s">
        <v>232</v>
      </c>
      <c r="S123" s="952"/>
      <c r="T123" s="952"/>
      <c r="U123" s="952"/>
      <c r="V123" s="952"/>
      <c r="W123" s="952"/>
      <c r="X123" s="952"/>
      <c r="Y123" s="952"/>
      <c r="Z123" s="360"/>
      <c r="AA123" s="367"/>
      <c r="AB123"/>
      <c r="AC123"/>
      <c r="AD123"/>
      <c r="AE123"/>
      <c r="AF123"/>
      <c r="AG123"/>
      <c r="AH123"/>
      <c r="AI123"/>
      <c r="AJ123"/>
      <c r="AK123"/>
      <c r="AL123"/>
      <c r="AM123"/>
      <c r="AN123"/>
      <c r="AO123"/>
      <c r="AP123"/>
      <c r="AQ123"/>
      <c r="AR123"/>
      <c r="AS123"/>
      <c r="AT123"/>
      <c r="AU123"/>
    </row>
    <row r="124" spans="17:47" ht="12.75" customHeight="1">
      <c r="Q124" s="546"/>
      <c r="R124" s="360"/>
      <c r="S124" s="360"/>
      <c r="T124" s="360"/>
      <c r="U124" s="360"/>
      <c r="V124" s="360"/>
      <c r="W124" s="360"/>
      <c r="X124" s="360"/>
      <c r="Y124" s="360"/>
      <c r="Z124" s="360"/>
      <c r="AA124" s="367"/>
      <c r="AB124"/>
      <c r="AC124"/>
      <c r="AD124"/>
      <c r="AE124"/>
      <c r="AF124"/>
      <c r="AG124"/>
      <c r="AH124"/>
      <c r="AI124"/>
      <c r="AJ124"/>
      <c r="AK124"/>
      <c r="AL124"/>
      <c r="AM124"/>
      <c r="AN124"/>
      <c r="AO124"/>
      <c r="AP124"/>
      <c r="AQ124"/>
      <c r="AR124"/>
      <c r="AS124"/>
      <c r="AT124"/>
      <c r="AU124"/>
    </row>
    <row r="125" spans="17:47" ht="12.75" customHeight="1">
      <c r="Q125" s="546"/>
      <c r="R125" s="363" t="s">
        <v>233</v>
      </c>
      <c r="S125" s="363"/>
      <c r="T125" s="363"/>
      <c r="U125" s="363"/>
      <c r="V125" s="363"/>
      <c r="W125" s="363"/>
      <c r="X125" s="363"/>
      <c r="Y125" s="363"/>
      <c r="Z125" s="364"/>
      <c r="AA125" s="367"/>
      <c r="AB125"/>
      <c r="AC125"/>
      <c r="AD125"/>
      <c r="AE125"/>
      <c r="AF125"/>
      <c r="AG125"/>
      <c r="AH125"/>
      <c r="AI125"/>
      <c r="AJ125"/>
      <c r="AK125"/>
      <c r="AL125"/>
      <c r="AM125"/>
      <c r="AN125"/>
      <c r="AO125"/>
      <c r="AP125"/>
      <c r="AQ125"/>
      <c r="AR125"/>
      <c r="AS125"/>
      <c r="AT125"/>
      <c r="AU125"/>
    </row>
    <row r="126" spans="17:47" ht="12.75" customHeight="1">
      <c r="Q126" s="360"/>
      <c r="R126" s="998" t="s">
        <v>678</v>
      </c>
      <c r="S126" s="999"/>
      <c r="T126" s="1000"/>
      <c r="U126" s="949" t="s">
        <v>470</v>
      </c>
      <c r="V126" s="938" t="s">
        <v>22</v>
      </c>
      <c r="W126" s="940" t="s">
        <v>579</v>
      </c>
      <c r="X126" s="942" t="s">
        <v>21</v>
      </c>
      <c r="Y126" s="361"/>
      <c r="Z126" s="364"/>
      <c r="AA126" s="367"/>
      <c r="AB126"/>
      <c r="AC126"/>
      <c r="AD126"/>
      <c r="AE126"/>
      <c r="AF126"/>
      <c r="AG126"/>
      <c r="AH126"/>
      <c r="AI126"/>
      <c r="AJ126"/>
      <c r="AK126"/>
      <c r="AL126"/>
      <c r="AM126"/>
      <c r="AN126"/>
      <c r="AO126"/>
      <c r="AP126"/>
      <c r="AQ126"/>
      <c r="AR126"/>
      <c r="AS126"/>
      <c r="AT126"/>
      <c r="AU126"/>
    </row>
    <row r="127" spans="17:47" ht="12.75" customHeight="1">
      <c r="Q127" s="360"/>
      <c r="R127" s="1001"/>
      <c r="S127" s="1002"/>
      <c r="T127" s="1003"/>
      <c r="U127" s="950"/>
      <c r="V127" s="939"/>
      <c r="W127" s="941"/>
      <c r="X127" s="943"/>
      <c r="Y127" s="361"/>
      <c r="Z127" s="364"/>
      <c r="AA127" s="367"/>
      <c r="AB127"/>
      <c r="AC127"/>
      <c r="AD127"/>
      <c r="AE127"/>
      <c r="AF127"/>
      <c r="AG127"/>
      <c r="AH127"/>
      <c r="AI127"/>
      <c r="AJ127"/>
      <c r="AK127"/>
      <c r="AL127"/>
      <c r="AM127"/>
      <c r="AN127"/>
      <c r="AO127"/>
      <c r="AP127"/>
      <c r="AQ127"/>
      <c r="AR127"/>
      <c r="AS127"/>
      <c r="AT127"/>
      <c r="AU127"/>
    </row>
    <row r="128" spans="17:47" ht="12.75" customHeight="1">
      <c r="Q128" s="360"/>
      <c r="R128" s="969" t="s">
        <v>234</v>
      </c>
      <c r="S128" s="969"/>
      <c r="T128" s="969"/>
      <c r="U128" s="672">
        <v>8.3000000000000007</v>
      </c>
      <c r="V128" s="672">
        <f>VLOOKUP($V$5,'Lookup Vibration'!$B$8:$F$208,3)</f>
        <v>18.049999999999951</v>
      </c>
      <c r="W128" s="672">
        <f>VLOOKUP($V$5,'Lookup Vibration'!$B$8:$F$208,4)</f>
        <v>19.950000000000074</v>
      </c>
      <c r="X128" s="672">
        <f>VLOOKUP($V$5,'Lookup Vibration'!$B$8:$F$208,2)</f>
        <v>18.049999999999951</v>
      </c>
      <c r="Y128" s="361"/>
      <c r="Z128" s="364"/>
      <c r="AA128" s="367"/>
      <c r="AB128"/>
      <c r="AC128"/>
      <c r="AD128"/>
      <c r="AE128"/>
      <c r="AF128"/>
      <c r="AG128"/>
      <c r="AH128"/>
      <c r="AI128"/>
      <c r="AJ128"/>
      <c r="AK128"/>
      <c r="AL128"/>
      <c r="AM128"/>
      <c r="AN128"/>
      <c r="AO128"/>
      <c r="AP128"/>
      <c r="AQ128"/>
      <c r="AR128"/>
      <c r="AS128"/>
      <c r="AT128"/>
      <c r="AU128"/>
    </row>
    <row r="129" spans="17:47" ht="12.75" customHeight="1">
      <c r="Q129" s="360"/>
      <c r="R129" s="363"/>
      <c r="S129" s="363"/>
      <c r="T129" s="363"/>
      <c r="U129" s="363"/>
      <c r="V129" s="363"/>
      <c r="W129" s="363"/>
      <c r="X129" s="363"/>
      <c r="Y129" s="363"/>
      <c r="Z129" s="364"/>
      <c r="AA129" s="367"/>
      <c r="AB129"/>
      <c r="AC129"/>
      <c r="AD129"/>
      <c r="AE129"/>
      <c r="AF129"/>
      <c r="AG129"/>
      <c r="AH129"/>
      <c r="AI129"/>
      <c r="AJ129"/>
      <c r="AK129"/>
      <c r="AL129"/>
      <c r="AM129"/>
      <c r="AN129"/>
      <c r="AO129"/>
      <c r="AP129"/>
      <c r="AQ129"/>
      <c r="AR129"/>
      <c r="AS129"/>
      <c r="AT129"/>
      <c r="AU129"/>
    </row>
    <row r="130" spans="17:47" ht="12.75" customHeight="1">
      <c r="Q130" s="546" t="s">
        <v>235</v>
      </c>
      <c r="R130" s="952" t="s">
        <v>34</v>
      </c>
      <c r="S130" s="952"/>
      <c r="T130" s="952"/>
      <c r="U130" s="952"/>
      <c r="V130" s="952"/>
      <c r="W130" s="952"/>
      <c r="X130" s="952"/>
      <c r="Y130" s="952"/>
      <c r="Z130" s="360"/>
      <c r="AA130" s="367"/>
      <c r="AB130"/>
      <c r="AC130"/>
      <c r="AD130"/>
      <c r="AE130"/>
      <c r="AF130"/>
      <c r="AG130"/>
      <c r="AH130"/>
      <c r="AI130"/>
      <c r="AJ130"/>
      <c r="AK130"/>
      <c r="AL130"/>
      <c r="AM130"/>
      <c r="AN130"/>
      <c r="AO130"/>
      <c r="AP130"/>
      <c r="AQ130"/>
      <c r="AR130"/>
      <c r="AS130"/>
      <c r="AT130"/>
      <c r="AU130"/>
    </row>
    <row r="131" spans="17:47" ht="12.75" customHeight="1">
      <c r="Q131" s="546"/>
      <c r="R131" s="363"/>
      <c r="S131" s="363"/>
      <c r="T131" s="363"/>
      <c r="U131" s="363"/>
      <c r="V131" s="363"/>
      <c r="W131" s="363"/>
      <c r="X131" s="363"/>
      <c r="Y131" s="363"/>
      <c r="Z131" s="364"/>
      <c r="AA131" s="367"/>
      <c r="AB131"/>
      <c r="AC131"/>
      <c r="AD131"/>
      <c r="AE131"/>
      <c r="AF131"/>
      <c r="AG131"/>
      <c r="AH131"/>
      <c r="AI131"/>
      <c r="AJ131"/>
      <c r="AK131"/>
      <c r="AL131"/>
      <c r="AM131"/>
      <c r="AN131"/>
      <c r="AO131"/>
      <c r="AP131"/>
      <c r="AQ131"/>
      <c r="AR131"/>
      <c r="AS131"/>
      <c r="AT131"/>
      <c r="AU131"/>
    </row>
    <row r="132" spans="17:47" ht="12.75" customHeight="1">
      <c r="Q132" s="360"/>
      <c r="R132" s="998" t="s">
        <v>678</v>
      </c>
      <c r="S132" s="999"/>
      <c r="T132" s="1000"/>
      <c r="U132" s="949" t="s">
        <v>500</v>
      </c>
      <c r="V132" s="938" t="s">
        <v>22</v>
      </c>
      <c r="W132" s="940" t="s">
        <v>579</v>
      </c>
      <c r="X132" s="942" t="s">
        <v>21</v>
      </c>
      <c r="Y132" s="361"/>
      <c r="Z132" s="364"/>
      <c r="AA132" s="367"/>
      <c r="AB132"/>
      <c r="AC132"/>
      <c r="AD132"/>
      <c r="AE132"/>
      <c r="AF132"/>
      <c r="AG132"/>
      <c r="AH132"/>
      <c r="AI132"/>
      <c r="AJ132"/>
      <c r="AK132"/>
      <c r="AL132"/>
      <c r="AM132"/>
      <c r="AN132"/>
      <c r="AO132"/>
      <c r="AP132"/>
      <c r="AQ132"/>
      <c r="AR132"/>
      <c r="AS132"/>
      <c r="AT132"/>
      <c r="AU132"/>
    </row>
    <row r="133" spans="17:47" ht="12.75" customHeight="1">
      <c r="Q133" s="360"/>
      <c r="R133" s="1001"/>
      <c r="S133" s="1002"/>
      <c r="T133" s="1003"/>
      <c r="U133" s="950"/>
      <c r="V133" s="939"/>
      <c r="W133" s="941"/>
      <c r="X133" s="943"/>
      <c r="Y133" s="361"/>
      <c r="Z133" s="364"/>
      <c r="AA133" s="367"/>
      <c r="AB133"/>
      <c r="AC133"/>
      <c r="AD133"/>
      <c r="AE133"/>
      <c r="AF133"/>
      <c r="AG133"/>
      <c r="AH133"/>
      <c r="AI133"/>
      <c r="AJ133"/>
      <c r="AK133"/>
      <c r="AL133"/>
      <c r="AM133"/>
      <c r="AN133"/>
      <c r="AO133"/>
      <c r="AP133"/>
      <c r="AQ133"/>
      <c r="AR133"/>
      <c r="AS133"/>
      <c r="AT133"/>
      <c r="AU133"/>
    </row>
    <row r="134" spans="17:47" ht="12.75" customHeight="1">
      <c r="Q134" s="360"/>
      <c r="R134" s="1004" t="s">
        <v>298</v>
      </c>
      <c r="S134" s="1004"/>
      <c r="T134" s="1004"/>
      <c r="U134" s="673" t="s">
        <v>819</v>
      </c>
      <c r="V134" s="673" t="s">
        <v>818</v>
      </c>
      <c r="W134" s="673" t="s">
        <v>819</v>
      </c>
      <c r="X134" s="673" t="s">
        <v>818</v>
      </c>
      <c r="Y134" s="361"/>
      <c r="Z134" s="364"/>
      <c r="AA134" s="367"/>
      <c r="AB134"/>
      <c r="AC134"/>
      <c r="AD134"/>
      <c r="AE134"/>
      <c r="AF134"/>
      <c r="AG134"/>
      <c r="AH134"/>
      <c r="AI134"/>
      <c r="AJ134"/>
      <c r="AK134"/>
      <c r="AL134"/>
      <c r="AM134"/>
      <c r="AN134"/>
      <c r="AO134"/>
      <c r="AP134"/>
      <c r="AQ134"/>
      <c r="AR134"/>
      <c r="AS134"/>
      <c r="AT134"/>
      <c r="AU134"/>
    </row>
    <row r="135" spans="17:47" ht="12.75" customHeight="1">
      <c r="Q135" s="360"/>
      <c r="R135" s="931" t="s">
        <v>299</v>
      </c>
      <c r="S135" s="931"/>
      <c r="T135" s="931"/>
      <c r="U135" s="673" t="s">
        <v>297</v>
      </c>
      <c r="V135" s="673" t="s">
        <v>296</v>
      </c>
      <c r="W135" s="673" t="s">
        <v>296</v>
      </c>
      <c r="X135" s="673" t="s">
        <v>296</v>
      </c>
      <c r="Y135" s="361"/>
      <c r="Z135" s="364"/>
      <c r="AA135" s="367"/>
      <c r="AB135"/>
      <c r="AC135"/>
      <c r="AD135"/>
      <c r="AE135"/>
      <c r="AF135"/>
      <c r="AG135"/>
      <c r="AH135"/>
      <c r="AI135"/>
      <c r="AJ135"/>
      <c r="AK135"/>
      <c r="AL135"/>
      <c r="AM135"/>
      <c r="AN135"/>
      <c r="AO135"/>
      <c r="AP135"/>
      <c r="AQ135"/>
      <c r="AR135"/>
      <c r="AS135"/>
      <c r="AT135"/>
      <c r="AU135"/>
    </row>
    <row r="136" spans="17:47" ht="12.75" customHeight="1">
      <c r="Q136" s="360"/>
      <c r="R136" s="363"/>
      <c r="S136" s="363"/>
      <c r="T136" s="363"/>
      <c r="U136" s="363"/>
      <c r="V136" s="363"/>
      <c r="W136" s="363"/>
      <c r="X136" s="363"/>
      <c r="Y136" s="363"/>
      <c r="Z136" s="363"/>
      <c r="AA136" s="367"/>
      <c r="AB136"/>
      <c r="AC136"/>
      <c r="AD136"/>
      <c r="AE136"/>
      <c r="AF136"/>
      <c r="AG136"/>
      <c r="AH136"/>
      <c r="AI136"/>
      <c r="AJ136"/>
      <c r="AK136"/>
      <c r="AL136"/>
      <c r="AM136"/>
      <c r="AN136"/>
      <c r="AO136"/>
      <c r="AP136"/>
      <c r="AQ136"/>
      <c r="AR136"/>
      <c r="AS136"/>
      <c r="AT136"/>
      <c r="AU136"/>
    </row>
    <row r="137" spans="17:47" ht="12.75" customHeight="1">
      <c r="Q137" s="546" t="s">
        <v>236</v>
      </c>
      <c r="R137" s="952" t="s">
        <v>237</v>
      </c>
      <c r="S137" s="952"/>
      <c r="T137" s="952"/>
      <c r="U137" s="952"/>
      <c r="V137" s="952"/>
      <c r="W137" s="952"/>
      <c r="X137" s="952"/>
      <c r="Y137" s="952"/>
      <c r="Z137" s="360"/>
      <c r="AA137" s="367"/>
      <c r="AB137"/>
      <c r="AC137"/>
      <c r="AD137"/>
      <c r="AE137"/>
      <c r="AF137"/>
      <c r="AG137"/>
      <c r="AH137"/>
      <c r="AI137"/>
      <c r="AJ137"/>
      <c r="AK137"/>
      <c r="AL137"/>
      <c r="AM137"/>
      <c r="AN137"/>
      <c r="AO137"/>
      <c r="AP137"/>
      <c r="AQ137"/>
      <c r="AR137"/>
      <c r="AS137"/>
      <c r="AT137"/>
      <c r="AU137"/>
    </row>
    <row r="138" spans="17:47" ht="12.75" customHeight="1">
      <c r="Q138" s="360"/>
      <c r="R138" s="363"/>
      <c r="S138" s="363"/>
      <c r="T138" s="363"/>
      <c r="U138" s="363"/>
      <c r="V138" s="363"/>
      <c r="W138" s="363"/>
      <c r="X138" s="363"/>
      <c r="Y138" s="363"/>
      <c r="Z138" s="363"/>
      <c r="AA138" s="367"/>
      <c r="AB138"/>
      <c r="AC138"/>
      <c r="AD138"/>
      <c r="AE138"/>
      <c r="AF138"/>
      <c r="AG138"/>
      <c r="AH138"/>
      <c r="AI138"/>
      <c r="AJ138"/>
      <c r="AK138"/>
      <c r="AL138"/>
      <c r="AM138"/>
      <c r="AN138"/>
      <c r="AO138"/>
      <c r="AP138"/>
      <c r="AQ138"/>
      <c r="AR138"/>
      <c r="AS138"/>
      <c r="AT138"/>
      <c r="AU138"/>
    </row>
    <row r="139" spans="17:47" ht="12.75" customHeight="1">
      <c r="Q139" s="668" t="s">
        <v>238</v>
      </c>
      <c r="R139" s="364" t="s">
        <v>239</v>
      </c>
      <c r="S139" s="364"/>
      <c r="T139" s="364"/>
      <c r="U139" s="364"/>
      <c r="V139" s="364"/>
      <c r="W139" s="364"/>
      <c r="X139" s="364"/>
      <c r="Y139" s="364"/>
      <c r="Z139" s="364"/>
      <c r="AA139" s="367"/>
      <c r="AB139"/>
      <c r="AC139"/>
      <c r="AD139"/>
      <c r="AE139"/>
      <c r="AF139"/>
      <c r="AG139"/>
      <c r="AH139"/>
      <c r="AI139"/>
      <c r="AJ139"/>
      <c r="AK139"/>
      <c r="AL139"/>
      <c r="AM139"/>
      <c r="AN139"/>
      <c r="AO139"/>
      <c r="AP139"/>
      <c r="AQ139"/>
      <c r="AR139"/>
      <c r="AS139"/>
      <c r="AT139"/>
      <c r="AU139"/>
    </row>
    <row r="140" spans="17:47" ht="12.75" customHeight="1">
      <c r="Q140" s="668"/>
      <c r="R140" s="364" t="s">
        <v>469</v>
      </c>
      <c r="S140" s="364"/>
      <c r="T140" s="364"/>
      <c r="U140" s="364"/>
      <c r="V140" s="364"/>
      <c r="W140" s="364"/>
      <c r="X140" s="364"/>
      <c r="Y140" s="364"/>
      <c r="Z140" s="364"/>
      <c r="AA140" s="367"/>
      <c r="AB140"/>
      <c r="AC140"/>
      <c r="AD140"/>
      <c r="AE140"/>
      <c r="AF140"/>
      <c r="AG140"/>
      <c r="AH140"/>
      <c r="AI140"/>
      <c r="AJ140"/>
      <c r="AK140"/>
      <c r="AL140"/>
      <c r="AM140"/>
      <c r="AN140"/>
      <c r="AO140"/>
      <c r="AP140"/>
      <c r="AQ140"/>
      <c r="AR140"/>
      <c r="AS140"/>
      <c r="AT140"/>
      <c r="AU140"/>
    </row>
    <row r="141" spans="17:47" ht="12.75" customHeight="1">
      <c r="Q141" s="668"/>
      <c r="R141" s="364"/>
      <c r="S141" s="364"/>
      <c r="T141" s="364"/>
      <c r="U141" s="364"/>
      <c r="V141" s="364"/>
      <c r="W141" s="364"/>
      <c r="X141" s="364"/>
      <c r="Y141" s="364"/>
      <c r="Z141" s="364"/>
      <c r="AA141" s="367"/>
      <c r="AB141"/>
      <c r="AC141"/>
      <c r="AD141"/>
      <c r="AE141"/>
      <c r="AF141"/>
      <c r="AG141"/>
      <c r="AH141"/>
      <c r="AI141"/>
      <c r="AJ141"/>
      <c r="AK141"/>
      <c r="AL141"/>
      <c r="AM141"/>
      <c r="AN141"/>
      <c r="AO141"/>
      <c r="AP141"/>
      <c r="AQ141"/>
      <c r="AR141"/>
      <c r="AS141"/>
      <c r="AT141"/>
      <c r="AU141"/>
    </row>
    <row r="142" spans="17:47" ht="12.75" customHeight="1">
      <c r="Q142" s="668"/>
      <c r="R142" s="1005" t="s">
        <v>734</v>
      </c>
      <c r="S142" s="1006"/>
      <c r="T142" s="1006"/>
      <c r="U142" s="1006"/>
      <c r="V142" s="1006"/>
      <c r="W142" s="1007"/>
      <c r="X142" s="351">
        <f>'Compressor Input Data'!G5</f>
        <v>22800</v>
      </c>
      <c r="Y142" s="364"/>
      <c r="Z142" s="364"/>
      <c r="AA142" s="367"/>
      <c r="AB142"/>
      <c r="AC142"/>
      <c r="AD142"/>
      <c r="AE142"/>
      <c r="AF142"/>
      <c r="AG142"/>
      <c r="AH142"/>
      <c r="AI142"/>
      <c r="AJ142"/>
      <c r="AK142"/>
      <c r="AL142"/>
      <c r="AM142"/>
      <c r="AN142"/>
      <c r="AO142"/>
      <c r="AP142"/>
      <c r="AQ142"/>
      <c r="AR142"/>
      <c r="AS142"/>
      <c r="AT142"/>
      <c r="AU142"/>
    </row>
    <row r="143" spans="17:47" ht="12.75" customHeight="1">
      <c r="Q143" s="668"/>
      <c r="R143" s="990" t="s">
        <v>430</v>
      </c>
      <c r="S143" s="991"/>
      <c r="T143" s="992"/>
      <c r="U143" s="949" t="s">
        <v>500</v>
      </c>
      <c r="V143" s="938" t="s">
        <v>22</v>
      </c>
      <c r="W143" s="940" t="s">
        <v>579</v>
      </c>
      <c r="X143" s="942" t="s">
        <v>21</v>
      </c>
      <c r="Y143" s="361"/>
      <c r="Z143" s="364"/>
      <c r="AA143" s="367"/>
      <c r="AB143"/>
      <c r="AC143"/>
      <c r="AD143"/>
      <c r="AE143"/>
      <c r="AF143"/>
      <c r="AG143"/>
      <c r="AH143"/>
      <c r="AI143"/>
      <c r="AJ143"/>
      <c r="AK143"/>
      <c r="AL143"/>
      <c r="AM143"/>
      <c r="AN143"/>
      <c r="AO143"/>
      <c r="AP143"/>
      <c r="AQ143"/>
      <c r="AR143"/>
      <c r="AS143"/>
      <c r="AT143"/>
      <c r="AU143"/>
    </row>
    <row r="144" spans="17:47" ht="12.75" customHeight="1">
      <c r="Q144" s="668"/>
      <c r="R144" s="993"/>
      <c r="S144" s="994"/>
      <c r="T144" s="995"/>
      <c r="U144" s="950"/>
      <c r="V144" s="939"/>
      <c r="W144" s="941"/>
      <c r="X144" s="943"/>
      <c r="Y144" s="361"/>
      <c r="Z144" s="364"/>
      <c r="AA144" s="367"/>
      <c r="AB144"/>
      <c r="AC144"/>
      <c r="AD144"/>
      <c r="AE144"/>
      <c r="AF144"/>
      <c r="AG144"/>
      <c r="AH144"/>
      <c r="AI144"/>
      <c r="AJ144"/>
      <c r="AK144"/>
      <c r="AL144"/>
      <c r="AM144"/>
      <c r="AN144"/>
      <c r="AO144"/>
      <c r="AP144"/>
      <c r="AQ144"/>
      <c r="AR144"/>
      <c r="AS144"/>
      <c r="AT144"/>
      <c r="AU144"/>
    </row>
    <row r="145" spans="17:47" ht="12.75" customHeight="1">
      <c r="Q145" s="668"/>
      <c r="R145" s="973" t="s">
        <v>555</v>
      </c>
      <c r="S145" s="973"/>
      <c r="T145" s="973"/>
      <c r="U145" s="996"/>
      <c r="V145" s="544">
        <f>X145</f>
        <v>22800</v>
      </c>
      <c r="W145" s="544">
        <f>X145</f>
        <v>22800</v>
      </c>
      <c r="X145" s="544">
        <f>X142</f>
        <v>22800</v>
      </c>
      <c r="Y145" s="361"/>
      <c r="Z145" s="364"/>
      <c r="AA145" s="367"/>
      <c r="AB145"/>
      <c r="AC145"/>
      <c r="AD145"/>
      <c r="AE145"/>
      <c r="AF145"/>
      <c r="AG145"/>
      <c r="AH145"/>
      <c r="AI145"/>
      <c r="AJ145"/>
      <c r="AK145"/>
      <c r="AL145"/>
      <c r="AM145"/>
      <c r="AN145"/>
      <c r="AO145"/>
      <c r="AP145"/>
      <c r="AQ145"/>
      <c r="AR145"/>
      <c r="AS145"/>
      <c r="AT145"/>
      <c r="AU145"/>
    </row>
    <row r="146" spans="17:47" ht="12.75" customHeight="1">
      <c r="Q146" s="668"/>
      <c r="R146" s="973" t="s">
        <v>549</v>
      </c>
      <c r="S146" s="973"/>
      <c r="T146" s="973"/>
      <c r="U146" s="997"/>
      <c r="V146" s="544">
        <f>X146</f>
        <v>24</v>
      </c>
      <c r="W146" s="544">
        <f>V146</f>
        <v>24</v>
      </c>
      <c r="X146" s="544">
        <f>'Compressor Input Data'!J15</f>
        <v>24</v>
      </c>
      <c r="Y146" s="361"/>
      <c r="Z146" s="364"/>
      <c r="AA146" s="367"/>
      <c r="AB146"/>
      <c r="AC146"/>
      <c r="AD146"/>
      <c r="AE146"/>
      <c r="AF146"/>
      <c r="AG146"/>
      <c r="AH146"/>
      <c r="AI146"/>
      <c r="AJ146"/>
      <c r="AK146"/>
      <c r="AL146"/>
      <c r="AM146"/>
      <c r="AN146"/>
      <c r="AO146"/>
      <c r="AP146"/>
      <c r="AQ146"/>
      <c r="AR146"/>
      <c r="AS146"/>
      <c r="AT146"/>
      <c r="AU146"/>
    </row>
    <row r="147" spans="17:47" ht="12.75" customHeight="1">
      <c r="Q147" s="668"/>
      <c r="R147" s="970" t="s">
        <v>556</v>
      </c>
      <c r="S147" s="971"/>
      <c r="T147" s="972"/>
      <c r="U147" s="566">
        <f>U62</f>
        <v>2.6666666666666665</v>
      </c>
      <c r="V147" s="566">
        <f>V62</f>
        <v>1.9999999999999996</v>
      </c>
      <c r="W147" s="566">
        <f>W62</f>
        <v>1.7391304347826084</v>
      </c>
      <c r="X147" s="566">
        <f>X62</f>
        <v>1.4285714285714284</v>
      </c>
      <c r="Y147" s="361"/>
      <c r="Z147" s="364"/>
      <c r="AA147" s="367"/>
      <c r="AB147"/>
      <c r="AC147"/>
      <c r="AD147"/>
      <c r="AE147"/>
      <c r="AF147"/>
      <c r="AG147"/>
      <c r="AH147"/>
      <c r="AI147"/>
      <c r="AJ147"/>
      <c r="AK147"/>
      <c r="AL147"/>
      <c r="AM147"/>
      <c r="AN147"/>
      <c r="AO147"/>
      <c r="AP147"/>
      <c r="AQ147"/>
      <c r="AR147"/>
      <c r="AS147"/>
      <c r="AT147"/>
      <c r="AU147"/>
    </row>
    <row r="148" spans="17:47" ht="12.75" customHeight="1">
      <c r="Q148" s="668"/>
      <c r="R148" s="973" t="s">
        <v>575</v>
      </c>
      <c r="S148" s="973"/>
      <c r="T148" s="973"/>
      <c r="U148" s="531">
        <f>W148</f>
        <v>0.22500000000000001</v>
      </c>
      <c r="V148" s="531">
        <f>X148</f>
        <v>0.22500000000000001</v>
      </c>
      <c r="W148" s="531">
        <f>V148</f>
        <v>0.22500000000000001</v>
      </c>
      <c r="X148" s="531">
        <f>'Compressor Input Data'!J17</f>
        <v>0.22500000000000001</v>
      </c>
      <c r="Y148" s="361"/>
      <c r="Z148" s="364"/>
      <c r="AA148" s="367"/>
      <c r="AB148"/>
      <c r="AC148"/>
      <c r="AD148"/>
      <c r="AE148"/>
      <c r="AF148"/>
      <c r="AG148"/>
      <c r="AH148"/>
      <c r="AI148"/>
      <c r="AJ148"/>
      <c r="AK148"/>
      <c r="AL148"/>
      <c r="AM148"/>
      <c r="AN148"/>
      <c r="AO148"/>
      <c r="AP148"/>
      <c r="AQ148"/>
      <c r="AR148"/>
      <c r="AS148"/>
      <c r="AT148"/>
      <c r="AU148"/>
    </row>
    <row r="149" spans="17:47" ht="12.75" customHeight="1">
      <c r="Q149" s="668"/>
      <c r="R149" s="987"/>
      <c r="S149" s="988"/>
      <c r="T149" s="988"/>
      <c r="U149" s="988"/>
      <c r="V149" s="988"/>
      <c r="W149" s="988"/>
      <c r="X149" s="989"/>
      <c r="Y149" s="364"/>
      <c r="Z149" s="364"/>
      <c r="AA149" s="367"/>
      <c r="AB149"/>
      <c r="AC149"/>
      <c r="AD149"/>
      <c r="AE149"/>
      <c r="AF149"/>
      <c r="AG149"/>
      <c r="AH149"/>
      <c r="AI149"/>
      <c r="AJ149"/>
      <c r="AK149"/>
      <c r="AL149"/>
      <c r="AM149"/>
      <c r="AN149"/>
      <c r="AO149"/>
      <c r="AP149"/>
      <c r="AQ149"/>
      <c r="AR149"/>
      <c r="AS149"/>
      <c r="AT149"/>
      <c r="AU149"/>
    </row>
    <row r="150" spans="17:47" ht="12.75" customHeight="1">
      <c r="Q150" s="668"/>
      <c r="R150" s="990" t="s">
        <v>467</v>
      </c>
      <c r="S150" s="991"/>
      <c r="T150" s="992"/>
      <c r="U150" s="949" t="s">
        <v>500</v>
      </c>
      <c r="V150" s="938" t="s">
        <v>22</v>
      </c>
      <c r="W150" s="940" t="s">
        <v>579</v>
      </c>
      <c r="X150" s="942" t="s">
        <v>21</v>
      </c>
      <c r="Y150" s="361"/>
      <c r="Z150" s="364"/>
      <c r="AA150" s="367"/>
      <c r="AB150"/>
      <c r="AC150"/>
      <c r="AD150"/>
      <c r="AE150"/>
      <c r="AF150"/>
      <c r="AG150"/>
      <c r="AH150"/>
      <c r="AI150"/>
      <c r="AJ150"/>
      <c r="AK150"/>
      <c r="AL150"/>
      <c r="AM150"/>
      <c r="AN150"/>
      <c r="AO150"/>
      <c r="AP150"/>
      <c r="AQ150"/>
      <c r="AR150"/>
      <c r="AS150"/>
      <c r="AT150"/>
      <c r="AU150"/>
    </row>
    <row r="151" spans="17:47" ht="12.75" customHeight="1">
      <c r="Q151" s="668"/>
      <c r="R151" s="993"/>
      <c r="S151" s="994"/>
      <c r="T151" s="995"/>
      <c r="U151" s="950"/>
      <c r="V151" s="939"/>
      <c r="W151" s="941"/>
      <c r="X151" s="943"/>
      <c r="Y151" s="361"/>
      <c r="Z151" s="364"/>
      <c r="AA151" s="367"/>
      <c r="AB151"/>
      <c r="AC151"/>
      <c r="AD151"/>
      <c r="AE151"/>
      <c r="AF151"/>
      <c r="AG151"/>
      <c r="AH151"/>
      <c r="AI151"/>
      <c r="AJ151"/>
      <c r="AK151"/>
      <c r="AL151"/>
      <c r="AM151"/>
      <c r="AN151"/>
      <c r="AO151"/>
      <c r="AP151"/>
      <c r="AQ151"/>
      <c r="AR151"/>
      <c r="AS151"/>
      <c r="AT151"/>
      <c r="AU151"/>
    </row>
    <row r="152" spans="17:47" ht="12.75" customHeight="1">
      <c r="Q152" s="668"/>
      <c r="R152" s="973" t="s">
        <v>554</v>
      </c>
      <c r="S152" s="973"/>
      <c r="T152" s="973"/>
      <c r="U152" s="986"/>
      <c r="V152" s="569">
        <f>X152</f>
        <v>1</v>
      </c>
      <c r="W152" s="570">
        <f>V152</f>
        <v>1</v>
      </c>
      <c r="X152" s="570">
        <f>'Compressor Input Data'!J20</f>
        <v>1</v>
      </c>
      <c r="Y152" s="361"/>
      <c r="Z152" s="364"/>
      <c r="AA152" s="367"/>
      <c r="AB152"/>
      <c r="AC152"/>
      <c r="AD152"/>
      <c r="AE152"/>
      <c r="AF152"/>
      <c r="AG152"/>
      <c r="AH152"/>
      <c r="AI152"/>
      <c r="AJ152"/>
      <c r="AK152"/>
      <c r="AL152"/>
      <c r="AM152"/>
      <c r="AN152"/>
      <c r="AO152"/>
      <c r="AP152"/>
      <c r="AQ152"/>
      <c r="AR152"/>
      <c r="AS152"/>
      <c r="AT152"/>
      <c r="AU152"/>
    </row>
    <row r="153" spans="17:47" ht="12.75" customHeight="1">
      <c r="Q153" s="668"/>
      <c r="R153" s="983" t="s">
        <v>551</v>
      </c>
      <c r="S153" s="984"/>
      <c r="T153" s="985"/>
      <c r="U153" s="986"/>
      <c r="V153" s="571">
        <f>V147/V146</f>
        <v>8.3333333333333315E-2</v>
      </c>
      <c r="W153" s="571">
        <f>W147/W146</f>
        <v>7.2463768115942018E-2</v>
      </c>
      <c r="X153" s="571">
        <f>X147/X146</f>
        <v>5.9523809523809514E-2</v>
      </c>
      <c r="Y153" s="361"/>
      <c r="Z153" s="364"/>
      <c r="AA153" s="367"/>
      <c r="AB153"/>
      <c r="AC153"/>
      <c r="AD153"/>
      <c r="AE153"/>
      <c r="AF153"/>
      <c r="AG153"/>
      <c r="AH153"/>
      <c r="AI153"/>
      <c r="AJ153"/>
      <c r="AK153"/>
      <c r="AL153"/>
      <c r="AM153"/>
      <c r="AN153"/>
      <c r="AO153"/>
      <c r="AP153"/>
      <c r="AQ153"/>
      <c r="AR153"/>
      <c r="AS153"/>
      <c r="AT153"/>
      <c r="AU153"/>
    </row>
    <row r="154" spans="17:47" ht="12.75" customHeight="1">
      <c r="Q154" s="668"/>
      <c r="R154" s="973" t="s">
        <v>552</v>
      </c>
      <c r="S154" s="973"/>
      <c r="T154" s="973"/>
      <c r="U154" s="986"/>
      <c r="V154" s="572">
        <f>X154</f>
        <v>0.6</v>
      </c>
      <c r="W154" s="572">
        <f>V154</f>
        <v>0.6</v>
      </c>
      <c r="X154" s="572">
        <f>'Compressor Input Data'!J22</f>
        <v>0.6</v>
      </c>
      <c r="Y154" s="361"/>
      <c r="Z154" s="364"/>
      <c r="AA154" s="367"/>
      <c r="AB154"/>
      <c r="AC154"/>
      <c r="AD154"/>
      <c r="AE154"/>
      <c r="AF154"/>
      <c r="AG154"/>
      <c r="AH154"/>
      <c r="AI154"/>
      <c r="AJ154"/>
      <c r="AK154"/>
      <c r="AL154"/>
      <c r="AM154"/>
      <c r="AN154"/>
      <c r="AO154"/>
      <c r="AP154"/>
      <c r="AQ154"/>
      <c r="AR154"/>
      <c r="AS154"/>
      <c r="AT154"/>
      <c r="AU154"/>
    </row>
    <row r="155" spans="17:47" ht="12.75" customHeight="1">
      <c r="Q155" s="668"/>
      <c r="R155" s="987"/>
      <c r="S155" s="988"/>
      <c r="T155" s="988"/>
      <c r="U155" s="988"/>
      <c r="V155" s="988"/>
      <c r="W155" s="988"/>
      <c r="X155" s="989"/>
      <c r="Y155" s="364"/>
      <c r="Z155" s="364"/>
      <c r="AA155" s="367"/>
      <c r="AB155"/>
      <c r="AC155"/>
      <c r="AD155"/>
      <c r="AE155"/>
      <c r="AF155"/>
      <c r="AG155"/>
      <c r="AH155"/>
      <c r="AI155"/>
      <c r="AJ155"/>
      <c r="AK155"/>
      <c r="AL155"/>
      <c r="AM155"/>
      <c r="AN155"/>
      <c r="AO155"/>
      <c r="AP155"/>
      <c r="AQ155"/>
      <c r="AR155"/>
      <c r="AS155"/>
      <c r="AT155"/>
      <c r="AU155"/>
    </row>
    <row r="156" spans="17:47" ht="12.75" customHeight="1">
      <c r="Q156" s="668"/>
      <c r="R156" s="990" t="s">
        <v>468</v>
      </c>
      <c r="S156" s="991"/>
      <c r="T156" s="992"/>
      <c r="U156" s="949" t="s">
        <v>500</v>
      </c>
      <c r="V156" s="938" t="s">
        <v>22</v>
      </c>
      <c r="W156" s="940" t="s">
        <v>579</v>
      </c>
      <c r="X156" s="942" t="s">
        <v>21</v>
      </c>
      <c r="Y156" s="361"/>
      <c r="Z156" s="364"/>
      <c r="AA156" s="367"/>
      <c r="AB156"/>
      <c r="AC156"/>
      <c r="AD156"/>
      <c r="AE156"/>
      <c r="AF156"/>
      <c r="AG156"/>
      <c r="AH156"/>
      <c r="AI156"/>
      <c r="AJ156"/>
      <c r="AK156"/>
      <c r="AL156"/>
      <c r="AM156"/>
      <c r="AN156"/>
      <c r="AO156"/>
      <c r="AP156"/>
      <c r="AQ156"/>
      <c r="AR156"/>
      <c r="AS156"/>
      <c r="AT156"/>
      <c r="AU156"/>
    </row>
    <row r="157" spans="17:47" ht="12.75" customHeight="1">
      <c r="Q157" s="668"/>
      <c r="R157" s="993"/>
      <c r="S157" s="994"/>
      <c r="T157" s="995"/>
      <c r="U157" s="950"/>
      <c r="V157" s="939"/>
      <c r="W157" s="941"/>
      <c r="X157" s="943"/>
      <c r="Y157" s="361"/>
      <c r="Z157" s="364"/>
      <c r="AA157" s="367"/>
      <c r="AB157"/>
      <c r="AC157"/>
      <c r="AD157"/>
      <c r="AE157"/>
      <c r="AF157"/>
      <c r="AG157"/>
      <c r="AH157"/>
      <c r="AI157"/>
      <c r="AJ157"/>
      <c r="AK157"/>
      <c r="AL157"/>
      <c r="AM157"/>
      <c r="AN157"/>
      <c r="AO157"/>
      <c r="AP157"/>
      <c r="AQ157"/>
      <c r="AR157"/>
      <c r="AS157"/>
      <c r="AT157"/>
      <c r="AU157"/>
    </row>
    <row r="158" spans="17:47" ht="12.75" customHeight="1">
      <c r="Q158" s="668"/>
      <c r="R158" s="973" t="s">
        <v>554</v>
      </c>
      <c r="S158" s="973"/>
      <c r="T158" s="973"/>
      <c r="U158" s="980"/>
      <c r="V158" s="572">
        <f>X158</f>
        <v>0.5</v>
      </c>
      <c r="W158" s="572">
        <f>V158</f>
        <v>0.5</v>
      </c>
      <c r="X158" s="572">
        <f>'Compressor Input Data'!J25</f>
        <v>0.5</v>
      </c>
      <c r="Y158" s="361"/>
      <c r="Z158" s="364"/>
      <c r="AA158" s="367"/>
      <c r="AB158"/>
      <c r="AC158"/>
      <c r="AD158"/>
      <c r="AE158"/>
      <c r="AF158"/>
      <c r="AG158"/>
      <c r="AH158"/>
      <c r="AI158"/>
      <c r="AJ158"/>
      <c r="AK158"/>
      <c r="AL158"/>
      <c r="AM158"/>
      <c r="AN158"/>
      <c r="AO158"/>
      <c r="AP158"/>
      <c r="AQ158"/>
      <c r="AR158"/>
      <c r="AS158"/>
      <c r="AT158"/>
      <c r="AU158"/>
    </row>
    <row r="159" spans="17:47" ht="12.75" customHeight="1">
      <c r="Q159" s="668"/>
      <c r="R159" s="983" t="s">
        <v>551</v>
      </c>
      <c r="S159" s="984"/>
      <c r="T159" s="985"/>
      <c r="U159" s="981"/>
      <c r="V159" s="572">
        <f>V152-V153</f>
        <v>0.91666666666666674</v>
      </c>
      <c r="W159" s="572">
        <f>W152-W153</f>
        <v>0.92753623188405798</v>
      </c>
      <c r="X159" s="572">
        <f>X152-X153</f>
        <v>0.94047619047619047</v>
      </c>
      <c r="Y159" s="361"/>
      <c r="Z159" s="364"/>
      <c r="AA159" s="367"/>
      <c r="AB159"/>
      <c r="AC159"/>
      <c r="AD159"/>
      <c r="AE159"/>
      <c r="AF159"/>
      <c r="AG159"/>
      <c r="AH159"/>
      <c r="AI159"/>
      <c r="AJ159"/>
      <c r="AK159"/>
      <c r="AL159"/>
      <c r="AM159"/>
      <c r="AN159"/>
      <c r="AO159"/>
      <c r="AP159"/>
      <c r="AQ159"/>
      <c r="AR159"/>
      <c r="AS159"/>
      <c r="AT159"/>
      <c r="AU159"/>
    </row>
    <row r="160" spans="17:47" ht="12.75" customHeight="1">
      <c r="Q160" s="668"/>
      <c r="R160" s="973" t="s">
        <v>552</v>
      </c>
      <c r="S160" s="973"/>
      <c r="T160" s="973"/>
      <c r="U160" s="982"/>
      <c r="V160" s="572">
        <f>X160</f>
        <v>0.6</v>
      </c>
      <c r="W160" s="572">
        <f>V160</f>
        <v>0.6</v>
      </c>
      <c r="X160" s="572">
        <f>'Compressor Input Data'!J27</f>
        <v>0.6</v>
      </c>
      <c r="Y160" s="361"/>
      <c r="Z160" s="364"/>
      <c r="AA160" s="367"/>
      <c r="AB160"/>
      <c r="AC160"/>
      <c r="AD160"/>
      <c r="AE160"/>
      <c r="AF160"/>
      <c r="AG160"/>
      <c r="AH160"/>
      <c r="AI160"/>
      <c r="AJ160"/>
      <c r="AK160"/>
      <c r="AL160"/>
      <c r="AM160"/>
      <c r="AN160"/>
      <c r="AO160"/>
      <c r="AP160"/>
      <c r="AQ160"/>
      <c r="AR160"/>
      <c r="AS160"/>
      <c r="AT160"/>
      <c r="AU160"/>
    </row>
    <row r="161" spans="17:47" ht="12.75" customHeight="1">
      <c r="Q161" s="668"/>
      <c r="R161" s="567"/>
      <c r="S161" s="568"/>
      <c r="T161" s="568"/>
      <c r="U161" s="573"/>
      <c r="V161" s="573"/>
      <c r="W161" s="573"/>
      <c r="X161" s="574"/>
      <c r="Y161" s="364"/>
      <c r="Z161" s="364"/>
      <c r="AA161" s="367"/>
      <c r="AB161"/>
      <c r="AC161"/>
      <c r="AD161"/>
      <c r="AE161"/>
      <c r="AF161"/>
      <c r="AG161"/>
      <c r="AH161"/>
      <c r="AI161"/>
      <c r="AJ161"/>
      <c r="AK161"/>
      <c r="AL161"/>
      <c r="AM161"/>
      <c r="AN161"/>
      <c r="AO161"/>
      <c r="AP161"/>
      <c r="AQ161"/>
      <c r="AR161"/>
      <c r="AS161"/>
      <c r="AT161"/>
      <c r="AU161"/>
    </row>
    <row r="162" spans="17:47" ht="12.75" customHeight="1">
      <c r="Q162" s="668"/>
      <c r="R162" s="901" t="s">
        <v>471</v>
      </c>
      <c r="S162" s="901"/>
      <c r="T162" s="901"/>
      <c r="U162" s="930" t="s">
        <v>500</v>
      </c>
      <c r="V162" s="928" t="s">
        <v>22</v>
      </c>
      <c r="W162" s="929" t="s">
        <v>579</v>
      </c>
      <c r="X162" s="927" t="s">
        <v>21</v>
      </c>
      <c r="Y162" s="361"/>
      <c r="Z162" s="364"/>
      <c r="AA162" s="367"/>
      <c r="AB162"/>
      <c r="AC162"/>
      <c r="AD162"/>
      <c r="AE162"/>
      <c r="AF162"/>
      <c r="AG162"/>
      <c r="AH162"/>
      <c r="AI162"/>
      <c r="AJ162"/>
      <c r="AK162"/>
      <c r="AL162"/>
      <c r="AM162"/>
      <c r="AN162"/>
      <c r="AO162"/>
      <c r="AP162"/>
      <c r="AQ162"/>
      <c r="AR162"/>
      <c r="AS162"/>
      <c r="AT162"/>
      <c r="AU162"/>
    </row>
    <row r="163" spans="17:47" ht="12.75" customHeight="1">
      <c r="Q163" s="668"/>
      <c r="R163" s="901"/>
      <c r="S163" s="901"/>
      <c r="T163" s="901"/>
      <c r="U163" s="930"/>
      <c r="V163" s="928"/>
      <c r="W163" s="929"/>
      <c r="X163" s="927"/>
      <c r="Y163" s="361"/>
      <c r="Z163" s="364"/>
      <c r="AA163" s="367"/>
      <c r="AB163"/>
      <c r="AC163"/>
      <c r="AD163"/>
      <c r="AE163"/>
      <c r="AF163"/>
      <c r="AG163"/>
      <c r="AH163"/>
      <c r="AI163"/>
      <c r="AJ163"/>
      <c r="AK163"/>
      <c r="AL163"/>
      <c r="AM163"/>
      <c r="AN163"/>
      <c r="AO163"/>
      <c r="AP163"/>
      <c r="AQ163"/>
      <c r="AR163"/>
      <c r="AS163"/>
      <c r="AT163"/>
      <c r="AU163"/>
    </row>
    <row r="164" spans="17:47" ht="12.75" customHeight="1">
      <c r="Q164" s="668"/>
      <c r="R164" s="973" t="s">
        <v>472</v>
      </c>
      <c r="S164" s="973"/>
      <c r="T164" s="973"/>
      <c r="U164" s="544">
        <f>$V$224</f>
        <v>938.66666666666674</v>
      </c>
      <c r="V164" s="544">
        <f>($V$145*$V$146*$V$153*$V$152)/$V$154</f>
        <v>75999.999999999985</v>
      </c>
      <c r="W164" s="544">
        <f>($W$145*$W$146*$W$153*$W$152)/$W$154</f>
        <v>66086.956521739121</v>
      </c>
      <c r="X164" s="544">
        <f>($X$145*$X$146*$X$153*$X$152)/$X$154</f>
        <v>54285.714285714275</v>
      </c>
      <c r="Y164" s="361"/>
      <c r="Z164" s="364"/>
      <c r="AA164" s="367"/>
      <c r="AB164"/>
      <c r="AC164"/>
      <c r="AD164"/>
      <c r="AE164"/>
      <c r="AF164"/>
      <c r="AG164"/>
      <c r="AH164"/>
      <c r="AI164"/>
      <c r="AJ164"/>
      <c r="AK164"/>
      <c r="AL164"/>
      <c r="AM164"/>
      <c r="AN164"/>
      <c r="AO164"/>
      <c r="AP164"/>
      <c r="AQ164"/>
      <c r="AR164"/>
      <c r="AS164"/>
      <c r="AT164"/>
      <c r="AU164"/>
    </row>
    <row r="165" spans="17:47" ht="12.75" customHeight="1">
      <c r="Q165" s="668"/>
      <c r="R165" s="973" t="s">
        <v>473</v>
      </c>
      <c r="S165" s="973"/>
      <c r="T165" s="973"/>
      <c r="U165" s="543"/>
      <c r="V165" s="544">
        <f>($V$145*$V$146*$V$159*$V$158)/$V$160</f>
        <v>418000.00000000006</v>
      </c>
      <c r="W165" s="544">
        <f>($W$145*$W$146*$W$159*$W$158)/$W$160</f>
        <v>422956.52173913049</v>
      </c>
      <c r="X165" s="544">
        <f>($X$145*$X$146*$X$159*$X$158)/$X$160</f>
        <v>428857.14285714284</v>
      </c>
      <c r="Y165" s="361"/>
      <c r="Z165" s="364"/>
      <c r="AA165" s="367"/>
      <c r="AB165"/>
      <c r="AC165"/>
      <c r="AD165"/>
      <c r="AE165"/>
      <c r="AF165"/>
      <c r="AG165"/>
      <c r="AH165"/>
      <c r="AI165"/>
      <c r="AJ165"/>
      <c r="AK165"/>
      <c r="AL165"/>
      <c r="AM165"/>
      <c r="AN165"/>
      <c r="AO165"/>
      <c r="AP165"/>
      <c r="AQ165"/>
      <c r="AR165"/>
      <c r="AS165"/>
      <c r="AT165"/>
      <c r="AU165"/>
    </row>
    <row r="166" spans="17:47" ht="12.75" customHeight="1">
      <c r="Q166" s="668"/>
      <c r="R166" s="567"/>
      <c r="S166" s="568"/>
      <c r="T166" s="568"/>
      <c r="U166" s="573"/>
      <c r="V166" s="573"/>
      <c r="W166" s="573"/>
      <c r="X166" s="574"/>
      <c r="Y166" s="364"/>
      <c r="Z166" s="364"/>
      <c r="AA166" s="367"/>
      <c r="AB166"/>
      <c r="AC166"/>
      <c r="AD166"/>
      <c r="AE166"/>
      <c r="AF166"/>
      <c r="AG166"/>
      <c r="AH166"/>
      <c r="AI166"/>
      <c r="AJ166"/>
      <c r="AK166"/>
      <c r="AL166"/>
      <c r="AM166"/>
      <c r="AN166"/>
      <c r="AO166"/>
      <c r="AP166"/>
      <c r="AQ166"/>
      <c r="AR166"/>
      <c r="AS166"/>
      <c r="AT166"/>
      <c r="AU166"/>
    </row>
    <row r="167" spans="17:47" ht="12.75" customHeight="1">
      <c r="Q167" s="668"/>
      <c r="R167" s="901" t="s">
        <v>474</v>
      </c>
      <c r="S167" s="901"/>
      <c r="T167" s="901"/>
      <c r="U167" s="930" t="s">
        <v>500</v>
      </c>
      <c r="V167" s="928" t="s">
        <v>22</v>
      </c>
      <c r="W167" s="929" t="s">
        <v>579</v>
      </c>
      <c r="X167" s="927" t="s">
        <v>21</v>
      </c>
      <c r="Y167" s="361"/>
      <c r="Z167" s="364"/>
      <c r="AA167" s="367"/>
      <c r="AB167"/>
      <c r="AC167"/>
      <c r="AD167"/>
      <c r="AE167"/>
      <c r="AF167"/>
      <c r="AG167"/>
      <c r="AH167"/>
      <c r="AI167"/>
      <c r="AJ167"/>
      <c r="AK167"/>
      <c r="AL167"/>
      <c r="AM167"/>
      <c r="AN167"/>
      <c r="AO167"/>
      <c r="AP167"/>
      <c r="AQ167"/>
      <c r="AR167"/>
      <c r="AS167"/>
      <c r="AT167"/>
      <c r="AU167"/>
    </row>
    <row r="168" spans="17:47" ht="12.75" customHeight="1">
      <c r="Q168" s="668"/>
      <c r="R168" s="901"/>
      <c r="S168" s="901"/>
      <c r="T168" s="901"/>
      <c r="U168" s="930"/>
      <c r="V168" s="928"/>
      <c r="W168" s="929"/>
      <c r="X168" s="927"/>
      <c r="Y168" s="361"/>
      <c r="Z168" s="364"/>
      <c r="AA168" s="367"/>
      <c r="AB168"/>
      <c r="AC168"/>
      <c r="AD168"/>
      <c r="AE168"/>
      <c r="AF168"/>
      <c r="AG168"/>
      <c r="AH168"/>
      <c r="AI168"/>
      <c r="AJ168"/>
      <c r="AK168"/>
      <c r="AL168"/>
      <c r="AM168"/>
      <c r="AN168"/>
      <c r="AO168"/>
      <c r="AP168"/>
      <c r="AQ168"/>
      <c r="AR168"/>
      <c r="AS168"/>
      <c r="AT168"/>
      <c r="AU168"/>
    </row>
    <row r="169" spans="17:47" ht="12.75" customHeight="1">
      <c r="Q169" s="668"/>
      <c r="R169" s="973" t="s">
        <v>472</v>
      </c>
      <c r="S169" s="973"/>
      <c r="T169" s="973"/>
      <c r="U169" s="544">
        <f>U164*$V$11</f>
        <v>21589.333333333336</v>
      </c>
      <c r="V169" s="544">
        <f>V164*$V$11</f>
        <v>1747999.9999999998</v>
      </c>
      <c r="W169" s="544">
        <f>W164*$V$11</f>
        <v>1519999.9999999998</v>
      </c>
      <c r="X169" s="544">
        <f>X164*$V$11</f>
        <v>1248571.4285714284</v>
      </c>
      <c r="Y169" s="361"/>
      <c r="Z169" s="364"/>
      <c r="AA169" s="367"/>
      <c r="AB169"/>
      <c r="AC169"/>
      <c r="AD169"/>
      <c r="AE169"/>
      <c r="AF169"/>
      <c r="AG169"/>
      <c r="AH169"/>
      <c r="AI169"/>
      <c r="AJ169"/>
      <c r="AK169"/>
      <c r="AL169"/>
      <c r="AM169"/>
      <c r="AN169"/>
      <c r="AO169"/>
      <c r="AP169"/>
      <c r="AQ169"/>
      <c r="AR169"/>
      <c r="AS169"/>
      <c r="AT169"/>
      <c r="AU169"/>
    </row>
    <row r="170" spans="17:47" ht="12.75" customHeight="1">
      <c r="Q170" s="668"/>
      <c r="R170" s="973" t="s">
        <v>473</v>
      </c>
      <c r="S170" s="973"/>
      <c r="T170" s="973"/>
      <c r="U170" s="543"/>
      <c r="V170" s="544">
        <f>V165*$V$11</f>
        <v>9614000.0000000019</v>
      </c>
      <c r="W170" s="544">
        <f>W165*$V$11</f>
        <v>9728000.0000000019</v>
      </c>
      <c r="X170" s="544">
        <f>X165*$V$11</f>
        <v>9863714.2857142854</v>
      </c>
      <c r="Y170" s="361"/>
      <c r="Z170" s="364"/>
      <c r="AA170" s="367"/>
      <c r="AB170"/>
      <c r="AC170"/>
      <c r="AD170"/>
      <c r="AE170"/>
      <c r="AF170"/>
      <c r="AG170"/>
      <c r="AH170"/>
      <c r="AI170"/>
      <c r="AJ170"/>
      <c r="AK170"/>
      <c r="AL170"/>
      <c r="AM170"/>
      <c r="AN170"/>
      <c r="AO170"/>
      <c r="AP170"/>
      <c r="AQ170"/>
      <c r="AR170"/>
      <c r="AS170"/>
      <c r="AT170"/>
      <c r="AU170"/>
    </row>
    <row r="171" spans="17:47" ht="12.75" customHeight="1">
      <c r="Q171" s="668"/>
      <c r="R171" s="567"/>
      <c r="S171" s="568"/>
      <c r="T171" s="568"/>
      <c r="U171" s="573"/>
      <c r="V171" s="573"/>
      <c r="W171" s="573"/>
      <c r="X171" s="574"/>
      <c r="Y171" s="364"/>
      <c r="Z171" s="364"/>
      <c r="AA171" s="367"/>
      <c r="AB171"/>
      <c r="AC171"/>
      <c r="AD171"/>
      <c r="AE171"/>
      <c r="AF171"/>
      <c r="AG171"/>
      <c r="AH171"/>
      <c r="AI171"/>
      <c r="AJ171"/>
      <c r="AK171"/>
      <c r="AL171"/>
      <c r="AM171"/>
      <c r="AN171"/>
      <c r="AO171"/>
      <c r="AP171"/>
      <c r="AQ171"/>
      <c r="AR171"/>
      <c r="AS171"/>
      <c r="AT171"/>
      <c r="AU171"/>
    </row>
    <row r="172" spans="17:47" ht="12.75" customHeight="1">
      <c r="Q172" s="668"/>
      <c r="R172" s="901" t="s">
        <v>474</v>
      </c>
      <c r="S172" s="901"/>
      <c r="T172" s="901"/>
      <c r="U172" s="930" t="s">
        <v>500</v>
      </c>
      <c r="V172" s="928" t="s">
        <v>22</v>
      </c>
      <c r="W172" s="929" t="s">
        <v>579</v>
      </c>
      <c r="X172" s="927" t="s">
        <v>21</v>
      </c>
      <c r="Y172" s="361"/>
      <c r="Z172" s="364"/>
      <c r="AA172" s="367"/>
      <c r="AB172"/>
      <c r="AC172"/>
      <c r="AD172"/>
      <c r="AE172"/>
      <c r="AF172"/>
      <c r="AG172"/>
      <c r="AH172"/>
      <c r="AI172"/>
      <c r="AJ172"/>
      <c r="AK172"/>
      <c r="AL172"/>
      <c r="AM172"/>
      <c r="AN172"/>
      <c r="AO172"/>
      <c r="AP172"/>
      <c r="AQ172"/>
      <c r="AR172"/>
      <c r="AS172"/>
      <c r="AT172"/>
      <c r="AU172"/>
    </row>
    <row r="173" spans="17:47" ht="12.75" customHeight="1">
      <c r="Q173" s="668"/>
      <c r="R173" s="901"/>
      <c r="S173" s="901"/>
      <c r="T173" s="901"/>
      <c r="U173" s="930"/>
      <c r="V173" s="928"/>
      <c r="W173" s="929"/>
      <c r="X173" s="927"/>
      <c r="Y173" s="361"/>
      <c r="Z173" s="364"/>
      <c r="AA173" s="367"/>
      <c r="AB173"/>
      <c r="AC173"/>
      <c r="AD173"/>
      <c r="AE173"/>
      <c r="AF173"/>
      <c r="AG173"/>
      <c r="AH173"/>
      <c r="AI173"/>
      <c r="AJ173"/>
      <c r="AK173"/>
      <c r="AL173"/>
      <c r="AM173"/>
      <c r="AN173"/>
      <c r="AO173"/>
      <c r="AP173"/>
      <c r="AQ173"/>
      <c r="AR173"/>
      <c r="AS173"/>
      <c r="AT173"/>
      <c r="AU173"/>
    </row>
    <row r="174" spans="17:47" ht="12.75" customHeight="1">
      <c r="Q174" s="668"/>
      <c r="R174" s="973" t="s">
        <v>472</v>
      </c>
      <c r="S174" s="973"/>
      <c r="T174" s="973"/>
      <c r="U174" s="544">
        <f>U169*12</f>
        <v>259072.00000000003</v>
      </c>
      <c r="V174" s="544">
        <f>V169*12</f>
        <v>20975999.999999996</v>
      </c>
      <c r="W174" s="544">
        <f>W169*12</f>
        <v>18239999.999999996</v>
      </c>
      <c r="X174" s="544">
        <f>X169*12</f>
        <v>14982857.142857142</v>
      </c>
      <c r="Y174" s="361"/>
      <c r="Z174" s="364"/>
      <c r="AA174" s="367"/>
      <c r="AB174"/>
      <c r="AC174"/>
      <c r="AD174"/>
      <c r="AE174"/>
      <c r="AF174"/>
      <c r="AG174"/>
      <c r="AH174"/>
      <c r="AI174"/>
      <c r="AJ174"/>
      <c r="AK174"/>
      <c r="AL174"/>
      <c r="AM174"/>
      <c r="AN174"/>
      <c r="AO174"/>
      <c r="AP174"/>
      <c r="AQ174"/>
      <c r="AR174"/>
      <c r="AS174"/>
      <c r="AT174"/>
      <c r="AU174"/>
    </row>
    <row r="175" spans="17:47" ht="12.75" customHeight="1">
      <c r="Q175" s="668"/>
      <c r="R175" s="973" t="s">
        <v>473</v>
      </c>
      <c r="S175" s="973"/>
      <c r="T175" s="973"/>
      <c r="U175" s="543"/>
      <c r="V175" s="544">
        <f>V170*12</f>
        <v>115368000.00000003</v>
      </c>
      <c r="W175" s="544">
        <f>W170*12</f>
        <v>116736000.00000003</v>
      </c>
      <c r="X175" s="544">
        <f>X170*12</f>
        <v>118364571.42857143</v>
      </c>
      <c r="Y175" s="361"/>
      <c r="Z175" s="364"/>
      <c r="AA175" s="367"/>
      <c r="AB175"/>
      <c r="AC175"/>
      <c r="AD175"/>
      <c r="AE175"/>
      <c r="AF175"/>
      <c r="AG175"/>
      <c r="AH175"/>
      <c r="AI175"/>
      <c r="AJ175"/>
      <c r="AK175"/>
      <c r="AL175"/>
      <c r="AM175"/>
      <c r="AN175"/>
      <c r="AO175"/>
      <c r="AP175"/>
      <c r="AQ175"/>
      <c r="AR175"/>
      <c r="AS175"/>
      <c r="AT175"/>
      <c r="AU175"/>
    </row>
    <row r="176" spans="17:47" ht="12.75" customHeight="1">
      <c r="Q176" s="668"/>
      <c r="R176" s="381"/>
      <c r="S176" s="381"/>
      <c r="T176" s="381"/>
      <c r="U176" s="381"/>
      <c r="V176" s="381"/>
      <c r="W176" s="381"/>
      <c r="X176" s="381"/>
      <c r="Y176" s="364"/>
      <c r="Z176" s="364"/>
      <c r="AA176" s="367"/>
      <c r="AB176"/>
      <c r="AC176"/>
      <c r="AD176"/>
      <c r="AE176"/>
      <c r="AF176"/>
      <c r="AG176"/>
      <c r="AH176"/>
      <c r="AI176"/>
      <c r="AJ176"/>
      <c r="AK176"/>
      <c r="AL176"/>
      <c r="AM176"/>
      <c r="AN176"/>
      <c r="AO176"/>
      <c r="AP176"/>
      <c r="AQ176"/>
      <c r="AR176"/>
      <c r="AS176"/>
      <c r="AT176"/>
      <c r="AU176"/>
    </row>
    <row r="177" spans="17:47" ht="12.75" customHeight="1">
      <c r="Q177" s="668"/>
      <c r="R177" s="901" t="s">
        <v>433</v>
      </c>
      <c r="S177" s="901"/>
      <c r="T177" s="901"/>
      <c r="U177" s="949" t="s">
        <v>500</v>
      </c>
      <c r="V177" s="938" t="s">
        <v>22</v>
      </c>
      <c r="W177" s="940" t="s">
        <v>579</v>
      </c>
      <c r="X177" s="942" t="s">
        <v>21</v>
      </c>
      <c r="Y177" s="361"/>
      <c r="Z177" s="364"/>
      <c r="AA177" s="367"/>
      <c r="AB177"/>
      <c r="AC177"/>
      <c r="AD177"/>
      <c r="AE177"/>
      <c r="AF177"/>
      <c r="AG177"/>
      <c r="AH177"/>
      <c r="AI177"/>
      <c r="AJ177"/>
      <c r="AK177"/>
      <c r="AL177"/>
      <c r="AM177"/>
      <c r="AN177"/>
      <c r="AO177"/>
      <c r="AP177"/>
      <c r="AQ177"/>
      <c r="AR177"/>
      <c r="AS177"/>
      <c r="AT177"/>
      <c r="AU177"/>
    </row>
    <row r="178" spans="17:47" ht="12.75" customHeight="1">
      <c r="Q178" s="668"/>
      <c r="R178" s="901"/>
      <c r="S178" s="901"/>
      <c r="T178" s="901"/>
      <c r="U178" s="950"/>
      <c r="V178" s="939"/>
      <c r="W178" s="941"/>
      <c r="X178" s="943"/>
      <c r="Y178" s="361"/>
      <c r="Z178" s="364"/>
      <c r="AA178" s="367"/>
      <c r="AB178"/>
      <c r="AC178"/>
      <c r="AD178"/>
      <c r="AE178"/>
      <c r="AF178"/>
      <c r="AG178"/>
      <c r="AH178"/>
      <c r="AI178"/>
      <c r="AJ178"/>
      <c r="AK178"/>
      <c r="AL178"/>
      <c r="AM178"/>
      <c r="AN178"/>
      <c r="AO178"/>
      <c r="AP178"/>
      <c r="AQ178"/>
      <c r="AR178"/>
      <c r="AS178"/>
      <c r="AT178"/>
      <c r="AU178"/>
    </row>
    <row r="179" spans="17:47" ht="12.75" customHeight="1">
      <c r="Q179" s="668"/>
      <c r="R179" s="970" t="s">
        <v>459</v>
      </c>
      <c r="S179" s="971"/>
      <c r="T179" s="972"/>
      <c r="U179" s="544">
        <f>U164</f>
        <v>938.66666666666674</v>
      </c>
      <c r="V179" s="544">
        <f>V164+V165</f>
        <v>494000.00000000006</v>
      </c>
      <c r="W179" s="544">
        <f>W164+W165</f>
        <v>489043.47826086963</v>
      </c>
      <c r="X179" s="544">
        <f>X164+X165</f>
        <v>483142.8571428571</v>
      </c>
      <c r="Y179" s="361"/>
      <c r="Z179" s="364"/>
      <c r="AA179" s="367"/>
      <c r="AB179"/>
      <c r="AC179"/>
      <c r="AD179"/>
      <c r="AE179"/>
      <c r="AF179"/>
      <c r="AG179"/>
      <c r="AH179"/>
      <c r="AI179"/>
      <c r="AJ179"/>
      <c r="AK179"/>
      <c r="AL179"/>
      <c r="AM179"/>
      <c r="AN179"/>
      <c r="AO179"/>
      <c r="AP179"/>
      <c r="AQ179"/>
      <c r="AR179"/>
      <c r="AS179"/>
      <c r="AT179"/>
      <c r="AU179"/>
    </row>
    <row r="180" spans="17:47" ht="12.75" customHeight="1">
      <c r="Q180" s="668"/>
      <c r="R180" s="973" t="s">
        <v>307</v>
      </c>
      <c r="S180" s="973"/>
      <c r="T180" s="973"/>
      <c r="U180" s="544">
        <f>U169</f>
        <v>21589.333333333336</v>
      </c>
      <c r="V180" s="544">
        <f>V169+V170</f>
        <v>11362000.000000002</v>
      </c>
      <c r="W180" s="544">
        <f>W169+W170</f>
        <v>11248000.000000002</v>
      </c>
      <c r="X180" s="544">
        <f>X169+X170</f>
        <v>11112285.714285715</v>
      </c>
      <c r="Y180" s="361"/>
      <c r="Z180" s="364"/>
      <c r="AA180" s="367"/>
      <c r="AB180"/>
      <c r="AC180"/>
      <c r="AD180"/>
      <c r="AE180"/>
      <c r="AF180"/>
      <c r="AG180"/>
      <c r="AH180"/>
      <c r="AI180"/>
      <c r="AJ180"/>
      <c r="AK180"/>
      <c r="AL180"/>
      <c r="AM180"/>
      <c r="AN180"/>
      <c r="AO180"/>
      <c r="AP180"/>
      <c r="AQ180"/>
      <c r="AR180"/>
      <c r="AS180"/>
      <c r="AT180"/>
      <c r="AU180"/>
    </row>
    <row r="181" spans="17:47" ht="12.75" customHeight="1">
      <c r="Q181" s="668"/>
      <c r="R181" s="973" t="s">
        <v>308</v>
      </c>
      <c r="S181" s="973"/>
      <c r="T181" s="973"/>
      <c r="U181" s="544">
        <f>U174</f>
        <v>259072.00000000003</v>
      </c>
      <c r="V181" s="544">
        <f>V174+V175</f>
        <v>136344000.00000003</v>
      </c>
      <c r="W181" s="544">
        <f>W174+W175</f>
        <v>134976000.00000003</v>
      </c>
      <c r="X181" s="544">
        <f>X174+X175</f>
        <v>133347428.57142857</v>
      </c>
      <c r="Y181" s="361"/>
      <c r="Z181" s="364"/>
      <c r="AA181" s="367"/>
      <c r="AB181"/>
      <c r="AC181"/>
      <c r="AD181"/>
      <c r="AE181"/>
      <c r="AF181"/>
      <c r="AG181"/>
      <c r="AH181"/>
      <c r="AI181"/>
      <c r="AJ181"/>
      <c r="AK181"/>
      <c r="AL181"/>
      <c r="AM181"/>
      <c r="AN181"/>
      <c r="AO181"/>
      <c r="AP181"/>
      <c r="AQ181"/>
      <c r="AR181"/>
      <c r="AS181"/>
      <c r="AT181"/>
      <c r="AU181"/>
    </row>
    <row r="182" spans="17:47" ht="12.75" customHeight="1">
      <c r="Q182" s="668"/>
      <c r="R182" s="381"/>
      <c r="S182" s="381"/>
      <c r="T182" s="381"/>
      <c r="U182" s="381"/>
      <c r="V182" s="381"/>
      <c r="W182" s="381"/>
      <c r="X182" s="381"/>
      <c r="Y182" s="364"/>
      <c r="Z182" s="364"/>
      <c r="AA182" s="367"/>
      <c r="AB182"/>
      <c r="AC182"/>
      <c r="AD182" t="str">
        <f>R185</f>
        <v>"Fully Loaded" - Drilling Shift</v>
      </c>
      <c r="AE182" t="str">
        <f>R186</f>
        <v>"Un-loaded" - Off Shift</v>
      </c>
      <c r="AF182"/>
      <c r="AG182"/>
      <c r="AH182"/>
      <c r="AI182"/>
      <c r="AJ182"/>
      <c r="AK182"/>
      <c r="AL182"/>
      <c r="AM182"/>
      <c r="AN182"/>
      <c r="AO182"/>
      <c r="AP182"/>
      <c r="AQ182"/>
      <c r="AR182"/>
      <c r="AS182"/>
      <c r="AT182"/>
      <c r="AU182"/>
    </row>
    <row r="183" spans="17:47" ht="12.75" customHeight="1">
      <c r="Q183" s="668"/>
      <c r="R183" s="901" t="s">
        <v>475</v>
      </c>
      <c r="S183" s="901"/>
      <c r="T183" s="901"/>
      <c r="U183" s="930" t="s">
        <v>500</v>
      </c>
      <c r="V183" s="928" t="s">
        <v>22</v>
      </c>
      <c r="W183" s="929" t="s">
        <v>579</v>
      </c>
      <c r="X183" s="927" t="s">
        <v>21</v>
      </c>
      <c r="Y183" s="361"/>
      <c r="Z183" s="364"/>
      <c r="AA183" s="367"/>
      <c r="AB183" s="716" t="s">
        <v>500</v>
      </c>
      <c r="AC183"/>
      <c r="AD183" s="717">
        <f>U185</f>
        <v>211.20000000000002</v>
      </c>
      <c r="AE183"/>
      <c r="AF183"/>
      <c r="AG183"/>
      <c r="AH183"/>
      <c r="AI183"/>
      <c r="AJ183"/>
      <c r="AK183"/>
      <c r="AL183"/>
      <c r="AM183"/>
      <c r="AN183"/>
      <c r="AO183"/>
      <c r="AP183"/>
      <c r="AQ183"/>
      <c r="AR183"/>
      <c r="AS183"/>
      <c r="AT183"/>
      <c r="AU183"/>
    </row>
    <row r="184" spans="17:47" ht="12.75" customHeight="1">
      <c r="Q184" s="668"/>
      <c r="R184" s="901"/>
      <c r="S184" s="901"/>
      <c r="T184" s="901"/>
      <c r="U184" s="930"/>
      <c r="V184" s="928"/>
      <c r="W184" s="929"/>
      <c r="X184" s="927"/>
      <c r="Y184" s="361"/>
      <c r="Z184" s="364"/>
      <c r="AA184" s="367"/>
      <c r="AB184" s="716" t="s">
        <v>22</v>
      </c>
      <c r="AC184"/>
      <c r="AD184" s="717">
        <f>V185</f>
        <v>17099.999999999996</v>
      </c>
      <c r="AE184" s="717">
        <f>V186</f>
        <v>94050.000000000015</v>
      </c>
      <c r="AF184"/>
      <c r="AG184"/>
      <c r="AH184"/>
      <c r="AI184"/>
      <c r="AJ184"/>
      <c r="AK184"/>
      <c r="AL184"/>
      <c r="AM184"/>
      <c r="AN184"/>
      <c r="AO184"/>
      <c r="AP184"/>
      <c r="AQ184"/>
      <c r="AR184"/>
      <c r="AS184"/>
      <c r="AT184"/>
      <c r="AU184"/>
    </row>
    <row r="185" spans="17:47" ht="12.75" customHeight="1">
      <c r="Q185" s="668"/>
      <c r="R185" s="973" t="s">
        <v>472</v>
      </c>
      <c r="S185" s="973"/>
      <c r="T185" s="973"/>
      <c r="U185" s="593">
        <f>$V$224*$U$148</f>
        <v>211.20000000000002</v>
      </c>
      <c r="V185" s="593">
        <f>($V$145*$V$146*$V$153*$V$152*$V$148)/$V$154</f>
        <v>17099.999999999996</v>
      </c>
      <c r="W185" s="593">
        <f>($W$145*$W$146*$W$153*$W$152*$W$148)/$W$154</f>
        <v>14869.565217391304</v>
      </c>
      <c r="X185" s="593">
        <f>($X$145*$X$146*$X$153*$X$152*$X$148)/$X$154</f>
        <v>12214.285714285714</v>
      </c>
      <c r="Y185" s="361"/>
      <c r="Z185" s="364"/>
      <c r="AA185" s="367"/>
      <c r="AB185" s="716" t="s">
        <v>579</v>
      </c>
      <c r="AC185"/>
      <c r="AD185" s="717">
        <f>W185</f>
        <v>14869.565217391304</v>
      </c>
      <c r="AE185" s="717">
        <f>W186</f>
        <v>95165.217391304366</v>
      </c>
      <c r="AF185"/>
      <c r="AG185"/>
      <c r="AH185"/>
      <c r="AI185"/>
      <c r="AJ185"/>
      <c r="AK185"/>
      <c r="AL185"/>
      <c r="AM185"/>
      <c r="AN185"/>
      <c r="AO185"/>
      <c r="AP185"/>
      <c r="AQ185"/>
      <c r="AR185"/>
      <c r="AS185"/>
      <c r="AT185"/>
      <c r="AU185"/>
    </row>
    <row r="186" spans="17:47" ht="12.75" customHeight="1">
      <c r="Q186" s="668"/>
      <c r="R186" s="973" t="s">
        <v>473</v>
      </c>
      <c r="S186" s="973"/>
      <c r="T186" s="973"/>
      <c r="U186" s="543"/>
      <c r="V186" s="593">
        <f>($V$145*$V$146*$V$159*$V$158*$V$148)/$V$160</f>
        <v>94050.000000000015</v>
      </c>
      <c r="W186" s="593">
        <f>($W$145*$W$146*$W$159*$W$158*$W$148)/$W$160</f>
        <v>95165.217391304366</v>
      </c>
      <c r="X186" s="593">
        <f>($X$145*$X$146*$X$159*$X$158*$X$148)/$X$160</f>
        <v>96492.857142857145</v>
      </c>
      <c r="Y186" s="361"/>
      <c r="Z186" s="364"/>
      <c r="AA186" s="367"/>
      <c r="AB186" s="716" t="s">
        <v>21</v>
      </c>
      <c r="AC186"/>
      <c r="AD186" s="717">
        <f>X185</f>
        <v>12214.285714285714</v>
      </c>
      <c r="AE186" s="717">
        <f>X186</f>
        <v>96492.857142857145</v>
      </c>
      <c r="AF186"/>
      <c r="AG186"/>
      <c r="AH186"/>
      <c r="AI186"/>
      <c r="AJ186"/>
      <c r="AK186"/>
      <c r="AL186"/>
      <c r="AM186"/>
      <c r="AN186"/>
      <c r="AO186"/>
      <c r="AP186"/>
      <c r="AQ186"/>
      <c r="AR186"/>
      <c r="AS186"/>
      <c r="AT186"/>
      <c r="AU186"/>
    </row>
    <row r="187" spans="17:47" ht="12.75" customHeight="1">
      <c r="Q187" s="668"/>
      <c r="R187" s="381"/>
      <c r="S187" s="381"/>
      <c r="T187" s="381"/>
      <c r="U187" s="381"/>
      <c r="V187" s="381"/>
      <c r="W187" s="381"/>
      <c r="X187" s="381"/>
      <c r="Y187" s="552"/>
      <c r="Z187" s="364"/>
      <c r="AA187" s="367"/>
      <c r="AC187"/>
      <c r="AD187"/>
      <c r="AE187"/>
      <c r="AF187"/>
      <c r="AG187"/>
      <c r="AH187"/>
      <c r="AI187"/>
      <c r="AJ187"/>
      <c r="AK187"/>
      <c r="AL187"/>
      <c r="AM187"/>
      <c r="AN187"/>
      <c r="AO187"/>
      <c r="AP187"/>
      <c r="AQ187"/>
      <c r="AR187"/>
      <c r="AS187"/>
      <c r="AT187"/>
      <c r="AU187"/>
    </row>
    <row r="188" spans="17:47" ht="12.75" customHeight="1">
      <c r="Q188" s="668"/>
      <c r="R188" s="901" t="s">
        <v>476</v>
      </c>
      <c r="S188" s="901"/>
      <c r="T188" s="901"/>
      <c r="U188" s="930" t="s">
        <v>500</v>
      </c>
      <c r="V188" s="928" t="s">
        <v>22</v>
      </c>
      <c r="W188" s="929" t="s">
        <v>579</v>
      </c>
      <c r="X188" s="927" t="s">
        <v>21</v>
      </c>
      <c r="Y188" s="361"/>
      <c r="Z188" s="364"/>
      <c r="AA188" s="367"/>
      <c r="AB188"/>
      <c r="AC188"/>
      <c r="AD188"/>
      <c r="AE188"/>
      <c r="AF188"/>
      <c r="AG188"/>
      <c r="AH188"/>
      <c r="AI188"/>
      <c r="AJ188"/>
      <c r="AK188"/>
      <c r="AL188"/>
      <c r="AM188"/>
      <c r="AN188"/>
      <c r="AO188"/>
      <c r="AP188"/>
      <c r="AQ188"/>
      <c r="AR188"/>
      <c r="AS188"/>
      <c r="AT188"/>
      <c r="AU188"/>
    </row>
    <row r="189" spans="17:47" ht="12.75" customHeight="1">
      <c r="Q189" s="668"/>
      <c r="R189" s="901"/>
      <c r="S189" s="901"/>
      <c r="T189" s="901"/>
      <c r="U189" s="930"/>
      <c r="V189" s="928"/>
      <c r="W189" s="929"/>
      <c r="X189" s="927"/>
      <c r="Y189" s="361"/>
      <c r="Z189" s="364"/>
      <c r="AA189" s="367"/>
      <c r="AB189"/>
      <c r="AC189"/>
      <c r="AD189"/>
      <c r="AE189"/>
      <c r="AF189"/>
      <c r="AG189"/>
      <c r="AH189"/>
      <c r="AI189"/>
      <c r="AJ189"/>
      <c r="AK189"/>
      <c r="AL189"/>
      <c r="AM189"/>
      <c r="AN189"/>
      <c r="AO189"/>
      <c r="AP189"/>
      <c r="AQ189"/>
      <c r="AR189"/>
      <c r="AS189"/>
      <c r="AT189"/>
      <c r="AU189"/>
    </row>
    <row r="190" spans="17:47" ht="12.75" customHeight="1">
      <c r="Q190" s="668"/>
      <c r="R190" s="973" t="s">
        <v>472</v>
      </c>
      <c r="S190" s="973"/>
      <c r="T190" s="973"/>
      <c r="U190" s="593">
        <f>U185*$V$11</f>
        <v>4857.6000000000004</v>
      </c>
      <c r="V190" s="593">
        <f>V185*$V$11</f>
        <v>393299.99999999994</v>
      </c>
      <c r="W190" s="593">
        <f>W185*$V$11</f>
        <v>342000</v>
      </c>
      <c r="X190" s="593">
        <f>X185*$V$11</f>
        <v>280928.57142857142</v>
      </c>
      <c r="Y190" s="361"/>
      <c r="Z190" s="364"/>
      <c r="AA190" s="367"/>
      <c r="AB190"/>
      <c r="AC190"/>
      <c r="AD190"/>
      <c r="AE190"/>
      <c r="AF190"/>
      <c r="AG190"/>
      <c r="AH190"/>
      <c r="AI190"/>
      <c r="AJ190"/>
      <c r="AK190"/>
      <c r="AL190"/>
      <c r="AM190"/>
      <c r="AN190"/>
      <c r="AO190"/>
      <c r="AP190"/>
      <c r="AQ190"/>
      <c r="AR190"/>
      <c r="AS190"/>
      <c r="AT190"/>
      <c r="AU190"/>
    </row>
    <row r="191" spans="17:47" ht="12.75" customHeight="1">
      <c r="Q191" s="668"/>
      <c r="R191" s="973" t="s">
        <v>473</v>
      </c>
      <c r="S191" s="973"/>
      <c r="T191" s="973"/>
      <c r="U191" s="543"/>
      <c r="V191" s="593">
        <f>V186*$V$11</f>
        <v>2163150.0000000005</v>
      </c>
      <c r="W191" s="593">
        <f>W186*$V$11</f>
        <v>2188800.0000000005</v>
      </c>
      <c r="X191" s="593">
        <f>X186*$V$11</f>
        <v>2219335.7142857146</v>
      </c>
      <c r="Y191" s="361"/>
      <c r="Z191" s="364"/>
      <c r="AA191" s="367"/>
      <c r="AB191"/>
      <c r="AC191"/>
      <c r="AD191"/>
      <c r="AE191"/>
      <c r="AF191"/>
      <c r="AG191"/>
      <c r="AH191"/>
      <c r="AI191"/>
      <c r="AJ191"/>
      <c r="AK191"/>
      <c r="AL191"/>
      <c r="AM191"/>
      <c r="AN191"/>
      <c r="AO191"/>
      <c r="AP191"/>
      <c r="AQ191"/>
      <c r="AR191"/>
      <c r="AS191"/>
      <c r="AT191"/>
      <c r="AU191"/>
    </row>
    <row r="192" spans="17:47" ht="12.75" customHeight="1">
      <c r="Q192" s="668"/>
      <c r="R192" s="367"/>
      <c r="S192" s="367"/>
      <c r="T192" s="367"/>
      <c r="U192" s="367"/>
      <c r="V192" s="367"/>
      <c r="W192" s="367"/>
      <c r="X192" s="367"/>
      <c r="Y192" s="364"/>
      <c r="Z192" s="364"/>
      <c r="AA192" s="367"/>
      <c r="AB192"/>
      <c r="AC192"/>
      <c r="AD192"/>
      <c r="AE192"/>
      <c r="AF192"/>
      <c r="AG192"/>
      <c r="AH192"/>
      <c r="AI192"/>
      <c r="AJ192"/>
      <c r="AK192"/>
      <c r="AL192"/>
      <c r="AM192"/>
      <c r="AN192"/>
      <c r="AO192"/>
      <c r="AP192"/>
      <c r="AQ192"/>
      <c r="AR192"/>
      <c r="AS192"/>
      <c r="AT192"/>
      <c r="AU192"/>
    </row>
    <row r="193" spans="17:47" ht="12.75" customHeight="1">
      <c r="Q193" s="668"/>
      <c r="R193" s="901" t="s">
        <v>477</v>
      </c>
      <c r="S193" s="901"/>
      <c r="T193" s="901"/>
      <c r="U193" s="930" t="s">
        <v>500</v>
      </c>
      <c r="V193" s="928" t="s">
        <v>22</v>
      </c>
      <c r="W193" s="929" t="s">
        <v>579</v>
      </c>
      <c r="X193" s="927" t="s">
        <v>21</v>
      </c>
      <c r="Y193" s="361"/>
      <c r="Z193" s="364"/>
      <c r="AA193" s="367"/>
      <c r="AB193"/>
      <c r="AC193"/>
      <c r="AD193"/>
      <c r="AE193"/>
      <c r="AF193"/>
      <c r="AG193"/>
      <c r="AH193"/>
      <c r="AI193"/>
      <c r="AJ193"/>
      <c r="AK193"/>
      <c r="AL193"/>
      <c r="AM193"/>
      <c r="AN193"/>
      <c r="AO193"/>
      <c r="AP193"/>
      <c r="AQ193"/>
      <c r="AR193"/>
      <c r="AS193"/>
      <c r="AT193"/>
      <c r="AU193"/>
    </row>
    <row r="194" spans="17:47" ht="12.75" customHeight="1">
      <c r="Q194" s="668"/>
      <c r="R194" s="901"/>
      <c r="S194" s="901"/>
      <c r="T194" s="901"/>
      <c r="U194" s="930"/>
      <c r="V194" s="928"/>
      <c r="W194" s="929"/>
      <c r="X194" s="927"/>
      <c r="Y194" s="361"/>
      <c r="Z194" s="364"/>
      <c r="AA194" s="367"/>
      <c r="AB194"/>
      <c r="AC194"/>
      <c r="AD194"/>
      <c r="AE194"/>
      <c r="AF194"/>
      <c r="AG194"/>
      <c r="AH194"/>
      <c r="AI194"/>
      <c r="AJ194"/>
      <c r="AK194"/>
      <c r="AL194"/>
      <c r="AM194"/>
      <c r="AN194"/>
      <c r="AO194"/>
      <c r="AP194"/>
      <c r="AQ194"/>
      <c r="AR194"/>
      <c r="AS194"/>
      <c r="AT194"/>
      <c r="AU194"/>
    </row>
    <row r="195" spans="17:47" ht="12.75" customHeight="1">
      <c r="Q195" s="668"/>
      <c r="R195" s="973" t="s">
        <v>472</v>
      </c>
      <c r="S195" s="973"/>
      <c r="T195" s="973"/>
      <c r="U195" s="593">
        <f>U190*12</f>
        <v>58291.200000000004</v>
      </c>
      <c r="V195" s="593">
        <f>V190*12</f>
        <v>4719599.9999999991</v>
      </c>
      <c r="W195" s="593">
        <f>W190*12</f>
        <v>4104000</v>
      </c>
      <c r="X195" s="593">
        <f>X190*12</f>
        <v>3371142.8571428573</v>
      </c>
      <c r="Y195" s="361"/>
      <c r="Z195" s="364"/>
      <c r="AA195" s="367"/>
      <c r="AB195"/>
      <c r="AC195"/>
      <c r="AD195"/>
      <c r="AE195"/>
      <c r="AF195"/>
      <c r="AG195"/>
      <c r="AH195"/>
      <c r="AI195"/>
      <c r="AJ195"/>
      <c r="AK195"/>
      <c r="AL195"/>
      <c r="AM195"/>
      <c r="AN195"/>
      <c r="AO195"/>
      <c r="AP195"/>
      <c r="AQ195"/>
      <c r="AR195"/>
      <c r="AS195"/>
      <c r="AT195"/>
      <c r="AU195"/>
    </row>
    <row r="196" spans="17:47" ht="12.75" customHeight="1">
      <c r="Q196" s="668"/>
      <c r="R196" s="973" t="s">
        <v>473</v>
      </c>
      <c r="S196" s="973"/>
      <c r="T196" s="973"/>
      <c r="U196" s="543"/>
      <c r="V196" s="593">
        <f>V191*12</f>
        <v>25957800.000000007</v>
      </c>
      <c r="W196" s="593">
        <f>W191*12</f>
        <v>26265600.000000007</v>
      </c>
      <c r="X196" s="593">
        <f>X191*12</f>
        <v>26632028.571428575</v>
      </c>
      <c r="Y196" s="361"/>
      <c r="Z196" s="364"/>
      <c r="AA196" s="367"/>
      <c r="AB196"/>
      <c r="AC196"/>
      <c r="AD196"/>
      <c r="AE196"/>
      <c r="AF196"/>
      <c r="AG196"/>
      <c r="AH196"/>
      <c r="AI196"/>
      <c r="AJ196"/>
      <c r="AK196"/>
      <c r="AL196"/>
      <c r="AM196"/>
      <c r="AN196"/>
      <c r="AO196"/>
      <c r="AP196"/>
      <c r="AQ196"/>
      <c r="AR196"/>
      <c r="AS196"/>
      <c r="AT196"/>
      <c r="AU196"/>
    </row>
    <row r="197" spans="17:47" ht="12.75" customHeight="1">
      <c r="Q197" s="668"/>
      <c r="R197" s="367"/>
      <c r="S197" s="367"/>
      <c r="T197" s="367"/>
      <c r="U197" s="367"/>
      <c r="V197" s="367"/>
      <c r="W197" s="367"/>
      <c r="X197" s="367"/>
      <c r="Y197" s="364"/>
      <c r="Z197" s="364"/>
      <c r="AA197" s="367"/>
      <c r="AB197"/>
      <c r="AC197"/>
      <c r="AD197"/>
      <c r="AE197"/>
      <c r="AF197"/>
      <c r="AG197"/>
      <c r="AH197"/>
      <c r="AI197"/>
      <c r="AJ197"/>
      <c r="AK197"/>
      <c r="AL197"/>
      <c r="AM197"/>
      <c r="AN197"/>
      <c r="AO197"/>
      <c r="AP197"/>
      <c r="AQ197"/>
      <c r="AR197"/>
      <c r="AS197"/>
      <c r="AT197"/>
      <c r="AU197"/>
    </row>
    <row r="198" spans="17:47" ht="12.75" customHeight="1">
      <c r="Q198" s="668"/>
      <c r="R198" s="901" t="s">
        <v>116</v>
      </c>
      <c r="S198" s="901"/>
      <c r="T198" s="901"/>
      <c r="U198" s="949" t="s">
        <v>500</v>
      </c>
      <c r="V198" s="938" t="s">
        <v>22</v>
      </c>
      <c r="W198" s="940" t="s">
        <v>579</v>
      </c>
      <c r="X198" s="942" t="s">
        <v>21</v>
      </c>
      <c r="Y198" s="361"/>
      <c r="Z198" s="364"/>
      <c r="AA198" s="367"/>
      <c r="AB198"/>
      <c r="AC198"/>
      <c r="AD198"/>
      <c r="AE198"/>
      <c r="AF198"/>
      <c r="AG198"/>
      <c r="AH198"/>
      <c r="AI198"/>
      <c r="AJ198"/>
      <c r="AK198"/>
      <c r="AL198"/>
      <c r="AM198"/>
      <c r="AN198"/>
      <c r="AO198"/>
      <c r="AP198"/>
      <c r="AQ198"/>
      <c r="AR198"/>
      <c r="AS198"/>
      <c r="AT198"/>
      <c r="AU198"/>
    </row>
    <row r="199" spans="17:47" ht="12.75" customHeight="1">
      <c r="Q199" s="668"/>
      <c r="R199" s="901"/>
      <c r="S199" s="901"/>
      <c r="T199" s="901"/>
      <c r="U199" s="950"/>
      <c r="V199" s="939"/>
      <c r="W199" s="941"/>
      <c r="X199" s="943"/>
      <c r="Y199" s="361"/>
      <c r="Z199" s="364"/>
      <c r="AA199" s="367"/>
      <c r="AB199"/>
      <c r="AC199"/>
      <c r="AD199"/>
      <c r="AE199"/>
      <c r="AF199"/>
      <c r="AG199"/>
      <c r="AH199"/>
      <c r="AI199"/>
      <c r="AJ199"/>
      <c r="AK199"/>
      <c r="AL199"/>
      <c r="AM199"/>
      <c r="AN199"/>
      <c r="AO199"/>
      <c r="AP199"/>
      <c r="AQ199"/>
      <c r="AR199"/>
      <c r="AS199"/>
      <c r="AT199"/>
      <c r="AU199"/>
    </row>
    <row r="200" spans="17:47" ht="12.75" customHeight="1">
      <c r="Q200" s="668"/>
      <c r="R200" s="970" t="s">
        <v>459</v>
      </c>
      <c r="S200" s="971"/>
      <c r="T200" s="972"/>
      <c r="U200" s="593">
        <f>U185</f>
        <v>211.20000000000002</v>
      </c>
      <c r="V200" s="593">
        <f>V185+V186</f>
        <v>111150.00000000001</v>
      </c>
      <c r="W200" s="593">
        <f>W185+W186</f>
        <v>110034.78260869568</v>
      </c>
      <c r="X200" s="593">
        <f>X185+X186</f>
        <v>108707.14285714286</v>
      </c>
      <c r="Y200" s="361"/>
      <c r="Z200" s="364"/>
      <c r="AA200" s="367"/>
      <c r="AB200"/>
      <c r="AC200"/>
      <c r="AD200"/>
      <c r="AE200"/>
      <c r="AF200"/>
      <c r="AG200"/>
      <c r="AH200"/>
      <c r="AI200"/>
      <c r="AJ200"/>
      <c r="AK200"/>
      <c r="AL200"/>
      <c r="AM200"/>
      <c r="AN200"/>
      <c r="AO200"/>
      <c r="AP200"/>
      <c r="AQ200"/>
      <c r="AR200"/>
      <c r="AS200"/>
      <c r="AT200"/>
      <c r="AU200"/>
    </row>
    <row r="201" spans="17:47" ht="12.75" customHeight="1">
      <c r="Q201" s="668"/>
      <c r="R201" s="973" t="s">
        <v>307</v>
      </c>
      <c r="S201" s="973"/>
      <c r="T201" s="973"/>
      <c r="U201" s="593">
        <f>U190</f>
        <v>4857.6000000000004</v>
      </c>
      <c r="V201" s="593">
        <f>V190+V191</f>
        <v>2556450.0000000005</v>
      </c>
      <c r="W201" s="593">
        <f>W190+W191</f>
        <v>2530800.0000000005</v>
      </c>
      <c r="X201" s="593">
        <f>X190+X191</f>
        <v>2500264.2857142859</v>
      </c>
      <c r="Y201" s="361"/>
      <c r="Z201" s="364"/>
      <c r="AA201" s="367"/>
      <c r="AB201"/>
      <c r="AC201"/>
      <c r="AD201"/>
      <c r="AE201"/>
      <c r="AF201"/>
      <c r="AG201"/>
      <c r="AH201"/>
      <c r="AI201"/>
      <c r="AJ201"/>
      <c r="AK201"/>
      <c r="AL201"/>
      <c r="AM201"/>
      <c r="AN201"/>
      <c r="AO201"/>
      <c r="AP201"/>
      <c r="AQ201"/>
      <c r="AR201"/>
      <c r="AS201"/>
      <c r="AT201"/>
      <c r="AU201"/>
    </row>
    <row r="202" spans="17:47" ht="12.75" customHeight="1">
      <c r="Q202" s="668"/>
      <c r="R202" s="973" t="s">
        <v>308</v>
      </c>
      <c r="S202" s="973"/>
      <c r="T202" s="973"/>
      <c r="U202" s="593">
        <f>U195</f>
        <v>58291.200000000004</v>
      </c>
      <c r="V202" s="593">
        <f>V195+V196</f>
        <v>30677400.000000007</v>
      </c>
      <c r="W202" s="593">
        <f>W195+W196</f>
        <v>30369600.000000007</v>
      </c>
      <c r="X202" s="593">
        <f>X195+X196</f>
        <v>30003171.428571433</v>
      </c>
      <c r="Y202" s="361"/>
      <c r="Z202" s="364"/>
      <c r="AA202" s="367"/>
      <c r="AB202"/>
      <c r="AC202"/>
      <c r="AD202"/>
      <c r="AE202"/>
      <c r="AF202"/>
      <c r="AG202"/>
      <c r="AH202"/>
      <c r="AI202"/>
      <c r="AJ202"/>
      <c r="AK202"/>
      <c r="AL202"/>
      <c r="AM202"/>
      <c r="AN202"/>
      <c r="AO202"/>
      <c r="AP202"/>
      <c r="AQ202"/>
      <c r="AR202"/>
      <c r="AS202"/>
      <c r="AT202"/>
      <c r="AU202"/>
    </row>
    <row r="203" spans="17:47" ht="12.75" customHeight="1">
      <c r="Q203" s="668"/>
      <c r="R203" s="575"/>
      <c r="S203" s="575"/>
      <c r="T203" s="575"/>
      <c r="U203" s="382"/>
      <c r="V203" s="382"/>
      <c r="W203" s="382"/>
      <c r="X203" s="382"/>
      <c r="Y203" s="364"/>
      <c r="Z203" s="364"/>
      <c r="AA203" s="367"/>
      <c r="AB203"/>
      <c r="AC203"/>
      <c r="AD203"/>
      <c r="AE203"/>
      <c r="AF203"/>
      <c r="AG203"/>
      <c r="AH203"/>
      <c r="AI203"/>
      <c r="AJ203"/>
      <c r="AK203"/>
      <c r="AL203"/>
      <c r="AM203"/>
      <c r="AN203"/>
      <c r="AO203"/>
      <c r="AP203"/>
      <c r="AQ203"/>
      <c r="AR203"/>
      <c r="AS203"/>
      <c r="AT203"/>
      <c r="AU203"/>
    </row>
    <row r="204" spans="17:47" ht="12.75" customHeight="1">
      <c r="Q204" s="668"/>
      <c r="R204" s="974" t="s">
        <v>775</v>
      </c>
      <c r="S204" s="974"/>
      <c r="T204" s="974"/>
      <c r="U204" s="974"/>
      <c r="V204" s="974"/>
      <c r="W204" s="974"/>
      <c r="X204" s="974"/>
      <c r="Y204" s="974"/>
      <c r="Z204" s="364"/>
      <c r="AA204" s="367"/>
      <c r="AB204"/>
      <c r="AC204"/>
      <c r="AD204"/>
      <c r="AE204"/>
      <c r="AF204"/>
      <c r="AG204"/>
      <c r="AH204"/>
      <c r="AI204"/>
      <c r="AJ204"/>
      <c r="AK204"/>
      <c r="AL204"/>
      <c r="AM204"/>
      <c r="AN204"/>
      <c r="AO204"/>
      <c r="AP204"/>
      <c r="AQ204"/>
      <c r="AR204"/>
      <c r="AS204"/>
      <c r="AT204"/>
      <c r="AU204"/>
    </row>
    <row r="205" spans="17:47" ht="12.75" customHeight="1">
      <c r="Q205" s="668"/>
      <c r="R205" s="974"/>
      <c r="S205" s="974"/>
      <c r="T205" s="974"/>
      <c r="U205" s="974"/>
      <c r="V205" s="974"/>
      <c r="W205" s="974"/>
      <c r="X205" s="974"/>
      <c r="Y205" s="974"/>
      <c r="Z205" s="576"/>
      <c r="AA205" s="367"/>
      <c r="AB205"/>
      <c r="AC205"/>
      <c r="AD205"/>
      <c r="AE205"/>
      <c r="AF205"/>
      <c r="AG205"/>
      <c r="AH205"/>
      <c r="AI205"/>
      <c r="AJ205"/>
      <c r="AK205"/>
      <c r="AL205"/>
      <c r="AM205"/>
      <c r="AN205"/>
      <c r="AO205"/>
      <c r="AP205"/>
      <c r="AQ205"/>
      <c r="AR205"/>
      <c r="AS205"/>
      <c r="AT205"/>
      <c r="AU205"/>
    </row>
    <row r="206" spans="17:47" ht="12.75" customHeight="1">
      <c r="Q206" s="668"/>
      <c r="R206" s="974"/>
      <c r="S206" s="974"/>
      <c r="T206" s="974"/>
      <c r="U206" s="974"/>
      <c r="V206" s="974"/>
      <c r="W206" s="974"/>
      <c r="X206" s="974"/>
      <c r="Y206" s="974"/>
      <c r="Z206" s="576"/>
      <c r="AA206" s="367"/>
      <c r="AB206"/>
      <c r="AC206"/>
      <c r="AD206"/>
      <c r="AE206"/>
      <c r="AF206"/>
      <c r="AG206"/>
      <c r="AH206"/>
      <c r="AI206"/>
      <c r="AJ206"/>
      <c r="AK206"/>
      <c r="AL206"/>
      <c r="AM206"/>
      <c r="AN206"/>
      <c r="AO206"/>
      <c r="AP206"/>
      <c r="AQ206"/>
      <c r="AR206"/>
      <c r="AS206"/>
      <c r="AT206"/>
      <c r="AU206"/>
    </row>
    <row r="207" spans="17:47" ht="12.75" customHeight="1">
      <c r="Q207" s="668"/>
      <c r="R207" s="974"/>
      <c r="S207" s="974"/>
      <c r="T207" s="974"/>
      <c r="U207" s="974"/>
      <c r="V207" s="974"/>
      <c r="W207" s="974"/>
      <c r="X207" s="974"/>
      <c r="Y207" s="974"/>
      <c r="Z207" s="576"/>
      <c r="AA207" s="367"/>
      <c r="AB207"/>
      <c r="AC207"/>
      <c r="AD207"/>
      <c r="AE207"/>
      <c r="AF207"/>
      <c r="AG207"/>
      <c r="AH207"/>
      <c r="AI207"/>
      <c r="AJ207"/>
      <c r="AK207"/>
      <c r="AL207"/>
      <c r="AM207"/>
      <c r="AN207"/>
      <c r="AO207"/>
      <c r="AP207"/>
      <c r="AQ207"/>
      <c r="AR207"/>
      <c r="AS207"/>
      <c r="AT207"/>
      <c r="AU207"/>
    </row>
    <row r="208" spans="17:47" ht="12.75" customHeight="1">
      <c r="Q208" s="668"/>
      <c r="R208" s="974"/>
      <c r="S208" s="974"/>
      <c r="T208" s="974"/>
      <c r="U208" s="974"/>
      <c r="V208" s="974"/>
      <c r="W208" s="974"/>
      <c r="X208" s="974"/>
      <c r="Y208" s="974"/>
      <c r="Z208" s="576"/>
      <c r="AA208" s="367"/>
      <c r="AB208"/>
      <c r="AC208"/>
      <c r="AD208"/>
      <c r="AE208"/>
      <c r="AF208"/>
      <c r="AG208"/>
      <c r="AH208"/>
      <c r="AI208"/>
      <c r="AJ208"/>
      <c r="AK208"/>
      <c r="AL208"/>
      <c r="AM208"/>
      <c r="AN208"/>
      <c r="AO208"/>
      <c r="AP208"/>
      <c r="AQ208"/>
      <c r="AR208"/>
      <c r="AS208"/>
      <c r="AT208"/>
      <c r="AU208"/>
    </row>
    <row r="209" spans="17:47" ht="12.75" customHeight="1">
      <c r="Q209" s="668"/>
      <c r="R209" s="364"/>
      <c r="S209" s="375"/>
      <c r="T209" s="375"/>
      <c r="U209" s="577"/>
      <c r="V209" s="577"/>
      <c r="W209" s="577"/>
      <c r="X209" s="577"/>
      <c r="Y209" s="551"/>
      <c r="Z209" s="363"/>
      <c r="AA209" s="367"/>
      <c r="AB209"/>
      <c r="AC209"/>
      <c r="AD209"/>
      <c r="AE209"/>
      <c r="AF209"/>
      <c r="AG209"/>
      <c r="AH209"/>
      <c r="AI209"/>
      <c r="AJ209"/>
      <c r="AK209"/>
      <c r="AL209"/>
      <c r="AM209"/>
      <c r="AN209"/>
      <c r="AO209"/>
      <c r="AP209"/>
      <c r="AQ209"/>
      <c r="AR209"/>
      <c r="AS209"/>
      <c r="AT209"/>
      <c r="AU209"/>
    </row>
    <row r="210" spans="17:47" ht="12.75" customHeight="1">
      <c r="Q210" s="668"/>
      <c r="R210" s="975" t="s">
        <v>667</v>
      </c>
      <c r="S210" s="976"/>
      <c r="T210" s="976"/>
      <c r="U210" s="976"/>
      <c r="V210" s="976"/>
      <c r="W210" s="976"/>
      <c r="X210" s="979">
        <f>10*V25</f>
        <v>76800</v>
      </c>
      <c r="Y210" s="935" t="s">
        <v>668</v>
      </c>
      <c r="Z210" s="364"/>
      <c r="AA210" s="367"/>
      <c r="AB210"/>
      <c r="AC210"/>
      <c r="AD210"/>
      <c r="AE210"/>
      <c r="AF210"/>
      <c r="AG210"/>
      <c r="AH210"/>
      <c r="AI210"/>
      <c r="AJ210"/>
      <c r="AK210"/>
      <c r="AL210"/>
      <c r="AM210"/>
      <c r="AN210"/>
      <c r="AO210"/>
      <c r="AP210"/>
      <c r="AQ210"/>
      <c r="AR210"/>
      <c r="AS210"/>
      <c r="AT210"/>
      <c r="AU210"/>
    </row>
    <row r="211" spans="17:47" ht="12.75" customHeight="1">
      <c r="Q211" s="668"/>
      <c r="R211" s="977"/>
      <c r="S211" s="978"/>
      <c r="T211" s="978"/>
      <c r="U211" s="978"/>
      <c r="V211" s="978"/>
      <c r="W211" s="978"/>
      <c r="X211" s="979"/>
      <c r="Y211" s="935"/>
      <c r="Z211" s="364"/>
      <c r="AA211" s="367"/>
      <c r="AB211"/>
      <c r="AC211"/>
      <c r="AD211"/>
      <c r="AE211"/>
      <c r="AF211"/>
      <c r="AG211"/>
      <c r="AH211"/>
      <c r="AI211"/>
      <c r="AJ211"/>
      <c r="AK211"/>
      <c r="AL211"/>
      <c r="AM211"/>
      <c r="AN211"/>
      <c r="AO211"/>
      <c r="AP211"/>
      <c r="AQ211"/>
      <c r="AR211"/>
      <c r="AS211"/>
      <c r="AT211"/>
      <c r="AU211"/>
    </row>
    <row r="212" spans="17:47" ht="12.75" customHeight="1">
      <c r="Q212" s="668"/>
      <c r="R212" s="578"/>
      <c r="S212" s="578"/>
      <c r="T212" s="578"/>
      <c r="U212" s="578"/>
      <c r="V212" s="578"/>
      <c r="W212" s="578"/>
      <c r="X212" s="578"/>
      <c r="Y212" s="579"/>
      <c r="Z212" s="551"/>
      <c r="AA212" s="367"/>
      <c r="AB212"/>
      <c r="AC212"/>
      <c r="AD212"/>
      <c r="AE212"/>
      <c r="AF212"/>
      <c r="AG212"/>
      <c r="AH212"/>
      <c r="AI212"/>
      <c r="AJ212"/>
      <c r="AK212"/>
      <c r="AL212"/>
      <c r="AM212"/>
      <c r="AN212"/>
      <c r="AO212"/>
      <c r="AP212"/>
      <c r="AQ212"/>
      <c r="AR212"/>
      <c r="AS212"/>
      <c r="AT212"/>
      <c r="AU212"/>
    </row>
    <row r="213" spans="17:47" ht="12.75" customHeight="1">
      <c r="Q213" s="668"/>
      <c r="R213" s="937" t="s">
        <v>678</v>
      </c>
      <c r="S213" s="937"/>
      <c r="T213" s="937"/>
      <c r="U213" s="937"/>
      <c r="V213" s="949" t="s">
        <v>500</v>
      </c>
      <c r="W213" s="938" t="s">
        <v>22</v>
      </c>
      <c r="X213" s="940" t="s">
        <v>579</v>
      </c>
      <c r="Y213" s="942" t="s">
        <v>21</v>
      </c>
      <c r="Z213" s="361"/>
      <c r="AA213" s="367"/>
      <c r="AB213"/>
      <c r="AC213"/>
      <c r="AD213"/>
      <c r="AE213"/>
      <c r="AF213"/>
      <c r="AG213"/>
      <c r="AH213"/>
      <c r="AI213"/>
      <c r="AJ213"/>
      <c r="AK213"/>
      <c r="AL213"/>
      <c r="AM213"/>
      <c r="AN213"/>
      <c r="AO213"/>
      <c r="AP213"/>
      <c r="AQ213"/>
      <c r="AR213"/>
      <c r="AS213"/>
      <c r="AT213"/>
      <c r="AU213"/>
    </row>
    <row r="214" spans="17:47" ht="12.75" customHeight="1">
      <c r="Q214" s="668"/>
      <c r="R214" s="937"/>
      <c r="S214" s="937"/>
      <c r="T214" s="937"/>
      <c r="U214" s="937"/>
      <c r="V214" s="950"/>
      <c r="W214" s="939"/>
      <c r="X214" s="941"/>
      <c r="Y214" s="943"/>
      <c r="Z214" s="361"/>
      <c r="AA214" s="367"/>
      <c r="AB214"/>
      <c r="AC214"/>
      <c r="AD214"/>
      <c r="AE214"/>
      <c r="AF214"/>
      <c r="AG214"/>
      <c r="AH214"/>
      <c r="AI214"/>
      <c r="AJ214"/>
      <c r="AK214"/>
      <c r="AL214"/>
      <c r="AM214"/>
      <c r="AN214"/>
      <c r="AO214"/>
      <c r="AP214"/>
      <c r="AQ214"/>
      <c r="AR214"/>
      <c r="AS214"/>
      <c r="AT214"/>
      <c r="AU214"/>
    </row>
    <row r="215" spans="17:47" ht="12.75" customHeight="1">
      <c r="Q215" s="668"/>
      <c r="R215" s="968" t="s">
        <v>533</v>
      </c>
      <c r="S215" s="968"/>
      <c r="T215" s="968"/>
      <c r="U215" s="968"/>
      <c r="V215" s="580">
        <v>0.107</v>
      </c>
      <c r="W215" s="581">
        <f>VLOOKUP($V$5,'Lookup Energy kWhm'!$B$8:$E$208,3)</f>
        <v>0.13</v>
      </c>
      <c r="X215" s="581">
        <f>VLOOKUP($V$5,'Lookup Energy kWhm'!$B$8:$E$208,4)</f>
        <v>0.14799999999999999</v>
      </c>
      <c r="Y215" s="581">
        <f>VLOOKUP($V$5,'Lookup Energy kWhm'!$B$8:$E$208,2)</f>
        <v>0.1</v>
      </c>
      <c r="Z215" s="361"/>
      <c r="AA215" s="367"/>
      <c r="AB215"/>
      <c r="AC215"/>
      <c r="AD215"/>
      <c r="AE215"/>
      <c r="AF215"/>
      <c r="AG215"/>
      <c r="AH215"/>
      <c r="AI215"/>
      <c r="AJ215"/>
      <c r="AK215"/>
      <c r="AL215"/>
      <c r="AM215"/>
      <c r="AN215"/>
      <c r="AO215"/>
      <c r="AP215"/>
      <c r="AQ215"/>
      <c r="AR215"/>
      <c r="AS215"/>
      <c r="AT215"/>
      <c r="AU215"/>
    </row>
    <row r="216" spans="17:47" ht="12.75" customHeight="1">
      <c r="Q216" s="668"/>
      <c r="R216" s="969" t="s">
        <v>31</v>
      </c>
      <c r="S216" s="969"/>
      <c r="T216" s="969"/>
      <c r="U216" s="969"/>
      <c r="V216" s="556">
        <f t="shared" ref="V216:W219" si="2">X216</f>
        <v>1.2</v>
      </c>
      <c r="W216" s="556">
        <f t="shared" si="2"/>
        <v>1.2</v>
      </c>
      <c r="X216" s="556">
        <f>W216</f>
        <v>1.2</v>
      </c>
      <c r="Y216" s="556">
        <f>V20</f>
        <v>1.2</v>
      </c>
      <c r="Z216" s="361"/>
      <c r="AA216" s="367"/>
      <c r="AB216"/>
      <c r="AC216"/>
      <c r="AD216"/>
      <c r="AE216"/>
      <c r="AF216"/>
      <c r="AG216"/>
      <c r="AH216"/>
      <c r="AI216"/>
      <c r="AJ216"/>
      <c r="AK216"/>
      <c r="AL216"/>
      <c r="AM216"/>
      <c r="AN216"/>
      <c r="AO216"/>
      <c r="AP216"/>
      <c r="AQ216"/>
      <c r="AR216"/>
      <c r="AS216"/>
      <c r="AT216"/>
      <c r="AU216"/>
    </row>
    <row r="217" spans="17:47" ht="12.75" customHeight="1">
      <c r="Q217" s="668"/>
      <c r="R217" s="969" t="s">
        <v>314</v>
      </c>
      <c r="S217" s="969"/>
      <c r="T217" s="969"/>
      <c r="U217" s="969"/>
      <c r="V217" s="556">
        <f t="shared" si="2"/>
        <v>160</v>
      </c>
      <c r="W217" s="556">
        <f t="shared" si="2"/>
        <v>160</v>
      </c>
      <c r="X217" s="556">
        <f>W217</f>
        <v>160</v>
      </c>
      <c r="Y217" s="556">
        <f>V19</f>
        <v>160</v>
      </c>
      <c r="Z217" s="361"/>
      <c r="AA217" s="367"/>
      <c r="AB217"/>
      <c r="AC217"/>
      <c r="AD217"/>
      <c r="AE217"/>
      <c r="AF217"/>
      <c r="AG217"/>
      <c r="AH217"/>
      <c r="AI217"/>
      <c r="AJ217"/>
      <c r="AK217"/>
      <c r="AL217"/>
      <c r="AM217"/>
      <c r="AN217"/>
      <c r="AO217"/>
      <c r="AP217"/>
      <c r="AQ217"/>
      <c r="AR217"/>
      <c r="AS217"/>
      <c r="AT217"/>
      <c r="AU217"/>
    </row>
    <row r="218" spans="17:47" ht="12.75" customHeight="1">
      <c r="Q218" s="668"/>
      <c r="R218" s="969" t="s">
        <v>20</v>
      </c>
      <c r="S218" s="969"/>
      <c r="T218" s="969"/>
      <c r="U218" s="969"/>
      <c r="V218" s="556">
        <f t="shared" si="2"/>
        <v>40</v>
      </c>
      <c r="W218" s="556">
        <f t="shared" si="2"/>
        <v>40</v>
      </c>
      <c r="X218" s="556">
        <f>W218</f>
        <v>40</v>
      </c>
      <c r="Y218" s="556">
        <f>V22</f>
        <v>40</v>
      </c>
      <c r="Z218" s="361"/>
      <c r="AA218" s="367"/>
      <c r="AB218"/>
      <c r="AC218"/>
      <c r="AD218"/>
      <c r="AE218"/>
      <c r="AF218"/>
      <c r="AG218"/>
      <c r="AH218"/>
      <c r="AI218"/>
      <c r="AJ218"/>
      <c r="AK218"/>
      <c r="AL218"/>
      <c r="AM218"/>
      <c r="AN218"/>
      <c r="AO218"/>
      <c r="AP218"/>
      <c r="AQ218"/>
      <c r="AR218"/>
      <c r="AS218"/>
      <c r="AT218"/>
      <c r="AU218"/>
    </row>
    <row r="219" spans="17:47" ht="12.75" customHeight="1">
      <c r="Q219" s="668"/>
      <c r="R219" s="969" t="s">
        <v>310</v>
      </c>
      <c r="S219" s="969"/>
      <c r="T219" s="969"/>
      <c r="U219" s="969"/>
      <c r="V219" s="556">
        <f t="shared" si="2"/>
        <v>160</v>
      </c>
      <c r="W219" s="556">
        <f t="shared" si="2"/>
        <v>160</v>
      </c>
      <c r="X219" s="556">
        <f>W219</f>
        <v>160</v>
      </c>
      <c r="Y219" s="556">
        <f>V23</f>
        <v>160</v>
      </c>
      <c r="Z219" s="361"/>
      <c r="AA219" s="367"/>
      <c r="AB219"/>
      <c r="AC219"/>
      <c r="AD219"/>
      <c r="AE219"/>
      <c r="AF219"/>
      <c r="AG219"/>
      <c r="AH219"/>
      <c r="AI219"/>
      <c r="AJ219"/>
      <c r="AK219"/>
      <c r="AL219"/>
      <c r="AM219"/>
      <c r="AN219"/>
      <c r="AO219"/>
      <c r="AP219"/>
      <c r="AQ219"/>
      <c r="AR219"/>
      <c r="AS219"/>
      <c r="AT219"/>
      <c r="AU219"/>
    </row>
    <row r="220" spans="17:47" ht="12.75" customHeight="1">
      <c r="Q220" s="668"/>
      <c r="R220" s="968" t="s">
        <v>543</v>
      </c>
      <c r="S220" s="968"/>
      <c r="T220" s="968"/>
      <c r="U220" s="968"/>
      <c r="V220" s="582">
        <f>V215*V216*V217*V218</f>
        <v>821.75999999999988</v>
      </c>
      <c r="W220" s="582">
        <f>W215*W216*W217*W218</f>
        <v>998.40000000000009</v>
      </c>
      <c r="X220" s="582">
        <f>X215*X216*X217*X218</f>
        <v>1136.6399999999999</v>
      </c>
      <c r="Y220" s="582">
        <f>Y215*Y216*Y217*Y218</f>
        <v>768</v>
      </c>
      <c r="Z220" s="361"/>
      <c r="AA220" s="367"/>
      <c r="AB220"/>
      <c r="AC220"/>
      <c r="AD220"/>
      <c r="AE220"/>
      <c r="AF220"/>
      <c r="AG220"/>
      <c r="AH220"/>
      <c r="AI220"/>
      <c r="AJ220"/>
      <c r="AK220"/>
      <c r="AL220"/>
      <c r="AM220"/>
      <c r="AN220"/>
      <c r="AO220"/>
      <c r="AP220"/>
      <c r="AQ220"/>
      <c r="AR220"/>
      <c r="AS220"/>
      <c r="AT220"/>
      <c r="AU220"/>
    </row>
    <row r="221" spans="17:47" ht="12.75" customHeight="1">
      <c r="Q221" s="668"/>
      <c r="R221" s="968" t="s">
        <v>542</v>
      </c>
      <c r="S221" s="968"/>
      <c r="T221" s="968"/>
      <c r="U221" s="968"/>
      <c r="V221" s="583">
        <f>V220/V219</f>
        <v>5.1359999999999992</v>
      </c>
      <c r="W221" s="583">
        <f>W220/W219</f>
        <v>6.24</v>
      </c>
      <c r="X221" s="583">
        <f>X220/X219</f>
        <v>7.1039999999999992</v>
      </c>
      <c r="Y221" s="583">
        <f>Y220/Y219</f>
        <v>4.8</v>
      </c>
      <c r="Z221" s="361"/>
      <c r="AA221" s="367"/>
      <c r="AB221"/>
      <c r="AC221"/>
      <c r="AD221"/>
      <c r="AE221"/>
      <c r="AF221"/>
      <c r="AG221"/>
      <c r="AH221"/>
      <c r="AI221"/>
      <c r="AJ221"/>
      <c r="AK221"/>
      <c r="AL221"/>
      <c r="AM221"/>
      <c r="AN221"/>
      <c r="AO221"/>
      <c r="AP221"/>
      <c r="AQ221"/>
      <c r="AR221"/>
      <c r="AS221"/>
      <c r="AT221"/>
      <c r="AU221"/>
    </row>
    <row r="222" spans="17:47" ht="12.75" customHeight="1">
      <c r="Q222" s="668"/>
      <c r="R222" s="968" t="s">
        <v>538</v>
      </c>
      <c r="S222" s="968"/>
      <c r="T222" s="968"/>
      <c r="U222" s="968"/>
      <c r="V222" s="537">
        <f>U62</f>
        <v>2.6666666666666665</v>
      </c>
      <c r="W222" s="537">
        <f>V62</f>
        <v>1.9999999999999996</v>
      </c>
      <c r="X222" s="537">
        <f>W62</f>
        <v>1.7391304347826084</v>
      </c>
      <c r="Y222" s="537">
        <f>X62</f>
        <v>1.4285714285714284</v>
      </c>
      <c r="Z222" s="361"/>
      <c r="AA222" s="367"/>
      <c r="AB222"/>
      <c r="AC222"/>
      <c r="AD222"/>
      <c r="AE222"/>
      <c r="AF222"/>
      <c r="AG222"/>
      <c r="AH222"/>
      <c r="AI222"/>
      <c r="AJ222"/>
      <c r="AK222"/>
      <c r="AL222"/>
      <c r="AM222"/>
      <c r="AN222"/>
      <c r="AO222"/>
      <c r="AP222"/>
      <c r="AQ222"/>
      <c r="AR222"/>
      <c r="AS222"/>
      <c r="AT222"/>
      <c r="AU222"/>
    </row>
    <row r="223" spans="17:47" ht="12.75" customHeight="1">
      <c r="Q223" s="668"/>
      <c r="R223" s="968" t="s">
        <v>546</v>
      </c>
      <c r="S223" s="968"/>
      <c r="T223" s="968"/>
      <c r="U223" s="968"/>
      <c r="V223" s="584">
        <f>2.2*V222</f>
        <v>5.8666666666666671</v>
      </c>
      <c r="W223" s="584">
        <f>W222/W215</f>
        <v>15.384615384615381</v>
      </c>
      <c r="X223" s="584">
        <f>X222/X215</f>
        <v>11.750881316098706</v>
      </c>
      <c r="Y223" s="584">
        <f>Y222/Y215</f>
        <v>14.285714285714283</v>
      </c>
      <c r="Z223" s="361"/>
      <c r="AA223" s="367"/>
      <c r="AB223"/>
      <c r="AC223"/>
      <c r="AD223"/>
      <c r="AE223"/>
      <c r="AF223"/>
      <c r="AG223"/>
      <c r="AH223"/>
      <c r="AI223"/>
      <c r="AJ223"/>
      <c r="AK223"/>
      <c r="AL223"/>
      <c r="AM223"/>
      <c r="AN223"/>
      <c r="AO223"/>
      <c r="AP223"/>
      <c r="AQ223"/>
      <c r="AR223"/>
      <c r="AS223"/>
      <c r="AT223"/>
      <c r="AU223"/>
    </row>
    <row r="224" spans="17:47" ht="12.75" customHeight="1">
      <c r="Q224" s="668"/>
      <c r="R224" s="968" t="s">
        <v>544</v>
      </c>
      <c r="S224" s="968"/>
      <c r="T224" s="968"/>
      <c r="U224" s="968"/>
      <c r="V224" s="582">
        <f>V219*V223</f>
        <v>938.66666666666674</v>
      </c>
      <c r="W224" s="582">
        <f>W219*W223</f>
        <v>2461.538461538461</v>
      </c>
      <c r="X224" s="582">
        <f>X219*X223</f>
        <v>1880.141010575793</v>
      </c>
      <c r="Y224" s="674">
        <f>Y219*Y223</f>
        <v>2285.7142857142853</v>
      </c>
      <c r="Z224" s="361"/>
      <c r="AA224" s="367"/>
      <c r="AB224"/>
      <c r="AC224"/>
      <c r="AD224"/>
      <c r="AE224"/>
      <c r="AF224"/>
      <c r="AG224"/>
      <c r="AH224"/>
      <c r="AI224"/>
      <c r="AJ224"/>
      <c r="AK224"/>
      <c r="AL224"/>
      <c r="AM224"/>
      <c r="AN224"/>
      <c r="AO224"/>
      <c r="AP224"/>
      <c r="AQ224"/>
      <c r="AR224"/>
      <c r="AS224"/>
      <c r="AT224"/>
      <c r="AU224"/>
    </row>
    <row r="225" spans="17:47" ht="12.75" customHeight="1">
      <c r="Q225" s="668"/>
      <c r="R225" s="969" t="s">
        <v>535</v>
      </c>
      <c r="S225" s="969"/>
      <c r="T225" s="969"/>
      <c r="U225" s="969"/>
      <c r="V225" s="556">
        <f>V217/V222</f>
        <v>60</v>
      </c>
      <c r="W225" s="556">
        <f>W217/W222</f>
        <v>80.000000000000014</v>
      </c>
      <c r="X225" s="556">
        <f>X217/X222</f>
        <v>92.000000000000014</v>
      </c>
      <c r="Y225" s="556">
        <f>Y217/Y222</f>
        <v>112.00000000000001</v>
      </c>
      <c r="Z225" s="361"/>
      <c r="AA225" s="367"/>
      <c r="AB225"/>
      <c r="AC225"/>
      <c r="AD225"/>
      <c r="AE225"/>
      <c r="AF225"/>
      <c r="AG225"/>
      <c r="AH225"/>
      <c r="AI225"/>
      <c r="AJ225"/>
      <c r="AK225"/>
      <c r="AL225"/>
      <c r="AM225"/>
      <c r="AN225"/>
      <c r="AO225"/>
      <c r="AP225"/>
      <c r="AQ225"/>
      <c r="AR225"/>
      <c r="AS225"/>
      <c r="AT225"/>
      <c r="AU225"/>
    </row>
    <row r="226" spans="17:47" ht="12.75" customHeight="1">
      <c r="Q226" s="668"/>
      <c r="R226" s="969" t="s">
        <v>536</v>
      </c>
      <c r="S226" s="969"/>
      <c r="T226" s="969"/>
      <c r="U226" s="969"/>
      <c r="V226" s="675">
        <f>V216*V225</f>
        <v>72</v>
      </c>
      <c r="W226" s="675">
        <f>W216*W225</f>
        <v>96.000000000000014</v>
      </c>
      <c r="X226" s="675">
        <f>X216*X225</f>
        <v>110.40000000000002</v>
      </c>
      <c r="Y226" s="675">
        <f>Y216*Y225</f>
        <v>134.4</v>
      </c>
      <c r="Z226" s="361"/>
      <c r="AA226" s="367"/>
      <c r="AB226"/>
      <c r="AC226"/>
      <c r="AD226"/>
      <c r="AE226"/>
      <c r="AF226"/>
      <c r="AG226"/>
      <c r="AH226"/>
      <c r="AI226"/>
      <c r="AJ226"/>
      <c r="AK226"/>
      <c r="AL226"/>
      <c r="AM226"/>
      <c r="AN226"/>
      <c r="AO226"/>
      <c r="AP226"/>
      <c r="AQ226"/>
      <c r="AR226"/>
      <c r="AS226"/>
      <c r="AT226"/>
      <c r="AU226"/>
    </row>
    <row r="227" spans="17:47" ht="12.75" customHeight="1">
      <c r="Q227" s="668"/>
      <c r="R227" s="968" t="s">
        <v>534</v>
      </c>
      <c r="S227" s="968"/>
      <c r="T227" s="968"/>
      <c r="U227" s="968"/>
      <c r="V227" s="583">
        <f>U56</f>
        <v>4</v>
      </c>
      <c r="W227" s="583">
        <f>V56</f>
        <v>2.9999999999999996</v>
      </c>
      <c r="X227" s="583">
        <f>W56</f>
        <v>2.6086956521739126</v>
      </c>
      <c r="Y227" s="583">
        <f>X56</f>
        <v>2.1428571428571428</v>
      </c>
      <c r="Z227" s="361"/>
      <c r="AA227" s="367"/>
      <c r="AB227"/>
      <c r="AC227"/>
      <c r="AD227"/>
      <c r="AE227"/>
      <c r="AF227"/>
      <c r="AG227"/>
      <c r="AH227"/>
      <c r="AI227"/>
      <c r="AJ227"/>
      <c r="AK227"/>
      <c r="AL227"/>
      <c r="AM227"/>
      <c r="AN227"/>
      <c r="AO227"/>
      <c r="AP227"/>
      <c r="AQ227"/>
      <c r="AR227"/>
      <c r="AS227"/>
      <c r="AT227"/>
      <c r="AU227"/>
    </row>
    <row r="228" spans="17:47" ht="12.75" customHeight="1">
      <c r="Q228" s="668"/>
      <c r="R228" s="968" t="s">
        <v>537</v>
      </c>
      <c r="S228" s="968"/>
      <c r="T228" s="968"/>
      <c r="U228" s="968"/>
      <c r="V228" s="584">
        <f>V225*V227</f>
        <v>240</v>
      </c>
      <c r="W228" s="584">
        <f>W225*W227</f>
        <v>240</v>
      </c>
      <c r="X228" s="584">
        <f>X225*X227</f>
        <v>240</v>
      </c>
      <c r="Y228" s="584">
        <f>Y225*Y227</f>
        <v>240.00000000000003</v>
      </c>
      <c r="Z228" s="361"/>
      <c r="AA228" s="367"/>
      <c r="AB228"/>
      <c r="AC228"/>
      <c r="AD228"/>
      <c r="AE228"/>
      <c r="AF228"/>
      <c r="AG228"/>
      <c r="AH228"/>
      <c r="AI228"/>
      <c r="AJ228"/>
      <c r="AK228"/>
      <c r="AL228"/>
      <c r="AM228"/>
      <c r="AN228"/>
      <c r="AO228"/>
      <c r="AP228"/>
      <c r="AQ228"/>
      <c r="AR228"/>
      <c r="AS228"/>
      <c r="AT228"/>
      <c r="AU228"/>
    </row>
    <row r="229" spans="17:47" ht="12.75" customHeight="1">
      <c r="Q229" s="668"/>
      <c r="R229" s="968" t="s">
        <v>545</v>
      </c>
      <c r="S229" s="968"/>
      <c r="T229" s="968"/>
      <c r="U229" s="968"/>
      <c r="V229" s="585">
        <f>V221/V223</f>
        <v>0.87545454545454526</v>
      </c>
      <c r="W229" s="585">
        <f>W221/W223</f>
        <v>0.40560000000000007</v>
      </c>
      <c r="X229" s="585">
        <f>X221/X223</f>
        <v>0.60455040000000004</v>
      </c>
      <c r="Y229" s="585">
        <f>Y221/Y223</f>
        <v>0.33600000000000008</v>
      </c>
      <c r="Z229" s="361"/>
      <c r="AA229" s="367"/>
      <c r="AB229"/>
      <c r="AC229"/>
      <c r="AD229"/>
      <c r="AE229"/>
      <c r="AF229"/>
      <c r="AG229"/>
      <c r="AH229"/>
      <c r="AI229"/>
      <c r="AJ229"/>
      <c r="AK229"/>
      <c r="AL229"/>
      <c r="AM229"/>
      <c r="AN229"/>
      <c r="AO229"/>
      <c r="AP229"/>
      <c r="AQ229"/>
      <c r="AR229"/>
      <c r="AS229"/>
      <c r="AT229"/>
      <c r="AU229"/>
    </row>
    <row r="230" spans="17:47" ht="12.75" customHeight="1">
      <c r="Q230" s="668"/>
      <c r="R230" s="540" t="s">
        <v>547</v>
      </c>
      <c r="S230" s="540"/>
      <c r="T230" s="540"/>
      <c r="U230" s="540"/>
      <c r="V230" s="585"/>
      <c r="W230" s="586">
        <f>10*W217*W216*W218</f>
        <v>76800</v>
      </c>
      <c r="X230" s="586">
        <f>10*X217*X216*X218</f>
        <v>76800</v>
      </c>
      <c r="Y230" s="586">
        <f>10*Y217*Y216*Y218</f>
        <v>76800</v>
      </c>
      <c r="Z230" s="361"/>
      <c r="AA230" s="367"/>
      <c r="AB230"/>
      <c r="AC230"/>
      <c r="AD230"/>
      <c r="AE230"/>
      <c r="AF230"/>
      <c r="AG230"/>
      <c r="AH230"/>
      <c r="AI230"/>
      <c r="AJ230"/>
      <c r="AK230"/>
      <c r="AL230"/>
      <c r="AM230"/>
      <c r="AN230"/>
      <c r="AO230"/>
      <c r="AP230"/>
      <c r="AQ230"/>
      <c r="AR230"/>
      <c r="AS230"/>
      <c r="AT230"/>
      <c r="AU230"/>
    </row>
    <row r="231" spans="17:47" ht="12.75" customHeight="1">
      <c r="Q231" s="668"/>
      <c r="R231" s="968" t="s">
        <v>548</v>
      </c>
      <c r="S231" s="968"/>
      <c r="T231" s="968"/>
      <c r="U231" s="968"/>
      <c r="V231" s="585">
        <f>V229</f>
        <v>0.87545454545454526</v>
      </c>
      <c r="W231" s="585">
        <f>W220/W230</f>
        <v>1.3000000000000001E-2</v>
      </c>
      <c r="X231" s="585">
        <f>X220/X230</f>
        <v>1.4799999999999999E-2</v>
      </c>
      <c r="Y231" s="585">
        <f>Y220/Y230</f>
        <v>0.01</v>
      </c>
      <c r="Z231" s="361"/>
      <c r="AA231" s="367"/>
      <c r="AB231"/>
      <c r="AC231"/>
      <c r="AD231"/>
      <c r="AE231"/>
      <c r="AF231"/>
      <c r="AG231"/>
      <c r="AH231"/>
      <c r="AI231"/>
      <c r="AJ231"/>
      <c r="AK231"/>
      <c r="AL231"/>
      <c r="AM231"/>
      <c r="AN231"/>
      <c r="AO231"/>
      <c r="AP231"/>
      <c r="AQ231"/>
      <c r="AR231"/>
      <c r="AS231"/>
      <c r="AT231"/>
      <c r="AU231"/>
    </row>
    <row r="232" spans="17:47" ht="12.75" customHeight="1">
      <c r="Q232" s="668"/>
      <c r="R232" s="587"/>
      <c r="S232" s="587"/>
      <c r="T232" s="587"/>
      <c r="U232" s="587"/>
      <c r="V232" s="588"/>
      <c r="W232" s="588"/>
      <c r="X232" s="588"/>
      <c r="Y232" s="588"/>
      <c r="Z232" s="589"/>
      <c r="AA232" s="367"/>
      <c r="AB232"/>
      <c r="AC232"/>
      <c r="AD232"/>
      <c r="AE232"/>
      <c r="AF232"/>
      <c r="AG232"/>
      <c r="AH232"/>
      <c r="AI232"/>
      <c r="AJ232"/>
      <c r="AK232"/>
      <c r="AL232"/>
      <c r="AM232"/>
      <c r="AN232"/>
      <c r="AO232"/>
      <c r="AP232"/>
      <c r="AQ232"/>
      <c r="AR232"/>
      <c r="AS232"/>
      <c r="AT232"/>
      <c r="AU232"/>
    </row>
    <row r="233" spans="17:47" ht="12.75" customHeight="1">
      <c r="Q233" s="668"/>
      <c r="R233" s="587"/>
      <c r="S233" s="587"/>
      <c r="T233" s="587"/>
      <c r="U233" s="587"/>
      <c r="V233" s="676"/>
      <c r="W233" s="676"/>
      <c r="X233" s="676"/>
      <c r="Y233" s="588"/>
      <c r="Z233" s="364"/>
      <c r="AA233" s="367"/>
      <c r="AB233"/>
      <c r="AC233"/>
      <c r="AD233"/>
      <c r="AE233"/>
      <c r="AF233"/>
      <c r="AG233"/>
      <c r="AH233"/>
      <c r="AI233"/>
      <c r="AJ233"/>
      <c r="AK233"/>
      <c r="AL233"/>
      <c r="AM233"/>
      <c r="AN233"/>
      <c r="AO233"/>
      <c r="AP233"/>
      <c r="AQ233"/>
      <c r="AR233"/>
      <c r="AS233"/>
      <c r="AT233"/>
      <c r="AU233"/>
    </row>
    <row r="234" spans="17:47" ht="12.75" customHeight="1">
      <c r="Q234" s="668" t="s">
        <v>240</v>
      </c>
      <c r="R234" s="364" t="s">
        <v>241</v>
      </c>
      <c r="S234" s="364"/>
      <c r="T234" s="364"/>
      <c r="U234" s="364"/>
      <c r="V234" s="364"/>
      <c r="W234" s="364"/>
      <c r="X234" s="364"/>
      <c r="Y234" s="364"/>
      <c r="Z234" s="364"/>
      <c r="AA234" s="367"/>
      <c r="AB234"/>
      <c r="AC234"/>
      <c r="AD234"/>
      <c r="AE234"/>
      <c r="AF234"/>
      <c r="AG234"/>
      <c r="AH234"/>
      <c r="AI234"/>
      <c r="AJ234"/>
      <c r="AK234"/>
      <c r="AL234"/>
      <c r="AM234"/>
      <c r="AN234"/>
      <c r="AO234"/>
      <c r="AP234"/>
      <c r="AQ234"/>
      <c r="AR234"/>
      <c r="AS234"/>
      <c r="AT234"/>
      <c r="AU234"/>
    </row>
    <row r="235" spans="17:47" ht="12.75" customHeight="1">
      <c r="Q235" s="364"/>
      <c r="R235" s="962" t="s">
        <v>301</v>
      </c>
      <c r="S235" s="963"/>
      <c r="T235" s="964"/>
      <c r="U235" s="949" t="s">
        <v>500</v>
      </c>
      <c r="V235" s="938" t="s">
        <v>22</v>
      </c>
      <c r="W235" s="940" t="s">
        <v>579</v>
      </c>
      <c r="X235" s="942" t="s">
        <v>21</v>
      </c>
      <c r="Y235" s="361"/>
      <c r="Z235" s="364"/>
      <c r="AA235" s="367"/>
      <c r="AB235"/>
      <c r="AC235"/>
      <c r="AD235"/>
      <c r="AE235"/>
      <c r="AF235"/>
      <c r="AG235"/>
      <c r="AH235"/>
      <c r="AI235"/>
      <c r="AJ235"/>
      <c r="AK235"/>
      <c r="AL235"/>
      <c r="AM235"/>
      <c r="AN235"/>
      <c r="AO235"/>
      <c r="AP235"/>
      <c r="AQ235"/>
      <c r="AR235"/>
      <c r="AS235"/>
      <c r="AT235"/>
      <c r="AU235"/>
    </row>
    <row r="236" spans="17:47" ht="12.75" customHeight="1">
      <c r="Q236" s="364"/>
      <c r="R236" s="965"/>
      <c r="S236" s="966"/>
      <c r="T236" s="967"/>
      <c r="U236" s="950"/>
      <c r="V236" s="939"/>
      <c r="W236" s="941"/>
      <c r="X236" s="943"/>
      <c r="Y236" s="361"/>
      <c r="Z236" s="364"/>
      <c r="AA236" s="367"/>
      <c r="AB236"/>
      <c r="AC236"/>
      <c r="AD236"/>
      <c r="AE236"/>
      <c r="AF236"/>
      <c r="AG236"/>
      <c r="AH236"/>
      <c r="AI236"/>
      <c r="AJ236"/>
      <c r="AK236"/>
      <c r="AL236"/>
      <c r="AM236"/>
      <c r="AN236"/>
      <c r="AO236"/>
      <c r="AP236"/>
      <c r="AQ236"/>
      <c r="AR236"/>
      <c r="AS236"/>
      <c r="AT236"/>
      <c r="AU236"/>
    </row>
    <row r="237" spans="17:47" ht="12.75" customHeight="1">
      <c r="Q237" s="364"/>
      <c r="R237" s="931" t="s">
        <v>662</v>
      </c>
      <c r="S237" s="931"/>
      <c r="T237" s="931"/>
      <c r="U237" s="901" t="s">
        <v>427</v>
      </c>
      <c r="V237" s="562">
        <f>VLOOKUP($V$5,'Lookup Air Consumption'!$B$8:$E$208,3)</f>
        <v>38</v>
      </c>
      <c r="W237" s="562">
        <f>VLOOKUP($V$5,'Lookup Air Consumption'!$B$8:$E$208,4)</f>
        <v>50</v>
      </c>
      <c r="X237" s="562">
        <f>VLOOKUP($V$5,'Lookup Air Consumption'!$B$8:$E$208,2)</f>
        <v>41</v>
      </c>
      <c r="Y237" s="361"/>
      <c r="Z237" s="364"/>
      <c r="AA237" s="367"/>
      <c r="AB237"/>
      <c r="AC237"/>
      <c r="AD237"/>
      <c r="AE237"/>
      <c r="AF237"/>
      <c r="AG237"/>
      <c r="AH237"/>
      <c r="AI237"/>
      <c r="AJ237"/>
      <c r="AK237"/>
      <c r="AL237"/>
      <c r="AM237"/>
      <c r="AN237"/>
      <c r="AO237"/>
      <c r="AP237"/>
      <c r="AQ237"/>
      <c r="AR237"/>
      <c r="AS237"/>
      <c r="AT237"/>
      <c r="AU237"/>
    </row>
    <row r="238" spans="17:47" ht="12.75" customHeight="1">
      <c r="Q238" s="364"/>
      <c r="R238" s="931" t="s">
        <v>663</v>
      </c>
      <c r="S238" s="931"/>
      <c r="T238" s="931"/>
      <c r="U238" s="901"/>
      <c r="V238" s="590">
        <f>V237/1000</f>
        <v>3.7999999999999999E-2</v>
      </c>
      <c r="W238" s="590">
        <f>W237/1000</f>
        <v>0.05</v>
      </c>
      <c r="X238" s="590">
        <f>X237/1000</f>
        <v>4.1000000000000002E-2</v>
      </c>
      <c r="Y238" s="361"/>
      <c r="Z238" s="364"/>
      <c r="AA238" s="367"/>
      <c r="AB238"/>
      <c r="AC238"/>
      <c r="AD238"/>
      <c r="AE238"/>
      <c r="AF238"/>
      <c r="AG238"/>
      <c r="AH238"/>
      <c r="AI238"/>
      <c r="AJ238"/>
      <c r="AK238"/>
      <c r="AL238"/>
      <c r="AM238"/>
      <c r="AN238"/>
      <c r="AO238"/>
      <c r="AP238"/>
      <c r="AQ238"/>
      <c r="AR238"/>
      <c r="AS238"/>
      <c r="AT238"/>
      <c r="AU238"/>
    </row>
    <row r="239" spans="17:47" ht="12.75" customHeight="1">
      <c r="Q239" s="364"/>
      <c r="R239" s="931" t="s">
        <v>664</v>
      </c>
      <c r="S239" s="931"/>
      <c r="T239" s="931"/>
      <c r="U239" s="901"/>
      <c r="V239" s="560">
        <f>V238*35.31467</f>
        <v>1.3419574599999999</v>
      </c>
      <c r="W239" s="560">
        <f>W238*35.31467</f>
        <v>1.7657335000000001</v>
      </c>
      <c r="X239" s="560">
        <f>X238*35.31467</f>
        <v>1.4479014700000001</v>
      </c>
      <c r="Y239" s="361"/>
      <c r="Z239" s="364"/>
      <c r="AA239" s="367"/>
      <c r="AB239"/>
      <c r="AC239"/>
      <c r="AD239"/>
      <c r="AE239"/>
      <c r="AF239"/>
      <c r="AG239"/>
      <c r="AH239"/>
      <c r="AI239"/>
      <c r="AJ239"/>
      <c r="AK239"/>
      <c r="AL239"/>
      <c r="AM239"/>
      <c r="AN239"/>
      <c r="AO239"/>
      <c r="AP239"/>
      <c r="AQ239"/>
      <c r="AR239"/>
      <c r="AS239"/>
      <c r="AT239"/>
      <c r="AU239"/>
    </row>
    <row r="240" spans="17:47" ht="12.75" customHeight="1">
      <c r="Q240" s="360"/>
      <c r="R240" s="551"/>
      <c r="S240" s="551"/>
      <c r="T240" s="551"/>
      <c r="U240" s="591"/>
      <c r="V240" s="551"/>
      <c r="W240" s="551"/>
      <c r="X240" s="551"/>
      <c r="Y240" s="361"/>
      <c r="Z240" s="364"/>
      <c r="AA240" s="367"/>
      <c r="AB240"/>
      <c r="AC240"/>
      <c r="AD240"/>
      <c r="AE240"/>
      <c r="AF240"/>
      <c r="AG240"/>
      <c r="AH240"/>
      <c r="AI240"/>
      <c r="AJ240"/>
      <c r="AK240"/>
      <c r="AL240"/>
      <c r="AM240"/>
      <c r="AN240"/>
      <c r="AO240"/>
      <c r="AP240"/>
      <c r="AQ240"/>
      <c r="AR240"/>
      <c r="AS240"/>
      <c r="AT240"/>
      <c r="AU240"/>
    </row>
    <row r="241" spans="17:47" ht="12.75" customHeight="1">
      <c r="Q241" s="360"/>
      <c r="R241" s="962" t="s">
        <v>302</v>
      </c>
      <c r="S241" s="963"/>
      <c r="T241" s="964"/>
      <c r="U241" s="949" t="s">
        <v>500</v>
      </c>
      <c r="V241" s="938" t="s">
        <v>22</v>
      </c>
      <c r="W241" s="940" t="s">
        <v>579</v>
      </c>
      <c r="X241" s="942" t="s">
        <v>21</v>
      </c>
      <c r="Y241" s="361"/>
      <c r="Z241" s="364"/>
      <c r="AA241" s="367"/>
      <c r="AB241"/>
      <c r="AC241"/>
      <c r="AD241"/>
      <c r="AE241"/>
      <c r="AF241"/>
      <c r="AG241"/>
      <c r="AH241"/>
      <c r="AI241"/>
      <c r="AJ241"/>
      <c r="AK241"/>
      <c r="AL241"/>
      <c r="AM241"/>
      <c r="AN241"/>
      <c r="AO241"/>
      <c r="AP241"/>
      <c r="AQ241"/>
      <c r="AR241"/>
      <c r="AS241"/>
      <c r="AT241"/>
      <c r="AU241"/>
    </row>
    <row r="242" spans="17:47" ht="12.75" customHeight="1">
      <c r="Q242" s="360"/>
      <c r="R242" s="965"/>
      <c r="S242" s="966"/>
      <c r="T242" s="967"/>
      <c r="U242" s="950"/>
      <c r="V242" s="939"/>
      <c r="W242" s="941"/>
      <c r="X242" s="943"/>
      <c r="Y242" s="361"/>
      <c r="Z242" s="364"/>
      <c r="AA242" s="367"/>
      <c r="AB242"/>
      <c r="AC242"/>
      <c r="AD242"/>
      <c r="AE242"/>
      <c r="AF242"/>
      <c r="AG242"/>
      <c r="AH242"/>
      <c r="AI242"/>
      <c r="AJ242"/>
      <c r="AK242"/>
      <c r="AL242"/>
      <c r="AM242"/>
      <c r="AN242"/>
      <c r="AO242"/>
      <c r="AP242"/>
      <c r="AQ242"/>
      <c r="AR242"/>
      <c r="AS242"/>
      <c r="AT242"/>
      <c r="AU242"/>
    </row>
    <row r="243" spans="17:47" ht="12.75" customHeight="1">
      <c r="Q243" s="360"/>
      <c r="R243" s="931" t="s">
        <v>662</v>
      </c>
      <c r="S243" s="931"/>
      <c r="T243" s="931"/>
      <c r="U243" s="901" t="s">
        <v>427</v>
      </c>
      <c r="V243" s="549">
        <f t="shared" ref="V243:W245" si="3">V237*$V$23</f>
        <v>6080</v>
      </c>
      <c r="W243" s="549">
        <f t="shared" si="3"/>
        <v>8000</v>
      </c>
      <c r="X243" s="549">
        <f>X237*$V$23</f>
        <v>6560</v>
      </c>
      <c r="Y243" s="361"/>
      <c r="Z243" s="364"/>
      <c r="AA243" s="367"/>
      <c r="AB243"/>
      <c r="AC243"/>
      <c r="AD243"/>
      <c r="AE243"/>
      <c r="AF243"/>
      <c r="AG243"/>
      <c r="AH243"/>
      <c r="AI243"/>
      <c r="AJ243"/>
      <c r="AK243"/>
      <c r="AL243"/>
      <c r="AM243"/>
      <c r="AN243"/>
      <c r="AO243"/>
      <c r="AP243"/>
      <c r="AQ243"/>
      <c r="AR243"/>
      <c r="AS243"/>
      <c r="AT243"/>
      <c r="AU243"/>
    </row>
    <row r="244" spans="17:47" ht="12.75" customHeight="1">
      <c r="Q244" s="360"/>
      <c r="R244" s="931" t="s">
        <v>663</v>
      </c>
      <c r="S244" s="931"/>
      <c r="T244" s="931"/>
      <c r="U244" s="901"/>
      <c r="V244" s="560">
        <f t="shared" si="3"/>
        <v>6.08</v>
      </c>
      <c r="W244" s="560">
        <f t="shared" si="3"/>
        <v>8</v>
      </c>
      <c r="X244" s="560">
        <f>X238*$V$23</f>
        <v>6.5600000000000005</v>
      </c>
      <c r="Y244" s="361"/>
      <c r="Z244" s="364"/>
      <c r="AA244" s="367"/>
      <c r="AB244"/>
      <c r="AC244"/>
      <c r="AD244"/>
      <c r="AE244"/>
      <c r="AF244"/>
      <c r="AG244"/>
      <c r="AH244"/>
      <c r="AI244"/>
      <c r="AJ244"/>
      <c r="AK244"/>
      <c r="AL244"/>
      <c r="AM244"/>
      <c r="AN244"/>
      <c r="AO244"/>
      <c r="AP244"/>
      <c r="AQ244"/>
      <c r="AR244"/>
      <c r="AS244"/>
      <c r="AT244"/>
      <c r="AU244"/>
    </row>
    <row r="245" spans="17:47" ht="12.75" customHeight="1">
      <c r="Q245" s="360"/>
      <c r="R245" s="931" t="s">
        <v>664</v>
      </c>
      <c r="S245" s="931"/>
      <c r="T245" s="931"/>
      <c r="U245" s="901"/>
      <c r="V245" s="560">
        <f t="shared" si="3"/>
        <v>214.71319359999998</v>
      </c>
      <c r="W245" s="560">
        <f t="shared" si="3"/>
        <v>282.51736</v>
      </c>
      <c r="X245" s="560">
        <f>X239*$V$23</f>
        <v>231.66423520000001</v>
      </c>
      <c r="Y245" s="361"/>
      <c r="Z245" s="364"/>
      <c r="AA245" s="367"/>
      <c r="AB245"/>
      <c r="AC245"/>
      <c r="AD245"/>
      <c r="AE245"/>
      <c r="AF245"/>
      <c r="AG245"/>
      <c r="AH245"/>
      <c r="AI245"/>
      <c r="AJ245"/>
      <c r="AK245"/>
      <c r="AL245"/>
      <c r="AM245"/>
      <c r="AN245"/>
      <c r="AO245"/>
      <c r="AP245"/>
      <c r="AQ245"/>
      <c r="AR245"/>
      <c r="AS245"/>
      <c r="AT245"/>
      <c r="AU245"/>
    </row>
    <row r="246" spans="17:47" ht="12.75" customHeight="1">
      <c r="Q246" s="360"/>
      <c r="R246" s="364"/>
      <c r="S246" s="364"/>
      <c r="T246" s="364"/>
      <c r="U246" s="364"/>
      <c r="V246" s="555"/>
      <c r="W246" s="555"/>
      <c r="X246" s="555"/>
      <c r="Y246" s="361"/>
      <c r="Z246" s="364"/>
      <c r="AA246" s="367"/>
      <c r="AB246"/>
      <c r="AC246"/>
      <c r="AD246"/>
      <c r="AE246"/>
      <c r="AF246"/>
      <c r="AG246"/>
      <c r="AH246"/>
      <c r="AI246"/>
      <c r="AJ246"/>
      <c r="AK246"/>
      <c r="AL246"/>
      <c r="AM246"/>
      <c r="AN246"/>
      <c r="AO246"/>
      <c r="AP246"/>
      <c r="AQ246"/>
      <c r="AR246"/>
      <c r="AS246"/>
      <c r="AT246"/>
      <c r="AU246"/>
    </row>
    <row r="247" spans="17:47" ht="12.75" customHeight="1">
      <c r="Q247" s="360"/>
      <c r="R247" s="962" t="s">
        <v>303</v>
      </c>
      <c r="S247" s="963"/>
      <c r="T247" s="964"/>
      <c r="U247" s="949" t="s">
        <v>500</v>
      </c>
      <c r="V247" s="938" t="s">
        <v>22</v>
      </c>
      <c r="W247" s="940" t="s">
        <v>579</v>
      </c>
      <c r="X247" s="942" t="s">
        <v>21</v>
      </c>
      <c r="Y247" s="361"/>
      <c r="Z247" s="364"/>
      <c r="AA247" s="367"/>
      <c r="AB247"/>
      <c r="AC247"/>
      <c r="AD247"/>
      <c r="AE247"/>
      <c r="AF247"/>
      <c r="AG247"/>
      <c r="AH247"/>
      <c r="AI247"/>
      <c r="AJ247"/>
      <c r="AK247"/>
      <c r="AL247"/>
      <c r="AM247"/>
      <c r="AN247"/>
      <c r="AO247"/>
      <c r="AP247"/>
      <c r="AQ247"/>
      <c r="AR247"/>
      <c r="AS247"/>
      <c r="AT247"/>
      <c r="AU247"/>
    </row>
    <row r="248" spans="17:47" ht="12.75" customHeight="1">
      <c r="Q248" s="360"/>
      <c r="R248" s="965"/>
      <c r="S248" s="966"/>
      <c r="T248" s="967"/>
      <c r="U248" s="950"/>
      <c r="V248" s="939"/>
      <c r="W248" s="941"/>
      <c r="X248" s="943"/>
      <c r="Y248" s="361"/>
      <c r="Z248" s="364"/>
      <c r="AA248" s="367"/>
      <c r="AB248"/>
      <c r="AC248"/>
      <c r="AD248"/>
      <c r="AE248"/>
      <c r="AF248"/>
      <c r="AG248"/>
      <c r="AH248"/>
      <c r="AI248"/>
      <c r="AJ248"/>
      <c r="AK248"/>
      <c r="AL248"/>
      <c r="AM248"/>
      <c r="AN248"/>
      <c r="AO248"/>
      <c r="AP248"/>
      <c r="AQ248"/>
      <c r="AR248"/>
      <c r="AS248"/>
      <c r="AT248"/>
      <c r="AU248"/>
    </row>
    <row r="249" spans="17:47" ht="12.75" customHeight="1">
      <c r="Q249" s="563"/>
      <c r="R249" s="951" t="s">
        <v>517</v>
      </c>
      <c r="S249" s="951"/>
      <c r="T249" s="951"/>
      <c r="U249" s="901" t="s">
        <v>427</v>
      </c>
      <c r="V249" s="549">
        <f t="shared" ref="V249:X251" si="4">($V$25/$X$51)*60*V237</f>
        <v>31268571.428571429</v>
      </c>
      <c r="W249" s="549">
        <f t="shared" si="4"/>
        <v>41142857.142857142</v>
      </c>
      <c r="X249" s="549">
        <f t="shared" si="4"/>
        <v>33737142.857142858</v>
      </c>
      <c r="Y249" s="361"/>
      <c r="Z249" s="364"/>
      <c r="AA249" s="367"/>
      <c r="AB249"/>
      <c r="AC249"/>
      <c r="AD249"/>
      <c r="AE249"/>
      <c r="AF249"/>
      <c r="AG249"/>
      <c r="AH249"/>
      <c r="AI249"/>
      <c r="AJ249"/>
      <c r="AK249"/>
      <c r="AL249"/>
      <c r="AM249"/>
      <c r="AN249"/>
      <c r="AO249"/>
      <c r="AP249"/>
      <c r="AQ249"/>
      <c r="AR249"/>
      <c r="AS249"/>
      <c r="AT249"/>
      <c r="AU249"/>
    </row>
    <row r="250" spans="17:47" ht="12.75" customHeight="1">
      <c r="Q250" s="364"/>
      <c r="R250" s="951" t="s">
        <v>666</v>
      </c>
      <c r="S250" s="951"/>
      <c r="T250" s="951"/>
      <c r="U250" s="901"/>
      <c r="V250" s="549">
        <f t="shared" si="4"/>
        <v>31268.571428571428</v>
      </c>
      <c r="W250" s="549">
        <f t="shared" si="4"/>
        <v>41142.857142857145</v>
      </c>
      <c r="X250" s="549">
        <f t="shared" si="4"/>
        <v>33737.142857142855</v>
      </c>
      <c r="Y250" s="361"/>
      <c r="Z250" s="364"/>
      <c r="AA250" s="367"/>
      <c r="AB250"/>
      <c r="AC250"/>
      <c r="AD250"/>
      <c r="AE250"/>
      <c r="AF250"/>
      <c r="AG250"/>
      <c r="AH250"/>
      <c r="AI250"/>
      <c r="AJ250"/>
      <c r="AK250"/>
      <c r="AL250"/>
      <c r="AM250"/>
      <c r="AN250"/>
      <c r="AO250"/>
      <c r="AP250"/>
      <c r="AQ250"/>
      <c r="AR250"/>
      <c r="AS250"/>
      <c r="AT250"/>
      <c r="AU250"/>
    </row>
    <row r="251" spans="17:47" ht="12.75" customHeight="1">
      <c r="Q251" s="364"/>
      <c r="R251" s="951" t="s">
        <v>583</v>
      </c>
      <c r="S251" s="951"/>
      <c r="T251" s="951"/>
      <c r="U251" s="901"/>
      <c r="V251" s="549">
        <f t="shared" si="4"/>
        <v>1104239.2813714284</v>
      </c>
      <c r="W251" s="549">
        <f t="shared" si="4"/>
        <v>1452946.422857143</v>
      </c>
      <c r="X251" s="549">
        <f t="shared" si="4"/>
        <v>1191416.0667428572</v>
      </c>
      <c r="Y251" s="361"/>
      <c r="Z251" s="364"/>
      <c r="AA251" s="367"/>
      <c r="AB251"/>
      <c r="AC251"/>
      <c r="AD251"/>
      <c r="AE251"/>
      <c r="AF251"/>
      <c r="AG251"/>
      <c r="AH251"/>
      <c r="AI251"/>
      <c r="AJ251"/>
      <c r="AK251"/>
      <c r="AL251"/>
      <c r="AM251"/>
      <c r="AN251"/>
      <c r="AO251"/>
      <c r="AP251"/>
      <c r="AQ251"/>
      <c r="AR251"/>
      <c r="AS251"/>
      <c r="AT251"/>
      <c r="AU251"/>
    </row>
    <row r="252" spans="17:47" ht="12.75" customHeight="1">
      <c r="Q252" s="364"/>
      <c r="R252" s="364"/>
      <c r="S252" s="364"/>
      <c r="T252" s="364"/>
      <c r="U252" s="364"/>
      <c r="V252" s="364"/>
      <c r="W252" s="364"/>
      <c r="X252" s="364"/>
      <c r="Y252" s="361"/>
      <c r="Z252" s="364"/>
      <c r="AA252" s="367"/>
      <c r="AB252"/>
      <c r="AC252"/>
      <c r="AD252"/>
      <c r="AE252"/>
      <c r="AF252"/>
      <c r="AG252"/>
      <c r="AH252"/>
      <c r="AI252"/>
      <c r="AJ252"/>
      <c r="AK252"/>
      <c r="AL252"/>
      <c r="AM252"/>
      <c r="AN252"/>
      <c r="AO252"/>
      <c r="AP252"/>
      <c r="AQ252"/>
      <c r="AR252"/>
      <c r="AS252"/>
      <c r="AT252"/>
      <c r="AU252"/>
    </row>
    <row r="253" spans="17:47" ht="12.75" customHeight="1">
      <c r="Q253" s="668" t="s">
        <v>753</v>
      </c>
      <c r="R253" s="364" t="s">
        <v>300</v>
      </c>
      <c r="S253" s="364"/>
      <c r="T253" s="364"/>
      <c r="U253" s="364"/>
      <c r="V253" s="364"/>
      <c r="W253" s="364"/>
      <c r="X253" s="364"/>
      <c r="Y253" s="361"/>
      <c r="Z253" s="364"/>
      <c r="AA253" s="367"/>
      <c r="AB253"/>
      <c r="AC253"/>
      <c r="AD253"/>
      <c r="AE253"/>
      <c r="AF253"/>
      <c r="AG253"/>
      <c r="AH253"/>
      <c r="AI253"/>
      <c r="AJ253"/>
      <c r="AK253"/>
      <c r="AL253"/>
      <c r="AM253"/>
      <c r="AN253"/>
      <c r="AO253"/>
      <c r="AP253"/>
      <c r="AQ253"/>
      <c r="AR253"/>
      <c r="AS253"/>
      <c r="AT253"/>
      <c r="AU253"/>
    </row>
    <row r="254" spans="17:47" ht="12.75" customHeight="1">
      <c r="Q254" s="364"/>
      <c r="R254" s="957" t="s">
        <v>669</v>
      </c>
      <c r="S254" s="958"/>
      <c r="T254" s="959"/>
      <c r="U254" s="949" t="s">
        <v>500</v>
      </c>
      <c r="V254" s="938" t="s">
        <v>22</v>
      </c>
      <c r="W254" s="940" t="s">
        <v>579</v>
      </c>
      <c r="X254" s="942" t="s">
        <v>21</v>
      </c>
      <c r="Y254" s="361"/>
      <c r="Z254" s="364"/>
      <c r="AA254" s="367"/>
      <c r="AB254"/>
      <c r="AC254"/>
      <c r="AD254"/>
      <c r="AE254"/>
      <c r="AF254"/>
      <c r="AG254"/>
      <c r="AH254"/>
      <c r="AI254"/>
      <c r="AJ254"/>
      <c r="AK254"/>
      <c r="AL254"/>
      <c r="AM254"/>
      <c r="AN254"/>
      <c r="AO254"/>
      <c r="AP254"/>
      <c r="AQ254"/>
      <c r="AR254"/>
      <c r="AS254"/>
      <c r="AT254"/>
      <c r="AU254"/>
    </row>
    <row r="255" spans="17:47" ht="12.75" customHeight="1">
      <c r="Q255" s="364"/>
      <c r="R255" s="960"/>
      <c r="S255" s="961"/>
      <c r="T255" s="899"/>
      <c r="U255" s="950"/>
      <c r="V255" s="939"/>
      <c r="W255" s="941"/>
      <c r="X255" s="943"/>
      <c r="Y255" s="361"/>
      <c r="Z255" s="364"/>
      <c r="AA255" s="367"/>
      <c r="AB255"/>
      <c r="AC255"/>
      <c r="AD255"/>
      <c r="AE255"/>
      <c r="AF255"/>
      <c r="AG255"/>
      <c r="AH255"/>
      <c r="AI255"/>
      <c r="AJ255"/>
      <c r="AK255"/>
      <c r="AL255"/>
      <c r="AM255"/>
      <c r="AN255"/>
      <c r="AO255"/>
      <c r="AP255"/>
      <c r="AQ255"/>
      <c r="AR255"/>
      <c r="AS255"/>
      <c r="AT255"/>
      <c r="AU255"/>
    </row>
    <row r="256" spans="17:47" ht="12.75" customHeight="1">
      <c r="Q256" s="364"/>
      <c r="R256" s="541" t="s">
        <v>80</v>
      </c>
      <c r="S256" s="559"/>
      <c r="T256" s="559"/>
      <c r="U256" s="543">
        <v>6.5</v>
      </c>
      <c r="V256" s="669">
        <f>VLOOKUP($V$5,'Lookup Water Flow'!$B$8:$E$208,3)</f>
        <v>6.9</v>
      </c>
      <c r="W256" s="669">
        <f>VLOOKUP($V$5,'Lookup Water Flow'!$B$8:$E$208,4)</f>
        <v>12.1</v>
      </c>
      <c r="X256" s="669">
        <f>VLOOKUP($V$5,'Lookup Water Flow'!$B$8:$E$208,2)</f>
        <v>12.6</v>
      </c>
      <c r="Y256" s="361"/>
      <c r="Z256" s="364"/>
      <c r="AA256" s="367"/>
      <c r="AB256"/>
      <c r="AC256"/>
      <c r="AD256"/>
      <c r="AE256"/>
      <c r="AF256"/>
      <c r="AG256"/>
      <c r="AH256"/>
      <c r="AI256"/>
      <c r="AJ256"/>
      <c r="AK256"/>
      <c r="AL256"/>
      <c r="AM256"/>
      <c r="AN256"/>
      <c r="AO256"/>
      <c r="AP256"/>
      <c r="AQ256"/>
      <c r="AR256"/>
      <c r="AS256"/>
      <c r="AT256"/>
      <c r="AU256"/>
    </row>
    <row r="257" spans="17:47" ht="12.75" customHeight="1">
      <c r="Q257" s="364"/>
      <c r="R257" s="951" t="s">
        <v>81</v>
      </c>
      <c r="S257" s="951"/>
      <c r="T257" s="951"/>
      <c r="U257" s="677">
        <f>U256*V23</f>
        <v>1040</v>
      </c>
      <c r="V257" s="678">
        <f>V256*$V$23</f>
        <v>1104</v>
      </c>
      <c r="W257" s="678">
        <f>W256*$V$23</f>
        <v>1936</v>
      </c>
      <c r="X257" s="678">
        <f>X256*$V$23</f>
        <v>2016</v>
      </c>
      <c r="Y257" s="361"/>
      <c r="Z257" s="364"/>
      <c r="AA257" s="367"/>
      <c r="AB257"/>
      <c r="AC257"/>
      <c r="AD257"/>
      <c r="AE257"/>
      <c r="AF257"/>
      <c r="AG257"/>
      <c r="AH257"/>
      <c r="AI257"/>
      <c r="AJ257"/>
      <c r="AK257"/>
      <c r="AL257"/>
      <c r="AM257"/>
      <c r="AN257"/>
      <c r="AO257"/>
      <c r="AP257"/>
      <c r="AQ257"/>
      <c r="AR257"/>
      <c r="AS257"/>
      <c r="AT257"/>
      <c r="AU257"/>
    </row>
    <row r="258" spans="17:47" ht="12.75" customHeight="1">
      <c r="Q258" s="364"/>
      <c r="R258" s="592" t="s">
        <v>670</v>
      </c>
      <c r="S258" s="559"/>
      <c r="T258" s="559"/>
      <c r="U258" s="549">
        <f>(U256*U56*V24)+(24*0.25*V24)</f>
        <v>204800</v>
      </c>
      <c r="V258" s="679">
        <f>V256*$V$56*$V$24</f>
        <v>132480</v>
      </c>
      <c r="W258" s="679">
        <f>W256*$W$56*$V$24</f>
        <v>202017.39130434778</v>
      </c>
      <c r="X258" s="679">
        <f>X256*$X$56*$V$24</f>
        <v>172800</v>
      </c>
      <c r="Y258" s="361"/>
      <c r="Z258" s="364"/>
      <c r="AA258" s="367"/>
      <c r="AB258"/>
      <c r="AC258"/>
      <c r="AD258"/>
      <c r="AE258"/>
      <c r="AF258"/>
      <c r="AG258"/>
      <c r="AH258"/>
      <c r="AI258"/>
      <c r="AJ258"/>
      <c r="AK258"/>
      <c r="AL258"/>
      <c r="AM258"/>
      <c r="AN258"/>
      <c r="AO258"/>
      <c r="AP258"/>
      <c r="AQ258"/>
      <c r="AR258"/>
      <c r="AS258"/>
      <c r="AT258"/>
      <c r="AU258"/>
    </row>
    <row r="259" spans="17:47" ht="12.75" customHeight="1">
      <c r="Q259" s="364"/>
      <c r="R259" s="364"/>
      <c r="S259" s="364"/>
      <c r="T259" s="364"/>
      <c r="U259" s="364"/>
      <c r="V259" s="364"/>
      <c r="W259" s="364"/>
      <c r="X259" s="364"/>
      <c r="Y259" s="364"/>
      <c r="Z259" s="364"/>
      <c r="AA259" s="367"/>
      <c r="AB259"/>
      <c r="AC259"/>
      <c r="AD259"/>
      <c r="AE259"/>
      <c r="AF259"/>
      <c r="AG259"/>
      <c r="AH259"/>
      <c r="AI259"/>
      <c r="AJ259"/>
      <c r="AK259"/>
      <c r="AL259"/>
      <c r="AM259"/>
      <c r="AN259"/>
      <c r="AO259"/>
      <c r="AP259"/>
      <c r="AQ259"/>
      <c r="AR259"/>
      <c r="AS259"/>
      <c r="AT259"/>
      <c r="AU259"/>
    </row>
    <row r="260" spans="17:47" ht="12.75" customHeight="1">
      <c r="Q260" s="680" t="s">
        <v>754</v>
      </c>
      <c r="R260" s="952" t="s">
        <v>309</v>
      </c>
      <c r="S260" s="952"/>
      <c r="T260" s="952"/>
      <c r="U260" s="952"/>
      <c r="V260" s="952"/>
      <c r="W260" s="952"/>
      <c r="X260" s="952"/>
      <c r="Y260" s="952"/>
      <c r="Z260" s="360"/>
      <c r="AA260" s="367"/>
      <c r="AB260"/>
      <c r="AC260"/>
      <c r="AD260"/>
      <c r="AE260"/>
      <c r="AF260"/>
      <c r="AG260"/>
      <c r="AH260"/>
      <c r="AI260"/>
      <c r="AJ260"/>
      <c r="AK260"/>
      <c r="AL260"/>
      <c r="AM260"/>
      <c r="AN260"/>
      <c r="AO260"/>
      <c r="AP260"/>
      <c r="AQ260"/>
      <c r="AR260"/>
      <c r="AS260"/>
      <c r="AT260"/>
      <c r="AU260"/>
    </row>
    <row r="261" spans="17:47" ht="12.75" customHeight="1">
      <c r="Q261" s="364"/>
      <c r="R261" s="364"/>
      <c r="S261" s="364"/>
      <c r="T261" s="364"/>
      <c r="U261" s="364"/>
      <c r="V261" s="364"/>
      <c r="W261" s="364"/>
      <c r="X261" s="364"/>
      <c r="Y261" s="364"/>
      <c r="Z261" s="364"/>
      <c r="AA261" s="367"/>
      <c r="AB261"/>
      <c r="AC261"/>
      <c r="AD261"/>
      <c r="AE261"/>
      <c r="AF261"/>
      <c r="AG261"/>
      <c r="AH261"/>
      <c r="AI261"/>
      <c r="AJ261"/>
      <c r="AK261"/>
      <c r="AL261"/>
      <c r="AM261"/>
      <c r="AN261"/>
      <c r="AO261"/>
      <c r="AP261"/>
      <c r="AQ261"/>
      <c r="AR261"/>
      <c r="AS261"/>
      <c r="AT261"/>
      <c r="AU261"/>
    </row>
    <row r="262" spans="17:47" ht="12.75" customHeight="1">
      <c r="Q262" s="668" t="s">
        <v>755</v>
      </c>
      <c r="R262" s="364" t="s">
        <v>239</v>
      </c>
      <c r="S262" s="364"/>
      <c r="T262" s="364"/>
      <c r="U262" s="364"/>
      <c r="V262" s="364"/>
      <c r="W262" s="364"/>
      <c r="X262" s="364"/>
      <c r="Y262" s="364"/>
      <c r="Z262" s="364"/>
      <c r="AA262" s="367"/>
      <c r="AB262"/>
      <c r="AC262"/>
      <c r="AD262"/>
      <c r="AE262"/>
      <c r="AF262"/>
      <c r="AG262"/>
      <c r="AH262"/>
      <c r="AI262"/>
      <c r="AJ262"/>
      <c r="AK262"/>
      <c r="AL262"/>
      <c r="AM262"/>
      <c r="AN262"/>
      <c r="AO262"/>
      <c r="AP262"/>
      <c r="AQ262"/>
      <c r="AR262"/>
      <c r="AS262"/>
      <c r="AT262"/>
      <c r="AU262"/>
    </row>
    <row r="263" spans="17:47" ht="12.75" customHeight="1">
      <c r="Q263" s="364"/>
      <c r="R263" s="364"/>
      <c r="S263" s="364"/>
      <c r="T263" s="364"/>
      <c r="U263" s="364"/>
      <c r="V263" s="364"/>
      <c r="W263" s="364"/>
      <c r="X263" s="364"/>
      <c r="Y263" s="364"/>
      <c r="Z263" s="364"/>
      <c r="AA263" s="367"/>
      <c r="AB263"/>
      <c r="AC263"/>
      <c r="AD263"/>
      <c r="AE263"/>
      <c r="AF263"/>
      <c r="AG263"/>
      <c r="AH263"/>
      <c r="AI263"/>
      <c r="AJ263"/>
      <c r="AK263"/>
      <c r="AL263"/>
      <c r="AM263"/>
      <c r="AN263"/>
      <c r="AO263"/>
      <c r="AP263"/>
      <c r="AQ263"/>
      <c r="AR263"/>
      <c r="AS263"/>
      <c r="AT263"/>
      <c r="AU263"/>
    </row>
    <row r="264" spans="17:47" ht="12.75" customHeight="1">
      <c r="Q264" s="364"/>
      <c r="R264" s="953" t="s">
        <v>676</v>
      </c>
      <c r="S264" s="954"/>
      <c r="T264" s="561" t="s">
        <v>320</v>
      </c>
      <c r="U264" s="935" t="s">
        <v>318</v>
      </c>
      <c r="V264" s="935"/>
      <c r="W264" s="681">
        <f>'Compressor Input Data'!G7</f>
        <v>0.19</v>
      </c>
      <c r="X264" s="594"/>
      <c r="Y264" s="595"/>
      <c r="Z264" s="363"/>
      <c r="AA264" s="367"/>
      <c r="AB264"/>
      <c r="AC264"/>
      <c r="AD264"/>
      <c r="AE264"/>
      <c r="AF264"/>
      <c r="AG264"/>
      <c r="AH264"/>
      <c r="AI264"/>
      <c r="AJ264"/>
      <c r="AK264"/>
      <c r="AL264"/>
      <c r="AM264"/>
      <c r="AN264"/>
      <c r="AO264"/>
      <c r="AP264"/>
      <c r="AQ264"/>
      <c r="AR264"/>
      <c r="AS264"/>
      <c r="AT264"/>
      <c r="AU264"/>
    </row>
    <row r="265" spans="17:47" ht="12.75" customHeight="1">
      <c r="Q265" s="364"/>
      <c r="R265" s="955"/>
      <c r="S265" s="956"/>
      <c r="T265" s="561" t="s">
        <v>321</v>
      </c>
      <c r="U265" s="935" t="s">
        <v>319</v>
      </c>
      <c r="V265" s="935"/>
      <c r="W265" s="681">
        <f>'Compressor Input Data'!G8</f>
        <v>0.33</v>
      </c>
      <c r="X265" s="594"/>
      <c r="Y265" s="595"/>
      <c r="Z265" s="595"/>
      <c r="AA265" s="367"/>
      <c r="AB265"/>
      <c r="AC265"/>
      <c r="AD265"/>
      <c r="AE265"/>
      <c r="AF265"/>
      <c r="AG265"/>
      <c r="AH265"/>
      <c r="AI265"/>
      <c r="AJ265"/>
      <c r="AK265"/>
      <c r="AL265"/>
      <c r="AM265"/>
      <c r="AN265"/>
      <c r="AO265"/>
      <c r="AP265"/>
      <c r="AQ265"/>
      <c r="AR265"/>
      <c r="AS265"/>
      <c r="AT265"/>
      <c r="AU265"/>
    </row>
    <row r="266" spans="17:47" ht="12.75" customHeight="1">
      <c r="Q266" s="364"/>
      <c r="R266" s="363"/>
      <c r="S266" s="363"/>
      <c r="T266" s="577"/>
      <c r="U266" s="577"/>
      <c r="V266" s="596"/>
      <c r="W266" s="363"/>
      <c r="X266" s="363"/>
      <c r="Y266" s="363"/>
      <c r="Z266" s="363"/>
      <c r="AA266" s="367"/>
      <c r="AB266"/>
      <c r="AC266"/>
      <c r="AD266"/>
      <c r="AE266"/>
      <c r="AF266"/>
      <c r="AG266"/>
      <c r="AH266"/>
      <c r="AI266"/>
      <c r="AJ266"/>
      <c r="AK266"/>
      <c r="AL266"/>
      <c r="AM266"/>
      <c r="AN266"/>
      <c r="AO266"/>
      <c r="AP266"/>
      <c r="AQ266"/>
      <c r="AR266"/>
      <c r="AS266"/>
      <c r="AT266"/>
      <c r="AU266"/>
    </row>
    <row r="267" spans="17:47" ht="12.75" customHeight="1">
      <c r="Q267" s="364"/>
      <c r="R267" s="935" t="s">
        <v>675</v>
      </c>
      <c r="S267" s="935"/>
      <c r="T267" s="935"/>
      <c r="U267" s="949" t="s">
        <v>500</v>
      </c>
      <c r="V267" s="938" t="s">
        <v>22</v>
      </c>
      <c r="W267" s="940" t="s">
        <v>579</v>
      </c>
      <c r="X267" s="942" t="s">
        <v>21</v>
      </c>
      <c r="Y267" s="361"/>
      <c r="Z267" s="364"/>
      <c r="AA267" s="367"/>
      <c r="AB267"/>
      <c r="AC267"/>
      <c r="AD267"/>
      <c r="AE267"/>
      <c r="AF267"/>
      <c r="AG267"/>
      <c r="AH267"/>
      <c r="AI267"/>
      <c r="AJ267"/>
      <c r="AK267"/>
      <c r="AL267"/>
      <c r="AM267"/>
      <c r="AN267"/>
      <c r="AO267"/>
      <c r="AP267"/>
      <c r="AQ267"/>
      <c r="AR267"/>
      <c r="AS267"/>
      <c r="AT267"/>
      <c r="AU267"/>
    </row>
    <row r="268" spans="17:47" ht="12.75" customHeight="1">
      <c r="Q268" s="364"/>
      <c r="R268" s="944" t="s">
        <v>320</v>
      </c>
      <c r="S268" s="947"/>
      <c r="T268" s="948"/>
      <c r="U268" s="950"/>
      <c r="V268" s="939"/>
      <c r="W268" s="941"/>
      <c r="X268" s="943"/>
      <c r="Y268" s="361"/>
      <c r="Z268" s="364"/>
      <c r="AA268" s="367"/>
      <c r="AB268"/>
      <c r="AC268"/>
      <c r="AD268"/>
      <c r="AE268"/>
      <c r="AF268"/>
      <c r="AG268"/>
      <c r="AH268"/>
      <c r="AI268"/>
      <c r="AJ268"/>
      <c r="AK268"/>
      <c r="AL268"/>
      <c r="AM268"/>
      <c r="AN268"/>
      <c r="AO268"/>
      <c r="AP268"/>
      <c r="AQ268"/>
      <c r="AR268"/>
      <c r="AS268"/>
      <c r="AT268"/>
      <c r="AU268"/>
    </row>
    <row r="269" spans="17:47" ht="12.75" customHeight="1">
      <c r="Q269" s="364"/>
      <c r="R269" s="945"/>
      <c r="S269" s="935" t="s">
        <v>306</v>
      </c>
      <c r="T269" s="935"/>
      <c r="U269" s="599">
        <f>U164*$W$264</f>
        <v>178.34666666666669</v>
      </c>
      <c r="V269" s="599">
        <f>V164*$W$264</f>
        <v>14439.999999999998</v>
      </c>
      <c r="W269" s="599">
        <f>W164*$W$264</f>
        <v>12556.521739130432</v>
      </c>
      <c r="X269" s="599">
        <f>X164*$W$264</f>
        <v>10314.285714285712</v>
      </c>
      <c r="Y269" s="361"/>
      <c r="Z269" s="364"/>
      <c r="AA269" s="367"/>
      <c r="AB269"/>
      <c r="AC269"/>
      <c r="AD269"/>
      <c r="AE269"/>
      <c r="AF269"/>
      <c r="AG269"/>
      <c r="AH269"/>
      <c r="AI269"/>
      <c r="AJ269"/>
      <c r="AK269"/>
      <c r="AL269"/>
      <c r="AM269"/>
      <c r="AN269"/>
      <c r="AO269"/>
      <c r="AP269"/>
      <c r="AQ269"/>
      <c r="AR269"/>
      <c r="AS269"/>
      <c r="AT269"/>
      <c r="AU269"/>
    </row>
    <row r="270" spans="17:47" ht="12.75" customHeight="1">
      <c r="Q270" s="364"/>
      <c r="R270" s="945"/>
      <c r="S270" s="935" t="s">
        <v>307</v>
      </c>
      <c r="T270" s="935"/>
      <c r="U270" s="599">
        <f>U269*$V$11</f>
        <v>4101.9733333333343</v>
      </c>
      <c r="V270" s="599">
        <f>V269*$V$11</f>
        <v>332119.99999999994</v>
      </c>
      <c r="W270" s="599">
        <f>W269*$V$11</f>
        <v>288799.99999999994</v>
      </c>
      <c r="X270" s="599">
        <f>X269*$V$11</f>
        <v>237228.57142857136</v>
      </c>
      <c r="Y270" s="361"/>
      <c r="Z270" s="364"/>
      <c r="AA270" s="367"/>
      <c r="AB270"/>
      <c r="AC270"/>
      <c r="AD270"/>
      <c r="AE270"/>
      <c r="AF270"/>
      <c r="AG270"/>
      <c r="AH270"/>
      <c r="AI270"/>
      <c r="AJ270"/>
      <c r="AK270"/>
      <c r="AL270"/>
      <c r="AM270"/>
      <c r="AN270"/>
      <c r="AO270"/>
      <c r="AP270"/>
      <c r="AQ270"/>
      <c r="AR270"/>
      <c r="AS270"/>
      <c r="AT270"/>
      <c r="AU270"/>
    </row>
    <row r="271" spans="17:47" ht="12.75" customHeight="1">
      <c r="Q271" s="364"/>
      <c r="R271" s="946"/>
      <c r="S271" s="935" t="s">
        <v>308</v>
      </c>
      <c r="T271" s="935"/>
      <c r="U271" s="599">
        <f>U270*9</f>
        <v>36917.760000000009</v>
      </c>
      <c r="V271" s="599">
        <f>V270*9</f>
        <v>2989079.9999999995</v>
      </c>
      <c r="W271" s="599">
        <f>W270*9</f>
        <v>2599199.9999999995</v>
      </c>
      <c r="X271" s="599">
        <f>X270*9</f>
        <v>2135057.1428571423</v>
      </c>
      <c r="Y271" s="361"/>
      <c r="Z271" s="364"/>
      <c r="AA271" s="367"/>
      <c r="AB271"/>
      <c r="AC271"/>
      <c r="AD271"/>
      <c r="AE271"/>
      <c r="AF271"/>
      <c r="AG271"/>
      <c r="AH271"/>
      <c r="AI271"/>
      <c r="AJ271"/>
      <c r="AK271"/>
      <c r="AL271"/>
      <c r="AM271"/>
      <c r="AN271"/>
      <c r="AO271"/>
      <c r="AP271"/>
      <c r="AQ271"/>
      <c r="AR271"/>
      <c r="AS271"/>
      <c r="AT271"/>
      <c r="AU271"/>
    </row>
    <row r="272" spans="17:47" ht="12.75" customHeight="1">
      <c r="Q272" s="597"/>
      <c r="R272" s="937"/>
      <c r="S272" s="937"/>
      <c r="T272" s="937"/>
      <c r="U272" s="937"/>
      <c r="V272" s="937"/>
      <c r="W272" s="937"/>
      <c r="X272" s="937"/>
      <c r="Y272" s="364"/>
      <c r="Z272" s="364"/>
      <c r="AA272" s="367"/>
      <c r="AB272"/>
      <c r="AC272"/>
      <c r="AD272"/>
      <c r="AE272"/>
      <c r="AF272"/>
      <c r="AG272"/>
      <c r="AH272"/>
      <c r="AI272"/>
      <c r="AJ272"/>
      <c r="AK272"/>
      <c r="AL272"/>
      <c r="AM272"/>
      <c r="AN272"/>
      <c r="AO272"/>
      <c r="AP272"/>
      <c r="AQ272"/>
      <c r="AR272"/>
      <c r="AS272"/>
      <c r="AT272"/>
      <c r="AU272"/>
    </row>
    <row r="273" spans="17:47" ht="12.75" customHeight="1">
      <c r="Q273" s="597"/>
      <c r="R273" s="935" t="s">
        <v>675</v>
      </c>
      <c r="S273" s="935"/>
      <c r="T273" s="935"/>
      <c r="U273" s="930" t="s">
        <v>500</v>
      </c>
      <c r="V273" s="928" t="s">
        <v>22</v>
      </c>
      <c r="W273" s="929" t="s">
        <v>579</v>
      </c>
      <c r="X273" s="927" t="s">
        <v>21</v>
      </c>
      <c r="Y273" s="361"/>
      <c r="Z273" s="364"/>
      <c r="AA273" s="367"/>
      <c r="AB273"/>
      <c r="AC273"/>
      <c r="AD273"/>
      <c r="AE273"/>
      <c r="AF273"/>
      <c r="AG273"/>
      <c r="AH273"/>
      <c r="AI273"/>
      <c r="AJ273"/>
      <c r="AK273"/>
      <c r="AL273"/>
      <c r="AM273"/>
      <c r="AN273"/>
      <c r="AO273"/>
      <c r="AP273"/>
      <c r="AQ273"/>
      <c r="AR273"/>
      <c r="AS273"/>
      <c r="AT273"/>
      <c r="AU273"/>
    </row>
    <row r="274" spans="17:47" ht="12.75" customHeight="1">
      <c r="Q274" s="597"/>
      <c r="R274" s="937" t="s">
        <v>321</v>
      </c>
      <c r="S274" s="937"/>
      <c r="T274" s="937"/>
      <c r="U274" s="930"/>
      <c r="V274" s="928"/>
      <c r="W274" s="929"/>
      <c r="X274" s="927"/>
      <c r="Y274" s="361"/>
      <c r="Z274" s="364"/>
      <c r="AA274" s="367"/>
      <c r="AB274"/>
      <c r="AC274"/>
      <c r="AD274"/>
      <c r="AE274"/>
      <c r="AF274"/>
      <c r="AG274"/>
      <c r="AH274"/>
      <c r="AI274"/>
      <c r="AJ274"/>
      <c r="AK274"/>
      <c r="AL274"/>
      <c r="AM274"/>
      <c r="AN274"/>
      <c r="AO274"/>
      <c r="AP274"/>
      <c r="AQ274"/>
      <c r="AR274"/>
      <c r="AS274"/>
      <c r="AT274"/>
      <c r="AU274"/>
    </row>
    <row r="275" spans="17:47" ht="12.75" customHeight="1">
      <c r="Q275" s="364"/>
      <c r="R275" s="937"/>
      <c r="S275" s="935" t="s">
        <v>306</v>
      </c>
      <c r="T275" s="935"/>
      <c r="U275" s="599">
        <f>U164*$W$265</f>
        <v>309.76000000000005</v>
      </c>
      <c r="V275" s="599">
        <f>V164*$W$265</f>
        <v>25079.999999999996</v>
      </c>
      <c r="W275" s="599">
        <f>W164*$W$265</f>
        <v>21808.695652173912</v>
      </c>
      <c r="X275" s="599">
        <f>X164*$W$265</f>
        <v>17914.28571428571</v>
      </c>
      <c r="Y275" s="361"/>
      <c r="Z275" s="364"/>
      <c r="AA275" s="367"/>
      <c r="AB275"/>
      <c r="AC275"/>
      <c r="AD275"/>
      <c r="AE275"/>
      <c r="AF275"/>
      <c r="AG275"/>
      <c r="AH275"/>
      <c r="AI275"/>
      <c r="AJ275"/>
      <c r="AK275"/>
      <c r="AL275"/>
      <c r="AM275"/>
      <c r="AN275"/>
      <c r="AO275"/>
      <c r="AP275"/>
      <c r="AQ275"/>
      <c r="AR275"/>
      <c r="AS275"/>
      <c r="AT275"/>
      <c r="AU275"/>
    </row>
    <row r="276" spans="17:47" ht="12.75" customHeight="1">
      <c r="Q276" s="597"/>
      <c r="R276" s="937"/>
      <c r="S276" s="935" t="s">
        <v>307</v>
      </c>
      <c r="T276" s="935"/>
      <c r="U276" s="599">
        <f>U275*$V$11</f>
        <v>7124.4800000000014</v>
      </c>
      <c r="V276" s="599">
        <f>V275*$V$11</f>
        <v>576839.99999999988</v>
      </c>
      <c r="W276" s="599">
        <f>W275*$V$11</f>
        <v>501600</v>
      </c>
      <c r="X276" s="599">
        <f>X275*$V$11</f>
        <v>412028.57142857136</v>
      </c>
      <c r="Y276" s="361"/>
      <c r="Z276" s="364"/>
      <c r="AA276" s="367"/>
      <c r="AB276"/>
      <c r="AC276"/>
      <c r="AD276"/>
      <c r="AE276"/>
      <c r="AF276"/>
      <c r="AG276"/>
      <c r="AH276"/>
      <c r="AI276"/>
      <c r="AJ276"/>
      <c r="AK276"/>
      <c r="AL276"/>
      <c r="AM276"/>
      <c r="AN276"/>
      <c r="AO276"/>
      <c r="AP276"/>
      <c r="AQ276"/>
      <c r="AR276"/>
      <c r="AS276"/>
      <c r="AT276"/>
      <c r="AU276"/>
    </row>
    <row r="277" spans="17:47" ht="12.75" customHeight="1">
      <c r="Q277" s="364"/>
      <c r="R277" s="937"/>
      <c r="S277" s="935" t="s">
        <v>308</v>
      </c>
      <c r="T277" s="935"/>
      <c r="U277" s="599">
        <f>U276*3</f>
        <v>21373.440000000002</v>
      </c>
      <c r="V277" s="599">
        <f>V276*3</f>
        <v>1730519.9999999995</v>
      </c>
      <c r="W277" s="599">
        <f>W276*3</f>
        <v>1504800</v>
      </c>
      <c r="X277" s="599">
        <f>X276*3</f>
        <v>1236085.7142857141</v>
      </c>
      <c r="Y277" s="361"/>
      <c r="Z277" s="364"/>
      <c r="AA277" s="367"/>
      <c r="AB277"/>
      <c r="AC277"/>
      <c r="AD277"/>
      <c r="AE277"/>
      <c r="AF277"/>
      <c r="AG277"/>
      <c r="AH277"/>
      <c r="AI277"/>
      <c r="AJ277"/>
      <c r="AK277"/>
      <c r="AL277"/>
      <c r="AM277"/>
      <c r="AN277"/>
      <c r="AO277"/>
      <c r="AP277"/>
      <c r="AQ277"/>
      <c r="AR277"/>
      <c r="AS277"/>
      <c r="AT277"/>
      <c r="AU277"/>
    </row>
    <row r="278" spans="17:47" ht="12.75" customHeight="1">
      <c r="Q278" s="364"/>
      <c r="R278" s="937"/>
      <c r="S278" s="937"/>
      <c r="T278" s="937"/>
      <c r="U278" s="937"/>
      <c r="V278" s="937"/>
      <c r="W278" s="937"/>
      <c r="X278" s="937"/>
      <c r="Y278" s="364"/>
      <c r="Z278" s="364"/>
      <c r="AA278" s="367"/>
      <c r="AB278"/>
      <c r="AC278"/>
      <c r="AD278"/>
      <c r="AE278"/>
      <c r="AF278"/>
      <c r="AG278"/>
      <c r="AH278"/>
      <c r="AI278"/>
      <c r="AJ278"/>
      <c r="AK278"/>
      <c r="AL278"/>
      <c r="AM278"/>
      <c r="AN278"/>
      <c r="AO278"/>
      <c r="AP278"/>
      <c r="AQ278"/>
      <c r="AR278"/>
      <c r="AS278"/>
      <c r="AT278"/>
      <c r="AU278"/>
    </row>
    <row r="279" spans="17:47" ht="12.75" customHeight="1">
      <c r="Q279" s="364"/>
      <c r="R279" s="935" t="s">
        <v>675</v>
      </c>
      <c r="S279" s="935"/>
      <c r="T279" s="935"/>
      <c r="U279" s="930" t="s">
        <v>500</v>
      </c>
      <c r="V279" s="928" t="s">
        <v>22</v>
      </c>
      <c r="W279" s="929" t="s">
        <v>579</v>
      </c>
      <c r="X279" s="927" t="s">
        <v>21</v>
      </c>
      <c r="Y279" s="361"/>
      <c r="Z279" s="364"/>
      <c r="AA279" s="367"/>
      <c r="AB279"/>
      <c r="AC279"/>
      <c r="AD279"/>
      <c r="AE279"/>
      <c r="AF279"/>
      <c r="AG279"/>
      <c r="AH279"/>
      <c r="AI279"/>
      <c r="AJ279"/>
      <c r="AK279"/>
      <c r="AL279"/>
      <c r="AM279"/>
      <c r="AN279"/>
      <c r="AO279"/>
      <c r="AP279"/>
      <c r="AQ279"/>
      <c r="AR279"/>
      <c r="AS279"/>
      <c r="AT279"/>
      <c r="AU279"/>
    </row>
    <row r="280" spans="17:47" ht="12.75" customHeight="1">
      <c r="Q280" s="364"/>
      <c r="R280" s="937" t="s">
        <v>322</v>
      </c>
      <c r="S280" s="937"/>
      <c r="T280" s="937"/>
      <c r="U280" s="930"/>
      <c r="V280" s="928"/>
      <c r="W280" s="929"/>
      <c r="X280" s="927"/>
      <c r="Y280" s="361"/>
      <c r="Z280" s="364"/>
      <c r="AA280" s="367"/>
      <c r="AB280"/>
      <c r="AC280"/>
      <c r="AD280"/>
      <c r="AE280"/>
      <c r="AF280"/>
      <c r="AG280"/>
      <c r="AH280"/>
      <c r="AI280"/>
      <c r="AJ280"/>
      <c r="AK280"/>
      <c r="AL280"/>
      <c r="AM280"/>
      <c r="AN280"/>
      <c r="AO280"/>
      <c r="AP280"/>
      <c r="AQ280"/>
      <c r="AR280"/>
      <c r="AS280"/>
      <c r="AT280"/>
      <c r="AU280"/>
    </row>
    <row r="281" spans="17:47" ht="12.75" customHeight="1">
      <c r="Q281" s="364"/>
      <c r="R281" s="937"/>
      <c r="S281" s="935" t="s">
        <v>306</v>
      </c>
      <c r="T281" s="935"/>
      <c r="U281" s="599">
        <f>U282/$V$11</f>
        <v>211.20000000000005</v>
      </c>
      <c r="V281" s="599">
        <f>V282/$V$11</f>
        <v>17099.999999999996</v>
      </c>
      <c r="W281" s="599">
        <f>W282/$V$11</f>
        <v>14869.565217391302</v>
      </c>
      <c r="X281" s="599">
        <f>X282/$V$11</f>
        <v>12214.285714285712</v>
      </c>
      <c r="Y281" s="361"/>
      <c r="Z281" s="364"/>
      <c r="AA281" s="367"/>
      <c r="AB281"/>
      <c r="AC281"/>
      <c r="AD281"/>
      <c r="AE281"/>
      <c r="AF281"/>
      <c r="AG281"/>
      <c r="AH281"/>
      <c r="AI281"/>
      <c r="AJ281"/>
      <c r="AK281"/>
      <c r="AL281"/>
      <c r="AM281"/>
      <c r="AN281"/>
      <c r="AO281"/>
      <c r="AP281"/>
      <c r="AQ281"/>
      <c r="AR281"/>
      <c r="AS281"/>
      <c r="AT281"/>
      <c r="AU281"/>
    </row>
    <row r="282" spans="17:47" ht="12.75" customHeight="1">
      <c r="Q282" s="364"/>
      <c r="R282" s="937"/>
      <c r="S282" s="935" t="s">
        <v>307</v>
      </c>
      <c r="T282" s="935"/>
      <c r="U282" s="599">
        <f>U283/12</f>
        <v>4857.6000000000013</v>
      </c>
      <c r="V282" s="599">
        <f>V283/12</f>
        <v>393299.99999999994</v>
      </c>
      <c r="W282" s="599">
        <f>W283/12</f>
        <v>341999.99999999994</v>
      </c>
      <c r="X282" s="599">
        <f>X283/12</f>
        <v>280928.57142857136</v>
      </c>
      <c r="Y282" s="361"/>
      <c r="Z282" s="364"/>
      <c r="AA282" s="367"/>
      <c r="AB282"/>
      <c r="AC282"/>
      <c r="AD282"/>
      <c r="AE282"/>
      <c r="AF282"/>
      <c r="AG282"/>
      <c r="AH282"/>
      <c r="AI282"/>
      <c r="AJ282"/>
      <c r="AK282"/>
      <c r="AL282"/>
      <c r="AM282"/>
      <c r="AN282"/>
      <c r="AO282"/>
      <c r="AP282"/>
      <c r="AQ282"/>
      <c r="AR282"/>
      <c r="AS282"/>
      <c r="AT282"/>
      <c r="AU282"/>
    </row>
    <row r="283" spans="17:47" ht="12.75" customHeight="1">
      <c r="Q283" s="364"/>
      <c r="R283" s="937"/>
      <c r="S283" s="935" t="s">
        <v>308</v>
      </c>
      <c r="T283" s="935"/>
      <c r="U283" s="599">
        <f>U271+U277</f>
        <v>58291.200000000012</v>
      </c>
      <c r="V283" s="599">
        <f>V271+V277</f>
        <v>4719599.9999999991</v>
      </c>
      <c r="W283" s="599">
        <f>W271+W277</f>
        <v>4103999.9999999995</v>
      </c>
      <c r="X283" s="599">
        <f>X271+X277</f>
        <v>3371142.8571428563</v>
      </c>
      <c r="Y283" s="361"/>
      <c r="Z283" s="364"/>
      <c r="AA283" s="367"/>
      <c r="AB283"/>
      <c r="AC283"/>
      <c r="AD283"/>
      <c r="AE283"/>
      <c r="AF283"/>
      <c r="AG283"/>
      <c r="AH283"/>
      <c r="AI283"/>
      <c r="AJ283"/>
      <c r="AK283"/>
      <c r="AL283"/>
      <c r="AM283"/>
      <c r="AN283"/>
      <c r="AO283"/>
      <c r="AP283"/>
      <c r="AQ283"/>
      <c r="AR283"/>
      <c r="AS283"/>
      <c r="AT283"/>
      <c r="AU283"/>
    </row>
    <row r="284" spans="17:47" ht="12.75" customHeight="1">
      <c r="Q284" s="364"/>
      <c r="R284" s="363"/>
      <c r="S284" s="363"/>
      <c r="T284" s="577"/>
      <c r="U284" s="577"/>
      <c r="V284" s="596"/>
      <c r="W284" s="363"/>
      <c r="X284" s="363"/>
      <c r="Y284" s="363"/>
      <c r="Z284" s="363"/>
      <c r="AA284" s="367"/>
      <c r="AB284"/>
      <c r="AC284"/>
      <c r="AD284"/>
      <c r="AE284"/>
      <c r="AF284"/>
      <c r="AG284"/>
      <c r="AH284"/>
      <c r="AI284"/>
      <c r="AJ284"/>
      <c r="AK284"/>
      <c r="AL284"/>
      <c r="AM284"/>
      <c r="AN284"/>
      <c r="AO284"/>
      <c r="AP284"/>
      <c r="AQ284"/>
      <c r="AR284"/>
      <c r="AS284"/>
      <c r="AT284"/>
      <c r="AU284"/>
    </row>
    <row r="285" spans="17:47" ht="12.75" customHeight="1">
      <c r="Q285" s="668" t="s">
        <v>756</v>
      </c>
      <c r="R285" s="363" t="s">
        <v>758</v>
      </c>
      <c r="S285" s="363"/>
      <c r="T285" s="577"/>
      <c r="U285" s="577"/>
      <c r="V285" s="596"/>
      <c r="W285" s="363"/>
      <c r="X285" s="363"/>
      <c r="Y285" s="363"/>
      <c r="Z285" s="363"/>
      <c r="AA285" s="367"/>
      <c r="AB285"/>
      <c r="AC285"/>
      <c r="AD285"/>
      <c r="AE285"/>
      <c r="AF285"/>
      <c r="AG285"/>
      <c r="AH285"/>
      <c r="AI285"/>
      <c r="AJ285"/>
      <c r="AK285"/>
      <c r="AL285"/>
      <c r="AM285"/>
      <c r="AN285"/>
      <c r="AO285"/>
      <c r="AP285"/>
      <c r="AQ285"/>
      <c r="AR285"/>
      <c r="AS285"/>
      <c r="AT285"/>
      <c r="AU285"/>
    </row>
    <row r="286" spans="17:47" ht="12.75" customHeight="1">
      <c r="Q286" s="364"/>
      <c r="R286" s="935" t="s">
        <v>678</v>
      </c>
      <c r="S286" s="935"/>
      <c r="T286" s="935"/>
      <c r="U286" s="935"/>
      <c r="V286" s="936" t="s">
        <v>500</v>
      </c>
      <c r="W286" s="936" t="s">
        <v>22</v>
      </c>
      <c r="X286" s="936" t="s">
        <v>579</v>
      </c>
      <c r="Y286" s="936" t="s">
        <v>21</v>
      </c>
      <c r="Z286" s="361"/>
      <c r="AA286" s="367"/>
      <c r="AB286"/>
      <c r="AC286"/>
      <c r="AD286"/>
      <c r="AE286"/>
      <c r="AF286"/>
      <c r="AG286"/>
      <c r="AH286"/>
      <c r="AI286"/>
      <c r="AJ286"/>
      <c r="AK286"/>
      <c r="AL286"/>
      <c r="AM286"/>
      <c r="AN286"/>
      <c r="AO286"/>
      <c r="AP286"/>
      <c r="AQ286"/>
      <c r="AR286"/>
      <c r="AS286"/>
      <c r="AT286"/>
      <c r="AU286"/>
    </row>
    <row r="287" spans="17:47" ht="12.75" customHeight="1">
      <c r="Q287" s="364"/>
      <c r="R287" s="935"/>
      <c r="S287" s="935"/>
      <c r="T287" s="935"/>
      <c r="U287" s="935"/>
      <c r="V287" s="936"/>
      <c r="W287" s="936"/>
      <c r="X287" s="936"/>
      <c r="Y287" s="936"/>
      <c r="Z287" s="361"/>
      <c r="AA287" s="367"/>
      <c r="AB287"/>
      <c r="AC287"/>
      <c r="AD287"/>
      <c r="AE287"/>
      <c r="AF287"/>
      <c r="AG287"/>
      <c r="AH287"/>
      <c r="AI287"/>
      <c r="AJ287"/>
      <c r="AK287"/>
      <c r="AL287"/>
      <c r="AM287"/>
      <c r="AN287"/>
      <c r="AO287"/>
      <c r="AP287"/>
      <c r="AQ287"/>
      <c r="AR287"/>
      <c r="AS287"/>
      <c r="AT287"/>
      <c r="AU287"/>
    </row>
    <row r="288" spans="17:47" ht="12.75" customHeight="1">
      <c r="Q288" s="364"/>
      <c r="R288" s="931" t="s">
        <v>35</v>
      </c>
      <c r="S288" s="931"/>
      <c r="T288" s="931"/>
      <c r="U288" s="931"/>
      <c r="V288" s="599">
        <f>AVERAGE(U196:W196)*5%</f>
        <v>1305585.0000000005</v>
      </c>
      <c r="W288" s="599">
        <f>V202*5%</f>
        <v>1533870.0000000005</v>
      </c>
      <c r="X288" s="599">
        <f>W202*5%</f>
        <v>1518480.0000000005</v>
      </c>
      <c r="Y288" s="599">
        <f>X202*5%</f>
        <v>1500158.5714285718</v>
      </c>
      <c r="Z288" s="361"/>
      <c r="AA288" s="367"/>
      <c r="AB288"/>
      <c r="AC288"/>
      <c r="AD288"/>
      <c r="AE288"/>
      <c r="AF288"/>
      <c r="AG288"/>
      <c r="AH288"/>
      <c r="AI288"/>
      <c r="AJ288"/>
      <c r="AK288"/>
      <c r="AL288"/>
      <c r="AM288"/>
      <c r="AN288"/>
      <c r="AO288"/>
      <c r="AP288"/>
      <c r="AQ288"/>
      <c r="AR288"/>
      <c r="AS288"/>
      <c r="AT288"/>
      <c r="AU288"/>
    </row>
    <row r="289" spans="17:47" ht="12.75" customHeight="1">
      <c r="Q289" s="364"/>
      <c r="R289" s="931" t="s">
        <v>481</v>
      </c>
      <c r="S289" s="931"/>
      <c r="T289" s="931"/>
      <c r="U289" s="931"/>
      <c r="V289" s="600" t="s">
        <v>479</v>
      </c>
      <c r="W289" s="599">
        <f>Y289</f>
        <v>1059840</v>
      </c>
      <c r="X289" s="600" t="s">
        <v>479</v>
      </c>
      <c r="Y289" s="599">
        <f>Consumables!E23*12</f>
        <v>1059840</v>
      </c>
      <c r="Z289" s="361"/>
      <c r="AA289" s="367"/>
      <c r="AB289"/>
      <c r="AC289"/>
      <c r="AD289"/>
      <c r="AE289"/>
      <c r="AF289"/>
      <c r="AG289"/>
      <c r="AH289"/>
      <c r="AI289"/>
      <c r="AJ289"/>
      <c r="AK289"/>
      <c r="AL289"/>
      <c r="AM289"/>
      <c r="AN289"/>
      <c r="AO289"/>
      <c r="AP289"/>
      <c r="AQ289"/>
      <c r="AR289"/>
      <c r="AS289"/>
      <c r="AT289"/>
      <c r="AU289"/>
    </row>
    <row r="290" spans="17:47" ht="12.75" customHeight="1">
      <c r="Q290" s="364"/>
      <c r="R290" s="931" t="s">
        <v>311</v>
      </c>
      <c r="S290" s="931"/>
      <c r="T290" s="931"/>
      <c r="U290" s="931"/>
      <c r="V290" s="600" t="s">
        <v>557</v>
      </c>
      <c r="W290" s="599">
        <f>Y290</f>
        <v>416000</v>
      </c>
      <c r="X290" s="599">
        <f>W290</f>
        <v>416000</v>
      </c>
      <c r="Y290" s="599">
        <f>Consumables!E21*12</f>
        <v>416000</v>
      </c>
      <c r="Z290" s="361"/>
      <c r="AA290" s="367"/>
      <c r="AB290"/>
      <c r="AC290"/>
      <c r="AD290"/>
      <c r="AE290"/>
      <c r="AF290"/>
      <c r="AG290"/>
      <c r="AH290"/>
      <c r="AI290"/>
      <c r="AJ290"/>
      <c r="AK290"/>
      <c r="AL290"/>
      <c r="AM290"/>
      <c r="AN290"/>
      <c r="AO290"/>
      <c r="AP290"/>
      <c r="AQ290"/>
      <c r="AR290"/>
      <c r="AS290"/>
      <c r="AT290"/>
      <c r="AU290"/>
    </row>
    <row r="291" spans="17:47" ht="12.75" customHeight="1">
      <c r="Q291" s="364"/>
      <c r="R291" s="931" t="s">
        <v>480</v>
      </c>
      <c r="S291" s="931"/>
      <c r="T291" s="931"/>
      <c r="U291" s="931"/>
      <c r="V291" s="599">
        <f>Consumables!H21*12</f>
        <v>3865001.2800000003</v>
      </c>
      <c r="W291" s="599">
        <v>0</v>
      </c>
      <c r="X291" s="599">
        <v>0</v>
      </c>
      <c r="Y291" s="599">
        <v>0</v>
      </c>
      <c r="Z291" s="361"/>
      <c r="AA291" s="367"/>
      <c r="AB291"/>
      <c r="AC291"/>
      <c r="AD291"/>
      <c r="AE291"/>
      <c r="AF291"/>
      <c r="AG291"/>
      <c r="AH291"/>
      <c r="AI291"/>
      <c r="AJ291"/>
      <c r="AK291"/>
      <c r="AL291"/>
      <c r="AM291"/>
      <c r="AN291"/>
      <c r="AO291"/>
      <c r="AP291"/>
      <c r="AQ291"/>
      <c r="AR291"/>
      <c r="AS291"/>
      <c r="AT291"/>
      <c r="AU291"/>
    </row>
    <row r="292" spans="17:47" ht="12.75" customHeight="1">
      <c r="Q292" s="364"/>
      <c r="R292" s="931" t="s">
        <v>312</v>
      </c>
      <c r="S292" s="931"/>
      <c r="T292" s="931"/>
      <c r="U292" s="931"/>
      <c r="V292" s="599">
        <f>Consumables!H20*12</f>
        <v>2691993.6000000001</v>
      </c>
      <c r="W292" s="599">
        <f>Y292</f>
        <v>2331648.0000000005</v>
      </c>
      <c r="X292" s="599">
        <f>W292</f>
        <v>2331648.0000000005</v>
      </c>
      <c r="Y292" s="599">
        <f>Consumables!E20*12</f>
        <v>2331648.0000000005</v>
      </c>
      <c r="Z292" s="361"/>
      <c r="AA292" s="367"/>
      <c r="AB292"/>
      <c r="AC292"/>
      <c r="AD292"/>
      <c r="AE292"/>
      <c r="AF292"/>
      <c r="AG292"/>
      <c r="AH292"/>
      <c r="AI292"/>
      <c r="AJ292"/>
      <c r="AK292"/>
      <c r="AL292"/>
      <c r="AM292"/>
      <c r="AN292"/>
      <c r="AO292"/>
      <c r="AP292"/>
      <c r="AQ292"/>
      <c r="AR292"/>
      <c r="AS292"/>
      <c r="AT292"/>
      <c r="AU292"/>
    </row>
    <row r="293" spans="17:47" ht="12.75" customHeight="1">
      <c r="Q293" s="364"/>
      <c r="R293" s="931" t="s">
        <v>313</v>
      </c>
      <c r="S293" s="931"/>
      <c r="T293" s="931"/>
      <c r="U293" s="931"/>
      <c r="V293" s="599">
        <f>Consumables!H19*12</f>
        <v>1674547.2000000002</v>
      </c>
      <c r="W293" s="599">
        <f>Y293</f>
        <v>1398988.8</v>
      </c>
      <c r="X293" s="599">
        <f>W293</f>
        <v>1398988.8</v>
      </c>
      <c r="Y293" s="599">
        <f>Consumables!E19*12</f>
        <v>1398988.8</v>
      </c>
      <c r="Z293" s="361"/>
      <c r="AA293" s="367"/>
      <c r="AB293"/>
      <c r="AC293"/>
      <c r="AD293"/>
      <c r="AE293"/>
      <c r="AF293"/>
      <c r="AG293"/>
      <c r="AH293"/>
      <c r="AI293"/>
      <c r="AJ293"/>
      <c r="AK293"/>
      <c r="AL293"/>
      <c r="AM293"/>
      <c r="AN293"/>
      <c r="AO293"/>
      <c r="AP293"/>
      <c r="AQ293"/>
      <c r="AR293"/>
      <c r="AS293"/>
      <c r="AT293"/>
      <c r="AU293"/>
    </row>
    <row r="294" spans="17:47" ht="12.75" customHeight="1">
      <c r="Q294" s="364"/>
      <c r="R294" s="931" t="s">
        <v>190</v>
      </c>
      <c r="S294" s="931"/>
      <c r="T294" s="931"/>
      <c r="U294" s="931"/>
      <c r="V294" s="599">
        <f>Consumables!H22*12</f>
        <v>8294400</v>
      </c>
      <c r="W294" s="599">
        <v>0</v>
      </c>
      <c r="X294" s="599">
        <v>0</v>
      </c>
      <c r="Y294" s="599">
        <v>0</v>
      </c>
      <c r="Z294" s="361"/>
      <c r="AA294" s="367"/>
      <c r="AB294"/>
      <c r="AC294"/>
      <c r="AD294"/>
      <c r="AE294"/>
      <c r="AF294"/>
      <c r="AG294"/>
      <c r="AH294"/>
      <c r="AI294"/>
      <c r="AJ294"/>
      <c r="AK294"/>
      <c r="AL294"/>
      <c r="AM294"/>
      <c r="AN294"/>
      <c r="AO294"/>
      <c r="AP294"/>
      <c r="AQ294"/>
      <c r="AR294"/>
      <c r="AS294"/>
      <c r="AT294"/>
      <c r="AU294"/>
    </row>
    <row r="295" spans="17:47" ht="12.75" customHeight="1">
      <c r="Q295" s="364"/>
      <c r="R295" s="931" t="s">
        <v>482</v>
      </c>
      <c r="S295" s="931"/>
      <c r="T295" s="931"/>
      <c r="U295" s="931"/>
      <c r="V295" s="599">
        <v>0</v>
      </c>
      <c r="W295" s="599">
        <f>Y295</f>
        <v>199600.00000000003</v>
      </c>
      <c r="X295" s="599">
        <f>W295</f>
        <v>199600.00000000003</v>
      </c>
      <c r="Y295" s="599">
        <f>Consumables!E25*12</f>
        <v>199600.00000000003</v>
      </c>
      <c r="Z295" s="361"/>
      <c r="AA295" s="367"/>
      <c r="AB295"/>
      <c r="AC295"/>
      <c r="AD295"/>
      <c r="AE295"/>
      <c r="AF295"/>
      <c r="AG295"/>
      <c r="AH295"/>
      <c r="AI295"/>
      <c r="AJ295"/>
      <c r="AK295"/>
      <c r="AL295"/>
      <c r="AM295"/>
      <c r="AN295"/>
      <c r="AO295"/>
      <c r="AP295"/>
      <c r="AQ295"/>
      <c r="AR295"/>
      <c r="AS295"/>
      <c r="AT295"/>
      <c r="AU295"/>
    </row>
    <row r="296" spans="17:47" ht="12.75" customHeight="1">
      <c r="Q296" s="364"/>
      <c r="R296" s="931" t="s">
        <v>483</v>
      </c>
      <c r="S296" s="931"/>
      <c r="T296" s="931"/>
      <c r="U296" s="931"/>
      <c r="V296" s="599">
        <v>0</v>
      </c>
      <c r="W296" s="599">
        <f>Y296</f>
        <v>40600</v>
      </c>
      <c r="X296" s="599">
        <f>W296</f>
        <v>40600</v>
      </c>
      <c r="Y296" s="599">
        <f>Consumables!E24*12</f>
        <v>40600</v>
      </c>
      <c r="Z296" s="361"/>
      <c r="AA296" s="367"/>
      <c r="AB296"/>
      <c r="AC296"/>
      <c r="AD296"/>
      <c r="AE296"/>
      <c r="AF296"/>
      <c r="AG296"/>
      <c r="AH296"/>
      <c r="AI296"/>
      <c r="AJ296"/>
      <c r="AK296"/>
      <c r="AL296"/>
      <c r="AM296"/>
      <c r="AN296"/>
      <c r="AO296"/>
      <c r="AP296"/>
      <c r="AQ296"/>
      <c r="AR296"/>
      <c r="AS296"/>
      <c r="AT296"/>
      <c r="AU296"/>
    </row>
    <row r="297" spans="17:47" ht="12.75" customHeight="1">
      <c r="Q297" s="364"/>
      <c r="R297" s="931" t="s">
        <v>478</v>
      </c>
      <c r="S297" s="931"/>
      <c r="T297" s="931"/>
      <c r="U297" s="931"/>
      <c r="V297" s="599">
        <f>U283</f>
        <v>58291.200000000012</v>
      </c>
      <c r="W297" s="599">
        <f>V283</f>
        <v>4719599.9999999991</v>
      </c>
      <c r="X297" s="599">
        <f>W283</f>
        <v>4103999.9999999995</v>
      </c>
      <c r="Y297" s="599">
        <f>X283</f>
        <v>3371142.8571428563</v>
      </c>
      <c r="Z297" s="361"/>
      <c r="AA297" s="367"/>
      <c r="AB297"/>
      <c r="AC297"/>
      <c r="AD297"/>
      <c r="AE297"/>
      <c r="AF297"/>
      <c r="AG297"/>
      <c r="AH297"/>
      <c r="AI297"/>
      <c r="AJ297"/>
      <c r="AK297"/>
      <c r="AL297"/>
      <c r="AM297"/>
      <c r="AN297"/>
      <c r="AO297"/>
      <c r="AP297"/>
      <c r="AQ297"/>
      <c r="AR297"/>
      <c r="AS297"/>
      <c r="AT297"/>
      <c r="AU297"/>
    </row>
    <row r="298" spans="17:47" ht="12.75" customHeight="1">
      <c r="Q298" s="364"/>
      <c r="R298" s="931" t="s">
        <v>484</v>
      </c>
      <c r="S298" s="931"/>
      <c r="T298" s="931"/>
      <c r="U298" s="931"/>
      <c r="V298" s="599">
        <f>'NIHL Compenation Cost'!X21</f>
        <v>596275</v>
      </c>
      <c r="W298" s="599">
        <f>'NIHL Compenation Cost'!Z21</f>
        <v>989115.00000000012</v>
      </c>
      <c r="X298" s="599">
        <f>'NIHL Compenation Cost'!AB21</f>
        <v>1087325</v>
      </c>
      <c r="Y298" s="599">
        <f>'NIHL Compenation Cost'!AD21</f>
        <v>1715167.5</v>
      </c>
      <c r="Z298" s="361"/>
      <c r="AA298" s="367"/>
      <c r="AB298"/>
      <c r="AC298"/>
      <c r="AD298"/>
      <c r="AE298"/>
      <c r="AF298"/>
      <c r="AG298"/>
      <c r="AH298"/>
      <c r="AI298"/>
      <c r="AJ298"/>
      <c r="AK298"/>
      <c r="AL298"/>
      <c r="AM298"/>
      <c r="AN298"/>
      <c r="AO298"/>
      <c r="AP298"/>
      <c r="AQ298"/>
      <c r="AR298"/>
      <c r="AS298"/>
      <c r="AT298"/>
      <c r="AU298"/>
    </row>
    <row r="299" spans="17:47" ht="12.75" customHeight="1">
      <c r="Q299" s="364"/>
      <c r="R299" s="932" t="s">
        <v>677</v>
      </c>
      <c r="S299" s="932"/>
      <c r="T299" s="932"/>
      <c r="U299" s="932"/>
      <c r="V299" s="599">
        <f>SUM(V288:V298)</f>
        <v>18486093.280000001</v>
      </c>
      <c r="W299" s="599">
        <f>SUM(W288:W298)</f>
        <v>12689261.800000001</v>
      </c>
      <c r="X299" s="599">
        <f>SUM(X288:X298)</f>
        <v>11096641.800000001</v>
      </c>
      <c r="Y299" s="599">
        <f>SUM(Y288:Y298)</f>
        <v>12033145.72857143</v>
      </c>
      <c r="Z299" s="361"/>
      <c r="AA299" s="367"/>
      <c r="AB299"/>
      <c r="AC299"/>
      <c r="AD299"/>
      <c r="AE299"/>
      <c r="AF299"/>
      <c r="AG299"/>
      <c r="AH299"/>
      <c r="AI299"/>
      <c r="AJ299"/>
      <c r="AK299"/>
      <c r="AL299"/>
      <c r="AM299"/>
      <c r="AN299"/>
      <c r="AO299"/>
      <c r="AP299"/>
      <c r="AQ299"/>
      <c r="AR299"/>
      <c r="AS299"/>
      <c r="AT299"/>
      <c r="AU299"/>
    </row>
    <row r="300" spans="17:47" ht="12.75" customHeight="1">
      <c r="Q300" s="364"/>
      <c r="R300" s="591"/>
      <c r="S300" s="591"/>
      <c r="T300" s="591"/>
      <c r="U300" s="591"/>
      <c r="V300" s="718"/>
      <c r="W300" s="718"/>
      <c r="X300" s="718"/>
      <c r="Y300" s="718"/>
      <c r="Z300" s="361"/>
      <c r="AA300" s="367"/>
      <c r="AB300"/>
      <c r="AC300"/>
      <c r="AD300"/>
      <c r="AE300"/>
      <c r="AF300"/>
      <c r="AG300"/>
      <c r="AH300"/>
      <c r="AI300"/>
      <c r="AJ300"/>
      <c r="AK300"/>
      <c r="AL300"/>
      <c r="AM300"/>
      <c r="AN300"/>
      <c r="AO300"/>
      <c r="AP300"/>
      <c r="AQ300"/>
      <c r="AR300"/>
      <c r="AS300"/>
      <c r="AT300"/>
      <c r="AU300"/>
    </row>
    <row r="301" spans="17:47" ht="12.75" customHeight="1">
      <c r="Q301" s="364"/>
      <c r="R301" s="591"/>
      <c r="S301" s="591"/>
      <c r="T301" s="933" t="s">
        <v>812</v>
      </c>
      <c r="U301" s="933"/>
      <c r="V301" s="718">
        <f>V299-V294</f>
        <v>10191693.280000001</v>
      </c>
      <c r="W301" s="718">
        <f>W299-W294</f>
        <v>12689261.800000001</v>
      </c>
      <c r="X301" s="718">
        <f>X299-X294</f>
        <v>11096641.800000001</v>
      </c>
      <c r="Y301" s="718">
        <f>Y299-Y294</f>
        <v>12033145.72857143</v>
      </c>
      <c r="Z301" s="361"/>
      <c r="AA301" s="367"/>
      <c r="AB301"/>
      <c r="AC301"/>
      <c r="AD301"/>
      <c r="AE301"/>
      <c r="AF301"/>
      <c r="AG301"/>
      <c r="AH301"/>
      <c r="AI301"/>
      <c r="AJ301"/>
      <c r="AK301"/>
      <c r="AL301"/>
      <c r="AM301"/>
      <c r="AN301"/>
      <c r="AO301"/>
      <c r="AP301"/>
      <c r="AQ301"/>
      <c r="AR301"/>
      <c r="AS301"/>
      <c r="AT301"/>
      <c r="AU301"/>
    </row>
    <row r="302" spans="17:47" ht="12.75" customHeight="1">
      <c r="Q302" s="364"/>
      <c r="R302" s="364"/>
      <c r="S302" s="364"/>
      <c r="T302" s="934" t="s">
        <v>350</v>
      </c>
      <c r="U302" s="934"/>
      <c r="V302" s="682">
        <f>V294</f>
        <v>8294400</v>
      </c>
      <c r="W302" s="682"/>
      <c r="X302" s="682"/>
      <c r="Y302" s="682"/>
      <c r="Z302" s="364"/>
      <c r="AA302" s="367"/>
      <c r="AB302"/>
      <c r="AC302"/>
      <c r="AD302"/>
      <c r="AE302"/>
      <c r="AF302"/>
      <c r="AG302"/>
      <c r="AH302"/>
      <c r="AI302"/>
      <c r="AJ302"/>
      <c r="AK302"/>
      <c r="AL302"/>
      <c r="AM302"/>
      <c r="AN302"/>
      <c r="AO302"/>
      <c r="AP302"/>
      <c r="AQ302"/>
      <c r="AR302"/>
      <c r="AS302"/>
      <c r="AT302"/>
      <c r="AU302"/>
    </row>
    <row r="303" spans="17:47" ht="12.75" customHeight="1">
      <c r="Q303" s="364">
        <v>10.3</v>
      </c>
      <c r="R303" s="363"/>
      <c r="S303" s="364"/>
      <c r="T303" s="364"/>
      <c r="U303" s="364"/>
      <c r="V303" s="682"/>
      <c r="W303" s="364"/>
      <c r="X303" s="362"/>
      <c r="Y303" s="682"/>
      <c r="Z303" s="364"/>
      <c r="AA303" s="367"/>
      <c r="AB303"/>
      <c r="AC303"/>
      <c r="AD303"/>
      <c r="AE303"/>
      <c r="AF303"/>
      <c r="AG303"/>
      <c r="AH303"/>
      <c r="AI303"/>
      <c r="AJ303"/>
      <c r="AK303"/>
      <c r="AL303"/>
      <c r="AM303"/>
      <c r="AN303"/>
      <c r="AO303"/>
      <c r="AP303"/>
      <c r="AQ303"/>
      <c r="AR303"/>
      <c r="AS303"/>
      <c r="AT303"/>
      <c r="AU303"/>
    </row>
    <row r="304" spans="17:47" ht="12.75" customHeight="1">
      <c r="Q304" s="364"/>
      <c r="R304" s="364"/>
      <c r="S304" s="364"/>
      <c r="T304" s="364"/>
      <c r="U304" s="364"/>
      <c r="V304" s="364"/>
      <c r="W304" s="364"/>
      <c r="X304" s="364"/>
      <c r="Y304" s="364"/>
      <c r="Z304" s="364"/>
      <c r="AA304" s="367"/>
      <c r="AB304"/>
      <c r="AC304"/>
      <c r="AD304"/>
      <c r="AE304"/>
      <c r="AF304"/>
      <c r="AG304"/>
      <c r="AH304"/>
      <c r="AI304"/>
      <c r="AJ304"/>
      <c r="AK304"/>
      <c r="AL304"/>
      <c r="AM304"/>
      <c r="AN304"/>
      <c r="AO304"/>
      <c r="AP304"/>
      <c r="AQ304"/>
      <c r="AR304"/>
      <c r="AS304"/>
      <c r="AT304"/>
      <c r="AU304"/>
    </row>
    <row r="305" spans="17:47" ht="12.75" customHeight="1">
      <c r="Q305" s="364"/>
      <c r="R305" s="935" t="s">
        <v>195</v>
      </c>
      <c r="S305" s="935"/>
      <c r="T305" s="935"/>
      <c r="U305" s="935"/>
      <c r="V305" s="935"/>
      <c r="W305" s="375"/>
      <c r="X305" s="683"/>
      <c r="Y305" s="375"/>
      <c r="Z305" s="375"/>
      <c r="AA305" s="367"/>
      <c r="AB305"/>
      <c r="AC305"/>
      <c r="AD305"/>
      <c r="AE305"/>
      <c r="AF305"/>
      <c r="AG305"/>
      <c r="AH305"/>
      <c r="AI305"/>
      <c r="AJ305"/>
      <c r="AK305"/>
      <c r="AL305"/>
      <c r="AM305"/>
      <c r="AN305"/>
      <c r="AO305"/>
      <c r="AP305"/>
      <c r="AQ305"/>
      <c r="AR305"/>
      <c r="AS305"/>
      <c r="AT305"/>
      <c r="AU305"/>
    </row>
    <row r="306" spans="17:47" ht="12.75" customHeight="1">
      <c r="Q306" s="364"/>
      <c r="R306" s="926" t="s">
        <v>509</v>
      </c>
      <c r="S306" s="927" t="s">
        <v>21</v>
      </c>
      <c r="T306" s="928" t="s">
        <v>22</v>
      </c>
      <c r="U306" s="929" t="s">
        <v>579</v>
      </c>
      <c r="V306" s="930" t="s">
        <v>500</v>
      </c>
      <c r="W306" s="363"/>
      <c r="X306" s="684"/>
      <c r="Y306" s="363"/>
      <c r="Z306" s="364"/>
      <c r="AA306" s="367"/>
      <c r="AB306"/>
      <c r="AC306"/>
      <c r="AD306"/>
      <c r="AE306"/>
      <c r="AF306"/>
      <c r="AG306"/>
      <c r="AH306"/>
      <c r="AI306"/>
      <c r="AJ306"/>
      <c r="AK306"/>
      <c r="AL306"/>
      <c r="AM306"/>
      <c r="AN306"/>
      <c r="AO306"/>
      <c r="AP306"/>
      <c r="AQ306"/>
      <c r="AR306"/>
      <c r="AS306"/>
      <c r="AT306"/>
      <c r="AU306"/>
    </row>
    <row r="307" spans="17:47" ht="12.75" customHeight="1">
      <c r="Q307" s="364"/>
      <c r="R307" s="926"/>
      <c r="S307" s="927"/>
      <c r="T307" s="928"/>
      <c r="U307" s="929"/>
      <c r="V307" s="930"/>
      <c r="W307" s="363"/>
      <c r="X307" s="684"/>
      <c r="Y307" s="363"/>
      <c r="Z307" s="364"/>
      <c r="AA307" s="367"/>
      <c r="AB307"/>
      <c r="AC307"/>
      <c r="AD307"/>
      <c r="AE307"/>
      <c r="AF307"/>
      <c r="AG307"/>
      <c r="AH307"/>
      <c r="AI307"/>
      <c r="AJ307"/>
      <c r="AK307"/>
      <c r="AL307"/>
      <c r="AM307"/>
      <c r="AN307"/>
      <c r="AO307"/>
      <c r="AP307"/>
      <c r="AQ307"/>
      <c r="AR307"/>
      <c r="AS307"/>
      <c r="AT307"/>
      <c r="AU307"/>
    </row>
    <row r="308" spans="17:47" ht="12.75" customHeight="1">
      <c r="Q308" s="364"/>
      <c r="R308" s="667" t="s">
        <v>204</v>
      </c>
      <c r="S308" s="667" t="s">
        <v>846</v>
      </c>
      <c r="T308" s="667" t="s">
        <v>846</v>
      </c>
      <c r="U308" s="667" t="s">
        <v>846</v>
      </c>
      <c r="V308" s="667" t="s">
        <v>846</v>
      </c>
      <c r="W308" s="363"/>
      <c r="X308" s="363"/>
      <c r="Y308" s="363"/>
      <c r="Z308" s="364"/>
      <c r="AA308" s="367"/>
      <c r="AB308"/>
      <c r="AC308"/>
      <c r="AD308"/>
      <c r="AE308"/>
      <c r="AF308"/>
      <c r="AG308"/>
      <c r="AH308"/>
      <c r="AI308"/>
      <c r="AJ308"/>
      <c r="AK308"/>
      <c r="AL308"/>
      <c r="AM308"/>
      <c r="AN308"/>
      <c r="AO308"/>
      <c r="AP308"/>
      <c r="AQ308"/>
      <c r="AR308"/>
      <c r="AS308"/>
      <c r="AT308"/>
      <c r="AU308"/>
    </row>
    <row r="309" spans="17:47" ht="12.75" customHeight="1">
      <c r="Q309" s="364"/>
      <c r="R309" s="600">
        <v>1</v>
      </c>
      <c r="S309" s="369">
        <f>$X$69</f>
        <v>116</v>
      </c>
      <c r="T309" s="584">
        <f>$V$69</f>
        <v>108</v>
      </c>
      <c r="U309" s="685">
        <f>$W$69</f>
        <v>109</v>
      </c>
      <c r="V309" s="369">
        <f>$U$69</f>
        <v>102</v>
      </c>
      <c r="W309" s="363"/>
      <c r="X309" s="363"/>
      <c r="Y309" s="363"/>
      <c r="Z309" s="364"/>
      <c r="AA309" s="367"/>
      <c r="AB309"/>
      <c r="AC309"/>
      <c r="AD309"/>
      <c r="AE309"/>
      <c r="AF309"/>
      <c r="AG309"/>
      <c r="AH309"/>
      <c r="AI309"/>
      <c r="AJ309"/>
      <c r="AK309"/>
      <c r="AL309"/>
      <c r="AM309"/>
      <c r="AN309"/>
      <c r="AO309"/>
      <c r="AP309"/>
      <c r="AQ309"/>
      <c r="AR309"/>
      <c r="AS309"/>
      <c r="AT309"/>
      <c r="AU309"/>
    </row>
    <row r="310" spans="17:47" ht="12.75" customHeight="1">
      <c r="Q310" s="364"/>
      <c r="R310" s="600">
        <v>2</v>
      </c>
      <c r="S310" s="584">
        <f>(LOG((10^(S309/10))+(10^(S309/10))))*10</f>
        <v>119.01029995663983</v>
      </c>
      <c r="T310" s="584">
        <f>(LOG((10^(T309/10))+(10^(T309/10))))*10</f>
        <v>111.01029995663981</v>
      </c>
      <c r="U310" s="584">
        <f>(LOG((10^(U309/10))+(10^(U309/10))))*10</f>
        <v>112.01029995663981</v>
      </c>
      <c r="V310" s="584">
        <f>(LOG((10^(V309/10))+(10^(V309/10))))*10</f>
        <v>105.01029995663983</v>
      </c>
      <c r="W310" s="363"/>
      <c r="X310" s="363"/>
      <c r="Y310" s="363"/>
      <c r="Z310" s="364"/>
      <c r="AA310" s="367"/>
      <c r="AB310"/>
      <c r="AC310"/>
      <c r="AD310"/>
      <c r="AE310"/>
      <c r="AF310"/>
      <c r="AG310"/>
      <c r="AH310"/>
      <c r="AI310"/>
      <c r="AJ310"/>
      <c r="AK310"/>
      <c r="AL310"/>
      <c r="AM310"/>
      <c r="AN310"/>
      <c r="AO310"/>
      <c r="AP310"/>
      <c r="AQ310"/>
      <c r="AR310"/>
      <c r="AS310"/>
      <c r="AT310"/>
      <c r="AU310"/>
    </row>
    <row r="311" spans="17:47" ht="12.75" customHeight="1">
      <c r="Q311" s="597"/>
      <c r="R311" s="600">
        <v>3</v>
      </c>
      <c r="S311" s="584">
        <f>(LOG((10^(S309/10))+(10^(S309/10))+(10^(S309/10)))*10)</f>
        <v>120.77121254719664</v>
      </c>
      <c r="T311" s="584">
        <f>(LOG((10^(T309/10))+(10^(T309/10))+(10^(T309/10)))*10)</f>
        <v>112.77121254719663</v>
      </c>
      <c r="U311" s="584">
        <f>(LOG((10^(U309/10))+(10^(U309/10))+(10^(U309/10)))*10)</f>
        <v>113.77121254719663</v>
      </c>
      <c r="V311" s="584">
        <f>(LOG((10^(V309/10))+(10^(V309/10))+(10^(V309/10)))*10)</f>
        <v>106.77121254719664</v>
      </c>
      <c r="W311" s="363"/>
      <c r="X311" s="363"/>
      <c r="Y311" s="363"/>
      <c r="Z311" s="364"/>
      <c r="AA311" s="367"/>
      <c r="AB311"/>
      <c r="AC311"/>
      <c r="AD311"/>
      <c r="AE311"/>
      <c r="AF311"/>
      <c r="AG311"/>
      <c r="AH311"/>
      <c r="AI311"/>
      <c r="AJ311"/>
      <c r="AK311"/>
      <c r="AL311"/>
      <c r="AM311"/>
      <c r="AN311"/>
      <c r="AO311"/>
      <c r="AP311"/>
      <c r="AQ311"/>
      <c r="AR311"/>
      <c r="AS311"/>
      <c r="AT311"/>
      <c r="AU311"/>
    </row>
    <row r="312" spans="17:47" ht="12.75" customHeight="1">
      <c r="Q312" s="364"/>
      <c r="R312" s="600">
        <v>4</v>
      </c>
      <c r="S312" s="584">
        <f>(LOG((10^(S309/10))+(10^(S309/10))+(10^(S309/10))+(10^(S309/10))))*10</f>
        <v>122.02059991327964</v>
      </c>
      <c r="T312" s="584">
        <f>(LOG((10^(T309/10))+(10^(T309/10))+(10^(T309/10))+(10^(T309/10))))*10</f>
        <v>114.02059991327963</v>
      </c>
      <c r="U312" s="584">
        <f>(LOG((10^(U309/10))+(10^(U309/10))+(10^(U309/10))+(10^(U309/10))))*10</f>
        <v>115.02059991327963</v>
      </c>
      <c r="V312" s="584">
        <f>(LOG((10^(V309/10))+(10^(V309/10))+(10^(V309/10))+(10^(V309/10))))*10</f>
        <v>108.02059991327964</v>
      </c>
      <c r="W312" s="363"/>
      <c r="X312" s="363"/>
      <c r="Y312" s="363"/>
      <c r="Z312" s="364"/>
      <c r="AA312" s="367"/>
      <c r="AB312"/>
      <c r="AC312"/>
      <c r="AD312"/>
      <c r="AE312"/>
      <c r="AF312"/>
      <c r="AG312"/>
      <c r="AH312"/>
      <c r="AI312"/>
      <c r="AJ312"/>
      <c r="AK312"/>
      <c r="AL312"/>
      <c r="AM312"/>
      <c r="AN312"/>
      <c r="AO312"/>
      <c r="AP312"/>
      <c r="AQ312"/>
      <c r="AR312"/>
      <c r="AS312"/>
      <c r="AT312"/>
      <c r="AU312"/>
    </row>
    <row r="313" spans="17:47" ht="12.75" customHeight="1">
      <c r="Q313" s="364"/>
      <c r="R313" s="600">
        <v>5</v>
      </c>
      <c r="S313" s="584">
        <f>(LOG((10^(S309/10))+(10^(S309/10))+(10^(S309/10))+(10^(S309/10))+(10^(S309/10))))*10</f>
        <v>122.9897000433602</v>
      </c>
      <c r="T313" s="584">
        <f>(LOG((10^(T309/10))+(10^(T309/10))+(10^(T309/10))+(10^(T309/10))+(10^(T309/10))))*10</f>
        <v>114.98970004336019</v>
      </c>
      <c r="U313" s="584">
        <f>(LOG((10^(U309/10))+(10^(U309/10))+(10^(U309/10))+(10^(U309/10))+(10^(U309/10))))*10</f>
        <v>115.98970004336019</v>
      </c>
      <c r="V313" s="584">
        <f>(LOG((10^(V309/10))+(10^(V309/10))+(10^(V309/10))+(10^(V309/10))+(10^(V309/10))))*10</f>
        <v>108.9897000433602</v>
      </c>
      <c r="W313" s="363"/>
      <c r="X313" s="363"/>
      <c r="Y313" s="363"/>
      <c r="Z313" s="364"/>
      <c r="AA313" s="367"/>
      <c r="AB313"/>
      <c r="AC313"/>
      <c r="AD313"/>
      <c r="AE313"/>
      <c r="AF313"/>
      <c r="AG313"/>
      <c r="AH313"/>
      <c r="AI313"/>
      <c r="AJ313"/>
      <c r="AK313"/>
      <c r="AL313"/>
      <c r="AM313"/>
      <c r="AN313"/>
      <c r="AO313"/>
      <c r="AP313"/>
      <c r="AQ313"/>
      <c r="AR313"/>
      <c r="AS313"/>
      <c r="AT313"/>
      <c r="AU313"/>
    </row>
    <row r="314" spans="17:47" ht="12.75" customHeight="1">
      <c r="Q314" s="364"/>
      <c r="R314" s="600">
        <v>6</v>
      </c>
      <c r="S314" s="584">
        <f>(LOG((10^(S309/10))+(10^(S309/10))+(10^(S309/10))+(10^(S309/10))+(10^(S309/10))+(10^(S309/10)))*10)</f>
        <v>123.78151250383645</v>
      </c>
      <c r="T314" s="584">
        <f>(LOG((10^(T309/10))+(10^(T309/10))+(10^(T309/10))+(10^(T309/10))+(10^(T309/10))+(10^(T309/10)))*10)</f>
        <v>115.78151250383644</v>
      </c>
      <c r="U314" s="584">
        <f>(LOG((10^(U309/10))+(10^(U309/10))+(10^(U309/10))+(10^(U309/10))+(10^(U309/10))+(10^(U309/10)))*10)</f>
        <v>116.78151250383644</v>
      </c>
      <c r="V314" s="584">
        <f>(LOG((10^(V309/10))+(10^(V309/10))+(10^(V309/10))+(10^(V309/10))+(10^(V309/10))+(10^(V309/10)))*10)</f>
        <v>109.78151250383645</v>
      </c>
      <c r="W314" s="363"/>
      <c r="X314" s="363"/>
      <c r="Y314" s="363"/>
      <c r="Z314" s="364"/>
      <c r="AA314" s="367"/>
      <c r="AB314"/>
      <c r="AC314"/>
      <c r="AD314"/>
      <c r="AE314"/>
      <c r="AF314"/>
      <c r="AG314"/>
      <c r="AH314"/>
      <c r="AI314"/>
      <c r="AJ314"/>
      <c r="AK314"/>
      <c r="AL314"/>
      <c r="AM314"/>
      <c r="AN314"/>
      <c r="AO314"/>
      <c r="AP314"/>
      <c r="AQ314"/>
      <c r="AR314"/>
      <c r="AS314"/>
      <c r="AT314"/>
      <c r="AU314"/>
    </row>
    <row r="315" spans="17:47" ht="12.75" customHeight="1" thickBot="1">
      <c r="Q315" s="364"/>
      <c r="R315" s="364"/>
      <c r="S315" s="364"/>
      <c r="T315" s="364"/>
      <c r="U315" s="364"/>
      <c r="V315" s="364"/>
      <c r="W315" s="364"/>
      <c r="X315" s="364"/>
      <c r="Y315" s="364"/>
      <c r="Z315" s="364"/>
      <c r="AA315" s="367"/>
      <c r="AB315"/>
      <c r="AC315"/>
      <c r="AD315"/>
      <c r="AE315"/>
      <c r="AF315"/>
      <c r="AG315"/>
      <c r="AH315"/>
      <c r="AI315"/>
      <c r="AJ315"/>
      <c r="AK315"/>
      <c r="AL315"/>
      <c r="AM315"/>
      <c r="AN315"/>
      <c r="AO315"/>
      <c r="AP315"/>
      <c r="AQ315"/>
      <c r="AR315"/>
      <c r="AS315"/>
      <c r="AT315"/>
      <c r="AU315"/>
    </row>
    <row r="316" spans="17:47" ht="12.75" customHeight="1" thickTop="1">
      <c r="Q316" s="364"/>
      <c r="R316" s="916" t="s">
        <v>428</v>
      </c>
      <c r="S316" s="917"/>
      <c r="T316" s="917"/>
      <c r="U316" s="917"/>
      <c r="V316" s="917"/>
      <c r="W316" s="918"/>
      <c r="X316" s="364"/>
      <c r="Y316" s="364"/>
      <c r="Z316" s="364"/>
      <c r="AA316" s="367"/>
      <c r="AB316"/>
      <c r="AC316"/>
      <c r="AD316"/>
      <c r="AE316"/>
      <c r="AF316"/>
      <c r="AG316"/>
      <c r="AH316"/>
      <c r="AI316"/>
      <c r="AJ316"/>
      <c r="AK316"/>
      <c r="AL316"/>
      <c r="AM316"/>
      <c r="AN316"/>
      <c r="AO316"/>
      <c r="AP316"/>
      <c r="AQ316"/>
      <c r="AR316"/>
      <c r="AS316"/>
      <c r="AT316"/>
      <c r="AU316"/>
    </row>
    <row r="317" spans="17:47" ht="12.75" customHeight="1">
      <c r="Q317" s="364"/>
      <c r="R317" s="919"/>
      <c r="S317" s="920"/>
      <c r="T317" s="920"/>
      <c r="U317" s="920"/>
      <c r="V317" s="920"/>
      <c r="W317" s="921"/>
      <c r="X317" s="364"/>
      <c r="Y317" s="364"/>
      <c r="Z317" s="364"/>
      <c r="AA317" s="367"/>
      <c r="AB317"/>
      <c r="AC317"/>
      <c r="AD317"/>
      <c r="AE317"/>
      <c r="AF317"/>
      <c r="AG317"/>
      <c r="AH317"/>
      <c r="AI317"/>
      <c r="AJ317"/>
      <c r="AK317"/>
      <c r="AL317"/>
      <c r="AM317"/>
      <c r="AN317"/>
      <c r="AO317"/>
      <c r="AP317"/>
      <c r="AQ317"/>
      <c r="AR317"/>
      <c r="AS317"/>
      <c r="AT317"/>
      <c r="AU317"/>
    </row>
    <row r="318" spans="17:47" ht="12.75" customHeight="1" thickBot="1">
      <c r="Q318" s="364"/>
      <c r="R318" s="922"/>
      <c r="S318" s="923"/>
      <c r="T318" s="923"/>
      <c r="U318" s="923"/>
      <c r="V318" s="923"/>
      <c r="W318" s="924"/>
      <c r="X318" s="364"/>
      <c r="Y318" s="364"/>
      <c r="Z318" s="364"/>
      <c r="AA318" s="367"/>
      <c r="AB318"/>
      <c r="AC318"/>
      <c r="AD318"/>
      <c r="AE318"/>
      <c r="AF318"/>
      <c r="AG318"/>
      <c r="AH318"/>
      <c r="AI318"/>
      <c r="AJ318"/>
      <c r="AK318"/>
      <c r="AL318"/>
      <c r="AM318"/>
      <c r="AN318"/>
      <c r="AO318"/>
      <c r="AP318"/>
      <c r="AQ318"/>
      <c r="AR318"/>
      <c r="AS318"/>
      <c r="AT318"/>
      <c r="AU318"/>
    </row>
    <row r="319" spans="17:47" ht="12.75" customHeight="1" thickTop="1">
      <c r="Q319" s="364"/>
      <c r="R319" s="925" t="str">
        <f>S306</f>
        <v>Seco S215</v>
      </c>
      <c r="S319" s="925"/>
      <c r="T319" s="925"/>
      <c r="U319" s="925"/>
      <c r="V319" s="925"/>
      <c r="W319" s="925"/>
      <c r="X319" s="364"/>
      <c r="Y319" s="364"/>
      <c r="Z319" s="364"/>
      <c r="AA319" s="367"/>
      <c r="AB319"/>
      <c r="AC319"/>
      <c r="AD319"/>
      <c r="AE319"/>
      <c r="AF319"/>
      <c r="AG319"/>
      <c r="AH319"/>
      <c r="AI319"/>
      <c r="AJ319"/>
      <c r="AK319"/>
      <c r="AL319"/>
      <c r="AM319"/>
      <c r="AN319"/>
      <c r="AO319"/>
      <c r="AP319"/>
      <c r="AQ319"/>
      <c r="AR319"/>
      <c r="AS319"/>
      <c r="AT319"/>
      <c r="AU319"/>
    </row>
    <row r="320" spans="17:47" ht="12.75" customHeight="1" thickBot="1">
      <c r="Q320" s="364"/>
      <c r="R320" s="910" t="s">
        <v>205</v>
      </c>
      <c r="S320" s="911"/>
      <c r="T320" s="911"/>
      <c r="U320" s="911"/>
      <c r="V320" s="911"/>
      <c r="W320" s="912"/>
      <c r="X320" s="364"/>
      <c r="Y320" s="364"/>
      <c r="Z320" s="364"/>
      <c r="AA320" s="367"/>
      <c r="AB320"/>
      <c r="AC320"/>
      <c r="AD320"/>
      <c r="AE320"/>
      <c r="AF320"/>
      <c r="AG320"/>
      <c r="AH320"/>
      <c r="AI320"/>
      <c r="AJ320"/>
      <c r="AK320"/>
      <c r="AL320"/>
      <c r="AM320"/>
      <c r="AN320"/>
      <c r="AO320"/>
      <c r="AP320"/>
      <c r="AQ320"/>
      <c r="AR320"/>
      <c r="AS320"/>
      <c r="AT320"/>
      <c r="AU320"/>
    </row>
    <row r="321" spans="17:47" ht="12.75" customHeight="1" thickBot="1">
      <c r="Q321" s="364"/>
      <c r="R321" s="686" t="s">
        <v>59</v>
      </c>
      <c r="S321" s="577"/>
      <c r="T321" s="687"/>
      <c r="U321" s="687"/>
      <c r="V321" s="687"/>
      <c r="W321" s="688"/>
      <c r="X321" s="364"/>
      <c r="Y321" s="364"/>
      <c r="Z321" s="364"/>
      <c r="AA321" s="367"/>
      <c r="AB321"/>
      <c r="AC321"/>
      <c r="AD321"/>
      <c r="AE321"/>
      <c r="AF321"/>
      <c r="AG321"/>
      <c r="AH321"/>
      <c r="AI321"/>
      <c r="AJ321"/>
      <c r="AK321"/>
      <c r="AL321"/>
      <c r="AM321"/>
      <c r="AN321"/>
      <c r="AO321"/>
      <c r="AP321"/>
      <c r="AQ321"/>
      <c r="AR321"/>
      <c r="AS321"/>
      <c r="AT321"/>
      <c r="AU321"/>
    </row>
    <row r="322" spans="17:47" ht="12.75" customHeight="1">
      <c r="Q322" s="364"/>
      <c r="R322" s="895" t="s">
        <v>845</v>
      </c>
      <c r="S322" s="896"/>
      <c r="T322" s="900" t="s">
        <v>835</v>
      </c>
      <c r="U322" s="900" t="s">
        <v>836</v>
      </c>
      <c r="V322" s="900" t="s">
        <v>837</v>
      </c>
      <c r="W322" s="902" t="s">
        <v>838</v>
      </c>
      <c r="X322" s="364"/>
      <c r="Y322" s="364"/>
      <c r="Z322" s="364"/>
      <c r="AA322" s="367"/>
      <c r="AB322"/>
      <c r="AC322"/>
      <c r="AD322"/>
      <c r="AE322"/>
      <c r="AF322"/>
      <c r="AG322"/>
      <c r="AH322"/>
      <c r="AI322"/>
      <c r="AJ322"/>
      <c r="AK322"/>
      <c r="AL322"/>
      <c r="AM322"/>
      <c r="AN322"/>
      <c r="AO322"/>
      <c r="AP322"/>
      <c r="AQ322"/>
      <c r="AR322"/>
      <c r="AS322"/>
      <c r="AT322"/>
      <c r="AU322"/>
    </row>
    <row r="323" spans="17:47" ht="12.75" customHeight="1">
      <c r="Q323" s="364"/>
      <c r="R323" s="892"/>
      <c r="S323" s="897"/>
      <c r="T323" s="904"/>
      <c r="U323" s="904"/>
      <c r="V323" s="904"/>
      <c r="W323" s="905"/>
      <c r="X323" s="364"/>
      <c r="Y323" s="364"/>
      <c r="Z323" s="364"/>
      <c r="AA323" s="367"/>
      <c r="AB323"/>
      <c r="AC323"/>
      <c r="AD323"/>
      <c r="AE323"/>
      <c r="AF323"/>
      <c r="AG323"/>
      <c r="AH323"/>
      <c r="AI323"/>
      <c r="AJ323"/>
      <c r="AK323"/>
      <c r="AL323"/>
      <c r="AM323"/>
      <c r="AN323"/>
      <c r="AO323"/>
      <c r="AP323"/>
      <c r="AQ323"/>
      <c r="AR323"/>
      <c r="AS323"/>
      <c r="AT323"/>
      <c r="AU323"/>
    </row>
    <row r="324" spans="17:47" ht="12.75" customHeight="1">
      <c r="Q324" s="364"/>
      <c r="R324" s="892"/>
      <c r="S324" s="897"/>
      <c r="T324" s="901"/>
      <c r="U324" s="901"/>
      <c r="V324" s="901"/>
      <c r="W324" s="903"/>
      <c r="X324" s="364"/>
      <c r="Y324" s="364"/>
      <c r="Z324" s="364"/>
      <c r="AA324" s="367"/>
      <c r="AB324"/>
      <c r="AC324"/>
      <c r="AD324"/>
      <c r="AE324"/>
      <c r="AF324"/>
      <c r="AG324"/>
      <c r="AH324"/>
      <c r="AI324"/>
      <c r="AJ324"/>
      <c r="AK324"/>
      <c r="AL324"/>
      <c r="AM324"/>
      <c r="AN324"/>
      <c r="AO324"/>
      <c r="AP324"/>
      <c r="AQ324"/>
      <c r="AR324"/>
      <c r="AS324"/>
      <c r="AT324"/>
      <c r="AU324"/>
    </row>
    <row r="325" spans="17:47" ht="12.75" customHeight="1">
      <c r="Q325" s="364"/>
      <c r="R325" s="892"/>
      <c r="S325" s="897"/>
      <c r="T325" s="689">
        <f>X69</f>
        <v>116</v>
      </c>
      <c r="U325" s="560">
        <f>X62</f>
        <v>1.4285714285714284</v>
      </c>
      <c r="V325" s="690">
        <f>IF(T325&gt;0,W325*U325," ")</f>
        <v>22857.142857142855</v>
      </c>
      <c r="W325" s="691">
        <f>IF(T325&gt;0,(VLOOKUP(T325,'Lookup Ready-reckoner'!$B$5:$E$1207,4))," ")</f>
        <v>16000</v>
      </c>
      <c r="X325" s="364"/>
      <c r="Y325" s="364"/>
      <c r="Z325" s="364"/>
      <c r="AA325" s="367"/>
      <c r="AB325"/>
      <c r="AC325"/>
      <c r="AD325"/>
      <c r="AE325"/>
      <c r="AF325"/>
      <c r="AG325"/>
      <c r="AH325"/>
      <c r="AI325"/>
      <c r="AJ325"/>
      <c r="AK325"/>
      <c r="AL325"/>
      <c r="AM325"/>
      <c r="AN325"/>
      <c r="AO325"/>
      <c r="AP325"/>
      <c r="AQ325"/>
      <c r="AR325"/>
      <c r="AS325"/>
      <c r="AT325"/>
      <c r="AU325"/>
    </row>
    <row r="326" spans="17:47" ht="12.75" customHeight="1">
      <c r="Q326" s="364"/>
      <c r="R326" s="898"/>
      <c r="S326" s="899"/>
      <c r="T326" s="447"/>
      <c r="U326" s="560"/>
      <c r="V326" s="690" t="str">
        <f>IF(T326&gt;0,W326*U326," ")</f>
        <v xml:space="preserve"> </v>
      </c>
      <c r="W326" s="691" t="str">
        <f>IF(T326&gt;0,(VLOOKUP(T326,'Lookup Ready-reckoner'!$B$5:$E$1007,4))," ")</f>
        <v xml:space="preserve"> </v>
      </c>
      <c r="X326" s="364"/>
      <c r="Y326" s="364"/>
      <c r="Z326" s="364"/>
      <c r="AA326" s="367"/>
      <c r="AB326"/>
      <c r="AC326"/>
      <c r="AD326"/>
      <c r="AE326"/>
      <c r="AF326"/>
      <c r="AG326"/>
      <c r="AH326"/>
      <c r="AI326"/>
      <c r="AJ326"/>
      <c r="AK326"/>
      <c r="AL326"/>
      <c r="AM326"/>
      <c r="AN326"/>
      <c r="AO326"/>
      <c r="AP326"/>
      <c r="AQ326"/>
      <c r="AR326"/>
      <c r="AS326"/>
      <c r="AT326"/>
      <c r="AU326"/>
    </row>
    <row r="327" spans="17:47" ht="12.75" customHeight="1" thickBot="1">
      <c r="Q327" s="364"/>
      <c r="R327" s="692" t="s">
        <v>839</v>
      </c>
      <c r="S327" s="693"/>
      <c r="T327" s="693"/>
      <c r="U327" s="694">
        <f>IF(T325&gt;0,(VLOOKUP(V327,'Lookup Ready-reckoner'!$L$5:$M$1207,2))," ")</f>
        <v>108.5</v>
      </c>
      <c r="V327" s="695">
        <f>IF(U325&gt;0,(SUM(V325:V326))," ")</f>
        <v>22857.142857142855</v>
      </c>
      <c r="W327" s="696"/>
      <c r="X327" s="364"/>
      <c r="Y327" s="364"/>
      <c r="Z327" s="364"/>
      <c r="AA327" s="367"/>
      <c r="AB327"/>
      <c r="AC327"/>
      <c r="AD327"/>
      <c r="AE327"/>
      <c r="AF327"/>
      <c r="AG327"/>
      <c r="AH327"/>
      <c r="AI327"/>
      <c r="AJ327"/>
      <c r="AK327"/>
      <c r="AL327"/>
      <c r="AM327"/>
      <c r="AN327"/>
      <c r="AO327"/>
      <c r="AP327"/>
      <c r="AQ327"/>
      <c r="AR327"/>
      <c r="AS327"/>
      <c r="AT327"/>
      <c r="AU327"/>
    </row>
    <row r="328" spans="17:47" ht="12.75" customHeight="1" thickBot="1">
      <c r="Q328" s="364"/>
      <c r="R328" s="892"/>
      <c r="S328" s="893"/>
      <c r="T328" s="893"/>
      <c r="U328" s="893"/>
      <c r="V328" s="893"/>
      <c r="W328" s="894"/>
      <c r="X328" s="364"/>
      <c r="Y328" s="364"/>
      <c r="Z328" s="364"/>
      <c r="AA328" s="367"/>
      <c r="AB328"/>
      <c r="AC328"/>
      <c r="AD328"/>
      <c r="AE328"/>
      <c r="AF328"/>
      <c r="AG328"/>
      <c r="AH328"/>
      <c r="AI328"/>
      <c r="AJ328"/>
      <c r="AK328"/>
      <c r="AL328"/>
      <c r="AM328"/>
      <c r="AN328"/>
      <c r="AO328"/>
      <c r="AP328"/>
      <c r="AQ328"/>
      <c r="AR328"/>
      <c r="AS328"/>
      <c r="AT328"/>
      <c r="AU328"/>
    </row>
    <row r="329" spans="17:47" ht="12.75" customHeight="1">
      <c r="Q329" s="364"/>
      <c r="R329" s="895" t="s">
        <v>886</v>
      </c>
      <c r="S329" s="896"/>
      <c r="T329" s="900" t="s">
        <v>835</v>
      </c>
      <c r="U329" s="900" t="s">
        <v>836</v>
      </c>
      <c r="V329" s="900" t="s">
        <v>837</v>
      </c>
      <c r="W329" s="902" t="s">
        <v>838</v>
      </c>
      <c r="X329" s="364"/>
      <c r="Y329" s="364"/>
      <c r="Z329" s="364"/>
      <c r="AA329" s="367"/>
      <c r="AB329"/>
      <c r="AC329"/>
      <c r="AD329"/>
      <c r="AE329"/>
      <c r="AF329"/>
      <c r="AG329"/>
      <c r="AH329"/>
      <c r="AI329"/>
      <c r="AJ329"/>
      <c r="AK329"/>
      <c r="AL329"/>
      <c r="AM329"/>
      <c r="AN329"/>
      <c r="AO329"/>
      <c r="AP329"/>
      <c r="AQ329"/>
      <c r="AR329"/>
      <c r="AS329"/>
      <c r="AT329"/>
      <c r="AU329"/>
    </row>
    <row r="330" spans="17:47" ht="12.75" customHeight="1">
      <c r="Q330" s="364"/>
      <c r="R330" s="892"/>
      <c r="S330" s="897"/>
      <c r="T330" s="901"/>
      <c r="U330" s="901"/>
      <c r="V330" s="901"/>
      <c r="W330" s="903"/>
      <c r="X330" s="364"/>
      <c r="Y330" s="364"/>
      <c r="Z330" s="364"/>
      <c r="AA330" s="367"/>
      <c r="AB330"/>
      <c r="AC330"/>
      <c r="AD330"/>
      <c r="AE330"/>
      <c r="AF330"/>
      <c r="AG330"/>
      <c r="AH330"/>
      <c r="AI330"/>
      <c r="AJ330"/>
      <c r="AK330"/>
      <c r="AL330"/>
      <c r="AM330"/>
      <c r="AN330"/>
      <c r="AO330"/>
      <c r="AP330"/>
      <c r="AQ330"/>
      <c r="AR330"/>
      <c r="AS330"/>
      <c r="AT330"/>
      <c r="AU330"/>
    </row>
    <row r="331" spans="17:47" ht="12.75" customHeight="1">
      <c r="Q331" s="364"/>
      <c r="R331" s="892"/>
      <c r="S331" s="897"/>
      <c r="T331" s="689">
        <f>T325*(1-0.0178*2)</f>
        <v>111.8704</v>
      </c>
      <c r="U331" s="560">
        <f>U325</f>
        <v>1.4285714285714284</v>
      </c>
      <c r="V331" s="690">
        <f>IF(T331&gt;0,W331*U331," ")</f>
        <v>8842.8571428571413</v>
      </c>
      <c r="W331" s="691">
        <f>IF(T331&gt;0,(VLOOKUP(T331,'Lookup Ready-reckoner'!$B$5:$E$1207,4))," ")</f>
        <v>6190</v>
      </c>
      <c r="X331" s="364"/>
      <c r="Y331" s="364"/>
      <c r="Z331" s="364"/>
      <c r="AA331" s="367"/>
      <c r="AB331"/>
      <c r="AC331"/>
      <c r="AD331"/>
      <c r="AE331"/>
      <c r="AF331"/>
      <c r="AG331"/>
      <c r="AH331"/>
      <c r="AI331"/>
      <c r="AJ331"/>
      <c r="AK331"/>
      <c r="AL331"/>
      <c r="AM331"/>
      <c r="AN331"/>
      <c r="AO331"/>
      <c r="AP331"/>
      <c r="AQ331"/>
      <c r="AR331"/>
      <c r="AS331"/>
      <c r="AT331"/>
      <c r="AU331"/>
    </row>
    <row r="332" spans="17:47" ht="12.75" customHeight="1">
      <c r="Q332" s="364"/>
      <c r="R332" s="898"/>
      <c r="S332" s="899"/>
      <c r="T332" s="447"/>
      <c r="U332" s="560"/>
      <c r="V332" s="690" t="str">
        <f>IF(T332&gt;0,W332*U332," ")</f>
        <v xml:space="preserve"> </v>
      </c>
      <c r="W332" s="691" t="str">
        <f>IF(T332&gt;0,(VLOOKUP(T332,'Lookup Ready-reckoner'!$B$5:$E$1007,4))," ")</f>
        <v xml:space="preserve"> </v>
      </c>
      <c r="X332" s="364"/>
      <c r="Y332" s="364"/>
      <c r="Z332" s="364"/>
      <c r="AA332" s="367"/>
      <c r="AB332"/>
      <c r="AC332"/>
      <c r="AD332"/>
      <c r="AE332"/>
      <c r="AF332"/>
      <c r="AG332"/>
      <c r="AH332"/>
      <c r="AI332"/>
      <c r="AJ332"/>
      <c r="AK332"/>
      <c r="AL332"/>
      <c r="AM332"/>
      <c r="AN332"/>
      <c r="AO332"/>
      <c r="AP332"/>
      <c r="AQ332"/>
      <c r="AR332"/>
      <c r="AS332"/>
      <c r="AT332"/>
      <c r="AU332"/>
    </row>
    <row r="333" spans="17:47" ht="12.75" customHeight="1" thickBot="1">
      <c r="Q333" s="364"/>
      <c r="R333" s="692" t="s">
        <v>839</v>
      </c>
      <c r="S333" s="693"/>
      <c r="T333" s="693"/>
      <c r="U333" s="694">
        <f>IF(T331&gt;0,(VLOOKUP(V333,'Lookup Ready-reckoner'!$L$5:$M$1207,2))," ")</f>
        <v>104.4</v>
      </c>
      <c r="V333" s="695">
        <f>IF(U331&gt;0,(SUM(V331:V332))," ")</f>
        <v>8842.8571428571413</v>
      </c>
      <c r="W333" s="696"/>
      <c r="X333" s="364"/>
      <c r="Y333" s="364"/>
      <c r="Z333" s="364"/>
      <c r="AA333" s="367"/>
      <c r="AB333"/>
      <c r="AC333"/>
      <c r="AD333"/>
      <c r="AE333"/>
      <c r="AF333"/>
      <c r="AG333"/>
      <c r="AH333"/>
      <c r="AI333"/>
      <c r="AJ333"/>
      <c r="AK333"/>
      <c r="AL333"/>
      <c r="AM333"/>
      <c r="AN333"/>
      <c r="AO333"/>
      <c r="AP333"/>
      <c r="AQ333"/>
      <c r="AR333"/>
      <c r="AS333"/>
      <c r="AT333"/>
      <c r="AU333"/>
    </row>
    <row r="334" spans="17:47" ht="12.75" customHeight="1">
      <c r="Q334" s="364"/>
      <c r="R334" s="697"/>
      <c r="S334" s="687"/>
      <c r="T334" s="687"/>
      <c r="U334" s="372"/>
      <c r="V334" s="374"/>
      <c r="W334" s="688"/>
      <c r="X334" s="364"/>
      <c r="Y334" s="364"/>
      <c r="Z334" s="364"/>
      <c r="AA334" s="367"/>
      <c r="AB334"/>
      <c r="AC334"/>
      <c r="AD334"/>
      <c r="AE334"/>
      <c r="AF334"/>
      <c r="AG334"/>
      <c r="AH334"/>
      <c r="AI334"/>
      <c r="AJ334"/>
      <c r="AK334"/>
      <c r="AL334"/>
      <c r="AM334"/>
      <c r="AN334"/>
      <c r="AO334"/>
      <c r="AP334"/>
      <c r="AQ334"/>
      <c r="AR334"/>
      <c r="AS334"/>
      <c r="AT334"/>
      <c r="AU334"/>
    </row>
    <row r="335" spans="17:47" ht="12.75" customHeight="1" thickBot="1">
      <c r="Q335" s="364"/>
      <c r="R335" s="686" t="s">
        <v>60</v>
      </c>
      <c r="S335" s="577"/>
      <c r="T335" s="577"/>
      <c r="U335" s="577"/>
      <c r="V335" s="577"/>
      <c r="W335" s="698"/>
      <c r="X335" s="364"/>
      <c r="Y335" s="364"/>
      <c r="Z335" s="364"/>
      <c r="AA335" s="367"/>
      <c r="AB335"/>
      <c r="AC335"/>
      <c r="AD335"/>
      <c r="AE335"/>
      <c r="AF335"/>
      <c r="AG335"/>
      <c r="AH335"/>
      <c r="AI335"/>
      <c r="AJ335"/>
      <c r="AK335"/>
      <c r="AL335"/>
      <c r="AM335"/>
      <c r="AN335"/>
      <c r="AO335"/>
      <c r="AP335"/>
      <c r="AQ335"/>
      <c r="AR335"/>
      <c r="AS335"/>
      <c r="AT335"/>
      <c r="AU335"/>
    </row>
    <row r="336" spans="17:47" ht="12.75" customHeight="1">
      <c r="Q336" s="364"/>
      <c r="R336" s="895" t="s">
        <v>845</v>
      </c>
      <c r="S336" s="896"/>
      <c r="T336" s="900" t="s">
        <v>835</v>
      </c>
      <c r="U336" s="900" t="s">
        <v>836</v>
      </c>
      <c r="V336" s="900" t="s">
        <v>837</v>
      </c>
      <c r="W336" s="902" t="s">
        <v>838</v>
      </c>
      <c r="X336" s="364"/>
      <c r="Y336" s="364"/>
      <c r="Z336" s="364"/>
      <c r="AA336" s="367"/>
      <c r="AB336"/>
      <c r="AC336"/>
      <c r="AD336"/>
      <c r="AE336"/>
      <c r="AF336"/>
      <c r="AG336"/>
      <c r="AH336"/>
      <c r="AI336"/>
      <c r="AJ336"/>
      <c r="AK336"/>
      <c r="AL336"/>
      <c r="AM336"/>
      <c r="AN336"/>
      <c r="AO336"/>
      <c r="AP336"/>
      <c r="AQ336"/>
      <c r="AR336"/>
      <c r="AS336"/>
      <c r="AT336"/>
      <c r="AU336"/>
    </row>
    <row r="337" spans="17:47" ht="12.75" customHeight="1">
      <c r="Q337" s="364"/>
      <c r="R337" s="892"/>
      <c r="S337" s="897"/>
      <c r="T337" s="901"/>
      <c r="U337" s="901"/>
      <c r="V337" s="901"/>
      <c r="W337" s="903"/>
      <c r="X337" s="364"/>
      <c r="Y337" s="364"/>
      <c r="Z337" s="364"/>
      <c r="AA337" s="367"/>
      <c r="AB337"/>
      <c r="AC337"/>
      <c r="AD337"/>
      <c r="AE337"/>
      <c r="AF337"/>
      <c r="AG337"/>
      <c r="AH337"/>
      <c r="AI337"/>
      <c r="AJ337"/>
      <c r="AK337"/>
      <c r="AL337"/>
      <c r="AM337"/>
      <c r="AN337"/>
      <c r="AO337"/>
      <c r="AP337"/>
      <c r="AQ337"/>
      <c r="AR337"/>
      <c r="AS337"/>
      <c r="AT337"/>
      <c r="AU337"/>
    </row>
    <row r="338" spans="17:47" ht="12.75" customHeight="1">
      <c r="Q338" s="364"/>
      <c r="R338" s="892"/>
      <c r="S338" s="897"/>
      <c r="T338" s="689">
        <f>T325-PPE!$I$15</f>
        <v>103</v>
      </c>
      <c r="U338" s="560">
        <f>U331</f>
        <v>1.4285714285714284</v>
      </c>
      <c r="V338" s="690">
        <f>IF(T338&gt;0,W338*U338," ")</f>
        <v>1142.8571428571427</v>
      </c>
      <c r="W338" s="691">
        <f>IF(T338&gt;0,(VLOOKUP(T338,'Lookup Ready-reckoner'!$B$5:$E$1207,4))," ")</f>
        <v>800</v>
      </c>
      <c r="X338" s="364"/>
      <c r="Y338" s="364"/>
      <c r="Z338" s="364"/>
      <c r="AA338" s="367"/>
      <c r="AB338"/>
      <c r="AC338"/>
      <c r="AD338"/>
      <c r="AE338"/>
      <c r="AF338"/>
      <c r="AG338"/>
      <c r="AH338"/>
      <c r="AI338"/>
      <c r="AJ338"/>
      <c r="AK338"/>
      <c r="AL338"/>
      <c r="AM338"/>
      <c r="AN338"/>
      <c r="AO338"/>
      <c r="AP338"/>
      <c r="AQ338"/>
      <c r="AR338"/>
      <c r="AS338"/>
      <c r="AT338"/>
      <c r="AU338"/>
    </row>
    <row r="339" spans="17:47" ht="12.75" customHeight="1">
      <c r="Q339" s="364"/>
      <c r="R339" s="898"/>
      <c r="S339" s="899"/>
      <c r="T339" s="447"/>
      <c r="U339" s="560"/>
      <c r="V339" s="690" t="str">
        <f>IF(T339&gt;0,W339*U339," ")</f>
        <v xml:space="preserve"> </v>
      </c>
      <c r="W339" s="691" t="str">
        <f>IF(T339&gt;0,(VLOOKUP(T339,'Lookup Ready-reckoner'!$B$5:$E$1007,4))," ")</f>
        <v xml:space="preserve"> </v>
      </c>
      <c r="X339" s="364"/>
      <c r="Y339" s="364"/>
      <c r="Z339" s="364"/>
      <c r="AA339" s="367"/>
      <c r="AB339"/>
      <c r="AC339"/>
      <c r="AD339"/>
      <c r="AE339"/>
      <c r="AF339"/>
      <c r="AG339"/>
      <c r="AH339"/>
      <c r="AI339"/>
      <c r="AJ339"/>
      <c r="AK339"/>
      <c r="AL339"/>
      <c r="AM339"/>
      <c r="AN339"/>
      <c r="AO339"/>
      <c r="AP339"/>
      <c r="AQ339"/>
      <c r="AR339"/>
      <c r="AS339"/>
      <c r="AT339"/>
      <c r="AU339"/>
    </row>
    <row r="340" spans="17:47" ht="12.75" customHeight="1" thickBot="1">
      <c r="Q340" s="364"/>
      <c r="R340" s="699" t="s">
        <v>839</v>
      </c>
      <c r="S340" s="693"/>
      <c r="T340" s="693"/>
      <c r="U340" s="694">
        <f>IF(T338&gt;0,(VLOOKUP(V340,'Lookup Ready-reckoner'!$L$5:$M$1207,2))," ")</f>
        <v>95.55</v>
      </c>
      <c r="V340" s="695">
        <f>IF(U338&gt;0,(SUM(V338:V339))," ")</f>
        <v>1142.8571428571427</v>
      </c>
      <c r="W340" s="696"/>
      <c r="X340" s="364"/>
      <c r="Y340" s="364"/>
      <c r="Z340" s="364"/>
      <c r="AA340" s="367"/>
      <c r="AB340"/>
      <c r="AC340"/>
      <c r="AD340"/>
      <c r="AE340"/>
      <c r="AF340"/>
      <c r="AG340"/>
      <c r="AH340"/>
      <c r="AI340"/>
      <c r="AJ340"/>
      <c r="AK340"/>
      <c r="AL340"/>
      <c r="AM340"/>
      <c r="AN340"/>
      <c r="AO340"/>
      <c r="AP340"/>
      <c r="AQ340"/>
      <c r="AR340"/>
      <c r="AS340"/>
      <c r="AT340"/>
      <c r="AU340"/>
    </row>
    <row r="341" spans="17:47" ht="12.75" customHeight="1" thickBot="1">
      <c r="Q341" s="364"/>
      <c r="R341" s="892"/>
      <c r="S341" s="893"/>
      <c r="T341" s="893"/>
      <c r="U341" s="893"/>
      <c r="V341" s="893"/>
      <c r="W341" s="894"/>
      <c r="X341" s="364"/>
      <c r="Y341" s="364"/>
      <c r="Z341" s="364"/>
      <c r="AA341" s="367"/>
      <c r="AB341"/>
      <c r="AC341"/>
      <c r="AD341"/>
      <c r="AE341"/>
      <c r="AF341"/>
      <c r="AG341"/>
      <c r="AH341"/>
      <c r="AI341"/>
      <c r="AJ341"/>
      <c r="AK341"/>
      <c r="AL341"/>
      <c r="AM341"/>
      <c r="AN341"/>
      <c r="AO341"/>
      <c r="AP341"/>
      <c r="AQ341"/>
      <c r="AR341"/>
      <c r="AS341"/>
      <c r="AT341"/>
      <c r="AU341"/>
    </row>
    <row r="342" spans="17:47" ht="12.75" customHeight="1">
      <c r="Q342" s="364"/>
      <c r="R342" s="895" t="s">
        <v>886</v>
      </c>
      <c r="S342" s="896"/>
      <c r="T342" s="900" t="s">
        <v>835</v>
      </c>
      <c r="U342" s="900" t="s">
        <v>836</v>
      </c>
      <c r="V342" s="900" t="s">
        <v>837</v>
      </c>
      <c r="W342" s="902" t="s">
        <v>838</v>
      </c>
      <c r="X342" s="364"/>
      <c r="Y342" s="364"/>
      <c r="Z342" s="364"/>
      <c r="AA342" s="367"/>
      <c r="AB342"/>
      <c r="AC342"/>
      <c r="AD342"/>
      <c r="AE342"/>
      <c r="AF342"/>
      <c r="AG342"/>
      <c r="AH342"/>
      <c r="AI342"/>
      <c r="AJ342"/>
      <c r="AK342"/>
      <c r="AL342"/>
      <c r="AM342"/>
      <c r="AN342"/>
      <c r="AO342"/>
      <c r="AP342"/>
      <c r="AQ342"/>
      <c r="AR342"/>
      <c r="AS342"/>
      <c r="AT342"/>
      <c r="AU342"/>
    </row>
    <row r="343" spans="17:47" ht="12.75" customHeight="1">
      <c r="Q343" s="364"/>
      <c r="R343" s="892"/>
      <c r="S343" s="897"/>
      <c r="T343" s="901"/>
      <c r="U343" s="901"/>
      <c r="V343" s="901"/>
      <c r="W343" s="903"/>
      <c r="X343" s="364"/>
      <c r="Y343" s="364"/>
      <c r="Z343" s="364"/>
      <c r="AA343" s="367"/>
      <c r="AB343"/>
      <c r="AC343"/>
      <c r="AD343"/>
      <c r="AE343"/>
      <c r="AF343"/>
      <c r="AG343"/>
      <c r="AH343"/>
      <c r="AI343"/>
      <c r="AJ343"/>
      <c r="AK343"/>
      <c r="AL343"/>
      <c r="AM343"/>
      <c r="AN343"/>
      <c r="AO343"/>
      <c r="AP343"/>
      <c r="AQ343"/>
      <c r="AR343"/>
      <c r="AS343"/>
      <c r="AT343"/>
      <c r="AU343"/>
    </row>
    <row r="344" spans="17:47" ht="12.75" customHeight="1">
      <c r="Q344" s="364"/>
      <c r="R344" s="892"/>
      <c r="S344" s="897"/>
      <c r="T344" s="689">
        <f>T331-PPE!$I$15</f>
        <v>98.870400000000004</v>
      </c>
      <c r="U344" s="560">
        <f>U338</f>
        <v>1.4285714285714284</v>
      </c>
      <c r="V344" s="690">
        <f>IF(T344&gt;0,W344*U344," ")</f>
        <v>433.03571428571422</v>
      </c>
      <c r="W344" s="691">
        <f>IF(T344&gt;0,(VLOOKUP(T344,'Lookup Ready-reckoner'!$B$5:$E$1207,4))," ")</f>
        <v>303.125</v>
      </c>
      <c r="X344" s="364"/>
      <c r="Y344" s="364"/>
      <c r="Z344" s="364"/>
      <c r="AA344" s="367"/>
      <c r="AB344"/>
      <c r="AC344"/>
      <c r="AD344"/>
      <c r="AE344"/>
      <c r="AF344"/>
      <c r="AG344"/>
      <c r="AH344"/>
      <c r="AI344"/>
      <c r="AJ344"/>
      <c r="AK344"/>
      <c r="AL344"/>
      <c r="AM344"/>
      <c r="AN344"/>
      <c r="AO344"/>
      <c r="AP344"/>
      <c r="AQ344"/>
      <c r="AR344"/>
      <c r="AS344"/>
      <c r="AT344"/>
      <c r="AU344"/>
    </row>
    <row r="345" spans="17:47" ht="12.75" customHeight="1">
      <c r="Q345" s="364"/>
      <c r="R345" s="898"/>
      <c r="S345" s="899"/>
      <c r="T345" s="447"/>
      <c r="U345" s="560"/>
      <c r="V345" s="690" t="str">
        <f>IF(T345&gt;0,W345*U345," ")</f>
        <v xml:space="preserve"> </v>
      </c>
      <c r="W345" s="691" t="str">
        <f>IF(T345&gt;0,(VLOOKUP(T345,'Lookup Ready-reckoner'!$B$5:$E$1007,4))," ")</f>
        <v xml:space="preserve"> </v>
      </c>
      <c r="X345" s="364"/>
      <c r="Y345" s="364"/>
      <c r="Z345" s="364"/>
      <c r="AA345" s="367"/>
      <c r="AB345"/>
      <c r="AC345"/>
      <c r="AD345"/>
      <c r="AE345"/>
      <c r="AF345"/>
      <c r="AG345"/>
      <c r="AH345"/>
      <c r="AI345"/>
      <c r="AJ345"/>
      <c r="AK345"/>
      <c r="AL345"/>
      <c r="AM345"/>
      <c r="AN345"/>
      <c r="AO345"/>
      <c r="AP345"/>
      <c r="AQ345"/>
      <c r="AR345"/>
      <c r="AS345"/>
      <c r="AT345"/>
      <c r="AU345"/>
    </row>
    <row r="346" spans="17:47" ht="12.75" customHeight="1" thickBot="1">
      <c r="Q346" s="364"/>
      <c r="R346" s="692" t="s">
        <v>839</v>
      </c>
      <c r="S346" s="693"/>
      <c r="T346" s="693"/>
      <c r="U346" s="694">
        <f>IF(T344&gt;0,(VLOOKUP(V346,'Lookup Ready-reckoner'!$L$5:$M$1207,2))," ")</f>
        <v>91.3</v>
      </c>
      <c r="V346" s="695">
        <f>IF(U344&gt;0,(SUM(V344:V345))," ")</f>
        <v>433.03571428571422</v>
      </c>
      <c r="W346" s="696"/>
      <c r="X346" s="364"/>
      <c r="Y346" s="364"/>
      <c r="Z346" s="364"/>
      <c r="AA346" s="367"/>
      <c r="AB346"/>
      <c r="AC346"/>
      <c r="AD346"/>
      <c r="AE346"/>
      <c r="AF346"/>
      <c r="AG346"/>
      <c r="AH346"/>
      <c r="AI346"/>
      <c r="AJ346"/>
      <c r="AK346"/>
      <c r="AL346"/>
      <c r="AM346"/>
      <c r="AN346"/>
      <c r="AO346"/>
      <c r="AP346"/>
      <c r="AQ346"/>
      <c r="AR346"/>
      <c r="AS346"/>
      <c r="AT346"/>
      <c r="AU346"/>
    </row>
    <row r="347" spans="17:47" ht="12.75" customHeight="1">
      <c r="Q347" s="364"/>
      <c r="R347" s="363"/>
      <c r="S347" s="363"/>
      <c r="T347" s="363"/>
      <c r="U347" s="363"/>
      <c r="V347" s="363"/>
      <c r="W347" s="363"/>
      <c r="X347" s="364"/>
      <c r="Y347" s="364"/>
      <c r="Z347" s="364"/>
      <c r="AA347" s="367"/>
      <c r="AB347"/>
      <c r="AC347"/>
      <c r="AD347"/>
      <c r="AE347"/>
      <c r="AF347"/>
      <c r="AG347"/>
      <c r="AH347"/>
      <c r="AI347"/>
      <c r="AJ347"/>
      <c r="AK347"/>
      <c r="AL347"/>
      <c r="AM347"/>
      <c r="AN347"/>
      <c r="AO347"/>
      <c r="AP347"/>
      <c r="AQ347"/>
      <c r="AR347"/>
      <c r="AS347"/>
      <c r="AT347"/>
      <c r="AU347"/>
    </row>
    <row r="348" spans="17:47" ht="12.75" customHeight="1" thickBot="1">
      <c r="Q348" s="364"/>
      <c r="R348" s="915" t="str">
        <f>T306</f>
        <v>Seco S215 Muffled</v>
      </c>
      <c r="S348" s="915"/>
      <c r="T348" s="915"/>
      <c r="U348" s="915"/>
      <c r="V348" s="915"/>
      <c r="W348" s="915"/>
      <c r="X348" s="364"/>
      <c r="Y348" s="363"/>
      <c r="Z348" s="363"/>
      <c r="AA348" s="367"/>
      <c r="AB348"/>
      <c r="AC348"/>
      <c r="AD348"/>
      <c r="AE348"/>
      <c r="AF348"/>
      <c r="AG348"/>
      <c r="AH348"/>
      <c r="AI348"/>
      <c r="AJ348"/>
      <c r="AK348"/>
      <c r="AL348"/>
      <c r="AM348"/>
      <c r="AN348"/>
      <c r="AO348"/>
      <c r="AP348"/>
      <c r="AQ348"/>
      <c r="AR348"/>
      <c r="AS348"/>
      <c r="AT348"/>
      <c r="AU348"/>
    </row>
    <row r="349" spans="17:47" ht="12.75" customHeight="1" thickBot="1">
      <c r="Q349" s="364"/>
      <c r="R349" s="906" t="s">
        <v>205</v>
      </c>
      <c r="S349" s="907"/>
      <c r="T349" s="907"/>
      <c r="U349" s="907"/>
      <c r="V349" s="907"/>
      <c r="W349" s="908"/>
      <c r="X349" s="364"/>
      <c r="Y349" s="363"/>
      <c r="Z349" s="363"/>
      <c r="AA349" s="367"/>
      <c r="AB349"/>
      <c r="AC349"/>
      <c r="AD349"/>
      <c r="AE349"/>
      <c r="AF349"/>
      <c r="AG349"/>
      <c r="AH349"/>
      <c r="AI349"/>
      <c r="AJ349"/>
      <c r="AK349"/>
      <c r="AL349"/>
      <c r="AM349"/>
      <c r="AN349"/>
      <c r="AO349"/>
      <c r="AP349"/>
      <c r="AQ349"/>
      <c r="AR349"/>
      <c r="AS349"/>
      <c r="AT349"/>
      <c r="AU349"/>
    </row>
    <row r="350" spans="17:47" ht="12.75" customHeight="1" thickBot="1">
      <c r="Q350" s="364"/>
      <c r="R350" s="686" t="s">
        <v>59</v>
      </c>
      <c r="S350" s="577"/>
      <c r="T350" s="687"/>
      <c r="U350" s="687"/>
      <c r="V350" s="687"/>
      <c r="W350" s="688"/>
      <c r="X350" s="364"/>
      <c r="Y350" s="363"/>
      <c r="Z350" s="363"/>
      <c r="AA350" s="367"/>
      <c r="AB350"/>
      <c r="AC350"/>
      <c r="AD350"/>
      <c r="AE350"/>
      <c r="AF350"/>
      <c r="AG350"/>
      <c r="AH350"/>
      <c r="AI350"/>
      <c r="AJ350"/>
      <c r="AK350"/>
      <c r="AL350"/>
      <c r="AM350"/>
      <c r="AN350"/>
      <c r="AO350"/>
      <c r="AP350"/>
      <c r="AQ350"/>
      <c r="AR350"/>
      <c r="AS350"/>
      <c r="AT350"/>
      <c r="AU350"/>
    </row>
    <row r="351" spans="17:47" ht="12.75" customHeight="1">
      <c r="Q351" s="364"/>
      <c r="R351" s="895" t="s">
        <v>845</v>
      </c>
      <c r="S351" s="896"/>
      <c r="T351" s="900" t="s">
        <v>835</v>
      </c>
      <c r="U351" s="900" t="s">
        <v>836</v>
      </c>
      <c r="V351" s="900" t="s">
        <v>837</v>
      </c>
      <c r="W351" s="902" t="s">
        <v>838</v>
      </c>
      <c r="X351" s="364"/>
      <c r="Y351" s="363"/>
      <c r="Z351" s="363"/>
      <c r="AA351" s="367"/>
      <c r="AB351"/>
      <c r="AC351"/>
      <c r="AD351"/>
      <c r="AE351"/>
      <c r="AF351"/>
      <c r="AG351"/>
      <c r="AH351"/>
      <c r="AI351"/>
      <c r="AJ351"/>
      <c r="AK351"/>
      <c r="AL351"/>
      <c r="AM351"/>
      <c r="AN351"/>
      <c r="AO351"/>
      <c r="AP351"/>
      <c r="AQ351"/>
      <c r="AR351"/>
      <c r="AS351"/>
      <c r="AT351"/>
      <c r="AU351"/>
    </row>
    <row r="352" spans="17:47" ht="12.75" customHeight="1">
      <c r="Q352" s="364"/>
      <c r="R352" s="892"/>
      <c r="S352" s="897"/>
      <c r="T352" s="904"/>
      <c r="U352" s="904"/>
      <c r="V352" s="904"/>
      <c r="W352" s="905"/>
      <c r="X352" s="364"/>
      <c r="Y352" s="363"/>
      <c r="Z352" s="363"/>
      <c r="AA352" s="367"/>
      <c r="AB352"/>
      <c r="AC352"/>
      <c r="AD352"/>
      <c r="AE352"/>
      <c r="AF352"/>
      <c r="AG352"/>
      <c r="AH352"/>
      <c r="AI352"/>
      <c r="AJ352"/>
      <c r="AK352"/>
      <c r="AL352"/>
      <c r="AM352"/>
      <c r="AN352"/>
      <c r="AO352"/>
      <c r="AP352"/>
      <c r="AQ352"/>
      <c r="AR352"/>
      <c r="AS352"/>
      <c r="AT352"/>
      <c r="AU352"/>
    </row>
    <row r="353" spans="17:47" ht="12.75" customHeight="1">
      <c r="Q353" s="364"/>
      <c r="R353" s="892"/>
      <c r="S353" s="897"/>
      <c r="T353" s="901"/>
      <c r="U353" s="901"/>
      <c r="V353" s="901"/>
      <c r="W353" s="903"/>
      <c r="X353" s="364"/>
      <c r="Y353" s="363"/>
      <c r="Z353" s="363"/>
      <c r="AA353" s="367"/>
      <c r="AB353"/>
      <c r="AC353"/>
      <c r="AD353"/>
      <c r="AE353"/>
      <c r="AF353"/>
      <c r="AG353"/>
      <c r="AH353"/>
      <c r="AI353"/>
      <c r="AJ353"/>
      <c r="AK353"/>
      <c r="AL353"/>
      <c r="AM353"/>
      <c r="AN353"/>
      <c r="AO353"/>
      <c r="AP353"/>
      <c r="AQ353"/>
      <c r="AR353"/>
      <c r="AS353"/>
      <c r="AT353"/>
      <c r="AU353"/>
    </row>
    <row r="354" spans="17:47" ht="12.75" customHeight="1">
      <c r="Q354" s="364"/>
      <c r="R354" s="892"/>
      <c r="S354" s="897"/>
      <c r="T354" s="700">
        <f>V69</f>
        <v>108</v>
      </c>
      <c r="U354" s="560">
        <f>V62</f>
        <v>1.9999999999999996</v>
      </c>
      <c r="V354" s="690">
        <f>IF(T354&gt;0,W354*U354," ")</f>
        <v>4999.9999999999991</v>
      </c>
      <c r="W354" s="691">
        <f>IF(T354&gt;0,(VLOOKUP(T354,'Lookup Ready-reckoner'!$B$5:$E$1207,4))," ")</f>
        <v>2500</v>
      </c>
      <c r="X354" s="364"/>
      <c r="Y354" s="363"/>
      <c r="Z354" s="363"/>
      <c r="AA354" s="367"/>
      <c r="AB354"/>
      <c r="AC354"/>
      <c r="AD354"/>
      <c r="AE354"/>
      <c r="AF354"/>
      <c r="AG354"/>
      <c r="AH354"/>
      <c r="AI354"/>
      <c r="AJ354"/>
      <c r="AK354"/>
      <c r="AL354"/>
      <c r="AM354"/>
      <c r="AN354"/>
      <c r="AO354"/>
      <c r="AP354"/>
      <c r="AQ354"/>
      <c r="AR354"/>
      <c r="AS354"/>
      <c r="AT354"/>
      <c r="AU354"/>
    </row>
    <row r="355" spans="17:47" ht="12.75" customHeight="1">
      <c r="Q355" s="364"/>
      <c r="R355" s="898"/>
      <c r="S355" s="899"/>
      <c r="T355" s="447"/>
      <c r="U355" s="560"/>
      <c r="V355" s="690" t="str">
        <f>IF(T355&gt;0,W355*U355," ")</f>
        <v xml:space="preserve"> </v>
      </c>
      <c r="W355" s="691" t="str">
        <f>IF(T355&gt;0,(VLOOKUP(T355,'Lookup Ready-reckoner'!$B$5:$E$1007,4))," ")</f>
        <v xml:space="preserve"> </v>
      </c>
      <c r="X355" s="364"/>
      <c r="Y355" s="363"/>
      <c r="Z355" s="363"/>
      <c r="AA355" s="367"/>
      <c r="AB355"/>
      <c r="AC355"/>
      <c r="AD355"/>
      <c r="AE355"/>
      <c r="AF355"/>
      <c r="AG355"/>
      <c r="AH355"/>
      <c r="AI355"/>
      <c r="AJ355"/>
      <c r="AK355"/>
      <c r="AL355"/>
      <c r="AM355"/>
      <c r="AN355"/>
      <c r="AO355"/>
      <c r="AP355"/>
      <c r="AQ355"/>
      <c r="AR355"/>
      <c r="AS355"/>
      <c r="AT355"/>
      <c r="AU355"/>
    </row>
    <row r="356" spans="17:47" ht="12.75" customHeight="1" thickBot="1">
      <c r="Q356" s="364"/>
      <c r="R356" s="699" t="s">
        <v>839</v>
      </c>
      <c r="S356" s="693"/>
      <c r="T356" s="693"/>
      <c r="U356" s="701">
        <f>IF(T354&gt;0,(VLOOKUP(V356,'Lookup Ready-reckoner'!$L$5:$M$1207,2))," ")</f>
        <v>101.95</v>
      </c>
      <c r="V356" s="695">
        <f>IF(U354&gt;0,(SUM(V354:V355))," ")</f>
        <v>4999.9999999999991</v>
      </c>
      <c r="W356" s="696"/>
      <c r="X356" s="364"/>
      <c r="Y356" s="363"/>
      <c r="Z356" s="363"/>
      <c r="AA356" s="367"/>
      <c r="AB356"/>
      <c r="AC356"/>
      <c r="AD356"/>
      <c r="AE356"/>
      <c r="AF356"/>
      <c r="AG356"/>
      <c r="AH356"/>
      <c r="AI356"/>
      <c r="AJ356"/>
      <c r="AK356"/>
      <c r="AL356"/>
      <c r="AM356"/>
      <c r="AN356"/>
      <c r="AO356"/>
      <c r="AP356"/>
      <c r="AQ356"/>
      <c r="AR356"/>
      <c r="AS356"/>
      <c r="AT356"/>
      <c r="AU356"/>
    </row>
    <row r="357" spans="17:47" ht="12.75" customHeight="1" thickBot="1">
      <c r="Q357" s="364"/>
      <c r="R357" s="892"/>
      <c r="S357" s="893"/>
      <c r="T357" s="893"/>
      <c r="U357" s="893"/>
      <c r="V357" s="893"/>
      <c r="W357" s="894"/>
      <c r="X357" s="364"/>
      <c r="Y357" s="363"/>
      <c r="Z357" s="363"/>
      <c r="AA357" s="367"/>
      <c r="AB357"/>
      <c r="AC357"/>
      <c r="AD357"/>
      <c r="AE357"/>
      <c r="AF357"/>
      <c r="AG357"/>
      <c r="AH357"/>
      <c r="AI357"/>
      <c r="AJ357"/>
      <c r="AK357"/>
      <c r="AL357"/>
      <c r="AM357"/>
      <c r="AN357"/>
      <c r="AO357"/>
      <c r="AP357"/>
      <c r="AQ357"/>
      <c r="AR357"/>
      <c r="AS357"/>
      <c r="AT357"/>
      <c r="AU357"/>
    </row>
    <row r="358" spans="17:47" ht="12.75" customHeight="1">
      <c r="Q358" s="364"/>
      <c r="R358" s="895" t="s">
        <v>886</v>
      </c>
      <c r="S358" s="896"/>
      <c r="T358" s="900" t="s">
        <v>835</v>
      </c>
      <c r="U358" s="900" t="s">
        <v>836</v>
      </c>
      <c r="V358" s="900" t="s">
        <v>837</v>
      </c>
      <c r="W358" s="902" t="s">
        <v>838</v>
      </c>
      <c r="X358" s="364"/>
      <c r="Y358" s="363"/>
      <c r="Z358" s="363"/>
      <c r="AA358" s="367"/>
      <c r="AB358"/>
      <c r="AC358"/>
      <c r="AD358"/>
      <c r="AE358"/>
      <c r="AF358"/>
      <c r="AG358"/>
      <c r="AH358"/>
      <c r="AI358"/>
      <c r="AJ358"/>
      <c r="AK358"/>
      <c r="AL358"/>
      <c r="AM358"/>
      <c r="AN358"/>
      <c r="AO358"/>
      <c r="AP358"/>
      <c r="AQ358"/>
      <c r="AR358"/>
      <c r="AS358"/>
      <c r="AT358"/>
      <c r="AU358"/>
    </row>
    <row r="359" spans="17:47" ht="12.75" customHeight="1">
      <c r="Q359" s="364"/>
      <c r="R359" s="892"/>
      <c r="S359" s="897"/>
      <c r="T359" s="901"/>
      <c r="U359" s="901"/>
      <c r="V359" s="901"/>
      <c r="W359" s="903"/>
      <c r="X359" s="364"/>
      <c r="Y359" s="363"/>
      <c r="Z359" s="363"/>
      <c r="AA359" s="367"/>
      <c r="AB359"/>
      <c r="AC359"/>
      <c r="AD359"/>
      <c r="AE359"/>
      <c r="AF359"/>
      <c r="AG359"/>
      <c r="AH359"/>
      <c r="AI359"/>
      <c r="AJ359"/>
      <c r="AK359"/>
      <c r="AL359"/>
      <c r="AM359"/>
      <c r="AN359"/>
      <c r="AO359"/>
      <c r="AP359"/>
      <c r="AQ359"/>
      <c r="AR359"/>
      <c r="AS359"/>
      <c r="AT359"/>
      <c r="AU359"/>
    </row>
    <row r="360" spans="17:47" ht="12.75" customHeight="1">
      <c r="Q360" s="364"/>
      <c r="R360" s="892"/>
      <c r="S360" s="897"/>
      <c r="T360" s="700">
        <f>T354*(1-0.0178*2)</f>
        <v>104.15520000000001</v>
      </c>
      <c r="U360" s="560">
        <f>U354</f>
        <v>1.9999999999999996</v>
      </c>
      <c r="V360" s="690">
        <f>IF(T360&gt;0,W360*U360," ")</f>
        <v>2074.9999999999995</v>
      </c>
      <c r="W360" s="691">
        <f>IF(T360&gt;0,(VLOOKUP(T360,'Lookup Ready-reckoner'!$B$5:$E$1207,4))," ")</f>
        <v>1037.5</v>
      </c>
      <c r="X360" s="364"/>
      <c r="Y360" s="363"/>
      <c r="Z360" s="363"/>
      <c r="AA360" s="367"/>
      <c r="AB360"/>
      <c r="AC360"/>
      <c r="AD360"/>
      <c r="AE360"/>
      <c r="AF360"/>
      <c r="AG360"/>
      <c r="AH360"/>
      <c r="AI360"/>
      <c r="AJ360"/>
      <c r="AK360"/>
      <c r="AL360"/>
      <c r="AM360"/>
      <c r="AN360"/>
      <c r="AO360"/>
      <c r="AP360"/>
      <c r="AQ360"/>
      <c r="AR360"/>
      <c r="AS360"/>
      <c r="AT360"/>
      <c r="AU360"/>
    </row>
    <row r="361" spans="17:47" ht="12.75" customHeight="1">
      <c r="Q361" s="364"/>
      <c r="R361" s="898"/>
      <c r="S361" s="899"/>
      <c r="T361" s="447"/>
      <c r="U361" s="560"/>
      <c r="V361" s="690" t="str">
        <f>IF(T361&gt;0,W361*U361," ")</f>
        <v xml:space="preserve"> </v>
      </c>
      <c r="W361" s="691" t="str">
        <f>IF(T361&gt;0,(VLOOKUP(T361,'Lookup Ready-reckoner'!$B$5:$E$1007,4))," ")</f>
        <v xml:space="preserve"> </v>
      </c>
      <c r="X361" s="364"/>
      <c r="Y361" s="363"/>
      <c r="Z361" s="363"/>
      <c r="AA361" s="367"/>
      <c r="AB361"/>
      <c r="AC361"/>
      <c r="AD361"/>
      <c r="AE361"/>
      <c r="AF361"/>
      <c r="AG361"/>
      <c r="AH361"/>
      <c r="AI361"/>
      <c r="AJ361"/>
      <c r="AK361"/>
      <c r="AL361"/>
      <c r="AM361"/>
      <c r="AN361"/>
      <c r="AO361"/>
      <c r="AP361"/>
      <c r="AQ361"/>
      <c r="AR361"/>
      <c r="AS361"/>
      <c r="AT361"/>
      <c r="AU361"/>
    </row>
    <row r="362" spans="17:47" ht="12.75" customHeight="1" thickBot="1">
      <c r="Q362" s="364"/>
      <c r="R362" s="692" t="s">
        <v>839</v>
      </c>
      <c r="S362" s="693"/>
      <c r="T362" s="693"/>
      <c r="U362" s="701">
        <f>IF(T360&gt;0,(VLOOKUP(V362,'Lookup Ready-reckoner'!$L$5:$M$1207,2))," ")</f>
        <v>98.1</v>
      </c>
      <c r="V362" s="695">
        <f>IF(U360&gt;0,(SUM(V360:V361))," ")</f>
        <v>2074.9999999999995</v>
      </c>
      <c r="W362" s="696"/>
      <c r="X362" s="364"/>
      <c r="Y362" s="363"/>
      <c r="Z362" s="363"/>
      <c r="AA362" s="367"/>
      <c r="AB362"/>
      <c r="AC362"/>
      <c r="AD362"/>
      <c r="AE362"/>
      <c r="AF362"/>
      <c r="AG362"/>
      <c r="AH362"/>
      <c r="AI362"/>
      <c r="AJ362"/>
      <c r="AK362"/>
      <c r="AL362"/>
      <c r="AM362"/>
      <c r="AN362"/>
      <c r="AO362"/>
      <c r="AP362"/>
      <c r="AQ362"/>
      <c r="AR362"/>
      <c r="AS362"/>
      <c r="AT362"/>
      <c r="AU362"/>
    </row>
    <row r="363" spans="17:47" ht="12.75" customHeight="1">
      <c r="Q363" s="364"/>
      <c r="R363" s="697"/>
      <c r="S363" s="687"/>
      <c r="T363" s="687"/>
      <c r="U363" s="372"/>
      <c r="V363" s="374"/>
      <c r="W363" s="688"/>
      <c r="X363" s="364"/>
      <c r="Y363" s="363"/>
      <c r="Z363" s="363"/>
      <c r="AA363" s="367"/>
      <c r="AB363"/>
      <c r="AC363"/>
      <c r="AD363"/>
      <c r="AE363"/>
      <c r="AF363"/>
      <c r="AG363"/>
      <c r="AH363"/>
      <c r="AI363"/>
      <c r="AJ363"/>
      <c r="AK363"/>
      <c r="AL363"/>
      <c r="AM363"/>
      <c r="AN363"/>
      <c r="AO363"/>
      <c r="AP363"/>
      <c r="AQ363"/>
      <c r="AR363"/>
      <c r="AS363"/>
      <c r="AT363"/>
      <c r="AU363"/>
    </row>
    <row r="364" spans="17:47" ht="12.75" customHeight="1" thickBot="1">
      <c r="Q364" s="364"/>
      <c r="R364" s="686" t="s">
        <v>60</v>
      </c>
      <c r="S364" s="577"/>
      <c r="T364" s="577"/>
      <c r="U364" s="577"/>
      <c r="V364" s="577"/>
      <c r="W364" s="698"/>
      <c r="X364" s="364"/>
      <c r="Y364" s="363"/>
      <c r="Z364" s="363"/>
      <c r="AA364" s="367"/>
      <c r="AB364"/>
      <c r="AC364"/>
      <c r="AD364"/>
      <c r="AE364"/>
      <c r="AF364"/>
      <c r="AG364"/>
      <c r="AH364"/>
      <c r="AI364"/>
      <c r="AJ364"/>
      <c r="AK364"/>
      <c r="AL364"/>
      <c r="AM364"/>
      <c r="AN364"/>
      <c r="AO364"/>
      <c r="AP364"/>
      <c r="AQ364"/>
      <c r="AR364"/>
      <c r="AS364"/>
      <c r="AT364"/>
      <c r="AU364"/>
    </row>
    <row r="365" spans="17:47" ht="12.75" customHeight="1">
      <c r="Q365" s="364"/>
      <c r="R365" s="895" t="s">
        <v>845</v>
      </c>
      <c r="S365" s="896"/>
      <c r="T365" s="900" t="s">
        <v>835</v>
      </c>
      <c r="U365" s="900" t="s">
        <v>836</v>
      </c>
      <c r="V365" s="900" t="s">
        <v>837</v>
      </c>
      <c r="W365" s="902" t="s">
        <v>838</v>
      </c>
      <c r="X365" s="364"/>
      <c r="Y365" s="363"/>
      <c r="Z365" s="363"/>
      <c r="AA365" s="367"/>
      <c r="AB365"/>
      <c r="AC365"/>
      <c r="AD365"/>
      <c r="AE365"/>
      <c r="AF365"/>
      <c r="AG365"/>
      <c r="AH365"/>
      <c r="AI365"/>
      <c r="AJ365"/>
      <c r="AK365"/>
      <c r="AL365"/>
      <c r="AM365"/>
      <c r="AN365"/>
      <c r="AO365"/>
      <c r="AP365"/>
      <c r="AQ365"/>
      <c r="AR365"/>
      <c r="AS365"/>
      <c r="AT365"/>
      <c r="AU365"/>
    </row>
    <row r="366" spans="17:47" ht="12.75" customHeight="1">
      <c r="Q366" s="364"/>
      <c r="R366" s="892"/>
      <c r="S366" s="897"/>
      <c r="T366" s="901"/>
      <c r="U366" s="901"/>
      <c r="V366" s="901"/>
      <c r="W366" s="903"/>
      <c r="X366" s="364"/>
      <c r="Y366" s="363"/>
      <c r="Z366" s="363"/>
      <c r="AA366" s="367"/>
      <c r="AB366"/>
      <c r="AC366"/>
      <c r="AD366"/>
      <c r="AE366"/>
      <c r="AF366"/>
      <c r="AG366"/>
      <c r="AH366"/>
      <c r="AI366"/>
      <c r="AJ366"/>
      <c r="AK366"/>
      <c r="AL366"/>
      <c r="AM366"/>
      <c r="AN366"/>
      <c r="AO366"/>
      <c r="AP366"/>
      <c r="AQ366"/>
      <c r="AR366"/>
      <c r="AS366"/>
      <c r="AT366"/>
      <c r="AU366"/>
    </row>
    <row r="367" spans="17:47" ht="12.75" customHeight="1">
      <c r="Q367" s="364"/>
      <c r="R367" s="892"/>
      <c r="S367" s="897"/>
      <c r="T367" s="700">
        <f>T354-PPE!$I$15</f>
        <v>95</v>
      </c>
      <c r="U367" s="560">
        <f>U360</f>
        <v>1.9999999999999996</v>
      </c>
      <c r="V367" s="690">
        <f>IF(T367&gt;0,W367*U367," ")</f>
        <v>249.99999999999994</v>
      </c>
      <c r="W367" s="691">
        <f>IF(T367&gt;0,(VLOOKUP(T367,'Lookup Ready-reckoner'!$B$5:$E$1207,4))," ")</f>
        <v>125</v>
      </c>
      <c r="X367" s="364"/>
      <c r="Y367" s="363"/>
      <c r="Z367" s="363"/>
      <c r="AA367" s="367"/>
      <c r="AB367"/>
      <c r="AC367"/>
      <c r="AD367"/>
      <c r="AE367"/>
      <c r="AF367"/>
      <c r="AG367"/>
      <c r="AH367"/>
      <c r="AI367"/>
      <c r="AJ367"/>
      <c r="AK367"/>
      <c r="AL367"/>
      <c r="AM367"/>
      <c r="AN367"/>
      <c r="AO367"/>
      <c r="AP367"/>
      <c r="AQ367"/>
      <c r="AR367"/>
      <c r="AS367"/>
      <c r="AT367"/>
      <c r="AU367"/>
    </row>
    <row r="368" spans="17:47" ht="12.75" customHeight="1">
      <c r="Q368" s="364"/>
      <c r="R368" s="898"/>
      <c r="S368" s="899"/>
      <c r="T368" s="447"/>
      <c r="U368" s="560"/>
      <c r="V368" s="690" t="str">
        <f>IF(T368&gt;0,W368*U368," ")</f>
        <v xml:space="preserve"> </v>
      </c>
      <c r="W368" s="691" t="str">
        <f>IF(T368&gt;0,(VLOOKUP(T368,'Lookup Ready-reckoner'!$B$5:$E$1007,4))," ")</f>
        <v xml:space="preserve"> </v>
      </c>
      <c r="X368" s="364"/>
      <c r="Y368" s="363"/>
      <c r="Z368" s="363"/>
      <c r="AA368" s="367"/>
      <c r="AB368"/>
      <c r="AC368"/>
      <c r="AD368"/>
      <c r="AE368"/>
      <c r="AF368"/>
      <c r="AG368"/>
      <c r="AH368"/>
      <c r="AI368"/>
      <c r="AJ368"/>
      <c r="AK368"/>
      <c r="AL368"/>
      <c r="AM368"/>
      <c r="AN368"/>
      <c r="AO368"/>
      <c r="AP368"/>
      <c r="AQ368"/>
      <c r="AR368"/>
      <c r="AS368"/>
      <c r="AT368"/>
      <c r="AU368"/>
    </row>
    <row r="369" spans="17:47" ht="12.75" customHeight="1" thickBot="1">
      <c r="Q369" s="364"/>
      <c r="R369" s="692" t="s">
        <v>839</v>
      </c>
      <c r="S369" s="693"/>
      <c r="T369" s="693"/>
      <c r="U369" s="701">
        <f>IF(T367&gt;0,(VLOOKUP(V369,'Lookup Ready-reckoner'!$L$5:$M$1207,2))," ")</f>
        <v>88.95</v>
      </c>
      <c r="V369" s="695">
        <f>IF(U367&gt;0,(SUM(V367:V368))," ")</f>
        <v>249.99999999999994</v>
      </c>
      <c r="W369" s="696"/>
      <c r="X369" s="364"/>
      <c r="Y369" s="363"/>
      <c r="Z369" s="363"/>
      <c r="AA369" s="367"/>
      <c r="AB369"/>
      <c r="AC369"/>
      <c r="AD369"/>
      <c r="AE369"/>
      <c r="AF369"/>
      <c r="AG369"/>
      <c r="AH369"/>
      <c r="AI369"/>
      <c r="AJ369"/>
      <c r="AK369"/>
      <c r="AL369"/>
      <c r="AM369"/>
      <c r="AN369"/>
      <c r="AO369"/>
      <c r="AP369"/>
      <c r="AQ369"/>
      <c r="AR369"/>
      <c r="AS369"/>
      <c r="AT369"/>
      <c r="AU369"/>
    </row>
    <row r="370" spans="17:47" ht="12.75" customHeight="1" thickBot="1">
      <c r="Q370" s="364"/>
      <c r="R370" s="892"/>
      <c r="S370" s="893"/>
      <c r="T370" s="893"/>
      <c r="U370" s="893"/>
      <c r="V370" s="893"/>
      <c r="W370" s="894"/>
      <c r="X370" s="364"/>
      <c r="Y370" s="363"/>
      <c r="Z370" s="363"/>
      <c r="AA370" s="367"/>
      <c r="AB370"/>
      <c r="AC370"/>
      <c r="AD370"/>
      <c r="AE370"/>
      <c r="AF370"/>
      <c r="AG370"/>
      <c r="AH370"/>
      <c r="AI370"/>
      <c r="AJ370"/>
      <c r="AK370"/>
      <c r="AL370"/>
      <c r="AM370"/>
      <c r="AN370"/>
      <c r="AO370"/>
      <c r="AP370"/>
      <c r="AQ370"/>
      <c r="AR370"/>
      <c r="AS370"/>
      <c r="AT370"/>
      <c r="AU370"/>
    </row>
    <row r="371" spans="17:47" ht="12.75" customHeight="1">
      <c r="Q371" s="364"/>
      <c r="R371" s="895" t="s">
        <v>886</v>
      </c>
      <c r="S371" s="896"/>
      <c r="T371" s="900" t="s">
        <v>835</v>
      </c>
      <c r="U371" s="900" t="s">
        <v>836</v>
      </c>
      <c r="V371" s="900" t="s">
        <v>837</v>
      </c>
      <c r="W371" s="902" t="s">
        <v>838</v>
      </c>
      <c r="X371" s="364"/>
      <c r="Y371" s="363"/>
      <c r="Z371" s="363"/>
      <c r="AA371" s="367"/>
      <c r="AB371"/>
      <c r="AC371"/>
      <c r="AD371"/>
      <c r="AE371"/>
      <c r="AF371"/>
      <c r="AG371"/>
      <c r="AH371"/>
      <c r="AI371"/>
      <c r="AJ371"/>
      <c r="AK371"/>
      <c r="AL371"/>
      <c r="AM371"/>
      <c r="AN371"/>
      <c r="AO371"/>
      <c r="AP371"/>
      <c r="AQ371"/>
      <c r="AR371"/>
      <c r="AS371"/>
      <c r="AT371"/>
      <c r="AU371"/>
    </row>
    <row r="372" spans="17:47" ht="12.75" customHeight="1">
      <c r="Q372" s="364"/>
      <c r="R372" s="892"/>
      <c r="S372" s="897"/>
      <c r="T372" s="901"/>
      <c r="U372" s="901"/>
      <c r="V372" s="901"/>
      <c r="W372" s="903"/>
      <c r="X372" s="364"/>
      <c r="Y372" s="363"/>
      <c r="Z372" s="363"/>
      <c r="AA372" s="367"/>
      <c r="AB372"/>
      <c r="AC372"/>
      <c r="AD372"/>
      <c r="AE372"/>
      <c r="AF372"/>
      <c r="AG372"/>
      <c r="AH372"/>
      <c r="AI372"/>
      <c r="AJ372"/>
      <c r="AK372"/>
      <c r="AL372"/>
      <c r="AM372"/>
      <c r="AN372"/>
      <c r="AO372"/>
      <c r="AP372"/>
      <c r="AQ372"/>
      <c r="AR372"/>
      <c r="AS372"/>
      <c r="AT372"/>
      <c r="AU372"/>
    </row>
    <row r="373" spans="17:47" ht="12.75" customHeight="1">
      <c r="Q373" s="364"/>
      <c r="R373" s="892"/>
      <c r="S373" s="897"/>
      <c r="T373" s="700">
        <f>T360-PPE!$I$15</f>
        <v>91.155200000000008</v>
      </c>
      <c r="U373" s="560">
        <f>U367</f>
        <v>1.9999999999999996</v>
      </c>
      <c r="V373" s="690">
        <f>IF(T373&gt;0,W373*U373," ")</f>
        <v>103.74999999999997</v>
      </c>
      <c r="W373" s="691">
        <f>IF(T373&gt;0,(VLOOKUP(T373,'Lookup Ready-reckoner'!$B$5:$E$1207,4))," ")</f>
        <v>51.875</v>
      </c>
      <c r="X373" s="364"/>
      <c r="Y373" s="363"/>
      <c r="Z373" s="363"/>
      <c r="AA373" s="367"/>
      <c r="AB373"/>
      <c r="AC373"/>
      <c r="AD373"/>
      <c r="AE373"/>
      <c r="AF373"/>
      <c r="AG373"/>
      <c r="AH373"/>
      <c r="AI373"/>
      <c r="AJ373"/>
      <c r="AK373"/>
      <c r="AL373"/>
      <c r="AM373"/>
      <c r="AN373"/>
      <c r="AO373"/>
      <c r="AP373"/>
      <c r="AQ373"/>
      <c r="AR373"/>
      <c r="AS373"/>
      <c r="AT373"/>
      <c r="AU373"/>
    </row>
    <row r="374" spans="17:47" ht="12.75" customHeight="1">
      <c r="Q374" s="364"/>
      <c r="R374" s="898"/>
      <c r="S374" s="899"/>
      <c r="T374" s="447"/>
      <c r="U374" s="560"/>
      <c r="V374" s="690" t="str">
        <f>IF(T374&gt;0,W374*U374," ")</f>
        <v xml:space="preserve"> </v>
      </c>
      <c r="W374" s="691" t="str">
        <f>IF(T374&gt;0,(VLOOKUP(T374,'Lookup Ready-reckoner'!$B$5:$E$1007,4))," ")</f>
        <v xml:space="preserve"> </v>
      </c>
      <c r="X374" s="364"/>
      <c r="Y374" s="363"/>
      <c r="Z374" s="363"/>
      <c r="AA374" s="367"/>
      <c r="AB374"/>
      <c r="AC374"/>
      <c r="AD374"/>
      <c r="AE374"/>
      <c r="AF374"/>
      <c r="AG374"/>
      <c r="AH374"/>
      <c r="AI374"/>
      <c r="AJ374"/>
      <c r="AK374"/>
      <c r="AL374"/>
      <c r="AM374"/>
      <c r="AN374"/>
      <c r="AO374"/>
      <c r="AP374"/>
      <c r="AQ374"/>
      <c r="AR374"/>
      <c r="AS374"/>
      <c r="AT374"/>
      <c r="AU374"/>
    </row>
    <row r="375" spans="17:47" ht="12.75" customHeight="1" thickBot="1">
      <c r="Q375" s="364"/>
      <c r="R375" s="692" t="s">
        <v>839</v>
      </c>
      <c r="S375" s="693"/>
      <c r="T375" s="693"/>
      <c r="U375" s="701">
        <f>IF(T373&gt;0,(VLOOKUP(V375,'Lookup Ready-reckoner'!$L$5:$M$1207,2))," ")</f>
        <v>85.1</v>
      </c>
      <c r="V375" s="695">
        <f>IF(U373&gt;0,(SUM(V373:V374))," ")</f>
        <v>103.74999999999997</v>
      </c>
      <c r="W375" s="696"/>
      <c r="X375" s="364"/>
      <c r="Y375" s="363"/>
      <c r="Z375" s="363"/>
      <c r="AA375" s="367"/>
      <c r="AB375"/>
      <c r="AC375"/>
      <c r="AD375"/>
      <c r="AE375"/>
      <c r="AF375"/>
      <c r="AG375"/>
      <c r="AH375"/>
      <c r="AI375"/>
      <c r="AJ375"/>
      <c r="AK375"/>
      <c r="AL375"/>
      <c r="AM375"/>
      <c r="AN375"/>
      <c r="AO375"/>
      <c r="AP375"/>
      <c r="AQ375"/>
      <c r="AR375"/>
      <c r="AS375"/>
      <c r="AT375"/>
      <c r="AU375"/>
    </row>
    <row r="376" spans="17:47" ht="12.75" customHeight="1">
      <c r="Q376" s="364"/>
      <c r="R376" s="363"/>
      <c r="S376" s="363"/>
      <c r="T376" s="363"/>
      <c r="U376" s="363"/>
      <c r="V376" s="363"/>
      <c r="W376" s="363"/>
      <c r="X376" s="364"/>
      <c r="Y376" s="364"/>
      <c r="Z376" s="364"/>
      <c r="AA376" s="367"/>
      <c r="AB376"/>
      <c r="AC376"/>
      <c r="AD376"/>
      <c r="AE376"/>
      <c r="AF376"/>
      <c r="AG376"/>
      <c r="AH376"/>
      <c r="AI376"/>
      <c r="AJ376"/>
      <c r="AK376"/>
      <c r="AL376"/>
      <c r="AM376"/>
      <c r="AN376"/>
      <c r="AO376"/>
      <c r="AP376"/>
      <c r="AQ376"/>
      <c r="AR376"/>
      <c r="AS376"/>
      <c r="AT376"/>
      <c r="AU376"/>
    </row>
    <row r="377" spans="17:47" ht="12.75" customHeight="1">
      <c r="Q377" s="364"/>
      <c r="R377" s="913" t="str">
        <f>U306</f>
        <v>Sulzer ADDS</v>
      </c>
      <c r="S377" s="914"/>
      <c r="T377" s="914"/>
      <c r="U377" s="914"/>
      <c r="V377" s="914"/>
      <c r="W377" s="914"/>
      <c r="X377" s="364"/>
      <c r="Y377" s="363"/>
      <c r="Z377" s="363"/>
      <c r="AA377" s="367"/>
      <c r="AB377"/>
      <c r="AC377"/>
      <c r="AD377"/>
      <c r="AE377"/>
      <c r="AF377"/>
      <c r="AG377"/>
      <c r="AH377"/>
      <c r="AI377"/>
      <c r="AJ377"/>
      <c r="AK377"/>
      <c r="AL377"/>
      <c r="AM377"/>
      <c r="AN377"/>
      <c r="AO377"/>
      <c r="AP377"/>
      <c r="AQ377"/>
      <c r="AR377"/>
      <c r="AS377"/>
      <c r="AT377"/>
      <c r="AU377"/>
    </row>
    <row r="378" spans="17:47" ht="12.75" customHeight="1" thickBot="1">
      <c r="Q378" s="364"/>
      <c r="R378" s="910" t="s">
        <v>205</v>
      </c>
      <c r="S378" s="911"/>
      <c r="T378" s="911"/>
      <c r="U378" s="911"/>
      <c r="V378" s="911"/>
      <c r="W378" s="912"/>
      <c r="X378" s="364"/>
      <c r="Y378" s="363"/>
      <c r="Z378" s="363"/>
      <c r="AA378" s="367"/>
      <c r="AB378"/>
      <c r="AC378"/>
      <c r="AD378"/>
      <c r="AE378"/>
      <c r="AF378"/>
      <c r="AG378"/>
      <c r="AH378"/>
      <c r="AI378"/>
      <c r="AJ378"/>
      <c r="AK378"/>
      <c r="AL378"/>
      <c r="AM378"/>
      <c r="AN378"/>
      <c r="AO378"/>
      <c r="AP378"/>
      <c r="AQ378"/>
      <c r="AR378"/>
      <c r="AS378"/>
      <c r="AT378"/>
      <c r="AU378"/>
    </row>
    <row r="379" spans="17:47" ht="12.75" customHeight="1" thickBot="1">
      <c r="Q379" s="364"/>
      <c r="R379" s="686" t="s">
        <v>59</v>
      </c>
      <c r="S379" s="577"/>
      <c r="T379" s="687"/>
      <c r="U379" s="687"/>
      <c r="V379" s="687"/>
      <c r="W379" s="688"/>
      <c r="X379" s="364"/>
      <c r="Y379" s="363"/>
      <c r="Z379" s="363"/>
      <c r="AA379" s="367"/>
      <c r="AB379"/>
      <c r="AC379"/>
      <c r="AD379"/>
      <c r="AE379"/>
      <c r="AF379"/>
      <c r="AG379"/>
      <c r="AH379"/>
      <c r="AI379"/>
      <c r="AJ379"/>
      <c r="AK379"/>
      <c r="AL379"/>
      <c r="AM379"/>
      <c r="AN379"/>
      <c r="AO379"/>
      <c r="AP379"/>
      <c r="AQ379"/>
      <c r="AR379"/>
      <c r="AS379"/>
      <c r="AT379"/>
      <c r="AU379"/>
    </row>
    <row r="380" spans="17:47" ht="12.75" customHeight="1">
      <c r="Q380" s="364"/>
      <c r="R380" s="895" t="s">
        <v>845</v>
      </c>
      <c r="S380" s="896"/>
      <c r="T380" s="900" t="s">
        <v>835</v>
      </c>
      <c r="U380" s="900" t="s">
        <v>836</v>
      </c>
      <c r="V380" s="900" t="s">
        <v>837</v>
      </c>
      <c r="W380" s="902" t="s">
        <v>838</v>
      </c>
      <c r="X380" s="364"/>
      <c r="Y380" s="363"/>
      <c r="Z380" s="363"/>
      <c r="AA380" s="367"/>
      <c r="AB380"/>
      <c r="AC380"/>
      <c r="AD380"/>
      <c r="AE380"/>
      <c r="AF380"/>
      <c r="AG380"/>
      <c r="AH380"/>
      <c r="AI380"/>
      <c r="AJ380"/>
      <c r="AK380"/>
      <c r="AL380"/>
      <c r="AM380"/>
      <c r="AN380"/>
      <c r="AO380"/>
      <c r="AP380"/>
      <c r="AQ380"/>
      <c r="AR380"/>
      <c r="AS380"/>
      <c r="AT380"/>
      <c r="AU380"/>
    </row>
    <row r="381" spans="17:47" ht="12.75" customHeight="1">
      <c r="Q381" s="364"/>
      <c r="R381" s="892"/>
      <c r="S381" s="897"/>
      <c r="T381" s="904"/>
      <c r="U381" s="904"/>
      <c r="V381" s="904"/>
      <c r="W381" s="905"/>
      <c r="X381" s="364"/>
      <c r="Y381" s="363"/>
      <c r="Z381" s="363"/>
      <c r="AA381" s="367"/>
      <c r="AB381"/>
      <c r="AC381"/>
      <c r="AD381"/>
      <c r="AE381"/>
      <c r="AF381"/>
      <c r="AG381"/>
      <c r="AH381"/>
      <c r="AI381"/>
      <c r="AJ381"/>
      <c r="AK381"/>
      <c r="AL381"/>
      <c r="AM381"/>
      <c r="AN381"/>
      <c r="AO381"/>
      <c r="AP381"/>
      <c r="AQ381"/>
      <c r="AR381"/>
      <c r="AS381"/>
      <c r="AT381"/>
      <c r="AU381"/>
    </row>
    <row r="382" spans="17:47" ht="12.75" customHeight="1">
      <c r="Q382" s="364"/>
      <c r="R382" s="892"/>
      <c r="S382" s="897"/>
      <c r="T382" s="901"/>
      <c r="U382" s="901"/>
      <c r="V382" s="901"/>
      <c r="W382" s="903"/>
      <c r="X382" s="364"/>
      <c r="Y382" s="363"/>
      <c r="Z382" s="363"/>
      <c r="AA382" s="367"/>
      <c r="AB382"/>
      <c r="AC382"/>
      <c r="AD382"/>
      <c r="AE382"/>
      <c r="AF382"/>
      <c r="AG382"/>
      <c r="AH382"/>
      <c r="AI382"/>
      <c r="AJ382"/>
      <c r="AK382"/>
      <c r="AL382"/>
      <c r="AM382"/>
      <c r="AN382"/>
      <c r="AO382"/>
      <c r="AP382"/>
      <c r="AQ382"/>
      <c r="AR382"/>
      <c r="AS382"/>
      <c r="AT382"/>
      <c r="AU382"/>
    </row>
    <row r="383" spans="17:47" ht="12.75" customHeight="1">
      <c r="Q383" s="364"/>
      <c r="R383" s="892"/>
      <c r="S383" s="897"/>
      <c r="T383" s="702">
        <f>W69</f>
        <v>109</v>
      </c>
      <c r="U383" s="560">
        <f>W62</f>
        <v>1.7391304347826084</v>
      </c>
      <c r="V383" s="690">
        <f>IF(T383&gt;0,W383*U383," ")</f>
        <v>5565.2173913043471</v>
      </c>
      <c r="W383" s="691">
        <f>IF(T383&gt;0,(VLOOKUP(T383,'Lookup Ready-reckoner'!$B$5:$E$1207,4))," ")</f>
        <v>3200</v>
      </c>
      <c r="X383" s="364"/>
      <c r="Y383" s="363"/>
      <c r="Z383" s="363"/>
      <c r="AA383" s="367"/>
      <c r="AB383"/>
      <c r="AC383"/>
      <c r="AD383"/>
      <c r="AE383"/>
      <c r="AF383"/>
      <c r="AG383"/>
      <c r="AH383"/>
      <c r="AI383"/>
      <c r="AJ383"/>
      <c r="AK383"/>
      <c r="AL383"/>
      <c r="AM383"/>
      <c r="AN383"/>
      <c r="AO383"/>
      <c r="AP383"/>
      <c r="AQ383"/>
      <c r="AR383"/>
      <c r="AS383"/>
      <c r="AT383"/>
      <c r="AU383"/>
    </row>
    <row r="384" spans="17:47" ht="12.75" customHeight="1">
      <c r="Q384" s="364"/>
      <c r="R384" s="898"/>
      <c r="S384" s="899"/>
      <c r="T384" s="447"/>
      <c r="U384" s="560"/>
      <c r="V384" s="690" t="str">
        <f>IF(T384&gt;0,W384*U384," ")</f>
        <v xml:space="preserve"> </v>
      </c>
      <c r="W384" s="691" t="str">
        <f>IF(T384&gt;0,(VLOOKUP(T384,'Lookup Ready-reckoner'!$B$5:$E$1007,4))," ")</f>
        <v xml:space="preserve"> </v>
      </c>
      <c r="X384" s="364"/>
      <c r="Y384" s="363"/>
      <c r="Z384" s="363"/>
      <c r="AA384" s="367"/>
      <c r="AB384"/>
      <c r="AC384"/>
      <c r="AD384"/>
      <c r="AE384"/>
      <c r="AF384"/>
      <c r="AG384"/>
      <c r="AH384"/>
      <c r="AI384"/>
      <c r="AJ384"/>
      <c r="AK384"/>
      <c r="AL384"/>
      <c r="AM384"/>
      <c r="AN384"/>
      <c r="AO384"/>
      <c r="AP384"/>
      <c r="AQ384"/>
      <c r="AR384"/>
      <c r="AS384"/>
      <c r="AT384"/>
      <c r="AU384"/>
    </row>
    <row r="385" spans="17:47" ht="12.75" customHeight="1" thickBot="1">
      <c r="Q385" s="364"/>
      <c r="R385" s="692" t="s">
        <v>839</v>
      </c>
      <c r="S385" s="693"/>
      <c r="T385" s="693"/>
      <c r="U385" s="703">
        <f>IF(T383&gt;0,(VLOOKUP(V385,'Lookup Ready-reckoner'!$L$5:$M$1207,2))," ")</f>
        <v>102.4</v>
      </c>
      <c r="V385" s="695">
        <f>IF(U383&gt;0,(SUM(V383:V384))," ")</f>
        <v>5565.2173913043471</v>
      </c>
      <c r="W385" s="696"/>
      <c r="X385" s="364"/>
      <c r="Y385" s="363"/>
      <c r="Z385" s="363"/>
      <c r="AA385" s="367"/>
      <c r="AB385"/>
      <c r="AC385"/>
      <c r="AD385"/>
      <c r="AE385"/>
      <c r="AF385"/>
      <c r="AG385"/>
      <c r="AH385"/>
      <c r="AI385"/>
      <c r="AJ385"/>
      <c r="AK385"/>
      <c r="AL385"/>
      <c r="AM385"/>
      <c r="AN385"/>
      <c r="AO385"/>
      <c r="AP385"/>
      <c r="AQ385"/>
      <c r="AR385"/>
      <c r="AS385"/>
      <c r="AT385"/>
      <c r="AU385"/>
    </row>
    <row r="386" spans="17:47" ht="12.75" customHeight="1" thickBot="1">
      <c r="Q386" s="364"/>
      <c r="R386" s="892"/>
      <c r="S386" s="893"/>
      <c r="T386" s="893"/>
      <c r="U386" s="893"/>
      <c r="V386" s="893"/>
      <c r="W386" s="894"/>
      <c r="X386" s="364"/>
      <c r="Y386" s="363"/>
      <c r="Z386" s="363"/>
      <c r="AA386" s="367"/>
      <c r="AB386"/>
      <c r="AC386"/>
      <c r="AD386"/>
      <c r="AE386"/>
      <c r="AF386"/>
      <c r="AG386"/>
      <c r="AH386"/>
      <c r="AI386"/>
      <c r="AJ386"/>
      <c r="AK386"/>
      <c r="AL386"/>
      <c r="AM386"/>
      <c r="AN386"/>
      <c r="AO386"/>
      <c r="AP386"/>
      <c r="AQ386"/>
      <c r="AR386"/>
      <c r="AS386"/>
      <c r="AT386"/>
      <c r="AU386"/>
    </row>
    <row r="387" spans="17:47" ht="12.75" customHeight="1">
      <c r="Q387" s="364"/>
      <c r="R387" s="895" t="s">
        <v>886</v>
      </c>
      <c r="S387" s="896"/>
      <c r="T387" s="900" t="s">
        <v>835</v>
      </c>
      <c r="U387" s="900" t="s">
        <v>836</v>
      </c>
      <c r="V387" s="900" t="s">
        <v>837</v>
      </c>
      <c r="W387" s="902" t="s">
        <v>838</v>
      </c>
      <c r="X387" s="364"/>
      <c r="Y387" s="363"/>
      <c r="Z387" s="363"/>
      <c r="AA387" s="367"/>
      <c r="AB387"/>
      <c r="AC387"/>
      <c r="AD387"/>
      <c r="AE387"/>
      <c r="AF387"/>
      <c r="AG387"/>
      <c r="AH387"/>
      <c r="AI387"/>
      <c r="AJ387"/>
      <c r="AK387"/>
      <c r="AL387"/>
      <c r="AM387"/>
      <c r="AN387"/>
      <c r="AO387"/>
      <c r="AP387"/>
      <c r="AQ387"/>
      <c r="AR387"/>
      <c r="AS387"/>
      <c r="AT387"/>
      <c r="AU387"/>
    </row>
    <row r="388" spans="17:47" ht="12.75" customHeight="1">
      <c r="Q388" s="364"/>
      <c r="R388" s="892"/>
      <c r="S388" s="897"/>
      <c r="T388" s="901"/>
      <c r="U388" s="901"/>
      <c r="V388" s="901"/>
      <c r="W388" s="903"/>
      <c r="X388" s="364"/>
      <c r="Y388" s="363"/>
      <c r="Z388" s="363"/>
      <c r="AA388" s="367"/>
      <c r="AB388"/>
      <c r="AC388"/>
      <c r="AD388"/>
      <c r="AE388"/>
      <c r="AF388"/>
      <c r="AG388"/>
      <c r="AH388"/>
      <c r="AI388"/>
      <c r="AJ388"/>
      <c r="AK388"/>
      <c r="AL388"/>
      <c r="AM388"/>
      <c r="AN388"/>
      <c r="AO388"/>
      <c r="AP388"/>
      <c r="AQ388"/>
      <c r="AR388"/>
      <c r="AS388"/>
      <c r="AT388"/>
      <c r="AU388"/>
    </row>
    <row r="389" spans="17:47" ht="12.75" customHeight="1">
      <c r="Q389" s="364"/>
      <c r="R389" s="892"/>
      <c r="S389" s="897"/>
      <c r="T389" s="702">
        <f>T383*(1-0.0178*2)</f>
        <v>105.11960000000001</v>
      </c>
      <c r="U389" s="560">
        <f>U383</f>
        <v>1.7391304347826084</v>
      </c>
      <c r="V389" s="690">
        <f>IF(T389&gt;0,W389*U389," ")</f>
        <v>2234.782608695652</v>
      </c>
      <c r="W389" s="691">
        <f>IF(T389&gt;0,(VLOOKUP(T389,'Lookup Ready-reckoner'!$B$5:$E$1207,4))," ")</f>
        <v>1285</v>
      </c>
      <c r="X389" s="364"/>
      <c r="Y389" s="363"/>
      <c r="Z389" s="363"/>
      <c r="AA389" s="367"/>
      <c r="AB389"/>
      <c r="AC389"/>
      <c r="AD389"/>
      <c r="AE389"/>
      <c r="AF389"/>
      <c r="AG389"/>
      <c r="AH389"/>
      <c r="AI389"/>
      <c r="AJ389"/>
      <c r="AK389"/>
      <c r="AL389"/>
      <c r="AM389"/>
      <c r="AN389"/>
      <c r="AO389"/>
      <c r="AP389"/>
      <c r="AQ389"/>
      <c r="AR389"/>
      <c r="AS389"/>
      <c r="AT389"/>
      <c r="AU389"/>
    </row>
    <row r="390" spans="17:47" ht="12.75" customHeight="1">
      <c r="Q390" s="364"/>
      <c r="R390" s="898"/>
      <c r="S390" s="899"/>
      <c r="T390" s="447"/>
      <c r="U390" s="560"/>
      <c r="V390" s="690" t="str">
        <f>IF(T390&gt;0,W390*U390," ")</f>
        <v xml:space="preserve"> </v>
      </c>
      <c r="W390" s="691" t="str">
        <f>IF(T390&gt;0,(VLOOKUP(T390,'Lookup Ready-reckoner'!$B$5:$E$1007,4))," ")</f>
        <v xml:space="preserve"> </v>
      </c>
      <c r="X390" s="364"/>
      <c r="Y390" s="363"/>
      <c r="Z390" s="363"/>
      <c r="AA390" s="367"/>
      <c r="AB390"/>
      <c r="AC390"/>
      <c r="AD390"/>
      <c r="AE390"/>
      <c r="AF390"/>
      <c r="AG390"/>
      <c r="AH390"/>
      <c r="AI390"/>
      <c r="AJ390"/>
      <c r="AK390"/>
      <c r="AL390"/>
      <c r="AM390"/>
      <c r="AN390"/>
      <c r="AO390"/>
      <c r="AP390"/>
      <c r="AQ390"/>
      <c r="AR390"/>
      <c r="AS390"/>
      <c r="AT390"/>
      <c r="AU390"/>
    </row>
    <row r="391" spans="17:47" ht="12.75" customHeight="1" thickBot="1">
      <c r="Q391" s="364"/>
      <c r="R391" s="692" t="s">
        <v>839</v>
      </c>
      <c r="S391" s="693"/>
      <c r="T391" s="693"/>
      <c r="U391" s="703">
        <f>IF(T389&gt;0,(VLOOKUP(V391,'Lookup Ready-reckoner'!$L$5:$M$1207,2))," ")</f>
        <v>98.45</v>
      </c>
      <c r="V391" s="695">
        <f>IF(U389&gt;0,(SUM(V389:V390))," ")</f>
        <v>2234.782608695652</v>
      </c>
      <c r="W391" s="696"/>
      <c r="X391" s="364"/>
      <c r="Y391" s="363"/>
      <c r="Z391" s="363"/>
      <c r="AA391" s="367"/>
      <c r="AB391"/>
      <c r="AC391"/>
      <c r="AD391"/>
      <c r="AE391"/>
      <c r="AF391"/>
      <c r="AG391"/>
      <c r="AH391"/>
      <c r="AI391"/>
      <c r="AJ391"/>
      <c r="AK391"/>
      <c r="AL391"/>
      <c r="AM391"/>
      <c r="AN391"/>
      <c r="AO391"/>
      <c r="AP391"/>
      <c r="AQ391"/>
      <c r="AR391"/>
      <c r="AS391"/>
      <c r="AT391"/>
      <c r="AU391"/>
    </row>
    <row r="392" spans="17:47" ht="12.75" customHeight="1">
      <c r="Q392" s="364"/>
      <c r="R392" s="697"/>
      <c r="S392" s="687"/>
      <c r="T392" s="687"/>
      <c r="U392" s="372"/>
      <c r="V392" s="374"/>
      <c r="W392" s="688"/>
      <c r="X392" s="364"/>
      <c r="Y392" s="363"/>
      <c r="Z392" s="363"/>
      <c r="AA392" s="367"/>
      <c r="AB392"/>
      <c r="AC392"/>
      <c r="AD392"/>
      <c r="AE392"/>
      <c r="AF392"/>
      <c r="AG392"/>
      <c r="AH392"/>
      <c r="AI392"/>
      <c r="AJ392"/>
      <c r="AK392"/>
      <c r="AL392"/>
      <c r="AM392"/>
      <c r="AN392"/>
      <c r="AO392"/>
      <c r="AP392"/>
      <c r="AQ392"/>
      <c r="AR392"/>
      <c r="AS392"/>
      <c r="AT392"/>
      <c r="AU392"/>
    </row>
    <row r="393" spans="17:47" ht="12.75" customHeight="1" thickBot="1">
      <c r="Q393" s="364"/>
      <c r="R393" s="686" t="s">
        <v>60</v>
      </c>
      <c r="S393" s="577"/>
      <c r="T393" s="577"/>
      <c r="U393" s="577"/>
      <c r="V393" s="577"/>
      <c r="W393" s="698"/>
      <c r="X393" s="364"/>
      <c r="Y393" s="363"/>
      <c r="Z393" s="363"/>
      <c r="AA393" s="367"/>
      <c r="AB393"/>
      <c r="AC393"/>
      <c r="AD393"/>
      <c r="AE393"/>
      <c r="AF393"/>
      <c r="AG393"/>
      <c r="AH393"/>
      <c r="AI393"/>
      <c r="AJ393"/>
      <c r="AK393"/>
      <c r="AL393"/>
      <c r="AM393"/>
      <c r="AN393"/>
      <c r="AO393"/>
      <c r="AP393"/>
      <c r="AQ393"/>
      <c r="AR393"/>
      <c r="AS393"/>
      <c r="AT393"/>
      <c r="AU393"/>
    </row>
    <row r="394" spans="17:47" ht="12.75" customHeight="1">
      <c r="Q394" s="364"/>
      <c r="R394" s="895" t="s">
        <v>845</v>
      </c>
      <c r="S394" s="896"/>
      <c r="T394" s="900" t="s">
        <v>835</v>
      </c>
      <c r="U394" s="900" t="s">
        <v>836</v>
      </c>
      <c r="V394" s="900" t="s">
        <v>837</v>
      </c>
      <c r="W394" s="902" t="s">
        <v>838</v>
      </c>
      <c r="X394" s="364"/>
      <c r="Y394" s="363"/>
      <c r="Z394" s="363"/>
      <c r="AA394" s="367"/>
      <c r="AB394"/>
      <c r="AC394"/>
      <c r="AD394"/>
      <c r="AE394"/>
      <c r="AF394"/>
      <c r="AG394"/>
      <c r="AH394"/>
      <c r="AI394"/>
      <c r="AJ394"/>
      <c r="AK394"/>
      <c r="AL394"/>
      <c r="AM394"/>
      <c r="AN394"/>
      <c r="AO394"/>
      <c r="AP394"/>
      <c r="AQ394"/>
      <c r="AR394"/>
      <c r="AS394"/>
      <c r="AT394"/>
      <c r="AU394"/>
    </row>
    <row r="395" spans="17:47" ht="12.75" customHeight="1">
      <c r="Q395" s="364"/>
      <c r="R395" s="892"/>
      <c r="S395" s="897"/>
      <c r="T395" s="901"/>
      <c r="U395" s="901"/>
      <c r="V395" s="901"/>
      <c r="W395" s="903"/>
      <c r="X395" s="364"/>
      <c r="Y395" s="363"/>
      <c r="Z395" s="363"/>
      <c r="AA395" s="367"/>
      <c r="AB395"/>
      <c r="AC395"/>
      <c r="AD395"/>
      <c r="AE395"/>
      <c r="AF395"/>
      <c r="AG395"/>
      <c r="AH395"/>
      <c r="AI395"/>
      <c r="AJ395"/>
      <c r="AK395"/>
      <c r="AL395"/>
      <c r="AM395"/>
      <c r="AN395"/>
      <c r="AO395"/>
      <c r="AP395"/>
      <c r="AQ395"/>
      <c r="AR395"/>
      <c r="AS395"/>
      <c r="AT395"/>
      <c r="AU395"/>
    </row>
    <row r="396" spans="17:47" ht="12.75" customHeight="1">
      <c r="Q396" s="364"/>
      <c r="R396" s="892"/>
      <c r="S396" s="897"/>
      <c r="T396" s="702">
        <f>T383-PPE!$I$15</f>
        <v>96</v>
      </c>
      <c r="U396" s="560">
        <f>U389</f>
        <v>1.7391304347826084</v>
      </c>
      <c r="V396" s="690">
        <f>IF(T396&gt;0,W396*U396," ")</f>
        <v>271.73913043478257</v>
      </c>
      <c r="W396" s="691">
        <f>IF(T396&gt;0,(VLOOKUP(T396,'Lookup Ready-reckoner'!$B$5:$E$1207,4))," ")</f>
        <v>156.25</v>
      </c>
      <c r="X396" s="364"/>
      <c r="Y396" s="363"/>
      <c r="Z396" s="363"/>
      <c r="AA396" s="367"/>
      <c r="AB396"/>
      <c r="AC396"/>
      <c r="AD396"/>
      <c r="AE396"/>
      <c r="AF396"/>
      <c r="AG396"/>
      <c r="AH396"/>
      <c r="AI396"/>
      <c r="AJ396"/>
      <c r="AK396"/>
      <c r="AL396"/>
      <c r="AM396"/>
      <c r="AN396"/>
      <c r="AO396"/>
      <c r="AP396"/>
      <c r="AQ396"/>
      <c r="AR396"/>
      <c r="AS396"/>
      <c r="AT396"/>
      <c r="AU396"/>
    </row>
    <row r="397" spans="17:47" ht="12.75" customHeight="1">
      <c r="Q397" s="364"/>
      <c r="R397" s="898"/>
      <c r="S397" s="899"/>
      <c r="T397" s="447"/>
      <c r="U397" s="560"/>
      <c r="V397" s="690" t="str">
        <f>IF(T397&gt;0,W397*U397," ")</f>
        <v xml:space="preserve"> </v>
      </c>
      <c r="W397" s="691" t="str">
        <f>IF(T397&gt;0,(VLOOKUP(T397,'Lookup Ready-reckoner'!$B$5:$E$1007,4))," ")</f>
        <v xml:space="preserve"> </v>
      </c>
      <c r="X397" s="364"/>
      <c r="Y397" s="363"/>
      <c r="Z397" s="363"/>
      <c r="AA397" s="367"/>
      <c r="AB397"/>
      <c r="AC397"/>
      <c r="AD397"/>
      <c r="AE397"/>
      <c r="AF397"/>
      <c r="AG397"/>
      <c r="AH397"/>
      <c r="AI397"/>
      <c r="AJ397"/>
      <c r="AK397"/>
      <c r="AL397"/>
      <c r="AM397"/>
      <c r="AN397"/>
      <c r="AO397"/>
      <c r="AP397"/>
      <c r="AQ397"/>
      <c r="AR397"/>
      <c r="AS397"/>
      <c r="AT397"/>
      <c r="AU397"/>
    </row>
    <row r="398" spans="17:47" ht="12.75" customHeight="1" thickBot="1">
      <c r="Q398" s="364"/>
      <c r="R398" s="692" t="s">
        <v>839</v>
      </c>
      <c r="S398" s="693"/>
      <c r="T398" s="693"/>
      <c r="U398" s="703">
        <f>IF(T396&gt;0,(VLOOKUP(V398,'Lookup Ready-reckoner'!$L$5:$M$1207,2))," ")</f>
        <v>89.3</v>
      </c>
      <c r="V398" s="695">
        <f>IF(U396&gt;0,(SUM(V396:V397))," ")</f>
        <v>271.73913043478257</v>
      </c>
      <c r="W398" s="696"/>
      <c r="X398" s="364"/>
      <c r="Y398" s="363"/>
      <c r="Z398" s="363"/>
      <c r="AA398" s="367"/>
      <c r="AB398"/>
      <c r="AC398"/>
      <c r="AD398"/>
      <c r="AE398"/>
      <c r="AF398"/>
      <c r="AG398"/>
      <c r="AH398"/>
      <c r="AI398"/>
      <c r="AJ398"/>
      <c r="AK398"/>
      <c r="AL398"/>
      <c r="AM398"/>
      <c r="AN398"/>
      <c r="AO398"/>
      <c r="AP398"/>
      <c r="AQ398"/>
      <c r="AR398"/>
      <c r="AS398"/>
      <c r="AT398"/>
      <c r="AU398"/>
    </row>
    <row r="399" spans="17:47" ht="12.75" customHeight="1" thickBot="1">
      <c r="Q399" s="364"/>
      <c r="R399" s="892"/>
      <c r="S399" s="893"/>
      <c r="T399" s="893"/>
      <c r="U399" s="893"/>
      <c r="V399" s="893"/>
      <c r="W399" s="894"/>
      <c r="X399" s="364"/>
      <c r="Y399" s="363"/>
      <c r="Z399" s="363"/>
      <c r="AA399" s="367"/>
      <c r="AB399"/>
      <c r="AC399"/>
      <c r="AD399"/>
      <c r="AE399"/>
      <c r="AF399"/>
      <c r="AG399"/>
      <c r="AH399"/>
      <c r="AI399"/>
      <c r="AJ399"/>
      <c r="AK399"/>
      <c r="AL399"/>
      <c r="AM399"/>
      <c r="AN399"/>
      <c r="AO399"/>
      <c r="AP399"/>
      <c r="AQ399"/>
      <c r="AR399"/>
      <c r="AS399"/>
      <c r="AT399"/>
      <c r="AU399"/>
    </row>
    <row r="400" spans="17:47" ht="12.75" customHeight="1">
      <c r="Q400" s="364"/>
      <c r="R400" s="895" t="s">
        <v>886</v>
      </c>
      <c r="S400" s="896"/>
      <c r="T400" s="900" t="s">
        <v>835</v>
      </c>
      <c r="U400" s="900" t="s">
        <v>836</v>
      </c>
      <c r="V400" s="900" t="s">
        <v>837</v>
      </c>
      <c r="W400" s="902" t="s">
        <v>838</v>
      </c>
      <c r="X400" s="364"/>
      <c r="Y400" s="363"/>
      <c r="Z400" s="363"/>
      <c r="AA400" s="367"/>
      <c r="AB400"/>
      <c r="AC400"/>
      <c r="AD400"/>
      <c r="AE400"/>
      <c r="AF400"/>
      <c r="AG400"/>
      <c r="AH400"/>
      <c r="AI400"/>
      <c r="AJ400"/>
      <c r="AK400"/>
      <c r="AL400"/>
      <c r="AM400"/>
      <c r="AN400"/>
      <c r="AO400"/>
      <c r="AP400"/>
      <c r="AQ400"/>
      <c r="AR400"/>
      <c r="AS400"/>
      <c r="AT400"/>
      <c r="AU400"/>
    </row>
    <row r="401" spans="17:47" ht="12.75" customHeight="1">
      <c r="Q401" s="364"/>
      <c r="R401" s="892"/>
      <c r="S401" s="897"/>
      <c r="T401" s="901"/>
      <c r="U401" s="901"/>
      <c r="V401" s="901"/>
      <c r="W401" s="903"/>
      <c r="X401" s="364"/>
      <c r="Y401" s="363"/>
      <c r="Z401" s="363"/>
      <c r="AA401" s="367"/>
      <c r="AB401"/>
      <c r="AC401"/>
      <c r="AD401"/>
      <c r="AE401"/>
      <c r="AF401"/>
      <c r="AG401"/>
      <c r="AH401"/>
      <c r="AI401"/>
      <c r="AJ401"/>
      <c r="AK401"/>
      <c r="AL401"/>
      <c r="AM401"/>
      <c r="AN401"/>
      <c r="AO401"/>
      <c r="AP401"/>
      <c r="AQ401"/>
      <c r="AR401"/>
      <c r="AS401"/>
      <c r="AT401"/>
      <c r="AU401"/>
    </row>
    <row r="402" spans="17:47" ht="12.75" customHeight="1">
      <c r="Q402" s="364"/>
      <c r="R402" s="892"/>
      <c r="S402" s="897"/>
      <c r="T402" s="702">
        <f>T389-PPE!$I$15</f>
        <v>92.119600000000005</v>
      </c>
      <c r="U402" s="560">
        <f>U396</f>
        <v>1.7391304347826084</v>
      </c>
      <c r="V402" s="690">
        <f>IF(T402&gt;0,W402*U402," ")</f>
        <v>111.52173913043477</v>
      </c>
      <c r="W402" s="691">
        <f>IF(T402&gt;0,(VLOOKUP(T402,'Lookup Ready-reckoner'!$B$5:$E$1207,4))," ")</f>
        <v>64.125</v>
      </c>
      <c r="X402" s="364"/>
      <c r="Y402" s="363"/>
      <c r="Z402" s="363"/>
      <c r="AA402" s="367"/>
      <c r="AB402"/>
      <c r="AC402"/>
      <c r="AD402"/>
      <c r="AE402"/>
      <c r="AF402"/>
      <c r="AG402"/>
      <c r="AH402"/>
      <c r="AI402"/>
      <c r="AJ402"/>
      <c r="AK402"/>
      <c r="AL402"/>
      <c r="AM402"/>
      <c r="AN402"/>
      <c r="AO402"/>
      <c r="AP402"/>
      <c r="AQ402"/>
      <c r="AR402"/>
      <c r="AS402"/>
      <c r="AT402"/>
      <c r="AU402"/>
    </row>
    <row r="403" spans="17:47" ht="12.75" customHeight="1">
      <c r="Q403" s="364"/>
      <c r="R403" s="898"/>
      <c r="S403" s="899"/>
      <c r="T403" s="447"/>
      <c r="U403" s="560"/>
      <c r="V403" s="690" t="str">
        <f>IF(T403&gt;0,W403*U403," ")</f>
        <v xml:space="preserve"> </v>
      </c>
      <c r="W403" s="691" t="str">
        <f>IF(T403&gt;0,(VLOOKUP(T403,'Lookup Ready-reckoner'!$B$5:$E$1007,4))," ")</f>
        <v xml:space="preserve"> </v>
      </c>
      <c r="X403" s="364"/>
      <c r="Y403" s="363"/>
      <c r="Z403" s="363"/>
      <c r="AA403" s="367"/>
      <c r="AB403"/>
      <c r="AC403"/>
      <c r="AD403"/>
      <c r="AE403"/>
      <c r="AF403"/>
      <c r="AG403"/>
      <c r="AH403"/>
      <c r="AI403"/>
      <c r="AJ403"/>
      <c r="AK403"/>
      <c r="AL403"/>
      <c r="AM403"/>
      <c r="AN403"/>
      <c r="AO403"/>
      <c r="AP403"/>
      <c r="AQ403"/>
      <c r="AR403"/>
      <c r="AS403"/>
      <c r="AT403"/>
      <c r="AU403"/>
    </row>
    <row r="404" spans="17:47" ht="12.75" customHeight="1" thickBot="1">
      <c r="Q404" s="364"/>
      <c r="R404" s="692" t="s">
        <v>839</v>
      </c>
      <c r="S404" s="693"/>
      <c r="T404" s="693"/>
      <c r="U404" s="703">
        <f>IF(T402&gt;0,(VLOOKUP(V404,'Lookup Ready-reckoner'!$L$5:$M$1207,2))," ")</f>
        <v>85.45</v>
      </c>
      <c r="V404" s="695">
        <f>IF(U402&gt;0,(SUM(V402:V403))," ")</f>
        <v>111.52173913043477</v>
      </c>
      <c r="W404" s="696"/>
      <c r="X404" s="364"/>
      <c r="Y404" s="363"/>
      <c r="Z404" s="363"/>
      <c r="AA404" s="367"/>
      <c r="AB404"/>
      <c r="AC404"/>
      <c r="AD404"/>
      <c r="AE404"/>
      <c r="AF404"/>
      <c r="AG404"/>
      <c r="AH404"/>
      <c r="AI404"/>
      <c r="AJ404"/>
      <c r="AK404"/>
      <c r="AL404"/>
      <c r="AM404"/>
      <c r="AN404"/>
      <c r="AO404"/>
      <c r="AP404"/>
      <c r="AQ404"/>
      <c r="AR404"/>
      <c r="AS404"/>
      <c r="AT404"/>
      <c r="AU404"/>
    </row>
    <row r="405" spans="17:47" ht="12.75" customHeight="1">
      <c r="Q405" s="364"/>
      <c r="R405" s="363"/>
      <c r="S405" s="363"/>
      <c r="T405" s="363"/>
      <c r="U405" s="363"/>
      <c r="V405" s="363"/>
      <c r="W405" s="363"/>
      <c r="X405" s="364"/>
      <c r="Y405" s="364"/>
      <c r="Z405" s="364"/>
      <c r="AA405" s="367"/>
      <c r="AB405"/>
      <c r="AC405"/>
      <c r="AD405"/>
      <c r="AE405"/>
      <c r="AF405"/>
      <c r="AG405"/>
      <c r="AH405"/>
      <c r="AI405"/>
      <c r="AJ405"/>
      <c r="AK405"/>
      <c r="AL405"/>
      <c r="AM405"/>
      <c r="AN405"/>
      <c r="AO405"/>
      <c r="AP405"/>
      <c r="AQ405"/>
      <c r="AR405"/>
      <c r="AS405"/>
      <c r="AT405"/>
      <c r="AU405"/>
    </row>
    <row r="406" spans="17:47" ht="12.75" customHeight="1">
      <c r="Q406" s="364"/>
      <c r="R406" s="909" t="str">
        <f>V306</f>
        <v xml:space="preserve">Hilti TE MD20 </v>
      </c>
      <c r="S406" s="909"/>
      <c r="T406" s="909"/>
      <c r="U406" s="909"/>
      <c r="V406" s="909"/>
      <c r="W406" s="909"/>
      <c r="X406" s="364"/>
      <c r="Y406" s="364"/>
      <c r="Z406" s="364"/>
      <c r="AA406" s="367"/>
      <c r="AB406"/>
      <c r="AC406"/>
      <c r="AD406"/>
      <c r="AE406"/>
      <c r="AF406"/>
      <c r="AG406"/>
      <c r="AH406"/>
      <c r="AI406"/>
      <c r="AJ406"/>
      <c r="AK406"/>
      <c r="AL406"/>
      <c r="AM406"/>
      <c r="AN406"/>
      <c r="AO406"/>
      <c r="AP406"/>
      <c r="AQ406"/>
      <c r="AR406"/>
      <c r="AS406"/>
      <c r="AT406"/>
      <c r="AU406"/>
    </row>
    <row r="407" spans="17:47" ht="12.75" customHeight="1" thickBot="1">
      <c r="Q407" s="364"/>
      <c r="R407" s="910" t="s">
        <v>205</v>
      </c>
      <c r="S407" s="911"/>
      <c r="T407" s="911"/>
      <c r="U407" s="911"/>
      <c r="V407" s="911"/>
      <c r="W407" s="912"/>
      <c r="X407" s="364"/>
      <c r="Y407" s="364"/>
      <c r="Z407" s="364"/>
      <c r="AA407" s="367"/>
      <c r="AB407"/>
      <c r="AC407"/>
      <c r="AD407"/>
      <c r="AE407"/>
      <c r="AF407"/>
      <c r="AG407"/>
      <c r="AH407"/>
      <c r="AI407"/>
      <c r="AJ407"/>
      <c r="AK407"/>
      <c r="AL407"/>
      <c r="AM407"/>
      <c r="AN407"/>
      <c r="AO407"/>
      <c r="AP407"/>
      <c r="AQ407"/>
      <c r="AR407"/>
      <c r="AS407"/>
      <c r="AT407"/>
      <c r="AU407"/>
    </row>
    <row r="408" spans="17:47" ht="12.75" customHeight="1" thickBot="1">
      <c r="Q408" s="364"/>
      <c r="R408" s="686" t="s">
        <v>59</v>
      </c>
      <c r="S408" s="577"/>
      <c r="T408" s="687"/>
      <c r="U408" s="687"/>
      <c r="V408" s="687"/>
      <c r="W408" s="688"/>
      <c r="X408" s="364"/>
      <c r="Y408" s="364"/>
      <c r="Z408" s="364"/>
      <c r="AA408" s="367"/>
      <c r="AB408"/>
      <c r="AC408"/>
      <c r="AD408"/>
      <c r="AE408"/>
      <c r="AF408"/>
      <c r="AG408"/>
      <c r="AH408"/>
      <c r="AI408"/>
      <c r="AJ408"/>
      <c r="AK408"/>
      <c r="AL408"/>
      <c r="AM408"/>
      <c r="AN408"/>
      <c r="AO408"/>
      <c r="AP408"/>
      <c r="AQ408"/>
      <c r="AR408"/>
      <c r="AS408"/>
      <c r="AT408"/>
      <c r="AU408"/>
    </row>
    <row r="409" spans="17:47" ht="12.75" customHeight="1">
      <c r="Q409" s="364"/>
      <c r="R409" s="895" t="s">
        <v>845</v>
      </c>
      <c r="S409" s="896"/>
      <c r="T409" s="900" t="s">
        <v>835</v>
      </c>
      <c r="U409" s="900" t="s">
        <v>836</v>
      </c>
      <c r="V409" s="900" t="s">
        <v>837</v>
      </c>
      <c r="W409" s="902" t="s">
        <v>838</v>
      </c>
      <c r="X409" s="364"/>
      <c r="Y409" s="364"/>
      <c r="Z409" s="364"/>
      <c r="AA409" s="367"/>
      <c r="AB409"/>
      <c r="AC409"/>
      <c r="AD409"/>
      <c r="AE409"/>
      <c r="AF409"/>
      <c r="AG409"/>
      <c r="AH409"/>
      <c r="AI409"/>
      <c r="AJ409"/>
      <c r="AK409"/>
      <c r="AL409"/>
      <c r="AM409"/>
      <c r="AN409"/>
      <c r="AO409"/>
      <c r="AP409"/>
      <c r="AQ409"/>
      <c r="AR409"/>
      <c r="AS409"/>
      <c r="AT409"/>
      <c r="AU409"/>
    </row>
    <row r="410" spans="17:47" ht="12.75" customHeight="1">
      <c r="Q410" s="364"/>
      <c r="R410" s="892"/>
      <c r="S410" s="897"/>
      <c r="T410" s="904"/>
      <c r="U410" s="904"/>
      <c r="V410" s="904"/>
      <c r="W410" s="905"/>
      <c r="X410" s="364"/>
      <c r="Y410" s="364"/>
      <c r="Z410" s="364"/>
      <c r="AA410" s="367"/>
      <c r="AB410"/>
      <c r="AC410"/>
      <c r="AD410"/>
      <c r="AE410"/>
      <c r="AF410"/>
      <c r="AG410"/>
      <c r="AH410"/>
      <c r="AI410"/>
      <c r="AJ410"/>
      <c r="AK410"/>
      <c r="AL410"/>
      <c r="AM410"/>
      <c r="AN410"/>
      <c r="AO410"/>
      <c r="AP410"/>
      <c r="AQ410"/>
      <c r="AR410"/>
      <c r="AS410"/>
      <c r="AT410"/>
      <c r="AU410"/>
    </row>
    <row r="411" spans="17:47" ht="12.75" customHeight="1">
      <c r="Q411" s="364"/>
      <c r="R411" s="892"/>
      <c r="S411" s="897"/>
      <c r="T411" s="901"/>
      <c r="U411" s="901"/>
      <c r="V411" s="901"/>
      <c r="W411" s="903"/>
      <c r="X411" s="364"/>
      <c r="Y411" s="364"/>
      <c r="Z411" s="364"/>
      <c r="AA411" s="367"/>
      <c r="AB411"/>
      <c r="AC411"/>
      <c r="AD411"/>
      <c r="AE411"/>
      <c r="AF411"/>
      <c r="AG411"/>
      <c r="AH411"/>
      <c r="AI411"/>
      <c r="AJ411"/>
      <c r="AK411"/>
      <c r="AL411"/>
      <c r="AM411"/>
      <c r="AN411"/>
      <c r="AO411"/>
      <c r="AP411"/>
      <c r="AQ411"/>
      <c r="AR411"/>
      <c r="AS411"/>
      <c r="AT411"/>
      <c r="AU411"/>
    </row>
    <row r="412" spans="17:47" ht="12.75" customHeight="1">
      <c r="Q412" s="364"/>
      <c r="R412" s="892"/>
      <c r="S412" s="897"/>
      <c r="T412" s="704">
        <f>U69</f>
        <v>102</v>
      </c>
      <c r="U412" s="560">
        <f>U62</f>
        <v>2.6666666666666665</v>
      </c>
      <c r="V412" s="690">
        <f>IF(T412&gt;0,W412*U412," ")</f>
        <v>1666.6666666666665</v>
      </c>
      <c r="W412" s="691">
        <f>IF(T412&gt;0,(VLOOKUP(T412,'Lookup Ready-reckoner'!$B$5:$E$1207,4))," ")</f>
        <v>625</v>
      </c>
      <c r="X412" s="364"/>
      <c r="Y412" s="364"/>
      <c r="Z412" s="364"/>
      <c r="AA412" s="367"/>
      <c r="AB412"/>
      <c r="AC412"/>
      <c r="AD412"/>
      <c r="AE412"/>
      <c r="AF412"/>
      <c r="AG412"/>
      <c r="AH412"/>
      <c r="AI412"/>
      <c r="AJ412"/>
      <c r="AK412"/>
      <c r="AL412"/>
      <c r="AM412"/>
      <c r="AN412"/>
      <c r="AO412"/>
      <c r="AP412"/>
      <c r="AQ412"/>
      <c r="AR412"/>
      <c r="AS412"/>
      <c r="AT412"/>
      <c r="AU412"/>
    </row>
    <row r="413" spans="17:47" ht="12.75" customHeight="1">
      <c r="Q413" s="364"/>
      <c r="R413" s="898"/>
      <c r="S413" s="899"/>
      <c r="T413" s="447"/>
      <c r="U413" s="560"/>
      <c r="V413" s="690" t="str">
        <f>IF(T413&gt;0,W413*U413," ")</f>
        <v xml:space="preserve"> </v>
      </c>
      <c r="W413" s="691" t="str">
        <f>IF(T413&gt;0,(VLOOKUP(T413,'Lookup Ready-reckoner'!$B$5:$E$1007,4))," ")</f>
        <v xml:space="preserve"> </v>
      </c>
      <c r="X413" s="364"/>
      <c r="Y413" s="364"/>
      <c r="Z413" s="364"/>
      <c r="AA413" s="367"/>
      <c r="AB413"/>
      <c r="AC413"/>
      <c r="AD413"/>
      <c r="AE413"/>
      <c r="AF413"/>
      <c r="AG413"/>
      <c r="AH413"/>
      <c r="AI413"/>
      <c r="AJ413"/>
      <c r="AK413"/>
      <c r="AL413"/>
      <c r="AM413"/>
      <c r="AN413"/>
      <c r="AO413"/>
      <c r="AP413"/>
      <c r="AQ413"/>
      <c r="AR413"/>
      <c r="AS413"/>
      <c r="AT413"/>
      <c r="AU413"/>
    </row>
    <row r="414" spans="17:47" ht="12.75" customHeight="1" thickBot="1">
      <c r="Q414" s="364"/>
      <c r="R414" s="692" t="s">
        <v>839</v>
      </c>
      <c r="S414" s="693"/>
      <c r="T414" s="693"/>
      <c r="U414" s="705">
        <f>IF(T412&gt;0,(VLOOKUP(V414,'Lookup Ready-reckoner'!$L$5:$M$1207,2))," ")</f>
        <v>97.15</v>
      </c>
      <c r="V414" s="695">
        <f>IF(U412&gt;0,(SUM(V412:V413))," ")</f>
        <v>1666.6666666666665</v>
      </c>
      <c r="W414" s="696"/>
      <c r="X414" s="364"/>
      <c r="Y414" s="364"/>
      <c r="Z414" s="364"/>
      <c r="AA414" s="367"/>
      <c r="AB414"/>
      <c r="AC414"/>
      <c r="AD414"/>
      <c r="AE414"/>
      <c r="AF414"/>
      <c r="AG414"/>
      <c r="AH414"/>
      <c r="AI414"/>
      <c r="AJ414"/>
      <c r="AK414"/>
      <c r="AL414"/>
      <c r="AM414"/>
      <c r="AN414"/>
      <c r="AO414"/>
      <c r="AP414"/>
      <c r="AQ414"/>
      <c r="AR414"/>
      <c r="AS414"/>
      <c r="AT414"/>
      <c r="AU414"/>
    </row>
    <row r="415" spans="17:47" ht="12.75" customHeight="1" thickBot="1">
      <c r="Q415" s="364"/>
      <c r="R415" s="906"/>
      <c r="S415" s="907"/>
      <c r="T415" s="907"/>
      <c r="U415" s="907"/>
      <c r="V415" s="907"/>
      <c r="W415" s="908"/>
      <c r="X415" s="364"/>
      <c r="Y415" s="364"/>
      <c r="Z415" s="364"/>
      <c r="AA415" s="367"/>
      <c r="AB415"/>
      <c r="AC415"/>
      <c r="AD415"/>
      <c r="AE415"/>
      <c r="AF415"/>
      <c r="AG415"/>
      <c r="AH415"/>
      <c r="AI415"/>
      <c r="AJ415"/>
      <c r="AK415"/>
      <c r="AL415"/>
      <c r="AM415"/>
      <c r="AN415"/>
      <c r="AO415"/>
      <c r="AP415"/>
      <c r="AQ415"/>
      <c r="AR415"/>
      <c r="AS415"/>
      <c r="AT415"/>
      <c r="AU415"/>
    </row>
    <row r="416" spans="17:47" ht="12.75" customHeight="1">
      <c r="Q416" s="364"/>
      <c r="R416" s="895" t="s">
        <v>886</v>
      </c>
      <c r="S416" s="896"/>
      <c r="T416" s="900" t="s">
        <v>835</v>
      </c>
      <c r="U416" s="900" t="s">
        <v>836</v>
      </c>
      <c r="V416" s="900" t="s">
        <v>837</v>
      </c>
      <c r="W416" s="902" t="s">
        <v>838</v>
      </c>
      <c r="X416" s="364"/>
      <c r="Y416" s="364"/>
      <c r="Z416" s="364"/>
      <c r="AA416" s="367"/>
      <c r="AB416"/>
      <c r="AC416"/>
      <c r="AD416"/>
      <c r="AE416"/>
      <c r="AF416"/>
      <c r="AG416"/>
      <c r="AH416"/>
      <c r="AI416"/>
      <c r="AJ416"/>
      <c r="AK416"/>
      <c r="AL416"/>
      <c r="AM416"/>
      <c r="AN416"/>
      <c r="AO416"/>
      <c r="AP416"/>
      <c r="AQ416"/>
      <c r="AR416"/>
      <c r="AS416"/>
      <c r="AT416"/>
      <c r="AU416"/>
    </row>
    <row r="417" spans="17:47" ht="12.75" customHeight="1">
      <c r="Q417" s="364"/>
      <c r="R417" s="892"/>
      <c r="S417" s="897"/>
      <c r="T417" s="901"/>
      <c r="U417" s="901"/>
      <c r="V417" s="901"/>
      <c r="W417" s="903"/>
      <c r="X417" s="364"/>
      <c r="Y417" s="364"/>
      <c r="Z417" s="364"/>
      <c r="AA417" s="367"/>
      <c r="AB417"/>
      <c r="AC417"/>
      <c r="AD417"/>
      <c r="AE417"/>
      <c r="AF417"/>
      <c r="AG417"/>
      <c r="AH417"/>
      <c r="AI417"/>
      <c r="AJ417"/>
      <c r="AK417"/>
      <c r="AL417"/>
      <c r="AM417"/>
      <c r="AN417"/>
      <c r="AO417"/>
      <c r="AP417"/>
      <c r="AQ417"/>
      <c r="AR417"/>
      <c r="AS417"/>
      <c r="AT417"/>
      <c r="AU417"/>
    </row>
    <row r="418" spans="17:47" ht="12.75" customHeight="1">
      <c r="Q418" s="364"/>
      <c r="R418" s="892"/>
      <c r="S418" s="897"/>
      <c r="T418" s="704">
        <f>T412*(1-0.0178*2)</f>
        <v>98.368800000000007</v>
      </c>
      <c r="U418" s="560">
        <f>U412</f>
        <v>2.6666666666666665</v>
      </c>
      <c r="V418" s="690">
        <f>IF(T418&gt;0,W418*U418," ")</f>
        <v>725</v>
      </c>
      <c r="W418" s="691">
        <f>IF(T418&gt;0,(VLOOKUP(T418,'Lookup Ready-reckoner'!$B$5:$E$1207,4))," ")</f>
        <v>271.875</v>
      </c>
      <c r="X418" s="364"/>
      <c r="Y418" s="364"/>
      <c r="Z418" s="364"/>
      <c r="AA418" s="367"/>
      <c r="AB418"/>
      <c r="AC418"/>
      <c r="AD418"/>
      <c r="AE418"/>
      <c r="AF418"/>
      <c r="AG418"/>
      <c r="AH418"/>
      <c r="AI418"/>
      <c r="AJ418"/>
      <c r="AK418"/>
      <c r="AL418"/>
      <c r="AM418"/>
      <c r="AN418"/>
      <c r="AO418"/>
      <c r="AP418"/>
      <c r="AQ418"/>
      <c r="AR418"/>
      <c r="AS418"/>
      <c r="AT418"/>
      <c r="AU418"/>
    </row>
    <row r="419" spans="17:47" ht="12.75" customHeight="1">
      <c r="Q419" s="364"/>
      <c r="R419" s="898"/>
      <c r="S419" s="899"/>
      <c r="T419" s="447"/>
      <c r="U419" s="560"/>
      <c r="V419" s="690" t="str">
        <f>IF(T419&gt;0,W419*U419," ")</f>
        <v xml:space="preserve"> </v>
      </c>
      <c r="W419" s="691" t="str">
        <f>IF(T419&gt;0,(VLOOKUP(T419,'Lookup Ready-reckoner'!$B$5:$E$1007,4))," ")</f>
        <v xml:space="preserve"> </v>
      </c>
      <c r="X419" s="364"/>
      <c r="Y419" s="364"/>
      <c r="Z419" s="364"/>
      <c r="AA419" s="367"/>
      <c r="AB419"/>
      <c r="AC419"/>
      <c r="AD419"/>
      <c r="AE419"/>
      <c r="AF419"/>
      <c r="AG419"/>
      <c r="AH419"/>
      <c r="AI419"/>
      <c r="AJ419"/>
      <c r="AK419"/>
      <c r="AL419"/>
      <c r="AM419"/>
      <c r="AN419"/>
      <c r="AO419"/>
      <c r="AP419"/>
      <c r="AQ419"/>
      <c r="AR419"/>
      <c r="AS419"/>
      <c r="AT419"/>
      <c r="AU419"/>
    </row>
    <row r="420" spans="17:47" ht="12.75" customHeight="1" thickBot="1">
      <c r="Q420" s="364"/>
      <c r="R420" s="692" t="s">
        <v>839</v>
      </c>
      <c r="S420" s="693"/>
      <c r="T420" s="693"/>
      <c r="U420" s="705">
        <f>IF(T418&gt;0,(VLOOKUP(V420,'Lookup Ready-reckoner'!$L$5:$M$1207,2))," ")</f>
        <v>93.55</v>
      </c>
      <c r="V420" s="695">
        <f>IF(U418&gt;0,(SUM(V418:V419))," ")</f>
        <v>725</v>
      </c>
      <c r="W420" s="696"/>
      <c r="X420" s="364"/>
      <c r="Y420" s="364"/>
      <c r="Z420" s="364"/>
      <c r="AA420" s="367"/>
      <c r="AB420"/>
      <c r="AC420"/>
      <c r="AD420"/>
      <c r="AE420"/>
      <c r="AF420"/>
      <c r="AG420"/>
      <c r="AH420"/>
      <c r="AI420"/>
      <c r="AJ420"/>
      <c r="AK420"/>
      <c r="AL420"/>
      <c r="AM420"/>
      <c r="AN420"/>
      <c r="AO420"/>
      <c r="AP420"/>
      <c r="AQ420"/>
      <c r="AR420"/>
      <c r="AS420"/>
      <c r="AT420"/>
      <c r="AU420"/>
    </row>
    <row r="421" spans="17:47" ht="12.75" customHeight="1">
      <c r="Q421" s="364"/>
      <c r="R421" s="697"/>
      <c r="S421" s="687"/>
      <c r="T421" s="687"/>
      <c r="U421" s="372"/>
      <c r="V421" s="374"/>
      <c r="W421" s="688"/>
      <c r="X421" s="364"/>
      <c r="Y421" s="364"/>
      <c r="Z421" s="364"/>
      <c r="AA421" s="367"/>
      <c r="AB421"/>
      <c r="AC421"/>
      <c r="AD421"/>
      <c r="AE421"/>
      <c r="AF421"/>
      <c r="AG421"/>
      <c r="AH421"/>
      <c r="AI421"/>
      <c r="AJ421"/>
      <c r="AK421"/>
      <c r="AL421"/>
      <c r="AM421"/>
      <c r="AN421"/>
      <c r="AO421"/>
      <c r="AP421"/>
      <c r="AQ421"/>
      <c r="AR421"/>
      <c r="AS421"/>
      <c r="AT421"/>
      <c r="AU421"/>
    </row>
    <row r="422" spans="17:47" ht="12.75" customHeight="1" thickBot="1">
      <c r="Q422" s="364"/>
      <c r="R422" s="686" t="s">
        <v>60</v>
      </c>
      <c r="S422" s="577"/>
      <c r="T422" s="577"/>
      <c r="U422" s="577"/>
      <c r="V422" s="577"/>
      <c r="W422" s="698"/>
      <c r="X422" s="364"/>
      <c r="Y422" s="364"/>
      <c r="Z422" s="364"/>
      <c r="AA422" s="367"/>
      <c r="AB422"/>
      <c r="AC422"/>
      <c r="AD422"/>
      <c r="AE422"/>
      <c r="AF422"/>
      <c r="AG422"/>
      <c r="AH422"/>
      <c r="AI422"/>
      <c r="AJ422"/>
      <c r="AK422"/>
      <c r="AL422"/>
      <c r="AM422"/>
      <c r="AN422"/>
      <c r="AO422"/>
      <c r="AP422"/>
      <c r="AQ422"/>
      <c r="AR422"/>
      <c r="AS422"/>
      <c r="AT422"/>
      <c r="AU422"/>
    </row>
    <row r="423" spans="17:47" ht="12.75" customHeight="1">
      <c r="Q423" s="364"/>
      <c r="R423" s="895" t="s">
        <v>845</v>
      </c>
      <c r="S423" s="896"/>
      <c r="T423" s="900" t="s">
        <v>835</v>
      </c>
      <c r="U423" s="900" t="s">
        <v>836</v>
      </c>
      <c r="V423" s="900" t="s">
        <v>837</v>
      </c>
      <c r="W423" s="902" t="s">
        <v>838</v>
      </c>
      <c r="X423" s="364"/>
      <c r="Y423" s="364"/>
      <c r="Z423" s="364"/>
      <c r="AA423" s="367"/>
      <c r="AB423"/>
      <c r="AC423"/>
      <c r="AD423"/>
      <c r="AE423"/>
      <c r="AF423"/>
      <c r="AG423"/>
      <c r="AH423"/>
      <c r="AI423"/>
      <c r="AJ423"/>
      <c r="AK423"/>
      <c r="AL423"/>
      <c r="AM423"/>
      <c r="AN423"/>
      <c r="AO423"/>
      <c r="AP423"/>
      <c r="AQ423"/>
      <c r="AR423"/>
      <c r="AS423"/>
      <c r="AT423"/>
      <c r="AU423"/>
    </row>
    <row r="424" spans="17:47" ht="12.75" customHeight="1">
      <c r="Q424" s="364"/>
      <c r="R424" s="892"/>
      <c r="S424" s="897"/>
      <c r="T424" s="901"/>
      <c r="U424" s="901"/>
      <c r="V424" s="901"/>
      <c r="W424" s="903"/>
      <c r="X424" s="364"/>
      <c r="Y424" s="364"/>
      <c r="Z424" s="364"/>
      <c r="AA424" s="367"/>
      <c r="AB424"/>
      <c r="AC424"/>
      <c r="AD424"/>
      <c r="AE424"/>
      <c r="AF424"/>
      <c r="AG424"/>
      <c r="AH424"/>
      <c r="AI424"/>
      <c r="AJ424"/>
      <c r="AK424"/>
      <c r="AL424"/>
      <c r="AM424"/>
      <c r="AN424"/>
      <c r="AO424"/>
      <c r="AP424"/>
      <c r="AQ424"/>
      <c r="AR424"/>
      <c r="AS424"/>
      <c r="AT424"/>
      <c r="AU424"/>
    </row>
    <row r="425" spans="17:47" ht="12.75" customHeight="1">
      <c r="Q425" s="364"/>
      <c r="R425" s="892"/>
      <c r="S425" s="897"/>
      <c r="T425" s="704">
        <f>T412-PPE!$I$15</f>
        <v>89</v>
      </c>
      <c r="U425" s="560">
        <f>U418</f>
        <v>2.6666666666666665</v>
      </c>
      <c r="V425" s="690">
        <f>IF(T425&gt;0,W425*U425," ")</f>
        <v>83.333333333333329</v>
      </c>
      <c r="W425" s="691">
        <f>IF(T425&gt;0,(VLOOKUP(T425,'Lookup Ready-reckoner'!$B$5:$E$1207,4))," ")</f>
        <v>31.25</v>
      </c>
      <c r="X425" s="364"/>
      <c r="Y425" s="364"/>
      <c r="Z425" s="364"/>
      <c r="AA425" s="367"/>
      <c r="AB425"/>
      <c r="AC425"/>
      <c r="AD425"/>
      <c r="AE425"/>
      <c r="AF425"/>
      <c r="AG425"/>
      <c r="AH425"/>
      <c r="AI425"/>
      <c r="AJ425"/>
      <c r="AK425"/>
      <c r="AL425"/>
      <c r="AM425"/>
      <c r="AN425"/>
      <c r="AO425"/>
      <c r="AP425"/>
      <c r="AQ425"/>
      <c r="AR425"/>
      <c r="AS425"/>
      <c r="AT425"/>
      <c r="AU425"/>
    </row>
    <row r="426" spans="17:47" ht="12.75" customHeight="1">
      <c r="Q426" s="364"/>
      <c r="R426" s="898"/>
      <c r="S426" s="899"/>
      <c r="T426" s="447"/>
      <c r="U426" s="560"/>
      <c r="V426" s="690" t="str">
        <f>IF(T426&gt;0,W426*U426," ")</f>
        <v xml:space="preserve"> </v>
      </c>
      <c r="W426" s="691" t="str">
        <f>IF(T426&gt;0,(VLOOKUP(T426,'Lookup Ready-reckoner'!$B$5:$E$1007,4))," ")</f>
        <v xml:space="preserve"> </v>
      </c>
      <c r="X426" s="364"/>
      <c r="Y426" s="364"/>
      <c r="Z426" s="364"/>
      <c r="AA426" s="367"/>
      <c r="AB426"/>
      <c r="AC426"/>
      <c r="AD426"/>
      <c r="AE426"/>
      <c r="AF426"/>
      <c r="AG426"/>
      <c r="AH426"/>
      <c r="AI426"/>
      <c r="AJ426"/>
      <c r="AK426"/>
      <c r="AL426"/>
      <c r="AM426"/>
      <c r="AN426"/>
      <c r="AO426"/>
      <c r="AP426"/>
      <c r="AQ426"/>
      <c r="AR426"/>
      <c r="AS426"/>
      <c r="AT426"/>
      <c r="AU426"/>
    </row>
    <row r="427" spans="17:47" ht="12.75" customHeight="1" thickBot="1">
      <c r="Q427" s="364"/>
      <c r="R427" s="692" t="s">
        <v>839</v>
      </c>
      <c r="S427" s="693"/>
      <c r="T427" s="693"/>
      <c r="U427" s="705">
        <f>IF(T425&gt;0,(VLOOKUP(V427,'Lookup Ready-reckoner'!$L$5:$M$1207,2))," ")</f>
        <v>84.15</v>
      </c>
      <c r="V427" s="695">
        <f>IF(U425&gt;0,(SUM(V425:V426))," ")</f>
        <v>83.333333333333329</v>
      </c>
      <c r="W427" s="696"/>
      <c r="X427" s="364"/>
      <c r="Y427" s="364"/>
      <c r="Z427" s="364"/>
      <c r="AA427" s="367"/>
      <c r="AB427"/>
      <c r="AC427"/>
      <c r="AD427"/>
      <c r="AE427"/>
      <c r="AF427"/>
      <c r="AG427"/>
      <c r="AH427"/>
      <c r="AI427"/>
      <c r="AJ427"/>
      <c r="AK427"/>
      <c r="AL427"/>
      <c r="AM427"/>
      <c r="AN427"/>
      <c r="AO427"/>
      <c r="AP427"/>
      <c r="AQ427"/>
      <c r="AR427"/>
      <c r="AS427"/>
      <c r="AT427"/>
      <c r="AU427"/>
    </row>
    <row r="428" spans="17:47" ht="12.75" customHeight="1" thickBot="1">
      <c r="Q428" s="364"/>
      <c r="R428" s="892"/>
      <c r="S428" s="893"/>
      <c r="T428" s="893"/>
      <c r="U428" s="893"/>
      <c r="V428" s="893"/>
      <c r="W428" s="894"/>
      <c r="X428" s="364"/>
      <c r="Y428" s="364"/>
      <c r="Z428" s="364"/>
      <c r="AA428" s="367"/>
      <c r="AB428"/>
      <c r="AC428"/>
      <c r="AD428"/>
      <c r="AE428"/>
      <c r="AF428"/>
      <c r="AG428"/>
      <c r="AH428"/>
      <c r="AI428"/>
      <c r="AJ428"/>
      <c r="AK428"/>
      <c r="AL428"/>
      <c r="AM428"/>
      <c r="AN428"/>
      <c r="AO428"/>
      <c r="AP428"/>
      <c r="AQ428"/>
      <c r="AR428"/>
      <c r="AS428"/>
      <c r="AT428"/>
      <c r="AU428"/>
    </row>
    <row r="429" spans="17:47" ht="12.75" customHeight="1">
      <c r="Q429" s="364"/>
      <c r="R429" s="895" t="s">
        <v>886</v>
      </c>
      <c r="S429" s="896"/>
      <c r="T429" s="900" t="s">
        <v>835</v>
      </c>
      <c r="U429" s="900" t="s">
        <v>836</v>
      </c>
      <c r="V429" s="900" t="s">
        <v>837</v>
      </c>
      <c r="W429" s="902" t="s">
        <v>838</v>
      </c>
      <c r="X429" s="364"/>
      <c r="Y429" s="364"/>
      <c r="Z429" s="364"/>
      <c r="AA429" s="367"/>
      <c r="AB429"/>
      <c r="AC429"/>
      <c r="AD429"/>
      <c r="AE429"/>
      <c r="AF429"/>
      <c r="AG429"/>
      <c r="AH429"/>
      <c r="AI429"/>
      <c r="AJ429"/>
      <c r="AK429"/>
      <c r="AL429"/>
      <c r="AM429"/>
      <c r="AN429"/>
      <c r="AO429"/>
      <c r="AP429"/>
      <c r="AQ429"/>
      <c r="AR429"/>
      <c r="AS429"/>
      <c r="AT429"/>
      <c r="AU429"/>
    </row>
    <row r="430" spans="17:47" ht="12.75" customHeight="1">
      <c r="Q430" s="364"/>
      <c r="R430" s="892"/>
      <c r="S430" s="897"/>
      <c r="T430" s="901"/>
      <c r="U430" s="901"/>
      <c r="V430" s="901"/>
      <c r="W430" s="903"/>
      <c r="X430" s="364"/>
      <c r="Y430" s="364"/>
      <c r="Z430" s="364"/>
      <c r="AA430" s="367"/>
      <c r="AB430"/>
      <c r="AC430"/>
      <c r="AD430"/>
      <c r="AE430"/>
      <c r="AF430"/>
      <c r="AG430"/>
      <c r="AH430"/>
      <c r="AI430"/>
      <c r="AJ430"/>
      <c r="AK430"/>
      <c r="AL430"/>
      <c r="AM430"/>
      <c r="AN430"/>
      <c r="AO430"/>
      <c r="AP430"/>
      <c r="AQ430"/>
      <c r="AR430"/>
      <c r="AS430"/>
      <c r="AT430"/>
      <c r="AU430"/>
    </row>
    <row r="431" spans="17:47" ht="12.75" customHeight="1">
      <c r="Q431" s="364"/>
      <c r="R431" s="892"/>
      <c r="S431" s="897"/>
      <c r="T431" s="704">
        <f>T418-PPE!$I$15</f>
        <v>85.368800000000007</v>
      </c>
      <c r="U431" s="560">
        <f>U425</f>
        <v>2.6666666666666665</v>
      </c>
      <c r="V431" s="690">
        <f>IF(T431&gt;0,W431*U431," ")</f>
        <v>36.25</v>
      </c>
      <c r="W431" s="691">
        <f>IF(T431&gt;0,(VLOOKUP(T431,'Lookup Ready-reckoner'!$B$5:$E$1207,4))," ")</f>
        <v>13.59375</v>
      </c>
      <c r="X431" s="364"/>
      <c r="Y431" s="364"/>
      <c r="Z431" s="364"/>
      <c r="AA431" s="367"/>
      <c r="AB431"/>
      <c r="AC431"/>
      <c r="AD431"/>
      <c r="AE431"/>
      <c r="AF431"/>
      <c r="AG431"/>
      <c r="AH431"/>
      <c r="AI431"/>
      <c r="AJ431"/>
      <c r="AK431"/>
      <c r="AL431"/>
      <c r="AM431"/>
      <c r="AN431"/>
      <c r="AO431"/>
      <c r="AP431"/>
      <c r="AQ431"/>
      <c r="AR431"/>
      <c r="AS431"/>
      <c r="AT431"/>
      <c r="AU431"/>
    </row>
    <row r="432" spans="17:47" ht="12.75" customHeight="1">
      <c r="Q432" s="364"/>
      <c r="R432" s="898"/>
      <c r="S432" s="899"/>
      <c r="T432" s="447"/>
      <c r="U432" s="560"/>
      <c r="V432" s="690" t="str">
        <f>IF(T432&gt;0,W432*U432," ")</f>
        <v xml:space="preserve"> </v>
      </c>
      <c r="W432" s="691" t="str">
        <f>IF(T432&gt;0,(VLOOKUP(T432,'Lookup Ready-reckoner'!$B$5:$E$1007,4))," ")</f>
        <v xml:space="preserve"> </v>
      </c>
      <c r="X432" s="364"/>
      <c r="Y432" s="364"/>
      <c r="Z432" s="364"/>
      <c r="AA432" s="367"/>
      <c r="AB432"/>
      <c r="AC432"/>
      <c r="AD432"/>
      <c r="AE432"/>
      <c r="AF432"/>
      <c r="AG432"/>
      <c r="AH432"/>
      <c r="AI432"/>
      <c r="AJ432"/>
      <c r="AK432"/>
      <c r="AL432"/>
      <c r="AM432"/>
      <c r="AN432"/>
      <c r="AO432"/>
      <c r="AP432"/>
      <c r="AQ432"/>
      <c r="AR432"/>
      <c r="AS432"/>
      <c r="AT432"/>
      <c r="AU432"/>
    </row>
    <row r="433" spans="17:47" ht="12.75" customHeight="1" thickBot="1">
      <c r="Q433" s="364"/>
      <c r="R433" s="692" t="s">
        <v>839</v>
      </c>
      <c r="S433" s="693"/>
      <c r="T433" s="693"/>
      <c r="U433" s="705">
        <f>IF(T431&gt;0,(VLOOKUP(V433,'Lookup Ready-reckoner'!$L$5:$M$1207,2))," ")</f>
        <v>80.5</v>
      </c>
      <c r="V433" s="695">
        <f>IF(U431&gt;0,(SUM(V431:V432))," ")</f>
        <v>36.25</v>
      </c>
      <c r="W433" s="696"/>
      <c r="X433" s="364"/>
      <c r="Y433" s="364"/>
      <c r="Z433" s="364"/>
      <c r="AA433" s="367"/>
      <c r="AB433"/>
      <c r="AC433"/>
      <c r="AD433"/>
      <c r="AE433"/>
      <c r="AF433"/>
      <c r="AG433"/>
      <c r="AH433"/>
      <c r="AI433"/>
      <c r="AJ433"/>
      <c r="AK433"/>
      <c r="AL433"/>
      <c r="AM433"/>
      <c r="AN433"/>
      <c r="AO433"/>
      <c r="AP433"/>
      <c r="AQ433"/>
      <c r="AR433"/>
      <c r="AS433"/>
      <c r="AT433"/>
      <c r="AU433"/>
    </row>
    <row r="434" spans="17:47" ht="12.75" customHeight="1" thickBot="1">
      <c r="Q434" s="364"/>
      <c r="R434" s="364"/>
      <c r="S434" s="364"/>
      <c r="T434" s="364"/>
      <c r="U434" s="364"/>
      <c r="V434" s="364"/>
      <c r="W434" s="364"/>
      <c r="X434" s="364"/>
      <c r="Y434" s="364"/>
      <c r="Z434" s="364"/>
      <c r="AA434" s="367"/>
      <c r="AB434"/>
      <c r="AC434"/>
      <c r="AD434"/>
      <c r="AE434"/>
      <c r="AF434"/>
      <c r="AG434"/>
      <c r="AH434"/>
      <c r="AI434"/>
      <c r="AJ434"/>
      <c r="AK434"/>
      <c r="AL434"/>
      <c r="AM434"/>
      <c r="AN434"/>
      <c r="AO434"/>
      <c r="AP434"/>
      <c r="AQ434"/>
      <c r="AR434"/>
      <c r="AS434"/>
      <c r="AT434"/>
      <c r="AU434"/>
    </row>
    <row r="435" spans="17:47" ht="12.75" customHeight="1" thickTop="1">
      <c r="Q435" s="364"/>
      <c r="R435" s="916" t="s">
        <v>429</v>
      </c>
      <c r="S435" s="917"/>
      <c r="T435" s="917"/>
      <c r="U435" s="917"/>
      <c r="V435" s="917"/>
      <c r="W435" s="918"/>
      <c r="X435" s="364"/>
      <c r="Y435" s="364"/>
      <c r="Z435" s="364"/>
      <c r="AA435" s="367"/>
      <c r="AB435"/>
      <c r="AC435"/>
      <c r="AD435"/>
      <c r="AE435"/>
      <c r="AF435"/>
      <c r="AG435"/>
      <c r="AH435"/>
      <c r="AI435"/>
      <c r="AJ435"/>
      <c r="AK435"/>
      <c r="AL435"/>
      <c r="AM435"/>
      <c r="AN435"/>
      <c r="AO435"/>
      <c r="AP435"/>
      <c r="AQ435"/>
      <c r="AR435"/>
      <c r="AS435"/>
      <c r="AT435"/>
      <c r="AU435"/>
    </row>
    <row r="436" spans="17:47" ht="12.75" customHeight="1">
      <c r="Q436" s="364"/>
      <c r="R436" s="919"/>
      <c r="S436" s="920"/>
      <c r="T436" s="920"/>
      <c r="U436" s="920"/>
      <c r="V436" s="920"/>
      <c r="W436" s="921"/>
      <c r="X436" s="364"/>
      <c r="Y436" s="364"/>
      <c r="Z436" s="364"/>
      <c r="AA436" s="367"/>
      <c r="AB436"/>
      <c r="AC436"/>
      <c r="AD436"/>
      <c r="AE436"/>
      <c r="AF436"/>
      <c r="AG436"/>
      <c r="AH436"/>
      <c r="AI436"/>
      <c r="AJ436"/>
      <c r="AK436"/>
      <c r="AL436"/>
      <c r="AM436"/>
      <c r="AN436"/>
      <c r="AO436"/>
      <c r="AP436"/>
      <c r="AQ436"/>
      <c r="AR436"/>
      <c r="AS436"/>
      <c r="AT436"/>
      <c r="AU436"/>
    </row>
    <row r="437" spans="17:47" ht="12.75" customHeight="1" thickBot="1">
      <c r="Q437" s="364"/>
      <c r="R437" s="922"/>
      <c r="S437" s="923"/>
      <c r="T437" s="923"/>
      <c r="U437" s="923"/>
      <c r="V437" s="923"/>
      <c r="W437" s="924"/>
      <c r="X437" s="364"/>
      <c r="Y437" s="364"/>
      <c r="Z437" s="364"/>
      <c r="AA437" s="367"/>
      <c r="AB437"/>
      <c r="AC437"/>
      <c r="AD437"/>
      <c r="AE437"/>
      <c r="AF437"/>
      <c r="AG437"/>
      <c r="AH437"/>
      <c r="AI437"/>
      <c r="AJ437"/>
      <c r="AK437"/>
      <c r="AL437"/>
      <c r="AM437"/>
      <c r="AN437"/>
      <c r="AO437"/>
      <c r="AP437"/>
      <c r="AQ437"/>
      <c r="AR437"/>
      <c r="AS437"/>
      <c r="AT437"/>
      <c r="AU437"/>
    </row>
    <row r="438" spans="17:47" ht="12.75" customHeight="1" thickTop="1">
      <c r="Q438" s="364"/>
      <c r="R438" s="925" t="str">
        <f>R319</f>
        <v>Seco S215</v>
      </c>
      <c r="S438" s="925"/>
      <c r="T438" s="925"/>
      <c r="U438" s="925"/>
      <c r="V438" s="925"/>
      <c r="W438" s="925"/>
      <c r="X438" s="364"/>
      <c r="Y438" s="364"/>
      <c r="Z438" s="364"/>
      <c r="AA438" s="367"/>
      <c r="AB438"/>
      <c r="AC438"/>
      <c r="AD438"/>
      <c r="AE438"/>
      <c r="AF438"/>
      <c r="AG438"/>
      <c r="AH438"/>
      <c r="AI438"/>
      <c r="AJ438"/>
      <c r="AK438"/>
      <c r="AL438"/>
      <c r="AM438"/>
      <c r="AN438"/>
      <c r="AO438"/>
      <c r="AP438"/>
      <c r="AQ438"/>
      <c r="AR438"/>
      <c r="AS438"/>
      <c r="AT438"/>
      <c r="AU438"/>
    </row>
    <row r="439" spans="17:47" ht="12.75" customHeight="1" thickBot="1">
      <c r="Q439" s="364"/>
      <c r="R439" s="910" t="s">
        <v>205</v>
      </c>
      <c r="S439" s="911"/>
      <c r="T439" s="911"/>
      <c r="U439" s="911"/>
      <c r="V439" s="911"/>
      <c r="W439" s="912"/>
      <c r="X439" s="364"/>
      <c r="Y439" s="364"/>
      <c r="Z439" s="364"/>
      <c r="AA439" s="367"/>
      <c r="AB439"/>
      <c r="AC439"/>
      <c r="AD439"/>
      <c r="AE439"/>
      <c r="AF439"/>
      <c r="AG439"/>
      <c r="AH439"/>
      <c r="AI439"/>
      <c r="AJ439"/>
      <c r="AK439"/>
      <c r="AL439"/>
      <c r="AM439"/>
      <c r="AN439"/>
      <c r="AO439"/>
      <c r="AP439"/>
      <c r="AQ439"/>
      <c r="AR439"/>
      <c r="AS439"/>
      <c r="AT439"/>
      <c r="AU439"/>
    </row>
    <row r="440" spans="17:47" ht="12.75" customHeight="1" thickBot="1">
      <c r="Q440" s="364"/>
      <c r="R440" s="686" t="s">
        <v>59</v>
      </c>
      <c r="S440" s="577"/>
      <c r="T440" s="687"/>
      <c r="U440" s="687"/>
      <c r="V440" s="687"/>
      <c r="W440" s="688"/>
      <c r="X440" s="364"/>
      <c r="Y440" s="364"/>
      <c r="Z440" s="364"/>
      <c r="AA440" s="367"/>
      <c r="AB440"/>
      <c r="AC440"/>
      <c r="AD440"/>
      <c r="AE440"/>
      <c r="AF440"/>
      <c r="AG440"/>
      <c r="AH440"/>
      <c r="AI440"/>
      <c r="AJ440"/>
      <c r="AK440"/>
      <c r="AL440"/>
      <c r="AM440"/>
      <c r="AN440"/>
      <c r="AO440"/>
      <c r="AP440"/>
      <c r="AQ440"/>
      <c r="AR440"/>
      <c r="AS440"/>
      <c r="AT440"/>
      <c r="AU440"/>
    </row>
    <row r="441" spans="17:47" ht="12.75" customHeight="1">
      <c r="Q441" s="364"/>
      <c r="R441" s="895" t="s">
        <v>845</v>
      </c>
      <c r="S441" s="896"/>
      <c r="T441" s="900" t="s">
        <v>835</v>
      </c>
      <c r="U441" s="900" t="s">
        <v>836</v>
      </c>
      <c r="V441" s="900" t="s">
        <v>837</v>
      </c>
      <c r="W441" s="902" t="s">
        <v>838</v>
      </c>
      <c r="X441" s="364"/>
      <c r="Y441" s="364"/>
      <c r="Z441" s="364"/>
      <c r="AA441" s="367"/>
      <c r="AB441"/>
      <c r="AC441"/>
      <c r="AD441"/>
      <c r="AE441"/>
      <c r="AF441"/>
      <c r="AG441"/>
      <c r="AH441"/>
      <c r="AI441"/>
      <c r="AJ441"/>
      <c r="AK441"/>
      <c r="AL441"/>
      <c r="AM441"/>
      <c r="AN441"/>
      <c r="AO441"/>
      <c r="AP441"/>
      <c r="AQ441"/>
      <c r="AR441"/>
      <c r="AS441"/>
      <c r="AT441"/>
      <c r="AU441"/>
    </row>
    <row r="442" spans="17:47" ht="12.75" customHeight="1">
      <c r="Q442" s="364"/>
      <c r="R442" s="892"/>
      <c r="S442" s="897"/>
      <c r="T442" s="904"/>
      <c r="U442" s="904"/>
      <c r="V442" s="904"/>
      <c r="W442" s="905"/>
      <c r="X442" s="364"/>
      <c r="Y442" s="364"/>
      <c r="Z442" s="364"/>
      <c r="AA442" s="367"/>
      <c r="AB442"/>
      <c r="AC442"/>
      <c r="AD442"/>
      <c r="AE442"/>
      <c r="AF442"/>
      <c r="AG442"/>
      <c r="AH442"/>
      <c r="AI442"/>
      <c r="AJ442"/>
      <c r="AK442"/>
      <c r="AL442"/>
      <c r="AM442"/>
      <c r="AN442"/>
      <c r="AO442"/>
      <c r="AP442"/>
      <c r="AQ442"/>
      <c r="AR442"/>
      <c r="AS442"/>
      <c r="AT442"/>
      <c r="AU442"/>
    </row>
    <row r="443" spans="17:47" ht="12.75" customHeight="1">
      <c r="Q443" s="364"/>
      <c r="R443" s="892"/>
      <c r="S443" s="897"/>
      <c r="T443" s="901"/>
      <c r="U443" s="901"/>
      <c r="V443" s="901"/>
      <c r="W443" s="903"/>
      <c r="X443" s="364"/>
      <c r="Y443" s="364"/>
      <c r="Z443" s="364"/>
      <c r="AA443" s="367"/>
      <c r="AB443"/>
      <c r="AC443"/>
      <c r="AD443"/>
      <c r="AE443"/>
      <c r="AF443"/>
      <c r="AG443"/>
      <c r="AH443"/>
      <c r="AI443"/>
      <c r="AJ443"/>
      <c r="AK443"/>
      <c r="AL443"/>
      <c r="AM443"/>
      <c r="AN443"/>
      <c r="AO443"/>
      <c r="AP443"/>
      <c r="AQ443"/>
      <c r="AR443"/>
      <c r="AS443"/>
      <c r="AT443"/>
      <c r="AU443"/>
    </row>
    <row r="444" spans="17:47" ht="12.75" customHeight="1">
      <c r="Q444" s="364"/>
      <c r="R444" s="892"/>
      <c r="S444" s="897"/>
      <c r="T444" s="689">
        <f>X76</f>
        <v>122.02059991327964</v>
      </c>
      <c r="U444" s="560">
        <f>X62</f>
        <v>1.4285714285714284</v>
      </c>
      <c r="V444" s="690">
        <f>IF(T444&gt;0,W444*U444," ")</f>
        <v>79999.999999999985</v>
      </c>
      <c r="W444" s="691">
        <f>IF(T444&gt;0,(VLOOKUP(T444,'Lookup Ready-reckoner'!$B$5:$E$1207,4))," ")</f>
        <v>56000</v>
      </c>
      <c r="X444" s="364"/>
      <c r="Y444" s="364"/>
      <c r="Z444" s="364"/>
      <c r="AA444" s="367"/>
      <c r="AB444"/>
      <c r="AC444"/>
      <c r="AD444"/>
      <c r="AE444"/>
      <c r="AF444"/>
      <c r="AG444"/>
      <c r="AH444"/>
      <c r="AI444"/>
      <c r="AJ444"/>
      <c r="AK444"/>
      <c r="AL444"/>
      <c r="AM444"/>
      <c r="AN444"/>
      <c r="AO444"/>
      <c r="AP444"/>
      <c r="AQ444"/>
      <c r="AR444"/>
      <c r="AS444"/>
      <c r="AT444"/>
      <c r="AU444"/>
    </row>
    <row r="445" spans="17:47" ht="12.75" customHeight="1">
      <c r="Q445" s="364"/>
      <c r="R445" s="898"/>
      <c r="S445" s="899"/>
      <c r="T445" s="447"/>
      <c r="U445" s="560"/>
      <c r="V445" s="690" t="str">
        <f>IF(T445&gt;0,W445*U445," ")</f>
        <v xml:space="preserve"> </v>
      </c>
      <c r="W445" s="691" t="str">
        <f>IF(T445&gt;0,(VLOOKUP(T445,'Lookup Ready-reckoner'!$B$5:$E$1007,4))," ")</f>
        <v xml:space="preserve"> </v>
      </c>
      <c r="X445" s="364"/>
      <c r="Y445" s="364"/>
      <c r="Z445" s="364"/>
      <c r="AA445" s="367"/>
      <c r="AB445"/>
      <c r="AC445"/>
      <c r="AD445"/>
      <c r="AE445"/>
      <c r="AF445"/>
      <c r="AG445"/>
      <c r="AH445"/>
      <c r="AI445"/>
      <c r="AJ445"/>
      <c r="AK445"/>
      <c r="AL445"/>
      <c r="AM445"/>
      <c r="AN445"/>
      <c r="AO445"/>
      <c r="AP445"/>
      <c r="AQ445"/>
      <c r="AR445"/>
      <c r="AS445"/>
      <c r="AT445"/>
      <c r="AU445"/>
    </row>
    <row r="446" spans="17:47" ht="12.75" customHeight="1" thickBot="1">
      <c r="Q446" s="364"/>
      <c r="R446" s="692" t="s">
        <v>839</v>
      </c>
      <c r="S446" s="693"/>
      <c r="T446" s="693"/>
      <c r="U446" s="694">
        <f>IF(T444&gt;0,(VLOOKUP(V446,'Lookup Ready-reckoner'!$L$5:$M$1207,2))," ")</f>
        <v>113.95</v>
      </c>
      <c r="V446" s="695">
        <f>IF(U444&gt;0,(SUM(V444:V445))," ")</f>
        <v>79999.999999999985</v>
      </c>
      <c r="W446" s="696"/>
      <c r="X446" s="364"/>
      <c r="Y446" s="364"/>
      <c r="Z446" s="364"/>
      <c r="AA446" s="367"/>
      <c r="AB446"/>
      <c r="AC446"/>
      <c r="AD446"/>
      <c r="AE446"/>
      <c r="AF446"/>
      <c r="AG446"/>
      <c r="AH446"/>
      <c r="AI446"/>
      <c r="AJ446"/>
      <c r="AK446"/>
      <c r="AL446"/>
      <c r="AM446"/>
      <c r="AN446"/>
      <c r="AO446"/>
      <c r="AP446"/>
      <c r="AQ446"/>
      <c r="AR446"/>
      <c r="AS446"/>
      <c r="AT446"/>
      <c r="AU446"/>
    </row>
    <row r="447" spans="17:47" ht="12.75" customHeight="1" thickBot="1">
      <c r="Q447" s="364"/>
      <c r="R447" s="892"/>
      <c r="S447" s="893"/>
      <c r="T447" s="893"/>
      <c r="U447" s="893"/>
      <c r="V447" s="893"/>
      <c r="W447" s="894"/>
      <c r="X447" s="364"/>
      <c r="Y447" s="364"/>
      <c r="Z447" s="364"/>
      <c r="AA447" s="367"/>
      <c r="AB447"/>
      <c r="AC447"/>
      <c r="AD447"/>
      <c r="AE447"/>
      <c r="AF447"/>
      <c r="AG447"/>
      <c r="AH447"/>
      <c r="AI447"/>
      <c r="AJ447"/>
      <c r="AK447"/>
      <c r="AL447"/>
      <c r="AM447"/>
      <c r="AN447"/>
      <c r="AO447"/>
      <c r="AP447"/>
      <c r="AQ447"/>
      <c r="AR447"/>
      <c r="AS447"/>
      <c r="AT447"/>
      <c r="AU447"/>
    </row>
    <row r="448" spans="17:47" ht="12.75" customHeight="1">
      <c r="Q448" s="364"/>
      <c r="R448" s="895" t="s">
        <v>886</v>
      </c>
      <c r="S448" s="896"/>
      <c r="T448" s="900" t="s">
        <v>835</v>
      </c>
      <c r="U448" s="900" t="s">
        <v>836</v>
      </c>
      <c r="V448" s="900" t="s">
        <v>837</v>
      </c>
      <c r="W448" s="902" t="s">
        <v>838</v>
      </c>
      <c r="X448" s="364"/>
      <c r="Y448" s="364"/>
      <c r="Z448" s="364"/>
      <c r="AA448" s="367"/>
      <c r="AB448"/>
      <c r="AC448"/>
      <c r="AD448"/>
      <c r="AE448"/>
      <c r="AF448"/>
      <c r="AG448"/>
      <c r="AH448"/>
      <c r="AI448"/>
      <c r="AJ448"/>
      <c r="AK448"/>
      <c r="AL448"/>
      <c r="AM448"/>
      <c r="AN448"/>
      <c r="AO448"/>
      <c r="AP448"/>
      <c r="AQ448"/>
      <c r="AR448"/>
      <c r="AS448"/>
      <c r="AT448"/>
      <c r="AU448"/>
    </row>
    <row r="449" spans="17:47" ht="12.75" customHeight="1">
      <c r="Q449" s="364"/>
      <c r="R449" s="892"/>
      <c r="S449" s="897"/>
      <c r="T449" s="901"/>
      <c r="U449" s="901"/>
      <c r="V449" s="901"/>
      <c r="W449" s="903"/>
      <c r="X449" s="364"/>
      <c r="Y449" s="364"/>
      <c r="Z449" s="364"/>
      <c r="AA449" s="367"/>
      <c r="AB449"/>
      <c r="AC449"/>
      <c r="AD449"/>
      <c r="AE449"/>
      <c r="AF449"/>
      <c r="AG449"/>
      <c r="AH449"/>
      <c r="AI449"/>
      <c r="AJ449"/>
      <c r="AK449"/>
      <c r="AL449"/>
      <c r="AM449"/>
      <c r="AN449"/>
      <c r="AO449"/>
      <c r="AP449"/>
      <c r="AQ449"/>
      <c r="AR449"/>
      <c r="AS449"/>
      <c r="AT449"/>
      <c r="AU449"/>
    </row>
    <row r="450" spans="17:47" ht="12.75" customHeight="1">
      <c r="Q450" s="364"/>
      <c r="R450" s="892"/>
      <c r="S450" s="897"/>
      <c r="T450" s="689">
        <f>T444*(1-0.0178*2)</f>
        <v>117.67666655636688</v>
      </c>
      <c r="U450" s="560">
        <f>U444</f>
        <v>1.4285714285714284</v>
      </c>
      <c r="V450" s="690">
        <f>IF(T450&gt;0,W450*U450," ")</f>
        <v>33771.428571428565</v>
      </c>
      <c r="W450" s="691">
        <f>IF(T450&gt;0,(VLOOKUP(T450,'Lookup Ready-reckoner'!$B$5:$E$1207,4))," ")</f>
        <v>23640</v>
      </c>
      <c r="X450" s="364"/>
      <c r="Y450" s="364"/>
      <c r="Z450" s="364"/>
      <c r="AA450" s="367"/>
      <c r="AB450"/>
      <c r="AC450"/>
      <c r="AD450"/>
      <c r="AE450"/>
      <c r="AF450"/>
      <c r="AG450"/>
      <c r="AH450"/>
      <c r="AI450"/>
      <c r="AJ450"/>
      <c r="AK450"/>
      <c r="AL450"/>
      <c r="AM450"/>
      <c r="AN450"/>
      <c r="AO450"/>
      <c r="AP450"/>
      <c r="AQ450"/>
      <c r="AR450"/>
      <c r="AS450"/>
      <c r="AT450"/>
      <c r="AU450"/>
    </row>
    <row r="451" spans="17:47" ht="12.75" customHeight="1">
      <c r="Q451" s="364"/>
      <c r="R451" s="898"/>
      <c r="S451" s="899"/>
      <c r="T451" s="447"/>
      <c r="U451" s="560"/>
      <c r="V451" s="690" t="str">
        <f>IF(T451&gt;0,W451*U451," ")</f>
        <v xml:space="preserve"> </v>
      </c>
      <c r="W451" s="691" t="str">
        <f>IF(T451&gt;0,(VLOOKUP(T451,'Lookup Ready-reckoner'!$B$5:$E$1007,4))," ")</f>
        <v xml:space="preserve"> </v>
      </c>
      <c r="X451" s="364"/>
      <c r="Y451" s="364"/>
      <c r="Z451" s="364"/>
      <c r="AA451" s="367"/>
      <c r="AB451"/>
      <c r="AC451"/>
      <c r="AD451"/>
      <c r="AE451"/>
      <c r="AF451"/>
      <c r="AG451"/>
      <c r="AH451"/>
      <c r="AI451"/>
      <c r="AJ451"/>
      <c r="AK451"/>
      <c r="AL451"/>
      <c r="AM451"/>
      <c r="AN451"/>
      <c r="AO451"/>
      <c r="AP451"/>
      <c r="AQ451"/>
      <c r="AR451"/>
      <c r="AS451"/>
      <c r="AT451"/>
      <c r="AU451"/>
    </row>
    <row r="452" spans="17:47" ht="12.75" customHeight="1" thickBot="1">
      <c r="Q452" s="364"/>
      <c r="R452" s="692" t="s">
        <v>839</v>
      </c>
      <c r="S452" s="693"/>
      <c r="T452" s="693"/>
      <c r="U452" s="694">
        <f>IF(T450&gt;0,(VLOOKUP(V452,'Lookup Ready-reckoner'!$L$5:$M$1207,2))," ")</f>
        <v>110.2</v>
      </c>
      <c r="V452" s="695">
        <f>IF(U450&gt;0,(SUM(V450:V451))," ")</f>
        <v>33771.428571428565</v>
      </c>
      <c r="W452" s="696"/>
      <c r="X452" s="364"/>
      <c r="Y452" s="364"/>
      <c r="Z452" s="364"/>
      <c r="AA452" s="367"/>
      <c r="AB452"/>
      <c r="AC452"/>
      <c r="AD452"/>
      <c r="AE452"/>
      <c r="AF452"/>
      <c r="AG452"/>
      <c r="AH452"/>
      <c r="AI452"/>
      <c r="AJ452"/>
      <c r="AK452"/>
      <c r="AL452"/>
      <c r="AM452"/>
      <c r="AN452"/>
      <c r="AO452"/>
      <c r="AP452"/>
      <c r="AQ452"/>
      <c r="AR452"/>
      <c r="AS452"/>
      <c r="AT452"/>
      <c r="AU452"/>
    </row>
    <row r="453" spans="17:47" ht="12.75" customHeight="1">
      <c r="Q453" s="364"/>
      <c r="R453" s="697"/>
      <c r="S453" s="687"/>
      <c r="T453" s="687"/>
      <c r="U453" s="372"/>
      <c r="V453" s="374"/>
      <c r="W453" s="688"/>
      <c r="X453" s="364"/>
      <c r="Y453" s="364"/>
      <c r="Z453" s="364"/>
      <c r="AA453" s="367"/>
      <c r="AB453"/>
      <c r="AC453"/>
      <c r="AD453"/>
      <c r="AE453"/>
      <c r="AF453"/>
      <c r="AG453"/>
      <c r="AH453"/>
      <c r="AI453"/>
      <c r="AJ453"/>
      <c r="AK453"/>
      <c r="AL453"/>
      <c r="AM453"/>
      <c r="AN453"/>
      <c r="AO453"/>
      <c r="AP453"/>
      <c r="AQ453"/>
      <c r="AR453"/>
      <c r="AS453"/>
      <c r="AT453"/>
      <c r="AU453"/>
    </row>
    <row r="454" spans="17:47" ht="12.75" customHeight="1" thickBot="1">
      <c r="Q454" s="364"/>
      <c r="R454" s="686" t="s">
        <v>60</v>
      </c>
      <c r="S454" s="577"/>
      <c r="T454" s="577"/>
      <c r="U454" s="577"/>
      <c r="V454" s="577"/>
      <c r="W454" s="698"/>
      <c r="X454" s="364"/>
      <c r="Y454" s="364"/>
      <c r="Z454" s="364"/>
      <c r="AA454" s="367"/>
      <c r="AB454"/>
      <c r="AC454"/>
      <c r="AD454"/>
      <c r="AE454"/>
      <c r="AF454"/>
      <c r="AG454"/>
      <c r="AH454"/>
      <c r="AI454"/>
      <c r="AJ454"/>
      <c r="AK454"/>
      <c r="AL454"/>
      <c r="AM454"/>
      <c r="AN454"/>
      <c r="AO454"/>
      <c r="AP454"/>
      <c r="AQ454"/>
      <c r="AR454"/>
      <c r="AS454"/>
      <c r="AT454"/>
      <c r="AU454"/>
    </row>
    <row r="455" spans="17:47" ht="12.75" customHeight="1">
      <c r="Q455" s="364"/>
      <c r="R455" s="895" t="s">
        <v>845</v>
      </c>
      <c r="S455" s="896"/>
      <c r="T455" s="900" t="s">
        <v>835</v>
      </c>
      <c r="U455" s="900" t="s">
        <v>836</v>
      </c>
      <c r="V455" s="900" t="s">
        <v>837</v>
      </c>
      <c r="W455" s="902" t="s">
        <v>838</v>
      </c>
      <c r="X455" s="364"/>
      <c r="Y455" s="364"/>
      <c r="Z455" s="364"/>
      <c r="AA455" s="367"/>
      <c r="AB455"/>
      <c r="AC455"/>
      <c r="AD455"/>
      <c r="AE455"/>
      <c r="AF455"/>
      <c r="AG455"/>
      <c r="AH455"/>
      <c r="AI455"/>
      <c r="AJ455"/>
      <c r="AK455"/>
      <c r="AL455"/>
      <c r="AM455"/>
      <c r="AN455"/>
      <c r="AO455"/>
      <c r="AP455"/>
      <c r="AQ455"/>
      <c r="AR455"/>
      <c r="AS455"/>
      <c r="AT455"/>
      <c r="AU455"/>
    </row>
    <row r="456" spans="17:47" ht="12.75" customHeight="1">
      <c r="Q456" s="364"/>
      <c r="R456" s="892"/>
      <c r="S456" s="897"/>
      <c r="T456" s="901"/>
      <c r="U456" s="901"/>
      <c r="V456" s="901"/>
      <c r="W456" s="903"/>
      <c r="X456" s="364"/>
      <c r="Y456" s="364"/>
      <c r="Z456" s="364"/>
      <c r="AA456" s="367"/>
      <c r="AB456"/>
      <c r="AC456"/>
      <c r="AD456"/>
      <c r="AE456"/>
      <c r="AF456"/>
      <c r="AG456"/>
      <c r="AH456"/>
      <c r="AI456"/>
      <c r="AJ456"/>
      <c r="AK456"/>
      <c r="AL456"/>
      <c r="AM456"/>
      <c r="AN456"/>
      <c r="AO456"/>
      <c r="AP456"/>
      <c r="AQ456"/>
      <c r="AR456"/>
      <c r="AS456"/>
      <c r="AT456"/>
      <c r="AU456"/>
    </row>
    <row r="457" spans="17:47" ht="12.75" customHeight="1">
      <c r="Q457" s="364"/>
      <c r="R457" s="892"/>
      <c r="S457" s="897"/>
      <c r="T457" s="689">
        <f>T444-PPE!$I$15</f>
        <v>109.02059991327964</v>
      </c>
      <c r="U457" s="560">
        <f>U450</f>
        <v>1.4285714285714284</v>
      </c>
      <c r="V457" s="690">
        <f>IF(T457&gt;0,W457*U457," ")</f>
        <v>4571.4285714285706</v>
      </c>
      <c r="W457" s="691">
        <f>IF(T457&gt;0,(VLOOKUP(T457,'Lookup Ready-reckoner'!$B$5:$E$1207,4))," ")</f>
        <v>3200</v>
      </c>
      <c r="X457" s="364"/>
      <c r="Y457" s="364"/>
      <c r="Z457" s="364"/>
      <c r="AA457" s="367"/>
      <c r="AB457"/>
      <c r="AC457"/>
      <c r="AD457"/>
      <c r="AE457"/>
      <c r="AF457"/>
      <c r="AG457"/>
      <c r="AH457"/>
      <c r="AI457"/>
      <c r="AJ457"/>
      <c r="AK457"/>
      <c r="AL457"/>
      <c r="AM457"/>
      <c r="AN457"/>
      <c r="AO457"/>
      <c r="AP457"/>
      <c r="AQ457"/>
      <c r="AR457"/>
      <c r="AS457"/>
      <c r="AT457"/>
      <c r="AU457"/>
    </row>
    <row r="458" spans="17:47" ht="12.75" customHeight="1">
      <c r="Q458" s="364"/>
      <c r="R458" s="898"/>
      <c r="S458" s="899"/>
      <c r="T458" s="447"/>
      <c r="U458" s="560"/>
      <c r="V458" s="690" t="str">
        <f>IF(T458&gt;0,W458*U458," ")</f>
        <v xml:space="preserve"> </v>
      </c>
      <c r="W458" s="691" t="str">
        <f>IF(T458&gt;0,(VLOOKUP(T458,'Lookup Ready-reckoner'!$B$5:$E$1007,4))," ")</f>
        <v xml:space="preserve"> </v>
      </c>
      <c r="X458" s="364"/>
      <c r="Y458" s="364"/>
      <c r="Z458" s="364"/>
      <c r="AA458" s="367"/>
      <c r="AB458"/>
      <c r="AC458"/>
      <c r="AD458"/>
      <c r="AE458"/>
      <c r="AF458"/>
      <c r="AG458"/>
      <c r="AH458"/>
      <c r="AI458"/>
      <c r="AJ458"/>
      <c r="AK458"/>
      <c r="AL458"/>
      <c r="AM458"/>
      <c r="AN458"/>
      <c r="AO458"/>
      <c r="AP458"/>
      <c r="AQ458"/>
      <c r="AR458"/>
      <c r="AS458"/>
      <c r="AT458"/>
      <c r="AU458"/>
    </row>
    <row r="459" spans="17:47" ht="12.75" customHeight="1" thickBot="1">
      <c r="Q459" s="364"/>
      <c r="R459" s="699" t="s">
        <v>839</v>
      </c>
      <c r="S459" s="693"/>
      <c r="T459" s="693"/>
      <c r="U459" s="694">
        <f>IF(T457&gt;0,(VLOOKUP(V459,'Lookup Ready-reckoner'!$L$5:$M$1207,2))," ")</f>
        <v>101.55</v>
      </c>
      <c r="V459" s="695">
        <f>IF(U457&gt;0,(SUM(V457:V458))," ")</f>
        <v>4571.4285714285706</v>
      </c>
      <c r="W459" s="696"/>
      <c r="X459" s="364"/>
      <c r="Y459" s="364"/>
      <c r="Z459" s="364"/>
      <c r="AA459" s="367"/>
      <c r="AB459"/>
      <c r="AC459"/>
      <c r="AD459"/>
      <c r="AE459"/>
      <c r="AF459"/>
      <c r="AG459"/>
      <c r="AH459"/>
      <c r="AI459"/>
      <c r="AJ459"/>
      <c r="AK459"/>
      <c r="AL459"/>
      <c r="AM459"/>
      <c r="AN459"/>
      <c r="AO459"/>
      <c r="AP459"/>
      <c r="AQ459"/>
      <c r="AR459"/>
      <c r="AS459"/>
      <c r="AT459"/>
      <c r="AU459"/>
    </row>
    <row r="460" spans="17:47" ht="12.75" customHeight="1" thickBot="1">
      <c r="Q460" s="364"/>
      <c r="R460" s="892"/>
      <c r="S460" s="893"/>
      <c r="T460" s="893"/>
      <c r="U460" s="893"/>
      <c r="V460" s="893"/>
      <c r="W460" s="894"/>
      <c r="X460" s="364"/>
      <c r="Y460" s="364"/>
      <c r="Z460" s="364"/>
      <c r="AA460" s="367"/>
      <c r="AB460"/>
      <c r="AC460"/>
      <c r="AD460"/>
      <c r="AE460"/>
      <c r="AF460"/>
      <c r="AG460"/>
      <c r="AH460"/>
      <c r="AI460"/>
      <c r="AJ460"/>
      <c r="AK460"/>
      <c r="AL460"/>
      <c r="AM460"/>
      <c r="AN460"/>
      <c r="AO460"/>
      <c r="AP460"/>
      <c r="AQ460"/>
      <c r="AR460"/>
      <c r="AS460"/>
      <c r="AT460"/>
      <c r="AU460"/>
    </row>
    <row r="461" spans="17:47" ht="12.75" customHeight="1">
      <c r="Q461" s="364"/>
      <c r="R461" s="895" t="s">
        <v>886</v>
      </c>
      <c r="S461" s="896"/>
      <c r="T461" s="900" t="s">
        <v>835</v>
      </c>
      <c r="U461" s="900" t="s">
        <v>836</v>
      </c>
      <c r="V461" s="900" t="s">
        <v>837</v>
      </c>
      <c r="W461" s="902" t="s">
        <v>838</v>
      </c>
      <c r="X461" s="364"/>
      <c r="Y461" s="364"/>
      <c r="Z461" s="364"/>
      <c r="AA461" s="367"/>
      <c r="AB461"/>
      <c r="AC461"/>
      <c r="AD461"/>
      <c r="AE461"/>
      <c r="AF461"/>
      <c r="AG461"/>
      <c r="AH461"/>
      <c r="AI461"/>
      <c r="AJ461"/>
      <c r="AK461"/>
      <c r="AL461"/>
      <c r="AM461"/>
      <c r="AN461"/>
      <c r="AO461"/>
      <c r="AP461"/>
      <c r="AQ461"/>
      <c r="AR461"/>
      <c r="AS461"/>
      <c r="AT461"/>
      <c r="AU461"/>
    </row>
    <row r="462" spans="17:47" ht="12.75" customHeight="1">
      <c r="Q462" s="364"/>
      <c r="R462" s="892"/>
      <c r="S462" s="897"/>
      <c r="T462" s="901"/>
      <c r="U462" s="901"/>
      <c r="V462" s="901"/>
      <c r="W462" s="903"/>
      <c r="X462" s="364"/>
      <c r="Y462" s="364"/>
      <c r="Z462" s="364"/>
      <c r="AA462" s="367"/>
      <c r="AB462"/>
      <c r="AC462"/>
      <c r="AD462"/>
      <c r="AE462"/>
      <c r="AF462"/>
      <c r="AG462"/>
      <c r="AH462"/>
      <c r="AI462"/>
      <c r="AJ462"/>
      <c r="AK462"/>
      <c r="AL462"/>
      <c r="AM462"/>
      <c r="AN462"/>
      <c r="AO462"/>
      <c r="AP462"/>
      <c r="AQ462"/>
      <c r="AR462"/>
      <c r="AS462"/>
      <c r="AT462"/>
      <c r="AU462"/>
    </row>
    <row r="463" spans="17:47" ht="12.75" customHeight="1">
      <c r="Q463" s="364"/>
      <c r="R463" s="892"/>
      <c r="S463" s="897"/>
      <c r="T463" s="689">
        <f>T450-PPE!$I$15</f>
        <v>104.67666655636688</v>
      </c>
      <c r="U463" s="560">
        <f>U457</f>
        <v>1.4285714285714284</v>
      </c>
      <c r="V463" s="690">
        <f>IF(T463&gt;0,W463*U463," ")</f>
        <v>1660.7142857142856</v>
      </c>
      <c r="W463" s="691">
        <f>IF(T463&gt;0,(VLOOKUP(T463,'Lookup Ready-reckoner'!$B$5:$E$1207,4))," ")</f>
        <v>1162.5</v>
      </c>
      <c r="X463" s="364"/>
      <c r="Y463" s="364"/>
      <c r="Z463" s="364"/>
      <c r="AA463" s="367"/>
      <c r="AB463"/>
      <c r="AC463"/>
      <c r="AD463"/>
      <c r="AE463"/>
      <c r="AF463"/>
      <c r="AG463"/>
      <c r="AH463"/>
      <c r="AI463"/>
      <c r="AJ463"/>
      <c r="AK463"/>
      <c r="AL463"/>
      <c r="AM463"/>
      <c r="AN463"/>
      <c r="AO463"/>
      <c r="AP463"/>
      <c r="AQ463"/>
      <c r="AR463"/>
      <c r="AS463"/>
      <c r="AT463"/>
      <c r="AU463"/>
    </row>
    <row r="464" spans="17:47" ht="12.75" customHeight="1">
      <c r="Q464" s="364"/>
      <c r="R464" s="898"/>
      <c r="S464" s="899"/>
      <c r="T464" s="447"/>
      <c r="U464" s="560"/>
      <c r="V464" s="690" t="str">
        <f>IF(T464&gt;0,W464*U464," ")</f>
        <v xml:space="preserve"> </v>
      </c>
      <c r="W464" s="691" t="str">
        <f>IF(T464&gt;0,(VLOOKUP(T464,'Lookup Ready-reckoner'!$B$5:$E$1007,4))," ")</f>
        <v xml:space="preserve"> </v>
      </c>
      <c r="X464" s="364"/>
      <c r="Y464" s="364"/>
      <c r="Z464" s="364"/>
      <c r="AA464" s="367"/>
      <c r="AB464"/>
      <c r="AC464"/>
      <c r="AD464"/>
      <c r="AE464"/>
      <c r="AF464"/>
      <c r="AG464"/>
      <c r="AH464"/>
      <c r="AI464"/>
      <c r="AJ464"/>
      <c r="AK464"/>
      <c r="AL464"/>
      <c r="AM464"/>
      <c r="AN464"/>
      <c r="AO464"/>
      <c r="AP464"/>
      <c r="AQ464"/>
      <c r="AR464"/>
      <c r="AS464"/>
      <c r="AT464"/>
      <c r="AU464"/>
    </row>
    <row r="465" spans="17:47" ht="12.75" customHeight="1" thickBot="1">
      <c r="Q465" s="364"/>
      <c r="R465" s="692" t="s">
        <v>839</v>
      </c>
      <c r="S465" s="693"/>
      <c r="T465" s="693"/>
      <c r="U465" s="694">
        <f>IF(T463&gt;0,(VLOOKUP(V465,'Lookup Ready-reckoner'!$L$5:$M$1207,2))," ")</f>
        <v>97.15</v>
      </c>
      <c r="V465" s="695">
        <f>IF(U463&gt;0,(SUM(V463:V464))," ")</f>
        <v>1660.7142857142856</v>
      </c>
      <c r="W465" s="696"/>
      <c r="X465" s="364"/>
      <c r="Y465" s="364"/>
      <c r="Z465" s="364"/>
      <c r="AA465" s="367"/>
      <c r="AB465"/>
      <c r="AC465"/>
      <c r="AD465"/>
      <c r="AE465"/>
      <c r="AF465"/>
      <c r="AG465"/>
      <c r="AH465"/>
      <c r="AI465"/>
      <c r="AJ465"/>
      <c r="AK465"/>
      <c r="AL465"/>
      <c r="AM465"/>
      <c r="AN465"/>
      <c r="AO465"/>
      <c r="AP465"/>
      <c r="AQ465"/>
      <c r="AR465"/>
      <c r="AS465"/>
      <c r="AT465"/>
      <c r="AU465"/>
    </row>
    <row r="466" spans="17:47" ht="12.75" customHeight="1">
      <c r="Q466" s="364"/>
      <c r="R466" s="363"/>
      <c r="S466" s="363"/>
      <c r="T466" s="363"/>
      <c r="U466" s="363"/>
      <c r="V466" s="363"/>
      <c r="W466" s="363"/>
      <c r="X466" s="364"/>
      <c r="Y466" s="364"/>
      <c r="Z466" s="364"/>
      <c r="AA466" s="367"/>
      <c r="AB466"/>
      <c r="AC466"/>
      <c r="AD466"/>
      <c r="AE466"/>
      <c r="AF466"/>
      <c r="AG466"/>
      <c r="AH466"/>
      <c r="AI466"/>
      <c r="AJ466"/>
      <c r="AK466"/>
      <c r="AL466"/>
      <c r="AM466"/>
      <c r="AN466"/>
      <c r="AO466"/>
      <c r="AP466"/>
      <c r="AQ466"/>
      <c r="AR466"/>
      <c r="AS466"/>
      <c r="AT466"/>
      <c r="AU466"/>
    </row>
    <row r="467" spans="17:47" ht="12.75" customHeight="1" thickBot="1">
      <c r="Q467" s="364"/>
      <c r="R467" s="915" t="str">
        <f>R348</f>
        <v>Seco S215 Muffled</v>
      </c>
      <c r="S467" s="915"/>
      <c r="T467" s="915"/>
      <c r="U467" s="915"/>
      <c r="V467" s="915"/>
      <c r="W467" s="915"/>
      <c r="X467" s="364"/>
      <c r="Y467" s="364"/>
      <c r="Z467" s="364"/>
      <c r="AA467" s="367"/>
      <c r="AB467"/>
      <c r="AC467"/>
      <c r="AD467"/>
      <c r="AE467"/>
      <c r="AF467"/>
      <c r="AG467"/>
      <c r="AH467"/>
      <c r="AI467"/>
      <c r="AJ467"/>
      <c r="AK467"/>
      <c r="AL467"/>
      <c r="AM467"/>
      <c r="AN467"/>
      <c r="AO467"/>
      <c r="AP467"/>
      <c r="AQ467"/>
      <c r="AR467"/>
      <c r="AS467"/>
      <c r="AT467"/>
      <c r="AU467"/>
    </row>
    <row r="468" spans="17:47" ht="12.75" customHeight="1" thickBot="1">
      <c r="Q468" s="364"/>
      <c r="R468" s="906" t="s">
        <v>205</v>
      </c>
      <c r="S468" s="907"/>
      <c r="T468" s="907"/>
      <c r="U468" s="907"/>
      <c r="V468" s="907"/>
      <c r="W468" s="908"/>
      <c r="X468" s="364"/>
      <c r="Y468" s="364"/>
      <c r="Z468" s="364"/>
      <c r="AA468" s="367"/>
      <c r="AB468"/>
      <c r="AC468"/>
      <c r="AD468"/>
      <c r="AE468"/>
      <c r="AF468"/>
      <c r="AG468"/>
      <c r="AH468"/>
      <c r="AI468"/>
      <c r="AJ468"/>
      <c r="AK468"/>
      <c r="AL468"/>
      <c r="AM468"/>
      <c r="AN468"/>
      <c r="AO468"/>
      <c r="AP468"/>
      <c r="AQ468"/>
      <c r="AR468"/>
      <c r="AS468"/>
      <c r="AT468"/>
      <c r="AU468"/>
    </row>
    <row r="469" spans="17:47" ht="12.75" customHeight="1" thickBot="1">
      <c r="Q469" s="364"/>
      <c r="R469" s="686" t="s">
        <v>59</v>
      </c>
      <c r="S469" s="577"/>
      <c r="T469" s="687"/>
      <c r="U469" s="687"/>
      <c r="V469" s="687"/>
      <c r="W469" s="688"/>
      <c r="X469" s="364"/>
      <c r="Y469" s="364"/>
      <c r="Z469" s="364"/>
      <c r="AA469" s="367"/>
      <c r="AB469"/>
      <c r="AC469"/>
      <c r="AD469"/>
      <c r="AE469"/>
      <c r="AF469"/>
      <c r="AG469"/>
      <c r="AH469"/>
      <c r="AI469"/>
      <c r="AJ469"/>
      <c r="AK469"/>
      <c r="AL469"/>
      <c r="AM469"/>
      <c r="AN469"/>
      <c r="AO469"/>
      <c r="AP469"/>
      <c r="AQ469"/>
      <c r="AR469"/>
      <c r="AS469"/>
      <c r="AT469"/>
      <c r="AU469"/>
    </row>
    <row r="470" spans="17:47" ht="12.75" customHeight="1">
      <c r="Q470" s="364"/>
      <c r="R470" s="895" t="s">
        <v>845</v>
      </c>
      <c r="S470" s="896"/>
      <c r="T470" s="900" t="s">
        <v>835</v>
      </c>
      <c r="U470" s="900" t="s">
        <v>836</v>
      </c>
      <c r="V470" s="900" t="s">
        <v>837</v>
      </c>
      <c r="W470" s="902" t="s">
        <v>838</v>
      </c>
      <c r="X470" s="364"/>
      <c r="Y470" s="364"/>
      <c r="Z470" s="364"/>
      <c r="AA470" s="367"/>
      <c r="AB470"/>
      <c r="AC470"/>
      <c r="AD470"/>
      <c r="AE470"/>
      <c r="AF470"/>
      <c r="AG470"/>
      <c r="AH470"/>
      <c r="AI470"/>
      <c r="AJ470"/>
      <c r="AK470"/>
      <c r="AL470"/>
      <c r="AM470"/>
      <c r="AN470"/>
      <c r="AO470"/>
      <c r="AP470"/>
      <c r="AQ470"/>
      <c r="AR470"/>
      <c r="AS470"/>
      <c r="AT470"/>
      <c r="AU470"/>
    </row>
    <row r="471" spans="17:47" ht="12.75" customHeight="1">
      <c r="Q471" s="364"/>
      <c r="R471" s="892"/>
      <c r="S471" s="897"/>
      <c r="T471" s="904"/>
      <c r="U471" s="904"/>
      <c r="V471" s="904"/>
      <c r="W471" s="905"/>
      <c r="X471" s="364"/>
      <c r="Y471" s="364"/>
      <c r="Z471" s="364"/>
      <c r="AA471" s="367"/>
      <c r="AB471"/>
      <c r="AC471"/>
      <c r="AD471"/>
      <c r="AE471"/>
      <c r="AF471"/>
      <c r="AG471"/>
      <c r="AH471"/>
      <c r="AI471"/>
      <c r="AJ471"/>
      <c r="AK471"/>
      <c r="AL471"/>
      <c r="AM471"/>
      <c r="AN471"/>
      <c r="AO471"/>
      <c r="AP471"/>
      <c r="AQ471"/>
      <c r="AR471"/>
      <c r="AS471"/>
      <c r="AT471"/>
      <c r="AU471"/>
    </row>
    <row r="472" spans="17:47" ht="12.75" customHeight="1">
      <c r="Q472" s="364"/>
      <c r="R472" s="892"/>
      <c r="S472" s="897"/>
      <c r="T472" s="901"/>
      <c r="U472" s="901"/>
      <c r="V472" s="901"/>
      <c r="W472" s="903"/>
      <c r="X472" s="364"/>
      <c r="Y472" s="364"/>
      <c r="Z472" s="364"/>
      <c r="AA472" s="367"/>
      <c r="AB472"/>
      <c r="AC472"/>
      <c r="AD472"/>
      <c r="AE472"/>
      <c r="AF472"/>
      <c r="AG472"/>
      <c r="AH472"/>
      <c r="AI472"/>
      <c r="AJ472"/>
      <c r="AK472"/>
      <c r="AL472"/>
      <c r="AM472"/>
      <c r="AN472"/>
      <c r="AO472"/>
      <c r="AP472"/>
      <c r="AQ472"/>
      <c r="AR472"/>
      <c r="AS472"/>
      <c r="AT472"/>
      <c r="AU472"/>
    </row>
    <row r="473" spans="17:47" ht="12.75" customHeight="1">
      <c r="Q473" s="364"/>
      <c r="R473" s="892"/>
      <c r="S473" s="897"/>
      <c r="T473" s="700">
        <f>V76</f>
        <v>114.02059991327963</v>
      </c>
      <c r="U473" s="560">
        <f>V62</f>
        <v>1.9999999999999996</v>
      </c>
      <c r="V473" s="690">
        <f>IF(T473&gt;0,W473*U473," ")</f>
        <v>19999.999999999996</v>
      </c>
      <c r="W473" s="691">
        <f>IF(T473&gt;0,(VLOOKUP(T473,'Lookup Ready-reckoner'!$B$5:$E$1207,4))," ")</f>
        <v>10000</v>
      </c>
      <c r="X473" s="364"/>
      <c r="Y473" s="364"/>
      <c r="Z473" s="364"/>
      <c r="AA473" s="367"/>
      <c r="AB473"/>
      <c r="AC473"/>
      <c r="AD473"/>
      <c r="AE473"/>
      <c r="AF473"/>
      <c r="AG473"/>
      <c r="AH473"/>
      <c r="AI473"/>
      <c r="AJ473"/>
      <c r="AK473"/>
      <c r="AL473"/>
      <c r="AM473"/>
      <c r="AN473"/>
      <c r="AO473"/>
      <c r="AP473"/>
      <c r="AQ473"/>
      <c r="AR473"/>
      <c r="AS473"/>
      <c r="AT473"/>
      <c r="AU473"/>
    </row>
    <row r="474" spans="17:47" ht="12.75" customHeight="1">
      <c r="Q474" s="364"/>
      <c r="R474" s="898"/>
      <c r="S474" s="899"/>
      <c r="T474" s="447"/>
      <c r="U474" s="560"/>
      <c r="V474" s="690" t="str">
        <f>IF(T474&gt;0,W474*U474," ")</f>
        <v xml:space="preserve"> </v>
      </c>
      <c r="W474" s="691" t="str">
        <f>IF(T474&gt;0,(VLOOKUP(T474,'Lookup Ready-reckoner'!$B$5:$E$1007,4))," ")</f>
        <v xml:space="preserve"> </v>
      </c>
      <c r="X474" s="364"/>
      <c r="Y474" s="364"/>
      <c r="Z474" s="364"/>
      <c r="AA474" s="367"/>
      <c r="AB474"/>
      <c r="AC474"/>
      <c r="AD474"/>
      <c r="AE474"/>
      <c r="AF474"/>
      <c r="AG474"/>
      <c r="AH474"/>
      <c r="AI474"/>
      <c r="AJ474"/>
      <c r="AK474"/>
      <c r="AL474"/>
      <c r="AM474"/>
      <c r="AN474"/>
      <c r="AO474"/>
      <c r="AP474"/>
      <c r="AQ474"/>
      <c r="AR474"/>
      <c r="AS474"/>
      <c r="AT474"/>
      <c r="AU474"/>
    </row>
    <row r="475" spans="17:47" ht="12.75" customHeight="1" thickBot="1">
      <c r="Q475" s="364"/>
      <c r="R475" s="699" t="s">
        <v>839</v>
      </c>
      <c r="S475" s="693"/>
      <c r="T475" s="693"/>
      <c r="U475" s="701">
        <f>IF(T473&gt;0,(VLOOKUP(V475,'Lookup Ready-reckoner'!$L$5:$M$1207,2))," ")</f>
        <v>107.95</v>
      </c>
      <c r="V475" s="695">
        <f>IF(U473&gt;0,(SUM(V473:V474))," ")</f>
        <v>19999.999999999996</v>
      </c>
      <c r="W475" s="696"/>
      <c r="X475" s="364"/>
      <c r="Y475" s="364"/>
      <c r="Z475" s="364"/>
      <c r="AA475" s="367"/>
      <c r="AB475"/>
      <c r="AC475"/>
      <c r="AD475"/>
      <c r="AE475"/>
      <c r="AF475"/>
      <c r="AG475"/>
      <c r="AH475"/>
      <c r="AI475"/>
      <c r="AJ475"/>
      <c r="AK475"/>
      <c r="AL475"/>
      <c r="AM475"/>
      <c r="AN475"/>
      <c r="AO475"/>
      <c r="AP475"/>
      <c r="AQ475"/>
      <c r="AR475"/>
      <c r="AS475"/>
      <c r="AT475"/>
      <c r="AU475"/>
    </row>
    <row r="476" spans="17:47" ht="12.75" customHeight="1" thickBot="1">
      <c r="Q476" s="364"/>
      <c r="R476" s="892"/>
      <c r="S476" s="893"/>
      <c r="T476" s="893"/>
      <c r="U476" s="893"/>
      <c r="V476" s="893"/>
      <c r="W476" s="894"/>
      <c r="X476" s="364"/>
      <c r="Y476" s="364"/>
      <c r="Z476" s="364"/>
      <c r="AA476" s="367"/>
      <c r="AB476"/>
      <c r="AC476"/>
      <c r="AD476"/>
      <c r="AE476"/>
      <c r="AF476"/>
      <c r="AG476"/>
      <c r="AH476"/>
      <c r="AI476"/>
      <c r="AJ476"/>
      <c r="AK476"/>
      <c r="AL476"/>
      <c r="AM476"/>
      <c r="AN476"/>
      <c r="AO476"/>
      <c r="AP476"/>
      <c r="AQ476"/>
      <c r="AR476"/>
      <c r="AS476"/>
      <c r="AT476"/>
      <c r="AU476"/>
    </row>
    <row r="477" spans="17:47" ht="12.75" customHeight="1">
      <c r="Q477" s="364"/>
      <c r="R477" s="895" t="s">
        <v>886</v>
      </c>
      <c r="S477" s="896"/>
      <c r="T477" s="900" t="s">
        <v>835</v>
      </c>
      <c r="U477" s="900" t="s">
        <v>836</v>
      </c>
      <c r="V477" s="900" t="s">
        <v>837</v>
      </c>
      <c r="W477" s="902" t="s">
        <v>838</v>
      </c>
      <c r="X477" s="364"/>
      <c r="Y477" s="364"/>
      <c r="Z477" s="364"/>
      <c r="AA477" s="367"/>
      <c r="AB477"/>
      <c r="AC477"/>
      <c r="AD477"/>
      <c r="AE477"/>
      <c r="AF477"/>
      <c r="AG477"/>
      <c r="AH477"/>
      <c r="AI477"/>
      <c r="AJ477"/>
      <c r="AK477"/>
      <c r="AL477"/>
      <c r="AM477"/>
      <c r="AN477"/>
      <c r="AO477"/>
      <c r="AP477"/>
      <c r="AQ477"/>
      <c r="AR477"/>
      <c r="AS477"/>
      <c r="AT477"/>
      <c r="AU477"/>
    </row>
    <row r="478" spans="17:47" ht="12.75" customHeight="1">
      <c r="Q478" s="364"/>
      <c r="R478" s="892"/>
      <c r="S478" s="897"/>
      <c r="T478" s="901"/>
      <c r="U478" s="901"/>
      <c r="V478" s="901"/>
      <c r="W478" s="903"/>
      <c r="X478" s="364"/>
      <c r="Y478" s="364"/>
      <c r="Z478" s="364"/>
      <c r="AA478" s="367"/>
      <c r="AB478"/>
      <c r="AC478"/>
      <c r="AD478"/>
      <c r="AE478"/>
      <c r="AF478"/>
      <c r="AG478"/>
      <c r="AH478"/>
      <c r="AI478"/>
      <c r="AJ478"/>
      <c r="AK478"/>
      <c r="AL478"/>
      <c r="AM478"/>
      <c r="AN478"/>
      <c r="AO478"/>
      <c r="AP478"/>
      <c r="AQ478"/>
      <c r="AR478"/>
      <c r="AS478"/>
      <c r="AT478"/>
      <c r="AU478"/>
    </row>
    <row r="479" spans="17:47" ht="12.75" customHeight="1">
      <c r="Q479" s="364"/>
      <c r="R479" s="892"/>
      <c r="S479" s="897"/>
      <c r="T479" s="700">
        <f>T473*(1-0.0178*2)</f>
        <v>109.96146655636687</v>
      </c>
      <c r="U479" s="560">
        <f>U473</f>
        <v>1.9999999999999996</v>
      </c>
      <c r="V479" s="690">
        <f>IF(T479&gt;0,W479*U479," ")</f>
        <v>7919.9999999999982</v>
      </c>
      <c r="W479" s="691">
        <f>IF(T479&gt;0,(VLOOKUP(T479,'Lookup Ready-reckoner'!$B$5:$E$1207,4))," ")</f>
        <v>3960</v>
      </c>
      <c r="X479" s="364"/>
      <c r="Y479" s="364"/>
      <c r="Z479" s="364"/>
      <c r="AA479" s="367"/>
      <c r="AB479"/>
      <c r="AC479"/>
      <c r="AD479"/>
      <c r="AE479"/>
      <c r="AF479"/>
      <c r="AG479"/>
      <c r="AH479"/>
      <c r="AI479"/>
      <c r="AJ479"/>
      <c r="AK479"/>
      <c r="AL479"/>
      <c r="AM479"/>
      <c r="AN479"/>
      <c r="AO479"/>
      <c r="AP479"/>
      <c r="AQ479"/>
      <c r="AR479"/>
      <c r="AS479"/>
      <c r="AT479"/>
      <c r="AU479"/>
    </row>
    <row r="480" spans="17:47" ht="12.75" customHeight="1">
      <c r="Q480" s="364"/>
      <c r="R480" s="898"/>
      <c r="S480" s="899"/>
      <c r="T480" s="447"/>
      <c r="U480" s="560"/>
      <c r="V480" s="690" t="str">
        <f>IF(T480&gt;0,W480*U480," ")</f>
        <v xml:space="preserve"> </v>
      </c>
      <c r="W480" s="691" t="str">
        <f>IF(T480&gt;0,(VLOOKUP(T480,'Lookup Ready-reckoner'!$B$5:$E$1007,4))," ")</f>
        <v xml:space="preserve"> </v>
      </c>
      <c r="X480" s="364"/>
      <c r="Y480" s="364"/>
      <c r="Z480" s="364"/>
      <c r="AA480" s="367"/>
      <c r="AB480"/>
      <c r="AC480"/>
      <c r="AD480"/>
      <c r="AE480"/>
      <c r="AF480"/>
      <c r="AG480"/>
      <c r="AH480"/>
      <c r="AI480"/>
      <c r="AJ480"/>
      <c r="AK480"/>
      <c r="AL480"/>
      <c r="AM480"/>
      <c r="AN480"/>
      <c r="AO480"/>
      <c r="AP480"/>
      <c r="AQ480"/>
      <c r="AR480"/>
      <c r="AS480"/>
      <c r="AT480"/>
      <c r="AU480"/>
    </row>
    <row r="481" spans="17:47" ht="12.75" customHeight="1" thickBot="1">
      <c r="Q481" s="364"/>
      <c r="R481" s="692" t="s">
        <v>839</v>
      </c>
      <c r="S481" s="693"/>
      <c r="T481" s="693"/>
      <c r="U481" s="701">
        <f>IF(T479&gt;0,(VLOOKUP(V481,'Lookup Ready-reckoner'!$L$5:$M$1207,2))," ")</f>
        <v>103.9</v>
      </c>
      <c r="V481" s="695">
        <f>IF(U479&gt;0,(SUM(V479:V480))," ")</f>
        <v>7919.9999999999982</v>
      </c>
      <c r="W481" s="696"/>
      <c r="X481" s="364"/>
      <c r="Y481" s="364"/>
      <c r="Z481" s="364"/>
      <c r="AA481" s="367"/>
      <c r="AB481"/>
      <c r="AC481"/>
      <c r="AD481"/>
      <c r="AE481"/>
      <c r="AF481"/>
      <c r="AG481"/>
      <c r="AH481"/>
      <c r="AI481"/>
      <c r="AJ481"/>
      <c r="AK481"/>
      <c r="AL481"/>
      <c r="AM481"/>
      <c r="AN481"/>
      <c r="AO481"/>
      <c r="AP481"/>
      <c r="AQ481"/>
      <c r="AR481"/>
      <c r="AS481"/>
      <c r="AT481"/>
      <c r="AU481"/>
    </row>
    <row r="482" spans="17:47" ht="12.75" customHeight="1">
      <c r="Q482" s="364"/>
      <c r="R482" s="697"/>
      <c r="S482" s="687"/>
      <c r="T482" s="687"/>
      <c r="U482" s="372"/>
      <c r="V482" s="374"/>
      <c r="W482" s="688"/>
      <c r="X482" s="364"/>
      <c r="Y482" s="364"/>
      <c r="Z482" s="364"/>
      <c r="AA482" s="367"/>
      <c r="AB482"/>
      <c r="AC482"/>
      <c r="AD482"/>
      <c r="AE482"/>
      <c r="AF482"/>
      <c r="AG482"/>
      <c r="AH482"/>
      <c r="AI482"/>
      <c r="AJ482"/>
      <c r="AK482"/>
      <c r="AL482"/>
      <c r="AM482"/>
      <c r="AN482"/>
      <c r="AO482"/>
      <c r="AP482"/>
      <c r="AQ482"/>
      <c r="AR482"/>
      <c r="AS482"/>
      <c r="AT482"/>
      <c r="AU482"/>
    </row>
    <row r="483" spans="17:47" ht="12.75" customHeight="1" thickBot="1">
      <c r="Q483" s="364"/>
      <c r="R483" s="686" t="s">
        <v>60</v>
      </c>
      <c r="S483" s="577"/>
      <c r="T483" s="577"/>
      <c r="U483" s="577"/>
      <c r="V483" s="577"/>
      <c r="W483" s="698"/>
      <c r="X483" s="364"/>
      <c r="Y483" s="364"/>
      <c r="Z483" s="364"/>
      <c r="AA483" s="367"/>
      <c r="AB483"/>
      <c r="AC483"/>
      <c r="AD483"/>
      <c r="AE483"/>
      <c r="AF483"/>
      <c r="AG483"/>
      <c r="AH483"/>
      <c r="AI483"/>
      <c r="AJ483"/>
      <c r="AK483"/>
      <c r="AL483"/>
      <c r="AM483"/>
      <c r="AN483"/>
      <c r="AO483"/>
      <c r="AP483"/>
      <c r="AQ483"/>
      <c r="AR483"/>
      <c r="AS483"/>
      <c r="AT483"/>
      <c r="AU483"/>
    </row>
    <row r="484" spans="17:47" ht="12.75" customHeight="1">
      <c r="Q484" s="364"/>
      <c r="R484" s="895" t="s">
        <v>845</v>
      </c>
      <c r="S484" s="896"/>
      <c r="T484" s="900" t="s">
        <v>835</v>
      </c>
      <c r="U484" s="900" t="s">
        <v>836</v>
      </c>
      <c r="V484" s="900" t="s">
        <v>837</v>
      </c>
      <c r="W484" s="902" t="s">
        <v>838</v>
      </c>
      <c r="X484" s="364"/>
      <c r="Y484" s="364"/>
      <c r="Z484" s="364"/>
      <c r="AA484" s="367"/>
      <c r="AB484"/>
      <c r="AC484"/>
      <c r="AD484"/>
      <c r="AE484"/>
      <c r="AF484"/>
      <c r="AG484"/>
      <c r="AH484"/>
      <c r="AI484"/>
      <c r="AJ484"/>
      <c r="AK484"/>
      <c r="AL484"/>
      <c r="AM484"/>
      <c r="AN484"/>
      <c r="AO484"/>
      <c r="AP484"/>
      <c r="AQ484"/>
      <c r="AR484"/>
      <c r="AS484"/>
      <c r="AT484"/>
      <c r="AU484"/>
    </row>
    <row r="485" spans="17:47" ht="12.75" customHeight="1">
      <c r="Q485" s="364"/>
      <c r="R485" s="892"/>
      <c r="S485" s="897"/>
      <c r="T485" s="901"/>
      <c r="U485" s="901"/>
      <c r="V485" s="901"/>
      <c r="W485" s="903"/>
      <c r="X485" s="364"/>
      <c r="Y485" s="364"/>
      <c r="Z485" s="364"/>
      <c r="AA485" s="367"/>
      <c r="AB485"/>
      <c r="AC485"/>
      <c r="AD485"/>
      <c r="AE485"/>
      <c r="AF485"/>
      <c r="AG485"/>
      <c r="AH485"/>
      <c r="AI485"/>
      <c r="AJ485"/>
      <c r="AK485"/>
      <c r="AL485"/>
      <c r="AM485"/>
      <c r="AN485"/>
      <c r="AO485"/>
      <c r="AP485"/>
      <c r="AQ485"/>
      <c r="AR485"/>
      <c r="AS485"/>
      <c r="AT485"/>
      <c r="AU485"/>
    </row>
    <row r="486" spans="17:47" ht="12.75" customHeight="1">
      <c r="Q486" s="364"/>
      <c r="R486" s="892"/>
      <c r="S486" s="897"/>
      <c r="T486" s="700">
        <f>T473-PPE!$I$15</f>
        <v>101.02059991327963</v>
      </c>
      <c r="U486" s="560">
        <f>U479</f>
        <v>1.9999999999999996</v>
      </c>
      <c r="V486" s="690">
        <f>IF(T486&gt;0,W486*U486," ")</f>
        <v>999.99999999999977</v>
      </c>
      <c r="W486" s="691">
        <f>IF(T486&gt;0,(VLOOKUP(T486,'Lookup Ready-reckoner'!$B$5:$E$1207,4))," ")</f>
        <v>500</v>
      </c>
      <c r="X486" s="364"/>
      <c r="Y486" s="364"/>
      <c r="Z486" s="364"/>
      <c r="AA486" s="367"/>
      <c r="AB486"/>
      <c r="AC486"/>
      <c r="AD486"/>
      <c r="AE486"/>
      <c r="AF486"/>
      <c r="AG486"/>
      <c r="AH486"/>
      <c r="AI486"/>
      <c r="AJ486"/>
      <c r="AK486"/>
      <c r="AL486"/>
      <c r="AM486"/>
      <c r="AN486"/>
      <c r="AO486"/>
      <c r="AP486"/>
      <c r="AQ486"/>
      <c r="AR486"/>
      <c r="AS486"/>
      <c r="AT486"/>
      <c r="AU486"/>
    </row>
    <row r="487" spans="17:47" ht="12.75" customHeight="1">
      <c r="Q487" s="364"/>
      <c r="R487" s="898"/>
      <c r="S487" s="899"/>
      <c r="T487" s="447"/>
      <c r="U487" s="560"/>
      <c r="V487" s="690" t="str">
        <f>IF(T487&gt;0,W487*U487," ")</f>
        <v xml:space="preserve"> </v>
      </c>
      <c r="W487" s="691" t="str">
        <f>IF(T487&gt;0,(VLOOKUP(T487,'Lookup Ready-reckoner'!$B$5:$E$1007,4))," ")</f>
        <v xml:space="preserve"> </v>
      </c>
      <c r="X487" s="364"/>
      <c r="Y487" s="364"/>
      <c r="Z487" s="364"/>
      <c r="AA487" s="367"/>
      <c r="AB487"/>
      <c r="AC487"/>
      <c r="AD487"/>
      <c r="AE487"/>
      <c r="AF487"/>
      <c r="AG487"/>
      <c r="AH487"/>
      <c r="AI487"/>
      <c r="AJ487"/>
      <c r="AK487"/>
      <c r="AL487"/>
      <c r="AM487"/>
      <c r="AN487"/>
      <c r="AO487"/>
      <c r="AP487"/>
      <c r="AQ487"/>
      <c r="AR487"/>
      <c r="AS487"/>
      <c r="AT487"/>
      <c r="AU487"/>
    </row>
    <row r="488" spans="17:47" ht="12.75" customHeight="1" thickBot="1">
      <c r="Q488" s="364"/>
      <c r="R488" s="692" t="s">
        <v>839</v>
      </c>
      <c r="S488" s="693"/>
      <c r="T488" s="693"/>
      <c r="U488" s="701">
        <f>IF(T486&gt;0,(VLOOKUP(V488,'Lookup Ready-reckoner'!$L$5:$M$1207,2))," ")</f>
        <v>94.95</v>
      </c>
      <c r="V488" s="695">
        <f>IF(U486&gt;0,(SUM(V486:V487))," ")</f>
        <v>999.99999999999977</v>
      </c>
      <c r="W488" s="696"/>
      <c r="X488" s="364"/>
      <c r="Y488" s="364"/>
      <c r="Z488" s="364"/>
      <c r="AA488" s="367"/>
      <c r="AB488"/>
      <c r="AC488"/>
      <c r="AD488"/>
      <c r="AE488"/>
      <c r="AF488"/>
      <c r="AG488"/>
      <c r="AH488"/>
      <c r="AI488"/>
      <c r="AJ488"/>
      <c r="AK488"/>
      <c r="AL488"/>
      <c r="AM488"/>
      <c r="AN488"/>
      <c r="AO488"/>
      <c r="AP488"/>
      <c r="AQ488"/>
      <c r="AR488"/>
      <c r="AS488"/>
      <c r="AT488"/>
      <c r="AU488"/>
    </row>
    <row r="489" spans="17:47" ht="12.75" customHeight="1" thickBot="1">
      <c r="Q489" s="364"/>
      <c r="R489" s="892"/>
      <c r="S489" s="893"/>
      <c r="T489" s="893"/>
      <c r="U489" s="893"/>
      <c r="V489" s="893"/>
      <c r="W489" s="894"/>
      <c r="X489" s="364"/>
      <c r="Y489" s="364"/>
      <c r="Z489" s="364"/>
      <c r="AA489" s="367"/>
      <c r="AB489"/>
      <c r="AC489"/>
      <c r="AD489"/>
      <c r="AE489"/>
      <c r="AF489"/>
      <c r="AG489"/>
      <c r="AH489"/>
      <c r="AI489"/>
      <c r="AJ489"/>
      <c r="AK489"/>
      <c r="AL489"/>
      <c r="AM489"/>
      <c r="AN489"/>
      <c r="AO489"/>
      <c r="AP489"/>
      <c r="AQ489"/>
      <c r="AR489"/>
      <c r="AS489"/>
      <c r="AT489"/>
      <c r="AU489"/>
    </row>
    <row r="490" spans="17:47" ht="12.75" customHeight="1">
      <c r="Q490" s="364"/>
      <c r="R490" s="895" t="s">
        <v>886</v>
      </c>
      <c r="S490" s="896"/>
      <c r="T490" s="900" t="s">
        <v>835</v>
      </c>
      <c r="U490" s="900" t="s">
        <v>836</v>
      </c>
      <c r="V490" s="900" t="s">
        <v>837</v>
      </c>
      <c r="W490" s="902" t="s">
        <v>838</v>
      </c>
      <c r="X490" s="364"/>
      <c r="Y490" s="364"/>
      <c r="Z490" s="364"/>
      <c r="AA490" s="367"/>
      <c r="AB490"/>
      <c r="AC490"/>
      <c r="AD490"/>
      <c r="AE490"/>
      <c r="AF490"/>
      <c r="AG490"/>
      <c r="AH490"/>
      <c r="AI490"/>
      <c r="AJ490"/>
      <c r="AK490"/>
      <c r="AL490"/>
      <c r="AM490"/>
      <c r="AN490"/>
      <c r="AO490"/>
      <c r="AP490"/>
      <c r="AQ490"/>
      <c r="AR490"/>
      <c r="AS490"/>
      <c r="AT490"/>
      <c r="AU490"/>
    </row>
    <row r="491" spans="17:47" ht="12.75" customHeight="1">
      <c r="Q491" s="364"/>
      <c r="R491" s="892"/>
      <c r="S491" s="897"/>
      <c r="T491" s="901"/>
      <c r="U491" s="901"/>
      <c r="V491" s="901"/>
      <c r="W491" s="903"/>
      <c r="X491" s="364"/>
      <c r="Y491" s="364"/>
      <c r="Z491" s="364"/>
      <c r="AA491" s="367"/>
      <c r="AB491"/>
      <c r="AC491"/>
      <c r="AD491"/>
      <c r="AE491"/>
      <c r="AF491"/>
      <c r="AG491"/>
      <c r="AH491"/>
      <c r="AI491"/>
      <c r="AJ491"/>
      <c r="AK491"/>
      <c r="AL491"/>
      <c r="AM491"/>
      <c r="AN491"/>
      <c r="AO491"/>
      <c r="AP491"/>
      <c r="AQ491"/>
      <c r="AR491"/>
      <c r="AS491"/>
      <c r="AT491"/>
      <c r="AU491"/>
    </row>
    <row r="492" spans="17:47" ht="12.75" customHeight="1">
      <c r="Q492" s="364"/>
      <c r="R492" s="892"/>
      <c r="S492" s="897"/>
      <c r="T492" s="700">
        <f>T479-PPE!$I$15</f>
        <v>96.961466556366872</v>
      </c>
      <c r="U492" s="560">
        <f>U486</f>
        <v>1.9999999999999996</v>
      </c>
      <c r="V492" s="690">
        <f>IF(T492&gt;0,W492*U492," ")</f>
        <v>395.62499999999989</v>
      </c>
      <c r="W492" s="691">
        <f>IF(T492&gt;0,(VLOOKUP(T492,'Lookup Ready-reckoner'!$B$5:$E$1207,4))," ")</f>
        <v>197.8125</v>
      </c>
      <c r="X492" s="364"/>
      <c r="Y492" s="364"/>
      <c r="Z492" s="364"/>
      <c r="AA492" s="367"/>
      <c r="AB492"/>
      <c r="AC492"/>
      <c r="AD492"/>
      <c r="AE492"/>
      <c r="AF492"/>
      <c r="AG492"/>
      <c r="AH492"/>
      <c r="AI492"/>
      <c r="AJ492"/>
      <c r="AK492"/>
      <c r="AL492"/>
      <c r="AM492"/>
      <c r="AN492"/>
      <c r="AO492"/>
      <c r="AP492"/>
      <c r="AQ492"/>
      <c r="AR492"/>
      <c r="AS492"/>
      <c r="AT492"/>
      <c r="AU492"/>
    </row>
    <row r="493" spans="17:47" ht="12.75" customHeight="1">
      <c r="Q493" s="364"/>
      <c r="R493" s="898"/>
      <c r="S493" s="899"/>
      <c r="T493" s="447"/>
      <c r="U493" s="560"/>
      <c r="V493" s="690" t="str">
        <f>IF(T493&gt;0,W493*U493," ")</f>
        <v xml:space="preserve"> </v>
      </c>
      <c r="W493" s="691" t="str">
        <f>IF(T493&gt;0,(VLOOKUP(T493,'Lookup Ready-reckoner'!$B$5:$E$1007,4))," ")</f>
        <v xml:space="preserve"> </v>
      </c>
      <c r="X493" s="364"/>
      <c r="Y493" s="364"/>
      <c r="Z493" s="364"/>
      <c r="AA493" s="367"/>
      <c r="AB493"/>
      <c r="AC493"/>
      <c r="AD493"/>
      <c r="AE493"/>
      <c r="AF493"/>
      <c r="AG493"/>
      <c r="AH493"/>
      <c r="AI493"/>
      <c r="AJ493"/>
      <c r="AK493"/>
      <c r="AL493"/>
      <c r="AM493"/>
      <c r="AN493"/>
      <c r="AO493"/>
      <c r="AP493"/>
      <c r="AQ493"/>
      <c r="AR493"/>
      <c r="AS493"/>
      <c r="AT493"/>
      <c r="AU493"/>
    </row>
    <row r="494" spans="17:47" ht="12.75" customHeight="1" thickBot="1">
      <c r="Q494" s="364"/>
      <c r="R494" s="692" t="s">
        <v>839</v>
      </c>
      <c r="S494" s="693"/>
      <c r="T494" s="693"/>
      <c r="U494" s="701">
        <f>IF(T492&gt;0,(VLOOKUP(V494,'Lookup Ready-reckoner'!$L$5:$M$1207,2))," ")</f>
        <v>90.9</v>
      </c>
      <c r="V494" s="695">
        <f>IF(U492&gt;0,(SUM(V492:V493))," ")</f>
        <v>395.62499999999989</v>
      </c>
      <c r="W494" s="696"/>
      <c r="X494" s="364"/>
      <c r="Y494" s="364"/>
      <c r="Z494" s="364"/>
      <c r="AA494" s="367"/>
      <c r="AB494"/>
      <c r="AC494"/>
      <c r="AD494"/>
      <c r="AE494"/>
      <c r="AF494"/>
      <c r="AG494"/>
      <c r="AH494"/>
      <c r="AI494"/>
      <c r="AJ494"/>
      <c r="AK494"/>
      <c r="AL494"/>
      <c r="AM494"/>
      <c r="AN494"/>
      <c r="AO494"/>
      <c r="AP494"/>
      <c r="AQ494"/>
      <c r="AR494"/>
      <c r="AS494"/>
      <c r="AT494"/>
      <c r="AU494"/>
    </row>
    <row r="495" spans="17:47" ht="12.75" customHeight="1">
      <c r="Q495" s="364"/>
      <c r="R495" s="363"/>
      <c r="S495" s="363"/>
      <c r="T495" s="363"/>
      <c r="U495" s="363"/>
      <c r="V495" s="363"/>
      <c r="W495" s="363"/>
      <c r="X495" s="364"/>
      <c r="Y495" s="364"/>
      <c r="Z495" s="364"/>
      <c r="AA495" s="367"/>
      <c r="AB495"/>
      <c r="AC495"/>
      <c r="AD495"/>
      <c r="AE495"/>
      <c r="AF495"/>
      <c r="AG495"/>
      <c r="AH495"/>
      <c r="AI495"/>
      <c r="AJ495"/>
      <c r="AK495"/>
      <c r="AL495"/>
      <c r="AM495"/>
      <c r="AN495"/>
      <c r="AO495"/>
      <c r="AP495"/>
      <c r="AQ495"/>
      <c r="AR495"/>
      <c r="AS495"/>
      <c r="AT495"/>
      <c r="AU495"/>
    </row>
    <row r="496" spans="17:47" ht="12.75" customHeight="1">
      <c r="Q496" s="364"/>
      <c r="R496" s="913" t="str">
        <f>R377</f>
        <v>Sulzer ADDS</v>
      </c>
      <c r="S496" s="914"/>
      <c r="T496" s="914"/>
      <c r="U496" s="914"/>
      <c r="V496" s="914"/>
      <c r="W496" s="914"/>
      <c r="X496" s="364"/>
      <c r="Y496" s="364"/>
      <c r="Z496" s="364"/>
      <c r="AA496" s="367"/>
      <c r="AB496"/>
      <c r="AC496"/>
      <c r="AD496"/>
      <c r="AE496"/>
      <c r="AF496"/>
      <c r="AG496"/>
      <c r="AH496"/>
      <c r="AI496"/>
      <c r="AJ496"/>
      <c r="AK496"/>
      <c r="AL496"/>
      <c r="AM496"/>
      <c r="AN496"/>
      <c r="AO496"/>
      <c r="AP496"/>
      <c r="AQ496"/>
      <c r="AR496"/>
      <c r="AS496"/>
      <c r="AT496"/>
      <c r="AU496"/>
    </row>
    <row r="497" spans="17:47" ht="12.75" customHeight="1" thickBot="1">
      <c r="Q497" s="364"/>
      <c r="R497" s="910" t="s">
        <v>205</v>
      </c>
      <c r="S497" s="911"/>
      <c r="T497" s="911"/>
      <c r="U497" s="911"/>
      <c r="V497" s="911"/>
      <c r="W497" s="912"/>
      <c r="X497" s="364"/>
      <c r="Y497" s="364"/>
      <c r="Z497" s="364"/>
      <c r="AA497" s="367"/>
      <c r="AB497"/>
      <c r="AC497"/>
      <c r="AD497"/>
      <c r="AE497"/>
      <c r="AF497"/>
      <c r="AG497"/>
      <c r="AH497"/>
      <c r="AI497"/>
      <c r="AJ497"/>
      <c r="AK497"/>
      <c r="AL497"/>
      <c r="AM497"/>
      <c r="AN497"/>
      <c r="AO497"/>
      <c r="AP497"/>
      <c r="AQ497"/>
      <c r="AR497"/>
      <c r="AS497"/>
      <c r="AT497"/>
      <c r="AU497"/>
    </row>
    <row r="498" spans="17:47" ht="12.75" customHeight="1" thickBot="1">
      <c r="Q498" s="364"/>
      <c r="R498" s="686" t="s">
        <v>59</v>
      </c>
      <c r="S498" s="577"/>
      <c r="T498" s="687"/>
      <c r="U498" s="687"/>
      <c r="V498" s="687"/>
      <c r="W498" s="688"/>
      <c r="X498" s="364"/>
      <c r="Y498" s="364"/>
      <c r="Z498" s="364"/>
      <c r="AA498" s="367"/>
      <c r="AB498"/>
      <c r="AC498"/>
      <c r="AD498"/>
      <c r="AE498"/>
      <c r="AF498"/>
      <c r="AG498"/>
      <c r="AH498"/>
      <c r="AI498"/>
      <c r="AJ498"/>
      <c r="AK498"/>
      <c r="AL498"/>
      <c r="AM498"/>
      <c r="AN498"/>
      <c r="AO498"/>
      <c r="AP498"/>
      <c r="AQ498"/>
      <c r="AR498"/>
      <c r="AS498"/>
      <c r="AT498"/>
      <c r="AU498"/>
    </row>
    <row r="499" spans="17:47" ht="12.75" customHeight="1">
      <c r="Q499" s="364"/>
      <c r="R499" s="895" t="s">
        <v>845</v>
      </c>
      <c r="S499" s="896"/>
      <c r="T499" s="900" t="s">
        <v>835</v>
      </c>
      <c r="U499" s="900" t="s">
        <v>836</v>
      </c>
      <c r="V499" s="900" t="s">
        <v>837</v>
      </c>
      <c r="W499" s="902" t="s">
        <v>838</v>
      </c>
      <c r="X499" s="364"/>
      <c r="Y499" s="364"/>
      <c r="Z499" s="364"/>
      <c r="AA499" s="367"/>
      <c r="AB499"/>
      <c r="AC499"/>
      <c r="AD499"/>
      <c r="AE499"/>
      <c r="AF499"/>
      <c r="AG499"/>
      <c r="AH499"/>
      <c r="AI499"/>
      <c r="AJ499"/>
      <c r="AK499"/>
      <c r="AL499"/>
      <c r="AM499"/>
      <c r="AN499"/>
      <c r="AO499"/>
      <c r="AP499"/>
      <c r="AQ499"/>
      <c r="AR499"/>
      <c r="AS499"/>
      <c r="AT499"/>
      <c r="AU499"/>
    </row>
    <row r="500" spans="17:47" ht="12.75" customHeight="1">
      <c r="Q500" s="364"/>
      <c r="R500" s="892"/>
      <c r="S500" s="897"/>
      <c r="T500" s="904"/>
      <c r="U500" s="904"/>
      <c r="V500" s="904"/>
      <c r="W500" s="905"/>
      <c r="X500" s="364"/>
      <c r="Y500" s="364"/>
      <c r="Z500" s="364"/>
      <c r="AA500" s="367"/>
      <c r="AB500"/>
      <c r="AC500"/>
      <c r="AD500"/>
      <c r="AE500"/>
      <c r="AF500"/>
      <c r="AG500"/>
      <c r="AH500"/>
      <c r="AI500"/>
      <c r="AJ500"/>
      <c r="AK500"/>
      <c r="AL500"/>
      <c r="AM500"/>
      <c r="AN500"/>
      <c r="AO500"/>
      <c r="AP500"/>
      <c r="AQ500"/>
      <c r="AR500"/>
      <c r="AS500"/>
      <c r="AT500"/>
      <c r="AU500"/>
    </row>
    <row r="501" spans="17:47" ht="12.75" customHeight="1">
      <c r="Q501" s="364"/>
      <c r="R501" s="892"/>
      <c r="S501" s="897"/>
      <c r="T501" s="901"/>
      <c r="U501" s="901"/>
      <c r="V501" s="901"/>
      <c r="W501" s="903"/>
      <c r="X501" s="364"/>
      <c r="Y501" s="364"/>
      <c r="Z501" s="364"/>
      <c r="AA501" s="367"/>
      <c r="AB501"/>
      <c r="AC501"/>
      <c r="AD501"/>
      <c r="AE501"/>
      <c r="AF501"/>
      <c r="AG501"/>
      <c r="AH501"/>
      <c r="AI501"/>
      <c r="AJ501"/>
      <c r="AK501"/>
      <c r="AL501"/>
      <c r="AM501"/>
      <c r="AN501"/>
      <c r="AO501"/>
      <c r="AP501"/>
      <c r="AQ501"/>
      <c r="AR501"/>
      <c r="AS501"/>
      <c r="AT501"/>
      <c r="AU501"/>
    </row>
    <row r="502" spans="17:47" ht="12.75" customHeight="1">
      <c r="Q502" s="364"/>
      <c r="R502" s="892"/>
      <c r="S502" s="897"/>
      <c r="T502" s="702">
        <f>W76</f>
        <v>115.02059991327963</v>
      </c>
      <c r="U502" s="560">
        <f>W62</f>
        <v>1.7391304347826084</v>
      </c>
      <c r="V502" s="690">
        <f>IF(T502&gt;0,W502*U502," ")</f>
        <v>22260.869565217388</v>
      </c>
      <c r="W502" s="691">
        <f>IF(T502&gt;0,(VLOOKUP(T502,'Lookup Ready-reckoner'!$B$5:$E$1207,4))," ")</f>
        <v>12800</v>
      </c>
      <c r="X502" s="364"/>
      <c r="Y502" s="364"/>
      <c r="Z502" s="364"/>
      <c r="AA502" s="367"/>
      <c r="AB502"/>
      <c r="AC502"/>
      <c r="AD502"/>
      <c r="AE502"/>
      <c r="AF502"/>
      <c r="AG502"/>
      <c r="AH502"/>
      <c r="AI502"/>
      <c r="AJ502"/>
      <c r="AK502"/>
      <c r="AL502"/>
      <c r="AM502"/>
      <c r="AN502"/>
      <c r="AO502"/>
      <c r="AP502"/>
      <c r="AQ502"/>
      <c r="AR502"/>
      <c r="AS502"/>
      <c r="AT502"/>
      <c r="AU502"/>
    </row>
    <row r="503" spans="17:47" ht="12.75" customHeight="1">
      <c r="Q503" s="364"/>
      <c r="R503" s="898"/>
      <c r="S503" s="899"/>
      <c r="T503" s="447"/>
      <c r="U503" s="560"/>
      <c r="V503" s="690" t="str">
        <f>IF(T503&gt;0,W503*U503," ")</f>
        <v xml:space="preserve"> </v>
      </c>
      <c r="W503" s="691" t="str">
        <f>IF(T503&gt;0,(VLOOKUP(T503,'Lookup Ready-reckoner'!$B$5:$E$1007,4))," ")</f>
        <v xml:space="preserve"> </v>
      </c>
      <c r="X503" s="364"/>
      <c r="Y503" s="364"/>
      <c r="Z503" s="364"/>
      <c r="AA503" s="367"/>
      <c r="AB503"/>
      <c r="AC503"/>
      <c r="AD503"/>
      <c r="AE503"/>
      <c r="AF503"/>
      <c r="AG503"/>
      <c r="AH503"/>
      <c r="AI503"/>
      <c r="AJ503"/>
      <c r="AK503"/>
      <c r="AL503"/>
      <c r="AM503"/>
      <c r="AN503"/>
      <c r="AO503"/>
      <c r="AP503"/>
      <c r="AQ503"/>
      <c r="AR503"/>
      <c r="AS503"/>
      <c r="AT503"/>
      <c r="AU503"/>
    </row>
    <row r="504" spans="17:47" ht="12.75" customHeight="1" thickBot="1">
      <c r="Q504" s="364"/>
      <c r="R504" s="692" t="s">
        <v>839</v>
      </c>
      <c r="S504" s="693"/>
      <c r="T504" s="693"/>
      <c r="U504" s="703">
        <f>IF(T502&gt;0,(VLOOKUP(V504,'Lookup Ready-reckoner'!$L$5:$M$1207,2))," ")</f>
        <v>108.4</v>
      </c>
      <c r="V504" s="695">
        <f>IF(U502&gt;0,(SUM(V502:V503))," ")</f>
        <v>22260.869565217388</v>
      </c>
      <c r="W504" s="696"/>
      <c r="X504" s="364"/>
      <c r="Y504" s="364"/>
      <c r="Z504" s="364"/>
      <c r="AA504" s="367"/>
      <c r="AB504"/>
      <c r="AC504"/>
      <c r="AD504"/>
      <c r="AE504"/>
      <c r="AF504"/>
      <c r="AG504"/>
      <c r="AH504"/>
      <c r="AI504"/>
      <c r="AJ504"/>
      <c r="AK504"/>
      <c r="AL504"/>
      <c r="AM504"/>
      <c r="AN504"/>
      <c r="AO504"/>
      <c r="AP504"/>
      <c r="AQ504"/>
      <c r="AR504"/>
      <c r="AS504"/>
      <c r="AT504"/>
      <c r="AU504"/>
    </row>
    <row r="505" spans="17:47" ht="12.75" customHeight="1" thickBot="1">
      <c r="Q505" s="364"/>
      <c r="R505" s="892"/>
      <c r="S505" s="893"/>
      <c r="T505" s="893"/>
      <c r="U505" s="893"/>
      <c r="V505" s="893"/>
      <c r="W505" s="894"/>
      <c r="X505" s="364"/>
      <c r="Y505" s="364"/>
      <c r="Z505" s="364"/>
      <c r="AA505" s="367"/>
      <c r="AB505"/>
      <c r="AC505"/>
      <c r="AD505"/>
      <c r="AE505"/>
      <c r="AF505"/>
      <c r="AG505"/>
      <c r="AH505"/>
      <c r="AI505"/>
      <c r="AJ505"/>
      <c r="AK505"/>
      <c r="AL505"/>
      <c r="AM505"/>
      <c r="AN505"/>
      <c r="AO505"/>
      <c r="AP505"/>
      <c r="AQ505"/>
      <c r="AR505"/>
      <c r="AS505"/>
      <c r="AT505"/>
      <c r="AU505"/>
    </row>
    <row r="506" spans="17:47" ht="12.75" customHeight="1">
      <c r="Q506" s="364"/>
      <c r="R506" s="895" t="s">
        <v>886</v>
      </c>
      <c r="S506" s="896"/>
      <c r="T506" s="900" t="s">
        <v>835</v>
      </c>
      <c r="U506" s="900" t="s">
        <v>836</v>
      </c>
      <c r="V506" s="900" t="s">
        <v>837</v>
      </c>
      <c r="W506" s="902" t="s">
        <v>838</v>
      </c>
      <c r="X506" s="364"/>
      <c r="Y506" s="364"/>
      <c r="Z506" s="364"/>
      <c r="AA506" s="367"/>
      <c r="AB506"/>
      <c r="AC506"/>
      <c r="AD506"/>
      <c r="AE506"/>
      <c r="AF506"/>
      <c r="AG506"/>
      <c r="AH506"/>
      <c r="AI506"/>
      <c r="AJ506"/>
      <c r="AK506"/>
      <c r="AL506"/>
      <c r="AM506"/>
      <c r="AN506"/>
      <c r="AO506"/>
      <c r="AP506"/>
      <c r="AQ506"/>
      <c r="AR506"/>
      <c r="AS506"/>
      <c r="AT506"/>
      <c r="AU506"/>
    </row>
    <row r="507" spans="17:47" ht="12.75" customHeight="1">
      <c r="Q507" s="364"/>
      <c r="R507" s="892"/>
      <c r="S507" s="897"/>
      <c r="T507" s="901"/>
      <c r="U507" s="901"/>
      <c r="V507" s="901"/>
      <c r="W507" s="903"/>
      <c r="X507" s="364"/>
      <c r="Y507" s="364"/>
      <c r="Z507" s="364"/>
      <c r="AA507" s="367"/>
      <c r="AB507"/>
      <c r="AC507"/>
      <c r="AD507"/>
      <c r="AE507"/>
      <c r="AF507"/>
      <c r="AG507"/>
      <c r="AH507"/>
      <c r="AI507"/>
      <c r="AJ507"/>
      <c r="AK507"/>
      <c r="AL507"/>
      <c r="AM507"/>
      <c r="AN507"/>
      <c r="AO507"/>
      <c r="AP507"/>
      <c r="AQ507"/>
      <c r="AR507"/>
      <c r="AS507"/>
      <c r="AT507"/>
      <c r="AU507"/>
    </row>
    <row r="508" spans="17:47" ht="12.75" customHeight="1">
      <c r="Q508" s="364"/>
      <c r="R508" s="892"/>
      <c r="S508" s="897"/>
      <c r="T508" s="702">
        <f>T502*(1-0.0178*2)</f>
        <v>110.92586655636687</v>
      </c>
      <c r="U508" s="560">
        <f>U502</f>
        <v>1.7391304347826084</v>
      </c>
      <c r="V508" s="690">
        <f>IF(T508&gt;0,W508*U508," ")</f>
        <v>8521.7391304347821</v>
      </c>
      <c r="W508" s="691">
        <f>IF(T508&gt;0,(VLOOKUP(T508,'Lookup Ready-reckoner'!$B$5:$E$1207,4))," ")</f>
        <v>4900</v>
      </c>
      <c r="X508" s="364"/>
      <c r="Y508" s="364"/>
      <c r="Z508" s="364"/>
      <c r="AA508" s="367"/>
      <c r="AB508"/>
      <c r="AC508"/>
      <c r="AD508"/>
      <c r="AE508"/>
      <c r="AF508"/>
      <c r="AG508"/>
      <c r="AH508"/>
      <c r="AI508"/>
      <c r="AJ508"/>
      <c r="AK508"/>
      <c r="AL508"/>
      <c r="AM508"/>
      <c r="AN508"/>
      <c r="AO508"/>
      <c r="AP508"/>
      <c r="AQ508"/>
      <c r="AR508"/>
      <c r="AS508"/>
      <c r="AT508"/>
      <c r="AU508"/>
    </row>
    <row r="509" spans="17:47" ht="12.75" customHeight="1">
      <c r="Q509" s="364"/>
      <c r="R509" s="898"/>
      <c r="S509" s="899"/>
      <c r="T509" s="447"/>
      <c r="U509" s="560"/>
      <c r="V509" s="690" t="str">
        <f>IF(T509&gt;0,W509*U509," ")</f>
        <v xml:space="preserve"> </v>
      </c>
      <c r="W509" s="691" t="str">
        <f>IF(T509&gt;0,(VLOOKUP(T509,'Lookup Ready-reckoner'!$B$5:$E$1007,4))," ")</f>
        <v xml:space="preserve"> </v>
      </c>
      <c r="X509" s="364"/>
      <c r="Y509" s="364"/>
      <c r="Z509" s="364"/>
      <c r="AA509" s="367"/>
      <c r="AB509"/>
      <c r="AC509"/>
      <c r="AD509"/>
      <c r="AE509"/>
      <c r="AF509"/>
      <c r="AG509"/>
      <c r="AH509"/>
      <c r="AI509"/>
      <c r="AJ509"/>
      <c r="AK509"/>
      <c r="AL509"/>
      <c r="AM509"/>
      <c r="AN509"/>
      <c r="AO509"/>
      <c r="AP509"/>
      <c r="AQ509"/>
      <c r="AR509"/>
      <c r="AS509"/>
      <c r="AT509"/>
      <c r="AU509"/>
    </row>
    <row r="510" spans="17:47" ht="12.75" customHeight="1" thickBot="1">
      <c r="Q510" s="364"/>
      <c r="R510" s="692" t="s">
        <v>839</v>
      </c>
      <c r="S510" s="693"/>
      <c r="T510" s="693"/>
      <c r="U510" s="703">
        <f>IF(T508&gt;0,(VLOOKUP(V510,'Lookup Ready-reckoner'!$L$5:$M$1207,2))," ")</f>
        <v>104.25</v>
      </c>
      <c r="V510" s="695">
        <f>IF(U508&gt;0,(SUM(V508:V509))," ")</f>
        <v>8521.7391304347821</v>
      </c>
      <c r="W510" s="696"/>
      <c r="X510" s="364"/>
      <c r="Y510" s="364"/>
      <c r="Z510" s="364"/>
      <c r="AA510" s="367"/>
      <c r="AB510"/>
      <c r="AC510"/>
      <c r="AD510"/>
      <c r="AE510"/>
      <c r="AF510"/>
      <c r="AG510"/>
      <c r="AH510"/>
      <c r="AI510"/>
      <c r="AJ510"/>
      <c r="AK510"/>
      <c r="AL510"/>
      <c r="AM510"/>
      <c r="AN510"/>
      <c r="AO510"/>
      <c r="AP510"/>
      <c r="AQ510"/>
      <c r="AR510"/>
      <c r="AS510"/>
      <c r="AT510"/>
      <c r="AU510"/>
    </row>
    <row r="511" spans="17:47" ht="12.75" customHeight="1">
      <c r="Q511" s="364"/>
      <c r="R511" s="697"/>
      <c r="S511" s="687"/>
      <c r="T511" s="687"/>
      <c r="U511" s="372"/>
      <c r="V511" s="374"/>
      <c r="W511" s="688"/>
      <c r="X511" s="364"/>
      <c r="Y511" s="364"/>
      <c r="Z511" s="364"/>
      <c r="AA511" s="367"/>
      <c r="AB511"/>
      <c r="AC511"/>
      <c r="AD511"/>
      <c r="AE511"/>
      <c r="AF511"/>
      <c r="AG511"/>
      <c r="AH511"/>
      <c r="AI511"/>
      <c r="AJ511"/>
      <c r="AK511"/>
      <c r="AL511"/>
      <c r="AM511"/>
      <c r="AN511"/>
      <c r="AO511"/>
      <c r="AP511"/>
      <c r="AQ511"/>
      <c r="AR511"/>
      <c r="AS511"/>
      <c r="AT511"/>
      <c r="AU511"/>
    </row>
    <row r="512" spans="17:47" ht="12.75" customHeight="1" thickBot="1">
      <c r="Q512" s="364"/>
      <c r="R512" s="686" t="s">
        <v>60</v>
      </c>
      <c r="S512" s="577"/>
      <c r="T512" s="577"/>
      <c r="U512" s="577"/>
      <c r="V512" s="577"/>
      <c r="W512" s="698"/>
      <c r="X512" s="364"/>
      <c r="Y512" s="364"/>
      <c r="Z512" s="364"/>
      <c r="AA512" s="367"/>
      <c r="AB512"/>
      <c r="AC512"/>
      <c r="AD512"/>
      <c r="AE512"/>
      <c r="AF512"/>
      <c r="AG512"/>
      <c r="AH512"/>
      <c r="AI512"/>
      <c r="AJ512"/>
      <c r="AK512"/>
      <c r="AL512"/>
      <c r="AM512"/>
      <c r="AN512"/>
      <c r="AO512"/>
      <c r="AP512"/>
      <c r="AQ512"/>
      <c r="AR512"/>
      <c r="AS512"/>
      <c r="AT512"/>
      <c r="AU512"/>
    </row>
    <row r="513" spans="17:47" ht="12.75" customHeight="1">
      <c r="Q513" s="364"/>
      <c r="R513" s="895" t="s">
        <v>845</v>
      </c>
      <c r="S513" s="896"/>
      <c r="T513" s="900" t="s">
        <v>835</v>
      </c>
      <c r="U513" s="900" t="s">
        <v>836</v>
      </c>
      <c r="V513" s="900" t="s">
        <v>837</v>
      </c>
      <c r="W513" s="902" t="s">
        <v>838</v>
      </c>
      <c r="X513" s="364"/>
      <c r="Y513" s="364"/>
      <c r="Z513" s="364"/>
      <c r="AA513" s="367"/>
      <c r="AB513"/>
      <c r="AC513"/>
      <c r="AD513"/>
      <c r="AE513"/>
      <c r="AF513"/>
      <c r="AG513"/>
      <c r="AH513"/>
      <c r="AI513"/>
      <c r="AJ513"/>
      <c r="AK513"/>
      <c r="AL513"/>
      <c r="AM513"/>
      <c r="AN513"/>
      <c r="AO513"/>
      <c r="AP513"/>
      <c r="AQ513"/>
      <c r="AR513"/>
      <c r="AS513"/>
      <c r="AT513"/>
      <c r="AU513"/>
    </row>
    <row r="514" spans="17:47" ht="12.75" customHeight="1">
      <c r="Q514" s="364"/>
      <c r="R514" s="892"/>
      <c r="S514" s="897"/>
      <c r="T514" s="901"/>
      <c r="U514" s="901"/>
      <c r="V514" s="901"/>
      <c r="W514" s="903"/>
      <c r="X514" s="364"/>
      <c r="Y514" s="364"/>
      <c r="Z514" s="364"/>
      <c r="AA514" s="367"/>
      <c r="AB514"/>
      <c r="AC514"/>
      <c r="AD514"/>
      <c r="AE514"/>
      <c r="AF514"/>
      <c r="AG514"/>
      <c r="AH514"/>
      <c r="AI514"/>
      <c r="AJ514"/>
      <c r="AK514"/>
      <c r="AL514"/>
      <c r="AM514"/>
      <c r="AN514"/>
      <c r="AO514"/>
      <c r="AP514"/>
      <c r="AQ514"/>
      <c r="AR514"/>
      <c r="AS514"/>
      <c r="AT514"/>
      <c r="AU514"/>
    </row>
    <row r="515" spans="17:47" ht="12.75" customHeight="1">
      <c r="Q515" s="364"/>
      <c r="R515" s="892"/>
      <c r="S515" s="897"/>
      <c r="T515" s="702">
        <f>T502-PPE!$I$15</f>
        <v>102.02059991327963</v>
      </c>
      <c r="U515" s="560">
        <f>U508</f>
        <v>1.7391304347826084</v>
      </c>
      <c r="V515" s="690">
        <f>IF(T515&gt;0,W515*U515," ")</f>
        <v>1086.9565217391303</v>
      </c>
      <c r="W515" s="691">
        <f>IF(T515&gt;0,(VLOOKUP(T515,'Lookup Ready-reckoner'!$B$5:$E$1207,4))," ")</f>
        <v>625</v>
      </c>
      <c r="X515" s="364"/>
      <c r="Y515" s="364"/>
      <c r="Z515" s="364"/>
      <c r="AA515" s="367"/>
      <c r="AB515"/>
      <c r="AC515"/>
      <c r="AD515"/>
      <c r="AE515"/>
      <c r="AF515"/>
      <c r="AG515"/>
      <c r="AH515"/>
      <c r="AI515"/>
      <c r="AJ515"/>
      <c r="AK515"/>
      <c r="AL515"/>
      <c r="AM515"/>
      <c r="AN515"/>
      <c r="AO515"/>
      <c r="AP515"/>
      <c r="AQ515"/>
      <c r="AR515"/>
      <c r="AS515"/>
      <c r="AT515"/>
      <c r="AU515"/>
    </row>
    <row r="516" spans="17:47" ht="12.75" customHeight="1">
      <c r="Q516" s="364"/>
      <c r="R516" s="898"/>
      <c r="S516" s="899"/>
      <c r="T516" s="447"/>
      <c r="U516" s="560"/>
      <c r="V516" s="690" t="str">
        <f>IF(T516&gt;0,W516*U516," ")</f>
        <v xml:space="preserve"> </v>
      </c>
      <c r="W516" s="691" t="str">
        <f>IF(T516&gt;0,(VLOOKUP(T516,'Lookup Ready-reckoner'!$B$5:$E$1007,4))," ")</f>
        <v xml:space="preserve"> </v>
      </c>
      <c r="X516" s="364"/>
      <c r="Y516" s="364"/>
      <c r="Z516" s="364"/>
      <c r="AA516" s="367"/>
      <c r="AB516"/>
      <c r="AC516"/>
      <c r="AD516"/>
      <c r="AE516"/>
      <c r="AF516"/>
      <c r="AG516"/>
      <c r="AH516"/>
      <c r="AI516"/>
      <c r="AJ516"/>
      <c r="AK516"/>
      <c r="AL516"/>
      <c r="AM516"/>
      <c r="AN516"/>
      <c r="AO516"/>
      <c r="AP516"/>
      <c r="AQ516"/>
      <c r="AR516"/>
      <c r="AS516"/>
      <c r="AT516"/>
      <c r="AU516"/>
    </row>
    <row r="517" spans="17:47" ht="12.75" customHeight="1" thickBot="1">
      <c r="Q517" s="364"/>
      <c r="R517" s="692" t="s">
        <v>839</v>
      </c>
      <c r="S517" s="693"/>
      <c r="T517" s="693"/>
      <c r="U517" s="703">
        <f>IF(T515&gt;0,(VLOOKUP(V517,'Lookup Ready-reckoner'!$L$5:$M$1207,2))," ")</f>
        <v>95.3</v>
      </c>
      <c r="V517" s="695">
        <f>IF(U515&gt;0,(SUM(V515:V516))," ")</f>
        <v>1086.9565217391303</v>
      </c>
      <c r="W517" s="696"/>
      <c r="X517" s="364"/>
      <c r="Y517" s="364"/>
      <c r="Z517" s="364"/>
      <c r="AA517" s="367"/>
      <c r="AB517"/>
      <c r="AC517"/>
      <c r="AD517"/>
      <c r="AE517"/>
      <c r="AF517"/>
      <c r="AG517"/>
      <c r="AH517"/>
      <c r="AI517"/>
      <c r="AJ517"/>
      <c r="AK517"/>
      <c r="AL517"/>
      <c r="AM517"/>
      <c r="AN517"/>
      <c r="AO517"/>
      <c r="AP517"/>
      <c r="AQ517"/>
      <c r="AR517"/>
      <c r="AS517"/>
      <c r="AT517"/>
      <c r="AU517"/>
    </row>
    <row r="518" spans="17:47" ht="12.75" customHeight="1" thickBot="1">
      <c r="Q518" s="364"/>
      <c r="R518" s="892"/>
      <c r="S518" s="893"/>
      <c r="T518" s="893"/>
      <c r="U518" s="893"/>
      <c r="V518" s="893"/>
      <c r="W518" s="894"/>
      <c r="X518" s="364"/>
      <c r="Y518" s="364"/>
      <c r="Z518" s="364"/>
      <c r="AA518" s="367"/>
      <c r="AB518"/>
      <c r="AC518"/>
      <c r="AD518"/>
      <c r="AE518"/>
      <c r="AF518"/>
      <c r="AG518"/>
      <c r="AH518"/>
      <c r="AI518"/>
      <c r="AJ518"/>
      <c r="AK518"/>
      <c r="AL518"/>
      <c r="AM518"/>
      <c r="AN518"/>
      <c r="AO518"/>
      <c r="AP518"/>
      <c r="AQ518"/>
      <c r="AR518"/>
      <c r="AS518"/>
      <c r="AT518"/>
      <c r="AU518"/>
    </row>
    <row r="519" spans="17:47" ht="12.75" customHeight="1">
      <c r="Q519" s="364"/>
      <c r="R519" s="895" t="s">
        <v>886</v>
      </c>
      <c r="S519" s="896"/>
      <c r="T519" s="900" t="s">
        <v>835</v>
      </c>
      <c r="U519" s="900" t="s">
        <v>836</v>
      </c>
      <c r="V519" s="900" t="s">
        <v>837</v>
      </c>
      <c r="W519" s="902" t="s">
        <v>838</v>
      </c>
      <c r="X519" s="364"/>
      <c r="Y519" s="364"/>
      <c r="Z519" s="364"/>
      <c r="AA519" s="367"/>
      <c r="AB519"/>
      <c r="AC519"/>
      <c r="AD519"/>
      <c r="AE519"/>
      <c r="AF519"/>
      <c r="AG519"/>
      <c r="AH519"/>
      <c r="AI519"/>
      <c r="AJ519"/>
      <c r="AK519"/>
      <c r="AL519"/>
      <c r="AM519"/>
      <c r="AN519"/>
      <c r="AO519"/>
      <c r="AP519"/>
      <c r="AQ519"/>
      <c r="AR519"/>
      <c r="AS519"/>
      <c r="AT519"/>
      <c r="AU519"/>
    </row>
    <row r="520" spans="17:47" ht="12.75" customHeight="1">
      <c r="Q520" s="364"/>
      <c r="R520" s="892"/>
      <c r="S520" s="897"/>
      <c r="T520" s="901"/>
      <c r="U520" s="901"/>
      <c r="V520" s="901"/>
      <c r="W520" s="903"/>
      <c r="X520" s="364"/>
      <c r="Y520" s="364"/>
      <c r="Z520" s="364"/>
      <c r="AA520" s="367"/>
      <c r="AB520"/>
      <c r="AC520"/>
      <c r="AD520"/>
      <c r="AE520"/>
      <c r="AF520"/>
      <c r="AG520"/>
      <c r="AH520"/>
      <c r="AI520"/>
      <c r="AJ520"/>
      <c r="AK520"/>
      <c r="AL520"/>
      <c r="AM520"/>
      <c r="AN520"/>
      <c r="AO520"/>
      <c r="AP520"/>
      <c r="AQ520"/>
      <c r="AR520"/>
      <c r="AS520"/>
      <c r="AT520"/>
      <c r="AU520"/>
    </row>
    <row r="521" spans="17:47" ht="12.75" customHeight="1">
      <c r="Q521" s="364"/>
      <c r="R521" s="892"/>
      <c r="S521" s="897"/>
      <c r="T521" s="702">
        <f>T508-PPE!$I$15</f>
        <v>97.92586655636687</v>
      </c>
      <c r="U521" s="560">
        <f>U515</f>
        <v>1.7391304347826084</v>
      </c>
      <c r="V521" s="690">
        <f>IF(T521&gt;0,W521*U521," ")</f>
        <v>426.08695652173907</v>
      </c>
      <c r="W521" s="691">
        <f>IF(T521&gt;0,(VLOOKUP(T521,'Lookup Ready-reckoner'!$B$5:$E$1207,4))," ")</f>
        <v>245</v>
      </c>
      <c r="X521" s="364"/>
      <c r="Y521" s="364"/>
      <c r="Z521" s="364"/>
      <c r="AA521" s="367"/>
      <c r="AB521"/>
      <c r="AC521"/>
      <c r="AD521"/>
      <c r="AE521"/>
      <c r="AF521"/>
      <c r="AG521"/>
      <c r="AH521"/>
      <c r="AI521"/>
      <c r="AJ521"/>
      <c r="AK521"/>
      <c r="AL521"/>
      <c r="AM521"/>
      <c r="AN521"/>
      <c r="AO521"/>
      <c r="AP521"/>
      <c r="AQ521"/>
      <c r="AR521"/>
      <c r="AS521"/>
      <c r="AT521"/>
      <c r="AU521"/>
    </row>
    <row r="522" spans="17:47" ht="12.75" customHeight="1">
      <c r="Q522" s="364"/>
      <c r="R522" s="898"/>
      <c r="S522" s="899"/>
      <c r="T522" s="447"/>
      <c r="U522" s="560"/>
      <c r="V522" s="690" t="str">
        <f>IF(T522&gt;0,W522*U522," ")</f>
        <v xml:space="preserve"> </v>
      </c>
      <c r="W522" s="691" t="str">
        <f>IF(T522&gt;0,(VLOOKUP(T522,'Lookup Ready-reckoner'!$B$5:$E$1007,4))," ")</f>
        <v xml:space="preserve"> </v>
      </c>
      <c r="X522" s="364"/>
      <c r="Y522" s="364"/>
      <c r="Z522" s="364"/>
      <c r="AA522" s="367"/>
      <c r="AB522"/>
      <c r="AC522"/>
      <c r="AD522"/>
      <c r="AE522"/>
      <c r="AF522"/>
      <c r="AG522"/>
      <c r="AH522"/>
      <c r="AI522"/>
      <c r="AJ522"/>
      <c r="AK522"/>
      <c r="AL522"/>
      <c r="AM522"/>
      <c r="AN522"/>
      <c r="AO522"/>
      <c r="AP522"/>
      <c r="AQ522"/>
      <c r="AR522"/>
      <c r="AS522"/>
      <c r="AT522"/>
      <c r="AU522"/>
    </row>
    <row r="523" spans="17:47" ht="12.75" customHeight="1" thickBot="1">
      <c r="Q523" s="364"/>
      <c r="R523" s="692" t="s">
        <v>839</v>
      </c>
      <c r="S523" s="693"/>
      <c r="T523" s="693"/>
      <c r="U523" s="703">
        <f>IF(T521&gt;0,(VLOOKUP(V523,'Lookup Ready-reckoner'!$L$5:$M$1207,2))," ")</f>
        <v>91.25</v>
      </c>
      <c r="V523" s="695">
        <f>IF(U521&gt;0,(SUM(V521:V522))," ")</f>
        <v>426.08695652173907</v>
      </c>
      <c r="W523" s="696"/>
      <c r="X523" s="364"/>
      <c r="Y523" s="364"/>
      <c r="Z523" s="364"/>
      <c r="AA523" s="367"/>
      <c r="AB523"/>
      <c r="AC523"/>
      <c r="AD523"/>
      <c r="AE523"/>
      <c r="AF523"/>
      <c r="AG523"/>
      <c r="AH523"/>
      <c r="AI523"/>
      <c r="AJ523"/>
      <c r="AK523"/>
      <c r="AL523"/>
      <c r="AM523"/>
      <c r="AN523"/>
      <c r="AO523"/>
      <c r="AP523"/>
      <c r="AQ523"/>
      <c r="AR523"/>
      <c r="AS523"/>
      <c r="AT523"/>
      <c r="AU523"/>
    </row>
    <row r="524" spans="17:47" ht="12.75" customHeight="1">
      <c r="Q524" s="364"/>
      <c r="R524" s="363"/>
      <c r="S524" s="363"/>
      <c r="T524" s="363"/>
      <c r="U524" s="363"/>
      <c r="V524" s="363"/>
      <c r="W524" s="363"/>
      <c r="X524" s="364"/>
      <c r="Y524" s="364"/>
      <c r="Z524" s="364"/>
      <c r="AA524" s="367"/>
      <c r="AB524"/>
      <c r="AC524"/>
      <c r="AD524"/>
      <c r="AE524"/>
      <c r="AF524"/>
      <c r="AG524"/>
      <c r="AH524"/>
      <c r="AI524"/>
      <c r="AJ524"/>
      <c r="AK524"/>
      <c r="AL524"/>
      <c r="AM524"/>
      <c r="AN524"/>
      <c r="AO524"/>
      <c r="AP524"/>
      <c r="AQ524"/>
      <c r="AR524"/>
      <c r="AS524"/>
      <c r="AT524"/>
      <c r="AU524"/>
    </row>
    <row r="525" spans="17:47" ht="12.75" customHeight="1">
      <c r="Q525" s="364"/>
      <c r="R525" s="909" t="str">
        <f>R406</f>
        <v xml:space="preserve">Hilti TE MD20 </v>
      </c>
      <c r="S525" s="909"/>
      <c r="T525" s="909"/>
      <c r="U525" s="909"/>
      <c r="V525" s="909"/>
      <c r="W525" s="909"/>
      <c r="X525" s="364"/>
      <c r="Y525" s="364"/>
      <c r="Z525" s="364"/>
      <c r="AA525" s="367"/>
      <c r="AB525"/>
      <c r="AC525"/>
      <c r="AD525"/>
      <c r="AE525"/>
      <c r="AF525"/>
      <c r="AG525"/>
      <c r="AH525"/>
      <c r="AI525"/>
      <c r="AJ525"/>
      <c r="AK525"/>
      <c r="AL525"/>
      <c r="AM525"/>
      <c r="AN525"/>
      <c r="AO525"/>
      <c r="AP525"/>
      <c r="AQ525"/>
      <c r="AR525"/>
      <c r="AS525"/>
      <c r="AT525"/>
      <c r="AU525"/>
    </row>
    <row r="526" spans="17:47" ht="12.75" customHeight="1" thickBot="1">
      <c r="Q526" s="364"/>
      <c r="R526" s="910" t="s">
        <v>205</v>
      </c>
      <c r="S526" s="911"/>
      <c r="T526" s="911"/>
      <c r="U526" s="911"/>
      <c r="V526" s="911"/>
      <c r="W526" s="912"/>
      <c r="X526" s="364"/>
      <c r="Y526" s="364"/>
      <c r="Z526" s="364"/>
      <c r="AA526" s="367"/>
      <c r="AB526"/>
      <c r="AC526"/>
      <c r="AD526"/>
      <c r="AE526"/>
      <c r="AF526"/>
      <c r="AG526"/>
      <c r="AH526"/>
      <c r="AI526"/>
      <c r="AJ526"/>
      <c r="AK526"/>
      <c r="AL526"/>
      <c r="AM526"/>
      <c r="AN526"/>
      <c r="AO526"/>
      <c r="AP526"/>
      <c r="AQ526"/>
      <c r="AR526"/>
      <c r="AS526"/>
      <c r="AT526"/>
      <c r="AU526"/>
    </row>
    <row r="527" spans="17:47" ht="12.75" customHeight="1" thickBot="1">
      <c r="Q527" s="364"/>
      <c r="R527" s="686" t="s">
        <v>59</v>
      </c>
      <c r="S527" s="577"/>
      <c r="T527" s="687"/>
      <c r="U527" s="687"/>
      <c r="V527" s="687"/>
      <c r="W527" s="688"/>
      <c r="X527" s="364"/>
      <c r="Y527" s="364"/>
      <c r="Z527" s="364"/>
      <c r="AA527" s="367"/>
      <c r="AB527"/>
      <c r="AC527"/>
      <c r="AD527"/>
      <c r="AE527"/>
      <c r="AF527"/>
      <c r="AG527"/>
      <c r="AH527"/>
      <c r="AI527"/>
      <c r="AJ527"/>
      <c r="AK527"/>
      <c r="AL527"/>
      <c r="AM527"/>
      <c r="AN527"/>
      <c r="AO527"/>
      <c r="AP527"/>
      <c r="AQ527"/>
      <c r="AR527"/>
      <c r="AS527"/>
      <c r="AT527"/>
      <c r="AU527"/>
    </row>
    <row r="528" spans="17:47" ht="12.75" customHeight="1">
      <c r="Q528" s="364"/>
      <c r="R528" s="895" t="s">
        <v>845</v>
      </c>
      <c r="S528" s="896"/>
      <c r="T528" s="900" t="s">
        <v>835</v>
      </c>
      <c r="U528" s="900" t="s">
        <v>836</v>
      </c>
      <c r="V528" s="900" t="s">
        <v>837</v>
      </c>
      <c r="W528" s="902" t="s">
        <v>838</v>
      </c>
      <c r="X528" s="364"/>
      <c r="Y528" s="364"/>
      <c r="Z528" s="364"/>
      <c r="AA528" s="367"/>
      <c r="AB528"/>
      <c r="AC528"/>
      <c r="AD528"/>
      <c r="AE528"/>
      <c r="AF528"/>
      <c r="AG528"/>
      <c r="AH528"/>
      <c r="AI528"/>
      <c r="AJ528"/>
      <c r="AK528"/>
      <c r="AL528"/>
      <c r="AM528"/>
      <c r="AN528"/>
      <c r="AO528"/>
      <c r="AP528"/>
      <c r="AQ528"/>
      <c r="AR528"/>
      <c r="AS528"/>
      <c r="AT528"/>
      <c r="AU528"/>
    </row>
    <row r="529" spans="17:47" ht="12.75" customHeight="1">
      <c r="Q529" s="364"/>
      <c r="R529" s="892"/>
      <c r="S529" s="897"/>
      <c r="T529" s="904"/>
      <c r="U529" s="904"/>
      <c r="V529" s="904"/>
      <c r="W529" s="905"/>
      <c r="X529" s="364"/>
      <c r="Y529" s="364"/>
      <c r="Z529" s="364"/>
      <c r="AA529" s="367"/>
      <c r="AB529"/>
      <c r="AC529"/>
      <c r="AD529"/>
      <c r="AE529"/>
      <c r="AF529"/>
      <c r="AG529"/>
      <c r="AH529"/>
      <c r="AI529"/>
      <c r="AJ529"/>
      <c r="AK529"/>
      <c r="AL529"/>
      <c r="AM529"/>
      <c r="AN529"/>
      <c r="AO529"/>
      <c r="AP529"/>
      <c r="AQ529"/>
      <c r="AR529"/>
      <c r="AS529"/>
      <c r="AT529"/>
      <c r="AU529"/>
    </row>
    <row r="530" spans="17:47" ht="12.75" customHeight="1">
      <c r="Q530" s="364"/>
      <c r="R530" s="892"/>
      <c r="S530" s="897"/>
      <c r="T530" s="901"/>
      <c r="U530" s="901"/>
      <c r="V530" s="901"/>
      <c r="W530" s="903"/>
      <c r="X530" s="364"/>
      <c r="Y530" s="364"/>
      <c r="Z530" s="364"/>
      <c r="AA530" s="367"/>
      <c r="AB530"/>
      <c r="AC530"/>
      <c r="AD530"/>
      <c r="AE530"/>
      <c r="AF530"/>
      <c r="AG530"/>
      <c r="AH530"/>
      <c r="AI530"/>
      <c r="AJ530"/>
      <c r="AK530"/>
      <c r="AL530"/>
      <c r="AM530"/>
      <c r="AN530"/>
      <c r="AO530"/>
      <c r="AP530"/>
      <c r="AQ530"/>
      <c r="AR530"/>
      <c r="AS530"/>
      <c r="AT530"/>
      <c r="AU530"/>
    </row>
    <row r="531" spans="17:47" ht="12.75" customHeight="1">
      <c r="Q531" s="364"/>
      <c r="R531" s="892"/>
      <c r="S531" s="897"/>
      <c r="T531" s="704">
        <f>U76</f>
        <v>108.02059991327964</v>
      </c>
      <c r="U531" s="560">
        <f>U62</f>
        <v>2.6666666666666665</v>
      </c>
      <c r="V531" s="690">
        <f>IF(T531&gt;0,W531*U531," ")</f>
        <v>6666.6666666666661</v>
      </c>
      <c r="W531" s="691">
        <f>IF(T531&gt;0,(VLOOKUP(T531,'Lookup Ready-reckoner'!$B$5:$E$1207,4))," ")</f>
        <v>2500</v>
      </c>
      <c r="X531" s="364"/>
      <c r="Y531" s="364"/>
      <c r="Z531" s="364"/>
      <c r="AA531" s="367"/>
      <c r="AB531"/>
      <c r="AC531"/>
      <c r="AD531"/>
      <c r="AE531"/>
      <c r="AF531"/>
      <c r="AG531"/>
      <c r="AH531"/>
      <c r="AI531"/>
      <c r="AJ531"/>
      <c r="AK531"/>
      <c r="AL531"/>
      <c r="AM531"/>
      <c r="AN531"/>
      <c r="AO531"/>
      <c r="AP531"/>
      <c r="AQ531"/>
      <c r="AR531"/>
      <c r="AS531"/>
      <c r="AT531"/>
      <c r="AU531"/>
    </row>
    <row r="532" spans="17:47" ht="12.75" customHeight="1">
      <c r="Q532" s="364"/>
      <c r="R532" s="898"/>
      <c r="S532" s="899"/>
      <c r="T532" s="447"/>
      <c r="U532" s="560"/>
      <c r="V532" s="690" t="str">
        <f>IF(T532&gt;0,W532*U532," ")</f>
        <v xml:space="preserve"> </v>
      </c>
      <c r="W532" s="691" t="str">
        <f>IF(T532&gt;0,(VLOOKUP(T532,'Lookup Ready-reckoner'!$B$5:$E$1007,4))," ")</f>
        <v xml:space="preserve"> </v>
      </c>
      <c r="X532" s="364"/>
      <c r="Y532" s="364"/>
      <c r="Z532" s="364"/>
      <c r="AA532" s="367"/>
      <c r="AB532"/>
      <c r="AC532"/>
      <c r="AD532"/>
      <c r="AE532"/>
      <c r="AF532"/>
      <c r="AG532"/>
      <c r="AH532"/>
      <c r="AI532"/>
      <c r="AJ532"/>
      <c r="AK532"/>
      <c r="AL532"/>
      <c r="AM532"/>
      <c r="AN532"/>
      <c r="AO532"/>
      <c r="AP532"/>
      <c r="AQ532"/>
      <c r="AR532"/>
      <c r="AS532"/>
      <c r="AT532"/>
      <c r="AU532"/>
    </row>
    <row r="533" spans="17:47" ht="12.75" customHeight="1" thickBot="1">
      <c r="Q533" s="364"/>
      <c r="R533" s="692" t="s">
        <v>839</v>
      </c>
      <c r="S533" s="693"/>
      <c r="T533" s="693"/>
      <c r="U533" s="705">
        <f>IF(T531&gt;0,(VLOOKUP(V533,'Lookup Ready-reckoner'!$L$5:$M$1207,2))," ")</f>
        <v>103.15</v>
      </c>
      <c r="V533" s="695">
        <f>IF(U531&gt;0,(SUM(V531:V532))," ")</f>
        <v>6666.6666666666661</v>
      </c>
      <c r="W533" s="696"/>
      <c r="X533" s="364"/>
      <c r="Y533" s="364"/>
      <c r="Z533" s="364"/>
      <c r="AA533" s="367"/>
      <c r="AB533"/>
      <c r="AC533"/>
      <c r="AD533"/>
      <c r="AE533"/>
      <c r="AF533"/>
      <c r="AG533"/>
      <c r="AH533"/>
      <c r="AI533"/>
      <c r="AJ533"/>
      <c r="AK533"/>
      <c r="AL533"/>
      <c r="AM533"/>
      <c r="AN533"/>
      <c r="AO533"/>
      <c r="AP533"/>
      <c r="AQ533"/>
      <c r="AR533"/>
      <c r="AS533"/>
      <c r="AT533"/>
      <c r="AU533"/>
    </row>
    <row r="534" spans="17:47" ht="12.75" customHeight="1" thickBot="1">
      <c r="Q534" s="364"/>
      <c r="R534" s="906"/>
      <c r="S534" s="907"/>
      <c r="T534" s="907"/>
      <c r="U534" s="907"/>
      <c r="V534" s="907"/>
      <c r="W534" s="908"/>
      <c r="X534" s="364"/>
      <c r="Y534" s="364"/>
      <c r="Z534" s="364"/>
      <c r="AA534" s="367"/>
      <c r="AB534"/>
      <c r="AC534"/>
      <c r="AD534"/>
      <c r="AE534"/>
      <c r="AF534"/>
      <c r="AG534"/>
      <c r="AH534"/>
      <c r="AI534"/>
      <c r="AJ534"/>
      <c r="AK534"/>
      <c r="AL534"/>
      <c r="AM534"/>
      <c r="AN534"/>
      <c r="AO534"/>
      <c r="AP534"/>
      <c r="AQ534"/>
      <c r="AR534"/>
      <c r="AS534"/>
      <c r="AT534"/>
      <c r="AU534"/>
    </row>
    <row r="535" spans="17:47" ht="12.75" customHeight="1">
      <c r="Q535" s="364"/>
      <c r="R535" s="895" t="s">
        <v>886</v>
      </c>
      <c r="S535" s="896"/>
      <c r="T535" s="900" t="s">
        <v>835</v>
      </c>
      <c r="U535" s="900" t="s">
        <v>836</v>
      </c>
      <c r="V535" s="900" t="s">
        <v>837</v>
      </c>
      <c r="W535" s="902" t="s">
        <v>838</v>
      </c>
      <c r="X535" s="364"/>
      <c r="Y535" s="364"/>
      <c r="Z535" s="364"/>
      <c r="AA535" s="367"/>
      <c r="AB535"/>
      <c r="AC535"/>
      <c r="AD535"/>
      <c r="AE535"/>
      <c r="AF535"/>
      <c r="AG535"/>
      <c r="AH535"/>
      <c r="AI535"/>
      <c r="AJ535"/>
      <c r="AK535"/>
      <c r="AL535"/>
      <c r="AM535"/>
      <c r="AN535"/>
      <c r="AO535"/>
      <c r="AP535"/>
      <c r="AQ535"/>
      <c r="AR535"/>
      <c r="AS535"/>
      <c r="AT535"/>
      <c r="AU535"/>
    </row>
    <row r="536" spans="17:47" ht="12.75" customHeight="1">
      <c r="Q536" s="364"/>
      <c r="R536" s="892"/>
      <c r="S536" s="897"/>
      <c r="T536" s="901"/>
      <c r="U536" s="901"/>
      <c r="V536" s="901"/>
      <c r="W536" s="903"/>
      <c r="X536" s="364"/>
      <c r="Y536" s="364"/>
      <c r="Z536" s="364"/>
      <c r="AA536" s="367"/>
      <c r="AB536"/>
      <c r="AC536"/>
      <c r="AD536"/>
      <c r="AE536"/>
      <c r="AF536"/>
      <c r="AG536"/>
      <c r="AH536"/>
      <c r="AI536"/>
      <c r="AJ536"/>
      <c r="AK536"/>
      <c r="AL536"/>
      <c r="AM536"/>
      <c r="AN536"/>
      <c r="AO536"/>
      <c r="AP536"/>
      <c r="AQ536"/>
      <c r="AR536"/>
      <c r="AS536"/>
      <c r="AT536"/>
      <c r="AU536"/>
    </row>
    <row r="537" spans="17:47" ht="12.75" customHeight="1">
      <c r="Q537" s="364"/>
      <c r="R537" s="892"/>
      <c r="S537" s="897"/>
      <c r="T537" s="704">
        <f>T531*(1-0.0178*2)</f>
        <v>104.17506655636689</v>
      </c>
      <c r="U537" s="560">
        <f>U531</f>
        <v>2.6666666666666665</v>
      </c>
      <c r="V537" s="690">
        <f>IF(T537&gt;0,W537*U537," ")</f>
        <v>2766.6666666666665</v>
      </c>
      <c r="W537" s="691">
        <f>IF(T537&gt;0,(VLOOKUP(T537,'Lookup Ready-reckoner'!$B$5:$E$1207,4))," ")</f>
        <v>1037.5</v>
      </c>
      <c r="X537" s="364"/>
      <c r="Y537" s="364"/>
      <c r="Z537" s="364"/>
      <c r="AA537" s="367"/>
      <c r="AB537"/>
      <c r="AC537"/>
      <c r="AD537"/>
      <c r="AE537"/>
      <c r="AF537"/>
      <c r="AG537"/>
      <c r="AH537"/>
      <c r="AI537"/>
      <c r="AJ537"/>
      <c r="AK537"/>
      <c r="AL537"/>
      <c r="AM537"/>
      <c r="AN537"/>
      <c r="AO537"/>
      <c r="AP537"/>
      <c r="AQ537"/>
      <c r="AR537"/>
      <c r="AS537"/>
      <c r="AT537"/>
      <c r="AU537"/>
    </row>
    <row r="538" spans="17:47" ht="12.75" customHeight="1">
      <c r="Q538" s="364"/>
      <c r="R538" s="898"/>
      <c r="S538" s="899"/>
      <c r="T538" s="447"/>
      <c r="U538" s="560"/>
      <c r="V538" s="690" t="str">
        <f>IF(T538&gt;0,W538*U538," ")</f>
        <v xml:space="preserve"> </v>
      </c>
      <c r="W538" s="691" t="str">
        <f>IF(T538&gt;0,(VLOOKUP(T538,'Lookup Ready-reckoner'!$B$5:$E$1007,4))," ")</f>
        <v xml:space="preserve"> </v>
      </c>
      <c r="X538" s="364"/>
      <c r="Y538" s="364"/>
      <c r="Z538" s="364"/>
      <c r="AA538" s="367"/>
      <c r="AB538"/>
      <c r="AC538"/>
      <c r="AD538"/>
      <c r="AE538"/>
      <c r="AF538"/>
      <c r="AG538"/>
      <c r="AH538"/>
      <c r="AI538"/>
      <c r="AJ538"/>
      <c r="AK538"/>
      <c r="AL538"/>
      <c r="AM538"/>
      <c r="AN538"/>
      <c r="AO538"/>
      <c r="AP538"/>
      <c r="AQ538"/>
      <c r="AR538"/>
      <c r="AS538"/>
      <c r="AT538"/>
      <c r="AU538"/>
    </row>
    <row r="539" spans="17:47" ht="12.75" customHeight="1" thickBot="1">
      <c r="Q539" s="364"/>
      <c r="R539" s="692" t="s">
        <v>839</v>
      </c>
      <c r="S539" s="693"/>
      <c r="T539" s="693"/>
      <c r="U539" s="705">
        <f>IF(T537&gt;0,(VLOOKUP(V539,'Lookup Ready-reckoner'!$L$5:$M$1207,2))," ")</f>
        <v>99.35</v>
      </c>
      <c r="V539" s="695">
        <f>IF(U537&gt;0,(SUM(V537:V538))," ")</f>
        <v>2766.6666666666665</v>
      </c>
      <c r="W539" s="696"/>
      <c r="X539" s="364"/>
      <c r="Y539" s="364"/>
      <c r="Z539" s="364"/>
      <c r="AA539" s="367"/>
      <c r="AB539"/>
      <c r="AC539"/>
      <c r="AD539"/>
      <c r="AE539"/>
      <c r="AF539"/>
      <c r="AG539"/>
      <c r="AH539"/>
      <c r="AI539"/>
      <c r="AJ539"/>
      <c r="AK539"/>
      <c r="AL539"/>
      <c r="AM539"/>
      <c r="AN539"/>
      <c r="AO539"/>
      <c r="AP539"/>
      <c r="AQ539"/>
      <c r="AR539"/>
      <c r="AS539"/>
      <c r="AT539"/>
      <c r="AU539"/>
    </row>
    <row r="540" spans="17:47" ht="12.75" customHeight="1">
      <c r="Q540" s="364"/>
      <c r="R540" s="697"/>
      <c r="S540" s="687"/>
      <c r="T540" s="687"/>
      <c r="U540" s="372"/>
      <c r="V540" s="374"/>
      <c r="W540" s="688"/>
      <c r="X540" s="364"/>
      <c r="Y540" s="364"/>
      <c r="Z540" s="364"/>
      <c r="AA540" s="367"/>
      <c r="AB540"/>
      <c r="AC540"/>
      <c r="AD540"/>
      <c r="AE540"/>
      <c r="AF540"/>
      <c r="AG540"/>
      <c r="AH540"/>
      <c r="AI540"/>
      <c r="AJ540"/>
      <c r="AK540"/>
      <c r="AL540"/>
      <c r="AM540"/>
      <c r="AN540"/>
      <c r="AO540"/>
      <c r="AP540"/>
      <c r="AQ540"/>
      <c r="AR540"/>
      <c r="AS540"/>
      <c r="AT540"/>
      <c r="AU540"/>
    </row>
    <row r="541" spans="17:47" ht="12.75" customHeight="1" thickBot="1">
      <c r="Q541" s="364"/>
      <c r="R541" s="686" t="s">
        <v>60</v>
      </c>
      <c r="S541" s="577"/>
      <c r="T541" s="577"/>
      <c r="U541" s="577"/>
      <c r="V541" s="577"/>
      <c r="W541" s="698"/>
      <c r="X541" s="364"/>
      <c r="Y541" s="364"/>
      <c r="Z541" s="364"/>
      <c r="AA541" s="367"/>
      <c r="AB541"/>
      <c r="AC541"/>
      <c r="AD541"/>
      <c r="AE541"/>
      <c r="AF541"/>
      <c r="AG541"/>
      <c r="AH541"/>
      <c r="AI541"/>
      <c r="AJ541"/>
      <c r="AK541"/>
      <c r="AL541"/>
      <c r="AM541"/>
      <c r="AN541"/>
      <c r="AO541"/>
      <c r="AP541"/>
      <c r="AQ541"/>
      <c r="AR541"/>
      <c r="AS541"/>
      <c r="AT541"/>
      <c r="AU541"/>
    </row>
    <row r="542" spans="17:47" ht="12.75" customHeight="1">
      <c r="Q542" s="364"/>
      <c r="R542" s="895" t="s">
        <v>845</v>
      </c>
      <c r="S542" s="896"/>
      <c r="T542" s="900" t="s">
        <v>835</v>
      </c>
      <c r="U542" s="900" t="s">
        <v>836</v>
      </c>
      <c r="V542" s="900" t="s">
        <v>837</v>
      </c>
      <c r="W542" s="902" t="s">
        <v>838</v>
      </c>
      <c r="X542" s="364"/>
      <c r="Y542" s="364"/>
      <c r="Z542" s="364"/>
      <c r="AA542" s="367"/>
      <c r="AB542"/>
      <c r="AC542"/>
      <c r="AD542"/>
      <c r="AE542"/>
      <c r="AF542"/>
      <c r="AG542"/>
      <c r="AH542"/>
      <c r="AI542"/>
      <c r="AJ542"/>
      <c r="AK542"/>
      <c r="AL542"/>
      <c r="AM542"/>
      <c r="AN542"/>
      <c r="AO542"/>
      <c r="AP542"/>
      <c r="AQ542"/>
      <c r="AR542"/>
      <c r="AS542"/>
      <c r="AT542"/>
      <c r="AU542"/>
    </row>
    <row r="543" spans="17:47" ht="12.75" customHeight="1">
      <c r="Q543" s="364"/>
      <c r="R543" s="892"/>
      <c r="S543" s="897"/>
      <c r="T543" s="901"/>
      <c r="U543" s="901"/>
      <c r="V543" s="901"/>
      <c r="W543" s="903"/>
      <c r="X543" s="364"/>
      <c r="Y543" s="364"/>
      <c r="Z543" s="364"/>
      <c r="AA543" s="367"/>
      <c r="AB543"/>
      <c r="AC543"/>
      <c r="AD543"/>
      <c r="AE543"/>
      <c r="AF543"/>
      <c r="AG543"/>
      <c r="AH543"/>
      <c r="AI543"/>
      <c r="AJ543"/>
      <c r="AK543"/>
      <c r="AL543"/>
      <c r="AM543"/>
      <c r="AN543"/>
      <c r="AO543"/>
      <c r="AP543"/>
      <c r="AQ543"/>
      <c r="AR543"/>
      <c r="AS543"/>
      <c r="AT543"/>
      <c r="AU543"/>
    </row>
    <row r="544" spans="17:47" ht="12.75" customHeight="1">
      <c r="Q544" s="364"/>
      <c r="R544" s="892"/>
      <c r="S544" s="897"/>
      <c r="T544" s="704">
        <f>T531-PPE!$I$15</f>
        <v>95.020599913279639</v>
      </c>
      <c r="U544" s="560">
        <f>U537</f>
        <v>2.6666666666666665</v>
      </c>
      <c r="V544" s="690">
        <f>IF(T544&gt;0,W544*U544," ")</f>
        <v>333.33333333333331</v>
      </c>
      <c r="W544" s="691">
        <f>IF(T544&gt;0,(VLOOKUP(T544,'Lookup Ready-reckoner'!$B$5:$E$1207,4))," ")</f>
        <v>125</v>
      </c>
      <c r="X544" s="364"/>
      <c r="Y544" s="364"/>
      <c r="Z544" s="364"/>
      <c r="AA544" s="367"/>
      <c r="AB544"/>
      <c r="AC544"/>
      <c r="AD544"/>
      <c r="AE544"/>
      <c r="AF544"/>
      <c r="AG544"/>
      <c r="AH544"/>
      <c r="AI544"/>
      <c r="AJ544"/>
      <c r="AK544"/>
      <c r="AL544"/>
      <c r="AM544"/>
      <c r="AN544"/>
      <c r="AO544"/>
      <c r="AP544"/>
      <c r="AQ544"/>
      <c r="AR544"/>
      <c r="AS544"/>
      <c r="AT544"/>
      <c r="AU544"/>
    </row>
    <row r="545" spans="17:47" ht="12.75" customHeight="1">
      <c r="Q545" s="364"/>
      <c r="R545" s="898"/>
      <c r="S545" s="899"/>
      <c r="T545" s="447"/>
      <c r="U545" s="560"/>
      <c r="V545" s="690" t="str">
        <f>IF(T545&gt;0,W545*U545," ")</f>
        <v xml:space="preserve"> </v>
      </c>
      <c r="W545" s="691" t="str">
        <f>IF(T545&gt;0,(VLOOKUP(T545,'Lookup Ready-reckoner'!$B$5:$E$1007,4))," ")</f>
        <v xml:space="preserve"> </v>
      </c>
      <c r="X545" s="364"/>
      <c r="Y545" s="364"/>
      <c r="Z545" s="364"/>
      <c r="AA545" s="367"/>
      <c r="AB545"/>
      <c r="AC545"/>
      <c r="AD545"/>
      <c r="AE545"/>
      <c r="AF545"/>
      <c r="AG545"/>
      <c r="AH545"/>
      <c r="AI545"/>
      <c r="AJ545"/>
      <c r="AK545"/>
      <c r="AL545"/>
      <c r="AM545"/>
      <c r="AN545"/>
      <c r="AO545"/>
      <c r="AP545"/>
      <c r="AQ545"/>
      <c r="AR545"/>
      <c r="AS545"/>
      <c r="AT545"/>
      <c r="AU545"/>
    </row>
    <row r="546" spans="17:47" ht="12.75" customHeight="1" thickBot="1">
      <c r="Q546" s="364"/>
      <c r="R546" s="692" t="s">
        <v>839</v>
      </c>
      <c r="S546" s="693"/>
      <c r="T546" s="693"/>
      <c r="U546" s="705">
        <f>IF(T544&gt;0,(VLOOKUP(V546,'Lookup Ready-reckoner'!$L$5:$M$1207,2))," ")</f>
        <v>90.15</v>
      </c>
      <c r="V546" s="695">
        <f>IF(U544&gt;0,(SUM(V544:V545))," ")</f>
        <v>333.33333333333331</v>
      </c>
      <c r="W546" s="696"/>
      <c r="X546" s="364"/>
      <c r="Y546" s="364"/>
      <c r="Z546" s="364"/>
      <c r="AA546" s="367"/>
      <c r="AB546"/>
      <c r="AC546"/>
      <c r="AD546"/>
      <c r="AE546"/>
      <c r="AF546"/>
      <c r="AG546"/>
      <c r="AH546"/>
      <c r="AI546"/>
      <c r="AJ546"/>
      <c r="AK546"/>
      <c r="AL546"/>
      <c r="AM546"/>
      <c r="AN546"/>
      <c r="AO546"/>
      <c r="AP546"/>
      <c r="AQ546"/>
      <c r="AR546"/>
      <c r="AS546"/>
      <c r="AT546"/>
      <c r="AU546"/>
    </row>
    <row r="547" spans="17:47" ht="12.75" customHeight="1" thickBot="1">
      <c r="Q547" s="364"/>
      <c r="R547" s="892"/>
      <c r="S547" s="893"/>
      <c r="T547" s="893"/>
      <c r="U547" s="893"/>
      <c r="V547" s="893"/>
      <c r="W547" s="894"/>
      <c r="X547" s="364"/>
      <c r="Y547" s="364"/>
      <c r="Z547" s="364"/>
      <c r="AA547" s="367"/>
      <c r="AB547"/>
      <c r="AC547"/>
      <c r="AD547"/>
      <c r="AE547"/>
      <c r="AF547"/>
      <c r="AG547"/>
      <c r="AH547"/>
      <c r="AI547"/>
      <c r="AJ547"/>
      <c r="AK547"/>
      <c r="AL547"/>
      <c r="AM547"/>
      <c r="AN547"/>
      <c r="AO547"/>
      <c r="AP547"/>
      <c r="AQ547"/>
      <c r="AR547"/>
      <c r="AS547"/>
      <c r="AT547"/>
      <c r="AU547"/>
    </row>
    <row r="548" spans="17:47" ht="12.75" customHeight="1">
      <c r="Q548" s="364"/>
      <c r="R548" s="895" t="s">
        <v>886</v>
      </c>
      <c r="S548" s="896"/>
      <c r="T548" s="900" t="s">
        <v>835</v>
      </c>
      <c r="U548" s="900" t="s">
        <v>836</v>
      </c>
      <c r="V548" s="900" t="s">
        <v>837</v>
      </c>
      <c r="W548" s="902" t="s">
        <v>838</v>
      </c>
      <c r="X548" s="364"/>
      <c r="Y548" s="364"/>
      <c r="Z548" s="364"/>
      <c r="AA548" s="367"/>
      <c r="AB548"/>
      <c r="AC548"/>
      <c r="AD548"/>
      <c r="AE548"/>
      <c r="AF548"/>
      <c r="AG548"/>
      <c r="AH548"/>
      <c r="AI548"/>
      <c r="AJ548"/>
      <c r="AK548"/>
      <c r="AL548"/>
      <c r="AM548"/>
      <c r="AN548"/>
      <c r="AO548"/>
      <c r="AP548"/>
      <c r="AQ548"/>
      <c r="AR548"/>
      <c r="AS548"/>
      <c r="AT548"/>
      <c r="AU548"/>
    </row>
    <row r="549" spans="17:47" ht="12.75" customHeight="1">
      <c r="Q549" s="364"/>
      <c r="R549" s="892"/>
      <c r="S549" s="897"/>
      <c r="T549" s="901"/>
      <c r="U549" s="901"/>
      <c r="V549" s="901"/>
      <c r="W549" s="903"/>
      <c r="X549" s="364"/>
      <c r="Y549" s="364"/>
      <c r="Z549" s="364"/>
      <c r="AA549" s="367"/>
      <c r="AB549"/>
      <c r="AC549"/>
      <c r="AD549"/>
      <c r="AE549"/>
      <c r="AF549"/>
      <c r="AG549"/>
      <c r="AH549"/>
      <c r="AI549"/>
      <c r="AJ549"/>
      <c r="AK549"/>
      <c r="AL549"/>
      <c r="AM549"/>
      <c r="AN549"/>
      <c r="AO549"/>
      <c r="AP549"/>
      <c r="AQ549"/>
      <c r="AR549"/>
      <c r="AS549"/>
      <c r="AT549"/>
      <c r="AU549"/>
    </row>
    <row r="550" spans="17:47" ht="12.75" customHeight="1">
      <c r="Q550" s="364"/>
      <c r="R550" s="892"/>
      <c r="S550" s="897"/>
      <c r="T550" s="704">
        <f>T537-PPE!$I$15</f>
        <v>91.175066556366886</v>
      </c>
      <c r="U550" s="560">
        <f>U544</f>
        <v>2.6666666666666665</v>
      </c>
      <c r="V550" s="690">
        <f>IF(T550&gt;0,W550*U550," ")</f>
        <v>138.33333333333331</v>
      </c>
      <c r="W550" s="691">
        <f>IF(T550&gt;0,(VLOOKUP(T550,'Lookup Ready-reckoner'!$B$5:$E$1207,4))," ")</f>
        <v>51.875</v>
      </c>
      <c r="X550" s="364"/>
      <c r="Y550" s="364"/>
      <c r="Z550" s="364"/>
      <c r="AA550" s="367"/>
      <c r="AB550"/>
      <c r="AC550"/>
      <c r="AD550"/>
      <c r="AE550"/>
      <c r="AF550"/>
      <c r="AG550"/>
      <c r="AH550"/>
      <c r="AI550"/>
      <c r="AJ550"/>
      <c r="AK550"/>
      <c r="AL550"/>
      <c r="AM550"/>
      <c r="AN550"/>
      <c r="AO550"/>
      <c r="AP550"/>
      <c r="AQ550"/>
      <c r="AR550"/>
      <c r="AS550"/>
      <c r="AT550"/>
      <c r="AU550"/>
    </row>
    <row r="551" spans="17:47" ht="12.75" customHeight="1">
      <c r="Q551" s="364"/>
      <c r="R551" s="898"/>
      <c r="S551" s="899"/>
      <c r="T551" s="447"/>
      <c r="U551" s="560"/>
      <c r="V551" s="690" t="str">
        <f>IF(T551&gt;0,W551*U551," ")</f>
        <v xml:space="preserve"> </v>
      </c>
      <c r="W551" s="691" t="str">
        <f>IF(T551&gt;0,(VLOOKUP(T551,'Lookup Ready-reckoner'!$B$5:$E$1007,4))," ")</f>
        <v xml:space="preserve"> </v>
      </c>
      <c r="X551" s="364"/>
      <c r="Y551" s="364"/>
      <c r="Z551" s="364"/>
      <c r="AA551" s="367"/>
      <c r="AB551"/>
      <c r="AC551"/>
      <c r="AD551"/>
      <c r="AE551"/>
      <c r="AF551"/>
      <c r="AG551"/>
      <c r="AH551"/>
      <c r="AI551"/>
      <c r="AJ551"/>
      <c r="AK551"/>
      <c r="AL551"/>
      <c r="AM551"/>
      <c r="AN551"/>
      <c r="AO551"/>
      <c r="AP551"/>
      <c r="AQ551"/>
      <c r="AR551"/>
      <c r="AS551"/>
      <c r="AT551"/>
      <c r="AU551"/>
    </row>
    <row r="552" spans="17:47" ht="12.75" customHeight="1" thickBot="1">
      <c r="Q552" s="364"/>
      <c r="R552" s="692" t="s">
        <v>839</v>
      </c>
      <c r="S552" s="693"/>
      <c r="T552" s="693"/>
      <c r="U552" s="705">
        <f>IF(T550&gt;0,(VLOOKUP(V552,'Lookup Ready-reckoner'!$L$5:$M$1207,2))," ")</f>
        <v>86.35</v>
      </c>
      <c r="V552" s="695">
        <f>IF(U550&gt;0,(SUM(V550:V551))," ")</f>
        <v>138.33333333333331</v>
      </c>
      <c r="W552" s="696"/>
      <c r="X552" s="364"/>
      <c r="Y552" s="364"/>
      <c r="Z552" s="364"/>
      <c r="AA552" s="367"/>
      <c r="AB552"/>
      <c r="AC552"/>
      <c r="AD552"/>
      <c r="AE552"/>
      <c r="AF552"/>
      <c r="AG552"/>
      <c r="AH552"/>
      <c r="AI552"/>
      <c r="AJ552"/>
      <c r="AK552"/>
      <c r="AL552"/>
      <c r="AM552"/>
      <c r="AN552"/>
      <c r="AO552"/>
      <c r="AP552"/>
      <c r="AQ552"/>
      <c r="AR552"/>
      <c r="AS552"/>
      <c r="AT552"/>
      <c r="AU552"/>
    </row>
    <row r="553" spans="17:47" ht="12.75" customHeight="1">
      <c r="Q553" s="364"/>
      <c r="R553" s="364"/>
      <c r="S553" s="364"/>
      <c r="T553" s="364"/>
      <c r="U553" s="364"/>
      <c r="V553" s="364"/>
      <c r="W553" s="364"/>
      <c r="X553" s="364"/>
      <c r="Y553" s="364"/>
      <c r="Z553" s="364"/>
      <c r="AA553" s="367"/>
      <c r="AB553"/>
      <c r="AC553"/>
      <c r="AD553"/>
      <c r="AE553"/>
      <c r="AF553"/>
      <c r="AG553"/>
      <c r="AH553"/>
      <c r="AI553"/>
      <c r="AJ553"/>
      <c r="AK553"/>
      <c r="AL553"/>
      <c r="AM553"/>
      <c r="AN553"/>
      <c r="AO553"/>
      <c r="AP553"/>
      <c r="AQ553"/>
      <c r="AR553"/>
      <c r="AS553"/>
      <c r="AT553"/>
      <c r="AU553"/>
    </row>
    <row r="554" spans="17:47" ht="12.75" customHeight="1">
      <c r="Q554" s="23"/>
      <c r="R554" s="23"/>
      <c r="S554" s="23"/>
      <c r="T554" s="23"/>
      <c r="U554" s="23"/>
      <c r="V554" s="23"/>
      <c r="W554" s="23"/>
      <c r="X554" s="23"/>
      <c r="Y554" s="23"/>
      <c r="Z554" s="23"/>
      <c r="AA554"/>
      <c r="AB554"/>
      <c r="AC554"/>
      <c r="AD554"/>
      <c r="AE554"/>
      <c r="AF554"/>
      <c r="AG554"/>
      <c r="AH554"/>
      <c r="AI554"/>
      <c r="AJ554"/>
      <c r="AK554"/>
      <c r="AL554"/>
      <c r="AM554"/>
      <c r="AN554"/>
      <c r="AO554"/>
      <c r="AP554"/>
      <c r="AQ554"/>
      <c r="AR554"/>
      <c r="AS554"/>
      <c r="AT554"/>
      <c r="AU554"/>
    </row>
    <row r="555" spans="17:47" ht="12.75" customHeight="1">
      <c r="Q555" s="23"/>
      <c r="R555" s="23"/>
      <c r="S555" s="23"/>
      <c r="T555" s="23"/>
      <c r="U555" s="23"/>
      <c r="V555" s="23"/>
      <c r="W555" s="23"/>
      <c r="X555" s="23"/>
      <c r="Y555" s="23"/>
      <c r="Z555" s="23"/>
      <c r="AA555"/>
      <c r="AB555"/>
      <c r="AC555"/>
      <c r="AD555"/>
      <c r="AE555"/>
      <c r="AF555"/>
      <c r="AG555"/>
      <c r="AH555"/>
      <c r="AI555"/>
      <c r="AJ555"/>
      <c r="AK555"/>
      <c r="AL555"/>
      <c r="AM555"/>
      <c r="AN555"/>
      <c r="AO555"/>
      <c r="AP555"/>
      <c r="AQ555"/>
      <c r="AR555"/>
      <c r="AS555"/>
      <c r="AT555"/>
      <c r="AU555"/>
    </row>
    <row r="556" spans="17:47" ht="12.75" customHeight="1">
      <c r="Q556" s="23"/>
      <c r="R556" s="23"/>
      <c r="S556" s="23"/>
      <c r="T556" s="23"/>
      <c r="U556" s="23"/>
      <c r="V556" s="23"/>
      <c r="W556" s="23"/>
      <c r="X556" s="23"/>
      <c r="Y556" s="23"/>
      <c r="Z556" s="23"/>
      <c r="AA556"/>
      <c r="AB556"/>
      <c r="AC556"/>
      <c r="AD556"/>
      <c r="AE556"/>
      <c r="AF556"/>
      <c r="AG556"/>
      <c r="AH556"/>
      <c r="AI556"/>
      <c r="AJ556"/>
      <c r="AK556"/>
      <c r="AL556"/>
      <c r="AM556"/>
      <c r="AN556"/>
      <c r="AO556"/>
      <c r="AP556"/>
      <c r="AQ556"/>
      <c r="AR556"/>
      <c r="AS556"/>
      <c r="AT556"/>
      <c r="AU556"/>
    </row>
    <row r="557" spans="17:47" ht="12.75" customHeight="1">
      <c r="Q557" s="23"/>
      <c r="R557" s="23"/>
      <c r="S557" s="23"/>
      <c r="T557" s="23"/>
      <c r="U557" s="23"/>
      <c r="V557" s="23"/>
      <c r="W557" s="23"/>
      <c r="X557" s="23"/>
      <c r="Y557" s="23"/>
      <c r="Z557" s="23"/>
      <c r="AA557"/>
      <c r="AB557"/>
      <c r="AC557"/>
      <c r="AD557"/>
      <c r="AE557"/>
      <c r="AF557"/>
      <c r="AG557"/>
      <c r="AH557"/>
      <c r="AI557"/>
      <c r="AJ557"/>
      <c r="AK557"/>
      <c r="AL557"/>
      <c r="AM557"/>
      <c r="AN557"/>
      <c r="AO557"/>
      <c r="AP557"/>
      <c r="AQ557"/>
      <c r="AR557"/>
      <c r="AS557"/>
      <c r="AT557"/>
      <c r="AU557"/>
    </row>
    <row r="558" spans="17:47" ht="12.75" customHeight="1">
      <c r="Q558" s="23"/>
      <c r="R558" s="23"/>
      <c r="S558" s="23"/>
      <c r="T558" s="23"/>
      <c r="U558" s="23"/>
      <c r="V558" s="23"/>
      <c r="W558" s="23"/>
      <c r="X558" s="23"/>
      <c r="Y558" s="23"/>
      <c r="Z558" s="23"/>
      <c r="AA558"/>
      <c r="AB558"/>
      <c r="AC558"/>
      <c r="AD558"/>
      <c r="AE558"/>
      <c r="AF558"/>
      <c r="AG558"/>
      <c r="AH558"/>
      <c r="AI558"/>
      <c r="AJ558"/>
      <c r="AK558"/>
      <c r="AL558"/>
      <c r="AM558"/>
      <c r="AN558"/>
      <c r="AO558"/>
      <c r="AP558"/>
      <c r="AQ558"/>
      <c r="AR558"/>
      <c r="AS558"/>
      <c r="AT558"/>
      <c r="AU558"/>
    </row>
    <row r="559" spans="17:47" ht="12.75" customHeight="1">
      <c r="Q559" s="23"/>
      <c r="R559" s="23"/>
      <c r="S559" s="23"/>
      <c r="T559" s="23"/>
      <c r="U559" s="23"/>
      <c r="V559" s="23"/>
      <c r="W559" s="23"/>
      <c r="X559" s="23"/>
      <c r="Y559" s="23"/>
      <c r="Z559" s="23"/>
      <c r="AA559"/>
      <c r="AB559"/>
      <c r="AC559"/>
      <c r="AD559"/>
      <c r="AE559"/>
      <c r="AF559"/>
      <c r="AG559"/>
      <c r="AH559"/>
      <c r="AI559"/>
      <c r="AJ559"/>
      <c r="AK559"/>
      <c r="AL559"/>
      <c r="AM559"/>
      <c r="AN559"/>
      <c r="AO559"/>
      <c r="AP559"/>
      <c r="AQ559"/>
      <c r="AR559"/>
      <c r="AS559"/>
      <c r="AT559"/>
      <c r="AU559"/>
    </row>
    <row r="560" spans="17:47" ht="12.75" customHeight="1">
      <c r="Q560" s="23"/>
      <c r="R560" s="23"/>
      <c r="S560" s="23"/>
      <c r="T560" s="23"/>
      <c r="U560" s="23"/>
      <c r="V560" s="23"/>
      <c r="W560" s="23"/>
      <c r="X560" s="23"/>
      <c r="Y560" s="23"/>
      <c r="Z560" s="23"/>
      <c r="AA560"/>
      <c r="AB560"/>
      <c r="AC560"/>
      <c r="AD560"/>
      <c r="AE560"/>
      <c r="AF560"/>
      <c r="AG560"/>
      <c r="AH560"/>
      <c r="AI560"/>
      <c r="AJ560"/>
      <c r="AK560"/>
      <c r="AL560"/>
      <c r="AM560"/>
      <c r="AN560"/>
      <c r="AO560"/>
      <c r="AP560"/>
      <c r="AQ560"/>
      <c r="AR560"/>
      <c r="AS560"/>
      <c r="AT560"/>
      <c r="AU560"/>
    </row>
    <row r="561" spans="17:47" ht="12.75" customHeight="1">
      <c r="Q561" s="23"/>
      <c r="R561" s="23"/>
      <c r="S561" s="23"/>
      <c r="T561" s="23"/>
      <c r="U561" s="23"/>
      <c r="V561" s="23"/>
      <c r="W561" s="23"/>
      <c r="X561" s="23"/>
      <c r="Y561" s="23"/>
      <c r="Z561" s="23"/>
      <c r="AA561"/>
      <c r="AB561"/>
      <c r="AC561"/>
      <c r="AD561"/>
      <c r="AE561"/>
      <c r="AF561"/>
      <c r="AG561"/>
      <c r="AH561"/>
      <c r="AI561"/>
      <c r="AJ561"/>
      <c r="AK561"/>
      <c r="AL561"/>
      <c r="AM561"/>
      <c r="AN561"/>
      <c r="AO561"/>
      <c r="AP561"/>
      <c r="AQ561"/>
      <c r="AR561"/>
      <c r="AS561"/>
      <c r="AT561"/>
      <c r="AU561"/>
    </row>
    <row r="562" spans="17:47" ht="12.75" customHeight="1">
      <c r="Q562" s="23"/>
      <c r="R562" s="23"/>
      <c r="S562" s="23"/>
      <c r="T562" s="23"/>
      <c r="U562" s="23"/>
      <c r="V562" s="23"/>
      <c r="W562" s="23"/>
      <c r="X562" s="23"/>
      <c r="Y562" s="23"/>
      <c r="Z562" s="23"/>
      <c r="AA562"/>
      <c r="AB562"/>
      <c r="AC562"/>
      <c r="AD562"/>
      <c r="AE562"/>
      <c r="AF562"/>
      <c r="AG562"/>
      <c r="AH562"/>
      <c r="AI562"/>
      <c r="AJ562"/>
      <c r="AK562"/>
      <c r="AL562"/>
      <c r="AM562"/>
      <c r="AN562"/>
      <c r="AO562"/>
      <c r="AP562"/>
      <c r="AQ562"/>
      <c r="AR562"/>
      <c r="AS562"/>
      <c r="AT562"/>
      <c r="AU562"/>
    </row>
    <row r="563" spans="17:47" ht="12.75" customHeight="1">
      <c r="Q563" s="23"/>
      <c r="R563" s="23"/>
      <c r="S563" s="23"/>
      <c r="T563" s="23"/>
      <c r="U563" s="23"/>
      <c r="V563" s="23"/>
      <c r="W563" s="23"/>
      <c r="X563" s="23"/>
      <c r="Y563" s="23"/>
      <c r="Z563" s="23"/>
      <c r="AA563"/>
      <c r="AB563"/>
      <c r="AC563"/>
      <c r="AD563"/>
      <c r="AE563"/>
      <c r="AF563"/>
      <c r="AG563"/>
      <c r="AH563"/>
      <c r="AI563"/>
      <c r="AJ563"/>
      <c r="AK563"/>
      <c r="AL563"/>
      <c r="AM563"/>
      <c r="AN563"/>
      <c r="AO563"/>
      <c r="AP563"/>
      <c r="AQ563"/>
      <c r="AR563"/>
      <c r="AS563"/>
      <c r="AT563"/>
      <c r="AU563"/>
    </row>
    <row r="564" spans="17:47" ht="12.75" customHeight="1">
      <c r="Q564" s="23"/>
      <c r="R564" s="23"/>
      <c r="S564" s="23"/>
      <c r="T564" s="23"/>
      <c r="U564" s="23"/>
      <c r="V564" s="23"/>
      <c r="W564" s="23"/>
      <c r="X564" s="23"/>
      <c r="Y564" s="23"/>
      <c r="Z564" s="23"/>
      <c r="AA564"/>
      <c r="AB564"/>
      <c r="AC564"/>
      <c r="AD564"/>
      <c r="AE564"/>
      <c r="AF564"/>
      <c r="AG564"/>
      <c r="AH564"/>
      <c r="AI564"/>
      <c r="AJ564"/>
      <c r="AK564"/>
      <c r="AL564"/>
      <c r="AM564"/>
      <c r="AN564"/>
      <c r="AO564"/>
      <c r="AP564"/>
      <c r="AQ564"/>
      <c r="AR564"/>
      <c r="AS564"/>
      <c r="AT564"/>
      <c r="AU564"/>
    </row>
    <row r="565" spans="17:47" ht="12.75" customHeight="1">
      <c r="Q565" s="23"/>
      <c r="R565" s="23"/>
      <c r="S565" s="23"/>
      <c r="T565" s="23"/>
      <c r="U565" s="23"/>
      <c r="V565" s="23"/>
      <c r="W565" s="23"/>
      <c r="X565" s="23"/>
      <c r="Y565" s="23"/>
      <c r="Z565" s="23"/>
      <c r="AA565"/>
      <c r="AB565"/>
      <c r="AC565"/>
      <c r="AD565"/>
      <c r="AE565"/>
      <c r="AF565"/>
      <c r="AG565"/>
      <c r="AH565"/>
      <c r="AI565"/>
      <c r="AJ565"/>
      <c r="AK565"/>
      <c r="AL565"/>
      <c r="AM565"/>
      <c r="AN565"/>
      <c r="AO565"/>
      <c r="AP565"/>
      <c r="AQ565"/>
      <c r="AR565"/>
      <c r="AS565"/>
      <c r="AT565"/>
      <c r="AU565"/>
    </row>
    <row r="566" spans="17:47" ht="12.75" customHeight="1">
      <c r="Q566" s="23"/>
      <c r="R566" s="23"/>
      <c r="S566" s="23"/>
      <c r="T566" s="23"/>
      <c r="U566" s="23"/>
      <c r="V566" s="23"/>
      <c r="W566" s="23"/>
      <c r="X566" s="23"/>
      <c r="Y566" s="23"/>
      <c r="Z566" s="23"/>
      <c r="AA566"/>
      <c r="AB566"/>
      <c r="AC566"/>
      <c r="AD566"/>
      <c r="AE566"/>
      <c r="AF566"/>
      <c r="AG566"/>
      <c r="AH566"/>
      <c r="AI566"/>
      <c r="AJ566"/>
      <c r="AK566"/>
      <c r="AL566"/>
      <c r="AM566"/>
      <c r="AN566"/>
      <c r="AO566"/>
      <c r="AP566"/>
      <c r="AQ566"/>
      <c r="AR566"/>
      <c r="AS566"/>
      <c r="AT566"/>
      <c r="AU566"/>
    </row>
    <row r="567" spans="17:47" ht="12.75" customHeight="1">
      <c r="Q567" s="23"/>
      <c r="R567" s="23"/>
      <c r="S567" s="23"/>
      <c r="T567" s="23"/>
      <c r="U567" s="23"/>
      <c r="V567" s="23"/>
      <c r="W567" s="23"/>
      <c r="X567" s="23"/>
      <c r="Y567" s="23"/>
      <c r="Z567" s="23"/>
      <c r="AA567"/>
      <c r="AB567"/>
      <c r="AC567"/>
      <c r="AD567"/>
      <c r="AE567"/>
      <c r="AF567"/>
      <c r="AG567"/>
      <c r="AH567"/>
      <c r="AI567"/>
      <c r="AJ567"/>
      <c r="AK567"/>
      <c r="AL567"/>
      <c r="AM567"/>
      <c r="AN567"/>
      <c r="AO567"/>
      <c r="AP567"/>
      <c r="AQ567"/>
      <c r="AR567"/>
      <c r="AS567"/>
      <c r="AT567"/>
      <c r="AU567"/>
    </row>
    <row r="568" spans="17:47" ht="12.75" customHeight="1">
      <c r="Q568" s="23"/>
      <c r="R568" s="23"/>
      <c r="S568" s="23"/>
      <c r="T568" s="23"/>
      <c r="U568" s="23"/>
      <c r="V568" s="23"/>
      <c r="W568" s="23"/>
      <c r="X568" s="23"/>
      <c r="Y568" s="23"/>
      <c r="Z568" s="23"/>
      <c r="AA568"/>
      <c r="AB568"/>
      <c r="AC568"/>
      <c r="AD568"/>
      <c r="AE568"/>
      <c r="AF568"/>
      <c r="AG568"/>
      <c r="AH568"/>
      <c r="AI568"/>
      <c r="AJ568"/>
      <c r="AK568"/>
      <c r="AL568"/>
      <c r="AM568"/>
      <c r="AN568"/>
      <c r="AO568"/>
      <c r="AP568"/>
      <c r="AQ568"/>
      <c r="AR568"/>
      <c r="AS568"/>
      <c r="AT568"/>
      <c r="AU568"/>
    </row>
    <row r="569" spans="17:47" ht="12.75" customHeight="1">
      <c r="Q569" s="23"/>
      <c r="R569" s="23"/>
      <c r="S569" s="23"/>
      <c r="T569" s="23"/>
      <c r="U569" s="23"/>
      <c r="V569" s="23"/>
      <c r="W569" s="23"/>
      <c r="X569" s="23"/>
      <c r="Y569" s="23"/>
      <c r="Z569" s="23"/>
      <c r="AA569"/>
      <c r="AB569"/>
      <c r="AC569"/>
      <c r="AD569"/>
      <c r="AE569"/>
      <c r="AF569"/>
      <c r="AG569"/>
      <c r="AH569"/>
      <c r="AI569"/>
      <c r="AJ569"/>
      <c r="AK569"/>
      <c r="AL569"/>
      <c r="AM569"/>
      <c r="AN569"/>
      <c r="AO569"/>
      <c r="AP569"/>
      <c r="AQ569"/>
      <c r="AR569"/>
      <c r="AS569"/>
      <c r="AT569"/>
      <c r="AU569"/>
    </row>
    <row r="570" spans="17:47" ht="12.75" customHeight="1">
      <c r="Q570" s="23"/>
      <c r="R570" s="23"/>
      <c r="S570" s="23"/>
      <c r="T570" s="23"/>
      <c r="U570" s="23"/>
      <c r="V570" s="23"/>
      <c r="W570" s="23"/>
      <c r="X570" s="23"/>
      <c r="Y570" s="23"/>
      <c r="Z570" s="23"/>
      <c r="AA570"/>
      <c r="AB570"/>
      <c r="AC570"/>
      <c r="AD570"/>
      <c r="AE570"/>
      <c r="AF570"/>
      <c r="AG570"/>
      <c r="AH570"/>
      <c r="AI570"/>
      <c r="AJ570"/>
      <c r="AK570"/>
      <c r="AL570"/>
      <c r="AM570"/>
      <c r="AN570"/>
      <c r="AO570"/>
      <c r="AP570"/>
      <c r="AQ570"/>
      <c r="AR570"/>
      <c r="AS570"/>
      <c r="AT570"/>
      <c r="AU570"/>
    </row>
    <row r="571" spans="17:47" ht="12.75" customHeight="1">
      <c r="Q571" s="23"/>
      <c r="R571" s="23"/>
      <c r="S571" s="23"/>
      <c r="T571" s="23"/>
      <c r="U571" s="23"/>
      <c r="V571" s="23"/>
      <c r="W571" s="23"/>
      <c r="X571" s="23"/>
      <c r="Y571" s="23"/>
      <c r="Z571" s="23"/>
      <c r="AA571"/>
      <c r="AB571"/>
      <c r="AC571"/>
      <c r="AD571"/>
      <c r="AE571"/>
      <c r="AF571"/>
      <c r="AG571"/>
      <c r="AH571"/>
      <c r="AI571"/>
      <c r="AJ571"/>
      <c r="AK571"/>
      <c r="AL571"/>
      <c r="AM571"/>
      <c r="AN571"/>
      <c r="AO571"/>
      <c r="AP571"/>
      <c r="AQ571"/>
      <c r="AR571"/>
      <c r="AS571"/>
      <c r="AT571"/>
      <c r="AU571"/>
    </row>
    <row r="572" spans="17:47" ht="12.75" customHeight="1">
      <c r="Q572" s="23"/>
      <c r="R572" s="23"/>
      <c r="S572" s="23"/>
      <c r="T572" s="23"/>
      <c r="U572" s="23"/>
      <c r="V572" s="23"/>
      <c r="W572" s="23"/>
      <c r="X572" s="23"/>
      <c r="Y572" s="23"/>
      <c r="Z572" s="23"/>
      <c r="AA572"/>
      <c r="AB572"/>
      <c r="AC572"/>
      <c r="AD572"/>
      <c r="AE572"/>
      <c r="AF572"/>
      <c r="AG572"/>
      <c r="AH572"/>
      <c r="AI572"/>
      <c r="AJ572"/>
      <c r="AK572"/>
      <c r="AL572"/>
      <c r="AM572"/>
      <c r="AN572"/>
      <c r="AO572"/>
      <c r="AP572"/>
      <c r="AQ572"/>
      <c r="AR572"/>
      <c r="AS572"/>
      <c r="AT572"/>
      <c r="AU572"/>
    </row>
    <row r="573" spans="17:47" ht="12.75" customHeight="1">
      <c r="Q573" s="23"/>
      <c r="R573" s="23"/>
      <c r="S573" s="23"/>
      <c r="T573" s="23"/>
      <c r="U573" s="23"/>
      <c r="V573" s="23"/>
      <c r="W573" s="23"/>
      <c r="X573" s="23"/>
      <c r="Y573" s="23"/>
      <c r="Z573" s="23"/>
      <c r="AA573"/>
      <c r="AB573"/>
      <c r="AC573"/>
      <c r="AD573"/>
      <c r="AE573"/>
      <c r="AF573"/>
      <c r="AG573"/>
      <c r="AH573"/>
      <c r="AI573"/>
      <c r="AJ573"/>
      <c r="AK573"/>
      <c r="AL573"/>
      <c r="AM573"/>
      <c r="AN573"/>
      <c r="AO573"/>
      <c r="AP573"/>
      <c r="AQ573"/>
      <c r="AR573"/>
      <c r="AS573"/>
      <c r="AT573"/>
      <c r="AU573"/>
    </row>
    <row r="574" spans="17:47" ht="12.75" customHeight="1">
      <c r="Q574" s="23"/>
      <c r="R574" s="23"/>
      <c r="S574" s="23"/>
      <c r="T574" s="23"/>
      <c r="U574" s="23"/>
      <c r="V574" s="23"/>
      <c r="W574" s="23"/>
      <c r="X574" s="23"/>
      <c r="Y574" s="23"/>
      <c r="Z574" s="23"/>
      <c r="AA574"/>
      <c r="AB574"/>
      <c r="AC574"/>
      <c r="AD574"/>
      <c r="AE574"/>
      <c r="AF574"/>
      <c r="AG574"/>
      <c r="AH574"/>
      <c r="AI574"/>
      <c r="AJ574"/>
      <c r="AK574"/>
      <c r="AL574"/>
      <c r="AM574"/>
      <c r="AN574"/>
      <c r="AO574"/>
      <c r="AP574"/>
      <c r="AQ574"/>
      <c r="AR574"/>
      <c r="AS574"/>
      <c r="AT574"/>
      <c r="AU574"/>
    </row>
    <row r="575" spans="17:47" ht="12.75" customHeight="1">
      <c r="Q575" s="23"/>
      <c r="R575" s="23"/>
      <c r="S575" s="23"/>
      <c r="T575" s="23"/>
      <c r="U575" s="23"/>
      <c r="V575" s="23"/>
      <c r="W575" s="23"/>
      <c r="X575" s="23"/>
      <c r="Y575" s="23"/>
      <c r="Z575" s="23"/>
      <c r="AA575"/>
      <c r="AB575"/>
      <c r="AC575"/>
      <c r="AD575"/>
      <c r="AE575"/>
      <c r="AF575"/>
      <c r="AG575"/>
      <c r="AH575"/>
      <c r="AI575"/>
      <c r="AJ575"/>
      <c r="AK575"/>
      <c r="AL575"/>
      <c r="AM575"/>
      <c r="AN575"/>
      <c r="AO575"/>
      <c r="AP575"/>
      <c r="AQ575"/>
      <c r="AR575"/>
      <c r="AS575"/>
      <c r="AT575"/>
      <c r="AU575"/>
    </row>
    <row r="576" spans="17:47" ht="12.75" customHeight="1">
      <c r="Q576" s="23"/>
      <c r="R576" s="23"/>
      <c r="S576" s="23"/>
      <c r="T576" s="23"/>
      <c r="U576" s="23"/>
      <c r="V576" s="23"/>
      <c r="W576" s="23"/>
      <c r="X576" s="23"/>
      <c r="Y576" s="23"/>
      <c r="Z576" s="23"/>
      <c r="AA576"/>
      <c r="AB576"/>
      <c r="AC576"/>
      <c r="AD576"/>
      <c r="AE576"/>
      <c r="AF576"/>
      <c r="AG576"/>
      <c r="AH576"/>
      <c r="AI576"/>
      <c r="AJ576"/>
      <c r="AK576"/>
      <c r="AL576"/>
      <c r="AM576"/>
      <c r="AN576"/>
      <c r="AO576"/>
      <c r="AP576"/>
      <c r="AQ576"/>
      <c r="AR576"/>
      <c r="AS576"/>
      <c r="AT576"/>
      <c r="AU576"/>
    </row>
    <row r="577" spans="17:47" ht="12.75" customHeight="1">
      <c r="Q577" s="23"/>
      <c r="R577" s="23"/>
      <c r="S577" s="23"/>
      <c r="T577" s="23"/>
      <c r="U577" s="23"/>
      <c r="V577" s="23"/>
      <c r="W577" s="23"/>
      <c r="X577" s="23"/>
      <c r="Y577" s="23"/>
      <c r="Z577" s="23"/>
      <c r="AA577"/>
      <c r="AB577"/>
      <c r="AC577"/>
      <c r="AD577"/>
      <c r="AE577"/>
      <c r="AF577"/>
      <c r="AG577"/>
      <c r="AH577"/>
      <c r="AI577"/>
      <c r="AJ577"/>
      <c r="AK577"/>
      <c r="AL577"/>
      <c r="AM577"/>
      <c r="AN577"/>
      <c r="AO577"/>
      <c r="AP577"/>
      <c r="AQ577"/>
      <c r="AR577"/>
      <c r="AS577"/>
      <c r="AT577"/>
      <c r="AU577"/>
    </row>
    <row r="578" spans="17:47" ht="12.75" customHeight="1">
      <c r="Q578" s="23"/>
      <c r="R578" s="23"/>
      <c r="S578" s="23"/>
      <c r="T578" s="23"/>
      <c r="U578" s="23"/>
      <c r="V578" s="23"/>
      <c r="W578" s="23"/>
      <c r="X578" s="23"/>
      <c r="Y578" s="23"/>
      <c r="Z578" s="23"/>
      <c r="AA578"/>
      <c r="AB578"/>
      <c r="AC578"/>
      <c r="AD578"/>
      <c r="AE578"/>
      <c r="AF578"/>
      <c r="AG578"/>
      <c r="AH578"/>
      <c r="AI578"/>
      <c r="AJ578"/>
      <c r="AK578"/>
      <c r="AL578"/>
      <c r="AM578"/>
      <c r="AN578"/>
      <c r="AO578"/>
      <c r="AP578"/>
      <c r="AQ578"/>
      <c r="AR578"/>
      <c r="AS578"/>
      <c r="AT578"/>
      <c r="AU578"/>
    </row>
    <row r="579" spans="17:47" ht="12.75" customHeight="1">
      <c r="Q579" s="23"/>
      <c r="R579" s="23"/>
      <c r="S579" s="23"/>
      <c r="T579" s="23"/>
      <c r="U579" s="23"/>
      <c r="V579" s="23"/>
      <c r="W579" s="23"/>
      <c r="X579" s="23"/>
      <c r="Y579" s="23"/>
      <c r="Z579" s="23"/>
      <c r="AA579"/>
      <c r="AB579"/>
      <c r="AC579"/>
      <c r="AD579"/>
      <c r="AE579"/>
      <c r="AF579"/>
      <c r="AG579"/>
      <c r="AH579"/>
      <c r="AI579"/>
      <c r="AJ579"/>
      <c r="AK579"/>
      <c r="AL579"/>
      <c r="AM579"/>
      <c r="AN579"/>
      <c r="AO579"/>
      <c r="AP579"/>
      <c r="AQ579"/>
      <c r="AR579"/>
      <c r="AS579"/>
      <c r="AT579"/>
      <c r="AU579"/>
    </row>
    <row r="580" spans="17:47" ht="12.75" customHeight="1">
      <c r="Q580" s="23"/>
      <c r="R580" s="23"/>
      <c r="S580" s="23"/>
      <c r="T580" s="23"/>
      <c r="U580" s="23"/>
      <c r="V580" s="23"/>
      <c r="W580" s="23"/>
      <c r="X580" s="23"/>
      <c r="Y580" s="23"/>
      <c r="Z580" s="23"/>
      <c r="AA580"/>
      <c r="AB580"/>
      <c r="AC580"/>
      <c r="AD580"/>
      <c r="AE580"/>
      <c r="AF580"/>
      <c r="AG580"/>
      <c r="AH580"/>
      <c r="AI580"/>
      <c r="AJ580"/>
      <c r="AK580"/>
      <c r="AL580"/>
      <c r="AM580"/>
      <c r="AN580"/>
      <c r="AO580"/>
      <c r="AP580"/>
      <c r="AQ580"/>
      <c r="AR580"/>
      <c r="AS580"/>
      <c r="AT580"/>
      <c r="AU580"/>
    </row>
    <row r="581" spans="17:47" ht="12.75" customHeight="1">
      <c r="Q581" s="23"/>
      <c r="R581" s="23"/>
      <c r="S581" s="23"/>
      <c r="T581" s="23"/>
      <c r="U581" s="23"/>
      <c r="V581" s="23"/>
      <c r="W581" s="23"/>
      <c r="X581" s="23"/>
      <c r="Y581" s="23"/>
      <c r="Z581" s="23"/>
      <c r="AA581"/>
      <c r="AB581"/>
      <c r="AC581"/>
      <c r="AD581"/>
      <c r="AE581"/>
      <c r="AF581"/>
      <c r="AG581"/>
      <c r="AH581"/>
      <c r="AI581"/>
      <c r="AJ581"/>
      <c r="AK581"/>
      <c r="AL581"/>
      <c r="AM581"/>
      <c r="AN581"/>
      <c r="AO581"/>
      <c r="AP581"/>
      <c r="AQ581"/>
      <c r="AR581"/>
      <c r="AS581"/>
      <c r="AT581"/>
      <c r="AU581"/>
    </row>
    <row r="582" spans="17:47" ht="12.75" customHeight="1">
      <c r="Q582" s="23"/>
      <c r="R582" s="23"/>
      <c r="S582" s="23"/>
      <c r="T582" s="23"/>
      <c r="U582" s="23"/>
      <c r="V582" s="23"/>
      <c r="W582" s="23"/>
      <c r="X582" s="23"/>
      <c r="Y582" s="23"/>
      <c r="Z582" s="23"/>
      <c r="AA582"/>
      <c r="AB582"/>
      <c r="AC582"/>
      <c r="AD582"/>
      <c r="AE582"/>
      <c r="AF582"/>
      <c r="AG582"/>
      <c r="AH582"/>
      <c r="AI582"/>
      <c r="AJ582"/>
      <c r="AK582"/>
      <c r="AL582"/>
      <c r="AM582"/>
      <c r="AN582"/>
      <c r="AO582"/>
      <c r="AP582"/>
      <c r="AQ582"/>
      <c r="AR582"/>
      <c r="AS582"/>
      <c r="AT582"/>
      <c r="AU582"/>
    </row>
    <row r="583" spans="17:47" ht="12.75" customHeight="1">
      <c r="Q583" s="23"/>
      <c r="R583" s="23"/>
      <c r="S583" s="23"/>
      <c r="T583" s="23"/>
      <c r="U583" s="23"/>
      <c r="V583" s="23"/>
      <c r="W583" s="23"/>
      <c r="X583" s="23"/>
      <c r="Y583" s="23"/>
      <c r="Z583" s="23"/>
      <c r="AA583"/>
      <c r="AB583"/>
      <c r="AC583"/>
      <c r="AD583"/>
      <c r="AE583"/>
      <c r="AF583"/>
      <c r="AG583"/>
      <c r="AH583"/>
      <c r="AI583"/>
      <c r="AJ583"/>
      <c r="AK583"/>
      <c r="AL583"/>
      <c r="AM583"/>
      <c r="AN583"/>
      <c r="AO583"/>
      <c r="AP583"/>
      <c r="AQ583"/>
      <c r="AR583"/>
      <c r="AS583"/>
      <c r="AT583"/>
      <c r="AU583"/>
    </row>
    <row r="584" spans="17:47" ht="12.75" customHeight="1">
      <c r="Q584" s="23"/>
      <c r="R584" s="23"/>
      <c r="S584" s="23"/>
      <c r="T584" s="23"/>
      <c r="U584" s="23"/>
      <c r="V584" s="23"/>
      <c r="W584" s="23"/>
      <c r="X584" s="23"/>
      <c r="Y584" s="23"/>
      <c r="Z584" s="23"/>
      <c r="AA584"/>
      <c r="AB584"/>
      <c r="AC584"/>
      <c r="AD584"/>
      <c r="AE584"/>
      <c r="AF584"/>
      <c r="AG584"/>
      <c r="AH584"/>
      <c r="AI584"/>
      <c r="AJ584"/>
      <c r="AK584"/>
      <c r="AL584"/>
      <c r="AM584"/>
      <c r="AN584"/>
      <c r="AO584"/>
      <c r="AP584"/>
      <c r="AQ584"/>
      <c r="AR584"/>
      <c r="AS584"/>
      <c r="AT584"/>
      <c r="AU584"/>
    </row>
    <row r="585" spans="17:47" ht="12.75" customHeight="1">
      <c r="Q585" s="23"/>
      <c r="R585" s="23"/>
      <c r="S585" s="23"/>
      <c r="T585" s="23"/>
      <c r="U585" s="23"/>
      <c r="V585" s="23"/>
      <c r="W585" s="23"/>
      <c r="X585" s="23"/>
      <c r="Y585" s="23"/>
      <c r="Z585" s="23"/>
      <c r="AA585"/>
      <c r="AB585"/>
      <c r="AC585"/>
      <c r="AD585"/>
      <c r="AE585"/>
      <c r="AF585"/>
      <c r="AG585"/>
      <c r="AH585"/>
      <c r="AI585"/>
      <c r="AJ585"/>
      <c r="AK585"/>
      <c r="AL585"/>
      <c r="AM585"/>
      <c r="AN585"/>
      <c r="AO585"/>
      <c r="AP585"/>
      <c r="AQ585"/>
      <c r="AR585"/>
      <c r="AS585"/>
      <c r="AT585"/>
      <c r="AU585"/>
    </row>
    <row r="586" spans="17:47" ht="12.75" customHeight="1">
      <c r="Q586" s="23"/>
      <c r="R586" s="23"/>
      <c r="S586" s="23"/>
      <c r="T586" s="23"/>
      <c r="U586" s="23"/>
      <c r="V586" s="23"/>
      <c r="W586" s="23"/>
      <c r="X586" s="23"/>
      <c r="Y586" s="23"/>
      <c r="Z586" s="23"/>
      <c r="AA586"/>
      <c r="AB586"/>
      <c r="AC586"/>
      <c r="AD586"/>
      <c r="AE586"/>
      <c r="AF586"/>
      <c r="AG586"/>
      <c r="AH586"/>
      <c r="AI586"/>
      <c r="AJ586"/>
      <c r="AK586"/>
      <c r="AL586"/>
      <c r="AM586"/>
      <c r="AN586"/>
      <c r="AO586"/>
      <c r="AP586"/>
      <c r="AQ586"/>
      <c r="AR586"/>
      <c r="AS586"/>
      <c r="AT586"/>
      <c r="AU586"/>
    </row>
    <row r="587" spans="17:47" ht="12.75" customHeight="1">
      <c r="Q587" s="23"/>
      <c r="R587" s="23"/>
      <c r="S587" s="23"/>
      <c r="T587" s="23"/>
      <c r="U587" s="23"/>
      <c r="V587" s="23"/>
      <c r="W587" s="23"/>
      <c r="X587" s="23"/>
      <c r="Y587" s="23"/>
      <c r="Z587" s="23"/>
      <c r="AA587"/>
      <c r="AB587"/>
      <c r="AC587"/>
      <c r="AD587"/>
      <c r="AE587"/>
      <c r="AF587"/>
      <c r="AG587"/>
      <c r="AH587"/>
      <c r="AI587"/>
      <c r="AJ587"/>
      <c r="AK587"/>
      <c r="AL587"/>
      <c r="AM587"/>
      <c r="AN587"/>
      <c r="AO587"/>
      <c r="AP587"/>
      <c r="AQ587"/>
      <c r="AR587"/>
      <c r="AS587"/>
      <c r="AT587"/>
      <c r="AU587"/>
    </row>
    <row r="588" spans="17:47" ht="12.75" customHeight="1">
      <c r="Q588" s="23"/>
      <c r="R588" s="23"/>
      <c r="S588" s="23"/>
      <c r="T588" s="23"/>
      <c r="U588" s="23"/>
      <c r="V588" s="23"/>
      <c r="W588" s="23"/>
      <c r="X588" s="23"/>
      <c r="Y588" s="23"/>
      <c r="Z588" s="23"/>
      <c r="AA588"/>
      <c r="AB588"/>
      <c r="AC588"/>
      <c r="AD588"/>
      <c r="AE588"/>
      <c r="AF588"/>
      <c r="AG588"/>
      <c r="AH588"/>
      <c r="AI588"/>
      <c r="AJ588"/>
      <c r="AK588"/>
      <c r="AL588"/>
      <c r="AM588"/>
      <c r="AN588"/>
      <c r="AO588"/>
      <c r="AP588"/>
      <c r="AQ588"/>
      <c r="AR588"/>
      <c r="AS588"/>
      <c r="AT588"/>
      <c r="AU588"/>
    </row>
    <row r="589" spans="17:47" ht="12.75" customHeight="1">
      <c r="Q589" s="23"/>
      <c r="R589" s="23"/>
      <c r="S589" s="23"/>
      <c r="T589" s="23"/>
      <c r="U589" s="23"/>
      <c r="V589" s="23"/>
      <c r="W589" s="23"/>
      <c r="X589" s="23"/>
      <c r="Y589" s="23"/>
      <c r="Z589" s="23"/>
      <c r="AA589"/>
      <c r="AB589"/>
      <c r="AC589"/>
      <c r="AD589"/>
      <c r="AE589"/>
      <c r="AF589"/>
      <c r="AG589"/>
      <c r="AH589"/>
      <c r="AI589"/>
      <c r="AJ589"/>
      <c r="AK589"/>
      <c r="AL589"/>
      <c r="AM589"/>
      <c r="AN589"/>
      <c r="AO589"/>
      <c r="AP589"/>
      <c r="AQ589"/>
      <c r="AR589"/>
      <c r="AS589"/>
      <c r="AT589"/>
      <c r="AU589"/>
    </row>
    <row r="590" spans="17:47" ht="12.75" customHeight="1">
      <c r="Q590" s="23"/>
      <c r="R590" s="23"/>
      <c r="S590" s="23"/>
      <c r="T590" s="23"/>
      <c r="U590" s="23"/>
      <c r="V590" s="23"/>
      <c r="W590" s="23"/>
      <c r="X590" s="23"/>
      <c r="Y590" s="23"/>
      <c r="Z590" s="23"/>
      <c r="AA590"/>
      <c r="AB590"/>
      <c r="AC590"/>
      <c r="AD590"/>
      <c r="AE590"/>
      <c r="AF590"/>
      <c r="AG590"/>
      <c r="AH590"/>
      <c r="AI590"/>
      <c r="AJ590"/>
      <c r="AK590"/>
      <c r="AL590"/>
      <c r="AM590"/>
      <c r="AN590"/>
      <c r="AO590"/>
      <c r="AP590"/>
      <c r="AQ590"/>
      <c r="AR590"/>
      <c r="AS590"/>
      <c r="AT590"/>
      <c r="AU590"/>
    </row>
    <row r="591" spans="17:47" ht="12.75" customHeight="1">
      <c r="Q591" s="23"/>
      <c r="R591" s="23"/>
      <c r="S591" s="23"/>
      <c r="T591" s="23"/>
      <c r="U591" s="23"/>
      <c r="V591" s="23"/>
      <c r="W591" s="23"/>
      <c r="X591" s="23"/>
      <c r="Y591" s="23"/>
      <c r="Z591" s="23"/>
      <c r="AA591"/>
      <c r="AB591"/>
      <c r="AC591"/>
      <c r="AD591"/>
      <c r="AE591"/>
      <c r="AF591"/>
      <c r="AG591"/>
      <c r="AH591"/>
      <c r="AI591"/>
      <c r="AJ591"/>
      <c r="AK591"/>
      <c r="AL591"/>
      <c r="AM591"/>
      <c r="AN591"/>
      <c r="AO591"/>
      <c r="AP591"/>
      <c r="AQ591"/>
      <c r="AR591"/>
      <c r="AS591"/>
      <c r="AT591"/>
      <c r="AU591"/>
    </row>
    <row r="592" spans="17:47" ht="12.75" customHeight="1">
      <c r="Q592" s="23"/>
      <c r="R592" s="23"/>
      <c r="S592" s="23"/>
      <c r="T592" s="23"/>
      <c r="U592" s="23"/>
      <c r="V592" s="23"/>
      <c r="W592" s="23"/>
      <c r="X592" s="23"/>
      <c r="Y592" s="23"/>
      <c r="Z592" s="23"/>
      <c r="AA592"/>
      <c r="AB592"/>
      <c r="AC592"/>
      <c r="AD592"/>
      <c r="AE592"/>
      <c r="AF592"/>
      <c r="AG592"/>
      <c r="AH592"/>
      <c r="AI592"/>
      <c r="AJ592"/>
      <c r="AK592"/>
      <c r="AL592"/>
      <c r="AM592"/>
      <c r="AN592"/>
      <c r="AO592"/>
      <c r="AP592"/>
      <c r="AQ592"/>
      <c r="AR592"/>
      <c r="AS592"/>
      <c r="AT592"/>
      <c r="AU592"/>
    </row>
    <row r="593" spans="17:47" ht="12.75" customHeight="1">
      <c r="Q593" s="23"/>
      <c r="R593" s="23"/>
      <c r="S593" s="23"/>
      <c r="T593" s="23"/>
      <c r="U593" s="23"/>
      <c r="V593" s="23"/>
      <c r="W593" s="23"/>
      <c r="X593" s="23"/>
      <c r="Y593" s="23"/>
      <c r="Z593" s="23"/>
      <c r="AA593"/>
      <c r="AB593"/>
      <c r="AC593"/>
      <c r="AD593"/>
      <c r="AE593"/>
      <c r="AF593"/>
      <c r="AG593"/>
      <c r="AH593"/>
      <c r="AI593"/>
      <c r="AJ593"/>
      <c r="AK593"/>
      <c r="AL593"/>
      <c r="AM593"/>
      <c r="AN593"/>
      <c r="AO593"/>
      <c r="AP593"/>
      <c r="AQ593"/>
      <c r="AR593"/>
      <c r="AS593"/>
      <c r="AT593"/>
      <c r="AU593"/>
    </row>
    <row r="594" spans="17:47" ht="12.75" customHeight="1">
      <c r="Q594" s="23"/>
      <c r="R594" s="23"/>
      <c r="S594" s="23"/>
      <c r="T594" s="23"/>
      <c r="U594" s="23"/>
      <c r="V594" s="23"/>
      <c r="W594" s="23"/>
      <c r="X594" s="23"/>
      <c r="Y594" s="23"/>
      <c r="Z594" s="23"/>
      <c r="AA594"/>
      <c r="AB594"/>
      <c r="AC594"/>
      <c r="AD594"/>
      <c r="AE594"/>
      <c r="AF594"/>
      <c r="AG594"/>
      <c r="AH594"/>
      <c r="AI594"/>
      <c r="AJ594"/>
      <c r="AK594"/>
      <c r="AL594"/>
      <c r="AM594"/>
      <c r="AN594"/>
      <c r="AO594"/>
      <c r="AP594"/>
      <c r="AQ594"/>
      <c r="AR594"/>
      <c r="AS594"/>
      <c r="AT594"/>
      <c r="AU594"/>
    </row>
    <row r="595" spans="17:47" ht="12.75" customHeight="1">
      <c r="Q595" s="23"/>
      <c r="R595" s="23"/>
      <c r="S595" s="23"/>
      <c r="T595" s="23"/>
      <c r="U595" s="23"/>
      <c r="V595" s="23"/>
      <c r="W595" s="23"/>
      <c r="X595" s="23"/>
      <c r="Y595" s="23"/>
      <c r="Z595" s="23"/>
      <c r="AA595"/>
      <c r="AB595"/>
      <c r="AC595"/>
      <c r="AD595"/>
      <c r="AE595"/>
      <c r="AF595"/>
      <c r="AG595"/>
      <c r="AH595"/>
      <c r="AI595"/>
      <c r="AJ595"/>
      <c r="AK595"/>
      <c r="AL595"/>
      <c r="AM595"/>
      <c r="AN595"/>
      <c r="AO595"/>
      <c r="AP595"/>
      <c r="AQ595"/>
      <c r="AR595"/>
      <c r="AS595"/>
      <c r="AT595"/>
      <c r="AU595"/>
    </row>
    <row r="596" spans="17:47" ht="12.75" customHeight="1">
      <c r="Q596" s="23"/>
      <c r="R596" s="23"/>
      <c r="S596" s="23"/>
      <c r="T596" s="23"/>
      <c r="U596" s="23"/>
      <c r="V596" s="23"/>
      <c r="W596" s="23"/>
      <c r="X596" s="23"/>
      <c r="Y596" s="23"/>
      <c r="Z596" s="23"/>
      <c r="AA596"/>
      <c r="AB596"/>
      <c r="AC596"/>
      <c r="AD596"/>
      <c r="AE596"/>
      <c r="AF596"/>
      <c r="AG596"/>
      <c r="AH596"/>
      <c r="AI596"/>
      <c r="AJ596"/>
      <c r="AK596"/>
      <c r="AL596"/>
      <c r="AM596"/>
      <c r="AN596"/>
      <c r="AO596"/>
      <c r="AP596"/>
      <c r="AQ596"/>
      <c r="AR596"/>
      <c r="AS596"/>
      <c r="AT596"/>
      <c r="AU596"/>
    </row>
    <row r="597" spans="17:47" ht="12.75" customHeight="1">
      <c r="Q597" s="23"/>
      <c r="R597" s="23"/>
      <c r="S597" s="23"/>
      <c r="T597" s="23"/>
      <c r="U597" s="23"/>
      <c r="V597" s="23"/>
      <c r="W597" s="23"/>
      <c r="X597" s="23"/>
      <c r="Y597" s="23"/>
      <c r="Z597" s="23"/>
      <c r="AA597"/>
      <c r="AB597"/>
      <c r="AC597"/>
      <c r="AD597"/>
      <c r="AE597"/>
      <c r="AF597"/>
      <c r="AG597"/>
      <c r="AH597"/>
      <c r="AI597"/>
      <c r="AJ597"/>
      <c r="AK597"/>
      <c r="AL597"/>
      <c r="AM597"/>
      <c r="AN597"/>
      <c r="AO597"/>
      <c r="AP597"/>
      <c r="AQ597"/>
      <c r="AR597"/>
      <c r="AS597"/>
      <c r="AT597"/>
      <c r="AU597"/>
    </row>
    <row r="598" spans="17:47" ht="12.75" customHeight="1">
      <c r="Q598" s="23"/>
      <c r="R598" s="23"/>
      <c r="S598" s="23"/>
      <c r="T598" s="23"/>
      <c r="U598" s="23"/>
      <c r="V598" s="23"/>
      <c r="W598" s="23"/>
      <c r="X598" s="23"/>
      <c r="Y598" s="23"/>
      <c r="Z598" s="23"/>
      <c r="AA598"/>
      <c r="AB598"/>
      <c r="AC598"/>
      <c r="AD598"/>
      <c r="AE598"/>
      <c r="AF598"/>
      <c r="AG598"/>
      <c r="AH598"/>
      <c r="AI598"/>
      <c r="AJ598"/>
      <c r="AK598"/>
      <c r="AL598"/>
      <c r="AM598"/>
      <c r="AN598"/>
      <c r="AO598"/>
      <c r="AP598"/>
      <c r="AQ598"/>
      <c r="AR598"/>
      <c r="AS598"/>
      <c r="AT598"/>
      <c r="AU598"/>
    </row>
    <row r="599" spans="17:47" ht="12.75" customHeight="1">
      <c r="Q599" s="23"/>
      <c r="R599" s="23"/>
      <c r="S599" s="23"/>
      <c r="T599" s="23"/>
      <c r="U599" s="23"/>
      <c r="V599" s="23"/>
      <c r="W599" s="23"/>
      <c r="X599" s="23"/>
      <c r="Y599" s="23"/>
      <c r="Z599" s="23"/>
      <c r="AA599"/>
      <c r="AB599"/>
      <c r="AC599"/>
      <c r="AD599"/>
      <c r="AE599"/>
      <c r="AF599"/>
      <c r="AG599"/>
      <c r="AH599"/>
      <c r="AI599"/>
      <c r="AJ599"/>
      <c r="AK599"/>
      <c r="AL599"/>
      <c r="AM599"/>
      <c r="AN599"/>
      <c r="AO599"/>
      <c r="AP599"/>
      <c r="AQ599"/>
      <c r="AR599"/>
      <c r="AS599"/>
      <c r="AT599"/>
      <c r="AU599"/>
    </row>
    <row r="600" spans="17:47" ht="12.75" customHeight="1">
      <c r="Q600" s="23"/>
      <c r="R600" s="23"/>
      <c r="S600" s="23"/>
      <c r="T600" s="23"/>
      <c r="U600" s="23"/>
      <c r="V600" s="23"/>
      <c r="W600" s="23"/>
      <c r="X600" s="23"/>
      <c r="Y600" s="23"/>
      <c r="Z600" s="23"/>
      <c r="AA600"/>
      <c r="AB600"/>
      <c r="AC600"/>
      <c r="AD600"/>
      <c r="AE600"/>
      <c r="AF600"/>
      <c r="AG600"/>
      <c r="AH600"/>
      <c r="AI600"/>
      <c r="AJ600"/>
      <c r="AK600"/>
      <c r="AL600"/>
      <c r="AM600"/>
      <c r="AN600"/>
      <c r="AO600"/>
      <c r="AP600"/>
      <c r="AQ600"/>
      <c r="AR600"/>
      <c r="AS600"/>
      <c r="AT600"/>
      <c r="AU600"/>
    </row>
    <row r="601" spans="17:47" ht="12.75" customHeight="1">
      <c r="Q601" s="23"/>
      <c r="R601" s="23"/>
      <c r="S601" s="23"/>
      <c r="T601" s="23"/>
      <c r="U601" s="23"/>
      <c r="V601" s="23"/>
      <c r="W601" s="23"/>
      <c r="X601" s="23"/>
      <c r="Y601" s="23"/>
      <c r="Z601" s="23"/>
      <c r="AA601"/>
      <c r="AB601"/>
      <c r="AC601"/>
      <c r="AD601"/>
      <c r="AE601"/>
      <c r="AF601"/>
      <c r="AG601"/>
      <c r="AH601"/>
      <c r="AI601"/>
      <c r="AJ601"/>
      <c r="AK601"/>
      <c r="AL601"/>
      <c r="AM601"/>
      <c r="AN601"/>
      <c r="AO601"/>
      <c r="AP601"/>
      <c r="AQ601"/>
      <c r="AR601"/>
      <c r="AS601"/>
      <c r="AT601"/>
      <c r="AU601"/>
    </row>
    <row r="602" spans="17:47" ht="12.75" customHeight="1">
      <c r="Q602" s="23"/>
      <c r="R602" s="23"/>
      <c r="S602" s="23"/>
      <c r="T602" s="23"/>
      <c r="U602" s="23"/>
      <c r="V602" s="23"/>
      <c r="W602" s="23"/>
      <c r="X602" s="23"/>
      <c r="Y602" s="23"/>
      <c r="Z602" s="23"/>
      <c r="AA602"/>
      <c r="AB602"/>
      <c r="AC602"/>
      <c r="AD602"/>
      <c r="AE602"/>
      <c r="AF602"/>
      <c r="AG602"/>
      <c r="AH602"/>
      <c r="AI602"/>
      <c r="AJ602"/>
      <c r="AK602"/>
      <c r="AL602"/>
      <c r="AM602"/>
      <c r="AN602"/>
      <c r="AO602"/>
      <c r="AP602"/>
      <c r="AQ602"/>
      <c r="AR602"/>
      <c r="AS602"/>
      <c r="AT602"/>
      <c r="AU602"/>
    </row>
    <row r="603" spans="17:47" ht="12.75" customHeight="1">
      <c r="Q603" s="23"/>
      <c r="R603" s="23"/>
      <c r="S603" s="23"/>
      <c r="T603" s="23"/>
      <c r="U603" s="23"/>
      <c r="V603" s="23"/>
      <c r="W603" s="23"/>
      <c r="X603" s="23"/>
      <c r="Y603" s="23"/>
      <c r="Z603" s="23"/>
      <c r="AA603"/>
      <c r="AB603"/>
      <c r="AC603"/>
      <c r="AD603"/>
      <c r="AE603"/>
      <c r="AF603"/>
      <c r="AG603"/>
      <c r="AH603"/>
      <c r="AI603"/>
      <c r="AJ603"/>
      <c r="AK603"/>
      <c r="AL603"/>
      <c r="AM603"/>
      <c r="AN603"/>
      <c r="AO603"/>
      <c r="AP603"/>
      <c r="AQ603"/>
      <c r="AR603"/>
      <c r="AS603"/>
      <c r="AT603"/>
      <c r="AU603"/>
    </row>
    <row r="604" spans="17:47" ht="12.75" customHeight="1">
      <c r="Q604" s="23"/>
      <c r="R604" s="23"/>
      <c r="S604" s="23"/>
      <c r="T604" s="23"/>
      <c r="U604" s="23"/>
      <c r="V604" s="23"/>
      <c r="W604" s="23"/>
      <c r="X604" s="23"/>
      <c r="Y604" s="23"/>
      <c r="Z604" s="23"/>
      <c r="AA604"/>
      <c r="AB604"/>
      <c r="AC604"/>
      <c r="AD604"/>
      <c r="AE604"/>
      <c r="AF604"/>
      <c r="AG604"/>
      <c r="AH604"/>
      <c r="AI604"/>
      <c r="AJ604"/>
      <c r="AK604"/>
      <c r="AL604"/>
      <c r="AM604"/>
      <c r="AN604"/>
      <c r="AO604"/>
      <c r="AP604"/>
      <c r="AQ604"/>
      <c r="AR604"/>
      <c r="AS604"/>
      <c r="AT604"/>
      <c r="AU604"/>
    </row>
    <row r="605" spans="17:47" ht="12.75" customHeight="1">
      <c r="Q605" s="23"/>
      <c r="R605" s="23"/>
      <c r="S605" s="23"/>
      <c r="T605" s="23"/>
      <c r="U605" s="23"/>
      <c r="V605" s="23"/>
      <c r="W605" s="23"/>
      <c r="X605" s="23"/>
      <c r="Y605" s="23"/>
      <c r="Z605" s="23"/>
      <c r="AA605"/>
      <c r="AB605"/>
      <c r="AC605"/>
      <c r="AD605"/>
      <c r="AE605"/>
      <c r="AF605"/>
      <c r="AG605"/>
      <c r="AH605"/>
      <c r="AI605"/>
      <c r="AJ605"/>
      <c r="AK605"/>
      <c r="AL605"/>
      <c r="AM605"/>
      <c r="AN605"/>
      <c r="AO605"/>
      <c r="AP605"/>
      <c r="AQ605"/>
      <c r="AR605"/>
      <c r="AS605"/>
      <c r="AT605"/>
      <c r="AU605"/>
    </row>
    <row r="606" spans="17:47" ht="12.75" customHeight="1">
      <c r="Q606" s="23"/>
      <c r="R606" s="23"/>
      <c r="S606" s="23"/>
      <c r="T606" s="23"/>
      <c r="U606" s="23"/>
      <c r="V606" s="23"/>
      <c r="W606" s="23"/>
      <c r="X606" s="23"/>
      <c r="Y606" s="23"/>
      <c r="Z606" s="23"/>
      <c r="AA606"/>
      <c r="AB606"/>
      <c r="AC606"/>
      <c r="AD606"/>
      <c r="AE606"/>
      <c r="AF606"/>
      <c r="AG606"/>
      <c r="AH606"/>
      <c r="AI606"/>
      <c r="AJ606"/>
      <c r="AK606"/>
      <c r="AL606"/>
      <c r="AM606"/>
      <c r="AN606"/>
      <c r="AO606"/>
      <c r="AP606"/>
      <c r="AQ606"/>
      <c r="AR606"/>
      <c r="AS606"/>
      <c r="AT606"/>
      <c r="AU606"/>
    </row>
    <row r="607" spans="17:47" ht="12.75" customHeight="1">
      <c r="Q607" s="23"/>
      <c r="R607" s="23"/>
      <c r="S607" s="23"/>
      <c r="T607" s="23"/>
      <c r="U607" s="23"/>
      <c r="V607" s="23"/>
      <c r="W607" s="23"/>
      <c r="X607" s="23"/>
      <c r="Y607" s="23"/>
      <c r="Z607" s="23"/>
      <c r="AA607"/>
      <c r="AB607"/>
      <c r="AC607"/>
      <c r="AD607"/>
      <c r="AE607"/>
      <c r="AF607"/>
      <c r="AG607"/>
      <c r="AH607"/>
      <c r="AI607"/>
      <c r="AJ607"/>
      <c r="AK607"/>
      <c r="AL607"/>
      <c r="AM607"/>
      <c r="AN607"/>
      <c r="AO607"/>
      <c r="AP607"/>
      <c r="AQ607"/>
      <c r="AR607"/>
      <c r="AS607"/>
      <c r="AT607"/>
      <c r="AU607"/>
    </row>
    <row r="608" spans="17:47" ht="12.75" customHeight="1">
      <c r="Q608" s="23"/>
      <c r="R608" s="23"/>
      <c r="S608" s="23"/>
      <c r="T608" s="23"/>
      <c r="U608" s="23"/>
      <c r="V608" s="23"/>
      <c r="W608" s="23"/>
      <c r="X608" s="23"/>
      <c r="Y608" s="23"/>
      <c r="Z608" s="23"/>
      <c r="AA608"/>
      <c r="AB608"/>
      <c r="AC608"/>
      <c r="AD608"/>
      <c r="AE608"/>
      <c r="AF608"/>
      <c r="AG608"/>
      <c r="AH608"/>
      <c r="AI608"/>
      <c r="AJ608"/>
      <c r="AK608"/>
      <c r="AL608"/>
      <c r="AM608"/>
      <c r="AN608"/>
      <c r="AO608"/>
      <c r="AP608"/>
      <c r="AQ608"/>
      <c r="AR608"/>
      <c r="AS608"/>
      <c r="AT608"/>
      <c r="AU608"/>
    </row>
    <row r="609" spans="17:47" ht="12.75" customHeight="1">
      <c r="Q609" s="23"/>
      <c r="R609" s="23"/>
      <c r="S609" s="23"/>
      <c r="T609" s="23"/>
      <c r="U609" s="23"/>
      <c r="V609" s="23"/>
      <c r="W609" s="23"/>
      <c r="X609" s="23"/>
      <c r="Y609" s="23"/>
      <c r="Z609" s="23"/>
      <c r="AA609"/>
      <c r="AB609"/>
      <c r="AC609"/>
      <c r="AD609"/>
      <c r="AE609"/>
      <c r="AF609"/>
      <c r="AG609"/>
      <c r="AH609"/>
      <c r="AI609"/>
      <c r="AJ609"/>
      <c r="AK609"/>
      <c r="AL609"/>
      <c r="AM609"/>
      <c r="AN609"/>
      <c r="AO609"/>
      <c r="AP609"/>
      <c r="AQ609"/>
      <c r="AR609"/>
      <c r="AS609"/>
      <c r="AT609"/>
      <c r="AU609"/>
    </row>
    <row r="610" spans="17:47" ht="12.75" customHeight="1">
      <c r="Q610" s="23"/>
      <c r="R610" s="23"/>
      <c r="S610" s="23"/>
      <c r="T610" s="23"/>
      <c r="U610" s="23"/>
      <c r="V610" s="23"/>
      <c r="W610" s="23"/>
      <c r="X610" s="23"/>
      <c r="Y610" s="23"/>
      <c r="Z610" s="23"/>
      <c r="AA610"/>
      <c r="AB610"/>
      <c r="AC610"/>
      <c r="AD610"/>
      <c r="AE610"/>
      <c r="AF610"/>
      <c r="AG610"/>
      <c r="AH610"/>
      <c r="AI610"/>
      <c r="AJ610"/>
      <c r="AK610"/>
      <c r="AL610"/>
      <c r="AM610"/>
      <c r="AN610"/>
      <c r="AO610"/>
      <c r="AP610"/>
      <c r="AQ610"/>
      <c r="AR610"/>
      <c r="AS610"/>
      <c r="AT610"/>
      <c r="AU610"/>
    </row>
    <row r="611" spans="17:47" ht="12.75" customHeight="1">
      <c r="Q611" s="23"/>
      <c r="R611" s="23"/>
      <c r="S611" s="23"/>
      <c r="T611" s="23"/>
      <c r="U611" s="23"/>
      <c r="V611" s="23"/>
      <c r="W611" s="23"/>
      <c r="X611" s="23"/>
      <c r="Y611" s="23"/>
      <c r="Z611" s="23"/>
      <c r="AA611"/>
      <c r="AB611"/>
      <c r="AC611"/>
      <c r="AD611"/>
      <c r="AE611"/>
      <c r="AF611"/>
      <c r="AG611"/>
      <c r="AH611"/>
      <c r="AI611"/>
      <c r="AJ611"/>
      <c r="AK611"/>
      <c r="AL611"/>
      <c r="AM611"/>
      <c r="AN611"/>
      <c r="AO611"/>
      <c r="AP611"/>
      <c r="AQ611"/>
      <c r="AR611"/>
      <c r="AS611"/>
      <c r="AT611"/>
      <c r="AU611"/>
    </row>
    <row r="612" spans="17:47" ht="12.75" customHeight="1">
      <c r="Q612" s="23"/>
      <c r="R612" s="23"/>
      <c r="S612" s="23"/>
      <c r="T612" s="23"/>
      <c r="U612" s="23"/>
      <c r="V612" s="23"/>
      <c r="W612" s="23"/>
      <c r="X612" s="23"/>
      <c r="Y612" s="23"/>
      <c r="Z612" s="23"/>
      <c r="AA612"/>
      <c r="AB612"/>
      <c r="AC612"/>
      <c r="AD612"/>
      <c r="AE612"/>
      <c r="AF612"/>
      <c r="AG612"/>
      <c r="AH612"/>
      <c r="AI612"/>
      <c r="AJ612"/>
      <c r="AK612"/>
      <c r="AL612"/>
      <c r="AM612"/>
      <c r="AN612"/>
      <c r="AO612"/>
      <c r="AP612"/>
      <c r="AQ612"/>
      <c r="AR612"/>
      <c r="AS612"/>
      <c r="AT612"/>
      <c r="AU612"/>
    </row>
    <row r="613" spans="17:47" ht="12.75" customHeight="1">
      <c r="Q613" s="23"/>
      <c r="R613" s="23"/>
      <c r="S613" s="23"/>
      <c r="T613" s="23"/>
      <c r="U613" s="23"/>
      <c r="V613" s="23"/>
      <c r="W613" s="23"/>
      <c r="X613" s="23"/>
      <c r="Y613" s="23"/>
      <c r="Z613" s="23"/>
      <c r="AA613"/>
      <c r="AB613"/>
      <c r="AC613"/>
      <c r="AD613"/>
      <c r="AE613"/>
      <c r="AF613"/>
      <c r="AG613"/>
      <c r="AH613"/>
      <c r="AI613"/>
      <c r="AJ613"/>
      <c r="AK613"/>
      <c r="AL613"/>
      <c r="AM613"/>
      <c r="AN613"/>
      <c r="AO613"/>
      <c r="AP613"/>
      <c r="AQ613"/>
      <c r="AR613"/>
      <c r="AS613"/>
      <c r="AT613"/>
      <c r="AU613"/>
    </row>
    <row r="614" spans="17:47" ht="12.75" customHeight="1">
      <c r="Q614" s="23"/>
      <c r="R614" s="23"/>
      <c r="S614" s="23"/>
      <c r="T614" s="23"/>
      <c r="U614" s="23"/>
      <c r="V614" s="23"/>
      <c r="W614" s="23"/>
      <c r="X614" s="23"/>
      <c r="Y614" s="23"/>
      <c r="Z614" s="23"/>
      <c r="AA614"/>
      <c r="AB614"/>
      <c r="AC614"/>
      <c r="AD614"/>
      <c r="AE614"/>
      <c r="AF614"/>
      <c r="AG614"/>
      <c r="AH614"/>
      <c r="AI614"/>
      <c r="AJ614"/>
      <c r="AK614"/>
      <c r="AL614"/>
      <c r="AM614"/>
      <c r="AN614"/>
      <c r="AO614"/>
      <c r="AP614"/>
      <c r="AQ614"/>
      <c r="AR614"/>
      <c r="AS614"/>
      <c r="AT614"/>
      <c r="AU614"/>
    </row>
    <row r="615" spans="17:47" ht="12.75" customHeight="1">
      <c r="Q615" s="23"/>
      <c r="R615" s="23"/>
      <c r="S615" s="23"/>
      <c r="T615" s="23"/>
      <c r="U615" s="23"/>
      <c r="V615" s="23"/>
      <c r="W615" s="23"/>
      <c r="X615" s="23"/>
      <c r="Y615" s="23"/>
      <c r="Z615" s="23"/>
      <c r="AA615"/>
      <c r="AB615"/>
      <c r="AC615"/>
      <c r="AD615"/>
      <c r="AE615"/>
      <c r="AF615"/>
      <c r="AG615"/>
      <c r="AH615"/>
      <c r="AI615"/>
      <c r="AJ615"/>
      <c r="AK615"/>
      <c r="AL615"/>
      <c r="AM615"/>
      <c r="AN615"/>
      <c r="AO615"/>
      <c r="AP615"/>
      <c r="AQ615"/>
      <c r="AR615"/>
      <c r="AS615"/>
      <c r="AT615"/>
      <c r="AU615"/>
    </row>
    <row r="616" spans="17:47" ht="12.75" customHeight="1">
      <c r="Q616" s="23"/>
      <c r="R616" s="23"/>
      <c r="S616" s="23"/>
      <c r="T616" s="23"/>
      <c r="U616" s="23"/>
      <c r="V616" s="23"/>
      <c r="W616" s="23"/>
      <c r="X616" s="23"/>
      <c r="Y616" s="23"/>
      <c r="Z616" s="23"/>
      <c r="AA616"/>
      <c r="AB616"/>
      <c r="AC616"/>
      <c r="AD616"/>
      <c r="AE616"/>
      <c r="AF616"/>
      <c r="AG616"/>
      <c r="AH616"/>
      <c r="AI616"/>
      <c r="AJ616"/>
      <c r="AK616"/>
      <c r="AL616"/>
      <c r="AM616"/>
      <c r="AN616"/>
      <c r="AO616"/>
      <c r="AP616"/>
      <c r="AQ616"/>
      <c r="AR616"/>
      <c r="AS616"/>
      <c r="AT616"/>
      <c r="AU616"/>
    </row>
    <row r="617" spans="17:47" ht="12.75" customHeight="1">
      <c r="Q617" s="23"/>
      <c r="R617" s="23"/>
      <c r="S617" s="23"/>
      <c r="T617" s="23"/>
      <c r="U617" s="23"/>
      <c r="V617" s="23"/>
      <c r="W617" s="23"/>
      <c r="X617" s="23"/>
      <c r="Y617" s="23"/>
      <c r="Z617" s="23"/>
      <c r="AA617"/>
      <c r="AB617"/>
      <c r="AC617"/>
      <c r="AD617"/>
      <c r="AE617"/>
      <c r="AF617"/>
      <c r="AG617"/>
      <c r="AH617"/>
      <c r="AI617"/>
      <c r="AJ617"/>
      <c r="AK617"/>
      <c r="AL617"/>
      <c r="AM617"/>
      <c r="AN617"/>
      <c r="AO617"/>
      <c r="AP617"/>
      <c r="AQ617"/>
      <c r="AR617"/>
      <c r="AS617"/>
      <c r="AT617"/>
      <c r="AU617"/>
    </row>
    <row r="618" spans="17:47" ht="12.75" customHeight="1">
      <c r="Q618" s="23"/>
      <c r="R618" s="23"/>
      <c r="S618" s="23"/>
      <c r="T618" s="23"/>
      <c r="U618" s="23"/>
      <c r="V618" s="23"/>
      <c r="W618" s="23"/>
      <c r="X618" s="23"/>
      <c r="Y618" s="23"/>
      <c r="Z618" s="23"/>
      <c r="AA618"/>
      <c r="AB618"/>
      <c r="AC618"/>
      <c r="AD618"/>
      <c r="AE618"/>
      <c r="AF618"/>
      <c r="AG618"/>
      <c r="AH618"/>
      <c r="AI618"/>
      <c r="AJ618"/>
      <c r="AK618"/>
      <c r="AL618"/>
      <c r="AM618"/>
      <c r="AN618"/>
      <c r="AO618"/>
      <c r="AP618"/>
      <c r="AQ618"/>
      <c r="AR618"/>
      <c r="AS618"/>
      <c r="AT618"/>
      <c r="AU618"/>
    </row>
    <row r="619" spans="17:47" ht="12.75" customHeight="1">
      <c r="Q619" s="23"/>
      <c r="R619" s="23"/>
      <c r="S619" s="23"/>
      <c r="T619" s="23"/>
      <c r="U619" s="23"/>
      <c r="V619" s="23"/>
      <c r="W619" s="23"/>
      <c r="X619" s="23"/>
      <c r="Y619" s="23"/>
      <c r="Z619" s="23"/>
      <c r="AA619"/>
      <c r="AB619"/>
      <c r="AC619"/>
      <c r="AD619"/>
      <c r="AE619"/>
      <c r="AF619"/>
      <c r="AG619"/>
      <c r="AH619"/>
      <c r="AI619"/>
      <c r="AJ619"/>
      <c r="AK619"/>
      <c r="AL619"/>
      <c r="AM619"/>
      <c r="AN619"/>
      <c r="AO619"/>
      <c r="AP619"/>
      <c r="AQ619"/>
      <c r="AR619"/>
      <c r="AS619"/>
      <c r="AT619"/>
      <c r="AU619"/>
    </row>
    <row r="620" spans="17:47" ht="12.75" customHeight="1">
      <c r="Q620" s="23"/>
      <c r="R620" s="23"/>
      <c r="S620" s="23"/>
      <c r="T620" s="23"/>
      <c r="U620" s="23"/>
      <c r="V620" s="23"/>
      <c r="W620" s="23"/>
      <c r="X620" s="23"/>
      <c r="Y620" s="23"/>
      <c r="Z620" s="23"/>
      <c r="AA620"/>
      <c r="AB620"/>
      <c r="AC620"/>
      <c r="AD620"/>
      <c r="AE620"/>
      <c r="AF620"/>
      <c r="AG620"/>
      <c r="AH620"/>
      <c r="AI620"/>
      <c r="AJ620"/>
      <c r="AK620"/>
      <c r="AL620"/>
      <c r="AM620"/>
      <c r="AN620"/>
      <c r="AO620"/>
      <c r="AP620"/>
      <c r="AQ620"/>
      <c r="AR620"/>
      <c r="AS620"/>
      <c r="AT620"/>
      <c r="AU620"/>
    </row>
    <row r="621" spans="17:47" ht="12.75" customHeight="1">
      <c r="Q621" s="23"/>
      <c r="R621" s="23"/>
      <c r="S621" s="23"/>
      <c r="T621" s="23"/>
      <c r="U621" s="23"/>
      <c r="V621" s="23"/>
      <c r="W621" s="23"/>
      <c r="X621" s="23"/>
      <c r="Y621" s="23"/>
      <c r="Z621" s="23"/>
      <c r="AA621"/>
      <c r="AB621"/>
      <c r="AC621"/>
      <c r="AD621"/>
      <c r="AE621"/>
      <c r="AF621"/>
      <c r="AG621"/>
      <c r="AH621"/>
      <c r="AI621"/>
      <c r="AJ621"/>
      <c r="AK621"/>
      <c r="AL621"/>
      <c r="AM621"/>
      <c r="AN621"/>
      <c r="AO621"/>
      <c r="AP621"/>
      <c r="AQ621"/>
      <c r="AR621"/>
      <c r="AS621"/>
      <c r="AT621"/>
      <c r="AU621"/>
    </row>
    <row r="622" spans="17:47" ht="12.75" customHeight="1">
      <c r="Q622" s="23"/>
      <c r="R622" s="23"/>
      <c r="S622" s="23"/>
      <c r="T622" s="23"/>
      <c r="U622" s="23"/>
      <c r="V622" s="23"/>
      <c r="W622" s="23"/>
      <c r="X622" s="23"/>
      <c r="Y622" s="23"/>
      <c r="Z622" s="23"/>
      <c r="AA622"/>
      <c r="AB622"/>
      <c r="AC622"/>
      <c r="AD622"/>
      <c r="AE622"/>
      <c r="AF622"/>
      <c r="AG622"/>
      <c r="AH622"/>
      <c r="AI622"/>
      <c r="AJ622"/>
      <c r="AK622"/>
      <c r="AL622"/>
      <c r="AM622"/>
      <c r="AN622"/>
      <c r="AO622"/>
      <c r="AP622"/>
      <c r="AQ622"/>
      <c r="AR622"/>
      <c r="AS622"/>
      <c r="AT622"/>
      <c r="AU622"/>
    </row>
    <row r="623" spans="17:47" ht="12.75" customHeight="1">
      <c r="Q623" s="23"/>
      <c r="R623" s="23"/>
      <c r="S623" s="23"/>
      <c r="T623" s="23"/>
      <c r="U623" s="23"/>
      <c r="V623" s="23"/>
      <c r="W623" s="23"/>
      <c r="X623" s="23"/>
      <c r="Y623" s="23"/>
      <c r="Z623" s="23"/>
      <c r="AA623"/>
      <c r="AB623"/>
      <c r="AC623"/>
      <c r="AD623"/>
      <c r="AE623"/>
      <c r="AF623"/>
      <c r="AG623"/>
      <c r="AH623"/>
      <c r="AI623"/>
      <c r="AJ623"/>
      <c r="AK623"/>
      <c r="AL623"/>
      <c r="AM623"/>
      <c r="AN623"/>
      <c r="AO623"/>
      <c r="AP623"/>
      <c r="AQ623"/>
      <c r="AR623"/>
      <c r="AS623"/>
      <c r="AT623"/>
      <c r="AU623"/>
    </row>
    <row r="624" spans="17:47" ht="12.75" customHeight="1">
      <c r="Q624" s="23"/>
      <c r="R624" s="23"/>
      <c r="S624" s="23"/>
      <c r="T624" s="23"/>
      <c r="U624" s="23"/>
      <c r="V624" s="23"/>
      <c r="W624" s="23"/>
      <c r="X624" s="23"/>
      <c r="Y624" s="23"/>
      <c r="Z624" s="23"/>
      <c r="AA624"/>
      <c r="AB624"/>
      <c r="AC624"/>
      <c r="AD624"/>
      <c r="AE624"/>
      <c r="AF624"/>
      <c r="AG624"/>
      <c r="AH624"/>
      <c r="AI624"/>
      <c r="AJ624"/>
      <c r="AK624"/>
      <c r="AL624"/>
      <c r="AM624"/>
      <c r="AN624"/>
      <c r="AO624"/>
      <c r="AP624"/>
      <c r="AQ624"/>
      <c r="AR624"/>
      <c r="AS624"/>
      <c r="AT624"/>
      <c r="AU624"/>
    </row>
    <row r="625" spans="17:47" ht="12.75" customHeight="1">
      <c r="Q625" s="23"/>
      <c r="R625" s="23"/>
      <c r="S625" s="23"/>
      <c r="T625" s="23"/>
      <c r="U625" s="23"/>
      <c r="V625" s="23"/>
      <c r="W625" s="23"/>
      <c r="X625" s="23"/>
      <c r="Y625" s="23"/>
      <c r="Z625" s="23"/>
      <c r="AA625"/>
      <c r="AB625"/>
      <c r="AC625"/>
      <c r="AD625"/>
      <c r="AE625"/>
      <c r="AF625"/>
      <c r="AG625"/>
      <c r="AH625"/>
      <c r="AI625"/>
      <c r="AJ625"/>
      <c r="AK625"/>
      <c r="AL625"/>
      <c r="AM625"/>
      <c r="AN625"/>
      <c r="AO625"/>
      <c r="AP625"/>
      <c r="AQ625"/>
      <c r="AR625"/>
      <c r="AS625"/>
      <c r="AT625"/>
      <c r="AU625"/>
    </row>
    <row r="626" spans="17:47" ht="12.75" customHeight="1">
      <c r="Q626" s="23"/>
      <c r="R626" s="23"/>
      <c r="S626" s="23"/>
      <c r="T626" s="23"/>
      <c r="U626" s="23"/>
      <c r="V626" s="23"/>
      <c r="W626" s="23"/>
      <c r="X626" s="23"/>
      <c r="Y626" s="23"/>
      <c r="Z626" s="23"/>
      <c r="AA626"/>
      <c r="AB626"/>
      <c r="AC626"/>
      <c r="AD626"/>
      <c r="AE626"/>
      <c r="AF626"/>
      <c r="AG626"/>
      <c r="AH626"/>
      <c r="AI626"/>
      <c r="AJ626"/>
      <c r="AK626"/>
      <c r="AL626"/>
      <c r="AM626"/>
      <c r="AN626"/>
      <c r="AO626"/>
      <c r="AP626"/>
      <c r="AQ626"/>
      <c r="AR626"/>
      <c r="AS626"/>
      <c r="AT626"/>
      <c r="AU626"/>
    </row>
    <row r="627" spans="17:47" ht="12.75" customHeight="1">
      <c r="Q627" s="23"/>
      <c r="R627" s="23"/>
      <c r="S627" s="23"/>
      <c r="T627" s="23"/>
      <c r="U627" s="23"/>
      <c r="V627" s="23"/>
      <c r="W627" s="23"/>
      <c r="X627" s="23"/>
      <c r="Y627" s="23"/>
      <c r="Z627" s="23"/>
      <c r="AA627"/>
      <c r="AB627"/>
      <c r="AC627"/>
      <c r="AD627"/>
      <c r="AE627"/>
      <c r="AF627"/>
      <c r="AG627"/>
      <c r="AH627"/>
      <c r="AI627"/>
      <c r="AJ627"/>
      <c r="AK627"/>
      <c r="AL627"/>
      <c r="AM627"/>
      <c r="AN627"/>
      <c r="AO627"/>
      <c r="AP627"/>
      <c r="AQ627"/>
      <c r="AR627"/>
      <c r="AS627"/>
      <c r="AT627"/>
      <c r="AU627"/>
    </row>
    <row r="628" spans="17:47" ht="12.75" customHeight="1">
      <c r="Q628" s="23"/>
      <c r="R628" s="23"/>
      <c r="S628" s="23"/>
      <c r="T628" s="23"/>
      <c r="U628" s="23"/>
      <c r="V628" s="23"/>
      <c r="W628" s="23"/>
      <c r="X628" s="23"/>
      <c r="Y628" s="23"/>
      <c r="Z628" s="23"/>
      <c r="AA628"/>
      <c r="AB628"/>
      <c r="AC628"/>
      <c r="AD628"/>
      <c r="AE628"/>
      <c r="AF628"/>
      <c r="AG628"/>
      <c r="AH628"/>
      <c r="AI628"/>
      <c r="AJ628"/>
      <c r="AK628"/>
      <c r="AL628"/>
      <c r="AM628"/>
      <c r="AN628"/>
      <c r="AO628"/>
      <c r="AP628"/>
      <c r="AQ628"/>
      <c r="AR628"/>
      <c r="AS628"/>
      <c r="AT628"/>
      <c r="AU628"/>
    </row>
    <row r="629" spans="17:47" ht="12.75" customHeight="1">
      <c r="Q629" s="23"/>
      <c r="R629" s="23"/>
      <c r="S629" s="23"/>
      <c r="T629" s="23"/>
      <c r="U629" s="23"/>
      <c r="V629" s="23"/>
      <c r="W629" s="23"/>
      <c r="X629" s="23"/>
      <c r="Y629" s="23"/>
      <c r="Z629" s="23"/>
      <c r="AA629"/>
      <c r="AB629"/>
      <c r="AC629"/>
      <c r="AD629"/>
      <c r="AE629"/>
      <c r="AF629"/>
      <c r="AG629"/>
      <c r="AH629"/>
      <c r="AI629"/>
      <c r="AJ629"/>
      <c r="AK629"/>
      <c r="AL629"/>
      <c r="AM629"/>
      <c r="AN629"/>
      <c r="AO629"/>
      <c r="AP629"/>
      <c r="AQ629"/>
      <c r="AR629"/>
      <c r="AS629"/>
      <c r="AT629"/>
      <c r="AU629"/>
    </row>
    <row r="630" spans="17:47" ht="12.75" customHeight="1">
      <c r="Q630" s="23"/>
      <c r="R630" s="23"/>
      <c r="S630" s="23"/>
      <c r="T630" s="23"/>
      <c r="U630" s="23"/>
      <c r="V630" s="23"/>
      <c r="W630" s="23"/>
      <c r="X630" s="23"/>
      <c r="Y630" s="23"/>
      <c r="Z630" s="23"/>
      <c r="AA630"/>
      <c r="AB630"/>
      <c r="AC630"/>
      <c r="AD630"/>
      <c r="AE630"/>
      <c r="AF630"/>
      <c r="AG630"/>
      <c r="AH630"/>
      <c r="AI630"/>
      <c r="AJ630"/>
      <c r="AK630"/>
      <c r="AL630"/>
      <c r="AM630"/>
      <c r="AN630"/>
      <c r="AO630"/>
      <c r="AP630"/>
      <c r="AQ630"/>
      <c r="AR630"/>
      <c r="AS630"/>
      <c r="AT630"/>
      <c r="AU630"/>
    </row>
    <row r="631" spans="17:47" ht="12.75" customHeight="1">
      <c r="Q631" s="23"/>
      <c r="R631" s="23"/>
      <c r="S631" s="23"/>
      <c r="T631" s="23"/>
      <c r="U631" s="23"/>
      <c r="V631" s="23"/>
      <c r="W631" s="23"/>
      <c r="X631" s="23"/>
      <c r="Y631" s="23"/>
      <c r="Z631" s="23"/>
      <c r="AA631"/>
      <c r="AB631"/>
      <c r="AC631"/>
      <c r="AD631"/>
      <c r="AE631"/>
      <c r="AF631"/>
      <c r="AG631"/>
      <c r="AH631"/>
      <c r="AI631"/>
      <c r="AJ631"/>
      <c r="AK631"/>
      <c r="AL631"/>
      <c r="AM631"/>
      <c r="AN631"/>
      <c r="AO631"/>
      <c r="AP631"/>
      <c r="AQ631"/>
      <c r="AR631"/>
      <c r="AS631"/>
      <c r="AT631"/>
      <c r="AU631"/>
    </row>
    <row r="632" spans="17:47" ht="12.75" customHeight="1">
      <c r="Q632" s="23"/>
      <c r="R632" s="23"/>
      <c r="S632" s="23"/>
      <c r="T632" s="23"/>
      <c r="U632" s="23"/>
      <c r="V632" s="23"/>
      <c r="W632" s="23"/>
      <c r="X632" s="23"/>
      <c r="Y632" s="23"/>
      <c r="Z632" s="23"/>
      <c r="AA632"/>
      <c r="AB632"/>
      <c r="AC632"/>
      <c r="AD632"/>
      <c r="AE632"/>
      <c r="AF632"/>
      <c r="AG632"/>
      <c r="AH632"/>
      <c r="AI632"/>
      <c r="AJ632"/>
      <c r="AK632"/>
      <c r="AL632"/>
      <c r="AM632"/>
      <c r="AN632"/>
      <c r="AO632"/>
      <c r="AP632"/>
      <c r="AQ632"/>
      <c r="AR632"/>
      <c r="AS632"/>
      <c r="AT632"/>
      <c r="AU632"/>
    </row>
    <row r="633" spans="17:47" ht="12.75" customHeight="1">
      <c r="Q633" s="23"/>
      <c r="R633" s="23"/>
      <c r="S633" s="23"/>
      <c r="T633" s="23"/>
      <c r="U633" s="23"/>
      <c r="V633" s="23"/>
      <c r="W633" s="23"/>
      <c r="X633" s="23"/>
      <c r="Y633" s="23"/>
      <c r="Z633" s="23"/>
      <c r="AA633"/>
      <c r="AB633"/>
      <c r="AC633"/>
      <c r="AD633"/>
      <c r="AE633"/>
      <c r="AF633"/>
      <c r="AG633"/>
      <c r="AH633"/>
      <c r="AI633"/>
      <c r="AJ633"/>
      <c r="AK633"/>
      <c r="AL633"/>
      <c r="AM633"/>
      <c r="AN633"/>
      <c r="AO633"/>
      <c r="AP633"/>
      <c r="AQ633"/>
      <c r="AR633"/>
      <c r="AS633"/>
      <c r="AT633"/>
      <c r="AU633"/>
    </row>
    <row r="634" spans="17:47" ht="12.75" customHeight="1">
      <c r="Q634" s="23"/>
      <c r="R634" s="23"/>
      <c r="S634" s="23"/>
      <c r="T634" s="23"/>
      <c r="U634" s="23"/>
      <c r="V634" s="23"/>
      <c r="W634" s="23"/>
      <c r="X634" s="23"/>
      <c r="Y634" s="23"/>
      <c r="Z634" s="23"/>
      <c r="AA634"/>
      <c r="AB634"/>
      <c r="AC634"/>
      <c r="AD634"/>
      <c r="AE634"/>
      <c r="AF634"/>
      <c r="AG634"/>
      <c r="AH634"/>
      <c r="AI634"/>
      <c r="AJ634"/>
      <c r="AK634"/>
      <c r="AL634"/>
      <c r="AM634"/>
      <c r="AN634"/>
      <c r="AO634"/>
      <c r="AP634"/>
      <c r="AQ634"/>
      <c r="AR634"/>
      <c r="AS634"/>
      <c r="AT634"/>
      <c r="AU634"/>
    </row>
    <row r="635" spans="17:47" ht="12.75" customHeight="1">
      <c r="Q635" s="23"/>
      <c r="R635" s="23"/>
      <c r="S635" s="23"/>
      <c r="T635" s="23"/>
      <c r="U635" s="23"/>
      <c r="V635" s="23"/>
      <c r="W635" s="23"/>
      <c r="X635" s="23"/>
      <c r="Y635" s="23"/>
      <c r="Z635" s="23"/>
      <c r="AA635"/>
      <c r="AB635"/>
      <c r="AC635"/>
      <c r="AD635"/>
      <c r="AE635"/>
      <c r="AF635"/>
      <c r="AG635"/>
      <c r="AH635"/>
      <c r="AI635"/>
      <c r="AJ635"/>
      <c r="AK635"/>
      <c r="AL635"/>
      <c r="AM635"/>
      <c r="AN635"/>
      <c r="AO635"/>
      <c r="AP635"/>
      <c r="AQ635"/>
      <c r="AR635"/>
      <c r="AS635"/>
      <c r="AT635"/>
      <c r="AU635"/>
    </row>
    <row r="636" spans="17:47" ht="12.75" customHeight="1">
      <c r="Q636" s="23"/>
      <c r="R636" s="23"/>
      <c r="S636" s="23"/>
      <c r="T636" s="23"/>
      <c r="U636" s="23"/>
      <c r="V636" s="23"/>
      <c r="W636" s="23"/>
      <c r="X636" s="23"/>
      <c r="Y636" s="23"/>
      <c r="Z636" s="23"/>
      <c r="AA636"/>
      <c r="AB636"/>
      <c r="AC636"/>
      <c r="AD636"/>
      <c r="AE636"/>
      <c r="AF636"/>
      <c r="AG636"/>
      <c r="AH636"/>
      <c r="AI636"/>
      <c r="AJ636"/>
      <c r="AK636"/>
      <c r="AL636"/>
      <c r="AM636"/>
      <c r="AN636"/>
      <c r="AO636"/>
      <c r="AP636"/>
      <c r="AQ636"/>
      <c r="AR636"/>
      <c r="AS636"/>
      <c r="AT636"/>
      <c r="AU636"/>
    </row>
    <row r="637" spans="17:47" ht="12.75" customHeight="1">
      <c r="Q637" s="23"/>
      <c r="R637" s="23"/>
      <c r="S637" s="23"/>
      <c r="T637" s="23"/>
      <c r="U637" s="23"/>
      <c r="V637" s="23"/>
      <c r="W637" s="23"/>
      <c r="X637" s="23"/>
      <c r="Y637" s="23"/>
      <c r="Z637" s="23"/>
      <c r="AA637"/>
      <c r="AB637"/>
      <c r="AC637"/>
      <c r="AD637"/>
      <c r="AE637"/>
      <c r="AF637"/>
      <c r="AG637"/>
      <c r="AH637"/>
      <c r="AI637"/>
      <c r="AJ637"/>
      <c r="AK637"/>
      <c r="AL637"/>
      <c r="AM637"/>
      <c r="AN637"/>
      <c r="AO637"/>
      <c r="AP637"/>
      <c r="AQ637"/>
      <c r="AR637"/>
      <c r="AS637"/>
      <c r="AT637"/>
      <c r="AU637"/>
    </row>
    <row r="638" spans="17:47" ht="12.75" customHeight="1">
      <c r="Q638" s="23"/>
      <c r="R638" s="23"/>
      <c r="S638" s="23"/>
      <c r="T638" s="23"/>
      <c r="U638" s="23"/>
      <c r="V638" s="23"/>
      <c r="W638" s="23"/>
      <c r="X638" s="23"/>
      <c r="Y638" s="23"/>
      <c r="Z638" s="23"/>
      <c r="AA638"/>
      <c r="AB638"/>
      <c r="AC638"/>
      <c r="AD638"/>
      <c r="AE638"/>
      <c r="AF638"/>
      <c r="AG638"/>
      <c r="AH638"/>
      <c r="AI638"/>
      <c r="AJ638"/>
      <c r="AK638"/>
      <c r="AL638"/>
      <c r="AM638"/>
      <c r="AN638"/>
      <c r="AO638"/>
      <c r="AP638"/>
      <c r="AQ638"/>
      <c r="AR638"/>
      <c r="AS638"/>
      <c r="AT638"/>
      <c r="AU638"/>
    </row>
    <row r="639" spans="17:47" ht="12.75" customHeight="1">
      <c r="Q639" s="23"/>
      <c r="R639" s="23"/>
      <c r="S639" s="23"/>
      <c r="T639" s="23"/>
      <c r="U639" s="23"/>
      <c r="V639" s="23"/>
      <c r="W639" s="23"/>
      <c r="X639" s="23"/>
      <c r="Y639" s="23"/>
      <c r="Z639" s="23"/>
      <c r="AA639"/>
      <c r="AB639"/>
      <c r="AC639"/>
      <c r="AD639"/>
      <c r="AE639"/>
      <c r="AF639"/>
      <c r="AG639"/>
      <c r="AH639"/>
      <c r="AI639"/>
      <c r="AJ639"/>
      <c r="AK639"/>
      <c r="AL639"/>
      <c r="AM639"/>
      <c r="AN639"/>
      <c r="AO639"/>
      <c r="AP639"/>
      <c r="AQ639"/>
      <c r="AR639"/>
      <c r="AS639"/>
      <c r="AT639"/>
      <c r="AU639"/>
    </row>
    <row r="640" spans="17:47" ht="12.75" customHeight="1">
      <c r="Q640" s="23"/>
      <c r="R640" s="23"/>
      <c r="S640" s="23"/>
      <c r="T640" s="23"/>
      <c r="U640" s="23"/>
      <c r="V640" s="23"/>
      <c r="W640" s="23"/>
      <c r="X640" s="23"/>
      <c r="Y640" s="23"/>
      <c r="Z640" s="23"/>
      <c r="AA640"/>
      <c r="AB640"/>
      <c r="AC640"/>
      <c r="AD640"/>
      <c r="AE640"/>
      <c r="AF640"/>
      <c r="AG640"/>
      <c r="AH640"/>
      <c r="AI640"/>
      <c r="AJ640"/>
      <c r="AK640"/>
      <c r="AL640"/>
      <c r="AM640"/>
      <c r="AN640"/>
      <c r="AO640"/>
      <c r="AP640"/>
      <c r="AQ640"/>
      <c r="AR640"/>
      <c r="AS640"/>
      <c r="AT640"/>
      <c r="AU640"/>
    </row>
    <row r="641" spans="17:47" ht="12.75" customHeight="1">
      <c r="Q641" s="23"/>
      <c r="R641" s="23"/>
      <c r="S641" s="23"/>
      <c r="T641" s="23"/>
      <c r="U641" s="23"/>
      <c r="V641" s="23"/>
      <c r="W641" s="23"/>
      <c r="X641" s="23"/>
      <c r="Y641" s="23"/>
      <c r="Z641" s="23"/>
      <c r="AA641"/>
      <c r="AB641"/>
      <c r="AC641"/>
      <c r="AD641"/>
      <c r="AE641"/>
      <c r="AF641"/>
      <c r="AG641"/>
      <c r="AH641"/>
      <c r="AI641"/>
      <c r="AJ641"/>
      <c r="AK641"/>
      <c r="AL641"/>
      <c r="AM641"/>
      <c r="AN641"/>
      <c r="AO641"/>
      <c r="AP641"/>
      <c r="AQ641"/>
      <c r="AR641"/>
      <c r="AS641"/>
      <c r="AT641"/>
      <c r="AU641"/>
    </row>
    <row r="642" spans="17:47" ht="12.75" customHeight="1">
      <c r="Q642" s="23"/>
      <c r="R642" s="23"/>
      <c r="S642" s="23"/>
      <c r="T642" s="23"/>
      <c r="U642" s="23"/>
      <c r="V642" s="23"/>
      <c r="W642" s="23"/>
      <c r="X642" s="23"/>
      <c r="Y642" s="23"/>
      <c r="Z642" s="23"/>
      <c r="AA642"/>
      <c r="AB642"/>
      <c r="AC642"/>
      <c r="AD642"/>
      <c r="AE642"/>
      <c r="AF642"/>
      <c r="AG642"/>
      <c r="AH642"/>
      <c r="AI642"/>
      <c r="AJ642"/>
      <c r="AK642"/>
      <c r="AL642"/>
      <c r="AM642"/>
      <c r="AN642"/>
      <c r="AO642"/>
      <c r="AP642"/>
      <c r="AQ642"/>
      <c r="AR642"/>
      <c r="AS642"/>
      <c r="AT642"/>
      <c r="AU642"/>
    </row>
    <row r="643" spans="17:47" ht="12.75" customHeight="1">
      <c r="Q643" s="23"/>
      <c r="R643" s="23"/>
      <c r="S643" s="23"/>
      <c r="T643" s="23"/>
      <c r="U643" s="23"/>
      <c r="V643" s="23"/>
      <c r="W643" s="23"/>
      <c r="X643" s="23"/>
      <c r="Y643" s="23"/>
      <c r="Z643" s="23"/>
      <c r="AA643"/>
      <c r="AB643"/>
      <c r="AC643"/>
      <c r="AD643"/>
      <c r="AE643"/>
      <c r="AF643"/>
      <c r="AG643"/>
      <c r="AH643"/>
      <c r="AI643"/>
      <c r="AJ643"/>
      <c r="AK643"/>
      <c r="AL643"/>
      <c r="AM643"/>
      <c r="AN643"/>
      <c r="AO643"/>
      <c r="AP643"/>
      <c r="AQ643"/>
      <c r="AR643"/>
      <c r="AS643"/>
      <c r="AT643"/>
      <c r="AU643"/>
    </row>
    <row r="644" spans="17:47" ht="12.75" customHeight="1">
      <c r="Q644" s="23"/>
      <c r="R644" s="23"/>
      <c r="S644" s="23"/>
      <c r="T644" s="23"/>
      <c r="U644" s="23"/>
      <c r="V644" s="23"/>
      <c r="W644" s="23"/>
      <c r="X644" s="23"/>
      <c r="Y644" s="23"/>
      <c r="Z644" s="23"/>
      <c r="AA644"/>
      <c r="AB644"/>
      <c r="AC644"/>
      <c r="AD644"/>
      <c r="AE644"/>
      <c r="AF644"/>
      <c r="AG644"/>
      <c r="AH644"/>
      <c r="AI644"/>
      <c r="AJ644"/>
      <c r="AK644"/>
      <c r="AL644"/>
      <c r="AM644"/>
      <c r="AN644"/>
      <c r="AO644"/>
      <c r="AP644"/>
      <c r="AQ644"/>
      <c r="AR644"/>
      <c r="AS644"/>
      <c r="AT644"/>
      <c r="AU644"/>
    </row>
    <row r="645" spans="17:47" ht="12.75" customHeight="1">
      <c r="Q645" s="23"/>
      <c r="R645" s="23"/>
      <c r="S645" s="23"/>
      <c r="T645" s="23"/>
      <c r="U645" s="23"/>
      <c r="V645" s="23"/>
      <c r="W645" s="23"/>
      <c r="X645" s="23"/>
      <c r="Y645" s="23"/>
      <c r="Z645" s="23"/>
      <c r="AA645"/>
      <c r="AB645"/>
      <c r="AC645"/>
      <c r="AD645"/>
      <c r="AE645"/>
      <c r="AF645"/>
      <c r="AG645"/>
      <c r="AH645"/>
      <c r="AI645"/>
      <c r="AJ645"/>
      <c r="AK645"/>
      <c r="AL645"/>
      <c r="AM645"/>
      <c r="AN645"/>
      <c r="AO645"/>
      <c r="AP645"/>
      <c r="AQ645"/>
      <c r="AR645"/>
      <c r="AS645"/>
      <c r="AT645"/>
      <c r="AU645"/>
    </row>
    <row r="646" spans="17:47" ht="12.75" customHeight="1">
      <c r="Q646" s="23"/>
      <c r="R646" s="23"/>
      <c r="S646" s="23"/>
      <c r="T646" s="23"/>
      <c r="U646" s="23"/>
      <c r="V646" s="23"/>
      <c r="W646" s="23"/>
      <c r="X646" s="23"/>
      <c r="Y646" s="23"/>
      <c r="Z646" s="23"/>
      <c r="AA646"/>
      <c r="AB646"/>
      <c r="AC646"/>
      <c r="AD646"/>
      <c r="AE646"/>
      <c r="AF646"/>
      <c r="AG646"/>
      <c r="AH646"/>
      <c r="AI646"/>
      <c r="AJ646"/>
      <c r="AK646"/>
      <c r="AL646"/>
      <c r="AM646"/>
      <c r="AN646"/>
      <c r="AO646"/>
      <c r="AP646"/>
      <c r="AQ646"/>
      <c r="AR646"/>
      <c r="AS646"/>
      <c r="AT646"/>
      <c r="AU646"/>
    </row>
    <row r="647" spans="17:47" ht="12.75" customHeight="1">
      <c r="Q647" s="23"/>
      <c r="R647" s="23"/>
      <c r="S647" s="23"/>
      <c r="T647" s="23"/>
      <c r="U647" s="23"/>
      <c r="V647" s="23"/>
      <c r="W647" s="23"/>
      <c r="X647" s="23"/>
      <c r="Y647" s="23"/>
      <c r="Z647" s="23"/>
      <c r="AA647"/>
      <c r="AB647"/>
      <c r="AC647"/>
      <c r="AD647"/>
      <c r="AE647"/>
      <c r="AF647"/>
      <c r="AG647"/>
      <c r="AH647"/>
      <c r="AI647"/>
      <c r="AJ647"/>
      <c r="AK647"/>
      <c r="AL647"/>
      <c r="AM647"/>
      <c r="AN647"/>
      <c r="AO647"/>
      <c r="AP647"/>
      <c r="AQ647"/>
      <c r="AR647"/>
      <c r="AS647"/>
      <c r="AT647"/>
      <c r="AU647"/>
    </row>
    <row r="648" spans="17:47" ht="12.75" customHeight="1">
      <c r="Q648" s="23"/>
      <c r="R648" s="23"/>
      <c r="S648" s="23"/>
      <c r="T648" s="23"/>
      <c r="U648" s="23"/>
      <c r="V648" s="23"/>
      <c r="W648" s="23"/>
      <c r="X648" s="23"/>
      <c r="Y648" s="23"/>
      <c r="Z648" s="23"/>
      <c r="AA648"/>
      <c r="AB648"/>
      <c r="AC648"/>
      <c r="AD648"/>
      <c r="AE648"/>
      <c r="AF648"/>
      <c r="AG648"/>
      <c r="AH648"/>
      <c r="AI648"/>
      <c r="AJ648"/>
      <c r="AK648"/>
      <c r="AL648"/>
      <c r="AM648"/>
      <c r="AN648"/>
      <c r="AO648"/>
      <c r="AP648"/>
      <c r="AQ648"/>
      <c r="AR648"/>
      <c r="AS648"/>
      <c r="AT648"/>
      <c r="AU648"/>
    </row>
    <row r="649" spans="17:47" ht="12.75" customHeight="1">
      <c r="Q649" s="23"/>
      <c r="R649" s="23"/>
      <c r="S649" s="23"/>
      <c r="T649" s="23"/>
      <c r="U649" s="23"/>
      <c r="V649" s="23"/>
      <c r="W649" s="23"/>
      <c r="X649" s="23"/>
      <c r="Y649" s="23"/>
      <c r="Z649" s="23"/>
      <c r="AA649"/>
      <c r="AB649"/>
      <c r="AC649"/>
      <c r="AD649"/>
      <c r="AE649"/>
      <c r="AF649"/>
      <c r="AG649"/>
      <c r="AH649"/>
      <c r="AI649"/>
      <c r="AJ649"/>
      <c r="AK649"/>
      <c r="AL649"/>
      <c r="AM649"/>
      <c r="AN649"/>
      <c r="AO649"/>
      <c r="AP649"/>
      <c r="AQ649"/>
      <c r="AR649"/>
      <c r="AS649"/>
      <c r="AT649"/>
      <c r="AU649"/>
    </row>
    <row r="650" spans="17:47" ht="12.75" customHeight="1">
      <c r="Q650" s="23"/>
      <c r="R650" s="23"/>
      <c r="S650" s="23"/>
      <c r="T650" s="23"/>
      <c r="U650" s="23"/>
      <c r="V650" s="23"/>
      <c r="W650" s="23"/>
      <c r="X650" s="23"/>
      <c r="Y650" s="23"/>
      <c r="Z650" s="23"/>
      <c r="AA650"/>
      <c r="AB650"/>
      <c r="AC650"/>
      <c r="AD650"/>
      <c r="AE650"/>
      <c r="AF650"/>
      <c r="AG650"/>
      <c r="AH650"/>
      <c r="AI650"/>
      <c r="AJ650"/>
      <c r="AK650"/>
      <c r="AL650"/>
      <c r="AM650"/>
      <c r="AN650"/>
      <c r="AO650"/>
      <c r="AP650"/>
      <c r="AQ650"/>
      <c r="AR650"/>
      <c r="AS650"/>
      <c r="AT650"/>
      <c r="AU650"/>
    </row>
    <row r="651" spans="17:47" ht="12.75" customHeight="1">
      <c r="Q651" s="23"/>
      <c r="R651" s="23"/>
      <c r="S651" s="23"/>
      <c r="T651" s="23"/>
      <c r="U651" s="23"/>
      <c r="V651" s="23"/>
      <c r="W651" s="23"/>
      <c r="X651" s="23"/>
      <c r="Y651" s="23"/>
      <c r="Z651" s="23"/>
      <c r="AA651"/>
      <c r="AB651"/>
      <c r="AC651"/>
      <c r="AD651"/>
      <c r="AE651"/>
      <c r="AF651"/>
      <c r="AG651"/>
      <c r="AH651"/>
      <c r="AI651"/>
      <c r="AJ651"/>
      <c r="AK651"/>
      <c r="AL651"/>
      <c r="AM651"/>
      <c r="AN651"/>
      <c r="AO651"/>
      <c r="AP651"/>
      <c r="AQ651"/>
      <c r="AR651"/>
      <c r="AS651"/>
      <c r="AT651"/>
      <c r="AU651"/>
    </row>
    <row r="652" spans="17:47" ht="12.75" customHeight="1">
      <c r="Q652" s="23"/>
      <c r="R652" s="23"/>
      <c r="S652" s="23"/>
      <c r="T652" s="23"/>
      <c r="U652" s="23"/>
      <c r="V652" s="23"/>
      <c r="W652" s="23"/>
      <c r="X652" s="23"/>
      <c r="Y652" s="23"/>
      <c r="Z652" s="23"/>
      <c r="AA652"/>
      <c r="AB652"/>
      <c r="AC652"/>
      <c r="AD652"/>
      <c r="AE652"/>
      <c r="AF652"/>
      <c r="AG652"/>
      <c r="AH652"/>
      <c r="AI652"/>
      <c r="AJ652"/>
      <c r="AK652"/>
      <c r="AL652"/>
      <c r="AM652"/>
      <c r="AN652"/>
      <c r="AO652"/>
      <c r="AP652"/>
      <c r="AQ652"/>
      <c r="AR652"/>
      <c r="AS652"/>
      <c r="AT652"/>
      <c r="AU652"/>
    </row>
    <row r="653" spans="17:47" ht="12.75" customHeight="1">
      <c r="Q653" s="23"/>
      <c r="R653" s="23"/>
      <c r="S653" s="23"/>
      <c r="T653" s="23"/>
      <c r="U653" s="23"/>
      <c r="V653" s="23"/>
      <c r="W653" s="23"/>
      <c r="X653" s="23"/>
      <c r="Y653" s="23"/>
      <c r="Z653" s="23"/>
      <c r="AA653"/>
      <c r="AB653"/>
      <c r="AC653"/>
      <c r="AD653"/>
      <c r="AE653"/>
      <c r="AF653"/>
      <c r="AG653"/>
      <c r="AH653"/>
      <c r="AI653"/>
      <c r="AJ653"/>
      <c r="AK653"/>
      <c r="AL653"/>
      <c r="AM653"/>
      <c r="AN653"/>
      <c r="AO653"/>
      <c r="AP653"/>
      <c r="AQ653"/>
      <c r="AR653"/>
      <c r="AS653"/>
      <c r="AT653"/>
      <c r="AU653"/>
    </row>
    <row r="654" spans="17:47" ht="12.75" customHeight="1">
      <c r="Q654" s="23"/>
      <c r="R654" s="23"/>
      <c r="S654" s="23"/>
      <c r="T654" s="23"/>
      <c r="U654" s="23"/>
      <c r="V654" s="23"/>
      <c r="W654" s="23"/>
      <c r="X654" s="23"/>
      <c r="Y654" s="23"/>
      <c r="Z654" s="23"/>
      <c r="AA654"/>
      <c r="AB654"/>
      <c r="AC654"/>
      <c r="AD654"/>
      <c r="AE654"/>
      <c r="AF654"/>
      <c r="AG654"/>
      <c r="AH654"/>
      <c r="AI654"/>
      <c r="AJ654"/>
      <c r="AK654"/>
      <c r="AL654"/>
      <c r="AM654"/>
      <c r="AN654"/>
      <c r="AO654"/>
      <c r="AP654"/>
      <c r="AQ654"/>
      <c r="AR654"/>
      <c r="AS654"/>
      <c r="AT654"/>
      <c r="AU654"/>
    </row>
    <row r="655" spans="17:47" ht="12.75" customHeight="1">
      <c r="Q655" s="23"/>
      <c r="R655" s="23"/>
      <c r="S655" s="23"/>
      <c r="T655" s="23"/>
      <c r="U655" s="23"/>
      <c r="V655" s="23"/>
      <c r="W655" s="23"/>
      <c r="X655" s="23"/>
      <c r="Y655" s="23"/>
      <c r="Z655" s="23"/>
      <c r="AA655"/>
      <c r="AB655"/>
      <c r="AC655"/>
      <c r="AD655"/>
      <c r="AE655"/>
      <c r="AF655"/>
      <c r="AG655"/>
      <c r="AH655"/>
      <c r="AI655"/>
      <c r="AJ655"/>
      <c r="AK655"/>
      <c r="AL655"/>
      <c r="AM655"/>
      <c r="AN655"/>
      <c r="AO655"/>
      <c r="AP655"/>
      <c r="AQ655"/>
      <c r="AR655"/>
      <c r="AS655"/>
      <c r="AT655"/>
      <c r="AU655"/>
    </row>
    <row r="656" spans="17:47" ht="12.75" customHeight="1">
      <c r="Q656" s="23"/>
      <c r="R656" s="23"/>
      <c r="S656" s="23"/>
      <c r="T656" s="23"/>
      <c r="U656" s="23"/>
      <c r="V656" s="23"/>
      <c r="W656" s="23"/>
      <c r="X656" s="23"/>
      <c r="Y656" s="23"/>
      <c r="Z656" s="23"/>
      <c r="AA656"/>
      <c r="AB656"/>
      <c r="AC656"/>
      <c r="AD656"/>
      <c r="AE656"/>
      <c r="AF656"/>
      <c r="AG656"/>
      <c r="AH656"/>
      <c r="AI656"/>
      <c r="AJ656"/>
      <c r="AK656"/>
      <c r="AL656"/>
      <c r="AM656"/>
      <c r="AN656"/>
      <c r="AO656"/>
      <c r="AP656"/>
      <c r="AQ656"/>
      <c r="AR656"/>
      <c r="AS656"/>
      <c r="AT656"/>
      <c r="AU656"/>
    </row>
    <row r="657" spans="17:47" ht="12.75" customHeight="1">
      <c r="Q657" s="23"/>
      <c r="R657" s="23"/>
      <c r="S657" s="23"/>
      <c r="T657" s="23"/>
      <c r="U657" s="23"/>
      <c r="V657" s="23"/>
      <c r="W657" s="23"/>
      <c r="X657" s="23"/>
      <c r="Y657" s="23"/>
      <c r="Z657" s="23"/>
      <c r="AA657"/>
      <c r="AB657"/>
      <c r="AC657"/>
      <c r="AD657"/>
      <c r="AE657"/>
      <c r="AF657"/>
      <c r="AG657"/>
      <c r="AH657"/>
      <c r="AI657"/>
      <c r="AJ657"/>
      <c r="AK657"/>
      <c r="AL657"/>
      <c r="AM657"/>
      <c r="AN657"/>
      <c r="AO657"/>
      <c r="AP657"/>
      <c r="AQ657"/>
      <c r="AR657"/>
      <c r="AS657"/>
      <c r="AT657"/>
      <c r="AU657"/>
    </row>
    <row r="658" spans="17:47" ht="12.75" customHeight="1">
      <c r="Q658" s="23"/>
      <c r="R658" s="23"/>
      <c r="S658" s="23"/>
      <c r="T658" s="23"/>
      <c r="U658" s="23"/>
      <c r="V658" s="23"/>
      <c r="W658" s="23"/>
      <c r="X658" s="23"/>
      <c r="Y658" s="23"/>
      <c r="Z658" s="23"/>
      <c r="AA658"/>
      <c r="AB658"/>
      <c r="AC658"/>
      <c r="AD658"/>
      <c r="AE658"/>
      <c r="AF658"/>
      <c r="AG658"/>
      <c r="AH658"/>
      <c r="AI658"/>
      <c r="AJ658"/>
      <c r="AK658"/>
      <c r="AL658"/>
      <c r="AM658"/>
      <c r="AN658"/>
      <c r="AO658"/>
      <c r="AP658"/>
      <c r="AQ658"/>
      <c r="AR658"/>
      <c r="AS658"/>
      <c r="AT658"/>
      <c r="AU658"/>
    </row>
    <row r="659" spans="17:47" ht="12.75" customHeight="1">
      <c r="Q659" s="23"/>
      <c r="R659" s="23"/>
      <c r="S659" s="23"/>
      <c r="T659" s="23"/>
      <c r="U659" s="23"/>
      <c r="V659" s="23"/>
      <c r="W659" s="23"/>
      <c r="X659" s="23"/>
      <c r="Y659" s="23"/>
      <c r="Z659" s="23"/>
      <c r="AA659"/>
      <c r="AB659"/>
      <c r="AC659"/>
      <c r="AD659"/>
      <c r="AE659"/>
      <c r="AF659"/>
      <c r="AG659"/>
      <c r="AH659"/>
      <c r="AI659"/>
      <c r="AJ659"/>
      <c r="AK659"/>
      <c r="AL659"/>
      <c r="AM659"/>
      <c r="AN659"/>
      <c r="AO659"/>
      <c r="AP659"/>
      <c r="AQ659"/>
      <c r="AR659"/>
      <c r="AS659"/>
      <c r="AT659"/>
      <c r="AU659"/>
    </row>
    <row r="660" spans="17:47" ht="12.75" customHeight="1">
      <c r="Q660" s="23"/>
      <c r="R660" s="23"/>
      <c r="S660" s="23"/>
      <c r="T660" s="23"/>
      <c r="U660" s="23"/>
      <c r="V660" s="23"/>
      <c r="W660" s="23"/>
      <c r="X660" s="23"/>
      <c r="Y660" s="23"/>
      <c r="Z660" s="23"/>
      <c r="AA660"/>
      <c r="AB660"/>
      <c r="AC660"/>
      <c r="AD660"/>
      <c r="AE660"/>
      <c r="AF660"/>
      <c r="AG660"/>
      <c r="AH660"/>
      <c r="AI660"/>
      <c r="AJ660"/>
      <c r="AK660"/>
      <c r="AL660"/>
      <c r="AM660"/>
      <c r="AN660"/>
      <c r="AO660"/>
      <c r="AP660"/>
      <c r="AQ660"/>
      <c r="AR660"/>
      <c r="AS660"/>
      <c r="AT660"/>
      <c r="AU660"/>
    </row>
    <row r="661" spans="17:47" ht="12.75" customHeight="1">
      <c r="Q661" s="23"/>
      <c r="R661" s="23"/>
      <c r="S661" s="23"/>
      <c r="T661" s="23"/>
      <c r="U661" s="23"/>
      <c r="V661" s="23"/>
      <c r="W661" s="23"/>
      <c r="X661" s="23"/>
      <c r="Y661" s="23"/>
      <c r="Z661" s="23"/>
      <c r="AA661"/>
      <c r="AB661"/>
      <c r="AC661"/>
      <c r="AD661"/>
      <c r="AE661"/>
      <c r="AF661"/>
      <c r="AG661"/>
      <c r="AH661"/>
      <c r="AI661"/>
      <c r="AJ661"/>
      <c r="AK661"/>
      <c r="AL661"/>
      <c r="AM661"/>
      <c r="AN661"/>
      <c r="AO661"/>
      <c r="AP661"/>
      <c r="AQ661"/>
      <c r="AR661"/>
      <c r="AS661"/>
      <c r="AT661"/>
      <c r="AU661"/>
    </row>
    <row r="662" spans="17:47" ht="12.75" customHeight="1">
      <c r="Q662" s="23"/>
      <c r="R662" s="23"/>
      <c r="S662" s="23"/>
      <c r="T662" s="23"/>
      <c r="U662" s="23"/>
      <c r="V662" s="23"/>
      <c r="W662" s="23"/>
      <c r="X662" s="23"/>
      <c r="Y662" s="23"/>
      <c r="Z662" s="23"/>
      <c r="AA662"/>
      <c r="AB662"/>
      <c r="AC662"/>
      <c r="AD662"/>
      <c r="AE662"/>
      <c r="AF662"/>
      <c r="AG662"/>
      <c r="AH662"/>
      <c r="AI662"/>
      <c r="AJ662"/>
      <c r="AK662"/>
      <c r="AL662"/>
      <c r="AM662"/>
      <c r="AN662"/>
      <c r="AO662"/>
      <c r="AP662"/>
      <c r="AQ662"/>
      <c r="AR662"/>
      <c r="AS662"/>
      <c r="AT662"/>
      <c r="AU662"/>
    </row>
    <row r="663" spans="17:47" ht="12.75" customHeight="1">
      <c r="Q663" s="23"/>
      <c r="R663" s="23"/>
      <c r="S663" s="23"/>
      <c r="T663" s="23"/>
      <c r="U663" s="23"/>
      <c r="V663" s="23"/>
      <c r="W663" s="23"/>
      <c r="X663" s="23"/>
      <c r="Y663" s="23"/>
      <c r="Z663" s="23"/>
      <c r="AA663"/>
      <c r="AB663"/>
      <c r="AC663"/>
      <c r="AD663"/>
      <c r="AE663"/>
      <c r="AF663"/>
      <c r="AG663"/>
      <c r="AH663"/>
      <c r="AI663"/>
      <c r="AJ663"/>
      <c r="AK663"/>
      <c r="AL663"/>
      <c r="AM663"/>
      <c r="AN663"/>
      <c r="AO663"/>
      <c r="AP663"/>
      <c r="AQ663"/>
      <c r="AR663"/>
      <c r="AS663"/>
      <c r="AT663"/>
      <c r="AU663"/>
    </row>
    <row r="664" spans="17:47" ht="12.75" customHeight="1">
      <c r="Q664" s="23"/>
      <c r="R664" s="23"/>
      <c r="S664" s="23"/>
      <c r="T664" s="23"/>
      <c r="U664" s="23"/>
      <c r="V664" s="23"/>
      <c r="W664" s="23"/>
      <c r="X664" s="23"/>
      <c r="Y664" s="23"/>
      <c r="Z664" s="23"/>
      <c r="AA664"/>
      <c r="AB664"/>
      <c r="AC664"/>
      <c r="AD664"/>
      <c r="AE664"/>
      <c r="AF664"/>
      <c r="AG664"/>
      <c r="AH664"/>
      <c r="AI664"/>
      <c r="AJ664"/>
      <c r="AK664"/>
      <c r="AL664"/>
      <c r="AM664"/>
      <c r="AN664"/>
      <c r="AO664"/>
      <c r="AP664"/>
      <c r="AQ664"/>
      <c r="AR664"/>
      <c r="AS664"/>
      <c r="AT664"/>
      <c r="AU664"/>
    </row>
    <row r="665" spans="17:47" ht="12.75" customHeight="1">
      <c r="Q665" s="23"/>
      <c r="R665" s="23"/>
      <c r="S665" s="23"/>
      <c r="T665" s="23"/>
      <c r="U665" s="23"/>
      <c r="V665" s="23"/>
      <c r="W665" s="23"/>
      <c r="X665" s="23"/>
      <c r="Y665" s="23"/>
      <c r="Z665" s="23"/>
      <c r="AA665"/>
      <c r="AB665"/>
      <c r="AC665"/>
      <c r="AD665"/>
      <c r="AE665"/>
      <c r="AF665"/>
      <c r="AG665"/>
      <c r="AH665"/>
      <c r="AI665"/>
      <c r="AJ665"/>
      <c r="AK665"/>
      <c r="AL665"/>
      <c r="AM665"/>
      <c r="AN665"/>
      <c r="AO665"/>
      <c r="AP665"/>
      <c r="AQ665"/>
      <c r="AR665"/>
      <c r="AS665"/>
      <c r="AT665"/>
      <c r="AU665"/>
    </row>
    <row r="666" spans="17:47" ht="12.75" customHeight="1">
      <c r="Q666" s="23"/>
      <c r="R666" s="23"/>
      <c r="S666" s="23"/>
      <c r="T666" s="23"/>
      <c r="U666" s="23"/>
      <c r="V666" s="23"/>
      <c r="W666" s="23"/>
      <c r="X666" s="23"/>
      <c r="Y666" s="23"/>
      <c r="Z666" s="23"/>
      <c r="AA666"/>
      <c r="AB666"/>
      <c r="AC666"/>
      <c r="AD666"/>
      <c r="AE666"/>
      <c r="AF666"/>
      <c r="AG666"/>
      <c r="AH666"/>
      <c r="AI666"/>
      <c r="AJ666"/>
      <c r="AK666"/>
      <c r="AL666"/>
      <c r="AM666"/>
      <c r="AN666"/>
      <c r="AO666"/>
      <c r="AP666"/>
      <c r="AQ666"/>
      <c r="AR666"/>
      <c r="AS666"/>
      <c r="AT666"/>
      <c r="AU666"/>
    </row>
    <row r="667" spans="17:47" ht="12.75" customHeight="1">
      <c r="Q667" s="23"/>
      <c r="R667" s="23"/>
      <c r="S667" s="23"/>
      <c r="T667" s="23"/>
      <c r="U667" s="23"/>
      <c r="V667" s="23"/>
      <c r="W667" s="23"/>
      <c r="X667" s="23"/>
      <c r="Y667" s="23"/>
      <c r="Z667" s="23"/>
      <c r="AA667"/>
      <c r="AB667"/>
      <c r="AC667"/>
      <c r="AD667"/>
      <c r="AE667"/>
      <c r="AF667"/>
      <c r="AG667"/>
      <c r="AH667"/>
      <c r="AI667"/>
      <c r="AJ667"/>
      <c r="AK667"/>
      <c r="AL667"/>
      <c r="AM667"/>
      <c r="AN667"/>
      <c r="AO667"/>
      <c r="AP667"/>
      <c r="AQ667"/>
      <c r="AR667"/>
      <c r="AS667"/>
      <c r="AT667"/>
      <c r="AU667"/>
    </row>
    <row r="668" spans="17:47" ht="12.75" customHeight="1">
      <c r="Q668" s="23"/>
      <c r="R668" s="23"/>
      <c r="S668" s="23"/>
      <c r="T668" s="23"/>
      <c r="U668" s="23"/>
      <c r="V668" s="23"/>
      <c r="W668" s="23"/>
      <c r="X668" s="23"/>
      <c r="Y668" s="23"/>
      <c r="Z668" s="23"/>
      <c r="AA668"/>
      <c r="AB668"/>
      <c r="AC668"/>
      <c r="AD668"/>
      <c r="AE668"/>
      <c r="AF668"/>
      <c r="AG668"/>
      <c r="AH668"/>
      <c r="AI668"/>
      <c r="AJ668"/>
      <c r="AK668"/>
      <c r="AL668"/>
      <c r="AM668"/>
      <c r="AN668"/>
      <c r="AO668"/>
      <c r="AP668"/>
      <c r="AQ668"/>
      <c r="AR668"/>
      <c r="AS668"/>
      <c r="AT668"/>
      <c r="AU668"/>
    </row>
    <row r="669" spans="17:47" ht="12.75" customHeight="1">
      <c r="Q669" s="23"/>
      <c r="R669" s="23"/>
      <c r="S669" s="23"/>
      <c r="T669" s="23"/>
      <c r="U669" s="23"/>
      <c r="V669" s="23"/>
      <c r="W669" s="23"/>
      <c r="X669" s="23"/>
      <c r="Y669" s="23"/>
      <c r="Z669" s="23"/>
      <c r="AA669"/>
      <c r="AB669"/>
      <c r="AC669"/>
      <c r="AD669"/>
      <c r="AE669"/>
      <c r="AF669"/>
      <c r="AG669"/>
      <c r="AH669"/>
      <c r="AI669"/>
      <c r="AJ669"/>
      <c r="AK669"/>
      <c r="AL669"/>
      <c r="AM669"/>
      <c r="AN669"/>
      <c r="AO669"/>
      <c r="AP669"/>
      <c r="AQ669"/>
      <c r="AR669"/>
      <c r="AS669"/>
      <c r="AT669"/>
      <c r="AU669"/>
    </row>
    <row r="670" spans="17:47" ht="12.75" customHeight="1">
      <c r="Q670" s="23"/>
      <c r="R670" s="23"/>
      <c r="S670" s="23"/>
      <c r="T670" s="23"/>
      <c r="U670" s="23"/>
      <c r="V670" s="23"/>
      <c r="W670" s="23"/>
      <c r="X670" s="23"/>
      <c r="Y670" s="23"/>
      <c r="Z670" s="23"/>
      <c r="AA670"/>
      <c r="AB670"/>
      <c r="AC670"/>
      <c r="AD670"/>
      <c r="AE670"/>
      <c r="AF670"/>
      <c r="AG670"/>
      <c r="AH670"/>
      <c r="AI670"/>
      <c r="AJ670"/>
      <c r="AK670"/>
      <c r="AL670"/>
      <c r="AM670"/>
      <c r="AN670"/>
      <c r="AO670"/>
      <c r="AP670"/>
      <c r="AQ670"/>
      <c r="AR670"/>
      <c r="AS670"/>
      <c r="AT670"/>
      <c r="AU670"/>
    </row>
    <row r="671" spans="17:47" ht="12.75" customHeight="1">
      <c r="Q671" s="23"/>
      <c r="R671" s="23"/>
      <c r="S671" s="23"/>
      <c r="T671" s="23"/>
      <c r="U671" s="23"/>
      <c r="V671" s="23"/>
      <c r="W671" s="23"/>
      <c r="X671" s="23"/>
      <c r="Y671" s="23"/>
      <c r="Z671" s="23"/>
      <c r="AA671"/>
      <c r="AB671"/>
      <c r="AC671"/>
      <c r="AD671"/>
      <c r="AE671"/>
      <c r="AF671"/>
      <c r="AG671"/>
      <c r="AH671"/>
      <c r="AI671"/>
      <c r="AJ671"/>
      <c r="AK671"/>
      <c r="AL671"/>
      <c r="AM671"/>
      <c r="AN671"/>
      <c r="AO671"/>
      <c r="AP671"/>
      <c r="AQ671"/>
      <c r="AR671"/>
      <c r="AS671"/>
      <c r="AT671"/>
      <c r="AU671"/>
    </row>
    <row r="672" spans="17:47" ht="12.75" customHeight="1">
      <c r="Q672" s="23"/>
      <c r="R672" s="23"/>
      <c r="S672" s="23"/>
      <c r="T672" s="23"/>
      <c r="U672" s="23"/>
      <c r="V672" s="23"/>
      <c r="W672" s="23"/>
      <c r="X672" s="23"/>
      <c r="Y672" s="23"/>
      <c r="Z672" s="23"/>
    </row>
    <row r="673" spans="17:26" ht="12.75" customHeight="1">
      <c r="Q673" s="23"/>
      <c r="R673" s="23"/>
      <c r="S673" s="23"/>
      <c r="T673" s="23"/>
      <c r="U673" s="23"/>
      <c r="V673" s="23"/>
      <c r="W673" s="23"/>
      <c r="X673" s="23"/>
      <c r="Y673" s="23"/>
      <c r="Z673" s="23"/>
    </row>
    <row r="674" spans="17:26" ht="12.75" customHeight="1">
      <c r="Q674" s="23"/>
      <c r="R674" s="23"/>
      <c r="S674" s="23"/>
      <c r="T674" s="23"/>
      <c r="U674" s="23"/>
      <c r="V674" s="23"/>
      <c r="W674" s="23"/>
      <c r="X674" s="23"/>
      <c r="Y674" s="23"/>
      <c r="Z674" s="23"/>
    </row>
    <row r="675" spans="17:26" ht="12.75" customHeight="1">
      <c r="Q675" s="23"/>
      <c r="R675" s="23"/>
      <c r="S675" s="23"/>
      <c r="T675" s="23"/>
      <c r="U675" s="23"/>
      <c r="V675" s="23"/>
      <c r="W675" s="23"/>
      <c r="X675" s="23"/>
      <c r="Y675" s="23"/>
      <c r="Z675" s="23"/>
    </row>
    <row r="676" spans="17:26" ht="12.75" customHeight="1">
      <c r="Q676" s="23"/>
      <c r="R676" s="23"/>
      <c r="S676" s="23"/>
      <c r="T676" s="23"/>
      <c r="U676" s="23"/>
      <c r="V676" s="23"/>
      <c r="W676" s="23"/>
      <c r="X676" s="23"/>
      <c r="Y676" s="23"/>
      <c r="Z676" s="23"/>
    </row>
    <row r="677" spans="17:26" ht="12.75" customHeight="1">
      <c r="Q677" s="23"/>
      <c r="R677" s="23"/>
      <c r="S677" s="23"/>
      <c r="T677" s="23"/>
      <c r="U677" s="23"/>
      <c r="V677" s="23"/>
      <c r="W677" s="23"/>
      <c r="X677" s="23"/>
      <c r="Y677" s="23"/>
      <c r="Z677" s="23"/>
    </row>
    <row r="678" spans="17:26" ht="12.75" customHeight="1">
      <c r="Q678" s="23"/>
      <c r="R678" s="23"/>
      <c r="S678" s="23"/>
      <c r="T678" s="23"/>
      <c r="U678" s="23"/>
      <c r="V678" s="23"/>
      <c r="W678" s="23"/>
      <c r="X678" s="23"/>
      <c r="Y678" s="23"/>
      <c r="Z678" s="23"/>
    </row>
    <row r="679" spans="17:26" ht="12.75" customHeight="1">
      <c r="Q679" s="23"/>
      <c r="R679" s="23"/>
      <c r="S679" s="23"/>
      <c r="T679" s="23"/>
      <c r="U679" s="23"/>
      <c r="V679" s="23"/>
      <c r="W679" s="23"/>
      <c r="X679" s="23"/>
      <c r="Y679" s="23"/>
      <c r="Z679" s="23"/>
    </row>
    <row r="680" spans="17:26" ht="12.75" customHeight="1">
      <c r="Q680" s="23"/>
      <c r="R680" s="23"/>
      <c r="S680" s="23"/>
      <c r="T680" s="23"/>
      <c r="U680" s="23"/>
      <c r="V680" s="23"/>
      <c r="W680" s="23"/>
      <c r="X680" s="23"/>
      <c r="Y680" s="23"/>
      <c r="Z680" s="23"/>
    </row>
    <row r="681" spans="17:26" ht="12.75" customHeight="1">
      <c r="Q681" s="23"/>
      <c r="R681" s="23"/>
      <c r="S681" s="23"/>
      <c r="T681" s="23"/>
      <c r="U681" s="23"/>
      <c r="V681" s="23"/>
      <c r="W681" s="23"/>
      <c r="X681" s="23"/>
      <c r="Y681" s="23"/>
      <c r="Z681" s="23"/>
    </row>
    <row r="682" spans="17:26" ht="12.75" customHeight="1">
      <c r="Q682" s="23"/>
      <c r="R682" s="23"/>
      <c r="S682" s="23"/>
      <c r="T682" s="23"/>
      <c r="U682" s="23"/>
      <c r="V682" s="23"/>
      <c r="W682" s="23"/>
      <c r="X682" s="23"/>
      <c r="Y682" s="23"/>
      <c r="Z682" s="23"/>
    </row>
    <row r="683" spans="17:26" ht="12.75" customHeight="1">
      <c r="Q683" s="23"/>
      <c r="R683" s="23"/>
      <c r="S683" s="23"/>
      <c r="T683" s="23"/>
      <c r="U683" s="23"/>
      <c r="V683" s="23"/>
      <c r="W683" s="23"/>
      <c r="X683" s="23"/>
      <c r="Y683" s="23"/>
      <c r="Z683" s="23"/>
    </row>
    <row r="684" spans="17:26" ht="12.75" customHeight="1">
      <c r="Q684" s="23"/>
      <c r="R684" s="23"/>
      <c r="S684" s="23"/>
      <c r="T684" s="23"/>
      <c r="U684" s="23"/>
      <c r="V684" s="23"/>
      <c r="W684" s="23"/>
      <c r="X684" s="23"/>
      <c r="Y684" s="23"/>
      <c r="Z684" s="23"/>
    </row>
    <row r="685" spans="17:26" ht="12.75" customHeight="1">
      <c r="Q685" s="23"/>
      <c r="R685" s="23"/>
      <c r="S685" s="23"/>
      <c r="T685" s="23"/>
      <c r="U685" s="23"/>
      <c r="V685" s="23"/>
      <c r="W685" s="23"/>
      <c r="X685" s="23"/>
      <c r="Y685" s="23"/>
      <c r="Z685" s="23"/>
    </row>
    <row r="686" spans="17:26" ht="12.75" customHeight="1">
      <c r="Q686" s="23"/>
      <c r="R686" s="23"/>
      <c r="S686" s="23"/>
      <c r="T686" s="23"/>
      <c r="U686" s="23"/>
      <c r="V686" s="23"/>
      <c r="W686" s="23"/>
      <c r="X686" s="23"/>
      <c r="Y686" s="23"/>
      <c r="Z686" s="23"/>
    </row>
    <row r="687" spans="17:26" ht="12.75" customHeight="1">
      <c r="Q687" s="23"/>
      <c r="R687" s="23"/>
      <c r="S687" s="23"/>
      <c r="T687" s="23"/>
      <c r="U687" s="23"/>
      <c r="V687" s="23"/>
      <c r="W687" s="23"/>
      <c r="X687" s="23"/>
      <c r="Y687" s="23"/>
      <c r="Z687" s="23"/>
    </row>
    <row r="688" spans="17:26" ht="12.75" customHeight="1">
      <c r="Q688" s="23"/>
      <c r="R688" s="23"/>
      <c r="S688" s="23"/>
      <c r="T688" s="23"/>
      <c r="U688" s="23"/>
      <c r="V688" s="23"/>
      <c r="W688" s="23"/>
      <c r="X688" s="23"/>
      <c r="Y688" s="23"/>
      <c r="Z688" s="23"/>
    </row>
    <row r="689" spans="17:26" ht="12.75" customHeight="1">
      <c r="Q689" s="23"/>
      <c r="R689" s="23"/>
      <c r="S689" s="23"/>
      <c r="T689" s="23"/>
      <c r="U689" s="23"/>
      <c r="V689" s="23"/>
      <c r="W689" s="23"/>
      <c r="X689" s="23"/>
      <c r="Y689" s="23"/>
      <c r="Z689" s="23"/>
    </row>
    <row r="690" spans="17:26" ht="12.75" customHeight="1">
      <c r="Q690" s="23"/>
      <c r="R690" s="23"/>
      <c r="S690" s="23"/>
      <c r="T690" s="23"/>
      <c r="U690" s="23"/>
      <c r="V690" s="23"/>
      <c r="W690" s="23"/>
      <c r="X690" s="23"/>
      <c r="Y690" s="23"/>
      <c r="Z690" s="23"/>
    </row>
    <row r="691" spans="17:26" ht="12.75" customHeight="1">
      <c r="Q691" s="23"/>
      <c r="R691" s="23"/>
      <c r="S691" s="23"/>
      <c r="T691" s="23"/>
      <c r="U691" s="23"/>
      <c r="V691" s="23"/>
      <c r="W691" s="23"/>
      <c r="X691" s="23"/>
      <c r="Y691" s="23"/>
      <c r="Z691" s="23"/>
    </row>
    <row r="692" spans="17:26" ht="12.75" customHeight="1">
      <c r="Q692" s="23"/>
      <c r="R692" s="23"/>
      <c r="S692" s="23"/>
      <c r="T692" s="23"/>
      <c r="U692" s="23"/>
      <c r="V692" s="23"/>
      <c r="W692" s="23"/>
      <c r="X692" s="23"/>
      <c r="Y692" s="23"/>
      <c r="Z692" s="23"/>
    </row>
    <row r="693" spans="17:26" ht="12.75" customHeight="1">
      <c r="Q693" s="23"/>
      <c r="R693" s="23"/>
      <c r="S693" s="23"/>
      <c r="T693" s="23"/>
      <c r="U693" s="23"/>
      <c r="V693" s="23"/>
      <c r="W693" s="23"/>
      <c r="X693" s="23"/>
      <c r="Y693" s="23"/>
      <c r="Z693" s="23"/>
    </row>
    <row r="694" spans="17:26" ht="12.75" customHeight="1">
      <c r="Q694" s="23"/>
      <c r="R694" s="23"/>
      <c r="S694" s="23"/>
      <c r="T694" s="23"/>
      <c r="U694" s="23"/>
      <c r="V694" s="23"/>
      <c r="W694" s="23"/>
      <c r="X694" s="23"/>
      <c r="Y694" s="23"/>
      <c r="Z694" s="23"/>
    </row>
    <row r="695" spans="17:26" ht="12.75" customHeight="1">
      <c r="Q695" s="23"/>
      <c r="R695" s="23"/>
      <c r="S695" s="23"/>
      <c r="T695" s="23"/>
      <c r="U695" s="23"/>
      <c r="V695" s="23"/>
      <c r="W695" s="23"/>
      <c r="X695" s="23"/>
      <c r="Y695" s="23"/>
      <c r="Z695" s="23"/>
    </row>
    <row r="696" spans="17:26" ht="12.75" customHeight="1">
      <c r="Q696" s="23"/>
      <c r="R696" s="23"/>
      <c r="S696" s="23"/>
      <c r="T696" s="23"/>
      <c r="U696" s="23"/>
      <c r="V696" s="23"/>
      <c r="W696" s="23"/>
      <c r="X696" s="23"/>
      <c r="Y696" s="23"/>
      <c r="Z696" s="23"/>
    </row>
    <row r="697" spans="17:26" ht="12.75" customHeight="1">
      <c r="Q697" s="23"/>
      <c r="R697" s="23"/>
      <c r="S697" s="23"/>
      <c r="T697" s="23"/>
      <c r="U697" s="23"/>
      <c r="V697" s="23"/>
      <c r="W697" s="23"/>
      <c r="X697" s="23"/>
      <c r="Y697" s="23"/>
      <c r="Z697" s="23"/>
    </row>
    <row r="698" spans="17:26" ht="12.75" customHeight="1">
      <c r="Q698" s="23"/>
      <c r="R698" s="23"/>
      <c r="S698" s="23"/>
      <c r="T698" s="23"/>
      <c r="U698" s="23"/>
      <c r="V698" s="23"/>
      <c r="W698" s="23"/>
      <c r="X698" s="23"/>
      <c r="Y698" s="23"/>
      <c r="Z698" s="23"/>
    </row>
    <row r="699" spans="17:26" ht="12.75" customHeight="1">
      <c r="Q699" s="23"/>
      <c r="R699" s="23"/>
      <c r="S699" s="23"/>
      <c r="T699" s="23"/>
      <c r="U699" s="23"/>
      <c r="V699" s="23"/>
      <c r="W699" s="23"/>
      <c r="X699" s="23"/>
      <c r="Y699" s="23"/>
      <c r="Z699" s="23"/>
    </row>
    <row r="700" spans="17:26" ht="12.75" customHeight="1">
      <c r="Q700" s="23"/>
      <c r="R700" s="23"/>
      <c r="S700" s="23"/>
      <c r="T700" s="23"/>
      <c r="U700" s="23"/>
      <c r="V700" s="23"/>
      <c r="W700" s="23"/>
      <c r="X700" s="23"/>
      <c r="Y700" s="23"/>
      <c r="Z700" s="23"/>
    </row>
    <row r="701" spans="17:26" ht="12.75" customHeight="1">
      <c r="Q701" s="23"/>
      <c r="R701" s="23"/>
      <c r="S701" s="23"/>
      <c r="T701" s="23"/>
      <c r="U701" s="23"/>
      <c r="V701" s="23"/>
      <c r="W701" s="23"/>
      <c r="X701" s="23"/>
      <c r="Y701" s="23"/>
      <c r="Z701" s="23"/>
    </row>
    <row r="702" spans="17:26" ht="12.75" customHeight="1">
      <c r="Q702" s="23"/>
      <c r="R702" s="23"/>
      <c r="S702" s="23"/>
      <c r="T702" s="23"/>
      <c r="U702" s="23"/>
      <c r="V702" s="23"/>
      <c r="W702" s="23"/>
      <c r="X702" s="23"/>
      <c r="Y702" s="23"/>
      <c r="Z702" s="23"/>
    </row>
    <row r="703" spans="17:26" ht="12.75" customHeight="1">
      <c r="Q703" s="23"/>
      <c r="R703" s="23"/>
      <c r="S703" s="23"/>
      <c r="T703" s="23"/>
      <c r="U703" s="23"/>
      <c r="V703" s="23"/>
      <c r="W703" s="23"/>
      <c r="X703" s="23"/>
      <c r="Y703" s="23"/>
      <c r="Z703" s="23"/>
    </row>
    <row r="704" spans="17:26" ht="12.75" customHeight="1">
      <c r="Q704" s="23"/>
      <c r="R704" s="23"/>
      <c r="S704" s="23"/>
      <c r="T704" s="23"/>
      <c r="U704" s="23"/>
      <c r="V704" s="23"/>
      <c r="W704" s="23"/>
      <c r="X704" s="23"/>
      <c r="Y704" s="23"/>
      <c r="Z704" s="23"/>
    </row>
    <row r="705" spans="17:26" ht="12.75" customHeight="1">
      <c r="Q705" s="23"/>
      <c r="R705" s="23"/>
      <c r="S705" s="23"/>
      <c r="T705" s="23"/>
      <c r="U705" s="23"/>
      <c r="V705" s="23"/>
      <c r="W705" s="23"/>
      <c r="X705" s="23"/>
      <c r="Y705" s="23"/>
      <c r="Z705" s="23"/>
    </row>
    <row r="706" spans="17:26" ht="12.75" customHeight="1">
      <c r="Q706" s="23"/>
      <c r="R706" s="23"/>
      <c r="S706" s="23"/>
      <c r="T706" s="23"/>
      <c r="U706" s="23"/>
      <c r="V706" s="23"/>
      <c r="W706" s="23"/>
      <c r="X706" s="23"/>
      <c r="Y706" s="23"/>
      <c r="Z706" s="23"/>
    </row>
    <row r="707" spans="17:26" ht="12.75" customHeight="1">
      <c r="Q707" s="23"/>
      <c r="R707" s="23"/>
      <c r="S707" s="23"/>
      <c r="T707" s="23"/>
      <c r="U707" s="23"/>
      <c r="V707" s="23"/>
      <c r="W707" s="23"/>
      <c r="X707" s="23"/>
      <c r="Y707" s="23"/>
      <c r="Z707" s="23"/>
    </row>
    <row r="708" spans="17:26" ht="12.75" customHeight="1">
      <c r="Q708" s="23"/>
      <c r="R708" s="23"/>
      <c r="S708" s="23"/>
      <c r="T708" s="23"/>
      <c r="U708" s="23"/>
      <c r="V708" s="23"/>
      <c r="W708" s="23"/>
      <c r="X708" s="23"/>
      <c r="Y708" s="23"/>
      <c r="Z708" s="23"/>
    </row>
    <row r="709" spans="17:26" ht="12.75" customHeight="1">
      <c r="Q709" s="23"/>
      <c r="R709" s="23"/>
      <c r="S709" s="23"/>
      <c r="T709" s="23"/>
      <c r="U709" s="23"/>
      <c r="V709" s="23"/>
      <c r="W709" s="23"/>
      <c r="X709" s="23"/>
      <c r="Y709" s="23"/>
      <c r="Z709" s="23"/>
    </row>
    <row r="710" spans="17:26" ht="12.75" customHeight="1">
      <c r="Q710" s="23"/>
      <c r="R710" s="23"/>
      <c r="S710" s="23"/>
      <c r="T710" s="23"/>
      <c r="U710" s="23"/>
      <c r="V710" s="23"/>
      <c r="W710" s="23"/>
      <c r="X710" s="23"/>
      <c r="Y710" s="23"/>
      <c r="Z710" s="23"/>
    </row>
    <row r="711" spans="17:26" ht="12.75" customHeight="1">
      <c r="Q711" s="23"/>
      <c r="R711" s="23"/>
      <c r="S711" s="23"/>
      <c r="T711" s="23"/>
      <c r="U711" s="23"/>
      <c r="V711" s="23"/>
      <c r="W711" s="23"/>
      <c r="X711" s="23"/>
      <c r="Y711" s="23"/>
      <c r="Z711" s="23"/>
    </row>
    <row r="712" spans="17:26" ht="12.75" customHeight="1">
      <c r="Q712" s="23"/>
      <c r="R712" s="23"/>
      <c r="S712" s="23"/>
      <c r="T712" s="23"/>
      <c r="U712" s="23"/>
      <c r="V712" s="23"/>
      <c r="W712" s="23"/>
      <c r="X712" s="23"/>
      <c r="Y712" s="23"/>
      <c r="Z712" s="23"/>
    </row>
    <row r="713" spans="17:26" ht="12.75" customHeight="1">
      <c r="Q713" s="23"/>
      <c r="R713" s="23"/>
      <c r="S713" s="23"/>
      <c r="T713" s="23"/>
      <c r="U713" s="23"/>
      <c r="V713" s="23"/>
      <c r="W713" s="23"/>
      <c r="X713" s="23"/>
      <c r="Y713" s="23"/>
      <c r="Z713" s="23"/>
    </row>
    <row r="714" spans="17:26" ht="12.75" customHeight="1">
      <c r="Q714" s="23"/>
      <c r="R714" s="23"/>
      <c r="S714" s="23"/>
      <c r="T714" s="23"/>
      <c r="U714" s="23"/>
      <c r="V714" s="23"/>
      <c r="W714" s="23"/>
      <c r="X714" s="23"/>
      <c r="Y714" s="23"/>
      <c r="Z714" s="23"/>
    </row>
    <row r="715" spans="17:26" ht="12.75" customHeight="1">
      <c r="Q715" s="23"/>
      <c r="R715" s="23"/>
      <c r="S715" s="23"/>
      <c r="T715" s="23"/>
      <c r="U715" s="23"/>
      <c r="V715" s="23"/>
      <c r="W715" s="23"/>
      <c r="X715" s="23"/>
      <c r="Y715" s="23"/>
      <c r="Z715" s="23"/>
    </row>
    <row r="716" spans="17:26">
      <c r="Q716" s="23"/>
      <c r="R716" s="23"/>
      <c r="S716" s="23"/>
      <c r="T716" s="23"/>
      <c r="U716" s="23"/>
      <c r="V716" s="23"/>
      <c r="W716" s="23"/>
      <c r="X716" s="23"/>
      <c r="Y716" s="23"/>
      <c r="Z716" s="23"/>
    </row>
    <row r="717" spans="17:26">
      <c r="Q717" s="23"/>
      <c r="R717" s="23"/>
      <c r="S717" s="23"/>
      <c r="T717" s="23"/>
      <c r="U717" s="23"/>
      <c r="V717" s="23"/>
      <c r="W717" s="23"/>
      <c r="X717" s="23"/>
      <c r="Y717" s="23"/>
      <c r="Z717" s="23"/>
    </row>
    <row r="718" spans="17:26">
      <c r="Q718" s="23"/>
      <c r="R718" s="23"/>
      <c r="S718" s="23"/>
      <c r="T718" s="23"/>
      <c r="U718" s="23"/>
      <c r="V718" s="23"/>
      <c r="W718" s="23"/>
      <c r="X718" s="23"/>
      <c r="Y718" s="23"/>
      <c r="Z718" s="23"/>
    </row>
    <row r="719" spans="17:26">
      <c r="Q719" s="23"/>
      <c r="R719" s="23"/>
      <c r="S719" s="23"/>
      <c r="T719" s="23"/>
      <c r="U719" s="23"/>
      <c r="V719" s="23"/>
      <c r="W719" s="23"/>
      <c r="X719" s="23"/>
      <c r="Y719" s="23"/>
      <c r="Z719" s="23"/>
    </row>
    <row r="720" spans="17:26">
      <c r="Q720" s="23"/>
      <c r="R720" s="23"/>
      <c r="S720" s="23"/>
      <c r="T720" s="23"/>
      <c r="U720" s="23"/>
      <c r="V720" s="23"/>
      <c r="W720" s="23"/>
      <c r="X720" s="23"/>
      <c r="Y720" s="23"/>
      <c r="Z720" s="23"/>
    </row>
    <row r="721" spans="17:26">
      <c r="Q721" s="23"/>
      <c r="R721" s="23"/>
      <c r="S721" s="23"/>
      <c r="T721" s="23"/>
      <c r="U721" s="23"/>
      <c r="V721" s="23"/>
      <c r="W721" s="23"/>
      <c r="X721" s="23"/>
      <c r="Y721" s="23"/>
      <c r="Z721" s="23"/>
    </row>
    <row r="722" spans="17:26">
      <c r="Q722" s="23"/>
      <c r="R722" s="23"/>
      <c r="S722" s="23"/>
      <c r="T722" s="23"/>
      <c r="U722" s="23"/>
      <c r="V722" s="23"/>
      <c r="W722" s="23"/>
      <c r="X722" s="23"/>
      <c r="Y722" s="23"/>
      <c r="Z722" s="23"/>
    </row>
    <row r="723" spans="17:26">
      <c r="Q723" s="23"/>
      <c r="R723" s="23"/>
      <c r="S723" s="23"/>
      <c r="T723" s="23"/>
      <c r="U723" s="23"/>
      <c r="V723" s="23"/>
      <c r="W723" s="23"/>
      <c r="X723" s="23"/>
      <c r="Y723" s="23"/>
      <c r="Z723" s="23"/>
    </row>
    <row r="724" spans="17:26">
      <c r="Q724" s="23"/>
      <c r="R724" s="23"/>
      <c r="S724" s="23"/>
      <c r="T724" s="23"/>
      <c r="U724" s="23"/>
      <c r="V724" s="23"/>
      <c r="W724" s="23"/>
      <c r="X724" s="23"/>
      <c r="Y724" s="23"/>
      <c r="Z724" s="23"/>
    </row>
    <row r="725" spans="17:26">
      <c r="Q725" s="23"/>
      <c r="R725" s="23"/>
      <c r="S725" s="23"/>
      <c r="T725" s="23"/>
      <c r="U725" s="23"/>
      <c r="V725" s="23"/>
      <c r="W725" s="23"/>
      <c r="X725" s="23"/>
      <c r="Y725" s="23"/>
      <c r="Z725" s="23"/>
    </row>
    <row r="726" spans="17:26">
      <c r="Q726" s="23"/>
      <c r="R726" s="23"/>
      <c r="S726" s="23"/>
      <c r="T726" s="23"/>
      <c r="U726" s="23"/>
      <c r="V726" s="23"/>
      <c r="W726" s="23"/>
      <c r="X726" s="23"/>
      <c r="Y726" s="23"/>
      <c r="Z726" s="23"/>
    </row>
    <row r="727" spans="17:26">
      <c r="Q727" s="23"/>
      <c r="R727" s="23"/>
      <c r="S727" s="23"/>
      <c r="T727" s="23"/>
      <c r="U727" s="23"/>
      <c r="V727" s="23"/>
      <c r="W727" s="23"/>
      <c r="X727" s="23"/>
      <c r="Y727" s="23"/>
      <c r="Z727" s="23"/>
    </row>
    <row r="728" spans="17:26">
      <c r="Q728" s="23"/>
      <c r="R728" s="23"/>
      <c r="S728" s="23"/>
      <c r="T728" s="23"/>
      <c r="U728" s="23"/>
      <c r="V728" s="23"/>
      <c r="W728" s="23"/>
      <c r="X728" s="23"/>
      <c r="Y728" s="23"/>
      <c r="Z728" s="23"/>
    </row>
    <row r="729" spans="17:26">
      <c r="Q729" s="23"/>
      <c r="R729" s="23"/>
      <c r="S729" s="23"/>
      <c r="T729" s="23"/>
      <c r="U729" s="23"/>
      <c r="V729" s="23"/>
      <c r="W729" s="23"/>
      <c r="X729" s="23"/>
      <c r="Y729" s="23"/>
      <c r="Z729" s="23"/>
    </row>
    <row r="730" spans="17:26">
      <c r="Q730" s="23"/>
      <c r="R730" s="23"/>
      <c r="S730" s="23"/>
      <c r="T730" s="23"/>
      <c r="U730" s="23"/>
      <c r="V730" s="23"/>
      <c r="W730" s="23"/>
      <c r="X730" s="23"/>
      <c r="Y730" s="23"/>
      <c r="Z730" s="23"/>
    </row>
    <row r="731" spans="17:26">
      <c r="Q731" s="23"/>
      <c r="R731" s="23"/>
      <c r="S731" s="23"/>
      <c r="T731" s="23"/>
      <c r="U731" s="23"/>
      <c r="V731" s="23"/>
      <c r="W731" s="23"/>
      <c r="X731" s="23"/>
      <c r="Y731" s="23"/>
      <c r="Z731" s="23"/>
    </row>
    <row r="732" spans="17:26">
      <c r="Q732" s="23"/>
      <c r="R732" s="23"/>
      <c r="S732" s="23"/>
      <c r="T732" s="23"/>
      <c r="U732" s="23"/>
      <c r="V732" s="23"/>
      <c r="W732" s="23"/>
      <c r="X732" s="23"/>
      <c r="Y732" s="23"/>
      <c r="Z732" s="23"/>
    </row>
    <row r="733" spans="17:26">
      <c r="Q733" s="23"/>
      <c r="R733" s="23"/>
      <c r="S733" s="23"/>
      <c r="T733" s="23"/>
      <c r="U733" s="23"/>
      <c r="V733" s="23"/>
      <c r="W733" s="23"/>
      <c r="X733" s="23"/>
      <c r="Y733" s="23"/>
      <c r="Z733" s="23"/>
    </row>
    <row r="734" spans="17:26">
      <c r="Q734" s="23"/>
      <c r="R734" s="23"/>
      <c r="S734" s="23"/>
      <c r="T734" s="23"/>
      <c r="U734" s="23"/>
      <c r="V734" s="23"/>
      <c r="W734" s="23"/>
      <c r="X734" s="23"/>
      <c r="Y734" s="23"/>
      <c r="Z734" s="23"/>
    </row>
    <row r="735" spans="17:26">
      <c r="Q735" s="23"/>
      <c r="R735" s="23"/>
      <c r="S735" s="23"/>
      <c r="T735" s="23"/>
      <c r="U735" s="23"/>
      <c r="V735" s="23"/>
      <c r="W735" s="23"/>
      <c r="X735" s="23"/>
      <c r="Y735" s="23"/>
      <c r="Z735" s="23"/>
    </row>
    <row r="736" spans="17:26">
      <c r="Q736" s="23"/>
      <c r="R736" s="23"/>
      <c r="S736" s="23"/>
      <c r="T736" s="23"/>
      <c r="U736" s="23"/>
      <c r="V736" s="23"/>
      <c r="W736" s="23"/>
      <c r="X736" s="23"/>
      <c r="Y736" s="23"/>
      <c r="Z736" s="23"/>
    </row>
    <row r="737" spans="17:26">
      <c r="Q737" s="23"/>
      <c r="R737" s="23"/>
      <c r="S737" s="23"/>
      <c r="T737" s="23"/>
      <c r="U737" s="23"/>
      <c r="V737" s="23"/>
      <c r="W737" s="23"/>
      <c r="X737" s="23"/>
      <c r="Y737" s="23"/>
      <c r="Z737" s="23"/>
    </row>
    <row r="738" spans="17:26">
      <c r="Q738" s="23"/>
      <c r="R738" s="23"/>
      <c r="S738" s="23"/>
      <c r="T738" s="23"/>
      <c r="U738" s="23"/>
      <c r="V738" s="23"/>
      <c r="W738" s="23"/>
      <c r="X738" s="23"/>
      <c r="Y738" s="23"/>
      <c r="Z738" s="23"/>
    </row>
    <row r="739" spans="17:26">
      <c r="Q739" s="23"/>
      <c r="R739" s="23"/>
      <c r="S739" s="23"/>
      <c r="T739" s="23"/>
      <c r="U739" s="23"/>
      <c r="V739" s="23"/>
      <c r="W739" s="23"/>
      <c r="X739" s="23"/>
      <c r="Y739" s="23"/>
      <c r="Z739" s="23"/>
    </row>
    <row r="740" spans="17:26">
      <c r="Q740" s="23"/>
      <c r="R740" s="23"/>
      <c r="S740" s="23"/>
      <c r="T740" s="23"/>
      <c r="U740" s="23"/>
      <c r="V740" s="23"/>
      <c r="W740" s="23"/>
      <c r="X740" s="23"/>
      <c r="Y740" s="23"/>
      <c r="Z740" s="23"/>
    </row>
    <row r="741" spans="17:26">
      <c r="Q741" s="23"/>
      <c r="R741" s="23"/>
      <c r="S741" s="23"/>
      <c r="T741" s="23"/>
      <c r="U741" s="23"/>
      <c r="V741" s="23"/>
      <c r="W741" s="23"/>
      <c r="X741" s="23"/>
      <c r="Y741" s="23"/>
      <c r="Z741" s="23"/>
    </row>
    <row r="742" spans="17:26">
      <c r="Q742" s="23"/>
      <c r="R742" s="23"/>
      <c r="S742" s="23"/>
      <c r="T742" s="23"/>
      <c r="U742" s="23"/>
      <c r="V742" s="23"/>
      <c r="W742" s="23"/>
      <c r="X742" s="23"/>
      <c r="Y742" s="23"/>
      <c r="Z742" s="23"/>
    </row>
    <row r="743" spans="17:26">
      <c r="Q743" s="23"/>
      <c r="R743" s="23"/>
      <c r="S743" s="23"/>
      <c r="T743" s="23"/>
      <c r="U743" s="23"/>
      <c r="V743" s="23"/>
      <c r="W743" s="23"/>
      <c r="X743" s="23"/>
      <c r="Y743" s="23"/>
      <c r="Z743" s="23"/>
    </row>
    <row r="744" spans="17:26">
      <c r="Q744" s="23"/>
      <c r="R744" s="23"/>
      <c r="S744" s="23"/>
      <c r="T744" s="23"/>
      <c r="U744" s="23"/>
      <c r="V744" s="23"/>
      <c r="W744" s="23"/>
      <c r="X744" s="23"/>
      <c r="Y744" s="23"/>
      <c r="Z744" s="23"/>
    </row>
    <row r="745" spans="17:26">
      <c r="Q745" s="23"/>
      <c r="R745" s="23"/>
      <c r="S745" s="23"/>
      <c r="T745" s="23"/>
      <c r="U745" s="23"/>
      <c r="V745" s="23"/>
      <c r="W745" s="23"/>
      <c r="X745" s="23"/>
      <c r="Y745" s="23"/>
      <c r="Z745" s="23"/>
    </row>
    <row r="746" spans="17:26">
      <c r="Q746" s="23"/>
      <c r="R746" s="23"/>
      <c r="S746" s="23"/>
      <c r="T746" s="23"/>
      <c r="U746" s="23"/>
      <c r="V746" s="23"/>
      <c r="W746" s="23"/>
      <c r="X746" s="23"/>
      <c r="Y746" s="23"/>
      <c r="Z746" s="23"/>
    </row>
    <row r="747" spans="17:26">
      <c r="Q747" s="23"/>
      <c r="R747" s="23"/>
      <c r="S747" s="23"/>
      <c r="T747" s="23"/>
      <c r="U747" s="23"/>
      <c r="V747" s="23"/>
      <c r="W747" s="23"/>
      <c r="X747" s="23"/>
      <c r="Y747" s="23"/>
      <c r="Z747" s="23"/>
    </row>
    <row r="748" spans="17:26">
      <c r="Q748" s="23"/>
      <c r="R748" s="23"/>
      <c r="S748" s="23"/>
      <c r="T748" s="23"/>
      <c r="U748" s="23"/>
      <c r="V748" s="23"/>
      <c r="W748" s="23"/>
      <c r="X748" s="23"/>
      <c r="Y748" s="23"/>
      <c r="Z748" s="23"/>
    </row>
    <row r="749" spans="17:26">
      <c r="Q749" s="23"/>
      <c r="R749" s="23"/>
      <c r="S749" s="23"/>
      <c r="T749" s="23"/>
      <c r="U749" s="23"/>
      <c r="V749" s="23"/>
      <c r="W749" s="23"/>
      <c r="X749" s="23"/>
      <c r="Y749" s="23"/>
      <c r="Z749" s="23"/>
    </row>
    <row r="750" spans="17:26">
      <c r="Q750" s="23"/>
      <c r="R750" s="23"/>
      <c r="S750" s="23"/>
      <c r="T750" s="23"/>
      <c r="U750" s="23"/>
      <c r="V750" s="23"/>
      <c r="W750" s="23"/>
      <c r="X750" s="23"/>
      <c r="Y750" s="23"/>
      <c r="Z750" s="23"/>
    </row>
    <row r="751" spans="17:26">
      <c r="Q751" s="23"/>
      <c r="R751" s="23"/>
      <c r="S751" s="23"/>
      <c r="T751" s="23"/>
      <c r="U751" s="23"/>
      <c r="V751" s="23"/>
      <c r="W751" s="23"/>
      <c r="X751" s="23"/>
      <c r="Y751" s="23"/>
      <c r="Z751" s="23"/>
    </row>
    <row r="752" spans="17:26">
      <c r="Q752" s="23"/>
      <c r="R752" s="23"/>
      <c r="S752" s="23"/>
      <c r="T752" s="23"/>
      <c r="U752" s="23"/>
      <c r="V752" s="23"/>
      <c r="W752" s="23"/>
      <c r="X752" s="23"/>
      <c r="Y752" s="23"/>
      <c r="Z752" s="23"/>
    </row>
    <row r="753" spans="17:26">
      <c r="Q753" s="23"/>
      <c r="R753" s="23"/>
      <c r="S753" s="23"/>
      <c r="T753" s="23"/>
      <c r="U753" s="23"/>
      <c r="V753" s="23"/>
      <c r="W753" s="23"/>
      <c r="X753" s="23"/>
      <c r="Y753" s="23"/>
      <c r="Z753" s="23"/>
    </row>
    <row r="754" spans="17:26">
      <c r="Q754" s="23"/>
      <c r="R754" s="23"/>
      <c r="S754" s="23"/>
      <c r="T754" s="23"/>
      <c r="U754" s="23"/>
      <c r="V754" s="23"/>
      <c r="W754" s="23"/>
      <c r="X754" s="23"/>
      <c r="Y754" s="23"/>
      <c r="Z754" s="23"/>
    </row>
    <row r="755" spans="17:26">
      <c r="Q755" s="23"/>
      <c r="R755" s="23"/>
      <c r="S755" s="23"/>
      <c r="T755" s="23"/>
      <c r="U755" s="23"/>
      <c r="V755" s="23"/>
      <c r="W755" s="23"/>
      <c r="X755" s="23"/>
      <c r="Y755" s="23"/>
      <c r="Z755" s="23"/>
    </row>
    <row r="756" spans="17:26">
      <c r="Q756" s="23"/>
      <c r="R756" s="23"/>
      <c r="S756" s="23"/>
      <c r="T756" s="23"/>
      <c r="U756" s="23"/>
      <c r="V756" s="23"/>
      <c r="W756" s="23"/>
      <c r="X756" s="23"/>
      <c r="Y756" s="23"/>
      <c r="Z756" s="23"/>
    </row>
    <row r="757" spans="17:26">
      <c r="Q757" s="23"/>
      <c r="R757" s="23"/>
      <c r="S757" s="23"/>
      <c r="T757" s="23"/>
      <c r="U757" s="23"/>
      <c r="V757" s="23"/>
      <c r="W757" s="23"/>
      <c r="X757" s="23"/>
      <c r="Y757" s="23"/>
      <c r="Z757" s="23"/>
    </row>
    <row r="758" spans="17:26">
      <c r="Q758" s="23"/>
      <c r="R758" s="23"/>
      <c r="S758" s="23"/>
      <c r="T758" s="23"/>
      <c r="U758" s="23"/>
      <c r="V758" s="23"/>
      <c r="W758" s="23"/>
      <c r="X758" s="23"/>
      <c r="Y758" s="23"/>
      <c r="Z758" s="23"/>
    </row>
    <row r="759" spans="17:26">
      <c r="Q759" s="23"/>
      <c r="R759" s="23"/>
      <c r="S759" s="23"/>
      <c r="T759" s="23"/>
      <c r="U759" s="23"/>
      <c r="V759" s="23"/>
      <c r="W759" s="23"/>
      <c r="X759" s="23"/>
      <c r="Y759" s="23"/>
      <c r="Z759" s="23"/>
    </row>
    <row r="760" spans="17:26">
      <c r="Q760" s="23"/>
      <c r="R760" s="23"/>
      <c r="S760" s="23"/>
      <c r="T760" s="23"/>
      <c r="U760" s="23"/>
      <c r="V760" s="23"/>
      <c r="W760" s="23"/>
      <c r="X760" s="23"/>
      <c r="Y760" s="23"/>
      <c r="Z760" s="23"/>
    </row>
    <row r="761" spans="17:26">
      <c r="Q761" s="23"/>
      <c r="R761" s="23"/>
      <c r="S761" s="23"/>
      <c r="T761" s="23"/>
      <c r="U761" s="23"/>
      <c r="V761" s="23"/>
      <c r="W761" s="23"/>
      <c r="X761" s="23"/>
      <c r="Y761" s="23"/>
      <c r="Z761" s="23"/>
    </row>
    <row r="762" spans="17:26">
      <c r="Q762" s="23"/>
      <c r="R762" s="23"/>
      <c r="S762" s="23"/>
      <c r="T762" s="23"/>
      <c r="U762" s="23"/>
      <c r="V762" s="23"/>
      <c r="W762" s="23"/>
      <c r="X762" s="23"/>
      <c r="Y762" s="23"/>
      <c r="Z762" s="23"/>
    </row>
    <row r="763" spans="17:26">
      <c r="Q763" s="23"/>
      <c r="R763" s="23"/>
      <c r="S763" s="23"/>
      <c r="T763" s="23"/>
      <c r="U763" s="23"/>
      <c r="V763" s="23"/>
      <c r="W763" s="23"/>
      <c r="X763" s="23"/>
      <c r="Y763" s="23"/>
      <c r="Z763" s="23"/>
    </row>
    <row r="764" spans="17:26">
      <c r="Q764" s="23"/>
      <c r="R764" s="23"/>
      <c r="S764" s="23"/>
      <c r="T764" s="23"/>
      <c r="U764" s="23"/>
      <c r="V764" s="23"/>
      <c r="W764" s="23"/>
      <c r="X764" s="23"/>
      <c r="Y764" s="23"/>
      <c r="Z764" s="23"/>
    </row>
    <row r="765" spans="17:26">
      <c r="Q765" s="23"/>
      <c r="R765" s="23"/>
      <c r="S765" s="23"/>
      <c r="T765" s="23"/>
      <c r="U765" s="23"/>
      <c r="V765" s="23"/>
      <c r="W765" s="23"/>
      <c r="X765" s="23"/>
      <c r="Y765" s="23"/>
      <c r="Z765" s="23"/>
    </row>
    <row r="766" spans="17:26">
      <c r="Q766" s="23"/>
      <c r="R766" s="23"/>
      <c r="S766" s="23"/>
      <c r="T766" s="23"/>
      <c r="U766" s="23"/>
      <c r="V766" s="23"/>
      <c r="W766" s="23"/>
      <c r="X766" s="23"/>
      <c r="Y766" s="23"/>
      <c r="Z766" s="23"/>
    </row>
    <row r="767" spans="17:26">
      <c r="Q767" s="23"/>
      <c r="R767" s="23"/>
      <c r="S767" s="23"/>
      <c r="T767" s="23"/>
      <c r="U767" s="23"/>
      <c r="V767" s="23"/>
      <c r="W767" s="23"/>
      <c r="X767" s="23"/>
      <c r="Y767" s="23"/>
      <c r="Z767" s="23"/>
    </row>
    <row r="768" spans="17:26">
      <c r="Q768" s="23"/>
      <c r="R768" s="23"/>
      <c r="S768" s="23"/>
      <c r="T768" s="23"/>
      <c r="U768" s="23"/>
      <c r="V768" s="23"/>
      <c r="W768" s="23"/>
      <c r="X768" s="23"/>
      <c r="Y768" s="23"/>
      <c r="Z768" s="23"/>
    </row>
    <row r="769" spans="17:26">
      <c r="Q769" s="23"/>
      <c r="R769" s="23"/>
      <c r="S769" s="23"/>
      <c r="T769" s="23"/>
      <c r="U769" s="23"/>
      <c r="V769" s="23"/>
      <c r="W769" s="23"/>
      <c r="X769" s="23"/>
      <c r="Y769" s="23"/>
      <c r="Z769" s="23"/>
    </row>
    <row r="770" spans="17:26">
      <c r="Q770" s="23"/>
      <c r="R770" s="23"/>
      <c r="S770" s="23"/>
      <c r="T770" s="23"/>
      <c r="U770" s="23"/>
      <c r="V770" s="23"/>
      <c r="W770" s="23"/>
      <c r="X770" s="23"/>
      <c r="Y770" s="23"/>
      <c r="Z770" s="23"/>
    </row>
    <row r="771" spans="17:26">
      <c r="Q771" s="23"/>
      <c r="R771" s="23"/>
      <c r="S771" s="23"/>
      <c r="T771" s="23"/>
      <c r="U771" s="23"/>
      <c r="V771" s="23"/>
      <c r="W771" s="23"/>
      <c r="X771" s="23"/>
      <c r="Y771" s="23"/>
      <c r="Z771" s="23"/>
    </row>
    <row r="772" spans="17:26">
      <c r="Q772" s="23"/>
      <c r="R772" s="23"/>
      <c r="S772" s="23"/>
      <c r="T772" s="23"/>
      <c r="U772" s="23"/>
      <c r="V772" s="23"/>
      <c r="W772" s="23"/>
      <c r="X772" s="23"/>
      <c r="Y772" s="23"/>
      <c r="Z772" s="23"/>
    </row>
    <row r="773" spans="17:26">
      <c r="Q773" s="23"/>
      <c r="R773" s="23"/>
      <c r="S773" s="23"/>
      <c r="T773" s="23"/>
      <c r="U773" s="23"/>
      <c r="V773" s="23"/>
      <c r="W773" s="23"/>
      <c r="X773" s="23"/>
      <c r="Y773" s="23"/>
      <c r="Z773" s="23"/>
    </row>
    <row r="774" spans="17:26">
      <c r="Q774" s="23"/>
      <c r="R774" s="23"/>
      <c r="S774" s="23"/>
      <c r="T774" s="23"/>
      <c r="U774" s="23"/>
      <c r="V774" s="23"/>
      <c r="W774" s="23"/>
      <c r="X774" s="23"/>
      <c r="Y774" s="23"/>
      <c r="Z774" s="23"/>
    </row>
    <row r="775" spans="17:26">
      <c r="Q775" s="23"/>
      <c r="R775" s="23"/>
      <c r="S775" s="23"/>
      <c r="T775" s="23"/>
      <c r="U775" s="23"/>
      <c r="V775" s="23"/>
      <c r="W775" s="23"/>
      <c r="X775" s="23"/>
      <c r="Y775" s="23"/>
      <c r="Z775" s="23"/>
    </row>
    <row r="776" spans="17:26">
      <c r="Q776" s="23"/>
      <c r="R776" s="23"/>
      <c r="S776" s="23"/>
      <c r="T776" s="23"/>
      <c r="U776" s="23"/>
      <c r="V776" s="23"/>
      <c r="W776" s="23"/>
      <c r="X776" s="23"/>
      <c r="Y776" s="23"/>
      <c r="Z776" s="23"/>
    </row>
    <row r="777" spans="17:26">
      <c r="Q777" s="23"/>
      <c r="R777" s="23"/>
      <c r="S777" s="23"/>
      <c r="T777" s="23"/>
      <c r="U777" s="23"/>
      <c r="V777" s="23"/>
      <c r="W777" s="23"/>
      <c r="X777" s="23"/>
      <c r="Y777" s="23"/>
      <c r="Z777" s="23"/>
    </row>
    <row r="778" spans="17:26">
      <c r="Q778" s="23"/>
      <c r="R778" s="23"/>
      <c r="S778" s="23"/>
      <c r="T778" s="23"/>
      <c r="U778" s="23"/>
      <c r="V778" s="23"/>
      <c r="W778" s="23"/>
      <c r="X778" s="23"/>
      <c r="Y778" s="23"/>
      <c r="Z778" s="23"/>
    </row>
    <row r="779" spans="17:26">
      <c r="Q779" s="23"/>
      <c r="R779" s="23"/>
      <c r="S779" s="23"/>
      <c r="T779" s="23"/>
      <c r="U779" s="23"/>
      <c r="V779" s="23"/>
      <c r="W779" s="23"/>
      <c r="X779" s="23"/>
      <c r="Y779" s="23"/>
      <c r="Z779" s="23"/>
    </row>
    <row r="780" spans="17:26">
      <c r="Q780" s="23"/>
      <c r="R780" s="23"/>
      <c r="S780" s="23"/>
      <c r="T780" s="23"/>
      <c r="U780" s="23"/>
      <c r="V780" s="23"/>
      <c r="W780" s="23"/>
      <c r="X780" s="23"/>
      <c r="Y780" s="23"/>
      <c r="Z780" s="23"/>
    </row>
    <row r="781" spans="17:26">
      <c r="Q781" s="23"/>
      <c r="R781" s="23"/>
      <c r="S781" s="23"/>
      <c r="T781" s="23"/>
      <c r="U781" s="23"/>
      <c r="V781" s="23"/>
      <c r="W781" s="23"/>
      <c r="X781" s="23"/>
      <c r="Y781" s="23"/>
      <c r="Z781" s="23"/>
    </row>
    <row r="782" spans="17:26">
      <c r="Q782" s="23"/>
      <c r="R782" s="23"/>
      <c r="S782" s="23"/>
      <c r="T782" s="23"/>
      <c r="U782" s="23"/>
      <c r="V782" s="23"/>
      <c r="W782" s="23"/>
      <c r="X782" s="23"/>
      <c r="Y782" s="23"/>
      <c r="Z782" s="23"/>
    </row>
    <row r="783" spans="17:26">
      <c r="Q783" s="23"/>
      <c r="R783" s="23"/>
      <c r="S783" s="23"/>
      <c r="T783" s="23"/>
      <c r="U783" s="23"/>
      <c r="V783" s="23"/>
      <c r="W783" s="23"/>
      <c r="X783" s="23"/>
      <c r="Y783" s="23"/>
      <c r="Z783" s="23"/>
    </row>
    <row r="784" spans="17:26">
      <c r="Q784" s="23"/>
      <c r="R784" s="23"/>
      <c r="S784" s="23"/>
      <c r="T784" s="23"/>
      <c r="U784" s="23"/>
      <c r="V784" s="23"/>
      <c r="W784" s="23"/>
      <c r="X784" s="23"/>
      <c r="Y784" s="23"/>
      <c r="Z784" s="23"/>
    </row>
    <row r="785" spans="17:26">
      <c r="Q785" s="23"/>
      <c r="R785" s="23"/>
      <c r="S785" s="23"/>
      <c r="T785" s="23"/>
      <c r="U785" s="23"/>
      <c r="V785" s="23"/>
      <c r="W785" s="23"/>
      <c r="X785" s="23"/>
      <c r="Y785" s="23"/>
      <c r="Z785" s="23"/>
    </row>
    <row r="786" spans="17:26">
      <c r="Q786" s="23"/>
      <c r="R786" s="1"/>
      <c r="S786" s="1"/>
      <c r="T786" s="1"/>
      <c r="U786" s="1"/>
      <c r="V786" s="1"/>
      <c r="W786" s="1"/>
      <c r="X786" s="1"/>
      <c r="Y786" s="1"/>
      <c r="Z786" s="1"/>
    </row>
    <row r="787" spans="17:26">
      <c r="Q787" s="23"/>
      <c r="R787" s="1"/>
      <c r="S787" s="1"/>
      <c r="T787" s="1"/>
      <c r="U787" s="1"/>
      <c r="V787" s="1"/>
      <c r="W787" s="1"/>
      <c r="X787" s="1"/>
      <c r="Y787" s="1"/>
      <c r="Z787" s="1"/>
    </row>
    <row r="788" spans="17:26">
      <c r="Q788" s="23"/>
      <c r="R788" s="1"/>
      <c r="S788" s="1"/>
      <c r="T788" s="1"/>
      <c r="U788" s="1"/>
      <c r="V788" s="1"/>
      <c r="W788" s="1"/>
      <c r="X788" s="1"/>
      <c r="Y788" s="1"/>
      <c r="Z788" s="1"/>
    </row>
    <row r="789" spans="17:26">
      <c r="Q789" s="23"/>
      <c r="R789" s="1"/>
      <c r="S789" s="1"/>
      <c r="T789" s="1"/>
      <c r="U789" s="1"/>
      <c r="V789" s="1"/>
      <c r="W789" s="1"/>
      <c r="X789" s="1"/>
      <c r="Y789" s="1"/>
      <c r="Z789" s="1"/>
    </row>
    <row r="790" spans="17:26">
      <c r="Q790" s="23"/>
      <c r="R790" s="1"/>
      <c r="S790" s="1"/>
      <c r="T790" s="1"/>
      <c r="U790" s="1"/>
      <c r="V790" s="1"/>
      <c r="W790" s="1"/>
      <c r="X790" s="1"/>
      <c r="Y790" s="1"/>
      <c r="Z790" s="1"/>
    </row>
    <row r="791" spans="17:26">
      <c r="Q791" s="23"/>
      <c r="R791" s="1"/>
      <c r="S791" s="1"/>
      <c r="T791" s="1"/>
      <c r="U791" s="1"/>
      <c r="V791" s="1"/>
      <c r="W791" s="1"/>
      <c r="X791" s="1"/>
      <c r="Y791" s="1"/>
      <c r="Z791" s="1"/>
    </row>
    <row r="792" spans="17:26">
      <c r="Q792" s="23"/>
      <c r="R792" s="1"/>
      <c r="S792" s="1"/>
      <c r="T792" s="1"/>
      <c r="U792" s="1"/>
      <c r="V792" s="1"/>
      <c r="W792" s="1"/>
      <c r="X792" s="1"/>
      <c r="Y792" s="1"/>
      <c r="Z792" s="1"/>
    </row>
    <row r="793" spans="17:26">
      <c r="Q793" s="23"/>
      <c r="R793" s="1"/>
      <c r="S793" s="1"/>
      <c r="T793" s="1"/>
      <c r="U793" s="1"/>
      <c r="V793" s="1"/>
      <c r="W793" s="1"/>
      <c r="X793" s="1"/>
      <c r="Y793" s="1"/>
      <c r="Z793" s="1"/>
    </row>
    <row r="794" spans="17:26">
      <c r="Q794" s="23"/>
      <c r="R794" s="1"/>
      <c r="S794" s="1"/>
      <c r="T794" s="1"/>
      <c r="U794" s="1"/>
      <c r="V794" s="1"/>
      <c r="W794" s="1"/>
      <c r="X794" s="1"/>
      <c r="Y794" s="1"/>
      <c r="Z794" s="1"/>
    </row>
    <row r="795" spans="17:26">
      <c r="Q795" s="23"/>
      <c r="R795" s="1"/>
      <c r="S795" s="1"/>
      <c r="T795" s="1"/>
      <c r="U795" s="1"/>
      <c r="V795" s="1"/>
      <c r="W795" s="1"/>
      <c r="X795" s="1"/>
      <c r="Y795" s="1"/>
      <c r="Z795" s="1"/>
    </row>
    <row r="796" spans="17:26">
      <c r="Q796" s="23"/>
      <c r="R796" s="1"/>
      <c r="S796" s="1"/>
      <c r="T796" s="1"/>
      <c r="U796" s="1"/>
      <c r="V796" s="1"/>
      <c r="W796" s="1"/>
      <c r="X796" s="1"/>
      <c r="Y796" s="1"/>
      <c r="Z796" s="1"/>
    </row>
    <row r="797" spans="17:26">
      <c r="Q797" s="23"/>
      <c r="R797" s="1"/>
      <c r="S797" s="1"/>
      <c r="T797" s="1"/>
      <c r="U797" s="1"/>
      <c r="V797" s="1"/>
      <c r="W797" s="1"/>
      <c r="X797" s="1"/>
      <c r="Y797" s="1"/>
      <c r="Z797" s="1"/>
    </row>
    <row r="798" spans="17:26">
      <c r="Q798" s="23"/>
      <c r="R798" s="1"/>
      <c r="S798" s="1"/>
      <c r="T798" s="1"/>
      <c r="U798" s="1"/>
      <c r="V798" s="1"/>
      <c r="W798" s="1"/>
      <c r="X798" s="1"/>
      <c r="Y798" s="1"/>
      <c r="Z798" s="1"/>
    </row>
    <row r="799" spans="17:26">
      <c r="Q799" s="23"/>
      <c r="R799" s="1"/>
      <c r="S799" s="1"/>
      <c r="T799" s="1"/>
      <c r="U799" s="1"/>
      <c r="V799" s="1"/>
      <c r="W799" s="1"/>
      <c r="X799" s="1"/>
      <c r="Y799" s="1"/>
      <c r="Z799" s="1"/>
    </row>
    <row r="800" spans="17:26">
      <c r="Q800" s="23"/>
      <c r="R800" s="1"/>
      <c r="S800" s="1"/>
      <c r="T800" s="1"/>
      <c r="U800" s="1"/>
      <c r="V800" s="1"/>
      <c r="W800" s="1"/>
      <c r="X800" s="1"/>
      <c r="Y800" s="1"/>
      <c r="Z800" s="1"/>
    </row>
    <row r="801" spans="17:26">
      <c r="Q801" s="23"/>
      <c r="R801" s="1"/>
      <c r="S801" s="1"/>
      <c r="T801" s="1"/>
      <c r="U801" s="1"/>
      <c r="V801" s="1"/>
      <c r="W801" s="1"/>
      <c r="X801" s="1"/>
      <c r="Y801" s="1"/>
      <c r="Z801" s="1"/>
    </row>
    <row r="802" spans="17:26">
      <c r="Q802" s="23"/>
      <c r="R802" s="1"/>
      <c r="S802" s="1"/>
      <c r="T802" s="1"/>
      <c r="U802" s="1"/>
      <c r="V802" s="1"/>
      <c r="W802" s="1"/>
      <c r="X802" s="1"/>
      <c r="Y802" s="1"/>
      <c r="Z802" s="1"/>
    </row>
    <row r="803" spans="17:26">
      <c r="Q803" s="23"/>
      <c r="R803" s="1"/>
      <c r="S803" s="1"/>
      <c r="T803" s="1"/>
      <c r="U803" s="1"/>
      <c r="V803" s="1"/>
      <c r="W803" s="1"/>
      <c r="X803" s="1"/>
      <c r="Y803" s="1"/>
      <c r="Z803" s="1"/>
    </row>
    <row r="804" spans="17:26">
      <c r="Q804" s="23"/>
      <c r="R804" s="1"/>
      <c r="S804" s="1"/>
      <c r="T804" s="1"/>
      <c r="U804" s="1"/>
      <c r="V804" s="1"/>
      <c r="W804" s="1"/>
      <c r="X804" s="1"/>
      <c r="Y804" s="1"/>
      <c r="Z804" s="1"/>
    </row>
    <row r="805" spans="17:26">
      <c r="Q805" s="23"/>
      <c r="R805" s="1"/>
      <c r="S805" s="1"/>
      <c r="T805" s="1"/>
      <c r="U805" s="1"/>
      <c r="V805" s="1"/>
      <c r="W805" s="1"/>
      <c r="X805" s="1"/>
      <c r="Y805" s="1"/>
      <c r="Z805" s="1"/>
    </row>
    <row r="806" spans="17:26">
      <c r="Q806" s="23"/>
      <c r="R806" s="1"/>
      <c r="S806" s="1"/>
      <c r="T806" s="1"/>
      <c r="U806" s="1"/>
      <c r="V806" s="1"/>
      <c r="W806" s="1"/>
      <c r="X806" s="1"/>
      <c r="Y806" s="1"/>
      <c r="Z806" s="1"/>
    </row>
    <row r="807" spans="17:26">
      <c r="Q807" s="23"/>
      <c r="R807" s="1"/>
      <c r="S807" s="1"/>
      <c r="T807" s="1"/>
      <c r="U807" s="1"/>
      <c r="V807" s="1"/>
      <c r="W807" s="1"/>
      <c r="X807" s="1"/>
      <c r="Y807" s="1"/>
      <c r="Z807" s="1"/>
    </row>
    <row r="808" spans="17:26">
      <c r="Q808" s="23"/>
      <c r="R808" s="1"/>
      <c r="S808" s="1"/>
      <c r="T808" s="1"/>
      <c r="U808" s="1"/>
      <c r="V808" s="1"/>
      <c r="W808" s="1"/>
      <c r="X808" s="1"/>
      <c r="Y808" s="1"/>
      <c r="Z808" s="1"/>
    </row>
    <row r="809" spans="17:26">
      <c r="Q809" s="23"/>
      <c r="R809" s="1"/>
      <c r="S809" s="1"/>
      <c r="T809" s="1"/>
      <c r="U809" s="1"/>
      <c r="V809" s="1"/>
      <c r="W809" s="1"/>
      <c r="X809" s="1"/>
      <c r="Y809" s="1"/>
      <c r="Z809" s="1"/>
    </row>
    <row r="810" spans="17:26">
      <c r="Q810" s="23"/>
      <c r="R810" s="1"/>
      <c r="S810" s="1"/>
      <c r="T810" s="1"/>
      <c r="U810" s="1"/>
      <c r="V810" s="1"/>
      <c r="W810" s="1"/>
      <c r="X810" s="1"/>
      <c r="Y810" s="1"/>
      <c r="Z810" s="1"/>
    </row>
    <row r="811" spans="17:26">
      <c r="Q811" s="23"/>
      <c r="R811" s="1"/>
      <c r="S811" s="1"/>
      <c r="T811" s="1"/>
      <c r="U811" s="1"/>
      <c r="V811" s="1"/>
      <c r="W811" s="1"/>
      <c r="X811" s="1"/>
      <c r="Y811" s="1"/>
      <c r="Z811" s="1"/>
    </row>
    <row r="812" spans="17:26">
      <c r="Q812" s="23"/>
      <c r="R812" s="1"/>
      <c r="S812" s="1"/>
      <c r="T812" s="1"/>
      <c r="U812" s="1"/>
      <c r="V812" s="1"/>
      <c r="W812" s="1"/>
      <c r="X812" s="1"/>
      <c r="Y812" s="1"/>
      <c r="Z812" s="1"/>
    </row>
    <row r="813" spans="17:26">
      <c r="Q813" s="23"/>
      <c r="R813" s="1"/>
      <c r="S813" s="1"/>
      <c r="T813" s="1"/>
      <c r="U813" s="1"/>
      <c r="V813" s="1"/>
      <c r="W813" s="1"/>
      <c r="X813" s="1"/>
      <c r="Y813" s="1"/>
      <c r="Z813" s="1"/>
    </row>
    <row r="814" spans="17:26">
      <c r="Q814" s="23"/>
      <c r="R814" s="1"/>
      <c r="S814" s="1"/>
      <c r="T814" s="1"/>
      <c r="U814" s="1"/>
      <c r="V814" s="1"/>
      <c r="W814" s="1"/>
      <c r="X814" s="1"/>
      <c r="Y814" s="1"/>
      <c r="Z814" s="1"/>
    </row>
    <row r="815" spans="17:26">
      <c r="Q815" s="23"/>
      <c r="R815" s="1"/>
      <c r="S815" s="1"/>
      <c r="T815" s="1"/>
      <c r="U815" s="1"/>
      <c r="V815" s="1"/>
      <c r="W815" s="1"/>
      <c r="X815" s="1"/>
      <c r="Y815" s="1"/>
      <c r="Z815" s="1"/>
    </row>
    <row r="816" spans="17:26">
      <c r="Q816" s="23"/>
      <c r="R816" s="1"/>
      <c r="S816" s="1"/>
      <c r="T816" s="1"/>
      <c r="U816" s="1"/>
      <c r="V816" s="1"/>
      <c r="W816" s="1"/>
      <c r="X816" s="1"/>
      <c r="Y816" s="1"/>
      <c r="Z816" s="1"/>
    </row>
    <row r="817" spans="17:26">
      <c r="Q817" s="23"/>
      <c r="R817" s="1"/>
      <c r="S817" s="1"/>
      <c r="T817" s="1"/>
      <c r="U817" s="1"/>
      <c r="V817" s="1"/>
      <c r="W817" s="1"/>
      <c r="X817" s="1"/>
      <c r="Y817" s="1"/>
      <c r="Z817" s="1"/>
    </row>
    <row r="818" spans="17:26">
      <c r="Q818" s="23"/>
      <c r="R818" s="1"/>
      <c r="S818" s="1"/>
      <c r="T818" s="1"/>
      <c r="U818" s="1"/>
      <c r="V818" s="1"/>
      <c r="W818" s="1"/>
      <c r="X818" s="1"/>
      <c r="Y818" s="1"/>
      <c r="Z818" s="1"/>
    </row>
    <row r="819" spans="17:26">
      <c r="Q819" s="23"/>
      <c r="R819" s="1"/>
      <c r="S819" s="1"/>
      <c r="T819" s="1"/>
      <c r="U819" s="1"/>
      <c r="V819" s="1"/>
      <c r="W819" s="1"/>
      <c r="X819" s="1"/>
      <c r="Y819" s="1"/>
      <c r="Z819" s="1"/>
    </row>
    <row r="820" spans="17:26">
      <c r="Q820" s="23"/>
      <c r="R820" s="1"/>
      <c r="S820" s="1"/>
      <c r="T820" s="1"/>
      <c r="U820" s="1"/>
      <c r="V820" s="1"/>
      <c r="W820" s="1"/>
      <c r="X820" s="1"/>
      <c r="Y820" s="1"/>
      <c r="Z820" s="1"/>
    </row>
    <row r="821" spans="17:26">
      <c r="Q821" s="23"/>
      <c r="R821" s="1"/>
      <c r="S821" s="1"/>
      <c r="T821" s="1"/>
      <c r="U821" s="1"/>
      <c r="V821" s="1"/>
      <c r="W821" s="1"/>
      <c r="X821" s="1"/>
      <c r="Y821" s="1"/>
      <c r="Z821" s="1"/>
    </row>
    <row r="822" spans="17:26">
      <c r="Q822" s="23"/>
      <c r="R822" s="1"/>
      <c r="S822" s="1"/>
      <c r="T822" s="1"/>
      <c r="U822" s="1"/>
      <c r="V822" s="1"/>
      <c r="W822" s="1"/>
      <c r="X822" s="1"/>
      <c r="Y822" s="1"/>
      <c r="Z822" s="1"/>
    </row>
    <row r="823" spans="17:26">
      <c r="Q823" s="23"/>
      <c r="R823" s="1"/>
      <c r="S823" s="1"/>
      <c r="T823" s="1"/>
      <c r="U823" s="1"/>
      <c r="V823" s="1"/>
      <c r="W823" s="1"/>
      <c r="X823" s="1"/>
      <c r="Y823" s="1"/>
      <c r="Z823" s="1"/>
    </row>
    <row r="824" spans="17:26">
      <c r="Q824" s="23"/>
      <c r="R824" s="1"/>
      <c r="S824" s="1"/>
      <c r="T824" s="1"/>
      <c r="U824" s="1"/>
      <c r="V824" s="1"/>
      <c r="W824" s="1"/>
      <c r="X824" s="1"/>
      <c r="Y824" s="1"/>
      <c r="Z824" s="1"/>
    </row>
    <row r="825" spans="17:26">
      <c r="Q825" s="23"/>
      <c r="R825" s="1"/>
      <c r="S825" s="1"/>
      <c r="T825" s="1"/>
      <c r="U825" s="1"/>
      <c r="V825" s="1"/>
      <c r="W825" s="1"/>
      <c r="X825" s="1"/>
      <c r="Y825" s="1"/>
      <c r="Z825" s="1"/>
    </row>
    <row r="826" spans="17:26">
      <c r="Q826" s="23"/>
      <c r="R826" s="1"/>
      <c r="S826" s="1"/>
      <c r="T826" s="1"/>
      <c r="U826" s="1"/>
      <c r="V826" s="1"/>
      <c r="W826" s="1"/>
      <c r="X826" s="1"/>
      <c r="Y826" s="1"/>
      <c r="Z826" s="1"/>
    </row>
    <row r="827" spans="17:26">
      <c r="Q827" s="23"/>
      <c r="R827" s="1"/>
      <c r="S827" s="1"/>
      <c r="T827" s="1"/>
      <c r="U827" s="1"/>
      <c r="V827" s="1"/>
      <c r="W827" s="1"/>
      <c r="X827" s="1"/>
      <c r="Y827" s="1"/>
      <c r="Z827" s="1"/>
    </row>
    <row r="828" spans="17:26">
      <c r="Q828" s="23"/>
      <c r="R828" s="1"/>
      <c r="S828" s="1"/>
      <c r="T828" s="1"/>
      <c r="U828" s="1"/>
      <c r="V828" s="1"/>
      <c r="W828" s="1"/>
      <c r="X828" s="1"/>
      <c r="Y828" s="1"/>
      <c r="Z828" s="1"/>
    </row>
    <row r="829" spans="17:26">
      <c r="Q829" s="23"/>
      <c r="R829" s="1"/>
      <c r="S829" s="1"/>
      <c r="T829" s="1"/>
      <c r="U829" s="1"/>
      <c r="V829" s="1"/>
      <c r="W829" s="1"/>
      <c r="X829" s="1"/>
      <c r="Y829" s="1"/>
      <c r="Z829" s="1"/>
    </row>
    <row r="830" spans="17:26">
      <c r="Q830" s="23"/>
      <c r="R830" s="1"/>
      <c r="S830" s="1"/>
      <c r="T830" s="1"/>
      <c r="U830" s="1"/>
      <c r="V830" s="1"/>
      <c r="W830" s="1"/>
      <c r="X830" s="1"/>
      <c r="Y830" s="1"/>
      <c r="Z830" s="1"/>
    </row>
    <row r="831" spans="17:26">
      <c r="Q831" s="23"/>
      <c r="R831" s="1"/>
      <c r="S831" s="1"/>
      <c r="T831" s="1"/>
      <c r="U831" s="1"/>
      <c r="V831" s="1"/>
      <c r="W831" s="1"/>
      <c r="X831" s="1"/>
      <c r="Y831" s="1"/>
      <c r="Z831" s="1"/>
    </row>
    <row r="832" spans="17:26">
      <c r="Q832" s="23"/>
      <c r="R832" s="1"/>
      <c r="S832" s="1"/>
      <c r="T832" s="1"/>
      <c r="U832" s="1"/>
      <c r="V832" s="1"/>
      <c r="W832" s="1"/>
      <c r="X832" s="1"/>
      <c r="Y832" s="1"/>
      <c r="Z832" s="1"/>
    </row>
    <row r="833" spans="17:26">
      <c r="Q833" s="23"/>
      <c r="R833" s="1"/>
      <c r="S833" s="1"/>
      <c r="T833" s="1"/>
      <c r="U833" s="1"/>
      <c r="V833" s="1"/>
      <c r="W833" s="1"/>
      <c r="X833" s="1"/>
      <c r="Y833" s="1"/>
      <c r="Z833" s="1"/>
    </row>
    <row r="834" spans="17:26">
      <c r="Q834" s="23"/>
      <c r="R834" s="1"/>
      <c r="S834" s="1"/>
      <c r="T834" s="1"/>
      <c r="U834" s="1"/>
      <c r="V834" s="1"/>
      <c r="W834" s="1"/>
      <c r="X834" s="1"/>
      <c r="Y834" s="1"/>
      <c r="Z834" s="1"/>
    </row>
    <row r="835" spans="17:26">
      <c r="Q835" s="23"/>
      <c r="R835" s="1"/>
      <c r="S835" s="1"/>
      <c r="T835" s="1"/>
      <c r="U835" s="1"/>
      <c r="V835" s="1"/>
      <c r="W835" s="1"/>
      <c r="X835" s="1"/>
      <c r="Y835" s="1"/>
      <c r="Z835" s="1"/>
    </row>
    <row r="836" spans="17:26">
      <c r="Q836" s="23"/>
      <c r="R836" s="1"/>
      <c r="S836" s="1"/>
      <c r="T836" s="1"/>
      <c r="U836" s="1"/>
      <c r="V836" s="1"/>
      <c r="W836" s="1"/>
      <c r="X836" s="1"/>
      <c r="Y836" s="1"/>
      <c r="Z836" s="1"/>
    </row>
    <row r="837" spans="17:26">
      <c r="Q837" s="23"/>
      <c r="R837" s="1"/>
      <c r="S837" s="1"/>
      <c r="T837" s="1"/>
      <c r="U837" s="1"/>
      <c r="V837" s="1"/>
      <c r="W837" s="1"/>
      <c r="X837" s="1"/>
      <c r="Y837" s="1"/>
      <c r="Z837" s="1"/>
    </row>
    <row r="838" spans="17:26">
      <c r="Q838" s="23"/>
      <c r="R838" s="1"/>
      <c r="S838" s="1"/>
      <c r="T838" s="1"/>
      <c r="U838" s="1"/>
      <c r="V838" s="1"/>
      <c r="W838" s="1"/>
      <c r="X838" s="1"/>
      <c r="Y838" s="1"/>
      <c r="Z838" s="1"/>
    </row>
    <row r="839" spans="17:26">
      <c r="Q839" s="23"/>
      <c r="R839" s="1"/>
      <c r="S839" s="1"/>
      <c r="T839" s="1"/>
      <c r="U839" s="1"/>
      <c r="V839" s="1"/>
      <c r="W839" s="1"/>
      <c r="X839" s="1"/>
      <c r="Y839" s="1"/>
      <c r="Z839" s="1"/>
    </row>
    <row r="840" spans="17:26">
      <c r="Q840" s="23"/>
      <c r="R840" s="1"/>
      <c r="S840" s="1"/>
      <c r="T840" s="1"/>
      <c r="U840" s="1"/>
      <c r="V840" s="1"/>
      <c r="W840" s="1"/>
      <c r="X840" s="1"/>
      <c r="Y840" s="1"/>
      <c r="Z840" s="1"/>
    </row>
    <row r="841" spans="17:26">
      <c r="Q841" s="23"/>
      <c r="R841" s="1"/>
      <c r="S841" s="1"/>
      <c r="T841" s="1"/>
      <c r="U841" s="1"/>
      <c r="V841" s="1"/>
      <c r="W841" s="1"/>
      <c r="X841" s="1"/>
      <c r="Y841" s="1"/>
      <c r="Z841" s="1"/>
    </row>
    <row r="842" spans="17:26">
      <c r="Q842" s="23"/>
      <c r="R842" s="1"/>
      <c r="S842" s="1"/>
      <c r="T842" s="1"/>
      <c r="U842" s="1"/>
      <c r="V842" s="1"/>
      <c r="W842" s="1"/>
      <c r="X842" s="1"/>
      <c r="Y842" s="1"/>
      <c r="Z842" s="1"/>
    </row>
    <row r="843" spans="17:26">
      <c r="Q843" s="23"/>
      <c r="R843" s="1"/>
      <c r="S843" s="1"/>
      <c r="T843" s="1"/>
      <c r="U843" s="1"/>
      <c r="V843" s="1"/>
      <c r="W843" s="1"/>
      <c r="X843" s="1"/>
      <c r="Y843" s="1"/>
      <c r="Z843" s="1"/>
    </row>
    <row r="844" spans="17:26">
      <c r="Q844" s="23"/>
      <c r="R844" s="1"/>
      <c r="S844" s="1"/>
      <c r="T844" s="1"/>
      <c r="U844" s="1"/>
      <c r="V844" s="1"/>
      <c r="W844" s="1"/>
      <c r="X844" s="1"/>
      <c r="Y844" s="1"/>
      <c r="Z844" s="1"/>
    </row>
    <row r="845" spans="17:26">
      <c r="Q845" s="23"/>
      <c r="R845" s="1"/>
      <c r="S845" s="1"/>
      <c r="T845" s="1"/>
      <c r="U845" s="1"/>
      <c r="V845" s="1"/>
      <c r="W845" s="1"/>
      <c r="X845" s="1"/>
      <c r="Y845" s="1"/>
      <c r="Z845" s="1"/>
    </row>
    <row r="846" spans="17:26">
      <c r="Q846" s="23"/>
      <c r="R846" s="1"/>
      <c r="S846" s="1"/>
      <c r="T846" s="1"/>
      <c r="U846" s="1"/>
      <c r="V846" s="1"/>
      <c r="W846" s="1"/>
      <c r="X846" s="1"/>
      <c r="Y846" s="1"/>
      <c r="Z846" s="1"/>
    </row>
    <row r="847" spans="17:26">
      <c r="Q847" s="23"/>
      <c r="R847" s="1"/>
      <c r="S847" s="1"/>
      <c r="T847" s="1"/>
      <c r="U847" s="1"/>
      <c r="V847" s="1"/>
      <c r="W847" s="1"/>
      <c r="X847" s="1"/>
      <c r="Y847" s="1"/>
      <c r="Z847" s="1"/>
    </row>
    <row r="848" spans="17:26">
      <c r="Q848" s="23"/>
      <c r="R848" s="1"/>
      <c r="S848" s="1"/>
      <c r="T848" s="1"/>
      <c r="U848" s="1"/>
      <c r="V848" s="1"/>
      <c r="W848" s="1"/>
      <c r="X848" s="1"/>
      <c r="Y848" s="1"/>
      <c r="Z848" s="1"/>
    </row>
    <row r="849" spans="17:26">
      <c r="Q849" s="23"/>
      <c r="R849" s="1"/>
      <c r="S849" s="1"/>
      <c r="T849" s="1"/>
      <c r="U849" s="1"/>
      <c r="V849" s="1"/>
      <c r="W849" s="1"/>
      <c r="X849" s="1"/>
      <c r="Y849" s="1"/>
      <c r="Z849" s="1"/>
    </row>
    <row r="850" spans="17:26">
      <c r="Q850" s="23"/>
      <c r="R850" s="1"/>
      <c r="S850" s="1"/>
      <c r="T850" s="1"/>
      <c r="U850" s="1"/>
      <c r="V850" s="1"/>
      <c r="W850" s="1"/>
      <c r="X850" s="1"/>
      <c r="Y850" s="1"/>
      <c r="Z850" s="1"/>
    </row>
    <row r="851" spans="17:26">
      <c r="Q851" s="23"/>
      <c r="R851" s="1"/>
      <c r="S851" s="1"/>
      <c r="T851" s="1"/>
      <c r="U851" s="1"/>
      <c r="V851" s="1"/>
      <c r="W851" s="1"/>
      <c r="X851" s="1"/>
      <c r="Y851" s="1"/>
      <c r="Z851" s="1"/>
    </row>
    <row r="852" spans="17:26">
      <c r="Q852" s="23"/>
      <c r="R852" s="1"/>
      <c r="S852" s="1"/>
      <c r="T852" s="1"/>
      <c r="U852" s="1"/>
      <c r="V852" s="1"/>
      <c r="W852" s="1"/>
      <c r="X852" s="1"/>
      <c r="Y852" s="1"/>
      <c r="Z852" s="1"/>
    </row>
    <row r="853" spans="17:26">
      <c r="Q853" s="23"/>
      <c r="R853" s="1"/>
      <c r="S853" s="1"/>
      <c r="T853" s="1"/>
      <c r="U853" s="1"/>
      <c r="V853" s="1"/>
      <c r="W853" s="1"/>
      <c r="X853" s="1"/>
      <c r="Y853" s="1"/>
      <c r="Z853" s="1"/>
    </row>
    <row r="854" spans="17:26">
      <c r="Q854" s="23"/>
      <c r="R854" s="1"/>
      <c r="S854" s="1"/>
      <c r="T854" s="1"/>
      <c r="U854" s="1"/>
      <c r="V854" s="1"/>
      <c r="W854" s="1"/>
      <c r="X854" s="1"/>
      <c r="Y854" s="1"/>
      <c r="Z854" s="1"/>
    </row>
    <row r="855" spans="17:26">
      <c r="Q855" s="23"/>
      <c r="R855" s="1"/>
      <c r="S855" s="1"/>
      <c r="T855" s="1"/>
      <c r="U855" s="1"/>
      <c r="V855" s="1"/>
      <c r="W855" s="1"/>
      <c r="X855" s="1"/>
      <c r="Y855" s="1"/>
      <c r="Z855" s="1"/>
    </row>
    <row r="856" spans="17:26">
      <c r="Q856" s="23"/>
      <c r="R856" s="1"/>
      <c r="S856" s="1"/>
      <c r="T856" s="1"/>
      <c r="U856" s="1"/>
      <c r="V856" s="1"/>
      <c r="W856" s="1"/>
      <c r="X856" s="1"/>
      <c r="Y856" s="1"/>
      <c r="Z856" s="1"/>
    </row>
    <row r="857" spans="17:26">
      <c r="Q857" s="23"/>
      <c r="R857" s="1"/>
      <c r="S857" s="1"/>
      <c r="T857" s="1"/>
      <c r="U857" s="1"/>
      <c r="V857" s="1"/>
      <c r="W857" s="1"/>
      <c r="X857" s="1"/>
      <c r="Y857" s="1"/>
      <c r="Z857" s="1"/>
    </row>
    <row r="858" spans="17:26">
      <c r="Q858" s="23"/>
      <c r="R858" s="1"/>
      <c r="S858" s="1"/>
      <c r="T858" s="1"/>
      <c r="U858" s="1"/>
      <c r="V858" s="1"/>
      <c r="W858" s="1"/>
      <c r="X858" s="1"/>
      <c r="Y858" s="1"/>
      <c r="Z858" s="1"/>
    </row>
    <row r="859" spans="17:26">
      <c r="Q859" s="23"/>
      <c r="R859" s="1"/>
      <c r="S859" s="1"/>
      <c r="T859" s="1"/>
      <c r="U859" s="1"/>
      <c r="V859" s="1"/>
      <c r="W859" s="1"/>
      <c r="X859" s="1"/>
      <c r="Y859" s="1"/>
      <c r="Z859" s="1"/>
    </row>
    <row r="860" spans="17:26">
      <c r="Q860" s="23"/>
      <c r="R860" s="1"/>
      <c r="S860" s="1"/>
      <c r="T860" s="1"/>
      <c r="U860" s="1"/>
      <c r="V860" s="1"/>
      <c r="W860" s="1"/>
      <c r="X860" s="1"/>
      <c r="Y860" s="1"/>
      <c r="Z860" s="1"/>
    </row>
    <row r="861" spans="17:26">
      <c r="Q861" s="23"/>
      <c r="R861" s="1"/>
      <c r="S861" s="1"/>
      <c r="T861" s="1"/>
      <c r="U861" s="1"/>
      <c r="V861" s="1"/>
      <c r="W861" s="1"/>
      <c r="X861" s="1"/>
      <c r="Y861" s="1"/>
      <c r="Z861" s="1"/>
    </row>
    <row r="862" spans="17:26">
      <c r="Q862" s="23"/>
      <c r="R862" s="1"/>
      <c r="S862" s="1"/>
      <c r="T862" s="1"/>
      <c r="U862" s="1"/>
      <c r="V862" s="1"/>
      <c r="W862" s="1"/>
      <c r="X862" s="1"/>
      <c r="Y862" s="1"/>
      <c r="Z862" s="1"/>
    </row>
    <row r="863" spans="17:26">
      <c r="Q863" s="23"/>
      <c r="R863" s="1"/>
      <c r="S863" s="1"/>
      <c r="T863" s="1"/>
      <c r="U863" s="1"/>
      <c r="V863" s="1"/>
      <c r="W863" s="1"/>
      <c r="X863" s="1"/>
      <c r="Y863" s="1"/>
      <c r="Z863" s="1"/>
    </row>
    <row r="864" spans="17:26">
      <c r="Q864" s="23"/>
      <c r="R864" s="1"/>
      <c r="S864" s="1"/>
      <c r="T864" s="1"/>
      <c r="U864" s="1"/>
      <c r="V864" s="1"/>
      <c r="W864" s="1"/>
      <c r="X864" s="1"/>
      <c r="Y864" s="1"/>
      <c r="Z864" s="1"/>
    </row>
    <row r="865" spans="17:26">
      <c r="Q865" s="23"/>
      <c r="R865" s="1"/>
      <c r="S865" s="1"/>
      <c r="T865" s="1"/>
      <c r="U865" s="1"/>
      <c r="V865" s="1"/>
      <c r="W865" s="1"/>
      <c r="X865" s="1"/>
      <c r="Y865" s="1"/>
      <c r="Z865" s="1"/>
    </row>
    <row r="866" spans="17:26">
      <c r="Q866" s="23"/>
      <c r="R866" s="1"/>
      <c r="S866" s="1"/>
      <c r="T866" s="1"/>
      <c r="U866" s="1"/>
      <c r="V866" s="1"/>
      <c r="W866" s="1"/>
      <c r="X866" s="1"/>
      <c r="Y866" s="1"/>
      <c r="Z866" s="1"/>
    </row>
    <row r="867" spans="17:26">
      <c r="Q867" s="23"/>
      <c r="R867" s="1"/>
      <c r="S867" s="1"/>
      <c r="T867" s="1"/>
      <c r="U867" s="1"/>
      <c r="V867" s="1"/>
      <c r="W867" s="1"/>
      <c r="X867" s="1"/>
      <c r="Y867" s="1"/>
      <c r="Z867" s="1"/>
    </row>
    <row r="868" spans="17:26">
      <c r="Q868" s="23"/>
      <c r="R868" s="1"/>
      <c r="S868" s="1"/>
      <c r="T868" s="1"/>
      <c r="U868" s="1"/>
      <c r="V868" s="1"/>
      <c r="W868" s="1"/>
      <c r="X868" s="1"/>
      <c r="Y868" s="1"/>
      <c r="Z868" s="1"/>
    </row>
    <row r="869" spans="17:26">
      <c r="Q869" s="23"/>
      <c r="R869" s="1"/>
      <c r="S869" s="1"/>
      <c r="T869" s="1"/>
      <c r="U869" s="1"/>
      <c r="V869" s="1"/>
      <c r="W869" s="1"/>
      <c r="X869" s="1"/>
      <c r="Y869" s="1"/>
      <c r="Z869" s="1"/>
    </row>
    <row r="870" spans="17:26">
      <c r="Q870" s="23"/>
      <c r="R870" s="1"/>
      <c r="S870" s="1"/>
      <c r="T870" s="1"/>
      <c r="U870" s="1"/>
      <c r="V870" s="1"/>
      <c r="W870" s="1"/>
      <c r="X870" s="1"/>
      <c r="Y870" s="1"/>
      <c r="Z870" s="1"/>
    </row>
    <row r="871" spans="17:26">
      <c r="Q871" s="23"/>
      <c r="R871" s="1"/>
      <c r="S871" s="1"/>
      <c r="T871" s="1"/>
      <c r="U871" s="1"/>
      <c r="V871" s="1"/>
      <c r="W871" s="1"/>
      <c r="X871" s="1"/>
      <c r="Y871" s="1"/>
      <c r="Z871" s="1"/>
    </row>
    <row r="872" spans="17:26">
      <c r="Q872" s="23"/>
      <c r="R872" s="1"/>
      <c r="S872" s="1"/>
      <c r="T872" s="1"/>
      <c r="U872" s="1"/>
      <c r="V872" s="1"/>
      <c r="W872" s="1"/>
      <c r="X872" s="1"/>
      <c r="Y872" s="1"/>
      <c r="Z872" s="1"/>
    </row>
    <row r="873" spans="17:26">
      <c r="Q873" s="23"/>
      <c r="R873" s="1"/>
      <c r="S873" s="1"/>
      <c r="T873" s="1"/>
      <c r="U873" s="1"/>
      <c r="V873" s="1"/>
      <c r="W873" s="1"/>
      <c r="X873" s="1"/>
      <c r="Y873" s="1"/>
      <c r="Z873" s="1"/>
    </row>
    <row r="874" spans="17:26">
      <c r="Q874" s="23"/>
      <c r="R874" s="1"/>
      <c r="S874" s="1"/>
      <c r="T874" s="1"/>
      <c r="U874" s="1"/>
      <c r="V874" s="1"/>
      <c r="W874" s="1"/>
      <c r="X874" s="1"/>
      <c r="Y874" s="1"/>
      <c r="Z874" s="1"/>
    </row>
    <row r="875" spans="17:26">
      <c r="Q875" s="23"/>
      <c r="R875" s="1"/>
      <c r="S875" s="1"/>
      <c r="T875" s="1"/>
      <c r="U875" s="1"/>
      <c r="V875" s="1"/>
      <c r="W875" s="1"/>
      <c r="X875" s="1"/>
      <c r="Y875" s="1"/>
      <c r="Z875" s="1"/>
    </row>
    <row r="876" spans="17:26">
      <c r="Q876" s="23"/>
      <c r="R876" s="1"/>
      <c r="S876" s="1"/>
      <c r="T876" s="1"/>
      <c r="U876" s="1"/>
      <c r="V876" s="1"/>
      <c r="W876" s="1"/>
      <c r="X876" s="1"/>
      <c r="Y876" s="1"/>
      <c r="Z876" s="1"/>
    </row>
    <row r="877" spans="17:26">
      <c r="Q877" s="23"/>
      <c r="R877" s="1"/>
      <c r="S877" s="1"/>
      <c r="T877" s="1"/>
      <c r="U877" s="1"/>
      <c r="V877" s="1"/>
      <c r="W877" s="1"/>
      <c r="X877" s="1"/>
      <c r="Y877" s="1"/>
      <c r="Z877" s="1"/>
    </row>
    <row r="878" spans="17:26">
      <c r="Q878" s="23"/>
      <c r="R878" s="1"/>
      <c r="S878" s="1"/>
      <c r="T878" s="1"/>
      <c r="U878" s="1"/>
      <c r="V878" s="1"/>
      <c r="W878" s="1"/>
      <c r="X878" s="1"/>
      <c r="Y878" s="1"/>
      <c r="Z878" s="1"/>
    </row>
    <row r="879" spans="17:26">
      <c r="Q879" s="23"/>
      <c r="R879" s="1"/>
      <c r="S879" s="1"/>
      <c r="T879" s="1"/>
      <c r="U879" s="1"/>
      <c r="V879" s="1"/>
      <c r="W879" s="1"/>
      <c r="X879" s="1"/>
      <c r="Y879" s="1"/>
      <c r="Z879" s="1"/>
    </row>
    <row r="880" spans="17:26">
      <c r="Q880" s="23"/>
      <c r="R880" s="1"/>
      <c r="S880" s="1"/>
      <c r="T880" s="1"/>
      <c r="U880" s="1"/>
      <c r="V880" s="1"/>
      <c r="W880" s="1"/>
      <c r="X880" s="1"/>
      <c r="Y880" s="1"/>
      <c r="Z880" s="1"/>
    </row>
    <row r="881" spans="17:26">
      <c r="Q881" s="23"/>
      <c r="R881" s="1"/>
      <c r="S881" s="1"/>
      <c r="T881" s="1"/>
      <c r="U881" s="1"/>
      <c r="V881" s="1"/>
      <c r="W881" s="1"/>
      <c r="X881" s="1"/>
      <c r="Y881" s="1"/>
      <c r="Z881" s="1"/>
    </row>
    <row r="882" spans="17:26">
      <c r="Q882" s="23"/>
      <c r="R882" s="1"/>
      <c r="S882" s="1"/>
      <c r="T882" s="1"/>
      <c r="U882" s="1"/>
      <c r="V882" s="1"/>
      <c r="W882" s="1"/>
      <c r="X882" s="1"/>
      <c r="Y882" s="1"/>
      <c r="Z882" s="1"/>
    </row>
    <row r="883" spans="17:26">
      <c r="Q883" s="23"/>
      <c r="R883" s="1"/>
      <c r="S883" s="1"/>
      <c r="T883" s="1"/>
      <c r="U883" s="1"/>
      <c r="V883" s="1"/>
      <c r="W883" s="1"/>
      <c r="X883" s="1"/>
      <c r="Y883" s="1"/>
      <c r="Z883" s="1"/>
    </row>
    <row r="884" spans="17:26">
      <c r="Q884" s="23"/>
      <c r="R884" s="1"/>
      <c r="S884" s="1"/>
      <c r="T884" s="1"/>
      <c r="U884" s="1"/>
      <c r="V884" s="1"/>
      <c r="W884" s="1"/>
      <c r="X884" s="1"/>
      <c r="Y884" s="1"/>
      <c r="Z884" s="1"/>
    </row>
    <row r="885" spans="17:26">
      <c r="Q885" s="23"/>
      <c r="R885" s="1"/>
      <c r="S885" s="1"/>
      <c r="T885" s="1"/>
      <c r="U885" s="1"/>
      <c r="V885" s="1"/>
      <c r="W885" s="1"/>
      <c r="X885" s="1"/>
      <c r="Y885" s="1"/>
      <c r="Z885" s="1"/>
    </row>
    <row r="886" spans="17:26">
      <c r="Q886" s="23"/>
      <c r="R886" s="1"/>
      <c r="S886" s="1"/>
      <c r="T886" s="1"/>
      <c r="U886" s="1"/>
      <c r="V886" s="1"/>
      <c r="W886" s="1"/>
      <c r="X886" s="1"/>
      <c r="Y886" s="1"/>
      <c r="Z886" s="1"/>
    </row>
    <row r="887" spans="17:26">
      <c r="Q887" s="23"/>
      <c r="R887" s="1"/>
      <c r="S887" s="1"/>
      <c r="T887" s="1"/>
      <c r="U887" s="1"/>
      <c r="V887" s="1"/>
      <c r="W887" s="1"/>
      <c r="X887" s="1"/>
      <c r="Y887" s="1"/>
      <c r="Z887" s="1"/>
    </row>
    <row r="888" spans="17:26">
      <c r="Q888" s="23"/>
      <c r="R888" s="1"/>
      <c r="S888" s="1"/>
      <c r="T888" s="1"/>
      <c r="U888" s="1"/>
      <c r="V888" s="1"/>
      <c r="W888" s="1"/>
      <c r="X888" s="1"/>
      <c r="Y888" s="1"/>
      <c r="Z888" s="1"/>
    </row>
    <row r="889" spans="17:26">
      <c r="Q889" s="23"/>
      <c r="R889" s="1"/>
      <c r="S889" s="1"/>
      <c r="T889" s="1"/>
      <c r="U889" s="1"/>
      <c r="V889" s="1"/>
      <c r="W889" s="1"/>
      <c r="X889" s="1"/>
      <c r="Y889" s="1"/>
      <c r="Z889" s="1"/>
    </row>
    <row r="890" spans="17:26">
      <c r="Q890" s="23"/>
      <c r="R890" s="1"/>
      <c r="S890" s="1"/>
      <c r="T890" s="1"/>
      <c r="U890" s="1"/>
      <c r="V890" s="1"/>
      <c r="W890" s="1"/>
      <c r="X890" s="1"/>
      <c r="Y890" s="1"/>
      <c r="Z890" s="1"/>
    </row>
    <row r="891" spans="17:26">
      <c r="Q891" s="23"/>
      <c r="R891" s="1"/>
      <c r="S891" s="1"/>
      <c r="T891" s="1"/>
      <c r="U891" s="1"/>
      <c r="V891" s="1"/>
      <c r="W891" s="1"/>
      <c r="X891" s="1"/>
      <c r="Y891" s="1"/>
      <c r="Z891" s="1"/>
    </row>
    <row r="892" spans="17:26">
      <c r="Q892" s="23"/>
      <c r="R892" s="1"/>
      <c r="S892" s="1"/>
      <c r="T892" s="1"/>
      <c r="U892" s="1"/>
      <c r="V892" s="1"/>
      <c r="W892" s="1"/>
      <c r="X892" s="1"/>
      <c r="Y892" s="1"/>
      <c r="Z892" s="1"/>
    </row>
    <row r="893" spans="17:26">
      <c r="Q893" s="23"/>
      <c r="R893" s="1"/>
      <c r="S893" s="1"/>
      <c r="T893" s="1"/>
      <c r="U893" s="1"/>
      <c r="V893" s="1"/>
      <c r="W893" s="1"/>
      <c r="X893" s="1"/>
      <c r="Y893" s="1"/>
      <c r="Z893" s="1"/>
    </row>
    <row r="894" spans="17:26">
      <c r="Q894" s="23"/>
      <c r="R894" s="1"/>
      <c r="S894" s="1"/>
      <c r="T894" s="1"/>
      <c r="U894" s="1"/>
      <c r="V894" s="1"/>
      <c r="W894" s="1"/>
      <c r="X894" s="1"/>
      <c r="Y894" s="1"/>
      <c r="Z894" s="1"/>
    </row>
    <row r="895" spans="17:26">
      <c r="Q895" s="23"/>
      <c r="R895" s="1"/>
      <c r="S895" s="1"/>
      <c r="T895" s="1"/>
      <c r="U895" s="1"/>
      <c r="V895" s="1"/>
      <c r="W895" s="1"/>
      <c r="X895" s="1"/>
      <c r="Y895" s="1"/>
      <c r="Z895" s="1"/>
    </row>
    <row r="896" spans="17:26">
      <c r="Q896" s="23"/>
      <c r="R896" s="1"/>
      <c r="S896" s="1"/>
      <c r="T896" s="1"/>
      <c r="U896" s="1"/>
      <c r="V896" s="1"/>
      <c r="W896" s="1"/>
      <c r="X896" s="1"/>
      <c r="Y896" s="1"/>
      <c r="Z896" s="1"/>
    </row>
    <row r="897" spans="17:26">
      <c r="Q897" s="23"/>
      <c r="R897" s="1"/>
      <c r="S897" s="1"/>
      <c r="T897" s="1"/>
      <c r="U897" s="1"/>
      <c r="V897" s="1"/>
      <c r="W897" s="1"/>
      <c r="X897" s="1"/>
      <c r="Y897" s="1"/>
      <c r="Z897" s="1"/>
    </row>
    <row r="898" spans="17:26">
      <c r="Q898" s="23"/>
      <c r="R898" s="1"/>
      <c r="S898" s="1"/>
      <c r="T898" s="1"/>
      <c r="U898" s="1"/>
      <c r="V898" s="1"/>
      <c r="W898" s="1"/>
      <c r="X898" s="1"/>
      <c r="Y898" s="1"/>
      <c r="Z898" s="1"/>
    </row>
    <row r="899" spans="17:26">
      <c r="Q899" s="23"/>
      <c r="R899" s="1"/>
      <c r="S899" s="1"/>
      <c r="T899" s="1"/>
      <c r="U899" s="1"/>
      <c r="V899" s="1"/>
      <c r="W899" s="1"/>
      <c r="X899" s="1"/>
      <c r="Y899" s="1"/>
      <c r="Z899" s="1"/>
    </row>
    <row r="900" spans="17:26">
      <c r="Q900" s="23"/>
      <c r="R900" s="1"/>
      <c r="S900" s="1"/>
      <c r="T900" s="1"/>
      <c r="U900" s="1"/>
      <c r="V900" s="1"/>
      <c r="W900" s="1"/>
      <c r="X900" s="1"/>
      <c r="Y900" s="1"/>
      <c r="Z900" s="1"/>
    </row>
    <row r="901" spans="17:26">
      <c r="Q901" s="23"/>
      <c r="R901" s="1"/>
      <c r="S901" s="1"/>
      <c r="T901" s="1"/>
      <c r="U901" s="1"/>
      <c r="V901" s="1"/>
      <c r="W901" s="1"/>
      <c r="X901" s="1"/>
      <c r="Y901" s="1"/>
      <c r="Z901" s="1"/>
    </row>
    <row r="902" spans="17:26">
      <c r="Q902" s="23"/>
      <c r="R902" s="1"/>
      <c r="S902" s="1"/>
      <c r="T902" s="1"/>
      <c r="U902" s="1"/>
      <c r="V902" s="1"/>
      <c r="W902" s="1"/>
      <c r="X902" s="1"/>
      <c r="Y902" s="1"/>
      <c r="Z902" s="1"/>
    </row>
    <row r="903" spans="17:26">
      <c r="Q903" s="23"/>
      <c r="R903" s="1"/>
      <c r="S903" s="1"/>
      <c r="T903" s="1"/>
      <c r="U903" s="1"/>
      <c r="V903" s="1"/>
      <c r="W903" s="1"/>
      <c r="X903" s="1"/>
      <c r="Y903" s="1"/>
      <c r="Z903" s="1"/>
    </row>
    <row r="904" spans="17:26">
      <c r="Q904" s="23"/>
      <c r="R904" s="1"/>
      <c r="S904" s="1"/>
      <c r="T904" s="1"/>
      <c r="U904" s="1"/>
      <c r="V904" s="1"/>
      <c r="W904" s="1"/>
      <c r="X904" s="1"/>
      <c r="Y904" s="1"/>
      <c r="Z904" s="1"/>
    </row>
    <row r="905" spans="17:26">
      <c r="Q905" s="23"/>
      <c r="R905" s="1"/>
      <c r="S905" s="1"/>
      <c r="T905" s="1"/>
      <c r="U905" s="1"/>
      <c r="V905" s="1"/>
      <c r="W905" s="1"/>
      <c r="X905" s="1"/>
      <c r="Y905" s="1"/>
      <c r="Z905" s="1"/>
    </row>
    <row r="906" spans="17:26">
      <c r="Q906" s="23"/>
      <c r="R906" s="1"/>
      <c r="S906" s="1"/>
      <c r="T906" s="1"/>
      <c r="U906" s="1"/>
      <c r="V906" s="1"/>
      <c r="W906" s="1"/>
      <c r="X906" s="1"/>
      <c r="Y906" s="1"/>
      <c r="Z906" s="1"/>
    </row>
    <row r="907" spans="17:26">
      <c r="Q907" s="23"/>
      <c r="R907" s="1"/>
      <c r="S907" s="1"/>
      <c r="T907" s="1"/>
      <c r="U907" s="1"/>
      <c r="V907" s="1"/>
      <c r="W907" s="1"/>
      <c r="X907" s="1"/>
      <c r="Y907" s="1"/>
      <c r="Z907" s="1"/>
    </row>
    <row r="908" spans="17:26">
      <c r="Q908" s="23"/>
      <c r="R908" s="1"/>
      <c r="S908" s="1"/>
      <c r="T908" s="1"/>
      <c r="U908" s="1"/>
      <c r="V908" s="1"/>
      <c r="W908" s="1"/>
      <c r="X908" s="1"/>
      <c r="Y908" s="1"/>
      <c r="Z908" s="1"/>
    </row>
    <row r="909" spans="17:26">
      <c r="Q909" s="23"/>
      <c r="R909" s="1"/>
      <c r="S909" s="1"/>
      <c r="T909" s="1"/>
      <c r="U909" s="1"/>
      <c r="V909" s="1"/>
      <c r="W909" s="1"/>
      <c r="X909" s="1"/>
      <c r="Y909" s="1"/>
      <c r="Z909" s="1"/>
    </row>
    <row r="910" spans="17:26">
      <c r="Q910" s="23"/>
      <c r="R910" s="1"/>
      <c r="S910" s="1"/>
      <c r="T910" s="1"/>
      <c r="U910" s="1"/>
      <c r="V910" s="1"/>
      <c r="W910" s="1"/>
      <c r="X910" s="1"/>
      <c r="Y910" s="1"/>
      <c r="Z910" s="1"/>
    </row>
    <row r="911" spans="17:26">
      <c r="Q911" s="23"/>
      <c r="R911" s="1"/>
      <c r="S911" s="1"/>
      <c r="T911" s="1"/>
      <c r="U911" s="1"/>
      <c r="V911" s="1"/>
      <c r="W911" s="1"/>
      <c r="X911" s="1"/>
      <c r="Y911" s="1"/>
      <c r="Z911" s="1"/>
    </row>
    <row r="912" spans="17:26">
      <c r="Q912" s="23"/>
      <c r="R912" s="1"/>
      <c r="S912" s="1"/>
      <c r="T912" s="1"/>
      <c r="U912" s="1"/>
      <c r="V912" s="1"/>
      <c r="W912" s="1"/>
      <c r="X912" s="1"/>
      <c r="Y912" s="1"/>
      <c r="Z912" s="1"/>
    </row>
    <row r="913" spans="17:26">
      <c r="Q913" s="23"/>
      <c r="R913" s="1"/>
      <c r="S913" s="1"/>
      <c r="T913" s="1"/>
      <c r="U913" s="1"/>
      <c r="V913" s="1"/>
      <c r="W913" s="1"/>
      <c r="X913" s="1"/>
      <c r="Y913" s="1"/>
      <c r="Z913" s="1"/>
    </row>
    <row r="914" spans="17:26">
      <c r="Q914" s="23"/>
      <c r="R914" s="1"/>
      <c r="S914" s="1"/>
      <c r="T914" s="1"/>
      <c r="U914" s="1"/>
      <c r="V914" s="1"/>
      <c r="W914" s="1"/>
      <c r="X914" s="1"/>
      <c r="Y914" s="1"/>
      <c r="Z914" s="1"/>
    </row>
    <row r="915" spans="17:26">
      <c r="Q915" s="23"/>
      <c r="R915" s="1"/>
      <c r="S915" s="1"/>
      <c r="T915" s="1"/>
      <c r="U915" s="1"/>
      <c r="V915" s="1"/>
      <c r="W915" s="1"/>
      <c r="X915" s="1"/>
      <c r="Y915" s="1"/>
      <c r="Z915" s="1"/>
    </row>
    <row r="916" spans="17:26">
      <c r="Q916" s="23"/>
      <c r="R916" s="1"/>
      <c r="S916" s="1"/>
      <c r="T916" s="1"/>
      <c r="U916" s="1"/>
      <c r="V916" s="1"/>
      <c r="W916" s="1"/>
      <c r="X916" s="1"/>
      <c r="Y916" s="1"/>
      <c r="Z916" s="1"/>
    </row>
    <row r="917" spans="17:26">
      <c r="Q917" s="23"/>
      <c r="R917" s="1"/>
      <c r="S917" s="1"/>
      <c r="T917" s="1"/>
      <c r="U917" s="1"/>
      <c r="V917" s="1"/>
      <c r="W917" s="1"/>
      <c r="X917" s="1"/>
      <c r="Y917" s="1"/>
      <c r="Z917" s="1"/>
    </row>
    <row r="918" spans="17:26">
      <c r="Q918" s="23"/>
      <c r="R918" s="1"/>
      <c r="S918" s="1"/>
      <c r="T918" s="1"/>
      <c r="U918" s="1"/>
      <c r="V918" s="1"/>
      <c r="W918" s="1"/>
      <c r="X918" s="1"/>
      <c r="Y918" s="1"/>
      <c r="Z918" s="1"/>
    </row>
    <row r="919" spans="17:26">
      <c r="Q919" s="23"/>
      <c r="R919" s="1"/>
      <c r="S919" s="1"/>
      <c r="T919" s="1"/>
      <c r="U919" s="1"/>
      <c r="V919" s="1"/>
      <c r="W919" s="1"/>
      <c r="X919" s="1"/>
      <c r="Y919" s="1"/>
      <c r="Z919" s="1"/>
    </row>
    <row r="920" spans="17:26">
      <c r="Q920" s="23"/>
      <c r="R920" s="1"/>
      <c r="S920" s="1"/>
      <c r="T920" s="1"/>
      <c r="U920" s="1"/>
      <c r="V920" s="1"/>
      <c r="W920" s="1"/>
      <c r="X920" s="1"/>
      <c r="Y920" s="1"/>
      <c r="Z920" s="1"/>
    </row>
    <row r="921" spans="17:26">
      <c r="Q921" s="23"/>
      <c r="R921" s="1"/>
      <c r="S921" s="1"/>
      <c r="T921" s="1"/>
      <c r="U921" s="1"/>
      <c r="V921" s="1"/>
      <c r="W921" s="1"/>
      <c r="X921" s="1"/>
      <c r="Y921" s="1"/>
      <c r="Z921" s="1"/>
    </row>
    <row r="922" spans="17:26">
      <c r="Q922" s="23"/>
      <c r="R922" s="1"/>
      <c r="S922" s="1"/>
      <c r="T922" s="1"/>
      <c r="U922" s="1"/>
      <c r="V922" s="1"/>
      <c r="W922" s="1"/>
      <c r="X922" s="1"/>
      <c r="Y922" s="1"/>
      <c r="Z922" s="1"/>
    </row>
    <row r="923" spans="17:26">
      <c r="Q923" s="23"/>
      <c r="R923" s="1"/>
      <c r="S923" s="1"/>
      <c r="T923" s="1"/>
      <c r="U923" s="1"/>
      <c r="V923" s="1"/>
      <c r="W923" s="1"/>
      <c r="X923" s="1"/>
      <c r="Y923" s="1"/>
      <c r="Z923" s="1"/>
    </row>
    <row r="924" spans="17:26">
      <c r="Q924" s="23"/>
      <c r="R924" s="1"/>
      <c r="S924" s="1"/>
      <c r="T924" s="1"/>
      <c r="U924" s="1"/>
      <c r="V924" s="1"/>
      <c r="W924" s="1"/>
      <c r="X924" s="1"/>
      <c r="Y924" s="1"/>
      <c r="Z924" s="1"/>
    </row>
    <row r="925" spans="17:26">
      <c r="Q925" s="1"/>
      <c r="R925" s="1"/>
      <c r="S925" s="1"/>
      <c r="T925" s="1"/>
      <c r="U925" s="1"/>
      <c r="V925" s="1"/>
      <c r="W925" s="1"/>
      <c r="X925" s="1"/>
      <c r="Y925" s="1"/>
      <c r="Z925" s="1"/>
    </row>
    <row r="926" spans="17:26">
      <c r="Q926" s="1"/>
      <c r="R926" s="1"/>
      <c r="S926" s="1"/>
      <c r="T926" s="1"/>
      <c r="U926" s="1"/>
      <c r="V926" s="1"/>
      <c r="W926" s="1"/>
      <c r="X926" s="1"/>
      <c r="Y926" s="1"/>
      <c r="Z926" s="1"/>
    </row>
    <row r="927" spans="17:26">
      <c r="Q927" s="1"/>
      <c r="R927" s="1"/>
      <c r="S927" s="1"/>
      <c r="T927" s="1"/>
      <c r="U927" s="1"/>
      <c r="V927" s="1"/>
      <c r="W927" s="1"/>
      <c r="X927" s="1"/>
      <c r="Y927" s="1"/>
      <c r="Z927" s="1"/>
    </row>
    <row r="928" spans="17:26">
      <c r="Q928" s="1"/>
      <c r="R928" s="1"/>
      <c r="S928" s="1"/>
      <c r="T928" s="1"/>
      <c r="U928" s="1"/>
      <c r="V928" s="1"/>
      <c r="W928" s="1"/>
      <c r="X928" s="1"/>
      <c r="Y928" s="1"/>
      <c r="Z928" s="1"/>
    </row>
    <row r="929" spans="17:26">
      <c r="Q929" s="1"/>
      <c r="R929" s="1"/>
      <c r="S929" s="1"/>
      <c r="T929" s="1"/>
      <c r="U929" s="1"/>
      <c r="V929" s="1"/>
      <c r="W929" s="1"/>
      <c r="X929" s="1"/>
      <c r="Y929" s="1"/>
      <c r="Z929" s="1"/>
    </row>
    <row r="930" spans="17:26">
      <c r="Q930" s="1"/>
      <c r="R930" s="1"/>
      <c r="S930" s="1"/>
      <c r="T930" s="1"/>
      <c r="U930" s="1"/>
      <c r="V930" s="1"/>
      <c r="W930" s="1"/>
      <c r="X930" s="1"/>
      <c r="Y930" s="1"/>
      <c r="Z930" s="1"/>
    </row>
    <row r="931" spans="17:26">
      <c r="Q931" s="1"/>
      <c r="R931" s="1"/>
      <c r="S931" s="1"/>
      <c r="T931" s="1"/>
      <c r="U931" s="1"/>
      <c r="V931" s="1"/>
      <c r="W931" s="1"/>
      <c r="X931" s="1"/>
      <c r="Y931" s="1"/>
      <c r="Z931" s="1"/>
    </row>
    <row r="932" spans="17:26">
      <c r="Q932" s="1"/>
      <c r="R932" s="1"/>
      <c r="S932" s="1"/>
      <c r="T932" s="1"/>
      <c r="U932" s="1"/>
      <c r="V932" s="1"/>
      <c r="W932" s="1"/>
      <c r="X932" s="1"/>
      <c r="Y932" s="1"/>
      <c r="Z932" s="1"/>
    </row>
    <row r="933" spans="17:26">
      <c r="Q933" s="1"/>
      <c r="R933" s="1"/>
      <c r="S933" s="1"/>
      <c r="T933" s="1"/>
      <c r="U933" s="1"/>
      <c r="V933" s="1"/>
      <c r="W933" s="1"/>
      <c r="X933" s="1"/>
      <c r="Y933" s="1"/>
      <c r="Z933" s="1"/>
    </row>
  </sheetData>
  <mergeCells count="538">
    <mergeCell ref="R7:Y7"/>
    <mergeCell ref="R28:Y28"/>
    <mergeCell ref="R46:Y46"/>
    <mergeCell ref="R64:Y64"/>
    <mergeCell ref="R23:U23"/>
    <mergeCell ref="R41:T41"/>
    <mergeCell ref="R21:U21"/>
    <mergeCell ref="R24:U24"/>
    <mergeCell ref="R56:T56"/>
    <mergeCell ref="R10:U10"/>
    <mergeCell ref="R260:Y260"/>
    <mergeCell ref="X31:X32"/>
    <mergeCell ref="V31:V32"/>
    <mergeCell ref="W31:W32"/>
    <mergeCell ref="U49:U50"/>
    <mergeCell ref="U39:U40"/>
    <mergeCell ref="V39:V40"/>
    <mergeCell ref="W39:W40"/>
    <mergeCell ref="X118:X119"/>
    <mergeCell ref="V126:V127"/>
    <mergeCell ref="W126:W127"/>
    <mergeCell ref="R123:Y123"/>
    <mergeCell ref="R126:T127"/>
    <mergeCell ref="U118:U119"/>
    <mergeCell ref="W118:W119"/>
    <mergeCell ref="R121:T121"/>
    <mergeCell ref="R225:U225"/>
    <mergeCell ref="R226:U226"/>
    <mergeCell ref="X126:X127"/>
    <mergeCell ref="V213:V214"/>
    <mergeCell ref="R130:Y130"/>
    <mergeCell ref="Y213:Y214"/>
    <mergeCell ref="W213:W214"/>
    <mergeCell ref="X177:X178"/>
    <mergeCell ref="X213:X214"/>
    <mergeCell ref="W198:W199"/>
    <mergeCell ref="U241:U242"/>
    <mergeCell ref="U237:U239"/>
    <mergeCell ref="U235:U236"/>
    <mergeCell ref="R247:T248"/>
    <mergeCell ref="R245:T245"/>
    <mergeCell ref="U243:U245"/>
    <mergeCell ref="R238:T238"/>
    <mergeCell ref="R235:T236"/>
    <mergeCell ref="U247:U248"/>
    <mergeCell ref="R243:T243"/>
    <mergeCell ref="R547:W547"/>
    <mergeCell ref="R534:W534"/>
    <mergeCell ref="R535:S538"/>
    <mergeCell ref="T535:T536"/>
    <mergeCell ref="U535:U536"/>
    <mergeCell ref="V535:V536"/>
    <mergeCell ref="W535:W536"/>
    <mergeCell ref="W548:W549"/>
    <mergeCell ref="R542:S545"/>
    <mergeCell ref="T542:T543"/>
    <mergeCell ref="U542:U543"/>
    <mergeCell ref="V542:V543"/>
    <mergeCell ref="R548:S551"/>
    <mergeCell ref="T548:T549"/>
    <mergeCell ref="U548:U549"/>
    <mergeCell ref="V548:V549"/>
    <mergeCell ref="W542:W543"/>
    <mergeCell ref="U513:U514"/>
    <mergeCell ref="R525:W525"/>
    <mergeCell ref="R526:W526"/>
    <mergeCell ref="R528:S532"/>
    <mergeCell ref="T528:T530"/>
    <mergeCell ref="U528:U530"/>
    <mergeCell ref="V528:V530"/>
    <mergeCell ref="W528:W530"/>
    <mergeCell ref="R518:W518"/>
    <mergeCell ref="R519:S522"/>
    <mergeCell ref="T519:T520"/>
    <mergeCell ref="U519:U520"/>
    <mergeCell ref="V519:V520"/>
    <mergeCell ref="W519:W520"/>
    <mergeCell ref="V513:V514"/>
    <mergeCell ref="R505:W505"/>
    <mergeCell ref="R506:S509"/>
    <mergeCell ref="T506:T507"/>
    <mergeCell ref="U506:U507"/>
    <mergeCell ref="V506:V507"/>
    <mergeCell ref="W506:W507"/>
    <mergeCell ref="W513:W514"/>
    <mergeCell ref="R513:S516"/>
    <mergeCell ref="T513:T514"/>
    <mergeCell ref="U484:U485"/>
    <mergeCell ref="R496:W496"/>
    <mergeCell ref="R497:W497"/>
    <mergeCell ref="R499:S503"/>
    <mergeCell ref="T499:T501"/>
    <mergeCell ref="U499:U501"/>
    <mergeCell ref="V499:V501"/>
    <mergeCell ref="W499:W501"/>
    <mergeCell ref="R489:W489"/>
    <mergeCell ref="R490:S493"/>
    <mergeCell ref="T490:T491"/>
    <mergeCell ref="U490:U491"/>
    <mergeCell ref="V490:V491"/>
    <mergeCell ref="W490:W491"/>
    <mergeCell ref="V484:V485"/>
    <mergeCell ref="R476:W476"/>
    <mergeCell ref="R477:S480"/>
    <mergeCell ref="T477:T478"/>
    <mergeCell ref="U477:U478"/>
    <mergeCell ref="V477:V478"/>
    <mergeCell ref="W477:W478"/>
    <mergeCell ref="W484:W485"/>
    <mergeCell ref="R484:S487"/>
    <mergeCell ref="T484:T485"/>
    <mergeCell ref="U455:U456"/>
    <mergeCell ref="R467:W467"/>
    <mergeCell ref="R468:W468"/>
    <mergeCell ref="R470:S474"/>
    <mergeCell ref="T470:T472"/>
    <mergeCell ref="U470:U472"/>
    <mergeCell ref="V470:V472"/>
    <mergeCell ref="W470:W472"/>
    <mergeCell ref="R460:W460"/>
    <mergeCell ref="R461:S464"/>
    <mergeCell ref="T461:T462"/>
    <mergeCell ref="U461:U462"/>
    <mergeCell ref="V461:V462"/>
    <mergeCell ref="W461:W462"/>
    <mergeCell ref="V455:V456"/>
    <mergeCell ref="R447:W447"/>
    <mergeCell ref="R448:S451"/>
    <mergeCell ref="T448:T449"/>
    <mergeCell ref="U448:U449"/>
    <mergeCell ref="V448:V449"/>
    <mergeCell ref="W448:W449"/>
    <mergeCell ref="W455:W456"/>
    <mergeCell ref="R455:S458"/>
    <mergeCell ref="T455:T456"/>
    <mergeCell ref="R439:W439"/>
    <mergeCell ref="R441:S445"/>
    <mergeCell ref="T441:T443"/>
    <mergeCell ref="U441:U443"/>
    <mergeCell ref="V441:V443"/>
    <mergeCell ref="W441:W443"/>
    <mergeCell ref="R438:W438"/>
    <mergeCell ref="R435:W437"/>
    <mergeCell ref="R316:W318"/>
    <mergeCell ref="R351:S355"/>
    <mergeCell ref="T358:T359"/>
    <mergeCell ref="U365:U366"/>
    <mergeCell ref="V351:V353"/>
    <mergeCell ref="T371:T372"/>
    <mergeCell ref="R370:W370"/>
    <mergeCell ref="U351:U353"/>
    <mergeCell ref="V322:V324"/>
    <mergeCell ref="Y286:Y287"/>
    <mergeCell ref="T301:U301"/>
    <mergeCell ref="T302:U302"/>
    <mergeCell ref="X273:X274"/>
    <mergeCell ref="X286:X287"/>
    <mergeCell ref="V273:V274"/>
    <mergeCell ref="V286:V287"/>
    <mergeCell ref="W286:W287"/>
    <mergeCell ref="W273:W274"/>
    <mergeCell ref="R228:U228"/>
    <mergeCell ref="R341:W341"/>
    <mergeCell ref="V336:V337"/>
    <mergeCell ref="R298:U298"/>
    <mergeCell ref="T322:T324"/>
    <mergeCell ref="U336:U337"/>
    <mergeCell ref="U306:U307"/>
    <mergeCell ref="V306:V307"/>
    <mergeCell ref="S306:S307"/>
    <mergeCell ref="U322:U324"/>
    <mergeCell ref="R257:T257"/>
    <mergeCell ref="R198:T199"/>
    <mergeCell ref="R201:T201"/>
    <mergeCell ref="R223:U223"/>
    <mergeCell ref="R224:U224"/>
    <mergeCell ref="R218:U218"/>
    <mergeCell ref="R216:U216"/>
    <mergeCell ref="R200:T200"/>
    <mergeCell ref="R222:U222"/>
    <mergeCell ref="R227:U227"/>
    <mergeCell ref="R221:U221"/>
    <mergeCell ref="R158:T158"/>
    <mergeCell ref="R160:T160"/>
    <mergeCell ref="R202:T202"/>
    <mergeCell ref="R204:Y208"/>
    <mergeCell ref="R213:U214"/>
    <mergeCell ref="V198:V199"/>
    <mergeCell ref="U198:U199"/>
    <mergeCell ref="Y210:Y211"/>
    <mergeCell ref="R210:W211"/>
    <mergeCell ref="X112:X113"/>
    <mergeCell ref="R114:T114"/>
    <mergeCell ref="U100:U101"/>
    <mergeCell ref="W100:W101"/>
    <mergeCell ref="R100:T101"/>
    <mergeCell ref="R108:T108"/>
    <mergeCell ref="R102:T102"/>
    <mergeCell ref="W106:W107"/>
    <mergeCell ref="U112:U113"/>
    <mergeCell ref="R109:T109"/>
    <mergeCell ref="R215:U215"/>
    <mergeCell ref="U132:U133"/>
    <mergeCell ref="R244:T244"/>
    <mergeCell ref="R237:T237"/>
    <mergeCell ref="R153:T153"/>
    <mergeCell ref="R217:U217"/>
    <mergeCell ref="R219:U219"/>
    <mergeCell ref="R239:T239"/>
    <mergeCell ref="R231:U231"/>
    <mergeCell ref="R134:T134"/>
    <mergeCell ref="R11:U11"/>
    <mergeCell ref="R74:T75"/>
    <mergeCell ref="R76:T76"/>
    <mergeCell ref="R19:U19"/>
    <mergeCell ref="R20:U20"/>
    <mergeCell ref="R62:T62"/>
    <mergeCell ref="R14:U14"/>
    <mergeCell ref="R12:U12"/>
    <mergeCell ref="R15:U15"/>
    <mergeCell ref="R16:U16"/>
    <mergeCell ref="R77:T77"/>
    <mergeCell ref="R86:T86"/>
    <mergeCell ref="R71:T71"/>
    <mergeCell ref="R83:T84"/>
    <mergeCell ref="R80:Y80"/>
    <mergeCell ref="X74:X75"/>
    <mergeCell ref="U83:U84"/>
    <mergeCell ref="V74:V75"/>
    <mergeCell ref="W74:W75"/>
    <mergeCell ref="U74:U75"/>
    <mergeCell ref="X39:X40"/>
    <mergeCell ref="V83:V84"/>
    <mergeCell ref="T423:T424"/>
    <mergeCell ref="U423:U424"/>
    <mergeCell ref="R70:T70"/>
    <mergeCell ref="R92:T92"/>
    <mergeCell ref="R78:T78"/>
    <mergeCell ref="W409:W411"/>
    <mergeCell ref="R406:W406"/>
    <mergeCell ref="V400:V401"/>
    <mergeCell ref="R13:U13"/>
    <mergeCell ref="R31:T32"/>
    <mergeCell ref="R25:U25"/>
    <mergeCell ref="U31:U32"/>
    <mergeCell ref="R22:U22"/>
    <mergeCell ref="R428:W428"/>
    <mergeCell ref="T387:T388"/>
    <mergeCell ref="U358:U359"/>
    <mergeCell ref="V342:V343"/>
    <mergeCell ref="R342:S345"/>
    <mergeCell ref="R429:S432"/>
    <mergeCell ref="W423:W424"/>
    <mergeCell ref="T429:T430"/>
    <mergeCell ref="U429:U430"/>
    <mergeCell ref="V429:V430"/>
    <mergeCell ref="W429:W430"/>
    <mergeCell ref="R423:S426"/>
    <mergeCell ref="V423:V424"/>
    <mergeCell ref="T342:T343"/>
    <mergeCell ref="R377:W377"/>
    <mergeCell ref="U371:U372"/>
    <mergeCell ref="V371:V372"/>
    <mergeCell ref="R349:W349"/>
    <mergeCell ref="W371:W372"/>
    <mergeCell ref="T351:T353"/>
    <mergeCell ref="R371:S374"/>
    <mergeCell ref="U342:U343"/>
    <mergeCell ref="T365:T366"/>
    <mergeCell ref="T409:T411"/>
    <mergeCell ref="U409:U411"/>
    <mergeCell ref="V409:V411"/>
    <mergeCell ref="T416:T417"/>
    <mergeCell ref="U416:U417"/>
    <mergeCell ref="V416:V417"/>
    <mergeCell ref="R415:W415"/>
    <mergeCell ref="W416:W417"/>
    <mergeCell ref="R416:S419"/>
    <mergeCell ref="R407:W407"/>
    <mergeCell ref="R409:S413"/>
    <mergeCell ref="R220:U220"/>
    <mergeCell ref="R229:U229"/>
    <mergeCell ref="R387:S390"/>
    <mergeCell ref="R290:U290"/>
    <mergeCell ref="R291:U291"/>
    <mergeCell ref="R292:U292"/>
    <mergeCell ref="R293:U293"/>
    <mergeCell ref="R336:S339"/>
    <mergeCell ref="R128:T128"/>
    <mergeCell ref="V112:V113"/>
    <mergeCell ref="V118:V119"/>
    <mergeCell ref="R120:T120"/>
    <mergeCell ref="R118:T119"/>
    <mergeCell ref="R115:T115"/>
    <mergeCell ref="U126:U127"/>
    <mergeCell ref="R241:T242"/>
    <mergeCell ref="T394:T395"/>
    <mergeCell ref="U400:U401"/>
    <mergeCell ref="R400:S403"/>
    <mergeCell ref="T400:T401"/>
    <mergeCell ref="R399:W399"/>
    <mergeCell ref="U394:U395"/>
    <mergeCell ref="V394:V395"/>
    <mergeCell ref="W394:W395"/>
    <mergeCell ref="V387:V388"/>
    <mergeCell ref="R394:S397"/>
    <mergeCell ref="W400:W401"/>
    <mergeCell ref="R386:W386"/>
    <mergeCell ref="R380:S384"/>
    <mergeCell ref="T380:T382"/>
    <mergeCell ref="U380:U382"/>
    <mergeCell ref="V380:V382"/>
    <mergeCell ref="W380:W382"/>
    <mergeCell ref="U387:U388"/>
    <mergeCell ref="W387:W388"/>
    <mergeCell ref="R357:W357"/>
    <mergeCell ref="W358:W359"/>
    <mergeCell ref="R348:W348"/>
    <mergeCell ref="W365:W366"/>
    <mergeCell ref="W351:W353"/>
    <mergeCell ref="V365:V366"/>
    <mergeCell ref="R358:S361"/>
    <mergeCell ref="V358:V359"/>
    <mergeCell ref="R251:T251"/>
    <mergeCell ref="R278:X278"/>
    <mergeCell ref="X267:X268"/>
    <mergeCell ref="V254:V255"/>
    <mergeCell ref="R272:X272"/>
    <mergeCell ref="U273:U274"/>
    <mergeCell ref="R267:T267"/>
    <mergeCell ref="V267:V268"/>
    <mergeCell ref="W267:W268"/>
    <mergeCell ref="U267:U268"/>
    <mergeCell ref="U265:V265"/>
    <mergeCell ref="R365:S368"/>
    <mergeCell ref="W342:W343"/>
    <mergeCell ref="R295:U295"/>
    <mergeCell ref="R279:T279"/>
    <mergeCell ref="R299:U299"/>
    <mergeCell ref="R305:V305"/>
    <mergeCell ref="R296:U296"/>
    <mergeCell ref="R297:U297"/>
    <mergeCell ref="R328:W328"/>
    <mergeCell ref="R152:T152"/>
    <mergeCell ref="V156:V157"/>
    <mergeCell ref="R378:W378"/>
    <mergeCell ref="R320:W320"/>
    <mergeCell ref="R322:S326"/>
    <mergeCell ref="R329:S332"/>
    <mergeCell ref="T329:T330"/>
    <mergeCell ref="U329:U330"/>
    <mergeCell ref="V329:V330"/>
    <mergeCell ref="V235:V236"/>
    <mergeCell ref="X106:X107"/>
    <mergeCell ref="W49:W50"/>
    <mergeCell ref="V90:V91"/>
    <mergeCell ref="X83:X84"/>
    <mergeCell ref="W90:W91"/>
    <mergeCell ref="R96:Y96"/>
    <mergeCell ref="R90:T91"/>
    <mergeCell ref="X90:X91"/>
    <mergeCell ref="R93:T93"/>
    <mergeCell ref="R87:T87"/>
    <mergeCell ref="X49:X50"/>
    <mergeCell ref="V49:V50"/>
    <mergeCell ref="X59:X60"/>
    <mergeCell ref="X100:X101"/>
    <mergeCell ref="V100:V101"/>
    <mergeCell ref="X67:X68"/>
    <mergeCell ref="W67:W68"/>
    <mergeCell ref="W83:W84"/>
    <mergeCell ref="U152:U154"/>
    <mergeCell ref="R137:Y137"/>
    <mergeCell ref="W150:W151"/>
    <mergeCell ref="U150:U151"/>
    <mergeCell ref="V143:V144"/>
    <mergeCell ref="W143:W144"/>
    <mergeCell ref="U143:U144"/>
    <mergeCell ref="R154:T154"/>
    <mergeCell ref="R149:X149"/>
    <mergeCell ref="R148:T148"/>
    <mergeCell ref="R94:T94"/>
    <mergeCell ref="W112:W113"/>
    <mergeCell ref="R85:T85"/>
    <mergeCell ref="U106:U107"/>
    <mergeCell ref="R112:T113"/>
    <mergeCell ref="R103:T103"/>
    <mergeCell ref="V106:V107"/>
    <mergeCell ref="U90:U91"/>
    <mergeCell ref="R106:T107"/>
    <mergeCell ref="W132:W133"/>
    <mergeCell ref="X143:X144"/>
    <mergeCell ref="U145:U146"/>
    <mergeCell ref="X132:X133"/>
    <mergeCell ref="R147:T147"/>
    <mergeCell ref="V132:V133"/>
    <mergeCell ref="R135:T135"/>
    <mergeCell ref="R132:T133"/>
    <mergeCell ref="R145:T145"/>
    <mergeCell ref="R146:T146"/>
    <mergeCell ref="R143:T144"/>
    <mergeCell ref="R155:X155"/>
    <mergeCell ref="R177:T178"/>
    <mergeCell ref="R159:T159"/>
    <mergeCell ref="V177:V178"/>
    <mergeCell ref="W177:W178"/>
    <mergeCell ref="X172:X173"/>
    <mergeCell ref="U156:U157"/>
    <mergeCell ref="R156:T157"/>
    <mergeCell ref="U172:U173"/>
    <mergeCell ref="U158:U160"/>
    <mergeCell ref="W235:W236"/>
    <mergeCell ref="V167:V168"/>
    <mergeCell ref="S275:T275"/>
    <mergeCell ref="R286:U287"/>
    <mergeCell ref="S276:T276"/>
    <mergeCell ref="U264:V264"/>
    <mergeCell ref="R268:R271"/>
    <mergeCell ref="S268:T268"/>
    <mergeCell ref="R250:T250"/>
    <mergeCell ref="U254:U255"/>
    <mergeCell ref="R280:R283"/>
    <mergeCell ref="W279:W280"/>
    <mergeCell ref="V279:V280"/>
    <mergeCell ref="S283:T283"/>
    <mergeCell ref="S280:T280"/>
    <mergeCell ref="S282:T282"/>
    <mergeCell ref="S281:T281"/>
    <mergeCell ref="U279:U280"/>
    <mergeCell ref="R254:T255"/>
    <mergeCell ref="U249:U251"/>
    <mergeCell ref="R249:T249"/>
    <mergeCell ref="X279:X280"/>
    <mergeCell ref="S271:T271"/>
    <mergeCell ref="S270:T270"/>
    <mergeCell ref="R273:T273"/>
    <mergeCell ref="S274:T274"/>
    <mergeCell ref="R274:R277"/>
    <mergeCell ref="S277:T277"/>
    <mergeCell ref="S269:T269"/>
    <mergeCell ref="X254:X255"/>
    <mergeCell ref="X241:X242"/>
    <mergeCell ref="V241:V242"/>
    <mergeCell ref="W241:W242"/>
    <mergeCell ref="X247:X248"/>
    <mergeCell ref="W247:W248"/>
    <mergeCell ref="V247:V248"/>
    <mergeCell ref="W254:W255"/>
    <mergeCell ref="R264:S265"/>
    <mergeCell ref="W336:W337"/>
    <mergeCell ref="W322:W324"/>
    <mergeCell ref="R288:U288"/>
    <mergeCell ref="R289:U289"/>
    <mergeCell ref="T306:T307"/>
    <mergeCell ref="R306:R307"/>
    <mergeCell ref="R319:W319"/>
    <mergeCell ref="T336:T337"/>
    <mergeCell ref="R294:U294"/>
    <mergeCell ref="W329:W330"/>
    <mergeCell ref="R69:T69"/>
    <mergeCell ref="W59:W60"/>
    <mergeCell ref="R59:T60"/>
    <mergeCell ref="R67:T68"/>
    <mergeCell ref="V67:V68"/>
    <mergeCell ref="V59:V60"/>
    <mergeCell ref="R61:T61"/>
    <mergeCell ref="U67:U68"/>
    <mergeCell ref="U59:U60"/>
    <mergeCell ref="R54:T55"/>
    <mergeCell ref="R26:U26"/>
    <mergeCell ref="R35:T35"/>
    <mergeCell ref="R36:T36"/>
    <mergeCell ref="R34:T34"/>
    <mergeCell ref="R44:T44"/>
    <mergeCell ref="R42:T42"/>
    <mergeCell ref="R43:T43"/>
    <mergeCell ref="R39:T40"/>
    <mergeCell ref="R33:T33"/>
    <mergeCell ref="R2:Y3"/>
    <mergeCell ref="R150:T151"/>
    <mergeCell ref="X150:X151"/>
    <mergeCell ref="V150:V151"/>
    <mergeCell ref="X54:X55"/>
    <mergeCell ref="V54:V55"/>
    <mergeCell ref="U54:U55"/>
    <mergeCell ref="R49:T50"/>
    <mergeCell ref="R51:T51"/>
    <mergeCell ref="W54:W55"/>
    <mergeCell ref="R169:T169"/>
    <mergeCell ref="U177:U178"/>
    <mergeCell ref="U162:U163"/>
    <mergeCell ref="R164:T164"/>
    <mergeCell ref="R162:T163"/>
    <mergeCell ref="R175:T175"/>
    <mergeCell ref="R167:T168"/>
    <mergeCell ref="R172:T173"/>
    <mergeCell ref="R165:T165"/>
    <mergeCell ref="U167:U168"/>
    <mergeCell ref="R196:T196"/>
    <mergeCell ref="R190:T190"/>
    <mergeCell ref="R191:T191"/>
    <mergeCell ref="R193:T194"/>
    <mergeCell ref="R195:T195"/>
    <mergeCell ref="U188:U189"/>
    <mergeCell ref="V162:V163"/>
    <mergeCell ref="W162:W163"/>
    <mergeCell ref="W167:W168"/>
    <mergeCell ref="R186:T186"/>
    <mergeCell ref="R188:T189"/>
    <mergeCell ref="U183:U184"/>
    <mergeCell ref="R183:T184"/>
    <mergeCell ref="R185:T185"/>
    <mergeCell ref="R180:T180"/>
    <mergeCell ref="V188:V189"/>
    <mergeCell ref="X235:X236"/>
    <mergeCell ref="X156:X157"/>
    <mergeCell ref="W156:W157"/>
    <mergeCell ref="X193:X194"/>
    <mergeCell ref="X188:X189"/>
    <mergeCell ref="W188:W189"/>
    <mergeCell ref="X162:X163"/>
    <mergeCell ref="R5:U5"/>
    <mergeCell ref="R142:W142"/>
    <mergeCell ref="V193:V194"/>
    <mergeCell ref="W193:W194"/>
    <mergeCell ref="V183:V184"/>
    <mergeCell ref="W183:W184"/>
    <mergeCell ref="R174:T174"/>
    <mergeCell ref="R179:T179"/>
    <mergeCell ref="R181:T181"/>
    <mergeCell ref="R170:T170"/>
    <mergeCell ref="V172:V173"/>
    <mergeCell ref="W172:W173"/>
    <mergeCell ref="U193:U194"/>
    <mergeCell ref="X167:X168"/>
    <mergeCell ref="X210:X211"/>
    <mergeCell ref="X198:X199"/>
    <mergeCell ref="X183:X184"/>
  </mergeCells>
  <phoneticPr fontId="0" type="noConversion"/>
  <conditionalFormatting sqref="X254:X255 X106:X107 X247:X248 X49:X50 X235:X236 X54:X55 X67:X68 X74:X75 X100:X101 X112:X113 X118:X119 X132:X133 X279:X280 X126:X127 X241:X242 X59:X60 Y286:Y287 S306:S307 X143:X144 X183:X184 X177:X178 X267:X268 X273:X274 Y213:Y214 X83 X90 X156:X157 X150:X151 X198:X199 X162:X163 X167:X168 X172:X173 X188:X189 X193:X194 AB186">
    <cfRule type="cellIs" dxfId="51" priority="1" stopIfTrue="1" operator="equal">
      <formula>$U$31</formula>
    </cfRule>
    <cfRule type="cellIs" dxfId="50" priority="2" stopIfTrue="1" operator="equal">
      <formula>$W$31</formula>
    </cfRule>
    <cfRule type="cellIs" dxfId="49" priority="3" stopIfTrue="1" operator="equal">
      <formula>$Y$31</formula>
    </cfRule>
  </conditionalFormatting>
  <conditionalFormatting sqref="V106:V107 V247:V248 V49:V50 V241:V242 V54:V55 V59:V60 V67:V68 V74:V75 W286:W287 V100:V101 V112:V113 V118:V119 V126:V127 V132:V133 V279:V280 V235:V236 V254:V255 T306:T307 V143:V144 V183:V184 V177:V178 V267:V268 V273:V274 W213:W214 V83 V90 V156:V157 V150:V151 V198:V199 V162:V163 V167:V168 V172:V173 V188:V189 V193:V194 AB184">
    <cfRule type="cellIs" dxfId="48" priority="4" stopIfTrue="1" operator="equal">
      <formula>$R$6</formula>
    </cfRule>
    <cfRule type="cellIs" dxfId="47" priority="5" stopIfTrue="1" operator="equal">
      <formula>$V$33</formula>
    </cfRule>
    <cfRule type="cellIs" dxfId="46" priority="6" stopIfTrue="1" operator="equal">
      <formula>$R$8</formula>
    </cfRule>
  </conditionalFormatting>
  <conditionalFormatting sqref="W106:W107 W126:W127 W247:W248 W49:W50 W241:W242 W54:W55 W59:W60 W67:W68 W74:W75 X286:X287 W100:W101 W112:W113 W118:W119 W132:W133 W279:W280 W235:W236 W254:W255 U306:U307 W143:W144 W183:W184 W177:W178 W267:W268 W273:W274 X213:X214 W83 W90 W156:W157 W150:W151 W198:W199 W162:W163 W167:W168 W172:W173 W188:W189 W193:W194 AB185">
    <cfRule type="cellIs" dxfId="45" priority="7" stopIfTrue="1" operator="equal">
      <formula>$R$6</formula>
    </cfRule>
    <cfRule type="cellIs" dxfId="44" priority="8" stopIfTrue="1" operator="equal">
      <formula>$R$7</formula>
    </cfRule>
    <cfRule type="cellIs" dxfId="43" priority="9" stopIfTrue="1" operator="equal">
      <formula>$W$33</formula>
    </cfRule>
  </conditionalFormatting>
  <conditionalFormatting sqref="R36 R44">
    <cfRule type="cellIs" dxfId="42" priority="10" stopIfTrue="1" operator="equal">
      <formula>$AI$31</formula>
    </cfRule>
    <cfRule type="cellIs" dxfId="41" priority="11" stopIfTrue="1" operator="equal">
      <formula>$AK$31</formula>
    </cfRule>
    <cfRule type="cellIs" dxfId="40" priority="12" stopIfTrue="1" operator="equal">
      <formula>$AM$31</formula>
    </cfRule>
  </conditionalFormatting>
  <conditionalFormatting sqref="R34 R42">
    <cfRule type="cellIs" dxfId="39" priority="13" stopIfTrue="1" operator="equal">
      <formula>$AF$6</formula>
    </cfRule>
    <cfRule type="cellIs" dxfId="38" priority="14" stopIfTrue="1" operator="equal">
      <formula>$AJ$33</formula>
    </cfRule>
    <cfRule type="cellIs" dxfId="37" priority="15" stopIfTrue="1" operator="equal">
      <formula>$AF$8</formula>
    </cfRule>
  </conditionalFormatting>
  <conditionalFormatting sqref="R35 R43">
    <cfRule type="cellIs" dxfId="36" priority="16" stopIfTrue="1" operator="equal">
      <formula>$AF$6</formula>
    </cfRule>
    <cfRule type="cellIs" dxfId="35" priority="17" stopIfTrue="1" operator="equal">
      <formula>$AF$7</formula>
    </cfRule>
    <cfRule type="cellIs" dxfId="34" priority="18" stopIfTrue="1" operator="equal">
      <formula>$AK$33</formula>
    </cfRule>
  </conditionalFormatting>
  <conditionalFormatting sqref="U108:X109">
    <cfRule type="cellIs" dxfId="33" priority="19" stopIfTrue="1" operator="equal">
      <formula>"yes"</formula>
    </cfRule>
    <cfRule type="cellIs" dxfId="32" priority="20" stopIfTrue="1" operator="equal">
      <formula>"no"</formula>
    </cfRule>
  </conditionalFormatting>
  <pageMargins left="0" right="0" top="0.59055118110236227" bottom="0.39370078740157483" header="0.51181102362204722" footer="0.51181102362204722"/>
  <pageSetup paperSize="9" fitToHeight="6" orientation="portrait" r:id="rId1"/>
  <headerFooter alignWithMargins="0"/>
</worksheet>
</file>

<file path=xl/worksheets/sheet52.xml><?xml version="1.0" encoding="utf-8"?>
<worksheet xmlns="http://schemas.openxmlformats.org/spreadsheetml/2006/main" xmlns:r="http://schemas.openxmlformats.org/officeDocument/2006/relationships">
  <sheetPr codeName="Sheet71">
    <pageSetUpPr autoPageBreaks="0"/>
  </sheetPr>
  <dimension ref="B1:U2270"/>
  <sheetViews>
    <sheetView showGridLines="0" showRowColHeaders="0" topLeftCell="A394" workbookViewId="0">
      <selection activeCell="C2" sqref="C2:J3"/>
    </sheetView>
  </sheetViews>
  <sheetFormatPr defaultRowHeight="12.75"/>
  <cols>
    <col min="1" max="1" width="9.140625" style="1"/>
    <col min="2" max="2" width="4.7109375" style="20" customWidth="1"/>
    <col min="3" max="10" width="11.7109375" style="18" customWidth="1"/>
    <col min="11" max="11" width="4.7109375" style="18" customWidth="1"/>
    <col min="12" max="14" width="10.7109375" style="1" customWidth="1"/>
    <col min="15" max="15" width="8.7109375" style="1" customWidth="1"/>
    <col min="16" max="20" width="13.7109375" style="1" customWidth="1"/>
    <col min="21" max="22" width="10.7109375" style="1" customWidth="1"/>
    <col min="23" max="39" width="10.28515625" style="1" customWidth="1"/>
    <col min="40" max="95" width="10.7109375" style="1" customWidth="1"/>
    <col min="96" max="16384" width="9.140625" style="1"/>
  </cols>
  <sheetData>
    <row r="1" spans="2:19" ht="6" customHeight="1" thickBot="1">
      <c r="B1" s="360"/>
      <c r="C1" s="361"/>
      <c r="D1" s="361"/>
      <c r="E1" s="361"/>
      <c r="F1" s="361"/>
      <c r="G1" s="361"/>
      <c r="H1" s="361"/>
      <c r="I1" s="361"/>
      <c r="J1" s="361"/>
      <c r="K1" s="361"/>
      <c r="L1"/>
      <c r="M1"/>
      <c r="N1"/>
      <c r="O1"/>
      <c r="P1"/>
      <c r="Q1"/>
      <c r="R1"/>
      <c r="S1"/>
    </row>
    <row r="2" spans="2:19" ht="12.75" customHeight="1" thickTop="1">
      <c r="B2" s="363"/>
      <c r="C2" s="1385" t="s">
        <v>292</v>
      </c>
      <c r="D2" s="1386"/>
      <c r="E2" s="1386"/>
      <c r="F2" s="1386"/>
      <c r="G2" s="1386"/>
      <c r="H2" s="1386"/>
      <c r="I2" s="1386"/>
      <c r="J2" s="1387"/>
      <c r="K2" s="362"/>
      <c r="L2"/>
      <c r="M2"/>
      <c r="N2"/>
      <c r="O2"/>
      <c r="P2"/>
      <c r="Q2"/>
      <c r="R2"/>
      <c r="S2"/>
    </row>
    <row r="3" spans="2:19" ht="12.75" customHeight="1" thickBot="1">
      <c r="B3" s="363"/>
      <c r="C3" s="1388"/>
      <c r="D3" s="1389"/>
      <c r="E3" s="1389"/>
      <c r="F3" s="1389"/>
      <c r="G3" s="1389"/>
      <c r="H3" s="1389"/>
      <c r="I3" s="1389"/>
      <c r="J3" s="1390"/>
      <c r="K3" s="362"/>
      <c r="L3"/>
      <c r="M3"/>
      <c r="N3"/>
      <c r="O3"/>
      <c r="P3"/>
      <c r="Q3"/>
      <c r="R3"/>
      <c r="S3"/>
    </row>
    <row r="4" spans="2:19" ht="12.75" customHeight="1" thickTop="1">
      <c r="B4" s="363"/>
      <c r="C4" s="361"/>
      <c r="D4" s="361"/>
      <c r="E4" s="361"/>
      <c r="F4" s="361"/>
      <c r="G4" s="361"/>
      <c r="H4" s="361"/>
      <c r="I4" s="361"/>
      <c r="J4" s="361"/>
      <c r="K4" s="361"/>
      <c r="L4"/>
      <c r="M4"/>
      <c r="N4"/>
      <c r="O4"/>
      <c r="P4"/>
      <c r="Q4"/>
      <c r="R4"/>
      <c r="S4"/>
    </row>
    <row r="5" spans="2:19" ht="12.75" customHeight="1">
      <c r="B5" s="546" t="s">
        <v>32</v>
      </c>
      <c r="C5" s="547" t="s">
        <v>689</v>
      </c>
      <c r="D5" s="361"/>
      <c r="E5" s="361"/>
      <c r="F5" s="361"/>
      <c r="G5" s="361"/>
      <c r="H5" s="361"/>
      <c r="I5" s="361"/>
      <c r="J5" s="361"/>
      <c r="K5" s="361"/>
      <c r="L5"/>
      <c r="M5"/>
      <c r="N5"/>
      <c r="O5"/>
      <c r="P5"/>
      <c r="Q5"/>
      <c r="R5"/>
      <c r="S5"/>
    </row>
    <row r="6" spans="2:19" ht="12.75" customHeight="1">
      <c r="B6" s="360"/>
      <c r="C6" s="361"/>
      <c r="D6" s="361"/>
      <c r="E6" s="361"/>
      <c r="F6" s="361"/>
      <c r="G6" s="361"/>
      <c r="H6" s="361"/>
      <c r="I6" s="361"/>
      <c r="J6" s="361"/>
      <c r="K6" s="361"/>
      <c r="L6"/>
      <c r="M6"/>
      <c r="N6"/>
      <c r="O6"/>
      <c r="P6"/>
      <c r="Q6"/>
      <c r="R6"/>
      <c r="S6"/>
    </row>
    <row r="7" spans="2:19" ht="12.75" customHeight="1">
      <c r="B7" s="360">
        <v>1.1000000000000001</v>
      </c>
      <c r="C7" s="363" t="s">
        <v>694</v>
      </c>
      <c r="D7" s="361"/>
      <c r="E7" s="361"/>
      <c r="F7" s="361"/>
      <c r="G7" s="361"/>
      <c r="H7" s="361"/>
      <c r="I7" s="361"/>
      <c r="J7" s="361"/>
      <c r="K7" s="361"/>
      <c r="L7"/>
      <c r="M7"/>
      <c r="N7"/>
      <c r="O7"/>
      <c r="P7"/>
      <c r="Q7"/>
      <c r="R7"/>
      <c r="S7"/>
    </row>
    <row r="8" spans="2:19" ht="12.75" customHeight="1">
      <c r="B8" s="548"/>
      <c r="C8" s="951" t="s">
        <v>293</v>
      </c>
      <c r="D8" s="951"/>
      <c r="E8" s="951"/>
      <c r="F8" s="951"/>
      <c r="G8" s="951"/>
      <c r="H8" s="447">
        <f>'Working Master '!V5</f>
        <v>450</v>
      </c>
      <c r="I8" s="514"/>
      <c r="J8" s="514"/>
      <c r="K8" s="362"/>
      <c r="L8"/>
      <c r="M8"/>
      <c r="N8"/>
      <c r="O8"/>
      <c r="P8"/>
      <c r="Q8"/>
      <c r="R8"/>
      <c r="S8"/>
    </row>
    <row r="9" spans="2:19" ht="12.75" customHeight="1">
      <c r="B9" s="360"/>
      <c r="C9" s="514"/>
      <c r="D9" s="514"/>
      <c r="E9" s="514"/>
      <c r="F9" s="514"/>
      <c r="G9" s="514"/>
      <c r="H9" s="514"/>
      <c r="I9" s="514"/>
      <c r="J9" s="514"/>
      <c r="K9" s="362"/>
      <c r="L9"/>
      <c r="M9"/>
      <c r="N9"/>
      <c r="O9"/>
      <c r="P9"/>
      <c r="Q9"/>
      <c r="R9"/>
      <c r="S9"/>
    </row>
    <row r="10" spans="2:19" ht="12.75" customHeight="1">
      <c r="B10" s="360">
        <v>1.2</v>
      </c>
      <c r="C10" s="1396" t="s">
        <v>690</v>
      </c>
      <c r="D10" s="1396"/>
      <c r="E10" s="1396"/>
      <c r="F10" s="1396"/>
      <c r="G10" s="1396"/>
      <c r="H10" s="1396"/>
      <c r="I10" s="1396"/>
      <c r="J10" s="1396"/>
      <c r="K10" s="362"/>
      <c r="L10"/>
      <c r="M10"/>
      <c r="N10"/>
      <c r="O10"/>
      <c r="P10"/>
      <c r="Q10"/>
      <c r="R10"/>
      <c r="S10"/>
    </row>
    <row r="11" spans="2:19" ht="12.75" customHeight="1">
      <c r="B11" s="360"/>
      <c r="C11" s="1393" t="s">
        <v>691</v>
      </c>
      <c r="D11" s="1393"/>
      <c r="E11" s="1393"/>
      <c r="F11" s="1395" t="str">
        <f>IF(PPE!I13=1,PPE!B7,IF(PPE!I13=2,PPE!B8,IF(PPE!I13=3,PPE!B9,IF(PPE!I13=4,PPE!B10))))</f>
        <v>Expandable/Slow-recovery foam/Custom Earplugs</v>
      </c>
      <c r="G11" s="1395"/>
      <c r="H11" s="1395"/>
      <c r="I11" s="1395"/>
      <c r="J11" s="1395"/>
      <c r="K11" s="361"/>
      <c r="L11"/>
      <c r="M11"/>
      <c r="N11"/>
      <c r="O11"/>
      <c r="P11"/>
      <c r="Q11"/>
      <c r="R11"/>
      <c r="S11"/>
    </row>
    <row r="12" spans="2:19" ht="12.75" customHeight="1">
      <c r="B12" s="360"/>
      <c r="C12" s="1394" t="s">
        <v>693</v>
      </c>
      <c r="D12" s="1394"/>
      <c r="E12" s="1394"/>
      <c r="F12" s="1397">
        <f>PPE!I14</f>
        <v>33</v>
      </c>
      <c r="G12" s="1397"/>
      <c r="H12" s="1397"/>
      <c r="I12" s="1397"/>
      <c r="J12" s="1397"/>
      <c r="K12" s="361"/>
      <c r="L12"/>
      <c r="M12"/>
      <c r="N12"/>
      <c r="O12"/>
      <c r="P12"/>
      <c r="Q12"/>
      <c r="R12"/>
      <c r="S12"/>
    </row>
    <row r="13" spans="2:19" ht="12.75" customHeight="1">
      <c r="B13" s="360"/>
      <c r="C13" s="1394" t="s">
        <v>692</v>
      </c>
      <c r="D13" s="1394"/>
      <c r="E13" s="1394"/>
      <c r="F13" s="1397">
        <f>PPE!I15</f>
        <v>13</v>
      </c>
      <c r="G13" s="1397"/>
      <c r="H13" s="1397"/>
      <c r="I13" s="1397"/>
      <c r="J13" s="1397"/>
      <c r="K13" s="361"/>
      <c r="L13"/>
      <c r="M13"/>
      <c r="N13"/>
      <c r="O13"/>
      <c r="P13"/>
      <c r="Q13"/>
      <c r="R13"/>
      <c r="S13"/>
    </row>
    <row r="14" spans="2:19" ht="12.75" customHeight="1">
      <c r="B14" s="360"/>
      <c r="C14" s="362"/>
      <c r="D14" s="362"/>
      <c r="E14" s="362"/>
      <c r="F14" s="362"/>
      <c r="G14" s="361"/>
      <c r="H14" s="361"/>
      <c r="I14" s="361"/>
      <c r="J14" s="361"/>
      <c r="K14" s="361"/>
      <c r="L14"/>
      <c r="M14"/>
      <c r="N14"/>
      <c r="O14"/>
      <c r="P14"/>
      <c r="Q14"/>
      <c r="R14"/>
      <c r="S14"/>
    </row>
    <row r="15" spans="2:19" ht="12.75" customHeight="1">
      <c r="B15" s="546" t="s">
        <v>33</v>
      </c>
      <c r="C15" s="1008" t="s">
        <v>24</v>
      </c>
      <c r="D15" s="1008"/>
      <c r="E15" s="1008"/>
      <c r="F15" s="1008"/>
      <c r="G15" s="1008"/>
      <c r="H15" s="1008"/>
      <c r="I15" s="1008"/>
      <c r="J15" s="1008"/>
      <c r="K15" s="536"/>
      <c r="L15"/>
      <c r="M15"/>
      <c r="N15"/>
      <c r="O15"/>
      <c r="P15"/>
      <c r="Q15"/>
      <c r="R15"/>
      <c r="S15"/>
    </row>
    <row r="16" spans="2:19" ht="12.75" customHeight="1">
      <c r="B16" s="386"/>
      <c r="C16" s="361"/>
      <c r="D16" s="361"/>
      <c r="E16" s="361"/>
      <c r="F16" s="361"/>
      <c r="G16" s="361"/>
      <c r="H16" s="361"/>
      <c r="I16" s="361"/>
      <c r="J16" s="361"/>
      <c r="K16" s="361"/>
      <c r="L16"/>
      <c r="M16"/>
      <c r="N16"/>
      <c r="O16"/>
      <c r="P16"/>
      <c r="Q16"/>
      <c r="R16"/>
      <c r="S16"/>
    </row>
    <row r="17" spans="2:19" ht="12.75" customHeight="1">
      <c r="B17" s="360">
        <v>2.1</v>
      </c>
      <c r="C17" s="364" t="s">
        <v>586</v>
      </c>
      <c r="D17" s="363"/>
      <c r="E17" s="363"/>
      <c r="F17" s="363"/>
      <c r="G17" s="363"/>
      <c r="H17" s="363"/>
      <c r="I17" s="361"/>
      <c r="J17" s="361"/>
      <c r="K17" s="361"/>
      <c r="L17"/>
      <c r="M17"/>
      <c r="N17"/>
      <c r="O17"/>
      <c r="P17"/>
      <c r="Q17"/>
      <c r="R17"/>
      <c r="S17"/>
    </row>
    <row r="18" spans="2:19" ht="12.75" customHeight="1">
      <c r="B18" s="360"/>
      <c r="C18" s="1021" t="s">
        <v>25</v>
      </c>
      <c r="D18" s="1022"/>
      <c r="E18" s="1022"/>
      <c r="F18" s="1023"/>
      <c r="G18" s="447">
        <f>'Prod Parameters'!F8</f>
        <v>23</v>
      </c>
      <c r="H18" s="363"/>
      <c r="I18" s="361"/>
      <c r="J18" s="361"/>
      <c r="K18" s="361"/>
      <c r="L18"/>
      <c r="M18"/>
      <c r="N18"/>
      <c r="O18"/>
      <c r="P18"/>
      <c r="Q18"/>
      <c r="R18"/>
      <c r="S18"/>
    </row>
    <row r="19" spans="2:19" ht="12.75" customHeight="1">
      <c r="B19" s="360"/>
      <c r="C19" s="1021" t="s">
        <v>325</v>
      </c>
      <c r="D19" s="1022"/>
      <c r="E19" s="1022"/>
      <c r="F19" s="1023"/>
      <c r="G19" s="447">
        <f>'Prod Parameters'!F9</f>
        <v>23</v>
      </c>
      <c r="H19" s="363"/>
      <c r="I19" s="361"/>
      <c r="J19" s="361"/>
      <c r="K19" s="361"/>
      <c r="L19"/>
      <c r="M19"/>
      <c r="N19"/>
      <c r="O19"/>
      <c r="P19"/>
      <c r="Q19"/>
      <c r="R19"/>
      <c r="S19"/>
    </row>
    <row r="20" spans="2:19" ht="12.75" customHeight="1">
      <c r="B20" s="360"/>
      <c r="C20" s="1021" t="s">
        <v>26</v>
      </c>
      <c r="D20" s="1022"/>
      <c r="E20" s="1022"/>
      <c r="F20" s="1023"/>
      <c r="G20" s="447">
        <f>'Prod Parameters'!F10</f>
        <v>6</v>
      </c>
      <c r="H20" s="363"/>
      <c r="I20" s="361"/>
      <c r="J20" s="361"/>
      <c r="K20" s="361"/>
      <c r="L20"/>
      <c r="M20"/>
      <c r="N20"/>
      <c r="O20"/>
      <c r="P20"/>
      <c r="Q20"/>
      <c r="R20"/>
      <c r="S20"/>
    </row>
    <row r="21" spans="2:19" ht="12.75" customHeight="1">
      <c r="B21" s="360"/>
      <c r="C21" s="1021" t="s">
        <v>27</v>
      </c>
      <c r="D21" s="1022"/>
      <c r="E21" s="1022"/>
      <c r="F21" s="1023"/>
      <c r="G21" s="447">
        <f>'Prod Parameters'!F11</f>
        <v>52</v>
      </c>
      <c r="H21" s="363"/>
      <c r="I21" s="361"/>
      <c r="J21" s="361"/>
      <c r="K21" s="361"/>
      <c r="L21"/>
      <c r="M21"/>
      <c r="N21"/>
      <c r="O21"/>
      <c r="P21"/>
      <c r="Q21"/>
      <c r="R21"/>
      <c r="S21"/>
    </row>
    <row r="22" spans="2:19" ht="12.75" customHeight="1">
      <c r="B22" s="360"/>
      <c r="C22" s="1021" t="s">
        <v>28</v>
      </c>
      <c r="D22" s="1022"/>
      <c r="E22" s="1022"/>
      <c r="F22" s="1023"/>
      <c r="G22" s="447">
        <f>'Prod Parameters'!F12</f>
        <v>260</v>
      </c>
      <c r="H22" s="363"/>
      <c r="I22" s="361"/>
      <c r="J22" s="361"/>
      <c r="K22" s="361"/>
      <c r="L22"/>
      <c r="M22"/>
      <c r="N22"/>
      <c r="O22"/>
      <c r="P22"/>
      <c r="Q22"/>
      <c r="R22"/>
      <c r="S22"/>
    </row>
    <row r="23" spans="2:19" ht="12.75" customHeight="1">
      <c r="B23" s="360"/>
      <c r="C23" s="1021" t="s">
        <v>29</v>
      </c>
      <c r="D23" s="1022"/>
      <c r="E23" s="1022"/>
      <c r="F23" s="1023"/>
      <c r="G23" s="447">
        <f>'Prod Parameters'!F13</f>
        <v>30</v>
      </c>
      <c r="H23" s="363"/>
      <c r="I23" s="361"/>
      <c r="J23" s="361"/>
      <c r="K23" s="361"/>
      <c r="L23"/>
      <c r="M23"/>
      <c r="N23"/>
      <c r="O23"/>
      <c r="P23"/>
      <c r="Q23"/>
      <c r="R23"/>
      <c r="S23"/>
    </row>
    <row r="24" spans="2:19" ht="12.75" customHeight="1">
      <c r="B24" s="360"/>
      <c r="C24" s="1206" t="s">
        <v>30</v>
      </c>
      <c r="D24" s="1391"/>
      <c r="E24" s="1391"/>
      <c r="F24" s="1392"/>
      <c r="G24" s="447">
        <f>G22-G23</f>
        <v>230</v>
      </c>
      <c r="H24" s="363"/>
      <c r="I24" s="361"/>
      <c r="J24" s="361"/>
      <c r="K24" s="361"/>
      <c r="L24"/>
      <c r="M24"/>
      <c r="N24"/>
      <c r="O24"/>
      <c r="P24"/>
      <c r="Q24"/>
      <c r="R24"/>
      <c r="S24"/>
    </row>
    <row r="25" spans="2:19" ht="12.75" customHeight="1">
      <c r="B25" s="360"/>
      <c r="C25" s="363"/>
      <c r="D25" s="363"/>
      <c r="E25" s="363"/>
      <c r="F25" s="363"/>
      <c r="G25" s="363"/>
      <c r="H25" s="363"/>
      <c r="I25" s="361"/>
      <c r="J25" s="361"/>
      <c r="K25" s="361"/>
      <c r="L25"/>
      <c r="M25"/>
      <c r="N25"/>
      <c r="O25"/>
      <c r="P25"/>
      <c r="Q25"/>
      <c r="R25"/>
      <c r="S25"/>
    </row>
    <row r="26" spans="2:19" ht="12.75" customHeight="1">
      <c r="B26" s="360">
        <v>2.2000000000000002</v>
      </c>
      <c r="C26" s="364" t="s">
        <v>19</v>
      </c>
      <c r="D26" s="363"/>
      <c r="E26" s="363"/>
      <c r="F26" s="363"/>
      <c r="G26" s="363"/>
      <c r="H26" s="363"/>
      <c r="I26" s="360"/>
      <c r="J26" s="361"/>
      <c r="K26" s="361"/>
      <c r="L26"/>
      <c r="M26"/>
      <c r="N26"/>
      <c r="O26"/>
      <c r="P26"/>
      <c r="Q26"/>
      <c r="R26"/>
      <c r="S26"/>
    </row>
    <row r="27" spans="2:19" ht="12.75" customHeight="1">
      <c r="B27" s="386"/>
      <c r="C27" s="969" t="s">
        <v>314</v>
      </c>
      <c r="D27" s="969"/>
      <c r="E27" s="969"/>
      <c r="F27" s="969"/>
      <c r="G27" s="447">
        <f>'Prod Parameters'!F17</f>
        <v>160</v>
      </c>
      <c r="H27" s="363"/>
      <c r="I27" s="363"/>
      <c r="J27" s="363"/>
      <c r="K27" s="363"/>
      <c r="L27"/>
      <c r="M27"/>
      <c r="N27"/>
      <c r="O27"/>
      <c r="P27"/>
      <c r="Q27"/>
      <c r="R27"/>
      <c r="S27"/>
    </row>
    <row r="28" spans="2:19" ht="12.75" customHeight="1">
      <c r="B28" s="360"/>
      <c r="C28" s="969" t="s">
        <v>31</v>
      </c>
      <c r="D28" s="969"/>
      <c r="E28" s="969"/>
      <c r="F28" s="969"/>
      <c r="G28" s="447">
        <f>'Prod Parameters'!F18</f>
        <v>1.2</v>
      </c>
      <c r="H28" s="363"/>
      <c r="I28" s="363"/>
      <c r="J28" s="363"/>
      <c r="K28" s="363"/>
      <c r="L28"/>
      <c r="M28"/>
      <c r="N28"/>
      <c r="O28"/>
      <c r="P28"/>
      <c r="Q28"/>
      <c r="R28"/>
      <c r="S28"/>
    </row>
    <row r="29" spans="2:19" ht="12.75" customHeight="1">
      <c r="B29" s="360"/>
      <c r="C29" s="969" t="s">
        <v>199</v>
      </c>
      <c r="D29" s="969"/>
      <c r="E29" s="969"/>
      <c r="F29" s="969"/>
      <c r="G29" s="447">
        <f>'Prod Parameters'!F19</f>
        <v>4</v>
      </c>
      <c r="H29" s="363"/>
      <c r="I29" s="363"/>
      <c r="J29" s="363"/>
      <c r="K29" s="363"/>
      <c r="L29"/>
      <c r="M29"/>
      <c r="N29"/>
      <c r="O29"/>
      <c r="P29"/>
      <c r="Q29"/>
      <c r="R29"/>
      <c r="S29"/>
    </row>
    <row r="30" spans="2:19" ht="12.75" customHeight="1">
      <c r="B30" s="360"/>
      <c r="C30" s="969" t="s">
        <v>20</v>
      </c>
      <c r="D30" s="969"/>
      <c r="E30" s="969"/>
      <c r="F30" s="969"/>
      <c r="G30" s="447">
        <f>'Prod Parameters'!F20</f>
        <v>40</v>
      </c>
      <c r="H30" s="363"/>
      <c r="I30" s="363"/>
      <c r="J30" s="363"/>
      <c r="K30" s="363"/>
      <c r="L30"/>
      <c r="M30"/>
      <c r="N30"/>
      <c r="O30"/>
      <c r="P30"/>
      <c r="Q30"/>
      <c r="R30"/>
      <c r="S30"/>
    </row>
    <row r="31" spans="2:19" ht="12.75" customHeight="1">
      <c r="B31" s="360"/>
      <c r="C31" s="969" t="s">
        <v>310</v>
      </c>
      <c r="D31" s="969"/>
      <c r="E31" s="969"/>
      <c r="F31" s="969"/>
      <c r="G31" s="447">
        <f>'Prod Parameters'!F21</f>
        <v>160</v>
      </c>
      <c r="H31" s="363"/>
      <c r="I31" s="363"/>
      <c r="J31" s="363"/>
      <c r="K31" s="363"/>
      <c r="L31"/>
      <c r="M31"/>
      <c r="N31"/>
      <c r="O31"/>
      <c r="P31"/>
      <c r="Q31"/>
      <c r="R31"/>
      <c r="S31"/>
    </row>
    <row r="32" spans="2:19" ht="12.75" customHeight="1">
      <c r="B32" s="360"/>
      <c r="C32" s="969" t="s">
        <v>315</v>
      </c>
      <c r="D32" s="969"/>
      <c r="E32" s="969"/>
      <c r="F32" s="969"/>
      <c r="G32" s="549">
        <f>G30*G27</f>
        <v>6400</v>
      </c>
      <c r="H32" s="363"/>
      <c r="I32" s="363"/>
      <c r="J32" s="363"/>
      <c r="K32" s="363"/>
      <c r="L32"/>
      <c r="M32"/>
      <c r="N32"/>
      <c r="O32"/>
      <c r="P32"/>
      <c r="Q32"/>
      <c r="R32"/>
      <c r="S32"/>
    </row>
    <row r="33" spans="2:19" ht="12.75" customHeight="1">
      <c r="B33" s="360"/>
      <c r="C33" s="969" t="s">
        <v>187</v>
      </c>
      <c r="D33" s="969"/>
      <c r="E33" s="969"/>
      <c r="F33" s="969"/>
      <c r="G33" s="549">
        <f>G32*G28</f>
        <v>7680</v>
      </c>
      <c r="H33" s="363"/>
      <c r="I33" s="363"/>
      <c r="J33" s="363"/>
      <c r="K33" s="363"/>
      <c r="L33"/>
      <c r="M33"/>
      <c r="N33"/>
      <c r="O33"/>
      <c r="P33"/>
      <c r="Q33"/>
      <c r="R33"/>
      <c r="S33"/>
    </row>
    <row r="34" spans="2:19" ht="12.75" customHeight="1">
      <c r="B34" s="360"/>
      <c r="C34" s="969" t="s">
        <v>200</v>
      </c>
      <c r="D34" s="969"/>
      <c r="E34" s="969"/>
      <c r="F34" s="969"/>
      <c r="G34" s="549">
        <f>G33*G19</f>
        <v>176640</v>
      </c>
      <c r="H34" s="363"/>
      <c r="I34" s="363"/>
      <c r="J34" s="363"/>
      <c r="K34" s="363"/>
      <c r="L34"/>
      <c r="M34"/>
      <c r="N34"/>
      <c r="O34"/>
      <c r="P34"/>
      <c r="Q34"/>
      <c r="R34"/>
      <c r="S34"/>
    </row>
    <row r="35" spans="2:19" ht="12.75" customHeight="1">
      <c r="B35" s="360"/>
      <c r="C35" s="363"/>
      <c r="D35" s="363"/>
      <c r="E35" s="363"/>
      <c r="F35" s="363"/>
      <c r="G35" s="363"/>
      <c r="H35" s="363"/>
      <c r="I35" s="363"/>
      <c r="J35" s="363"/>
      <c r="K35" s="363"/>
      <c r="L35"/>
      <c r="M35"/>
      <c r="N35"/>
      <c r="O35"/>
      <c r="P35"/>
      <c r="Q35"/>
      <c r="R35"/>
      <c r="S35"/>
    </row>
    <row r="36" spans="2:19" ht="12.75" customHeight="1">
      <c r="B36" s="546" t="s">
        <v>817</v>
      </c>
      <c r="C36" s="1008" t="s">
        <v>821</v>
      </c>
      <c r="D36" s="1008"/>
      <c r="E36" s="1008"/>
      <c r="F36" s="1008"/>
      <c r="G36" s="1008"/>
      <c r="H36" s="1008"/>
      <c r="I36" s="1008"/>
      <c r="J36" s="1008"/>
      <c r="K36" s="536"/>
      <c r="L36"/>
      <c r="M36"/>
      <c r="N36"/>
      <c r="O36"/>
      <c r="P36"/>
      <c r="Q36"/>
      <c r="R36"/>
      <c r="S36"/>
    </row>
    <row r="37" spans="2:19" ht="12.75" customHeight="1">
      <c r="B37" s="546"/>
      <c r="C37" s="363"/>
      <c r="D37" s="363"/>
      <c r="E37" s="363"/>
      <c r="F37" s="363"/>
      <c r="G37" s="363"/>
      <c r="H37" s="363"/>
      <c r="I37" s="363"/>
      <c r="J37" s="363"/>
      <c r="K37" s="363"/>
      <c r="L37"/>
      <c r="M37"/>
      <c r="N37"/>
      <c r="O37"/>
      <c r="P37"/>
      <c r="Q37"/>
      <c r="R37"/>
      <c r="S37"/>
    </row>
    <row r="38" spans="2:19" ht="12.75" customHeight="1">
      <c r="B38" s="360">
        <v>3.1</v>
      </c>
      <c r="C38" s="363" t="s">
        <v>831</v>
      </c>
      <c r="D38" s="363"/>
      <c r="E38" s="363"/>
      <c r="F38" s="550"/>
      <c r="G38" s="550"/>
      <c r="H38" s="550"/>
      <c r="I38" s="550"/>
      <c r="J38" s="551"/>
      <c r="K38" s="551"/>
      <c r="L38"/>
      <c r="M38"/>
      <c r="N38"/>
      <c r="O38"/>
      <c r="P38"/>
      <c r="Q38"/>
      <c r="R38"/>
      <c r="S38"/>
    </row>
    <row r="39" spans="2:19" ht="12.75" customHeight="1">
      <c r="B39" s="546"/>
      <c r="C39" s="998" t="s">
        <v>77</v>
      </c>
      <c r="D39" s="999"/>
      <c r="E39" s="1000"/>
      <c r="F39" s="1019" t="s">
        <v>824</v>
      </c>
      <c r="G39" s="1019" t="s">
        <v>828</v>
      </c>
      <c r="H39" s="1019" t="s">
        <v>826</v>
      </c>
      <c r="I39" s="1019" t="s">
        <v>23</v>
      </c>
      <c r="J39" s="552"/>
      <c r="K39" s="552"/>
      <c r="L39"/>
      <c r="M39"/>
      <c r="N39"/>
      <c r="O39"/>
      <c r="P39"/>
      <c r="Q39"/>
      <c r="R39"/>
      <c r="S39"/>
    </row>
    <row r="40" spans="2:19" ht="12.75" customHeight="1">
      <c r="B40" s="546"/>
      <c r="C40" s="1001"/>
      <c r="D40" s="1002"/>
      <c r="E40" s="1003"/>
      <c r="F40" s="1019"/>
      <c r="G40" s="1019"/>
      <c r="H40" s="1019"/>
      <c r="I40" s="1019"/>
      <c r="J40" s="364"/>
      <c r="K40" s="364"/>
      <c r="L40"/>
      <c r="M40"/>
      <c r="N40"/>
      <c r="O40"/>
      <c r="P40"/>
      <c r="Q40"/>
      <c r="R40"/>
      <c r="S40"/>
    </row>
    <row r="41" spans="2:19" ht="12.75" customHeight="1">
      <c r="B41" s="546"/>
      <c r="C41" s="1366" t="s">
        <v>500</v>
      </c>
      <c r="D41" s="1366"/>
      <c r="E41" s="1366"/>
      <c r="F41" s="369">
        <v>23.9</v>
      </c>
      <c r="G41" s="369">
        <f>'Lookup Properties'!C7</f>
        <v>15.4</v>
      </c>
      <c r="H41" s="369">
        <f>'Lookup Properties'!D7</f>
        <v>4.8</v>
      </c>
      <c r="I41" s="553">
        <f>SUM(F41:H41)</f>
        <v>44.099999999999994</v>
      </c>
      <c r="J41" s="364"/>
      <c r="K41" s="364"/>
      <c r="L41"/>
      <c r="M41"/>
      <c r="N41"/>
      <c r="O41"/>
      <c r="P41"/>
      <c r="Q41"/>
      <c r="R41"/>
      <c r="S41"/>
    </row>
    <row r="42" spans="2:19" ht="12.75" customHeight="1">
      <c r="B42" s="546"/>
      <c r="C42" s="1366" t="s">
        <v>22</v>
      </c>
      <c r="D42" s="1366"/>
      <c r="E42" s="1366"/>
      <c r="F42" s="369">
        <f>'Lookup Properties'!B5</f>
        <v>22.35</v>
      </c>
      <c r="G42" s="369">
        <f>'Lookup Properties'!C5</f>
        <v>17.399999999999999</v>
      </c>
      <c r="H42" s="369">
        <f>'Lookup Properties'!D5</f>
        <v>5</v>
      </c>
      <c r="I42" s="553">
        <f>SUM(F42:H42)</f>
        <v>44.75</v>
      </c>
      <c r="J42" s="364"/>
      <c r="K42" s="364"/>
      <c r="L42"/>
      <c r="M42"/>
      <c r="N42"/>
      <c r="O42"/>
      <c r="P42"/>
      <c r="Q42"/>
      <c r="R42"/>
      <c r="S42"/>
    </row>
    <row r="43" spans="2:19" ht="12.75" customHeight="1">
      <c r="B43" s="546"/>
      <c r="C43" s="1366" t="s">
        <v>579</v>
      </c>
      <c r="D43" s="1366"/>
      <c r="E43" s="1366"/>
      <c r="F43" s="369">
        <f>'Lookup Properties'!B6</f>
        <v>22.15</v>
      </c>
      <c r="G43" s="369">
        <f>'Lookup Properties'!C6</f>
        <v>18.149999999999999</v>
      </c>
      <c r="H43" s="369">
        <f>'Lookup Properties'!D6</f>
        <v>5</v>
      </c>
      <c r="I43" s="553">
        <f>SUM(F43:H43)</f>
        <v>45.3</v>
      </c>
      <c r="J43" s="364"/>
      <c r="K43" s="364"/>
      <c r="L43"/>
      <c r="M43"/>
      <c r="N43"/>
      <c r="O43"/>
      <c r="P43"/>
      <c r="Q43"/>
      <c r="R43"/>
      <c r="S43"/>
    </row>
    <row r="44" spans="2:19" ht="12.75" customHeight="1">
      <c r="B44" s="546"/>
      <c r="C44" s="1366" t="s">
        <v>21</v>
      </c>
      <c r="D44" s="1366"/>
      <c r="E44" s="1366"/>
      <c r="F44" s="369">
        <f>'Lookup Properties'!B4</f>
        <v>21.25</v>
      </c>
      <c r="G44" s="369">
        <f>'Lookup Properties'!C4</f>
        <v>17.399999999999999</v>
      </c>
      <c r="H44" s="369">
        <f>'Lookup Properties'!D4</f>
        <v>5</v>
      </c>
      <c r="I44" s="553">
        <f>SUM(F44:H44)</f>
        <v>43.65</v>
      </c>
      <c r="J44" s="364"/>
      <c r="K44" s="364"/>
      <c r="L44"/>
      <c r="M44"/>
      <c r="N44"/>
      <c r="O44"/>
      <c r="P44"/>
      <c r="Q44"/>
      <c r="R44"/>
      <c r="S44"/>
    </row>
    <row r="45" spans="2:19" ht="12.75" customHeight="1">
      <c r="B45" s="554"/>
      <c r="C45" s="364"/>
      <c r="D45" s="364"/>
      <c r="E45" s="364"/>
      <c r="F45" s="555"/>
      <c r="G45" s="555"/>
      <c r="H45" s="555"/>
      <c r="I45" s="555"/>
      <c r="J45" s="555"/>
      <c r="K45" s="364"/>
      <c r="L45"/>
      <c r="M45"/>
      <c r="N45"/>
      <c r="O45"/>
      <c r="P45"/>
      <c r="Q45"/>
      <c r="R45"/>
      <c r="S45"/>
    </row>
    <row r="46" spans="2:19" ht="12.75" customHeight="1">
      <c r="B46" s="360">
        <v>3.2</v>
      </c>
      <c r="C46" s="363" t="s">
        <v>832</v>
      </c>
      <c r="D46" s="363"/>
      <c r="E46" s="363"/>
      <c r="F46" s="363"/>
      <c r="G46" s="363"/>
      <c r="H46" s="363"/>
      <c r="I46" s="363"/>
      <c r="J46" s="363"/>
      <c r="K46" s="364"/>
      <c r="L46"/>
      <c r="M46"/>
      <c r="N46"/>
      <c r="O46"/>
      <c r="P46"/>
      <c r="Q46"/>
      <c r="R46"/>
      <c r="S46"/>
    </row>
    <row r="47" spans="2:19" ht="12.75" customHeight="1">
      <c r="B47" s="360"/>
      <c r="C47" s="998" t="s">
        <v>77</v>
      </c>
      <c r="D47" s="999"/>
      <c r="E47" s="1000"/>
      <c r="F47" s="1019" t="s">
        <v>824</v>
      </c>
      <c r="G47" s="1019" t="s">
        <v>828</v>
      </c>
      <c r="H47" s="1019" t="s">
        <v>826</v>
      </c>
      <c r="I47" s="1019" t="s">
        <v>23</v>
      </c>
      <c r="J47" s="364"/>
      <c r="K47" s="364"/>
      <c r="L47"/>
      <c r="M47"/>
      <c r="N47"/>
      <c r="O47"/>
      <c r="P47"/>
      <c r="Q47"/>
      <c r="R47"/>
      <c r="S47"/>
    </row>
    <row r="48" spans="2:19" ht="12.75" customHeight="1">
      <c r="B48" s="360"/>
      <c r="C48" s="1001"/>
      <c r="D48" s="1002"/>
      <c r="E48" s="1003"/>
      <c r="F48" s="1019"/>
      <c r="G48" s="1019"/>
      <c r="H48" s="1019"/>
      <c r="I48" s="1019"/>
      <c r="J48" s="364"/>
      <c r="K48" s="364"/>
      <c r="L48"/>
      <c r="M48"/>
      <c r="N48"/>
      <c r="O48"/>
      <c r="P48"/>
      <c r="Q48"/>
      <c r="R48"/>
      <c r="S48"/>
    </row>
    <row r="49" spans="2:19" ht="12.75" customHeight="1">
      <c r="B49" s="360"/>
      <c r="C49" s="1366" t="s">
        <v>500</v>
      </c>
      <c r="D49" s="1366"/>
      <c r="E49" s="1366"/>
      <c r="F49" s="556">
        <f>'Lookup Properties'!B13</f>
        <v>0.74</v>
      </c>
      <c r="G49" s="556">
        <f>'Lookup Properties'!C13</f>
        <v>0.78</v>
      </c>
      <c r="H49" s="556">
        <f>'Lookup Properties'!D13</f>
        <v>1.26</v>
      </c>
      <c r="I49" s="553">
        <f>SUM(F49:H49)</f>
        <v>2.7800000000000002</v>
      </c>
      <c r="J49" s="364"/>
      <c r="K49" s="364"/>
      <c r="L49"/>
      <c r="M49"/>
      <c r="N49"/>
      <c r="O49"/>
      <c r="P49"/>
      <c r="Q49"/>
      <c r="R49"/>
      <c r="S49"/>
    </row>
    <row r="50" spans="2:19" ht="12.75" customHeight="1">
      <c r="B50" s="360"/>
      <c r="C50" s="1366" t="s">
        <v>22</v>
      </c>
      <c r="D50" s="1366"/>
      <c r="E50" s="1366"/>
      <c r="F50" s="557">
        <f>'Lookup Properties'!B11</f>
        <v>0.71499999999999997</v>
      </c>
      <c r="G50" s="557">
        <f>'Lookup Properties'!C11</f>
        <v>1.03</v>
      </c>
      <c r="H50" s="557">
        <f>'Lookup Properties'!D11</f>
        <v>1.29</v>
      </c>
      <c r="I50" s="553">
        <f>SUM(F50:H50)</f>
        <v>3.0350000000000001</v>
      </c>
      <c r="J50" s="364"/>
      <c r="K50" s="364"/>
      <c r="L50"/>
      <c r="M50"/>
      <c r="N50"/>
      <c r="O50"/>
      <c r="P50"/>
      <c r="Q50"/>
      <c r="R50"/>
      <c r="S50"/>
    </row>
    <row r="51" spans="2:19" ht="12.75" customHeight="1">
      <c r="B51" s="360"/>
      <c r="C51" s="1366" t="s">
        <v>579</v>
      </c>
      <c r="D51" s="1366"/>
      <c r="E51" s="1366"/>
      <c r="F51" s="557">
        <f>'Lookup Properties'!B12</f>
        <v>0.755</v>
      </c>
      <c r="G51" s="557">
        <f>'Lookup Properties'!C12</f>
        <v>1.07</v>
      </c>
      <c r="H51" s="557">
        <f>'Lookup Properties'!D12</f>
        <v>1.2949999999999999</v>
      </c>
      <c r="I51" s="553">
        <f>SUM(F51:H51)</f>
        <v>3.12</v>
      </c>
      <c r="J51" s="364"/>
      <c r="K51" s="364"/>
      <c r="L51"/>
      <c r="M51"/>
      <c r="N51"/>
      <c r="O51"/>
      <c r="P51"/>
      <c r="Q51"/>
      <c r="R51"/>
      <c r="S51"/>
    </row>
    <row r="52" spans="2:19" ht="12.75" customHeight="1">
      <c r="B52" s="360"/>
      <c r="C52" s="1366" t="s">
        <v>21</v>
      </c>
      <c r="D52" s="1366"/>
      <c r="E52" s="1366"/>
      <c r="F52" s="557">
        <f>'Lookup Properties'!B10</f>
        <v>0.71</v>
      </c>
      <c r="G52" s="557">
        <f>'Lookup Properties'!C10</f>
        <v>1.03</v>
      </c>
      <c r="H52" s="557">
        <f>'Lookup Properties'!D10</f>
        <v>1.29</v>
      </c>
      <c r="I52" s="553">
        <f>SUM(F52:H52)</f>
        <v>3.0300000000000002</v>
      </c>
      <c r="J52" s="364"/>
      <c r="K52" s="364"/>
      <c r="L52"/>
      <c r="M52"/>
      <c r="N52"/>
      <c r="O52"/>
      <c r="P52"/>
      <c r="Q52"/>
      <c r="R52"/>
      <c r="S52"/>
    </row>
    <row r="53" spans="2:19" ht="12.75" customHeight="1">
      <c r="B53" s="554"/>
      <c r="C53" s="364"/>
      <c r="D53" s="364"/>
      <c r="E53" s="364"/>
      <c r="F53" s="555"/>
      <c r="G53" s="555"/>
      <c r="H53" s="555"/>
      <c r="I53" s="555"/>
      <c r="J53" s="555"/>
      <c r="K53" s="364"/>
      <c r="L53"/>
      <c r="M53"/>
      <c r="N53"/>
      <c r="O53"/>
      <c r="P53"/>
      <c r="Q53"/>
      <c r="R53"/>
      <c r="S53"/>
    </row>
    <row r="54" spans="2:19" ht="12.75" customHeight="1">
      <c r="B54" s="546" t="s">
        <v>295</v>
      </c>
      <c r="C54" s="1008" t="s">
        <v>206</v>
      </c>
      <c r="D54" s="1008"/>
      <c r="E54" s="1008"/>
      <c r="F54" s="1008"/>
      <c r="G54" s="1008"/>
      <c r="H54" s="1008"/>
      <c r="I54" s="1008"/>
      <c r="J54" s="1008"/>
      <c r="K54" s="547"/>
      <c r="L54"/>
      <c r="M54"/>
      <c r="N54"/>
      <c r="O54"/>
      <c r="P54"/>
      <c r="Q54"/>
      <c r="R54"/>
      <c r="S54"/>
    </row>
    <row r="55" spans="2:19" ht="12.75" customHeight="1">
      <c r="B55" s="558"/>
      <c r="C55" s="364"/>
      <c r="D55" s="364"/>
      <c r="E55" s="364"/>
      <c r="F55" s="555"/>
      <c r="G55" s="555"/>
      <c r="H55" s="555"/>
      <c r="I55" s="555"/>
      <c r="J55" s="555"/>
      <c r="K55" s="364"/>
      <c r="L55"/>
      <c r="M55"/>
      <c r="N55"/>
      <c r="O55"/>
      <c r="P55"/>
      <c r="Q55"/>
      <c r="R55"/>
      <c r="S55"/>
    </row>
    <row r="56" spans="2:19" ht="12.75" customHeight="1">
      <c r="B56" s="558"/>
      <c r="C56" s="935" t="s">
        <v>678</v>
      </c>
      <c r="D56" s="935"/>
      <c r="E56" s="935"/>
      <c r="F56" s="936" t="s">
        <v>500</v>
      </c>
      <c r="G56" s="936" t="s">
        <v>22</v>
      </c>
      <c r="H56" s="936" t="s">
        <v>579</v>
      </c>
      <c r="I56" s="936" t="s">
        <v>21</v>
      </c>
      <c r="J56" s="555"/>
      <c r="K56" s="364"/>
      <c r="L56"/>
      <c r="M56"/>
      <c r="N56"/>
      <c r="O56"/>
      <c r="P56"/>
      <c r="Q56"/>
      <c r="R56"/>
      <c r="S56"/>
    </row>
    <row r="57" spans="2:19" ht="12.75" customHeight="1">
      <c r="B57" s="558"/>
      <c r="C57" s="935"/>
      <c r="D57" s="935"/>
      <c r="E57" s="935"/>
      <c r="F57" s="936"/>
      <c r="G57" s="936"/>
      <c r="H57" s="936"/>
      <c r="I57" s="936"/>
      <c r="J57" s="555"/>
      <c r="K57" s="364"/>
      <c r="L57"/>
      <c r="M57"/>
      <c r="N57"/>
      <c r="O57"/>
      <c r="P57"/>
      <c r="Q57"/>
      <c r="R57"/>
      <c r="S57"/>
    </row>
    <row r="58" spans="2:19" ht="12.75" customHeight="1">
      <c r="B58" s="558"/>
      <c r="C58" s="559" t="s">
        <v>695</v>
      </c>
      <c r="D58" s="559"/>
      <c r="E58" s="559"/>
      <c r="F58" s="560">
        <v>0.3</v>
      </c>
      <c r="G58" s="537">
        <f>VLOOKUP($H$8,'Lookup Penetration Rate'!$B$8:$E$208,3)</f>
        <v>0.4</v>
      </c>
      <c r="H58" s="537">
        <f>VLOOKUP($H$8,'Lookup Penetration Rate'!$B$8:$E$208,4)</f>
        <v>0.46</v>
      </c>
      <c r="I58" s="537">
        <f>VLOOKUP($H$8,'Lookup Penetration Rate'!$B$8:$E$208,2)</f>
        <v>0.56000000000000005</v>
      </c>
      <c r="J58" s="555"/>
      <c r="K58" s="364"/>
      <c r="L58"/>
      <c r="M58"/>
      <c r="N58"/>
      <c r="O58"/>
      <c r="P58"/>
      <c r="Q58"/>
      <c r="R58"/>
      <c r="S58"/>
    </row>
    <row r="59" spans="2:19" ht="12.75" customHeight="1">
      <c r="B59" s="554"/>
      <c r="C59" s="559" t="s">
        <v>696</v>
      </c>
      <c r="D59" s="380"/>
      <c r="E59" s="380"/>
      <c r="F59" s="560">
        <f>$G$28/F58</f>
        <v>4</v>
      </c>
      <c r="G59" s="560">
        <f>$G$28/G58</f>
        <v>2.9999999999999996</v>
      </c>
      <c r="H59" s="560">
        <f>$G$28/H58</f>
        <v>2.6086956521739126</v>
      </c>
      <c r="I59" s="560">
        <f>$G$28/I58</f>
        <v>2.1428571428571428</v>
      </c>
      <c r="J59" s="361"/>
      <c r="K59" s="364"/>
      <c r="L59"/>
      <c r="M59"/>
      <c r="N59"/>
      <c r="O59"/>
      <c r="P59"/>
      <c r="Q59"/>
      <c r="R59"/>
      <c r="S59"/>
    </row>
    <row r="60" spans="2:19" ht="12.75" customHeight="1">
      <c r="B60" s="554"/>
      <c r="C60" s="561" t="s">
        <v>697</v>
      </c>
      <c r="D60" s="380"/>
      <c r="E60" s="380"/>
      <c r="F60" s="562">
        <f>(($F$59*$G$32)/$G$31)/60</f>
        <v>2.6666666666666665</v>
      </c>
      <c r="G60" s="562">
        <f>(($G$59*$G$32)/$G$31)/60</f>
        <v>1.9999999999999996</v>
      </c>
      <c r="H60" s="562">
        <f>(($H$59*$G$32)/$G$31)/60</f>
        <v>1.7391304347826084</v>
      </c>
      <c r="I60" s="562">
        <f>(($I$59*$G$32)/$G$31)/60</f>
        <v>1.4285714285714284</v>
      </c>
      <c r="J60" s="361"/>
      <c r="K60" s="364"/>
      <c r="L60"/>
      <c r="M60"/>
      <c r="N60"/>
      <c r="O60"/>
      <c r="P60"/>
      <c r="Q60"/>
      <c r="R60"/>
      <c r="S60"/>
    </row>
    <row r="61" spans="2:19" ht="12.75" customHeight="1">
      <c r="B61" s="563"/>
      <c r="C61" s="361"/>
      <c r="D61" s="361"/>
      <c r="E61" s="361"/>
      <c r="F61" s="361"/>
      <c r="G61" s="361"/>
      <c r="H61" s="361"/>
      <c r="I61" s="361"/>
      <c r="J61" s="361"/>
      <c r="K61" s="364"/>
      <c r="L61"/>
      <c r="M61"/>
      <c r="N61"/>
      <c r="O61"/>
      <c r="P61"/>
      <c r="Q61"/>
      <c r="R61"/>
      <c r="S61"/>
    </row>
    <row r="62" spans="2:19" ht="12.75" customHeight="1">
      <c r="B62" s="563"/>
      <c r="C62" s="361"/>
      <c r="D62" s="361"/>
      <c r="E62" s="361"/>
      <c r="F62" s="361"/>
      <c r="G62" s="361"/>
      <c r="H62" s="361"/>
      <c r="I62" s="361"/>
      <c r="J62" s="361"/>
      <c r="K62" s="364"/>
      <c r="L62"/>
      <c r="M62"/>
      <c r="N62"/>
      <c r="O62"/>
      <c r="P62"/>
      <c r="Q62"/>
      <c r="R62"/>
      <c r="S62"/>
    </row>
    <row r="63" spans="2:19" ht="12.75" customHeight="1">
      <c r="B63" s="563"/>
      <c r="C63" s="361"/>
      <c r="D63" s="361"/>
      <c r="E63" s="361"/>
      <c r="F63" s="361"/>
      <c r="G63" s="361"/>
      <c r="H63" s="361"/>
      <c r="I63" s="361"/>
      <c r="J63" s="361"/>
      <c r="K63" s="364"/>
      <c r="L63"/>
      <c r="M63"/>
      <c r="N63"/>
      <c r="O63"/>
      <c r="P63"/>
      <c r="Q63"/>
      <c r="R63"/>
      <c r="S63"/>
    </row>
    <row r="64" spans="2:19" ht="12.75" customHeight="1">
      <c r="B64" s="564" t="s">
        <v>305</v>
      </c>
      <c r="C64" s="1008" t="s">
        <v>216</v>
      </c>
      <c r="D64" s="1008"/>
      <c r="E64" s="1008"/>
      <c r="F64" s="1008"/>
      <c r="G64" s="1008"/>
      <c r="H64" s="1008"/>
      <c r="I64" s="1008"/>
      <c r="J64" s="1008"/>
      <c r="K64" s="536"/>
      <c r="L64"/>
      <c r="M64"/>
      <c r="N64"/>
      <c r="O64"/>
      <c r="P64"/>
      <c r="Q64"/>
      <c r="R64"/>
      <c r="S64"/>
    </row>
    <row r="65" spans="2:21" ht="12.75" customHeight="1">
      <c r="B65" s="563"/>
      <c r="C65" s="363"/>
      <c r="D65" s="363"/>
      <c r="E65" s="363"/>
      <c r="F65" s="363"/>
      <c r="G65" s="363"/>
      <c r="H65" s="363"/>
      <c r="I65" s="363"/>
      <c r="J65" s="363"/>
      <c r="K65" s="364"/>
      <c r="L65"/>
      <c r="M65"/>
      <c r="N65"/>
      <c r="O65"/>
      <c r="P65"/>
      <c r="Q65"/>
      <c r="R65"/>
      <c r="S65"/>
      <c r="T65" s="23"/>
    </row>
    <row r="66" spans="2:21" ht="12.75" customHeight="1">
      <c r="B66" s="563">
        <v>5.0999999999999996</v>
      </c>
      <c r="C66" s="363" t="s">
        <v>698</v>
      </c>
      <c r="D66" s="363"/>
      <c r="E66" s="363"/>
      <c r="F66" s="363"/>
      <c r="G66" s="363"/>
      <c r="H66" s="363"/>
      <c r="I66" s="363"/>
      <c r="J66" s="363"/>
      <c r="K66" s="364"/>
      <c r="L66"/>
      <c r="M66"/>
      <c r="N66"/>
      <c r="O66"/>
      <c r="P66"/>
      <c r="Q66"/>
      <c r="R66"/>
      <c r="S66"/>
      <c r="T66" s="23"/>
    </row>
    <row r="67" spans="2:21" ht="12.75" customHeight="1">
      <c r="B67" s="563"/>
      <c r="C67" s="935" t="s">
        <v>678</v>
      </c>
      <c r="D67" s="935"/>
      <c r="E67" s="935"/>
      <c r="F67" s="936" t="s">
        <v>500</v>
      </c>
      <c r="G67" s="936" t="s">
        <v>22</v>
      </c>
      <c r="H67" s="936" t="s">
        <v>579</v>
      </c>
      <c r="I67" s="936" t="s">
        <v>21</v>
      </c>
      <c r="J67" s="363"/>
      <c r="K67" s="364"/>
      <c r="L67"/>
      <c r="M67"/>
      <c r="N67"/>
      <c r="O67"/>
      <c r="P67"/>
      <c r="Q67"/>
      <c r="R67"/>
      <c r="S67"/>
      <c r="T67" s="23"/>
    </row>
    <row r="68" spans="2:21" ht="12.75" customHeight="1">
      <c r="B68" s="563"/>
      <c r="C68" s="935"/>
      <c r="D68" s="935"/>
      <c r="E68" s="935"/>
      <c r="F68" s="936"/>
      <c r="G68" s="936"/>
      <c r="H68" s="936"/>
      <c r="I68" s="936"/>
      <c r="J68" s="363"/>
      <c r="K68" s="364"/>
      <c r="L68"/>
      <c r="M68"/>
      <c r="N68"/>
      <c r="O68"/>
      <c r="P68"/>
      <c r="Q68"/>
      <c r="R68"/>
      <c r="S68"/>
      <c r="T68" s="23"/>
    </row>
    <row r="69" spans="2:21" ht="12.75" customHeight="1">
      <c r="B69" s="563"/>
      <c r="C69" s="931" t="s">
        <v>512</v>
      </c>
      <c r="D69" s="931"/>
      <c r="E69" s="931"/>
      <c r="F69" s="369">
        <v>102</v>
      </c>
      <c r="G69" s="369">
        <f>VLOOKUP($H$8,'Lookup dBA'!$B$8:$E$208,3)</f>
        <v>108</v>
      </c>
      <c r="H69" s="369">
        <f>VLOOKUP($H$8,'Lookup dBA'!$B$8:$E$208,4)</f>
        <v>109</v>
      </c>
      <c r="I69" s="369">
        <f>VLOOKUP($H$8,'Lookup dBA'!$B$8:$E$208,2)</f>
        <v>116</v>
      </c>
      <c r="J69" s="363"/>
      <c r="K69" s="364"/>
      <c r="L69"/>
      <c r="M69"/>
      <c r="N69"/>
      <c r="O69"/>
      <c r="P69"/>
      <c r="Q69"/>
      <c r="R69"/>
      <c r="S69"/>
      <c r="T69" s="23"/>
    </row>
    <row r="70" spans="2:21" ht="12.75" customHeight="1">
      <c r="B70" s="563"/>
      <c r="C70" s="931" t="s">
        <v>513</v>
      </c>
      <c r="D70" s="931"/>
      <c r="E70" s="931"/>
      <c r="F70" s="369">
        <f>'Working Master '!U76</f>
        <v>108.02059991327964</v>
      </c>
      <c r="G70" s="369">
        <f>'Working Master '!V76</f>
        <v>114.02059991327963</v>
      </c>
      <c r="H70" s="369">
        <f>'Working Master '!W76</f>
        <v>115.02059991327963</v>
      </c>
      <c r="I70" s="369">
        <f>'Working Master '!X76</f>
        <v>122.02059991327964</v>
      </c>
      <c r="J70" s="363"/>
      <c r="K70" s="364"/>
      <c r="L70"/>
      <c r="M70"/>
      <c r="N70"/>
      <c r="O70"/>
      <c r="P70"/>
      <c r="Q70"/>
      <c r="R70"/>
      <c r="S70"/>
      <c r="T70" s="23"/>
    </row>
    <row r="71" spans="2:21" ht="12.75" customHeight="1">
      <c r="B71" s="563"/>
      <c r="C71" s="931" t="s">
        <v>699</v>
      </c>
      <c r="D71" s="931"/>
      <c r="E71" s="931"/>
      <c r="F71" s="369">
        <v>110</v>
      </c>
      <c r="G71" s="369">
        <v>110</v>
      </c>
      <c r="H71" s="369">
        <v>110</v>
      </c>
      <c r="I71" s="369">
        <v>110</v>
      </c>
      <c r="J71" s="363"/>
      <c r="K71" s="364"/>
      <c r="L71"/>
      <c r="M71"/>
      <c r="N71"/>
      <c r="O71"/>
      <c r="P71"/>
      <c r="Q71"/>
      <c r="R71"/>
      <c r="S71"/>
      <c r="T71" s="23"/>
    </row>
    <row r="72" spans="2:21" ht="12.75" customHeight="1">
      <c r="B72" s="563"/>
      <c r="C72" s="363"/>
      <c r="D72" s="363"/>
      <c r="E72" s="363"/>
      <c r="F72" s="363"/>
      <c r="G72" s="363"/>
      <c r="H72" s="363"/>
      <c r="I72" s="363"/>
      <c r="J72" s="363"/>
      <c r="K72" s="364"/>
      <c r="L72"/>
      <c r="M72"/>
      <c r="N72"/>
      <c r="O72"/>
      <c r="P72"/>
      <c r="Q72"/>
      <c r="R72"/>
      <c r="S72"/>
      <c r="T72" s="23"/>
    </row>
    <row r="73" spans="2:21" ht="12.75" customHeight="1">
      <c r="B73" s="360">
        <v>5.2</v>
      </c>
      <c r="C73" s="364" t="s">
        <v>702</v>
      </c>
      <c r="D73" s="364"/>
      <c r="E73" s="364"/>
      <c r="F73" s="555"/>
      <c r="G73" s="555"/>
      <c r="H73" s="555"/>
      <c r="I73" s="555"/>
      <c r="J73" s="555"/>
      <c r="K73" s="364"/>
      <c r="L73"/>
      <c r="M73"/>
      <c r="N73"/>
      <c r="O73"/>
      <c r="P73"/>
      <c r="Q73"/>
      <c r="R73"/>
      <c r="S73"/>
      <c r="U73" s="17"/>
    </row>
    <row r="74" spans="2:21" ht="12.75" customHeight="1">
      <c r="B74" s="360"/>
      <c r="C74" s="364"/>
      <c r="D74" s="364"/>
      <c r="E74" s="364"/>
      <c r="F74" s="555"/>
      <c r="G74" s="555"/>
      <c r="H74" s="555"/>
      <c r="I74" s="555"/>
      <c r="J74" s="555"/>
      <c r="K74" s="364"/>
      <c r="L74"/>
      <c r="M74"/>
      <c r="N74"/>
      <c r="O74"/>
      <c r="P74"/>
      <c r="Q74"/>
      <c r="R74"/>
      <c r="S74"/>
      <c r="U74" s="17"/>
    </row>
    <row r="75" spans="2:21" ht="12.75" customHeight="1">
      <c r="B75" s="360" t="s">
        <v>701</v>
      </c>
      <c r="C75" s="364" t="s">
        <v>703</v>
      </c>
      <c r="D75" s="364"/>
      <c r="E75" s="364"/>
      <c r="F75" s="555"/>
      <c r="G75" s="555"/>
      <c r="H75" s="555"/>
      <c r="I75" s="555"/>
      <c r="J75" s="555"/>
      <c r="K75" s="364"/>
      <c r="L75"/>
      <c r="M75"/>
      <c r="N75"/>
      <c r="O75"/>
      <c r="P75"/>
      <c r="Q75"/>
      <c r="R75"/>
      <c r="S75"/>
      <c r="U75" s="17"/>
    </row>
    <row r="76" spans="2:21" ht="12.75" customHeight="1">
      <c r="B76" s="360"/>
      <c r="C76" s="935" t="s">
        <v>678</v>
      </c>
      <c r="D76" s="935"/>
      <c r="E76" s="935"/>
      <c r="F76" s="936" t="s">
        <v>500</v>
      </c>
      <c r="G76" s="936" t="s">
        <v>22</v>
      </c>
      <c r="H76" s="936" t="s">
        <v>579</v>
      </c>
      <c r="I76" s="936" t="s">
        <v>21</v>
      </c>
      <c r="J76" s="362"/>
      <c r="K76" s="364"/>
      <c r="L76"/>
      <c r="M76"/>
      <c r="N76"/>
      <c r="O76"/>
      <c r="P76"/>
      <c r="Q76"/>
      <c r="R76"/>
      <c r="S76"/>
      <c r="U76" s="17"/>
    </row>
    <row r="77" spans="2:21" ht="12.75" customHeight="1">
      <c r="B77" s="360"/>
      <c r="C77" s="935"/>
      <c r="D77" s="935"/>
      <c r="E77" s="935"/>
      <c r="F77" s="936"/>
      <c r="G77" s="936"/>
      <c r="H77" s="936"/>
      <c r="I77" s="936"/>
      <c r="J77" s="362"/>
      <c r="K77" s="364"/>
      <c r="L77"/>
      <c r="M77"/>
      <c r="N77"/>
      <c r="O77"/>
      <c r="P77"/>
      <c r="Q77"/>
      <c r="R77"/>
      <c r="S77"/>
      <c r="U77" s="17"/>
    </row>
    <row r="78" spans="2:21" ht="12.75" customHeight="1">
      <c r="B78" s="360"/>
      <c r="C78" s="969" t="s">
        <v>63</v>
      </c>
      <c r="D78" s="969"/>
      <c r="E78" s="969"/>
      <c r="F78" s="369">
        <v>102</v>
      </c>
      <c r="G78" s="369">
        <f>VLOOKUP($H$8,'Lookup dBA'!$B$8:$E$208,3)</f>
        <v>108</v>
      </c>
      <c r="H78" s="369">
        <f>VLOOKUP($H$8,'Lookup dBA'!$B$8:$E$208,4)</f>
        <v>109</v>
      </c>
      <c r="I78" s="369">
        <f>VLOOKUP($H$8,'Lookup dBA'!$B$8:$E$208,2)</f>
        <v>116</v>
      </c>
      <c r="J78" s="362"/>
      <c r="K78" s="364"/>
      <c r="L78"/>
      <c r="M78"/>
      <c r="N78"/>
      <c r="O78"/>
      <c r="P78"/>
      <c r="Q78"/>
      <c r="R78"/>
      <c r="S78"/>
      <c r="U78" s="32"/>
    </row>
    <row r="79" spans="2:21" ht="12.75" customHeight="1">
      <c r="B79" s="360"/>
      <c r="C79" s="969" t="s">
        <v>64</v>
      </c>
      <c r="D79" s="969"/>
      <c r="E79" s="969"/>
      <c r="F79" s="369">
        <f>F78-PPE!$I$15</f>
        <v>89</v>
      </c>
      <c r="G79" s="369">
        <f>G78-PPE!$I$15</f>
        <v>95</v>
      </c>
      <c r="H79" s="369">
        <f>H78-PPE!$I$15</f>
        <v>96</v>
      </c>
      <c r="I79" s="369">
        <f>I78-PPE!$I$15</f>
        <v>103</v>
      </c>
      <c r="J79" s="362"/>
      <c r="K79" s="364"/>
      <c r="L79"/>
      <c r="M79"/>
      <c r="N79"/>
      <c r="O79"/>
      <c r="P79"/>
      <c r="Q79"/>
      <c r="R79"/>
      <c r="S79"/>
      <c r="U79" s="32"/>
    </row>
    <row r="80" spans="2:21" ht="12.75" customHeight="1">
      <c r="B80" s="360"/>
      <c r="C80" s="969" t="s">
        <v>700</v>
      </c>
      <c r="D80" s="969"/>
      <c r="E80" s="969"/>
      <c r="F80" s="369">
        <v>85</v>
      </c>
      <c r="G80" s="369">
        <v>85</v>
      </c>
      <c r="H80" s="369">
        <v>85</v>
      </c>
      <c r="I80" s="369">
        <v>85</v>
      </c>
      <c r="J80" s="362"/>
      <c r="K80" s="364"/>
      <c r="L80"/>
      <c r="M80"/>
      <c r="N80"/>
      <c r="O80"/>
      <c r="P80"/>
      <c r="Q80"/>
      <c r="R80"/>
      <c r="S80"/>
      <c r="U80" s="32"/>
    </row>
    <row r="81" spans="2:21" ht="12.75" customHeight="1">
      <c r="B81" s="360"/>
      <c r="C81" s="363"/>
      <c r="D81" s="363"/>
      <c r="E81" s="363"/>
      <c r="F81" s="363"/>
      <c r="G81" s="363"/>
      <c r="H81" s="363"/>
      <c r="I81" s="363"/>
      <c r="J81" s="555"/>
      <c r="K81" s="364"/>
      <c r="L81"/>
      <c r="M81"/>
      <c r="N81"/>
      <c r="O81"/>
      <c r="P81"/>
      <c r="Q81"/>
      <c r="R81"/>
      <c r="S81"/>
      <c r="U81" s="17"/>
    </row>
    <row r="82" spans="2:21" ht="12.75" customHeight="1">
      <c r="B82" s="360" t="s">
        <v>705</v>
      </c>
      <c r="C82" s="364" t="s">
        <v>704</v>
      </c>
      <c r="D82" s="364"/>
      <c r="E82" s="364"/>
      <c r="F82" s="555"/>
      <c r="G82" s="555"/>
      <c r="H82" s="555"/>
      <c r="I82" s="555"/>
      <c r="J82" s="555"/>
      <c r="K82" s="364"/>
      <c r="L82"/>
      <c r="M82"/>
      <c r="N82"/>
      <c r="O82"/>
      <c r="P82"/>
      <c r="Q82"/>
      <c r="R82"/>
      <c r="S82"/>
      <c r="U82" s="17"/>
    </row>
    <row r="83" spans="2:21" ht="12.75" customHeight="1">
      <c r="B83" s="360"/>
      <c r="C83" s="935" t="s">
        <v>678</v>
      </c>
      <c r="D83" s="935"/>
      <c r="E83" s="935"/>
      <c r="F83" s="936" t="s">
        <v>500</v>
      </c>
      <c r="G83" s="936" t="s">
        <v>22</v>
      </c>
      <c r="H83" s="936" t="s">
        <v>579</v>
      </c>
      <c r="I83" s="936" t="s">
        <v>21</v>
      </c>
      <c r="J83" s="362"/>
      <c r="K83" s="364"/>
      <c r="L83"/>
      <c r="M83"/>
      <c r="N83"/>
      <c r="O83"/>
      <c r="P83"/>
      <c r="Q83"/>
      <c r="R83"/>
      <c r="S83"/>
      <c r="U83" s="17"/>
    </row>
    <row r="84" spans="2:21" ht="12.75" customHeight="1">
      <c r="B84" s="360"/>
      <c r="C84" s="935"/>
      <c r="D84" s="935"/>
      <c r="E84" s="935"/>
      <c r="F84" s="936"/>
      <c r="G84" s="936"/>
      <c r="H84" s="936"/>
      <c r="I84" s="936"/>
      <c r="J84" s="362"/>
      <c r="K84" s="364"/>
      <c r="L84"/>
      <c r="M84"/>
      <c r="N84"/>
      <c r="O84"/>
      <c r="P84"/>
      <c r="Q84"/>
      <c r="R84"/>
      <c r="S84"/>
      <c r="U84" s="17"/>
    </row>
    <row r="85" spans="2:21" ht="12.75" customHeight="1">
      <c r="B85" s="360"/>
      <c r="C85" s="969" t="s">
        <v>63</v>
      </c>
      <c r="D85" s="969"/>
      <c r="E85" s="969"/>
      <c r="F85" s="369">
        <f>F70</f>
        <v>108.02059991327964</v>
      </c>
      <c r="G85" s="369">
        <f>G70</f>
        <v>114.02059991327963</v>
      </c>
      <c r="H85" s="369">
        <f>H70</f>
        <v>115.02059991327963</v>
      </c>
      <c r="I85" s="369">
        <f>I70</f>
        <v>122.02059991327964</v>
      </c>
      <c r="J85" s="362"/>
      <c r="K85" s="364"/>
      <c r="L85"/>
      <c r="M85"/>
      <c r="N85"/>
      <c r="O85"/>
      <c r="P85"/>
      <c r="Q85"/>
      <c r="R85"/>
      <c r="S85"/>
      <c r="U85" s="17"/>
    </row>
    <row r="86" spans="2:21" ht="12.75" customHeight="1">
      <c r="B86" s="360"/>
      <c r="C86" s="969" t="s">
        <v>64</v>
      </c>
      <c r="D86" s="969"/>
      <c r="E86" s="969"/>
      <c r="F86" s="369">
        <f>F85-PPE!$I$15</f>
        <v>95.020599913279639</v>
      </c>
      <c r="G86" s="369">
        <f>G85-PPE!$I$15</f>
        <v>101.02059991327963</v>
      </c>
      <c r="H86" s="369">
        <f>H85-PPE!$I$15</f>
        <v>102.02059991327963</v>
      </c>
      <c r="I86" s="369">
        <f>I85-PPE!$I$15</f>
        <v>109.02059991327964</v>
      </c>
      <c r="J86" s="362"/>
      <c r="K86" s="364"/>
      <c r="L86"/>
      <c r="M86"/>
      <c r="N86"/>
      <c r="O86"/>
      <c r="P86"/>
      <c r="Q86"/>
      <c r="R86"/>
      <c r="S86"/>
      <c r="U86" s="17"/>
    </row>
    <row r="87" spans="2:21" ht="12.75" customHeight="1">
      <c r="B87" s="360"/>
      <c r="C87" s="969" t="s">
        <v>700</v>
      </c>
      <c r="D87" s="969"/>
      <c r="E87" s="969"/>
      <c r="F87" s="369">
        <v>85</v>
      </c>
      <c r="G87" s="369">
        <v>85</v>
      </c>
      <c r="H87" s="369">
        <v>85</v>
      </c>
      <c r="I87" s="369">
        <v>85</v>
      </c>
      <c r="J87" s="362"/>
      <c r="K87" s="364"/>
      <c r="L87"/>
      <c r="M87"/>
      <c r="N87"/>
      <c r="O87"/>
      <c r="P87"/>
      <c r="Q87"/>
      <c r="R87"/>
      <c r="S87"/>
      <c r="U87" s="17"/>
    </row>
    <row r="88" spans="2:21" ht="12.75" customHeight="1">
      <c r="B88" s="360"/>
      <c r="C88" s="364"/>
      <c r="D88" s="364"/>
      <c r="E88" s="364"/>
      <c r="F88" s="555"/>
      <c r="G88" s="555"/>
      <c r="H88" s="555"/>
      <c r="I88" s="555"/>
      <c r="J88" s="555"/>
      <c r="K88" s="364"/>
      <c r="L88"/>
      <c r="M88"/>
      <c r="N88"/>
      <c r="O88"/>
      <c r="P88"/>
      <c r="Q88"/>
      <c r="R88"/>
      <c r="S88"/>
      <c r="U88" s="17"/>
    </row>
    <row r="89" spans="2:21" ht="12.75" customHeight="1">
      <c r="B89" s="546">
        <v>5.3</v>
      </c>
      <c r="C89" s="1008" t="s">
        <v>218</v>
      </c>
      <c r="D89" s="1008"/>
      <c r="E89" s="1008"/>
      <c r="F89" s="1008"/>
      <c r="G89" s="1008"/>
      <c r="H89" s="1008"/>
      <c r="I89" s="1008"/>
      <c r="J89" s="1008"/>
      <c r="K89" s="536"/>
      <c r="L89"/>
      <c r="M89"/>
      <c r="N89"/>
      <c r="O89"/>
      <c r="P89"/>
      <c r="Q89"/>
      <c r="R89"/>
      <c r="S89"/>
      <c r="U89" s="43"/>
    </row>
    <row r="90" spans="2:21" ht="12.75" customHeight="1">
      <c r="B90" s="546"/>
      <c r="C90" s="363"/>
      <c r="D90" s="363"/>
      <c r="E90" s="363"/>
      <c r="F90" s="363"/>
      <c r="G90" s="363"/>
      <c r="H90" s="363"/>
      <c r="I90" s="363"/>
      <c r="J90" s="363"/>
      <c r="K90" s="364"/>
      <c r="L90"/>
      <c r="M90"/>
      <c r="N90"/>
      <c r="O90"/>
      <c r="P90"/>
      <c r="Q90"/>
      <c r="R90"/>
      <c r="S90"/>
      <c r="U90" s="43"/>
    </row>
    <row r="91" spans="2:21" ht="12.75" customHeight="1">
      <c r="B91" s="360" t="s">
        <v>706</v>
      </c>
      <c r="C91" s="363" t="s">
        <v>436</v>
      </c>
      <c r="D91" s="363"/>
      <c r="E91" s="363"/>
      <c r="F91" s="363"/>
      <c r="G91" s="363"/>
      <c r="H91" s="363"/>
      <c r="I91" s="363"/>
      <c r="J91" s="363"/>
      <c r="K91" s="364"/>
      <c r="L91"/>
      <c r="M91"/>
      <c r="N91"/>
      <c r="O91"/>
      <c r="P91"/>
      <c r="Q91"/>
      <c r="R91"/>
      <c r="S91"/>
      <c r="U91" s="43"/>
    </row>
    <row r="92" spans="2:21" ht="12.75" customHeight="1">
      <c r="B92" s="360"/>
      <c r="C92" s="935" t="s">
        <v>678</v>
      </c>
      <c r="D92" s="935"/>
      <c r="E92" s="935"/>
      <c r="F92" s="936" t="s">
        <v>500</v>
      </c>
      <c r="G92" s="936" t="s">
        <v>22</v>
      </c>
      <c r="H92" s="936" t="s">
        <v>579</v>
      </c>
      <c r="I92" s="936" t="s">
        <v>21</v>
      </c>
      <c r="J92" s="362"/>
      <c r="K92" s="364"/>
      <c r="L92"/>
      <c r="M92"/>
      <c r="N92"/>
      <c r="O92"/>
      <c r="P92"/>
      <c r="Q92"/>
      <c r="R92"/>
      <c r="S92"/>
    </row>
    <row r="93" spans="2:21" ht="12.75" customHeight="1">
      <c r="B93" s="360"/>
      <c r="C93" s="935"/>
      <c r="D93" s="935"/>
      <c r="E93" s="935"/>
      <c r="F93" s="936"/>
      <c r="G93" s="936"/>
      <c r="H93" s="936"/>
      <c r="I93" s="936"/>
      <c r="J93" s="362"/>
      <c r="K93" s="364"/>
      <c r="L93"/>
      <c r="M93"/>
      <c r="N93"/>
      <c r="O93"/>
      <c r="P93"/>
      <c r="Q93"/>
      <c r="R93"/>
      <c r="S93"/>
    </row>
    <row r="94" spans="2:21" ht="12.75" customHeight="1">
      <c r="B94" s="360"/>
      <c r="C94" s="969" t="s">
        <v>63</v>
      </c>
      <c r="D94" s="969"/>
      <c r="E94" s="969"/>
      <c r="F94" s="369">
        <f>'Working Master '!U85</f>
        <v>97.15</v>
      </c>
      <c r="G94" s="369">
        <f>'Working Master '!V85</f>
        <v>101.95</v>
      </c>
      <c r="H94" s="369">
        <f>'Working Master '!W85</f>
        <v>102.4</v>
      </c>
      <c r="I94" s="369">
        <f>'Working Master '!X85</f>
        <v>108.5</v>
      </c>
      <c r="J94" s="362"/>
      <c r="K94" s="364"/>
      <c r="L94"/>
      <c r="M94"/>
      <c r="N94"/>
      <c r="O94"/>
      <c r="P94"/>
      <c r="Q94"/>
      <c r="R94"/>
      <c r="S94"/>
    </row>
    <row r="95" spans="2:21" ht="12.75" customHeight="1">
      <c r="B95" s="360"/>
      <c r="C95" s="969" t="s">
        <v>64</v>
      </c>
      <c r="D95" s="969"/>
      <c r="E95" s="969"/>
      <c r="F95" s="369">
        <f>'Working Master '!U86</f>
        <v>84.15</v>
      </c>
      <c r="G95" s="369">
        <f>'Working Master '!V86</f>
        <v>88.95</v>
      </c>
      <c r="H95" s="369">
        <f>'Working Master '!W86</f>
        <v>89.3</v>
      </c>
      <c r="I95" s="369">
        <f>'Working Master '!X86</f>
        <v>95.55</v>
      </c>
      <c r="J95" s="362"/>
      <c r="K95" s="364"/>
      <c r="L95"/>
      <c r="M95"/>
      <c r="N95"/>
      <c r="O95"/>
      <c r="P95"/>
      <c r="Q95"/>
      <c r="R95"/>
      <c r="S95"/>
    </row>
    <row r="96" spans="2:21" ht="12.75" customHeight="1">
      <c r="B96" s="360"/>
      <c r="C96" s="969" t="s">
        <v>530</v>
      </c>
      <c r="D96" s="969"/>
      <c r="E96" s="969"/>
      <c r="F96" s="369">
        <v>85</v>
      </c>
      <c r="G96" s="369">
        <v>85</v>
      </c>
      <c r="H96" s="369">
        <v>85</v>
      </c>
      <c r="I96" s="369">
        <v>85</v>
      </c>
      <c r="J96" s="362"/>
      <c r="K96" s="364"/>
      <c r="L96"/>
      <c r="M96"/>
      <c r="N96"/>
      <c r="O96"/>
      <c r="P96"/>
      <c r="Q96"/>
      <c r="R96"/>
      <c r="S96"/>
    </row>
    <row r="97" spans="2:19" ht="12.75" customHeight="1">
      <c r="B97" s="360"/>
      <c r="C97" s="363"/>
      <c r="D97" s="363"/>
      <c r="E97" s="363"/>
      <c r="F97" s="363"/>
      <c r="G97" s="363"/>
      <c r="H97" s="363"/>
      <c r="I97" s="363"/>
      <c r="J97" s="363"/>
      <c r="K97" s="364"/>
      <c r="L97"/>
      <c r="M97"/>
      <c r="N97"/>
      <c r="O97"/>
      <c r="P97"/>
      <c r="Q97"/>
      <c r="R97"/>
      <c r="S97"/>
    </row>
    <row r="98" spans="2:19" ht="12.75" customHeight="1">
      <c r="B98" s="360" t="s">
        <v>707</v>
      </c>
      <c r="C98" s="363" t="s">
        <v>437</v>
      </c>
      <c r="D98" s="363"/>
      <c r="E98" s="363"/>
      <c r="F98" s="363"/>
      <c r="G98" s="363"/>
      <c r="H98" s="363"/>
      <c r="I98" s="363"/>
      <c r="J98" s="363"/>
      <c r="K98" s="364"/>
      <c r="L98"/>
      <c r="M98"/>
      <c r="N98"/>
      <c r="O98"/>
      <c r="P98"/>
      <c r="Q98"/>
      <c r="R98"/>
      <c r="S98"/>
    </row>
    <row r="99" spans="2:19" ht="12.75" customHeight="1">
      <c r="B99" s="360"/>
      <c r="C99" s="935" t="s">
        <v>678</v>
      </c>
      <c r="D99" s="935"/>
      <c r="E99" s="935"/>
      <c r="F99" s="936" t="s">
        <v>500</v>
      </c>
      <c r="G99" s="936" t="s">
        <v>22</v>
      </c>
      <c r="H99" s="936" t="s">
        <v>579</v>
      </c>
      <c r="I99" s="936" t="s">
        <v>21</v>
      </c>
      <c r="J99" s="362"/>
      <c r="K99" s="364"/>
      <c r="L99"/>
      <c r="M99"/>
      <c r="N99"/>
      <c r="O99"/>
      <c r="P99"/>
      <c r="Q99"/>
      <c r="R99"/>
      <c r="S99"/>
    </row>
    <row r="100" spans="2:19" ht="12.75" customHeight="1">
      <c r="B100" s="360"/>
      <c r="C100" s="935"/>
      <c r="D100" s="935"/>
      <c r="E100" s="935"/>
      <c r="F100" s="936"/>
      <c r="G100" s="936"/>
      <c r="H100" s="936"/>
      <c r="I100" s="936"/>
      <c r="J100" s="362"/>
      <c r="K100" s="364"/>
      <c r="L100"/>
      <c r="M100"/>
      <c r="N100"/>
      <c r="O100"/>
      <c r="P100"/>
      <c r="Q100"/>
      <c r="R100"/>
      <c r="S100"/>
    </row>
    <row r="101" spans="2:19" ht="12.75" customHeight="1">
      <c r="B101" s="360"/>
      <c r="C101" s="969" t="s">
        <v>63</v>
      </c>
      <c r="D101" s="969"/>
      <c r="E101" s="969"/>
      <c r="F101" s="369">
        <f>'Working Master '!U92</f>
        <v>103.15</v>
      </c>
      <c r="G101" s="369">
        <f>'Working Master '!V92</f>
        <v>107.95</v>
      </c>
      <c r="H101" s="369">
        <f>'Working Master '!W92</f>
        <v>108.4</v>
      </c>
      <c r="I101" s="369">
        <f>'Working Master '!X92</f>
        <v>113.95</v>
      </c>
      <c r="J101" s="362"/>
      <c r="K101" s="364"/>
      <c r="L101"/>
      <c r="M101"/>
      <c r="N101"/>
      <c r="O101"/>
      <c r="P101"/>
      <c r="Q101"/>
      <c r="R101"/>
      <c r="S101"/>
    </row>
    <row r="102" spans="2:19" ht="12.75" customHeight="1">
      <c r="B102" s="360"/>
      <c r="C102" s="969" t="s">
        <v>64</v>
      </c>
      <c r="D102" s="969"/>
      <c r="E102" s="969"/>
      <c r="F102" s="369">
        <f>'Working Master '!U93</f>
        <v>90.15</v>
      </c>
      <c r="G102" s="369">
        <f>'Working Master '!V93</f>
        <v>94.95</v>
      </c>
      <c r="H102" s="369">
        <f>'Working Master '!W93</f>
        <v>95.3</v>
      </c>
      <c r="I102" s="369">
        <f>'Working Master '!X93</f>
        <v>101.55</v>
      </c>
      <c r="J102" s="362"/>
      <c r="K102" s="364"/>
      <c r="L102"/>
      <c r="M102"/>
      <c r="N102"/>
      <c r="O102"/>
      <c r="P102"/>
      <c r="Q102"/>
      <c r="R102"/>
      <c r="S102"/>
    </row>
    <row r="103" spans="2:19" ht="12.75" customHeight="1">
      <c r="B103" s="360"/>
      <c r="C103" s="969" t="s">
        <v>530</v>
      </c>
      <c r="D103" s="969"/>
      <c r="E103" s="969"/>
      <c r="F103" s="369">
        <v>85</v>
      </c>
      <c r="G103" s="369">
        <v>85</v>
      </c>
      <c r="H103" s="369">
        <v>85</v>
      </c>
      <c r="I103" s="369">
        <v>85</v>
      </c>
      <c r="J103" s="362"/>
      <c r="K103" s="364"/>
      <c r="L103"/>
      <c r="M103"/>
      <c r="N103"/>
      <c r="O103"/>
      <c r="P103"/>
      <c r="Q103"/>
      <c r="R103"/>
      <c r="S103"/>
    </row>
    <row r="104" spans="2:19" ht="12.75" customHeight="1">
      <c r="B104" s="360"/>
      <c r="C104" s="363"/>
      <c r="D104" s="363"/>
      <c r="E104" s="363"/>
      <c r="F104" s="363"/>
      <c r="G104" s="363"/>
      <c r="H104" s="363"/>
      <c r="I104" s="363"/>
      <c r="J104" s="363"/>
      <c r="K104" s="364"/>
      <c r="L104"/>
      <c r="M104"/>
      <c r="N104"/>
      <c r="O104"/>
      <c r="P104"/>
      <c r="Q104"/>
      <c r="R104"/>
      <c r="S104"/>
    </row>
    <row r="105" spans="2:19" s="133" customFormat="1" ht="12.75" customHeight="1">
      <c r="B105" s="546">
        <v>5.4</v>
      </c>
      <c r="C105" s="1008" t="s">
        <v>711</v>
      </c>
      <c r="D105" s="1008"/>
      <c r="E105" s="1008"/>
      <c r="F105" s="1008"/>
      <c r="G105" s="1008"/>
      <c r="H105" s="1008"/>
      <c r="I105" s="1008"/>
      <c r="J105" s="1008"/>
      <c r="K105" s="536"/>
      <c r="L105"/>
      <c r="M105"/>
      <c r="N105"/>
      <c r="O105"/>
      <c r="P105"/>
      <c r="Q105"/>
      <c r="R105"/>
      <c r="S105"/>
    </row>
    <row r="106" spans="2:19" ht="12.75" customHeight="1">
      <c r="B106" s="360"/>
      <c r="C106" s="363"/>
      <c r="D106" s="363"/>
      <c r="E106" s="363"/>
      <c r="F106" s="363"/>
      <c r="G106" s="363"/>
      <c r="H106" s="363"/>
      <c r="I106" s="363"/>
      <c r="J106" s="363"/>
      <c r="K106" s="364"/>
      <c r="L106"/>
      <c r="M106"/>
      <c r="N106"/>
      <c r="O106"/>
      <c r="P106"/>
      <c r="Q106"/>
      <c r="R106"/>
      <c r="S106"/>
    </row>
    <row r="107" spans="2:19" ht="12.75" customHeight="1">
      <c r="B107" s="360" t="s">
        <v>708</v>
      </c>
      <c r="C107" s="363" t="s">
        <v>710</v>
      </c>
      <c r="D107" s="363"/>
      <c r="E107" s="363"/>
      <c r="F107" s="363"/>
      <c r="G107" s="363"/>
      <c r="H107" s="363"/>
      <c r="I107" s="363"/>
      <c r="J107" s="363"/>
      <c r="K107" s="364"/>
      <c r="L107"/>
      <c r="M107"/>
      <c r="N107"/>
      <c r="O107"/>
      <c r="P107"/>
      <c r="Q107"/>
      <c r="R107"/>
      <c r="S107"/>
    </row>
    <row r="108" spans="2:19" ht="12.75" customHeight="1">
      <c r="B108" s="360"/>
      <c r="C108" s="937" t="s">
        <v>191</v>
      </c>
      <c r="D108" s="937"/>
      <c r="E108" s="937"/>
      <c r="F108" s="936" t="s">
        <v>500</v>
      </c>
      <c r="G108" s="936" t="s">
        <v>22</v>
      </c>
      <c r="H108" s="936" t="s">
        <v>579</v>
      </c>
      <c r="I108" s="936" t="s">
        <v>21</v>
      </c>
      <c r="J108" s="362"/>
      <c r="K108" s="364"/>
      <c r="L108"/>
      <c r="M108"/>
      <c r="N108"/>
      <c r="O108"/>
      <c r="P108"/>
      <c r="Q108"/>
      <c r="R108"/>
      <c r="S108"/>
    </row>
    <row r="109" spans="2:19" ht="12.75" customHeight="1">
      <c r="B109" s="360"/>
      <c r="C109" s="937"/>
      <c r="D109" s="937"/>
      <c r="E109" s="937"/>
      <c r="F109" s="936"/>
      <c r="G109" s="936"/>
      <c r="H109" s="936"/>
      <c r="I109" s="936"/>
      <c r="J109" s="362"/>
      <c r="K109" s="364"/>
      <c r="L109"/>
      <c r="M109"/>
      <c r="N109"/>
      <c r="O109"/>
      <c r="P109"/>
      <c r="Q109"/>
      <c r="R109"/>
      <c r="S109"/>
    </row>
    <row r="110" spans="2:19" ht="12.75" customHeight="1">
      <c r="B110" s="360"/>
      <c r="C110" s="969" t="s">
        <v>63</v>
      </c>
      <c r="D110" s="969"/>
      <c r="E110" s="969"/>
      <c r="F110" s="537">
        <f>(VLOOKUP(F78,'Lookup Exposure Time'!$B$12:$C$732,2))/60</f>
        <v>0.16666666666666666</v>
      </c>
      <c r="G110" s="537">
        <f>(VLOOKUP(G78,'Lookup Exposure Time'!$B$12:$C$732,2))/60</f>
        <v>4.1666666666666664E-2</v>
      </c>
      <c r="H110" s="537">
        <f>(VLOOKUP(H78,'Lookup Exposure Time'!$B$12:$C$732,2))/60</f>
        <v>3.125E-2</v>
      </c>
      <c r="I110" s="537">
        <f>(VLOOKUP(I78,'Lookup Exposure Time'!$B$12:$C$732,2))/60</f>
        <v>6.5103333333333306E-3</v>
      </c>
      <c r="J110" s="362"/>
      <c r="K110" s="364"/>
      <c r="L110"/>
      <c r="M110"/>
      <c r="N110"/>
      <c r="O110"/>
      <c r="P110"/>
      <c r="Q110"/>
      <c r="R110"/>
      <c r="S110"/>
    </row>
    <row r="111" spans="2:19" ht="12.75" customHeight="1">
      <c r="B111" s="360"/>
      <c r="C111" s="969" t="s">
        <v>64</v>
      </c>
      <c r="D111" s="969"/>
      <c r="E111" s="969"/>
      <c r="F111" s="537">
        <f>(VLOOKUP(F79,'Lookup Exposure Time'!$B$12:$C$732,2))/60</f>
        <v>3.3333333333333335</v>
      </c>
      <c r="G111" s="537">
        <f>(VLOOKUP(G79,'Lookup Exposure Time'!$B$12:$C$732,2))/60</f>
        <v>0.83333333333333337</v>
      </c>
      <c r="H111" s="537">
        <f>(VLOOKUP(H79,'Lookup Exposure Time'!$B$12:$C$732,2))/60</f>
        <v>0.66666666666666663</v>
      </c>
      <c r="I111" s="537">
        <f>(VLOOKUP(I79,'Lookup Exposure Time'!$B$12:$C$732,2))/60</f>
        <v>0.125</v>
      </c>
      <c r="J111" s="362"/>
      <c r="K111" s="364"/>
      <c r="L111"/>
      <c r="M111"/>
      <c r="N111"/>
      <c r="O111"/>
      <c r="P111"/>
      <c r="Q111"/>
      <c r="R111"/>
      <c r="S111"/>
    </row>
    <row r="112" spans="2:19" ht="12.75" customHeight="1">
      <c r="B112" s="360"/>
      <c r="C112" s="364"/>
      <c r="D112" s="364"/>
      <c r="E112" s="364"/>
      <c r="F112" s="364"/>
      <c r="G112" s="364"/>
      <c r="H112" s="364"/>
      <c r="I112" s="364"/>
      <c r="J112" s="363"/>
      <c r="K112" s="364"/>
      <c r="L112"/>
      <c r="M112"/>
      <c r="N112"/>
      <c r="O112"/>
      <c r="P112"/>
      <c r="Q112"/>
      <c r="R112"/>
      <c r="S112"/>
    </row>
    <row r="113" spans="2:19" ht="12.75" customHeight="1">
      <c r="B113" s="360" t="s">
        <v>709</v>
      </c>
      <c r="C113" s="363" t="s">
        <v>712</v>
      </c>
      <c r="D113" s="363"/>
      <c r="E113" s="363"/>
      <c r="F113" s="363"/>
      <c r="G113" s="363"/>
      <c r="H113" s="363"/>
      <c r="I113" s="363"/>
      <c r="J113" s="363"/>
      <c r="K113" s="364"/>
      <c r="L113"/>
      <c r="M113"/>
      <c r="N113"/>
      <c r="O113"/>
      <c r="P113"/>
      <c r="Q113"/>
      <c r="R113"/>
      <c r="S113"/>
    </row>
    <row r="114" spans="2:19" ht="12.75" customHeight="1">
      <c r="B114" s="360"/>
      <c r="C114" s="937" t="s">
        <v>191</v>
      </c>
      <c r="D114" s="937"/>
      <c r="E114" s="937"/>
      <c r="F114" s="936" t="s">
        <v>500</v>
      </c>
      <c r="G114" s="936" t="s">
        <v>22</v>
      </c>
      <c r="H114" s="936" t="s">
        <v>579</v>
      </c>
      <c r="I114" s="936" t="s">
        <v>21</v>
      </c>
      <c r="J114" s="362"/>
      <c r="K114" s="364"/>
      <c r="L114"/>
      <c r="M114"/>
      <c r="N114"/>
      <c r="O114"/>
      <c r="P114"/>
      <c r="Q114"/>
      <c r="R114"/>
      <c r="S114"/>
    </row>
    <row r="115" spans="2:19" ht="12.75" customHeight="1">
      <c r="B115" s="360"/>
      <c r="C115" s="937"/>
      <c r="D115" s="937"/>
      <c r="E115" s="937"/>
      <c r="F115" s="936"/>
      <c r="G115" s="936"/>
      <c r="H115" s="936"/>
      <c r="I115" s="936"/>
      <c r="J115" s="362"/>
      <c r="K115" s="364"/>
      <c r="L115"/>
      <c r="M115"/>
      <c r="N115"/>
      <c r="O115"/>
      <c r="P115"/>
      <c r="Q115"/>
      <c r="R115"/>
      <c r="S115"/>
    </row>
    <row r="116" spans="2:19" ht="12.75" customHeight="1">
      <c r="B116" s="360"/>
      <c r="C116" s="969" t="s">
        <v>63</v>
      </c>
      <c r="D116" s="969"/>
      <c r="E116" s="969"/>
      <c r="F116" s="565">
        <f>(VLOOKUP(F85,'Lookup Exposure Time'!$B$12:$C$732,2))/60</f>
        <v>4.1666666666666664E-2</v>
      </c>
      <c r="G116" s="565">
        <f>(VLOOKUP(G85,'Lookup Exposure Time'!$B$12:$C$732,2))/60</f>
        <v>1.0416666666666666E-2</v>
      </c>
      <c r="H116" s="565">
        <f>(VLOOKUP(H85,'Lookup Exposure Time'!$B$12:$C$732,2))/60</f>
        <v>7.8125E-3</v>
      </c>
      <c r="I116" s="565">
        <f>(VLOOKUP(I85,'Lookup Exposure Time'!$B$12:$C$732,2))/60</f>
        <v>1.6276041666666667E-3</v>
      </c>
      <c r="J116" s="362"/>
      <c r="K116" s="364"/>
      <c r="L116"/>
      <c r="M116"/>
      <c r="N116"/>
      <c r="O116"/>
      <c r="P116"/>
      <c r="Q116"/>
      <c r="R116"/>
      <c r="S116"/>
    </row>
    <row r="117" spans="2:19" ht="12.75" customHeight="1">
      <c r="B117" s="360"/>
      <c r="C117" s="969" t="s">
        <v>64</v>
      </c>
      <c r="D117" s="969"/>
      <c r="E117" s="969"/>
      <c r="F117" s="537">
        <f>(VLOOKUP(F86,'Lookup Exposure Time'!$B$12:$C$732,2))/60</f>
        <v>0.83333333333333337</v>
      </c>
      <c r="G117" s="537">
        <f>(VLOOKUP(G86,'Lookup Exposure Time'!$B$12:$C$732,2))/60</f>
        <v>0.20833333333333334</v>
      </c>
      <c r="H117" s="537">
        <f>(VLOOKUP(H86,'Lookup Exposure Time'!$B$12:$C$732,2))/60</f>
        <v>0.16666666666666666</v>
      </c>
      <c r="I117" s="537">
        <f>(VLOOKUP(I86,'Lookup Exposure Time'!$B$12:$C$732,2))/60</f>
        <v>3.125E-2</v>
      </c>
      <c r="J117" s="362"/>
      <c r="K117" s="364"/>
      <c r="L117"/>
      <c r="M117"/>
      <c r="N117"/>
      <c r="O117"/>
      <c r="P117"/>
      <c r="Q117"/>
      <c r="R117"/>
      <c r="S117"/>
    </row>
    <row r="118" spans="2:19" ht="12.75" customHeight="1">
      <c r="B118" s="360"/>
      <c r="C118" s="363"/>
      <c r="D118" s="363"/>
      <c r="E118" s="363"/>
      <c r="F118" s="363"/>
      <c r="G118" s="363"/>
      <c r="H118" s="363"/>
      <c r="I118" s="363"/>
      <c r="J118" s="363"/>
      <c r="K118" s="364"/>
      <c r="L118"/>
      <c r="M118"/>
      <c r="N118"/>
      <c r="O118"/>
      <c r="P118"/>
      <c r="Q118"/>
      <c r="R118"/>
      <c r="S118"/>
    </row>
    <row r="119" spans="2:19" ht="12.75" customHeight="1">
      <c r="B119" s="546">
        <v>5.5</v>
      </c>
      <c r="C119" s="1008" t="s">
        <v>232</v>
      </c>
      <c r="D119" s="1008"/>
      <c r="E119" s="1008"/>
      <c r="F119" s="1008"/>
      <c r="G119" s="1008"/>
      <c r="H119" s="1008"/>
      <c r="I119" s="1008"/>
      <c r="J119" s="1008"/>
      <c r="K119" s="360"/>
      <c r="L119"/>
      <c r="M119"/>
      <c r="N119"/>
      <c r="O119"/>
      <c r="P119"/>
      <c r="Q119"/>
      <c r="R119"/>
      <c r="S119"/>
    </row>
    <row r="120" spans="2:19" ht="12.75" customHeight="1">
      <c r="B120" s="546"/>
      <c r="C120" s="360"/>
      <c r="D120" s="360"/>
      <c r="E120" s="360"/>
      <c r="F120" s="360"/>
      <c r="G120" s="360"/>
      <c r="H120" s="360"/>
      <c r="I120" s="360"/>
      <c r="J120" s="360"/>
      <c r="K120" s="360"/>
      <c r="L120"/>
      <c r="M120"/>
      <c r="N120"/>
      <c r="O120"/>
      <c r="P120"/>
      <c r="Q120"/>
      <c r="R120"/>
      <c r="S120"/>
    </row>
    <row r="121" spans="2:19" ht="12.75" customHeight="1">
      <c r="B121" s="546"/>
      <c r="C121" s="363" t="s">
        <v>233</v>
      </c>
      <c r="D121" s="363"/>
      <c r="E121" s="363"/>
      <c r="F121" s="363"/>
      <c r="G121" s="363"/>
      <c r="H121" s="363"/>
      <c r="I121" s="363"/>
      <c r="J121" s="363"/>
      <c r="K121" s="364"/>
      <c r="L121"/>
      <c r="M121"/>
      <c r="N121"/>
      <c r="O121"/>
      <c r="P121"/>
      <c r="Q121"/>
      <c r="R121"/>
      <c r="S121"/>
    </row>
    <row r="122" spans="2:19" ht="12.75" customHeight="1">
      <c r="B122" s="360"/>
      <c r="C122" s="937" t="s">
        <v>678</v>
      </c>
      <c r="D122" s="937"/>
      <c r="E122" s="937"/>
      <c r="F122" s="936" t="s">
        <v>470</v>
      </c>
      <c r="G122" s="936" t="s">
        <v>22</v>
      </c>
      <c r="H122" s="936" t="s">
        <v>579</v>
      </c>
      <c r="I122" s="936" t="s">
        <v>21</v>
      </c>
      <c r="J122" s="362"/>
      <c r="K122" s="364"/>
      <c r="L122"/>
      <c r="M122"/>
      <c r="N122"/>
      <c r="O122"/>
      <c r="P122"/>
      <c r="Q122"/>
      <c r="R122"/>
      <c r="S122"/>
    </row>
    <row r="123" spans="2:19" ht="12.75" customHeight="1">
      <c r="B123" s="360"/>
      <c r="C123" s="937"/>
      <c r="D123" s="937"/>
      <c r="E123" s="937"/>
      <c r="F123" s="936"/>
      <c r="G123" s="936"/>
      <c r="H123" s="936"/>
      <c r="I123" s="936"/>
      <c r="J123" s="362"/>
      <c r="K123" s="364"/>
      <c r="L123"/>
      <c r="M123"/>
      <c r="N123"/>
      <c r="O123"/>
      <c r="P123"/>
      <c r="Q123"/>
      <c r="R123"/>
      <c r="S123"/>
    </row>
    <row r="124" spans="2:19" ht="12.75" customHeight="1">
      <c r="B124" s="360"/>
      <c r="C124" s="969" t="s">
        <v>234</v>
      </c>
      <c r="D124" s="969"/>
      <c r="E124" s="969"/>
      <c r="F124" s="369">
        <v>8.3000000000000007</v>
      </c>
      <c r="G124" s="369">
        <f>VLOOKUP($H$8,'Lookup Vibration'!$B$8:$F$208,3)</f>
        <v>18.049999999999951</v>
      </c>
      <c r="H124" s="369">
        <f>VLOOKUP($H$8,'Lookup Vibration'!$B$8:$F$208,4)</f>
        <v>19.950000000000074</v>
      </c>
      <c r="I124" s="369">
        <f>VLOOKUP($H$8,'Lookup Vibration'!$B$8:$F$208,2)</f>
        <v>18.049999999999951</v>
      </c>
      <c r="J124" s="362"/>
      <c r="K124" s="364"/>
      <c r="L124"/>
      <c r="M124"/>
      <c r="N124"/>
      <c r="O124"/>
      <c r="P124"/>
      <c r="Q124"/>
      <c r="R124"/>
      <c r="S124"/>
    </row>
    <row r="125" spans="2:19" ht="12.75" customHeight="1">
      <c r="B125" s="360"/>
      <c r="C125" s="363"/>
      <c r="D125" s="363"/>
      <c r="E125" s="363"/>
      <c r="F125" s="363"/>
      <c r="G125" s="363"/>
      <c r="H125" s="363"/>
      <c r="I125" s="363"/>
      <c r="J125" s="363"/>
      <c r="K125" s="364"/>
      <c r="L125"/>
      <c r="M125"/>
      <c r="N125"/>
      <c r="O125"/>
      <c r="P125"/>
      <c r="Q125"/>
      <c r="R125"/>
      <c r="S125"/>
    </row>
    <row r="126" spans="2:19" ht="12.75" customHeight="1">
      <c r="B126" s="546">
        <v>5.6</v>
      </c>
      <c r="C126" s="1008" t="s">
        <v>34</v>
      </c>
      <c r="D126" s="1008"/>
      <c r="E126" s="1008"/>
      <c r="F126" s="1008"/>
      <c r="G126" s="1008"/>
      <c r="H126" s="1008"/>
      <c r="I126" s="1008"/>
      <c r="J126" s="1008"/>
      <c r="K126" s="360"/>
      <c r="L126"/>
      <c r="M126"/>
      <c r="N126"/>
      <c r="O126"/>
      <c r="P126"/>
      <c r="Q126"/>
      <c r="R126"/>
      <c r="S126"/>
    </row>
    <row r="127" spans="2:19" ht="12.75" customHeight="1">
      <c r="B127" s="546"/>
      <c r="C127" s="363"/>
      <c r="D127" s="363"/>
      <c r="E127" s="363"/>
      <c r="F127" s="363"/>
      <c r="G127" s="363"/>
      <c r="H127" s="363"/>
      <c r="I127" s="363"/>
      <c r="J127" s="363"/>
      <c r="K127" s="364"/>
      <c r="L127"/>
      <c r="M127"/>
      <c r="N127"/>
      <c r="O127"/>
      <c r="P127"/>
      <c r="Q127"/>
      <c r="R127"/>
      <c r="S127"/>
    </row>
    <row r="128" spans="2:19" ht="12.75" customHeight="1">
      <c r="B128" s="360"/>
      <c r="C128" s="937" t="s">
        <v>678</v>
      </c>
      <c r="D128" s="937"/>
      <c r="E128" s="937"/>
      <c r="F128" s="936" t="s">
        <v>500</v>
      </c>
      <c r="G128" s="936" t="s">
        <v>22</v>
      </c>
      <c r="H128" s="936" t="s">
        <v>579</v>
      </c>
      <c r="I128" s="936" t="s">
        <v>21</v>
      </c>
      <c r="J128" s="362"/>
      <c r="K128" s="364"/>
      <c r="L128"/>
      <c r="M128"/>
      <c r="N128"/>
      <c r="O128"/>
      <c r="P128"/>
      <c r="Q128"/>
      <c r="R128"/>
      <c r="S128"/>
    </row>
    <row r="129" spans="2:19" ht="12.75" customHeight="1">
      <c r="B129" s="360"/>
      <c r="C129" s="937"/>
      <c r="D129" s="937"/>
      <c r="E129" s="937"/>
      <c r="F129" s="936"/>
      <c r="G129" s="936"/>
      <c r="H129" s="936"/>
      <c r="I129" s="936"/>
      <c r="J129" s="362"/>
      <c r="K129" s="364"/>
      <c r="L129"/>
      <c r="M129"/>
      <c r="N129"/>
      <c r="O129"/>
      <c r="P129"/>
      <c r="Q129"/>
      <c r="R129"/>
      <c r="S129"/>
    </row>
    <row r="130" spans="2:19" ht="12.75" customHeight="1">
      <c r="B130" s="360"/>
      <c r="C130" s="1004" t="s">
        <v>298</v>
      </c>
      <c r="D130" s="1004"/>
      <c r="E130" s="1004"/>
      <c r="F130" s="556" t="s">
        <v>819</v>
      </c>
      <c r="G130" s="556" t="s">
        <v>818</v>
      </c>
      <c r="H130" s="556" t="s">
        <v>819</v>
      </c>
      <c r="I130" s="556" t="s">
        <v>818</v>
      </c>
      <c r="J130" s="362"/>
      <c r="K130" s="364"/>
      <c r="L130"/>
      <c r="M130"/>
      <c r="N130"/>
      <c r="O130"/>
      <c r="P130"/>
      <c r="Q130"/>
      <c r="R130"/>
      <c r="S130"/>
    </row>
    <row r="131" spans="2:19" ht="12.75" customHeight="1">
      <c r="B131" s="360"/>
      <c r="C131" s="931" t="s">
        <v>299</v>
      </c>
      <c r="D131" s="931"/>
      <c r="E131" s="931"/>
      <c r="F131" s="556" t="s">
        <v>297</v>
      </c>
      <c r="G131" s="556" t="s">
        <v>296</v>
      </c>
      <c r="H131" s="556" t="s">
        <v>296</v>
      </c>
      <c r="I131" s="556" t="s">
        <v>296</v>
      </c>
      <c r="J131" s="362"/>
      <c r="K131" s="364"/>
      <c r="L131"/>
      <c r="M131"/>
      <c r="N131"/>
      <c r="O131"/>
      <c r="P131"/>
      <c r="Q131"/>
      <c r="R131"/>
      <c r="S131"/>
    </row>
    <row r="132" spans="2:19" ht="12.75" customHeight="1">
      <c r="B132" s="360"/>
      <c r="C132" s="363"/>
      <c r="D132" s="363"/>
      <c r="E132" s="363"/>
      <c r="F132" s="363"/>
      <c r="G132" s="363"/>
      <c r="H132" s="363"/>
      <c r="I132" s="363"/>
      <c r="J132" s="363"/>
      <c r="K132" s="363"/>
      <c r="L132"/>
      <c r="M132"/>
      <c r="N132"/>
      <c r="O132"/>
      <c r="P132"/>
      <c r="Q132"/>
      <c r="R132"/>
      <c r="S132"/>
    </row>
    <row r="133" spans="2:19" ht="12.75" customHeight="1">
      <c r="B133" s="546" t="s">
        <v>222</v>
      </c>
      <c r="C133" s="1008" t="s">
        <v>237</v>
      </c>
      <c r="D133" s="1008"/>
      <c r="E133" s="1008"/>
      <c r="F133" s="1008"/>
      <c r="G133" s="1008"/>
      <c r="H133" s="1008"/>
      <c r="I133" s="1008"/>
      <c r="J133" s="1008"/>
      <c r="K133" s="360"/>
      <c r="L133"/>
      <c r="M133"/>
      <c r="N133"/>
      <c r="O133"/>
      <c r="P133"/>
      <c r="Q133"/>
      <c r="R133"/>
      <c r="S133"/>
    </row>
    <row r="134" spans="2:19" ht="12.75" customHeight="1">
      <c r="B134" s="360"/>
      <c r="C134" s="363"/>
      <c r="D134" s="363"/>
      <c r="E134" s="363"/>
      <c r="F134" s="363"/>
      <c r="G134" s="363"/>
      <c r="H134" s="363"/>
      <c r="I134" s="363"/>
      <c r="J134" s="363"/>
      <c r="K134" s="363"/>
      <c r="L134"/>
      <c r="M134"/>
      <c r="N134"/>
      <c r="O134"/>
      <c r="P134"/>
      <c r="Q134"/>
      <c r="R134"/>
      <c r="S134"/>
    </row>
    <row r="135" spans="2:19" ht="12.75" customHeight="1">
      <c r="B135" s="558">
        <v>6.1</v>
      </c>
      <c r="C135" s="364" t="s">
        <v>239</v>
      </c>
      <c r="D135" s="364"/>
      <c r="E135" s="364"/>
      <c r="F135" s="364"/>
      <c r="G135" s="364"/>
      <c r="H135" s="364"/>
      <c r="I135" s="364"/>
      <c r="J135" s="364"/>
      <c r="K135" s="364"/>
      <c r="L135"/>
      <c r="M135"/>
      <c r="N135"/>
      <c r="O135"/>
      <c r="P135"/>
      <c r="Q135"/>
      <c r="R135"/>
      <c r="S135"/>
    </row>
    <row r="136" spans="2:19" ht="12.75" customHeight="1">
      <c r="B136" s="558"/>
      <c r="C136" s="364"/>
      <c r="D136" s="364"/>
      <c r="E136" s="364"/>
      <c r="F136" s="364"/>
      <c r="G136" s="364"/>
      <c r="H136" s="364"/>
      <c r="I136" s="364"/>
      <c r="J136" s="364"/>
      <c r="K136" s="364"/>
      <c r="L136"/>
      <c r="M136"/>
      <c r="N136"/>
      <c r="O136"/>
      <c r="P136"/>
      <c r="Q136"/>
      <c r="R136"/>
      <c r="S136"/>
    </row>
    <row r="137" spans="2:19" ht="12.75" customHeight="1">
      <c r="B137" s="554" t="s">
        <v>505</v>
      </c>
      <c r="C137" s="364" t="s">
        <v>469</v>
      </c>
      <c r="D137" s="364"/>
      <c r="E137" s="364"/>
      <c r="F137" s="364"/>
      <c r="G137" s="364"/>
      <c r="H137" s="364"/>
      <c r="I137" s="364"/>
      <c r="J137" s="364"/>
      <c r="K137" s="364"/>
      <c r="L137"/>
      <c r="M137"/>
      <c r="N137"/>
      <c r="O137"/>
      <c r="P137"/>
      <c r="Q137"/>
      <c r="R137"/>
      <c r="S137"/>
    </row>
    <row r="138" spans="2:19" ht="12.75" customHeight="1">
      <c r="B138" s="558"/>
      <c r="C138" s="364"/>
      <c r="D138" s="364"/>
      <c r="E138" s="364"/>
      <c r="F138" s="364"/>
      <c r="G138" s="364"/>
      <c r="H138" s="364"/>
      <c r="I138" s="364"/>
      <c r="J138" s="364"/>
      <c r="K138" s="364"/>
      <c r="L138"/>
      <c r="M138"/>
      <c r="N138"/>
      <c r="O138"/>
      <c r="P138"/>
      <c r="Q138"/>
      <c r="R138"/>
      <c r="S138"/>
    </row>
    <row r="139" spans="2:19" ht="12.75" customHeight="1">
      <c r="B139" s="558"/>
      <c r="C139" s="951" t="s">
        <v>714</v>
      </c>
      <c r="D139" s="951"/>
      <c r="E139" s="951"/>
      <c r="F139" s="951"/>
      <c r="G139" s="951"/>
      <c r="H139" s="951"/>
      <c r="I139" s="549">
        <f>'Compressor Input Data'!G5</f>
        <v>22800</v>
      </c>
      <c r="J139" s="364"/>
      <c r="K139" s="364"/>
      <c r="L139"/>
      <c r="M139"/>
      <c r="N139"/>
      <c r="O139"/>
      <c r="P139"/>
      <c r="Q139"/>
      <c r="R139"/>
      <c r="S139"/>
    </row>
    <row r="140" spans="2:19" ht="12.75" customHeight="1">
      <c r="B140" s="558"/>
      <c r="C140" s="901" t="s">
        <v>430</v>
      </c>
      <c r="D140" s="901"/>
      <c r="E140" s="901"/>
      <c r="F140" s="936" t="s">
        <v>500</v>
      </c>
      <c r="G140" s="936" t="s">
        <v>22</v>
      </c>
      <c r="H140" s="936" t="s">
        <v>579</v>
      </c>
      <c r="I140" s="936" t="s">
        <v>21</v>
      </c>
      <c r="J140" s="362"/>
      <c r="K140" s="364"/>
      <c r="L140"/>
      <c r="M140"/>
      <c r="N140"/>
      <c r="O140"/>
      <c r="P140"/>
      <c r="Q140"/>
      <c r="R140"/>
      <c r="S140"/>
    </row>
    <row r="141" spans="2:19" ht="12.75" customHeight="1">
      <c r="B141" s="558"/>
      <c r="C141" s="901"/>
      <c r="D141" s="901"/>
      <c r="E141" s="901"/>
      <c r="F141" s="936"/>
      <c r="G141" s="936"/>
      <c r="H141" s="936"/>
      <c r="I141" s="936"/>
      <c r="J141" s="362"/>
      <c r="K141" s="364"/>
      <c r="L141"/>
      <c r="M141"/>
      <c r="N141"/>
      <c r="O141"/>
      <c r="P141"/>
      <c r="Q141"/>
      <c r="R141"/>
      <c r="S141"/>
    </row>
    <row r="142" spans="2:19" ht="12.75" customHeight="1">
      <c r="B142" s="558"/>
      <c r="C142" s="973" t="s">
        <v>555</v>
      </c>
      <c r="D142" s="973"/>
      <c r="E142" s="973"/>
      <c r="F142" s="1384"/>
      <c r="G142" s="544">
        <f>I142</f>
        <v>22800</v>
      </c>
      <c r="H142" s="544">
        <f>I142</f>
        <v>22800</v>
      </c>
      <c r="I142" s="544">
        <f>I139</f>
        <v>22800</v>
      </c>
      <c r="J142" s="362"/>
      <c r="K142" s="364"/>
      <c r="L142"/>
      <c r="M142"/>
      <c r="N142"/>
      <c r="O142"/>
      <c r="P142"/>
      <c r="Q142"/>
      <c r="R142"/>
      <c r="S142"/>
    </row>
    <row r="143" spans="2:19" ht="12.75" customHeight="1">
      <c r="B143" s="558"/>
      <c r="C143" s="973" t="s">
        <v>549</v>
      </c>
      <c r="D143" s="973"/>
      <c r="E143" s="973"/>
      <c r="F143" s="1384"/>
      <c r="G143" s="544">
        <f>I143</f>
        <v>24</v>
      </c>
      <c r="H143" s="544">
        <f>G143</f>
        <v>24</v>
      </c>
      <c r="I143" s="544">
        <f>'Compressor Input Data'!J15</f>
        <v>24</v>
      </c>
      <c r="J143" s="362"/>
      <c r="K143" s="364"/>
      <c r="L143"/>
      <c r="M143"/>
      <c r="N143"/>
      <c r="O143"/>
      <c r="P143"/>
      <c r="Q143"/>
      <c r="R143"/>
      <c r="S143"/>
    </row>
    <row r="144" spans="2:19" ht="12.75" customHeight="1">
      <c r="B144" s="558"/>
      <c r="C144" s="951" t="s">
        <v>556</v>
      </c>
      <c r="D144" s="951"/>
      <c r="E144" s="951"/>
      <c r="F144" s="566">
        <f>F60</f>
        <v>2.6666666666666665</v>
      </c>
      <c r="G144" s="566">
        <f>G60</f>
        <v>1.9999999999999996</v>
      </c>
      <c r="H144" s="566">
        <f>H60</f>
        <v>1.7391304347826084</v>
      </c>
      <c r="I144" s="566">
        <f>I60</f>
        <v>1.4285714285714284</v>
      </c>
      <c r="J144" s="362"/>
      <c r="K144" s="364"/>
      <c r="L144"/>
      <c r="M144"/>
      <c r="N144"/>
      <c r="O144"/>
      <c r="P144"/>
      <c r="Q144"/>
      <c r="R144"/>
      <c r="S144"/>
    </row>
    <row r="145" spans="2:19" ht="12.75" customHeight="1">
      <c r="B145" s="558"/>
      <c r="C145" s="973" t="s">
        <v>575</v>
      </c>
      <c r="D145" s="973"/>
      <c r="E145" s="973"/>
      <c r="F145" s="531">
        <f>H145</f>
        <v>0.22500000000000001</v>
      </c>
      <c r="G145" s="531">
        <f>I145</f>
        <v>0.22500000000000001</v>
      </c>
      <c r="H145" s="531">
        <f>G145</f>
        <v>0.22500000000000001</v>
      </c>
      <c r="I145" s="531">
        <f>'Compressor Input Data'!J17</f>
        <v>0.22500000000000001</v>
      </c>
      <c r="J145" s="362"/>
      <c r="K145" s="364"/>
      <c r="L145"/>
      <c r="M145"/>
      <c r="N145"/>
      <c r="O145"/>
      <c r="P145"/>
      <c r="Q145"/>
      <c r="R145"/>
      <c r="S145"/>
    </row>
    <row r="146" spans="2:19" ht="12.75" customHeight="1">
      <c r="B146" s="558"/>
      <c r="C146" s="987"/>
      <c r="D146" s="988"/>
      <c r="E146" s="988"/>
      <c r="F146" s="988"/>
      <c r="G146" s="988"/>
      <c r="H146" s="988"/>
      <c r="I146" s="989"/>
      <c r="J146" s="364"/>
      <c r="K146" s="364"/>
      <c r="L146"/>
      <c r="M146"/>
      <c r="N146"/>
      <c r="O146"/>
      <c r="P146"/>
      <c r="Q146"/>
      <c r="R146"/>
      <c r="S146"/>
    </row>
    <row r="147" spans="2:19" ht="12.75" customHeight="1">
      <c r="B147" s="558"/>
      <c r="C147" s="901" t="s">
        <v>467</v>
      </c>
      <c r="D147" s="901"/>
      <c r="E147" s="901"/>
      <c r="F147" s="936" t="s">
        <v>500</v>
      </c>
      <c r="G147" s="936" t="s">
        <v>22</v>
      </c>
      <c r="H147" s="936" t="s">
        <v>579</v>
      </c>
      <c r="I147" s="936" t="s">
        <v>21</v>
      </c>
      <c r="J147" s="362"/>
      <c r="K147" s="364"/>
      <c r="L147"/>
      <c r="M147"/>
      <c r="N147"/>
      <c r="O147"/>
      <c r="P147"/>
      <c r="Q147"/>
      <c r="R147"/>
      <c r="S147"/>
    </row>
    <row r="148" spans="2:19" ht="12.75" customHeight="1">
      <c r="B148" s="558"/>
      <c r="C148" s="901"/>
      <c r="D148" s="901"/>
      <c r="E148" s="901"/>
      <c r="F148" s="936"/>
      <c r="G148" s="936"/>
      <c r="H148" s="936"/>
      <c r="I148" s="936"/>
      <c r="J148" s="362"/>
      <c r="K148" s="364"/>
      <c r="L148"/>
      <c r="M148"/>
      <c r="N148"/>
      <c r="O148"/>
      <c r="P148"/>
      <c r="Q148"/>
      <c r="R148"/>
      <c r="S148"/>
    </row>
    <row r="149" spans="2:19" ht="12.75" customHeight="1">
      <c r="B149" s="558"/>
      <c r="C149" s="973" t="s">
        <v>554</v>
      </c>
      <c r="D149" s="973"/>
      <c r="E149" s="973"/>
      <c r="F149" s="986"/>
      <c r="G149" s="569">
        <f>I149</f>
        <v>1</v>
      </c>
      <c r="H149" s="570">
        <f>G149</f>
        <v>1</v>
      </c>
      <c r="I149" s="570">
        <f>'Compressor Input Data'!J20</f>
        <v>1</v>
      </c>
      <c r="J149" s="362"/>
      <c r="K149" s="364"/>
      <c r="L149"/>
      <c r="M149"/>
      <c r="N149"/>
      <c r="O149"/>
      <c r="P149"/>
      <c r="Q149"/>
      <c r="R149"/>
      <c r="S149"/>
    </row>
    <row r="150" spans="2:19" ht="12.75" customHeight="1">
      <c r="B150" s="558"/>
      <c r="C150" s="951" t="s">
        <v>551</v>
      </c>
      <c r="D150" s="951"/>
      <c r="E150" s="951"/>
      <c r="F150" s="986"/>
      <c r="G150" s="571">
        <f>G144/G143</f>
        <v>8.3333333333333315E-2</v>
      </c>
      <c r="H150" s="571">
        <f>H144/H143</f>
        <v>7.2463768115942018E-2</v>
      </c>
      <c r="I150" s="571">
        <f>I144/I143</f>
        <v>5.9523809523809514E-2</v>
      </c>
      <c r="J150" s="362"/>
      <c r="K150" s="364"/>
      <c r="L150"/>
      <c r="M150"/>
      <c r="N150"/>
      <c r="O150"/>
      <c r="P150"/>
      <c r="Q150"/>
      <c r="R150"/>
      <c r="S150"/>
    </row>
    <row r="151" spans="2:19" ht="12.75" customHeight="1">
      <c r="B151" s="558"/>
      <c r="C151" s="973" t="s">
        <v>552</v>
      </c>
      <c r="D151" s="973"/>
      <c r="E151" s="973"/>
      <c r="F151" s="986"/>
      <c r="G151" s="572">
        <f>I151</f>
        <v>0.6</v>
      </c>
      <c r="H151" s="572">
        <f>G151</f>
        <v>0.6</v>
      </c>
      <c r="I151" s="572">
        <f>'Compressor Input Data'!J22</f>
        <v>0.6</v>
      </c>
      <c r="J151" s="362"/>
      <c r="K151" s="364"/>
      <c r="L151"/>
      <c r="M151"/>
      <c r="N151"/>
      <c r="O151"/>
      <c r="P151"/>
      <c r="Q151"/>
      <c r="R151"/>
      <c r="S151"/>
    </row>
    <row r="152" spans="2:19" ht="12.75" customHeight="1">
      <c r="B152" s="558"/>
      <c r="C152" s="987"/>
      <c r="D152" s="988"/>
      <c r="E152" s="988"/>
      <c r="F152" s="988"/>
      <c r="G152" s="988"/>
      <c r="H152" s="988"/>
      <c r="I152" s="989"/>
      <c r="J152" s="364"/>
      <c r="K152" s="364"/>
      <c r="L152"/>
      <c r="M152"/>
      <c r="N152"/>
      <c r="O152"/>
      <c r="P152"/>
      <c r="Q152"/>
      <c r="R152"/>
      <c r="S152"/>
    </row>
    <row r="153" spans="2:19" ht="12.75" customHeight="1">
      <c r="B153" s="558"/>
      <c r="C153" s="901" t="s">
        <v>468</v>
      </c>
      <c r="D153" s="901"/>
      <c r="E153" s="901"/>
      <c r="F153" s="936" t="s">
        <v>500</v>
      </c>
      <c r="G153" s="936" t="s">
        <v>22</v>
      </c>
      <c r="H153" s="936" t="s">
        <v>579</v>
      </c>
      <c r="I153" s="936" t="s">
        <v>21</v>
      </c>
      <c r="J153" s="362"/>
      <c r="K153" s="364"/>
      <c r="L153"/>
      <c r="M153"/>
      <c r="N153"/>
      <c r="O153"/>
      <c r="P153"/>
      <c r="Q153"/>
      <c r="R153"/>
      <c r="S153"/>
    </row>
    <row r="154" spans="2:19" ht="12.75" customHeight="1">
      <c r="B154" s="558"/>
      <c r="C154" s="901"/>
      <c r="D154" s="901"/>
      <c r="E154" s="901"/>
      <c r="F154" s="936"/>
      <c r="G154" s="936"/>
      <c r="H154" s="936"/>
      <c r="I154" s="936"/>
      <c r="J154" s="362"/>
      <c r="K154" s="364"/>
      <c r="L154"/>
      <c r="M154"/>
      <c r="N154"/>
      <c r="O154"/>
      <c r="P154"/>
      <c r="Q154"/>
      <c r="R154"/>
      <c r="S154"/>
    </row>
    <row r="155" spans="2:19" ht="12.75" customHeight="1">
      <c r="B155" s="558"/>
      <c r="C155" s="973" t="s">
        <v>554</v>
      </c>
      <c r="D155" s="973"/>
      <c r="E155" s="973"/>
      <c r="F155" s="986"/>
      <c r="G155" s="572">
        <f>I155</f>
        <v>0.5</v>
      </c>
      <c r="H155" s="572">
        <f>G155</f>
        <v>0.5</v>
      </c>
      <c r="I155" s="572">
        <f>'Compressor Input Data'!J25</f>
        <v>0.5</v>
      </c>
      <c r="J155" s="362"/>
      <c r="K155" s="364"/>
      <c r="L155"/>
      <c r="M155"/>
      <c r="N155"/>
      <c r="O155"/>
      <c r="P155"/>
      <c r="Q155"/>
      <c r="R155"/>
      <c r="S155"/>
    </row>
    <row r="156" spans="2:19" ht="12.75" customHeight="1">
      <c r="B156" s="558"/>
      <c r="C156" s="951" t="s">
        <v>551</v>
      </c>
      <c r="D156" s="951"/>
      <c r="E156" s="951"/>
      <c r="F156" s="986"/>
      <c r="G156" s="572">
        <f>G149-G150</f>
        <v>0.91666666666666674</v>
      </c>
      <c r="H156" s="572">
        <f>H149-H150</f>
        <v>0.92753623188405798</v>
      </c>
      <c r="I156" s="572">
        <f>I149-I150</f>
        <v>0.94047619047619047</v>
      </c>
      <c r="J156" s="362"/>
      <c r="K156" s="364"/>
      <c r="L156"/>
      <c r="M156"/>
      <c r="N156"/>
      <c r="O156"/>
      <c r="P156"/>
      <c r="Q156"/>
      <c r="R156"/>
      <c r="S156"/>
    </row>
    <row r="157" spans="2:19" ht="12.75" customHeight="1">
      <c r="B157" s="558"/>
      <c r="C157" s="973" t="s">
        <v>552</v>
      </c>
      <c r="D157" s="973"/>
      <c r="E157" s="973"/>
      <c r="F157" s="986"/>
      <c r="G157" s="572">
        <f>I157</f>
        <v>0.6</v>
      </c>
      <c r="H157" s="572">
        <f>G157</f>
        <v>0.6</v>
      </c>
      <c r="I157" s="572">
        <f>'Compressor Input Data'!J27</f>
        <v>0.6</v>
      </c>
      <c r="J157" s="362"/>
      <c r="K157" s="364"/>
      <c r="L157"/>
      <c r="M157"/>
      <c r="N157"/>
      <c r="O157"/>
      <c r="P157"/>
      <c r="Q157"/>
      <c r="R157"/>
      <c r="S157"/>
    </row>
    <row r="158" spans="2:19" ht="12.75" customHeight="1">
      <c r="B158" s="558"/>
      <c r="C158" s="567"/>
      <c r="D158" s="568"/>
      <c r="E158" s="568"/>
      <c r="F158" s="573"/>
      <c r="G158" s="573"/>
      <c r="H158" s="573"/>
      <c r="I158" s="574"/>
      <c r="J158" s="364"/>
      <c r="K158" s="364"/>
      <c r="L158"/>
      <c r="M158"/>
      <c r="N158"/>
      <c r="O158"/>
      <c r="P158"/>
      <c r="Q158"/>
      <c r="R158"/>
      <c r="S158"/>
    </row>
    <row r="159" spans="2:19" ht="12.75" customHeight="1">
      <c r="B159" s="558"/>
      <c r="C159" s="901" t="s">
        <v>471</v>
      </c>
      <c r="D159" s="901"/>
      <c r="E159" s="901"/>
      <c r="F159" s="936" t="s">
        <v>500</v>
      </c>
      <c r="G159" s="936" t="s">
        <v>22</v>
      </c>
      <c r="H159" s="936" t="s">
        <v>579</v>
      </c>
      <c r="I159" s="936" t="s">
        <v>21</v>
      </c>
      <c r="J159" s="362"/>
      <c r="K159" s="364"/>
      <c r="L159"/>
      <c r="M159"/>
      <c r="N159"/>
      <c r="O159"/>
      <c r="P159"/>
      <c r="Q159"/>
      <c r="R159"/>
      <c r="S159"/>
    </row>
    <row r="160" spans="2:19" ht="12.75" customHeight="1">
      <c r="B160" s="558"/>
      <c r="C160" s="901"/>
      <c r="D160" s="901"/>
      <c r="E160" s="901"/>
      <c r="F160" s="936"/>
      <c r="G160" s="936"/>
      <c r="H160" s="936"/>
      <c r="I160" s="936"/>
      <c r="J160" s="362"/>
      <c r="K160" s="364"/>
      <c r="L160"/>
      <c r="M160"/>
      <c r="N160"/>
      <c r="O160"/>
      <c r="P160"/>
      <c r="Q160"/>
      <c r="R160"/>
      <c r="S160"/>
    </row>
    <row r="161" spans="2:19" ht="12.75" customHeight="1">
      <c r="B161" s="558"/>
      <c r="C161" s="973" t="s">
        <v>472</v>
      </c>
      <c r="D161" s="973"/>
      <c r="E161" s="973"/>
      <c r="F161" s="544">
        <f>$G$208</f>
        <v>938.66666666666674</v>
      </c>
      <c r="G161" s="544">
        <f>($G$142*$G$143*$G$150*$G$149)/$G$151</f>
        <v>75999.999999999985</v>
      </c>
      <c r="H161" s="544">
        <f>($H$142*$H$143*$H$150*$H$149)/$H$151</f>
        <v>66086.956521739121</v>
      </c>
      <c r="I161" s="544">
        <f>($I$142*$I$143*$I$150*$I$149)/$I$151</f>
        <v>54285.714285714275</v>
      </c>
      <c r="J161" s="362"/>
      <c r="K161" s="364"/>
      <c r="L161"/>
      <c r="M161"/>
      <c r="N161"/>
      <c r="O161"/>
      <c r="P161"/>
      <c r="Q161"/>
      <c r="R161"/>
      <c r="S161"/>
    </row>
    <row r="162" spans="2:19" ht="12.75" customHeight="1">
      <c r="B162" s="558"/>
      <c r="C162" s="973" t="s">
        <v>473</v>
      </c>
      <c r="D162" s="973"/>
      <c r="E162" s="973"/>
      <c r="F162" s="543"/>
      <c r="G162" s="544">
        <f>($G$142*$G$143*$G$156*$G$155)/$G$157</f>
        <v>418000.00000000006</v>
      </c>
      <c r="H162" s="544">
        <f>($H$142*$H$143*$H$156*$H$155)/$H$157</f>
        <v>422956.52173913049</v>
      </c>
      <c r="I162" s="544">
        <f>($I$142*$I$143*$I$156*$I$155)/$I$157</f>
        <v>428857.14285714284</v>
      </c>
      <c r="J162" s="362"/>
      <c r="K162" s="364"/>
      <c r="L162"/>
      <c r="M162"/>
      <c r="N162"/>
      <c r="O162"/>
      <c r="P162"/>
      <c r="Q162"/>
      <c r="R162"/>
      <c r="S162"/>
    </row>
    <row r="163" spans="2:19" ht="12.75" customHeight="1">
      <c r="B163" s="558"/>
      <c r="C163" s="567"/>
      <c r="D163" s="568"/>
      <c r="E163" s="568"/>
      <c r="F163" s="573"/>
      <c r="G163" s="573"/>
      <c r="H163" s="573"/>
      <c r="I163" s="574"/>
      <c r="J163" s="364"/>
      <c r="K163" s="364"/>
      <c r="L163"/>
      <c r="M163"/>
      <c r="N163"/>
      <c r="O163"/>
      <c r="P163"/>
      <c r="Q163"/>
      <c r="R163"/>
      <c r="S163"/>
    </row>
    <row r="164" spans="2:19" ht="12.75" customHeight="1">
      <c r="B164" s="558"/>
      <c r="C164" s="901" t="s">
        <v>474</v>
      </c>
      <c r="D164" s="901"/>
      <c r="E164" s="901"/>
      <c r="F164" s="936" t="s">
        <v>500</v>
      </c>
      <c r="G164" s="936" t="s">
        <v>22</v>
      </c>
      <c r="H164" s="936" t="s">
        <v>579</v>
      </c>
      <c r="I164" s="936" t="s">
        <v>21</v>
      </c>
      <c r="J164" s="362"/>
      <c r="K164" s="364"/>
      <c r="L164"/>
      <c r="M164"/>
      <c r="N164"/>
      <c r="O164"/>
      <c r="P164"/>
      <c r="Q164"/>
      <c r="R164"/>
      <c r="S164"/>
    </row>
    <row r="165" spans="2:19" ht="12.75" customHeight="1">
      <c r="B165" s="558"/>
      <c r="C165" s="901"/>
      <c r="D165" s="901"/>
      <c r="E165" s="901"/>
      <c r="F165" s="936"/>
      <c r="G165" s="936"/>
      <c r="H165" s="936"/>
      <c r="I165" s="936"/>
      <c r="J165" s="362"/>
      <c r="K165" s="364"/>
      <c r="L165"/>
      <c r="M165"/>
      <c r="N165"/>
      <c r="O165"/>
      <c r="P165"/>
      <c r="Q165"/>
      <c r="R165"/>
      <c r="S165"/>
    </row>
    <row r="166" spans="2:19" ht="12.75" customHeight="1">
      <c r="B166" s="558"/>
      <c r="C166" s="973" t="s">
        <v>472</v>
      </c>
      <c r="D166" s="973"/>
      <c r="E166" s="973"/>
      <c r="F166" s="544">
        <f>F161*$G$19</f>
        <v>21589.333333333336</v>
      </c>
      <c r="G166" s="544">
        <f>G161*$G$19</f>
        <v>1747999.9999999998</v>
      </c>
      <c r="H166" s="544">
        <f>H161*$G$19</f>
        <v>1519999.9999999998</v>
      </c>
      <c r="I166" s="544">
        <f>I161*$G$19</f>
        <v>1248571.4285714284</v>
      </c>
      <c r="J166" s="362"/>
      <c r="K166" s="364"/>
      <c r="L166"/>
      <c r="M166"/>
      <c r="N166"/>
      <c r="O166"/>
      <c r="P166"/>
      <c r="Q166"/>
      <c r="R166"/>
      <c r="S166"/>
    </row>
    <row r="167" spans="2:19" ht="12.75" customHeight="1">
      <c r="B167" s="558"/>
      <c r="C167" s="973" t="s">
        <v>473</v>
      </c>
      <c r="D167" s="973"/>
      <c r="E167" s="973"/>
      <c r="F167" s="543"/>
      <c r="G167" s="544">
        <f>G162*$G$19</f>
        <v>9614000.0000000019</v>
      </c>
      <c r="H167" s="544">
        <f>H162*$G$19</f>
        <v>9728000.0000000019</v>
      </c>
      <c r="I167" s="544">
        <f>I162*$G$19</f>
        <v>9863714.2857142854</v>
      </c>
      <c r="J167" s="362"/>
      <c r="K167" s="364"/>
      <c r="L167"/>
      <c r="M167"/>
      <c r="N167"/>
      <c r="O167"/>
      <c r="P167"/>
      <c r="Q167"/>
      <c r="R167"/>
      <c r="S167"/>
    </row>
    <row r="168" spans="2:19" ht="12.75" customHeight="1">
      <c r="B168" s="558"/>
      <c r="C168" s="567"/>
      <c r="D168" s="568"/>
      <c r="E168" s="568"/>
      <c r="F168" s="573"/>
      <c r="G168" s="573"/>
      <c r="H168" s="573"/>
      <c r="I168" s="574"/>
      <c r="J168" s="364"/>
      <c r="K168" s="364"/>
      <c r="L168"/>
      <c r="M168"/>
      <c r="N168"/>
      <c r="O168"/>
      <c r="P168"/>
      <c r="Q168"/>
      <c r="R168"/>
      <c r="S168"/>
    </row>
    <row r="169" spans="2:19" ht="12.75" customHeight="1">
      <c r="B169" s="558"/>
      <c r="C169" s="901" t="s">
        <v>474</v>
      </c>
      <c r="D169" s="901"/>
      <c r="E169" s="901"/>
      <c r="F169" s="936" t="s">
        <v>500</v>
      </c>
      <c r="G169" s="936" t="s">
        <v>22</v>
      </c>
      <c r="H169" s="936" t="s">
        <v>579</v>
      </c>
      <c r="I169" s="936" t="s">
        <v>21</v>
      </c>
      <c r="J169" s="362"/>
      <c r="K169" s="364"/>
      <c r="L169"/>
      <c r="M169"/>
      <c r="N169"/>
      <c r="O169"/>
      <c r="P169"/>
      <c r="Q169"/>
      <c r="R169"/>
      <c r="S169"/>
    </row>
    <row r="170" spans="2:19" ht="12.75" customHeight="1">
      <c r="B170" s="558"/>
      <c r="C170" s="901"/>
      <c r="D170" s="901"/>
      <c r="E170" s="901"/>
      <c r="F170" s="936"/>
      <c r="G170" s="936"/>
      <c r="H170" s="936"/>
      <c r="I170" s="936"/>
      <c r="J170" s="362"/>
      <c r="K170" s="364"/>
      <c r="L170"/>
      <c r="M170"/>
      <c r="N170"/>
      <c r="O170"/>
      <c r="P170"/>
      <c r="Q170"/>
      <c r="R170"/>
      <c r="S170"/>
    </row>
    <row r="171" spans="2:19" ht="12.75" customHeight="1">
      <c r="B171" s="558"/>
      <c r="C171" s="973" t="s">
        <v>472</v>
      </c>
      <c r="D171" s="973"/>
      <c r="E171" s="973"/>
      <c r="F171" s="544">
        <f>F166*12</f>
        <v>259072.00000000003</v>
      </c>
      <c r="G171" s="544">
        <f>G166*12</f>
        <v>20975999.999999996</v>
      </c>
      <c r="H171" s="544">
        <f>H166*12</f>
        <v>18239999.999999996</v>
      </c>
      <c r="I171" s="544">
        <f>I166*12</f>
        <v>14982857.142857142</v>
      </c>
      <c r="J171" s="362"/>
      <c r="K171" s="364"/>
      <c r="L171"/>
      <c r="M171"/>
      <c r="N171"/>
      <c r="O171"/>
      <c r="P171"/>
      <c r="Q171"/>
      <c r="R171"/>
      <c r="S171"/>
    </row>
    <row r="172" spans="2:19" ht="12.75" customHeight="1">
      <c r="B172" s="558"/>
      <c r="C172" s="973" t="s">
        <v>473</v>
      </c>
      <c r="D172" s="973"/>
      <c r="E172" s="973"/>
      <c r="F172" s="543"/>
      <c r="G172" s="544">
        <f>G167*12</f>
        <v>115368000.00000003</v>
      </c>
      <c r="H172" s="544">
        <f>H167*12</f>
        <v>116736000.00000003</v>
      </c>
      <c r="I172" s="544">
        <f>I167*12</f>
        <v>118364571.42857143</v>
      </c>
      <c r="J172" s="362"/>
      <c r="K172" s="364"/>
      <c r="L172"/>
      <c r="M172"/>
      <c r="N172"/>
      <c r="O172"/>
      <c r="P172"/>
      <c r="Q172"/>
      <c r="R172"/>
      <c r="S172"/>
    </row>
    <row r="173" spans="2:19" ht="12.75" customHeight="1">
      <c r="B173" s="558"/>
      <c r="C173" s="381"/>
      <c r="D173" s="381"/>
      <c r="E173" s="381"/>
      <c r="F173" s="381"/>
      <c r="G173" s="381"/>
      <c r="H173" s="381"/>
      <c r="I173" s="381"/>
      <c r="J173" s="364"/>
      <c r="K173" s="364"/>
      <c r="L173"/>
      <c r="M173"/>
      <c r="N173"/>
      <c r="O173"/>
      <c r="P173"/>
      <c r="Q173"/>
      <c r="R173"/>
      <c r="S173"/>
    </row>
    <row r="174" spans="2:19" ht="12.75" customHeight="1">
      <c r="B174" s="558"/>
      <c r="C174" s="901" t="s">
        <v>433</v>
      </c>
      <c r="D174" s="901"/>
      <c r="E174" s="901"/>
      <c r="F174" s="936" t="s">
        <v>500</v>
      </c>
      <c r="G174" s="936" t="s">
        <v>22</v>
      </c>
      <c r="H174" s="936" t="s">
        <v>579</v>
      </c>
      <c r="I174" s="936" t="s">
        <v>21</v>
      </c>
      <c r="J174" s="362"/>
      <c r="K174" s="364"/>
      <c r="L174"/>
      <c r="M174"/>
      <c r="N174"/>
      <c r="O174"/>
      <c r="P174"/>
      <c r="Q174"/>
      <c r="R174"/>
      <c r="S174"/>
    </row>
    <row r="175" spans="2:19" ht="12.75" customHeight="1">
      <c r="B175" s="558"/>
      <c r="C175" s="901"/>
      <c r="D175" s="901"/>
      <c r="E175" s="901"/>
      <c r="F175" s="936"/>
      <c r="G175" s="936"/>
      <c r="H175" s="936"/>
      <c r="I175" s="936"/>
      <c r="J175" s="362"/>
      <c r="K175" s="364"/>
      <c r="L175"/>
      <c r="M175"/>
      <c r="N175"/>
      <c r="O175"/>
      <c r="P175"/>
      <c r="Q175"/>
      <c r="R175"/>
      <c r="S175"/>
    </row>
    <row r="176" spans="2:19" ht="12.75" customHeight="1">
      <c r="B176" s="558"/>
      <c r="C176" s="951" t="s">
        <v>459</v>
      </c>
      <c r="D176" s="951"/>
      <c r="E176" s="951"/>
      <c r="F176" s="544">
        <f>F161</f>
        <v>938.66666666666674</v>
      </c>
      <c r="G176" s="544">
        <f>G161+G162</f>
        <v>494000.00000000006</v>
      </c>
      <c r="H176" s="544">
        <f>H161+H162</f>
        <v>489043.47826086963</v>
      </c>
      <c r="I176" s="544">
        <f>I161+I162</f>
        <v>483142.8571428571</v>
      </c>
      <c r="J176" s="362"/>
      <c r="K176" s="364"/>
      <c r="L176"/>
      <c r="M176"/>
      <c r="N176"/>
      <c r="O176"/>
      <c r="P176"/>
      <c r="Q176"/>
      <c r="R176"/>
      <c r="S176"/>
    </row>
    <row r="177" spans="2:19" ht="12.75" customHeight="1">
      <c r="B177" s="558"/>
      <c r="C177" s="973" t="s">
        <v>307</v>
      </c>
      <c r="D177" s="973"/>
      <c r="E177" s="973"/>
      <c r="F177" s="544">
        <f>F166</f>
        <v>21589.333333333336</v>
      </c>
      <c r="G177" s="544">
        <f>G166+G167</f>
        <v>11362000.000000002</v>
      </c>
      <c r="H177" s="544">
        <f>H166+H167</f>
        <v>11248000.000000002</v>
      </c>
      <c r="I177" s="544">
        <f>I166+I167</f>
        <v>11112285.714285715</v>
      </c>
      <c r="J177" s="362"/>
      <c r="K177" s="364"/>
      <c r="L177"/>
      <c r="M177"/>
      <c r="N177"/>
      <c r="O177"/>
      <c r="P177"/>
      <c r="Q177"/>
      <c r="R177"/>
      <c r="S177"/>
    </row>
    <row r="178" spans="2:19" ht="12.75" customHeight="1">
      <c r="B178" s="558"/>
      <c r="C178" s="973" t="s">
        <v>308</v>
      </c>
      <c r="D178" s="973"/>
      <c r="E178" s="973"/>
      <c r="F178" s="544">
        <f>F171</f>
        <v>259072.00000000003</v>
      </c>
      <c r="G178" s="544">
        <f>G171+G172</f>
        <v>136344000.00000003</v>
      </c>
      <c r="H178" s="544">
        <f>H171+H172</f>
        <v>134976000.00000003</v>
      </c>
      <c r="I178" s="544">
        <f>I171+I172</f>
        <v>133347428.57142857</v>
      </c>
      <c r="J178" s="362"/>
      <c r="K178" s="364"/>
      <c r="L178"/>
      <c r="M178"/>
      <c r="N178"/>
      <c r="O178"/>
      <c r="P178"/>
      <c r="Q178"/>
      <c r="R178"/>
      <c r="S178"/>
    </row>
    <row r="179" spans="2:19" ht="12.75" customHeight="1">
      <c r="B179" s="558"/>
      <c r="C179" s="381"/>
      <c r="D179" s="381"/>
      <c r="E179" s="381"/>
      <c r="F179" s="381"/>
      <c r="G179" s="381"/>
      <c r="H179" s="381"/>
      <c r="I179" s="381"/>
      <c r="J179" s="364"/>
      <c r="K179" s="364"/>
      <c r="L179"/>
      <c r="M179"/>
      <c r="N179"/>
      <c r="O179"/>
      <c r="P179"/>
      <c r="Q179"/>
      <c r="R179"/>
      <c r="S179"/>
    </row>
    <row r="180" spans="2:19" ht="12.75" customHeight="1">
      <c r="B180" s="360"/>
      <c r="C180" s="361"/>
      <c r="D180" s="361"/>
      <c r="E180" s="361"/>
      <c r="F180" s="361"/>
      <c r="G180" s="361"/>
      <c r="H180" s="361"/>
      <c r="I180" s="361"/>
      <c r="J180" s="364"/>
      <c r="K180" s="364"/>
      <c r="L180"/>
      <c r="M180"/>
      <c r="N180"/>
      <c r="O180"/>
      <c r="P180"/>
      <c r="Q180"/>
      <c r="R180"/>
      <c r="S180"/>
    </row>
    <row r="181" spans="2:19" ht="12.75" customHeight="1">
      <c r="B181" s="360"/>
      <c r="C181" s="361"/>
      <c r="D181" s="361"/>
      <c r="E181" s="361"/>
      <c r="F181" s="361"/>
      <c r="G181" s="361"/>
      <c r="H181" s="361"/>
      <c r="I181" s="361"/>
      <c r="J181" s="362"/>
      <c r="K181" s="364"/>
      <c r="L181"/>
      <c r="M181"/>
      <c r="N181"/>
      <c r="O181"/>
      <c r="P181"/>
      <c r="Q181"/>
      <c r="R181"/>
      <c r="S181"/>
    </row>
    <row r="182" spans="2:19" ht="12.75" customHeight="1">
      <c r="B182" s="360"/>
      <c r="C182" s="361"/>
      <c r="D182" s="361"/>
      <c r="E182" s="361"/>
      <c r="F182" s="361"/>
      <c r="G182" s="361"/>
      <c r="H182" s="361"/>
      <c r="I182" s="361"/>
      <c r="J182" s="362"/>
      <c r="K182" s="364"/>
      <c r="L182"/>
      <c r="M182"/>
      <c r="N182"/>
      <c r="O182"/>
      <c r="P182"/>
      <c r="Q182"/>
      <c r="R182"/>
      <c r="S182"/>
    </row>
    <row r="183" spans="2:19" ht="12.75" customHeight="1">
      <c r="B183" s="360"/>
      <c r="C183" s="361"/>
      <c r="D183" s="361"/>
      <c r="E183" s="361"/>
      <c r="F183" s="361"/>
      <c r="G183" s="361"/>
      <c r="H183" s="361"/>
      <c r="I183" s="361"/>
      <c r="J183" s="362"/>
      <c r="K183" s="364"/>
      <c r="L183"/>
      <c r="M183"/>
      <c r="N183"/>
      <c r="O183"/>
      <c r="P183"/>
      <c r="Q183"/>
      <c r="R183"/>
      <c r="S183"/>
    </row>
    <row r="184" spans="2:19" ht="12.75" customHeight="1">
      <c r="B184" s="360"/>
      <c r="C184" s="361"/>
      <c r="D184" s="361"/>
      <c r="E184" s="361"/>
      <c r="F184" s="361"/>
      <c r="G184" s="361"/>
      <c r="H184" s="361"/>
      <c r="I184" s="361"/>
      <c r="J184" s="362"/>
      <c r="K184" s="364"/>
      <c r="L184"/>
      <c r="M184"/>
      <c r="N184"/>
      <c r="O184"/>
      <c r="P184"/>
      <c r="Q184"/>
      <c r="R184"/>
      <c r="S184"/>
    </row>
    <row r="185" spans="2:19" ht="12.75" customHeight="1">
      <c r="B185" s="360"/>
      <c r="C185" s="361"/>
      <c r="D185" s="361"/>
      <c r="E185" s="361"/>
      <c r="F185" s="361"/>
      <c r="G185" s="361"/>
      <c r="H185" s="361"/>
      <c r="I185" s="361"/>
      <c r="J185" s="362"/>
      <c r="K185" s="364"/>
      <c r="L185"/>
      <c r="M185"/>
      <c r="N185"/>
      <c r="O185"/>
      <c r="P185"/>
      <c r="Q185"/>
      <c r="R185"/>
      <c r="S185"/>
    </row>
    <row r="186" spans="2:19" ht="12.75" customHeight="1">
      <c r="B186" s="558"/>
      <c r="C186" s="575"/>
      <c r="D186" s="575"/>
      <c r="E186" s="575"/>
      <c r="F186" s="382"/>
      <c r="G186" s="382"/>
      <c r="H186" s="382"/>
      <c r="I186" s="382"/>
      <c r="J186" s="364"/>
      <c r="K186" s="364"/>
      <c r="L186"/>
      <c r="M186"/>
      <c r="N186"/>
      <c r="O186"/>
      <c r="P186"/>
      <c r="Q186"/>
      <c r="R186"/>
      <c r="S186"/>
    </row>
    <row r="187" spans="2:19" ht="12.75" customHeight="1">
      <c r="B187" s="558"/>
      <c r="C187" s="364"/>
      <c r="D187" s="364"/>
      <c r="E187" s="364"/>
      <c r="F187" s="364"/>
      <c r="G187" s="364"/>
      <c r="H187" s="364"/>
      <c r="I187" s="364"/>
      <c r="J187" s="364"/>
      <c r="K187" s="364"/>
      <c r="L187"/>
      <c r="M187"/>
      <c r="N187"/>
      <c r="O187"/>
      <c r="P187"/>
      <c r="Q187"/>
      <c r="R187"/>
      <c r="S187"/>
    </row>
    <row r="188" spans="2:19" ht="12.75" customHeight="1">
      <c r="B188" s="554" t="s">
        <v>507</v>
      </c>
      <c r="C188" s="974" t="s">
        <v>775</v>
      </c>
      <c r="D188" s="974"/>
      <c r="E188" s="974"/>
      <c r="F188" s="974"/>
      <c r="G188" s="974"/>
      <c r="H188" s="974"/>
      <c r="I188" s="974"/>
      <c r="J188" s="974"/>
      <c r="K188" s="364"/>
      <c r="L188"/>
      <c r="M188"/>
      <c r="N188"/>
      <c r="O188"/>
      <c r="P188"/>
      <c r="Q188"/>
      <c r="R188"/>
      <c r="S188"/>
    </row>
    <row r="189" spans="2:19" ht="12.75" customHeight="1">
      <c r="B189" s="558"/>
      <c r="C189" s="974"/>
      <c r="D189" s="974"/>
      <c r="E189" s="974"/>
      <c r="F189" s="974"/>
      <c r="G189" s="974"/>
      <c r="H189" s="974"/>
      <c r="I189" s="974"/>
      <c r="J189" s="974"/>
      <c r="K189" s="576"/>
      <c r="L189"/>
      <c r="M189"/>
      <c r="N189"/>
      <c r="O189"/>
      <c r="P189"/>
      <c r="Q189"/>
      <c r="R189"/>
      <c r="S189"/>
    </row>
    <row r="190" spans="2:19" ht="12.75" customHeight="1">
      <c r="B190" s="558"/>
      <c r="C190" s="974"/>
      <c r="D190" s="974"/>
      <c r="E190" s="974"/>
      <c r="F190" s="974"/>
      <c r="G190" s="974"/>
      <c r="H190" s="974"/>
      <c r="I190" s="974"/>
      <c r="J190" s="974"/>
      <c r="K190" s="576"/>
      <c r="L190"/>
      <c r="M190"/>
      <c r="N190"/>
      <c r="O190"/>
      <c r="P190"/>
      <c r="Q190"/>
      <c r="R190"/>
      <c r="S190"/>
    </row>
    <row r="191" spans="2:19" ht="12.75" customHeight="1">
      <c r="B191" s="558"/>
      <c r="C191" s="974"/>
      <c r="D191" s="974"/>
      <c r="E191" s="974"/>
      <c r="F191" s="974"/>
      <c r="G191" s="974"/>
      <c r="H191" s="974"/>
      <c r="I191" s="974"/>
      <c r="J191" s="974"/>
      <c r="K191" s="576"/>
      <c r="L191"/>
      <c r="M191"/>
      <c r="N191"/>
      <c r="O191"/>
      <c r="P191"/>
      <c r="Q191"/>
      <c r="R191"/>
      <c r="S191"/>
    </row>
    <row r="192" spans="2:19" ht="12.75" customHeight="1">
      <c r="B192" s="558"/>
      <c r="C192" s="974"/>
      <c r="D192" s="974"/>
      <c r="E192" s="974"/>
      <c r="F192" s="974"/>
      <c r="G192" s="974"/>
      <c r="H192" s="974"/>
      <c r="I192" s="974"/>
      <c r="J192" s="974"/>
      <c r="K192" s="576"/>
      <c r="L192"/>
      <c r="M192"/>
      <c r="N192"/>
      <c r="O192"/>
      <c r="P192"/>
      <c r="Q192"/>
      <c r="R192"/>
      <c r="S192"/>
    </row>
    <row r="193" spans="2:19" ht="12.75" customHeight="1">
      <c r="B193" s="558"/>
      <c r="C193" s="364"/>
      <c r="D193" s="375"/>
      <c r="E193" s="375"/>
      <c r="F193" s="577"/>
      <c r="G193" s="577"/>
      <c r="H193" s="577"/>
      <c r="I193" s="577"/>
      <c r="J193" s="551"/>
      <c r="K193" s="363"/>
      <c r="L193"/>
      <c r="M193"/>
      <c r="N193"/>
      <c r="O193"/>
      <c r="P193"/>
      <c r="Q193"/>
      <c r="R193"/>
      <c r="S193"/>
    </row>
    <row r="194" spans="2:19" ht="12.75" customHeight="1">
      <c r="B194" s="558"/>
      <c r="C194" s="975" t="s">
        <v>713</v>
      </c>
      <c r="D194" s="976"/>
      <c r="E194" s="976"/>
      <c r="F194" s="976"/>
      <c r="G194" s="976"/>
      <c r="H194" s="976"/>
      <c r="I194" s="979">
        <f>10*G33</f>
        <v>76800</v>
      </c>
      <c r="J194" s="935" t="s">
        <v>668</v>
      </c>
      <c r="K194" s="364"/>
      <c r="L194"/>
      <c r="M194"/>
      <c r="N194"/>
      <c r="O194"/>
      <c r="P194"/>
      <c r="Q194"/>
      <c r="R194"/>
      <c r="S194"/>
    </row>
    <row r="195" spans="2:19" ht="12.75" customHeight="1">
      <c r="B195" s="558"/>
      <c r="C195" s="977"/>
      <c r="D195" s="978"/>
      <c r="E195" s="978"/>
      <c r="F195" s="978"/>
      <c r="G195" s="978"/>
      <c r="H195" s="978"/>
      <c r="I195" s="979"/>
      <c r="J195" s="935"/>
      <c r="K195" s="364"/>
      <c r="L195"/>
      <c r="M195"/>
      <c r="N195"/>
      <c r="O195"/>
      <c r="P195"/>
      <c r="Q195"/>
      <c r="R195"/>
      <c r="S195"/>
    </row>
    <row r="196" spans="2:19" ht="12.75" customHeight="1">
      <c r="B196" s="558"/>
      <c r="C196" s="578"/>
      <c r="D196" s="578"/>
      <c r="E196" s="578"/>
      <c r="F196" s="578"/>
      <c r="G196" s="578"/>
      <c r="H196" s="578"/>
      <c r="I196" s="578"/>
      <c r="J196" s="579"/>
      <c r="K196" s="551"/>
      <c r="L196"/>
      <c r="M196"/>
      <c r="N196"/>
      <c r="O196"/>
      <c r="P196"/>
      <c r="Q196"/>
      <c r="R196"/>
      <c r="S196"/>
    </row>
    <row r="197" spans="2:19" ht="12.75" customHeight="1">
      <c r="B197" s="558"/>
      <c r="C197" s="937" t="s">
        <v>678</v>
      </c>
      <c r="D197" s="937"/>
      <c r="E197" s="937"/>
      <c r="F197" s="937"/>
      <c r="G197" s="936" t="s">
        <v>500</v>
      </c>
      <c r="H197" s="936" t="s">
        <v>22</v>
      </c>
      <c r="I197" s="936" t="s">
        <v>579</v>
      </c>
      <c r="J197" s="936" t="s">
        <v>21</v>
      </c>
      <c r="K197" s="362"/>
      <c r="L197"/>
      <c r="M197"/>
      <c r="N197"/>
      <c r="O197"/>
      <c r="P197"/>
      <c r="Q197"/>
      <c r="R197"/>
      <c r="S197"/>
    </row>
    <row r="198" spans="2:19" ht="12.75" customHeight="1">
      <c r="B198" s="558"/>
      <c r="C198" s="937"/>
      <c r="D198" s="937"/>
      <c r="E198" s="937"/>
      <c r="F198" s="937"/>
      <c r="G198" s="936"/>
      <c r="H198" s="936"/>
      <c r="I198" s="936"/>
      <c r="J198" s="936"/>
      <c r="K198" s="362"/>
      <c r="L198"/>
      <c r="M198"/>
      <c r="N198"/>
      <c r="O198"/>
      <c r="P198"/>
      <c r="Q198"/>
      <c r="R198"/>
      <c r="S198"/>
    </row>
    <row r="199" spans="2:19" ht="12.75" customHeight="1">
      <c r="B199" s="558"/>
      <c r="C199" s="968" t="s">
        <v>533</v>
      </c>
      <c r="D199" s="968"/>
      <c r="E199" s="968"/>
      <c r="F199" s="968"/>
      <c r="G199" s="580">
        <v>0.107</v>
      </c>
      <c r="H199" s="581">
        <f>VLOOKUP($H$8,'Lookup Energy kWhm'!$B$8:$E$208,3)</f>
        <v>0.13</v>
      </c>
      <c r="I199" s="581">
        <f>VLOOKUP($H$8,'Lookup Energy kWhm'!$B$8:$E$208,4)</f>
        <v>0.14799999999999999</v>
      </c>
      <c r="J199" s="581">
        <f>VLOOKUP($H$8,'Lookup Energy kWhm'!$B$8:$E$208,2)</f>
        <v>0.1</v>
      </c>
      <c r="K199" s="362"/>
      <c r="L199"/>
      <c r="M199"/>
      <c r="N199"/>
      <c r="O199"/>
      <c r="P199"/>
      <c r="Q199"/>
      <c r="R199"/>
      <c r="S199"/>
    </row>
    <row r="200" spans="2:19" ht="12.75" customHeight="1">
      <c r="B200" s="558"/>
      <c r="C200" s="969" t="s">
        <v>31</v>
      </c>
      <c r="D200" s="969"/>
      <c r="E200" s="969"/>
      <c r="F200" s="969"/>
      <c r="G200" s="556">
        <f t="shared" ref="G200:H203" si="0">I200</f>
        <v>1.2</v>
      </c>
      <c r="H200" s="556">
        <f t="shared" si="0"/>
        <v>1.2</v>
      </c>
      <c r="I200" s="556">
        <f>H200</f>
        <v>1.2</v>
      </c>
      <c r="J200" s="556">
        <f>G28</f>
        <v>1.2</v>
      </c>
      <c r="K200" s="362"/>
      <c r="L200"/>
      <c r="M200"/>
      <c r="N200"/>
      <c r="O200"/>
      <c r="P200"/>
      <c r="Q200"/>
      <c r="R200"/>
      <c r="S200"/>
    </row>
    <row r="201" spans="2:19" ht="12.75" customHeight="1">
      <c r="B201" s="558"/>
      <c r="C201" s="969" t="s">
        <v>314</v>
      </c>
      <c r="D201" s="969"/>
      <c r="E201" s="969"/>
      <c r="F201" s="969"/>
      <c r="G201" s="556">
        <f t="shared" si="0"/>
        <v>160</v>
      </c>
      <c r="H201" s="556">
        <f t="shared" si="0"/>
        <v>160</v>
      </c>
      <c r="I201" s="556">
        <f>H201</f>
        <v>160</v>
      </c>
      <c r="J201" s="556">
        <f>G27</f>
        <v>160</v>
      </c>
      <c r="K201" s="362"/>
      <c r="L201"/>
      <c r="M201"/>
      <c r="N201"/>
      <c r="O201"/>
      <c r="P201"/>
      <c r="Q201"/>
      <c r="R201"/>
      <c r="S201"/>
    </row>
    <row r="202" spans="2:19" ht="12.75" customHeight="1">
      <c r="B202" s="558"/>
      <c r="C202" s="969" t="s">
        <v>20</v>
      </c>
      <c r="D202" s="969"/>
      <c r="E202" s="969"/>
      <c r="F202" s="969"/>
      <c r="G202" s="556">
        <f t="shared" si="0"/>
        <v>40</v>
      </c>
      <c r="H202" s="556">
        <f t="shared" si="0"/>
        <v>40</v>
      </c>
      <c r="I202" s="556">
        <f>H202</f>
        <v>40</v>
      </c>
      <c r="J202" s="556">
        <f>G30</f>
        <v>40</v>
      </c>
      <c r="K202" s="362"/>
      <c r="L202"/>
      <c r="M202"/>
      <c r="N202"/>
      <c r="O202"/>
      <c r="P202"/>
      <c r="Q202"/>
      <c r="R202"/>
      <c r="S202"/>
    </row>
    <row r="203" spans="2:19" ht="12.75" customHeight="1">
      <c r="B203" s="558"/>
      <c r="C203" s="969" t="s">
        <v>310</v>
      </c>
      <c r="D203" s="969"/>
      <c r="E203" s="969"/>
      <c r="F203" s="969"/>
      <c r="G203" s="556">
        <f t="shared" si="0"/>
        <v>160</v>
      </c>
      <c r="H203" s="556">
        <f t="shared" si="0"/>
        <v>160</v>
      </c>
      <c r="I203" s="556">
        <f>H203</f>
        <v>160</v>
      </c>
      <c r="J203" s="556">
        <f>G31</f>
        <v>160</v>
      </c>
      <c r="K203" s="362"/>
      <c r="L203"/>
      <c r="M203"/>
      <c r="N203"/>
      <c r="O203"/>
      <c r="P203"/>
      <c r="Q203"/>
      <c r="R203"/>
      <c r="S203"/>
    </row>
    <row r="204" spans="2:19" ht="12.75" customHeight="1">
      <c r="B204" s="558"/>
      <c r="C204" s="968" t="s">
        <v>543</v>
      </c>
      <c r="D204" s="968"/>
      <c r="E204" s="968"/>
      <c r="F204" s="968"/>
      <c r="G204" s="582">
        <f>G199*G200*G201*G202</f>
        <v>821.75999999999988</v>
      </c>
      <c r="H204" s="582">
        <f>H199*H200*H201*H202</f>
        <v>998.40000000000009</v>
      </c>
      <c r="I204" s="582">
        <f>I199*I200*I201*I202</f>
        <v>1136.6399999999999</v>
      </c>
      <c r="J204" s="582">
        <f>J199*J200*J201*J202</f>
        <v>768</v>
      </c>
      <c r="K204" s="362"/>
      <c r="L204"/>
      <c r="M204"/>
      <c r="N204"/>
      <c r="O204"/>
      <c r="P204"/>
      <c r="Q204"/>
      <c r="R204"/>
      <c r="S204"/>
    </row>
    <row r="205" spans="2:19" ht="12.75" customHeight="1">
      <c r="B205" s="558"/>
      <c r="C205" s="968" t="s">
        <v>542</v>
      </c>
      <c r="D205" s="968"/>
      <c r="E205" s="968"/>
      <c r="F205" s="968"/>
      <c r="G205" s="583">
        <f>G204/G203</f>
        <v>5.1359999999999992</v>
      </c>
      <c r="H205" s="583">
        <f>H204/H203</f>
        <v>6.24</v>
      </c>
      <c r="I205" s="583">
        <f>I204/I203</f>
        <v>7.1039999999999992</v>
      </c>
      <c r="J205" s="583">
        <f>J204/J203</f>
        <v>4.8</v>
      </c>
      <c r="K205" s="362"/>
      <c r="L205"/>
      <c r="M205"/>
      <c r="N205"/>
      <c r="O205"/>
      <c r="P205"/>
      <c r="Q205"/>
      <c r="R205"/>
      <c r="S205"/>
    </row>
    <row r="206" spans="2:19" ht="12.75" customHeight="1">
      <c r="B206" s="558"/>
      <c r="C206" s="968" t="s">
        <v>538</v>
      </c>
      <c r="D206" s="968"/>
      <c r="E206" s="968"/>
      <c r="F206" s="968"/>
      <c r="G206" s="537">
        <f>F60</f>
        <v>2.6666666666666665</v>
      </c>
      <c r="H206" s="537">
        <f>G60</f>
        <v>1.9999999999999996</v>
      </c>
      <c r="I206" s="537">
        <f>H60</f>
        <v>1.7391304347826084</v>
      </c>
      <c r="J206" s="537">
        <f>I60</f>
        <v>1.4285714285714284</v>
      </c>
      <c r="K206" s="362"/>
      <c r="L206"/>
      <c r="M206"/>
      <c r="N206"/>
      <c r="O206"/>
      <c r="P206"/>
      <c r="Q206"/>
      <c r="R206"/>
      <c r="S206"/>
    </row>
    <row r="207" spans="2:19" ht="12.75" customHeight="1">
      <c r="B207" s="558"/>
      <c r="C207" s="968" t="s">
        <v>546</v>
      </c>
      <c r="D207" s="968"/>
      <c r="E207" s="968"/>
      <c r="F207" s="968"/>
      <c r="G207" s="584">
        <f>2.2*G206</f>
        <v>5.8666666666666671</v>
      </c>
      <c r="H207" s="584">
        <f>H206/H199</f>
        <v>15.384615384615381</v>
      </c>
      <c r="I207" s="584">
        <f>I206/I199</f>
        <v>11.750881316098706</v>
      </c>
      <c r="J207" s="584">
        <f>J206/J199</f>
        <v>14.285714285714283</v>
      </c>
      <c r="K207" s="362"/>
      <c r="L207"/>
      <c r="M207"/>
      <c r="N207"/>
      <c r="O207"/>
      <c r="P207"/>
      <c r="Q207"/>
      <c r="R207"/>
      <c r="S207"/>
    </row>
    <row r="208" spans="2:19" ht="12.75" customHeight="1">
      <c r="B208" s="558"/>
      <c r="C208" s="968" t="s">
        <v>544</v>
      </c>
      <c r="D208" s="968"/>
      <c r="E208" s="968"/>
      <c r="F208" s="968"/>
      <c r="G208" s="584">
        <f>G203*G207</f>
        <v>938.66666666666674</v>
      </c>
      <c r="H208" s="584">
        <f>H203*H207</f>
        <v>2461.538461538461</v>
      </c>
      <c r="I208" s="584">
        <f>I203*I207</f>
        <v>1880.141010575793</v>
      </c>
      <c r="J208" s="584">
        <f>J203*J207</f>
        <v>2285.7142857142853</v>
      </c>
      <c r="K208" s="362"/>
      <c r="L208"/>
      <c r="M208"/>
      <c r="N208"/>
      <c r="O208"/>
      <c r="P208"/>
      <c r="Q208"/>
      <c r="R208"/>
      <c r="S208"/>
    </row>
    <row r="209" spans="2:19" ht="12.75" customHeight="1">
      <c r="B209" s="558"/>
      <c r="C209" s="969" t="s">
        <v>535</v>
      </c>
      <c r="D209" s="969"/>
      <c r="E209" s="969"/>
      <c r="F209" s="969"/>
      <c r="G209" s="556">
        <f>G201/G206</f>
        <v>60</v>
      </c>
      <c r="H209" s="556">
        <f>H201/H206</f>
        <v>80.000000000000014</v>
      </c>
      <c r="I209" s="556">
        <f>I201/I206</f>
        <v>92.000000000000014</v>
      </c>
      <c r="J209" s="556">
        <f>J201/J206</f>
        <v>112.00000000000001</v>
      </c>
      <c r="K209" s="362"/>
      <c r="L209"/>
      <c r="M209"/>
      <c r="N209"/>
      <c r="O209"/>
      <c r="P209"/>
      <c r="Q209"/>
      <c r="R209"/>
      <c r="S209"/>
    </row>
    <row r="210" spans="2:19" ht="12.75" customHeight="1">
      <c r="B210" s="558"/>
      <c r="C210" s="969" t="s">
        <v>536</v>
      </c>
      <c r="D210" s="969"/>
      <c r="E210" s="969"/>
      <c r="F210" s="969"/>
      <c r="G210" s="556">
        <f>G200*G209</f>
        <v>72</v>
      </c>
      <c r="H210" s="556">
        <f>H200*H209</f>
        <v>96.000000000000014</v>
      </c>
      <c r="I210" s="556">
        <f>I200*I209</f>
        <v>110.40000000000002</v>
      </c>
      <c r="J210" s="556">
        <f>J200*J209</f>
        <v>134.4</v>
      </c>
      <c r="K210" s="362"/>
      <c r="L210"/>
      <c r="M210"/>
      <c r="N210"/>
      <c r="O210"/>
      <c r="P210"/>
      <c r="Q210"/>
      <c r="R210"/>
      <c r="S210"/>
    </row>
    <row r="211" spans="2:19" ht="12.75" customHeight="1">
      <c r="B211" s="558"/>
      <c r="C211" s="968" t="s">
        <v>534</v>
      </c>
      <c r="D211" s="968"/>
      <c r="E211" s="968"/>
      <c r="F211" s="968"/>
      <c r="G211" s="583">
        <f>F59</f>
        <v>4</v>
      </c>
      <c r="H211" s="583">
        <f>G59</f>
        <v>2.9999999999999996</v>
      </c>
      <c r="I211" s="583">
        <f>H59</f>
        <v>2.6086956521739126</v>
      </c>
      <c r="J211" s="583">
        <f>I59</f>
        <v>2.1428571428571428</v>
      </c>
      <c r="K211" s="362"/>
      <c r="L211"/>
      <c r="M211"/>
      <c r="N211"/>
      <c r="O211"/>
      <c r="P211"/>
      <c r="Q211"/>
      <c r="R211"/>
      <c r="S211"/>
    </row>
    <row r="212" spans="2:19" ht="12.75" customHeight="1">
      <c r="B212" s="558"/>
      <c r="C212" s="968" t="s">
        <v>537</v>
      </c>
      <c r="D212" s="968"/>
      <c r="E212" s="968"/>
      <c r="F212" s="968"/>
      <c r="G212" s="584">
        <f>G209*G211</f>
        <v>240</v>
      </c>
      <c r="H212" s="584">
        <f>H209*H211</f>
        <v>240</v>
      </c>
      <c r="I212" s="584">
        <f>I209*I211</f>
        <v>240</v>
      </c>
      <c r="J212" s="584">
        <f>J209*J211</f>
        <v>240.00000000000003</v>
      </c>
      <c r="K212" s="362"/>
      <c r="L212"/>
      <c r="M212"/>
      <c r="N212"/>
      <c r="O212"/>
      <c r="P212"/>
      <c r="Q212"/>
      <c r="R212"/>
      <c r="S212"/>
    </row>
    <row r="213" spans="2:19" ht="12.75" customHeight="1">
      <c r="B213" s="558"/>
      <c r="C213" s="968" t="s">
        <v>545</v>
      </c>
      <c r="D213" s="968"/>
      <c r="E213" s="968"/>
      <c r="F213" s="968"/>
      <c r="G213" s="585">
        <f>G205/G207</f>
        <v>0.87545454545454526</v>
      </c>
      <c r="H213" s="585">
        <f>H205/H207</f>
        <v>0.40560000000000007</v>
      </c>
      <c r="I213" s="585">
        <f>I205/I207</f>
        <v>0.60455040000000004</v>
      </c>
      <c r="J213" s="585">
        <f>J205/J207</f>
        <v>0.33600000000000008</v>
      </c>
      <c r="K213" s="362"/>
      <c r="L213"/>
      <c r="M213"/>
      <c r="N213"/>
      <c r="O213"/>
      <c r="P213"/>
      <c r="Q213"/>
      <c r="R213"/>
      <c r="S213"/>
    </row>
    <row r="214" spans="2:19" ht="12.75" customHeight="1">
      <c r="B214" s="558"/>
      <c r="C214" s="540" t="s">
        <v>547</v>
      </c>
      <c r="D214" s="540"/>
      <c r="E214" s="540"/>
      <c r="F214" s="540"/>
      <c r="G214" s="585"/>
      <c r="H214" s="586">
        <f>10*H201*H200*H202</f>
        <v>76800</v>
      </c>
      <c r="I214" s="586">
        <f>10*I201*I200*I202</f>
        <v>76800</v>
      </c>
      <c r="J214" s="586">
        <f>10*J201*J200*J202</f>
        <v>76800</v>
      </c>
      <c r="K214" s="362"/>
      <c r="L214"/>
      <c r="M214"/>
      <c r="N214"/>
      <c r="O214"/>
      <c r="P214"/>
      <c r="Q214"/>
      <c r="R214"/>
      <c r="S214"/>
    </row>
    <row r="215" spans="2:19" ht="12.75" customHeight="1">
      <c r="B215" s="558"/>
      <c r="C215" s="968" t="s">
        <v>548</v>
      </c>
      <c r="D215" s="968"/>
      <c r="E215" s="968"/>
      <c r="F215" s="968"/>
      <c r="G215" s="585">
        <f>G213</f>
        <v>0.87545454545454526</v>
      </c>
      <c r="H215" s="585">
        <f>H204/H214</f>
        <v>1.3000000000000001E-2</v>
      </c>
      <c r="I215" s="585">
        <f>I204/I214</f>
        <v>1.4799999999999999E-2</v>
      </c>
      <c r="J215" s="585">
        <f>J204/J214</f>
        <v>0.01</v>
      </c>
      <c r="K215" s="362"/>
      <c r="L215"/>
      <c r="M215"/>
      <c r="N215"/>
      <c r="O215"/>
      <c r="P215"/>
      <c r="Q215"/>
      <c r="R215"/>
      <c r="S215"/>
    </row>
    <row r="216" spans="2:19" ht="12.75" customHeight="1">
      <c r="B216" s="558"/>
      <c r="C216" s="587"/>
      <c r="D216" s="587"/>
      <c r="E216" s="587"/>
      <c r="F216" s="587"/>
      <c r="G216" s="588"/>
      <c r="H216" s="588"/>
      <c r="I216" s="588"/>
      <c r="J216" s="588"/>
      <c r="K216" s="589"/>
      <c r="L216"/>
      <c r="M216"/>
      <c r="N216"/>
      <c r="O216"/>
      <c r="P216"/>
      <c r="Q216"/>
      <c r="R216"/>
      <c r="S216"/>
    </row>
    <row r="217" spans="2:19" ht="12.75" customHeight="1">
      <c r="B217" s="558">
        <v>6.2</v>
      </c>
      <c r="C217" s="364" t="s">
        <v>241</v>
      </c>
      <c r="D217" s="364"/>
      <c r="E217" s="364"/>
      <c r="F217" s="364"/>
      <c r="G217" s="364"/>
      <c r="H217" s="364"/>
      <c r="I217" s="364"/>
      <c r="J217" s="364"/>
      <c r="K217" s="364"/>
      <c r="L217"/>
      <c r="M217"/>
      <c r="N217"/>
      <c r="O217"/>
      <c r="P217"/>
      <c r="Q217"/>
      <c r="R217"/>
      <c r="S217"/>
    </row>
    <row r="218" spans="2:19" ht="12.75" customHeight="1">
      <c r="B218" s="554"/>
      <c r="C218" s="935" t="s">
        <v>301</v>
      </c>
      <c r="D218" s="935"/>
      <c r="E218" s="935"/>
      <c r="F218" s="936" t="s">
        <v>500</v>
      </c>
      <c r="G218" s="936" t="s">
        <v>22</v>
      </c>
      <c r="H218" s="936" t="s">
        <v>579</v>
      </c>
      <c r="I218" s="936" t="s">
        <v>21</v>
      </c>
      <c r="J218" s="362"/>
      <c r="K218" s="364"/>
      <c r="L218"/>
      <c r="M218"/>
      <c r="N218"/>
      <c r="O218"/>
      <c r="P218"/>
      <c r="Q218"/>
      <c r="R218"/>
      <c r="S218"/>
    </row>
    <row r="219" spans="2:19" ht="12.75" customHeight="1">
      <c r="B219" s="554"/>
      <c r="C219" s="935"/>
      <c r="D219" s="935"/>
      <c r="E219" s="935"/>
      <c r="F219" s="936"/>
      <c r="G219" s="936"/>
      <c r="H219" s="936"/>
      <c r="I219" s="936"/>
      <c r="J219" s="362"/>
      <c r="K219" s="364"/>
      <c r="L219"/>
      <c r="M219"/>
      <c r="N219"/>
      <c r="O219"/>
      <c r="P219"/>
      <c r="Q219"/>
      <c r="R219"/>
      <c r="S219"/>
    </row>
    <row r="220" spans="2:19" ht="12.75" customHeight="1">
      <c r="B220" s="554"/>
      <c r="C220" s="931" t="s">
        <v>662</v>
      </c>
      <c r="D220" s="931"/>
      <c r="E220" s="931"/>
      <c r="F220" s="901" t="s">
        <v>427</v>
      </c>
      <c r="G220" s="562">
        <f>VLOOKUP($H$8,'Lookup Air Consumption'!$B$8:$E$208,3)</f>
        <v>38</v>
      </c>
      <c r="H220" s="562">
        <f>VLOOKUP($H$8,'Lookup Air Consumption'!$B$8:$E$208,4)</f>
        <v>50</v>
      </c>
      <c r="I220" s="562">
        <f>VLOOKUP($H$8,'Lookup Air Consumption'!$B$8:$E$208,2)</f>
        <v>41</v>
      </c>
      <c r="J220" s="362"/>
      <c r="K220" s="364"/>
      <c r="L220"/>
      <c r="M220"/>
      <c r="N220"/>
      <c r="O220"/>
      <c r="P220"/>
      <c r="Q220"/>
      <c r="R220"/>
      <c r="S220"/>
    </row>
    <row r="221" spans="2:19" ht="12.75" customHeight="1">
      <c r="B221" s="554"/>
      <c r="C221" s="931" t="s">
        <v>663</v>
      </c>
      <c r="D221" s="931"/>
      <c r="E221" s="931"/>
      <c r="F221" s="901"/>
      <c r="G221" s="590">
        <f>G220/1000</f>
        <v>3.7999999999999999E-2</v>
      </c>
      <c r="H221" s="590">
        <f>H220/1000</f>
        <v>0.05</v>
      </c>
      <c r="I221" s="590">
        <f>I220/1000</f>
        <v>4.1000000000000002E-2</v>
      </c>
      <c r="J221" s="362"/>
      <c r="K221" s="364"/>
      <c r="L221"/>
      <c r="M221"/>
      <c r="N221"/>
      <c r="O221"/>
      <c r="P221"/>
      <c r="Q221"/>
      <c r="R221"/>
      <c r="S221"/>
    </row>
    <row r="222" spans="2:19" ht="12.75" customHeight="1">
      <c r="B222" s="554"/>
      <c r="C222" s="931" t="s">
        <v>664</v>
      </c>
      <c r="D222" s="931"/>
      <c r="E222" s="931"/>
      <c r="F222" s="901"/>
      <c r="G222" s="560">
        <f>G221*35.31467</f>
        <v>1.3419574599999999</v>
      </c>
      <c r="H222" s="560">
        <f>H221*35.31467</f>
        <v>1.7657335000000001</v>
      </c>
      <c r="I222" s="560">
        <f>I221*35.31467</f>
        <v>1.4479014700000001</v>
      </c>
      <c r="J222" s="362"/>
      <c r="K222" s="364"/>
      <c r="L222"/>
      <c r="M222"/>
      <c r="N222"/>
      <c r="O222"/>
      <c r="P222"/>
      <c r="Q222"/>
      <c r="R222"/>
      <c r="S222"/>
    </row>
    <row r="223" spans="2:19" ht="12.75" customHeight="1">
      <c r="B223" s="360"/>
      <c r="C223" s="551"/>
      <c r="D223" s="551"/>
      <c r="E223" s="551"/>
      <c r="F223" s="368"/>
      <c r="G223" s="368"/>
      <c r="H223" s="368"/>
      <c r="I223" s="381"/>
      <c r="J223" s="591"/>
      <c r="K223" s="364"/>
      <c r="L223"/>
      <c r="M223"/>
      <c r="N223"/>
      <c r="O223"/>
      <c r="P223"/>
      <c r="Q223"/>
      <c r="R223"/>
      <c r="S223"/>
    </row>
    <row r="224" spans="2:19" ht="12.75" customHeight="1">
      <c r="B224" s="360"/>
      <c r="C224" s="935" t="s">
        <v>302</v>
      </c>
      <c r="D224" s="935"/>
      <c r="E224" s="935"/>
      <c r="F224" s="936" t="s">
        <v>500</v>
      </c>
      <c r="G224" s="936" t="s">
        <v>22</v>
      </c>
      <c r="H224" s="936" t="s">
        <v>579</v>
      </c>
      <c r="I224" s="936" t="s">
        <v>21</v>
      </c>
      <c r="J224" s="362"/>
      <c r="K224" s="364"/>
      <c r="L224"/>
      <c r="M224"/>
      <c r="N224"/>
      <c r="O224"/>
      <c r="P224"/>
      <c r="Q224"/>
      <c r="R224"/>
      <c r="S224"/>
    </row>
    <row r="225" spans="2:19" ht="12.75" customHeight="1">
      <c r="B225" s="360"/>
      <c r="C225" s="935"/>
      <c r="D225" s="935"/>
      <c r="E225" s="935"/>
      <c r="F225" s="936"/>
      <c r="G225" s="936"/>
      <c r="H225" s="936"/>
      <c r="I225" s="936"/>
      <c r="J225" s="362"/>
      <c r="K225" s="364"/>
      <c r="L225"/>
      <c r="M225"/>
      <c r="N225"/>
      <c r="O225"/>
      <c r="P225"/>
      <c r="Q225"/>
      <c r="R225"/>
      <c r="S225"/>
    </row>
    <row r="226" spans="2:19" ht="12.75" customHeight="1">
      <c r="B226" s="360"/>
      <c r="C226" s="931" t="s">
        <v>662</v>
      </c>
      <c r="D226" s="931"/>
      <c r="E226" s="931"/>
      <c r="F226" s="901" t="s">
        <v>427</v>
      </c>
      <c r="G226" s="549">
        <f t="shared" ref="G226:I228" si="1">G220*$G$31</f>
        <v>6080</v>
      </c>
      <c r="H226" s="549">
        <f t="shared" si="1"/>
        <v>8000</v>
      </c>
      <c r="I226" s="549">
        <f t="shared" si="1"/>
        <v>6560</v>
      </c>
      <c r="J226" s="362"/>
      <c r="K226" s="364"/>
      <c r="L226"/>
      <c r="M226"/>
      <c r="N226"/>
      <c r="O226"/>
      <c r="P226"/>
      <c r="Q226"/>
      <c r="R226"/>
      <c r="S226"/>
    </row>
    <row r="227" spans="2:19" ht="12.75" customHeight="1">
      <c r="B227" s="360"/>
      <c r="C227" s="931" t="s">
        <v>663</v>
      </c>
      <c r="D227" s="931"/>
      <c r="E227" s="931"/>
      <c r="F227" s="901"/>
      <c r="G227" s="560">
        <f t="shared" si="1"/>
        <v>6.08</v>
      </c>
      <c r="H227" s="560">
        <f t="shared" si="1"/>
        <v>8</v>
      </c>
      <c r="I227" s="560">
        <f t="shared" si="1"/>
        <v>6.5600000000000005</v>
      </c>
      <c r="J227" s="362"/>
      <c r="K227" s="364"/>
      <c r="L227"/>
      <c r="M227"/>
      <c r="N227"/>
      <c r="O227"/>
      <c r="P227"/>
      <c r="Q227"/>
      <c r="R227"/>
      <c r="S227"/>
    </row>
    <row r="228" spans="2:19" ht="12.75" customHeight="1">
      <c r="B228" s="360"/>
      <c r="C228" s="931" t="s">
        <v>664</v>
      </c>
      <c r="D228" s="931"/>
      <c r="E228" s="931"/>
      <c r="F228" s="901"/>
      <c r="G228" s="560">
        <f t="shared" si="1"/>
        <v>214.71319359999998</v>
      </c>
      <c r="H228" s="560">
        <f t="shared" si="1"/>
        <v>282.51736</v>
      </c>
      <c r="I228" s="560">
        <f t="shared" si="1"/>
        <v>231.66423520000001</v>
      </c>
      <c r="J228" s="362"/>
      <c r="K228" s="364"/>
      <c r="L228"/>
      <c r="M228"/>
      <c r="N228"/>
      <c r="O228"/>
      <c r="P228"/>
      <c r="Q228"/>
      <c r="R228"/>
      <c r="S228"/>
    </row>
    <row r="229" spans="2:19" ht="12.75" customHeight="1">
      <c r="B229" s="360"/>
      <c r="C229" s="364"/>
      <c r="D229" s="364"/>
      <c r="E229" s="364"/>
      <c r="F229" s="555"/>
      <c r="G229" s="555"/>
      <c r="H229" s="555"/>
      <c r="I229" s="364"/>
      <c r="J229" s="364"/>
      <c r="K229" s="364"/>
      <c r="L229"/>
      <c r="M229"/>
      <c r="N229"/>
      <c r="O229"/>
      <c r="P229"/>
      <c r="Q229"/>
      <c r="R229"/>
      <c r="S229"/>
    </row>
    <row r="230" spans="2:19" ht="12.75" customHeight="1">
      <c r="B230" s="360"/>
      <c r="C230" s="935" t="s">
        <v>303</v>
      </c>
      <c r="D230" s="935"/>
      <c r="E230" s="935"/>
      <c r="F230" s="936" t="s">
        <v>500</v>
      </c>
      <c r="G230" s="936" t="s">
        <v>22</v>
      </c>
      <c r="H230" s="936" t="s">
        <v>579</v>
      </c>
      <c r="I230" s="936" t="s">
        <v>21</v>
      </c>
      <c r="J230" s="362"/>
      <c r="K230" s="364"/>
      <c r="L230"/>
      <c r="M230"/>
      <c r="N230"/>
      <c r="O230"/>
      <c r="P230"/>
      <c r="Q230"/>
      <c r="R230"/>
      <c r="S230"/>
    </row>
    <row r="231" spans="2:19" ht="12.75" customHeight="1">
      <c r="B231" s="360"/>
      <c r="C231" s="935"/>
      <c r="D231" s="935"/>
      <c r="E231" s="935"/>
      <c r="F231" s="936"/>
      <c r="G231" s="936"/>
      <c r="H231" s="936"/>
      <c r="I231" s="936"/>
      <c r="J231" s="362"/>
      <c r="K231" s="364"/>
      <c r="L231"/>
      <c r="M231"/>
      <c r="N231"/>
      <c r="O231"/>
      <c r="P231"/>
      <c r="Q231"/>
      <c r="R231"/>
      <c r="S231"/>
    </row>
    <row r="232" spans="2:19" ht="12.75" customHeight="1">
      <c r="B232" s="563"/>
      <c r="C232" s="951" t="s">
        <v>517</v>
      </c>
      <c r="D232" s="951"/>
      <c r="E232" s="951"/>
      <c r="F232" s="901" t="s">
        <v>427</v>
      </c>
      <c r="G232" s="549">
        <f t="shared" ref="G232:I234" si="2">($G$33/$I$58)*60*G220</f>
        <v>31268571.428571429</v>
      </c>
      <c r="H232" s="549">
        <f t="shared" si="2"/>
        <v>41142857.142857142</v>
      </c>
      <c r="I232" s="549">
        <f t="shared" si="2"/>
        <v>33737142.857142858</v>
      </c>
      <c r="J232" s="362"/>
      <c r="K232" s="364"/>
      <c r="L232"/>
      <c r="M232"/>
      <c r="N232"/>
      <c r="O232"/>
      <c r="P232"/>
      <c r="Q232"/>
      <c r="R232"/>
      <c r="S232"/>
    </row>
    <row r="233" spans="2:19" ht="12.75" customHeight="1">
      <c r="B233" s="554"/>
      <c r="C233" s="951" t="s">
        <v>666</v>
      </c>
      <c r="D233" s="951"/>
      <c r="E233" s="951"/>
      <c r="F233" s="901"/>
      <c r="G233" s="549">
        <f t="shared" si="2"/>
        <v>31268.571428571428</v>
      </c>
      <c r="H233" s="549">
        <f t="shared" si="2"/>
        <v>41142.857142857145</v>
      </c>
      <c r="I233" s="549">
        <f t="shared" si="2"/>
        <v>33737.142857142855</v>
      </c>
      <c r="J233" s="362"/>
      <c r="K233" s="364"/>
      <c r="L233"/>
      <c r="M233"/>
      <c r="N233"/>
      <c r="O233"/>
      <c r="P233"/>
      <c r="Q233"/>
      <c r="R233"/>
      <c r="S233"/>
    </row>
    <row r="234" spans="2:19" ht="12.75" customHeight="1">
      <c r="B234" s="554"/>
      <c r="C234" s="951" t="s">
        <v>583</v>
      </c>
      <c r="D234" s="951"/>
      <c r="E234" s="951"/>
      <c r="F234" s="901"/>
      <c r="G234" s="549">
        <f t="shared" si="2"/>
        <v>1104239.2813714284</v>
      </c>
      <c r="H234" s="549">
        <f t="shared" si="2"/>
        <v>1452946.422857143</v>
      </c>
      <c r="I234" s="549">
        <f t="shared" si="2"/>
        <v>1191416.0667428572</v>
      </c>
      <c r="J234" s="362"/>
      <c r="K234" s="364"/>
      <c r="L234"/>
      <c r="M234"/>
      <c r="N234"/>
      <c r="O234"/>
      <c r="P234"/>
      <c r="Q234"/>
      <c r="R234"/>
      <c r="S234"/>
    </row>
    <row r="235" spans="2:19" ht="12.75" customHeight="1">
      <c r="B235" s="554"/>
      <c r="C235" s="364"/>
      <c r="D235" s="364"/>
      <c r="E235" s="364"/>
      <c r="F235" s="528"/>
      <c r="G235" s="528"/>
      <c r="H235" s="528"/>
      <c r="I235" s="528"/>
      <c r="J235" s="364"/>
      <c r="K235" s="364"/>
      <c r="L235"/>
      <c r="M235"/>
      <c r="N235"/>
      <c r="O235"/>
      <c r="P235"/>
      <c r="Q235"/>
      <c r="R235"/>
      <c r="S235"/>
    </row>
    <row r="236" spans="2:19" ht="12.75" customHeight="1">
      <c r="B236" s="558">
        <v>6.3</v>
      </c>
      <c r="C236" s="364" t="s">
        <v>300</v>
      </c>
      <c r="D236" s="364"/>
      <c r="E236" s="364"/>
      <c r="F236" s="528"/>
      <c r="G236" s="528"/>
      <c r="H236" s="528"/>
      <c r="I236" s="528"/>
      <c r="J236" s="364"/>
      <c r="K236" s="364"/>
      <c r="L236"/>
      <c r="M236"/>
      <c r="N236"/>
      <c r="O236"/>
      <c r="P236"/>
      <c r="Q236"/>
      <c r="R236"/>
      <c r="S236"/>
    </row>
    <row r="237" spans="2:19" ht="12.75" customHeight="1">
      <c r="B237" s="554"/>
      <c r="C237" s="1370" t="s">
        <v>669</v>
      </c>
      <c r="D237" s="1370"/>
      <c r="E237" s="1370"/>
      <c r="F237" s="936" t="s">
        <v>500</v>
      </c>
      <c r="G237" s="936" t="s">
        <v>22</v>
      </c>
      <c r="H237" s="936" t="s">
        <v>579</v>
      </c>
      <c r="I237" s="936" t="s">
        <v>21</v>
      </c>
      <c r="J237" s="362"/>
      <c r="K237" s="364"/>
      <c r="L237"/>
      <c r="M237"/>
      <c r="N237"/>
      <c r="O237"/>
      <c r="P237"/>
      <c r="Q237"/>
      <c r="R237"/>
      <c r="S237"/>
    </row>
    <row r="238" spans="2:19" ht="12.75" customHeight="1">
      <c r="B238" s="554"/>
      <c r="C238" s="1370"/>
      <c r="D238" s="1370"/>
      <c r="E238" s="1370"/>
      <c r="F238" s="936"/>
      <c r="G238" s="936"/>
      <c r="H238" s="936"/>
      <c r="I238" s="936"/>
      <c r="J238" s="362"/>
      <c r="K238" s="364"/>
      <c r="L238"/>
      <c r="M238"/>
      <c r="N238"/>
      <c r="O238"/>
      <c r="P238"/>
      <c r="Q238"/>
      <c r="R238"/>
      <c r="S238"/>
    </row>
    <row r="239" spans="2:19" ht="12.75" customHeight="1">
      <c r="B239" s="554"/>
      <c r="C239" s="541" t="s">
        <v>80</v>
      </c>
      <c r="D239" s="559"/>
      <c r="E239" s="559"/>
      <c r="F239" s="543">
        <v>6.5</v>
      </c>
      <c r="G239" s="560">
        <f>VLOOKUP($H$8,'Lookup Water Flow'!$B$8:$E$208,3)</f>
        <v>6.9</v>
      </c>
      <c r="H239" s="560">
        <f>VLOOKUP($H$8,'Lookup Water Flow'!$B$8:$E$208,4)</f>
        <v>12.1</v>
      </c>
      <c r="I239" s="560">
        <f>VLOOKUP($H$8,'Lookup Water Flow'!$B$8:$E$208,2)</f>
        <v>12.6</v>
      </c>
      <c r="J239" s="362"/>
      <c r="K239" s="364"/>
      <c r="L239"/>
      <c r="M239"/>
      <c r="N239"/>
      <c r="O239"/>
      <c r="P239"/>
      <c r="Q239"/>
      <c r="R239"/>
      <c r="S239"/>
    </row>
    <row r="240" spans="2:19" ht="12.75" customHeight="1">
      <c r="B240" s="554"/>
      <c r="C240" s="951" t="s">
        <v>81</v>
      </c>
      <c r="D240" s="951"/>
      <c r="E240" s="951"/>
      <c r="F240" s="544">
        <f>F239*G31</f>
        <v>1040</v>
      </c>
      <c r="G240" s="544">
        <f>G239*$G$31</f>
        <v>1104</v>
      </c>
      <c r="H240" s="544">
        <f>H239*$G$31</f>
        <v>1936</v>
      </c>
      <c r="I240" s="544">
        <f>I239*$G$31</f>
        <v>2016</v>
      </c>
      <c r="J240" s="362"/>
      <c r="K240" s="364"/>
      <c r="L240"/>
      <c r="M240"/>
      <c r="N240"/>
      <c r="O240"/>
      <c r="P240"/>
      <c r="Q240"/>
      <c r="R240"/>
      <c r="S240"/>
    </row>
    <row r="241" spans="2:19" ht="12.75" customHeight="1">
      <c r="B241" s="554"/>
      <c r="C241" s="592" t="s">
        <v>670</v>
      </c>
      <c r="D241" s="559"/>
      <c r="E241" s="559"/>
      <c r="F241" s="549">
        <f>(F239*F59*G32)+(24*0.25*G32)</f>
        <v>204800</v>
      </c>
      <c r="G241" s="549">
        <f>G239*$I$59*$G$32</f>
        <v>94628.571428571435</v>
      </c>
      <c r="H241" s="549">
        <f>H239*$I$59*$G$32</f>
        <v>165942.85714285713</v>
      </c>
      <c r="I241" s="549">
        <f>I239*$I$59*$G$32</f>
        <v>172800</v>
      </c>
      <c r="J241" s="362"/>
      <c r="K241" s="364"/>
      <c r="L241"/>
      <c r="M241"/>
      <c r="N241"/>
      <c r="O241"/>
      <c r="P241"/>
      <c r="Q241"/>
      <c r="R241"/>
      <c r="S241"/>
    </row>
    <row r="242" spans="2:19" ht="12.75" customHeight="1">
      <c r="B242" s="554"/>
      <c r="C242" s="364"/>
      <c r="D242" s="364"/>
      <c r="E242" s="364"/>
      <c r="F242" s="364"/>
      <c r="G242" s="364"/>
      <c r="H242" s="364"/>
      <c r="I242" s="364"/>
      <c r="J242" s="364"/>
      <c r="K242" s="364"/>
      <c r="L242"/>
      <c r="M242"/>
      <c r="N242"/>
      <c r="O242"/>
      <c r="P242"/>
      <c r="Q242"/>
      <c r="R242"/>
      <c r="S242"/>
    </row>
    <row r="243" spans="2:19" ht="12.75" customHeight="1">
      <c r="B243" s="554"/>
      <c r="C243" s="364"/>
      <c r="D243" s="364"/>
      <c r="E243" s="364"/>
      <c r="F243" s="364"/>
      <c r="G243" s="364"/>
      <c r="H243" s="364"/>
      <c r="I243" s="364"/>
      <c r="J243" s="364"/>
      <c r="K243" s="364"/>
      <c r="L243"/>
      <c r="M243"/>
      <c r="N243"/>
      <c r="O243"/>
      <c r="P243"/>
      <c r="Q243"/>
      <c r="R243"/>
      <c r="S243"/>
    </row>
    <row r="244" spans="2:19" ht="12.75" customHeight="1">
      <c r="B244" s="554"/>
      <c r="C244" s="364"/>
      <c r="D244" s="364"/>
      <c r="E244" s="364"/>
      <c r="F244" s="364"/>
      <c r="G244" s="364"/>
      <c r="H244" s="364"/>
      <c r="I244" s="364"/>
      <c r="J244" s="364"/>
      <c r="K244" s="364"/>
      <c r="L244"/>
      <c r="M244"/>
      <c r="N244"/>
      <c r="O244"/>
      <c r="P244"/>
      <c r="Q244"/>
      <c r="R244"/>
      <c r="S244"/>
    </row>
    <row r="245" spans="2:19" ht="12.75" customHeight="1">
      <c r="B245" s="554"/>
      <c r="C245" s="364"/>
      <c r="D245" s="364"/>
      <c r="E245" s="364"/>
      <c r="F245" s="364"/>
      <c r="G245" s="364"/>
      <c r="H245" s="364"/>
      <c r="I245" s="364"/>
      <c r="J245" s="364"/>
      <c r="K245" s="364"/>
      <c r="L245"/>
      <c r="M245"/>
      <c r="N245"/>
      <c r="O245"/>
      <c r="P245"/>
      <c r="Q245"/>
      <c r="R245"/>
      <c r="S245"/>
    </row>
    <row r="246" spans="2:19" ht="12.75" customHeight="1">
      <c r="B246" s="554"/>
      <c r="C246" s="364"/>
      <c r="D246" s="364"/>
      <c r="E246" s="364"/>
      <c r="F246" s="364"/>
      <c r="G246" s="364"/>
      <c r="H246" s="364"/>
      <c r="I246" s="364"/>
      <c r="J246" s="364"/>
      <c r="K246" s="364"/>
      <c r="L246"/>
      <c r="M246"/>
      <c r="N246"/>
      <c r="O246"/>
      <c r="P246"/>
      <c r="Q246"/>
      <c r="R246"/>
      <c r="S246"/>
    </row>
    <row r="247" spans="2:19" ht="12.75" customHeight="1">
      <c r="B247" s="554"/>
      <c r="C247" s="364"/>
      <c r="D247" s="364"/>
      <c r="E247" s="364"/>
      <c r="F247" s="364"/>
      <c r="G247" s="364"/>
      <c r="H247" s="364"/>
      <c r="I247" s="364"/>
      <c r="J247" s="364"/>
      <c r="K247" s="364"/>
      <c r="L247"/>
      <c r="M247"/>
      <c r="N247"/>
      <c r="O247"/>
      <c r="P247"/>
      <c r="Q247"/>
      <c r="R247"/>
      <c r="S247"/>
    </row>
    <row r="248" spans="2:19" ht="12.75" customHeight="1">
      <c r="B248" s="554"/>
      <c r="C248" s="364"/>
      <c r="D248" s="364"/>
      <c r="E248" s="364"/>
      <c r="F248" s="364"/>
      <c r="G248" s="364"/>
      <c r="H248" s="364"/>
      <c r="I248" s="364"/>
      <c r="J248" s="364"/>
      <c r="K248" s="364"/>
      <c r="L248"/>
      <c r="M248"/>
      <c r="N248"/>
      <c r="O248"/>
      <c r="P248"/>
      <c r="Q248"/>
      <c r="R248"/>
      <c r="S248"/>
    </row>
    <row r="249" spans="2:19" ht="12.75" customHeight="1">
      <c r="B249" s="554"/>
      <c r="C249" s="364"/>
      <c r="D249" s="364"/>
      <c r="E249" s="364"/>
      <c r="F249" s="364"/>
      <c r="G249" s="364"/>
      <c r="H249" s="364"/>
      <c r="I249" s="364"/>
      <c r="J249" s="364"/>
      <c r="K249" s="364"/>
      <c r="L249"/>
      <c r="M249"/>
      <c r="N249"/>
      <c r="O249"/>
      <c r="P249"/>
      <c r="Q249"/>
      <c r="R249"/>
      <c r="S249"/>
    </row>
    <row r="250" spans="2:19" ht="12.75" customHeight="1">
      <c r="B250" s="546" t="s">
        <v>231</v>
      </c>
      <c r="C250" s="1008" t="s">
        <v>309</v>
      </c>
      <c r="D250" s="1008"/>
      <c r="E250" s="1008"/>
      <c r="F250" s="1008"/>
      <c r="G250" s="1008"/>
      <c r="H250" s="1008"/>
      <c r="I250" s="1008"/>
      <c r="J250" s="1008"/>
      <c r="K250" s="360"/>
      <c r="L250"/>
      <c r="M250"/>
      <c r="N250"/>
      <c r="O250"/>
      <c r="P250"/>
      <c r="Q250"/>
      <c r="R250"/>
      <c r="S250"/>
    </row>
    <row r="251" spans="2:19" ht="12.75" customHeight="1">
      <c r="B251" s="554"/>
      <c r="C251" s="364"/>
      <c r="D251" s="364"/>
      <c r="E251" s="364"/>
      <c r="F251" s="364"/>
      <c r="G251" s="364"/>
      <c r="H251" s="364"/>
      <c r="I251" s="364"/>
      <c r="J251" s="364"/>
      <c r="K251" s="364"/>
      <c r="L251"/>
      <c r="M251"/>
      <c r="N251"/>
      <c r="O251"/>
      <c r="P251"/>
      <c r="Q251"/>
      <c r="R251"/>
      <c r="S251"/>
    </row>
    <row r="252" spans="2:19" ht="12.75" customHeight="1">
      <c r="B252" s="558">
        <v>7.1</v>
      </c>
      <c r="C252" s="364" t="s">
        <v>239</v>
      </c>
      <c r="D252" s="364"/>
      <c r="E252" s="364"/>
      <c r="F252" s="364"/>
      <c r="G252" s="364"/>
      <c r="H252" s="364"/>
      <c r="I252" s="364"/>
      <c r="J252" s="364"/>
      <c r="K252" s="364"/>
      <c r="L252"/>
      <c r="M252"/>
      <c r="N252"/>
      <c r="O252"/>
      <c r="P252"/>
      <c r="Q252"/>
      <c r="R252"/>
      <c r="S252"/>
    </row>
    <row r="253" spans="2:19" ht="12.75" customHeight="1">
      <c r="B253" s="558"/>
      <c r="C253" s="364"/>
      <c r="D253" s="364"/>
      <c r="E253" s="364"/>
      <c r="F253" s="364"/>
      <c r="G253" s="364"/>
      <c r="H253" s="364"/>
      <c r="I253" s="364"/>
      <c r="J253" s="364"/>
      <c r="K253" s="364"/>
      <c r="L253"/>
      <c r="M253"/>
      <c r="N253"/>
      <c r="O253"/>
      <c r="P253"/>
      <c r="Q253"/>
      <c r="R253"/>
      <c r="S253"/>
    </row>
    <row r="254" spans="2:19" ht="12.75" customHeight="1">
      <c r="B254" s="554" t="s">
        <v>716</v>
      </c>
      <c r="C254" s="364" t="s">
        <v>715</v>
      </c>
      <c r="D254" s="364"/>
      <c r="E254" s="364"/>
      <c r="F254" s="364"/>
      <c r="G254" s="364"/>
      <c r="H254" s="364"/>
      <c r="I254" s="364"/>
      <c r="J254" s="364"/>
      <c r="K254" s="364"/>
      <c r="L254"/>
      <c r="M254"/>
      <c r="N254"/>
      <c r="O254"/>
      <c r="P254"/>
      <c r="Q254"/>
      <c r="R254"/>
      <c r="S254"/>
    </row>
    <row r="255" spans="2:19" ht="12.75" customHeight="1">
      <c r="B255" s="554"/>
      <c r="C255" s="364"/>
      <c r="D255" s="364"/>
      <c r="E255" s="364"/>
      <c r="F255" s="364"/>
      <c r="G255" s="364"/>
      <c r="H255" s="364"/>
      <c r="I255" s="364"/>
      <c r="J255" s="364"/>
      <c r="K255" s="364"/>
      <c r="L255"/>
      <c r="M255"/>
      <c r="N255"/>
      <c r="O255"/>
      <c r="P255"/>
      <c r="Q255"/>
      <c r="R255"/>
      <c r="S255"/>
    </row>
    <row r="256" spans="2:19" ht="12.75" customHeight="1">
      <c r="B256" s="558"/>
      <c r="C256" s="901" t="s">
        <v>475</v>
      </c>
      <c r="D256" s="901"/>
      <c r="E256" s="901"/>
      <c r="F256" s="936" t="s">
        <v>500</v>
      </c>
      <c r="G256" s="936" t="s">
        <v>22</v>
      </c>
      <c r="H256" s="936" t="s">
        <v>579</v>
      </c>
      <c r="I256" s="936" t="s">
        <v>21</v>
      </c>
      <c r="J256" s="364"/>
      <c r="K256" s="364"/>
      <c r="L256"/>
      <c r="M256"/>
      <c r="N256"/>
      <c r="O256"/>
      <c r="P256"/>
      <c r="Q256"/>
      <c r="R256"/>
      <c r="S256"/>
    </row>
    <row r="257" spans="2:19" ht="12.75" customHeight="1">
      <c r="B257" s="558"/>
      <c r="C257" s="901"/>
      <c r="D257" s="901"/>
      <c r="E257" s="901"/>
      <c r="F257" s="936"/>
      <c r="G257" s="936"/>
      <c r="H257" s="936"/>
      <c r="I257" s="936"/>
      <c r="J257" s="364"/>
      <c r="K257" s="364"/>
      <c r="L257"/>
      <c r="M257"/>
      <c r="N257"/>
      <c r="O257"/>
      <c r="P257"/>
      <c r="Q257"/>
      <c r="R257"/>
      <c r="S257"/>
    </row>
    <row r="258" spans="2:19" ht="12.75" customHeight="1">
      <c r="B258" s="558"/>
      <c r="C258" s="973" t="s">
        <v>472</v>
      </c>
      <c r="D258" s="973"/>
      <c r="E258" s="973"/>
      <c r="F258" s="593">
        <f>$G$208*$F$145</f>
        <v>211.20000000000002</v>
      </c>
      <c r="G258" s="593">
        <f>($G$142*$G$143*$G$150*$G$149*$G$145)/$G$151</f>
        <v>17099.999999999996</v>
      </c>
      <c r="H258" s="593">
        <f>($H$142*$H$143*$H$150*$H$149*$H$145)/$H$151</f>
        <v>14869.565217391304</v>
      </c>
      <c r="I258" s="593">
        <f>($I$142*$I$143*$I$150*$I$149*$I$145)/$I$151</f>
        <v>12214.285714285714</v>
      </c>
      <c r="J258" s="364"/>
      <c r="K258" s="364"/>
      <c r="L258"/>
      <c r="M258"/>
      <c r="N258"/>
      <c r="O258"/>
      <c r="P258"/>
      <c r="Q258"/>
      <c r="R258"/>
      <c r="S258"/>
    </row>
    <row r="259" spans="2:19" ht="12.75" customHeight="1">
      <c r="B259" s="558"/>
      <c r="C259" s="973" t="s">
        <v>473</v>
      </c>
      <c r="D259" s="973"/>
      <c r="E259" s="973"/>
      <c r="F259" s="543"/>
      <c r="G259" s="593">
        <f>($G$142*$G$143*$G$156*$G$155*$G$145)/$G$157</f>
        <v>94050.000000000015</v>
      </c>
      <c r="H259" s="593">
        <f>($H$142*$H$143*$H$156*$H$155*$H$145)/$H$157</f>
        <v>95165.217391304366</v>
      </c>
      <c r="I259" s="593">
        <f>($I$142*$I$143*$I$156*$I$155*$I$145)/$I$157</f>
        <v>96492.857142857145</v>
      </c>
      <c r="J259" s="364"/>
      <c r="K259" s="364"/>
      <c r="L259"/>
      <c r="M259"/>
      <c r="N259"/>
      <c r="O259"/>
      <c r="P259"/>
      <c r="Q259"/>
      <c r="R259"/>
      <c r="S259"/>
    </row>
    <row r="260" spans="2:19" ht="12.75" customHeight="1">
      <c r="B260" s="558"/>
      <c r="C260" s="381"/>
      <c r="D260" s="381"/>
      <c r="E260" s="381"/>
      <c r="F260" s="381"/>
      <c r="G260" s="381"/>
      <c r="H260" s="381"/>
      <c r="I260" s="381"/>
      <c r="J260" s="364"/>
      <c r="K260" s="364"/>
      <c r="L260"/>
      <c r="M260"/>
      <c r="N260"/>
      <c r="O260"/>
      <c r="P260"/>
      <c r="Q260"/>
      <c r="R260"/>
      <c r="S260"/>
    </row>
    <row r="261" spans="2:19" ht="12.75" customHeight="1">
      <c r="B261" s="558"/>
      <c r="C261" s="901" t="s">
        <v>476</v>
      </c>
      <c r="D261" s="901"/>
      <c r="E261" s="901"/>
      <c r="F261" s="936" t="s">
        <v>500</v>
      </c>
      <c r="G261" s="936" t="s">
        <v>22</v>
      </c>
      <c r="H261" s="936" t="s">
        <v>579</v>
      </c>
      <c r="I261" s="936" t="s">
        <v>21</v>
      </c>
      <c r="J261" s="364"/>
      <c r="K261" s="364"/>
      <c r="L261"/>
      <c r="M261"/>
      <c r="N261"/>
      <c r="O261"/>
      <c r="P261"/>
      <c r="Q261"/>
      <c r="R261"/>
      <c r="S261"/>
    </row>
    <row r="262" spans="2:19" ht="12.75" customHeight="1">
      <c r="B262" s="558"/>
      <c r="C262" s="901"/>
      <c r="D262" s="901"/>
      <c r="E262" s="901"/>
      <c r="F262" s="936"/>
      <c r="G262" s="936"/>
      <c r="H262" s="936"/>
      <c r="I262" s="936"/>
      <c r="J262" s="364"/>
      <c r="K262" s="364"/>
      <c r="L262"/>
      <c r="M262"/>
      <c r="N262"/>
      <c r="O262"/>
      <c r="P262"/>
      <c r="Q262"/>
      <c r="R262"/>
      <c r="S262"/>
    </row>
    <row r="263" spans="2:19" ht="12.75" customHeight="1">
      <c r="B263" s="558"/>
      <c r="C263" s="973" t="s">
        <v>472</v>
      </c>
      <c r="D263" s="973"/>
      <c r="E263" s="973"/>
      <c r="F263" s="593">
        <f>F258*$G$19</f>
        <v>4857.6000000000004</v>
      </c>
      <c r="G263" s="593">
        <f>G258*$G$19</f>
        <v>393299.99999999994</v>
      </c>
      <c r="H263" s="593">
        <f>H258*$G$19</f>
        <v>342000</v>
      </c>
      <c r="I263" s="593">
        <f>I258*$G$19</f>
        <v>280928.57142857142</v>
      </c>
      <c r="J263" s="364"/>
      <c r="K263" s="364"/>
      <c r="L263"/>
      <c r="M263"/>
      <c r="N263"/>
      <c r="O263"/>
      <c r="P263"/>
      <c r="Q263"/>
      <c r="R263"/>
      <c r="S263"/>
    </row>
    <row r="264" spans="2:19" ht="12.75" customHeight="1">
      <c r="B264" s="558"/>
      <c r="C264" s="973" t="s">
        <v>473</v>
      </c>
      <c r="D264" s="973"/>
      <c r="E264" s="973"/>
      <c r="F264" s="543"/>
      <c r="G264" s="593">
        <f>G259*$G$19</f>
        <v>2163150.0000000005</v>
      </c>
      <c r="H264" s="593">
        <f>H259*$G$19</f>
        <v>2188800.0000000005</v>
      </c>
      <c r="I264" s="593">
        <f>I259*$G$19</f>
        <v>2219335.7142857146</v>
      </c>
      <c r="J264" s="364"/>
      <c r="K264" s="364"/>
      <c r="L264"/>
      <c r="M264"/>
      <c r="N264"/>
      <c r="O264"/>
      <c r="P264"/>
      <c r="Q264"/>
      <c r="R264"/>
      <c r="S264"/>
    </row>
    <row r="265" spans="2:19" ht="12.75" customHeight="1">
      <c r="B265" s="558"/>
      <c r="C265" s="367"/>
      <c r="D265" s="367"/>
      <c r="E265" s="367"/>
      <c r="F265" s="367"/>
      <c r="G265" s="367"/>
      <c r="H265" s="367"/>
      <c r="I265" s="367"/>
      <c r="J265" s="364"/>
      <c r="K265" s="364"/>
      <c r="L265"/>
      <c r="M265"/>
      <c r="N265"/>
      <c r="O265"/>
      <c r="P265"/>
      <c r="Q265"/>
      <c r="R265"/>
      <c r="S265"/>
    </row>
    <row r="266" spans="2:19" ht="12.75" customHeight="1">
      <c r="B266" s="558"/>
      <c r="C266" s="901" t="s">
        <v>477</v>
      </c>
      <c r="D266" s="901"/>
      <c r="E266" s="901"/>
      <c r="F266" s="936" t="s">
        <v>500</v>
      </c>
      <c r="G266" s="936" t="s">
        <v>22</v>
      </c>
      <c r="H266" s="936" t="s">
        <v>579</v>
      </c>
      <c r="I266" s="936" t="s">
        <v>21</v>
      </c>
      <c r="J266" s="364"/>
      <c r="K266" s="364"/>
      <c r="L266"/>
      <c r="M266"/>
      <c r="N266"/>
      <c r="O266"/>
      <c r="P266"/>
      <c r="Q266"/>
      <c r="R266"/>
      <c r="S266"/>
    </row>
    <row r="267" spans="2:19" ht="12.75" customHeight="1">
      <c r="B267" s="558"/>
      <c r="C267" s="901"/>
      <c r="D267" s="901"/>
      <c r="E267" s="901"/>
      <c r="F267" s="936"/>
      <c r="G267" s="936"/>
      <c r="H267" s="936"/>
      <c r="I267" s="936"/>
      <c r="J267" s="364"/>
      <c r="K267" s="364"/>
      <c r="L267"/>
      <c r="M267"/>
      <c r="N267"/>
      <c r="O267"/>
      <c r="P267"/>
      <c r="Q267"/>
      <c r="R267"/>
      <c r="S267"/>
    </row>
    <row r="268" spans="2:19" ht="12.75" customHeight="1">
      <c r="B268" s="558"/>
      <c r="C268" s="973" t="s">
        <v>472</v>
      </c>
      <c r="D268" s="973"/>
      <c r="E268" s="973"/>
      <c r="F268" s="593">
        <f>F263*12</f>
        <v>58291.200000000004</v>
      </c>
      <c r="G268" s="593">
        <f>G263*12</f>
        <v>4719599.9999999991</v>
      </c>
      <c r="H268" s="593">
        <f>H263*12</f>
        <v>4104000</v>
      </c>
      <c r="I268" s="593">
        <f>I263*12</f>
        <v>3371142.8571428573</v>
      </c>
      <c r="J268" s="364"/>
      <c r="K268" s="364"/>
      <c r="L268"/>
      <c r="M268"/>
      <c r="N268"/>
      <c r="O268"/>
      <c r="P268"/>
      <c r="Q268"/>
      <c r="R268"/>
      <c r="S268"/>
    </row>
    <row r="269" spans="2:19" ht="12.75" customHeight="1">
      <c r="B269" s="558"/>
      <c r="C269" s="973" t="s">
        <v>473</v>
      </c>
      <c r="D269" s="973"/>
      <c r="E269" s="973"/>
      <c r="F269" s="543"/>
      <c r="G269" s="593">
        <f>G264*12</f>
        <v>25957800.000000007</v>
      </c>
      <c r="H269" s="593">
        <f>H264*12</f>
        <v>26265600.000000007</v>
      </c>
      <c r="I269" s="593">
        <f>I264*12</f>
        <v>26632028.571428575</v>
      </c>
      <c r="J269" s="364"/>
      <c r="K269" s="364"/>
      <c r="L269"/>
      <c r="M269"/>
      <c r="N269"/>
      <c r="O269"/>
      <c r="P269"/>
      <c r="Q269"/>
      <c r="R269"/>
      <c r="S269"/>
    </row>
    <row r="270" spans="2:19" ht="12.75" customHeight="1">
      <c r="B270" s="558"/>
      <c r="C270" s="367"/>
      <c r="D270" s="367"/>
      <c r="E270" s="367"/>
      <c r="F270" s="527"/>
      <c r="G270" s="527"/>
      <c r="H270" s="527"/>
      <c r="I270" s="527"/>
      <c r="J270" s="364"/>
      <c r="K270" s="364"/>
      <c r="L270"/>
      <c r="M270"/>
      <c r="N270"/>
      <c r="O270"/>
      <c r="P270"/>
      <c r="Q270"/>
      <c r="R270"/>
      <c r="S270"/>
    </row>
    <row r="271" spans="2:19" ht="12.75" customHeight="1">
      <c r="B271" s="558"/>
      <c r="C271" s="901" t="s">
        <v>116</v>
      </c>
      <c r="D271" s="901"/>
      <c r="E271" s="901"/>
      <c r="F271" s="936" t="s">
        <v>500</v>
      </c>
      <c r="G271" s="936" t="s">
        <v>22</v>
      </c>
      <c r="H271" s="936" t="s">
        <v>579</v>
      </c>
      <c r="I271" s="936" t="s">
        <v>21</v>
      </c>
      <c r="J271" s="364"/>
      <c r="K271" s="364"/>
      <c r="L271"/>
      <c r="M271"/>
      <c r="N271"/>
      <c r="O271"/>
      <c r="P271"/>
      <c r="Q271"/>
      <c r="R271"/>
      <c r="S271"/>
    </row>
    <row r="272" spans="2:19" ht="12.75" customHeight="1">
      <c r="B272" s="558"/>
      <c r="C272" s="901"/>
      <c r="D272" s="901"/>
      <c r="E272" s="901"/>
      <c r="F272" s="936"/>
      <c r="G272" s="936"/>
      <c r="H272" s="936"/>
      <c r="I272" s="936"/>
      <c r="J272" s="364"/>
      <c r="K272" s="364"/>
      <c r="L272"/>
      <c r="M272"/>
      <c r="N272"/>
      <c r="O272"/>
      <c r="P272"/>
      <c r="Q272"/>
      <c r="R272"/>
      <c r="S272"/>
    </row>
    <row r="273" spans="2:19" ht="12.75" customHeight="1">
      <c r="B273" s="558"/>
      <c r="C273" s="951" t="s">
        <v>459</v>
      </c>
      <c r="D273" s="951"/>
      <c r="E273" s="951"/>
      <c r="F273" s="593">
        <f>F258</f>
        <v>211.20000000000002</v>
      </c>
      <c r="G273" s="593">
        <f>G258+G259</f>
        <v>111150.00000000001</v>
      </c>
      <c r="H273" s="593">
        <f>H258+H259</f>
        <v>110034.78260869568</v>
      </c>
      <c r="I273" s="593">
        <f>I258+I259</f>
        <v>108707.14285714286</v>
      </c>
      <c r="J273" s="364"/>
      <c r="K273" s="364"/>
      <c r="L273"/>
      <c r="M273"/>
      <c r="N273"/>
      <c r="O273"/>
      <c r="P273"/>
      <c r="Q273"/>
      <c r="R273"/>
      <c r="S273"/>
    </row>
    <row r="274" spans="2:19" ht="12.75" customHeight="1">
      <c r="B274" s="558"/>
      <c r="C274" s="973" t="s">
        <v>307</v>
      </c>
      <c r="D274" s="973"/>
      <c r="E274" s="973"/>
      <c r="F274" s="593">
        <f>F263</f>
        <v>4857.6000000000004</v>
      </c>
      <c r="G274" s="593">
        <f>G263+G264</f>
        <v>2556450.0000000005</v>
      </c>
      <c r="H274" s="593">
        <f>H263+H264</f>
        <v>2530800.0000000005</v>
      </c>
      <c r="I274" s="593">
        <f>I263+I264</f>
        <v>2500264.2857142859</v>
      </c>
      <c r="J274" s="364"/>
      <c r="K274" s="364"/>
      <c r="L274"/>
      <c r="M274"/>
      <c r="N274"/>
      <c r="O274"/>
      <c r="P274"/>
      <c r="Q274"/>
      <c r="R274"/>
      <c r="S274"/>
    </row>
    <row r="275" spans="2:19" ht="12.75" customHeight="1">
      <c r="B275" s="558"/>
      <c r="C275" s="973" t="s">
        <v>308</v>
      </c>
      <c r="D275" s="973"/>
      <c r="E275" s="973"/>
      <c r="F275" s="593">
        <f>F268</f>
        <v>58291.200000000004</v>
      </c>
      <c r="G275" s="593">
        <f>G268+G269</f>
        <v>30677400.000000007</v>
      </c>
      <c r="H275" s="593">
        <f>H268+H269</f>
        <v>30369600.000000007</v>
      </c>
      <c r="I275" s="593">
        <f>I268+I269</f>
        <v>30003171.428571433</v>
      </c>
      <c r="J275" s="364"/>
      <c r="K275" s="364"/>
      <c r="L275"/>
      <c r="M275"/>
      <c r="N275"/>
      <c r="O275"/>
      <c r="P275"/>
      <c r="Q275"/>
      <c r="R275"/>
      <c r="S275"/>
    </row>
    <row r="276" spans="2:19" ht="12.75" customHeight="1">
      <c r="B276" s="554"/>
      <c r="C276" s="364"/>
      <c r="D276" s="364"/>
      <c r="E276" s="364"/>
      <c r="F276" s="364"/>
      <c r="G276" s="364"/>
      <c r="H276" s="364"/>
      <c r="I276" s="364"/>
      <c r="J276" s="364"/>
      <c r="K276" s="364"/>
      <c r="L276"/>
      <c r="M276"/>
      <c r="N276"/>
      <c r="O276"/>
      <c r="P276"/>
      <c r="Q276"/>
      <c r="R276"/>
      <c r="S276"/>
    </row>
    <row r="277" spans="2:19" ht="12.75" customHeight="1">
      <c r="B277" s="554" t="s">
        <v>717</v>
      </c>
      <c r="C277" s="364" t="s">
        <v>718</v>
      </c>
      <c r="D277" s="364"/>
      <c r="E277" s="364"/>
      <c r="F277" s="364"/>
      <c r="G277" s="364"/>
      <c r="H277" s="364"/>
      <c r="I277" s="364"/>
      <c r="J277" s="364"/>
      <c r="K277" s="364"/>
      <c r="L277"/>
      <c r="M277"/>
      <c r="N277"/>
      <c r="O277"/>
      <c r="P277"/>
      <c r="Q277"/>
      <c r="R277"/>
      <c r="S277"/>
    </row>
    <row r="278" spans="2:19" ht="12.75" customHeight="1">
      <c r="B278" s="554"/>
      <c r="C278" s="364"/>
      <c r="D278" s="364"/>
      <c r="E278" s="364"/>
      <c r="F278" s="364"/>
      <c r="G278" s="364"/>
      <c r="H278" s="364"/>
      <c r="I278" s="364"/>
      <c r="J278" s="364"/>
      <c r="K278" s="364"/>
      <c r="L278"/>
      <c r="M278"/>
      <c r="N278"/>
      <c r="O278"/>
      <c r="P278"/>
      <c r="Q278"/>
      <c r="R278"/>
      <c r="S278"/>
    </row>
    <row r="279" spans="2:19" ht="12.75" customHeight="1">
      <c r="B279" s="548"/>
      <c r="C279" s="953" t="s">
        <v>676</v>
      </c>
      <c r="D279" s="954"/>
      <c r="E279" s="561" t="s">
        <v>320</v>
      </c>
      <c r="F279" s="935" t="s">
        <v>318</v>
      </c>
      <c r="G279" s="935"/>
      <c r="H279" s="520">
        <f>'Compressor Input Data'!G7</f>
        <v>0.19</v>
      </c>
      <c r="I279" s="594"/>
      <c r="J279" s="595"/>
      <c r="K279" s="363"/>
      <c r="L279"/>
      <c r="M279"/>
      <c r="N279"/>
      <c r="O279"/>
      <c r="P279"/>
      <c r="Q279"/>
      <c r="R279"/>
      <c r="S279"/>
    </row>
    <row r="280" spans="2:19" ht="12.75" customHeight="1">
      <c r="B280" s="554"/>
      <c r="C280" s="955"/>
      <c r="D280" s="956"/>
      <c r="E280" s="561" t="s">
        <v>321</v>
      </c>
      <c r="F280" s="935" t="s">
        <v>319</v>
      </c>
      <c r="G280" s="935"/>
      <c r="H280" s="520">
        <f>'Compressor Input Data'!G8</f>
        <v>0.33</v>
      </c>
      <c r="I280" s="594"/>
      <c r="J280" s="595"/>
      <c r="K280" s="595"/>
      <c r="L280"/>
      <c r="M280"/>
      <c r="N280"/>
      <c r="O280"/>
      <c r="P280"/>
      <c r="Q280"/>
      <c r="R280"/>
      <c r="S280"/>
    </row>
    <row r="281" spans="2:19" ht="12.75" customHeight="1">
      <c r="B281" s="554"/>
      <c r="C281" s="363"/>
      <c r="D281" s="363"/>
      <c r="E281" s="577"/>
      <c r="F281" s="577"/>
      <c r="G281" s="596"/>
      <c r="H281" s="363"/>
      <c r="I281" s="363"/>
      <c r="J281" s="363"/>
      <c r="K281" s="363"/>
      <c r="L281"/>
      <c r="M281"/>
      <c r="N281"/>
      <c r="O281"/>
      <c r="P281"/>
      <c r="Q281"/>
      <c r="R281"/>
      <c r="S281"/>
    </row>
    <row r="282" spans="2:19" ht="12.75" customHeight="1">
      <c r="B282" s="554"/>
      <c r="C282" s="1370" t="s">
        <v>675</v>
      </c>
      <c r="D282" s="1370"/>
      <c r="E282" s="1370"/>
      <c r="F282" s="936" t="s">
        <v>500</v>
      </c>
      <c r="G282" s="936" t="s">
        <v>22</v>
      </c>
      <c r="H282" s="936" t="s">
        <v>579</v>
      </c>
      <c r="I282" s="936" t="s">
        <v>21</v>
      </c>
      <c r="J282" s="362"/>
      <c r="K282" s="364"/>
      <c r="L282"/>
      <c r="M282"/>
      <c r="N282"/>
      <c r="O282"/>
      <c r="P282"/>
      <c r="Q282"/>
      <c r="R282"/>
      <c r="S282"/>
    </row>
    <row r="283" spans="2:19" ht="12.75" customHeight="1">
      <c r="B283" s="554"/>
      <c r="C283" s="1369" t="s">
        <v>320</v>
      </c>
      <c r="D283" s="1370"/>
      <c r="E283" s="1370"/>
      <c r="F283" s="936"/>
      <c r="G283" s="936"/>
      <c r="H283" s="936"/>
      <c r="I283" s="936"/>
      <c r="J283" s="362"/>
      <c r="K283" s="364"/>
      <c r="L283"/>
      <c r="M283"/>
      <c r="N283"/>
      <c r="O283"/>
      <c r="P283"/>
      <c r="Q283"/>
      <c r="R283"/>
      <c r="S283"/>
    </row>
    <row r="284" spans="2:19" ht="12.75" customHeight="1">
      <c r="B284" s="554"/>
      <c r="C284" s="1369"/>
      <c r="D284" s="1370" t="s">
        <v>306</v>
      </c>
      <c r="E284" s="1370"/>
      <c r="F284" s="593">
        <f>F161*$H$279</f>
        <v>178.34666666666669</v>
      </c>
      <c r="G284" s="593">
        <f>G161*$H$279</f>
        <v>14439.999999999998</v>
      </c>
      <c r="H284" s="593">
        <f>H161*$H$279</f>
        <v>12556.521739130432</v>
      </c>
      <c r="I284" s="593">
        <f>I161*$H$279</f>
        <v>10314.285714285712</v>
      </c>
      <c r="J284" s="362"/>
      <c r="K284" s="364"/>
      <c r="L284"/>
      <c r="M284"/>
      <c r="N284"/>
      <c r="O284"/>
      <c r="P284"/>
      <c r="Q284"/>
      <c r="R284"/>
      <c r="S284"/>
    </row>
    <row r="285" spans="2:19" ht="12.75" customHeight="1">
      <c r="B285" s="554"/>
      <c r="C285" s="1369"/>
      <c r="D285" s="1370" t="s">
        <v>307</v>
      </c>
      <c r="E285" s="1370"/>
      <c r="F285" s="593">
        <f>F284*$G$19</f>
        <v>4101.9733333333343</v>
      </c>
      <c r="G285" s="593">
        <f>G284*$G$19</f>
        <v>332119.99999999994</v>
      </c>
      <c r="H285" s="593">
        <f>H284*$G$19</f>
        <v>288799.99999999994</v>
      </c>
      <c r="I285" s="593">
        <f>I284*$G$19</f>
        <v>237228.57142857136</v>
      </c>
      <c r="J285" s="362"/>
      <c r="K285" s="364"/>
      <c r="L285"/>
      <c r="M285"/>
      <c r="N285"/>
      <c r="O285"/>
      <c r="P285"/>
      <c r="Q285"/>
      <c r="R285"/>
      <c r="S285"/>
    </row>
    <row r="286" spans="2:19" ht="12.75" customHeight="1">
      <c r="B286" s="554"/>
      <c r="C286" s="1369"/>
      <c r="D286" s="1370" t="s">
        <v>308</v>
      </c>
      <c r="E286" s="1370"/>
      <c r="F286" s="593">
        <f>F285*9</f>
        <v>36917.760000000009</v>
      </c>
      <c r="G286" s="593">
        <f>G285*9</f>
        <v>2989079.9999999995</v>
      </c>
      <c r="H286" s="593">
        <f>H285*9</f>
        <v>2599199.9999999995</v>
      </c>
      <c r="I286" s="593">
        <f>I285*9</f>
        <v>2135057.1428571423</v>
      </c>
      <c r="J286" s="362"/>
      <c r="K286" s="364"/>
      <c r="L286"/>
      <c r="M286"/>
      <c r="N286"/>
      <c r="O286"/>
      <c r="P286"/>
      <c r="Q286"/>
      <c r="R286"/>
      <c r="S286"/>
    </row>
    <row r="287" spans="2:19" ht="12.75" customHeight="1">
      <c r="B287" s="597"/>
      <c r="C287" s="1369"/>
      <c r="D287" s="1369"/>
      <c r="E287" s="1369"/>
      <c r="F287" s="1369"/>
      <c r="G287" s="1369"/>
      <c r="H287" s="1369"/>
      <c r="I287" s="1369"/>
      <c r="J287" s="364"/>
      <c r="K287" s="364"/>
      <c r="L287"/>
      <c r="M287"/>
      <c r="N287"/>
      <c r="O287"/>
      <c r="P287"/>
      <c r="Q287"/>
      <c r="R287"/>
      <c r="S287"/>
    </row>
    <row r="288" spans="2:19" ht="12.75" customHeight="1">
      <c r="B288" s="597"/>
      <c r="C288" s="1370" t="s">
        <v>675</v>
      </c>
      <c r="D288" s="1370"/>
      <c r="E288" s="1370"/>
      <c r="F288" s="936" t="s">
        <v>500</v>
      </c>
      <c r="G288" s="936" t="s">
        <v>22</v>
      </c>
      <c r="H288" s="936" t="s">
        <v>579</v>
      </c>
      <c r="I288" s="936" t="s">
        <v>21</v>
      </c>
      <c r="J288" s="362"/>
      <c r="K288" s="364"/>
      <c r="L288"/>
      <c r="M288"/>
      <c r="N288"/>
      <c r="O288"/>
      <c r="P288"/>
      <c r="Q288"/>
      <c r="R288"/>
      <c r="S288"/>
    </row>
    <row r="289" spans="2:19" ht="12.75" customHeight="1">
      <c r="B289" s="597"/>
      <c r="C289" s="1369" t="s">
        <v>321</v>
      </c>
      <c r="D289" s="1369"/>
      <c r="E289" s="1369"/>
      <c r="F289" s="936"/>
      <c r="G289" s="936"/>
      <c r="H289" s="936"/>
      <c r="I289" s="936"/>
      <c r="J289" s="362"/>
      <c r="K289" s="364"/>
      <c r="L289"/>
      <c r="M289"/>
      <c r="N289"/>
      <c r="O289"/>
      <c r="P289"/>
      <c r="Q289"/>
      <c r="R289"/>
      <c r="S289"/>
    </row>
    <row r="290" spans="2:19" ht="12.75" customHeight="1">
      <c r="B290" s="554"/>
      <c r="C290" s="1369"/>
      <c r="D290" s="1370" t="s">
        <v>306</v>
      </c>
      <c r="E290" s="1370"/>
      <c r="F290" s="593">
        <f>F161*$H$280</f>
        <v>309.76000000000005</v>
      </c>
      <c r="G290" s="593">
        <f>G161*$H$280</f>
        <v>25079.999999999996</v>
      </c>
      <c r="H290" s="593">
        <f>H161*$H$280</f>
        <v>21808.695652173912</v>
      </c>
      <c r="I290" s="593">
        <f>I161*$H$280</f>
        <v>17914.28571428571</v>
      </c>
      <c r="J290" s="362"/>
      <c r="K290" s="364"/>
      <c r="L290"/>
      <c r="M290"/>
      <c r="N290"/>
      <c r="O290"/>
      <c r="P290"/>
      <c r="Q290"/>
      <c r="R290"/>
      <c r="S290"/>
    </row>
    <row r="291" spans="2:19" ht="12.75" customHeight="1">
      <c r="B291" s="597"/>
      <c r="C291" s="1369"/>
      <c r="D291" s="1370" t="s">
        <v>307</v>
      </c>
      <c r="E291" s="1370"/>
      <c r="F291" s="593">
        <f>F290*$G$19</f>
        <v>7124.4800000000014</v>
      </c>
      <c r="G291" s="593">
        <f>G290*$G$19</f>
        <v>576839.99999999988</v>
      </c>
      <c r="H291" s="593">
        <f>H290*$G$19</f>
        <v>501600</v>
      </c>
      <c r="I291" s="593">
        <f>I290*$G$19</f>
        <v>412028.57142857136</v>
      </c>
      <c r="J291" s="362"/>
      <c r="K291" s="364"/>
      <c r="L291"/>
      <c r="M291"/>
      <c r="N291"/>
      <c r="O291"/>
      <c r="P291"/>
      <c r="Q291"/>
      <c r="R291"/>
      <c r="S291"/>
    </row>
    <row r="292" spans="2:19" ht="12.75" customHeight="1">
      <c r="B292" s="554"/>
      <c r="C292" s="1369"/>
      <c r="D292" s="1370" t="s">
        <v>308</v>
      </c>
      <c r="E292" s="1370"/>
      <c r="F292" s="593">
        <f>F291*3</f>
        <v>21373.440000000002</v>
      </c>
      <c r="G292" s="593">
        <f>G291*3</f>
        <v>1730519.9999999995</v>
      </c>
      <c r="H292" s="593">
        <f>H291*3</f>
        <v>1504800</v>
      </c>
      <c r="I292" s="593">
        <f>I291*3</f>
        <v>1236085.7142857141</v>
      </c>
      <c r="J292" s="362"/>
      <c r="K292" s="364"/>
      <c r="L292"/>
      <c r="M292"/>
      <c r="N292"/>
      <c r="O292"/>
      <c r="P292"/>
      <c r="Q292"/>
      <c r="R292"/>
      <c r="S292"/>
    </row>
    <row r="293" spans="2:19" ht="12.75" customHeight="1">
      <c r="B293" s="554"/>
      <c r="C293" s="1369"/>
      <c r="D293" s="1369"/>
      <c r="E293" s="1369"/>
      <c r="F293" s="1369"/>
      <c r="G293" s="1369"/>
      <c r="H293" s="1369"/>
      <c r="I293" s="1369"/>
      <c r="J293" s="364"/>
      <c r="K293" s="364"/>
      <c r="L293"/>
      <c r="M293"/>
      <c r="N293"/>
      <c r="O293"/>
      <c r="P293"/>
      <c r="Q293"/>
      <c r="R293"/>
      <c r="S293"/>
    </row>
    <row r="294" spans="2:19" ht="12.75" customHeight="1">
      <c r="B294" s="554"/>
      <c r="C294" s="1370" t="s">
        <v>675</v>
      </c>
      <c r="D294" s="1370"/>
      <c r="E294" s="1370"/>
      <c r="F294" s="936" t="s">
        <v>500</v>
      </c>
      <c r="G294" s="936" t="s">
        <v>22</v>
      </c>
      <c r="H294" s="936" t="s">
        <v>579</v>
      </c>
      <c r="I294" s="936" t="s">
        <v>21</v>
      </c>
      <c r="J294" s="362"/>
      <c r="K294" s="364"/>
      <c r="L294"/>
      <c r="M294"/>
      <c r="N294"/>
      <c r="O294"/>
      <c r="P294"/>
      <c r="Q294"/>
      <c r="R294"/>
      <c r="S294"/>
    </row>
    <row r="295" spans="2:19" ht="12.75" customHeight="1">
      <c r="B295" s="554"/>
      <c r="C295" s="1369" t="s">
        <v>322</v>
      </c>
      <c r="D295" s="1369"/>
      <c r="E295" s="1369"/>
      <c r="F295" s="936"/>
      <c r="G295" s="936"/>
      <c r="H295" s="936"/>
      <c r="I295" s="936"/>
      <c r="J295" s="362"/>
      <c r="K295" s="364"/>
      <c r="L295"/>
      <c r="M295"/>
      <c r="N295"/>
      <c r="O295"/>
      <c r="P295"/>
      <c r="Q295"/>
      <c r="R295"/>
      <c r="S295"/>
    </row>
    <row r="296" spans="2:19" ht="12.75" customHeight="1">
      <c r="B296" s="554"/>
      <c r="C296" s="1369"/>
      <c r="D296" s="1370" t="s">
        <v>306</v>
      </c>
      <c r="E296" s="1370"/>
      <c r="F296" s="593">
        <f>F297/$G$19</f>
        <v>211.20000000000005</v>
      </c>
      <c r="G296" s="593">
        <f>G297/$G$19</f>
        <v>17099.999999999996</v>
      </c>
      <c r="H296" s="593">
        <f>H297/$G$19</f>
        <v>14869.565217391302</v>
      </c>
      <c r="I296" s="593">
        <f>I297/$G$19</f>
        <v>12214.285714285712</v>
      </c>
      <c r="J296" s="362"/>
      <c r="K296" s="364"/>
      <c r="L296"/>
      <c r="M296"/>
      <c r="N296"/>
      <c r="O296"/>
      <c r="P296"/>
      <c r="Q296"/>
      <c r="R296"/>
      <c r="S296"/>
    </row>
    <row r="297" spans="2:19" ht="12.75" customHeight="1">
      <c r="B297" s="554"/>
      <c r="C297" s="1369"/>
      <c r="D297" s="1370" t="s">
        <v>307</v>
      </c>
      <c r="E297" s="1370"/>
      <c r="F297" s="593">
        <f>F298/12</f>
        <v>4857.6000000000013</v>
      </c>
      <c r="G297" s="593">
        <f>G298/12</f>
        <v>393299.99999999994</v>
      </c>
      <c r="H297" s="593">
        <f>H298/12</f>
        <v>341999.99999999994</v>
      </c>
      <c r="I297" s="593">
        <f>I298/12</f>
        <v>280928.57142857136</v>
      </c>
      <c r="J297" s="362"/>
      <c r="K297" s="364"/>
      <c r="L297"/>
      <c r="M297"/>
      <c r="N297"/>
      <c r="O297"/>
      <c r="P297"/>
      <c r="Q297"/>
      <c r="R297"/>
      <c r="S297"/>
    </row>
    <row r="298" spans="2:19" ht="12.75" customHeight="1">
      <c r="B298" s="554"/>
      <c r="C298" s="1369"/>
      <c r="D298" s="1370" t="s">
        <v>308</v>
      </c>
      <c r="E298" s="1370"/>
      <c r="F298" s="593">
        <f>F286+F292</f>
        <v>58291.200000000012</v>
      </c>
      <c r="G298" s="593">
        <f>G286+G292</f>
        <v>4719599.9999999991</v>
      </c>
      <c r="H298" s="593">
        <f>H286+H292</f>
        <v>4103999.9999999995</v>
      </c>
      <c r="I298" s="593">
        <f>I286+I292</f>
        <v>3371142.8571428563</v>
      </c>
      <c r="J298" s="362"/>
      <c r="K298" s="364"/>
      <c r="L298"/>
      <c r="M298"/>
      <c r="N298"/>
      <c r="O298"/>
      <c r="P298"/>
      <c r="Q298"/>
      <c r="R298"/>
      <c r="S298"/>
    </row>
    <row r="299" spans="2:19" ht="12.75" customHeight="1">
      <c r="B299" s="554"/>
      <c r="C299" s="363"/>
      <c r="D299" s="363"/>
      <c r="E299" s="577"/>
      <c r="F299" s="577"/>
      <c r="G299" s="596"/>
      <c r="H299" s="363"/>
      <c r="I299" s="363"/>
      <c r="J299" s="363"/>
      <c r="K299" s="363"/>
      <c r="L299"/>
      <c r="M299"/>
      <c r="N299"/>
      <c r="O299"/>
      <c r="P299"/>
      <c r="Q299"/>
      <c r="R299"/>
      <c r="S299"/>
    </row>
    <row r="300" spans="2:19" ht="12.75" customHeight="1">
      <c r="B300" s="554"/>
      <c r="C300" s="363"/>
      <c r="D300" s="363"/>
      <c r="E300" s="577"/>
      <c r="F300" s="577"/>
      <c r="G300" s="596"/>
      <c r="H300" s="363"/>
      <c r="I300" s="363"/>
      <c r="J300" s="363"/>
      <c r="K300" s="363"/>
      <c r="L300"/>
      <c r="M300"/>
      <c r="N300"/>
      <c r="O300"/>
      <c r="P300"/>
      <c r="Q300"/>
      <c r="R300"/>
      <c r="S300"/>
    </row>
    <row r="301" spans="2:19" ht="12.75" customHeight="1">
      <c r="B301" s="554"/>
      <c r="C301" s="363"/>
      <c r="D301" s="363"/>
      <c r="E301" s="577"/>
      <c r="F301" s="577"/>
      <c r="G301" s="596"/>
      <c r="H301" s="363"/>
      <c r="I301" s="363"/>
      <c r="J301" s="363"/>
      <c r="K301" s="363"/>
      <c r="L301"/>
      <c r="M301"/>
      <c r="N301"/>
      <c r="O301"/>
      <c r="P301"/>
      <c r="Q301"/>
      <c r="R301"/>
      <c r="S301"/>
    </row>
    <row r="302" spans="2:19" ht="12.75" customHeight="1">
      <c r="B302" s="554"/>
      <c r="C302" s="363"/>
      <c r="D302" s="363"/>
      <c r="E302" s="577"/>
      <c r="F302" s="577"/>
      <c r="G302" s="596"/>
      <c r="H302" s="363"/>
      <c r="I302" s="363"/>
      <c r="J302" s="363"/>
      <c r="K302" s="363"/>
      <c r="L302"/>
      <c r="M302"/>
      <c r="N302"/>
      <c r="O302"/>
      <c r="P302"/>
      <c r="Q302"/>
      <c r="R302"/>
      <c r="S302"/>
    </row>
    <row r="303" spans="2:19" ht="12.75" customHeight="1">
      <c r="B303" s="554"/>
      <c r="C303" s="363"/>
      <c r="D303" s="363"/>
      <c r="E303" s="577"/>
      <c r="F303" s="577"/>
      <c r="G303" s="596"/>
      <c r="H303" s="363"/>
      <c r="I303" s="363"/>
      <c r="J303" s="363"/>
      <c r="K303" s="363"/>
      <c r="L303"/>
      <c r="M303"/>
      <c r="N303"/>
      <c r="O303"/>
      <c r="P303"/>
      <c r="Q303"/>
      <c r="R303"/>
      <c r="S303"/>
    </row>
    <row r="304" spans="2:19" ht="12.75" customHeight="1">
      <c r="B304" s="554"/>
      <c r="C304" s="363"/>
      <c r="D304" s="363"/>
      <c r="E304" s="577"/>
      <c r="F304" s="577"/>
      <c r="G304" s="596"/>
      <c r="H304" s="363"/>
      <c r="I304" s="363"/>
      <c r="J304" s="363"/>
      <c r="K304" s="363"/>
      <c r="L304"/>
      <c r="M304"/>
      <c r="N304"/>
      <c r="O304"/>
      <c r="P304"/>
      <c r="Q304"/>
      <c r="R304"/>
      <c r="S304"/>
    </row>
    <row r="305" spans="2:19" ht="12.75" customHeight="1">
      <c r="B305" s="554"/>
      <c r="C305" s="363"/>
      <c r="D305" s="363"/>
      <c r="E305" s="577"/>
      <c r="F305" s="577"/>
      <c r="G305" s="596"/>
      <c r="H305" s="363"/>
      <c r="I305" s="363"/>
      <c r="J305" s="363"/>
      <c r="K305" s="363"/>
      <c r="L305"/>
      <c r="M305"/>
      <c r="N305"/>
      <c r="O305"/>
      <c r="P305"/>
      <c r="Q305"/>
      <c r="R305"/>
      <c r="S305"/>
    </row>
    <row r="306" spans="2:19" ht="12.75" customHeight="1">
      <c r="B306" s="554"/>
      <c r="C306" s="363"/>
      <c r="D306" s="363"/>
      <c r="E306" s="577"/>
      <c r="F306" s="577"/>
      <c r="G306" s="596"/>
      <c r="H306" s="363"/>
      <c r="I306" s="363"/>
      <c r="J306" s="363"/>
      <c r="K306" s="363"/>
      <c r="L306"/>
      <c r="M306"/>
      <c r="N306"/>
      <c r="O306"/>
      <c r="P306"/>
      <c r="Q306"/>
      <c r="R306"/>
      <c r="S306"/>
    </row>
    <row r="307" spans="2:19" ht="12.75" customHeight="1">
      <c r="B307" s="554"/>
      <c r="C307" s="363"/>
      <c r="D307" s="363"/>
      <c r="E307" s="577"/>
      <c r="F307" s="577"/>
      <c r="G307" s="596"/>
      <c r="H307" s="363"/>
      <c r="I307" s="363"/>
      <c r="J307" s="363"/>
      <c r="K307" s="363"/>
      <c r="L307"/>
      <c r="M307"/>
      <c r="N307"/>
      <c r="O307"/>
      <c r="P307"/>
      <c r="Q307"/>
      <c r="R307"/>
      <c r="S307"/>
    </row>
    <row r="308" spans="2:19" ht="12.75" customHeight="1">
      <c r="B308" s="554"/>
      <c r="C308" s="363"/>
      <c r="D308" s="363"/>
      <c r="E308" s="577"/>
      <c r="F308" s="577"/>
      <c r="G308" s="596"/>
      <c r="H308" s="363"/>
      <c r="I308" s="363"/>
      <c r="J308" s="363"/>
      <c r="K308" s="363"/>
      <c r="L308"/>
      <c r="M308"/>
      <c r="N308"/>
      <c r="O308"/>
      <c r="P308"/>
      <c r="Q308"/>
      <c r="R308"/>
      <c r="S308"/>
    </row>
    <row r="309" spans="2:19" ht="12.75" customHeight="1">
      <c r="B309" s="554"/>
      <c r="C309" s="363"/>
      <c r="D309" s="363"/>
      <c r="E309" s="577"/>
      <c r="F309" s="577"/>
      <c r="G309" s="596"/>
      <c r="H309" s="363"/>
      <c r="I309" s="363"/>
      <c r="J309" s="363"/>
      <c r="K309" s="363"/>
      <c r="L309"/>
      <c r="M309"/>
      <c r="N309"/>
      <c r="O309"/>
      <c r="P309"/>
      <c r="Q309"/>
      <c r="R309"/>
      <c r="S309"/>
    </row>
    <row r="310" spans="2:19" ht="12.75" customHeight="1">
      <c r="B310" s="554"/>
      <c r="C310" s="363"/>
      <c r="D310" s="363"/>
      <c r="E310" s="577"/>
      <c r="F310" s="577"/>
      <c r="G310" s="596"/>
      <c r="H310" s="363"/>
      <c r="I310" s="363"/>
      <c r="J310" s="363"/>
      <c r="K310" s="363"/>
      <c r="L310"/>
      <c r="M310"/>
      <c r="N310"/>
      <c r="O310"/>
      <c r="P310"/>
      <c r="Q310"/>
      <c r="R310"/>
      <c r="S310"/>
    </row>
    <row r="311" spans="2:19" ht="12.75" customHeight="1">
      <c r="B311" s="554"/>
      <c r="C311" s="363"/>
      <c r="D311" s="363"/>
      <c r="E311" s="577"/>
      <c r="F311" s="577"/>
      <c r="G311" s="596"/>
      <c r="H311" s="363"/>
      <c r="I311" s="363"/>
      <c r="J311" s="363"/>
      <c r="K311" s="363"/>
      <c r="L311"/>
      <c r="M311"/>
      <c r="N311"/>
      <c r="O311"/>
      <c r="P311"/>
      <c r="Q311"/>
      <c r="R311"/>
      <c r="S311"/>
    </row>
    <row r="312" spans="2:19" ht="12.75" customHeight="1">
      <c r="B312" s="554">
        <v>7.2</v>
      </c>
      <c r="C312" s="363" t="s">
        <v>95</v>
      </c>
      <c r="D312" s="363"/>
      <c r="E312" s="577"/>
      <c r="F312" s="577"/>
      <c r="G312" s="596"/>
      <c r="H312" s="363"/>
      <c r="I312" s="363"/>
      <c r="J312" s="363"/>
      <c r="K312" s="363"/>
      <c r="L312"/>
      <c r="M312"/>
      <c r="N312"/>
      <c r="O312"/>
      <c r="P312"/>
      <c r="Q312"/>
      <c r="R312"/>
      <c r="S312"/>
    </row>
    <row r="313" spans="2:19" ht="12.75" customHeight="1" thickBot="1">
      <c r="B313" s="554"/>
      <c r="C313" s="363"/>
      <c r="D313" s="363"/>
      <c r="E313" s="577"/>
      <c r="F313" s="577"/>
      <c r="G313" s="596"/>
      <c r="H313" s="363"/>
      <c r="I313" s="363"/>
      <c r="J313" s="363"/>
      <c r="K313" s="363"/>
      <c r="L313"/>
      <c r="M313"/>
      <c r="N313"/>
      <c r="O313"/>
      <c r="P313"/>
      <c r="Q313"/>
      <c r="R313"/>
      <c r="S313"/>
    </row>
    <row r="314" spans="2:19" ht="12.75" customHeight="1" thickTop="1">
      <c r="B314" s="554"/>
      <c r="C314" s="1374" t="s">
        <v>558</v>
      </c>
      <c r="D314" s="1375"/>
      <c r="E314" s="1375"/>
      <c r="F314" s="1375"/>
      <c r="G314" s="1375"/>
      <c r="H314" s="517" t="s">
        <v>559</v>
      </c>
      <c r="I314" s="516" t="s">
        <v>560</v>
      </c>
      <c r="J314" s="518" t="s">
        <v>23</v>
      </c>
      <c r="K314" s="363"/>
      <c r="L314"/>
      <c r="M314"/>
      <c r="N314"/>
      <c r="O314"/>
      <c r="P314"/>
      <c r="Q314"/>
      <c r="R314"/>
      <c r="S314"/>
    </row>
    <row r="315" spans="2:19" ht="12.75" customHeight="1">
      <c r="B315" s="554"/>
      <c r="C315" s="1373" t="s">
        <v>561</v>
      </c>
      <c r="D315" s="973"/>
      <c r="E315" s="973"/>
      <c r="F315" s="973"/>
      <c r="G315" s="973"/>
      <c r="H315" s="447">
        <f>'Capital Cost'!G7</f>
        <v>1</v>
      </c>
      <c r="I315" s="520">
        <f>'Capital Cost'!H7</f>
        <v>20741.3</v>
      </c>
      <c r="J315" s="519">
        <f t="shared" ref="J315:J324" si="3">H315*I315</f>
        <v>20741.3</v>
      </c>
      <c r="K315" s="363"/>
      <c r="L315"/>
      <c r="M315"/>
      <c r="N315"/>
      <c r="O315"/>
      <c r="P315"/>
      <c r="Q315"/>
      <c r="R315"/>
      <c r="S315"/>
    </row>
    <row r="316" spans="2:19" ht="12.75" customHeight="1">
      <c r="B316" s="554"/>
      <c r="C316" s="1371" t="s">
        <v>5</v>
      </c>
      <c r="D316" s="1372"/>
      <c r="E316" s="1372"/>
      <c r="F316" s="1372"/>
      <c r="G316" s="1372"/>
      <c r="H316" s="447">
        <f>'Capital Cost'!G8</f>
        <v>1</v>
      </c>
      <c r="I316" s="520">
        <f>'Capital Cost'!H8</f>
        <v>7432.96</v>
      </c>
      <c r="J316" s="519">
        <f t="shared" si="3"/>
        <v>7432.96</v>
      </c>
      <c r="K316" s="363"/>
      <c r="L316"/>
      <c r="M316"/>
      <c r="N316"/>
      <c r="O316"/>
      <c r="P316"/>
      <c r="Q316"/>
      <c r="R316"/>
      <c r="S316"/>
    </row>
    <row r="317" spans="2:19" ht="12.75" customHeight="1">
      <c r="B317" s="554"/>
      <c r="C317" s="665" t="s">
        <v>2</v>
      </c>
      <c r="D317" s="712"/>
      <c r="E317" s="712"/>
      <c r="F317" s="568" t="s">
        <v>4</v>
      </c>
      <c r="G317" s="666">
        <f>G29</f>
        <v>4</v>
      </c>
      <c r="H317" s="711">
        <f>45*G317</f>
        <v>180</v>
      </c>
      <c r="I317" s="520">
        <f>'Capital Cost'!H9</f>
        <v>69.89</v>
      </c>
      <c r="J317" s="519">
        <f t="shared" si="3"/>
        <v>12580.2</v>
      </c>
      <c r="K317" s="363"/>
      <c r="L317"/>
      <c r="M317"/>
      <c r="N317"/>
      <c r="O317"/>
      <c r="P317"/>
      <c r="Q317"/>
      <c r="R317"/>
      <c r="S317"/>
    </row>
    <row r="318" spans="2:19" ht="12.75" customHeight="1">
      <c r="B318" s="554"/>
      <c r="C318" s="1382" t="s">
        <v>562</v>
      </c>
      <c r="D318" s="1383"/>
      <c r="E318" s="1383"/>
      <c r="F318" s="1383"/>
      <c r="G318" s="1383"/>
      <c r="H318" s="447">
        <f>G317</f>
        <v>4</v>
      </c>
      <c r="I318" s="520">
        <f>'Capital Cost'!H10</f>
        <v>2149.1799999999998</v>
      </c>
      <c r="J318" s="519">
        <f t="shared" si="3"/>
        <v>8596.7199999999993</v>
      </c>
      <c r="K318" s="363"/>
      <c r="L318"/>
      <c r="M318"/>
      <c r="N318"/>
      <c r="O318"/>
      <c r="P318"/>
      <c r="Q318"/>
      <c r="R318"/>
      <c r="S318"/>
    </row>
    <row r="319" spans="2:19" ht="12.75" customHeight="1">
      <c r="B319" s="554"/>
      <c r="C319" s="1373" t="s">
        <v>563</v>
      </c>
      <c r="D319" s="973"/>
      <c r="E319" s="973"/>
      <c r="F319" s="973"/>
      <c r="G319" s="973"/>
      <c r="H319" s="447">
        <f>G317</f>
        <v>4</v>
      </c>
      <c r="I319" s="520">
        <f>'Capital Cost'!H11</f>
        <v>492.92</v>
      </c>
      <c r="J319" s="519">
        <f t="shared" si="3"/>
        <v>1971.68</v>
      </c>
      <c r="K319" s="363"/>
      <c r="L319"/>
      <c r="M319"/>
      <c r="N319"/>
      <c r="O319"/>
      <c r="P319"/>
      <c r="Q319"/>
      <c r="R319"/>
      <c r="S319"/>
    </row>
    <row r="320" spans="2:19" ht="12.75" customHeight="1">
      <c r="B320" s="554"/>
      <c r="C320" s="1371" t="s">
        <v>564</v>
      </c>
      <c r="D320" s="1372"/>
      <c r="E320" s="1372"/>
      <c r="F320" s="1372"/>
      <c r="G320" s="1372"/>
      <c r="H320" s="447">
        <f>G317</f>
        <v>4</v>
      </c>
      <c r="I320" s="520">
        <f>'Capital Cost'!H12</f>
        <v>170.8</v>
      </c>
      <c r="J320" s="519">
        <f t="shared" si="3"/>
        <v>683.2</v>
      </c>
      <c r="K320" s="363"/>
      <c r="L320"/>
      <c r="M320"/>
      <c r="N320"/>
      <c r="O320"/>
      <c r="P320"/>
      <c r="Q320"/>
      <c r="R320"/>
      <c r="S320"/>
    </row>
    <row r="321" spans="2:19" ht="12.75" customHeight="1">
      <c r="B321" s="554"/>
      <c r="C321" s="665" t="s">
        <v>3</v>
      </c>
      <c r="D321" s="712"/>
      <c r="E321" s="712"/>
      <c r="F321" s="568" t="s">
        <v>4</v>
      </c>
      <c r="G321" s="666">
        <f>G317</f>
        <v>4</v>
      </c>
      <c r="H321" s="711">
        <f>45*G321</f>
        <v>180</v>
      </c>
      <c r="I321" s="520">
        <f>'Capital Cost'!H13</f>
        <v>69.89</v>
      </c>
      <c r="J321" s="519">
        <f t="shared" si="3"/>
        <v>12580.2</v>
      </c>
      <c r="K321" s="363"/>
      <c r="L321"/>
      <c r="M321"/>
      <c r="N321"/>
      <c r="O321"/>
      <c r="P321"/>
      <c r="Q321"/>
      <c r="R321"/>
      <c r="S321"/>
    </row>
    <row r="322" spans="2:19" ht="12.75" customHeight="1">
      <c r="B322" s="554"/>
      <c r="C322" s="1379" t="s">
        <v>565</v>
      </c>
      <c r="D322" s="1380"/>
      <c r="E322" s="1380"/>
      <c r="F322" s="1380"/>
      <c r="G322" s="1380"/>
      <c r="H322" s="447">
        <f>G321</f>
        <v>4</v>
      </c>
      <c r="I322" s="520">
        <f>'Capital Cost'!H14</f>
        <v>2149.1799999999998</v>
      </c>
      <c r="J322" s="519">
        <f t="shared" si="3"/>
        <v>8596.7199999999993</v>
      </c>
      <c r="K322" s="363"/>
      <c r="L322"/>
      <c r="M322"/>
      <c r="N322"/>
      <c r="O322"/>
      <c r="P322"/>
      <c r="Q322"/>
      <c r="R322"/>
      <c r="S322"/>
    </row>
    <row r="323" spans="2:19" ht="12.75" customHeight="1">
      <c r="B323" s="554"/>
      <c r="C323" s="1373" t="s">
        <v>566</v>
      </c>
      <c r="D323" s="973"/>
      <c r="E323" s="973"/>
      <c r="F323" s="973"/>
      <c r="G323" s="973"/>
      <c r="H323" s="447">
        <f>G321</f>
        <v>4</v>
      </c>
      <c r="I323" s="520">
        <f>'Capital Cost'!H15</f>
        <v>848.63</v>
      </c>
      <c r="J323" s="519">
        <f t="shared" si="3"/>
        <v>3394.52</v>
      </c>
      <c r="K323" s="363"/>
      <c r="L323"/>
      <c r="M323"/>
      <c r="N323"/>
      <c r="O323"/>
      <c r="P323"/>
      <c r="Q323"/>
      <c r="R323"/>
      <c r="S323"/>
    </row>
    <row r="324" spans="2:19" ht="12.75" customHeight="1">
      <c r="B324" s="554"/>
      <c r="C324" s="1373" t="s">
        <v>567</v>
      </c>
      <c r="D324" s="973"/>
      <c r="E324" s="973"/>
      <c r="F324" s="973"/>
      <c r="G324" s="973"/>
      <c r="H324" s="447">
        <f>G321*2</f>
        <v>8</v>
      </c>
      <c r="I324" s="520">
        <f>'Capital Cost'!H16</f>
        <v>492.92</v>
      </c>
      <c r="J324" s="519">
        <f t="shared" si="3"/>
        <v>3943.36</v>
      </c>
      <c r="K324" s="363"/>
      <c r="L324"/>
      <c r="M324"/>
      <c r="N324"/>
      <c r="O324"/>
      <c r="P324"/>
      <c r="Q324"/>
      <c r="R324"/>
      <c r="S324"/>
    </row>
    <row r="325" spans="2:19" ht="12.75" customHeight="1">
      <c r="B325" s="554"/>
      <c r="C325" s="1376" t="s">
        <v>425</v>
      </c>
      <c r="D325" s="1377"/>
      <c r="E325" s="1377"/>
      <c r="F325" s="1377"/>
      <c r="G325" s="1377"/>
      <c r="H325" s="1378"/>
      <c r="I325" s="520" t="s">
        <v>23</v>
      </c>
      <c r="J325" s="519">
        <f>SUM(J315:J324)</f>
        <v>80520.86</v>
      </c>
      <c r="K325" s="363"/>
      <c r="L325"/>
      <c r="M325"/>
      <c r="N325"/>
      <c r="O325"/>
      <c r="P325"/>
      <c r="Q325"/>
      <c r="R325"/>
      <c r="S325"/>
    </row>
    <row r="326" spans="2:19" ht="12.75" customHeight="1" thickBot="1">
      <c r="B326" s="554"/>
      <c r="C326" s="1367" t="s">
        <v>570</v>
      </c>
      <c r="D326" s="1368"/>
      <c r="E326" s="1368"/>
      <c r="F326" s="1368"/>
      <c r="G326" s="1368"/>
      <c r="H326" s="521">
        <f>G30</f>
        <v>40</v>
      </c>
      <c r="I326" s="522">
        <f>J325</f>
        <v>80520.86</v>
      </c>
      <c r="J326" s="523">
        <f>H326*I326</f>
        <v>3220834.4</v>
      </c>
      <c r="K326" s="363"/>
      <c r="L326"/>
      <c r="M326"/>
      <c r="N326"/>
      <c r="O326"/>
      <c r="P326"/>
      <c r="Q326"/>
      <c r="R326"/>
      <c r="S326"/>
    </row>
    <row r="327" spans="2:19" ht="12.75" customHeight="1" thickTop="1">
      <c r="B327" s="554"/>
      <c r="C327" s="524"/>
      <c r="D327" s="524"/>
      <c r="E327" s="524"/>
      <c r="F327" s="524"/>
      <c r="G327" s="524"/>
      <c r="H327" s="525"/>
      <c r="I327" s="526"/>
      <c r="J327" s="527"/>
      <c r="K327" s="363"/>
      <c r="L327"/>
      <c r="M327"/>
      <c r="N327"/>
      <c r="O327"/>
      <c r="P327"/>
      <c r="Q327"/>
      <c r="R327"/>
      <c r="S327"/>
    </row>
    <row r="328" spans="2:19" ht="12.75" customHeight="1">
      <c r="B328" s="554">
        <v>7.3</v>
      </c>
      <c r="C328" s="528" t="s">
        <v>181</v>
      </c>
      <c r="D328" s="367"/>
      <c r="E328" s="367"/>
      <c r="F328" s="367"/>
      <c r="G328" s="367"/>
      <c r="H328" s="367"/>
      <c r="I328" s="367"/>
      <c r="J328" s="367"/>
      <c r="K328" s="367"/>
      <c r="L328"/>
      <c r="M328"/>
      <c r="N328"/>
      <c r="O328"/>
      <c r="P328"/>
      <c r="Q328"/>
      <c r="R328"/>
      <c r="S328"/>
    </row>
    <row r="329" spans="2:19" ht="12.75" customHeight="1" thickBot="1">
      <c r="B329" s="367"/>
      <c r="C329" s="367"/>
      <c r="D329" s="367"/>
      <c r="E329" s="367"/>
      <c r="F329" s="367"/>
      <c r="G329" s="367"/>
      <c r="H329" s="367"/>
      <c r="I329" s="367"/>
      <c r="J329" s="367"/>
      <c r="K329" s="367"/>
      <c r="L329"/>
      <c r="M329"/>
      <c r="N329"/>
      <c r="O329"/>
      <c r="P329"/>
      <c r="Q329"/>
      <c r="R329"/>
      <c r="S329"/>
    </row>
    <row r="330" spans="2:19" ht="12.75" customHeight="1" thickBot="1">
      <c r="B330" s="367"/>
      <c r="C330" s="1415" t="s">
        <v>77</v>
      </c>
      <c r="D330" s="1416"/>
      <c r="E330" s="1425" t="s">
        <v>323</v>
      </c>
      <c r="F330" s="1426"/>
      <c r="G330" s="1427"/>
      <c r="H330" s="1425" t="s">
        <v>324</v>
      </c>
      <c r="I330" s="1426"/>
      <c r="J330" s="1427"/>
      <c r="K330" s="367"/>
      <c r="L330"/>
      <c r="M330"/>
      <c r="N330"/>
      <c r="O330"/>
      <c r="P330"/>
      <c r="Q330"/>
      <c r="R330"/>
      <c r="S330"/>
    </row>
    <row r="331" spans="2:19" ht="12.75" customHeight="1">
      <c r="B331" s="367"/>
      <c r="C331" s="1417"/>
      <c r="D331" s="1418"/>
      <c r="E331" s="1413" t="s">
        <v>182</v>
      </c>
      <c r="F331" s="904" t="s">
        <v>186</v>
      </c>
      <c r="G331" s="905" t="s">
        <v>23</v>
      </c>
      <c r="H331" s="1413" t="s">
        <v>182</v>
      </c>
      <c r="I331" s="904" t="s">
        <v>186</v>
      </c>
      <c r="J331" s="905" t="s">
        <v>23</v>
      </c>
      <c r="K331" s="367"/>
      <c r="L331"/>
      <c r="M331"/>
      <c r="N331"/>
      <c r="O331"/>
      <c r="P331"/>
      <c r="Q331"/>
      <c r="R331"/>
      <c r="S331"/>
    </row>
    <row r="332" spans="2:19" ht="12.75" customHeight="1">
      <c r="B332" s="367"/>
      <c r="C332" s="1417"/>
      <c r="D332" s="1418"/>
      <c r="E332" s="1414"/>
      <c r="F332" s="901"/>
      <c r="G332" s="903"/>
      <c r="H332" s="1414"/>
      <c r="I332" s="901"/>
      <c r="J332" s="903"/>
      <c r="K332" s="367"/>
      <c r="L332"/>
      <c r="M332"/>
      <c r="N332"/>
      <c r="O332"/>
      <c r="P332"/>
      <c r="Q332"/>
      <c r="R332"/>
      <c r="S332"/>
    </row>
    <row r="333" spans="2:19" ht="12.75" customHeight="1">
      <c r="B333" s="367"/>
      <c r="C333" s="1423" t="s">
        <v>313</v>
      </c>
      <c r="D333" s="1424"/>
      <c r="E333" s="529">
        <f>G34</f>
        <v>176640</v>
      </c>
      <c r="F333" s="531">
        <f>Consumables!D19</f>
        <v>0.66</v>
      </c>
      <c r="G333" s="532">
        <f>E333*F333</f>
        <v>116582.40000000001</v>
      </c>
      <c r="H333" s="529">
        <f>E333</f>
        <v>176640</v>
      </c>
      <c r="I333" s="531">
        <f>Consumables!G19</f>
        <v>0.79</v>
      </c>
      <c r="J333" s="532">
        <f>H333*I333</f>
        <v>139545.60000000001</v>
      </c>
      <c r="K333" s="367"/>
      <c r="L333"/>
      <c r="M333"/>
      <c r="N333"/>
      <c r="O333"/>
      <c r="P333"/>
      <c r="Q333"/>
      <c r="R333"/>
      <c r="S333"/>
    </row>
    <row r="334" spans="2:19" ht="12.75" customHeight="1">
      <c r="B334" s="367"/>
      <c r="C334" s="1423" t="s">
        <v>74</v>
      </c>
      <c r="D334" s="1424"/>
      <c r="E334" s="529">
        <f>E333</f>
        <v>176640</v>
      </c>
      <c r="F334" s="531">
        <f>Consumables!D20</f>
        <v>1.1000000000000001</v>
      </c>
      <c r="G334" s="532">
        <f>E334*F334</f>
        <v>194304.00000000003</v>
      </c>
      <c r="H334" s="529">
        <f>H333</f>
        <v>176640</v>
      </c>
      <c r="I334" s="531">
        <f>Consumables!G20</f>
        <v>1.27</v>
      </c>
      <c r="J334" s="532">
        <f>H334*I334</f>
        <v>224332.80000000002</v>
      </c>
      <c r="K334" s="367"/>
      <c r="L334"/>
      <c r="M334"/>
      <c r="N334"/>
      <c r="O334"/>
      <c r="P334"/>
      <c r="Q334"/>
      <c r="R334"/>
      <c r="S334"/>
    </row>
    <row r="335" spans="2:19" ht="12.75" customHeight="1">
      <c r="B335" s="367"/>
      <c r="C335" s="1423" t="s">
        <v>183</v>
      </c>
      <c r="D335" s="1424"/>
      <c r="E335" s="529">
        <f>Consumables!C21</f>
        <v>115.55555555555556</v>
      </c>
      <c r="F335" s="531">
        <f>Consumables!D21</f>
        <v>300</v>
      </c>
      <c r="G335" s="532">
        <f>E335*F335</f>
        <v>34666.666666666664</v>
      </c>
      <c r="H335" s="1438" t="s">
        <v>434</v>
      </c>
      <c r="I335" s="986"/>
      <c r="J335" s="532">
        <f>J326*10%</f>
        <v>322083.44</v>
      </c>
      <c r="K335" s="367"/>
      <c r="L335"/>
      <c r="M335"/>
      <c r="N335"/>
      <c r="O335"/>
      <c r="P335"/>
      <c r="Q335"/>
      <c r="R335"/>
      <c r="S335"/>
    </row>
    <row r="336" spans="2:19" ht="12.75" customHeight="1">
      <c r="B336" s="367"/>
      <c r="C336" s="1419" t="s">
        <v>762</v>
      </c>
      <c r="D336" s="1420"/>
      <c r="E336" s="1421"/>
      <c r="F336" s="1422"/>
      <c r="G336" s="1399">
        <f>D336*E336*12</f>
        <v>0</v>
      </c>
      <c r="H336" s="1437">
        <f>G31</f>
        <v>160</v>
      </c>
      <c r="I336" s="1398">
        <f>Consumables!G22</f>
        <v>4320</v>
      </c>
      <c r="J336" s="1399">
        <f>H336*I336</f>
        <v>691200</v>
      </c>
      <c r="K336" s="367"/>
      <c r="L336"/>
      <c r="M336"/>
      <c r="N336"/>
      <c r="O336"/>
      <c r="P336"/>
      <c r="Q336"/>
      <c r="R336"/>
      <c r="S336"/>
    </row>
    <row r="337" spans="2:19" ht="12.75" customHeight="1">
      <c r="B337" s="367"/>
      <c r="C337" s="1419"/>
      <c r="D337" s="1420"/>
      <c r="E337" s="1421"/>
      <c r="F337" s="1422"/>
      <c r="G337" s="1399"/>
      <c r="H337" s="1437"/>
      <c r="I337" s="1398"/>
      <c r="J337" s="1399"/>
      <c r="K337" s="367"/>
      <c r="L337"/>
      <c r="M337"/>
      <c r="N337"/>
      <c r="O337"/>
      <c r="P337"/>
      <c r="Q337"/>
      <c r="R337"/>
      <c r="S337"/>
    </row>
    <row r="338" spans="2:19" ht="12.75" customHeight="1">
      <c r="B338" s="554"/>
      <c r="C338" s="1423" t="s">
        <v>75</v>
      </c>
      <c r="D338" s="1424"/>
      <c r="E338" s="529">
        <f>E333</f>
        <v>176640</v>
      </c>
      <c r="F338" s="531">
        <f>Consumables!D23</f>
        <v>0.5</v>
      </c>
      <c r="G338" s="532">
        <f>E338*F338</f>
        <v>88320</v>
      </c>
      <c r="H338" s="530"/>
      <c r="I338" s="531"/>
      <c r="J338" s="532"/>
      <c r="K338" s="363"/>
      <c r="L338"/>
      <c r="M338"/>
      <c r="N338"/>
      <c r="O338"/>
      <c r="P338"/>
      <c r="Q338"/>
      <c r="R338"/>
      <c r="S338"/>
    </row>
    <row r="339" spans="2:19" ht="12.75" customHeight="1">
      <c r="B339" s="554"/>
      <c r="C339" s="1419" t="s">
        <v>188</v>
      </c>
      <c r="D339" s="1420"/>
      <c r="E339" s="1430">
        <f>G31/48</f>
        <v>3.3333333333333335</v>
      </c>
      <c r="F339" s="1431">
        <f>Consumables!D24</f>
        <v>1015</v>
      </c>
      <c r="G339" s="1399">
        <f>E339*F339</f>
        <v>3383.3333333333335</v>
      </c>
      <c r="H339" s="1401"/>
      <c r="I339" s="1384"/>
      <c r="J339" s="1434"/>
      <c r="K339" s="363"/>
      <c r="L339"/>
      <c r="M339"/>
      <c r="N339"/>
      <c r="O339"/>
      <c r="P339"/>
      <c r="Q339"/>
      <c r="R339"/>
      <c r="S339"/>
    </row>
    <row r="340" spans="2:19" ht="12.75" customHeight="1">
      <c r="B340" s="554"/>
      <c r="C340" s="1419"/>
      <c r="D340" s="1420"/>
      <c r="E340" s="1430"/>
      <c r="F340" s="1431"/>
      <c r="G340" s="1399"/>
      <c r="H340" s="1401"/>
      <c r="I340" s="1384"/>
      <c r="J340" s="1434"/>
      <c r="K340" s="363"/>
      <c r="L340"/>
      <c r="M340"/>
      <c r="N340"/>
      <c r="O340"/>
      <c r="P340"/>
      <c r="Q340"/>
      <c r="R340"/>
      <c r="S340"/>
    </row>
    <row r="341" spans="2:19" ht="12.75" customHeight="1">
      <c r="B341" s="554"/>
      <c r="C341" s="1419" t="s">
        <v>189</v>
      </c>
      <c r="D341" s="1420"/>
      <c r="E341" s="1430">
        <f>E339</f>
        <v>3.3333333333333335</v>
      </c>
      <c r="F341" s="1431">
        <f>Consumables!D25</f>
        <v>4990</v>
      </c>
      <c r="G341" s="1399">
        <f>E341*F341</f>
        <v>16633.333333333336</v>
      </c>
      <c r="H341" s="1401"/>
      <c r="I341" s="1384"/>
      <c r="J341" s="1434"/>
      <c r="K341" s="363"/>
      <c r="L341"/>
      <c r="M341"/>
      <c r="N341"/>
      <c r="O341"/>
      <c r="P341"/>
      <c r="Q341"/>
      <c r="R341"/>
      <c r="S341"/>
    </row>
    <row r="342" spans="2:19" ht="12.75" customHeight="1" thickBot="1">
      <c r="B342" s="554"/>
      <c r="C342" s="1428"/>
      <c r="D342" s="1429"/>
      <c r="E342" s="1432"/>
      <c r="F342" s="1433"/>
      <c r="G342" s="1400"/>
      <c r="H342" s="1435"/>
      <c r="I342" s="996"/>
      <c r="J342" s="1436"/>
      <c r="K342" s="363"/>
      <c r="L342"/>
      <c r="M342"/>
      <c r="N342"/>
      <c r="O342"/>
      <c r="P342"/>
      <c r="Q342"/>
      <c r="R342"/>
      <c r="S342"/>
    </row>
    <row r="343" spans="2:19" ht="12.75" customHeight="1" thickBot="1">
      <c r="B343" s="554"/>
      <c r="C343" s="1411" t="s">
        <v>184</v>
      </c>
      <c r="D343" s="1412"/>
      <c r="E343" s="598"/>
      <c r="F343" s="533"/>
      <c r="G343" s="534">
        <f>SUM(G333:G341)</f>
        <v>453889.73333333334</v>
      </c>
      <c r="H343" s="598"/>
      <c r="I343" s="533"/>
      <c r="J343" s="534">
        <f>SUM(J333:J341)</f>
        <v>1377161.84</v>
      </c>
      <c r="K343" s="363"/>
      <c r="L343"/>
      <c r="M343"/>
      <c r="N343"/>
      <c r="O343"/>
      <c r="P343"/>
      <c r="Q343"/>
      <c r="R343"/>
      <c r="S343"/>
    </row>
    <row r="344" spans="2:19" ht="12.75" customHeight="1">
      <c r="B344" s="554"/>
      <c r="C344" s="363"/>
      <c r="D344" s="363"/>
      <c r="E344" s="577"/>
      <c r="F344" s="577"/>
      <c r="G344" s="596"/>
      <c r="H344" s="362"/>
      <c r="I344" s="362"/>
      <c r="J344" s="363"/>
      <c r="K344" s="363"/>
      <c r="L344"/>
      <c r="M344"/>
      <c r="N344"/>
      <c r="O344"/>
      <c r="P344"/>
      <c r="Q344"/>
      <c r="R344"/>
      <c r="S344"/>
    </row>
    <row r="345" spans="2:19" ht="12.75" customHeight="1">
      <c r="B345" s="554">
        <v>7.4</v>
      </c>
      <c r="C345" s="363" t="s">
        <v>849</v>
      </c>
      <c r="D345" s="363"/>
      <c r="E345" s="577"/>
      <c r="F345" s="577"/>
      <c r="G345" s="596"/>
      <c r="H345" s="362"/>
      <c r="I345" s="362"/>
      <c r="J345" s="363"/>
      <c r="K345" s="363"/>
      <c r="L345"/>
      <c r="M345"/>
      <c r="N345"/>
      <c r="O345"/>
      <c r="P345"/>
      <c r="Q345"/>
      <c r="R345"/>
      <c r="S345"/>
    </row>
    <row r="346" spans="2:19" ht="12.75" customHeight="1">
      <c r="B346" s="554"/>
      <c r="C346" s="363"/>
      <c r="D346" s="363"/>
      <c r="E346" s="362"/>
      <c r="F346" s="362"/>
      <c r="G346" s="362"/>
      <c r="H346" s="362"/>
      <c r="I346" s="362"/>
      <c r="J346" s="363"/>
      <c r="K346" s="363"/>
      <c r="L346"/>
      <c r="M346"/>
      <c r="N346"/>
      <c r="O346"/>
      <c r="P346"/>
      <c r="Q346"/>
      <c r="R346"/>
      <c r="S346"/>
    </row>
    <row r="347" spans="2:19" ht="12.75" customHeight="1">
      <c r="B347" s="554" t="s">
        <v>96</v>
      </c>
      <c r="C347" s="1439" t="s">
        <v>97</v>
      </c>
      <c r="D347" s="1439"/>
      <c r="E347" s="1439"/>
      <c r="F347" s="1439"/>
      <c r="G347" s="1439"/>
      <c r="H347" s="1439"/>
      <c r="I347" s="1439"/>
      <c r="J347" s="1439"/>
      <c r="K347" s="1439"/>
      <c r="L347"/>
      <c r="M347"/>
      <c r="N347"/>
      <c r="O347"/>
      <c r="P347"/>
      <c r="Q347"/>
      <c r="R347"/>
      <c r="S347"/>
    </row>
    <row r="348" spans="2:19" ht="12.75" customHeight="1">
      <c r="B348" s="554"/>
      <c r="C348" s="1402" t="s">
        <v>130</v>
      </c>
      <c r="D348" s="1402" t="s">
        <v>131</v>
      </c>
      <c r="E348" s="1402" t="s">
        <v>132</v>
      </c>
      <c r="F348" s="1402" t="s">
        <v>133</v>
      </c>
      <c r="G348" s="1402" t="s">
        <v>134</v>
      </c>
      <c r="H348" s="1405" t="s">
        <v>135</v>
      </c>
      <c r="I348" s="1406"/>
      <c r="J348" s="1405" t="s">
        <v>136</v>
      </c>
      <c r="K348" s="1406"/>
      <c r="L348"/>
      <c r="M348"/>
      <c r="N348"/>
      <c r="O348"/>
      <c r="P348"/>
      <c r="Q348"/>
      <c r="R348"/>
      <c r="S348"/>
    </row>
    <row r="349" spans="2:19" ht="12.75" customHeight="1">
      <c r="B349" s="554"/>
      <c r="C349" s="1403"/>
      <c r="D349" s="1403"/>
      <c r="E349" s="1403"/>
      <c r="F349" s="1403"/>
      <c r="G349" s="1403"/>
      <c r="H349" s="1407"/>
      <c r="I349" s="1408"/>
      <c r="J349" s="1407"/>
      <c r="K349" s="1408"/>
      <c r="L349"/>
      <c r="M349"/>
      <c r="N349"/>
      <c r="O349"/>
      <c r="P349"/>
      <c r="Q349"/>
      <c r="R349"/>
      <c r="S349"/>
    </row>
    <row r="350" spans="2:19" ht="12.75" customHeight="1">
      <c r="B350" s="554"/>
      <c r="C350" s="1403"/>
      <c r="D350" s="1403"/>
      <c r="E350" s="1403"/>
      <c r="F350" s="1403"/>
      <c r="G350" s="1403"/>
      <c r="H350" s="1407"/>
      <c r="I350" s="1408"/>
      <c r="J350" s="1407"/>
      <c r="K350" s="1408"/>
      <c r="L350"/>
      <c r="M350"/>
      <c r="N350"/>
      <c r="O350"/>
      <c r="P350"/>
      <c r="Q350"/>
      <c r="R350"/>
      <c r="S350"/>
    </row>
    <row r="351" spans="2:19" ht="12.75" customHeight="1">
      <c r="B351" s="554"/>
      <c r="C351" s="1403"/>
      <c r="D351" s="1403"/>
      <c r="E351" s="1403"/>
      <c r="F351" s="1403"/>
      <c r="G351" s="1403"/>
      <c r="H351" s="1407"/>
      <c r="I351" s="1408"/>
      <c r="J351" s="1407"/>
      <c r="K351" s="1408"/>
      <c r="L351"/>
      <c r="M351"/>
      <c r="N351"/>
      <c r="O351"/>
      <c r="P351"/>
      <c r="Q351"/>
      <c r="R351"/>
      <c r="S351"/>
    </row>
    <row r="352" spans="2:19" ht="12.75" customHeight="1">
      <c r="B352" s="554"/>
      <c r="C352" s="1403"/>
      <c r="D352" s="1403"/>
      <c r="E352" s="1403"/>
      <c r="F352" s="1403"/>
      <c r="G352" s="1403"/>
      <c r="H352" s="1407"/>
      <c r="I352" s="1408"/>
      <c r="J352" s="1407"/>
      <c r="K352" s="1408"/>
      <c r="L352"/>
      <c r="M352"/>
      <c r="N352"/>
      <c r="O352"/>
      <c r="P352"/>
      <c r="Q352"/>
      <c r="R352"/>
      <c r="S352"/>
    </row>
    <row r="353" spans="2:19" ht="12.75" customHeight="1">
      <c r="B353" s="554"/>
      <c r="C353" s="1404"/>
      <c r="D353" s="1404"/>
      <c r="E353" s="1404"/>
      <c r="F353" s="1404"/>
      <c r="G353" s="1404"/>
      <c r="H353" s="1409"/>
      <c r="I353" s="1410"/>
      <c r="J353" s="1409"/>
      <c r="K353" s="1410"/>
      <c r="L353"/>
      <c r="M353"/>
      <c r="N353"/>
      <c r="O353"/>
      <c r="P353"/>
      <c r="Q353"/>
      <c r="R353"/>
      <c r="S353"/>
    </row>
    <row r="354" spans="2:19" ht="12.75" customHeight="1">
      <c r="B354" s="554"/>
      <c r="C354" s="542" t="s">
        <v>137</v>
      </c>
      <c r="D354" s="562">
        <f>'Value Case'!D1273</f>
        <v>95.020599913279639</v>
      </c>
      <c r="E354" s="562">
        <f>'Value Case'!E1273</f>
        <v>90.15</v>
      </c>
      <c r="F354" s="562">
        <f>'Value Case'!F1273</f>
        <v>17</v>
      </c>
      <c r="G354" s="562">
        <f>'Value Case'!G1273</f>
        <v>17</v>
      </c>
      <c r="H354" s="1398">
        <f>'Value Case'!H1273:I1273</f>
        <v>518500</v>
      </c>
      <c r="I354" s="1398"/>
      <c r="J354" s="1398">
        <f>'Value Case'!J1273:K1273</f>
        <v>596275</v>
      </c>
      <c r="K354" s="1398"/>
      <c r="L354"/>
      <c r="M354"/>
      <c r="N354"/>
      <c r="O354"/>
      <c r="P354"/>
      <c r="Q354"/>
      <c r="R354"/>
      <c r="S354"/>
    </row>
    <row r="355" spans="2:19" ht="12.75" customHeight="1">
      <c r="B355" s="554"/>
      <c r="C355" s="542" t="s">
        <v>138</v>
      </c>
      <c r="D355" s="562">
        <f>'Value Case'!D1274</f>
        <v>101.02059991327963</v>
      </c>
      <c r="E355" s="562">
        <f>'Value Case'!E1274</f>
        <v>94.95</v>
      </c>
      <c r="F355" s="562">
        <f>'Value Case'!F1274</f>
        <v>28.200000000000003</v>
      </c>
      <c r="G355" s="562">
        <f>'Value Case'!G1274</f>
        <v>28.200000000000003</v>
      </c>
      <c r="H355" s="1398">
        <f>'Value Case'!H1274:I1274</f>
        <v>860100.00000000012</v>
      </c>
      <c r="I355" s="1398"/>
      <c r="J355" s="1398">
        <f>'Value Case'!J1274:K1274</f>
        <v>989115.00000000012</v>
      </c>
      <c r="K355" s="1398"/>
      <c r="L355"/>
      <c r="M355"/>
      <c r="N355"/>
      <c r="O355"/>
      <c r="P355"/>
      <c r="Q355"/>
      <c r="R355"/>
      <c r="S355"/>
    </row>
    <row r="356" spans="2:19" ht="12.75" customHeight="1">
      <c r="B356" s="554"/>
      <c r="C356" s="542" t="s">
        <v>579</v>
      </c>
      <c r="D356" s="562">
        <f>'Value Case'!D1275</f>
        <v>102.02059991327963</v>
      </c>
      <c r="E356" s="562">
        <f>'Value Case'!E1275</f>
        <v>95.3</v>
      </c>
      <c r="F356" s="562">
        <f>'Value Case'!F1275</f>
        <v>31</v>
      </c>
      <c r="G356" s="562">
        <f>'Value Case'!G1275</f>
        <v>31</v>
      </c>
      <c r="H356" s="1398">
        <f>'Value Case'!H1275:I1275</f>
        <v>945500</v>
      </c>
      <c r="I356" s="1398"/>
      <c r="J356" s="1398">
        <f>'Value Case'!J1275:K1275</f>
        <v>1087325</v>
      </c>
      <c r="K356" s="1398"/>
      <c r="L356"/>
      <c r="M356"/>
      <c r="N356"/>
      <c r="O356"/>
      <c r="P356"/>
      <c r="Q356"/>
      <c r="R356"/>
      <c r="S356"/>
    </row>
    <row r="357" spans="2:19" ht="12.75" customHeight="1">
      <c r="B357" s="554"/>
      <c r="C357" s="542" t="s">
        <v>139</v>
      </c>
      <c r="D357" s="562">
        <f>'Value Case'!D1276</f>
        <v>109.02059991327964</v>
      </c>
      <c r="E357" s="562">
        <f>'Value Case'!E1276</f>
        <v>101.55</v>
      </c>
      <c r="F357" s="562">
        <f>'Value Case'!F1276</f>
        <v>48.9</v>
      </c>
      <c r="G357" s="562">
        <f>'Value Case'!G1276</f>
        <v>48.9</v>
      </c>
      <c r="H357" s="1398">
        <f>'Value Case'!H1276:I1276</f>
        <v>1491450</v>
      </c>
      <c r="I357" s="1398"/>
      <c r="J357" s="1398">
        <f>'Value Case'!J1276:K1276</f>
        <v>1715167.5</v>
      </c>
      <c r="K357" s="1398"/>
      <c r="L357"/>
      <c r="M357"/>
      <c r="N357"/>
      <c r="O357"/>
      <c r="P357"/>
      <c r="Q357"/>
      <c r="R357"/>
      <c r="S357"/>
    </row>
    <row r="358" spans="2:19" ht="12.75" customHeight="1">
      <c r="B358" s="554"/>
      <c r="C358" s="363"/>
      <c r="D358" s="363"/>
      <c r="E358" s="577"/>
      <c r="F358" s="577"/>
      <c r="G358" s="596"/>
      <c r="H358" s="363"/>
      <c r="I358" s="363"/>
      <c r="J358" s="363"/>
      <c r="K358" s="363"/>
      <c r="L358"/>
      <c r="M358"/>
      <c r="N358"/>
      <c r="O358"/>
      <c r="P358"/>
      <c r="Q358"/>
      <c r="R358"/>
      <c r="S358"/>
    </row>
    <row r="359" spans="2:19" ht="12.75" customHeight="1">
      <c r="B359" s="554" t="s">
        <v>98</v>
      </c>
      <c r="C359" s="1439" t="s">
        <v>99</v>
      </c>
      <c r="D359" s="1439"/>
      <c r="E359" s="1439"/>
      <c r="F359" s="1439"/>
      <c r="G359" s="1439"/>
      <c r="H359" s="1439"/>
      <c r="I359" s="1439"/>
      <c r="J359" s="1439"/>
      <c r="K359" s="1439"/>
      <c r="L359"/>
      <c r="M359"/>
      <c r="N359"/>
      <c r="O359"/>
      <c r="P359"/>
      <c r="Q359"/>
      <c r="R359"/>
      <c r="S359"/>
    </row>
    <row r="360" spans="2:19" ht="12.75" customHeight="1">
      <c r="B360" s="554"/>
      <c r="C360" s="1402" t="s">
        <v>130</v>
      </c>
      <c r="D360" s="1402" t="s">
        <v>131</v>
      </c>
      <c r="E360" s="1402" t="s">
        <v>132</v>
      </c>
      <c r="F360" s="1402" t="s">
        <v>133</v>
      </c>
      <c r="G360" s="1402" t="s">
        <v>134</v>
      </c>
      <c r="H360" s="1405" t="s">
        <v>135</v>
      </c>
      <c r="I360" s="1406"/>
      <c r="J360" s="1405" t="s">
        <v>136</v>
      </c>
      <c r="K360" s="1406"/>
      <c r="L360"/>
      <c r="M360"/>
      <c r="N360"/>
      <c r="O360"/>
      <c r="P360"/>
      <c r="Q360"/>
      <c r="R360"/>
      <c r="S360"/>
    </row>
    <row r="361" spans="2:19" ht="12.75" customHeight="1">
      <c r="B361" s="554"/>
      <c r="C361" s="1403"/>
      <c r="D361" s="1403"/>
      <c r="E361" s="1403"/>
      <c r="F361" s="1403"/>
      <c r="G361" s="1403"/>
      <c r="H361" s="1407"/>
      <c r="I361" s="1408"/>
      <c r="J361" s="1407"/>
      <c r="K361" s="1408"/>
      <c r="L361"/>
      <c r="M361"/>
      <c r="N361"/>
      <c r="O361"/>
      <c r="P361"/>
      <c r="Q361"/>
      <c r="R361"/>
      <c r="S361"/>
    </row>
    <row r="362" spans="2:19" ht="12.75" customHeight="1">
      <c r="B362" s="554"/>
      <c r="C362" s="1403"/>
      <c r="D362" s="1403"/>
      <c r="E362" s="1403"/>
      <c r="F362" s="1403"/>
      <c r="G362" s="1403"/>
      <c r="H362" s="1407"/>
      <c r="I362" s="1408"/>
      <c r="J362" s="1407"/>
      <c r="K362" s="1408"/>
      <c r="L362"/>
      <c r="M362"/>
      <c r="N362"/>
      <c r="O362"/>
      <c r="P362"/>
      <c r="Q362"/>
      <c r="R362"/>
      <c r="S362"/>
    </row>
    <row r="363" spans="2:19" ht="12.75" customHeight="1">
      <c r="B363" s="554"/>
      <c r="C363" s="1403"/>
      <c r="D363" s="1403"/>
      <c r="E363" s="1403"/>
      <c r="F363" s="1403"/>
      <c r="G363" s="1403"/>
      <c r="H363" s="1407"/>
      <c r="I363" s="1408"/>
      <c r="J363" s="1407"/>
      <c r="K363" s="1408"/>
      <c r="L363"/>
      <c r="M363"/>
      <c r="N363"/>
      <c r="O363"/>
      <c r="P363"/>
      <c r="Q363"/>
      <c r="R363"/>
      <c r="S363"/>
    </row>
    <row r="364" spans="2:19" ht="12.75" customHeight="1">
      <c r="B364" s="554"/>
      <c r="C364" s="1403"/>
      <c r="D364" s="1403"/>
      <c r="E364" s="1403"/>
      <c r="F364" s="1403"/>
      <c r="G364" s="1403"/>
      <c r="H364" s="1407"/>
      <c r="I364" s="1408"/>
      <c r="J364" s="1407"/>
      <c r="K364" s="1408"/>
      <c r="L364"/>
      <c r="M364"/>
      <c r="N364"/>
      <c r="O364"/>
      <c r="P364"/>
      <c r="Q364"/>
      <c r="R364"/>
      <c r="S364"/>
    </row>
    <row r="365" spans="2:19" ht="12.75" customHeight="1">
      <c r="B365" s="554"/>
      <c r="C365" s="1404"/>
      <c r="D365" s="1404"/>
      <c r="E365" s="1404"/>
      <c r="F365" s="1404"/>
      <c r="G365" s="1404"/>
      <c r="H365" s="1409"/>
      <c r="I365" s="1410"/>
      <c r="J365" s="1409"/>
      <c r="K365" s="1410"/>
      <c r="L365"/>
      <c r="M365"/>
      <c r="N365"/>
      <c r="O365"/>
      <c r="P365"/>
      <c r="Q365"/>
      <c r="R365"/>
      <c r="S365"/>
    </row>
    <row r="366" spans="2:19" ht="12.75" customHeight="1">
      <c r="B366" s="554"/>
      <c r="C366" s="542" t="s">
        <v>137</v>
      </c>
      <c r="D366" s="562">
        <f>'Value Case'!D1288</f>
        <v>108.02059991327964</v>
      </c>
      <c r="E366" s="562">
        <f>'Value Case'!E1288</f>
        <v>103.15</v>
      </c>
      <c r="F366" s="562">
        <f>'Value Case'!F1288</f>
        <v>55.699999999999996</v>
      </c>
      <c r="G366" s="562">
        <f>'Value Case'!G1288</f>
        <v>55.699999999999996</v>
      </c>
      <c r="H366" s="1398">
        <f>'Value Case'!H1288:I1288</f>
        <v>1698849.9999999998</v>
      </c>
      <c r="I366" s="1398"/>
      <c r="J366" s="1398">
        <f>'Value Case'!J1288:K1288</f>
        <v>1953677.4999999998</v>
      </c>
      <c r="K366" s="1398"/>
      <c r="L366"/>
      <c r="M366"/>
      <c r="N366"/>
      <c r="O366"/>
      <c r="P366"/>
      <c r="Q366"/>
      <c r="R366"/>
      <c r="S366"/>
    </row>
    <row r="367" spans="2:19" ht="12.75" customHeight="1">
      <c r="B367" s="554"/>
      <c r="C367" s="542" t="s">
        <v>138</v>
      </c>
      <c r="D367" s="562">
        <f>'Value Case'!D1289</f>
        <v>114.02059991327963</v>
      </c>
      <c r="E367" s="562">
        <f>'Value Case'!E1289</f>
        <v>107.95</v>
      </c>
      <c r="F367" s="562">
        <f>'Value Case'!F1289</f>
        <v>69.699999999999989</v>
      </c>
      <c r="G367" s="562">
        <f>'Value Case'!G1289</f>
        <v>69.699999999999989</v>
      </c>
      <c r="H367" s="1398">
        <f>'Value Case'!H1289:I1289</f>
        <v>2125849.9999999995</v>
      </c>
      <c r="I367" s="1398"/>
      <c r="J367" s="1398">
        <f>'Value Case'!J1289:K1289</f>
        <v>2444727.4999999995</v>
      </c>
      <c r="K367" s="1398"/>
      <c r="L367"/>
      <c r="M367"/>
      <c r="N367"/>
      <c r="O367"/>
      <c r="P367"/>
      <c r="Q367"/>
      <c r="R367"/>
      <c r="S367"/>
    </row>
    <row r="368" spans="2:19" ht="12.75" customHeight="1">
      <c r="B368" s="554"/>
      <c r="C368" s="542" t="s">
        <v>579</v>
      </c>
      <c r="D368" s="562">
        <f>'Value Case'!D1290</f>
        <v>115.02059991327963</v>
      </c>
      <c r="E368" s="562">
        <f>'Value Case'!E1290</f>
        <v>108.4</v>
      </c>
      <c r="F368" s="562">
        <f>'Value Case'!F1290</f>
        <v>73.299999999999983</v>
      </c>
      <c r="G368" s="562">
        <f>'Value Case'!G1290</f>
        <v>73.299999999999983</v>
      </c>
      <c r="H368" s="1398">
        <f>'Value Case'!H1290:I1290</f>
        <v>2235649.9999999995</v>
      </c>
      <c r="I368" s="1398"/>
      <c r="J368" s="1398">
        <f>'Value Case'!J1290:K1290</f>
        <v>2570997.4999999995</v>
      </c>
      <c r="K368" s="1398"/>
      <c r="L368"/>
      <c r="M368"/>
      <c r="N368"/>
      <c r="O368"/>
      <c r="P368"/>
      <c r="Q368"/>
      <c r="R368"/>
      <c r="S368"/>
    </row>
    <row r="369" spans="2:19" ht="12.75" customHeight="1">
      <c r="B369" s="554"/>
      <c r="C369" s="542" t="s">
        <v>139</v>
      </c>
      <c r="D369" s="562">
        <f>'Value Case'!D1291</f>
        <v>122.02059991327964</v>
      </c>
      <c r="E369" s="562">
        <f>'Value Case'!E1291</f>
        <v>113.95</v>
      </c>
      <c r="F369" s="562">
        <f>'Value Case'!F1291</f>
        <v>84.100000000000009</v>
      </c>
      <c r="G369" s="562">
        <f>'Value Case'!G1291</f>
        <v>84.100000000000009</v>
      </c>
      <c r="H369" s="1398">
        <f>'Value Case'!H1291:I1291</f>
        <v>2565050.0000000005</v>
      </c>
      <c r="I369" s="1398"/>
      <c r="J369" s="1398">
        <f>'Value Case'!J1291:K1291</f>
        <v>2949807.5000000005</v>
      </c>
      <c r="K369" s="1398"/>
      <c r="L369"/>
      <c r="M369"/>
      <c r="N369"/>
      <c r="O369"/>
      <c r="P369"/>
      <c r="Q369"/>
      <c r="R369"/>
      <c r="S369"/>
    </row>
    <row r="370" spans="2:19" ht="12.75" customHeight="1">
      <c r="B370" s="554"/>
      <c r="C370" s="363"/>
      <c r="D370" s="363"/>
      <c r="E370" s="577"/>
      <c r="F370" s="577"/>
      <c r="G370" s="596"/>
      <c r="H370" s="363"/>
      <c r="I370" s="363"/>
      <c r="J370" s="363"/>
      <c r="K370" s="363"/>
      <c r="L370"/>
      <c r="M370"/>
      <c r="N370"/>
      <c r="O370"/>
      <c r="P370"/>
      <c r="Q370"/>
      <c r="R370"/>
      <c r="S370"/>
    </row>
    <row r="371" spans="2:19" ht="12.75" customHeight="1">
      <c r="B371" s="554"/>
      <c r="C371" s="363"/>
      <c r="D371" s="363"/>
      <c r="E371" s="577"/>
      <c r="F371" s="577"/>
      <c r="G371" s="596"/>
      <c r="H371" s="363"/>
      <c r="I371" s="363"/>
      <c r="J371" s="363"/>
      <c r="K371" s="363"/>
      <c r="L371"/>
      <c r="M371"/>
      <c r="N371"/>
      <c r="O371"/>
      <c r="P371"/>
      <c r="Q371"/>
      <c r="R371"/>
      <c r="S371"/>
    </row>
    <row r="372" spans="2:19" ht="12.75" customHeight="1">
      <c r="B372" s="554"/>
      <c r="C372" s="363"/>
      <c r="D372" s="363"/>
      <c r="E372" s="577"/>
      <c r="F372" s="577"/>
      <c r="G372" s="596"/>
      <c r="H372" s="363"/>
      <c r="I372" s="363"/>
      <c r="J372" s="363"/>
      <c r="K372" s="363"/>
      <c r="L372"/>
      <c r="M372"/>
      <c r="N372"/>
      <c r="O372"/>
      <c r="P372"/>
      <c r="Q372"/>
      <c r="R372"/>
      <c r="S372"/>
    </row>
    <row r="373" spans="2:19" ht="12.75" customHeight="1">
      <c r="B373" s="554"/>
      <c r="C373" s="363"/>
      <c r="D373" s="363"/>
      <c r="E373" s="577"/>
      <c r="F373" s="577"/>
      <c r="G373" s="596"/>
      <c r="H373" s="363"/>
      <c r="I373" s="363"/>
      <c r="J373" s="363"/>
      <c r="K373" s="363"/>
      <c r="L373"/>
      <c r="M373"/>
      <c r="N373"/>
      <c r="O373"/>
      <c r="P373"/>
      <c r="Q373"/>
      <c r="R373"/>
      <c r="S373"/>
    </row>
    <row r="374" spans="2:19" ht="12.75" customHeight="1">
      <c r="B374" s="558" t="s">
        <v>235</v>
      </c>
      <c r="C374" s="363" t="s">
        <v>812</v>
      </c>
      <c r="D374" s="363"/>
      <c r="E374" s="577"/>
      <c r="F374" s="577"/>
      <c r="G374" s="596"/>
      <c r="H374" s="363"/>
      <c r="I374" s="363"/>
      <c r="J374" s="363"/>
      <c r="K374" s="363"/>
      <c r="L374"/>
      <c r="M374"/>
      <c r="N374"/>
      <c r="O374"/>
      <c r="P374"/>
      <c r="Q374"/>
      <c r="R374"/>
      <c r="S374"/>
    </row>
    <row r="375" spans="2:19" ht="12.75" customHeight="1">
      <c r="B375" s="558"/>
      <c r="C375" s="363"/>
      <c r="D375" s="363"/>
      <c r="E375" s="577"/>
      <c r="F375" s="577"/>
      <c r="G375" s="596"/>
      <c r="H375" s="363"/>
      <c r="I375" s="363"/>
      <c r="J375" s="363"/>
      <c r="K375" s="363"/>
      <c r="L375"/>
      <c r="M375"/>
      <c r="N375"/>
      <c r="O375"/>
      <c r="P375"/>
      <c r="Q375"/>
      <c r="R375"/>
      <c r="S375"/>
    </row>
    <row r="376" spans="2:19" ht="12.75" customHeight="1">
      <c r="B376" s="558">
        <v>8.1</v>
      </c>
      <c r="C376" s="363" t="s">
        <v>100</v>
      </c>
      <c r="D376" s="363"/>
      <c r="E376" s="577"/>
      <c r="F376" s="577"/>
      <c r="G376" s="596"/>
      <c r="H376" s="363"/>
      <c r="I376" s="363"/>
      <c r="J376" s="363"/>
      <c r="K376" s="363"/>
      <c r="L376"/>
      <c r="M376"/>
      <c r="N376"/>
      <c r="O376"/>
      <c r="P376"/>
      <c r="Q376"/>
      <c r="R376"/>
      <c r="S376"/>
    </row>
    <row r="377" spans="2:19" ht="12.75" customHeight="1">
      <c r="B377" s="554"/>
      <c r="C377" s="935" t="s">
        <v>678</v>
      </c>
      <c r="D377" s="935"/>
      <c r="E377" s="935"/>
      <c r="F377" s="935"/>
      <c r="G377" s="936" t="s">
        <v>500</v>
      </c>
      <c r="H377" s="936" t="s">
        <v>22</v>
      </c>
      <c r="I377" s="936" t="s">
        <v>579</v>
      </c>
      <c r="J377" s="936" t="s">
        <v>21</v>
      </c>
      <c r="K377" s="362"/>
      <c r="L377"/>
      <c r="M377"/>
      <c r="N377"/>
      <c r="O377"/>
      <c r="P377"/>
      <c r="Q377"/>
      <c r="R377"/>
      <c r="S377"/>
    </row>
    <row r="378" spans="2:19" ht="12.75" customHeight="1">
      <c r="B378" s="554"/>
      <c r="C378" s="935"/>
      <c r="D378" s="935"/>
      <c r="E378" s="935"/>
      <c r="F378" s="935"/>
      <c r="G378" s="936"/>
      <c r="H378" s="936"/>
      <c r="I378" s="936"/>
      <c r="J378" s="936"/>
      <c r="K378" s="362"/>
      <c r="L378"/>
      <c r="M378"/>
      <c r="N378"/>
      <c r="O378"/>
      <c r="P378"/>
      <c r="Q378"/>
      <c r="R378"/>
      <c r="S378"/>
    </row>
    <row r="379" spans="2:19" ht="12.75" customHeight="1">
      <c r="B379" s="554"/>
      <c r="C379" s="931" t="s">
        <v>35</v>
      </c>
      <c r="D379" s="931"/>
      <c r="E379" s="931"/>
      <c r="F379" s="931"/>
      <c r="G379" s="599">
        <f>AVERAGE(F269:H269)*5%</f>
        <v>1305585.0000000005</v>
      </c>
      <c r="H379" s="599">
        <f>G275*5%</f>
        <v>1533870.0000000005</v>
      </c>
      <c r="I379" s="599">
        <f>H275*5%</f>
        <v>1518480.0000000005</v>
      </c>
      <c r="J379" s="599">
        <f>I275*5%</f>
        <v>1500158.5714285718</v>
      </c>
      <c r="K379" s="362"/>
      <c r="L379"/>
      <c r="M379"/>
      <c r="N379"/>
      <c r="O379"/>
      <c r="P379"/>
      <c r="Q379"/>
      <c r="R379"/>
      <c r="S379"/>
    </row>
    <row r="380" spans="2:19" ht="12.75" customHeight="1">
      <c r="B380" s="554"/>
      <c r="C380" s="931" t="s">
        <v>481</v>
      </c>
      <c r="D380" s="931"/>
      <c r="E380" s="931"/>
      <c r="F380" s="931"/>
      <c r="G380" s="600" t="s">
        <v>479</v>
      </c>
      <c r="H380" s="599">
        <f>J380</f>
        <v>1059840</v>
      </c>
      <c r="I380" s="600" t="s">
        <v>479</v>
      </c>
      <c r="J380" s="599">
        <f>Consumables!E23*12</f>
        <v>1059840</v>
      </c>
      <c r="K380" s="362"/>
      <c r="L380"/>
      <c r="M380"/>
      <c r="N380"/>
      <c r="O380"/>
      <c r="P380"/>
      <c r="Q380"/>
      <c r="R380"/>
      <c r="S380"/>
    </row>
    <row r="381" spans="2:19" ht="12.75" customHeight="1">
      <c r="B381" s="554"/>
      <c r="C381" s="931" t="s">
        <v>311</v>
      </c>
      <c r="D381" s="931"/>
      <c r="E381" s="931"/>
      <c r="F381" s="931"/>
      <c r="G381" s="600" t="s">
        <v>557</v>
      </c>
      <c r="H381" s="599">
        <f>J381</f>
        <v>416000</v>
      </c>
      <c r="I381" s="599">
        <f>H381</f>
        <v>416000</v>
      </c>
      <c r="J381" s="599">
        <f>Consumables!E21*12</f>
        <v>416000</v>
      </c>
      <c r="K381" s="362"/>
      <c r="L381"/>
      <c r="M381"/>
      <c r="N381"/>
      <c r="O381"/>
      <c r="P381"/>
      <c r="Q381"/>
      <c r="R381"/>
      <c r="S381"/>
    </row>
    <row r="382" spans="2:19" ht="12.75" customHeight="1">
      <c r="B382" s="554"/>
      <c r="C382" s="931" t="s">
        <v>480</v>
      </c>
      <c r="D382" s="931"/>
      <c r="E382" s="931"/>
      <c r="F382" s="931"/>
      <c r="G382" s="599">
        <f>Consumables!H21*12</f>
        <v>3865001.2800000003</v>
      </c>
      <c r="H382" s="599" t="s">
        <v>479</v>
      </c>
      <c r="I382" s="599" t="s">
        <v>479</v>
      </c>
      <c r="J382" s="599" t="s">
        <v>479</v>
      </c>
      <c r="K382" s="362"/>
      <c r="L382"/>
      <c r="M382"/>
      <c r="N382"/>
      <c r="O382"/>
      <c r="P382"/>
      <c r="Q382"/>
      <c r="R382"/>
      <c r="S382"/>
    </row>
    <row r="383" spans="2:19" ht="12.75" customHeight="1">
      <c r="B383" s="554"/>
      <c r="C383" s="931" t="s">
        <v>312</v>
      </c>
      <c r="D383" s="931"/>
      <c r="E383" s="931"/>
      <c r="F383" s="931"/>
      <c r="G383" s="599">
        <f>Consumables!H20*12</f>
        <v>2691993.6000000001</v>
      </c>
      <c r="H383" s="599">
        <f>J383</f>
        <v>2331648.0000000005</v>
      </c>
      <c r="I383" s="599">
        <f>H383</f>
        <v>2331648.0000000005</v>
      </c>
      <c r="J383" s="599">
        <f>Consumables!E20*12</f>
        <v>2331648.0000000005</v>
      </c>
      <c r="K383" s="362"/>
      <c r="L383"/>
      <c r="M383"/>
      <c r="N383"/>
      <c r="O383"/>
      <c r="P383"/>
      <c r="Q383"/>
      <c r="R383"/>
      <c r="S383"/>
    </row>
    <row r="384" spans="2:19" ht="12.75" customHeight="1">
      <c r="B384" s="554"/>
      <c r="C384" s="931" t="s">
        <v>313</v>
      </c>
      <c r="D384" s="931"/>
      <c r="E384" s="931"/>
      <c r="F384" s="931"/>
      <c r="G384" s="599">
        <f>Consumables!H19*12</f>
        <v>1674547.2000000002</v>
      </c>
      <c r="H384" s="599">
        <f>J384</f>
        <v>1398988.8</v>
      </c>
      <c r="I384" s="599">
        <f>H384</f>
        <v>1398988.8</v>
      </c>
      <c r="J384" s="599">
        <f>Consumables!E19*12</f>
        <v>1398988.8</v>
      </c>
      <c r="K384" s="362"/>
      <c r="L384"/>
      <c r="M384"/>
      <c r="N384"/>
      <c r="O384"/>
      <c r="P384"/>
      <c r="Q384"/>
      <c r="R384"/>
      <c r="S384"/>
    </row>
    <row r="385" spans="2:19" ht="12.75" customHeight="1">
      <c r="B385" s="554"/>
      <c r="C385" s="931" t="s">
        <v>190</v>
      </c>
      <c r="D385" s="931"/>
      <c r="E385" s="931"/>
      <c r="F385" s="931"/>
      <c r="G385" s="599">
        <f>Consumables!H22*12</f>
        <v>8294400</v>
      </c>
      <c r="H385" s="599" t="s">
        <v>479</v>
      </c>
      <c r="I385" s="599" t="s">
        <v>479</v>
      </c>
      <c r="J385" s="599" t="s">
        <v>479</v>
      </c>
      <c r="K385" s="362"/>
      <c r="L385"/>
      <c r="M385"/>
      <c r="N385"/>
      <c r="O385"/>
      <c r="P385"/>
      <c r="Q385"/>
      <c r="R385"/>
      <c r="S385"/>
    </row>
    <row r="386" spans="2:19" ht="12.75" customHeight="1">
      <c r="B386" s="554"/>
      <c r="C386" s="931" t="s">
        <v>482</v>
      </c>
      <c r="D386" s="931"/>
      <c r="E386" s="931"/>
      <c r="F386" s="931"/>
      <c r="G386" s="599"/>
      <c r="H386" s="599">
        <f>J386</f>
        <v>199600.00000000003</v>
      </c>
      <c r="I386" s="599">
        <f>H386</f>
        <v>199600.00000000003</v>
      </c>
      <c r="J386" s="599">
        <f>Consumables!E25*12</f>
        <v>199600.00000000003</v>
      </c>
      <c r="K386" s="362"/>
      <c r="L386"/>
      <c r="M386"/>
      <c r="N386"/>
      <c r="O386"/>
      <c r="P386"/>
      <c r="Q386"/>
      <c r="R386"/>
      <c r="S386"/>
    </row>
    <row r="387" spans="2:19" ht="12.75" customHeight="1">
      <c r="B387" s="554"/>
      <c r="C387" s="931" t="s">
        <v>483</v>
      </c>
      <c r="D387" s="931"/>
      <c r="E387" s="931"/>
      <c r="F387" s="931"/>
      <c r="G387" s="599"/>
      <c r="H387" s="599">
        <f>J387</f>
        <v>40600</v>
      </c>
      <c r="I387" s="599">
        <f>H387</f>
        <v>40600</v>
      </c>
      <c r="J387" s="599">
        <f>Consumables!E24*12</f>
        <v>40600</v>
      </c>
      <c r="K387" s="362"/>
      <c r="L387"/>
      <c r="M387"/>
      <c r="N387"/>
      <c r="O387"/>
      <c r="P387"/>
      <c r="Q387"/>
      <c r="R387"/>
      <c r="S387"/>
    </row>
    <row r="388" spans="2:19" ht="12.75" customHeight="1">
      <c r="B388" s="554"/>
      <c r="C388" s="931" t="s">
        <v>478</v>
      </c>
      <c r="D388" s="931"/>
      <c r="E388" s="931"/>
      <c r="F388" s="931"/>
      <c r="G388" s="599">
        <f>F298</f>
        <v>58291.200000000012</v>
      </c>
      <c r="H388" s="599">
        <f>G298</f>
        <v>4719599.9999999991</v>
      </c>
      <c r="I388" s="599">
        <f>H298</f>
        <v>4103999.9999999995</v>
      </c>
      <c r="J388" s="599">
        <f>I298</f>
        <v>3371142.8571428563</v>
      </c>
      <c r="K388" s="362"/>
      <c r="L388"/>
      <c r="M388"/>
      <c r="N388"/>
      <c r="O388"/>
      <c r="P388"/>
      <c r="Q388"/>
      <c r="R388"/>
      <c r="S388"/>
    </row>
    <row r="389" spans="2:19" ht="12.75" customHeight="1">
      <c r="B389" s="554"/>
      <c r="C389" s="931" t="s">
        <v>484</v>
      </c>
      <c r="D389" s="931"/>
      <c r="E389" s="931"/>
      <c r="F389" s="931"/>
      <c r="G389" s="599">
        <f>J354</f>
        <v>596275</v>
      </c>
      <c r="H389" s="599">
        <f>J355</f>
        <v>989115.00000000012</v>
      </c>
      <c r="I389" s="599">
        <f>J356</f>
        <v>1087325</v>
      </c>
      <c r="J389" s="599">
        <f>J357</f>
        <v>1715167.5</v>
      </c>
      <c r="K389" s="362"/>
      <c r="L389"/>
      <c r="M389"/>
      <c r="N389"/>
      <c r="O389"/>
      <c r="P389"/>
      <c r="Q389"/>
      <c r="R389"/>
      <c r="S389"/>
    </row>
    <row r="390" spans="2:19" ht="12.75" customHeight="1">
      <c r="B390" s="554"/>
      <c r="C390" s="932" t="s">
        <v>677</v>
      </c>
      <c r="D390" s="932"/>
      <c r="E390" s="932"/>
      <c r="F390" s="932"/>
      <c r="G390" s="599">
        <f>SUM(G379:G389)</f>
        <v>18486093.280000001</v>
      </c>
      <c r="H390" s="599">
        <f>SUM(H379:H389)</f>
        <v>12689261.800000001</v>
      </c>
      <c r="I390" s="599">
        <f>SUM(I379:I389)</f>
        <v>11096641.800000001</v>
      </c>
      <c r="J390" s="599">
        <f>SUM(J379:J389)</f>
        <v>12033145.72857143</v>
      </c>
      <c r="K390" s="362"/>
      <c r="L390"/>
      <c r="M390"/>
      <c r="N390"/>
      <c r="O390"/>
      <c r="P390"/>
      <c r="Q390"/>
      <c r="R390"/>
      <c r="S390"/>
    </row>
    <row r="391" spans="2:19" ht="12.75" customHeight="1">
      <c r="B391" s="554"/>
      <c r="C391" s="364"/>
      <c r="D391" s="364"/>
      <c r="E391" s="364"/>
      <c r="F391" s="364"/>
      <c r="G391" s="364"/>
      <c r="H391" s="364"/>
      <c r="I391" s="364"/>
      <c r="J391" s="364"/>
      <c r="K391" s="364"/>
      <c r="L391"/>
      <c r="M391"/>
      <c r="N391"/>
      <c r="O391"/>
      <c r="P391"/>
      <c r="Q391"/>
      <c r="R391"/>
      <c r="S391"/>
    </row>
    <row r="392" spans="2:19" ht="12.75" customHeight="1">
      <c r="B392" s="554">
        <v>8.1999999999999993</v>
      </c>
      <c r="C392" s="1381" t="s">
        <v>758</v>
      </c>
      <c r="D392" s="1381"/>
      <c r="E392" s="1381"/>
      <c r="F392" s="1381"/>
      <c r="G392" s="364"/>
      <c r="H392" s="364"/>
      <c r="I392" s="364"/>
      <c r="J392" s="364"/>
      <c r="K392" s="364"/>
      <c r="L392"/>
      <c r="M392"/>
      <c r="N392"/>
      <c r="O392"/>
      <c r="P392"/>
      <c r="Q392"/>
      <c r="R392"/>
      <c r="S392"/>
    </row>
    <row r="393" spans="2:19" ht="12.75" customHeight="1">
      <c r="B393" s="362"/>
      <c r="C393" s="935" t="s">
        <v>678</v>
      </c>
      <c r="D393" s="935"/>
      <c r="E393" s="935"/>
      <c r="F393" s="935"/>
      <c r="G393" s="936" t="s">
        <v>500</v>
      </c>
      <c r="H393" s="936" t="s">
        <v>22</v>
      </c>
      <c r="I393" s="936" t="s">
        <v>579</v>
      </c>
      <c r="J393" s="936" t="s">
        <v>21</v>
      </c>
      <c r="K393" s="364"/>
      <c r="L393"/>
      <c r="M393"/>
      <c r="N393"/>
      <c r="O393"/>
      <c r="P393"/>
      <c r="Q393"/>
      <c r="R393"/>
      <c r="S393"/>
    </row>
    <row r="394" spans="2:19" ht="12.75" customHeight="1">
      <c r="B394" s="554"/>
      <c r="C394" s="935"/>
      <c r="D394" s="935"/>
      <c r="E394" s="935"/>
      <c r="F394" s="935"/>
      <c r="G394" s="936"/>
      <c r="H394" s="936"/>
      <c r="I394" s="936"/>
      <c r="J394" s="936"/>
      <c r="K394" s="364"/>
      <c r="L394"/>
      <c r="M394"/>
      <c r="N394"/>
      <c r="O394"/>
      <c r="P394"/>
      <c r="Q394"/>
      <c r="R394"/>
      <c r="S394"/>
    </row>
    <row r="395" spans="2:19" ht="12.75" customHeight="1">
      <c r="B395" s="554"/>
      <c r="C395" s="969" t="s">
        <v>101</v>
      </c>
      <c r="D395" s="969"/>
      <c r="E395" s="969"/>
      <c r="F395" s="969"/>
      <c r="G395" s="601">
        <f>G390/($G$34*12)</f>
        <v>8.7211717240338178</v>
      </c>
      <c r="H395" s="601">
        <f>H390/($G$34*12)</f>
        <v>5.9864044572765707</v>
      </c>
      <c r="I395" s="601">
        <f>I390/($G$34*12)</f>
        <v>5.2350551970108699</v>
      </c>
      <c r="J395" s="601">
        <f>J390/($G$34*12)</f>
        <v>5.6768690220087139</v>
      </c>
      <c r="K395" s="364"/>
      <c r="L395"/>
      <c r="M395"/>
      <c r="N395"/>
      <c r="O395"/>
      <c r="P395"/>
      <c r="Q395"/>
      <c r="R395"/>
      <c r="S395"/>
    </row>
    <row r="396" spans="2:19" ht="12.75" customHeight="1">
      <c r="B396" s="554"/>
      <c r="C396" s="969" t="s">
        <v>103</v>
      </c>
      <c r="D396" s="969"/>
      <c r="E396" s="969"/>
      <c r="F396" s="969"/>
      <c r="G396" s="601">
        <f>G390/'Prod Parameters'!$J$21</f>
        <v>46.51291586151369</v>
      </c>
      <c r="H396" s="601">
        <f>H390/'Prod Parameters'!$J$21</f>
        <v>31.927490438808377</v>
      </c>
      <c r="I396" s="601">
        <f>I390/'Prod Parameters'!$J$21</f>
        <v>27.920294384057971</v>
      </c>
      <c r="J396" s="601">
        <f>J390/'Prod Parameters'!$J$21</f>
        <v>30.276634784046472</v>
      </c>
      <c r="K396" s="364"/>
      <c r="L396"/>
      <c r="M396"/>
      <c r="N396"/>
      <c r="O396"/>
      <c r="P396"/>
      <c r="Q396"/>
      <c r="R396"/>
      <c r="S396"/>
    </row>
    <row r="397" spans="2:19" ht="12.75" customHeight="1">
      <c r="B397" s="554"/>
      <c r="C397" s="969" t="s">
        <v>102</v>
      </c>
      <c r="D397" s="969"/>
      <c r="E397" s="969"/>
      <c r="F397" s="969"/>
      <c r="G397" s="601">
        <f>G390/'Prod Parameters'!$K$21</f>
        <v>11.400224475861197</v>
      </c>
      <c r="H397" s="601">
        <f>H390/'Prod Parameters'!$K$21</f>
        <v>7.8253653036295026</v>
      </c>
      <c r="I397" s="601">
        <f>I390/'Prod Parameters'!$K$21</f>
        <v>6.8432094078573451</v>
      </c>
      <c r="J397" s="601">
        <f>J390/'Prod Parameters'!$K$21</f>
        <v>7.4207438196192328</v>
      </c>
      <c r="K397" s="364"/>
      <c r="L397"/>
      <c r="M397"/>
      <c r="N397"/>
      <c r="O397"/>
      <c r="P397"/>
      <c r="Q397"/>
      <c r="R397"/>
      <c r="S397"/>
    </row>
    <row r="398" spans="2:19" ht="12.75" customHeight="1">
      <c r="B398" s="554"/>
      <c r="C398" s="364"/>
      <c r="D398" s="364"/>
      <c r="E398" s="364"/>
      <c r="F398" s="364"/>
      <c r="G398" s="364"/>
      <c r="H398" s="364"/>
      <c r="I398" s="364"/>
      <c r="J398" s="364"/>
      <c r="K398" s="364"/>
      <c r="L398"/>
      <c r="M398"/>
      <c r="N398"/>
      <c r="O398"/>
      <c r="P398"/>
      <c r="Q398"/>
      <c r="R398"/>
      <c r="S398"/>
    </row>
    <row r="399" spans="2:19" ht="12.75" customHeight="1">
      <c r="B399" s="554">
        <v>8.3000000000000007</v>
      </c>
      <c r="C399" s="1381" t="s">
        <v>763</v>
      </c>
      <c r="D399" s="1381"/>
      <c r="E399" s="1381"/>
      <c r="F399" s="1381"/>
      <c r="G399" s="364"/>
      <c r="H399" s="364"/>
      <c r="I399" s="364"/>
      <c r="J399" s="364"/>
      <c r="K399" s="364"/>
      <c r="L399"/>
      <c r="M399"/>
      <c r="N399"/>
      <c r="O399"/>
      <c r="P399"/>
      <c r="Q399"/>
      <c r="R399"/>
      <c r="S399"/>
    </row>
    <row r="400" spans="2:19" ht="12.75" customHeight="1">
      <c r="B400" s="554"/>
      <c r="C400" s="935" t="s">
        <v>678</v>
      </c>
      <c r="D400" s="935"/>
      <c r="E400" s="935"/>
      <c r="F400" s="935"/>
      <c r="G400" s="936" t="s">
        <v>500</v>
      </c>
      <c r="H400" s="936" t="s">
        <v>22</v>
      </c>
      <c r="I400" s="936" t="s">
        <v>579</v>
      </c>
      <c r="J400" s="936" t="s">
        <v>21</v>
      </c>
      <c r="K400" s="364"/>
      <c r="L400"/>
      <c r="M400"/>
      <c r="N400"/>
      <c r="O400"/>
      <c r="P400"/>
      <c r="Q400"/>
      <c r="R400"/>
      <c r="S400"/>
    </row>
    <row r="401" spans="2:19" ht="12.75" customHeight="1">
      <c r="B401" s="554"/>
      <c r="C401" s="935"/>
      <c r="D401" s="935"/>
      <c r="E401" s="935"/>
      <c r="F401" s="935"/>
      <c r="G401" s="936"/>
      <c r="H401" s="936"/>
      <c r="I401" s="936"/>
      <c r="J401" s="936"/>
      <c r="K401" s="364"/>
      <c r="L401"/>
      <c r="M401"/>
      <c r="N401"/>
      <c r="O401"/>
      <c r="P401"/>
      <c r="Q401"/>
      <c r="R401"/>
      <c r="S401"/>
    </row>
    <row r="402" spans="2:19" ht="12.75" customHeight="1">
      <c r="B402" s="554"/>
      <c r="C402" s="969" t="s">
        <v>101</v>
      </c>
      <c r="D402" s="969"/>
      <c r="E402" s="969"/>
      <c r="F402" s="969"/>
      <c r="G402" s="601">
        <f t="shared" ref="G402:J404" si="4">G395/12</f>
        <v>0.72676431033615152</v>
      </c>
      <c r="H402" s="601">
        <f t="shared" si="4"/>
        <v>0.49886703810638089</v>
      </c>
      <c r="I402" s="601">
        <f t="shared" si="4"/>
        <v>0.4362545997509058</v>
      </c>
      <c r="J402" s="601">
        <f t="shared" si="4"/>
        <v>0.47307241850072618</v>
      </c>
      <c r="K402" s="364"/>
      <c r="L402"/>
      <c r="M402"/>
      <c r="N402"/>
      <c r="O402"/>
      <c r="P402"/>
      <c r="Q402"/>
      <c r="R402"/>
      <c r="S402"/>
    </row>
    <row r="403" spans="2:19" ht="12.75" customHeight="1">
      <c r="B403" s="554"/>
      <c r="C403" s="969" t="s">
        <v>103</v>
      </c>
      <c r="D403" s="969"/>
      <c r="E403" s="969"/>
      <c r="F403" s="969"/>
      <c r="G403" s="601">
        <f t="shared" si="4"/>
        <v>3.8760763217928074</v>
      </c>
      <c r="H403" s="601">
        <f t="shared" si="4"/>
        <v>2.6606242032340313</v>
      </c>
      <c r="I403" s="601">
        <f t="shared" si="4"/>
        <v>2.3266911986714978</v>
      </c>
      <c r="J403" s="601">
        <f t="shared" si="4"/>
        <v>2.5230528986705392</v>
      </c>
      <c r="K403" s="364"/>
      <c r="L403"/>
      <c r="M403"/>
      <c r="N403"/>
      <c r="O403"/>
      <c r="P403"/>
      <c r="Q403"/>
      <c r="R403"/>
      <c r="S403"/>
    </row>
    <row r="404" spans="2:19" ht="12.75" customHeight="1">
      <c r="B404" s="554"/>
      <c r="C404" s="969" t="s">
        <v>102</v>
      </c>
      <c r="D404" s="969"/>
      <c r="E404" s="969"/>
      <c r="F404" s="969"/>
      <c r="G404" s="601">
        <f t="shared" si="4"/>
        <v>0.95001870632176644</v>
      </c>
      <c r="H404" s="601">
        <f t="shared" si="4"/>
        <v>0.65211377530245851</v>
      </c>
      <c r="I404" s="601">
        <f t="shared" si="4"/>
        <v>0.5702674506547788</v>
      </c>
      <c r="J404" s="601">
        <f t="shared" si="4"/>
        <v>0.61839531830160277</v>
      </c>
      <c r="K404" s="364"/>
      <c r="L404"/>
      <c r="M404"/>
      <c r="N404"/>
      <c r="O404"/>
      <c r="P404"/>
      <c r="Q404"/>
      <c r="R404"/>
      <c r="S404"/>
    </row>
    <row r="405" spans="2:19" ht="12.75" customHeight="1">
      <c r="B405" s="554"/>
      <c r="C405" s="364"/>
      <c r="D405" s="364"/>
      <c r="E405" s="364"/>
      <c r="F405" s="364"/>
      <c r="G405" s="364"/>
      <c r="H405" s="364"/>
      <c r="I405" s="364"/>
      <c r="J405" s="364"/>
      <c r="K405" s="364"/>
      <c r="L405"/>
      <c r="M405"/>
      <c r="N405"/>
      <c r="O405"/>
      <c r="P405"/>
      <c r="Q405"/>
      <c r="R405"/>
      <c r="S405"/>
    </row>
    <row r="406" spans="2:19" ht="12.75" customHeight="1">
      <c r="B406" s="554">
        <v>8.4</v>
      </c>
      <c r="C406" s="1381" t="s">
        <v>105</v>
      </c>
      <c r="D406" s="1381"/>
      <c r="E406" s="1381"/>
      <c r="F406" s="1381"/>
      <c r="G406" s="364"/>
      <c r="H406" s="364"/>
      <c r="I406" s="364"/>
      <c r="J406" s="364"/>
      <c r="K406" s="364"/>
      <c r="L406"/>
      <c r="M406"/>
      <c r="N406"/>
      <c r="O406"/>
      <c r="P406"/>
      <c r="Q406"/>
      <c r="R406"/>
      <c r="S406"/>
    </row>
    <row r="407" spans="2:19" ht="12.75" customHeight="1">
      <c r="B407" s="554"/>
      <c r="C407" s="935" t="s">
        <v>678</v>
      </c>
      <c r="D407" s="935"/>
      <c r="E407" s="935"/>
      <c r="F407" s="935"/>
      <c r="G407" s="936" t="s">
        <v>500</v>
      </c>
      <c r="H407" s="936" t="s">
        <v>22</v>
      </c>
      <c r="I407" s="936" t="s">
        <v>579</v>
      </c>
      <c r="J407" s="936" t="s">
        <v>21</v>
      </c>
      <c r="K407" s="364"/>
      <c r="L407"/>
      <c r="M407"/>
      <c r="N407"/>
      <c r="O407"/>
      <c r="P407"/>
      <c r="Q407"/>
      <c r="R407"/>
      <c r="S407"/>
    </row>
    <row r="408" spans="2:19" ht="12.75" customHeight="1">
      <c r="B408" s="554"/>
      <c r="C408" s="935"/>
      <c r="D408" s="935"/>
      <c r="E408" s="935"/>
      <c r="F408" s="935"/>
      <c r="G408" s="936"/>
      <c r="H408" s="936"/>
      <c r="I408" s="936"/>
      <c r="J408" s="936"/>
      <c r="K408" s="364"/>
      <c r="L408"/>
      <c r="M408"/>
      <c r="N408"/>
      <c r="O408"/>
      <c r="P408"/>
      <c r="Q408"/>
      <c r="R408"/>
      <c r="S408"/>
    </row>
    <row r="409" spans="2:19" ht="12.75" customHeight="1">
      <c r="B409" s="554"/>
      <c r="C409" s="969" t="s">
        <v>101</v>
      </c>
      <c r="D409" s="969"/>
      <c r="E409" s="969"/>
      <c r="F409" s="969"/>
      <c r="G409" s="602">
        <f t="shared" ref="G409:J411" si="5">G402/$G$19</f>
        <v>3.1598448275484851E-2</v>
      </c>
      <c r="H409" s="602">
        <f t="shared" si="5"/>
        <v>2.1689871222016561E-2</v>
      </c>
      <c r="I409" s="602">
        <f t="shared" si="5"/>
        <v>1.8967591293517643E-2</v>
      </c>
      <c r="J409" s="602">
        <f t="shared" si="5"/>
        <v>2.0568366021770704E-2</v>
      </c>
      <c r="K409" s="364"/>
      <c r="L409"/>
      <c r="M409"/>
      <c r="N409"/>
      <c r="O409"/>
      <c r="P409"/>
      <c r="Q409"/>
      <c r="R409"/>
      <c r="S409"/>
    </row>
    <row r="410" spans="2:19" ht="12.75" customHeight="1">
      <c r="B410" s="554"/>
      <c r="C410" s="969" t="s">
        <v>103</v>
      </c>
      <c r="D410" s="969"/>
      <c r="E410" s="969"/>
      <c r="F410" s="969"/>
      <c r="G410" s="602">
        <f t="shared" si="5"/>
        <v>0.1685250574692525</v>
      </c>
      <c r="H410" s="602">
        <f t="shared" si="5"/>
        <v>0.11567931318408832</v>
      </c>
      <c r="I410" s="602">
        <f t="shared" si="5"/>
        <v>0.10116048689876077</v>
      </c>
      <c r="J410" s="602">
        <f t="shared" si="5"/>
        <v>0.1096979521161104</v>
      </c>
      <c r="K410" s="364"/>
      <c r="L410"/>
      <c r="M410"/>
      <c r="N410"/>
      <c r="O410"/>
      <c r="P410"/>
      <c r="Q410"/>
      <c r="R410"/>
      <c r="S410"/>
    </row>
    <row r="411" spans="2:19" ht="12.75" customHeight="1">
      <c r="B411" s="554"/>
      <c r="C411" s="969" t="s">
        <v>102</v>
      </c>
      <c r="D411" s="969"/>
      <c r="E411" s="969"/>
      <c r="F411" s="969"/>
      <c r="G411" s="602">
        <f t="shared" si="5"/>
        <v>4.1305161144424625E-2</v>
      </c>
      <c r="H411" s="602">
        <f t="shared" si="5"/>
        <v>2.8352772839237327E-2</v>
      </c>
      <c r="I411" s="602">
        <f t="shared" si="5"/>
        <v>2.4794236984990382E-2</v>
      </c>
      <c r="J411" s="602">
        <f t="shared" si="5"/>
        <v>2.6886752969634903E-2</v>
      </c>
      <c r="K411" s="364"/>
      <c r="L411"/>
      <c r="M411"/>
      <c r="N411"/>
      <c r="O411"/>
      <c r="P411"/>
      <c r="Q411"/>
      <c r="R411"/>
      <c r="S411"/>
    </row>
    <row r="412" spans="2:19" ht="12.75" customHeight="1">
      <c r="B412" s="554"/>
      <c r="C412" s="364"/>
      <c r="D412" s="364"/>
      <c r="E412" s="364"/>
      <c r="F412" s="364"/>
      <c r="G412" s="364"/>
      <c r="H412" s="364"/>
      <c r="I412" s="364"/>
      <c r="J412" s="364"/>
      <c r="K412" s="364"/>
      <c r="L412"/>
      <c r="M412"/>
      <c r="N412"/>
      <c r="O412"/>
      <c r="P412"/>
      <c r="Q412"/>
      <c r="R412"/>
      <c r="S412"/>
    </row>
    <row r="413" spans="2:19" ht="12.75" customHeight="1">
      <c r="B413" s="554"/>
      <c r="C413" s="364"/>
      <c r="D413" s="364"/>
      <c r="E413" s="364"/>
      <c r="F413" s="364"/>
      <c r="G413" s="364"/>
      <c r="H413" s="364"/>
      <c r="I413" s="364"/>
      <c r="J413" s="364"/>
      <c r="K413" s="364"/>
      <c r="L413"/>
      <c r="M413"/>
      <c r="N413"/>
      <c r="O413"/>
      <c r="P413"/>
      <c r="Q413"/>
      <c r="R413"/>
      <c r="S413"/>
    </row>
    <row r="414" spans="2:19" ht="12.75" customHeight="1">
      <c r="B414" s="527"/>
      <c r="C414" s="527"/>
      <c r="D414" s="527"/>
      <c r="E414" s="527"/>
      <c r="F414" s="527"/>
      <c r="G414" s="527"/>
      <c r="H414" s="527"/>
      <c r="I414" s="527"/>
      <c r="J414" s="527"/>
      <c r="K414" s="527"/>
      <c r="L414" s="10"/>
      <c r="M414" s="10"/>
      <c r="N414" s="10"/>
      <c r="O414" s="10"/>
      <c r="P414" s="10"/>
      <c r="Q414" s="10"/>
      <c r="R414" s="10"/>
      <c r="S414"/>
    </row>
    <row r="415" spans="2:19" ht="12.75" customHeight="1">
      <c r="B415" s="603"/>
      <c r="C415" s="370"/>
      <c r="D415" s="370"/>
      <c r="E415" s="370"/>
      <c r="F415" s="370"/>
      <c r="G415" s="370"/>
      <c r="H415" s="370"/>
      <c r="I415" s="370"/>
      <c r="J415" s="370"/>
      <c r="K415" s="370"/>
      <c r="L415" s="108"/>
      <c r="M415" s="10"/>
      <c r="N415" s="10"/>
      <c r="O415" s="10"/>
      <c r="P415" s="10"/>
      <c r="Q415" s="10"/>
      <c r="R415" s="10"/>
      <c r="S415"/>
    </row>
    <row r="416" spans="2:19" ht="12.75" customHeight="1">
      <c r="B416" s="370"/>
      <c r="C416" s="370"/>
      <c r="D416" s="370"/>
      <c r="E416" s="370"/>
      <c r="F416" s="370"/>
      <c r="G416" s="370"/>
      <c r="H416" s="370"/>
      <c r="I416" s="370"/>
      <c r="J416" s="370"/>
      <c r="K416" s="370"/>
      <c r="L416" s="108"/>
      <c r="M416" s="10"/>
      <c r="N416" s="10"/>
      <c r="O416" s="10"/>
      <c r="P416" s="10"/>
      <c r="Q416" s="10"/>
      <c r="R416" s="10"/>
      <c r="S416"/>
    </row>
    <row r="417" spans="2:19" ht="12.75" customHeight="1">
      <c r="B417" s="370"/>
      <c r="C417" s="370"/>
      <c r="D417" s="370"/>
      <c r="E417" s="370"/>
      <c r="F417" s="370"/>
      <c r="G417" s="370"/>
      <c r="H417" s="370"/>
      <c r="I417" s="370"/>
      <c r="J417" s="370"/>
      <c r="K417" s="370"/>
      <c r="L417" s="108"/>
      <c r="M417" s="10"/>
      <c r="N417" s="10"/>
      <c r="O417" s="10"/>
      <c r="P417" s="10"/>
      <c r="Q417" s="10"/>
      <c r="R417" s="10"/>
      <c r="S417"/>
    </row>
    <row r="418" spans="2:19" ht="12.75" customHeight="1">
      <c r="B418" s="554"/>
      <c r="C418" s="364"/>
      <c r="D418" s="364"/>
      <c r="E418" s="364"/>
      <c r="F418" s="364"/>
      <c r="G418" s="364"/>
      <c r="H418" s="364"/>
      <c r="I418" s="364"/>
      <c r="J418" s="364"/>
      <c r="K418" s="364"/>
      <c r="L418"/>
      <c r="M418"/>
      <c r="N418"/>
      <c r="O418"/>
      <c r="P418"/>
      <c r="Q418"/>
      <c r="R418"/>
      <c r="S418"/>
    </row>
    <row r="419" spans="2:19" ht="12.75" customHeight="1">
      <c r="B419" s="510"/>
      <c r="C419" s="23"/>
      <c r="D419" s="23"/>
      <c r="E419" s="23"/>
      <c r="F419" s="23"/>
      <c r="G419" s="23"/>
      <c r="H419" s="23"/>
      <c r="I419" s="23"/>
      <c r="J419" s="23"/>
      <c r="K419" s="23"/>
      <c r="L419"/>
      <c r="M419"/>
      <c r="N419"/>
      <c r="O419"/>
      <c r="P419"/>
      <c r="Q419"/>
      <c r="R419"/>
      <c r="S419"/>
    </row>
    <row r="420" spans="2:19" ht="12.75" customHeight="1">
      <c r="B420" s="510"/>
      <c r="C420" s="23"/>
      <c r="D420" s="23"/>
      <c r="E420" s="23"/>
      <c r="F420" s="23"/>
      <c r="G420" s="23"/>
      <c r="H420" s="23"/>
      <c r="I420" s="23"/>
      <c r="J420" s="23"/>
      <c r="K420" s="23"/>
      <c r="L420"/>
      <c r="M420"/>
      <c r="N420"/>
      <c r="O420"/>
      <c r="P420"/>
      <c r="Q420"/>
      <c r="R420"/>
      <c r="S420"/>
    </row>
    <row r="421" spans="2:19" ht="12.75" customHeight="1">
      <c r="B421" s="510"/>
      <c r="C421" s="23"/>
      <c r="D421" s="23"/>
      <c r="E421" s="23"/>
      <c r="F421" s="23"/>
      <c r="G421" s="23"/>
      <c r="H421" s="23"/>
      <c r="I421" s="23"/>
      <c r="J421" s="23"/>
      <c r="K421" s="23"/>
      <c r="L421"/>
      <c r="M421"/>
      <c r="N421"/>
      <c r="O421"/>
      <c r="P421"/>
      <c r="Q421"/>
      <c r="R421"/>
      <c r="S421"/>
    </row>
    <row r="422" spans="2:19" ht="12.75" customHeight="1">
      <c r="B422" s="510"/>
      <c r="C422" s="23"/>
      <c r="D422" s="23"/>
      <c r="E422" s="23"/>
      <c r="F422" s="23"/>
      <c r="G422" s="23"/>
      <c r="H422" s="23"/>
      <c r="I422" s="23"/>
      <c r="J422" s="23"/>
      <c r="K422" s="23"/>
      <c r="L422"/>
      <c r="M422"/>
      <c r="N422"/>
      <c r="O422"/>
      <c r="P422"/>
      <c r="Q422"/>
      <c r="R422"/>
      <c r="S422"/>
    </row>
    <row r="423" spans="2:19" ht="12.75" customHeight="1">
      <c r="B423" s="510"/>
      <c r="C423" s="23"/>
      <c r="D423" s="23"/>
      <c r="E423" s="23"/>
      <c r="F423" s="23"/>
      <c r="G423" s="23"/>
      <c r="H423" s="23"/>
      <c r="I423" s="23"/>
      <c r="J423" s="23"/>
      <c r="K423" s="23"/>
      <c r="L423"/>
      <c r="M423"/>
      <c r="N423"/>
      <c r="O423"/>
      <c r="P423"/>
      <c r="Q423"/>
      <c r="R423"/>
      <c r="S423"/>
    </row>
    <row r="424" spans="2:19" ht="12.75" customHeight="1">
      <c r="B424" s="510"/>
      <c r="C424" s="23"/>
      <c r="D424" s="23"/>
      <c r="E424" s="23"/>
      <c r="F424" s="23"/>
      <c r="G424" s="23"/>
      <c r="H424" s="23"/>
      <c r="I424" s="23"/>
      <c r="J424" s="23"/>
      <c r="K424" s="23"/>
      <c r="L424"/>
      <c r="M424"/>
      <c r="N424"/>
      <c r="O424"/>
      <c r="P424"/>
      <c r="Q424"/>
      <c r="R424"/>
      <c r="S424"/>
    </row>
    <row r="425" spans="2:19" ht="12.75" customHeight="1">
      <c r="B425" s="510"/>
      <c r="C425" s="23"/>
      <c r="D425" s="23"/>
      <c r="E425" s="23"/>
      <c r="F425" s="23"/>
      <c r="G425" s="23"/>
      <c r="H425" s="23"/>
      <c r="I425" s="23"/>
      <c r="J425" s="23"/>
      <c r="K425" s="23"/>
      <c r="L425"/>
      <c r="M425"/>
      <c r="N425"/>
      <c r="O425"/>
      <c r="P425"/>
      <c r="Q425"/>
      <c r="R425"/>
      <c r="S425"/>
    </row>
    <row r="426" spans="2:19" ht="12.75" customHeight="1">
      <c r="B426" s="510"/>
      <c r="C426" s="23"/>
      <c r="D426" s="23"/>
      <c r="E426" s="23"/>
      <c r="F426" s="23"/>
      <c r="G426" s="23"/>
      <c r="H426" s="23"/>
      <c r="I426" s="23"/>
      <c r="J426" s="23"/>
      <c r="K426" s="23"/>
      <c r="L426"/>
      <c r="M426"/>
      <c r="N426"/>
      <c r="O426"/>
      <c r="P426"/>
      <c r="Q426"/>
      <c r="R426"/>
      <c r="S426"/>
    </row>
    <row r="427" spans="2:19" ht="12.75" customHeight="1">
      <c r="B427" s="510"/>
      <c r="C427" s="23"/>
      <c r="D427" s="23"/>
      <c r="E427" s="23"/>
      <c r="F427" s="23"/>
      <c r="G427" s="23"/>
      <c r="H427" s="23"/>
      <c r="I427" s="23"/>
      <c r="J427" s="23"/>
      <c r="K427" s="23"/>
      <c r="L427"/>
      <c r="M427"/>
      <c r="N427"/>
      <c r="O427"/>
      <c r="P427"/>
      <c r="Q427"/>
      <c r="R427"/>
      <c r="S427"/>
    </row>
    <row r="428" spans="2:19" ht="12.75" customHeight="1">
      <c r="B428" s="510"/>
      <c r="C428" s="23"/>
      <c r="D428" s="23"/>
      <c r="E428" s="23"/>
      <c r="F428" s="23"/>
      <c r="G428" s="23"/>
      <c r="H428" s="23"/>
      <c r="I428" s="23"/>
      <c r="J428" s="23"/>
      <c r="K428" s="23"/>
      <c r="L428"/>
      <c r="M428"/>
      <c r="N428"/>
      <c r="O428"/>
      <c r="P428"/>
      <c r="Q428"/>
      <c r="R428"/>
      <c r="S428"/>
    </row>
    <row r="429" spans="2:19" ht="12.75" customHeight="1">
      <c r="B429" s="510"/>
      <c r="C429" s="23"/>
      <c r="D429" s="23"/>
      <c r="E429" s="23"/>
      <c r="F429" s="23"/>
      <c r="G429" s="23"/>
      <c r="H429" s="23"/>
      <c r="I429" s="23"/>
      <c r="J429" s="23"/>
      <c r="K429" s="23"/>
      <c r="L429"/>
      <c r="M429"/>
      <c r="N429"/>
      <c r="O429"/>
      <c r="P429"/>
      <c r="Q429"/>
      <c r="R429"/>
      <c r="S429"/>
    </row>
    <row r="430" spans="2:19" ht="12.75" customHeight="1">
      <c r="B430" s="510"/>
      <c r="C430" s="23"/>
      <c r="D430" s="23"/>
      <c r="E430" s="23"/>
      <c r="F430" s="23"/>
      <c r="G430" s="23"/>
      <c r="H430" s="23"/>
      <c r="I430" s="23"/>
      <c r="J430" s="23"/>
      <c r="K430" s="23"/>
      <c r="L430"/>
      <c r="M430"/>
      <c r="N430"/>
      <c r="O430"/>
      <c r="P430"/>
      <c r="Q430"/>
      <c r="R430"/>
      <c r="S430"/>
    </row>
    <row r="431" spans="2:19" ht="12.75" customHeight="1">
      <c r="B431" s="510"/>
      <c r="C431" s="23"/>
      <c r="D431" s="23"/>
      <c r="E431" s="23"/>
      <c r="F431" s="23"/>
      <c r="G431" s="23"/>
      <c r="H431" s="23"/>
      <c r="I431" s="23"/>
      <c r="J431" s="23"/>
      <c r="K431" s="23"/>
      <c r="L431"/>
      <c r="M431"/>
      <c r="N431"/>
      <c r="O431"/>
      <c r="P431"/>
      <c r="Q431"/>
      <c r="R431"/>
      <c r="S431"/>
    </row>
    <row r="432" spans="2:19" ht="12.75" customHeight="1">
      <c r="B432" s="510"/>
      <c r="C432" s="23"/>
      <c r="D432" s="23"/>
      <c r="E432" s="23"/>
      <c r="F432" s="23"/>
      <c r="G432" s="23"/>
      <c r="H432" s="23"/>
      <c r="I432" s="23"/>
      <c r="J432" s="23"/>
      <c r="K432" s="23"/>
      <c r="L432"/>
      <c r="M432"/>
      <c r="N432"/>
      <c r="O432"/>
      <c r="P432"/>
      <c r="Q432"/>
      <c r="R432"/>
      <c r="S432"/>
    </row>
    <row r="433" spans="2:19" ht="12.75" customHeight="1">
      <c r="B433" s="510"/>
      <c r="C433" s="23"/>
      <c r="D433" s="23"/>
      <c r="E433" s="23"/>
      <c r="F433" s="23"/>
      <c r="G433" s="23"/>
      <c r="H433" s="23"/>
      <c r="I433" s="23"/>
      <c r="J433" s="23"/>
      <c r="K433" s="23"/>
      <c r="L433"/>
      <c r="M433"/>
      <c r="N433"/>
      <c r="O433"/>
      <c r="P433"/>
      <c r="Q433"/>
      <c r="R433"/>
      <c r="S433"/>
    </row>
    <row r="434" spans="2:19" ht="12.75" customHeight="1">
      <c r="B434" s="510"/>
      <c r="C434" s="23"/>
      <c r="D434" s="23"/>
      <c r="E434" s="23"/>
      <c r="F434" s="23"/>
      <c r="G434" s="23"/>
      <c r="H434" s="23"/>
      <c r="I434" s="23"/>
      <c r="J434" s="23"/>
      <c r="K434" s="23"/>
      <c r="L434"/>
      <c r="M434"/>
      <c r="N434"/>
      <c r="O434"/>
      <c r="P434"/>
      <c r="Q434"/>
      <c r="R434"/>
      <c r="S434"/>
    </row>
    <row r="435" spans="2:19" ht="12.75" customHeight="1">
      <c r="B435" s="510"/>
      <c r="C435" s="23"/>
      <c r="D435" s="23"/>
      <c r="E435" s="23"/>
      <c r="F435" s="23"/>
      <c r="G435" s="23"/>
      <c r="H435" s="23"/>
      <c r="I435" s="23"/>
      <c r="J435" s="23"/>
      <c r="K435" s="23"/>
      <c r="L435"/>
      <c r="M435"/>
      <c r="N435"/>
      <c r="O435"/>
      <c r="P435"/>
      <c r="Q435"/>
      <c r="R435"/>
      <c r="S435"/>
    </row>
    <row r="436" spans="2:19" ht="12.75" customHeight="1">
      <c r="B436" s="510"/>
      <c r="C436" s="23"/>
      <c r="D436" s="23"/>
      <c r="E436" s="23"/>
      <c r="F436" s="23"/>
      <c r="G436" s="23"/>
      <c r="H436" s="23"/>
      <c r="I436" s="23"/>
      <c r="J436" s="23"/>
      <c r="K436" s="23"/>
      <c r="L436"/>
      <c r="M436"/>
      <c r="N436"/>
      <c r="O436"/>
      <c r="P436"/>
      <c r="Q436"/>
      <c r="R436"/>
      <c r="S436"/>
    </row>
    <row r="437" spans="2:19" ht="12.75" customHeight="1">
      <c r="B437" s="510"/>
      <c r="C437" s="23"/>
      <c r="D437" s="23"/>
      <c r="E437" s="23"/>
      <c r="F437" s="23"/>
      <c r="G437" s="23"/>
      <c r="H437" s="23"/>
      <c r="I437" s="23"/>
      <c r="J437" s="23"/>
      <c r="K437" s="23"/>
      <c r="L437"/>
      <c r="M437"/>
      <c r="N437"/>
      <c r="O437"/>
      <c r="P437"/>
      <c r="Q437"/>
      <c r="R437"/>
      <c r="S437"/>
    </row>
    <row r="438" spans="2:19" ht="12.75" customHeight="1">
      <c r="B438" s="510"/>
      <c r="C438" s="23"/>
      <c r="D438" s="23"/>
      <c r="E438" s="23"/>
      <c r="F438" s="23"/>
      <c r="G438" s="23"/>
      <c r="H438" s="23"/>
      <c r="I438" s="23"/>
      <c r="J438" s="23"/>
      <c r="K438" s="23"/>
      <c r="L438"/>
      <c r="M438"/>
      <c r="N438"/>
      <c r="O438"/>
      <c r="P438"/>
      <c r="Q438"/>
      <c r="R438"/>
      <c r="S438"/>
    </row>
    <row r="439" spans="2:19" ht="12.75" customHeight="1">
      <c r="B439" s="510"/>
      <c r="C439" s="23"/>
      <c r="D439" s="23"/>
      <c r="E439" s="23"/>
      <c r="F439" s="23"/>
      <c r="G439" s="23"/>
      <c r="H439" s="23"/>
      <c r="I439" s="23"/>
      <c r="J439" s="23"/>
      <c r="K439" s="23"/>
      <c r="L439"/>
      <c r="M439"/>
      <c r="N439"/>
      <c r="O439"/>
      <c r="P439"/>
      <c r="Q439"/>
      <c r="R439"/>
      <c r="S439"/>
    </row>
    <row r="440" spans="2:19" ht="12.75" customHeight="1">
      <c r="B440" s="510"/>
      <c r="C440" s="23"/>
      <c r="D440" s="23"/>
      <c r="E440" s="23"/>
      <c r="F440" s="23"/>
      <c r="G440" s="23"/>
      <c r="H440" s="23"/>
      <c r="I440" s="23"/>
      <c r="J440" s="23"/>
      <c r="K440" s="23"/>
      <c r="L440"/>
      <c r="M440"/>
      <c r="N440"/>
      <c r="O440"/>
      <c r="P440"/>
      <c r="Q440"/>
      <c r="R440"/>
      <c r="S440"/>
    </row>
    <row r="441" spans="2:19" ht="12.75" customHeight="1">
      <c r="B441" s="510"/>
      <c r="C441" s="23"/>
      <c r="D441" s="23"/>
      <c r="E441" s="23"/>
      <c r="F441" s="23"/>
      <c r="G441" s="23"/>
      <c r="H441" s="23"/>
      <c r="I441" s="23"/>
      <c r="J441" s="23"/>
      <c r="K441" s="23"/>
      <c r="L441"/>
      <c r="M441"/>
      <c r="N441"/>
      <c r="O441"/>
      <c r="P441"/>
      <c r="Q441"/>
      <c r="R441"/>
      <c r="S441"/>
    </row>
    <row r="442" spans="2:19" ht="12.75" customHeight="1">
      <c r="B442" s="510"/>
      <c r="C442" s="23"/>
      <c r="D442" s="23"/>
      <c r="E442" s="23"/>
      <c r="F442" s="23"/>
      <c r="G442" s="23"/>
      <c r="H442" s="23"/>
      <c r="I442" s="23"/>
      <c r="J442" s="23"/>
      <c r="K442" s="23"/>
      <c r="L442"/>
      <c r="M442"/>
      <c r="N442"/>
      <c r="O442"/>
      <c r="P442"/>
      <c r="Q442"/>
      <c r="R442"/>
      <c r="S442"/>
    </row>
    <row r="443" spans="2:19" ht="12.75" customHeight="1">
      <c r="B443" s="510"/>
      <c r="C443" s="23"/>
      <c r="D443" s="23"/>
      <c r="E443" s="23"/>
      <c r="F443" s="23"/>
      <c r="G443" s="23"/>
      <c r="H443" s="23"/>
      <c r="I443" s="23"/>
      <c r="J443" s="23"/>
      <c r="K443" s="23"/>
      <c r="L443"/>
      <c r="M443"/>
      <c r="N443"/>
      <c r="O443"/>
      <c r="P443"/>
      <c r="Q443"/>
      <c r="R443"/>
      <c r="S443"/>
    </row>
    <row r="444" spans="2:19" ht="12.75" customHeight="1">
      <c r="B444" s="510"/>
      <c r="C444" s="23"/>
      <c r="D444" s="23"/>
      <c r="E444" s="23"/>
      <c r="F444" s="23"/>
      <c r="G444" s="23"/>
      <c r="H444" s="23"/>
      <c r="I444" s="23"/>
      <c r="J444" s="23"/>
      <c r="K444" s="23"/>
      <c r="L444"/>
      <c r="M444"/>
      <c r="N444"/>
      <c r="O444"/>
      <c r="P444"/>
      <c r="Q444"/>
      <c r="R444"/>
      <c r="S444"/>
    </row>
    <row r="445" spans="2:19" ht="12.75" customHeight="1">
      <c r="B445" s="510"/>
      <c r="C445" s="23"/>
      <c r="D445" s="23"/>
      <c r="E445" s="23"/>
      <c r="F445" s="23"/>
      <c r="G445" s="23"/>
      <c r="H445" s="23"/>
      <c r="I445" s="23"/>
      <c r="J445" s="23"/>
      <c r="K445" s="23"/>
      <c r="L445"/>
      <c r="M445"/>
      <c r="N445"/>
      <c r="O445"/>
      <c r="P445"/>
      <c r="Q445"/>
      <c r="R445"/>
      <c r="S445"/>
    </row>
    <row r="446" spans="2:19" ht="12.75" customHeight="1">
      <c r="B446" s="510"/>
      <c r="C446" s="23"/>
      <c r="D446" s="23"/>
      <c r="E446" s="23"/>
      <c r="F446" s="23"/>
      <c r="G446" s="23"/>
      <c r="H446" s="23"/>
      <c r="I446" s="23"/>
      <c r="J446" s="23"/>
      <c r="K446" s="23"/>
      <c r="L446"/>
      <c r="M446"/>
      <c r="N446"/>
      <c r="O446"/>
      <c r="P446"/>
      <c r="Q446"/>
      <c r="R446"/>
      <c r="S446"/>
    </row>
    <row r="447" spans="2:19" ht="12.75" customHeight="1">
      <c r="B447" s="510"/>
      <c r="C447" s="23"/>
      <c r="D447" s="23"/>
      <c r="E447" s="23"/>
      <c r="F447" s="23"/>
      <c r="G447" s="23"/>
      <c r="H447" s="23"/>
      <c r="I447" s="23"/>
      <c r="J447" s="23"/>
      <c r="K447" s="23"/>
      <c r="L447"/>
      <c r="M447"/>
      <c r="N447"/>
      <c r="O447"/>
      <c r="P447"/>
      <c r="Q447"/>
      <c r="R447"/>
      <c r="S447"/>
    </row>
    <row r="448" spans="2:19" ht="12.75" customHeight="1">
      <c r="B448" s="510"/>
      <c r="C448" s="23"/>
      <c r="D448" s="23"/>
      <c r="E448" s="23"/>
      <c r="F448" s="23"/>
      <c r="G448" s="23"/>
      <c r="H448" s="23"/>
      <c r="I448" s="23"/>
      <c r="J448" s="23"/>
      <c r="K448" s="23"/>
      <c r="L448"/>
      <c r="M448"/>
      <c r="N448"/>
      <c r="O448"/>
      <c r="P448"/>
      <c r="Q448"/>
      <c r="R448"/>
      <c r="S448"/>
    </row>
    <row r="449" spans="2:19" ht="12.75" customHeight="1">
      <c r="B449" s="510"/>
      <c r="C449" s="23"/>
      <c r="D449" s="23"/>
      <c r="E449" s="23"/>
      <c r="F449" s="23"/>
      <c r="G449" s="23"/>
      <c r="H449" s="23"/>
      <c r="I449" s="23"/>
      <c r="J449" s="23"/>
      <c r="K449" s="23"/>
      <c r="L449"/>
      <c r="M449"/>
      <c r="N449"/>
      <c r="O449"/>
      <c r="P449"/>
      <c r="Q449"/>
      <c r="R449"/>
      <c r="S449"/>
    </row>
    <row r="450" spans="2:19" ht="12.75" customHeight="1">
      <c r="B450" s="510"/>
      <c r="C450" s="23"/>
      <c r="D450" s="23"/>
      <c r="E450" s="23"/>
      <c r="F450" s="23"/>
      <c r="G450" s="23"/>
      <c r="H450" s="23"/>
      <c r="I450" s="23"/>
      <c r="J450" s="23"/>
      <c r="K450" s="23"/>
      <c r="L450"/>
      <c r="M450"/>
      <c r="N450"/>
      <c r="O450"/>
      <c r="P450"/>
      <c r="Q450"/>
      <c r="R450"/>
      <c r="S450"/>
    </row>
    <row r="451" spans="2:19" ht="12.75" customHeight="1">
      <c r="B451" s="510"/>
      <c r="C451" s="23"/>
      <c r="D451" s="23"/>
      <c r="E451" s="23"/>
      <c r="F451" s="23"/>
      <c r="G451" s="23"/>
      <c r="H451" s="23"/>
      <c r="I451" s="23"/>
      <c r="J451" s="23"/>
      <c r="K451" s="23"/>
      <c r="L451"/>
      <c r="M451"/>
      <c r="N451"/>
      <c r="O451"/>
      <c r="P451"/>
      <c r="Q451"/>
      <c r="R451"/>
      <c r="S451"/>
    </row>
    <row r="452" spans="2:19" ht="12.75" customHeight="1">
      <c r="B452" s="510"/>
      <c r="C452" s="23"/>
      <c r="D452" s="23"/>
      <c r="E452" s="23"/>
      <c r="F452" s="23"/>
      <c r="G452" s="23"/>
      <c r="H452" s="23"/>
      <c r="I452" s="23"/>
      <c r="J452" s="23"/>
      <c r="K452" s="23"/>
      <c r="L452"/>
      <c r="M452"/>
      <c r="N452"/>
      <c r="O452"/>
      <c r="P452"/>
      <c r="Q452"/>
      <c r="R452"/>
      <c r="S452"/>
    </row>
    <row r="453" spans="2:19" ht="12.75" customHeight="1">
      <c r="B453" s="510"/>
      <c r="C453" s="23"/>
      <c r="D453" s="23"/>
      <c r="E453" s="23"/>
      <c r="F453" s="23"/>
      <c r="G453" s="23"/>
      <c r="H453" s="23"/>
      <c r="I453" s="23"/>
      <c r="J453" s="23"/>
      <c r="K453" s="23"/>
      <c r="L453"/>
      <c r="M453"/>
      <c r="N453"/>
      <c r="O453"/>
      <c r="P453"/>
      <c r="Q453"/>
      <c r="R453"/>
      <c r="S453"/>
    </row>
    <row r="454" spans="2:19" ht="12.75" customHeight="1">
      <c r="B454" s="510"/>
      <c r="C454" s="23"/>
      <c r="D454" s="23"/>
      <c r="E454" s="23"/>
      <c r="F454" s="23"/>
      <c r="G454" s="23"/>
      <c r="H454" s="23"/>
      <c r="I454" s="23"/>
      <c r="J454" s="23"/>
      <c r="K454" s="23"/>
      <c r="L454"/>
      <c r="M454"/>
      <c r="N454"/>
      <c r="O454"/>
      <c r="P454"/>
      <c r="Q454"/>
      <c r="R454"/>
      <c r="S454"/>
    </row>
    <row r="455" spans="2:19" ht="12.75" customHeight="1">
      <c r="B455" s="510"/>
      <c r="C455" s="23"/>
      <c r="D455" s="23"/>
      <c r="E455" s="23"/>
      <c r="F455" s="23"/>
      <c r="G455" s="23"/>
      <c r="H455" s="23"/>
      <c r="I455" s="23"/>
      <c r="J455" s="23"/>
      <c r="K455" s="23"/>
      <c r="L455"/>
      <c r="M455"/>
      <c r="N455"/>
      <c r="O455"/>
      <c r="P455"/>
      <c r="Q455"/>
      <c r="R455"/>
      <c r="S455"/>
    </row>
    <row r="456" spans="2:19" ht="12.75" customHeight="1">
      <c r="B456" s="510"/>
      <c r="C456" s="23"/>
      <c r="D456" s="23"/>
      <c r="E456" s="23"/>
      <c r="F456" s="23"/>
      <c r="G456" s="23"/>
      <c r="H456" s="23"/>
      <c r="I456" s="23"/>
      <c r="J456" s="23"/>
      <c r="K456" s="23"/>
      <c r="L456"/>
      <c r="M456"/>
      <c r="N456"/>
      <c r="O456"/>
      <c r="P456"/>
      <c r="Q456"/>
      <c r="R456"/>
      <c r="S456"/>
    </row>
    <row r="457" spans="2:19" ht="12.75" customHeight="1">
      <c r="B457" s="510"/>
      <c r="C457" s="23"/>
      <c r="D457" s="23"/>
      <c r="E457" s="23"/>
      <c r="F457" s="23"/>
      <c r="G457" s="23"/>
      <c r="H457" s="23"/>
      <c r="I457" s="23"/>
      <c r="J457" s="23"/>
      <c r="K457" s="23"/>
      <c r="L457"/>
      <c r="M457"/>
      <c r="N457"/>
      <c r="O457"/>
      <c r="P457"/>
      <c r="Q457"/>
      <c r="R457"/>
      <c r="S457"/>
    </row>
    <row r="458" spans="2:19" ht="12.75" customHeight="1">
      <c r="B458" s="510"/>
      <c r="C458" s="23"/>
      <c r="D458" s="23"/>
      <c r="E458" s="23"/>
      <c r="F458" s="23"/>
      <c r="G458" s="23"/>
      <c r="H458" s="23"/>
      <c r="I458" s="23"/>
      <c r="J458" s="23"/>
      <c r="K458" s="23"/>
      <c r="L458"/>
      <c r="M458"/>
      <c r="N458"/>
      <c r="O458"/>
      <c r="P458"/>
      <c r="Q458"/>
      <c r="R458"/>
      <c r="S458"/>
    </row>
    <row r="459" spans="2:19" ht="12.75" customHeight="1">
      <c r="B459" s="510"/>
      <c r="C459" s="23"/>
      <c r="D459" s="23"/>
      <c r="E459" s="23"/>
      <c r="F459" s="23"/>
      <c r="G459" s="23"/>
      <c r="H459" s="23"/>
      <c r="I459" s="23"/>
      <c r="J459" s="23"/>
      <c r="K459" s="23"/>
      <c r="L459"/>
      <c r="M459"/>
      <c r="N459"/>
      <c r="O459"/>
      <c r="P459"/>
      <c r="Q459"/>
      <c r="R459"/>
      <c r="S459"/>
    </row>
    <row r="460" spans="2:19" ht="12.75" customHeight="1">
      <c r="B460" s="510"/>
      <c r="C460" s="23"/>
      <c r="D460" s="23"/>
      <c r="E460" s="23"/>
      <c r="F460" s="23"/>
      <c r="G460" s="23"/>
      <c r="H460" s="23"/>
      <c r="I460" s="23"/>
      <c r="J460" s="23"/>
      <c r="K460" s="23"/>
      <c r="L460"/>
      <c r="M460"/>
      <c r="N460"/>
      <c r="O460"/>
      <c r="P460"/>
      <c r="Q460"/>
      <c r="R460"/>
      <c r="S460"/>
    </row>
    <row r="461" spans="2:19" ht="12.75" customHeight="1">
      <c r="B461" s="510"/>
      <c r="C461" s="23"/>
      <c r="D461" s="23"/>
      <c r="E461" s="23"/>
      <c r="F461" s="23"/>
      <c r="G461" s="23"/>
      <c r="H461" s="23"/>
      <c r="I461" s="23"/>
      <c r="J461" s="23"/>
      <c r="K461" s="23"/>
      <c r="L461"/>
      <c r="M461"/>
      <c r="N461"/>
      <c r="O461"/>
      <c r="P461"/>
      <c r="Q461"/>
      <c r="R461"/>
      <c r="S461"/>
    </row>
    <row r="462" spans="2:19" ht="12.75" customHeight="1">
      <c r="B462" s="510"/>
      <c r="C462" s="23"/>
      <c r="D462" s="23"/>
      <c r="E462" s="23"/>
      <c r="F462" s="23"/>
      <c r="G462" s="23"/>
      <c r="H462" s="23"/>
      <c r="I462" s="23"/>
      <c r="J462" s="23"/>
      <c r="K462" s="23"/>
      <c r="L462"/>
      <c r="M462"/>
      <c r="N462"/>
      <c r="O462"/>
      <c r="P462"/>
      <c r="Q462"/>
      <c r="R462"/>
      <c r="S462"/>
    </row>
    <row r="463" spans="2:19" ht="12.75" customHeight="1">
      <c r="B463" s="510"/>
      <c r="C463" s="23"/>
      <c r="D463" s="23"/>
      <c r="E463" s="23"/>
      <c r="F463" s="23"/>
      <c r="G463" s="23"/>
      <c r="H463" s="23"/>
      <c r="I463" s="23"/>
      <c r="J463" s="23"/>
      <c r="K463" s="23"/>
      <c r="L463"/>
      <c r="M463"/>
      <c r="N463"/>
      <c r="O463"/>
      <c r="P463"/>
      <c r="Q463"/>
      <c r="R463"/>
      <c r="S463"/>
    </row>
    <row r="464" spans="2:19" ht="12.75" customHeight="1">
      <c r="B464" s="510"/>
      <c r="C464" s="23"/>
      <c r="D464" s="23"/>
      <c r="E464" s="23"/>
      <c r="F464" s="23"/>
      <c r="G464" s="23"/>
      <c r="H464" s="23"/>
      <c r="I464" s="23"/>
      <c r="J464" s="23"/>
      <c r="K464" s="23"/>
      <c r="L464"/>
      <c r="M464"/>
      <c r="N464"/>
      <c r="O464"/>
      <c r="P464"/>
      <c r="Q464"/>
      <c r="R464"/>
      <c r="S464"/>
    </row>
    <row r="465" spans="2:19" ht="12.75" customHeight="1">
      <c r="B465" s="510"/>
      <c r="C465" s="23"/>
      <c r="D465" s="23"/>
      <c r="E465" s="23"/>
      <c r="F465" s="23"/>
      <c r="G465" s="23"/>
      <c r="H465" s="23"/>
      <c r="I465" s="23"/>
      <c r="J465" s="23"/>
      <c r="K465" s="23"/>
      <c r="L465"/>
      <c r="M465"/>
      <c r="N465"/>
      <c r="O465"/>
      <c r="P465"/>
      <c r="Q465"/>
      <c r="R465"/>
      <c r="S465"/>
    </row>
    <row r="466" spans="2:19" ht="12.75" customHeight="1">
      <c r="B466" s="510"/>
      <c r="C466" s="23"/>
      <c r="D466" s="23"/>
      <c r="E466" s="23"/>
      <c r="F466" s="23"/>
      <c r="G466" s="23"/>
      <c r="H466" s="23"/>
      <c r="I466" s="23"/>
      <c r="J466" s="23"/>
      <c r="K466" s="23"/>
      <c r="L466"/>
      <c r="M466"/>
      <c r="N466"/>
      <c r="O466"/>
      <c r="P466"/>
      <c r="Q466"/>
      <c r="R466"/>
      <c r="S466"/>
    </row>
    <row r="467" spans="2:19" ht="12.75" customHeight="1">
      <c r="B467" s="510"/>
      <c r="C467" s="23"/>
      <c r="D467" s="23"/>
      <c r="E467" s="23"/>
      <c r="F467" s="23"/>
      <c r="G467" s="23"/>
      <c r="H467" s="23"/>
      <c r="I467" s="23"/>
      <c r="J467" s="23"/>
      <c r="K467" s="23"/>
      <c r="L467"/>
      <c r="M467"/>
      <c r="N467"/>
      <c r="O467"/>
      <c r="P467"/>
      <c r="Q467"/>
      <c r="R467"/>
      <c r="S467"/>
    </row>
    <row r="468" spans="2:19" ht="12.75" customHeight="1">
      <c r="B468" s="510"/>
      <c r="C468" s="23"/>
      <c r="D468" s="23"/>
      <c r="E468" s="23"/>
      <c r="F468" s="23"/>
      <c r="G468" s="23"/>
      <c r="H468" s="23"/>
      <c r="I468" s="23"/>
      <c r="J468" s="23"/>
      <c r="K468" s="23"/>
      <c r="L468"/>
      <c r="M468"/>
      <c r="N468"/>
      <c r="O468"/>
      <c r="P468"/>
      <c r="Q468"/>
      <c r="R468"/>
      <c r="S468"/>
    </row>
    <row r="469" spans="2:19" ht="12.75" customHeight="1">
      <c r="B469" s="510"/>
      <c r="C469" s="23"/>
      <c r="D469" s="23"/>
      <c r="E469" s="23"/>
      <c r="F469" s="23"/>
      <c r="G469" s="23"/>
      <c r="H469" s="23"/>
      <c r="I469" s="23"/>
      <c r="J469" s="23"/>
      <c r="K469" s="23"/>
      <c r="L469"/>
      <c r="M469"/>
      <c r="N469"/>
      <c r="O469"/>
      <c r="P469"/>
      <c r="Q469"/>
      <c r="R469"/>
      <c r="S469"/>
    </row>
    <row r="470" spans="2:19" ht="12.75" customHeight="1">
      <c r="B470" s="510"/>
      <c r="C470" s="23"/>
      <c r="D470" s="23"/>
      <c r="E470" s="23"/>
      <c r="F470" s="23"/>
      <c r="G470" s="23"/>
      <c r="H470" s="23"/>
      <c r="I470" s="23"/>
      <c r="J470" s="23"/>
      <c r="K470" s="23"/>
      <c r="L470"/>
      <c r="M470"/>
      <c r="N470"/>
      <c r="O470"/>
      <c r="P470"/>
      <c r="Q470"/>
      <c r="R470"/>
      <c r="S470"/>
    </row>
    <row r="471" spans="2:19" ht="12.75" customHeight="1">
      <c r="B471" s="510"/>
      <c r="C471" s="23"/>
      <c r="D471" s="23"/>
      <c r="E471" s="23"/>
      <c r="F471" s="23"/>
      <c r="G471" s="23"/>
      <c r="H471" s="23"/>
      <c r="I471" s="23"/>
      <c r="J471" s="23"/>
      <c r="K471" s="23"/>
      <c r="L471"/>
      <c r="M471"/>
      <c r="N471"/>
      <c r="O471"/>
      <c r="P471"/>
      <c r="Q471"/>
      <c r="R471"/>
      <c r="S471"/>
    </row>
    <row r="472" spans="2:19" ht="12.75" customHeight="1">
      <c r="B472" s="510"/>
      <c r="C472" s="23"/>
      <c r="D472" s="23"/>
      <c r="E472" s="23"/>
      <c r="F472" s="23"/>
      <c r="G472" s="23"/>
      <c r="H472" s="23"/>
      <c r="I472" s="23"/>
      <c r="J472" s="23"/>
      <c r="K472" s="23"/>
      <c r="L472"/>
      <c r="M472"/>
      <c r="N472"/>
      <c r="O472"/>
      <c r="P472"/>
      <c r="Q472"/>
      <c r="R472"/>
      <c r="S472"/>
    </row>
    <row r="473" spans="2:19" ht="12.75" customHeight="1">
      <c r="B473" s="510"/>
      <c r="C473" s="23"/>
      <c r="D473" s="23"/>
      <c r="E473" s="23"/>
      <c r="F473" s="23"/>
      <c r="G473" s="23"/>
      <c r="H473" s="23"/>
      <c r="I473" s="23"/>
      <c r="J473" s="23"/>
      <c r="K473" s="23"/>
      <c r="L473"/>
      <c r="M473"/>
      <c r="N473"/>
      <c r="O473"/>
      <c r="P473"/>
      <c r="Q473"/>
      <c r="R473"/>
      <c r="S473"/>
    </row>
    <row r="474" spans="2:19" ht="12.75" customHeight="1">
      <c r="B474" s="510"/>
      <c r="C474" s="23"/>
      <c r="D474" s="23"/>
      <c r="E474" s="23"/>
      <c r="F474" s="23"/>
      <c r="G474" s="23"/>
      <c r="H474" s="23"/>
      <c r="I474" s="23"/>
      <c r="J474" s="23"/>
      <c r="K474" s="23"/>
      <c r="L474"/>
      <c r="M474"/>
      <c r="N474"/>
      <c r="O474"/>
      <c r="P474"/>
      <c r="Q474"/>
      <c r="R474"/>
      <c r="S474"/>
    </row>
    <row r="475" spans="2:19" ht="12.75" customHeight="1">
      <c r="B475" s="510"/>
      <c r="C475" s="23"/>
      <c r="D475" s="23"/>
      <c r="E475" s="23"/>
      <c r="F475" s="23"/>
      <c r="G475" s="23"/>
      <c r="H475" s="23"/>
      <c r="I475" s="23"/>
      <c r="J475" s="23"/>
      <c r="K475" s="23"/>
      <c r="L475"/>
      <c r="M475"/>
      <c r="N475"/>
      <c r="O475"/>
      <c r="P475"/>
      <c r="Q475"/>
      <c r="R475"/>
      <c r="S475"/>
    </row>
    <row r="476" spans="2:19" ht="12.75" customHeight="1">
      <c r="B476" s="510"/>
      <c r="C476" s="23"/>
      <c r="D476" s="23"/>
      <c r="E476" s="23"/>
      <c r="F476" s="23"/>
      <c r="G476" s="23"/>
      <c r="H476" s="23"/>
      <c r="I476" s="23"/>
      <c r="J476" s="23"/>
      <c r="K476" s="23"/>
      <c r="L476"/>
      <c r="M476"/>
      <c r="N476"/>
      <c r="O476"/>
      <c r="P476"/>
      <c r="Q476"/>
      <c r="R476"/>
      <c r="S476"/>
    </row>
    <row r="477" spans="2:19" ht="12.75" customHeight="1">
      <c r="B477" s="510"/>
      <c r="C477" s="23"/>
      <c r="D477" s="23"/>
      <c r="E477" s="23"/>
      <c r="F477" s="23"/>
      <c r="G477" s="23"/>
      <c r="H477" s="23"/>
      <c r="I477" s="23"/>
      <c r="J477" s="23"/>
      <c r="K477" s="23"/>
      <c r="L477"/>
      <c r="M477"/>
      <c r="N477"/>
      <c r="O477"/>
      <c r="P477"/>
      <c r="Q477"/>
      <c r="R477"/>
      <c r="S477"/>
    </row>
    <row r="478" spans="2:19" ht="12.75" customHeight="1">
      <c r="B478" s="510"/>
      <c r="C478" s="23"/>
      <c r="D478" s="23"/>
      <c r="E478" s="23"/>
      <c r="F478" s="23"/>
      <c r="G478" s="23"/>
      <c r="H478" s="23"/>
      <c r="I478" s="23"/>
      <c r="J478" s="23"/>
      <c r="K478" s="23"/>
      <c r="L478"/>
      <c r="M478"/>
      <c r="N478"/>
      <c r="O478"/>
      <c r="P478"/>
      <c r="Q478"/>
      <c r="R478"/>
      <c r="S478"/>
    </row>
    <row r="479" spans="2:19" ht="12.75" customHeight="1">
      <c r="B479" s="510"/>
      <c r="C479" s="23"/>
      <c r="D479" s="23"/>
      <c r="E479" s="23"/>
      <c r="F479" s="23"/>
      <c r="G479" s="23"/>
      <c r="H479" s="23"/>
      <c r="I479" s="23"/>
      <c r="J479" s="23"/>
      <c r="K479" s="23"/>
      <c r="L479"/>
      <c r="M479"/>
      <c r="N479"/>
      <c r="O479"/>
      <c r="P479"/>
      <c r="Q479"/>
      <c r="R479"/>
      <c r="S479"/>
    </row>
    <row r="480" spans="2:19" ht="12.75" customHeight="1">
      <c r="B480" s="510"/>
      <c r="C480" s="23"/>
      <c r="D480" s="23"/>
      <c r="E480" s="23"/>
      <c r="F480" s="23"/>
      <c r="G480" s="23"/>
      <c r="H480" s="23"/>
      <c r="I480" s="23"/>
      <c r="J480" s="23"/>
      <c r="K480" s="23"/>
      <c r="L480"/>
      <c r="M480"/>
      <c r="N480"/>
      <c r="O480"/>
      <c r="P480"/>
      <c r="Q480"/>
      <c r="R480"/>
      <c r="S480"/>
    </row>
    <row r="481" spans="2:19" ht="12.75" customHeight="1">
      <c r="B481" s="510"/>
      <c r="C481" s="23"/>
      <c r="D481" s="23"/>
      <c r="E481" s="23"/>
      <c r="F481" s="23"/>
      <c r="G481" s="23"/>
      <c r="H481" s="23"/>
      <c r="I481" s="23"/>
      <c r="J481" s="23"/>
      <c r="K481" s="23"/>
      <c r="L481"/>
      <c r="M481"/>
      <c r="N481"/>
      <c r="O481"/>
      <c r="P481"/>
      <c r="Q481"/>
      <c r="R481"/>
      <c r="S481"/>
    </row>
    <row r="482" spans="2:19" ht="12.75" customHeight="1">
      <c r="B482" s="510"/>
      <c r="C482" s="23"/>
      <c r="D482" s="23"/>
      <c r="E482" s="23"/>
      <c r="F482" s="23"/>
      <c r="G482" s="23"/>
      <c r="H482" s="23"/>
      <c r="I482" s="23"/>
      <c r="J482" s="23"/>
      <c r="K482" s="23"/>
      <c r="L482"/>
      <c r="M482"/>
      <c r="N482"/>
      <c r="O482"/>
      <c r="P482"/>
      <c r="Q482"/>
      <c r="R482"/>
      <c r="S482"/>
    </row>
    <row r="483" spans="2:19" ht="12.75" customHeight="1">
      <c r="B483" s="510"/>
      <c r="C483" s="23"/>
      <c r="D483" s="23"/>
      <c r="E483" s="23"/>
      <c r="F483" s="23"/>
      <c r="G483" s="23"/>
      <c r="H483" s="23"/>
      <c r="I483" s="23"/>
      <c r="J483" s="23"/>
      <c r="K483" s="23"/>
      <c r="L483"/>
      <c r="M483"/>
      <c r="N483"/>
      <c r="O483"/>
      <c r="P483"/>
      <c r="Q483"/>
      <c r="R483"/>
      <c r="S483"/>
    </row>
    <row r="484" spans="2:19" ht="12.75" customHeight="1">
      <c r="B484" s="510"/>
      <c r="C484" s="23"/>
      <c r="D484" s="23"/>
      <c r="E484" s="23"/>
      <c r="F484" s="23"/>
      <c r="G484" s="23"/>
      <c r="H484" s="23"/>
      <c r="I484" s="23"/>
      <c r="J484" s="23"/>
      <c r="K484" s="23"/>
      <c r="L484"/>
      <c r="M484"/>
      <c r="N484"/>
      <c r="O484"/>
      <c r="P484"/>
      <c r="Q484"/>
      <c r="R484"/>
      <c r="S484"/>
    </row>
    <row r="485" spans="2:19" ht="12.75" customHeight="1">
      <c r="B485" s="510"/>
      <c r="C485" s="23"/>
      <c r="D485" s="23"/>
      <c r="E485" s="23"/>
      <c r="F485" s="23"/>
      <c r="G485" s="23"/>
      <c r="H485" s="23"/>
      <c r="I485" s="23"/>
      <c r="J485" s="23"/>
      <c r="K485" s="23"/>
      <c r="L485"/>
      <c r="M485"/>
      <c r="N485"/>
      <c r="O485"/>
      <c r="P485"/>
      <c r="Q485"/>
      <c r="R485"/>
      <c r="S485"/>
    </row>
    <row r="486" spans="2:19" ht="12.75" customHeight="1">
      <c r="B486" s="510"/>
      <c r="C486" s="23"/>
      <c r="D486" s="23"/>
      <c r="E486" s="23"/>
      <c r="F486" s="23"/>
      <c r="G486" s="23"/>
      <c r="H486" s="23"/>
      <c r="I486" s="23"/>
      <c r="J486" s="23"/>
      <c r="K486" s="23"/>
      <c r="L486"/>
      <c r="M486"/>
      <c r="N486"/>
      <c r="O486"/>
      <c r="P486"/>
      <c r="Q486"/>
      <c r="R486"/>
      <c r="S486"/>
    </row>
    <row r="487" spans="2:19" ht="12.75" customHeight="1">
      <c r="B487" s="510"/>
      <c r="C487" s="23"/>
      <c r="D487" s="23"/>
      <c r="E487" s="23"/>
      <c r="F487" s="23"/>
      <c r="G487" s="23"/>
      <c r="H487" s="23"/>
      <c r="I487" s="23"/>
      <c r="J487" s="23"/>
      <c r="K487" s="23"/>
      <c r="L487"/>
      <c r="M487"/>
      <c r="N487"/>
      <c r="O487"/>
      <c r="P487"/>
      <c r="Q487"/>
      <c r="R487"/>
      <c r="S487"/>
    </row>
    <row r="488" spans="2:19" ht="12.75" customHeight="1">
      <c r="B488" s="510"/>
      <c r="C488" s="23"/>
      <c r="D488" s="23"/>
      <c r="E488" s="23"/>
      <c r="F488" s="23"/>
      <c r="G488" s="23"/>
      <c r="H488" s="23"/>
      <c r="I488" s="23"/>
      <c r="J488" s="23"/>
      <c r="K488" s="23"/>
      <c r="L488"/>
      <c r="M488"/>
      <c r="N488"/>
      <c r="O488"/>
      <c r="P488"/>
      <c r="Q488"/>
      <c r="R488"/>
      <c r="S488"/>
    </row>
    <row r="489" spans="2:19" ht="12.75" customHeight="1">
      <c r="B489" s="510"/>
      <c r="C489" s="23"/>
      <c r="D489" s="23"/>
      <c r="E489" s="23"/>
      <c r="F489" s="23"/>
      <c r="G489" s="23"/>
      <c r="H489" s="23"/>
      <c r="I489" s="23"/>
      <c r="J489" s="23"/>
      <c r="K489" s="23"/>
      <c r="L489"/>
      <c r="M489"/>
      <c r="N489"/>
      <c r="O489"/>
      <c r="P489"/>
      <c r="Q489"/>
      <c r="R489"/>
      <c r="S489"/>
    </row>
    <row r="490" spans="2:19" ht="12.75" customHeight="1">
      <c r="B490" s="510"/>
      <c r="C490" s="23"/>
      <c r="D490" s="23"/>
      <c r="E490" s="23"/>
      <c r="F490" s="23"/>
      <c r="G490" s="23"/>
      <c r="H490" s="23"/>
      <c r="I490" s="23"/>
      <c r="J490" s="23"/>
      <c r="K490" s="23"/>
      <c r="L490"/>
      <c r="M490"/>
      <c r="N490"/>
      <c r="O490"/>
      <c r="P490"/>
      <c r="Q490"/>
      <c r="R490"/>
      <c r="S490"/>
    </row>
    <row r="491" spans="2:19" ht="12.75" customHeight="1">
      <c r="B491" s="510"/>
      <c r="C491" s="23"/>
      <c r="D491" s="23"/>
      <c r="E491" s="23"/>
      <c r="F491" s="23"/>
      <c r="G491" s="23"/>
      <c r="H491" s="23"/>
      <c r="I491" s="23"/>
      <c r="J491" s="23"/>
      <c r="K491" s="23"/>
      <c r="L491"/>
      <c r="M491"/>
      <c r="N491"/>
      <c r="O491"/>
      <c r="P491"/>
      <c r="Q491"/>
      <c r="R491"/>
      <c r="S491"/>
    </row>
    <row r="492" spans="2:19" ht="12.75" customHeight="1">
      <c r="B492" s="510"/>
      <c r="C492" s="23"/>
      <c r="D492" s="23"/>
      <c r="E492" s="23"/>
      <c r="F492" s="23"/>
      <c r="G492" s="23"/>
      <c r="H492" s="23"/>
      <c r="I492" s="23"/>
      <c r="J492" s="23"/>
      <c r="K492" s="23"/>
      <c r="L492"/>
      <c r="M492"/>
      <c r="N492"/>
      <c r="O492"/>
      <c r="P492"/>
      <c r="Q492"/>
      <c r="R492"/>
      <c r="S492"/>
    </row>
    <row r="493" spans="2:19" ht="12.75" customHeight="1">
      <c r="B493" s="510"/>
      <c r="C493" s="23"/>
      <c r="D493" s="23"/>
      <c r="E493" s="23"/>
      <c r="F493" s="23"/>
      <c r="G493" s="23"/>
      <c r="H493" s="23"/>
      <c r="I493" s="23"/>
      <c r="J493" s="23"/>
      <c r="K493" s="23"/>
      <c r="L493"/>
      <c r="M493"/>
      <c r="N493"/>
      <c r="O493"/>
      <c r="P493"/>
      <c r="Q493"/>
      <c r="R493"/>
      <c r="S493"/>
    </row>
    <row r="494" spans="2:19" ht="12.75" customHeight="1">
      <c r="B494" s="510"/>
      <c r="C494" s="23"/>
      <c r="D494" s="23"/>
      <c r="E494" s="23"/>
      <c r="F494" s="23"/>
      <c r="G494" s="23"/>
      <c r="H494" s="23"/>
      <c r="I494" s="23"/>
      <c r="J494" s="23"/>
      <c r="K494" s="23"/>
      <c r="L494"/>
      <c r="M494"/>
      <c r="N494"/>
      <c r="O494"/>
      <c r="P494"/>
      <c r="Q494"/>
      <c r="R494"/>
      <c r="S494"/>
    </row>
    <row r="495" spans="2:19" ht="12.75" customHeight="1">
      <c r="B495" s="510"/>
      <c r="C495" s="23"/>
      <c r="D495" s="23"/>
      <c r="E495" s="23"/>
      <c r="F495" s="23"/>
      <c r="G495" s="23"/>
      <c r="H495" s="23"/>
      <c r="I495" s="23"/>
      <c r="J495" s="23"/>
      <c r="K495" s="23"/>
      <c r="L495"/>
      <c r="M495"/>
      <c r="N495"/>
      <c r="O495"/>
      <c r="P495"/>
      <c r="Q495"/>
      <c r="R495"/>
      <c r="S495"/>
    </row>
    <row r="496" spans="2:19" ht="12.75" customHeight="1">
      <c r="B496" s="510"/>
      <c r="C496" s="23"/>
      <c r="D496" s="23"/>
      <c r="E496" s="23"/>
      <c r="F496" s="23"/>
      <c r="G496" s="23"/>
      <c r="H496" s="23"/>
      <c r="I496" s="23"/>
      <c r="J496" s="23"/>
      <c r="K496" s="23"/>
      <c r="L496"/>
      <c r="M496"/>
      <c r="N496"/>
      <c r="O496"/>
      <c r="P496"/>
      <c r="Q496"/>
      <c r="R496"/>
      <c r="S496"/>
    </row>
    <row r="497" spans="2:19" ht="12.75" customHeight="1">
      <c r="B497" s="510"/>
      <c r="C497" s="23"/>
      <c r="D497" s="23"/>
      <c r="E497" s="23"/>
      <c r="F497" s="23"/>
      <c r="G497" s="23"/>
      <c r="H497" s="23"/>
      <c r="I497" s="23"/>
      <c r="J497" s="23"/>
      <c r="K497" s="23"/>
      <c r="L497"/>
      <c r="M497"/>
      <c r="N497"/>
      <c r="O497"/>
      <c r="P497"/>
      <c r="Q497"/>
      <c r="R497"/>
      <c r="S497"/>
    </row>
    <row r="498" spans="2:19" ht="12.75" customHeight="1">
      <c r="B498" s="510"/>
      <c r="C498" s="23"/>
      <c r="D498" s="23"/>
      <c r="E498" s="23"/>
      <c r="F498" s="23"/>
      <c r="G498" s="23"/>
      <c r="H498" s="23"/>
      <c r="I498" s="23"/>
      <c r="J498" s="23"/>
      <c r="K498" s="23"/>
      <c r="L498"/>
      <c r="M498"/>
      <c r="N498"/>
      <c r="O498"/>
      <c r="P498"/>
      <c r="Q498"/>
      <c r="R498"/>
      <c r="S498"/>
    </row>
    <row r="499" spans="2:19" ht="12.75" customHeight="1">
      <c r="B499" s="510"/>
      <c r="C499" s="23"/>
      <c r="D499" s="23"/>
      <c r="E499" s="23"/>
      <c r="F499" s="23"/>
      <c r="G499" s="23"/>
      <c r="H499" s="23"/>
      <c r="I499" s="23"/>
      <c r="J499" s="23"/>
      <c r="K499" s="23"/>
      <c r="L499"/>
      <c r="M499"/>
      <c r="N499"/>
      <c r="O499"/>
      <c r="P499"/>
      <c r="Q499"/>
      <c r="R499"/>
      <c r="S499"/>
    </row>
    <row r="500" spans="2:19" ht="12.75" customHeight="1">
      <c r="B500" s="510"/>
      <c r="C500" s="23"/>
      <c r="D500" s="23"/>
      <c r="E500" s="23"/>
      <c r="F500" s="23"/>
      <c r="G500" s="23"/>
      <c r="H500" s="23"/>
      <c r="I500" s="23"/>
      <c r="J500" s="23"/>
      <c r="K500" s="23"/>
      <c r="L500"/>
      <c r="M500"/>
      <c r="N500"/>
      <c r="O500"/>
      <c r="P500"/>
      <c r="Q500"/>
      <c r="R500"/>
      <c r="S500"/>
    </row>
    <row r="501" spans="2:19" ht="12.75" customHeight="1">
      <c r="B501" s="510"/>
      <c r="C501" s="23"/>
      <c r="D501" s="23"/>
      <c r="E501" s="23"/>
      <c r="F501" s="23"/>
      <c r="G501" s="23"/>
      <c r="H501" s="23"/>
      <c r="I501" s="23"/>
      <c r="J501" s="23"/>
      <c r="K501" s="23"/>
      <c r="L501"/>
      <c r="M501"/>
      <c r="N501"/>
      <c r="O501"/>
      <c r="P501"/>
      <c r="Q501"/>
      <c r="R501"/>
      <c r="S501"/>
    </row>
    <row r="502" spans="2:19" ht="12.75" customHeight="1">
      <c r="B502" s="510"/>
      <c r="C502" s="23"/>
      <c r="D502" s="23"/>
      <c r="E502" s="23"/>
      <c r="F502" s="23"/>
      <c r="G502" s="23"/>
      <c r="H502" s="23"/>
      <c r="I502" s="23"/>
      <c r="J502" s="23"/>
      <c r="K502" s="23"/>
      <c r="L502"/>
      <c r="M502"/>
      <c r="N502"/>
      <c r="O502"/>
      <c r="P502"/>
      <c r="Q502"/>
      <c r="R502"/>
      <c r="S502"/>
    </row>
    <row r="503" spans="2:19" ht="12.75" customHeight="1">
      <c r="B503" s="510"/>
      <c r="C503" s="23"/>
      <c r="D503" s="23"/>
      <c r="E503" s="23"/>
      <c r="F503" s="23"/>
      <c r="G503" s="23"/>
      <c r="H503" s="23"/>
      <c r="I503" s="23"/>
      <c r="J503" s="23"/>
      <c r="K503" s="23"/>
      <c r="L503"/>
      <c r="M503"/>
      <c r="N503"/>
      <c r="O503"/>
      <c r="P503"/>
      <c r="Q503"/>
      <c r="R503"/>
      <c r="S503"/>
    </row>
    <row r="504" spans="2:19" ht="12.75" customHeight="1">
      <c r="B504" s="510"/>
      <c r="C504" s="23"/>
      <c r="D504" s="23"/>
      <c r="E504" s="23"/>
      <c r="F504" s="23"/>
      <c r="G504" s="23"/>
      <c r="H504" s="23"/>
      <c r="I504" s="23"/>
      <c r="J504" s="23"/>
      <c r="K504" s="23"/>
      <c r="L504"/>
      <c r="M504"/>
      <c r="N504"/>
      <c r="O504"/>
      <c r="P504"/>
      <c r="Q504"/>
      <c r="R504"/>
      <c r="S504"/>
    </row>
    <row r="505" spans="2:19" ht="12.75" customHeight="1">
      <c r="B505" s="510"/>
      <c r="C505" s="23"/>
      <c r="D505" s="23"/>
      <c r="E505" s="23"/>
      <c r="F505" s="23"/>
      <c r="G505" s="23"/>
      <c r="H505" s="23"/>
      <c r="I505" s="23"/>
      <c r="J505" s="23"/>
      <c r="K505" s="23"/>
      <c r="L505"/>
      <c r="M505"/>
      <c r="N505"/>
      <c r="O505"/>
      <c r="P505"/>
      <c r="Q505"/>
      <c r="R505"/>
      <c r="S505"/>
    </row>
    <row r="506" spans="2:19" ht="12.75" customHeight="1">
      <c r="B506" s="510"/>
      <c r="C506" s="23"/>
      <c r="D506" s="23"/>
      <c r="E506" s="23"/>
      <c r="F506" s="23"/>
      <c r="G506" s="23"/>
      <c r="H506" s="23"/>
      <c r="I506" s="23"/>
      <c r="J506" s="23"/>
      <c r="K506" s="23"/>
      <c r="L506"/>
      <c r="M506"/>
      <c r="N506"/>
      <c r="O506"/>
      <c r="P506"/>
      <c r="Q506"/>
      <c r="R506"/>
      <c r="S506"/>
    </row>
    <row r="507" spans="2:19" ht="12.75" customHeight="1">
      <c r="B507" s="510"/>
      <c r="C507" s="23"/>
      <c r="D507" s="23"/>
      <c r="E507" s="23"/>
      <c r="F507" s="23"/>
      <c r="G507" s="23"/>
      <c r="H507" s="23"/>
      <c r="I507" s="23"/>
      <c r="J507" s="23"/>
      <c r="K507" s="23"/>
      <c r="L507"/>
      <c r="M507"/>
      <c r="N507"/>
      <c r="O507"/>
      <c r="P507"/>
      <c r="Q507"/>
      <c r="R507"/>
      <c r="S507"/>
    </row>
    <row r="508" spans="2:19" ht="12.75" customHeight="1">
      <c r="B508" s="510"/>
      <c r="C508" s="23"/>
      <c r="D508" s="23"/>
      <c r="E508" s="23"/>
      <c r="F508" s="23"/>
      <c r="G508" s="23"/>
      <c r="H508" s="23"/>
      <c r="I508" s="23"/>
      <c r="J508" s="23"/>
      <c r="K508" s="23"/>
      <c r="L508"/>
      <c r="M508"/>
      <c r="N508"/>
      <c r="O508"/>
      <c r="P508"/>
      <c r="Q508"/>
      <c r="R508"/>
      <c r="S508"/>
    </row>
    <row r="509" spans="2:19" ht="12.75" customHeight="1">
      <c r="B509" s="510"/>
      <c r="C509" s="23"/>
      <c r="D509" s="23"/>
      <c r="E509" s="23"/>
      <c r="F509" s="23"/>
      <c r="G509" s="23"/>
      <c r="H509" s="23"/>
      <c r="I509" s="23"/>
      <c r="J509" s="23"/>
      <c r="K509" s="23"/>
      <c r="L509"/>
      <c r="M509"/>
      <c r="N509"/>
      <c r="O509"/>
      <c r="P509"/>
      <c r="Q509"/>
      <c r="R509"/>
      <c r="S509"/>
    </row>
    <row r="510" spans="2:19" ht="12.75" customHeight="1">
      <c r="B510" s="510"/>
      <c r="C510" s="23"/>
      <c r="D510" s="23"/>
      <c r="E510" s="23"/>
      <c r="F510" s="23"/>
      <c r="G510" s="23"/>
      <c r="H510" s="23"/>
      <c r="I510" s="23"/>
      <c r="J510" s="23"/>
      <c r="K510" s="23"/>
      <c r="L510"/>
      <c r="M510"/>
      <c r="N510"/>
      <c r="O510"/>
      <c r="P510"/>
      <c r="Q510"/>
      <c r="R510"/>
      <c r="S510"/>
    </row>
    <row r="511" spans="2:19" ht="12.75" customHeight="1">
      <c r="B511" s="510"/>
      <c r="C511" s="23"/>
      <c r="D511" s="23"/>
      <c r="E511" s="23"/>
      <c r="F511" s="23"/>
      <c r="G511" s="23"/>
      <c r="H511" s="23"/>
      <c r="I511" s="23"/>
      <c r="J511" s="23"/>
      <c r="K511" s="23"/>
      <c r="L511"/>
      <c r="M511"/>
      <c r="N511"/>
      <c r="O511"/>
      <c r="P511"/>
      <c r="Q511"/>
      <c r="R511"/>
      <c r="S511"/>
    </row>
    <row r="512" spans="2:19" ht="12.75" customHeight="1">
      <c r="B512" s="510"/>
      <c r="C512" s="23"/>
      <c r="D512" s="23"/>
      <c r="E512" s="23"/>
      <c r="F512" s="23"/>
      <c r="G512" s="23"/>
      <c r="H512" s="23"/>
      <c r="I512" s="23"/>
      <c r="J512" s="23"/>
      <c r="K512" s="23"/>
      <c r="L512"/>
      <c r="M512"/>
      <c r="N512"/>
      <c r="O512"/>
      <c r="P512"/>
      <c r="Q512"/>
      <c r="R512"/>
      <c r="S512"/>
    </row>
    <row r="513" spans="2:19" ht="12.75" customHeight="1">
      <c r="B513" s="510"/>
      <c r="C513" s="23"/>
      <c r="D513" s="23"/>
      <c r="E513" s="23"/>
      <c r="F513" s="23"/>
      <c r="G513" s="23"/>
      <c r="H513" s="23"/>
      <c r="I513" s="23"/>
      <c r="J513" s="23"/>
      <c r="K513" s="23"/>
      <c r="L513"/>
      <c r="M513"/>
      <c r="N513"/>
      <c r="O513"/>
      <c r="P513"/>
      <c r="Q513"/>
      <c r="R513"/>
      <c r="S513"/>
    </row>
    <row r="514" spans="2:19" ht="12.75" customHeight="1">
      <c r="B514" s="510"/>
      <c r="C514" s="23"/>
      <c r="D514" s="23"/>
      <c r="E514" s="23"/>
      <c r="F514" s="23"/>
      <c r="G514" s="23"/>
      <c r="H514" s="23"/>
      <c r="I514" s="23"/>
      <c r="J514" s="23"/>
      <c r="K514" s="23"/>
      <c r="L514"/>
      <c r="M514"/>
      <c r="N514"/>
      <c r="O514"/>
      <c r="P514"/>
      <c r="Q514"/>
      <c r="R514"/>
      <c r="S514"/>
    </row>
    <row r="515" spans="2:19" ht="12.75" customHeight="1">
      <c r="B515" s="510"/>
      <c r="C515" s="23"/>
      <c r="D515" s="23"/>
      <c r="E515" s="23"/>
      <c r="F515" s="23"/>
      <c r="G515" s="23"/>
      <c r="H515" s="23"/>
      <c r="I515" s="23"/>
      <c r="J515" s="23"/>
      <c r="K515" s="23"/>
      <c r="L515"/>
      <c r="M515"/>
      <c r="N515"/>
      <c r="O515"/>
      <c r="P515"/>
      <c r="Q515"/>
      <c r="R515"/>
      <c r="S515"/>
    </row>
    <row r="516" spans="2:19">
      <c r="B516" s="510"/>
      <c r="C516" s="23"/>
      <c r="D516" s="23"/>
      <c r="E516" s="23"/>
      <c r="F516" s="23"/>
      <c r="G516" s="23"/>
      <c r="H516" s="23"/>
      <c r="I516" s="23"/>
      <c r="J516" s="23"/>
      <c r="K516" s="23"/>
      <c r="L516"/>
      <c r="M516"/>
      <c r="N516"/>
      <c r="O516"/>
      <c r="P516"/>
      <c r="Q516"/>
      <c r="R516"/>
      <c r="S516"/>
    </row>
    <row r="517" spans="2:19">
      <c r="B517" s="510"/>
      <c r="C517" s="23"/>
      <c r="D517" s="23"/>
      <c r="E517" s="23"/>
      <c r="F517" s="23"/>
      <c r="G517" s="23"/>
      <c r="H517" s="23"/>
      <c r="I517" s="23"/>
      <c r="J517" s="23"/>
      <c r="K517" s="23"/>
      <c r="L517"/>
      <c r="M517"/>
      <c r="N517"/>
      <c r="O517"/>
      <c r="P517"/>
      <c r="Q517"/>
      <c r="R517"/>
      <c r="S517"/>
    </row>
    <row r="518" spans="2:19">
      <c r="B518" s="510"/>
      <c r="C518" s="23"/>
      <c r="D518" s="23"/>
      <c r="E518" s="23"/>
      <c r="F518" s="23"/>
      <c r="G518" s="23"/>
      <c r="H518" s="23"/>
      <c r="I518" s="23"/>
      <c r="J518" s="23"/>
      <c r="K518" s="23"/>
      <c r="L518"/>
      <c r="M518"/>
      <c r="N518"/>
      <c r="O518"/>
      <c r="P518"/>
      <c r="Q518"/>
      <c r="R518"/>
      <c r="S518"/>
    </row>
    <row r="519" spans="2:19">
      <c r="B519" s="510"/>
      <c r="C519" s="23"/>
      <c r="D519" s="23"/>
      <c r="E519" s="23"/>
      <c r="F519" s="23"/>
      <c r="G519" s="23"/>
      <c r="H519" s="23"/>
      <c r="I519" s="23"/>
      <c r="J519" s="23"/>
      <c r="K519" s="23"/>
      <c r="L519"/>
      <c r="M519"/>
      <c r="N519"/>
      <c r="O519"/>
      <c r="P519"/>
      <c r="Q519"/>
      <c r="R519"/>
      <c r="S519"/>
    </row>
    <row r="520" spans="2:19">
      <c r="B520" s="510"/>
      <c r="C520" s="23"/>
      <c r="D520" s="23"/>
      <c r="E520" s="23"/>
      <c r="F520" s="23"/>
      <c r="G520" s="23"/>
      <c r="H520" s="23"/>
      <c r="I520" s="23"/>
      <c r="J520" s="23"/>
      <c r="K520" s="23"/>
      <c r="L520"/>
      <c r="M520"/>
      <c r="N520"/>
      <c r="O520"/>
      <c r="P520"/>
      <c r="Q520"/>
      <c r="R520"/>
      <c r="S520"/>
    </row>
    <row r="521" spans="2:19">
      <c r="B521" s="510"/>
      <c r="C521" s="23"/>
      <c r="D521" s="23"/>
      <c r="E521" s="23"/>
      <c r="F521" s="23"/>
      <c r="G521" s="23"/>
      <c r="H521" s="23"/>
      <c r="I521" s="23"/>
      <c r="J521" s="23"/>
      <c r="K521" s="23"/>
      <c r="L521"/>
      <c r="M521"/>
      <c r="N521"/>
      <c r="O521"/>
      <c r="P521"/>
      <c r="Q521"/>
      <c r="R521"/>
      <c r="S521"/>
    </row>
    <row r="522" spans="2:19">
      <c r="B522" s="510"/>
      <c r="C522" s="23"/>
      <c r="D522" s="23"/>
      <c r="E522" s="23"/>
      <c r="F522" s="23"/>
      <c r="G522" s="23"/>
      <c r="H522" s="23"/>
      <c r="I522" s="23"/>
      <c r="J522" s="23"/>
      <c r="K522" s="23"/>
      <c r="L522"/>
      <c r="M522"/>
      <c r="N522"/>
      <c r="O522"/>
      <c r="P522"/>
      <c r="Q522"/>
      <c r="R522"/>
      <c r="S522"/>
    </row>
    <row r="523" spans="2:19">
      <c r="B523" s="510"/>
      <c r="C523" s="23"/>
      <c r="D523" s="23"/>
      <c r="E523" s="23"/>
      <c r="F523" s="23"/>
      <c r="G523" s="23"/>
      <c r="H523" s="23"/>
      <c r="I523" s="23"/>
      <c r="J523" s="23"/>
      <c r="K523" s="23"/>
      <c r="L523"/>
      <c r="M523"/>
      <c r="N523"/>
      <c r="O523"/>
      <c r="P523"/>
      <c r="Q523"/>
      <c r="R523"/>
      <c r="S523"/>
    </row>
    <row r="524" spans="2:19">
      <c r="B524" s="510"/>
      <c r="C524" s="23"/>
      <c r="D524" s="23"/>
      <c r="E524" s="23"/>
      <c r="F524" s="23"/>
      <c r="G524" s="23"/>
      <c r="H524" s="23"/>
      <c r="I524" s="23"/>
      <c r="J524" s="23"/>
      <c r="K524" s="23"/>
      <c r="L524"/>
      <c r="M524"/>
      <c r="N524"/>
      <c r="O524"/>
      <c r="P524"/>
      <c r="Q524"/>
      <c r="R524"/>
      <c r="S524"/>
    </row>
    <row r="525" spans="2:19">
      <c r="B525" s="510"/>
      <c r="C525" s="23"/>
      <c r="D525" s="23"/>
      <c r="E525" s="23"/>
      <c r="F525" s="23"/>
      <c r="G525" s="23"/>
      <c r="H525" s="23"/>
      <c r="I525" s="23"/>
      <c r="J525" s="23"/>
      <c r="K525" s="23"/>
      <c r="L525"/>
      <c r="M525"/>
      <c r="N525"/>
      <c r="O525"/>
      <c r="P525"/>
      <c r="Q525"/>
      <c r="R525"/>
      <c r="S525"/>
    </row>
    <row r="526" spans="2:19">
      <c r="B526" s="510"/>
      <c r="C526" s="23"/>
      <c r="D526" s="23"/>
      <c r="E526" s="23"/>
      <c r="F526" s="23"/>
      <c r="G526" s="23"/>
      <c r="H526" s="23"/>
      <c r="I526" s="23"/>
      <c r="J526" s="23"/>
      <c r="K526" s="23"/>
      <c r="L526"/>
      <c r="M526"/>
      <c r="N526"/>
      <c r="O526"/>
      <c r="P526"/>
      <c r="Q526"/>
      <c r="R526"/>
      <c r="S526"/>
    </row>
    <row r="527" spans="2:19">
      <c r="B527" s="510"/>
      <c r="C527" s="23"/>
      <c r="D527" s="23"/>
      <c r="E527" s="23"/>
      <c r="F527" s="23"/>
      <c r="G527" s="23"/>
      <c r="H527" s="23"/>
      <c r="I527" s="23"/>
      <c r="J527" s="23"/>
      <c r="K527" s="23"/>
      <c r="L527"/>
      <c r="M527"/>
      <c r="N527"/>
      <c r="O527"/>
      <c r="P527"/>
      <c r="Q527"/>
      <c r="R527"/>
      <c r="S527"/>
    </row>
    <row r="528" spans="2:19">
      <c r="B528" s="510"/>
      <c r="C528" s="23"/>
      <c r="D528" s="23"/>
      <c r="E528" s="23"/>
      <c r="F528" s="23"/>
      <c r="G528" s="23"/>
      <c r="H528" s="23"/>
      <c r="I528" s="23"/>
      <c r="J528" s="23"/>
      <c r="K528" s="23"/>
      <c r="L528"/>
      <c r="M528"/>
      <c r="N528"/>
      <c r="O528"/>
      <c r="P528"/>
      <c r="Q528"/>
      <c r="R528"/>
      <c r="S528"/>
    </row>
    <row r="529" spans="2:19">
      <c r="B529" s="510"/>
      <c r="C529" s="23"/>
      <c r="D529" s="23"/>
      <c r="E529" s="23"/>
      <c r="F529" s="23"/>
      <c r="G529" s="23"/>
      <c r="H529" s="23"/>
      <c r="I529" s="23"/>
      <c r="J529" s="23"/>
      <c r="K529" s="23"/>
      <c r="L529"/>
      <c r="M529"/>
      <c r="N529"/>
      <c r="O529"/>
      <c r="P529"/>
      <c r="Q529"/>
      <c r="R529"/>
      <c r="S529"/>
    </row>
    <row r="530" spans="2:19">
      <c r="B530" s="510"/>
      <c r="C530" s="23"/>
      <c r="D530" s="23"/>
      <c r="E530" s="23"/>
      <c r="F530" s="23"/>
      <c r="G530" s="23"/>
      <c r="H530" s="23"/>
      <c r="I530" s="23"/>
      <c r="J530" s="23"/>
      <c r="K530" s="23"/>
      <c r="L530"/>
      <c r="M530"/>
      <c r="N530"/>
      <c r="O530"/>
      <c r="P530"/>
      <c r="Q530"/>
      <c r="R530"/>
      <c r="S530"/>
    </row>
    <row r="531" spans="2:19">
      <c r="B531" s="510"/>
      <c r="C531" s="23"/>
      <c r="D531" s="23"/>
      <c r="E531" s="23"/>
      <c r="F531" s="23"/>
      <c r="G531" s="23"/>
      <c r="H531" s="23"/>
      <c r="I531" s="23"/>
      <c r="J531" s="23"/>
      <c r="K531" s="23"/>
      <c r="L531"/>
      <c r="M531"/>
      <c r="N531"/>
      <c r="O531"/>
      <c r="P531"/>
      <c r="Q531"/>
      <c r="R531"/>
      <c r="S531"/>
    </row>
    <row r="532" spans="2:19">
      <c r="B532" s="510"/>
      <c r="C532" s="23"/>
      <c r="D532" s="23"/>
      <c r="E532" s="23"/>
      <c r="F532" s="23"/>
      <c r="G532" s="23"/>
      <c r="H532" s="23"/>
      <c r="I532" s="23"/>
      <c r="J532" s="23"/>
      <c r="K532" s="23"/>
      <c r="L532"/>
      <c r="M532"/>
      <c r="N532"/>
      <c r="O532"/>
      <c r="P532"/>
      <c r="Q532"/>
      <c r="R532"/>
      <c r="S532"/>
    </row>
    <row r="533" spans="2:19">
      <c r="B533" s="510"/>
      <c r="C533" s="23"/>
      <c r="D533" s="23"/>
      <c r="E533" s="23"/>
      <c r="F533" s="23"/>
      <c r="G533" s="23"/>
      <c r="H533" s="23"/>
      <c r="I533" s="23"/>
      <c r="J533" s="23"/>
      <c r="K533" s="23"/>
      <c r="L533"/>
      <c r="M533"/>
      <c r="N533"/>
      <c r="O533"/>
      <c r="P533"/>
      <c r="Q533"/>
      <c r="R533"/>
      <c r="S533"/>
    </row>
    <row r="534" spans="2:19">
      <c r="B534" s="510"/>
      <c r="C534" s="23"/>
      <c r="D534" s="23"/>
      <c r="E534" s="23"/>
      <c r="F534" s="23"/>
      <c r="G534" s="23"/>
      <c r="H534" s="23"/>
      <c r="I534" s="23"/>
      <c r="J534" s="23"/>
      <c r="K534" s="23"/>
      <c r="L534"/>
      <c r="M534"/>
      <c r="N534"/>
      <c r="O534"/>
      <c r="P534"/>
      <c r="Q534"/>
      <c r="R534"/>
      <c r="S534"/>
    </row>
    <row r="535" spans="2:19">
      <c r="B535" s="510"/>
      <c r="C535" s="23"/>
      <c r="D535" s="23"/>
      <c r="E535" s="23"/>
      <c r="F535" s="23"/>
      <c r="G535" s="23"/>
      <c r="H535" s="23"/>
      <c r="I535" s="23"/>
      <c r="J535" s="23"/>
      <c r="K535" s="23"/>
      <c r="L535"/>
      <c r="M535"/>
      <c r="N535"/>
      <c r="O535"/>
      <c r="P535"/>
      <c r="Q535"/>
      <c r="R535"/>
      <c r="S535"/>
    </row>
    <row r="536" spans="2:19">
      <c r="B536" s="510"/>
      <c r="C536" s="23"/>
      <c r="D536" s="23"/>
      <c r="E536" s="23"/>
      <c r="F536" s="23"/>
      <c r="G536" s="23"/>
      <c r="H536" s="23"/>
      <c r="I536" s="23"/>
      <c r="J536" s="23"/>
      <c r="K536" s="23"/>
      <c r="L536"/>
      <c r="M536"/>
      <c r="N536"/>
      <c r="O536"/>
      <c r="P536"/>
      <c r="Q536"/>
      <c r="R536"/>
      <c r="S536"/>
    </row>
    <row r="537" spans="2:19">
      <c r="B537" s="510"/>
      <c r="C537" s="23"/>
      <c r="D537" s="23"/>
      <c r="E537" s="23"/>
      <c r="F537" s="23"/>
      <c r="G537" s="23"/>
      <c r="H537" s="23"/>
      <c r="I537" s="23"/>
      <c r="J537" s="23"/>
      <c r="K537" s="23"/>
      <c r="L537"/>
      <c r="M537"/>
      <c r="N537"/>
      <c r="O537"/>
      <c r="P537"/>
      <c r="Q537"/>
      <c r="R537"/>
      <c r="S537"/>
    </row>
    <row r="538" spans="2:19">
      <c r="B538" s="510"/>
      <c r="C538" s="23"/>
      <c r="D538" s="23"/>
      <c r="E538" s="23"/>
      <c r="F538" s="23"/>
      <c r="G538" s="23"/>
      <c r="H538" s="23"/>
      <c r="I538" s="23"/>
      <c r="J538" s="23"/>
      <c r="K538" s="23"/>
      <c r="L538"/>
      <c r="M538"/>
      <c r="N538"/>
      <c r="O538"/>
      <c r="P538"/>
      <c r="Q538"/>
      <c r="R538"/>
      <c r="S538"/>
    </row>
    <row r="539" spans="2:19">
      <c r="B539" s="510"/>
      <c r="C539" s="23"/>
      <c r="D539" s="23"/>
      <c r="E539" s="23"/>
      <c r="F539" s="23"/>
      <c r="G539" s="23"/>
      <c r="H539" s="23"/>
      <c r="I539" s="23"/>
      <c r="J539" s="23"/>
      <c r="K539" s="23"/>
      <c r="L539"/>
      <c r="M539"/>
      <c r="N539"/>
      <c r="O539"/>
      <c r="P539"/>
      <c r="Q539"/>
      <c r="R539"/>
      <c r="S539"/>
    </row>
    <row r="540" spans="2:19">
      <c r="B540" s="510"/>
      <c r="C540" s="23"/>
      <c r="D540" s="23"/>
      <c r="E540" s="23"/>
      <c r="F540" s="23"/>
      <c r="G540" s="23"/>
      <c r="H540" s="23"/>
      <c r="I540" s="23"/>
      <c r="J540" s="23"/>
      <c r="K540" s="23"/>
      <c r="L540"/>
      <c r="M540"/>
      <c r="N540"/>
      <c r="O540"/>
      <c r="P540"/>
      <c r="Q540"/>
      <c r="R540"/>
      <c r="S540"/>
    </row>
    <row r="541" spans="2:19">
      <c r="B541" s="510"/>
      <c r="C541" s="23"/>
      <c r="D541" s="23"/>
      <c r="E541" s="23"/>
      <c r="F541" s="23"/>
      <c r="G541" s="23"/>
      <c r="H541" s="23"/>
      <c r="I541" s="23"/>
      <c r="J541" s="23"/>
      <c r="K541" s="23"/>
      <c r="L541"/>
      <c r="M541"/>
      <c r="N541"/>
      <c r="O541"/>
      <c r="P541"/>
      <c r="Q541"/>
      <c r="R541"/>
      <c r="S541"/>
    </row>
    <row r="542" spans="2:19">
      <c r="B542" s="510"/>
      <c r="C542" s="23"/>
      <c r="D542" s="23"/>
      <c r="E542" s="23"/>
      <c r="F542" s="23"/>
      <c r="G542" s="23"/>
      <c r="H542" s="23"/>
      <c r="I542" s="23"/>
      <c r="J542" s="23"/>
      <c r="K542" s="23"/>
      <c r="L542"/>
      <c r="M542"/>
      <c r="N542"/>
      <c r="O542"/>
      <c r="P542"/>
      <c r="Q542"/>
      <c r="R542"/>
      <c r="S542"/>
    </row>
    <row r="543" spans="2:19">
      <c r="B543" s="510"/>
      <c r="C543" s="23"/>
      <c r="D543" s="23"/>
      <c r="E543" s="23"/>
      <c r="F543" s="23"/>
      <c r="G543" s="23"/>
      <c r="H543" s="23"/>
      <c r="I543" s="23"/>
      <c r="J543" s="23"/>
      <c r="K543" s="23"/>
      <c r="L543"/>
      <c r="M543"/>
      <c r="N543"/>
      <c r="O543"/>
      <c r="P543"/>
      <c r="Q543"/>
      <c r="R543"/>
      <c r="S543"/>
    </row>
    <row r="544" spans="2:19">
      <c r="B544" s="510"/>
      <c r="C544" s="23"/>
      <c r="D544" s="23"/>
      <c r="E544" s="23"/>
      <c r="F544" s="23"/>
      <c r="G544" s="23"/>
      <c r="H544" s="23"/>
      <c r="I544" s="23"/>
      <c r="J544" s="23"/>
      <c r="K544" s="23"/>
      <c r="L544"/>
      <c r="M544"/>
      <c r="N544"/>
      <c r="O544"/>
      <c r="P544"/>
      <c r="Q544"/>
      <c r="R544"/>
      <c r="S544"/>
    </row>
    <row r="545" spans="2:19">
      <c r="B545" s="510"/>
      <c r="C545" s="23"/>
      <c r="D545" s="23"/>
      <c r="E545" s="23"/>
      <c r="F545" s="23"/>
      <c r="G545" s="23"/>
      <c r="H545" s="23"/>
      <c r="I545" s="23"/>
      <c r="J545" s="23"/>
      <c r="K545" s="23"/>
      <c r="L545"/>
      <c r="M545"/>
      <c r="N545"/>
      <c r="O545"/>
      <c r="P545"/>
      <c r="Q545"/>
      <c r="R545"/>
      <c r="S545"/>
    </row>
    <row r="546" spans="2:19">
      <c r="B546" s="510"/>
      <c r="C546" s="23"/>
      <c r="D546" s="23"/>
      <c r="E546" s="23"/>
      <c r="F546" s="23"/>
      <c r="G546" s="23"/>
      <c r="H546" s="23"/>
      <c r="I546" s="23"/>
      <c r="J546" s="23"/>
      <c r="K546" s="23"/>
      <c r="L546"/>
      <c r="M546"/>
      <c r="N546"/>
      <c r="O546"/>
      <c r="P546"/>
      <c r="Q546"/>
      <c r="R546"/>
      <c r="S546"/>
    </row>
    <row r="547" spans="2:19">
      <c r="B547" s="510"/>
      <c r="C547" s="23"/>
      <c r="D547" s="23"/>
      <c r="E547" s="23"/>
      <c r="F547" s="23"/>
      <c r="G547" s="23"/>
      <c r="H547" s="23"/>
      <c r="I547" s="23"/>
      <c r="J547" s="23"/>
      <c r="K547" s="23"/>
      <c r="L547"/>
      <c r="M547"/>
      <c r="N547"/>
      <c r="O547"/>
      <c r="P547"/>
      <c r="Q547"/>
      <c r="R547"/>
      <c r="S547"/>
    </row>
    <row r="548" spans="2:19">
      <c r="B548" s="510"/>
      <c r="C548" s="23"/>
      <c r="D548" s="23"/>
      <c r="E548" s="23"/>
      <c r="F548" s="23"/>
      <c r="G548" s="23"/>
      <c r="H548" s="23"/>
      <c r="I548" s="23"/>
      <c r="J548" s="23"/>
      <c r="K548" s="23"/>
      <c r="L548"/>
      <c r="M548"/>
      <c r="N548"/>
      <c r="O548"/>
      <c r="P548"/>
      <c r="Q548"/>
      <c r="R548"/>
      <c r="S548"/>
    </row>
    <row r="549" spans="2:19">
      <c r="B549" s="510"/>
      <c r="C549" s="23"/>
      <c r="D549" s="23"/>
      <c r="E549" s="23"/>
      <c r="F549" s="23"/>
      <c r="G549" s="23"/>
      <c r="H549" s="23"/>
      <c r="I549" s="23"/>
      <c r="J549" s="23"/>
      <c r="K549" s="23"/>
      <c r="L549"/>
      <c r="M549"/>
      <c r="N549"/>
      <c r="O549"/>
      <c r="P549"/>
      <c r="Q549"/>
      <c r="R549"/>
      <c r="S549"/>
    </row>
    <row r="550" spans="2:19">
      <c r="B550" s="510"/>
      <c r="C550" s="23"/>
      <c r="D550" s="23"/>
      <c r="E550" s="23"/>
      <c r="F550" s="23"/>
      <c r="G550" s="23"/>
      <c r="H550" s="23"/>
      <c r="I550" s="23"/>
      <c r="J550" s="23"/>
      <c r="K550" s="23"/>
      <c r="L550"/>
      <c r="M550"/>
      <c r="N550"/>
      <c r="O550"/>
      <c r="P550"/>
      <c r="Q550"/>
      <c r="R550"/>
      <c r="S550"/>
    </row>
    <row r="551" spans="2:19">
      <c r="B551" s="510"/>
      <c r="C551" s="23"/>
      <c r="D551" s="23"/>
      <c r="E551" s="23"/>
      <c r="F551" s="23"/>
      <c r="G551" s="23"/>
      <c r="H551" s="23"/>
      <c r="I551" s="23"/>
      <c r="J551" s="23"/>
      <c r="K551" s="23"/>
      <c r="L551"/>
      <c r="M551"/>
      <c r="N551"/>
      <c r="O551"/>
      <c r="P551"/>
      <c r="Q551"/>
      <c r="R551"/>
      <c r="S551"/>
    </row>
    <row r="552" spans="2:19">
      <c r="B552" s="510"/>
      <c r="C552" s="23"/>
      <c r="D552" s="23"/>
      <c r="E552" s="23"/>
      <c r="F552" s="23"/>
      <c r="G552" s="23"/>
      <c r="H552" s="23"/>
      <c r="I552" s="23"/>
      <c r="J552" s="23"/>
      <c r="K552" s="23"/>
      <c r="L552"/>
      <c r="M552"/>
      <c r="N552"/>
      <c r="O552"/>
      <c r="P552"/>
      <c r="Q552"/>
      <c r="R552"/>
      <c r="S552"/>
    </row>
    <row r="553" spans="2:19">
      <c r="B553" s="510"/>
      <c r="C553" s="23"/>
      <c r="D553" s="23"/>
      <c r="E553" s="23"/>
      <c r="F553" s="23"/>
      <c r="G553" s="23"/>
      <c r="H553" s="23"/>
      <c r="I553" s="23"/>
      <c r="J553" s="23"/>
      <c r="K553" s="23"/>
      <c r="L553"/>
      <c r="M553"/>
      <c r="N553"/>
      <c r="O553"/>
      <c r="P553"/>
      <c r="Q553"/>
      <c r="R553"/>
      <c r="S553"/>
    </row>
    <row r="554" spans="2:19">
      <c r="B554" s="510"/>
      <c r="C554" s="23"/>
      <c r="D554" s="23"/>
      <c r="E554" s="23"/>
      <c r="F554" s="23"/>
      <c r="G554" s="23"/>
      <c r="H554" s="23"/>
      <c r="I554" s="23"/>
      <c r="J554" s="23"/>
      <c r="K554" s="23"/>
      <c r="L554"/>
      <c r="M554"/>
      <c r="N554"/>
      <c r="O554"/>
      <c r="P554"/>
      <c r="Q554"/>
      <c r="R554"/>
      <c r="S554"/>
    </row>
    <row r="555" spans="2:19">
      <c r="B555" s="510"/>
      <c r="C555" s="23"/>
      <c r="D555" s="23"/>
      <c r="E555" s="23"/>
      <c r="F555" s="23"/>
      <c r="G555" s="23"/>
      <c r="H555" s="23"/>
      <c r="I555" s="23"/>
      <c r="J555" s="23"/>
      <c r="K555" s="23"/>
      <c r="L555"/>
      <c r="M555"/>
      <c r="N555"/>
      <c r="O555"/>
      <c r="P555"/>
      <c r="Q555"/>
      <c r="R555"/>
      <c r="S555"/>
    </row>
    <row r="556" spans="2:19">
      <c r="B556" s="510"/>
      <c r="C556" s="23"/>
      <c r="D556" s="23"/>
      <c r="E556" s="23"/>
      <c r="F556" s="23"/>
      <c r="G556" s="23"/>
      <c r="H556" s="23"/>
      <c r="I556" s="23"/>
      <c r="J556" s="23"/>
      <c r="K556" s="23"/>
      <c r="L556"/>
      <c r="M556"/>
      <c r="N556"/>
      <c r="O556"/>
      <c r="P556"/>
      <c r="Q556"/>
      <c r="R556"/>
      <c r="S556"/>
    </row>
    <row r="557" spans="2:19">
      <c r="B557" s="510"/>
      <c r="C557" s="23"/>
      <c r="D557" s="23"/>
      <c r="E557" s="23"/>
      <c r="F557" s="23"/>
      <c r="G557" s="23"/>
      <c r="H557" s="23"/>
      <c r="I557" s="23"/>
      <c r="J557" s="23"/>
      <c r="K557" s="23"/>
      <c r="L557"/>
      <c r="M557"/>
      <c r="N557"/>
      <c r="O557"/>
      <c r="P557"/>
      <c r="Q557"/>
      <c r="R557"/>
      <c r="S557"/>
    </row>
    <row r="558" spans="2:19">
      <c r="B558" s="510"/>
      <c r="C558" s="23"/>
      <c r="D558" s="23"/>
      <c r="E558" s="23"/>
      <c r="F558" s="23"/>
      <c r="G558" s="23"/>
      <c r="H558" s="23"/>
      <c r="I558" s="23"/>
      <c r="J558" s="23"/>
      <c r="K558" s="23"/>
      <c r="L558"/>
      <c r="M558"/>
      <c r="N558"/>
      <c r="O558"/>
      <c r="P558"/>
      <c r="Q558"/>
      <c r="R558"/>
      <c r="S558"/>
    </row>
    <row r="559" spans="2:19">
      <c r="B559" s="510"/>
      <c r="C559" s="23"/>
      <c r="D559" s="23"/>
      <c r="E559" s="23"/>
      <c r="F559" s="23"/>
      <c r="G559" s="23"/>
      <c r="H559" s="23"/>
      <c r="I559" s="23"/>
      <c r="J559" s="23"/>
      <c r="K559" s="23"/>
      <c r="L559"/>
      <c r="M559"/>
      <c r="N559"/>
      <c r="O559"/>
      <c r="P559"/>
      <c r="Q559"/>
      <c r="R559"/>
      <c r="S559"/>
    </row>
    <row r="560" spans="2:19">
      <c r="B560" s="510"/>
      <c r="C560" s="23"/>
      <c r="D560" s="23"/>
      <c r="E560" s="23"/>
      <c r="F560" s="23"/>
      <c r="G560" s="23"/>
      <c r="H560" s="23"/>
      <c r="I560" s="23"/>
      <c r="J560" s="23"/>
      <c r="K560" s="23"/>
      <c r="L560"/>
      <c r="M560"/>
      <c r="N560"/>
      <c r="O560"/>
      <c r="P560"/>
      <c r="Q560"/>
      <c r="R560"/>
      <c r="S560"/>
    </row>
    <row r="561" spans="2:19">
      <c r="B561" s="510"/>
      <c r="C561" s="23"/>
      <c r="D561" s="23"/>
      <c r="E561" s="23"/>
      <c r="F561" s="23"/>
      <c r="G561" s="23"/>
      <c r="H561" s="23"/>
      <c r="I561" s="23"/>
      <c r="J561" s="23"/>
      <c r="K561" s="23"/>
      <c r="L561"/>
      <c r="M561"/>
      <c r="N561"/>
      <c r="O561"/>
      <c r="P561"/>
      <c r="Q561"/>
      <c r="R561"/>
      <c r="S561"/>
    </row>
    <row r="562" spans="2:19">
      <c r="B562" s="510"/>
      <c r="C562" s="23"/>
      <c r="D562" s="23"/>
      <c r="E562" s="23"/>
      <c r="F562" s="23"/>
      <c r="G562" s="23"/>
      <c r="H562" s="23"/>
      <c r="I562" s="23"/>
      <c r="J562" s="23"/>
      <c r="K562" s="23"/>
      <c r="L562"/>
      <c r="M562"/>
      <c r="N562"/>
      <c r="O562"/>
      <c r="P562"/>
      <c r="Q562"/>
      <c r="R562"/>
      <c r="S562"/>
    </row>
    <row r="563" spans="2:19">
      <c r="B563" s="510"/>
      <c r="C563" s="23"/>
      <c r="D563" s="23"/>
      <c r="E563" s="23"/>
      <c r="F563" s="23"/>
      <c r="G563" s="23"/>
      <c r="H563" s="23"/>
      <c r="I563" s="23"/>
      <c r="J563" s="23"/>
      <c r="K563" s="23"/>
      <c r="L563"/>
      <c r="M563"/>
      <c r="N563"/>
      <c r="O563"/>
      <c r="P563"/>
      <c r="Q563"/>
      <c r="R563"/>
      <c r="S563"/>
    </row>
    <row r="564" spans="2:19">
      <c r="B564" s="510"/>
      <c r="C564" s="23"/>
      <c r="D564" s="23"/>
      <c r="E564" s="23"/>
      <c r="F564" s="23"/>
      <c r="G564" s="23"/>
      <c r="H564" s="23"/>
      <c r="I564" s="23"/>
      <c r="J564" s="23"/>
      <c r="K564" s="23"/>
      <c r="L564"/>
      <c r="M564"/>
      <c r="N564"/>
      <c r="O564"/>
      <c r="P564"/>
      <c r="Q564"/>
      <c r="R564"/>
      <c r="S564"/>
    </row>
    <row r="565" spans="2:19">
      <c r="B565" s="510"/>
      <c r="C565" s="23"/>
      <c r="D565" s="23"/>
      <c r="E565" s="23"/>
      <c r="F565" s="23"/>
      <c r="G565" s="23"/>
      <c r="H565" s="23"/>
      <c r="I565" s="23"/>
      <c r="J565" s="23"/>
      <c r="K565" s="23"/>
      <c r="L565"/>
      <c r="M565"/>
      <c r="N565"/>
      <c r="O565"/>
      <c r="P565"/>
      <c r="Q565"/>
      <c r="R565"/>
      <c r="S565"/>
    </row>
    <row r="566" spans="2:19">
      <c r="B566" s="510"/>
      <c r="C566" s="23"/>
      <c r="D566" s="23"/>
      <c r="E566" s="23"/>
      <c r="F566" s="23"/>
      <c r="G566" s="23"/>
      <c r="H566" s="23"/>
      <c r="I566" s="23"/>
      <c r="J566" s="23"/>
      <c r="K566" s="23"/>
      <c r="L566"/>
      <c r="M566"/>
      <c r="N566"/>
      <c r="O566"/>
      <c r="P566"/>
      <c r="Q566"/>
      <c r="R566"/>
      <c r="S566"/>
    </row>
    <row r="567" spans="2:19">
      <c r="B567" s="510"/>
      <c r="C567" s="23"/>
      <c r="D567" s="23"/>
      <c r="E567" s="23"/>
      <c r="F567" s="23"/>
      <c r="G567" s="23"/>
      <c r="H567" s="23"/>
      <c r="I567" s="23"/>
      <c r="J567" s="23"/>
      <c r="K567" s="23"/>
      <c r="L567"/>
      <c r="M567"/>
      <c r="N567"/>
      <c r="O567"/>
      <c r="P567"/>
      <c r="Q567"/>
      <c r="R567"/>
      <c r="S567"/>
    </row>
    <row r="568" spans="2:19">
      <c r="B568" s="510"/>
      <c r="C568" s="23"/>
      <c r="D568" s="23"/>
      <c r="E568" s="23"/>
      <c r="F568" s="23"/>
      <c r="G568" s="23"/>
      <c r="H568" s="23"/>
      <c r="I568" s="23"/>
      <c r="J568" s="23"/>
      <c r="K568" s="23"/>
      <c r="L568"/>
      <c r="M568"/>
      <c r="N568"/>
      <c r="O568"/>
      <c r="P568"/>
      <c r="Q568"/>
      <c r="R568"/>
      <c r="S568"/>
    </row>
    <row r="569" spans="2:19">
      <c r="B569" s="510"/>
      <c r="C569" s="23"/>
      <c r="D569" s="23"/>
      <c r="E569" s="23"/>
      <c r="F569" s="23"/>
      <c r="G569" s="23"/>
      <c r="H569" s="23"/>
      <c r="I569" s="23"/>
      <c r="J569" s="23"/>
      <c r="K569" s="23"/>
      <c r="L569"/>
      <c r="M569"/>
      <c r="N569"/>
      <c r="O569"/>
      <c r="P569"/>
      <c r="Q569"/>
      <c r="R569"/>
      <c r="S569"/>
    </row>
    <row r="570" spans="2:19">
      <c r="B570" s="510"/>
      <c r="C570" s="23"/>
      <c r="D570" s="23"/>
      <c r="E570" s="23"/>
      <c r="F570" s="23"/>
      <c r="G570" s="23"/>
      <c r="H570" s="23"/>
      <c r="I570" s="23"/>
      <c r="J570" s="23"/>
      <c r="K570" s="23"/>
      <c r="L570"/>
      <c r="M570"/>
      <c r="N570"/>
      <c r="O570"/>
      <c r="P570"/>
      <c r="Q570"/>
      <c r="R570"/>
      <c r="S570"/>
    </row>
    <row r="571" spans="2:19">
      <c r="B571" s="510"/>
      <c r="C571" s="23"/>
      <c r="D571" s="23"/>
      <c r="E571" s="23"/>
      <c r="F571" s="23"/>
      <c r="G571" s="23"/>
      <c r="H571" s="23"/>
      <c r="I571" s="23"/>
      <c r="J571" s="23"/>
      <c r="K571" s="23"/>
      <c r="L571"/>
      <c r="M571"/>
      <c r="N571"/>
      <c r="O571"/>
      <c r="P571"/>
      <c r="Q571"/>
      <c r="R571"/>
      <c r="S571"/>
    </row>
    <row r="572" spans="2:19">
      <c r="B572" s="510"/>
      <c r="C572" s="23"/>
      <c r="D572" s="23"/>
      <c r="E572" s="23"/>
      <c r="F572" s="23"/>
      <c r="G572" s="23"/>
      <c r="H572" s="23"/>
      <c r="I572" s="23"/>
      <c r="J572" s="23"/>
      <c r="K572" s="23"/>
      <c r="L572"/>
      <c r="M572"/>
      <c r="N572"/>
      <c r="O572"/>
      <c r="P572"/>
      <c r="Q572"/>
      <c r="R572"/>
      <c r="S572"/>
    </row>
    <row r="573" spans="2:19">
      <c r="B573" s="510"/>
      <c r="C573" s="23"/>
      <c r="D573" s="23"/>
      <c r="E573" s="23"/>
      <c r="F573" s="23"/>
      <c r="G573" s="23"/>
      <c r="H573" s="23"/>
      <c r="I573" s="23"/>
      <c r="J573" s="23"/>
      <c r="K573" s="23"/>
      <c r="L573"/>
      <c r="M573"/>
      <c r="N573"/>
      <c r="O573"/>
      <c r="P573"/>
      <c r="Q573"/>
      <c r="R573"/>
      <c r="S573"/>
    </row>
    <row r="574" spans="2:19">
      <c r="B574" s="510"/>
      <c r="C574" s="23"/>
      <c r="D574" s="23"/>
      <c r="E574" s="23"/>
      <c r="F574" s="23"/>
      <c r="G574" s="23"/>
      <c r="H574" s="23"/>
      <c r="I574" s="23"/>
      <c r="J574" s="23"/>
      <c r="K574" s="23"/>
      <c r="L574"/>
      <c r="M574"/>
      <c r="N574"/>
      <c r="O574"/>
      <c r="P574"/>
      <c r="Q574"/>
      <c r="R574"/>
      <c r="S574"/>
    </row>
    <row r="575" spans="2:19">
      <c r="B575" s="510"/>
      <c r="C575" s="23"/>
      <c r="D575" s="23"/>
      <c r="E575" s="23"/>
      <c r="F575" s="23"/>
      <c r="G575" s="23"/>
      <c r="H575" s="23"/>
      <c r="I575" s="23"/>
      <c r="J575" s="23"/>
      <c r="K575" s="23"/>
      <c r="L575"/>
      <c r="M575"/>
      <c r="N575"/>
      <c r="O575"/>
      <c r="P575"/>
      <c r="Q575"/>
      <c r="R575"/>
      <c r="S575"/>
    </row>
    <row r="576" spans="2:19">
      <c r="B576" s="510"/>
      <c r="C576" s="23"/>
      <c r="D576" s="23"/>
      <c r="E576" s="23"/>
      <c r="F576" s="23"/>
      <c r="G576" s="23"/>
      <c r="H576" s="23"/>
      <c r="I576" s="23"/>
      <c r="J576" s="23"/>
      <c r="K576" s="23"/>
      <c r="L576"/>
      <c r="M576"/>
      <c r="N576"/>
      <c r="O576"/>
      <c r="P576"/>
      <c r="Q576"/>
      <c r="R576"/>
      <c r="S576"/>
    </row>
    <row r="577" spans="2:19">
      <c r="B577" s="510"/>
      <c r="C577" s="23"/>
      <c r="D577" s="23"/>
      <c r="E577" s="23"/>
      <c r="F577" s="23"/>
      <c r="G577" s="23"/>
      <c r="H577" s="23"/>
      <c r="I577" s="23"/>
      <c r="J577" s="23"/>
      <c r="K577" s="23"/>
      <c r="L577"/>
      <c r="M577"/>
      <c r="N577"/>
      <c r="O577"/>
      <c r="P577"/>
      <c r="Q577"/>
      <c r="R577"/>
      <c r="S577"/>
    </row>
    <row r="578" spans="2:19">
      <c r="B578" s="510"/>
      <c r="C578" s="23"/>
      <c r="D578" s="23"/>
      <c r="E578" s="23"/>
      <c r="F578" s="23"/>
      <c r="G578" s="23"/>
      <c r="H578" s="23"/>
      <c r="I578" s="23"/>
      <c r="J578" s="23"/>
      <c r="K578" s="23"/>
      <c r="L578"/>
      <c r="M578"/>
      <c r="N578"/>
      <c r="O578"/>
      <c r="P578"/>
      <c r="Q578"/>
      <c r="R578"/>
      <c r="S578"/>
    </row>
    <row r="579" spans="2:19">
      <c r="B579" s="510"/>
      <c r="C579" s="23"/>
      <c r="D579" s="23"/>
      <c r="E579" s="23"/>
      <c r="F579" s="23"/>
      <c r="G579" s="23"/>
      <c r="H579" s="23"/>
      <c r="I579" s="23"/>
      <c r="J579" s="23"/>
      <c r="K579" s="23"/>
      <c r="L579"/>
      <c r="M579"/>
      <c r="N579"/>
      <c r="O579"/>
      <c r="P579"/>
      <c r="Q579"/>
      <c r="R579"/>
      <c r="S579"/>
    </row>
    <row r="580" spans="2:19">
      <c r="B580" s="510"/>
      <c r="C580" s="23"/>
      <c r="D580" s="23"/>
      <c r="E580" s="23"/>
      <c r="F580" s="23"/>
      <c r="G580" s="23"/>
      <c r="H580" s="23"/>
      <c r="I580" s="23"/>
      <c r="J580" s="23"/>
      <c r="K580" s="23"/>
      <c r="L580"/>
      <c r="M580"/>
      <c r="N580"/>
      <c r="O580"/>
      <c r="P580"/>
      <c r="Q580"/>
      <c r="R580"/>
      <c r="S580"/>
    </row>
    <row r="581" spans="2:19">
      <c r="B581" s="510"/>
      <c r="C581" s="23"/>
      <c r="D581" s="23"/>
      <c r="E581" s="23"/>
      <c r="F581" s="23"/>
      <c r="G581" s="23"/>
      <c r="H581" s="23"/>
      <c r="I581" s="23"/>
      <c r="J581" s="23"/>
      <c r="K581" s="23"/>
      <c r="L581"/>
      <c r="M581"/>
      <c r="N581"/>
      <c r="O581"/>
      <c r="P581"/>
      <c r="Q581"/>
      <c r="R581"/>
      <c r="S581"/>
    </row>
    <row r="582" spans="2:19">
      <c r="B582" s="510"/>
      <c r="C582" s="23"/>
      <c r="D582" s="23"/>
      <c r="E582" s="23"/>
      <c r="F582" s="23"/>
      <c r="G582" s="23"/>
      <c r="H582" s="23"/>
      <c r="I582" s="23"/>
      <c r="J582" s="23"/>
      <c r="K582" s="23"/>
      <c r="L582"/>
      <c r="M582"/>
      <c r="N582"/>
      <c r="O582"/>
      <c r="P582"/>
      <c r="Q582"/>
      <c r="R582"/>
      <c r="S582"/>
    </row>
    <row r="583" spans="2:19">
      <c r="B583" s="510"/>
      <c r="C583" s="23"/>
      <c r="D583" s="23"/>
      <c r="E583" s="23"/>
      <c r="F583" s="23"/>
      <c r="G583" s="23"/>
      <c r="H583" s="23"/>
      <c r="I583" s="23"/>
      <c r="J583" s="23"/>
      <c r="K583" s="23"/>
      <c r="L583"/>
      <c r="M583"/>
      <c r="N583"/>
      <c r="O583"/>
      <c r="P583"/>
      <c r="Q583"/>
      <c r="R583"/>
      <c r="S583"/>
    </row>
    <row r="584" spans="2:19">
      <c r="B584" s="510"/>
      <c r="C584" s="23"/>
      <c r="D584" s="23"/>
      <c r="E584" s="23"/>
      <c r="F584" s="23"/>
      <c r="G584" s="23"/>
      <c r="H584" s="23"/>
      <c r="I584" s="23"/>
      <c r="J584" s="23"/>
      <c r="K584" s="23"/>
      <c r="L584"/>
      <c r="M584"/>
      <c r="N584"/>
      <c r="O584"/>
      <c r="P584"/>
      <c r="Q584"/>
      <c r="R584"/>
      <c r="S584"/>
    </row>
    <row r="585" spans="2:19">
      <c r="B585" s="510"/>
      <c r="C585" s="23"/>
      <c r="D585" s="23"/>
      <c r="E585" s="23"/>
      <c r="F585" s="23"/>
      <c r="G585" s="23"/>
      <c r="H585" s="23"/>
      <c r="I585" s="23"/>
      <c r="J585" s="23"/>
      <c r="K585" s="23"/>
      <c r="L585"/>
      <c r="M585"/>
      <c r="N585"/>
      <c r="O585"/>
      <c r="P585"/>
      <c r="Q585"/>
      <c r="R585"/>
      <c r="S585"/>
    </row>
    <row r="586" spans="2:19">
      <c r="B586" s="510"/>
      <c r="C586" s="1"/>
      <c r="D586" s="1"/>
      <c r="E586" s="1"/>
      <c r="F586" s="1"/>
      <c r="G586" s="1"/>
      <c r="H586" s="1"/>
      <c r="I586" s="1"/>
      <c r="J586" s="1"/>
      <c r="K586" s="1"/>
      <c r="L586"/>
      <c r="M586"/>
      <c r="N586"/>
      <c r="O586"/>
      <c r="P586"/>
      <c r="Q586"/>
      <c r="R586"/>
      <c r="S586"/>
    </row>
    <row r="587" spans="2:19">
      <c r="B587" s="510"/>
      <c r="C587" s="1"/>
      <c r="D587" s="1"/>
      <c r="E587" s="1"/>
      <c r="F587" s="1"/>
      <c r="G587" s="1"/>
      <c r="H587" s="1"/>
      <c r="I587" s="1"/>
      <c r="J587" s="1"/>
      <c r="K587" s="1"/>
      <c r="L587"/>
      <c r="M587"/>
      <c r="N587"/>
      <c r="O587"/>
      <c r="P587"/>
      <c r="Q587"/>
      <c r="R587"/>
      <c r="S587"/>
    </row>
    <row r="588" spans="2:19">
      <c r="B588" s="510"/>
      <c r="C588" s="1"/>
      <c r="D588" s="1"/>
      <c r="E588" s="1"/>
      <c r="F588" s="1"/>
      <c r="G588" s="1"/>
      <c r="H588" s="1"/>
      <c r="I588" s="1"/>
      <c r="J588" s="1"/>
      <c r="K588" s="1"/>
      <c r="L588"/>
      <c r="M588"/>
      <c r="N588"/>
      <c r="O588"/>
      <c r="P588"/>
      <c r="Q588"/>
      <c r="R588"/>
      <c r="S588"/>
    </row>
    <row r="589" spans="2:19">
      <c r="B589" s="510"/>
      <c r="C589" s="1"/>
      <c r="D589" s="1"/>
      <c r="E589" s="1"/>
      <c r="F589" s="1"/>
      <c r="G589" s="1"/>
      <c r="H589" s="1"/>
      <c r="I589" s="1"/>
      <c r="J589" s="1"/>
      <c r="K589" s="1"/>
      <c r="L589"/>
      <c r="M589"/>
      <c r="N589"/>
      <c r="O589"/>
      <c r="P589"/>
      <c r="Q589"/>
      <c r="R589"/>
      <c r="S589"/>
    </row>
    <row r="590" spans="2:19">
      <c r="B590" s="510"/>
      <c r="C590" s="1"/>
      <c r="D590" s="1"/>
      <c r="E590" s="1"/>
      <c r="F590" s="1"/>
      <c r="G590" s="1"/>
      <c r="H590" s="1"/>
      <c r="I590" s="1"/>
      <c r="J590" s="1"/>
      <c r="K590" s="1"/>
      <c r="L590"/>
      <c r="M590"/>
      <c r="N590"/>
      <c r="O590"/>
      <c r="P590"/>
      <c r="Q590"/>
      <c r="R590"/>
      <c r="S590"/>
    </row>
    <row r="591" spans="2:19">
      <c r="B591" s="510"/>
      <c r="C591" s="1"/>
      <c r="D591" s="1"/>
      <c r="E591" s="1"/>
      <c r="F591" s="1"/>
      <c r="G591" s="1"/>
      <c r="H591" s="1"/>
      <c r="I591" s="1"/>
      <c r="J591" s="1"/>
      <c r="K591" s="1"/>
      <c r="L591"/>
      <c r="M591"/>
      <c r="N591"/>
      <c r="O591"/>
      <c r="P591"/>
      <c r="Q591"/>
      <c r="R591"/>
      <c r="S591"/>
    </row>
    <row r="592" spans="2:19">
      <c r="B592" s="510"/>
      <c r="C592" s="1"/>
      <c r="D592" s="1"/>
      <c r="E592" s="1"/>
      <c r="F592" s="1"/>
      <c r="G592" s="1"/>
      <c r="H592" s="1"/>
      <c r="I592" s="1"/>
      <c r="J592" s="1"/>
      <c r="K592" s="1"/>
      <c r="L592"/>
      <c r="M592"/>
      <c r="N592"/>
      <c r="O592"/>
      <c r="P592"/>
      <c r="Q592"/>
      <c r="R592"/>
      <c r="S592"/>
    </row>
    <row r="593" spans="2:19">
      <c r="B593" s="510"/>
      <c r="C593" s="1"/>
      <c r="D593" s="1"/>
      <c r="E593" s="1"/>
      <c r="F593" s="1"/>
      <c r="G593" s="1"/>
      <c r="H593" s="1"/>
      <c r="I593" s="1"/>
      <c r="J593" s="1"/>
      <c r="K593" s="1"/>
      <c r="L593"/>
      <c r="M593"/>
      <c r="N593"/>
      <c r="O593"/>
      <c r="P593"/>
      <c r="Q593"/>
      <c r="R593"/>
      <c r="S593"/>
    </row>
    <row r="594" spans="2:19">
      <c r="B594" s="510"/>
      <c r="C594" s="1"/>
      <c r="D594" s="1"/>
      <c r="E594" s="1"/>
      <c r="F594" s="1"/>
      <c r="G594" s="1"/>
      <c r="H594" s="1"/>
      <c r="I594" s="1"/>
      <c r="J594" s="1"/>
      <c r="K594" s="1"/>
      <c r="L594"/>
      <c r="M594"/>
      <c r="N594"/>
      <c r="O594"/>
      <c r="P594"/>
      <c r="Q594"/>
      <c r="R594"/>
      <c r="S594"/>
    </row>
    <row r="595" spans="2:19">
      <c r="B595" s="510"/>
      <c r="C595" s="1"/>
      <c r="D595" s="1"/>
      <c r="E595" s="1"/>
      <c r="F595" s="1"/>
      <c r="G595" s="1"/>
      <c r="H595" s="1"/>
      <c r="I595" s="1"/>
      <c r="J595" s="1"/>
      <c r="K595" s="1"/>
      <c r="L595"/>
      <c r="M595"/>
      <c r="N595"/>
      <c r="O595"/>
      <c r="P595"/>
      <c r="Q595"/>
      <c r="R595"/>
      <c r="S595"/>
    </row>
    <row r="596" spans="2:19">
      <c r="B596" s="510"/>
      <c r="C596" s="1"/>
      <c r="D596" s="1"/>
      <c r="E596" s="1"/>
      <c r="F596" s="1"/>
      <c r="G596" s="1"/>
      <c r="H596" s="1"/>
      <c r="I596" s="1"/>
      <c r="J596" s="1"/>
      <c r="K596" s="1"/>
      <c r="L596"/>
      <c r="M596"/>
      <c r="N596"/>
      <c r="O596"/>
      <c r="P596"/>
      <c r="Q596"/>
      <c r="R596"/>
      <c r="S596"/>
    </row>
    <row r="597" spans="2:19">
      <c r="B597" s="510"/>
      <c r="C597" s="1"/>
      <c r="D597" s="1"/>
      <c r="E597" s="1"/>
      <c r="F597" s="1"/>
      <c r="G597" s="1"/>
      <c r="H597" s="1"/>
      <c r="I597" s="1"/>
      <c r="J597" s="1"/>
      <c r="K597" s="1"/>
      <c r="L597"/>
      <c r="M597"/>
      <c r="N597"/>
      <c r="O597"/>
      <c r="P597"/>
      <c r="Q597"/>
      <c r="R597"/>
      <c r="S597"/>
    </row>
    <row r="598" spans="2:19">
      <c r="B598" s="510"/>
      <c r="C598" s="1"/>
      <c r="D598" s="1"/>
      <c r="E598" s="1"/>
      <c r="F598" s="1"/>
      <c r="G598" s="1"/>
      <c r="H598" s="1"/>
      <c r="I598" s="1"/>
      <c r="J598" s="1"/>
      <c r="K598" s="1"/>
      <c r="L598"/>
      <c r="M598"/>
      <c r="N598"/>
      <c r="O598"/>
      <c r="P598"/>
      <c r="Q598"/>
      <c r="R598"/>
      <c r="S598"/>
    </row>
    <row r="599" spans="2:19">
      <c r="B599" s="510"/>
      <c r="C599" s="1"/>
      <c r="D599" s="1"/>
      <c r="E599" s="1"/>
      <c r="F599" s="1"/>
      <c r="G599" s="1"/>
      <c r="H599" s="1"/>
      <c r="I599" s="1"/>
      <c r="J599" s="1"/>
      <c r="K599" s="1"/>
      <c r="L599"/>
      <c r="M599"/>
      <c r="N599"/>
      <c r="O599"/>
      <c r="P599"/>
      <c r="Q599"/>
      <c r="R599"/>
      <c r="S599"/>
    </row>
    <row r="600" spans="2:19">
      <c r="B600" s="510"/>
      <c r="C600" s="1"/>
      <c r="D600" s="1"/>
      <c r="E600" s="1"/>
      <c r="F600" s="1"/>
      <c r="G600" s="1"/>
      <c r="H600" s="1"/>
      <c r="I600" s="1"/>
      <c r="J600" s="1"/>
      <c r="K600" s="1"/>
      <c r="L600"/>
      <c r="M600"/>
      <c r="N600"/>
      <c r="O600"/>
      <c r="P600"/>
      <c r="Q600"/>
      <c r="R600"/>
      <c r="S600"/>
    </row>
    <row r="601" spans="2:19">
      <c r="B601" s="510"/>
      <c r="C601" s="1"/>
      <c r="D601" s="1"/>
      <c r="E601" s="1"/>
      <c r="F601" s="1"/>
      <c r="G601" s="1"/>
      <c r="H601" s="1"/>
      <c r="I601" s="1"/>
      <c r="J601" s="1"/>
      <c r="K601" s="1"/>
      <c r="L601"/>
      <c r="M601"/>
      <c r="N601"/>
      <c r="O601"/>
      <c r="P601"/>
      <c r="Q601"/>
      <c r="R601"/>
      <c r="S601"/>
    </row>
    <row r="602" spans="2:19">
      <c r="B602" s="510"/>
      <c r="C602" s="1"/>
      <c r="D602" s="1"/>
      <c r="E602" s="1"/>
      <c r="F602" s="1"/>
      <c r="G602" s="1"/>
      <c r="H602" s="1"/>
      <c r="I602" s="1"/>
      <c r="J602" s="1"/>
      <c r="K602" s="1"/>
      <c r="L602"/>
      <c r="M602"/>
      <c r="N602"/>
      <c r="O602"/>
      <c r="P602"/>
      <c r="Q602"/>
      <c r="R602"/>
      <c r="S602"/>
    </row>
    <row r="603" spans="2:19">
      <c r="B603" s="510"/>
      <c r="C603" s="1"/>
      <c r="D603" s="1"/>
      <c r="E603" s="1"/>
      <c r="F603" s="1"/>
      <c r="G603" s="1"/>
      <c r="H603" s="1"/>
      <c r="I603" s="1"/>
      <c r="J603" s="1"/>
      <c r="K603" s="1"/>
      <c r="L603"/>
      <c r="M603"/>
      <c r="N603"/>
      <c r="O603"/>
      <c r="P603"/>
      <c r="Q603"/>
      <c r="R603"/>
      <c r="S603"/>
    </row>
    <row r="604" spans="2:19">
      <c r="B604" s="510"/>
      <c r="C604" s="1"/>
      <c r="D604" s="1"/>
      <c r="E604" s="1"/>
      <c r="F604" s="1"/>
      <c r="G604" s="1"/>
      <c r="H604" s="1"/>
      <c r="I604" s="1"/>
      <c r="J604" s="1"/>
      <c r="K604" s="1"/>
      <c r="L604"/>
      <c r="M604"/>
      <c r="N604"/>
      <c r="O604"/>
      <c r="P604"/>
      <c r="Q604"/>
      <c r="R604"/>
      <c r="S604"/>
    </row>
    <row r="605" spans="2:19">
      <c r="B605" s="510"/>
      <c r="C605" s="1"/>
      <c r="D605" s="1"/>
      <c r="E605" s="1"/>
      <c r="F605" s="1"/>
      <c r="G605" s="1"/>
      <c r="H605" s="1"/>
      <c r="I605" s="1"/>
      <c r="J605" s="1"/>
      <c r="K605" s="1"/>
      <c r="L605"/>
      <c r="M605"/>
      <c r="N605"/>
      <c r="O605"/>
      <c r="P605"/>
      <c r="Q605"/>
      <c r="R605"/>
      <c r="S605"/>
    </row>
    <row r="606" spans="2:19">
      <c r="B606" s="510"/>
      <c r="C606" s="1"/>
      <c r="D606" s="1"/>
      <c r="E606" s="1"/>
      <c r="F606" s="1"/>
      <c r="G606" s="1"/>
      <c r="H606" s="1"/>
      <c r="I606" s="1"/>
      <c r="J606" s="1"/>
      <c r="K606" s="1"/>
      <c r="L606"/>
      <c r="M606"/>
      <c r="N606"/>
      <c r="O606"/>
      <c r="P606"/>
      <c r="Q606"/>
      <c r="R606"/>
      <c r="S606"/>
    </row>
    <row r="607" spans="2:19">
      <c r="B607" s="510"/>
      <c r="C607" s="1"/>
      <c r="D607" s="1"/>
      <c r="E607" s="1"/>
      <c r="F607" s="1"/>
      <c r="G607" s="1"/>
      <c r="H607" s="1"/>
      <c r="I607" s="1"/>
      <c r="J607" s="1"/>
      <c r="K607" s="1"/>
      <c r="L607"/>
      <c r="M607"/>
      <c r="N607"/>
      <c r="O607"/>
      <c r="P607"/>
      <c r="Q607"/>
      <c r="R607"/>
      <c r="S607"/>
    </row>
    <row r="608" spans="2:19">
      <c r="B608" s="510"/>
      <c r="C608" s="1"/>
      <c r="D608" s="1"/>
      <c r="E608" s="1"/>
      <c r="F608" s="1"/>
      <c r="G608" s="1"/>
      <c r="H608" s="1"/>
      <c r="I608" s="1"/>
      <c r="J608" s="1"/>
      <c r="K608" s="1"/>
      <c r="L608"/>
      <c r="M608"/>
      <c r="N608"/>
      <c r="O608"/>
      <c r="P608"/>
      <c r="Q608"/>
      <c r="R608"/>
      <c r="S608"/>
    </row>
    <row r="609" spans="2:19">
      <c r="B609" s="510"/>
      <c r="C609" s="1"/>
      <c r="D609" s="1"/>
      <c r="E609" s="1"/>
      <c r="F609" s="1"/>
      <c r="G609" s="1"/>
      <c r="H609" s="1"/>
      <c r="I609" s="1"/>
      <c r="J609" s="1"/>
      <c r="K609" s="1"/>
      <c r="L609"/>
      <c r="M609"/>
      <c r="N609"/>
      <c r="O609"/>
      <c r="P609"/>
      <c r="Q609"/>
      <c r="R609"/>
      <c r="S609"/>
    </row>
    <row r="610" spans="2:19">
      <c r="B610" s="510"/>
      <c r="C610" s="1"/>
      <c r="D610" s="1"/>
      <c r="E610" s="1"/>
      <c r="F610" s="1"/>
      <c r="G610" s="1"/>
      <c r="H610" s="1"/>
      <c r="I610" s="1"/>
      <c r="J610" s="1"/>
      <c r="K610" s="1"/>
      <c r="L610"/>
      <c r="M610"/>
      <c r="N610"/>
      <c r="O610"/>
      <c r="P610"/>
      <c r="Q610"/>
      <c r="R610"/>
      <c r="S610"/>
    </row>
    <row r="611" spans="2:19">
      <c r="B611" s="510"/>
      <c r="C611" s="1"/>
      <c r="D611" s="1"/>
      <c r="E611" s="1"/>
      <c r="F611" s="1"/>
      <c r="G611" s="1"/>
      <c r="H611" s="1"/>
      <c r="I611" s="1"/>
      <c r="J611" s="1"/>
      <c r="K611" s="1"/>
      <c r="L611"/>
      <c r="M611"/>
      <c r="N611"/>
      <c r="O611"/>
      <c r="P611"/>
      <c r="Q611"/>
      <c r="R611"/>
      <c r="S611"/>
    </row>
    <row r="612" spans="2:19">
      <c r="B612" s="510"/>
      <c r="C612" s="1"/>
      <c r="D612" s="1"/>
      <c r="E612" s="1"/>
      <c r="F612" s="1"/>
      <c r="G612" s="1"/>
      <c r="H612" s="1"/>
      <c r="I612" s="1"/>
      <c r="J612" s="1"/>
      <c r="K612" s="1"/>
      <c r="L612"/>
      <c r="M612"/>
      <c r="N612"/>
      <c r="O612"/>
      <c r="P612"/>
      <c r="Q612"/>
      <c r="R612"/>
      <c r="S612"/>
    </row>
    <row r="613" spans="2:19">
      <c r="B613" s="510"/>
      <c r="C613" s="1"/>
      <c r="D613" s="1"/>
      <c r="E613" s="1"/>
      <c r="F613" s="1"/>
      <c r="G613" s="1"/>
      <c r="H613" s="1"/>
      <c r="I613" s="1"/>
      <c r="J613" s="1"/>
      <c r="K613" s="1"/>
      <c r="L613"/>
      <c r="M613"/>
      <c r="N613"/>
      <c r="O613"/>
      <c r="P613"/>
      <c r="Q613"/>
      <c r="R613"/>
      <c r="S613"/>
    </row>
    <row r="614" spans="2:19">
      <c r="B614" s="510"/>
      <c r="C614" s="1"/>
      <c r="D614" s="1"/>
      <c r="E614" s="1"/>
      <c r="F614" s="1"/>
      <c r="G614" s="1"/>
      <c r="H614" s="1"/>
      <c r="I614" s="1"/>
      <c r="J614" s="1"/>
      <c r="K614" s="1"/>
      <c r="L614"/>
      <c r="M614"/>
      <c r="N614"/>
      <c r="O614"/>
      <c r="P614"/>
      <c r="Q614"/>
      <c r="R614"/>
      <c r="S614"/>
    </row>
    <row r="615" spans="2:19">
      <c r="B615" s="510"/>
      <c r="C615" s="1"/>
      <c r="D615" s="1"/>
      <c r="E615" s="1"/>
      <c r="F615" s="1"/>
      <c r="G615" s="1"/>
      <c r="H615" s="1"/>
      <c r="I615" s="1"/>
      <c r="J615" s="1"/>
      <c r="K615" s="1"/>
      <c r="L615"/>
      <c r="M615"/>
      <c r="N615"/>
      <c r="O615"/>
      <c r="P615"/>
      <c r="Q615"/>
      <c r="R615"/>
      <c r="S615"/>
    </row>
    <row r="616" spans="2:19">
      <c r="B616" s="510"/>
      <c r="C616" s="1"/>
      <c r="D616" s="1"/>
      <c r="E616" s="1"/>
      <c r="F616" s="1"/>
      <c r="G616" s="1"/>
      <c r="H616" s="1"/>
      <c r="I616" s="1"/>
      <c r="J616" s="1"/>
      <c r="K616" s="1"/>
      <c r="L616"/>
      <c r="M616"/>
      <c r="N616"/>
      <c r="O616"/>
      <c r="P616"/>
      <c r="Q616"/>
      <c r="R616"/>
      <c r="S616"/>
    </row>
    <row r="617" spans="2:19">
      <c r="B617" s="510"/>
      <c r="C617" s="1"/>
      <c r="D617" s="1"/>
      <c r="E617" s="1"/>
      <c r="F617" s="1"/>
      <c r="G617" s="1"/>
      <c r="H617" s="1"/>
      <c r="I617" s="1"/>
      <c r="J617" s="1"/>
      <c r="K617" s="1"/>
      <c r="L617"/>
      <c r="M617"/>
      <c r="N617"/>
      <c r="O617"/>
      <c r="P617"/>
      <c r="Q617"/>
      <c r="R617"/>
      <c r="S617"/>
    </row>
    <row r="618" spans="2:19">
      <c r="B618" s="510"/>
      <c r="C618" s="1"/>
      <c r="D618" s="1"/>
      <c r="E618" s="1"/>
      <c r="F618" s="1"/>
      <c r="G618" s="1"/>
      <c r="H618" s="1"/>
      <c r="I618" s="1"/>
      <c r="J618" s="1"/>
      <c r="K618" s="1"/>
      <c r="L618"/>
      <c r="M618"/>
      <c r="N618"/>
      <c r="O618"/>
      <c r="P618"/>
      <c r="Q618"/>
      <c r="R618"/>
      <c r="S618"/>
    </row>
    <row r="619" spans="2:19">
      <c r="B619" s="510"/>
      <c r="C619" s="1"/>
      <c r="D619" s="1"/>
      <c r="E619" s="1"/>
      <c r="F619" s="1"/>
      <c r="G619" s="1"/>
      <c r="H619" s="1"/>
      <c r="I619" s="1"/>
      <c r="J619" s="1"/>
      <c r="K619" s="1"/>
      <c r="L619"/>
      <c r="M619"/>
      <c r="N619"/>
      <c r="O619"/>
      <c r="P619"/>
      <c r="Q619"/>
      <c r="R619"/>
      <c r="S619"/>
    </row>
    <row r="620" spans="2:19">
      <c r="B620" s="510"/>
      <c r="C620" s="1"/>
      <c r="D620" s="1"/>
      <c r="E620" s="1"/>
      <c r="F620" s="1"/>
      <c r="G620" s="1"/>
      <c r="H620" s="1"/>
      <c r="I620" s="1"/>
      <c r="J620" s="1"/>
      <c r="K620" s="1"/>
      <c r="L620"/>
      <c r="M620"/>
      <c r="N620"/>
      <c r="O620"/>
      <c r="P620"/>
      <c r="Q620"/>
      <c r="R620"/>
      <c r="S620"/>
    </row>
    <row r="621" spans="2:19">
      <c r="B621" s="510"/>
      <c r="C621" s="1"/>
      <c r="D621" s="1"/>
      <c r="E621" s="1"/>
      <c r="F621" s="1"/>
      <c r="G621" s="1"/>
      <c r="H621" s="1"/>
      <c r="I621" s="1"/>
      <c r="J621" s="1"/>
      <c r="K621" s="1"/>
      <c r="L621"/>
      <c r="M621"/>
      <c r="N621"/>
      <c r="O621"/>
      <c r="P621"/>
      <c r="Q621"/>
      <c r="R621"/>
      <c r="S621"/>
    </row>
    <row r="622" spans="2:19">
      <c r="B622" s="510"/>
      <c r="C622" s="1"/>
      <c r="D622" s="1"/>
      <c r="E622" s="1"/>
      <c r="F622" s="1"/>
      <c r="G622" s="1"/>
      <c r="H622" s="1"/>
      <c r="I622" s="1"/>
      <c r="J622" s="1"/>
      <c r="K622" s="1"/>
      <c r="L622"/>
      <c r="M622"/>
      <c r="N622"/>
      <c r="O622"/>
      <c r="P622"/>
      <c r="Q622"/>
      <c r="R622"/>
      <c r="S622"/>
    </row>
    <row r="623" spans="2:19">
      <c r="B623" s="510"/>
      <c r="C623" s="1"/>
      <c r="D623" s="1"/>
      <c r="E623" s="1"/>
      <c r="F623" s="1"/>
      <c r="G623" s="1"/>
      <c r="H623" s="1"/>
      <c r="I623" s="1"/>
      <c r="J623" s="1"/>
      <c r="K623" s="1"/>
      <c r="L623"/>
      <c r="M623"/>
      <c r="N623"/>
      <c r="O623"/>
      <c r="P623"/>
      <c r="Q623"/>
      <c r="R623"/>
      <c r="S623"/>
    </row>
    <row r="624" spans="2:19">
      <c r="B624" s="510"/>
      <c r="C624" s="1"/>
      <c r="D624" s="1"/>
      <c r="E624" s="1"/>
      <c r="F624" s="1"/>
      <c r="G624" s="1"/>
      <c r="H624" s="1"/>
      <c r="I624" s="1"/>
      <c r="J624" s="1"/>
      <c r="K624" s="1"/>
      <c r="L624"/>
      <c r="M624"/>
      <c r="N624"/>
      <c r="O624"/>
      <c r="P624"/>
      <c r="Q624"/>
      <c r="R624"/>
      <c r="S624"/>
    </row>
    <row r="625" spans="2:19">
      <c r="B625" s="510"/>
      <c r="C625" s="1"/>
      <c r="D625" s="1"/>
      <c r="E625" s="1"/>
      <c r="F625" s="1"/>
      <c r="G625" s="1"/>
      <c r="H625" s="1"/>
      <c r="I625" s="1"/>
      <c r="J625" s="1"/>
      <c r="K625" s="1"/>
      <c r="L625"/>
      <c r="M625"/>
      <c r="N625"/>
      <c r="O625"/>
      <c r="P625"/>
      <c r="Q625"/>
      <c r="R625"/>
      <c r="S625"/>
    </row>
    <row r="626" spans="2:19">
      <c r="B626" s="510"/>
      <c r="C626" s="1"/>
      <c r="D626" s="1"/>
      <c r="E626" s="1"/>
      <c r="F626" s="1"/>
      <c r="G626" s="1"/>
      <c r="H626" s="1"/>
      <c r="I626" s="1"/>
      <c r="J626" s="1"/>
      <c r="K626" s="1"/>
      <c r="L626"/>
      <c r="M626"/>
      <c r="N626"/>
      <c r="O626"/>
      <c r="P626"/>
      <c r="Q626"/>
      <c r="R626"/>
      <c r="S626"/>
    </row>
    <row r="627" spans="2:19">
      <c r="B627" s="510"/>
      <c r="C627" s="1"/>
      <c r="D627" s="1"/>
      <c r="E627" s="1"/>
      <c r="F627" s="1"/>
      <c r="G627" s="1"/>
      <c r="H627" s="1"/>
      <c r="I627" s="1"/>
      <c r="J627" s="1"/>
      <c r="K627" s="1"/>
      <c r="L627"/>
      <c r="M627"/>
      <c r="N627"/>
      <c r="O627"/>
      <c r="P627"/>
      <c r="Q627"/>
      <c r="R627"/>
      <c r="S627"/>
    </row>
    <row r="628" spans="2:19">
      <c r="B628" s="510"/>
      <c r="C628" s="1"/>
      <c r="D628" s="1"/>
      <c r="E628" s="1"/>
      <c r="F628" s="1"/>
      <c r="G628" s="1"/>
      <c r="H628" s="1"/>
      <c r="I628" s="1"/>
      <c r="J628" s="1"/>
      <c r="K628" s="1"/>
      <c r="L628"/>
      <c r="M628"/>
      <c r="N628"/>
      <c r="O628"/>
      <c r="P628"/>
      <c r="Q628"/>
      <c r="R628"/>
      <c r="S628"/>
    </row>
    <row r="629" spans="2:19">
      <c r="B629" s="510"/>
      <c r="C629" s="1"/>
      <c r="D629" s="1"/>
      <c r="E629" s="1"/>
      <c r="F629" s="1"/>
      <c r="G629" s="1"/>
      <c r="H629" s="1"/>
      <c r="I629" s="1"/>
      <c r="J629" s="1"/>
      <c r="K629" s="1"/>
      <c r="L629"/>
      <c r="M629"/>
      <c r="N629"/>
      <c r="O629"/>
      <c r="P629"/>
      <c r="Q629"/>
      <c r="R629"/>
      <c r="S629"/>
    </row>
    <row r="630" spans="2:19">
      <c r="B630" s="510"/>
      <c r="C630" s="1"/>
      <c r="D630" s="1"/>
      <c r="E630" s="1"/>
      <c r="F630" s="1"/>
      <c r="G630" s="1"/>
      <c r="H630" s="1"/>
      <c r="I630" s="1"/>
      <c r="J630" s="1"/>
      <c r="K630" s="1"/>
      <c r="L630"/>
      <c r="M630"/>
      <c r="N630"/>
      <c r="O630"/>
      <c r="P630"/>
      <c r="Q630"/>
      <c r="R630"/>
      <c r="S630"/>
    </row>
    <row r="631" spans="2:19">
      <c r="B631" s="510"/>
      <c r="C631" s="1"/>
      <c r="D631" s="1"/>
      <c r="E631" s="1"/>
      <c r="F631" s="1"/>
      <c r="G631" s="1"/>
      <c r="H631" s="1"/>
      <c r="I631" s="1"/>
      <c r="J631" s="1"/>
      <c r="K631" s="1"/>
      <c r="L631"/>
      <c r="M631"/>
      <c r="N631"/>
      <c r="O631"/>
      <c r="P631"/>
      <c r="Q631"/>
      <c r="R631"/>
      <c r="S631"/>
    </row>
    <row r="632" spans="2:19">
      <c r="B632" s="510"/>
      <c r="C632" s="1"/>
      <c r="D632" s="1"/>
      <c r="E632" s="1"/>
      <c r="F632" s="1"/>
      <c r="G632" s="1"/>
      <c r="H632" s="1"/>
      <c r="I632" s="1"/>
      <c r="J632" s="1"/>
      <c r="K632" s="1"/>
      <c r="L632"/>
      <c r="M632"/>
      <c r="N632"/>
      <c r="O632"/>
      <c r="P632"/>
      <c r="Q632"/>
      <c r="R632"/>
      <c r="S632"/>
    </row>
    <row r="633" spans="2:19">
      <c r="B633" s="510"/>
      <c r="C633" s="1"/>
      <c r="D633" s="1"/>
      <c r="E633" s="1"/>
      <c r="F633" s="1"/>
      <c r="G633" s="1"/>
      <c r="H633" s="1"/>
      <c r="I633" s="1"/>
      <c r="J633" s="1"/>
      <c r="K633" s="1"/>
      <c r="L633"/>
      <c r="M633"/>
      <c r="N633"/>
      <c r="O633"/>
      <c r="P633"/>
      <c r="Q633"/>
      <c r="R633"/>
      <c r="S633"/>
    </row>
    <row r="634" spans="2:19">
      <c r="B634" s="510"/>
      <c r="C634" s="1"/>
      <c r="D634" s="1"/>
      <c r="E634" s="1"/>
      <c r="F634" s="1"/>
      <c r="G634" s="1"/>
      <c r="H634" s="1"/>
      <c r="I634" s="1"/>
      <c r="J634" s="1"/>
      <c r="K634" s="1"/>
      <c r="L634"/>
      <c r="M634"/>
      <c r="N634"/>
      <c r="O634"/>
      <c r="P634"/>
      <c r="Q634"/>
      <c r="R634"/>
      <c r="S634"/>
    </row>
    <row r="635" spans="2:19">
      <c r="B635" s="510"/>
      <c r="C635" s="1"/>
      <c r="D635" s="1"/>
      <c r="E635" s="1"/>
      <c r="F635" s="1"/>
      <c r="G635" s="1"/>
      <c r="H635" s="1"/>
      <c r="I635" s="1"/>
      <c r="J635" s="1"/>
      <c r="K635" s="1"/>
      <c r="L635"/>
      <c r="M635"/>
      <c r="N635"/>
      <c r="O635"/>
      <c r="P635"/>
      <c r="Q635"/>
      <c r="R635"/>
      <c r="S635"/>
    </row>
    <row r="636" spans="2:19">
      <c r="B636" s="510"/>
      <c r="C636" s="1"/>
      <c r="D636" s="1"/>
      <c r="E636" s="1"/>
      <c r="F636" s="1"/>
      <c r="G636" s="1"/>
      <c r="H636" s="1"/>
      <c r="I636" s="1"/>
      <c r="J636" s="1"/>
      <c r="K636" s="1"/>
      <c r="L636"/>
      <c r="M636"/>
      <c r="N636"/>
      <c r="O636"/>
      <c r="P636"/>
      <c r="Q636"/>
      <c r="R636"/>
      <c r="S636"/>
    </row>
    <row r="637" spans="2:19">
      <c r="B637" s="510"/>
      <c r="C637" s="1"/>
      <c r="D637" s="1"/>
      <c r="E637" s="1"/>
      <c r="F637" s="1"/>
      <c r="G637" s="1"/>
      <c r="H637" s="1"/>
      <c r="I637" s="1"/>
      <c r="J637" s="1"/>
      <c r="K637" s="1"/>
      <c r="L637"/>
      <c r="M637"/>
      <c r="N637"/>
      <c r="O637"/>
      <c r="P637"/>
      <c r="Q637"/>
      <c r="R637"/>
      <c r="S637"/>
    </row>
    <row r="638" spans="2:19">
      <c r="B638" s="510"/>
      <c r="C638" s="1"/>
      <c r="D638" s="1"/>
      <c r="E638" s="1"/>
      <c r="F638" s="1"/>
      <c r="G638" s="1"/>
      <c r="H638" s="1"/>
      <c r="I638" s="1"/>
      <c r="J638" s="1"/>
      <c r="K638" s="1"/>
      <c r="L638"/>
      <c r="M638"/>
      <c r="N638"/>
      <c r="O638"/>
      <c r="P638"/>
      <c r="Q638"/>
      <c r="R638"/>
      <c r="S638"/>
    </row>
    <row r="639" spans="2:19">
      <c r="B639" s="510"/>
      <c r="C639" s="1"/>
      <c r="D639" s="1"/>
      <c r="E639" s="1"/>
      <c r="F639" s="1"/>
      <c r="G639" s="1"/>
      <c r="H639" s="1"/>
      <c r="I639" s="1"/>
      <c r="J639" s="1"/>
      <c r="K639" s="1"/>
      <c r="L639"/>
      <c r="M639"/>
      <c r="N639"/>
      <c r="O639"/>
      <c r="P639"/>
      <c r="Q639"/>
      <c r="R639"/>
      <c r="S639"/>
    </row>
    <row r="640" spans="2:19">
      <c r="B640" s="510"/>
      <c r="C640" s="1"/>
      <c r="D640" s="1"/>
      <c r="E640" s="1"/>
      <c r="F640" s="1"/>
      <c r="G640" s="1"/>
      <c r="H640" s="1"/>
      <c r="I640" s="1"/>
      <c r="J640" s="1"/>
      <c r="K640" s="1"/>
      <c r="L640"/>
      <c r="M640"/>
      <c r="N640"/>
      <c r="O640"/>
      <c r="P640"/>
      <c r="Q640"/>
      <c r="R640"/>
      <c r="S640"/>
    </row>
    <row r="641" spans="2:19">
      <c r="B641" s="510"/>
      <c r="C641" s="1"/>
      <c r="D641" s="1"/>
      <c r="E641" s="1"/>
      <c r="F641" s="1"/>
      <c r="G641" s="1"/>
      <c r="H641" s="1"/>
      <c r="I641" s="1"/>
      <c r="J641" s="1"/>
      <c r="K641" s="1"/>
      <c r="L641"/>
      <c r="M641"/>
      <c r="N641"/>
      <c r="O641"/>
      <c r="P641"/>
      <c r="Q641"/>
      <c r="R641"/>
      <c r="S641"/>
    </row>
    <row r="642" spans="2:19">
      <c r="B642" s="510"/>
      <c r="C642" s="1"/>
      <c r="D642" s="1"/>
      <c r="E642" s="1"/>
      <c r="F642" s="1"/>
      <c r="G642" s="1"/>
      <c r="H642" s="1"/>
      <c r="I642" s="1"/>
      <c r="J642" s="1"/>
      <c r="K642" s="1"/>
      <c r="L642"/>
      <c r="M642"/>
      <c r="N642"/>
      <c r="O642"/>
      <c r="P642"/>
      <c r="Q642"/>
      <c r="R642"/>
      <c r="S642"/>
    </row>
    <row r="643" spans="2:19">
      <c r="B643" s="510"/>
      <c r="C643" s="1"/>
      <c r="D643" s="1"/>
      <c r="E643" s="1"/>
      <c r="F643" s="1"/>
      <c r="G643" s="1"/>
      <c r="H643" s="1"/>
      <c r="I643" s="1"/>
      <c r="J643" s="1"/>
      <c r="K643" s="1"/>
      <c r="L643"/>
      <c r="M643"/>
      <c r="N643"/>
      <c r="O643"/>
      <c r="P643"/>
      <c r="Q643"/>
      <c r="R643"/>
      <c r="S643"/>
    </row>
    <row r="644" spans="2:19">
      <c r="B644" s="510"/>
      <c r="C644" s="1"/>
      <c r="D644" s="1"/>
      <c r="E644" s="1"/>
      <c r="F644" s="1"/>
      <c r="G644" s="1"/>
      <c r="H644" s="1"/>
      <c r="I644" s="1"/>
      <c r="J644" s="1"/>
      <c r="K644" s="1"/>
      <c r="L644"/>
      <c r="M644"/>
      <c r="N644"/>
      <c r="O644"/>
      <c r="P644"/>
      <c r="Q644"/>
      <c r="R644"/>
      <c r="S644"/>
    </row>
    <row r="645" spans="2:19">
      <c r="B645" s="510"/>
      <c r="C645" s="1"/>
      <c r="D645" s="1"/>
      <c r="E645" s="1"/>
      <c r="F645" s="1"/>
      <c r="G645" s="1"/>
      <c r="H645" s="1"/>
      <c r="I645" s="1"/>
      <c r="J645" s="1"/>
      <c r="K645" s="1"/>
      <c r="L645"/>
      <c r="M645"/>
      <c r="N645"/>
      <c r="O645"/>
      <c r="P645"/>
      <c r="Q645"/>
      <c r="R645"/>
      <c r="S645"/>
    </row>
    <row r="646" spans="2:19">
      <c r="B646" s="510"/>
      <c r="C646" s="1"/>
      <c r="D646" s="1"/>
      <c r="E646" s="1"/>
      <c r="F646" s="1"/>
      <c r="G646" s="1"/>
      <c r="H646" s="1"/>
      <c r="I646" s="1"/>
      <c r="J646" s="1"/>
      <c r="K646" s="1"/>
      <c r="L646"/>
      <c r="M646"/>
      <c r="N646"/>
      <c r="O646"/>
      <c r="P646"/>
      <c r="Q646"/>
      <c r="R646"/>
      <c r="S646"/>
    </row>
    <row r="647" spans="2:19">
      <c r="B647" s="510"/>
      <c r="C647" s="1"/>
      <c r="D647" s="1"/>
      <c r="E647" s="1"/>
      <c r="F647" s="1"/>
      <c r="G647" s="1"/>
      <c r="H647" s="1"/>
      <c r="I647" s="1"/>
      <c r="J647" s="1"/>
      <c r="K647" s="1"/>
      <c r="L647"/>
      <c r="M647"/>
      <c r="N647"/>
      <c r="O647"/>
      <c r="P647"/>
      <c r="Q647"/>
      <c r="R647"/>
      <c r="S647"/>
    </row>
    <row r="648" spans="2:19">
      <c r="B648" s="510"/>
      <c r="C648" s="1"/>
      <c r="D648" s="1"/>
      <c r="E648" s="1"/>
      <c r="F648" s="1"/>
      <c r="G648" s="1"/>
      <c r="H648" s="1"/>
      <c r="I648" s="1"/>
      <c r="J648" s="1"/>
      <c r="K648" s="1"/>
      <c r="L648"/>
      <c r="M648"/>
      <c r="N648"/>
      <c r="O648"/>
      <c r="P648"/>
      <c r="Q648"/>
      <c r="R648"/>
      <c r="S648"/>
    </row>
    <row r="649" spans="2:19">
      <c r="B649" s="510"/>
      <c r="C649" s="1"/>
      <c r="D649" s="1"/>
      <c r="E649" s="1"/>
      <c r="F649" s="1"/>
      <c r="G649" s="1"/>
      <c r="H649" s="1"/>
      <c r="I649" s="1"/>
      <c r="J649" s="1"/>
      <c r="K649" s="1"/>
      <c r="L649"/>
      <c r="M649"/>
      <c r="N649"/>
      <c r="O649"/>
      <c r="P649"/>
      <c r="Q649"/>
      <c r="R649"/>
      <c r="S649"/>
    </row>
    <row r="650" spans="2:19">
      <c r="B650" s="510"/>
      <c r="C650" s="1"/>
      <c r="D650" s="1"/>
      <c r="E650" s="1"/>
      <c r="F650" s="1"/>
      <c r="G650" s="1"/>
      <c r="H650" s="1"/>
      <c r="I650" s="1"/>
      <c r="J650" s="1"/>
      <c r="K650" s="1"/>
      <c r="L650"/>
      <c r="M650"/>
      <c r="N650"/>
      <c r="O650"/>
      <c r="P650"/>
      <c r="Q650"/>
      <c r="R650"/>
      <c r="S650"/>
    </row>
    <row r="651" spans="2:19">
      <c r="B651" s="510"/>
      <c r="C651" s="1"/>
      <c r="D651" s="1"/>
      <c r="E651" s="1"/>
      <c r="F651" s="1"/>
      <c r="G651" s="1"/>
      <c r="H651" s="1"/>
      <c r="I651" s="1"/>
      <c r="J651" s="1"/>
      <c r="K651" s="1"/>
      <c r="L651"/>
      <c r="M651"/>
      <c r="N651"/>
      <c r="O651"/>
      <c r="P651"/>
      <c r="Q651"/>
      <c r="R651"/>
      <c r="S651"/>
    </row>
    <row r="652" spans="2:19">
      <c r="B652" s="510"/>
      <c r="C652" s="1"/>
      <c r="D652" s="1"/>
      <c r="E652" s="1"/>
      <c r="F652" s="1"/>
      <c r="G652" s="1"/>
      <c r="H652" s="1"/>
      <c r="I652" s="1"/>
      <c r="J652" s="1"/>
      <c r="K652" s="1"/>
      <c r="L652"/>
      <c r="M652"/>
      <c r="N652"/>
      <c r="O652"/>
      <c r="P652"/>
      <c r="Q652"/>
      <c r="R652"/>
      <c r="S652"/>
    </row>
    <row r="653" spans="2:19">
      <c r="B653" s="510"/>
      <c r="C653" s="1"/>
      <c r="D653" s="1"/>
      <c r="E653" s="1"/>
      <c r="F653" s="1"/>
      <c r="G653" s="1"/>
      <c r="H653" s="1"/>
      <c r="I653" s="1"/>
      <c r="J653" s="1"/>
      <c r="K653" s="1"/>
      <c r="L653"/>
      <c r="M653"/>
      <c r="N653"/>
      <c r="O653"/>
      <c r="P653"/>
      <c r="Q653"/>
      <c r="R653"/>
      <c r="S653"/>
    </row>
    <row r="654" spans="2:19">
      <c r="B654" s="510"/>
      <c r="C654" s="1"/>
      <c r="D654" s="1"/>
      <c r="E654" s="1"/>
      <c r="F654" s="1"/>
      <c r="G654" s="1"/>
      <c r="H654" s="1"/>
      <c r="I654" s="1"/>
      <c r="J654" s="1"/>
      <c r="K654" s="1"/>
      <c r="L654"/>
      <c r="M654"/>
      <c r="N654"/>
      <c r="O654"/>
      <c r="P654"/>
      <c r="Q654"/>
      <c r="R654"/>
      <c r="S654"/>
    </row>
    <row r="655" spans="2:19">
      <c r="B655" s="510"/>
      <c r="C655" s="1"/>
      <c r="D655" s="1"/>
      <c r="E655" s="1"/>
      <c r="F655" s="1"/>
      <c r="G655" s="1"/>
      <c r="H655" s="1"/>
      <c r="I655" s="1"/>
      <c r="J655" s="1"/>
      <c r="K655" s="1"/>
      <c r="L655"/>
      <c r="M655"/>
      <c r="N655"/>
      <c r="O655"/>
      <c r="P655"/>
      <c r="Q655"/>
      <c r="R655"/>
      <c r="S655"/>
    </row>
    <row r="656" spans="2:19">
      <c r="B656" s="510"/>
      <c r="C656" s="1"/>
      <c r="D656" s="1"/>
      <c r="E656" s="1"/>
      <c r="F656" s="1"/>
      <c r="G656" s="1"/>
      <c r="H656" s="1"/>
      <c r="I656" s="1"/>
      <c r="J656" s="1"/>
      <c r="K656" s="1"/>
      <c r="L656"/>
      <c r="M656"/>
      <c r="N656"/>
      <c r="O656"/>
      <c r="P656"/>
      <c r="Q656"/>
      <c r="R656"/>
      <c r="S656"/>
    </row>
    <row r="657" spans="2:19">
      <c r="B657" s="510"/>
      <c r="C657" s="1"/>
      <c r="D657" s="1"/>
      <c r="E657" s="1"/>
      <c r="F657" s="1"/>
      <c r="G657" s="1"/>
      <c r="H657" s="1"/>
      <c r="I657" s="1"/>
      <c r="J657" s="1"/>
      <c r="K657" s="1"/>
      <c r="L657"/>
      <c r="M657"/>
      <c r="N657"/>
      <c r="O657"/>
      <c r="P657"/>
      <c r="Q657"/>
      <c r="R657"/>
      <c r="S657"/>
    </row>
    <row r="658" spans="2:19">
      <c r="B658" s="510"/>
      <c r="C658" s="1"/>
      <c r="D658" s="1"/>
      <c r="E658" s="1"/>
      <c r="F658" s="1"/>
      <c r="G658" s="1"/>
      <c r="H658" s="1"/>
      <c r="I658" s="1"/>
      <c r="J658" s="1"/>
      <c r="K658" s="1"/>
      <c r="L658"/>
      <c r="M658"/>
      <c r="N658"/>
      <c r="O658"/>
      <c r="P658"/>
      <c r="Q658"/>
      <c r="R658"/>
      <c r="S658"/>
    </row>
    <row r="659" spans="2:19">
      <c r="B659" s="510"/>
      <c r="C659" s="1"/>
      <c r="D659" s="1"/>
      <c r="E659" s="1"/>
      <c r="F659" s="1"/>
      <c r="G659" s="1"/>
      <c r="H659" s="1"/>
      <c r="I659" s="1"/>
      <c r="J659" s="1"/>
      <c r="K659" s="1"/>
      <c r="L659"/>
      <c r="M659"/>
      <c r="N659"/>
      <c r="O659"/>
      <c r="P659"/>
      <c r="Q659"/>
      <c r="R659"/>
      <c r="S659"/>
    </row>
    <row r="660" spans="2:19">
      <c r="B660" s="510"/>
      <c r="C660" s="1"/>
      <c r="D660" s="1"/>
      <c r="E660" s="1"/>
      <c r="F660" s="1"/>
      <c r="G660" s="1"/>
      <c r="H660" s="1"/>
      <c r="I660" s="1"/>
      <c r="J660" s="1"/>
      <c r="K660" s="1"/>
      <c r="L660"/>
      <c r="M660"/>
      <c r="N660"/>
      <c r="O660"/>
      <c r="P660"/>
      <c r="Q660"/>
      <c r="R660"/>
      <c r="S660"/>
    </row>
    <row r="661" spans="2:19">
      <c r="B661" s="510"/>
      <c r="C661" s="1"/>
      <c r="D661" s="1"/>
      <c r="E661" s="1"/>
      <c r="F661" s="1"/>
      <c r="G661" s="1"/>
      <c r="H661" s="1"/>
      <c r="I661" s="1"/>
      <c r="J661" s="1"/>
      <c r="K661" s="1"/>
      <c r="L661"/>
      <c r="M661"/>
      <c r="N661"/>
      <c r="O661"/>
      <c r="P661"/>
      <c r="Q661"/>
      <c r="R661"/>
      <c r="S661"/>
    </row>
    <row r="662" spans="2:19">
      <c r="B662" s="510"/>
      <c r="C662" s="1"/>
      <c r="D662" s="1"/>
      <c r="E662" s="1"/>
      <c r="F662" s="1"/>
      <c r="G662" s="1"/>
      <c r="H662" s="1"/>
      <c r="I662" s="1"/>
      <c r="J662" s="1"/>
      <c r="K662" s="1"/>
      <c r="L662"/>
      <c r="M662"/>
      <c r="N662"/>
      <c r="O662"/>
      <c r="P662"/>
      <c r="Q662"/>
      <c r="R662"/>
      <c r="S662"/>
    </row>
    <row r="663" spans="2:19">
      <c r="B663" s="510"/>
      <c r="C663" s="1"/>
      <c r="D663" s="1"/>
      <c r="E663" s="1"/>
      <c r="F663" s="1"/>
      <c r="G663" s="1"/>
      <c r="H663" s="1"/>
      <c r="I663" s="1"/>
      <c r="J663" s="1"/>
      <c r="K663" s="1"/>
      <c r="L663"/>
      <c r="M663"/>
      <c r="N663"/>
      <c r="O663"/>
      <c r="P663"/>
      <c r="Q663"/>
      <c r="R663"/>
      <c r="S663"/>
    </row>
    <row r="664" spans="2:19">
      <c r="B664" s="510"/>
      <c r="C664" s="1"/>
      <c r="D664" s="1"/>
      <c r="E664" s="1"/>
      <c r="F664" s="1"/>
      <c r="G664" s="1"/>
      <c r="H664" s="1"/>
      <c r="I664" s="1"/>
      <c r="J664" s="1"/>
      <c r="K664" s="1"/>
      <c r="L664"/>
      <c r="M664"/>
      <c r="N664"/>
      <c r="O664"/>
      <c r="P664"/>
      <c r="Q664"/>
      <c r="R664"/>
      <c r="S664"/>
    </row>
    <row r="665" spans="2:19">
      <c r="B665" s="510"/>
      <c r="C665" s="1"/>
      <c r="D665" s="1"/>
      <c r="E665" s="1"/>
      <c r="F665" s="1"/>
      <c r="G665" s="1"/>
      <c r="H665" s="1"/>
      <c r="I665" s="1"/>
      <c r="J665" s="1"/>
      <c r="K665" s="1"/>
      <c r="L665"/>
      <c r="M665"/>
      <c r="N665"/>
      <c r="O665"/>
      <c r="P665"/>
      <c r="Q665"/>
      <c r="R665"/>
      <c r="S665"/>
    </row>
    <row r="666" spans="2:19">
      <c r="B666" s="510"/>
      <c r="C666" s="1"/>
      <c r="D666" s="1"/>
      <c r="E666" s="1"/>
      <c r="F666" s="1"/>
      <c r="G666" s="1"/>
      <c r="H666" s="1"/>
      <c r="I666" s="1"/>
      <c r="J666" s="1"/>
      <c r="K666" s="1"/>
      <c r="L666"/>
      <c r="M666"/>
      <c r="N666"/>
      <c r="O666"/>
      <c r="P666"/>
      <c r="Q666"/>
      <c r="R666"/>
      <c r="S666"/>
    </row>
    <row r="667" spans="2:19">
      <c r="B667" s="510"/>
      <c r="C667" s="1"/>
      <c r="D667" s="1"/>
      <c r="E667" s="1"/>
      <c r="F667" s="1"/>
      <c r="G667" s="1"/>
      <c r="H667" s="1"/>
      <c r="I667" s="1"/>
      <c r="J667" s="1"/>
      <c r="K667" s="1"/>
      <c r="L667"/>
      <c r="M667"/>
      <c r="N667"/>
      <c r="O667"/>
      <c r="P667"/>
      <c r="Q667"/>
      <c r="R667"/>
      <c r="S667"/>
    </row>
    <row r="668" spans="2:19">
      <c r="B668" s="510"/>
      <c r="C668" s="1"/>
      <c r="D668" s="1"/>
      <c r="E668" s="1"/>
      <c r="F668" s="1"/>
      <c r="G668" s="1"/>
      <c r="H668" s="1"/>
      <c r="I668" s="1"/>
      <c r="J668" s="1"/>
      <c r="K668" s="1"/>
      <c r="L668"/>
      <c r="M668"/>
      <c r="N668"/>
      <c r="O668"/>
      <c r="P668"/>
      <c r="Q668"/>
      <c r="R668"/>
      <c r="S668"/>
    </row>
    <row r="669" spans="2:19">
      <c r="B669" s="510"/>
      <c r="C669" s="1"/>
      <c r="D669" s="1"/>
      <c r="E669" s="1"/>
      <c r="F669" s="1"/>
      <c r="G669" s="1"/>
      <c r="H669" s="1"/>
      <c r="I669" s="1"/>
      <c r="J669" s="1"/>
      <c r="K669" s="1"/>
      <c r="L669"/>
      <c r="M669"/>
      <c r="N669"/>
      <c r="O669"/>
      <c r="P669"/>
      <c r="Q669"/>
      <c r="R669"/>
      <c r="S669"/>
    </row>
    <row r="670" spans="2:19">
      <c r="B670" s="510"/>
      <c r="C670" s="1"/>
      <c r="D670" s="1"/>
      <c r="E670" s="1"/>
      <c r="F670" s="1"/>
      <c r="G670" s="1"/>
      <c r="H670" s="1"/>
      <c r="I670" s="1"/>
      <c r="J670" s="1"/>
      <c r="K670" s="1"/>
      <c r="L670"/>
      <c r="M670"/>
      <c r="N670"/>
      <c r="O670"/>
      <c r="P670"/>
      <c r="Q670"/>
      <c r="R670"/>
      <c r="S670"/>
    </row>
    <row r="671" spans="2:19">
      <c r="B671" s="510"/>
      <c r="C671" s="1"/>
      <c r="D671" s="1"/>
      <c r="E671" s="1"/>
      <c r="F671" s="1"/>
      <c r="G671" s="1"/>
      <c r="H671" s="1"/>
      <c r="I671" s="1"/>
      <c r="J671" s="1"/>
      <c r="K671" s="1"/>
      <c r="L671"/>
      <c r="M671"/>
      <c r="N671"/>
      <c r="O671"/>
      <c r="P671"/>
      <c r="Q671"/>
      <c r="R671"/>
      <c r="S671"/>
    </row>
    <row r="672" spans="2:19">
      <c r="B672" s="510"/>
      <c r="C672" s="1"/>
      <c r="D672" s="1"/>
      <c r="E672" s="1"/>
      <c r="F672" s="1"/>
      <c r="G672" s="1"/>
      <c r="H672" s="1"/>
      <c r="I672" s="1"/>
      <c r="J672" s="1"/>
      <c r="K672" s="1"/>
      <c r="L672"/>
      <c r="M672"/>
      <c r="N672"/>
      <c r="O672"/>
      <c r="P672"/>
      <c r="Q672"/>
      <c r="R672"/>
      <c r="S672"/>
    </row>
    <row r="673" spans="2:19">
      <c r="B673" s="510"/>
      <c r="C673" s="1"/>
      <c r="D673" s="1"/>
      <c r="E673" s="1"/>
      <c r="F673" s="1"/>
      <c r="G673" s="1"/>
      <c r="H673" s="1"/>
      <c r="I673" s="1"/>
      <c r="J673" s="1"/>
      <c r="K673" s="1"/>
      <c r="L673"/>
      <c r="M673"/>
      <c r="N673"/>
      <c r="O673"/>
      <c r="P673"/>
      <c r="Q673"/>
      <c r="R673"/>
      <c r="S673"/>
    </row>
    <row r="674" spans="2:19">
      <c r="B674" s="510"/>
      <c r="C674" s="1"/>
      <c r="D674" s="1"/>
      <c r="E674" s="1"/>
      <c r="F674" s="1"/>
      <c r="G674" s="1"/>
      <c r="H674" s="1"/>
      <c r="I674" s="1"/>
      <c r="J674" s="1"/>
      <c r="K674" s="1"/>
      <c r="L674"/>
      <c r="M674"/>
      <c r="N674"/>
      <c r="O674"/>
      <c r="P674"/>
      <c r="Q674"/>
      <c r="R674"/>
      <c r="S674"/>
    </row>
    <row r="675" spans="2:19">
      <c r="B675" s="510"/>
      <c r="C675" s="1"/>
      <c r="D675" s="1"/>
      <c r="E675" s="1"/>
      <c r="F675" s="1"/>
      <c r="G675" s="1"/>
      <c r="H675" s="1"/>
      <c r="I675" s="1"/>
      <c r="J675" s="1"/>
      <c r="K675" s="1"/>
      <c r="L675"/>
      <c r="M675"/>
      <c r="N675"/>
      <c r="O675"/>
      <c r="P675"/>
      <c r="Q675"/>
      <c r="R675"/>
      <c r="S675"/>
    </row>
    <row r="676" spans="2:19">
      <c r="B676" s="510"/>
      <c r="C676" s="1"/>
      <c r="D676" s="1"/>
      <c r="E676" s="1"/>
      <c r="F676" s="1"/>
      <c r="G676" s="1"/>
      <c r="H676" s="1"/>
      <c r="I676" s="1"/>
      <c r="J676" s="1"/>
      <c r="K676" s="1"/>
      <c r="L676"/>
      <c r="M676"/>
      <c r="N676"/>
      <c r="O676"/>
      <c r="P676"/>
      <c r="Q676"/>
      <c r="R676"/>
      <c r="S676"/>
    </row>
    <row r="677" spans="2:19">
      <c r="B677" s="510"/>
      <c r="C677" s="1"/>
      <c r="D677" s="1"/>
      <c r="E677" s="1"/>
      <c r="F677" s="1"/>
      <c r="G677" s="1"/>
      <c r="H677" s="1"/>
      <c r="I677" s="1"/>
      <c r="J677" s="1"/>
      <c r="K677" s="1"/>
      <c r="L677"/>
      <c r="M677"/>
      <c r="N677"/>
      <c r="O677"/>
      <c r="P677"/>
      <c r="Q677"/>
      <c r="R677"/>
      <c r="S677"/>
    </row>
    <row r="678" spans="2:19">
      <c r="B678" s="510"/>
      <c r="C678" s="1"/>
      <c r="D678" s="1"/>
      <c r="E678" s="1"/>
      <c r="F678" s="1"/>
      <c r="G678" s="1"/>
      <c r="H678" s="1"/>
      <c r="I678" s="1"/>
      <c r="J678" s="1"/>
      <c r="K678" s="1"/>
      <c r="L678"/>
      <c r="M678"/>
      <c r="N678"/>
      <c r="O678"/>
      <c r="P678"/>
      <c r="Q678"/>
      <c r="R678"/>
      <c r="S678"/>
    </row>
    <row r="679" spans="2:19">
      <c r="B679" s="510"/>
      <c r="C679" s="1"/>
      <c r="D679" s="1"/>
      <c r="E679" s="1"/>
      <c r="F679" s="1"/>
      <c r="G679" s="1"/>
      <c r="H679" s="1"/>
      <c r="I679" s="1"/>
      <c r="J679" s="1"/>
      <c r="K679" s="1"/>
      <c r="L679"/>
      <c r="M679"/>
      <c r="N679"/>
      <c r="O679"/>
      <c r="P679"/>
      <c r="Q679"/>
      <c r="R679"/>
      <c r="S679"/>
    </row>
    <row r="680" spans="2:19">
      <c r="B680" s="510"/>
      <c r="C680" s="1"/>
      <c r="D680" s="1"/>
      <c r="E680" s="1"/>
      <c r="F680" s="1"/>
      <c r="G680" s="1"/>
      <c r="H680" s="1"/>
      <c r="I680" s="1"/>
      <c r="J680" s="1"/>
      <c r="K680" s="1"/>
      <c r="L680"/>
      <c r="M680"/>
      <c r="N680"/>
      <c r="O680"/>
      <c r="P680"/>
      <c r="Q680"/>
      <c r="R680"/>
      <c r="S680"/>
    </row>
    <row r="681" spans="2:19">
      <c r="B681" s="510"/>
      <c r="C681" s="1"/>
      <c r="D681" s="1"/>
      <c r="E681" s="1"/>
      <c r="F681" s="1"/>
      <c r="G681" s="1"/>
      <c r="H681" s="1"/>
      <c r="I681" s="1"/>
      <c r="J681" s="1"/>
      <c r="K681" s="1"/>
      <c r="L681"/>
      <c r="M681"/>
      <c r="N681"/>
      <c r="O681"/>
      <c r="P681"/>
      <c r="Q681"/>
      <c r="R681"/>
      <c r="S681"/>
    </row>
    <row r="682" spans="2:19">
      <c r="B682" s="510"/>
      <c r="C682" s="1"/>
      <c r="D682" s="1"/>
      <c r="E682" s="1"/>
      <c r="F682" s="1"/>
      <c r="G682" s="1"/>
      <c r="H682" s="1"/>
      <c r="I682" s="1"/>
      <c r="J682" s="1"/>
      <c r="K682" s="1"/>
      <c r="L682"/>
      <c r="M682"/>
      <c r="N682"/>
      <c r="O682"/>
      <c r="P682"/>
      <c r="Q682"/>
      <c r="R682"/>
      <c r="S682"/>
    </row>
    <row r="683" spans="2:19">
      <c r="B683" s="510"/>
      <c r="C683" s="1"/>
      <c r="D683" s="1"/>
      <c r="E683" s="1"/>
      <c r="F683" s="1"/>
      <c r="G683" s="1"/>
      <c r="H683" s="1"/>
      <c r="I683" s="1"/>
      <c r="J683" s="1"/>
      <c r="K683" s="1"/>
      <c r="L683"/>
      <c r="M683"/>
      <c r="N683"/>
      <c r="O683"/>
      <c r="P683"/>
      <c r="Q683"/>
      <c r="R683"/>
      <c r="S683"/>
    </row>
    <row r="684" spans="2:19">
      <c r="B684" s="510"/>
      <c r="C684" s="1"/>
      <c r="D684" s="1"/>
      <c r="E684" s="1"/>
      <c r="F684" s="1"/>
      <c r="G684" s="1"/>
      <c r="H684" s="1"/>
      <c r="I684" s="1"/>
      <c r="J684" s="1"/>
      <c r="K684" s="1"/>
      <c r="L684"/>
      <c r="M684"/>
      <c r="N684"/>
      <c r="O684"/>
      <c r="P684"/>
      <c r="Q684"/>
      <c r="R684"/>
      <c r="S684"/>
    </row>
    <row r="685" spans="2:19">
      <c r="B685" s="510"/>
      <c r="C685" s="1"/>
      <c r="D685" s="1"/>
      <c r="E685" s="1"/>
      <c r="F685" s="1"/>
      <c r="G685" s="1"/>
      <c r="H685" s="1"/>
      <c r="I685" s="1"/>
      <c r="J685" s="1"/>
      <c r="K685" s="1"/>
      <c r="L685"/>
      <c r="M685"/>
      <c r="N685"/>
      <c r="O685"/>
      <c r="P685"/>
      <c r="Q685"/>
      <c r="R685"/>
      <c r="S685"/>
    </row>
    <row r="686" spans="2:19">
      <c r="B686" s="510"/>
      <c r="C686" s="1"/>
      <c r="D686" s="1"/>
      <c r="E686" s="1"/>
      <c r="F686" s="1"/>
      <c r="G686" s="1"/>
      <c r="H686" s="1"/>
      <c r="I686" s="1"/>
      <c r="J686" s="1"/>
      <c r="K686" s="1"/>
      <c r="L686"/>
      <c r="M686"/>
      <c r="N686"/>
      <c r="O686"/>
      <c r="P686"/>
      <c r="Q686"/>
      <c r="R686"/>
      <c r="S686"/>
    </row>
    <row r="687" spans="2:19">
      <c r="B687" s="510"/>
      <c r="C687" s="1"/>
      <c r="D687" s="1"/>
      <c r="E687" s="1"/>
      <c r="F687" s="1"/>
      <c r="G687" s="1"/>
      <c r="H687" s="1"/>
      <c r="I687" s="1"/>
      <c r="J687" s="1"/>
      <c r="K687" s="1"/>
      <c r="L687"/>
      <c r="M687"/>
      <c r="N687"/>
      <c r="O687"/>
      <c r="P687"/>
      <c r="Q687"/>
      <c r="R687"/>
      <c r="S687"/>
    </row>
    <row r="688" spans="2:19">
      <c r="B688" s="510"/>
      <c r="C688" s="1"/>
      <c r="D688" s="1"/>
      <c r="E688" s="1"/>
      <c r="F688" s="1"/>
      <c r="G688" s="1"/>
      <c r="H688" s="1"/>
      <c r="I688" s="1"/>
      <c r="J688" s="1"/>
      <c r="K688" s="1"/>
      <c r="L688"/>
      <c r="M688"/>
      <c r="N688"/>
      <c r="O688"/>
      <c r="P688"/>
      <c r="Q688"/>
      <c r="R688"/>
      <c r="S688"/>
    </row>
    <row r="689" spans="2:19">
      <c r="B689" s="510"/>
      <c r="C689" s="1"/>
      <c r="D689" s="1"/>
      <c r="E689" s="1"/>
      <c r="F689" s="1"/>
      <c r="G689" s="1"/>
      <c r="H689" s="1"/>
      <c r="I689" s="1"/>
      <c r="J689" s="1"/>
      <c r="K689" s="1"/>
      <c r="L689"/>
      <c r="M689"/>
      <c r="N689"/>
      <c r="O689"/>
      <c r="P689"/>
      <c r="Q689"/>
      <c r="R689"/>
      <c r="S689"/>
    </row>
    <row r="690" spans="2:19">
      <c r="B690" s="510"/>
      <c r="C690" s="1"/>
      <c r="D690" s="1"/>
      <c r="E690" s="1"/>
      <c r="F690" s="1"/>
      <c r="G690" s="1"/>
      <c r="H690" s="1"/>
      <c r="I690" s="1"/>
      <c r="J690" s="1"/>
      <c r="K690" s="1"/>
      <c r="L690"/>
      <c r="M690"/>
      <c r="N690"/>
      <c r="O690"/>
      <c r="P690"/>
      <c r="Q690"/>
      <c r="R690"/>
      <c r="S690"/>
    </row>
    <row r="691" spans="2:19">
      <c r="B691" s="510"/>
      <c r="C691" s="1"/>
      <c r="D691" s="1"/>
      <c r="E691" s="1"/>
      <c r="F691" s="1"/>
      <c r="G691" s="1"/>
      <c r="H691" s="1"/>
      <c r="I691" s="1"/>
      <c r="J691" s="1"/>
      <c r="K691" s="1"/>
      <c r="L691"/>
      <c r="M691"/>
      <c r="N691"/>
      <c r="O691"/>
      <c r="P691"/>
      <c r="Q691"/>
      <c r="R691"/>
      <c r="S691"/>
    </row>
    <row r="692" spans="2:19">
      <c r="B692" s="510"/>
      <c r="C692" s="1"/>
      <c r="D692" s="1"/>
      <c r="E692" s="1"/>
      <c r="F692" s="1"/>
      <c r="G692" s="1"/>
      <c r="H692" s="1"/>
      <c r="I692" s="1"/>
      <c r="J692" s="1"/>
      <c r="K692" s="1"/>
      <c r="L692"/>
      <c r="M692"/>
      <c r="N692"/>
      <c r="O692"/>
      <c r="P692"/>
      <c r="Q692"/>
      <c r="R692"/>
      <c r="S692"/>
    </row>
    <row r="693" spans="2:19">
      <c r="B693" s="510"/>
      <c r="C693" s="1"/>
      <c r="D693" s="1"/>
      <c r="E693" s="1"/>
      <c r="F693" s="1"/>
      <c r="G693" s="1"/>
      <c r="H693" s="1"/>
      <c r="I693" s="1"/>
      <c r="J693" s="1"/>
      <c r="K693" s="1"/>
      <c r="L693"/>
      <c r="M693"/>
      <c r="N693"/>
      <c r="O693"/>
      <c r="P693"/>
      <c r="Q693"/>
      <c r="R693"/>
      <c r="S693"/>
    </row>
    <row r="694" spans="2:19">
      <c r="B694" s="510"/>
      <c r="C694" s="1"/>
      <c r="D694" s="1"/>
      <c r="E694" s="1"/>
      <c r="F694" s="1"/>
      <c r="G694" s="1"/>
      <c r="H694" s="1"/>
      <c r="I694" s="1"/>
      <c r="J694" s="1"/>
      <c r="K694" s="1"/>
      <c r="L694"/>
      <c r="M694"/>
      <c r="N694"/>
      <c r="O694"/>
      <c r="P694"/>
      <c r="Q694"/>
      <c r="R694"/>
      <c r="S694"/>
    </row>
    <row r="695" spans="2:19">
      <c r="B695" s="510"/>
      <c r="C695" s="1"/>
      <c r="D695" s="1"/>
      <c r="E695" s="1"/>
      <c r="F695" s="1"/>
      <c r="G695" s="1"/>
      <c r="H695" s="1"/>
      <c r="I695" s="1"/>
      <c r="J695" s="1"/>
      <c r="K695" s="1"/>
      <c r="L695"/>
      <c r="M695"/>
      <c r="N695"/>
      <c r="O695"/>
      <c r="P695"/>
      <c r="Q695"/>
      <c r="R695"/>
      <c r="S695"/>
    </row>
    <row r="696" spans="2:19">
      <c r="B696" s="510"/>
      <c r="C696" s="1"/>
      <c r="D696" s="1"/>
      <c r="E696" s="1"/>
      <c r="F696" s="1"/>
      <c r="G696" s="1"/>
      <c r="H696" s="1"/>
      <c r="I696" s="1"/>
      <c r="J696" s="1"/>
      <c r="K696" s="1"/>
      <c r="L696"/>
      <c r="M696"/>
      <c r="N696"/>
      <c r="O696"/>
      <c r="P696"/>
      <c r="Q696"/>
      <c r="R696"/>
      <c r="S696"/>
    </row>
    <row r="697" spans="2:19">
      <c r="B697" s="510"/>
      <c r="C697" s="1"/>
      <c r="D697" s="1"/>
      <c r="E697" s="1"/>
      <c r="F697" s="1"/>
      <c r="G697" s="1"/>
      <c r="H697" s="1"/>
      <c r="I697" s="1"/>
      <c r="J697" s="1"/>
      <c r="K697" s="1"/>
      <c r="L697"/>
      <c r="M697"/>
      <c r="N697"/>
      <c r="O697"/>
      <c r="P697"/>
      <c r="Q697"/>
      <c r="R697"/>
      <c r="S697"/>
    </row>
    <row r="698" spans="2:19">
      <c r="B698" s="510"/>
      <c r="C698" s="1"/>
      <c r="D698" s="1"/>
      <c r="E698" s="1"/>
      <c r="F698" s="1"/>
      <c r="G698" s="1"/>
      <c r="H698" s="1"/>
      <c r="I698" s="1"/>
      <c r="J698" s="1"/>
      <c r="K698" s="1"/>
      <c r="L698"/>
      <c r="M698"/>
      <c r="N698"/>
      <c r="O698"/>
      <c r="P698"/>
      <c r="Q698"/>
      <c r="R698"/>
      <c r="S698"/>
    </row>
    <row r="699" spans="2:19">
      <c r="B699" s="510"/>
      <c r="C699" s="1"/>
      <c r="D699" s="1"/>
      <c r="E699" s="1"/>
      <c r="F699" s="1"/>
      <c r="G699" s="1"/>
      <c r="H699" s="1"/>
      <c r="I699" s="1"/>
      <c r="J699" s="1"/>
      <c r="K699" s="1"/>
      <c r="L699"/>
      <c r="M699"/>
      <c r="N699"/>
      <c r="O699"/>
      <c r="P699"/>
      <c r="Q699"/>
      <c r="R699"/>
      <c r="S699"/>
    </row>
    <row r="700" spans="2:19">
      <c r="B700" s="510"/>
      <c r="C700" s="1"/>
      <c r="D700" s="1"/>
      <c r="E700" s="1"/>
      <c r="F700" s="1"/>
      <c r="G700" s="1"/>
      <c r="H700" s="1"/>
      <c r="I700" s="1"/>
      <c r="J700" s="1"/>
      <c r="K700" s="1"/>
      <c r="L700"/>
      <c r="M700"/>
      <c r="N700"/>
      <c r="O700"/>
      <c r="P700"/>
      <c r="Q700"/>
      <c r="R700"/>
      <c r="S700"/>
    </row>
    <row r="701" spans="2:19">
      <c r="B701" s="510"/>
      <c r="C701" s="1"/>
      <c r="D701" s="1"/>
      <c r="E701" s="1"/>
      <c r="F701" s="1"/>
      <c r="G701" s="1"/>
      <c r="H701" s="1"/>
      <c r="I701" s="1"/>
      <c r="J701" s="1"/>
      <c r="K701" s="1"/>
      <c r="L701"/>
      <c r="M701"/>
      <c r="N701"/>
      <c r="O701"/>
      <c r="P701"/>
      <c r="Q701"/>
      <c r="R701"/>
      <c r="S701"/>
    </row>
    <row r="702" spans="2:19">
      <c r="B702" s="510"/>
      <c r="C702" s="1"/>
      <c r="D702" s="1"/>
      <c r="E702" s="1"/>
      <c r="F702" s="1"/>
      <c r="G702" s="1"/>
      <c r="H702" s="1"/>
      <c r="I702" s="1"/>
      <c r="J702" s="1"/>
      <c r="K702" s="1"/>
      <c r="L702"/>
      <c r="M702"/>
      <c r="N702"/>
      <c r="O702"/>
      <c r="P702"/>
      <c r="Q702"/>
      <c r="R702"/>
      <c r="S702"/>
    </row>
    <row r="703" spans="2:19">
      <c r="B703" s="510"/>
      <c r="C703" s="1"/>
      <c r="D703" s="1"/>
      <c r="E703" s="1"/>
      <c r="F703" s="1"/>
      <c r="G703" s="1"/>
      <c r="H703" s="1"/>
      <c r="I703" s="1"/>
      <c r="J703" s="1"/>
      <c r="K703" s="1"/>
      <c r="L703"/>
      <c r="M703"/>
      <c r="N703"/>
      <c r="O703"/>
      <c r="P703"/>
      <c r="Q703"/>
      <c r="R703"/>
      <c r="S703"/>
    </row>
    <row r="704" spans="2:19">
      <c r="B704" s="510"/>
      <c r="C704" s="1"/>
      <c r="D704" s="1"/>
      <c r="E704" s="1"/>
      <c r="F704" s="1"/>
      <c r="G704" s="1"/>
      <c r="H704" s="1"/>
      <c r="I704" s="1"/>
      <c r="J704" s="1"/>
      <c r="K704" s="1"/>
      <c r="L704"/>
      <c r="M704"/>
      <c r="N704"/>
      <c r="O704"/>
      <c r="P704"/>
      <c r="Q704"/>
      <c r="R704"/>
      <c r="S704"/>
    </row>
    <row r="705" spans="2:19">
      <c r="B705" s="510"/>
      <c r="C705" s="1"/>
      <c r="D705" s="1"/>
      <c r="E705" s="1"/>
      <c r="F705" s="1"/>
      <c r="G705" s="1"/>
      <c r="H705" s="1"/>
      <c r="I705" s="1"/>
      <c r="J705" s="1"/>
      <c r="K705" s="1"/>
      <c r="L705"/>
      <c r="M705"/>
      <c r="N705"/>
      <c r="O705"/>
      <c r="P705"/>
      <c r="Q705"/>
      <c r="R705"/>
      <c r="S705"/>
    </row>
    <row r="706" spans="2:19">
      <c r="B706" s="510"/>
      <c r="C706" s="1"/>
      <c r="D706" s="1"/>
      <c r="E706" s="1"/>
      <c r="F706" s="1"/>
      <c r="G706" s="1"/>
      <c r="H706" s="1"/>
      <c r="I706" s="1"/>
      <c r="J706" s="1"/>
      <c r="K706" s="1"/>
      <c r="L706"/>
      <c r="M706"/>
      <c r="N706"/>
      <c r="O706"/>
      <c r="P706"/>
      <c r="Q706"/>
      <c r="R706"/>
      <c r="S706"/>
    </row>
    <row r="707" spans="2:19">
      <c r="B707" s="510"/>
      <c r="C707" s="1"/>
      <c r="D707" s="1"/>
      <c r="E707" s="1"/>
      <c r="F707" s="1"/>
      <c r="G707" s="1"/>
      <c r="H707" s="1"/>
      <c r="I707" s="1"/>
      <c r="J707" s="1"/>
      <c r="K707" s="1"/>
      <c r="L707"/>
      <c r="M707"/>
      <c r="N707"/>
      <c r="O707"/>
      <c r="P707"/>
      <c r="Q707"/>
      <c r="R707"/>
      <c r="S707"/>
    </row>
    <row r="708" spans="2:19">
      <c r="B708" s="510"/>
      <c r="C708" s="1"/>
      <c r="D708" s="1"/>
      <c r="E708" s="1"/>
      <c r="F708" s="1"/>
      <c r="G708" s="1"/>
      <c r="H708" s="1"/>
      <c r="I708" s="1"/>
      <c r="J708" s="1"/>
      <c r="K708" s="1"/>
      <c r="L708"/>
      <c r="M708"/>
      <c r="N708"/>
      <c r="O708"/>
      <c r="P708"/>
      <c r="Q708"/>
      <c r="R708"/>
      <c r="S708"/>
    </row>
    <row r="709" spans="2:19">
      <c r="B709" s="510"/>
      <c r="C709" s="1"/>
      <c r="D709" s="1"/>
      <c r="E709" s="1"/>
      <c r="F709" s="1"/>
      <c r="G709" s="1"/>
      <c r="H709" s="1"/>
      <c r="I709" s="1"/>
      <c r="J709" s="1"/>
      <c r="K709" s="1"/>
      <c r="L709"/>
      <c r="M709"/>
      <c r="N709"/>
      <c r="O709"/>
      <c r="P709"/>
      <c r="Q709"/>
      <c r="R709"/>
      <c r="S709"/>
    </row>
    <row r="710" spans="2:19">
      <c r="B710" s="510"/>
      <c r="C710" s="1"/>
      <c r="D710" s="1"/>
      <c r="E710" s="1"/>
      <c r="F710" s="1"/>
      <c r="G710" s="1"/>
      <c r="H710" s="1"/>
      <c r="I710" s="1"/>
      <c r="J710" s="1"/>
      <c r="K710" s="1"/>
      <c r="L710"/>
      <c r="M710"/>
      <c r="N710"/>
      <c r="O710"/>
      <c r="P710"/>
      <c r="Q710"/>
      <c r="R710"/>
      <c r="S710"/>
    </row>
    <row r="711" spans="2:19">
      <c r="B711" s="510"/>
      <c r="C711" s="1"/>
      <c r="D711" s="1"/>
      <c r="E711" s="1"/>
      <c r="F711" s="1"/>
      <c r="G711" s="1"/>
      <c r="H711" s="1"/>
      <c r="I711" s="1"/>
      <c r="J711" s="1"/>
      <c r="K711" s="1"/>
      <c r="L711"/>
      <c r="M711"/>
      <c r="N711"/>
      <c r="O711"/>
      <c r="P711"/>
      <c r="Q711"/>
      <c r="R711"/>
      <c r="S711"/>
    </row>
    <row r="712" spans="2:19">
      <c r="B712" s="510"/>
      <c r="C712" s="1"/>
      <c r="D712" s="1"/>
      <c r="E712" s="1"/>
      <c r="F712" s="1"/>
      <c r="G712" s="1"/>
      <c r="H712" s="1"/>
      <c r="I712" s="1"/>
      <c r="J712" s="1"/>
      <c r="K712" s="1"/>
      <c r="L712"/>
      <c r="M712"/>
      <c r="N712"/>
      <c r="O712"/>
      <c r="P712"/>
      <c r="Q712"/>
      <c r="R712"/>
      <c r="S712"/>
    </row>
    <row r="713" spans="2:19">
      <c r="B713" s="510"/>
      <c r="C713" s="1"/>
      <c r="D713" s="1"/>
      <c r="E713" s="1"/>
      <c r="F713" s="1"/>
      <c r="G713" s="1"/>
      <c r="H713" s="1"/>
      <c r="I713" s="1"/>
      <c r="J713" s="1"/>
      <c r="K713" s="1"/>
      <c r="L713"/>
      <c r="M713"/>
      <c r="N713"/>
      <c r="O713"/>
      <c r="P713"/>
      <c r="Q713"/>
      <c r="R713"/>
      <c r="S713"/>
    </row>
    <row r="714" spans="2:19">
      <c r="B714" s="510"/>
      <c r="C714" s="1"/>
      <c r="D714" s="1"/>
      <c r="E714" s="1"/>
      <c r="F714" s="1"/>
      <c r="G714" s="1"/>
      <c r="H714" s="1"/>
      <c r="I714" s="1"/>
      <c r="J714" s="1"/>
      <c r="K714" s="1"/>
      <c r="L714"/>
      <c r="M714"/>
      <c r="N714"/>
      <c r="O714"/>
      <c r="P714"/>
      <c r="Q714"/>
      <c r="R714"/>
      <c r="S714"/>
    </row>
    <row r="715" spans="2:19">
      <c r="B715" s="510"/>
      <c r="C715" s="1"/>
      <c r="D715" s="1"/>
      <c r="E715" s="1"/>
      <c r="F715" s="1"/>
      <c r="G715" s="1"/>
      <c r="H715" s="1"/>
      <c r="I715" s="1"/>
      <c r="J715" s="1"/>
      <c r="K715" s="1"/>
      <c r="L715"/>
      <c r="M715"/>
      <c r="N715"/>
      <c r="O715"/>
      <c r="P715"/>
      <c r="Q715"/>
      <c r="R715"/>
      <c r="S715"/>
    </row>
    <row r="716" spans="2:19">
      <c r="B716" s="510"/>
      <c r="C716" s="1"/>
      <c r="D716" s="1"/>
      <c r="E716" s="1"/>
      <c r="F716" s="1"/>
      <c r="G716" s="1"/>
      <c r="H716" s="1"/>
      <c r="I716" s="1"/>
      <c r="J716" s="1"/>
      <c r="K716" s="1"/>
      <c r="L716"/>
      <c r="M716"/>
      <c r="N716"/>
      <c r="O716"/>
      <c r="P716"/>
      <c r="Q716"/>
      <c r="R716"/>
      <c r="S716"/>
    </row>
    <row r="717" spans="2:19">
      <c r="B717" s="510"/>
      <c r="C717" s="1"/>
      <c r="D717" s="1"/>
      <c r="E717" s="1"/>
      <c r="F717" s="1"/>
      <c r="G717" s="1"/>
      <c r="H717" s="1"/>
      <c r="I717" s="1"/>
      <c r="J717" s="1"/>
      <c r="K717" s="1"/>
      <c r="L717"/>
      <c r="M717"/>
      <c r="N717"/>
      <c r="O717"/>
      <c r="P717"/>
      <c r="Q717"/>
      <c r="R717"/>
      <c r="S717"/>
    </row>
    <row r="718" spans="2:19">
      <c r="B718" s="510"/>
      <c r="C718" s="1"/>
      <c r="D718" s="1"/>
      <c r="E718" s="1"/>
      <c r="F718" s="1"/>
      <c r="G718" s="1"/>
      <c r="H718" s="1"/>
      <c r="I718" s="1"/>
      <c r="J718" s="1"/>
      <c r="K718" s="1"/>
      <c r="L718"/>
      <c r="M718"/>
      <c r="N718"/>
      <c r="O718"/>
      <c r="P718"/>
      <c r="Q718"/>
      <c r="R718"/>
      <c r="S718"/>
    </row>
    <row r="719" spans="2:19">
      <c r="B719" s="510"/>
      <c r="C719" s="1"/>
      <c r="D719" s="1"/>
      <c r="E719" s="1"/>
      <c r="F719" s="1"/>
      <c r="G719" s="1"/>
      <c r="H719" s="1"/>
      <c r="I719" s="1"/>
      <c r="J719" s="1"/>
      <c r="K719" s="1"/>
      <c r="L719"/>
      <c r="M719"/>
      <c r="N719"/>
      <c r="O719"/>
      <c r="P719"/>
      <c r="Q719"/>
      <c r="R719"/>
      <c r="S719"/>
    </row>
    <row r="720" spans="2:19">
      <c r="B720" s="510"/>
      <c r="C720" s="1"/>
      <c r="D720" s="1"/>
      <c r="E720" s="1"/>
      <c r="F720" s="1"/>
      <c r="G720" s="1"/>
      <c r="H720" s="1"/>
      <c r="I720" s="1"/>
      <c r="J720" s="1"/>
      <c r="K720" s="1"/>
      <c r="L720"/>
      <c r="M720"/>
      <c r="N720"/>
      <c r="O720"/>
      <c r="P720"/>
      <c r="Q720"/>
      <c r="R720"/>
      <c r="S720"/>
    </row>
    <row r="721" spans="2:19">
      <c r="B721" s="510"/>
      <c r="C721" s="1"/>
      <c r="D721" s="1"/>
      <c r="E721" s="1"/>
      <c r="F721" s="1"/>
      <c r="G721" s="1"/>
      <c r="H721" s="1"/>
      <c r="I721" s="1"/>
      <c r="J721" s="1"/>
      <c r="K721" s="1"/>
      <c r="L721"/>
      <c r="M721"/>
      <c r="N721"/>
      <c r="O721"/>
      <c r="P721"/>
      <c r="Q721"/>
      <c r="R721"/>
      <c r="S721"/>
    </row>
    <row r="722" spans="2:19">
      <c r="B722" s="510"/>
      <c r="C722" s="1"/>
      <c r="D722" s="1"/>
      <c r="E722" s="1"/>
      <c r="F722" s="1"/>
      <c r="G722" s="1"/>
      <c r="H722" s="1"/>
      <c r="I722" s="1"/>
      <c r="J722" s="1"/>
      <c r="K722" s="1"/>
      <c r="L722"/>
      <c r="M722"/>
      <c r="N722"/>
      <c r="O722"/>
      <c r="P722"/>
      <c r="Q722"/>
      <c r="R722"/>
      <c r="S722"/>
    </row>
    <row r="723" spans="2:19">
      <c r="B723" s="510"/>
      <c r="C723" s="1"/>
      <c r="D723" s="1"/>
      <c r="E723" s="1"/>
      <c r="F723" s="1"/>
      <c r="G723" s="1"/>
      <c r="H723" s="1"/>
      <c r="I723" s="1"/>
      <c r="J723" s="1"/>
      <c r="K723" s="1"/>
      <c r="L723"/>
      <c r="M723"/>
      <c r="N723"/>
      <c r="O723"/>
      <c r="P723"/>
      <c r="Q723"/>
      <c r="R723"/>
      <c r="S723"/>
    </row>
    <row r="724" spans="2:19">
      <c r="B724" s="510"/>
      <c r="C724" s="1"/>
      <c r="D724" s="1"/>
      <c r="E724" s="1"/>
      <c r="F724" s="1"/>
      <c r="G724" s="1"/>
      <c r="H724" s="1"/>
      <c r="I724" s="1"/>
      <c r="J724" s="1"/>
      <c r="K724" s="1"/>
      <c r="L724"/>
      <c r="M724"/>
      <c r="N724"/>
      <c r="O724"/>
      <c r="P724"/>
      <c r="Q724"/>
      <c r="R724"/>
      <c r="S724"/>
    </row>
    <row r="725" spans="2:19">
      <c r="B725" s="515"/>
      <c r="C725" s="1"/>
      <c r="D725" s="1"/>
      <c r="E725" s="1"/>
      <c r="F725" s="1"/>
      <c r="G725" s="1"/>
      <c r="H725" s="1"/>
      <c r="I725" s="1"/>
      <c r="J725" s="1"/>
      <c r="K725" s="1"/>
      <c r="L725"/>
      <c r="M725"/>
      <c r="N725"/>
      <c r="O725"/>
      <c r="P725"/>
      <c r="Q725"/>
      <c r="R725"/>
      <c r="S725"/>
    </row>
    <row r="726" spans="2:19">
      <c r="B726" s="515"/>
      <c r="C726" s="1"/>
      <c r="D726" s="1"/>
      <c r="E726" s="1"/>
      <c r="F726" s="1"/>
      <c r="G726" s="1"/>
      <c r="H726" s="1"/>
      <c r="I726" s="1"/>
      <c r="J726" s="1"/>
      <c r="K726" s="1"/>
      <c r="L726"/>
      <c r="M726"/>
      <c r="N726"/>
      <c r="O726"/>
      <c r="P726"/>
      <c r="Q726"/>
      <c r="R726"/>
      <c r="S726"/>
    </row>
    <row r="727" spans="2:19">
      <c r="B727" s="515"/>
      <c r="C727" s="1"/>
      <c r="D727" s="1"/>
      <c r="E727" s="1"/>
      <c r="F727" s="1"/>
      <c r="G727" s="1"/>
      <c r="H727" s="1"/>
      <c r="I727" s="1"/>
      <c r="J727" s="1"/>
      <c r="K727" s="1"/>
      <c r="L727"/>
      <c r="M727"/>
      <c r="N727"/>
      <c r="O727"/>
      <c r="P727"/>
      <c r="Q727"/>
      <c r="R727"/>
      <c r="S727"/>
    </row>
    <row r="728" spans="2:19">
      <c r="B728" s="515"/>
      <c r="C728" s="1"/>
      <c r="D728" s="1"/>
      <c r="E728" s="1"/>
      <c r="F728" s="1"/>
      <c r="G728" s="1"/>
      <c r="H728" s="1"/>
      <c r="I728" s="1"/>
      <c r="J728" s="1"/>
      <c r="K728" s="1"/>
      <c r="L728"/>
      <c r="M728"/>
      <c r="N728"/>
      <c r="O728"/>
      <c r="P728"/>
      <c r="Q728"/>
      <c r="R728"/>
      <c r="S728"/>
    </row>
    <row r="729" spans="2:19">
      <c r="B729" s="515"/>
      <c r="C729" s="1"/>
      <c r="D729" s="1"/>
      <c r="E729" s="1"/>
      <c r="F729" s="1"/>
      <c r="G729" s="1"/>
      <c r="H729" s="1"/>
      <c r="I729" s="1"/>
      <c r="J729" s="1"/>
      <c r="K729" s="1"/>
      <c r="L729"/>
      <c r="M729"/>
      <c r="N729"/>
      <c r="O729"/>
      <c r="P729"/>
      <c r="Q729"/>
      <c r="R729"/>
      <c r="S729"/>
    </row>
    <row r="730" spans="2:19">
      <c r="B730" s="515"/>
      <c r="C730" s="1"/>
      <c r="D730" s="1"/>
      <c r="E730" s="1"/>
      <c r="F730" s="1"/>
      <c r="G730" s="1"/>
      <c r="H730" s="1"/>
      <c r="I730" s="1"/>
      <c r="J730" s="1"/>
      <c r="K730" s="1"/>
      <c r="L730"/>
      <c r="M730"/>
      <c r="N730"/>
      <c r="O730"/>
      <c r="P730"/>
      <c r="Q730"/>
      <c r="R730"/>
      <c r="S730"/>
    </row>
    <row r="731" spans="2:19">
      <c r="B731" s="515"/>
      <c r="C731" s="1"/>
      <c r="D731" s="1"/>
      <c r="E731" s="1"/>
      <c r="F731" s="1"/>
      <c r="G731" s="1"/>
      <c r="H731" s="1"/>
      <c r="I731" s="1"/>
      <c r="J731" s="1"/>
      <c r="K731" s="1"/>
      <c r="L731"/>
      <c r="M731"/>
      <c r="N731"/>
      <c r="O731"/>
      <c r="P731"/>
      <c r="Q731"/>
      <c r="R731"/>
      <c r="S731"/>
    </row>
    <row r="732" spans="2:19">
      <c r="B732" s="515"/>
      <c r="C732" s="1"/>
      <c r="D732" s="1"/>
      <c r="E732" s="1"/>
      <c r="F732" s="1"/>
      <c r="G732" s="1"/>
      <c r="H732" s="1"/>
      <c r="I732" s="1"/>
      <c r="J732" s="1"/>
      <c r="K732" s="1"/>
      <c r="L732"/>
      <c r="M732"/>
      <c r="N732"/>
      <c r="O732"/>
      <c r="P732"/>
      <c r="Q732"/>
      <c r="R732"/>
      <c r="S732"/>
    </row>
    <row r="733" spans="2:19">
      <c r="B733" s="515"/>
      <c r="C733" s="1"/>
      <c r="D733" s="1"/>
      <c r="E733" s="1"/>
      <c r="F733" s="1"/>
      <c r="G733" s="1"/>
      <c r="H733" s="1"/>
      <c r="I733" s="1"/>
      <c r="J733" s="1"/>
      <c r="K733" s="1"/>
      <c r="L733"/>
      <c r="M733"/>
      <c r="N733"/>
      <c r="O733"/>
      <c r="P733"/>
      <c r="Q733"/>
      <c r="R733"/>
      <c r="S733"/>
    </row>
    <row r="734" spans="2:19">
      <c r="L734"/>
      <c r="M734"/>
      <c r="N734"/>
      <c r="O734"/>
      <c r="P734"/>
      <c r="Q734"/>
      <c r="R734"/>
      <c r="S734"/>
    </row>
    <row r="735" spans="2:19">
      <c r="L735"/>
      <c r="M735"/>
      <c r="N735"/>
      <c r="O735"/>
      <c r="P735"/>
      <c r="Q735"/>
      <c r="R735"/>
      <c r="S735"/>
    </row>
    <row r="736" spans="2:19">
      <c r="L736"/>
      <c r="M736"/>
      <c r="N736"/>
      <c r="O736"/>
      <c r="P736"/>
      <c r="Q736"/>
      <c r="R736"/>
      <c r="S736"/>
    </row>
    <row r="737" spans="12:19">
      <c r="L737"/>
      <c r="M737"/>
      <c r="N737"/>
      <c r="O737"/>
      <c r="P737"/>
      <c r="Q737"/>
      <c r="R737"/>
      <c r="S737"/>
    </row>
    <row r="738" spans="12:19">
      <c r="L738"/>
      <c r="M738"/>
      <c r="N738"/>
      <c r="O738"/>
      <c r="P738"/>
      <c r="Q738"/>
      <c r="R738"/>
      <c r="S738"/>
    </row>
    <row r="739" spans="12:19">
      <c r="L739"/>
      <c r="M739"/>
      <c r="N739"/>
      <c r="O739"/>
      <c r="P739"/>
      <c r="Q739"/>
      <c r="R739"/>
      <c r="S739"/>
    </row>
    <row r="740" spans="12:19">
      <c r="L740"/>
      <c r="M740"/>
      <c r="N740"/>
      <c r="O740"/>
      <c r="P740"/>
      <c r="Q740"/>
      <c r="R740"/>
      <c r="S740"/>
    </row>
    <row r="741" spans="12:19">
      <c r="L741"/>
      <c r="M741"/>
      <c r="N741"/>
      <c r="O741"/>
      <c r="P741"/>
      <c r="Q741"/>
      <c r="R741"/>
      <c r="S741"/>
    </row>
    <row r="742" spans="12:19">
      <c r="L742"/>
      <c r="M742"/>
      <c r="N742"/>
      <c r="O742"/>
      <c r="P742"/>
      <c r="Q742"/>
      <c r="R742"/>
      <c r="S742"/>
    </row>
    <row r="743" spans="12:19">
      <c r="L743"/>
      <c r="M743"/>
      <c r="N743"/>
      <c r="O743"/>
      <c r="P743"/>
      <c r="Q743"/>
      <c r="R743"/>
      <c r="S743"/>
    </row>
    <row r="744" spans="12:19">
      <c r="L744"/>
      <c r="M744"/>
      <c r="N744"/>
      <c r="O744"/>
      <c r="P744"/>
      <c r="Q744"/>
      <c r="R744"/>
      <c r="S744"/>
    </row>
    <row r="745" spans="12:19">
      <c r="L745"/>
      <c r="M745"/>
      <c r="N745"/>
      <c r="O745"/>
      <c r="P745"/>
      <c r="Q745"/>
      <c r="R745"/>
      <c r="S745"/>
    </row>
    <row r="746" spans="12:19">
      <c r="L746"/>
      <c r="M746"/>
      <c r="N746"/>
      <c r="O746"/>
      <c r="P746"/>
      <c r="Q746"/>
      <c r="R746"/>
      <c r="S746"/>
    </row>
    <row r="747" spans="12:19">
      <c r="L747"/>
      <c r="M747"/>
      <c r="N747"/>
      <c r="O747"/>
      <c r="P747"/>
      <c r="Q747"/>
      <c r="R747"/>
      <c r="S747"/>
    </row>
    <row r="748" spans="12:19">
      <c r="L748"/>
      <c r="M748"/>
      <c r="N748"/>
      <c r="O748"/>
      <c r="P748"/>
      <c r="Q748"/>
      <c r="R748"/>
      <c r="S748"/>
    </row>
    <row r="749" spans="12:19">
      <c r="L749"/>
      <c r="M749"/>
      <c r="N749"/>
      <c r="O749"/>
      <c r="P749"/>
      <c r="Q749"/>
      <c r="R749"/>
      <c r="S749"/>
    </row>
    <row r="750" spans="12:19">
      <c r="L750"/>
      <c r="M750"/>
      <c r="N750"/>
      <c r="O750"/>
      <c r="P750"/>
      <c r="Q750"/>
      <c r="R750"/>
      <c r="S750"/>
    </row>
    <row r="751" spans="12:19">
      <c r="L751"/>
      <c r="M751"/>
      <c r="N751"/>
      <c r="O751"/>
      <c r="P751"/>
      <c r="Q751"/>
      <c r="R751"/>
      <c r="S751"/>
    </row>
    <row r="752" spans="12:19">
      <c r="L752"/>
      <c r="M752"/>
      <c r="N752"/>
      <c r="O752"/>
      <c r="P752"/>
      <c r="Q752"/>
      <c r="R752"/>
      <c r="S752"/>
    </row>
    <row r="753" spans="12:19">
      <c r="L753"/>
      <c r="M753"/>
      <c r="N753"/>
      <c r="O753"/>
      <c r="P753"/>
      <c r="Q753"/>
      <c r="R753"/>
      <c r="S753"/>
    </row>
    <row r="754" spans="12:19">
      <c r="L754"/>
      <c r="M754"/>
      <c r="N754"/>
      <c r="O754"/>
      <c r="P754"/>
      <c r="Q754"/>
      <c r="R754"/>
      <c r="S754"/>
    </row>
    <row r="755" spans="12:19">
      <c r="L755"/>
      <c r="M755"/>
      <c r="N755"/>
      <c r="O755"/>
      <c r="P755"/>
      <c r="Q755"/>
      <c r="R755"/>
      <c r="S755"/>
    </row>
    <row r="756" spans="12:19">
      <c r="L756"/>
      <c r="M756"/>
      <c r="N756"/>
      <c r="O756"/>
      <c r="P756"/>
      <c r="Q756"/>
      <c r="R756"/>
      <c r="S756"/>
    </row>
    <row r="757" spans="12:19">
      <c r="L757"/>
      <c r="M757"/>
      <c r="N757"/>
      <c r="O757"/>
      <c r="P757"/>
      <c r="Q757"/>
      <c r="R757"/>
      <c r="S757"/>
    </row>
    <row r="758" spans="12:19">
      <c r="L758"/>
      <c r="M758"/>
      <c r="N758"/>
      <c r="O758"/>
      <c r="P758"/>
      <c r="Q758"/>
      <c r="R758"/>
      <c r="S758"/>
    </row>
    <row r="759" spans="12:19">
      <c r="L759"/>
      <c r="M759"/>
      <c r="N759"/>
      <c r="O759"/>
      <c r="P759"/>
      <c r="Q759"/>
      <c r="R759"/>
      <c r="S759"/>
    </row>
    <row r="760" spans="12:19">
      <c r="L760"/>
      <c r="M760"/>
      <c r="N760"/>
      <c r="O760"/>
      <c r="P760"/>
      <c r="Q760"/>
      <c r="R760"/>
      <c r="S760"/>
    </row>
    <row r="761" spans="12:19">
      <c r="L761"/>
      <c r="M761"/>
      <c r="N761"/>
      <c r="O761"/>
      <c r="P761"/>
      <c r="Q761"/>
      <c r="R761"/>
      <c r="S761"/>
    </row>
    <row r="762" spans="12:19">
      <c r="L762"/>
      <c r="M762"/>
      <c r="N762"/>
      <c r="O762"/>
      <c r="P762"/>
      <c r="Q762"/>
      <c r="R762"/>
      <c r="S762"/>
    </row>
    <row r="763" spans="12:19">
      <c r="L763"/>
      <c r="M763"/>
      <c r="N763"/>
      <c r="O763"/>
      <c r="P763"/>
      <c r="Q763"/>
      <c r="R763"/>
      <c r="S763"/>
    </row>
    <row r="764" spans="12:19">
      <c r="L764"/>
      <c r="M764"/>
      <c r="N764"/>
      <c r="O764"/>
      <c r="P764"/>
      <c r="Q764"/>
      <c r="R764"/>
      <c r="S764"/>
    </row>
    <row r="765" spans="12:19">
      <c r="L765"/>
      <c r="M765"/>
      <c r="N765"/>
      <c r="O765"/>
      <c r="P765"/>
      <c r="Q765"/>
      <c r="R765"/>
      <c r="S765"/>
    </row>
    <row r="766" spans="12:19">
      <c r="L766"/>
      <c r="M766"/>
      <c r="N766"/>
      <c r="O766"/>
      <c r="P766"/>
      <c r="Q766"/>
      <c r="R766"/>
      <c r="S766"/>
    </row>
    <row r="767" spans="12:19">
      <c r="L767"/>
      <c r="M767"/>
      <c r="N767"/>
      <c r="O767"/>
      <c r="P767"/>
      <c r="Q767"/>
      <c r="R767"/>
      <c r="S767"/>
    </row>
    <row r="768" spans="12:19">
      <c r="L768"/>
      <c r="M768"/>
      <c r="N768"/>
      <c r="O768"/>
      <c r="P768"/>
      <c r="Q768"/>
      <c r="R768"/>
      <c r="S768"/>
    </row>
    <row r="769" spans="12:19">
      <c r="L769"/>
      <c r="M769"/>
      <c r="N769"/>
      <c r="O769"/>
      <c r="P769"/>
      <c r="Q769"/>
      <c r="R769"/>
      <c r="S769"/>
    </row>
    <row r="770" spans="12:19">
      <c r="L770"/>
      <c r="M770"/>
      <c r="N770"/>
      <c r="O770"/>
      <c r="P770"/>
      <c r="Q770"/>
      <c r="R770"/>
      <c r="S770"/>
    </row>
    <row r="771" spans="12:19">
      <c r="L771"/>
      <c r="M771"/>
      <c r="N771"/>
      <c r="O771"/>
      <c r="P771"/>
      <c r="Q771"/>
      <c r="R771"/>
      <c r="S771"/>
    </row>
    <row r="772" spans="12:19">
      <c r="L772"/>
      <c r="M772"/>
      <c r="N772"/>
      <c r="O772"/>
      <c r="P772"/>
      <c r="Q772"/>
      <c r="R772"/>
      <c r="S772"/>
    </row>
    <row r="773" spans="12:19">
      <c r="L773"/>
      <c r="M773"/>
      <c r="N773"/>
      <c r="O773"/>
      <c r="P773"/>
      <c r="Q773"/>
      <c r="R773"/>
      <c r="S773"/>
    </row>
    <row r="774" spans="12:19">
      <c r="L774"/>
      <c r="M774"/>
      <c r="N774"/>
      <c r="O774"/>
      <c r="P774"/>
      <c r="Q774"/>
      <c r="R774"/>
      <c r="S774"/>
    </row>
    <row r="775" spans="12:19">
      <c r="L775"/>
      <c r="M775"/>
      <c r="N775"/>
      <c r="O775"/>
      <c r="P775"/>
      <c r="Q775"/>
      <c r="R775"/>
      <c r="S775"/>
    </row>
    <row r="776" spans="12:19">
      <c r="L776"/>
      <c r="M776"/>
      <c r="N776"/>
      <c r="O776"/>
      <c r="P776"/>
      <c r="Q776"/>
      <c r="R776"/>
      <c r="S776"/>
    </row>
    <row r="777" spans="12:19">
      <c r="L777"/>
      <c r="M777"/>
      <c r="N777"/>
      <c r="O777"/>
      <c r="P777"/>
      <c r="Q777"/>
      <c r="R777"/>
      <c r="S777"/>
    </row>
    <row r="778" spans="12:19">
      <c r="L778"/>
      <c r="M778"/>
      <c r="N778"/>
      <c r="O778"/>
      <c r="P778"/>
      <c r="Q778"/>
      <c r="R778"/>
      <c r="S778"/>
    </row>
    <row r="779" spans="12:19">
      <c r="L779"/>
      <c r="M779"/>
      <c r="N779"/>
      <c r="O779"/>
      <c r="P779"/>
      <c r="Q779"/>
      <c r="R779"/>
      <c r="S779"/>
    </row>
    <row r="780" spans="12:19">
      <c r="L780"/>
      <c r="M780"/>
      <c r="N780"/>
      <c r="O780"/>
      <c r="P780"/>
      <c r="Q780"/>
      <c r="R780"/>
      <c r="S780"/>
    </row>
    <row r="781" spans="12:19">
      <c r="L781"/>
      <c r="M781"/>
      <c r="N781"/>
      <c r="O781"/>
      <c r="P781"/>
      <c r="Q781"/>
      <c r="R781"/>
      <c r="S781"/>
    </row>
    <row r="782" spans="12:19">
      <c r="L782"/>
      <c r="M782"/>
      <c r="N782"/>
      <c r="O782"/>
      <c r="P782"/>
      <c r="Q782"/>
      <c r="R782"/>
      <c r="S782"/>
    </row>
    <row r="783" spans="12:19">
      <c r="L783"/>
      <c r="M783"/>
      <c r="N783"/>
      <c r="O783"/>
      <c r="P783"/>
      <c r="Q783"/>
      <c r="R783"/>
      <c r="S783"/>
    </row>
    <row r="784" spans="12:19">
      <c r="L784"/>
      <c r="M784"/>
      <c r="N784"/>
      <c r="O784"/>
      <c r="P784"/>
      <c r="Q784"/>
      <c r="R784"/>
      <c r="S784"/>
    </row>
    <row r="785" spans="12:19">
      <c r="L785"/>
      <c r="M785"/>
      <c r="N785"/>
      <c r="O785"/>
      <c r="P785"/>
      <c r="Q785"/>
      <c r="R785"/>
      <c r="S785"/>
    </row>
    <row r="786" spans="12:19">
      <c r="L786"/>
      <c r="M786"/>
      <c r="N786"/>
      <c r="O786"/>
      <c r="P786"/>
      <c r="Q786"/>
      <c r="R786"/>
      <c r="S786"/>
    </row>
    <row r="787" spans="12:19">
      <c r="L787"/>
      <c r="M787"/>
      <c r="N787"/>
      <c r="O787"/>
      <c r="P787"/>
      <c r="Q787"/>
      <c r="R787"/>
      <c r="S787"/>
    </row>
    <row r="788" spans="12:19">
      <c r="L788"/>
      <c r="M788"/>
      <c r="N788"/>
      <c r="O788"/>
      <c r="P788"/>
      <c r="Q788"/>
      <c r="R788"/>
      <c r="S788"/>
    </row>
    <row r="789" spans="12:19">
      <c r="L789"/>
      <c r="M789"/>
      <c r="N789"/>
      <c r="O789"/>
      <c r="P789"/>
      <c r="Q789"/>
      <c r="R789"/>
      <c r="S789"/>
    </row>
    <row r="790" spans="12:19">
      <c r="L790"/>
      <c r="M790"/>
      <c r="N790"/>
      <c r="O790"/>
      <c r="P790"/>
      <c r="Q790"/>
      <c r="R790"/>
      <c r="S790"/>
    </row>
    <row r="791" spans="12:19">
      <c r="L791"/>
      <c r="M791"/>
      <c r="N791"/>
      <c r="O791"/>
      <c r="P791"/>
      <c r="Q791"/>
      <c r="R791"/>
      <c r="S791"/>
    </row>
    <row r="792" spans="12:19">
      <c r="L792"/>
      <c r="M792"/>
      <c r="N792"/>
      <c r="O792"/>
      <c r="P792"/>
      <c r="Q792"/>
      <c r="R792"/>
      <c r="S792"/>
    </row>
    <row r="793" spans="12:19">
      <c r="L793"/>
      <c r="M793"/>
      <c r="N793"/>
      <c r="O793"/>
      <c r="P793"/>
      <c r="Q793"/>
      <c r="R793"/>
      <c r="S793"/>
    </row>
    <row r="794" spans="12:19">
      <c r="L794"/>
      <c r="M794"/>
      <c r="N794"/>
      <c r="O794"/>
      <c r="P794"/>
      <c r="Q794"/>
      <c r="R794"/>
      <c r="S794"/>
    </row>
    <row r="795" spans="12:19">
      <c r="L795"/>
      <c r="M795"/>
      <c r="N795"/>
      <c r="O795"/>
      <c r="P795"/>
      <c r="Q795"/>
      <c r="R795"/>
      <c r="S795"/>
    </row>
    <row r="796" spans="12:19">
      <c r="L796"/>
      <c r="M796"/>
      <c r="N796"/>
      <c r="O796"/>
      <c r="P796"/>
      <c r="Q796"/>
      <c r="R796"/>
      <c r="S796"/>
    </row>
    <row r="797" spans="12:19">
      <c r="L797"/>
      <c r="M797"/>
      <c r="N797"/>
      <c r="O797"/>
      <c r="P797"/>
      <c r="Q797"/>
      <c r="R797"/>
      <c r="S797"/>
    </row>
    <row r="798" spans="12:19">
      <c r="L798"/>
      <c r="M798"/>
      <c r="N798"/>
      <c r="O798"/>
      <c r="P798"/>
      <c r="Q798"/>
      <c r="R798"/>
      <c r="S798"/>
    </row>
    <row r="799" spans="12:19">
      <c r="L799"/>
      <c r="M799"/>
      <c r="N799"/>
      <c r="O799"/>
      <c r="P799"/>
      <c r="Q799"/>
      <c r="R799"/>
      <c r="S799"/>
    </row>
    <row r="800" spans="12:19">
      <c r="L800"/>
      <c r="M800"/>
      <c r="N800"/>
      <c r="O800"/>
      <c r="P800"/>
      <c r="Q800"/>
      <c r="R800"/>
      <c r="S800"/>
    </row>
    <row r="801" spans="12:19">
      <c r="L801"/>
      <c r="M801"/>
      <c r="N801"/>
      <c r="O801"/>
      <c r="P801"/>
      <c r="Q801"/>
      <c r="R801"/>
      <c r="S801"/>
    </row>
    <row r="802" spans="12:19">
      <c r="L802"/>
      <c r="M802"/>
      <c r="N802"/>
      <c r="O802"/>
      <c r="P802"/>
      <c r="Q802"/>
      <c r="R802"/>
      <c r="S802"/>
    </row>
    <row r="803" spans="12:19">
      <c r="L803"/>
      <c r="M803"/>
      <c r="N803"/>
      <c r="O803"/>
      <c r="P803"/>
      <c r="Q803"/>
      <c r="R803"/>
      <c r="S803"/>
    </row>
    <row r="804" spans="12:19">
      <c r="L804"/>
      <c r="M804"/>
      <c r="N804"/>
      <c r="O804"/>
      <c r="P804"/>
      <c r="Q804"/>
      <c r="R804"/>
      <c r="S804"/>
    </row>
    <row r="805" spans="12:19">
      <c r="L805"/>
      <c r="M805"/>
      <c r="N805"/>
      <c r="O805"/>
      <c r="P805"/>
      <c r="Q805"/>
      <c r="R805"/>
      <c r="S805"/>
    </row>
    <row r="806" spans="12:19">
      <c r="L806"/>
      <c r="M806"/>
      <c r="N806"/>
      <c r="O806"/>
      <c r="P806"/>
      <c r="Q806"/>
      <c r="R806"/>
      <c r="S806"/>
    </row>
    <row r="807" spans="12:19">
      <c r="L807"/>
      <c r="M807"/>
      <c r="N807"/>
      <c r="O807"/>
      <c r="P807"/>
      <c r="Q807"/>
      <c r="R807"/>
      <c r="S807"/>
    </row>
    <row r="808" spans="12:19">
      <c r="L808"/>
      <c r="M808"/>
      <c r="N808"/>
      <c r="O808"/>
      <c r="P808"/>
      <c r="Q808"/>
      <c r="R808"/>
      <c r="S808"/>
    </row>
    <row r="809" spans="12:19">
      <c r="L809"/>
      <c r="M809"/>
      <c r="N809"/>
      <c r="O809"/>
      <c r="P809"/>
      <c r="Q809"/>
      <c r="R809"/>
      <c r="S809"/>
    </row>
    <row r="810" spans="12:19">
      <c r="L810"/>
      <c r="M810"/>
      <c r="N810"/>
      <c r="O810"/>
      <c r="P810"/>
      <c r="Q810"/>
      <c r="R810"/>
      <c r="S810"/>
    </row>
    <row r="811" spans="12:19">
      <c r="L811"/>
      <c r="M811"/>
      <c r="N811"/>
      <c r="O811"/>
      <c r="P811"/>
      <c r="Q811"/>
      <c r="R811"/>
      <c r="S811"/>
    </row>
    <row r="812" spans="12:19">
      <c r="L812"/>
      <c r="M812"/>
      <c r="N812"/>
      <c r="O812"/>
      <c r="P812"/>
      <c r="Q812"/>
      <c r="R812"/>
      <c r="S812"/>
    </row>
    <row r="813" spans="12:19">
      <c r="L813"/>
      <c r="M813"/>
      <c r="N813"/>
      <c r="O813"/>
      <c r="P813"/>
      <c r="Q813"/>
      <c r="R813"/>
      <c r="S813"/>
    </row>
    <row r="814" spans="12:19">
      <c r="L814"/>
      <c r="M814"/>
      <c r="N814"/>
      <c r="O814"/>
      <c r="P814"/>
      <c r="Q814"/>
      <c r="R814"/>
      <c r="S814"/>
    </row>
    <row r="815" spans="12:19">
      <c r="L815"/>
      <c r="M815"/>
      <c r="N815"/>
      <c r="O815"/>
      <c r="P815"/>
      <c r="Q815"/>
      <c r="R815"/>
      <c r="S815"/>
    </row>
    <row r="816" spans="12:19">
      <c r="L816"/>
      <c r="M816"/>
      <c r="N816"/>
      <c r="O816"/>
      <c r="P816"/>
      <c r="Q816"/>
      <c r="R816"/>
      <c r="S816"/>
    </row>
    <row r="817" spans="12:19">
      <c r="L817"/>
      <c r="M817"/>
      <c r="N817"/>
      <c r="O817"/>
      <c r="P817"/>
      <c r="Q817"/>
      <c r="R817"/>
      <c r="S817"/>
    </row>
    <row r="818" spans="12:19">
      <c r="L818"/>
      <c r="M818"/>
      <c r="N818"/>
      <c r="O818"/>
      <c r="P818"/>
      <c r="Q818"/>
      <c r="R818"/>
      <c r="S818"/>
    </row>
    <row r="819" spans="12:19">
      <c r="L819"/>
      <c r="M819"/>
      <c r="N819"/>
      <c r="O819"/>
      <c r="P819"/>
      <c r="Q819"/>
      <c r="R819"/>
      <c r="S819"/>
    </row>
    <row r="820" spans="12:19">
      <c r="L820"/>
      <c r="M820"/>
      <c r="N820"/>
      <c r="O820"/>
      <c r="P820"/>
      <c r="Q820"/>
      <c r="R820"/>
      <c r="S820"/>
    </row>
    <row r="821" spans="12:19">
      <c r="L821"/>
      <c r="M821"/>
      <c r="N821"/>
      <c r="O821"/>
      <c r="P821"/>
      <c r="Q821"/>
      <c r="R821"/>
      <c r="S821"/>
    </row>
    <row r="822" spans="12:19">
      <c r="L822"/>
      <c r="M822"/>
      <c r="N822"/>
      <c r="O822"/>
      <c r="P822"/>
      <c r="Q822"/>
      <c r="R822"/>
      <c r="S822"/>
    </row>
    <row r="823" spans="12:19">
      <c r="L823"/>
      <c r="M823"/>
      <c r="N823"/>
      <c r="O823"/>
      <c r="P823"/>
      <c r="Q823"/>
      <c r="R823"/>
      <c r="S823"/>
    </row>
    <row r="824" spans="12:19">
      <c r="L824"/>
      <c r="M824"/>
      <c r="N824"/>
      <c r="O824"/>
      <c r="P824"/>
      <c r="Q824"/>
      <c r="R824"/>
      <c r="S824"/>
    </row>
    <row r="825" spans="12:19">
      <c r="L825"/>
      <c r="M825"/>
      <c r="N825"/>
      <c r="O825"/>
      <c r="P825"/>
      <c r="Q825"/>
      <c r="R825"/>
      <c r="S825"/>
    </row>
    <row r="826" spans="12:19">
      <c r="L826"/>
      <c r="M826"/>
      <c r="N826"/>
      <c r="O826"/>
      <c r="P826"/>
      <c r="Q826"/>
      <c r="R826"/>
      <c r="S826"/>
    </row>
    <row r="827" spans="12:19">
      <c r="L827"/>
      <c r="M827"/>
      <c r="N827"/>
      <c r="O827"/>
      <c r="P827"/>
      <c r="Q827"/>
      <c r="R827"/>
      <c r="S827"/>
    </row>
    <row r="828" spans="12:19">
      <c r="L828"/>
      <c r="M828"/>
      <c r="N828"/>
      <c r="O828"/>
      <c r="P828"/>
      <c r="Q828"/>
      <c r="R828"/>
      <c r="S828"/>
    </row>
    <row r="829" spans="12:19">
      <c r="L829"/>
      <c r="M829"/>
      <c r="N829"/>
      <c r="O829"/>
      <c r="P829"/>
      <c r="Q829"/>
      <c r="R829"/>
      <c r="S829"/>
    </row>
    <row r="830" spans="12:19">
      <c r="L830"/>
      <c r="M830"/>
      <c r="N830"/>
      <c r="O830"/>
      <c r="P830"/>
      <c r="Q830"/>
      <c r="R830"/>
      <c r="S830"/>
    </row>
    <row r="831" spans="12:19">
      <c r="L831"/>
      <c r="M831"/>
      <c r="N831"/>
      <c r="O831"/>
      <c r="P831"/>
      <c r="Q831"/>
      <c r="R831"/>
      <c r="S831"/>
    </row>
    <row r="832" spans="12:19">
      <c r="L832"/>
      <c r="M832"/>
      <c r="N832"/>
      <c r="O832"/>
      <c r="P832"/>
      <c r="Q832"/>
      <c r="R832"/>
      <c r="S832"/>
    </row>
    <row r="833" spans="12:19">
      <c r="L833"/>
      <c r="M833"/>
      <c r="N833"/>
      <c r="O833"/>
      <c r="P833"/>
      <c r="Q833"/>
      <c r="R833"/>
      <c r="S833"/>
    </row>
    <row r="834" spans="12:19">
      <c r="L834"/>
      <c r="M834"/>
      <c r="N834"/>
      <c r="O834"/>
      <c r="P834"/>
      <c r="Q834"/>
      <c r="R834"/>
      <c r="S834"/>
    </row>
    <row r="835" spans="12:19">
      <c r="L835"/>
      <c r="M835"/>
      <c r="N835"/>
      <c r="O835"/>
      <c r="P835"/>
      <c r="Q835"/>
      <c r="R835"/>
      <c r="S835"/>
    </row>
    <row r="836" spans="12:19">
      <c r="L836"/>
      <c r="M836"/>
      <c r="N836"/>
      <c r="O836"/>
      <c r="P836"/>
      <c r="Q836"/>
      <c r="R836"/>
      <c r="S836"/>
    </row>
    <row r="837" spans="12:19">
      <c r="L837"/>
      <c r="M837"/>
      <c r="N837"/>
      <c r="O837"/>
      <c r="P837"/>
      <c r="Q837"/>
      <c r="R837"/>
      <c r="S837"/>
    </row>
    <row r="838" spans="12:19">
      <c r="L838"/>
      <c r="M838"/>
      <c r="N838"/>
      <c r="O838"/>
      <c r="P838"/>
      <c r="Q838"/>
      <c r="R838"/>
      <c r="S838"/>
    </row>
    <row r="839" spans="12:19">
      <c r="L839"/>
      <c r="M839"/>
      <c r="N839"/>
      <c r="O839"/>
      <c r="P839"/>
      <c r="Q839"/>
      <c r="R839"/>
      <c r="S839"/>
    </row>
    <row r="840" spans="12:19">
      <c r="L840"/>
      <c r="M840"/>
      <c r="N840"/>
      <c r="O840"/>
      <c r="P840"/>
      <c r="Q840"/>
      <c r="R840"/>
      <c r="S840"/>
    </row>
    <row r="841" spans="12:19">
      <c r="L841"/>
      <c r="M841"/>
      <c r="N841"/>
      <c r="O841"/>
      <c r="P841"/>
      <c r="Q841"/>
      <c r="R841"/>
      <c r="S841"/>
    </row>
    <row r="842" spans="12:19">
      <c r="L842"/>
      <c r="M842"/>
      <c r="N842"/>
      <c r="O842"/>
      <c r="P842"/>
      <c r="Q842"/>
      <c r="R842"/>
      <c r="S842"/>
    </row>
    <row r="843" spans="12:19">
      <c r="L843"/>
      <c r="M843"/>
      <c r="N843"/>
      <c r="O843"/>
      <c r="P843"/>
      <c r="Q843"/>
      <c r="R843"/>
      <c r="S843"/>
    </row>
    <row r="844" spans="12:19">
      <c r="L844"/>
      <c r="M844"/>
      <c r="N844"/>
      <c r="O844"/>
      <c r="P844"/>
      <c r="Q844"/>
      <c r="R844"/>
      <c r="S844"/>
    </row>
    <row r="845" spans="12:19">
      <c r="L845"/>
      <c r="M845"/>
      <c r="N845"/>
      <c r="O845"/>
      <c r="P845"/>
      <c r="Q845"/>
      <c r="R845"/>
      <c r="S845"/>
    </row>
    <row r="846" spans="12:19">
      <c r="L846"/>
      <c r="M846"/>
      <c r="N846"/>
      <c r="O846"/>
      <c r="P846"/>
      <c r="Q846"/>
      <c r="R846"/>
      <c r="S846"/>
    </row>
    <row r="847" spans="12:19">
      <c r="L847"/>
      <c r="M847"/>
      <c r="N847"/>
      <c r="O847"/>
      <c r="P847"/>
      <c r="Q847"/>
      <c r="R847"/>
      <c r="S847"/>
    </row>
    <row r="848" spans="12:19">
      <c r="L848"/>
      <c r="M848"/>
      <c r="N848"/>
      <c r="O848"/>
      <c r="P848"/>
      <c r="Q848"/>
      <c r="R848"/>
      <c r="S848"/>
    </row>
    <row r="849" spans="12:19">
      <c r="L849"/>
      <c r="M849"/>
      <c r="N849"/>
      <c r="O849"/>
      <c r="P849"/>
      <c r="Q849"/>
      <c r="R849"/>
      <c r="S849"/>
    </row>
    <row r="850" spans="12:19">
      <c r="L850"/>
      <c r="M850"/>
      <c r="N850"/>
      <c r="O850"/>
      <c r="P850"/>
      <c r="Q850"/>
      <c r="R850"/>
      <c r="S850"/>
    </row>
    <row r="851" spans="12:19">
      <c r="L851"/>
      <c r="M851"/>
      <c r="N851"/>
      <c r="O851"/>
      <c r="P851"/>
      <c r="Q851"/>
      <c r="R851"/>
      <c r="S851"/>
    </row>
    <row r="852" spans="12:19">
      <c r="L852"/>
      <c r="M852"/>
      <c r="N852"/>
      <c r="O852"/>
      <c r="P852"/>
      <c r="Q852"/>
      <c r="R852"/>
      <c r="S852"/>
    </row>
    <row r="853" spans="12:19">
      <c r="L853"/>
      <c r="M853"/>
      <c r="N853"/>
      <c r="O853"/>
      <c r="P853"/>
      <c r="Q853"/>
      <c r="R853"/>
      <c r="S853"/>
    </row>
    <row r="854" spans="12:19">
      <c r="L854"/>
      <c r="M854"/>
      <c r="N854"/>
      <c r="O854"/>
      <c r="P854"/>
      <c r="Q854"/>
      <c r="R854"/>
      <c r="S854"/>
    </row>
    <row r="855" spans="12:19">
      <c r="L855"/>
      <c r="M855"/>
      <c r="N855"/>
      <c r="O855"/>
      <c r="P855"/>
      <c r="Q855"/>
      <c r="R855"/>
      <c r="S855"/>
    </row>
    <row r="856" spans="12:19">
      <c r="L856"/>
      <c r="M856"/>
      <c r="N856"/>
      <c r="O856"/>
      <c r="P856"/>
      <c r="Q856"/>
      <c r="R856"/>
      <c r="S856"/>
    </row>
    <row r="857" spans="12:19">
      <c r="L857"/>
      <c r="M857"/>
      <c r="N857"/>
      <c r="O857"/>
      <c r="P857"/>
      <c r="Q857"/>
      <c r="R857"/>
      <c r="S857"/>
    </row>
    <row r="858" spans="12:19">
      <c r="L858"/>
      <c r="M858"/>
      <c r="N858"/>
      <c r="O858"/>
      <c r="P858"/>
      <c r="Q858"/>
      <c r="R858"/>
      <c r="S858"/>
    </row>
    <row r="859" spans="12:19">
      <c r="L859"/>
      <c r="M859"/>
      <c r="N859"/>
      <c r="O859"/>
      <c r="P859"/>
      <c r="Q859"/>
      <c r="R859"/>
      <c r="S859"/>
    </row>
    <row r="860" spans="12:19">
      <c r="L860"/>
      <c r="M860"/>
      <c r="N860"/>
      <c r="O860"/>
      <c r="P860"/>
      <c r="Q860"/>
      <c r="R860"/>
      <c r="S860"/>
    </row>
    <row r="861" spans="12:19">
      <c r="L861"/>
      <c r="M861"/>
      <c r="N861"/>
      <c r="O861"/>
      <c r="P861"/>
      <c r="Q861"/>
      <c r="R861"/>
      <c r="S861"/>
    </row>
    <row r="862" spans="12:19">
      <c r="L862"/>
      <c r="M862"/>
      <c r="N862"/>
      <c r="O862"/>
      <c r="P862"/>
      <c r="Q862"/>
      <c r="R862"/>
      <c r="S862"/>
    </row>
    <row r="863" spans="12:19">
      <c r="L863"/>
      <c r="M863"/>
      <c r="N863"/>
      <c r="O863"/>
      <c r="P863"/>
      <c r="Q863"/>
      <c r="R863"/>
      <c r="S863"/>
    </row>
    <row r="864" spans="12:19">
      <c r="L864"/>
      <c r="M864"/>
      <c r="N864"/>
      <c r="O864"/>
      <c r="P864"/>
      <c r="Q864"/>
      <c r="R864"/>
      <c r="S864"/>
    </row>
    <row r="865" spans="12:19">
      <c r="L865"/>
      <c r="M865"/>
      <c r="N865"/>
      <c r="O865"/>
      <c r="P865"/>
      <c r="Q865"/>
      <c r="R865"/>
      <c r="S865"/>
    </row>
    <row r="866" spans="12:19">
      <c r="L866"/>
      <c r="M866"/>
      <c r="N866"/>
      <c r="O866"/>
      <c r="P866"/>
      <c r="Q866"/>
      <c r="R866"/>
      <c r="S866"/>
    </row>
    <row r="867" spans="12:19">
      <c r="L867"/>
      <c r="M867"/>
      <c r="N867"/>
      <c r="O867"/>
      <c r="P867"/>
      <c r="Q867"/>
      <c r="R867"/>
      <c r="S867"/>
    </row>
    <row r="868" spans="12:19">
      <c r="L868"/>
      <c r="M868"/>
      <c r="N868"/>
      <c r="O868"/>
      <c r="P868"/>
      <c r="Q868"/>
      <c r="R868"/>
      <c r="S868"/>
    </row>
    <row r="869" spans="12:19">
      <c r="L869"/>
      <c r="M869"/>
      <c r="N869"/>
      <c r="O869"/>
      <c r="P869"/>
      <c r="Q869"/>
      <c r="R869"/>
      <c r="S869"/>
    </row>
    <row r="870" spans="12:19">
      <c r="L870"/>
      <c r="M870"/>
      <c r="N870"/>
      <c r="O870"/>
      <c r="P870"/>
      <c r="Q870"/>
      <c r="R870"/>
      <c r="S870"/>
    </row>
    <row r="871" spans="12:19">
      <c r="L871"/>
      <c r="M871"/>
      <c r="N871"/>
      <c r="O871"/>
      <c r="P871"/>
      <c r="Q871"/>
      <c r="R871"/>
      <c r="S871"/>
    </row>
    <row r="872" spans="12:19">
      <c r="L872"/>
      <c r="M872"/>
      <c r="N872"/>
      <c r="O872"/>
      <c r="P872"/>
      <c r="Q872"/>
      <c r="R872"/>
      <c r="S872"/>
    </row>
    <row r="873" spans="12:19">
      <c r="L873"/>
      <c r="M873"/>
      <c r="N873"/>
      <c r="O873"/>
      <c r="P873"/>
      <c r="Q873"/>
      <c r="R873"/>
      <c r="S873"/>
    </row>
    <row r="874" spans="12:19">
      <c r="L874"/>
      <c r="M874"/>
      <c r="N874"/>
      <c r="O874"/>
      <c r="P874"/>
      <c r="Q874"/>
      <c r="R874"/>
      <c r="S874"/>
    </row>
    <row r="875" spans="12:19">
      <c r="L875"/>
      <c r="M875"/>
      <c r="N875"/>
      <c r="O875"/>
      <c r="P875"/>
      <c r="Q875"/>
      <c r="R875"/>
      <c r="S875"/>
    </row>
    <row r="876" spans="12:19">
      <c r="L876"/>
      <c r="M876"/>
      <c r="N876"/>
      <c r="O876"/>
      <c r="P876"/>
      <c r="Q876"/>
      <c r="R876"/>
      <c r="S876"/>
    </row>
    <row r="877" spans="12:19">
      <c r="L877"/>
      <c r="M877"/>
      <c r="N877"/>
      <c r="O877"/>
      <c r="P877"/>
      <c r="Q877"/>
      <c r="R877"/>
      <c r="S877"/>
    </row>
    <row r="878" spans="12:19">
      <c r="L878"/>
      <c r="M878"/>
      <c r="N878"/>
      <c r="O878"/>
      <c r="P878"/>
      <c r="Q878"/>
      <c r="R878"/>
      <c r="S878"/>
    </row>
    <row r="879" spans="12:19">
      <c r="L879"/>
      <c r="M879"/>
      <c r="N879"/>
      <c r="O879"/>
      <c r="P879"/>
      <c r="Q879"/>
      <c r="R879"/>
      <c r="S879"/>
    </row>
    <row r="880" spans="12:19">
      <c r="L880"/>
      <c r="M880"/>
      <c r="N880"/>
      <c r="O880"/>
      <c r="P880"/>
      <c r="Q880"/>
      <c r="R880"/>
      <c r="S880"/>
    </row>
    <row r="881" spans="12:19">
      <c r="L881"/>
      <c r="M881"/>
      <c r="N881"/>
      <c r="O881"/>
      <c r="P881"/>
      <c r="Q881"/>
      <c r="R881"/>
      <c r="S881"/>
    </row>
    <row r="882" spans="12:19">
      <c r="L882"/>
      <c r="M882"/>
      <c r="N882"/>
      <c r="O882"/>
      <c r="P882"/>
      <c r="Q882"/>
      <c r="R882"/>
      <c r="S882"/>
    </row>
    <row r="883" spans="12:19">
      <c r="L883"/>
      <c r="M883"/>
      <c r="N883"/>
      <c r="O883"/>
      <c r="P883"/>
      <c r="Q883"/>
      <c r="R883"/>
      <c r="S883"/>
    </row>
    <row r="884" spans="12:19">
      <c r="L884"/>
      <c r="M884"/>
      <c r="N884"/>
      <c r="O884"/>
      <c r="P884"/>
      <c r="Q884"/>
      <c r="R884"/>
      <c r="S884"/>
    </row>
    <row r="885" spans="12:19">
      <c r="L885"/>
      <c r="M885"/>
      <c r="N885"/>
      <c r="O885"/>
      <c r="P885"/>
      <c r="Q885"/>
      <c r="R885"/>
      <c r="S885"/>
    </row>
    <row r="886" spans="12:19">
      <c r="L886"/>
      <c r="M886"/>
      <c r="N886"/>
      <c r="O886"/>
      <c r="P886"/>
      <c r="Q886"/>
      <c r="R886"/>
      <c r="S886"/>
    </row>
    <row r="887" spans="12:19">
      <c r="L887"/>
      <c r="M887"/>
      <c r="N887"/>
      <c r="O887"/>
      <c r="P887"/>
      <c r="Q887"/>
      <c r="R887"/>
      <c r="S887"/>
    </row>
    <row r="888" spans="12:19">
      <c r="L888"/>
      <c r="M888"/>
      <c r="N888"/>
      <c r="O888"/>
      <c r="P888"/>
      <c r="Q888"/>
      <c r="R888"/>
      <c r="S888"/>
    </row>
    <row r="889" spans="12:19">
      <c r="L889"/>
      <c r="M889"/>
      <c r="N889"/>
      <c r="O889"/>
      <c r="P889"/>
      <c r="Q889"/>
      <c r="R889"/>
      <c r="S889"/>
    </row>
    <row r="890" spans="12:19">
      <c r="L890"/>
      <c r="M890"/>
      <c r="N890"/>
      <c r="O890"/>
      <c r="P890"/>
      <c r="Q890"/>
      <c r="R890"/>
      <c r="S890"/>
    </row>
    <row r="891" spans="12:19">
      <c r="L891"/>
      <c r="M891"/>
      <c r="N891"/>
      <c r="O891"/>
      <c r="P891"/>
      <c r="Q891"/>
      <c r="R891"/>
      <c r="S891"/>
    </row>
    <row r="892" spans="12:19">
      <c r="L892"/>
      <c r="M892"/>
      <c r="N892"/>
      <c r="O892"/>
      <c r="P892"/>
      <c r="Q892"/>
      <c r="R892"/>
      <c r="S892"/>
    </row>
    <row r="893" spans="12:19">
      <c r="L893"/>
      <c r="M893"/>
      <c r="N893"/>
      <c r="O893"/>
      <c r="P893"/>
      <c r="Q893"/>
      <c r="R893"/>
      <c r="S893"/>
    </row>
    <row r="894" spans="12:19">
      <c r="L894"/>
      <c r="M894"/>
      <c r="N894"/>
      <c r="O894"/>
      <c r="P894"/>
      <c r="Q894"/>
      <c r="R894"/>
      <c r="S894"/>
    </row>
    <row r="895" spans="12:19">
      <c r="L895"/>
      <c r="M895"/>
      <c r="N895"/>
      <c r="O895"/>
      <c r="P895"/>
      <c r="Q895"/>
      <c r="R895"/>
      <c r="S895"/>
    </row>
    <row r="896" spans="12:19">
      <c r="L896"/>
      <c r="M896"/>
      <c r="N896"/>
      <c r="O896"/>
      <c r="P896"/>
      <c r="Q896"/>
      <c r="R896"/>
      <c r="S896"/>
    </row>
    <row r="897" spans="12:19">
      <c r="L897"/>
      <c r="M897"/>
      <c r="N897"/>
      <c r="O897"/>
      <c r="P897"/>
      <c r="Q897"/>
      <c r="R897"/>
      <c r="S897"/>
    </row>
    <row r="898" spans="12:19">
      <c r="L898"/>
      <c r="M898"/>
      <c r="N898"/>
      <c r="O898"/>
      <c r="P898"/>
      <c r="Q898"/>
      <c r="R898"/>
      <c r="S898"/>
    </row>
    <row r="899" spans="12:19">
      <c r="L899"/>
      <c r="M899"/>
      <c r="N899"/>
      <c r="O899"/>
      <c r="P899"/>
      <c r="Q899"/>
      <c r="R899"/>
      <c r="S899"/>
    </row>
    <row r="900" spans="12:19">
      <c r="L900"/>
      <c r="M900"/>
      <c r="N900"/>
      <c r="O900"/>
      <c r="P900"/>
      <c r="Q900"/>
      <c r="R900"/>
      <c r="S900"/>
    </row>
    <row r="901" spans="12:19">
      <c r="L901"/>
      <c r="M901"/>
      <c r="N901"/>
      <c r="O901"/>
      <c r="P901"/>
      <c r="Q901"/>
      <c r="R901"/>
      <c r="S901"/>
    </row>
    <row r="902" spans="12:19">
      <c r="L902"/>
      <c r="M902"/>
      <c r="N902"/>
      <c r="O902"/>
      <c r="P902"/>
      <c r="Q902"/>
      <c r="R902"/>
      <c r="S902"/>
    </row>
    <row r="903" spans="12:19">
      <c r="L903"/>
      <c r="M903"/>
      <c r="N903"/>
      <c r="O903"/>
      <c r="P903"/>
      <c r="Q903"/>
      <c r="R903"/>
      <c r="S903"/>
    </row>
    <row r="904" spans="12:19">
      <c r="L904"/>
      <c r="M904"/>
      <c r="N904"/>
      <c r="O904"/>
      <c r="P904"/>
      <c r="Q904"/>
      <c r="R904"/>
      <c r="S904"/>
    </row>
    <row r="905" spans="12:19">
      <c r="L905"/>
      <c r="M905"/>
      <c r="N905"/>
      <c r="O905"/>
      <c r="P905"/>
      <c r="Q905"/>
      <c r="R905"/>
      <c r="S905"/>
    </row>
    <row r="906" spans="12:19">
      <c r="L906"/>
      <c r="M906"/>
      <c r="N906"/>
      <c r="O906"/>
      <c r="P906"/>
      <c r="Q906"/>
      <c r="R906"/>
      <c r="S906"/>
    </row>
    <row r="907" spans="12:19">
      <c r="L907"/>
      <c r="M907"/>
      <c r="N907"/>
      <c r="O907"/>
      <c r="P907"/>
      <c r="Q907"/>
      <c r="R907"/>
      <c r="S907"/>
    </row>
    <row r="908" spans="12:19">
      <c r="L908"/>
      <c r="M908"/>
      <c r="N908"/>
      <c r="O908"/>
      <c r="P908"/>
      <c r="Q908"/>
      <c r="R908"/>
      <c r="S908"/>
    </row>
    <row r="909" spans="12:19">
      <c r="L909"/>
      <c r="M909"/>
      <c r="N909"/>
      <c r="O909"/>
      <c r="P909"/>
      <c r="Q909"/>
      <c r="R909"/>
      <c r="S909"/>
    </row>
    <row r="910" spans="12:19">
      <c r="L910"/>
      <c r="M910"/>
      <c r="N910"/>
      <c r="O910"/>
      <c r="P910"/>
      <c r="Q910"/>
      <c r="R910"/>
      <c r="S910"/>
    </row>
    <row r="911" spans="12:19">
      <c r="L911"/>
      <c r="M911"/>
      <c r="N911"/>
      <c r="O911"/>
      <c r="P911"/>
      <c r="Q911"/>
      <c r="R911"/>
      <c r="S911"/>
    </row>
    <row r="912" spans="12:19">
      <c r="L912"/>
      <c r="M912"/>
      <c r="N912"/>
      <c r="O912"/>
      <c r="P912"/>
      <c r="Q912"/>
      <c r="R912"/>
      <c r="S912"/>
    </row>
    <row r="913" spans="12:19">
      <c r="L913"/>
      <c r="M913"/>
      <c r="N913"/>
      <c r="O913"/>
      <c r="P913"/>
      <c r="Q913"/>
      <c r="R913"/>
      <c r="S913"/>
    </row>
    <row r="914" spans="12:19">
      <c r="L914"/>
      <c r="M914"/>
      <c r="N914"/>
      <c r="O914"/>
      <c r="P914"/>
      <c r="Q914"/>
      <c r="R914"/>
      <c r="S914"/>
    </row>
    <row r="915" spans="12:19">
      <c r="L915"/>
      <c r="M915"/>
      <c r="N915"/>
      <c r="O915"/>
      <c r="P915"/>
      <c r="Q915"/>
      <c r="R915"/>
      <c r="S915"/>
    </row>
    <row r="916" spans="12:19">
      <c r="L916"/>
      <c r="M916"/>
      <c r="N916"/>
      <c r="O916"/>
      <c r="P916"/>
      <c r="Q916"/>
      <c r="R916"/>
      <c r="S916"/>
    </row>
    <row r="917" spans="12:19">
      <c r="L917"/>
      <c r="M917"/>
      <c r="N917"/>
      <c r="O917"/>
      <c r="P917"/>
      <c r="Q917"/>
      <c r="R917"/>
      <c r="S917"/>
    </row>
    <row r="918" spans="12:19">
      <c r="L918"/>
      <c r="M918"/>
      <c r="N918"/>
      <c r="O918"/>
      <c r="P918"/>
      <c r="Q918"/>
      <c r="R918"/>
      <c r="S918"/>
    </row>
    <row r="919" spans="12:19">
      <c r="L919"/>
      <c r="M919"/>
      <c r="N919"/>
      <c r="O919"/>
      <c r="P919"/>
      <c r="Q919"/>
      <c r="R919"/>
      <c r="S919"/>
    </row>
    <row r="920" spans="12:19">
      <c r="L920"/>
      <c r="M920"/>
      <c r="N920"/>
      <c r="O920"/>
      <c r="P920"/>
      <c r="Q920"/>
      <c r="R920"/>
      <c r="S920"/>
    </row>
    <row r="921" spans="12:19">
      <c r="L921"/>
      <c r="M921"/>
      <c r="N921"/>
      <c r="O921"/>
      <c r="P921"/>
      <c r="Q921"/>
      <c r="R921"/>
      <c r="S921"/>
    </row>
    <row r="922" spans="12:19">
      <c r="L922"/>
      <c r="M922"/>
      <c r="N922"/>
      <c r="O922"/>
      <c r="P922"/>
      <c r="Q922"/>
      <c r="R922"/>
      <c r="S922"/>
    </row>
    <row r="923" spans="12:19">
      <c r="L923"/>
      <c r="M923"/>
      <c r="N923"/>
      <c r="O923"/>
      <c r="P923"/>
      <c r="Q923"/>
      <c r="R923"/>
      <c r="S923"/>
    </row>
    <row r="924" spans="12:19">
      <c r="L924"/>
      <c r="M924"/>
      <c r="N924"/>
      <c r="O924"/>
      <c r="P924"/>
      <c r="Q924"/>
      <c r="R924"/>
      <c r="S924"/>
    </row>
    <row r="925" spans="12:19">
      <c r="L925"/>
      <c r="M925"/>
      <c r="N925"/>
      <c r="O925"/>
      <c r="P925"/>
      <c r="Q925"/>
      <c r="R925"/>
      <c r="S925"/>
    </row>
    <row r="926" spans="12:19">
      <c r="L926"/>
      <c r="M926"/>
      <c r="N926"/>
      <c r="O926"/>
      <c r="P926"/>
      <c r="Q926"/>
      <c r="R926"/>
      <c r="S926"/>
    </row>
    <row r="927" spans="12:19">
      <c r="L927"/>
      <c r="M927"/>
      <c r="N927"/>
      <c r="O927"/>
      <c r="P927"/>
      <c r="Q927"/>
      <c r="R927"/>
      <c r="S927"/>
    </row>
    <row r="928" spans="12:19">
      <c r="L928"/>
      <c r="M928"/>
      <c r="N928"/>
      <c r="O928"/>
      <c r="P928"/>
      <c r="Q928"/>
      <c r="R928"/>
      <c r="S928"/>
    </row>
    <row r="929" spans="12:19">
      <c r="L929"/>
      <c r="M929"/>
      <c r="N929"/>
      <c r="O929"/>
      <c r="P929"/>
      <c r="Q929"/>
      <c r="R929"/>
      <c r="S929"/>
    </row>
    <row r="930" spans="12:19">
      <c r="L930"/>
      <c r="M930"/>
      <c r="N930"/>
      <c r="O930"/>
      <c r="P930"/>
      <c r="Q930"/>
      <c r="R930"/>
      <c r="S930"/>
    </row>
    <row r="931" spans="12:19">
      <c r="L931"/>
      <c r="M931"/>
      <c r="N931"/>
      <c r="O931"/>
      <c r="P931"/>
      <c r="Q931"/>
      <c r="R931"/>
      <c r="S931"/>
    </row>
    <row r="932" spans="12:19">
      <c r="L932"/>
      <c r="M932"/>
      <c r="N932"/>
      <c r="O932"/>
      <c r="P932"/>
      <c r="Q932"/>
      <c r="R932"/>
      <c r="S932"/>
    </row>
    <row r="933" spans="12:19">
      <c r="L933"/>
      <c r="M933"/>
      <c r="N933"/>
      <c r="O933"/>
      <c r="P933"/>
      <c r="Q933"/>
      <c r="R933"/>
      <c r="S933"/>
    </row>
    <row r="934" spans="12:19">
      <c r="L934"/>
      <c r="M934"/>
      <c r="N934"/>
      <c r="O934"/>
      <c r="P934"/>
      <c r="Q934"/>
      <c r="R934"/>
      <c r="S934"/>
    </row>
    <row r="935" spans="12:19">
      <c r="L935"/>
      <c r="M935"/>
      <c r="N935"/>
      <c r="O935"/>
      <c r="P935"/>
      <c r="Q935"/>
      <c r="R935"/>
      <c r="S935"/>
    </row>
    <row r="936" spans="12:19">
      <c r="L936"/>
      <c r="M936"/>
      <c r="N936"/>
      <c r="O936"/>
      <c r="P936"/>
      <c r="Q936"/>
      <c r="R936"/>
      <c r="S936"/>
    </row>
    <row r="937" spans="12:19">
      <c r="L937"/>
      <c r="M937"/>
      <c r="N937"/>
      <c r="O937"/>
      <c r="P937"/>
      <c r="Q937"/>
      <c r="R937"/>
      <c r="S937"/>
    </row>
    <row r="938" spans="12:19">
      <c r="L938"/>
      <c r="M938"/>
      <c r="N938"/>
      <c r="O938"/>
      <c r="P938"/>
      <c r="Q938"/>
      <c r="R938"/>
      <c r="S938"/>
    </row>
    <row r="939" spans="12:19">
      <c r="L939"/>
      <c r="M939"/>
      <c r="N939"/>
      <c r="O939"/>
      <c r="P939"/>
      <c r="Q939"/>
      <c r="R939"/>
      <c r="S939"/>
    </row>
    <row r="940" spans="12:19">
      <c r="L940"/>
      <c r="M940"/>
      <c r="N940"/>
      <c r="O940"/>
      <c r="P940"/>
      <c r="Q940"/>
      <c r="R940"/>
      <c r="S940"/>
    </row>
    <row r="941" spans="12:19">
      <c r="L941"/>
      <c r="M941"/>
      <c r="N941"/>
      <c r="O941"/>
      <c r="P941"/>
      <c r="Q941"/>
      <c r="R941"/>
      <c r="S941"/>
    </row>
    <row r="942" spans="12:19">
      <c r="L942"/>
      <c r="M942"/>
      <c r="N942"/>
      <c r="O942"/>
      <c r="P942"/>
      <c r="Q942"/>
      <c r="R942"/>
      <c r="S942"/>
    </row>
    <row r="943" spans="12:19">
      <c r="L943"/>
      <c r="M943"/>
      <c r="N943"/>
      <c r="O943"/>
      <c r="P943"/>
      <c r="Q943"/>
      <c r="R943"/>
      <c r="S943"/>
    </row>
    <row r="944" spans="12:19">
      <c r="L944"/>
      <c r="M944"/>
      <c r="N944"/>
      <c r="O944"/>
      <c r="P944"/>
      <c r="Q944"/>
      <c r="R944"/>
      <c r="S944"/>
    </row>
    <row r="945" spans="12:19">
      <c r="L945"/>
      <c r="M945"/>
      <c r="N945"/>
      <c r="O945"/>
      <c r="P945"/>
      <c r="Q945"/>
      <c r="R945"/>
      <c r="S945"/>
    </row>
    <row r="946" spans="12:19">
      <c r="L946"/>
      <c r="M946"/>
      <c r="N946"/>
      <c r="O946"/>
      <c r="P946"/>
      <c r="Q946"/>
      <c r="R946"/>
      <c r="S946"/>
    </row>
    <row r="947" spans="12:19">
      <c r="L947"/>
      <c r="M947"/>
      <c r="N947"/>
      <c r="O947"/>
      <c r="P947"/>
      <c r="Q947"/>
      <c r="R947"/>
      <c r="S947"/>
    </row>
    <row r="948" spans="12:19">
      <c r="L948"/>
      <c r="M948"/>
      <c r="N948"/>
      <c r="O948"/>
      <c r="P948"/>
      <c r="Q948"/>
      <c r="R948"/>
      <c r="S948"/>
    </row>
    <row r="949" spans="12:19">
      <c r="L949"/>
      <c r="M949"/>
      <c r="N949"/>
      <c r="O949"/>
      <c r="P949"/>
      <c r="Q949"/>
      <c r="R949"/>
      <c r="S949"/>
    </row>
    <row r="950" spans="12:19">
      <c r="L950"/>
      <c r="M950"/>
      <c r="N950"/>
      <c r="O950"/>
      <c r="P950"/>
      <c r="Q950"/>
      <c r="R950"/>
      <c r="S950"/>
    </row>
    <row r="951" spans="12:19">
      <c r="L951"/>
      <c r="M951"/>
      <c r="N951"/>
      <c r="O951"/>
      <c r="P951"/>
      <c r="Q951"/>
      <c r="R951"/>
      <c r="S951"/>
    </row>
    <row r="952" spans="12:19">
      <c r="L952"/>
      <c r="M952"/>
      <c r="N952"/>
      <c r="O952"/>
      <c r="P952"/>
      <c r="Q952"/>
      <c r="R952"/>
      <c r="S952"/>
    </row>
    <row r="953" spans="12:19">
      <c r="L953"/>
      <c r="M953"/>
      <c r="N953"/>
      <c r="O953"/>
      <c r="P953"/>
      <c r="Q953"/>
      <c r="R953"/>
      <c r="S953"/>
    </row>
    <row r="954" spans="12:19">
      <c r="L954"/>
      <c r="M954"/>
      <c r="N954"/>
      <c r="O954"/>
      <c r="P954"/>
      <c r="Q954"/>
      <c r="R954"/>
      <c r="S954"/>
    </row>
    <row r="955" spans="12:19">
      <c r="L955"/>
      <c r="M955"/>
      <c r="N955"/>
      <c r="O955"/>
      <c r="P955"/>
      <c r="Q955"/>
      <c r="R955"/>
      <c r="S955"/>
    </row>
    <row r="956" spans="12:19">
      <c r="L956"/>
      <c r="M956"/>
      <c r="N956"/>
      <c r="O956"/>
      <c r="P956"/>
      <c r="Q956"/>
      <c r="R956"/>
      <c r="S956"/>
    </row>
    <row r="957" spans="12:19">
      <c r="L957"/>
      <c r="M957"/>
      <c r="N957"/>
      <c r="O957"/>
      <c r="P957"/>
      <c r="Q957"/>
      <c r="R957"/>
      <c r="S957"/>
    </row>
    <row r="958" spans="12:19">
      <c r="L958"/>
      <c r="M958"/>
      <c r="N958"/>
      <c r="O958"/>
      <c r="P958"/>
      <c r="Q958"/>
      <c r="R958"/>
      <c r="S958"/>
    </row>
    <row r="959" spans="12:19">
      <c r="L959"/>
      <c r="M959"/>
      <c r="N959"/>
      <c r="O959"/>
      <c r="P959"/>
      <c r="Q959"/>
      <c r="R959"/>
      <c r="S959"/>
    </row>
    <row r="960" spans="12:19">
      <c r="L960"/>
      <c r="M960"/>
      <c r="N960"/>
      <c r="O960"/>
      <c r="P960"/>
      <c r="Q960"/>
      <c r="R960"/>
      <c r="S960"/>
    </row>
    <row r="961" spans="12:19">
      <c r="L961"/>
      <c r="M961"/>
      <c r="N961"/>
      <c r="O961"/>
      <c r="P961"/>
      <c r="Q961"/>
      <c r="R961"/>
      <c r="S961"/>
    </row>
    <row r="962" spans="12:19">
      <c r="L962"/>
      <c r="M962"/>
      <c r="N962"/>
      <c r="O962"/>
      <c r="P962"/>
      <c r="Q962"/>
      <c r="R962"/>
      <c r="S962"/>
    </row>
    <row r="963" spans="12:19">
      <c r="L963"/>
      <c r="M963"/>
      <c r="N963"/>
      <c r="O963"/>
      <c r="P963"/>
      <c r="Q963"/>
      <c r="R963"/>
      <c r="S963"/>
    </row>
    <row r="964" spans="12:19">
      <c r="L964"/>
      <c r="M964"/>
      <c r="N964"/>
      <c r="O964"/>
      <c r="P964"/>
      <c r="Q964"/>
      <c r="R964"/>
      <c r="S964"/>
    </row>
    <row r="965" spans="12:19">
      <c r="L965"/>
      <c r="M965"/>
      <c r="N965"/>
      <c r="O965"/>
      <c r="P965"/>
      <c r="Q965"/>
      <c r="R965"/>
      <c r="S965"/>
    </row>
    <row r="966" spans="12:19">
      <c r="L966"/>
      <c r="M966"/>
      <c r="N966"/>
      <c r="O966"/>
      <c r="P966"/>
      <c r="Q966"/>
      <c r="R966"/>
      <c r="S966"/>
    </row>
    <row r="967" spans="12:19">
      <c r="L967"/>
      <c r="M967"/>
      <c r="N967"/>
      <c r="O967"/>
      <c r="P967"/>
      <c r="Q967"/>
      <c r="R967"/>
      <c r="S967"/>
    </row>
    <row r="968" spans="12:19">
      <c r="L968"/>
      <c r="M968"/>
      <c r="N968"/>
      <c r="O968"/>
      <c r="P968"/>
      <c r="Q968"/>
      <c r="R968"/>
      <c r="S968"/>
    </row>
    <row r="969" spans="12:19">
      <c r="L969"/>
      <c r="M969"/>
      <c r="N969"/>
      <c r="O969"/>
      <c r="P969"/>
      <c r="Q969"/>
      <c r="R969"/>
      <c r="S969"/>
    </row>
    <row r="970" spans="12:19">
      <c r="L970"/>
      <c r="M970"/>
      <c r="N970"/>
      <c r="O970"/>
      <c r="P970"/>
      <c r="Q970"/>
      <c r="R970"/>
      <c r="S970"/>
    </row>
    <row r="971" spans="12:19">
      <c r="L971"/>
      <c r="M971"/>
      <c r="N971"/>
      <c r="O971"/>
      <c r="P971"/>
      <c r="Q971"/>
      <c r="R971"/>
      <c r="S971"/>
    </row>
    <row r="972" spans="12:19">
      <c r="L972"/>
      <c r="M972"/>
      <c r="N972"/>
      <c r="O972"/>
      <c r="P972"/>
      <c r="Q972"/>
      <c r="R972"/>
      <c r="S972"/>
    </row>
    <row r="973" spans="12:19">
      <c r="L973"/>
      <c r="M973"/>
      <c r="N973"/>
      <c r="O973"/>
      <c r="P973"/>
      <c r="Q973"/>
      <c r="R973"/>
      <c r="S973"/>
    </row>
    <row r="974" spans="12:19">
      <c r="L974"/>
      <c r="M974"/>
      <c r="N974"/>
      <c r="O974"/>
      <c r="P974"/>
      <c r="Q974"/>
      <c r="R974"/>
      <c r="S974"/>
    </row>
    <row r="975" spans="12:19">
      <c r="L975"/>
      <c r="M975"/>
      <c r="N975"/>
      <c r="O975"/>
      <c r="P975"/>
      <c r="Q975"/>
      <c r="R975"/>
      <c r="S975"/>
    </row>
    <row r="976" spans="12:19">
      <c r="L976"/>
      <c r="M976"/>
      <c r="N976"/>
      <c r="O976"/>
      <c r="P976"/>
      <c r="Q976"/>
      <c r="R976"/>
      <c r="S976"/>
    </row>
    <row r="977" spans="12:19">
      <c r="L977"/>
      <c r="M977"/>
      <c r="N977"/>
      <c r="O977"/>
      <c r="P977"/>
      <c r="Q977"/>
      <c r="R977"/>
      <c r="S977"/>
    </row>
    <row r="978" spans="12:19">
      <c r="L978"/>
      <c r="M978"/>
      <c r="N978"/>
      <c r="O978"/>
      <c r="P978"/>
      <c r="Q978"/>
      <c r="R978"/>
      <c r="S978"/>
    </row>
    <row r="979" spans="12:19">
      <c r="L979"/>
      <c r="M979"/>
      <c r="N979"/>
      <c r="O979"/>
      <c r="P979"/>
      <c r="Q979"/>
      <c r="R979"/>
      <c r="S979"/>
    </row>
    <row r="980" spans="12:19">
      <c r="L980"/>
      <c r="M980"/>
      <c r="N980"/>
      <c r="O980"/>
      <c r="P980"/>
      <c r="Q980"/>
      <c r="R980"/>
      <c r="S980"/>
    </row>
    <row r="981" spans="12:19">
      <c r="L981"/>
      <c r="M981"/>
      <c r="N981"/>
      <c r="O981"/>
      <c r="P981"/>
      <c r="Q981"/>
      <c r="R981"/>
      <c r="S981"/>
    </row>
    <row r="982" spans="12:19">
      <c r="L982"/>
      <c r="M982"/>
      <c r="N982"/>
      <c r="O982"/>
      <c r="P982"/>
      <c r="Q982"/>
      <c r="R982"/>
      <c r="S982"/>
    </row>
    <row r="983" spans="12:19">
      <c r="L983"/>
      <c r="M983"/>
      <c r="N983"/>
      <c r="O983"/>
      <c r="P983"/>
      <c r="Q983"/>
      <c r="R983"/>
      <c r="S983"/>
    </row>
    <row r="984" spans="12:19">
      <c r="L984"/>
      <c r="M984"/>
      <c r="N984"/>
      <c r="O984"/>
      <c r="P984"/>
      <c r="Q984"/>
      <c r="R984"/>
      <c r="S984"/>
    </row>
    <row r="985" spans="12:19">
      <c r="L985"/>
      <c r="M985"/>
      <c r="N985"/>
      <c r="O985"/>
      <c r="P985"/>
      <c r="Q985"/>
      <c r="R985"/>
      <c r="S985"/>
    </row>
    <row r="986" spans="12:19">
      <c r="L986"/>
      <c r="M986"/>
      <c r="N986"/>
      <c r="O986"/>
      <c r="P986"/>
      <c r="Q986"/>
      <c r="R986"/>
      <c r="S986"/>
    </row>
    <row r="987" spans="12:19">
      <c r="L987"/>
      <c r="M987"/>
      <c r="N987"/>
      <c r="O987"/>
      <c r="P987"/>
      <c r="Q987"/>
      <c r="R987"/>
      <c r="S987"/>
    </row>
    <row r="988" spans="12:19">
      <c r="L988"/>
      <c r="M988"/>
      <c r="N988"/>
      <c r="O988"/>
      <c r="P988"/>
      <c r="Q988"/>
      <c r="R988"/>
      <c r="S988"/>
    </row>
    <row r="989" spans="12:19">
      <c r="L989"/>
      <c r="M989"/>
      <c r="N989"/>
      <c r="O989"/>
      <c r="P989"/>
      <c r="Q989"/>
      <c r="R989"/>
      <c r="S989"/>
    </row>
    <row r="990" spans="12:19">
      <c r="L990"/>
      <c r="M990"/>
      <c r="N990"/>
      <c r="O990"/>
      <c r="P990"/>
      <c r="Q990"/>
      <c r="R990"/>
      <c r="S990"/>
    </row>
    <row r="991" spans="12:19">
      <c r="L991"/>
      <c r="M991"/>
      <c r="N991"/>
      <c r="O991"/>
      <c r="P991"/>
      <c r="Q991"/>
      <c r="R991"/>
      <c r="S991"/>
    </row>
    <row r="992" spans="12:19">
      <c r="L992"/>
      <c r="M992"/>
      <c r="N992"/>
      <c r="O992"/>
      <c r="P992"/>
      <c r="Q992"/>
      <c r="R992"/>
      <c r="S992"/>
    </row>
    <row r="993" spans="12:19">
      <c r="L993"/>
      <c r="M993"/>
      <c r="N993"/>
      <c r="O993"/>
      <c r="P993"/>
      <c r="Q993"/>
      <c r="R993"/>
      <c r="S993"/>
    </row>
    <row r="994" spans="12:19">
      <c r="L994"/>
      <c r="M994"/>
      <c r="N994"/>
      <c r="O994"/>
      <c r="P994"/>
      <c r="Q994"/>
      <c r="R994"/>
      <c r="S994"/>
    </row>
    <row r="995" spans="12:19">
      <c r="L995"/>
      <c r="M995"/>
      <c r="N995"/>
      <c r="O995"/>
      <c r="P995"/>
      <c r="Q995"/>
      <c r="R995"/>
      <c r="S995"/>
    </row>
    <row r="996" spans="12:19">
      <c r="L996"/>
      <c r="M996"/>
      <c r="N996"/>
      <c r="O996"/>
      <c r="P996"/>
      <c r="Q996"/>
      <c r="R996"/>
      <c r="S996"/>
    </row>
    <row r="997" spans="12:19">
      <c r="L997"/>
      <c r="M997"/>
      <c r="N997"/>
      <c r="O997"/>
      <c r="P997"/>
      <c r="Q997"/>
      <c r="R997"/>
      <c r="S997"/>
    </row>
    <row r="998" spans="12:19">
      <c r="L998"/>
      <c r="M998"/>
      <c r="N998"/>
      <c r="O998"/>
      <c r="P998"/>
      <c r="Q998"/>
      <c r="R998"/>
      <c r="S998"/>
    </row>
    <row r="999" spans="12:19">
      <c r="L999"/>
      <c r="M999"/>
      <c r="N999"/>
      <c r="O999"/>
      <c r="P999"/>
      <c r="Q999"/>
      <c r="R999"/>
      <c r="S999"/>
    </row>
    <row r="1000" spans="12:19">
      <c r="L1000"/>
      <c r="M1000"/>
      <c r="N1000"/>
      <c r="O1000"/>
      <c r="P1000"/>
      <c r="Q1000"/>
      <c r="R1000"/>
      <c r="S1000"/>
    </row>
    <row r="1001" spans="12:19">
      <c r="L1001"/>
      <c r="M1001"/>
      <c r="N1001"/>
      <c r="O1001"/>
      <c r="P1001"/>
      <c r="Q1001"/>
      <c r="R1001"/>
      <c r="S1001"/>
    </row>
    <row r="1002" spans="12:19">
      <c r="L1002"/>
      <c r="M1002"/>
      <c r="N1002"/>
      <c r="O1002"/>
      <c r="P1002"/>
      <c r="Q1002"/>
      <c r="R1002"/>
      <c r="S1002"/>
    </row>
    <row r="1003" spans="12:19">
      <c r="L1003"/>
      <c r="M1003"/>
      <c r="N1003"/>
      <c r="O1003"/>
      <c r="P1003"/>
      <c r="Q1003"/>
      <c r="R1003"/>
      <c r="S1003"/>
    </row>
    <row r="1004" spans="12:19">
      <c r="L1004"/>
      <c r="M1004"/>
      <c r="N1004"/>
      <c r="O1004"/>
      <c r="P1004"/>
      <c r="Q1004"/>
      <c r="R1004"/>
      <c r="S1004"/>
    </row>
    <row r="1005" spans="12:19">
      <c r="L1005"/>
      <c r="M1005"/>
      <c r="N1005"/>
      <c r="O1005"/>
      <c r="P1005"/>
      <c r="Q1005"/>
      <c r="R1005"/>
      <c r="S1005"/>
    </row>
    <row r="1006" spans="12:19">
      <c r="L1006"/>
      <c r="M1006"/>
      <c r="N1006"/>
      <c r="O1006"/>
      <c r="P1006"/>
      <c r="Q1006"/>
      <c r="R1006"/>
      <c r="S1006"/>
    </row>
    <row r="1007" spans="12:19">
      <c r="L1007"/>
      <c r="M1007"/>
      <c r="N1007"/>
      <c r="O1007"/>
      <c r="P1007"/>
      <c r="Q1007"/>
      <c r="R1007"/>
      <c r="S1007"/>
    </row>
    <row r="1008" spans="12:19">
      <c r="L1008"/>
      <c r="M1008"/>
      <c r="N1008"/>
      <c r="O1008"/>
      <c r="P1008"/>
      <c r="Q1008"/>
      <c r="R1008"/>
      <c r="S1008"/>
    </row>
    <row r="1009" spans="12:19">
      <c r="L1009"/>
      <c r="M1009"/>
      <c r="N1009"/>
      <c r="O1009"/>
      <c r="P1009"/>
      <c r="Q1009"/>
      <c r="R1009"/>
      <c r="S1009"/>
    </row>
    <row r="1010" spans="12:19">
      <c r="L1010"/>
      <c r="M1010"/>
      <c r="N1010"/>
      <c r="O1010"/>
      <c r="P1010"/>
      <c r="Q1010"/>
      <c r="R1010"/>
      <c r="S1010"/>
    </row>
    <row r="1011" spans="12:19">
      <c r="L1011"/>
      <c r="M1011"/>
      <c r="N1011"/>
      <c r="O1011"/>
      <c r="P1011"/>
      <c r="Q1011"/>
      <c r="R1011"/>
      <c r="S1011"/>
    </row>
    <row r="1012" spans="12:19">
      <c r="L1012"/>
      <c r="M1012"/>
      <c r="N1012"/>
      <c r="O1012"/>
      <c r="P1012"/>
      <c r="Q1012"/>
      <c r="R1012"/>
      <c r="S1012"/>
    </row>
    <row r="1013" spans="12:19">
      <c r="L1013"/>
      <c r="M1013"/>
      <c r="N1013"/>
      <c r="O1013"/>
      <c r="P1013"/>
      <c r="Q1013"/>
      <c r="R1013"/>
      <c r="S1013"/>
    </row>
    <row r="1014" spans="12:19">
      <c r="L1014"/>
      <c r="M1014"/>
      <c r="N1014"/>
      <c r="O1014"/>
      <c r="P1014"/>
      <c r="Q1014"/>
      <c r="R1014"/>
      <c r="S1014"/>
    </row>
    <row r="1015" spans="12:19">
      <c r="L1015"/>
      <c r="M1015"/>
      <c r="N1015"/>
      <c r="O1015"/>
      <c r="P1015"/>
      <c r="Q1015"/>
      <c r="R1015"/>
      <c r="S1015"/>
    </row>
    <row r="1016" spans="12:19">
      <c r="L1016"/>
      <c r="M1016"/>
      <c r="N1016"/>
      <c r="O1016"/>
      <c r="P1016"/>
      <c r="Q1016"/>
      <c r="R1016"/>
      <c r="S1016"/>
    </row>
    <row r="1017" spans="12:19">
      <c r="L1017"/>
      <c r="M1017"/>
      <c r="N1017"/>
      <c r="O1017"/>
      <c r="P1017"/>
      <c r="Q1017"/>
      <c r="R1017"/>
      <c r="S1017"/>
    </row>
    <row r="1018" spans="12:19">
      <c r="L1018"/>
      <c r="M1018"/>
      <c r="N1018"/>
      <c r="O1018"/>
      <c r="P1018"/>
      <c r="Q1018"/>
      <c r="R1018"/>
      <c r="S1018"/>
    </row>
    <row r="1019" spans="12:19">
      <c r="L1019"/>
      <c r="M1019"/>
      <c r="N1019"/>
      <c r="O1019"/>
      <c r="P1019"/>
      <c r="Q1019"/>
      <c r="R1019"/>
      <c r="S1019"/>
    </row>
    <row r="1020" spans="12:19">
      <c r="L1020"/>
      <c r="M1020"/>
      <c r="N1020"/>
      <c r="O1020"/>
      <c r="P1020"/>
      <c r="Q1020"/>
      <c r="R1020"/>
      <c r="S1020"/>
    </row>
    <row r="1021" spans="12:19">
      <c r="L1021"/>
      <c r="M1021"/>
      <c r="N1021"/>
      <c r="O1021"/>
      <c r="P1021"/>
      <c r="Q1021"/>
      <c r="R1021"/>
      <c r="S1021"/>
    </row>
    <row r="1022" spans="12:19">
      <c r="L1022"/>
      <c r="M1022"/>
      <c r="N1022"/>
      <c r="O1022"/>
      <c r="P1022"/>
      <c r="Q1022"/>
      <c r="R1022"/>
      <c r="S1022"/>
    </row>
    <row r="1023" spans="12:19">
      <c r="L1023"/>
      <c r="M1023"/>
      <c r="N1023"/>
      <c r="O1023"/>
      <c r="P1023"/>
      <c r="Q1023"/>
      <c r="R1023"/>
      <c r="S1023"/>
    </row>
    <row r="1024" spans="12:19">
      <c r="L1024"/>
      <c r="M1024"/>
      <c r="N1024"/>
      <c r="O1024"/>
      <c r="P1024"/>
      <c r="Q1024"/>
      <c r="R1024"/>
      <c r="S1024"/>
    </row>
    <row r="1025" spans="12:19">
      <c r="L1025"/>
      <c r="M1025"/>
      <c r="N1025"/>
      <c r="O1025"/>
      <c r="P1025"/>
      <c r="Q1025"/>
      <c r="R1025"/>
      <c r="S1025"/>
    </row>
    <row r="1026" spans="12:19">
      <c r="L1026"/>
      <c r="M1026"/>
      <c r="N1026"/>
      <c r="O1026"/>
      <c r="P1026"/>
      <c r="Q1026"/>
      <c r="R1026"/>
      <c r="S1026"/>
    </row>
    <row r="1027" spans="12:19">
      <c r="L1027"/>
      <c r="M1027"/>
      <c r="N1027"/>
      <c r="O1027"/>
      <c r="P1027"/>
      <c r="Q1027"/>
      <c r="R1027"/>
      <c r="S1027"/>
    </row>
    <row r="1028" spans="12:19">
      <c r="L1028"/>
      <c r="M1028"/>
      <c r="N1028"/>
      <c r="O1028"/>
      <c r="P1028"/>
      <c r="Q1028"/>
      <c r="R1028"/>
      <c r="S1028"/>
    </row>
    <row r="1029" spans="12:19">
      <c r="L1029"/>
      <c r="M1029"/>
      <c r="N1029"/>
      <c r="O1029"/>
      <c r="P1029"/>
      <c r="Q1029"/>
      <c r="R1029"/>
      <c r="S1029"/>
    </row>
    <row r="1030" spans="12:19">
      <c r="L1030"/>
      <c r="M1030"/>
      <c r="N1030"/>
      <c r="O1030"/>
      <c r="P1030"/>
      <c r="Q1030"/>
      <c r="R1030"/>
      <c r="S1030"/>
    </row>
    <row r="1031" spans="12:19">
      <c r="L1031"/>
      <c r="M1031"/>
      <c r="N1031"/>
      <c r="O1031"/>
      <c r="P1031"/>
      <c r="Q1031"/>
      <c r="R1031"/>
      <c r="S1031"/>
    </row>
    <row r="1032" spans="12:19">
      <c r="L1032"/>
      <c r="M1032"/>
      <c r="N1032"/>
      <c r="O1032"/>
      <c r="P1032"/>
      <c r="Q1032"/>
      <c r="R1032"/>
      <c r="S1032"/>
    </row>
    <row r="1033" spans="12:19">
      <c r="L1033"/>
      <c r="M1033"/>
      <c r="N1033"/>
      <c r="O1033"/>
      <c r="P1033"/>
      <c r="Q1033"/>
      <c r="R1033"/>
      <c r="S1033"/>
    </row>
    <row r="1034" spans="12:19">
      <c r="L1034"/>
      <c r="M1034"/>
      <c r="N1034"/>
      <c r="O1034"/>
      <c r="P1034"/>
      <c r="Q1034"/>
      <c r="R1034"/>
      <c r="S1034"/>
    </row>
    <row r="1035" spans="12:19">
      <c r="L1035"/>
      <c r="M1035"/>
      <c r="N1035"/>
      <c r="O1035"/>
      <c r="P1035"/>
      <c r="Q1035"/>
      <c r="R1035"/>
      <c r="S1035"/>
    </row>
    <row r="1036" spans="12:19">
      <c r="L1036"/>
      <c r="M1036"/>
      <c r="N1036"/>
      <c r="O1036"/>
      <c r="P1036"/>
      <c r="Q1036"/>
      <c r="R1036"/>
      <c r="S1036"/>
    </row>
    <row r="1037" spans="12:19">
      <c r="L1037"/>
      <c r="M1037"/>
      <c r="N1037"/>
      <c r="O1037"/>
      <c r="P1037"/>
      <c r="Q1037"/>
      <c r="R1037"/>
      <c r="S1037"/>
    </row>
    <row r="1038" spans="12:19">
      <c r="L1038"/>
      <c r="M1038"/>
      <c r="N1038"/>
      <c r="O1038"/>
      <c r="P1038"/>
      <c r="Q1038"/>
      <c r="R1038"/>
      <c r="S1038"/>
    </row>
    <row r="1039" spans="12:19">
      <c r="L1039"/>
      <c r="M1039"/>
      <c r="N1039"/>
      <c r="O1039"/>
      <c r="P1039"/>
      <c r="Q1039"/>
      <c r="R1039"/>
      <c r="S1039"/>
    </row>
    <row r="1040" spans="12:19">
      <c r="L1040"/>
      <c r="M1040"/>
      <c r="N1040"/>
      <c r="O1040"/>
      <c r="P1040"/>
      <c r="Q1040"/>
      <c r="R1040"/>
      <c r="S1040"/>
    </row>
    <row r="1041" spans="12:19">
      <c r="L1041"/>
      <c r="M1041"/>
      <c r="N1041"/>
      <c r="O1041"/>
      <c r="P1041"/>
      <c r="Q1041"/>
      <c r="R1041"/>
      <c r="S1041"/>
    </row>
    <row r="1042" spans="12:19">
      <c r="L1042"/>
      <c r="M1042"/>
      <c r="N1042"/>
      <c r="O1042"/>
      <c r="P1042"/>
      <c r="Q1042"/>
      <c r="R1042"/>
      <c r="S1042"/>
    </row>
    <row r="1043" spans="12:19">
      <c r="L1043"/>
      <c r="M1043"/>
      <c r="N1043"/>
      <c r="O1043"/>
      <c r="P1043"/>
      <c r="Q1043"/>
      <c r="R1043"/>
      <c r="S1043"/>
    </row>
    <row r="1044" spans="12:19">
      <c r="L1044"/>
      <c r="M1044"/>
      <c r="N1044"/>
      <c r="O1044"/>
      <c r="P1044"/>
      <c r="Q1044"/>
      <c r="R1044"/>
      <c r="S1044"/>
    </row>
    <row r="1045" spans="12:19">
      <c r="L1045"/>
      <c r="M1045"/>
      <c r="N1045"/>
      <c r="O1045"/>
      <c r="P1045"/>
      <c r="Q1045"/>
      <c r="R1045"/>
      <c r="S1045"/>
    </row>
    <row r="1046" spans="12:19">
      <c r="L1046"/>
      <c r="M1046"/>
      <c r="N1046"/>
      <c r="O1046"/>
      <c r="P1046"/>
      <c r="Q1046"/>
      <c r="R1046"/>
      <c r="S1046"/>
    </row>
    <row r="1047" spans="12:19">
      <c r="L1047"/>
      <c r="M1047"/>
      <c r="N1047"/>
      <c r="O1047"/>
      <c r="P1047"/>
      <c r="Q1047"/>
      <c r="R1047"/>
      <c r="S1047"/>
    </row>
    <row r="1048" spans="12:19">
      <c r="L1048"/>
      <c r="M1048"/>
      <c r="N1048"/>
      <c r="O1048"/>
      <c r="P1048"/>
      <c r="Q1048"/>
      <c r="R1048"/>
      <c r="S1048"/>
    </row>
    <row r="1049" spans="12:19">
      <c r="L1049"/>
      <c r="M1049"/>
      <c r="N1049"/>
      <c r="O1049"/>
      <c r="P1049"/>
      <c r="Q1049"/>
      <c r="R1049"/>
      <c r="S1049"/>
    </row>
    <row r="1050" spans="12:19">
      <c r="L1050"/>
      <c r="M1050"/>
      <c r="N1050"/>
      <c r="O1050"/>
      <c r="P1050"/>
      <c r="Q1050"/>
      <c r="R1050"/>
      <c r="S1050"/>
    </row>
    <row r="1051" spans="12:19">
      <c r="L1051"/>
      <c r="M1051"/>
      <c r="N1051"/>
      <c r="O1051"/>
      <c r="P1051"/>
      <c r="Q1051"/>
      <c r="R1051"/>
      <c r="S1051"/>
    </row>
    <row r="1052" spans="12:19">
      <c r="L1052"/>
      <c r="M1052"/>
      <c r="N1052"/>
      <c r="O1052"/>
      <c r="P1052"/>
      <c r="Q1052"/>
      <c r="R1052"/>
      <c r="S1052"/>
    </row>
    <row r="1053" spans="12:19">
      <c r="L1053"/>
      <c r="M1053"/>
      <c r="N1053"/>
      <c r="O1053"/>
      <c r="P1053"/>
      <c r="Q1053"/>
      <c r="R1053"/>
      <c r="S1053"/>
    </row>
    <row r="1054" spans="12:19">
      <c r="L1054"/>
      <c r="M1054"/>
      <c r="N1054"/>
      <c r="O1054"/>
      <c r="P1054"/>
      <c r="Q1054"/>
      <c r="R1054"/>
      <c r="S1054"/>
    </row>
    <row r="1055" spans="12:19">
      <c r="L1055"/>
      <c r="M1055"/>
      <c r="N1055"/>
      <c r="O1055"/>
      <c r="P1055"/>
      <c r="Q1055"/>
      <c r="R1055"/>
      <c r="S1055"/>
    </row>
    <row r="1056" spans="12:19">
      <c r="L1056"/>
      <c r="M1056"/>
      <c r="N1056"/>
      <c r="O1056"/>
      <c r="P1056"/>
      <c r="Q1056"/>
      <c r="R1056"/>
      <c r="S1056"/>
    </row>
    <row r="1057" spans="12:19">
      <c r="L1057"/>
      <c r="M1057"/>
      <c r="N1057"/>
      <c r="O1057"/>
      <c r="P1057"/>
      <c r="Q1057"/>
      <c r="R1057"/>
      <c r="S1057"/>
    </row>
    <row r="1058" spans="12:19">
      <c r="L1058"/>
      <c r="M1058"/>
      <c r="N1058"/>
      <c r="O1058"/>
      <c r="P1058"/>
      <c r="Q1058"/>
      <c r="R1058"/>
      <c r="S1058"/>
    </row>
    <row r="1059" spans="12:19">
      <c r="L1059"/>
      <c r="M1059"/>
      <c r="N1059"/>
      <c r="O1059"/>
      <c r="P1059"/>
      <c r="Q1059"/>
      <c r="R1059"/>
      <c r="S1059"/>
    </row>
    <row r="1060" spans="12:19">
      <c r="L1060"/>
      <c r="M1060"/>
      <c r="N1060"/>
      <c r="O1060"/>
      <c r="P1060"/>
      <c r="Q1060"/>
      <c r="R1060"/>
      <c r="S1060"/>
    </row>
    <row r="1061" spans="12:19">
      <c r="L1061"/>
      <c r="M1061"/>
      <c r="N1061"/>
      <c r="O1061"/>
      <c r="P1061"/>
      <c r="Q1061"/>
      <c r="R1061"/>
      <c r="S1061"/>
    </row>
    <row r="1062" spans="12:19">
      <c r="L1062"/>
      <c r="M1062"/>
      <c r="N1062"/>
      <c r="O1062"/>
      <c r="P1062"/>
      <c r="Q1062"/>
      <c r="R1062"/>
      <c r="S1062"/>
    </row>
    <row r="1063" spans="12:19">
      <c r="L1063"/>
      <c r="M1063"/>
      <c r="N1063"/>
      <c r="O1063"/>
      <c r="P1063"/>
      <c r="Q1063"/>
      <c r="R1063"/>
      <c r="S1063"/>
    </row>
    <row r="1064" spans="12:19">
      <c r="L1064"/>
      <c r="M1064"/>
      <c r="N1064"/>
      <c r="O1064"/>
      <c r="P1064"/>
      <c r="Q1064"/>
      <c r="R1064"/>
      <c r="S1064"/>
    </row>
    <row r="1065" spans="12:19">
      <c r="L1065"/>
      <c r="M1065"/>
      <c r="N1065"/>
      <c r="O1065"/>
      <c r="P1065"/>
      <c r="Q1065"/>
      <c r="R1065"/>
      <c r="S1065"/>
    </row>
    <row r="1066" spans="12:19">
      <c r="L1066"/>
      <c r="M1066"/>
      <c r="N1066"/>
      <c r="O1066"/>
      <c r="P1066"/>
      <c r="Q1066"/>
      <c r="R1066"/>
      <c r="S1066"/>
    </row>
    <row r="1067" spans="12:19">
      <c r="L1067"/>
      <c r="M1067"/>
      <c r="N1067"/>
      <c r="O1067"/>
      <c r="P1067"/>
      <c r="Q1067"/>
      <c r="R1067"/>
      <c r="S1067"/>
    </row>
    <row r="1068" spans="12:19">
      <c r="L1068"/>
      <c r="M1068"/>
      <c r="N1068"/>
      <c r="O1068"/>
      <c r="P1068"/>
      <c r="Q1068"/>
      <c r="R1068"/>
      <c r="S1068"/>
    </row>
    <row r="1069" spans="12:19">
      <c r="L1069"/>
      <c r="M1069"/>
      <c r="N1069"/>
      <c r="O1069"/>
      <c r="P1069"/>
      <c r="Q1069"/>
      <c r="R1069"/>
      <c r="S1069"/>
    </row>
    <row r="1070" spans="12:19">
      <c r="L1070"/>
      <c r="M1070"/>
      <c r="N1070"/>
      <c r="O1070"/>
      <c r="P1070"/>
      <c r="Q1070"/>
      <c r="R1070"/>
      <c r="S1070"/>
    </row>
    <row r="1071" spans="12:19">
      <c r="L1071"/>
      <c r="M1071"/>
      <c r="N1071"/>
      <c r="O1071"/>
      <c r="P1071"/>
      <c r="Q1071"/>
      <c r="R1071"/>
      <c r="S1071"/>
    </row>
    <row r="1072" spans="12:19">
      <c r="L1072"/>
      <c r="M1072"/>
      <c r="N1072"/>
      <c r="O1072"/>
      <c r="P1072"/>
      <c r="Q1072"/>
      <c r="R1072"/>
      <c r="S1072"/>
    </row>
    <row r="1073" spans="12:19">
      <c r="L1073"/>
      <c r="M1073"/>
      <c r="N1073"/>
      <c r="O1073"/>
      <c r="P1073"/>
      <c r="Q1073"/>
      <c r="R1073"/>
      <c r="S1073"/>
    </row>
    <row r="1074" spans="12:19">
      <c r="L1074"/>
      <c r="M1074"/>
      <c r="N1074"/>
      <c r="O1074"/>
      <c r="P1074"/>
      <c r="Q1074"/>
      <c r="R1074"/>
      <c r="S1074"/>
    </row>
    <row r="1075" spans="12:19">
      <c r="L1075"/>
      <c r="M1075"/>
      <c r="N1075"/>
      <c r="O1075"/>
      <c r="P1075"/>
      <c r="Q1075"/>
      <c r="R1075"/>
      <c r="S1075"/>
    </row>
    <row r="1076" spans="12:19">
      <c r="L1076"/>
      <c r="M1076"/>
      <c r="N1076"/>
      <c r="O1076"/>
      <c r="P1076"/>
      <c r="Q1076"/>
      <c r="R1076"/>
      <c r="S1076"/>
    </row>
    <row r="1077" spans="12:19">
      <c r="L1077"/>
      <c r="M1077"/>
      <c r="N1077"/>
      <c r="O1077"/>
      <c r="P1077"/>
      <c r="Q1077"/>
      <c r="R1077"/>
      <c r="S1077"/>
    </row>
    <row r="1078" spans="12:19">
      <c r="L1078"/>
      <c r="M1078"/>
      <c r="N1078"/>
      <c r="O1078"/>
      <c r="P1078"/>
      <c r="Q1078"/>
      <c r="R1078"/>
      <c r="S1078"/>
    </row>
    <row r="1079" spans="12:19">
      <c r="L1079"/>
      <c r="M1079"/>
      <c r="N1079"/>
      <c r="O1079"/>
      <c r="P1079"/>
      <c r="Q1079"/>
      <c r="R1079"/>
      <c r="S1079"/>
    </row>
    <row r="1080" spans="12:19">
      <c r="L1080"/>
      <c r="M1080"/>
      <c r="N1080"/>
      <c r="O1080"/>
      <c r="P1080"/>
      <c r="Q1080"/>
      <c r="R1080"/>
      <c r="S1080"/>
    </row>
    <row r="1081" spans="12:19">
      <c r="L1081"/>
      <c r="M1081"/>
      <c r="N1081"/>
      <c r="O1081"/>
      <c r="P1081"/>
      <c r="Q1081"/>
      <c r="R1081"/>
      <c r="S1081"/>
    </row>
    <row r="1082" spans="12:19">
      <c r="L1082"/>
      <c r="M1082"/>
      <c r="N1082"/>
      <c r="O1082"/>
      <c r="P1082"/>
      <c r="Q1082"/>
      <c r="R1082"/>
      <c r="S1082"/>
    </row>
    <row r="1083" spans="12:19">
      <c r="L1083"/>
      <c r="M1083"/>
      <c r="N1083"/>
      <c r="O1083"/>
      <c r="P1083"/>
      <c r="Q1083"/>
      <c r="R1083"/>
      <c r="S1083"/>
    </row>
    <row r="1084" spans="12:19">
      <c r="L1084"/>
      <c r="M1084"/>
      <c r="N1084"/>
      <c r="O1084"/>
      <c r="P1084"/>
      <c r="Q1084"/>
      <c r="R1084"/>
      <c r="S1084"/>
    </row>
    <row r="1085" spans="12:19">
      <c r="L1085"/>
      <c r="M1085"/>
      <c r="N1085"/>
      <c r="O1085"/>
      <c r="P1085"/>
      <c r="Q1085"/>
      <c r="R1085"/>
      <c r="S1085"/>
    </row>
    <row r="1086" spans="12:19">
      <c r="L1086"/>
      <c r="M1086"/>
      <c r="N1086"/>
      <c r="O1086"/>
      <c r="P1086"/>
      <c r="Q1086"/>
      <c r="R1086"/>
      <c r="S1086"/>
    </row>
    <row r="1087" spans="12:19">
      <c r="L1087"/>
      <c r="M1087"/>
      <c r="N1087"/>
      <c r="O1087"/>
      <c r="P1087"/>
      <c r="Q1087"/>
      <c r="R1087"/>
      <c r="S1087"/>
    </row>
    <row r="1088" spans="12:19">
      <c r="L1088"/>
      <c r="M1088"/>
      <c r="N1088"/>
      <c r="O1088"/>
      <c r="P1088"/>
      <c r="Q1088"/>
      <c r="R1088"/>
      <c r="S1088"/>
    </row>
    <row r="1089" spans="12:19">
      <c r="L1089"/>
      <c r="M1089"/>
      <c r="N1089"/>
      <c r="O1089"/>
      <c r="P1089"/>
      <c r="Q1089"/>
      <c r="R1089"/>
      <c r="S1089"/>
    </row>
    <row r="1090" spans="12:19">
      <c r="L1090"/>
      <c r="M1090"/>
      <c r="N1090"/>
      <c r="O1090"/>
      <c r="P1090"/>
      <c r="Q1090"/>
      <c r="R1090"/>
      <c r="S1090"/>
    </row>
    <row r="1091" spans="12:19">
      <c r="L1091"/>
      <c r="M1091"/>
      <c r="N1091"/>
      <c r="O1091"/>
      <c r="P1091"/>
      <c r="Q1091"/>
      <c r="R1091"/>
      <c r="S1091"/>
    </row>
    <row r="1092" spans="12:19">
      <c r="L1092"/>
      <c r="M1092"/>
      <c r="N1092"/>
      <c r="O1092"/>
      <c r="P1092"/>
      <c r="Q1092"/>
      <c r="R1092"/>
      <c r="S1092"/>
    </row>
    <row r="1093" spans="12:19">
      <c r="L1093"/>
      <c r="M1093"/>
      <c r="N1093"/>
      <c r="O1093"/>
      <c r="P1093"/>
      <c r="Q1093"/>
      <c r="R1093"/>
      <c r="S1093"/>
    </row>
    <row r="1094" spans="12:19">
      <c r="L1094"/>
      <c r="M1094"/>
      <c r="N1094"/>
      <c r="O1094"/>
      <c r="P1094"/>
      <c r="Q1094"/>
      <c r="R1094"/>
      <c r="S1094"/>
    </row>
    <row r="1095" spans="12:19">
      <c r="L1095"/>
      <c r="M1095"/>
      <c r="N1095"/>
      <c r="O1095"/>
      <c r="P1095"/>
      <c r="Q1095"/>
      <c r="R1095"/>
      <c r="S1095"/>
    </row>
    <row r="1096" spans="12:19">
      <c r="L1096"/>
      <c r="M1096"/>
      <c r="N1096"/>
      <c r="O1096"/>
      <c r="P1096"/>
      <c r="Q1096"/>
      <c r="R1096"/>
      <c r="S1096"/>
    </row>
    <row r="1097" spans="12:19">
      <c r="L1097"/>
      <c r="M1097"/>
      <c r="N1097"/>
      <c r="O1097"/>
      <c r="P1097"/>
      <c r="Q1097"/>
      <c r="R1097"/>
      <c r="S1097"/>
    </row>
    <row r="1098" spans="12:19">
      <c r="L1098"/>
      <c r="M1098"/>
      <c r="N1098"/>
      <c r="O1098"/>
      <c r="P1098"/>
      <c r="Q1098"/>
      <c r="R1098"/>
      <c r="S1098"/>
    </row>
    <row r="1099" spans="12:19">
      <c r="L1099"/>
      <c r="M1099"/>
      <c r="N1099"/>
      <c r="O1099"/>
      <c r="P1099"/>
      <c r="Q1099"/>
      <c r="R1099"/>
      <c r="S1099"/>
    </row>
    <row r="1100" spans="12:19">
      <c r="L1100"/>
      <c r="M1100"/>
      <c r="N1100"/>
      <c r="O1100"/>
      <c r="P1100"/>
      <c r="Q1100"/>
      <c r="R1100"/>
      <c r="S1100"/>
    </row>
    <row r="1101" spans="12:19">
      <c r="L1101"/>
      <c r="M1101"/>
      <c r="N1101"/>
      <c r="O1101"/>
      <c r="P1101"/>
      <c r="Q1101"/>
      <c r="R1101"/>
      <c r="S1101"/>
    </row>
    <row r="1102" spans="12:19">
      <c r="L1102"/>
      <c r="M1102"/>
      <c r="N1102"/>
      <c r="O1102"/>
      <c r="P1102"/>
      <c r="Q1102"/>
      <c r="R1102"/>
      <c r="S1102"/>
    </row>
    <row r="1103" spans="12:19">
      <c r="L1103"/>
      <c r="M1103"/>
      <c r="N1103"/>
      <c r="O1103"/>
      <c r="P1103"/>
      <c r="Q1103"/>
      <c r="R1103"/>
      <c r="S1103"/>
    </row>
    <row r="1104" spans="12:19">
      <c r="L1104"/>
      <c r="M1104"/>
      <c r="N1104"/>
      <c r="O1104"/>
      <c r="P1104"/>
      <c r="Q1104"/>
      <c r="R1104"/>
      <c r="S1104"/>
    </row>
    <row r="1105" spans="12:19">
      <c r="L1105"/>
      <c r="M1105"/>
      <c r="N1105"/>
      <c r="O1105"/>
      <c r="P1105"/>
      <c r="Q1105"/>
      <c r="R1105"/>
      <c r="S1105"/>
    </row>
    <row r="1106" spans="12:19">
      <c r="L1106"/>
      <c r="M1106"/>
      <c r="N1106"/>
      <c r="O1106"/>
      <c r="P1106"/>
      <c r="Q1106"/>
      <c r="R1106"/>
      <c r="S1106"/>
    </row>
    <row r="1107" spans="12:19">
      <c r="L1107"/>
      <c r="M1107"/>
      <c r="N1107"/>
      <c r="O1107"/>
      <c r="P1107"/>
      <c r="Q1107"/>
      <c r="R1107"/>
      <c r="S1107"/>
    </row>
    <row r="1108" spans="12:19">
      <c r="L1108"/>
      <c r="M1108"/>
      <c r="N1108"/>
      <c r="O1108"/>
      <c r="P1108"/>
      <c r="Q1108"/>
      <c r="R1108"/>
      <c r="S1108"/>
    </row>
    <row r="1109" spans="12:19">
      <c r="L1109"/>
      <c r="M1109"/>
      <c r="N1109"/>
      <c r="O1109"/>
      <c r="P1109"/>
      <c r="Q1109"/>
      <c r="R1109"/>
      <c r="S1109"/>
    </row>
    <row r="1110" spans="12:19">
      <c r="L1110"/>
      <c r="M1110"/>
      <c r="N1110"/>
      <c r="O1110"/>
      <c r="P1110"/>
      <c r="Q1110"/>
      <c r="R1110"/>
      <c r="S1110"/>
    </row>
    <row r="1111" spans="12:19">
      <c r="L1111"/>
      <c r="M1111"/>
      <c r="N1111"/>
      <c r="O1111"/>
      <c r="P1111"/>
      <c r="Q1111"/>
      <c r="R1111"/>
      <c r="S1111"/>
    </row>
    <row r="1112" spans="12:19">
      <c r="L1112"/>
      <c r="M1112"/>
      <c r="N1112"/>
      <c r="O1112"/>
      <c r="P1112"/>
      <c r="Q1112"/>
      <c r="R1112"/>
      <c r="S1112"/>
    </row>
    <row r="1113" spans="12:19">
      <c r="L1113"/>
      <c r="M1113"/>
      <c r="N1113"/>
      <c r="O1113"/>
      <c r="P1113"/>
      <c r="Q1113"/>
      <c r="R1113"/>
      <c r="S1113"/>
    </row>
    <row r="1114" spans="12:19">
      <c r="L1114"/>
      <c r="M1114"/>
      <c r="N1114"/>
      <c r="O1114"/>
      <c r="P1114"/>
      <c r="Q1114"/>
      <c r="R1114"/>
      <c r="S1114"/>
    </row>
    <row r="1115" spans="12:19">
      <c r="L1115"/>
      <c r="M1115"/>
      <c r="N1115"/>
      <c r="O1115"/>
      <c r="P1115"/>
      <c r="Q1115"/>
      <c r="R1115"/>
      <c r="S1115"/>
    </row>
    <row r="1116" spans="12:19">
      <c r="L1116"/>
      <c r="M1116"/>
      <c r="N1116"/>
      <c r="O1116"/>
      <c r="P1116"/>
      <c r="Q1116"/>
      <c r="R1116"/>
      <c r="S1116"/>
    </row>
    <row r="1117" spans="12:19">
      <c r="L1117"/>
      <c r="M1117"/>
      <c r="N1117"/>
      <c r="O1117"/>
      <c r="P1117"/>
      <c r="Q1117"/>
      <c r="R1117"/>
      <c r="S1117"/>
    </row>
    <row r="1118" spans="12:19">
      <c r="L1118"/>
      <c r="M1118"/>
      <c r="N1118"/>
      <c r="O1118"/>
      <c r="P1118"/>
      <c r="Q1118"/>
      <c r="R1118"/>
      <c r="S1118"/>
    </row>
    <row r="1119" spans="12:19">
      <c r="L1119"/>
      <c r="M1119"/>
      <c r="N1119"/>
      <c r="O1119"/>
      <c r="P1119"/>
      <c r="Q1119"/>
      <c r="R1119"/>
      <c r="S1119"/>
    </row>
    <row r="1120" spans="12:19">
      <c r="L1120"/>
      <c r="M1120"/>
      <c r="N1120"/>
      <c r="O1120"/>
      <c r="P1120"/>
      <c r="Q1120"/>
      <c r="R1120"/>
      <c r="S1120"/>
    </row>
    <row r="1121" spans="12:19">
      <c r="L1121"/>
      <c r="M1121"/>
      <c r="N1121"/>
      <c r="O1121"/>
      <c r="P1121"/>
      <c r="Q1121"/>
      <c r="R1121"/>
      <c r="S1121"/>
    </row>
    <row r="1122" spans="12:19">
      <c r="L1122"/>
      <c r="M1122"/>
      <c r="N1122"/>
      <c r="O1122"/>
      <c r="P1122"/>
      <c r="Q1122"/>
      <c r="R1122"/>
      <c r="S1122"/>
    </row>
    <row r="1123" spans="12:19">
      <c r="L1123"/>
      <c r="M1123"/>
      <c r="N1123"/>
      <c r="O1123"/>
      <c r="P1123"/>
      <c r="Q1123"/>
      <c r="R1123"/>
      <c r="S1123"/>
    </row>
    <row r="1124" spans="12:19">
      <c r="L1124"/>
      <c r="M1124"/>
      <c r="N1124"/>
      <c r="O1124"/>
      <c r="P1124"/>
      <c r="Q1124"/>
      <c r="R1124"/>
      <c r="S1124"/>
    </row>
    <row r="1125" spans="12:19">
      <c r="L1125"/>
      <c r="M1125"/>
      <c r="N1125"/>
      <c r="O1125"/>
      <c r="P1125"/>
      <c r="Q1125"/>
      <c r="R1125"/>
      <c r="S1125"/>
    </row>
    <row r="1126" spans="12:19">
      <c r="L1126"/>
      <c r="M1126"/>
      <c r="N1126"/>
      <c r="O1126"/>
      <c r="P1126"/>
      <c r="Q1126"/>
      <c r="R1126"/>
      <c r="S1126"/>
    </row>
    <row r="1127" spans="12:19">
      <c r="L1127"/>
      <c r="M1127"/>
      <c r="N1127"/>
      <c r="O1127"/>
      <c r="P1127"/>
      <c r="Q1127"/>
      <c r="R1127"/>
      <c r="S1127"/>
    </row>
    <row r="1128" spans="12:19">
      <c r="L1128"/>
      <c r="M1128"/>
      <c r="N1128"/>
      <c r="O1128"/>
      <c r="P1128"/>
      <c r="Q1128"/>
      <c r="R1128"/>
      <c r="S1128"/>
    </row>
    <row r="1129" spans="12:19">
      <c r="L1129"/>
      <c r="M1129"/>
      <c r="N1129"/>
      <c r="O1129"/>
      <c r="P1129"/>
      <c r="Q1129"/>
      <c r="R1129"/>
      <c r="S1129"/>
    </row>
    <row r="1130" spans="12:19">
      <c r="L1130"/>
      <c r="M1130"/>
      <c r="N1130"/>
      <c r="O1130"/>
      <c r="P1130"/>
      <c r="Q1130"/>
      <c r="R1130"/>
      <c r="S1130"/>
    </row>
    <row r="1131" spans="12:19">
      <c r="L1131"/>
      <c r="M1131"/>
      <c r="N1131"/>
      <c r="O1131"/>
      <c r="P1131"/>
      <c r="Q1131"/>
      <c r="R1131"/>
      <c r="S1131"/>
    </row>
    <row r="1132" spans="12:19">
      <c r="L1132"/>
      <c r="M1132"/>
      <c r="N1132"/>
      <c r="O1132"/>
      <c r="P1132"/>
      <c r="Q1132"/>
      <c r="R1132"/>
      <c r="S1132"/>
    </row>
    <row r="1133" spans="12:19">
      <c r="L1133"/>
      <c r="M1133"/>
      <c r="N1133"/>
      <c r="O1133"/>
      <c r="P1133"/>
      <c r="Q1133"/>
      <c r="R1133"/>
      <c r="S1133"/>
    </row>
    <row r="1134" spans="12:19">
      <c r="L1134"/>
      <c r="M1134"/>
      <c r="N1134"/>
      <c r="O1134"/>
      <c r="P1134"/>
      <c r="Q1134"/>
      <c r="R1134"/>
      <c r="S1134"/>
    </row>
    <row r="1135" spans="12:19">
      <c r="L1135"/>
      <c r="M1135"/>
      <c r="N1135"/>
      <c r="O1135"/>
      <c r="P1135"/>
      <c r="Q1135"/>
      <c r="R1135"/>
      <c r="S1135"/>
    </row>
    <row r="1136" spans="12:19">
      <c r="L1136"/>
      <c r="M1136"/>
      <c r="N1136"/>
      <c r="O1136"/>
      <c r="P1136"/>
      <c r="Q1136"/>
      <c r="R1136"/>
      <c r="S1136"/>
    </row>
    <row r="1137" spans="12:19">
      <c r="L1137"/>
      <c r="M1137"/>
      <c r="N1137"/>
      <c r="O1137"/>
      <c r="P1137"/>
      <c r="Q1137"/>
      <c r="R1137"/>
      <c r="S1137"/>
    </row>
    <row r="1138" spans="12:19">
      <c r="L1138"/>
      <c r="M1138"/>
      <c r="N1138"/>
      <c r="O1138"/>
      <c r="P1138"/>
      <c r="Q1138"/>
      <c r="R1138"/>
      <c r="S1138"/>
    </row>
    <row r="1139" spans="12:19">
      <c r="L1139"/>
      <c r="M1139"/>
      <c r="N1139"/>
      <c r="O1139"/>
      <c r="P1139"/>
      <c r="Q1139"/>
      <c r="R1139"/>
      <c r="S1139"/>
    </row>
    <row r="1140" spans="12:19">
      <c r="L1140"/>
      <c r="M1140"/>
      <c r="N1140"/>
      <c r="O1140"/>
      <c r="P1140"/>
      <c r="Q1140"/>
      <c r="R1140"/>
      <c r="S1140"/>
    </row>
    <row r="1141" spans="12:19">
      <c r="L1141"/>
      <c r="M1141"/>
      <c r="N1141"/>
      <c r="O1141"/>
      <c r="P1141"/>
      <c r="Q1141"/>
      <c r="R1141"/>
      <c r="S1141"/>
    </row>
    <row r="1142" spans="12:19">
      <c r="L1142"/>
      <c r="M1142"/>
      <c r="N1142"/>
      <c r="O1142"/>
      <c r="P1142"/>
      <c r="Q1142"/>
      <c r="R1142"/>
      <c r="S1142"/>
    </row>
    <row r="1143" spans="12:19">
      <c r="L1143"/>
      <c r="M1143"/>
      <c r="N1143"/>
      <c r="O1143"/>
      <c r="P1143"/>
      <c r="Q1143"/>
      <c r="R1143"/>
      <c r="S1143"/>
    </row>
    <row r="1144" spans="12:19">
      <c r="L1144"/>
      <c r="M1144"/>
      <c r="N1144"/>
      <c r="O1144"/>
      <c r="P1144"/>
      <c r="Q1144"/>
      <c r="R1144"/>
      <c r="S1144"/>
    </row>
    <row r="1145" spans="12:19">
      <c r="L1145"/>
      <c r="M1145"/>
      <c r="N1145"/>
      <c r="O1145"/>
      <c r="P1145"/>
      <c r="Q1145"/>
      <c r="R1145"/>
      <c r="S1145"/>
    </row>
    <row r="1146" spans="12:19">
      <c r="L1146"/>
      <c r="M1146"/>
      <c r="N1146"/>
      <c r="O1146"/>
      <c r="P1146"/>
      <c r="Q1146"/>
      <c r="R1146"/>
      <c r="S1146"/>
    </row>
    <row r="1147" spans="12:19">
      <c r="L1147"/>
      <c r="M1147"/>
      <c r="N1147"/>
      <c r="O1147"/>
      <c r="P1147"/>
      <c r="Q1147"/>
      <c r="R1147"/>
      <c r="S1147"/>
    </row>
    <row r="1148" spans="12:19">
      <c r="L1148"/>
      <c r="M1148"/>
      <c r="N1148"/>
      <c r="O1148"/>
      <c r="P1148"/>
      <c r="Q1148"/>
      <c r="R1148"/>
      <c r="S1148"/>
    </row>
    <row r="1149" spans="12:19">
      <c r="L1149"/>
      <c r="M1149"/>
      <c r="N1149"/>
      <c r="O1149"/>
      <c r="P1149"/>
      <c r="Q1149"/>
      <c r="R1149"/>
      <c r="S1149"/>
    </row>
    <row r="1150" spans="12:19">
      <c r="L1150"/>
      <c r="M1150"/>
      <c r="N1150"/>
      <c r="O1150"/>
      <c r="P1150"/>
      <c r="Q1150"/>
      <c r="R1150"/>
      <c r="S1150"/>
    </row>
    <row r="1151" spans="12:19">
      <c r="L1151"/>
      <c r="M1151"/>
      <c r="N1151"/>
      <c r="O1151"/>
      <c r="P1151"/>
      <c r="Q1151"/>
      <c r="R1151"/>
      <c r="S1151"/>
    </row>
    <row r="1152" spans="12:19">
      <c r="L1152"/>
      <c r="M1152"/>
      <c r="N1152"/>
      <c r="O1152"/>
      <c r="P1152"/>
      <c r="Q1152"/>
      <c r="R1152"/>
      <c r="S1152"/>
    </row>
    <row r="1153" spans="12:19">
      <c r="L1153"/>
      <c r="M1153"/>
      <c r="N1153"/>
      <c r="O1153"/>
      <c r="P1153"/>
      <c r="Q1153"/>
      <c r="R1153"/>
      <c r="S1153"/>
    </row>
    <row r="1154" spans="12:19">
      <c r="L1154"/>
      <c r="M1154"/>
      <c r="N1154"/>
      <c r="O1154"/>
      <c r="P1154"/>
      <c r="Q1154"/>
      <c r="R1154"/>
      <c r="S1154"/>
    </row>
    <row r="1155" spans="12:19">
      <c r="L1155"/>
      <c r="M1155"/>
      <c r="N1155"/>
      <c r="O1155"/>
      <c r="P1155"/>
      <c r="Q1155"/>
      <c r="R1155"/>
      <c r="S1155"/>
    </row>
    <row r="1156" spans="12:19">
      <c r="L1156"/>
      <c r="M1156"/>
      <c r="N1156"/>
      <c r="O1156"/>
      <c r="P1156"/>
      <c r="Q1156"/>
      <c r="R1156"/>
      <c r="S1156"/>
    </row>
    <row r="1157" spans="12:19">
      <c r="L1157"/>
      <c r="M1157"/>
      <c r="N1157"/>
      <c r="O1157"/>
      <c r="P1157"/>
      <c r="Q1157"/>
      <c r="R1157"/>
      <c r="S1157"/>
    </row>
    <row r="1158" spans="12:19">
      <c r="L1158"/>
      <c r="M1158"/>
      <c r="N1158"/>
      <c r="O1158"/>
      <c r="P1158"/>
      <c r="Q1158"/>
      <c r="R1158"/>
      <c r="S1158"/>
    </row>
    <row r="1159" spans="12:19">
      <c r="L1159"/>
      <c r="M1159"/>
      <c r="N1159"/>
      <c r="O1159"/>
      <c r="P1159"/>
      <c r="Q1159"/>
      <c r="R1159"/>
      <c r="S1159"/>
    </row>
    <row r="1160" spans="12:19">
      <c r="L1160"/>
      <c r="M1160"/>
      <c r="N1160"/>
      <c r="O1160"/>
      <c r="P1160"/>
      <c r="Q1160"/>
      <c r="R1160"/>
      <c r="S1160"/>
    </row>
    <row r="1161" spans="12:19">
      <c r="L1161"/>
      <c r="M1161"/>
      <c r="N1161"/>
      <c r="O1161"/>
      <c r="P1161"/>
      <c r="Q1161"/>
      <c r="R1161"/>
      <c r="S1161"/>
    </row>
    <row r="1162" spans="12:19">
      <c r="L1162"/>
      <c r="M1162"/>
      <c r="N1162"/>
      <c r="O1162"/>
      <c r="P1162"/>
      <c r="Q1162"/>
      <c r="R1162"/>
      <c r="S1162"/>
    </row>
    <row r="1163" spans="12:19">
      <c r="L1163"/>
      <c r="M1163"/>
      <c r="N1163"/>
      <c r="O1163"/>
      <c r="P1163"/>
      <c r="Q1163"/>
      <c r="R1163"/>
      <c r="S1163"/>
    </row>
    <row r="1164" spans="12:19">
      <c r="L1164"/>
      <c r="M1164"/>
      <c r="N1164"/>
      <c r="O1164"/>
      <c r="P1164"/>
      <c r="Q1164"/>
      <c r="R1164"/>
      <c r="S1164"/>
    </row>
    <row r="1165" spans="12:19">
      <c r="L1165"/>
      <c r="M1165"/>
      <c r="N1165"/>
      <c r="O1165"/>
      <c r="P1165"/>
      <c r="Q1165"/>
      <c r="R1165"/>
      <c r="S1165"/>
    </row>
    <row r="1166" spans="12:19">
      <c r="L1166"/>
      <c r="M1166"/>
      <c r="N1166"/>
      <c r="O1166"/>
      <c r="P1166"/>
      <c r="Q1166"/>
      <c r="R1166"/>
      <c r="S1166"/>
    </row>
    <row r="1167" spans="12:19">
      <c r="L1167"/>
      <c r="M1167"/>
      <c r="N1167"/>
      <c r="O1167"/>
      <c r="P1167"/>
      <c r="Q1167"/>
      <c r="R1167"/>
      <c r="S1167"/>
    </row>
    <row r="1168" spans="12:19">
      <c r="L1168"/>
      <c r="M1168"/>
      <c r="N1168"/>
      <c r="O1168"/>
      <c r="P1168"/>
      <c r="Q1168"/>
      <c r="R1168"/>
      <c r="S1168"/>
    </row>
    <row r="1169" spans="12:19">
      <c r="L1169"/>
      <c r="M1169"/>
      <c r="N1169"/>
      <c r="O1169"/>
      <c r="P1169"/>
      <c r="Q1169"/>
      <c r="R1169"/>
      <c r="S1169"/>
    </row>
    <row r="1170" spans="12:19">
      <c r="L1170"/>
      <c r="M1170"/>
      <c r="N1170"/>
      <c r="O1170"/>
      <c r="P1170"/>
      <c r="Q1170"/>
      <c r="R1170"/>
      <c r="S1170"/>
    </row>
    <row r="1171" spans="12:19">
      <c r="L1171"/>
      <c r="M1171"/>
      <c r="N1171"/>
      <c r="O1171"/>
      <c r="P1171"/>
      <c r="Q1171"/>
      <c r="R1171"/>
      <c r="S1171"/>
    </row>
    <row r="1172" spans="12:19">
      <c r="L1172"/>
      <c r="M1172"/>
      <c r="N1172"/>
      <c r="O1172"/>
      <c r="P1172"/>
      <c r="Q1172"/>
      <c r="R1172"/>
      <c r="S1172"/>
    </row>
    <row r="1173" spans="12:19">
      <c r="L1173"/>
      <c r="M1173"/>
      <c r="N1173"/>
      <c r="O1173"/>
      <c r="P1173"/>
      <c r="Q1173"/>
      <c r="R1173"/>
      <c r="S1173"/>
    </row>
    <row r="1174" spans="12:19">
      <c r="L1174"/>
      <c r="M1174"/>
      <c r="N1174"/>
      <c r="O1174"/>
      <c r="P1174"/>
      <c r="Q1174"/>
      <c r="R1174"/>
      <c r="S1174"/>
    </row>
    <row r="1175" spans="12:19">
      <c r="L1175"/>
      <c r="M1175"/>
      <c r="N1175"/>
      <c r="O1175"/>
      <c r="P1175"/>
      <c r="Q1175"/>
      <c r="R1175"/>
      <c r="S1175"/>
    </row>
    <row r="1176" spans="12:19">
      <c r="L1176"/>
      <c r="M1176"/>
      <c r="N1176"/>
      <c r="O1176"/>
      <c r="P1176"/>
      <c r="Q1176"/>
      <c r="R1176"/>
      <c r="S1176"/>
    </row>
    <row r="1177" spans="12:19">
      <c r="L1177"/>
      <c r="M1177"/>
      <c r="N1177"/>
      <c r="O1177"/>
      <c r="P1177"/>
      <c r="Q1177"/>
      <c r="R1177"/>
      <c r="S1177"/>
    </row>
    <row r="1178" spans="12:19">
      <c r="L1178"/>
      <c r="M1178"/>
      <c r="N1178"/>
      <c r="O1178"/>
      <c r="P1178"/>
      <c r="Q1178"/>
      <c r="R1178"/>
      <c r="S1178"/>
    </row>
    <row r="1179" spans="12:19">
      <c r="L1179"/>
      <c r="M1179"/>
      <c r="N1179"/>
      <c r="O1179"/>
      <c r="P1179"/>
      <c r="Q1179"/>
      <c r="R1179"/>
      <c r="S1179"/>
    </row>
    <row r="1180" spans="12:19">
      <c r="L1180"/>
      <c r="M1180"/>
      <c r="N1180"/>
      <c r="O1180"/>
      <c r="P1180"/>
      <c r="Q1180"/>
      <c r="R1180"/>
      <c r="S1180"/>
    </row>
    <row r="1181" spans="12:19">
      <c r="L1181"/>
      <c r="M1181"/>
      <c r="N1181"/>
      <c r="O1181"/>
      <c r="P1181"/>
      <c r="Q1181"/>
      <c r="R1181"/>
      <c r="S1181"/>
    </row>
    <row r="1182" spans="12:19">
      <c r="L1182"/>
      <c r="M1182"/>
      <c r="N1182"/>
      <c r="O1182"/>
      <c r="P1182"/>
      <c r="Q1182"/>
      <c r="R1182"/>
      <c r="S1182"/>
    </row>
    <row r="1183" spans="12:19">
      <c r="L1183"/>
      <c r="M1183"/>
      <c r="N1183"/>
      <c r="O1183"/>
      <c r="P1183"/>
      <c r="Q1183"/>
      <c r="R1183"/>
      <c r="S1183"/>
    </row>
    <row r="1184" spans="12:19">
      <c r="L1184"/>
      <c r="M1184"/>
      <c r="N1184"/>
      <c r="O1184"/>
      <c r="P1184"/>
      <c r="Q1184"/>
      <c r="R1184"/>
      <c r="S1184"/>
    </row>
    <row r="1185" spans="12:19">
      <c r="L1185"/>
      <c r="M1185"/>
      <c r="N1185"/>
      <c r="O1185"/>
      <c r="P1185"/>
      <c r="Q1185"/>
      <c r="R1185"/>
      <c r="S1185"/>
    </row>
    <row r="1186" spans="12:19">
      <c r="L1186"/>
      <c r="M1186"/>
      <c r="N1186"/>
      <c r="O1186"/>
      <c r="P1186"/>
      <c r="Q1186"/>
      <c r="R1186"/>
      <c r="S1186"/>
    </row>
    <row r="1187" spans="12:19">
      <c r="L1187"/>
      <c r="M1187"/>
      <c r="N1187"/>
      <c r="O1187"/>
      <c r="P1187"/>
      <c r="Q1187"/>
      <c r="R1187"/>
      <c r="S1187"/>
    </row>
    <row r="1188" spans="12:19">
      <c r="L1188"/>
      <c r="M1188"/>
      <c r="N1188"/>
      <c r="O1188"/>
      <c r="P1188"/>
      <c r="Q1188"/>
      <c r="R1188"/>
      <c r="S1188"/>
    </row>
    <row r="1189" spans="12:19">
      <c r="L1189"/>
      <c r="M1189"/>
      <c r="N1189"/>
      <c r="O1189"/>
      <c r="P1189"/>
      <c r="Q1189"/>
      <c r="R1189"/>
      <c r="S1189"/>
    </row>
    <row r="1190" spans="12:19">
      <c r="L1190"/>
      <c r="M1190"/>
      <c r="N1190"/>
      <c r="O1190"/>
      <c r="P1190"/>
      <c r="Q1190"/>
      <c r="R1190"/>
      <c r="S1190"/>
    </row>
    <row r="1191" spans="12:19">
      <c r="L1191"/>
      <c r="M1191"/>
      <c r="N1191"/>
      <c r="O1191"/>
      <c r="P1191"/>
      <c r="Q1191"/>
      <c r="R1191"/>
      <c r="S1191"/>
    </row>
    <row r="1192" spans="12:19">
      <c r="L1192"/>
      <c r="M1192"/>
      <c r="N1192"/>
      <c r="O1192"/>
      <c r="P1192"/>
      <c r="Q1192"/>
      <c r="R1192"/>
      <c r="S1192"/>
    </row>
    <row r="1193" spans="12:19">
      <c r="L1193"/>
      <c r="M1193"/>
      <c r="N1193"/>
      <c r="O1193"/>
      <c r="P1193"/>
      <c r="Q1193"/>
      <c r="R1193"/>
      <c r="S1193"/>
    </row>
    <row r="1194" spans="12:19">
      <c r="L1194"/>
      <c r="M1194"/>
      <c r="N1194"/>
      <c r="O1194"/>
      <c r="P1194"/>
      <c r="Q1194"/>
      <c r="R1194"/>
      <c r="S1194"/>
    </row>
    <row r="1195" spans="12:19">
      <c r="L1195"/>
      <c r="M1195"/>
      <c r="N1195"/>
      <c r="O1195"/>
      <c r="P1195"/>
      <c r="Q1195"/>
      <c r="R1195"/>
      <c r="S1195"/>
    </row>
    <row r="1196" spans="12:19">
      <c r="L1196"/>
      <c r="M1196"/>
      <c r="N1196"/>
      <c r="O1196"/>
      <c r="P1196"/>
      <c r="Q1196"/>
      <c r="R1196"/>
      <c r="S1196"/>
    </row>
    <row r="1197" spans="12:19">
      <c r="L1197"/>
      <c r="M1197"/>
      <c r="N1197"/>
      <c r="O1197"/>
      <c r="P1197"/>
      <c r="Q1197"/>
      <c r="R1197"/>
      <c r="S1197"/>
    </row>
    <row r="1198" spans="12:19">
      <c r="L1198"/>
      <c r="M1198"/>
      <c r="N1198"/>
      <c r="O1198"/>
      <c r="P1198"/>
      <c r="Q1198"/>
      <c r="R1198"/>
      <c r="S1198"/>
    </row>
    <row r="1199" spans="12:19">
      <c r="L1199"/>
      <c r="M1199"/>
      <c r="N1199"/>
      <c r="O1199"/>
      <c r="P1199"/>
      <c r="Q1199"/>
      <c r="R1199"/>
      <c r="S1199"/>
    </row>
    <row r="1200" spans="12:19">
      <c r="L1200"/>
      <c r="M1200"/>
      <c r="N1200"/>
      <c r="O1200"/>
      <c r="P1200"/>
      <c r="Q1200"/>
      <c r="R1200"/>
      <c r="S1200"/>
    </row>
    <row r="1201" spans="12:19">
      <c r="L1201"/>
      <c r="M1201"/>
      <c r="N1201"/>
      <c r="O1201"/>
      <c r="P1201"/>
      <c r="Q1201"/>
      <c r="R1201"/>
      <c r="S1201"/>
    </row>
    <row r="1202" spans="12:19">
      <c r="L1202"/>
      <c r="M1202"/>
      <c r="N1202"/>
      <c r="O1202"/>
      <c r="P1202"/>
      <c r="Q1202"/>
      <c r="R1202"/>
      <c r="S1202"/>
    </row>
    <row r="1203" spans="12:19">
      <c r="L1203"/>
      <c r="M1203"/>
      <c r="N1203"/>
      <c r="O1203"/>
      <c r="P1203"/>
      <c r="Q1203"/>
      <c r="R1203"/>
      <c r="S1203"/>
    </row>
    <row r="1204" spans="12:19">
      <c r="L1204"/>
      <c r="M1204"/>
      <c r="N1204"/>
      <c r="O1204"/>
      <c r="P1204"/>
      <c r="Q1204"/>
      <c r="R1204"/>
      <c r="S1204"/>
    </row>
    <row r="1205" spans="12:19">
      <c r="L1205"/>
      <c r="M1205"/>
      <c r="N1205"/>
      <c r="O1205"/>
      <c r="P1205"/>
      <c r="Q1205"/>
      <c r="R1205"/>
      <c r="S1205"/>
    </row>
    <row r="1206" spans="12:19">
      <c r="L1206"/>
      <c r="M1206"/>
      <c r="N1206"/>
      <c r="O1206"/>
      <c r="P1206"/>
      <c r="Q1206"/>
      <c r="R1206"/>
      <c r="S1206"/>
    </row>
    <row r="1207" spans="12:19">
      <c r="L1207"/>
      <c r="M1207"/>
      <c r="N1207"/>
      <c r="O1207"/>
      <c r="P1207"/>
      <c r="Q1207"/>
      <c r="R1207"/>
      <c r="S1207"/>
    </row>
    <row r="1208" spans="12:19">
      <c r="L1208"/>
      <c r="M1208"/>
      <c r="N1208"/>
      <c r="O1208"/>
      <c r="P1208"/>
      <c r="Q1208"/>
      <c r="R1208"/>
      <c r="S1208"/>
    </row>
    <row r="1209" spans="12:19">
      <c r="L1209"/>
      <c r="M1209"/>
      <c r="N1209"/>
      <c r="O1209"/>
      <c r="P1209"/>
      <c r="Q1209"/>
      <c r="R1209"/>
      <c r="S1209"/>
    </row>
    <row r="1210" spans="12:19">
      <c r="L1210"/>
      <c r="M1210"/>
      <c r="N1210"/>
      <c r="O1210"/>
      <c r="P1210"/>
      <c r="Q1210"/>
      <c r="R1210"/>
      <c r="S1210"/>
    </row>
    <row r="1211" spans="12:19">
      <c r="L1211"/>
      <c r="M1211"/>
      <c r="N1211"/>
      <c r="O1211"/>
      <c r="P1211"/>
      <c r="Q1211"/>
      <c r="R1211"/>
      <c r="S1211"/>
    </row>
    <row r="1212" spans="12:19">
      <c r="L1212"/>
      <c r="M1212"/>
      <c r="N1212"/>
      <c r="O1212"/>
      <c r="P1212"/>
      <c r="Q1212"/>
      <c r="R1212"/>
      <c r="S1212"/>
    </row>
    <row r="1213" spans="12:19">
      <c r="L1213"/>
      <c r="M1213"/>
      <c r="N1213"/>
      <c r="O1213"/>
      <c r="P1213"/>
      <c r="Q1213"/>
      <c r="R1213"/>
      <c r="S1213"/>
    </row>
    <row r="1214" spans="12:19">
      <c r="L1214"/>
      <c r="M1214"/>
      <c r="N1214"/>
      <c r="O1214"/>
      <c r="P1214"/>
      <c r="Q1214"/>
      <c r="R1214"/>
      <c r="S1214"/>
    </row>
    <row r="1215" spans="12:19">
      <c r="L1215"/>
      <c r="M1215"/>
      <c r="N1215"/>
      <c r="O1215"/>
      <c r="P1215"/>
      <c r="Q1215"/>
      <c r="R1215"/>
      <c r="S1215"/>
    </row>
    <row r="1216" spans="12:19">
      <c r="L1216"/>
      <c r="M1216"/>
      <c r="N1216"/>
      <c r="O1216"/>
      <c r="P1216"/>
      <c r="Q1216"/>
      <c r="R1216"/>
      <c r="S1216"/>
    </row>
    <row r="1217" spans="12:19">
      <c r="L1217"/>
      <c r="M1217"/>
      <c r="N1217"/>
      <c r="O1217"/>
      <c r="P1217"/>
      <c r="Q1217"/>
      <c r="R1217"/>
      <c r="S1217"/>
    </row>
    <row r="1218" spans="12:19">
      <c r="L1218"/>
      <c r="M1218"/>
      <c r="N1218"/>
      <c r="O1218"/>
      <c r="P1218"/>
      <c r="Q1218"/>
      <c r="R1218"/>
      <c r="S1218"/>
    </row>
    <row r="1219" spans="12:19">
      <c r="L1219"/>
      <c r="M1219"/>
      <c r="N1219"/>
      <c r="O1219"/>
      <c r="P1219"/>
      <c r="Q1219"/>
      <c r="R1219"/>
      <c r="S1219"/>
    </row>
    <row r="1220" spans="12:19">
      <c r="L1220"/>
      <c r="M1220"/>
      <c r="N1220"/>
      <c r="O1220"/>
      <c r="P1220"/>
      <c r="Q1220"/>
      <c r="R1220"/>
      <c r="S1220"/>
    </row>
    <row r="1221" spans="12:19">
      <c r="L1221"/>
      <c r="M1221"/>
      <c r="N1221"/>
      <c r="O1221"/>
      <c r="P1221"/>
      <c r="Q1221"/>
      <c r="R1221"/>
      <c r="S1221"/>
    </row>
    <row r="1222" spans="12:19">
      <c r="L1222"/>
      <c r="M1222"/>
      <c r="N1222"/>
      <c r="O1222"/>
      <c r="P1222"/>
      <c r="Q1222"/>
      <c r="R1222"/>
      <c r="S1222"/>
    </row>
    <row r="1223" spans="12:19">
      <c r="L1223"/>
      <c r="M1223"/>
      <c r="N1223"/>
      <c r="O1223"/>
      <c r="P1223"/>
      <c r="Q1223"/>
      <c r="R1223"/>
      <c r="S1223"/>
    </row>
    <row r="1224" spans="12:19">
      <c r="L1224"/>
      <c r="M1224"/>
      <c r="N1224"/>
      <c r="O1224"/>
      <c r="P1224"/>
      <c r="Q1224"/>
      <c r="R1224"/>
      <c r="S1224"/>
    </row>
    <row r="1225" spans="12:19">
      <c r="L1225"/>
      <c r="M1225"/>
      <c r="N1225"/>
      <c r="O1225"/>
      <c r="P1225"/>
      <c r="Q1225"/>
      <c r="R1225"/>
      <c r="S1225"/>
    </row>
    <row r="1226" spans="12:19">
      <c r="L1226"/>
      <c r="M1226"/>
      <c r="N1226"/>
      <c r="O1226"/>
      <c r="P1226"/>
      <c r="Q1226"/>
      <c r="R1226"/>
      <c r="S1226"/>
    </row>
    <row r="1227" spans="12:19">
      <c r="L1227"/>
      <c r="M1227"/>
      <c r="N1227"/>
      <c r="O1227"/>
      <c r="P1227"/>
      <c r="Q1227"/>
      <c r="R1227"/>
      <c r="S1227"/>
    </row>
    <row r="1228" spans="12:19">
      <c r="L1228"/>
      <c r="M1228"/>
      <c r="N1228"/>
      <c r="O1228"/>
      <c r="P1228"/>
      <c r="Q1228"/>
      <c r="R1228"/>
      <c r="S1228"/>
    </row>
    <row r="1229" spans="12:19">
      <c r="L1229"/>
      <c r="M1229"/>
      <c r="N1229"/>
      <c r="O1229"/>
      <c r="P1229"/>
      <c r="Q1229"/>
      <c r="R1229"/>
      <c r="S1229"/>
    </row>
    <row r="1230" spans="12:19">
      <c r="L1230"/>
      <c r="M1230"/>
      <c r="N1230"/>
      <c r="O1230"/>
      <c r="P1230"/>
      <c r="Q1230"/>
      <c r="R1230"/>
      <c r="S1230"/>
    </row>
    <row r="1231" spans="12:19">
      <c r="L1231"/>
      <c r="M1231"/>
      <c r="N1231"/>
      <c r="O1231"/>
      <c r="P1231"/>
      <c r="Q1231"/>
      <c r="R1231"/>
      <c r="S1231"/>
    </row>
    <row r="1232" spans="12:19">
      <c r="L1232"/>
      <c r="M1232"/>
      <c r="N1232"/>
      <c r="O1232"/>
      <c r="P1232"/>
      <c r="Q1232"/>
      <c r="R1232"/>
      <c r="S1232"/>
    </row>
    <row r="1233" spans="12:19">
      <c r="L1233"/>
      <c r="M1233"/>
      <c r="N1233"/>
      <c r="O1233"/>
      <c r="P1233"/>
      <c r="Q1233"/>
      <c r="R1233"/>
      <c r="S1233"/>
    </row>
    <row r="1234" spans="12:19">
      <c r="L1234"/>
      <c r="M1234"/>
      <c r="N1234"/>
      <c r="O1234"/>
      <c r="P1234"/>
      <c r="Q1234"/>
      <c r="R1234"/>
      <c r="S1234"/>
    </row>
    <row r="1235" spans="12:19">
      <c r="L1235"/>
      <c r="M1235"/>
      <c r="N1235"/>
      <c r="O1235"/>
      <c r="P1235"/>
      <c r="Q1235"/>
      <c r="R1235"/>
      <c r="S1235"/>
    </row>
    <row r="1236" spans="12:19">
      <c r="L1236"/>
      <c r="M1236"/>
      <c r="N1236"/>
      <c r="O1236"/>
      <c r="P1236"/>
      <c r="Q1236"/>
      <c r="R1236"/>
      <c r="S1236"/>
    </row>
    <row r="1237" spans="12:19">
      <c r="L1237"/>
      <c r="M1237"/>
      <c r="N1237"/>
      <c r="O1237"/>
      <c r="P1237"/>
      <c r="Q1237"/>
      <c r="R1237"/>
      <c r="S1237"/>
    </row>
    <row r="1238" spans="12:19">
      <c r="L1238"/>
      <c r="M1238"/>
      <c r="N1238"/>
      <c r="O1238"/>
      <c r="P1238"/>
      <c r="Q1238"/>
      <c r="R1238"/>
      <c r="S1238"/>
    </row>
    <row r="1239" spans="12:19">
      <c r="L1239"/>
      <c r="M1239"/>
      <c r="N1239"/>
      <c r="O1239"/>
      <c r="P1239"/>
      <c r="Q1239"/>
      <c r="R1239"/>
      <c r="S1239"/>
    </row>
    <row r="1240" spans="12:19">
      <c r="L1240"/>
      <c r="M1240"/>
      <c r="N1240"/>
      <c r="O1240"/>
      <c r="P1240"/>
      <c r="Q1240"/>
      <c r="R1240"/>
      <c r="S1240"/>
    </row>
    <row r="1241" spans="12:19">
      <c r="L1241"/>
      <c r="M1241"/>
      <c r="N1241"/>
      <c r="O1241"/>
      <c r="P1241"/>
      <c r="Q1241"/>
      <c r="R1241"/>
      <c r="S1241"/>
    </row>
    <row r="1242" spans="12:19">
      <c r="L1242"/>
      <c r="M1242"/>
      <c r="N1242"/>
      <c r="O1242"/>
      <c r="P1242"/>
      <c r="Q1242"/>
      <c r="R1242"/>
      <c r="S1242"/>
    </row>
    <row r="1243" spans="12:19">
      <c r="L1243"/>
      <c r="M1243"/>
      <c r="N1243"/>
      <c r="O1243"/>
      <c r="P1243"/>
      <c r="Q1243"/>
      <c r="R1243"/>
      <c r="S1243"/>
    </row>
    <row r="1244" spans="12:19">
      <c r="L1244"/>
      <c r="M1244"/>
      <c r="N1244"/>
      <c r="O1244"/>
      <c r="P1244"/>
      <c r="Q1244"/>
      <c r="R1244"/>
      <c r="S1244"/>
    </row>
    <row r="1245" spans="12:19">
      <c r="L1245"/>
      <c r="M1245"/>
      <c r="N1245"/>
      <c r="O1245"/>
      <c r="P1245"/>
      <c r="Q1245"/>
      <c r="R1245"/>
      <c r="S1245"/>
    </row>
    <row r="1246" spans="12:19">
      <c r="L1246"/>
      <c r="M1246"/>
      <c r="N1246"/>
      <c r="O1246"/>
      <c r="P1246"/>
      <c r="Q1246"/>
      <c r="R1246"/>
      <c r="S1246"/>
    </row>
    <row r="1247" spans="12:19">
      <c r="L1247"/>
      <c r="M1247"/>
      <c r="N1247"/>
      <c r="O1247"/>
      <c r="P1247"/>
      <c r="Q1247"/>
      <c r="R1247"/>
      <c r="S1247"/>
    </row>
    <row r="1248" spans="12:19">
      <c r="L1248"/>
      <c r="M1248"/>
      <c r="N1248"/>
      <c r="O1248"/>
      <c r="P1248"/>
      <c r="Q1248"/>
      <c r="R1248"/>
      <c r="S1248"/>
    </row>
    <row r="1249" spans="12:19">
      <c r="L1249"/>
      <c r="M1249"/>
      <c r="N1249"/>
      <c r="O1249"/>
      <c r="P1249"/>
      <c r="Q1249"/>
      <c r="R1249"/>
      <c r="S1249"/>
    </row>
    <row r="1250" spans="12:19">
      <c r="L1250"/>
      <c r="M1250"/>
      <c r="N1250"/>
      <c r="O1250"/>
      <c r="P1250"/>
      <c r="Q1250"/>
      <c r="R1250"/>
      <c r="S1250"/>
    </row>
    <row r="1251" spans="12:19">
      <c r="L1251"/>
      <c r="M1251"/>
      <c r="N1251"/>
      <c r="O1251"/>
      <c r="P1251"/>
      <c r="Q1251"/>
      <c r="R1251"/>
      <c r="S1251"/>
    </row>
    <row r="1252" spans="12:19">
      <c r="L1252"/>
      <c r="M1252"/>
      <c r="N1252"/>
      <c r="O1252"/>
      <c r="P1252"/>
      <c r="Q1252"/>
      <c r="R1252"/>
      <c r="S1252"/>
    </row>
    <row r="1253" spans="12:19">
      <c r="L1253"/>
      <c r="M1253"/>
      <c r="N1253"/>
      <c r="O1253"/>
      <c r="P1253"/>
      <c r="Q1253"/>
      <c r="R1253"/>
      <c r="S1253"/>
    </row>
    <row r="1254" spans="12:19">
      <c r="L1254"/>
      <c r="M1254"/>
      <c r="N1254"/>
      <c r="O1254"/>
      <c r="P1254"/>
      <c r="Q1254"/>
      <c r="R1254"/>
      <c r="S1254"/>
    </row>
    <row r="1255" spans="12:19">
      <c r="L1255"/>
      <c r="M1255"/>
      <c r="N1255"/>
      <c r="O1255"/>
      <c r="P1255"/>
      <c r="Q1255"/>
      <c r="R1255"/>
      <c r="S1255"/>
    </row>
    <row r="1256" spans="12:19">
      <c r="L1256"/>
      <c r="M1256"/>
      <c r="N1256"/>
      <c r="O1256"/>
      <c r="P1256"/>
      <c r="Q1256"/>
      <c r="R1256"/>
      <c r="S1256"/>
    </row>
    <row r="1257" spans="12:19">
      <c r="L1257"/>
      <c r="M1257"/>
      <c r="N1257"/>
      <c r="O1257"/>
      <c r="P1257"/>
      <c r="Q1257"/>
      <c r="R1257"/>
      <c r="S1257"/>
    </row>
    <row r="1258" spans="12:19">
      <c r="L1258"/>
      <c r="M1258"/>
      <c r="N1258"/>
      <c r="O1258"/>
      <c r="P1258"/>
      <c r="Q1258"/>
      <c r="R1258"/>
      <c r="S1258"/>
    </row>
    <row r="1259" spans="12:19">
      <c r="L1259"/>
      <c r="M1259"/>
      <c r="N1259"/>
      <c r="O1259"/>
      <c r="P1259"/>
      <c r="Q1259"/>
      <c r="R1259"/>
      <c r="S1259"/>
    </row>
    <row r="1260" spans="12:19">
      <c r="L1260"/>
      <c r="M1260"/>
      <c r="N1260"/>
      <c r="O1260"/>
      <c r="P1260"/>
      <c r="Q1260"/>
      <c r="R1260"/>
      <c r="S1260"/>
    </row>
    <row r="1261" spans="12:19">
      <c r="L1261"/>
      <c r="M1261"/>
      <c r="N1261"/>
      <c r="O1261"/>
      <c r="P1261"/>
      <c r="Q1261"/>
      <c r="R1261"/>
      <c r="S1261"/>
    </row>
    <row r="1262" spans="12:19">
      <c r="L1262"/>
      <c r="M1262"/>
      <c r="N1262"/>
      <c r="O1262"/>
      <c r="P1262"/>
      <c r="Q1262"/>
      <c r="R1262"/>
      <c r="S1262"/>
    </row>
    <row r="1263" spans="12:19">
      <c r="L1263"/>
      <c r="M1263"/>
      <c r="N1263"/>
      <c r="O1263"/>
      <c r="P1263"/>
      <c r="Q1263"/>
      <c r="R1263"/>
      <c r="S1263"/>
    </row>
    <row r="1264" spans="12:19">
      <c r="L1264"/>
      <c r="M1264"/>
      <c r="N1264"/>
      <c r="O1264"/>
      <c r="P1264"/>
      <c r="Q1264"/>
      <c r="R1264"/>
      <c r="S1264"/>
    </row>
    <row r="1265" spans="12:19">
      <c r="L1265"/>
      <c r="M1265"/>
      <c r="N1265"/>
      <c r="O1265"/>
      <c r="P1265"/>
      <c r="Q1265"/>
      <c r="R1265"/>
      <c r="S1265"/>
    </row>
    <row r="1266" spans="12:19">
      <c r="L1266"/>
      <c r="M1266"/>
      <c r="N1266"/>
      <c r="O1266"/>
      <c r="P1266"/>
      <c r="Q1266"/>
      <c r="R1266"/>
      <c r="S1266"/>
    </row>
    <row r="1267" spans="12:19">
      <c r="L1267"/>
      <c r="M1267"/>
      <c r="N1267"/>
      <c r="O1267"/>
      <c r="P1267"/>
      <c r="Q1267"/>
      <c r="R1267"/>
      <c r="S1267"/>
    </row>
    <row r="1268" spans="12:19">
      <c r="L1268"/>
      <c r="M1268"/>
      <c r="N1268"/>
      <c r="O1268"/>
      <c r="P1268"/>
      <c r="Q1268"/>
      <c r="R1268"/>
      <c r="S1268"/>
    </row>
    <row r="1269" spans="12:19">
      <c r="L1269"/>
      <c r="M1269"/>
      <c r="N1269"/>
      <c r="O1269"/>
      <c r="P1269"/>
      <c r="Q1269"/>
      <c r="R1269"/>
      <c r="S1269"/>
    </row>
    <row r="1270" spans="12:19">
      <c r="L1270"/>
      <c r="M1270"/>
      <c r="N1270"/>
      <c r="O1270"/>
      <c r="P1270"/>
      <c r="Q1270"/>
      <c r="R1270"/>
      <c r="S1270"/>
    </row>
    <row r="1271" spans="12:19">
      <c r="L1271"/>
      <c r="M1271"/>
      <c r="N1271"/>
      <c r="O1271"/>
      <c r="P1271"/>
      <c r="Q1271"/>
      <c r="R1271"/>
      <c r="S1271"/>
    </row>
    <row r="1272" spans="12:19">
      <c r="L1272"/>
      <c r="M1272"/>
      <c r="N1272"/>
      <c r="O1272"/>
      <c r="P1272"/>
      <c r="Q1272"/>
      <c r="R1272"/>
      <c r="S1272"/>
    </row>
    <row r="1273" spans="12:19">
      <c r="L1273"/>
      <c r="M1273"/>
      <c r="N1273"/>
      <c r="O1273"/>
      <c r="P1273"/>
      <c r="Q1273"/>
      <c r="R1273"/>
      <c r="S1273"/>
    </row>
    <row r="1274" spans="12:19">
      <c r="L1274"/>
      <c r="M1274"/>
      <c r="N1274"/>
      <c r="O1274"/>
      <c r="P1274"/>
      <c r="Q1274"/>
      <c r="R1274"/>
      <c r="S1274"/>
    </row>
    <row r="1275" spans="12:19">
      <c r="L1275"/>
      <c r="M1275"/>
      <c r="N1275"/>
      <c r="O1275"/>
      <c r="P1275"/>
      <c r="Q1275"/>
      <c r="R1275"/>
      <c r="S1275"/>
    </row>
    <row r="1276" spans="12:19">
      <c r="L1276"/>
      <c r="M1276"/>
      <c r="N1276"/>
      <c r="O1276"/>
      <c r="P1276"/>
      <c r="Q1276"/>
      <c r="R1276"/>
      <c r="S1276"/>
    </row>
    <row r="1277" spans="12:19">
      <c r="L1277"/>
      <c r="M1277"/>
      <c r="N1277"/>
      <c r="O1277"/>
      <c r="P1277"/>
      <c r="Q1277"/>
      <c r="R1277"/>
      <c r="S1277"/>
    </row>
    <row r="1278" spans="12:19">
      <c r="L1278"/>
      <c r="M1278"/>
      <c r="N1278"/>
      <c r="O1278"/>
      <c r="P1278"/>
      <c r="Q1278"/>
      <c r="R1278"/>
      <c r="S1278"/>
    </row>
    <row r="1279" spans="12:19">
      <c r="L1279"/>
      <c r="M1279"/>
      <c r="N1279"/>
      <c r="O1279"/>
      <c r="P1279"/>
      <c r="Q1279"/>
      <c r="R1279"/>
      <c r="S1279"/>
    </row>
    <row r="1280" spans="12:19">
      <c r="L1280"/>
      <c r="M1280"/>
      <c r="N1280"/>
      <c r="O1280"/>
      <c r="P1280"/>
      <c r="Q1280"/>
      <c r="R1280"/>
      <c r="S1280"/>
    </row>
    <row r="1281" spans="12:19">
      <c r="L1281"/>
      <c r="M1281"/>
      <c r="N1281"/>
      <c r="O1281"/>
      <c r="P1281"/>
      <c r="Q1281"/>
      <c r="R1281"/>
      <c r="S1281"/>
    </row>
    <row r="1282" spans="12:19">
      <c r="L1282"/>
      <c r="M1282"/>
      <c r="N1282"/>
      <c r="O1282"/>
      <c r="P1282"/>
      <c r="Q1282"/>
      <c r="R1282"/>
      <c r="S1282"/>
    </row>
    <row r="1283" spans="12:19">
      <c r="L1283"/>
      <c r="M1283"/>
      <c r="N1283"/>
      <c r="O1283"/>
      <c r="P1283"/>
      <c r="Q1283"/>
      <c r="R1283"/>
      <c r="S1283"/>
    </row>
    <row r="1284" spans="12:19">
      <c r="L1284"/>
      <c r="M1284"/>
      <c r="N1284"/>
      <c r="O1284"/>
      <c r="P1284"/>
      <c r="Q1284"/>
      <c r="R1284"/>
      <c r="S1284"/>
    </row>
    <row r="1285" spans="12:19">
      <c r="L1285"/>
      <c r="M1285"/>
      <c r="N1285"/>
      <c r="O1285"/>
      <c r="P1285"/>
      <c r="Q1285"/>
      <c r="R1285"/>
      <c r="S1285"/>
    </row>
    <row r="1286" spans="12:19">
      <c r="L1286"/>
      <c r="M1286"/>
      <c r="N1286"/>
      <c r="O1286"/>
      <c r="P1286"/>
      <c r="Q1286"/>
      <c r="R1286"/>
      <c r="S1286"/>
    </row>
    <row r="1287" spans="12:19">
      <c r="L1287"/>
      <c r="M1287"/>
      <c r="N1287"/>
      <c r="O1287"/>
      <c r="P1287"/>
      <c r="Q1287"/>
      <c r="R1287"/>
      <c r="S1287"/>
    </row>
    <row r="1288" spans="12:19">
      <c r="L1288"/>
      <c r="M1288"/>
      <c r="N1288"/>
      <c r="O1288"/>
      <c r="P1288"/>
      <c r="Q1288"/>
      <c r="R1288"/>
      <c r="S1288"/>
    </row>
    <row r="1289" spans="12:19">
      <c r="L1289"/>
      <c r="M1289"/>
      <c r="N1289"/>
      <c r="O1289"/>
      <c r="P1289"/>
      <c r="Q1289"/>
      <c r="R1289"/>
      <c r="S1289"/>
    </row>
    <row r="1290" spans="12:19">
      <c r="L1290"/>
      <c r="M1290"/>
      <c r="N1290"/>
      <c r="O1290"/>
      <c r="P1290"/>
      <c r="Q1290"/>
      <c r="R1290"/>
      <c r="S1290"/>
    </row>
    <row r="1291" spans="12:19">
      <c r="L1291"/>
      <c r="M1291"/>
      <c r="N1291"/>
      <c r="O1291"/>
      <c r="P1291"/>
      <c r="Q1291"/>
      <c r="R1291"/>
      <c r="S1291"/>
    </row>
    <row r="1292" spans="12:19">
      <c r="L1292"/>
      <c r="M1292"/>
      <c r="N1292"/>
      <c r="O1292"/>
      <c r="P1292"/>
      <c r="Q1292"/>
      <c r="R1292"/>
      <c r="S1292"/>
    </row>
    <row r="1293" spans="12:19">
      <c r="L1293"/>
      <c r="M1293"/>
      <c r="N1293"/>
      <c r="O1293"/>
      <c r="P1293"/>
      <c r="Q1293"/>
      <c r="R1293"/>
      <c r="S1293"/>
    </row>
    <row r="1294" spans="12:19">
      <c r="L1294"/>
      <c r="M1294"/>
      <c r="N1294"/>
      <c r="O1294"/>
      <c r="P1294"/>
      <c r="Q1294"/>
      <c r="R1294"/>
      <c r="S1294"/>
    </row>
    <row r="1295" spans="12:19">
      <c r="L1295"/>
      <c r="M1295"/>
      <c r="N1295"/>
      <c r="O1295"/>
      <c r="P1295"/>
      <c r="Q1295"/>
      <c r="R1295"/>
      <c r="S1295"/>
    </row>
    <row r="1296" spans="12:19">
      <c r="L1296"/>
      <c r="M1296"/>
      <c r="N1296"/>
      <c r="O1296"/>
      <c r="P1296"/>
      <c r="Q1296"/>
      <c r="R1296"/>
      <c r="S1296"/>
    </row>
    <row r="1297" spans="12:19">
      <c r="L1297"/>
      <c r="M1297"/>
      <c r="N1297"/>
      <c r="O1297"/>
      <c r="P1297"/>
      <c r="Q1297"/>
      <c r="R1297"/>
      <c r="S1297"/>
    </row>
    <row r="1298" spans="12:19">
      <c r="L1298"/>
      <c r="M1298"/>
      <c r="N1298"/>
      <c r="O1298"/>
      <c r="P1298"/>
      <c r="Q1298"/>
      <c r="R1298"/>
      <c r="S1298"/>
    </row>
    <row r="1299" spans="12:19">
      <c r="L1299"/>
      <c r="M1299"/>
      <c r="N1299"/>
      <c r="O1299"/>
      <c r="P1299"/>
      <c r="Q1299"/>
      <c r="R1299"/>
      <c r="S1299"/>
    </row>
    <row r="1300" spans="12:19">
      <c r="L1300"/>
      <c r="M1300"/>
      <c r="N1300"/>
      <c r="O1300"/>
      <c r="P1300"/>
      <c r="Q1300"/>
      <c r="R1300"/>
      <c r="S1300"/>
    </row>
    <row r="1301" spans="12:19">
      <c r="L1301"/>
      <c r="M1301"/>
      <c r="N1301"/>
      <c r="O1301"/>
      <c r="P1301"/>
      <c r="Q1301"/>
      <c r="R1301"/>
      <c r="S1301"/>
    </row>
    <row r="1302" spans="12:19">
      <c r="L1302"/>
      <c r="M1302"/>
      <c r="N1302"/>
      <c r="O1302"/>
      <c r="P1302"/>
      <c r="Q1302"/>
      <c r="R1302"/>
      <c r="S1302"/>
    </row>
    <row r="1303" spans="12:19">
      <c r="L1303"/>
      <c r="M1303"/>
      <c r="N1303"/>
      <c r="O1303"/>
      <c r="P1303"/>
      <c r="Q1303"/>
      <c r="R1303"/>
      <c r="S1303"/>
    </row>
    <row r="1304" spans="12:19">
      <c r="L1304"/>
      <c r="M1304"/>
      <c r="N1304"/>
      <c r="O1304"/>
      <c r="P1304"/>
      <c r="Q1304"/>
      <c r="R1304"/>
      <c r="S1304"/>
    </row>
    <row r="1305" spans="12:19">
      <c r="L1305"/>
      <c r="M1305"/>
      <c r="N1305"/>
      <c r="O1305"/>
      <c r="P1305"/>
      <c r="Q1305"/>
      <c r="R1305"/>
      <c r="S1305"/>
    </row>
    <row r="1306" spans="12:19">
      <c r="L1306"/>
      <c r="M1306"/>
      <c r="N1306"/>
      <c r="O1306"/>
      <c r="P1306"/>
      <c r="Q1306"/>
      <c r="R1306"/>
      <c r="S1306"/>
    </row>
    <row r="1307" spans="12:19">
      <c r="L1307"/>
      <c r="M1307"/>
      <c r="N1307"/>
      <c r="O1307"/>
      <c r="P1307"/>
      <c r="Q1307"/>
      <c r="R1307"/>
      <c r="S1307"/>
    </row>
    <row r="1308" spans="12:19">
      <c r="L1308"/>
      <c r="M1308"/>
      <c r="N1308"/>
      <c r="O1308"/>
      <c r="P1308"/>
      <c r="Q1308"/>
      <c r="R1308"/>
      <c r="S1308"/>
    </row>
    <row r="1309" spans="12:19">
      <c r="L1309"/>
      <c r="M1309"/>
      <c r="N1309"/>
      <c r="O1309"/>
      <c r="P1309"/>
      <c r="Q1309"/>
      <c r="R1309"/>
      <c r="S1309"/>
    </row>
    <row r="1310" spans="12:19">
      <c r="L1310"/>
      <c r="M1310"/>
      <c r="N1310"/>
      <c r="O1310"/>
      <c r="P1310"/>
      <c r="Q1310"/>
      <c r="R1310"/>
      <c r="S1310"/>
    </row>
    <row r="1311" spans="12:19">
      <c r="L1311"/>
      <c r="M1311"/>
      <c r="N1311"/>
      <c r="O1311"/>
      <c r="P1311"/>
      <c r="Q1311"/>
      <c r="R1311"/>
      <c r="S1311"/>
    </row>
    <row r="1312" spans="12:19">
      <c r="L1312"/>
      <c r="M1312"/>
      <c r="N1312"/>
      <c r="O1312"/>
      <c r="P1312"/>
      <c r="Q1312"/>
      <c r="R1312"/>
      <c r="S1312"/>
    </row>
    <row r="1313" spans="12:19">
      <c r="L1313"/>
      <c r="M1313"/>
      <c r="N1313"/>
      <c r="O1313"/>
      <c r="P1313"/>
      <c r="Q1313"/>
      <c r="R1313"/>
      <c r="S1313"/>
    </row>
    <row r="1314" spans="12:19">
      <c r="L1314"/>
      <c r="M1314"/>
      <c r="N1314"/>
      <c r="O1314"/>
      <c r="P1314"/>
      <c r="Q1314"/>
      <c r="R1314"/>
      <c r="S1314"/>
    </row>
    <row r="1315" spans="12:19">
      <c r="L1315"/>
      <c r="M1315"/>
      <c r="N1315"/>
      <c r="O1315"/>
      <c r="P1315"/>
      <c r="Q1315"/>
      <c r="R1315"/>
      <c r="S1315"/>
    </row>
    <row r="1316" spans="12:19">
      <c r="L1316"/>
      <c r="M1316"/>
      <c r="N1316"/>
      <c r="O1316"/>
      <c r="P1316"/>
      <c r="Q1316"/>
      <c r="R1316"/>
      <c r="S1316"/>
    </row>
    <row r="1317" spans="12:19">
      <c r="L1317"/>
      <c r="M1317"/>
      <c r="N1317"/>
      <c r="O1317"/>
      <c r="P1317"/>
      <c r="Q1317"/>
      <c r="R1317"/>
      <c r="S1317"/>
    </row>
    <row r="1318" spans="12:19">
      <c r="L1318"/>
      <c r="M1318"/>
      <c r="N1318"/>
      <c r="O1318"/>
      <c r="P1318"/>
      <c r="Q1318"/>
      <c r="R1318"/>
      <c r="S1318"/>
    </row>
    <row r="1319" spans="12:19">
      <c r="L1319"/>
      <c r="M1319"/>
      <c r="N1319"/>
      <c r="O1319"/>
      <c r="P1319"/>
      <c r="Q1319"/>
      <c r="R1319"/>
      <c r="S1319"/>
    </row>
    <row r="1320" spans="12:19">
      <c r="L1320"/>
      <c r="M1320"/>
      <c r="N1320"/>
      <c r="O1320"/>
      <c r="P1320"/>
      <c r="Q1320"/>
      <c r="R1320"/>
      <c r="S1320"/>
    </row>
    <row r="1321" spans="12:19">
      <c r="L1321"/>
      <c r="M1321"/>
      <c r="N1321"/>
      <c r="O1321"/>
      <c r="P1321"/>
      <c r="Q1321"/>
      <c r="R1321"/>
      <c r="S1321"/>
    </row>
    <row r="1322" spans="12:19">
      <c r="L1322"/>
      <c r="M1322"/>
      <c r="N1322"/>
      <c r="O1322"/>
      <c r="P1322"/>
      <c r="Q1322"/>
      <c r="R1322"/>
      <c r="S1322"/>
    </row>
    <row r="1323" spans="12:19">
      <c r="L1323"/>
      <c r="M1323"/>
      <c r="N1323"/>
      <c r="O1323"/>
      <c r="P1323"/>
      <c r="Q1323"/>
      <c r="R1323"/>
      <c r="S1323"/>
    </row>
    <row r="1324" spans="12:19">
      <c r="L1324"/>
      <c r="M1324"/>
      <c r="N1324"/>
      <c r="O1324"/>
      <c r="P1324"/>
      <c r="Q1324"/>
      <c r="R1324"/>
      <c r="S1324"/>
    </row>
    <row r="1325" spans="12:19">
      <c r="L1325"/>
      <c r="M1325"/>
      <c r="N1325"/>
      <c r="O1325"/>
      <c r="P1325"/>
      <c r="Q1325"/>
      <c r="R1325"/>
      <c r="S1325"/>
    </row>
    <row r="1326" spans="12:19">
      <c r="L1326"/>
      <c r="M1326"/>
      <c r="N1326"/>
      <c r="O1326"/>
      <c r="P1326"/>
      <c r="Q1326"/>
      <c r="R1326"/>
      <c r="S1326"/>
    </row>
    <row r="1327" spans="12:19">
      <c r="L1327"/>
      <c r="M1327"/>
      <c r="N1327"/>
      <c r="O1327"/>
      <c r="P1327"/>
      <c r="Q1327"/>
      <c r="R1327"/>
      <c r="S1327"/>
    </row>
    <row r="1328" spans="12:19">
      <c r="L1328"/>
      <c r="M1328"/>
      <c r="N1328"/>
      <c r="O1328"/>
      <c r="P1328"/>
      <c r="Q1328"/>
      <c r="R1328"/>
      <c r="S1328"/>
    </row>
    <row r="1329" spans="12:19">
      <c r="L1329"/>
      <c r="M1329"/>
      <c r="N1329"/>
      <c r="O1329"/>
      <c r="P1329"/>
      <c r="Q1329"/>
      <c r="R1329"/>
      <c r="S1329"/>
    </row>
    <row r="1330" spans="12:19">
      <c r="L1330"/>
      <c r="M1330"/>
      <c r="N1330"/>
      <c r="O1330"/>
      <c r="P1330"/>
      <c r="Q1330"/>
      <c r="R1330"/>
      <c r="S1330"/>
    </row>
    <row r="1331" spans="12:19">
      <c r="L1331"/>
      <c r="M1331"/>
      <c r="N1331"/>
      <c r="O1331"/>
      <c r="P1331"/>
      <c r="Q1331"/>
      <c r="R1331"/>
      <c r="S1331"/>
    </row>
    <row r="1332" spans="12:19">
      <c r="L1332"/>
      <c r="M1332"/>
      <c r="N1332"/>
      <c r="O1332"/>
      <c r="P1332"/>
      <c r="Q1332"/>
      <c r="R1332"/>
      <c r="S1332"/>
    </row>
    <row r="1333" spans="12:19">
      <c r="L1333"/>
      <c r="M1333"/>
      <c r="N1333"/>
      <c r="O1333"/>
      <c r="P1333"/>
      <c r="Q1333"/>
      <c r="R1333"/>
      <c r="S1333"/>
    </row>
    <row r="1334" spans="12:19">
      <c r="L1334"/>
      <c r="M1334"/>
      <c r="N1334"/>
      <c r="O1334"/>
      <c r="P1334"/>
      <c r="Q1334"/>
      <c r="R1334"/>
      <c r="S1334"/>
    </row>
    <row r="1335" spans="12:19">
      <c r="L1335"/>
      <c r="M1335"/>
      <c r="N1335"/>
      <c r="O1335"/>
      <c r="P1335"/>
      <c r="Q1335"/>
      <c r="R1335"/>
      <c r="S1335"/>
    </row>
    <row r="1336" spans="12:19">
      <c r="L1336"/>
      <c r="M1336"/>
      <c r="N1336"/>
      <c r="O1336"/>
      <c r="P1336"/>
      <c r="Q1336"/>
      <c r="R1336"/>
      <c r="S1336"/>
    </row>
    <row r="1337" spans="12:19">
      <c r="L1337"/>
      <c r="M1337"/>
      <c r="N1337"/>
      <c r="O1337"/>
      <c r="P1337"/>
      <c r="Q1337"/>
      <c r="R1337"/>
      <c r="S1337"/>
    </row>
    <row r="1338" spans="12:19">
      <c r="L1338"/>
      <c r="M1338"/>
      <c r="N1338"/>
      <c r="O1338"/>
      <c r="P1338"/>
      <c r="Q1338"/>
      <c r="R1338"/>
      <c r="S1338"/>
    </row>
    <row r="1339" spans="12:19">
      <c r="L1339"/>
      <c r="M1339"/>
      <c r="N1339"/>
      <c r="O1339"/>
      <c r="P1339"/>
      <c r="Q1339"/>
      <c r="R1339"/>
      <c r="S1339"/>
    </row>
    <row r="1340" spans="12:19">
      <c r="L1340"/>
      <c r="M1340"/>
      <c r="N1340"/>
      <c r="O1340"/>
      <c r="P1340"/>
      <c r="Q1340"/>
      <c r="R1340"/>
      <c r="S1340"/>
    </row>
    <row r="1341" spans="12:19">
      <c r="L1341"/>
      <c r="M1341"/>
      <c r="N1341"/>
      <c r="O1341"/>
      <c r="P1341"/>
      <c r="Q1341"/>
      <c r="R1341"/>
      <c r="S1341"/>
    </row>
    <row r="1342" spans="12:19">
      <c r="L1342"/>
      <c r="M1342"/>
      <c r="N1342"/>
      <c r="O1342"/>
      <c r="P1342"/>
      <c r="Q1342"/>
      <c r="R1342"/>
      <c r="S1342"/>
    </row>
    <row r="1343" spans="12:19">
      <c r="L1343"/>
      <c r="M1343"/>
      <c r="N1343"/>
      <c r="O1343"/>
      <c r="P1343"/>
      <c r="Q1343"/>
      <c r="R1343"/>
      <c r="S1343"/>
    </row>
    <row r="1344" spans="12:19">
      <c r="L1344"/>
      <c r="M1344"/>
      <c r="N1344"/>
      <c r="O1344"/>
      <c r="P1344"/>
      <c r="Q1344"/>
      <c r="R1344"/>
      <c r="S1344"/>
    </row>
    <row r="1345" spans="12:19">
      <c r="L1345"/>
      <c r="M1345"/>
      <c r="N1345"/>
      <c r="O1345"/>
      <c r="P1345"/>
      <c r="Q1345"/>
      <c r="R1345"/>
      <c r="S1345"/>
    </row>
    <row r="1346" spans="12:19">
      <c r="L1346"/>
      <c r="M1346"/>
      <c r="N1346"/>
      <c r="O1346"/>
      <c r="P1346"/>
      <c r="Q1346"/>
      <c r="R1346"/>
      <c r="S1346"/>
    </row>
    <row r="1347" spans="12:19">
      <c r="L1347"/>
      <c r="M1347"/>
      <c r="N1347"/>
      <c r="O1347"/>
      <c r="P1347"/>
      <c r="Q1347"/>
      <c r="R1347"/>
      <c r="S1347"/>
    </row>
    <row r="1348" spans="12:19">
      <c r="L1348"/>
      <c r="M1348"/>
      <c r="N1348"/>
      <c r="O1348"/>
      <c r="P1348"/>
      <c r="Q1348"/>
      <c r="R1348"/>
      <c r="S1348"/>
    </row>
    <row r="1349" spans="12:19">
      <c r="L1349"/>
      <c r="M1349"/>
      <c r="N1349"/>
      <c r="O1349"/>
      <c r="P1349"/>
      <c r="Q1349"/>
      <c r="R1349"/>
      <c r="S1349"/>
    </row>
    <row r="1350" spans="12:19">
      <c r="L1350"/>
      <c r="M1350"/>
      <c r="N1350"/>
      <c r="O1350"/>
      <c r="P1350"/>
      <c r="Q1350"/>
      <c r="R1350"/>
      <c r="S1350"/>
    </row>
    <row r="1351" spans="12:19">
      <c r="L1351"/>
      <c r="M1351"/>
      <c r="N1351"/>
      <c r="O1351"/>
      <c r="P1351"/>
      <c r="Q1351"/>
      <c r="R1351"/>
      <c r="S1351"/>
    </row>
    <row r="1352" spans="12:19">
      <c r="L1352"/>
      <c r="M1352"/>
      <c r="N1352"/>
      <c r="O1352"/>
      <c r="P1352"/>
      <c r="Q1352"/>
      <c r="R1352"/>
      <c r="S1352"/>
    </row>
    <row r="1353" spans="12:19">
      <c r="L1353"/>
      <c r="M1353"/>
      <c r="N1353"/>
      <c r="O1353"/>
      <c r="P1353"/>
      <c r="Q1353"/>
      <c r="R1353"/>
      <c r="S1353"/>
    </row>
    <row r="1354" spans="12:19">
      <c r="L1354"/>
      <c r="M1354"/>
      <c r="N1354"/>
      <c r="O1354"/>
      <c r="P1354"/>
      <c r="Q1354"/>
      <c r="R1354"/>
      <c r="S1354"/>
    </row>
    <row r="1355" spans="12:19">
      <c r="L1355"/>
      <c r="M1355"/>
      <c r="N1355"/>
      <c r="O1355"/>
      <c r="P1355"/>
      <c r="Q1355"/>
      <c r="R1355"/>
      <c r="S1355"/>
    </row>
    <row r="1356" spans="12:19">
      <c r="L1356"/>
      <c r="M1356"/>
      <c r="N1356"/>
      <c r="O1356"/>
      <c r="P1356"/>
      <c r="Q1356"/>
      <c r="R1356"/>
      <c r="S1356"/>
    </row>
    <row r="1357" spans="12:19">
      <c r="L1357"/>
      <c r="M1357"/>
      <c r="N1357"/>
      <c r="O1357"/>
      <c r="P1357"/>
      <c r="Q1357"/>
      <c r="R1357"/>
      <c r="S1357"/>
    </row>
    <row r="1358" spans="12:19">
      <c r="L1358"/>
      <c r="M1358"/>
      <c r="N1358"/>
      <c r="O1358"/>
      <c r="P1358"/>
      <c r="Q1358"/>
      <c r="R1358"/>
      <c r="S1358"/>
    </row>
    <row r="1359" spans="12:19">
      <c r="L1359"/>
      <c r="M1359"/>
      <c r="N1359"/>
      <c r="O1359"/>
      <c r="P1359"/>
      <c r="Q1359"/>
      <c r="R1359"/>
      <c r="S1359"/>
    </row>
    <row r="1360" spans="12:19">
      <c r="L1360"/>
      <c r="M1360"/>
      <c r="N1360"/>
      <c r="O1360"/>
      <c r="P1360"/>
      <c r="Q1360"/>
      <c r="R1360"/>
      <c r="S1360"/>
    </row>
    <row r="1361" spans="12:19">
      <c r="L1361"/>
      <c r="M1361"/>
      <c r="N1361"/>
      <c r="O1361"/>
      <c r="P1361"/>
      <c r="Q1361"/>
      <c r="R1361"/>
      <c r="S1361"/>
    </row>
    <row r="1362" spans="12:19">
      <c r="L1362"/>
      <c r="M1362"/>
      <c r="N1362"/>
      <c r="O1362"/>
      <c r="P1362"/>
      <c r="Q1362"/>
      <c r="R1362"/>
      <c r="S1362"/>
    </row>
    <row r="1363" spans="12:19">
      <c r="L1363"/>
      <c r="M1363"/>
      <c r="N1363"/>
      <c r="O1363"/>
      <c r="P1363"/>
      <c r="Q1363"/>
      <c r="R1363"/>
      <c r="S1363"/>
    </row>
    <row r="1364" spans="12:19">
      <c r="L1364"/>
      <c r="M1364"/>
      <c r="N1364"/>
      <c r="O1364"/>
      <c r="P1364"/>
      <c r="Q1364"/>
      <c r="R1364"/>
      <c r="S1364"/>
    </row>
    <row r="1365" spans="12:19">
      <c r="L1365"/>
      <c r="M1365"/>
      <c r="N1365"/>
      <c r="O1365"/>
      <c r="P1365"/>
      <c r="Q1365"/>
      <c r="R1365"/>
      <c r="S1365"/>
    </row>
    <row r="1366" spans="12:19">
      <c r="L1366"/>
      <c r="M1366"/>
      <c r="N1366"/>
      <c r="O1366"/>
      <c r="P1366"/>
      <c r="Q1366"/>
      <c r="R1366"/>
      <c r="S1366"/>
    </row>
    <row r="1367" spans="12:19">
      <c r="L1367"/>
      <c r="M1367"/>
      <c r="N1367"/>
      <c r="O1367"/>
      <c r="P1367"/>
      <c r="Q1367"/>
      <c r="R1367"/>
      <c r="S1367"/>
    </row>
    <row r="1368" spans="12:19">
      <c r="L1368"/>
      <c r="M1368"/>
      <c r="N1368"/>
      <c r="O1368"/>
      <c r="P1368"/>
      <c r="Q1368"/>
      <c r="R1368"/>
      <c r="S1368"/>
    </row>
    <row r="1369" spans="12:19">
      <c r="L1369"/>
      <c r="M1369"/>
      <c r="N1369"/>
      <c r="O1369"/>
      <c r="P1369"/>
      <c r="Q1369"/>
      <c r="R1369"/>
      <c r="S1369"/>
    </row>
    <row r="1370" spans="12:19">
      <c r="L1370"/>
      <c r="M1370"/>
      <c r="N1370"/>
      <c r="O1370"/>
      <c r="P1370"/>
      <c r="Q1370"/>
      <c r="R1370"/>
      <c r="S1370"/>
    </row>
    <row r="1371" spans="12:19">
      <c r="L1371"/>
      <c r="M1371"/>
      <c r="N1371"/>
      <c r="O1371"/>
      <c r="P1371"/>
      <c r="Q1371"/>
      <c r="R1371"/>
      <c r="S1371"/>
    </row>
    <row r="1372" spans="12:19">
      <c r="L1372"/>
      <c r="M1372"/>
      <c r="N1372"/>
      <c r="O1372"/>
      <c r="P1372"/>
      <c r="Q1372"/>
      <c r="R1372"/>
      <c r="S1372"/>
    </row>
    <row r="1373" spans="12:19">
      <c r="L1373"/>
      <c r="M1373"/>
      <c r="N1373"/>
      <c r="O1373"/>
      <c r="P1373"/>
      <c r="Q1373"/>
      <c r="R1373"/>
      <c r="S1373"/>
    </row>
    <row r="1374" spans="12:19">
      <c r="L1374"/>
      <c r="M1374"/>
      <c r="N1374"/>
      <c r="O1374"/>
      <c r="P1374"/>
      <c r="Q1374"/>
      <c r="R1374"/>
      <c r="S1374"/>
    </row>
    <row r="1375" spans="12:19">
      <c r="L1375"/>
      <c r="M1375"/>
      <c r="N1375"/>
      <c r="O1375"/>
      <c r="P1375"/>
      <c r="Q1375"/>
      <c r="R1375"/>
      <c r="S1375"/>
    </row>
    <row r="1376" spans="12:19">
      <c r="L1376"/>
      <c r="M1376"/>
      <c r="N1376"/>
      <c r="O1376"/>
      <c r="P1376"/>
      <c r="Q1376"/>
      <c r="R1376"/>
      <c r="S1376"/>
    </row>
    <row r="1377" spans="12:19">
      <c r="L1377"/>
      <c r="M1377"/>
      <c r="N1377"/>
      <c r="O1377"/>
      <c r="P1377"/>
      <c r="Q1377"/>
      <c r="R1377"/>
      <c r="S1377"/>
    </row>
    <row r="1378" spans="12:19">
      <c r="L1378"/>
      <c r="M1378"/>
      <c r="N1378"/>
      <c r="O1378"/>
      <c r="P1378"/>
      <c r="Q1378"/>
      <c r="R1378"/>
      <c r="S1378"/>
    </row>
    <row r="1379" spans="12:19">
      <c r="L1379"/>
      <c r="M1379"/>
      <c r="N1379"/>
      <c r="O1379"/>
      <c r="P1379"/>
      <c r="Q1379"/>
      <c r="R1379"/>
      <c r="S1379"/>
    </row>
    <row r="1380" spans="12:19">
      <c r="L1380"/>
      <c r="M1380"/>
      <c r="N1380"/>
      <c r="O1380"/>
      <c r="P1380"/>
      <c r="Q1380"/>
      <c r="R1380"/>
      <c r="S1380"/>
    </row>
    <row r="1381" spans="12:19">
      <c r="L1381"/>
      <c r="M1381"/>
      <c r="N1381"/>
      <c r="O1381"/>
      <c r="P1381"/>
      <c r="Q1381"/>
      <c r="R1381"/>
      <c r="S1381"/>
    </row>
    <row r="1382" spans="12:19">
      <c r="L1382"/>
      <c r="M1382"/>
      <c r="N1382"/>
      <c r="O1382"/>
      <c r="P1382"/>
      <c r="Q1382"/>
      <c r="R1382"/>
      <c r="S1382"/>
    </row>
    <row r="1383" spans="12:19">
      <c r="L1383"/>
      <c r="M1383"/>
      <c r="N1383"/>
      <c r="O1383"/>
      <c r="P1383"/>
      <c r="Q1383"/>
      <c r="R1383"/>
      <c r="S1383"/>
    </row>
    <row r="1384" spans="12:19">
      <c r="L1384"/>
      <c r="M1384"/>
      <c r="N1384"/>
      <c r="O1384"/>
      <c r="P1384"/>
      <c r="Q1384"/>
      <c r="R1384"/>
      <c r="S1384"/>
    </row>
    <row r="1385" spans="12:19">
      <c r="L1385"/>
      <c r="M1385"/>
      <c r="N1385"/>
      <c r="O1385"/>
      <c r="P1385"/>
      <c r="Q1385"/>
      <c r="R1385"/>
      <c r="S1385"/>
    </row>
    <row r="1386" spans="12:19">
      <c r="L1386"/>
      <c r="M1386"/>
      <c r="N1386"/>
      <c r="O1386"/>
      <c r="P1386"/>
      <c r="Q1386"/>
      <c r="R1386"/>
      <c r="S1386"/>
    </row>
    <row r="1387" spans="12:19">
      <c r="L1387"/>
      <c r="M1387"/>
      <c r="N1387"/>
      <c r="O1387"/>
      <c r="P1387"/>
      <c r="Q1387"/>
      <c r="R1387"/>
      <c r="S1387"/>
    </row>
    <row r="1388" spans="12:19">
      <c r="L1388"/>
      <c r="M1388"/>
      <c r="N1388"/>
      <c r="O1388"/>
      <c r="P1388"/>
      <c r="Q1388"/>
      <c r="R1388"/>
      <c r="S1388"/>
    </row>
    <row r="1389" spans="12:19">
      <c r="L1389"/>
      <c r="M1389"/>
      <c r="N1389"/>
      <c r="O1389"/>
      <c r="P1389"/>
      <c r="Q1389"/>
      <c r="R1389"/>
      <c r="S1389"/>
    </row>
    <row r="1390" spans="12:19">
      <c r="L1390"/>
      <c r="M1390"/>
      <c r="N1390"/>
      <c r="O1390"/>
      <c r="P1390"/>
      <c r="Q1390"/>
      <c r="R1390"/>
      <c r="S1390"/>
    </row>
    <row r="1391" spans="12:19">
      <c r="L1391"/>
      <c r="M1391"/>
      <c r="N1391"/>
      <c r="O1391"/>
      <c r="P1391"/>
      <c r="Q1391"/>
      <c r="R1391"/>
      <c r="S1391"/>
    </row>
    <row r="1392" spans="12:19">
      <c r="L1392"/>
      <c r="M1392"/>
      <c r="N1392"/>
      <c r="O1392"/>
      <c r="P1392"/>
      <c r="Q1392"/>
      <c r="R1392"/>
      <c r="S1392"/>
    </row>
    <row r="1393" spans="12:19">
      <c r="L1393"/>
      <c r="M1393"/>
      <c r="N1393"/>
      <c r="O1393"/>
      <c r="P1393"/>
      <c r="Q1393"/>
      <c r="R1393"/>
      <c r="S1393"/>
    </row>
    <row r="1394" spans="12:19">
      <c r="L1394"/>
      <c r="M1394"/>
      <c r="N1394"/>
      <c r="O1394"/>
      <c r="P1394"/>
      <c r="Q1394"/>
      <c r="R1394"/>
      <c r="S1394"/>
    </row>
    <row r="1395" spans="12:19">
      <c r="L1395"/>
      <c r="M1395"/>
      <c r="N1395"/>
      <c r="O1395"/>
      <c r="P1395"/>
      <c r="Q1395"/>
      <c r="R1395"/>
      <c r="S1395"/>
    </row>
    <row r="1396" spans="12:19">
      <c r="L1396"/>
      <c r="M1396"/>
      <c r="N1396"/>
      <c r="O1396"/>
      <c r="P1396"/>
      <c r="Q1396"/>
      <c r="R1396"/>
      <c r="S1396"/>
    </row>
    <row r="1397" spans="12:19">
      <c r="L1397"/>
      <c r="M1397"/>
      <c r="N1397"/>
      <c r="O1397"/>
      <c r="P1397"/>
      <c r="Q1397"/>
      <c r="R1397"/>
      <c r="S1397"/>
    </row>
    <row r="1398" spans="12:19">
      <c r="L1398"/>
      <c r="M1398"/>
      <c r="N1398"/>
      <c r="O1398"/>
      <c r="P1398"/>
      <c r="Q1398"/>
      <c r="R1398"/>
      <c r="S1398"/>
    </row>
    <row r="1399" spans="12:19">
      <c r="L1399"/>
      <c r="M1399"/>
      <c r="N1399"/>
      <c r="O1399"/>
      <c r="P1399"/>
      <c r="Q1399"/>
      <c r="R1399"/>
      <c r="S1399"/>
    </row>
    <row r="1400" spans="12:19">
      <c r="L1400"/>
      <c r="M1400"/>
      <c r="N1400"/>
      <c r="O1400"/>
      <c r="P1400"/>
      <c r="Q1400"/>
      <c r="R1400"/>
      <c r="S1400"/>
    </row>
    <row r="1401" spans="12:19">
      <c r="L1401"/>
      <c r="M1401"/>
      <c r="N1401"/>
      <c r="O1401"/>
      <c r="P1401"/>
      <c r="Q1401"/>
      <c r="R1401"/>
      <c r="S1401"/>
    </row>
    <row r="1402" spans="12:19">
      <c r="L1402"/>
      <c r="M1402"/>
      <c r="N1402"/>
      <c r="O1402"/>
      <c r="P1402"/>
      <c r="Q1402"/>
      <c r="R1402"/>
      <c r="S1402"/>
    </row>
    <row r="1403" spans="12:19">
      <c r="L1403"/>
      <c r="M1403"/>
      <c r="N1403"/>
      <c r="O1403"/>
      <c r="P1403"/>
      <c r="Q1403"/>
      <c r="R1403"/>
      <c r="S1403"/>
    </row>
    <row r="1404" spans="12:19">
      <c r="L1404"/>
      <c r="M1404"/>
      <c r="N1404"/>
      <c r="O1404"/>
      <c r="P1404"/>
      <c r="Q1404"/>
      <c r="R1404"/>
      <c r="S1404"/>
    </row>
    <row r="1405" spans="12:19">
      <c r="L1405"/>
      <c r="M1405"/>
      <c r="N1405"/>
      <c r="O1405"/>
      <c r="P1405"/>
      <c r="Q1405"/>
      <c r="R1405"/>
      <c r="S1405"/>
    </row>
    <row r="1406" spans="12:19">
      <c r="L1406"/>
      <c r="M1406"/>
      <c r="N1406"/>
      <c r="O1406"/>
      <c r="P1406"/>
      <c r="Q1406"/>
      <c r="R1406"/>
      <c r="S1406"/>
    </row>
    <row r="1407" spans="12:19">
      <c r="L1407"/>
      <c r="M1407"/>
      <c r="N1407"/>
      <c r="O1407"/>
      <c r="P1407"/>
      <c r="Q1407"/>
      <c r="R1407"/>
      <c r="S1407"/>
    </row>
    <row r="1408" spans="12:19">
      <c r="L1408"/>
      <c r="M1408"/>
      <c r="N1408"/>
      <c r="O1408"/>
      <c r="P1408"/>
      <c r="Q1408"/>
      <c r="R1408"/>
      <c r="S1408"/>
    </row>
    <row r="1409" spans="12:19">
      <c r="L1409"/>
      <c r="M1409"/>
      <c r="N1409"/>
      <c r="O1409"/>
      <c r="P1409"/>
      <c r="Q1409"/>
      <c r="R1409"/>
      <c r="S1409"/>
    </row>
    <row r="1410" spans="12:19">
      <c r="L1410"/>
      <c r="M1410"/>
      <c r="N1410"/>
      <c r="O1410"/>
      <c r="P1410"/>
      <c r="Q1410"/>
      <c r="R1410"/>
      <c r="S1410"/>
    </row>
    <row r="1411" spans="12:19">
      <c r="L1411"/>
      <c r="M1411"/>
      <c r="N1411"/>
      <c r="O1411"/>
      <c r="P1411"/>
      <c r="Q1411"/>
      <c r="R1411"/>
      <c r="S1411"/>
    </row>
    <row r="1412" spans="12:19">
      <c r="L1412"/>
      <c r="M1412"/>
      <c r="N1412"/>
      <c r="O1412"/>
      <c r="P1412"/>
      <c r="Q1412"/>
      <c r="R1412"/>
      <c r="S1412"/>
    </row>
    <row r="1413" spans="12:19">
      <c r="L1413"/>
      <c r="M1413"/>
      <c r="N1413"/>
      <c r="O1413"/>
      <c r="P1413"/>
      <c r="Q1413"/>
      <c r="R1413"/>
      <c r="S1413"/>
    </row>
    <row r="1414" spans="12:19">
      <c r="L1414"/>
      <c r="M1414"/>
      <c r="N1414"/>
      <c r="O1414"/>
      <c r="P1414"/>
      <c r="Q1414"/>
      <c r="R1414"/>
      <c r="S1414"/>
    </row>
    <row r="1415" spans="12:19">
      <c r="L1415"/>
      <c r="M1415"/>
      <c r="N1415"/>
      <c r="O1415"/>
      <c r="P1415"/>
      <c r="Q1415"/>
      <c r="R1415"/>
      <c r="S1415"/>
    </row>
    <row r="1416" spans="12:19">
      <c r="L1416"/>
      <c r="M1416"/>
      <c r="N1416"/>
      <c r="O1416"/>
      <c r="P1416"/>
      <c r="Q1416"/>
      <c r="R1416"/>
      <c r="S1416"/>
    </row>
    <row r="1417" spans="12:19">
      <c r="L1417"/>
      <c r="M1417"/>
      <c r="N1417"/>
      <c r="O1417"/>
      <c r="P1417"/>
      <c r="Q1417"/>
      <c r="R1417"/>
      <c r="S1417"/>
    </row>
    <row r="1418" spans="12:19">
      <c r="L1418"/>
      <c r="M1418"/>
      <c r="N1418"/>
      <c r="O1418"/>
      <c r="P1418"/>
      <c r="Q1418"/>
      <c r="R1418"/>
      <c r="S1418"/>
    </row>
    <row r="1419" spans="12:19">
      <c r="L1419"/>
      <c r="M1419"/>
      <c r="N1419"/>
      <c r="O1419"/>
      <c r="P1419"/>
      <c r="Q1419"/>
      <c r="R1419"/>
      <c r="S1419"/>
    </row>
    <row r="1420" spans="12:19">
      <c r="L1420"/>
      <c r="M1420"/>
      <c r="N1420"/>
      <c r="O1420"/>
      <c r="P1420"/>
      <c r="Q1420"/>
      <c r="R1420"/>
      <c r="S1420"/>
    </row>
    <row r="1421" spans="12:19">
      <c r="L1421"/>
      <c r="M1421"/>
      <c r="N1421"/>
      <c r="O1421"/>
      <c r="P1421"/>
      <c r="Q1421"/>
      <c r="R1421"/>
      <c r="S1421"/>
    </row>
    <row r="1422" spans="12:19">
      <c r="L1422"/>
      <c r="M1422"/>
      <c r="N1422"/>
      <c r="O1422"/>
      <c r="P1422"/>
      <c r="Q1422"/>
      <c r="R1422"/>
      <c r="S1422"/>
    </row>
    <row r="1423" spans="12:19">
      <c r="L1423"/>
      <c r="M1423"/>
      <c r="N1423"/>
      <c r="O1423"/>
      <c r="P1423"/>
      <c r="Q1423"/>
      <c r="R1423"/>
      <c r="S1423"/>
    </row>
    <row r="1424" spans="12:19">
      <c r="L1424"/>
      <c r="M1424"/>
      <c r="N1424"/>
      <c r="O1424"/>
      <c r="P1424"/>
      <c r="Q1424"/>
      <c r="R1424"/>
      <c r="S1424"/>
    </row>
    <row r="1425" spans="12:19">
      <c r="L1425"/>
      <c r="M1425"/>
      <c r="N1425"/>
      <c r="O1425"/>
      <c r="P1425"/>
      <c r="Q1425"/>
      <c r="R1425"/>
      <c r="S1425"/>
    </row>
    <row r="1426" spans="12:19">
      <c r="L1426"/>
      <c r="M1426"/>
      <c r="N1426"/>
      <c r="O1426"/>
      <c r="P1426"/>
      <c r="Q1426"/>
      <c r="R1426"/>
      <c r="S1426"/>
    </row>
    <row r="1427" spans="12:19">
      <c r="L1427"/>
      <c r="M1427"/>
      <c r="N1427"/>
      <c r="O1427"/>
      <c r="P1427"/>
      <c r="Q1427"/>
      <c r="R1427"/>
      <c r="S1427"/>
    </row>
    <row r="1428" spans="12:19">
      <c r="L1428"/>
      <c r="M1428"/>
      <c r="N1428"/>
      <c r="O1428"/>
      <c r="P1428"/>
      <c r="Q1428"/>
      <c r="R1428"/>
      <c r="S1428"/>
    </row>
    <row r="1429" spans="12:19">
      <c r="L1429"/>
      <c r="M1429"/>
      <c r="N1429"/>
      <c r="O1429"/>
      <c r="P1429"/>
      <c r="Q1429"/>
      <c r="R1429"/>
      <c r="S1429"/>
    </row>
    <row r="1430" spans="12:19">
      <c r="L1430"/>
      <c r="M1430"/>
      <c r="N1430"/>
      <c r="O1430"/>
      <c r="P1430"/>
      <c r="Q1430"/>
      <c r="R1430"/>
      <c r="S1430"/>
    </row>
    <row r="1431" spans="12:19">
      <c r="L1431"/>
      <c r="M1431"/>
      <c r="N1431"/>
      <c r="O1431"/>
      <c r="P1431"/>
      <c r="Q1431"/>
      <c r="R1431"/>
      <c r="S1431"/>
    </row>
    <row r="1432" spans="12:19">
      <c r="L1432"/>
      <c r="M1432"/>
      <c r="N1432"/>
      <c r="O1432"/>
      <c r="P1432"/>
      <c r="Q1432"/>
      <c r="R1432"/>
      <c r="S1432"/>
    </row>
    <row r="1433" spans="12:19">
      <c r="L1433"/>
      <c r="M1433"/>
      <c r="N1433"/>
      <c r="O1433"/>
      <c r="P1433"/>
      <c r="Q1433"/>
      <c r="R1433"/>
      <c r="S1433"/>
    </row>
    <row r="1434" spans="12:19">
      <c r="L1434"/>
      <c r="M1434"/>
      <c r="N1434"/>
      <c r="O1434"/>
      <c r="P1434"/>
      <c r="Q1434"/>
      <c r="R1434"/>
      <c r="S1434"/>
    </row>
    <row r="1435" spans="12:19">
      <c r="L1435"/>
      <c r="M1435"/>
      <c r="N1435"/>
      <c r="O1435"/>
      <c r="P1435"/>
      <c r="Q1435"/>
      <c r="R1435"/>
      <c r="S1435"/>
    </row>
    <row r="1436" spans="12:19">
      <c r="L1436"/>
      <c r="M1436"/>
      <c r="N1436"/>
      <c r="O1436"/>
      <c r="P1436"/>
      <c r="Q1436"/>
      <c r="R1436"/>
      <c r="S1436"/>
    </row>
    <row r="1437" spans="12:19">
      <c r="L1437"/>
      <c r="M1437"/>
      <c r="N1437"/>
      <c r="O1437"/>
      <c r="P1437"/>
      <c r="Q1437"/>
      <c r="R1437"/>
      <c r="S1437"/>
    </row>
    <row r="1438" spans="12:19">
      <c r="L1438"/>
      <c r="M1438"/>
      <c r="N1438"/>
      <c r="O1438"/>
      <c r="P1438"/>
      <c r="Q1438"/>
      <c r="R1438"/>
      <c r="S1438"/>
    </row>
    <row r="1439" spans="12:19">
      <c r="L1439"/>
      <c r="M1439"/>
      <c r="N1439"/>
      <c r="O1439"/>
      <c r="P1439"/>
      <c r="Q1439"/>
      <c r="R1439"/>
      <c r="S1439"/>
    </row>
    <row r="1440" spans="12:19">
      <c r="L1440"/>
      <c r="M1440"/>
      <c r="N1440"/>
      <c r="O1440"/>
      <c r="P1440"/>
      <c r="Q1440"/>
      <c r="R1440"/>
      <c r="S1440"/>
    </row>
    <row r="1441" spans="12:19">
      <c r="L1441"/>
      <c r="M1441"/>
      <c r="N1441"/>
      <c r="O1441"/>
      <c r="P1441"/>
      <c r="Q1441"/>
      <c r="R1441"/>
      <c r="S1441"/>
    </row>
    <row r="1442" spans="12:19">
      <c r="L1442"/>
      <c r="M1442"/>
      <c r="N1442"/>
      <c r="O1442"/>
      <c r="P1442"/>
      <c r="Q1442"/>
      <c r="R1442"/>
      <c r="S1442"/>
    </row>
    <row r="1443" spans="12:19">
      <c r="L1443"/>
      <c r="M1443"/>
      <c r="N1443"/>
      <c r="O1443"/>
      <c r="P1443"/>
      <c r="Q1443"/>
      <c r="R1443"/>
      <c r="S1443"/>
    </row>
    <row r="1444" spans="12:19">
      <c r="L1444"/>
      <c r="M1444"/>
      <c r="N1444"/>
      <c r="O1444"/>
      <c r="P1444"/>
      <c r="Q1444"/>
      <c r="R1444"/>
      <c r="S1444"/>
    </row>
    <row r="1445" spans="12:19">
      <c r="L1445"/>
      <c r="M1445"/>
      <c r="N1445"/>
      <c r="O1445"/>
      <c r="P1445"/>
      <c r="Q1445"/>
      <c r="R1445"/>
      <c r="S1445"/>
    </row>
    <row r="1446" spans="12:19">
      <c r="L1446"/>
      <c r="M1446"/>
      <c r="N1446"/>
      <c r="O1446"/>
      <c r="P1446"/>
      <c r="Q1446"/>
      <c r="R1446"/>
      <c r="S1446"/>
    </row>
    <row r="1447" spans="12:19">
      <c r="L1447"/>
      <c r="M1447"/>
      <c r="N1447"/>
      <c r="O1447"/>
      <c r="P1447"/>
      <c r="Q1447"/>
      <c r="R1447"/>
      <c r="S1447"/>
    </row>
    <row r="1448" spans="12:19">
      <c r="L1448"/>
      <c r="M1448"/>
      <c r="N1448"/>
      <c r="O1448"/>
      <c r="P1448"/>
      <c r="Q1448"/>
      <c r="R1448"/>
      <c r="S1448"/>
    </row>
    <row r="1449" spans="12:19">
      <c r="L1449"/>
      <c r="M1449"/>
      <c r="N1449"/>
      <c r="O1449"/>
      <c r="P1449"/>
      <c r="Q1449"/>
      <c r="R1449"/>
      <c r="S1449"/>
    </row>
    <row r="1450" spans="12:19">
      <c r="L1450"/>
      <c r="M1450"/>
      <c r="N1450"/>
      <c r="O1450"/>
      <c r="P1450"/>
      <c r="Q1450"/>
      <c r="R1450"/>
      <c r="S1450"/>
    </row>
    <row r="1451" spans="12:19">
      <c r="L1451"/>
      <c r="M1451"/>
      <c r="N1451"/>
      <c r="O1451"/>
      <c r="P1451"/>
      <c r="Q1451"/>
      <c r="R1451"/>
      <c r="S1451"/>
    </row>
    <row r="1452" spans="12:19">
      <c r="L1452"/>
      <c r="M1452"/>
      <c r="N1452"/>
      <c r="O1452"/>
      <c r="P1452"/>
      <c r="Q1452"/>
      <c r="R1452"/>
      <c r="S1452"/>
    </row>
    <row r="1453" spans="12:19">
      <c r="L1453"/>
      <c r="M1453"/>
      <c r="N1453"/>
      <c r="O1453"/>
      <c r="P1453"/>
      <c r="Q1453"/>
      <c r="R1453"/>
      <c r="S1453"/>
    </row>
    <row r="1454" spans="12:19">
      <c r="L1454"/>
      <c r="M1454"/>
      <c r="N1454"/>
      <c r="O1454"/>
      <c r="P1454"/>
      <c r="Q1454"/>
      <c r="R1454"/>
      <c r="S1454"/>
    </row>
    <row r="1455" spans="12:19">
      <c r="L1455"/>
      <c r="M1455"/>
      <c r="N1455"/>
      <c r="O1455"/>
      <c r="P1455"/>
      <c r="Q1455"/>
      <c r="R1455"/>
      <c r="S1455"/>
    </row>
    <row r="1456" spans="12:19">
      <c r="L1456"/>
      <c r="M1456"/>
      <c r="N1456"/>
      <c r="O1456"/>
      <c r="P1456"/>
      <c r="Q1456"/>
      <c r="R1456"/>
      <c r="S1456"/>
    </row>
    <row r="1457" spans="12:19">
      <c r="L1457"/>
      <c r="M1457"/>
      <c r="N1457"/>
      <c r="O1457"/>
      <c r="P1457"/>
      <c r="Q1457"/>
      <c r="R1457"/>
      <c r="S1457"/>
    </row>
    <row r="1458" spans="12:19">
      <c r="L1458"/>
      <c r="M1458"/>
      <c r="N1458"/>
      <c r="O1458"/>
      <c r="P1458"/>
      <c r="Q1458"/>
      <c r="R1458"/>
      <c r="S1458"/>
    </row>
    <row r="1459" spans="12:19">
      <c r="L1459"/>
      <c r="M1459"/>
      <c r="N1459"/>
      <c r="O1459"/>
      <c r="P1459"/>
      <c r="Q1459"/>
      <c r="R1459"/>
      <c r="S1459"/>
    </row>
    <row r="1460" spans="12:19">
      <c r="L1460"/>
      <c r="M1460"/>
      <c r="N1460"/>
      <c r="O1460"/>
      <c r="P1460"/>
      <c r="Q1460"/>
      <c r="R1460"/>
      <c r="S1460"/>
    </row>
    <row r="1461" spans="12:19">
      <c r="L1461"/>
      <c r="M1461"/>
      <c r="N1461"/>
      <c r="O1461"/>
      <c r="P1461"/>
      <c r="Q1461"/>
      <c r="R1461"/>
      <c r="S1461"/>
    </row>
    <row r="1462" spans="12:19">
      <c r="L1462"/>
      <c r="M1462"/>
      <c r="N1462"/>
      <c r="O1462"/>
      <c r="P1462"/>
      <c r="Q1462"/>
      <c r="R1462"/>
      <c r="S1462"/>
    </row>
    <row r="1463" spans="12:19">
      <c r="L1463"/>
      <c r="M1463"/>
      <c r="N1463"/>
      <c r="O1463"/>
      <c r="P1463"/>
      <c r="Q1463"/>
      <c r="R1463"/>
      <c r="S1463"/>
    </row>
    <row r="1464" spans="12:19">
      <c r="L1464"/>
      <c r="M1464"/>
      <c r="N1464"/>
      <c r="O1464"/>
      <c r="P1464"/>
      <c r="Q1464"/>
      <c r="R1464"/>
      <c r="S1464"/>
    </row>
    <row r="1465" spans="12:19">
      <c r="L1465"/>
      <c r="M1465"/>
      <c r="N1465"/>
      <c r="O1465"/>
      <c r="P1465"/>
      <c r="Q1465"/>
      <c r="R1465"/>
      <c r="S1465"/>
    </row>
    <row r="1466" spans="12:19">
      <c r="L1466"/>
      <c r="M1466"/>
      <c r="N1466"/>
      <c r="O1466"/>
      <c r="P1466"/>
      <c r="Q1466"/>
      <c r="R1466"/>
      <c r="S1466"/>
    </row>
    <row r="1467" spans="12:19">
      <c r="L1467"/>
      <c r="M1467"/>
      <c r="N1467"/>
      <c r="O1467"/>
      <c r="P1467"/>
      <c r="Q1467"/>
      <c r="R1467"/>
      <c r="S1467"/>
    </row>
    <row r="1468" spans="12:19">
      <c r="L1468"/>
      <c r="M1468"/>
      <c r="N1468"/>
      <c r="O1468"/>
      <c r="P1468"/>
      <c r="Q1468"/>
      <c r="R1468"/>
      <c r="S1468"/>
    </row>
    <row r="1469" spans="12:19">
      <c r="L1469"/>
      <c r="M1469"/>
      <c r="N1469"/>
      <c r="O1469"/>
      <c r="P1469"/>
      <c r="Q1469"/>
      <c r="R1469"/>
      <c r="S1469"/>
    </row>
    <row r="1470" spans="12:19">
      <c r="L1470"/>
      <c r="M1470"/>
      <c r="N1470"/>
      <c r="O1470"/>
      <c r="P1470"/>
      <c r="Q1470"/>
      <c r="R1470"/>
      <c r="S1470"/>
    </row>
    <row r="1471" spans="12:19">
      <c r="L1471"/>
      <c r="M1471"/>
      <c r="N1471"/>
      <c r="O1471"/>
      <c r="P1471"/>
      <c r="Q1471"/>
      <c r="R1471"/>
      <c r="S1471"/>
    </row>
    <row r="1472" spans="12:19">
      <c r="L1472"/>
      <c r="M1472"/>
      <c r="N1472"/>
      <c r="O1472"/>
      <c r="P1472"/>
      <c r="Q1472"/>
      <c r="R1472"/>
      <c r="S1472"/>
    </row>
    <row r="1473" spans="12:19">
      <c r="L1473"/>
      <c r="M1473"/>
      <c r="N1473"/>
      <c r="O1473"/>
      <c r="P1473"/>
      <c r="Q1473"/>
      <c r="R1473"/>
      <c r="S1473"/>
    </row>
    <row r="1474" spans="12:19">
      <c r="L1474"/>
      <c r="M1474"/>
      <c r="N1474"/>
      <c r="O1474"/>
      <c r="P1474"/>
      <c r="Q1474"/>
      <c r="R1474"/>
      <c r="S1474"/>
    </row>
    <row r="1475" spans="12:19">
      <c r="L1475"/>
      <c r="M1475"/>
      <c r="N1475"/>
      <c r="O1475"/>
      <c r="P1475"/>
      <c r="Q1475"/>
      <c r="R1475"/>
      <c r="S1475"/>
    </row>
    <row r="1476" spans="12:19">
      <c r="L1476"/>
      <c r="M1476"/>
      <c r="N1476"/>
      <c r="O1476"/>
      <c r="P1476"/>
      <c r="Q1476"/>
      <c r="R1476"/>
      <c r="S1476"/>
    </row>
    <row r="1477" spans="12:19">
      <c r="L1477"/>
      <c r="M1477"/>
      <c r="N1477"/>
      <c r="O1477"/>
      <c r="P1477"/>
      <c r="Q1477"/>
      <c r="R1477"/>
      <c r="S1477"/>
    </row>
    <row r="1478" spans="12:19">
      <c r="L1478"/>
      <c r="M1478"/>
      <c r="N1478"/>
      <c r="O1478"/>
      <c r="P1478"/>
      <c r="Q1478"/>
      <c r="R1478"/>
      <c r="S1478"/>
    </row>
    <row r="1479" spans="12:19">
      <c r="L1479"/>
      <c r="M1479"/>
      <c r="N1479"/>
      <c r="O1479"/>
      <c r="P1479"/>
      <c r="Q1479"/>
      <c r="R1479"/>
      <c r="S1479"/>
    </row>
    <row r="1480" spans="12:19">
      <c r="L1480"/>
      <c r="M1480"/>
      <c r="N1480"/>
      <c r="O1480"/>
      <c r="P1480"/>
      <c r="Q1480"/>
      <c r="R1480"/>
      <c r="S1480"/>
    </row>
    <row r="1481" spans="12:19">
      <c r="L1481"/>
      <c r="M1481"/>
      <c r="N1481"/>
      <c r="O1481"/>
      <c r="P1481"/>
      <c r="Q1481"/>
      <c r="R1481"/>
      <c r="S1481"/>
    </row>
    <row r="1482" spans="12:19">
      <c r="L1482"/>
      <c r="M1482"/>
      <c r="N1482"/>
      <c r="O1482"/>
      <c r="P1482"/>
      <c r="Q1482"/>
      <c r="R1482"/>
      <c r="S1482"/>
    </row>
    <row r="1483" spans="12:19">
      <c r="L1483"/>
      <c r="M1483"/>
      <c r="N1483"/>
      <c r="O1483"/>
      <c r="P1483"/>
      <c r="Q1483"/>
      <c r="R1483"/>
      <c r="S1483"/>
    </row>
    <row r="1484" spans="12:19">
      <c r="L1484"/>
      <c r="M1484"/>
      <c r="N1484"/>
      <c r="O1484"/>
      <c r="P1484"/>
      <c r="Q1484"/>
      <c r="R1484"/>
      <c r="S1484"/>
    </row>
    <row r="1485" spans="12:19">
      <c r="L1485"/>
      <c r="M1485"/>
      <c r="N1485"/>
      <c r="O1485"/>
      <c r="P1485"/>
      <c r="Q1485"/>
      <c r="R1485"/>
      <c r="S1485"/>
    </row>
    <row r="1486" spans="12:19">
      <c r="L1486"/>
      <c r="M1486"/>
      <c r="N1486"/>
      <c r="O1486"/>
      <c r="P1486"/>
      <c r="Q1486"/>
      <c r="R1486"/>
      <c r="S1486"/>
    </row>
    <row r="1487" spans="12:19">
      <c r="L1487"/>
      <c r="M1487"/>
      <c r="N1487"/>
      <c r="O1487"/>
      <c r="P1487"/>
      <c r="Q1487"/>
      <c r="R1487"/>
      <c r="S1487"/>
    </row>
    <row r="1488" spans="12:19">
      <c r="L1488"/>
      <c r="M1488"/>
      <c r="N1488"/>
      <c r="O1488"/>
      <c r="P1488"/>
      <c r="Q1488"/>
      <c r="R1488"/>
      <c r="S1488"/>
    </row>
    <row r="1489" spans="12:19">
      <c r="L1489"/>
      <c r="M1489"/>
      <c r="N1489"/>
      <c r="O1489"/>
      <c r="P1489"/>
      <c r="Q1489"/>
      <c r="R1489"/>
      <c r="S1489"/>
    </row>
    <row r="1490" spans="12:19">
      <c r="L1490"/>
      <c r="M1490"/>
      <c r="N1490"/>
      <c r="O1490"/>
      <c r="P1490"/>
      <c r="Q1490"/>
      <c r="R1490"/>
      <c r="S1490"/>
    </row>
    <row r="1491" spans="12:19">
      <c r="L1491"/>
      <c r="M1491"/>
      <c r="N1491"/>
      <c r="O1491"/>
      <c r="P1491"/>
      <c r="Q1491"/>
      <c r="R1491"/>
      <c r="S1491"/>
    </row>
    <row r="1492" spans="12:19">
      <c r="L1492"/>
      <c r="M1492"/>
      <c r="N1492"/>
      <c r="O1492"/>
      <c r="P1492"/>
      <c r="Q1492"/>
      <c r="R1492"/>
      <c r="S1492"/>
    </row>
    <row r="1493" spans="12:19">
      <c r="L1493"/>
      <c r="M1493"/>
      <c r="N1493"/>
      <c r="O1493"/>
      <c r="P1493"/>
      <c r="Q1493"/>
      <c r="R1493"/>
      <c r="S1493"/>
    </row>
    <row r="1494" spans="12:19">
      <c r="L1494"/>
      <c r="M1494"/>
      <c r="N1494"/>
      <c r="O1494"/>
      <c r="P1494"/>
      <c r="Q1494"/>
      <c r="R1494"/>
      <c r="S1494"/>
    </row>
    <row r="1495" spans="12:19">
      <c r="L1495"/>
      <c r="M1495"/>
      <c r="N1495"/>
      <c r="O1495"/>
      <c r="P1495"/>
      <c r="Q1495"/>
      <c r="R1495"/>
      <c r="S1495"/>
    </row>
    <row r="1496" spans="12:19">
      <c r="L1496"/>
      <c r="M1496"/>
      <c r="N1496"/>
      <c r="O1496"/>
      <c r="P1496"/>
      <c r="Q1496"/>
      <c r="R1496"/>
      <c r="S1496"/>
    </row>
    <row r="1497" spans="12:19">
      <c r="L1497"/>
      <c r="M1497"/>
      <c r="N1497"/>
      <c r="O1497"/>
      <c r="P1497"/>
      <c r="Q1497"/>
      <c r="R1497"/>
      <c r="S1497"/>
    </row>
    <row r="1498" spans="12:19">
      <c r="L1498"/>
      <c r="M1498"/>
      <c r="N1498"/>
      <c r="O1498"/>
      <c r="P1498"/>
      <c r="Q1498"/>
      <c r="R1498"/>
      <c r="S1498"/>
    </row>
    <row r="1499" spans="12:19">
      <c r="L1499"/>
      <c r="M1499"/>
      <c r="N1499"/>
      <c r="O1499"/>
      <c r="P1499"/>
      <c r="Q1499"/>
      <c r="R1499"/>
      <c r="S1499"/>
    </row>
    <row r="1500" spans="12:19">
      <c r="L1500"/>
      <c r="M1500"/>
      <c r="N1500"/>
      <c r="O1500"/>
      <c r="P1500"/>
      <c r="Q1500"/>
      <c r="R1500"/>
      <c r="S1500"/>
    </row>
    <row r="1501" spans="12:19">
      <c r="L1501"/>
      <c r="M1501"/>
      <c r="N1501"/>
      <c r="O1501"/>
      <c r="P1501"/>
      <c r="Q1501"/>
      <c r="R1501"/>
      <c r="S1501"/>
    </row>
    <row r="1502" spans="12:19">
      <c r="L1502"/>
      <c r="M1502"/>
      <c r="N1502"/>
      <c r="O1502"/>
      <c r="P1502"/>
      <c r="Q1502"/>
      <c r="R1502"/>
      <c r="S1502"/>
    </row>
    <row r="1503" spans="12:19">
      <c r="L1503"/>
      <c r="M1503"/>
      <c r="N1503"/>
      <c r="O1503"/>
      <c r="P1503"/>
      <c r="Q1503"/>
      <c r="R1503"/>
      <c r="S1503"/>
    </row>
    <row r="1504" spans="12:19">
      <c r="L1504"/>
      <c r="M1504"/>
      <c r="N1504"/>
      <c r="O1504"/>
      <c r="P1504"/>
      <c r="Q1504"/>
      <c r="R1504"/>
      <c r="S1504"/>
    </row>
    <row r="1505" spans="12:19">
      <c r="L1505"/>
      <c r="M1505"/>
      <c r="N1505"/>
      <c r="O1505"/>
      <c r="P1505"/>
      <c r="Q1505"/>
      <c r="R1505"/>
      <c r="S1505"/>
    </row>
    <row r="1506" spans="12:19">
      <c r="L1506"/>
      <c r="M1506"/>
      <c r="N1506"/>
      <c r="O1506"/>
      <c r="P1506"/>
      <c r="Q1506"/>
      <c r="R1506"/>
      <c r="S1506"/>
    </row>
    <row r="1507" spans="12:19">
      <c r="L1507"/>
      <c r="M1507"/>
      <c r="N1507"/>
      <c r="O1507"/>
      <c r="P1507"/>
      <c r="Q1507"/>
      <c r="R1507"/>
      <c r="S1507"/>
    </row>
    <row r="1508" spans="12:19">
      <c r="L1508"/>
      <c r="M1508"/>
      <c r="N1508"/>
      <c r="O1508"/>
      <c r="P1508"/>
      <c r="Q1508"/>
      <c r="R1508"/>
      <c r="S1508"/>
    </row>
    <row r="1509" spans="12:19">
      <c r="L1509"/>
      <c r="M1509"/>
      <c r="N1509"/>
      <c r="O1509"/>
      <c r="P1509"/>
      <c r="Q1509"/>
      <c r="R1509"/>
      <c r="S1509"/>
    </row>
    <row r="1510" spans="12:19">
      <c r="L1510"/>
      <c r="M1510"/>
      <c r="N1510"/>
      <c r="O1510"/>
      <c r="P1510"/>
      <c r="Q1510"/>
      <c r="R1510"/>
      <c r="S1510"/>
    </row>
    <row r="1511" spans="12:19">
      <c r="L1511"/>
      <c r="M1511"/>
      <c r="N1511"/>
      <c r="O1511"/>
      <c r="P1511"/>
      <c r="Q1511"/>
      <c r="R1511"/>
      <c r="S1511"/>
    </row>
    <row r="1512" spans="12:19">
      <c r="L1512"/>
      <c r="M1512"/>
      <c r="N1512"/>
      <c r="O1512"/>
      <c r="P1512"/>
      <c r="Q1512"/>
      <c r="R1512"/>
      <c r="S1512"/>
    </row>
    <row r="1513" spans="12:19">
      <c r="L1513"/>
      <c r="M1513"/>
      <c r="N1513"/>
      <c r="O1513"/>
      <c r="P1513"/>
      <c r="Q1513"/>
      <c r="R1513"/>
      <c r="S1513"/>
    </row>
    <row r="1514" spans="12:19">
      <c r="L1514"/>
      <c r="M1514"/>
      <c r="N1514"/>
      <c r="O1514"/>
      <c r="P1514"/>
      <c r="Q1514"/>
      <c r="R1514"/>
      <c r="S1514"/>
    </row>
    <row r="1515" spans="12:19">
      <c r="L1515"/>
      <c r="M1515"/>
      <c r="N1515"/>
      <c r="O1515"/>
      <c r="P1515"/>
      <c r="Q1515"/>
      <c r="R1515"/>
      <c r="S1515"/>
    </row>
    <row r="1516" spans="12:19">
      <c r="L1516"/>
      <c r="M1516"/>
      <c r="N1516"/>
      <c r="O1516"/>
      <c r="P1516"/>
      <c r="Q1516"/>
      <c r="R1516"/>
      <c r="S1516"/>
    </row>
    <row r="1517" spans="12:19">
      <c r="L1517"/>
      <c r="M1517"/>
      <c r="N1517"/>
      <c r="O1517"/>
      <c r="P1517"/>
      <c r="Q1517"/>
      <c r="R1517"/>
      <c r="S1517"/>
    </row>
    <row r="1518" spans="12:19">
      <c r="L1518"/>
      <c r="M1518"/>
      <c r="N1518"/>
      <c r="O1518"/>
      <c r="P1518"/>
      <c r="Q1518"/>
      <c r="R1518"/>
      <c r="S1518"/>
    </row>
    <row r="1519" spans="12:19">
      <c r="L1519"/>
      <c r="M1519"/>
      <c r="N1519"/>
      <c r="O1519"/>
      <c r="P1519"/>
      <c r="Q1519"/>
      <c r="R1519"/>
      <c r="S1519"/>
    </row>
    <row r="1520" spans="12:19">
      <c r="L1520"/>
      <c r="M1520"/>
      <c r="N1520"/>
      <c r="O1520"/>
      <c r="P1520"/>
      <c r="Q1520"/>
      <c r="R1520"/>
      <c r="S1520"/>
    </row>
    <row r="1521" spans="12:19">
      <c r="L1521"/>
      <c r="M1521"/>
      <c r="N1521"/>
      <c r="O1521"/>
      <c r="P1521"/>
      <c r="Q1521"/>
      <c r="R1521"/>
      <c r="S1521"/>
    </row>
    <row r="1522" spans="12:19">
      <c r="L1522"/>
      <c r="M1522"/>
      <c r="N1522"/>
      <c r="O1522"/>
      <c r="P1522"/>
      <c r="Q1522"/>
      <c r="R1522"/>
      <c r="S1522"/>
    </row>
    <row r="1523" spans="12:19">
      <c r="L1523"/>
      <c r="M1523"/>
      <c r="N1523"/>
      <c r="O1523"/>
      <c r="P1523"/>
      <c r="Q1523"/>
      <c r="R1523"/>
      <c r="S1523"/>
    </row>
    <row r="1524" spans="12:19">
      <c r="L1524"/>
      <c r="M1524"/>
      <c r="N1524"/>
      <c r="O1524"/>
      <c r="P1524"/>
      <c r="Q1524"/>
      <c r="R1524"/>
      <c r="S1524"/>
    </row>
    <row r="1525" spans="12:19">
      <c r="L1525"/>
      <c r="M1525"/>
      <c r="N1525"/>
      <c r="O1525"/>
      <c r="P1525"/>
      <c r="Q1525"/>
      <c r="R1525"/>
      <c r="S1525"/>
    </row>
    <row r="1526" spans="12:19">
      <c r="L1526"/>
      <c r="M1526"/>
      <c r="N1526"/>
      <c r="O1526"/>
      <c r="P1526"/>
      <c r="Q1526"/>
      <c r="R1526"/>
      <c r="S1526"/>
    </row>
    <row r="1527" spans="12:19">
      <c r="L1527"/>
      <c r="M1527"/>
      <c r="N1527"/>
      <c r="O1527"/>
      <c r="P1527"/>
      <c r="Q1527"/>
      <c r="R1527"/>
      <c r="S1527"/>
    </row>
    <row r="1528" spans="12:19">
      <c r="L1528"/>
      <c r="M1528"/>
      <c r="N1528"/>
      <c r="O1528"/>
      <c r="P1528"/>
      <c r="Q1528"/>
      <c r="R1528"/>
      <c r="S1528"/>
    </row>
    <row r="1529" spans="12:19">
      <c r="L1529"/>
      <c r="M1529"/>
      <c r="N1529"/>
      <c r="O1529"/>
      <c r="P1529"/>
      <c r="Q1529"/>
      <c r="R1529"/>
      <c r="S1529"/>
    </row>
    <row r="1530" spans="12:19">
      <c r="L1530"/>
      <c r="M1530"/>
      <c r="N1530"/>
      <c r="O1530"/>
      <c r="P1530"/>
      <c r="Q1530"/>
      <c r="R1530"/>
      <c r="S1530"/>
    </row>
    <row r="1531" spans="12:19">
      <c r="L1531"/>
      <c r="M1531"/>
      <c r="N1531"/>
      <c r="O1531"/>
      <c r="P1531"/>
      <c r="Q1531"/>
      <c r="R1531"/>
      <c r="S1531"/>
    </row>
    <row r="1532" spans="12:19">
      <c r="L1532"/>
      <c r="M1532"/>
      <c r="N1532"/>
      <c r="O1532"/>
      <c r="P1532"/>
      <c r="Q1532"/>
      <c r="R1532"/>
      <c r="S1532"/>
    </row>
    <row r="1533" spans="12:19">
      <c r="L1533"/>
      <c r="M1533"/>
      <c r="N1533"/>
      <c r="O1533"/>
      <c r="P1533"/>
      <c r="Q1533"/>
      <c r="R1533"/>
      <c r="S1533"/>
    </row>
    <row r="1534" spans="12:19">
      <c r="L1534"/>
      <c r="M1534"/>
      <c r="N1534"/>
      <c r="O1534"/>
      <c r="P1534"/>
      <c r="Q1534"/>
      <c r="R1534"/>
      <c r="S1534"/>
    </row>
    <row r="1535" spans="12:19">
      <c r="L1535"/>
      <c r="M1535"/>
      <c r="N1535"/>
      <c r="O1535"/>
      <c r="P1535"/>
      <c r="Q1535"/>
      <c r="R1535"/>
      <c r="S1535"/>
    </row>
    <row r="1536" spans="12:19">
      <c r="L1536"/>
      <c r="M1536"/>
      <c r="N1536"/>
      <c r="O1536"/>
      <c r="P1536"/>
      <c r="Q1536"/>
      <c r="R1536"/>
      <c r="S1536"/>
    </row>
    <row r="1537" spans="12:19">
      <c r="L1537"/>
      <c r="M1537"/>
      <c r="N1537"/>
      <c r="O1537"/>
      <c r="P1537"/>
      <c r="Q1537"/>
      <c r="R1537"/>
      <c r="S1537"/>
    </row>
    <row r="1538" spans="12:19">
      <c r="L1538"/>
      <c r="M1538"/>
      <c r="N1538"/>
      <c r="O1538"/>
      <c r="P1538"/>
      <c r="Q1538"/>
      <c r="R1538"/>
      <c r="S1538"/>
    </row>
    <row r="1539" spans="12:19">
      <c r="L1539"/>
      <c r="M1539"/>
      <c r="N1539"/>
      <c r="O1539"/>
      <c r="P1539"/>
      <c r="Q1539"/>
      <c r="R1539"/>
      <c r="S1539"/>
    </row>
    <row r="1540" spans="12:19">
      <c r="L1540"/>
      <c r="M1540"/>
      <c r="N1540"/>
      <c r="O1540"/>
      <c r="P1540"/>
      <c r="Q1540"/>
      <c r="R1540"/>
      <c r="S1540"/>
    </row>
    <row r="1541" spans="12:19">
      <c r="L1541"/>
      <c r="M1541"/>
      <c r="N1541"/>
      <c r="O1541"/>
      <c r="P1541"/>
      <c r="Q1541"/>
      <c r="R1541"/>
      <c r="S1541"/>
    </row>
    <row r="1542" spans="12:19">
      <c r="L1542"/>
      <c r="M1542"/>
      <c r="N1542"/>
      <c r="O1542"/>
      <c r="P1542"/>
      <c r="Q1542"/>
      <c r="R1542"/>
      <c r="S1542"/>
    </row>
    <row r="1543" spans="12:19">
      <c r="L1543"/>
      <c r="M1543"/>
      <c r="N1543"/>
      <c r="O1543"/>
      <c r="P1543"/>
      <c r="Q1543"/>
      <c r="R1543"/>
      <c r="S1543"/>
    </row>
    <row r="1544" spans="12:19">
      <c r="L1544"/>
      <c r="M1544"/>
      <c r="N1544"/>
      <c r="O1544"/>
      <c r="P1544"/>
      <c r="Q1544"/>
      <c r="R1544"/>
      <c r="S1544"/>
    </row>
    <row r="1545" spans="12:19">
      <c r="L1545"/>
      <c r="M1545"/>
      <c r="N1545"/>
      <c r="O1545"/>
      <c r="P1545"/>
      <c r="Q1545"/>
      <c r="R1545"/>
      <c r="S1545"/>
    </row>
    <row r="1546" spans="12:19">
      <c r="L1546"/>
      <c r="M1546"/>
      <c r="N1546"/>
      <c r="O1546"/>
      <c r="P1546"/>
      <c r="Q1546"/>
      <c r="R1546"/>
      <c r="S1546"/>
    </row>
    <row r="1547" spans="12:19">
      <c r="L1547"/>
      <c r="M1547"/>
      <c r="N1547"/>
      <c r="O1547"/>
      <c r="P1547"/>
      <c r="Q1547"/>
      <c r="R1547"/>
      <c r="S1547"/>
    </row>
    <row r="1548" spans="12:19">
      <c r="L1548"/>
      <c r="M1548"/>
      <c r="N1548"/>
      <c r="O1548"/>
      <c r="P1548"/>
      <c r="Q1548"/>
      <c r="R1548"/>
      <c r="S1548"/>
    </row>
    <row r="1549" spans="12:19">
      <c r="L1549"/>
      <c r="M1549"/>
      <c r="N1549"/>
      <c r="O1549"/>
      <c r="P1549"/>
      <c r="Q1549"/>
      <c r="R1549"/>
      <c r="S1549"/>
    </row>
    <row r="1550" spans="12:19">
      <c r="L1550"/>
      <c r="M1550"/>
      <c r="N1550"/>
      <c r="O1550"/>
      <c r="P1550"/>
      <c r="Q1550"/>
      <c r="R1550"/>
      <c r="S1550"/>
    </row>
    <row r="1551" spans="12:19">
      <c r="L1551"/>
      <c r="M1551"/>
      <c r="N1551"/>
      <c r="O1551"/>
      <c r="P1551"/>
      <c r="Q1551"/>
      <c r="R1551"/>
      <c r="S1551"/>
    </row>
    <row r="1552" spans="12:19">
      <c r="L1552"/>
      <c r="M1552"/>
      <c r="N1552"/>
      <c r="O1552"/>
      <c r="P1552"/>
      <c r="Q1552"/>
      <c r="R1552"/>
      <c r="S1552"/>
    </row>
    <row r="1553" spans="12:19">
      <c r="L1553"/>
      <c r="M1553"/>
      <c r="N1553"/>
      <c r="O1553"/>
      <c r="P1553"/>
      <c r="Q1553"/>
      <c r="R1553"/>
      <c r="S1553"/>
    </row>
    <row r="1554" spans="12:19">
      <c r="L1554"/>
      <c r="M1554"/>
      <c r="N1554"/>
      <c r="O1554"/>
      <c r="P1554"/>
      <c r="Q1554"/>
      <c r="R1554"/>
      <c r="S1554"/>
    </row>
    <row r="1555" spans="12:19">
      <c r="L1555"/>
      <c r="M1555"/>
      <c r="N1555"/>
      <c r="O1555"/>
      <c r="P1555"/>
      <c r="Q1555"/>
      <c r="R1555"/>
      <c r="S1555"/>
    </row>
    <row r="1556" spans="12:19">
      <c r="L1556"/>
      <c r="M1556"/>
      <c r="N1556"/>
      <c r="O1556"/>
      <c r="P1556"/>
      <c r="Q1556"/>
      <c r="R1556"/>
      <c r="S1556"/>
    </row>
    <row r="1557" spans="12:19">
      <c r="L1557"/>
      <c r="M1557"/>
      <c r="N1557"/>
      <c r="O1557"/>
      <c r="P1557"/>
      <c r="Q1557"/>
      <c r="R1557"/>
      <c r="S1557"/>
    </row>
    <row r="1558" spans="12:19">
      <c r="L1558"/>
      <c r="M1558"/>
      <c r="N1558"/>
      <c r="O1558"/>
      <c r="P1558"/>
      <c r="Q1558"/>
      <c r="R1558"/>
      <c r="S1558"/>
    </row>
    <row r="1559" spans="12:19">
      <c r="L1559"/>
      <c r="M1559"/>
      <c r="N1559"/>
      <c r="O1559"/>
      <c r="P1559"/>
      <c r="Q1559"/>
      <c r="R1559"/>
      <c r="S1559"/>
    </row>
    <row r="1560" spans="12:19">
      <c r="L1560"/>
      <c r="M1560"/>
      <c r="N1560"/>
      <c r="O1560"/>
      <c r="P1560"/>
      <c r="Q1560"/>
      <c r="R1560"/>
      <c r="S1560"/>
    </row>
    <row r="1561" spans="12:19">
      <c r="L1561"/>
      <c r="M1561"/>
      <c r="N1561"/>
      <c r="O1561"/>
      <c r="P1561"/>
      <c r="Q1561"/>
      <c r="R1561"/>
      <c r="S1561"/>
    </row>
    <row r="1562" spans="12:19">
      <c r="L1562"/>
      <c r="M1562"/>
      <c r="N1562"/>
      <c r="O1562"/>
      <c r="P1562"/>
      <c r="Q1562"/>
      <c r="R1562"/>
      <c r="S1562"/>
    </row>
    <row r="1563" spans="12:19">
      <c r="L1563"/>
      <c r="M1563"/>
      <c r="N1563"/>
      <c r="O1563"/>
      <c r="P1563"/>
      <c r="Q1563"/>
      <c r="R1563"/>
      <c r="S1563"/>
    </row>
    <row r="1564" spans="12:19">
      <c r="L1564"/>
      <c r="M1564"/>
      <c r="N1564"/>
      <c r="O1564"/>
      <c r="P1564"/>
      <c r="Q1564"/>
      <c r="R1564"/>
      <c r="S1564"/>
    </row>
    <row r="1565" spans="12:19">
      <c r="L1565"/>
      <c r="M1565"/>
      <c r="N1565"/>
      <c r="O1565"/>
      <c r="P1565"/>
      <c r="Q1565"/>
      <c r="R1565"/>
      <c r="S1565"/>
    </row>
    <row r="1566" spans="12:19">
      <c r="L1566"/>
      <c r="M1566"/>
      <c r="N1566"/>
      <c r="O1566"/>
      <c r="P1566"/>
      <c r="Q1566"/>
      <c r="R1566"/>
      <c r="S1566"/>
    </row>
    <row r="1567" spans="12:19">
      <c r="L1567"/>
      <c r="M1567"/>
      <c r="N1567"/>
      <c r="O1567"/>
      <c r="P1567"/>
      <c r="Q1567"/>
      <c r="R1567"/>
      <c r="S1567"/>
    </row>
    <row r="1568" spans="12:19">
      <c r="L1568"/>
      <c r="M1568"/>
      <c r="N1568"/>
      <c r="O1568"/>
      <c r="P1568"/>
      <c r="Q1568"/>
      <c r="R1568"/>
      <c r="S1568"/>
    </row>
    <row r="1569" spans="12:19">
      <c r="L1569"/>
      <c r="M1569"/>
      <c r="N1569"/>
      <c r="O1569"/>
      <c r="P1569"/>
      <c r="Q1569"/>
      <c r="R1569"/>
      <c r="S1569"/>
    </row>
    <row r="1570" spans="12:19">
      <c r="L1570"/>
      <c r="M1570"/>
      <c r="N1570"/>
      <c r="O1570"/>
      <c r="P1570"/>
      <c r="Q1570"/>
      <c r="R1570"/>
      <c r="S1570"/>
    </row>
    <row r="1571" spans="12:19">
      <c r="L1571"/>
      <c r="M1571"/>
      <c r="N1571"/>
      <c r="O1571"/>
      <c r="P1571"/>
      <c r="Q1571"/>
      <c r="R1571"/>
      <c r="S1571"/>
    </row>
    <row r="1572" spans="12:19">
      <c r="L1572"/>
      <c r="M1572"/>
      <c r="N1572"/>
      <c r="O1572"/>
      <c r="P1572"/>
      <c r="Q1572"/>
      <c r="R1572"/>
      <c r="S1572"/>
    </row>
    <row r="1573" spans="12:19">
      <c r="L1573"/>
      <c r="M1573"/>
      <c r="N1573"/>
      <c r="O1573"/>
      <c r="P1573"/>
      <c r="Q1573"/>
      <c r="R1573"/>
      <c r="S1573"/>
    </row>
    <row r="1574" spans="12:19">
      <c r="L1574"/>
      <c r="M1574"/>
      <c r="N1574"/>
      <c r="O1574"/>
      <c r="P1574"/>
      <c r="Q1574"/>
      <c r="R1574"/>
      <c r="S1574"/>
    </row>
    <row r="1575" spans="12:19">
      <c r="L1575"/>
      <c r="M1575"/>
      <c r="N1575"/>
      <c r="O1575"/>
      <c r="P1575"/>
      <c r="Q1575"/>
      <c r="R1575"/>
      <c r="S1575"/>
    </row>
    <row r="1576" spans="12:19">
      <c r="L1576"/>
      <c r="M1576"/>
      <c r="N1576"/>
      <c r="O1576"/>
      <c r="P1576"/>
      <c r="Q1576"/>
      <c r="R1576"/>
      <c r="S1576"/>
    </row>
    <row r="1577" spans="12:19">
      <c r="L1577"/>
      <c r="M1577"/>
      <c r="N1577"/>
      <c r="O1577"/>
      <c r="P1577"/>
      <c r="Q1577"/>
      <c r="R1577"/>
      <c r="S1577"/>
    </row>
    <row r="1578" spans="12:19">
      <c r="L1578"/>
      <c r="M1578"/>
      <c r="N1578"/>
      <c r="O1578"/>
      <c r="P1578"/>
      <c r="Q1578"/>
      <c r="R1578"/>
      <c r="S1578"/>
    </row>
    <row r="1579" spans="12:19">
      <c r="L1579"/>
      <c r="M1579"/>
      <c r="N1579"/>
      <c r="O1579"/>
      <c r="P1579"/>
      <c r="Q1579"/>
      <c r="R1579"/>
      <c r="S1579"/>
    </row>
    <row r="1580" spans="12:19">
      <c r="L1580"/>
      <c r="M1580"/>
      <c r="N1580"/>
      <c r="O1580"/>
      <c r="P1580"/>
      <c r="Q1580"/>
      <c r="R1580"/>
      <c r="S1580"/>
    </row>
    <row r="1581" spans="12:19">
      <c r="L1581"/>
      <c r="M1581"/>
      <c r="N1581"/>
      <c r="O1581"/>
      <c r="P1581"/>
      <c r="Q1581"/>
      <c r="R1581"/>
      <c r="S1581"/>
    </row>
    <row r="1582" spans="12:19">
      <c r="L1582"/>
      <c r="M1582"/>
      <c r="N1582"/>
      <c r="O1582"/>
      <c r="P1582"/>
      <c r="Q1582"/>
      <c r="R1582"/>
      <c r="S1582"/>
    </row>
    <row r="1583" spans="12:19">
      <c r="L1583"/>
      <c r="M1583"/>
      <c r="N1583"/>
      <c r="O1583"/>
      <c r="P1583"/>
      <c r="Q1583"/>
      <c r="R1583"/>
      <c r="S1583"/>
    </row>
    <row r="1584" spans="12:19">
      <c r="L1584"/>
      <c r="M1584"/>
      <c r="N1584"/>
      <c r="O1584"/>
      <c r="P1584"/>
      <c r="Q1584"/>
      <c r="R1584"/>
      <c r="S1584"/>
    </row>
    <row r="1585" spans="12:19">
      <c r="L1585"/>
      <c r="M1585"/>
      <c r="N1585"/>
      <c r="O1585"/>
      <c r="P1585"/>
      <c r="Q1585"/>
      <c r="R1585"/>
      <c r="S1585"/>
    </row>
    <row r="1586" spans="12:19">
      <c r="L1586"/>
      <c r="M1586"/>
      <c r="N1586"/>
      <c r="O1586"/>
      <c r="P1586"/>
      <c r="Q1586"/>
      <c r="R1586"/>
      <c r="S1586"/>
    </row>
    <row r="1587" spans="12:19">
      <c r="L1587"/>
      <c r="M1587"/>
      <c r="N1587"/>
      <c r="O1587"/>
      <c r="P1587"/>
      <c r="Q1587"/>
      <c r="R1587"/>
      <c r="S1587"/>
    </row>
    <row r="1588" spans="12:19">
      <c r="L1588"/>
      <c r="M1588"/>
      <c r="N1588"/>
      <c r="O1588"/>
      <c r="P1588"/>
      <c r="Q1588"/>
      <c r="R1588"/>
      <c r="S1588"/>
    </row>
    <row r="1589" spans="12:19">
      <c r="L1589"/>
      <c r="M1589"/>
      <c r="N1589"/>
      <c r="O1589"/>
      <c r="P1589"/>
      <c r="Q1589"/>
      <c r="R1589"/>
      <c r="S1589"/>
    </row>
    <row r="1590" spans="12:19">
      <c r="L1590"/>
      <c r="M1590"/>
      <c r="N1590"/>
      <c r="O1590"/>
      <c r="P1590"/>
      <c r="Q1590"/>
      <c r="R1590"/>
      <c r="S1590"/>
    </row>
    <row r="1591" spans="12:19">
      <c r="L1591"/>
      <c r="M1591"/>
      <c r="N1591"/>
      <c r="O1591"/>
      <c r="P1591"/>
      <c r="Q1591"/>
      <c r="R1591"/>
      <c r="S1591"/>
    </row>
    <row r="1592" spans="12:19">
      <c r="L1592"/>
      <c r="M1592"/>
      <c r="N1592"/>
      <c r="O1592"/>
      <c r="P1592"/>
      <c r="Q1592"/>
      <c r="R1592"/>
      <c r="S1592"/>
    </row>
    <row r="1593" spans="12:19">
      <c r="L1593"/>
      <c r="M1593"/>
      <c r="N1593"/>
      <c r="O1593"/>
      <c r="P1593"/>
      <c r="Q1593"/>
      <c r="R1593"/>
      <c r="S1593"/>
    </row>
    <row r="1594" spans="12:19">
      <c r="L1594"/>
      <c r="M1594"/>
      <c r="N1594"/>
      <c r="O1594"/>
      <c r="P1594"/>
      <c r="Q1594"/>
      <c r="R1594"/>
      <c r="S1594"/>
    </row>
    <row r="1595" spans="12:19">
      <c r="L1595"/>
      <c r="M1595"/>
      <c r="N1595"/>
      <c r="O1595"/>
      <c r="P1595"/>
      <c r="Q1595"/>
      <c r="R1595"/>
      <c r="S1595"/>
    </row>
    <row r="1596" spans="12:19">
      <c r="L1596"/>
      <c r="M1596"/>
      <c r="N1596"/>
      <c r="O1596"/>
      <c r="P1596"/>
      <c r="Q1596"/>
      <c r="R1596"/>
      <c r="S1596"/>
    </row>
    <row r="1597" spans="12:19">
      <c r="L1597"/>
      <c r="M1597"/>
      <c r="N1597"/>
      <c r="O1597"/>
      <c r="P1597"/>
      <c r="Q1597"/>
      <c r="R1597"/>
      <c r="S1597"/>
    </row>
    <row r="1598" spans="12:19">
      <c r="L1598"/>
      <c r="M1598"/>
      <c r="N1598"/>
      <c r="O1598"/>
      <c r="P1598"/>
      <c r="Q1598"/>
      <c r="R1598"/>
      <c r="S1598"/>
    </row>
    <row r="1599" spans="12:19">
      <c r="L1599"/>
      <c r="M1599"/>
      <c r="N1599"/>
      <c r="O1599"/>
      <c r="P1599"/>
      <c r="Q1599"/>
      <c r="R1599"/>
      <c r="S1599"/>
    </row>
    <row r="1600" spans="12:19">
      <c r="L1600"/>
      <c r="M1600"/>
      <c r="N1600"/>
      <c r="O1600"/>
      <c r="P1600"/>
      <c r="Q1600"/>
      <c r="R1600"/>
      <c r="S1600"/>
    </row>
    <row r="1601" spans="12:19">
      <c r="L1601"/>
      <c r="M1601"/>
      <c r="N1601"/>
      <c r="O1601"/>
      <c r="P1601"/>
      <c r="Q1601"/>
      <c r="R1601"/>
      <c r="S1601"/>
    </row>
    <row r="1602" spans="12:19">
      <c r="L1602"/>
      <c r="M1602"/>
      <c r="N1602"/>
      <c r="O1602"/>
      <c r="P1602"/>
      <c r="Q1602"/>
      <c r="R1602"/>
      <c r="S1602"/>
    </row>
    <row r="1603" spans="12:19">
      <c r="L1603"/>
      <c r="M1603"/>
      <c r="N1603"/>
      <c r="O1603"/>
      <c r="P1603"/>
      <c r="Q1603"/>
      <c r="R1603"/>
      <c r="S1603"/>
    </row>
    <row r="1604" spans="12:19">
      <c r="L1604"/>
      <c r="M1604"/>
      <c r="N1604"/>
      <c r="O1604"/>
      <c r="P1604"/>
      <c r="Q1604"/>
      <c r="R1604"/>
      <c r="S1604"/>
    </row>
    <row r="1605" spans="12:19">
      <c r="L1605"/>
      <c r="M1605"/>
      <c r="N1605"/>
      <c r="O1605"/>
      <c r="P1605"/>
      <c r="Q1605"/>
      <c r="R1605"/>
      <c r="S1605"/>
    </row>
    <row r="1606" spans="12:19">
      <c r="L1606"/>
      <c r="M1606"/>
      <c r="N1606"/>
      <c r="O1606"/>
      <c r="P1606"/>
      <c r="Q1606"/>
      <c r="R1606"/>
      <c r="S1606"/>
    </row>
    <row r="1607" spans="12:19">
      <c r="L1607"/>
      <c r="M1607"/>
      <c r="N1607"/>
      <c r="O1607"/>
      <c r="P1607"/>
      <c r="Q1607"/>
      <c r="R1607"/>
      <c r="S1607"/>
    </row>
    <row r="1608" spans="12:19">
      <c r="L1608"/>
      <c r="M1608"/>
      <c r="N1608"/>
      <c r="O1608"/>
      <c r="P1608"/>
      <c r="Q1608"/>
      <c r="R1608"/>
      <c r="S1608"/>
    </row>
    <row r="1609" spans="12:19">
      <c r="L1609"/>
      <c r="M1609"/>
      <c r="N1609"/>
      <c r="O1609"/>
      <c r="P1609"/>
      <c r="Q1609"/>
      <c r="R1609"/>
      <c r="S1609"/>
    </row>
    <row r="1610" spans="12:19">
      <c r="L1610"/>
      <c r="M1610"/>
      <c r="N1610"/>
      <c r="O1610"/>
      <c r="P1610"/>
      <c r="Q1610"/>
      <c r="R1610"/>
      <c r="S1610"/>
    </row>
    <row r="1611" spans="12:19">
      <c r="L1611"/>
      <c r="M1611"/>
      <c r="N1611"/>
      <c r="O1611"/>
      <c r="P1611"/>
      <c r="Q1611"/>
      <c r="R1611"/>
      <c r="S1611"/>
    </row>
    <row r="1612" spans="12:19">
      <c r="L1612"/>
      <c r="M1612"/>
      <c r="N1612"/>
      <c r="O1612"/>
      <c r="P1612"/>
      <c r="Q1612"/>
      <c r="R1612"/>
      <c r="S1612"/>
    </row>
    <row r="1613" spans="12:19">
      <c r="L1613"/>
      <c r="M1613"/>
      <c r="N1613"/>
      <c r="O1613"/>
      <c r="P1613"/>
      <c r="Q1613"/>
      <c r="R1613"/>
      <c r="S1613"/>
    </row>
    <row r="1614" spans="12:19">
      <c r="L1614"/>
      <c r="M1614"/>
      <c r="N1614"/>
      <c r="O1614"/>
      <c r="P1614"/>
      <c r="Q1614"/>
      <c r="R1614"/>
      <c r="S1614"/>
    </row>
    <row r="1615" spans="12:19">
      <c r="L1615"/>
      <c r="M1615"/>
      <c r="N1615"/>
      <c r="O1615"/>
      <c r="P1615"/>
      <c r="Q1615"/>
      <c r="R1615"/>
      <c r="S1615"/>
    </row>
    <row r="1616" spans="12:19">
      <c r="L1616"/>
      <c r="M1616"/>
      <c r="N1616"/>
      <c r="O1616"/>
      <c r="P1616"/>
      <c r="Q1616"/>
      <c r="R1616"/>
      <c r="S1616"/>
    </row>
    <row r="1617" spans="12:19">
      <c r="L1617"/>
      <c r="M1617"/>
      <c r="N1617"/>
      <c r="O1617"/>
      <c r="P1617"/>
      <c r="Q1617"/>
      <c r="R1617"/>
      <c r="S1617"/>
    </row>
    <row r="1618" spans="12:19">
      <c r="L1618"/>
      <c r="M1618"/>
      <c r="N1618"/>
      <c r="O1618"/>
      <c r="P1618"/>
      <c r="Q1618"/>
      <c r="R1618"/>
      <c r="S1618"/>
    </row>
    <row r="1619" spans="12:19">
      <c r="L1619"/>
      <c r="M1619"/>
      <c r="N1619"/>
      <c r="O1619"/>
      <c r="P1619"/>
      <c r="Q1619"/>
      <c r="R1619"/>
      <c r="S1619"/>
    </row>
    <row r="1620" spans="12:19">
      <c r="L1620"/>
      <c r="M1620"/>
      <c r="N1620"/>
      <c r="O1620"/>
      <c r="P1620"/>
      <c r="Q1620"/>
      <c r="R1620"/>
      <c r="S1620"/>
    </row>
    <row r="1621" spans="12:19">
      <c r="L1621"/>
      <c r="M1621"/>
      <c r="N1621"/>
      <c r="O1621"/>
      <c r="P1621"/>
      <c r="Q1621"/>
      <c r="R1621"/>
      <c r="S1621"/>
    </row>
    <row r="1622" spans="12:19">
      <c r="L1622"/>
      <c r="M1622"/>
      <c r="N1622"/>
      <c r="O1622"/>
      <c r="P1622"/>
      <c r="Q1622"/>
      <c r="R1622"/>
      <c r="S1622"/>
    </row>
    <row r="1623" spans="12:19">
      <c r="L1623"/>
      <c r="M1623"/>
      <c r="N1623"/>
      <c r="O1623"/>
      <c r="P1623"/>
      <c r="Q1623"/>
      <c r="R1623"/>
      <c r="S1623"/>
    </row>
    <row r="1624" spans="12:19">
      <c r="L1624"/>
      <c r="M1624"/>
      <c r="N1624"/>
      <c r="O1624"/>
      <c r="P1624"/>
      <c r="Q1624"/>
      <c r="R1624"/>
      <c r="S1624"/>
    </row>
    <row r="1625" spans="12:19">
      <c r="L1625"/>
      <c r="M1625"/>
      <c r="N1625"/>
      <c r="O1625"/>
      <c r="P1625"/>
      <c r="Q1625"/>
      <c r="R1625"/>
      <c r="S1625"/>
    </row>
    <row r="1626" spans="12:19">
      <c r="L1626"/>
      <c r="M1626"/>
      <c r="N1626"/>
      <c r="O1626"/>
      <c r="P1626"/>
      <c r="Q1626"/>
      <c r="R1626"/>
      <c r="S1626"/>
    </row>
    <row r="1627" spans="12:19">
      <c r="L1627"/>
      <c r="M1627"/>
      <c r="N1627"/>
      <c r="O1627"/>
      <c r="P1627"/>
      <c r="Q1627"/>
      <c r="R1627"/>
      <c r="S1627"/>
    </row>
    <row r="1628" spans="12:19">
      <c r="L1628"/>
      <c r="M1628"/>
      <c r="N1628"/>
      <c r="O1628"/>
      <c r="P1628"/>
      <c r="Q1628"/>
      <c r="R1628"/>
      <c r="S1628"/>
    </row>
    <row r="1629" spans="12:19">
      <c r="L1629"/>
      <c r="M1629"/>
      <c r="N1629"/>
      <c r="O1629"/>
      <c r="P1629"/>
      <c r="Q1629"/>
      <c r="R1629"/>
      <c r="S1629"/>
    </row>
    <row r="1630" spans="12:19">
      <c r="L1630"/>
      <c r="M1630"/>
      <c r="N1630"/>
      <c r="O1630"/>
      <c r="P1630"/>
      <c r="Q1630"/>
      <c r="R1630"/>
      <c r="S1630"/>
    </row>
    <row r="1631" spans="12:19">
      <c r="L1631"/>
      <c r="M1631"/>
      <c r="N1631"/>
      <c r="O1631"/>
      <c r="P1631"/>
      <c r="Q1631"/>
      <c r="R1631"/>
      <c r="S1631"/>
    </row>
    <row r="1632" spans="12:19">
      <c r="L1632"/>
      <c r="M1632"/>
      <c r="N1632"/>
      <c r="O1632"/>
      <c r="P1632"/>
      <c r="Q1632"/>
      <c r="R1632"/>
      <c r="S1632"/>
    </row>
    <row r="1633" spans="12:19">
      <c r="L1633"/>
      <c r="M1633"/>
      <c r="N1633"/>
      <c r="O1633"/>
      <c r="P1633"/>
      <c r="Q1633"/>
      <c r="R1633"/>
      <c r="S1633"/>
    </row>
    <row r="1634" spans="12:19">
      <c r="L1634"/>
      <c r="M1634"/>
      <c r="N1634"/>
      <c r="O1634"/>
      <c r="P1634"/>
      <c r="Q1634"/>
      <c r="R1634"/>
      <c r="S1634"/>
    </row>
    <row r="1635" spans="12:19">
      <c r="L1635"/>
      <c r="M1635"/>
      <c r="N1635"/>
      <c r="O1635"/>
      <c r="P1635"/>
      <c r="Q1635"/>
      <c r="R1635"/>
      <c r="S1635"/>
    </row>
    <row r="1636" spans="12:19">
      <c r="L1636"/>
      <c r="M1636"/>
      <c r="N1636"/>
      <c r="O1636"/>
      <c r="P1636"/>
      <c r="Q1636"/>
      <c r="R1636"/>
      <c r="S1636"/>
    </row>
    <row r="1637" spans="12:19">
      <c r="L1637"/>
      <c r="M1637"/>
      <c r="N1637"/>
      <c r="O1637"/>
      <c r="P1637"/>
      <c r="Q1637"/>
      <c r="R1637"/>
      <c r="S1637"/>
    </row>
    <row r="1638" spans="12:19">
      <c r="L1638"/>
      <c r="M1638"/>
      <c r="N1638"/>
      <c r="O1638"/>
      <c r="P1638"/>
      <c r="Q1638"/>
      <c r="R1638"/>
      <c r="S1638"/>
    </row>
    <row r="1639" spans="12:19">
      <c r="L1639"/>
      <c r="M1639"/>
      <c r="N1639"/>
      <c r="O1639"/>
      <c r="P1639"/>
      <c r="Q1639"/>
      <c r="R1639"/>
      <c r="S1639"/>
    </row>
    <row r="1640" spans="12:19">
      <c r="L1640"/>
      <c r="M1640"/>
      <c r="N1640"/>
      <c r="O1640"/>
      <c r="P1640"/>
      <c r="Q1640"/>
      <c r="R1640"/>
      <c r="S1640"/>
    </row>
    <row r="1641" spans="12:19">
      <c r="L1641"/>
      <c r="M1641"/>
      <c r="N1641"/>
      <c r="O1641"/>
      <c r="P1641"/>
      <c r="Q1641"/>
      <c r="R1641"/>
      <c r="S1641"/>
    </row>
    <row r="1642" spans="12:19">
      <c r="L1642"/>
      <c r="M1642"/>
      <c r="N1642"/>
      <c r="O1642"/>
      <c r="P1642"/>
      <c r="Q1642"/>
      <c r="R1642"/>
      <c r="S1642"/>
    </row>
    <row r="1643" spans="12:19">
      <c r="L1643"/>
      <c r="M1643"/>
      <c r="N1643"/>
      <c r="O1643"/>
      <c r="P1643"/>
      <c r="Q1643"/>
      <c r="R1643"/>
      <c r="S1643"/>
    </row>
    <row r="1644" spans="12:19">
      <c r="L1644"/>
      <c r="M1644"/>
      <c r="N1644"/>
      <c r="O1644"/>
      <c r="P1644"/>
      <c r="Q1644"/>
      <c r="R1644"/>
      <c r="S1644"/>
    </row>
    <row r="1645" spans="12:19">
      <c r="L1645"/>
      <c r="M1645"/>
      <c r="N1645"/>
      <c r="O1645"/>
      <c r="P1645"/>
      <c r="Q1645"/>
      <c r="R1645"/>
      <c r="S1645"/>
    </row>
    <row r="1646" spans="12:19">
      <c r="L1646"/>
      <c r="M1646"/>
      <c r="N1646"/>
      <c r="O1646"/>
      <c r="P1646"/>
      <c r="Q1646"/>
      <c r="R1646"/>
      <c r="S1646"/>
    </row>
    <row r="1647" spans="12:19">
      <c r="L1647"/>
      <c r="M1647"/>
      <c r="N1647"/>
      <c r="O1647"/>
      <c r="P1647"/>
      <c r="Q1647"/>
      <c r="R1647"/>
      <c r="S1647"/>
    </row>
    <row r="1648" spans="12:19">
      <c r="L1648"/>
      <c r="M1648"/>
      <c r="N1648"/>
      <c r="O1648"/>
      <c r="P1648"/>
      <c r="Q1648"/>
      <c r="R1648"/>
      <c r="S1648"/>
    </row>
    <row r="1649" spans="12:19">
      <c r="L1649"/>
      <c r="M1649"/>
      <c r="N1649"/>
      <c r="O1649"/>
      <c r="P1649"/>
      <c r="Q1649"/>
      <c r="R1649"/>
      <c r="S1649"/>
    </row>
    <row r="1650" spans="12:19">
      <c r="L1650"/>
      <c r="M1650"/>
      <c r="N1650"/>
      <c r="O1650"/>
      <c r="P1650"/>
      <c r="Q1650"/>
      <c r="R1650"/>
      <c r="S1650"/>
    </row>
    <row r="1651" spans="12:19">
      <c r="L1651"/>
      <c r="M1651"/>
      <c r="N1651"/>
      <c r="O1651"/>
      <c r="P1651"/>
      <c r="Q1651"/>
      <c r="R1651"/>
      <c r="S1651"/>
    </row>
    <row r="1652" spans="12:19">
      <c r="L1652"/>
      <c r="M1652"/>
      <c r="N1652"/>
      <c r="O1652"/>
      <c r="P1652"/>
      <c r="Q1652"/>
      <c r="R1652"/>
      <c r="S1652"/>
    </row>
    <row r="1653" spans="12:19">
      <c r="L1653"/>
      <c r="M1653"/>
      <c r="N1653"/>
      <c r="O1653"/>
      <c r="P1653"/>
      <c r="Q1653"/>
      <c r="R1653"/>
      <c r="S1653"/>
    </row>
    <row r="1654" spans="12:19">
      <c r="L1654"/>
      <c r="M1654"/>
      <c r="N1654"/>
      <c r="O1654"/>
      <c r="P1654"/>
      <c r="Q1654"/>
      <c r="R1654"/>
      <c r="S1654"/>
    </row>
    <row r="1655" spans="12:19">
      <c r="L1655"/>
      <c r="M1655"/>
      <c r="N1655"/>
      <c r="O1655"/>
      <c r="P1655"/>
      <c r="Q1655"/>
      <c r="R1655"/>
      <c r="S1655"/>
    </row>
    <row r="1656" spans="12:19">
      <c r="L1656"/>
      <c r="M1656"/>
      <c r="N1656"/>
      <c r="O1656"/>
      <c r="P1656"/>
      <c r="Q1656"/>
      <c r="R1656"/>
      <c r="S1656"/>
    </row>
    <row r="1657" spans="12:19">
      <c r="L1657"/>
      <c r="M1657"/>
      <c r="N1657"/>
      <c r="O1657"/>
      <c r="P1657"/>
      <c r="Q1657"/>
      <c r="R1657"/>
      <c r="S1657"/>
    </row>
    <row r="1658" spans="12:19">
      <c r="L1658"/>
      <c r="M1658"/>
      <c r="N1658"/>
      <c r="O1658"/>
      <c r="P1658"/>
      <c r="Q1658"/>
      <c r="R1658"/>
      <c r="S1658"/>
    </row>
    <row r="1659" spans="12:19">
      <c r="L1659"/>
      <c r="M1659"/>
      <c r="N1659"/>
      <c r="O1659"/>
      <c r="P1659"/>
      <c r="Q1659"/>
      <c r="R1659"/>
      <c r="S1659"/>
    </row>
    <row r="1660" spans="12:19">
      <c r="L1660"/>
      <c r="M1660"/>
      <c r="N1660"/>
      <c r="O1660"/>
      <c r="P1660"/>
      <c r="Q1660"/>
      <c r="R1660"/>
      <c r="S1660"/>
    </row>
    <row r="1661" spans="12:19">
      <c r="L1661"/>
      <c r="M1661"/>
      <c r="N1661"/>
      <c r="O1661"/>
      <c r="P1661"/>
      <c r="Q1661"/>
      <c r="R1661"/>
      <c r="S1661"/>
    </row>
    <row r="1662" spans="12:19">
      <c r="L1662"/>
      <c r="M1662"/>
      <c r="N1662"/>
      <c r="O1662"/>
      <c r="P1662"/>
      <c r="Q1662"/>
      <c r="R1662"/>
      <c r="S1662"/>
    </row>
    <row r="1663" spans="12:19">
      <c r="L1663"/>
      <c r="M1663"/>
      <c r="N1663"/>
      <c r="O1663"/>
      <c r="P1663"/>
      <c r="Q1663"/>
      <c r="R1663"/>
      <c r="S1663"/>
    </row>
    <row r="1664" spans="12:19">
      <c r="L1664"/>
      <c r="M1664"/>
      <c r="N1664"/>
      <c r="O1664"/>
      <c r="P1664"/>
      <c r="Q1664"/>
      <c r="R1664"/>
      <c r="S1664"/>
    </row>
    <row r="1665" spans="12:19">
      <c r="L1665"/>
      <c r="M1665"/>
      <c r="N1665"/>
      <c r="O1665"/>
      <c r="P1665"/>
      <c r="Q1665"/>
      <c r="R1665"/>
      <c r="S1665"/>
    </row>
    <row r="1666" spans="12:19">
      <c r="L1666"/>
      <c r="M1666"/>
      <c r="N1666"/>
      <c r="O1666"/>
      <c r="P1666"/>
      <c r="Q1666"/>
      <c r="R1666"/>
      <c r="S1666"/>
    </row>
    <row r="1667" spans="12:19">
      <c r="L1667"/>
      <c r="M1667"/>
      <c r="N1667"/>
      <c r="O1667"/>
      <c r="P1667"/>
      <c r="Q1667"/>
      <c r="R1667"/>
      <c r="S1667"/>
    </row>
    <row r="1668" spans="12:19">
      <c r="L1668"/>
      <c r="M1668"/>
      <c r="N1668"/>
      <c r="O1668"/>
      <c r="P1668"/>
      <c r="Q1668"/>
      <c r="R1668"/>
      <c r="S1668"/>
    </row>
    <row r="1669" spans="12:19">
      <c r="L1669"/>
      <c r="M1669"/>
      <c r="N1669"/>
      <c r="O1669"/>
      <c r="P1669"/>
      <c r="Q1669"/>
      <c r="R1669"/>
      <c r="S1669"/>
    </row>
    <row r="1670" spans="12:19">
      <c r="L1670"/>
      <c r="M1670"/>
      <c r="N1670"/>
      <c r="O1670"/>
      <c r="P1670"/>
      <c r="Q1670"/>
      <c r="R1670"/>
      <c r="S1670"/>
    </row>
    <row r="1671" spans="12:19">
      <c r="L1671"/>
      <c r="M1671"/>
      <c r="N1671"/>
      <c r="O1671"/>
      <c r="P1671"/>
      <c r="Q1671"/>
      <c r="R1671"/>
      <c r="S1671"/>
    </row>
    <row r="1672" spans="12:19">
      <c r="L1672"/>
      <c r="M1672"/>
      <c r="N1672"/>
      <c r="O1672"/>
      <c r="P1672"/>
      <c r="Q1672"/>
      <c r="R1672"/>
      <c r="S1672"/>
    </row>
    <row r="1673" spans="12:19">
      <c r="L1673"/>
      <c r="M1673"/>
      <c r="N1673"/>
      <c r="O1673"/>
      <c r="P1673"/>
      <c r="Q1673"/>
      <c r="R1673"/>
      <c r="S1673"/>
    </row>
    <row r="1674" spans="12:19">
      <c r="L1674"/>
      <c r="M1674"/>
      <c r="N1674"/>
      <c r="O1674"/>
      <c r="P1674"/>
      <c r="Q1674"/>
      <c r="R1674"/>
      <c r="S1674"/>
    </row>
    <row r="1675" spans="12:19">
      <c r="L1675"/>
      <c r="M1675"/>
      <c r="N1675"/>
      <c r="O1675"/>
      <c r="P1675"/>
      <c r="Q1675"/>
      <c r="R1675"/>
      <c r="S1675"/>
    </row>
    <row r="1676" spans="12:19">
      <c r="L1676"/>
      <c r="M1676"/>
      <c r="N1676"/>
      <c r="O1676"/>
      <c r="P1676"/>
      <c r="Q1676"/>
      <c r="R1676"/>
      <c r="S1676"/>
    </row>
    <row r="1677" spans="12:19">
      <c r="L1677"/>
      <c r="M1677"/>
      <c r="N1677"/>
      <c r="O1677"/>
      <c r="P1677"/>
      <c r="Q1677"/>
      <c r="R1677"/>
      <c r="S1677"/>
    </row>
    <row r="1678" spans="12:19">
      <c r="L1678"/>
      <c r="M1678"/>
      <c r="N1678"/>
      <c r="O1678"/>
      <c r="P1678"/>
      <c r="Q1678"/>
      <c r="R1678"/>
      <c r="S1678"/>
    </row>
    <row r="1679" spans="12:19">
      <c r="L1679"/>
      <c r="M1679"/>
      <c r="N1679"/>
      <c r="O1679"/>
      <c r="P1679"/>
      <c r="Q1679"/>
      <c r="R1679"/>
      <c r="S1679"/>
    </row>
    <row r="1680" spans="12:19">
      <c r="L1680"/>
      <c r="M1680"/>
      <c r="N1680"/>
      <c r="O1680"/>
      <c r="P1680"/>
      <c r="Q1680"/>
      <c r="R1680"/>
      <c r="S1680"/>
    </row>
    <row r="1681" spans="12:19">
      <c r="L1681"/>
      <c r="M1681"/>
      <c r="N1681"/>
      <c r="O1681"/>
      <c r="P1681"/>
      <c r="Q1681"/>
      <c r="R1681"/>
      <c r="S1681"/>
    </row>
    <row r="1682" spans="12:19">
      <c r="L1682"/>
      <c r="M1682"/>
      <c r="N1682"/>
      <c r="O1682"/>
      <c r="P1682"/>
      <c r="Q1682"/>
      <c r="R1682"/>
      <c r="S1682"/>
    </row>
    <row r="1683" spans="12:19">
      <c r="L1683"/>
      <c r="M1683"/>
      <c r="N1683"/>
      <c r="O1683"/>
      <c r="P1683"/>
      <c r="Q1683"/>
      <c r="R1683"/>
      <c r="S1683"/>
    </row>
    <row r="1684" spans="12:19">
      <c r="L1684"/>
      <c r="M1684"/>
      <c r="N1684"/>
      <c r="O1684"/>
      <c r="P1684"/>
      <c r="Q1684"/>
      <c r="R1684"/>
      <c r="S1684"/>
    </row>
    <row r="1685" spans="12:19">
      <c r="L1685"/>
      <c r="M1685"/>
      <c r="N1685"/>
      <c r="O1685"/>
      <c r="P1685"/>
      <c r="Q1685"/>
      <c r="R1685"/>
      <c r="S1685"/>
    </row>
    <row r="1686" spans="12:19">
      <c r="L1686"/>
      <c r="M1686"/>
      <c r="N1686"/>
      <c r="O1686"/>
      <c r="P1686"/>
      <c r="Q1686"/>
      <c r="R1686"/>
      <c r="S1686"/>
    </row>
    <row r="1687" spans="12:19">
      <c r="L1687"/>
      <c r="M1687"/>
      <c r="N1687"/>
      <c r="O1687"/>
      <c r="P1687"/>
      <c r="Q1687"/>
      <c r="R1687"/>
      <c r="S1687"/>
    </row>
    <row r="1688" spans="12:19">
      <c r="L1688"/>
      <c r="M1688"/>
      <c r="N1688"/>
      <c r="O1688"/>
      <c r="P1688"/>
      <c r="Q1688"/>
      <c r="R1688"/>
      <c r="S1688"/>
    </row>
    <row r="1689" spans="12:19">
      <c r="L1689"/>
      <c r="M1689"/>
      <c r="N1689"/>
      <c r="O1689"/>
      <c r="P1689"/>
      <c r="Q1689"/>
      <c r="R1689"/>
      <c r="S1689"/>
    </row>
    <row r="1690" spans="12:19">
      <c r="L1690"/>
      <c r="M1690"/>
      <c r="N1690"/>
      <c r="O1690"/>
      <c r="P1690"/>
      <c r="Q1690"/>
      <c r="R1690"/>
      <c r="S1690"/>
    </row>
    <row r="1691" spans="12:19">
      <c r="L1691"/>
      <c r="M1691"/>
      <c r="N1691"/>
      <c r="O1691"/>
      <c r="P1691"/>
      <c r="Q1691"/>
      <c r="R1691"/>
      <c r="S1691"/>
    </row>
    <row r="1692" spans="12:19">
      <c r="L1692"/>
      <c r="M1692"/>
      <c r="N1692"/>
      <c r="O1692"/>
      <c r="P1692"/>
      <c r="Q1692"/>
      <c r="R1692"/>
      <c r="S1692"/>
    </row>
    <row r="1693" spans="12:19">
      <c r="L1693"/>
      <c r="M1693"/>
      <c r="N1693"/>
      <c r="O1693"/>
      <c r="P1693"/>
      <c r="Q1693"/>
      <c r="R1693"/>
      <c r="S1693"/>
    </row>
    <row r="1694" spans="12:19">
      <c r="L1694"/>
      <c r="M1694"/>
      <c r="N1694"/>
      <c r="O1694"/>
      <c r="P1694"/>
      <c r="Q1694"/>
      <c r="R1694"/>
      <c r="S1694"/>
    </row>
    <row r="1695" spans="12:19">
      <c r="L1695"/>
      <c r="M1695"/>
      <c r="N1695"/>
      <c r="O1695"/>
      <c r="P1695"/>
      <c r="Q1695"/>
      <c r="R1695"/>
      <c r="S1695"/>
    </row>
    <row r="1696" spans="12:19">
      <c r="L1696"/>
      <c r="M1696"/>
      <c r="N1696"/>
      <c r="O1696"/>
      <c r="P1696"/>
      <c r="Q1696"/>
      <c r="R1696"/>
      <c r="S1696"/>
    </row>
    <row r="1697" spans="12:19">
      <c r="L1697"/>
      <c r="M1697"/>
      <c r="N1697"/>
      <c r="O1697"/>
      <c r="P1697"/>
      <c r="Q1697"/>
      <c r="R1697"/>
      <c r="S1697"/>
    </row>
    <row r="1698" spans="12:19">
      <c r="L1698"/>
      <c r="M1698"/>
      <c r="N1698"/>
      <c r="O1698"/>
      <c r="P1698"/>
      <c r="Q1698"/>
      <c r="R1698"/>
      <c r="S1698"/>
    </row>
    <row r="1699" spans="12:19">
      <c r="L1699"/>
      <c r="M1699"/>
      <c r="N1699"/>
      <c r="O1699"/>
      <c r="P1699"/>
      <c r="Q1699"/>
      <c r="R1699"/>
      <c r="S1699"/>
    </row>
    <row r="1700" spans="12:19">
      <c r="L1700"/>
      <c r="M1700"/>
      <c r="N1700"/>
      <c r="O1700"/>
      <c r="P1700"/>
      <c r="Q1700"/>
      <c r="R1700"/>
      <c r="S1700"/>
    </row>
    <row r="1701" spans="12:19">
      <c r="L1701"/>
      <c r="M1701"/>
      <c r="N1701"/>
      <c r="O1701"/>
      <c r="P1701"/>
      <c r="Q1701"/>
      <c r="R1701"/>
      <c r="S1701"/>
    </row>
    <row r="1702" spans="12:19">
      <c r="L1702"/>
      <c r="M1702"/>
      <c r="N1702"/>
      <c r="O1702"/>
      <c r="P1702"/>
      <c r="Q1702"/>
      <c r="R1702"/>
      <c r="S1702"/>
    </row>
    <row r="1703" spans="12:19">
      <c r="L1703"/>
      <c r="M1703"/>
      <c r="N1703"/>
      <c r="O1703"/>
      <c r="P1703"/>
      <c r="Q1703"/>
      <c r="R1703"/>
      <c r="S1703"/>
    </row>
    <row r="1704" spans="12:19">
      <c r="L1704"/>
      <c r="M1704"/>
      <c r="N1704"/>
      <c r="O1704"/>
      <c r="P1704"/>
      <c r="Q1704"/>
      <c r="R1704"/>
      <c r="S1704"/>
    </row>
    <row r="1705" spans="12:19">
      <c r="L1705"/>
      <c r="M1705"/>
      <c r="N1705"/>
      <c r="O1705"/>
      <c r="P1705"/>
      <c r="Q1705"/>
      <c r="R1705"/>
      <c r="S1705"/>
    </row>
    <row r="1706" spans="12:19">
      <c r="L1706"/>
      <c r="M1706"/>
      <c r="N1706"/>
      <c r="O1706"/>
      <c r="P1706"/>
      <c r="Q1706"/>
      <c r="R1706"/>
      <c r="S1706"/>
    </row>
    <row r="1707" spans="12:19">
      <c r="L1707"/>
      <c r="M1707"/>
      <c r="N1707"/>
      <c r="O1707"/>
      <c r="P1707"/>
      <c r="Q1707"/>
      <c r="R1707"/>
      <c r="S1707"/>
    </row>
    <row r="1708" spans="12:19">
      <c r="L1708"/>
      <c r="M1708"/>
      <c r="N1708"/>
      <c r="O1708"/>
      <c r="P1708"/>
      <c r="Q1708"/>
      <c r="R1708"/>
      <c r="S1708"/>
    </row>
    <row r="1709" spans="12:19">
      <c r="L1709"/>
      <c r="M1709"/>
      <c r="N1709"/>
      <c r="O1709"/>
      <c r="P1709"/>
      <c r="Q1709"/>
      <c r="R1709"/>
      <c r="S1709"/>
    </row>
    <row r="1710" spans="12:19">
      <c r="L1710"/>
      <c r="M1710"/>
      <c r="N1710"/>
      <c r="O1710"/>
      <c r="P1710"/>
      <c r="Q1710"/>
      <c r="R1710"/>
      <c r="S1710"/>
    </row>
    <row r="1711" spans="12:19">
      <c r="L1711"/>
      <c r="M1711"/>
      <c r="N1711"/>
      <c r="O1711"/>
      <c r="P1711"/>
      <c r="Q1711"/>
      <c r="R1711"/>
      <c r="S1711"/>
    </row>
    <row r="1712" spans="12:19">
      <c r="L1712"/>
      <c r="M1712"/>
      <c r="N1712"/>
      <c r="O1712"/>
      <c r="P1712"/>
      <c r="Q1712"/>
      <c r="R1712"/>
      <c r="S1712"/>
    </row>
    <row r="1713" spans="12:19">
      <c r="L1713"/>
      <c r="M1713"/>
      <c r="N1713"/>
      <c r="O1713"/>
      <c r="P1713"/>
      <c r="Q1713"/>
      <c r="R1713"/>
      <c r="S1713"/>
    </row>
    <row r="1714" spans="12:19">
      <c r="L1714"/>
      <c r="M1714"/>
      <c r="N1714"/>
      <c r="O1714"/>
      <c r="P1714"/>
      <c r="Q1714"/>
      <c r="R1714"/>
      <c r="S1714"/>
    </row>
    <row r="1715" spans="12:19">
      <c r="L1715"/>
      <c r="M1715"/>
      <c r="N1715"/>
      <c r="O1715"/>
      <c r="P1715"/>
      <c r="Q1715"/>
      <c r="R1715"/>
      <c r="S1715"/>
    </row>
    <row r="1716" spans="12:19">
      <c r="L1716"/>
      <c r="M1716"/>
      <c r="N1716"/>
      <c r="O1716"/>
      <c r="P1716"/>
      <c r="Q1716"/>
      <c r="R1716"/>
      <c r="S1716"/>
    </row>
    <row r="1717" spans="12:19">
      <c r="L1717"/>
      <c r="M1717"/>
      <c r="N1717"/>
      <c r="O1717"/>
      <c r="P1717"/>
      <c r="Q1717"/>
      <c r="R1717"/>
      <c r="S1717"/>
    </row>
    <row r="1718" spans="12:19">
      <c r="L1718"/>
      <c r="M1718"/>
      <c r="N1718"/>
      <c r="O1718"/>
      <c r="P1718"/>
      <c r="Q1718"/>
      <c r="R1718"/>
      <c r="S1718"/>
    </row>
    <row r="1719" spans="12:19">
      <c r="L1719"/>
      <c r="M1719"/>
      <c r="N1719"/>
      <c r="O1719"/>
      <c r="P1719"/>
      <c r="Q1719"/>
      <c r="R1719"/>
      <c r="S1719"/>
    </row>
    <row r="1720" spans="12:19">
      <c r="L1720"/>
      <c r="M1720"/>
      <c r="N1720"/>
      <c r="O1720"/>
      <c r="P1720"/>
      <c r="Q1720"/>
      <c r="R1720"/>
      <c r="S1720"/>
    </row>
    <row r="1721" spans="12:19">
      <c r="L1721"/>
      <c r="M1721"/>
      <c r="N1721"/>
      <c r="O1721"/>
      <c r="P1721"/>
      <c r="Q1721"/>
      <c r="R1721"/>
      <c r="S1721"/>
    </row>
    <row r="1722" spans="12:19">
      <c r="L1722"/>
      <c r="M1722"/>
      <c r="N1722"/>
      <c r="O1722"/>
      <c r="P1722"/>
      <c r="Q1722"/>
      <c r="R1722"/>
      <c r="S1722"/>
    </row>
    <row r="1723" spans="12:19">
      <c r="L1723"/>
      <c r="M1723"/>
      <c r="N1723"/>
      <c r="O1723"/>
      <c r="P1723"/>
      <c r="Q1723"/>
      <c r="R1723"/>
      <c r="S1723"/>
    </row>
    <row r="1724" spans="12:19">
      <c r="L1724"/>
      <c r="M1724"/>
      <c r="N1724"/>
      <c r="O1724"/>
      <c r="P1724"/>
      <c r="Q1724"/>
      <c r="R1724"/>
      <c r="S1724"/>
    </row>
    <row r="1725" spans="12:19">
      <c r="L1725"/>
      <c r="M1725"/>
      <c r="N1725"/>
      <c r="O1725"/>
      <c r="P1725"/>
      <c r="Q1725"/>
      <c r="R1725"/>
      <c r="S1725"/>
    </row>
    <row r="1726" spans="12:19">
      <c r="L1726"/>
      <c r="M1726"/>
      <c r="N1726"/>
      <c r="O1726"/>
      <c r="P1726"/>
      <c r="Q1726"/>
      <c r="R1726"/>
      <c r="S1726"/>
    </row>
    <row r="1727" spans="12:19">
      <c r="L1727"/>
      <c r="M1727"/>
      <c r="N1727"/>
      <c r="O1727"/>
      <c r="P1727"/>
      <c r="Q1727"/>
      <c r="R1727"/>
      <c r="S1727"/>
    </row>
    <row r="1728" spans="12:19">
      <c r="L1728"/>
      <c r="M1728"/>
      <c r="N1728"/>
      <c r="O1728"/>
      <c r="P1728"/>
      <c r="Q1728"/>
      <c r="R1728"/>
      <c r="S1728"/>
    </row>
    <row r="1729" spans="12:19">
      <c r="L1729"/>
      <c r="M1729"/>
      <c r="N1729"/>
      <c r="O1729"/>
      <c r="P1729"/>
      <c r="Q1729"/>
      <c r="R1729"/>
      <c r="S1729"/>
    </row>
    <row r="1730" spans="12:19">
      <c r="L1730"/>
      <c r="M1730"/>
      <c r="N1730"/>
      <c r="O1730"/>
      <c r="P1730"/>
      <c r="Q1730"/>
      <c r="R1730"/>
      <c r="S1730"/>
    </row>
    <row r="1731" spans="12:19">
      <c r="L1731"/>
      <c r="M1731"/>
      <c r="N1731"/>
      <c r="O1731"/>
      <c r="P1731"/>
      <c r="Q1731"/>
      <c r="R1731"/>
      <c r="S1731"/>
    </row>
    <row r="1732" spans="12:19">
      <c r="L1732"/>
      <c r="M1732"/>
      <c r="N1732"/>
      <c r="O1732"/>
      <c r="P1732"/>
      <c r="Q1732"/>
      <c r="R1732"/>
      <c r="S1732"/>
    </row>
    <row r="1733" spans="12:19">
      <c r="L1733"/>
      <c r="M1733"/>
      <c r="N1733"/>
      <c r="O1733"/>
      <c r="P1733"/>
      <c r="Q1733"/>
      <c r="R1733"/>
      <c r="S1733"/>
    </row>
    <row r="1734" spans="12:19">
      <c r="L1734"/>
      <c r="M1734"/>
      <c r="N1734"/>
      <c r="O1734"/>
      <c r="P1734"/>
      <c r="Q1734"/>
      <c r="R1734"/>
      <c r="S1734"/>
    </row>
    <row r="1735" spans="12:19">
      <c r="L1735"/>
      <c r="M1735"/>
      <c r="N1735"/>
      <c r="O1735"/>
      <c r="P1735"/>
      <c r="Q1735"/>
      <c r="R1735"/>
      <c r="S1735"/>
    </row>
    <row r="1736" spans="12:19">
      <c r="L1736"/>
      <c r="M1736"/>
      <c r="N1736"/>
      <c r="O1736"/>
      <c r="P1736"/>
      <c r="Q1736"/>
      <c r="R1736"/>
      <c r="S1736"/>
    </row>
    <row r="1737" spans="12:19">
      <c r="L1737"/>
      <c r="M1737"/>
      <c r="N1737"/>
      <c r="O1737"/>
      <c r="P1737"/>
      <c r="Q1737"/>
      <c r="R1737"/>
      <c r="S1737"/>
    </row>
    <row r="1738" spans="12:19">
      <c r="L1738"/>
      <c r="M1738"/>
      <c r="N1738"/>
      <c r="O1738"/>
      <c r="P1738"/>
      <c r="Q1738"/>
      <c r="R1738"/>
      <c r="S1738"/>
    </row>
    <row r="1739" spans="12:19">
      <c r="L1739"/>
      <c r="M1739"/>
      <c r="N1739"/>
      <c r="O1739"/>
      <c r="P1739"/>
      <c r="Q1739"/>
      <c r="R1739"/>
      <c r="S1739"/>
    </row>
    <row r="1740" spans="12:19">
      <c r="L1740"/>
      <c r="M1740"/>
      <c r="N1740"/>
      <c r="O1740"/>
      <c r="P1740"/>
      <c r="Q1740"/>
      <c r="R1740"/>
      <c r="S1740"/>
    </row>
    <row r="1741" spans="12:19">
      <c r="L1741"/>
      <c r="M1741"/>
      <c r="N1741"/>
      <c r="O1741"/>
      <c r="P1741"/>
      <c r="Q1741"/>
      <c r="R1741"/>
      <c r="S1741"/>
    </row>
    <row r="1742" spans="12:19">
      <c r="L1742"/>
      <c r="M1742"/>
      <c r="N1742"/>
      <c r="O1742"/>
      <c r="P1742"/>
      <c r="Q1742"/>
      <c r="R1742"/>
      <c r="S1742"/>
    </row>
    <row r="1743" spans="12:19">
      <c r="L1743"/>
      <c r="M1743"/>
      <c r="N1743"/>
      <c r="O1743"/>
      <c r="P1743"/>
      <c r="Q1743"/>
      <c r="R1743"/>
      <c r="S1743"/>
    </row>
    <row r="1744" spans="12:19">
      <c r="L1744"/>
      <c r="M1744"/>
      <c r="N1744"/>
      <c r="O1744"/>
      <c r="P1744"/>
      <c r="Q1744"/>
      <c r="R1744"/>
      <c r="S1744"/>
    </row>
    <row r="1745" spans="12:19">
      <c r="L1745"/>
      <c r="M1745"/>
      <c r="N1745"/>
      <c r="O1745"/>
      <c r="P1745"/>
      <c r="Q1745"/>
      <c r="R1745"/>
      <c r="S1745"/>
    </row>
    <row r="1746" spans="12:19">
      <c r="L1746"/>
      <c r="M1746"/>
      <c r="N1746"/>
      <c r="O1746"/>
      <c r="P1746"/>
      <c r="Q1746"/>
      <c r="R1746"/>
      <c r="S1746"/>
    </row>
    <row r="1747" spans="12:19">
      <c r="L1747"/>
      <c r="M1747"/>
      <c r="N1747"/>
      <c r="O1747"/>
      <c r="P1747"/>
      <c r="Q1747"/>
      <c r="R1747"/>
      <c r="S1747"/>
    </row>
    <row r="1748" spans="12:19">
      <c r="L1748"/>
      <c r="M1748"/>
      <c r="N1748"/>
      <c r="O1748"/>
      <c r="P1748"/>
      <c r="Q1748"/>
      <c r="R1748"/>
      <c r="S1748"/>
    </row>
    <row r="1749" spans="12:19">
      <c r="L1749"/>
      <c r="M1749"/>
      <c r="N1749"/>
      <c r="O1749"/>
      <c r="P1749"/>
      <c r="Q1749"/>
      <c r="R1749"/>
      <c r="S1749"/>
    </row>
    <row r="1750" spans="12:19">
      <c r="L1750"/>
      <c r="M1750"/>
      <c r="N1750"/>
      <c r="O1750"/>
      <c r="P1750"/>
      <c r="Q1750"/>
      <c r="R1750"/>
      <c r="S1750"/>
    </row>
    <row r="1751" spans="12:19">
      <c r="L1751"/>
      <c r="M1751"/>
      <c r="N1751"/>
      <c r="O1751"/>
      <c r="P1751"/>
      <c r="Q1751"/>
      <c r="R1751"/>
      <c r="S1751"/>
    </row>
    <row r="1752" spans="12:19">
      <c r="L1752"/>
      <c r="M1752"/>
      <c r="N1752"/>
      <c r="O1752"/>
      <c r="P1752"/>
      <c r="Q1752"/>
      <c r="R1752"/>
      <c r="S1752"/>
    </row>
    <row r="1753" spans="12:19">
      <c r="L1753"/>
      <c r="M1753"/>
      <c r="N1753"/>
      <c r="O1753"/>
      <c r="P1753"/>
      <c r="Q1753"/>
      <c r="R1753"/>
      <c r="S1753"/>
    </row>
    <row r="1754" spans="12:19">
      <c r="L1754"/>
      <c r="M1754"/>
      <c r="N1754"/>
      <c r="O1754"/>
      <c r="P1754"/>
      <c r="Q1754"/>
      <c r="R1754"/>
      <c r="S1754"/>
    </row>
    <row r="1755" spans="12:19">
      <c r="L1755"/>
      <c r="M1755"/>
      <c r="N1755"/>
      <c r="O1755"/>
      <c r="P1755"/>
      <c r="Q1755"/>
      <c r="R1755"/>
      <c r="S1755"/>
    </row>
    <row r="1756" spans="12:19">
      <c r="L1756"/>
      <c r="M1756"/>
      <c r="N1756"/>
      <c r="O1756"/>
      <c r="P1756"/>
      <c r="Q1756"/>
      <c r="R1756"/>
      <c r="S1756"/>
    </row>
    <row r="1757" spans="12:19">
      <c r="L1757"/>
      <c r="M1757"/>
      <c r="N1757"/>
      <c r="O1757"/>
      <c r="P1757"/>
      <c r="Q1757"/>
      <c r="R1757"/>
      <c r="S1757"/>
    </row>
    <row r="1758" spans="12:19">
      <c r="L1758"/>
      <c r="M1758"/>
      <c r="N1758"/>
      <c r="O1758"/>
      <c r="P1758"/>
      <c r="Q1758"/>
      <c r="R1758"/>
      <c r="S1758"/>
    </row>
    <row r="1759" spans="12:19">
      <c r="L1759"/>
      <c r="M1759"/>
      <c r="N1759"/>
      <c r="O1759"/>
      <c r="P1759"/>
      <c r="Q1759"/>
      <c r="R1759"/>
      <c r="S1759"/>
    </row>
    <row r="1760" spans="12:19">
      <c r="L1760"/>
      <c r="M1760"/>
      <c r="N1760"/>
      <c r="O1760"/>
      <c r="P1760"/>
      <c r="Q1760"/>
      <c r="R1760"/>
      <c r="S1760"/>
    </row>
    <row r="1761" spans="12:19">
      <c r="L1761"/>
      <c r="M1761"/>
      <c r="N1761"/>
      <c r="O1761"/>
      <c r="P1761"/>
      <c r="Q1761"/>
      <c r="R1761"/>
      <c r="S1761"/>
    </row>
    <row r="1762" spans="12:19">
      <c r="L1762"/>
      <c r="M1762"/>
      <c r="N1762"/>
      <c r="O1762"/>
      <c r="P1762"/>
      <c r="Q1762"/>
      <c r="R1762"/>
      <c r="S1762"/>
    </row>
    <row r="1763" spans="12:19">
      <c r="L1763"/>
      <c r="M1763"/>
      <c r="N1763"/>
      <c r="O1763"/>
      <c r="P1763"/>
      <c r="Q1763"/>
      <c r="R1763"/>
      <c r="S1763"/>
    </row>
    <row r="1764" spans="12:19">
      <c r="L1764"/>
      <c r="M1764"/>
      <c r="N1764"/>
      <c r="O1764"/>
      <c r="P1764"/>
      <c r="Q1764"/>
      <c r="R1764"/>
      <c r="S1764"/>
    </row>
    <row r="1765" spans="12:19">
      <c r="L1765"/>
      <c r="M1765"/>
      <c r="N1765"/>
      <c r="O1765"/>
      <c r="P1765"/>
      <c r="Q1765"/>
      <c r="R1765"/>
      <c r="S1765"/>
    </row>
    <row r="1766" spans="12:19">
      <c r="L1766"/>
      <c r="M1766"/>
      <c r="N1766"/>
      <c r="O1766"/>
      <c r="P1766"/>
      <c r="Q1766"/>
      <c r="R1766"/>
      <c r="S1766"/>
    </row>
    <row r="1767" spans="12:19">
      <c r="L1767"/>
      <c r="M1767"/>
      <c r="N1767"/>
      <c r="O1767"/>
      <c r="P1767"/>
      <c r="Q1767"/>
      <c r="R1767"/>
      <c r="S1767"/>
    </row>
    <row r="1768" spans="12:19">
      <c r="L1768"/>
      <c r="M1768"/>
      <c r="N1768"/>
      <c r="O1768"/>
      <c r="P1768"/>
      <c r="Q1768"/>
      <c r="R1768"/>
      <c r="S1768"/>
    </row>
    <row r="1769" spans="12:19">
      <c r="L1769"/>
      <c r="M1769"/>
      <c r="N1769"/>
      <c r="O1769"/>
      <c r="P1769"/>
      <c r="Q1769"/>
      <c r="R1769"/>
      <c r="S1769"/>
    </row>
    <row r="1770" spans="12:19">
      <c r="L1770"/>
      <c r="M1770"/>
      <c r="N1770"/>
      <c r="O1770"/>
      <c r="P1770"/>
      <c r="Q1770"/>
      <c r="R1770"/>
      <c r="S1770"/>
    </row>
    <row r="1771" spans="12:19">
      <c r="L1771"/>
      <c r="M1771"/>
      <c r="N1771"/>
      <c r="O1771"/>
      <c r="P1771"/>
      <c r="Q1771"/>
      <c r="R1771"/>
      <c r="S1771"/>
    </row>
    <row r="1772" spans="12:19">
      <c r="L1772"/>
      <c r="M1772"/>
      <c r="N1772"/>
      <c r="O1772"/>
      <c r="P1772"/>
      <c r="Q1772"/>
      <c r="R1772"/>
      <c r="S1772"/>
    </row>
    <row r="1773" spans="12:19">
      <c r="L1773"/>
      <c r="M1773"/>
      <c r="N1773"/>
      <c r="O1773"/>
      <c r="P1773"/>
      <c r="Q1773"/>
      <c r="R1773"/>
      <c r="S1773"/>
    </row>
    <row r="1774" spans="12:19">
      <c r="L1774"/>
      <c r="M1774"/>
      <c r="N1774"/>
      <c r="O1774"/>
      <c r="P1774"/>
      <c r="Q1774"/>
      <c r="R1774"/>
      <c r="S1774"/>
    </row>
    <row r="1775" spans="12:19">
      <c r="L1775"/>
      <c r="M1775"/>
      <c r="N1775"/>
      <c r="O1775"/>
      <c r="P1775"/>
      <c r="Q1775"/>
      <c r="R1775"/>
      <c r="S1775"/>
    </row>
    <row r="1776" spans="12:19">
      <c r="L1776"/>
      <c r="M1776"/>
      <c r="N1776"/>
      <c r="O1776"/>
      <c r="P1776"/>
      <c r="Q1776"/>
      <c r="R1776"/>
      <c r="S1776"/>
    </row>
    <row r="1777" spans="12:19">
      <c r="L1777"/>
      <c r="M1777"/>
      <c r="N1777"/>
      <c r="O1777"/>
      <c r="P1777"/>
      <c r="Q1777"/>
      <c r="R1777"/>
      <c r="S1777"/>
    </row>
    <row r="1778" spans="12:19">
      <c r="L1778"/>
      <c r="M1778"/>
      <c r="N1778"/>
      <c r="O1778"/>
      <c r="P1778"/>
      <c r="Q1778"/>
      <c r="R1778"/>
      <c r="S1778"/>
    </row>
    <row r="1779" spans="12:19">
      <c r="L1779"/>
      <c r="M1779"/>
      <c r="N1779"/>
      <c r="O1779"/>
      <c r="P1779"/>
      <c r="Q1779"/>
      <c r="R1779"/>
      <c r="S1779"/>
    </row>
    <row r="1780" spans="12:19">
      <c r="L1780"/>
      <c r="M1780"/>
      <c r="N1780"/>
      <c r="O1780"/>
      <c r="P1780"/>
      <c r="Q1780"/>
      <c r="R1780"/>
      <c r="S1780"/>
    </row>
    <row r="1781" spans="12:19">
      <c r="L1781"/>
      <c r="M1781"/>
      <c r="N1781"/>
      <c r="O1781"/>
      <c r="P1781"/>
      <c r="Q1781"/>
      <c r="R1781"/>
      <c r="S1781"/>
    </row>
    <row r="1782" spans="12:19">
      <c r="L1782"/>
      <c r="M1782"/>
      <c r="N1782"/>
      <c r="O1782"/>
      <c r="P1782"/>
      <c r="Q1782"/>
      <c r="R1782"/>
      <c r="S1782"/>
    </row>
    <row r="1783" spans="12:19">
      <c r="L1783"/>
      <c r="M1783"/>
      <c r="N1783"/>
      <c r="O1783"/>
      <c r="P1783"/>
      <c r="Q1783"/>
      <c r="R1783"/>
      <c r="S1783"/>
    </row>
    <row r="1784" spans="12:19">
      <c r="L1784"/>
      <c r="M1784"/>
      <c r="N1784"/>
      <c r="O1784"/>
      <c r="P1784"/>
      <c r="Q1784"/>
      <c r="R1784"/>
      <c r="S1784"/>
    </row>
    <row r="1785" spans="12:19">
      <c r="L1785"/>
      <c r="M1785"/>
      <c r="N1785"/>
      <c r="O1785"/>
      <c r="P1785"/>
      <c r="Q1785"/>
      <c r="R1785"/>
      <c r="S1785"/>
    </row>
    <row r="1786" spans="12:19">
      <c r="L1786"/>
      <c r="M1786"/>
      <c r="N1786"/>
      <c r="O1786"/>
      <c r="P1786"/>
      <c r="Q1786"/>
      <c r="R1786"/>
      <c r="S1786"/>
    </row>
    <row r="1787" spans="12:19">
      <c r="L1787"/>
      <c r="M1787"/>
      <c r="N1787"/>
      <c r="O1787"/>
      <c r="P1787"/>
      <c r="Q1787"/>
      <c r="R1787"/>
      <c r="S1787"/>
    </row>
    <row r="1788" spans="12:19">
      <c r="L1788"/>
      <c r="M1788"/>
      <c r="N1788"/>
      <c r="O1788"/>
      <c r="P1788"/>
      <c r="Q1788"/>
      <c r="R1788"/>
      <c r="S1788"/>
    </row>
    <row r="1789" spans="12:19">
      <c r="L1789"/>
      <c r="M1789"/>
      <c r="N1789"/>
      <c r="O1789"/>
      <c r="P1789"/>
      <c r="Q1789"/>
      <c r="R1789"/>
      <c r="S1789"/>
    </row>
    <row r="1790" spans="12:19">
      <c r="L1790"/>
      <c r="M1790"/>
      <c r="N1790"/>
      <c r="O1790"/>
      <c r="P1790"/>
      <c r="Q1790"/>
      <c r="R1790"/>
      <c r="S1790"/>
    </row>
    <row r="1791" spans="12:19">
      <c r="L1791"/>
      <c r="M1791"/>
      <c r="N1791"/>
      <c r="O1791"/>
      <c r="P1791"/>
      <c r="Q1791"/>
      <c r="R1791"/>
      <c r="S1791"/>
    </row>
    <row r="1792" spans="12:19">
      <c r="L1792"/>
      <c r="M1792"/>
      <c r="N1792"/>
      <c r="O1792"/>
      <c r="P1792"/>
      <c r="Q1792"/>
      <c r="R1792"/>
      <c r="S1792"/>
    </row>
    <row r="1793" spans="12:19">
      <c r="L1793"/>
      <c r="M1793"/>
      <c r="N1793"/>
      <c r="O1793"/>
      <c r="P1793"/>
      <c r="Q1793"/>
      <c r="R1793"/>
      <c r="S1793"/>
    </row>
    <row r="1794" spans="12:19">
      <c r="L1794"/>
      <c r="M1794"/>
      <c r="N1794"/>
      <c r="O1794"/>
      <c r="P1794"/>
      <c r="Q1794"/>
      <c r="R1794"/>
      <c r="S1794"/>
    </row>
    <row r="1795" spans="12:19">
      <c r="L1795"/>
      <c r="M1795"/>
      <c r="N1795"/>
      <c r="O1795"/>
      <c r="P1795"/>
      <c r="Q1795"/>
      <c r="R1795"/>
      <c r="S1795"/>
    </row>
    <row r="1796" spans="12:19">
      <c r="L1796"/>
      <c r="M1796"/>
      <c r="N1796"/>
      <c r="O1796"/>
      <c r="P1796"/>
      <c r="Q1796"/>
      <c r="R1796"/>
      <c r="S1796"/>
    </row>
    <row r="1797" spans="12:19">
      <c r="L1797"/>
      <c r="M1797"/>
      <c r="N1797"/>
      <c r="O1797"/>
      <c r="P1797"/>
      <c r="Q1797"/>
      <c r="R1797"/>
      <c r="S1797"/>
    </row>
    <row r="1798" spans="12:19">
      <c r="L1798"/>
      <c r="M1798"/>
      <c r="N1798"/>
      <c r="O1798"/>
      <c r="P1798"/>
      <c r="Q1798"/>
      <c r="R1798"/>
      <c r="S1798"/>
    </row>
    <row r="1799" spans="12:19">
      <c r="L1799"/>
      <c r="M1799"/>
      <c r="N1799"/>
      <c r="O1799"/>
      <c r="P1799"/>
      <c r="Q1799"/>
      <c r="R1799"/>
      <c r="S1799"/>
    </row>
    <row r="1800" spans="12:19">
      <c r="L1800"/>
      <c r="M1800"/>
      <c r="N1800"/>
      <c r="O1800"/>
      <c r="P1800"/>
      <c r="Q1800"/>
      <c r="R1800"/>
      <c r="S1800"/>
    </row>
    <row r="1801" spans="12:19">
      <c r="L1801"/>
      <c r="M1801"/>
      <c r="N1801"/>
      <c r="O1801"/>
      <c r="P1801"/>
      <c r="Q1801"/>
      <c r="R1801"/>
      <c r="S1801"/>
    </row>
    <row r="1802" spans="12:19">
      <c r="L1802"/>
      <c r="M1802"/>
      <c r="N1802"/>
      <c r="O1802"/>
      <c r="P1802"/>
      <c r="Q1802"/>
      <c r="R1802"/>
      <c r="S1802"/>
    </row>
    <row r="1803" spans="12:19">
      <c r="L1803"/>
      <c r="M1803"/>
      <c r="N1803"/>
      <c r="O1803"/>
      <c r="P1803"/>
      <c r="Q1803"/>
      <c r="R1803"/>
      <c r="S1803"/>
    </row>
    <row r="1804" spans="12:19">
      <c r="L1804"/>
      <c r="M1804"/>
      <c r="N1804"/>
      <c r="O1804"/>
      <c r="P1804"/>
      <c r="Q1804"/>
      <c r="R1804"/>
      <c r="S1804"/>
    </row>
    <row r="1805" spans="12:19">
      <c r="L1805"/>
      <c r="M1805"/>
      <c r="N1805"/>
      <c r="O1805"/>
      <c r="P1805"/>
      <c r="Q1805"/>
      <c r="R1805"/>
      <c r="S1805"/>
    </row>
    <row r="1806" spans="12:19">
      <c r="L1806"/>
      <c r="M1806"/>
      <c r="N1806"/>
      <c r="O1806"/>
      <c r="P1806"/>
      <c r="Q1806"/>
      <c r="R1806"/>
      <c r="S1806"/>
    </row>
    <row r="1807" spans="12:19">
      <c r="L1807"/>
      <c r="M1807"/>
      <c r="N1807"/>
      <c r="O1807"/>
      <c r="P1807"/>
      <c r="Q1807"/>
      <c r="R1807"/>
      <c r="S1807"/>
    </row>
    <row r="1808" spans="12:19">
      <c r="L1808"/>
      <c r="M1808"/>
      <c r="N1808"/>
      <c r="O1808"/>
      <c r="P1808"/>
      <c r="Q1808"/>
      <c r="R1808"/>
      <c r="S1808"/>
    </row>
    <row r="1809" spans="12:19">
      <c r="L1809"/>
      <c r="M1809"/>
      <c r="N1809"/>
      <c r="O1809"/>
      <c r="P1809"/>
      <c r="Q1809"/>
      <c r="R1809"/>
      <c r="S1809"/>
    </row>
    <row r="1810" spans="12:19">
      <c r="L1810"/>
      <c r="M1810"/>
      <c r="N1810"/>
      <c r="O1810"/>
      <c r="P1810"/>
      <c r="Q1810"/>
      <c r="R1810"/>
      <c r="S1810"/>
    </row>
    <row r="1811" spans="12:19">
      <c r="L1811"/>
      <c r="M1811"/>
      <c r="N1811"/>
      <c r="O1811"/>
      <c r="P1811"/>
      <c r="Q1811"/>
      <c r="R1811"/>
      <c r="S1811"/>
    </row>
    <row r="1812" spans="12:19">
      <c r="L1812"/>
      <c r="M1812"/>
      <c r="N1812"/>
      <c r="O1812"/>
      <c r="P1812"/>
      <c r="Q1812"/>
      <c r="R1812"/>
      <c r="S1812"/>
    </row>
    <row r="1813" spans="12:19">
      <c r="L1813"/>
      <c r="M1813"/>
      <c r="N1813"/>
      <c r="O1813"/>
      <c r="P1813"/>
      <c r="Q1813"/>
      <c r="R1813"/>
      <c r="S1813"/>
    </row>
    <row r="1814" spans="12:19">
      <c r="L1814"/>
      <c r="M1814"/>
      <c r="N1814"/>
      <c r="O1814"/>
      <c r="P1814"/>
      <c r="Q1814"/>
      <c r="R1814"/>
      <c r="S1814"/>
    </row>
    <row r="1815" spans="12:19">
      <c r="L1815"/>
      <c r="M1815"/>
      <c r="N1815"/>
      <c r="O1815"/>
      <c r="P1815"/>
      <c r="Q1815"/>
      <c r="R1815"/>
      <c r="S1815"/>
    </row>
    <row r="1816" spans="12:19">
      <c r="L1816"/>
      <c r="M1816"/>
      <c r="N1816"/>
      <c r="O1816"/>
      <c r="P1816"/>
      <c r="Q1816"/>
      <c r="R1816"/>
      <c r="S1816"/>
    </row>
    <row r="1817" spans="12:19">
      <c r="L1817"/>
      <c r="M1817"/>
      <c r="N1817"/>
      <c r="O1817"/>
      <c r="P1817"/>
      <c r="Q1817"/>
      <c r="R1817"/>
      <c r="S1817"/>
    </row>
    <row r="1818" spans="12:19">
      <c r="L1818"/>
      <c r="M1818"/>
      <c r="N1818"/>
      <c r="O1818"/>
      <c r="P1818"/>
      <c r="Q1818"/>
      <c r="R1818"/>
      <c r="S1818"/>
    </row>
    <row r="1819" spans="12:19">
      <c r="L1819"/>
      <c r="M1819"/>
      <c r="N1819"/>
      <c r="O1819"/>
      <c r="P1819"/>
      <c r="Q1819"/>
      <c r="R1819"/>
      <c r="S1819"/>
    </row>
    <row r="1820" spans="12:19">
      <c r="L1820"/>
      <c r="M1820"/>
      <c r="N1820"/>
      <c r="O1820"/>
      <c r="P1820"/>
      <c r="Q1820"/>
      <c r="R1820"/>
      <c r="S1820"/>
    </row>
    <row r="1821" spans="12:19">
      <c r="L1821"/>
      <c r="M1821"/>
      <c r="N1821"/>
      <c r="O1821"/>
      <c r="P1821"/>
      <c r="Q1821"/>
      <c r="R1821"/>
      <c r="S1821"/>
    </row>
    <row r="1822" spans="12:19">
      <c r="L1822"/>
      <c r="M1822"/>
      <c r="N1822"/>
      <c r="O1822"/>
      <c r="P1822"/>
      <c r="Q1822"/>
      <c r="R1822"/>
      <c r="S1822"/>
    </row>
    <row r="1823" spans="12:19">
      <c r="L1823"/>
      <c r="M1823"/>
      <c r="N1823"/>
      <c r="O1823"/>
      <c r="P1823"/>
      <c r="Q1823"/>
      <c r="R1823"/>
      <c r="S1823"/>
    </row>
    <row r="1824" spans="12:19">
      <c r="L1824"/>
      <c r="M1824"/>
      <c r="N1824"/>
      <c r="O1824"/>
      <c r="P1824"/>
      <c r="Q1824"/>
      <c r="R1824"/>
      <c r="S1824"/>
    </row>
    <row r="1825" spans="12:19">
      <c r="L1825"/>
      <c r="M1825"/>
      <c r="N1825"/>
      <c r="O1825"/>
      <c r="P1825"/>
      <c r="Q1825"/>
      <c r="R1825"/>
      <c r="S1825"/>
    </row>
    <row r="1826" spans="12:19">
      <c r="L1826"/>
      <c r="M1826"/>
      <c r="N1826"/>
      <c r="O1826"/>
      <c r="P1826"/>
      <c r="Q1826"/>
      <c r="R1826"/>
      <c r="S1826"/>
    </row>
    <row r="1827" spans="12:19">
      <c r="L1827"/>
      <c r="M1827"/>
      <c r="N1827"/>
      <c r="O1827"/>
      <c r="P1827"/>
      <c r="Q1827"/>
      <c r="R1827"/>
      <c r="S1827"/>
    </row>
    <row r="1828" spans="12:19">
      <c r="L1828"/>
      <c r="M1828"/>
      <c r="N1828"/>
      <c r="O1828"/>
      <c r="P1828"/>
      <c r="Q1828"/>
      <c r="R1828"/>
      <c r="S1828"/>
    </row>
    <row r="1829" spans="12:19">
      <c r="L1829"/>
      <c r="M1829"/>
      <c r="N1829"/>
      <c r="O1829"/>
      <c r="P1829"/>
      <c r="Q1829"/>
      <c r="R1829"/>
      <c r="S1829"/>
    </row>
    <row r="1830" spans="12:19">
      <c r="L1830"/>
      <c r="M1830"/>
      <c r="N1830"/>
      <c r="O1830"/>
      <c r="P1830"/>
      <c r="Q1830"/>
      <c r="R1830"/>
      <c r="S1830"/>
    </row>
    <row r="1831" spans="12:19">
      <c r="L1831"/>
      <c r="M1831"/>
      <c r="N1831"/>
      <c r="O1831"/>
      <c r="P1831"/>
      <c r="Q1831"/>
      <c r="R1831"/>
      <c r="S1831"/>
    </row>
    <row r="1832" spans="12:19">
      <c r="L1832"/>
      <c r="M1832"/>
      <c r="N1832"/>
      <c r="O1832"/>
      <c r="P1832"/>
      <c r="Q1832"/>
      <c r="R1832"/>
      <c r="S1832"/>
    </row>
    <row r="1833" spans="12:19">
      <c r="L1833"/>
      <c r="M1833"/>
      <c r="N1833"/>
      <c r="O1833"/>
      <c r="P1833"/>
      <c r="Q1833"/>
      <c r="R1833"/>
      <c r="S1833"/>
    </row>
    <row r="1834" spans="12:19">
      <c r="L1834"/>
      <c r="M1834"/>
      <c r="N1834"/>
      <c r="O1834"/>
      <c r="P1834"/>
      <c r="Q1834"/>
      <c r="R1834"/>
      <c r="S1834"/>
    </row>
    <row r="1835" spans="12:19">
      <c r="L1835"/>
      <c r="M1835"/>
      <c r="N1835"/>
      <c r="O1835"/>
      <c r="P1835"/>
      <c r="Q1835"/>
      <c r="R1835"/>
      <c r="S1835"/>
    </row>
    <row r="1836" spans="12:19">
      <c r="L1836"/>
      <c r="M1836"/>
      <c r="N1836"/>
      <c r="O1836"/>
      <c r="P1836"/>
      <c r="Q1836"/>
      <c r="R1836"/>
      <c r="S1836"/>
    </row>
    <row r="1837" spans="12:19">
      <c r="L1837"/>
      <c r="M1837"/>
      <c r="N1837"/>
      <c r="O1837"/>
      <c r="P1837"/>
      <c r="Q1837"/>
      <c r="R1837"/>
      <c r="S1837"/>
    </row>
    <row r="1838" spans="12:19">
      <c r="L1838"/>
      <c r="M1838"/>
      <c r="N1838"/>
      <c r="O1838"/>
      <c r="P1838"/>
      <c r="Q1838"/>
      <c r="R1838"/>
      <c r="S1838"/>
    </row>
    <row r="1839" spans="12:19">
      <c r="L1839"/>
      <c r="M1839"/>
      <c r="N1839"/>
      <c r="O1839"/>
      <c r="P1839"/>
      <c r="Q1839"/>
      <c r="R1839"/>
      <c r="S1839"/>
    </row>
    <row r="1840" spans="12:19">
      <c r="L1840"/>
      <c r="M1840"/>
      <c r="N1840"/>
      <c r="O1840"/>
      <c r="P1840"/>
      <c r="Q1840"/>
      <c r="R1840"/>
      <c r="S1840"/>
    </row>
    <row r="1841" spans="12:19">
      <c r="L1841"/>
      <c r="M1841"/>
      <c r="N1841"/>
      <c r="O1841"/>
      <c r="P1841"/>
      <c r="Q1841"/>
      <c r="R1841"/>
      <c r="S1841"/>
    </row>
    <row r="1842" spans="12:19">
      <c r="L1842"/>
      <c r="M1842"/>
      <c r="N1842"/>
      <c r="O1842"/>
      <c r="P1842"/>
      <c r="Q1842"/>
      <c r="R1842"/>
      <c r="S1842"/>
    </row>
    <row r="1843" spans="12:19">
      <c r="L1843"/>
      <c r="M1843"/>
      <c r="N1843"/>
      <c r="O1843"/>
      <c r="P1843"/>
      <c r="Q1843"/>
      <c r="R1843"/>
      <c r="S1843"/>
    </row>
    <row r="1844" spans="12:19">
      <c r="L1844"/>
      <c r="M1844"/>
      <c r="N1844"/>
      <c r="O1844"/>
      <c r="P1844"/>
      <c r="Q1844"/>
      <c r="R1844"/>
      <c r="S1844"/>
    </row>
    <row r="1845" spans="12:19">
      <c r="L1845"/>
      <c r="M1845"/>
      <c r="N1845"/>
      <c r="O1845"/>
      <c r="P1845"/>
      <c r="Q1845"/>
      <c r="R1845"/>
      <c r="S1845"/>
    </row>
    <row r="1846" spans="12:19">
      <c r="L1846"/>
      <c r="M1846"/>
      <c r="N1846"/>
      <c r="O1846"/>
      <c r="P1846"/>
      <c r="Q1846"/>
      <c r="R1846"/>
      <c r="S1846"/>
    </row>
    <row r="1847" spans="12:19">
      <c r="L1847"/>
      <c r="M1847"/>
      <c r="N1847"/>
      <c r="O1847"/>
      <c r="P1847"/>
      <c r="Q1847"/>
      <c r="R1847"/>
      <c r="S1847"/>
    </row>
    <row r="1848" spans="12:19">
      <c r="L1848"/>
      <c r="M1848"/>
      <c r="N1848"/>
      <c r="O1848"/>
      <c r="P1848"/>
      <c r="Q1848"/>
      <c r="R1848"/>
      <c r="S1848"/>
    </row>
    <row r="1849" spans="12:19">
      <c r="L1849"/>
      <c r="M1849"/>
      <c r="N1849"/>
      <c r="O1849"/>
      <c r="P1849"/>
      <c r="Q1849"/>
      <c r="R1849"/>
      <c r="S1849"/>
    </row>
    <row r="1850" spans="12:19">
      <c r="L1850"/>
      <c r="M1850"/>
      <c r="N1850"/>
      <c r="O1850"/>
      <c r="P1850"/>
      <c r="Q1850"/>
      <c r="R1850"/>
      <c r="S1850"/>
    </row>
    <row r="1851" spans="12:19">
      <c r="L1851"/>
      <c r="M1851"/>
      <c r="N1851"/>
      <c r="O1851"/>
      <c r="P1851"/>
      <c r="Q1851"/>
      <c r="R1851"/>
      <c r="S1851"/>
    </row>
    <row r="1852" spans="12:19">
      <c r="L1852"/>
      <c r="M1852"/>
      <c r="N1852"/>
      <c r="O1852"/>
      <c r="P1852"/>
      <c r="Q1852"/>
      <c r="R1852"/>
      <c r="S1852"/>
    </row>
    <row r="1853" spans="12:19">
      <c r="L1853"/>
      <c r="M1853"/>
      <c r="N1853"/>
      <c r="O1853"/>
      <c r="P1853"/>
      <c r="Q1853"/>
      <c r="R1853"/>
      <c r="S1853"/>
    </row>
    <row r="1854" spans="12:19">
      <c r="L1854"/>
      <c r="M1854"/>
      <c r="N1854"/>
      <c r="O1854"/>
      <c r="P1854"/>
      <c r="Q1854"/>
      <c r="R1854"/>
      <c r="S1854"/>
    </row>
    <row r="1855" spans="12:19">
      <c r="L1855"/>
      <c r="M1855"/>
      <c r="N1855"/>
      <c r="O1855"/>
      <c r="P1855"/>
      <c r="Q1855"/>
      <c r="R1855"/>
      <c r="S1855"/>
    </row>
    <row r="1856" spans="12:19">
      <c r="L1856"/>
      <c r="M1856"/>
      <c r="N1856"/>
      <c r="O1856"/>
      <c r="P1856"/>
      <c r="Q1856"/>
      <c r="R1856"/>
      <c r="S1856"/>
    </row>
    <row r="1857" spans="12:19">
      <c r="L1857"/>
      <c r="M1857"/>
      <c r="N1857"/>
      <c r="O1857"/>
      <c r="P1857"/>
      <c r="Q1857"/>
      <c r="R1857"/>
      <c r="S1857"/>
    </row>
    <row r="1858" spans="12:19">
      <c r="L1858"/>
      <c r="M1858"/>
      <c r="N1858"/>
      <c r="O1858"/>
      <c r="P1858"/>
      <c r="Q1858"/>
      <c r="R1858"/>
      <c r="S1858"/>
    </row>
    <row r="1859" spans="12:19">
      <c r="L1859"/>
      <c r="M1859"/>
      <c r="N1859"/>
      <c r="O1859"/>
      <c r="P1859"/>
      <c r="Q1859"/>
      <c r="R1859"/>
      <c r="S1859"/>
    </row>
    <row r="1860" spans="12:19">
      <c r="L1860"/>
      <c r="M1860"/>
      <c r="N1860"/>
      <c r="O1860"/>
      <c r="P1860"/>
      <c r="Q1860"/>
      <c r="R1860"/>
      <c r="S1860"/>
    </row>
    <row r="1861" spans="12:19">
      <c r="L1861"/>
      <c r="M1861"/>
      <c r="N1861"/>
      <c r="O1861"/>
      <c r="P1861"/>
      <c r="Q1861"/>
      <c r="R1861"/>
      <c r="S1861"/>
    </row>
    <row r="1862" spans="12:19">
      <c r="L1862"/>
      <c r="M1862"/>
      <c r="N1862"/>
      <c r="O1862"/>
      <c r="P1862"/>
      <c r="Q1862"/>
      <c r="R1862"/>
      <c r="S1862"/>
    </row>
    <row r="1863" spans="12:19">
      <c r="L1863"/>
      <c r="M1863"/>
      <c r="N1863"/>
      <c r="O1863"/>
      <c r="P1863"/>
      <c r="Q1863"/>
      <c r="R1863"/>
      <c r="S1863"/>
    </row>
    <row r="1864" spans="12:19">
      <c r="L1864"/>
      <c r="M1864"/>
      <c r="N1864"/>
      <c r="O1864"/>
      <c r="P1864"/>
      <c r="Q1864"/>
      <c r="R1864"/>
      <c r="S1864"/>
    </row>
    <row r="1865" spans="12:19">
      <c r="L1865"/>
      <c r="M1865"/>
      <c r="N1865"/>
      <c r="O1865"/>
      <c r="P1865"/>
      <c r="Q1865"/>
      <c r="R1865"/>
      <c r="S1865"/>
    </row>
    <row r="1866" spans="12:19">
      <c r="L1866"/>
      <c r="M1866"/>
      <c r="N1866"/>
      <c r="O1866"/>
      <c r="P1866"/>
      <c r="Q1866"/>
      <c r="R1866"/>
      <c r="S1866"/>
    </row>
    <row r="1867" spans="12:19">
      <c r="L1867"/>
      <c r="M1867"/>
      <c r="N1867"/>
      <c r="O1867"/>
      <c r="P1867"/>
      <c r="Q1867"/>
      <c r="R1867"/>
      <c r="S1867"/>
    </row>
    <row r="1868" spans="12:19">
      <c r="L1868"/>
      <c r="M1868"/>
      <c r="N1868"/>
      <c r="O1868"/>
      <c r="P1868"/>
      <c r="Q1868"/>
      <c r="R1868"/>
      <c r="S1868"/>
    </row>
    <row r="1869" spans="12:19">
      <c r="L1869"/>
      <c r="M1869"/>
      <c r="N1869"/>
      <c r="O1869"/>
      <c r="P1869"/>
      <c r="Q1869"/>
      <c r="R1869"/>
      <c r="S1869"/>
    </row>
    <row r="1870" spans="12:19">
      <c r="L1870"/>
      <c r="M1870"/>
      <c r="N1870"/>
      <c r="O1870"/>
      <c r="P1870"/>
      <c r="Q1870"/>
      <c r="R1870"/>
      <c r="S1870"/>
    </row>
    <row r="1871" spans="12:19">
      <c r="L1871"/>
      <c r="M1871"/>
      <c r="N1871"/>
      <c r="O1871"/>
      <c r="P1871"/>
      <c r="Q1871"/>
      <c r="R1871"/>
      <c r="S1871"/>
    </row>
    <row r="1872" spans="12:19">
      <c r="L1872"/>
      <c r="M1872"/>
      <c r="N1872"/>
      <c r="O1872"/>
      <c r="P1872"/>
      <c r="Q1872"/>
      <c r="R1872"/>
      <c r="S1872"/>
    </row>
    <row r="1873" spans="12:19">
      <c r="L1873"/>
      <c r="M1873"/>
      <c r="N1873"/>
      <c r="O1873"/>
      <c r="P1873"/>
      <c r="Q1873"/>
      <c r="R1873"/>
      <c r="S1873"/>
    </row>
    <row r="1874" spans="12:19">
      <c r="L1874"/>
      <c r="M1874"/>
      <c r="N1874"/>
      <c r="O1874"/>
      <c r="P1874"/>
      <c r="Q1874"/>
      <c r="R1874"/>
      <c r="S1874"/>
    </row>
    <row r="1875" spans="12:19">
      <c r="L1875"/>
      <c r="M1875"/>
      <c r="N1875"/>
      <c r="O1875"/>
      <c r="P1875"/>
      <c r="Q1875"/>
      <c r="R1875"/>
      <c r="S1875"/>
    </row>
    <row r="1876" spans="12:19">
      <c r="L1876"/>
      <c r="M1876"/>
      <c r="N1876"/>
      <c r="O1876"/>
      <c r="P1876"/>
      <c r="Q1876"/>
      <c r="R1876"/>
      <c r="S1876"/>
    </row>
    <row r="1877" spans="12:19">
      <c r="L1877"/>
      <c r="M1877"/>
      <c r="N1877"/>
      <c r="O1877"/>
      <c r="P1877"/>
      <c r="Q1877"/>
      <c r="R1877"/>
      <c r="S1877"/>
    </row>
    <row r="1878" spans="12:19">
      <c r="L1878"/>
      <c r="M1878"/>
      <c r="N1878"/>
      <c r="O1878"/>
      <c r="P1878"/>
      <c r="Q1878"/>
      <c r="R1878"/>
      <c r="S1878"/>
    </row>
    <row r="1879" spans="12:19">
      <c r="L1879"/>
      <c r="M1879"/>
      <c r="N1879"/>
      <c r="O1879"/>
      <c r="P1879"/>
      <c r="Q1879"/>
      <c r="R1879"/>
      <c r="S1879"/>
    </row>
    <row r="1880" spans="12:19">
      <c r="L1880"/>
      <c r="M1880"/>
      <c r="N1880"/>
      <c r="O1880"/>
      <c r="P1880"/>
      <c r="Q1880"/>
      <c r="R1880"/>
      <c r="S1880"/>
    </row>
    <row r="1881" spans="12:19">
      <c r="L1881"/>
      <c r="M1881"/>
      <c r="N1881"/>
      <c r="O1881"/>
      <c r="P1881"/>
      <c r="Q1881"/>
      <c r="R1881"/>
      <c r="S1881"/>
    </row>
    <row r="1882" spans="12:19">
      <c r="L1882"/>
      <c r="M1882"/>
      <c r="N1882"/>
      <c r="O1882"/>
      <c r="P1882"/>
      <c r="Q1882"/>
      <c r="R1882"/>
      <c r="S1882"/>
    </row>
    <row r="1883" spans="12:19">
      <c r="L1883"/>
      <c r="M1883"/>
      <c r="N1883"/>
      <c r="O1883"/>
      <c r="P1883"/>
      <c r="Q1883"/>
      <c r="R1883"/>
      <c r="S1883"/>
    </row>
    <row r="1884" spans="12:19">
      <c r="L1884"/>
      <c r="M1884"/>
      <c r="N1884"/>
      <c r="O1884"/>
      <c r="P1884"/>
      <c r="Q1884"/>
      <c r="R1884"/>
      <c r="S1884"/>
    </row>
    <row r="1885" spans="12:19">
      <c r="L1885"/>
      <c r="M1885"/>
      <c r="N1885"/>
      <c r="O1885"/>
      <c r="P1885"/>
      <c r="Q1885"/>
      <c r="R1885"/>
      <c r="S1885"/>
    </row>
    <row r="1886" spans="12:19">
      <c r="L1886"/>
      <c r="M1886"/>
      <c r="N1886"/>
      <c r="O1886"/>
      <c r="P1886"/>
      <c r="Q1886"/>
      <c r="R1886"/>
      <c r="S1886"/>
    </row>
    <row r="1887" spans="12:19">
      <c r="L1887"/>
      <c r="M1887"/>
      <c r="N1887"/>
      <c r="O1887"/>
      <c r="P1887"/>
      <c r="Q1887"/>
      <c r="R1887"/>
      <c r="S1887"/>
    </row>
    <row r="1888" spans="12:19">
      <c r="L1888"/>
      <c r="M1888"/>
      <c r="N1888"/>
      <c r="O1888"/>
      <c r="P1888"/>
      <c r="Q1888"/>
      <c r="R1888"/>
      <c r="S1888"/>
    </row>
    <row r="1889" spans="12:19">
      <c r="L1889"/>
      <c r="M1889"/>
      <c r="N1889"/>
      <c r="O1889"/>
      <c r="P1889"/>
      <c r="Q1889"/>
      <c r="R1889"/>
      <c r="S1889"/>
    </row>
    <row r="1890" spans="12:19">
      <c r="L1890"/>
      <c r="M1890"/>
      <c r="N1890"/>
      <c r="O1890"/>
      <c r="P1890"/>
      <c r="Q1890"/>
      <c r="R1890"/>
      <c r="S1890"/>
    </row>
    <row r="1891" spans="12:19">
      <c r="L1891"/>
      <c r="M1891"/>
      <c r="N1891"/>
      <c r="O1891"/>
      <c r="P1891"/>
      <c r="Q1891"/>
      <c r="R1891"/>
      <c r="S1891"/>
    </row>
    <row r="1892" spans="12:19">
      <c r="L1892"/>
      <c r="M1892"/>
      <c r="N1892"/>
      <c r="O1892"/>
      <c r="P1892"/>
      <c r="Q1892"/>
      <c r="R1892"/>
      <c r="S1892"/>
    </row>
    <row r="1893" spans="12:19">
      <c r="L1893"/>
      <c r="M1893"/>
      <c r="N1893"/>
      <c r="O1893"/>
      <c r="P1893"/>
      <c r="Q1893"/>
      <c r="R1893"/>
      <c r="S1893"/>
    </row>
    <row r="1894" spans="12:19">
      <c r="L1894"/>
      <c r="M1894"/>
      <c r="N1894"/>
      <c r="O1894"/>
      <c r="P1894"/>
      <c r="Q1894"/>
      <c r="R1894"/>
      <c r="S1894"/>
    </row>
    <row r="1895" spans="12:19">
      <c r="L1895"/>
      <c r="M1895"/>
      <c r="N1895"/>
      <c r="O1895"/>
      <c r="P1895"/>
      <c r="Q1895"/>
      <c r="R1895"/>
      <c r="S1895"/>
    </row>
    <row r="1896" spans="12:19">
      <c r="L1896"/>
      <c r="M1896"/>
      <c r="N1896"/>
      <c r="O1896"/>
      <c r="P1896"/>
      <c r="Q1896"/>
      <c r="R1896"/>
      <c r="S1896"/>
    </row>
    <row r="1897" spans="12:19">
      <c r="L1897"/>
      <c r="M1897"/>
      <c r="N1897"/>
      <c r="O1897"/>
      <c r="P1897"/>
      <c r="Q1897"/>
      <c r="R1897"/>
      <c r="S1897"/>
    </row>
    <row r="1898" spans="12:19">
      <c r="L1898"/>
      <c r="M1898"/>
      <c r="N1898"/>
      <c r="O1898"/>
      <c r="P1898"/>
      <c r="Q1898"/>
      <c r="R1898"/>
      <c r="S1898"/>
    </row>
    <row r="1899" spans="12:19">
      <c r="L1899"/>
      <c r="M1899"/>
      <c r="N1899"/>
      <c r="O1899"/>
      <c r="P1899"/>
      <c r="Q1899"/>
      <c r="R1899"/>
      <c r="S1899"/>
    </row>
    <row r="1900" spans="12:19">
      <c r="L1900"/>
      <c r="M1900"/>
      <c r="N1900"/>
      <c r="O1900"/>
      <c r="P1900"/>
      <c r="Q1900"/>
      <c r="R1900"/>
      <c r="S1900"/>
    </row>
    <row r="1901" spans="12:19">
      <c r="L1901"/>
      <c r="M1901"/>
      <c r="N1901"/>
      <c r="O1901"/>
      <c r="P1901"/>
      <c r="Q1901"/>
      <c r="R1901"/>
      <c r="S1901"/>
    </row>
    <row r="1902" spans="12:19">
      <c r="L1902"/>
      <c r="M1902"/>
      <c r="N1902"/>
      <c r="O1902"/>
      <c r="P1902"/>
      <c r="Q1902"/>
      <c r="R1902"/>
      <c r="S1902"/>
    </row>
    <row r="1903" spans="12:19">
      <c r="L1903"/>
      <c r="M1903"/>
      <c r="N1903"/>
      <c r="O1903"/>
      <c r="P1903"/>
      <c r="Q1903"/>
      <c r="R1903"/>
      <c r="S1903"/>
    </row>
    <row r="1904" spans="12:19">
      <c r="L1904"/>
      <c r="M1904"/>
      <c r="N1904"/>
      <c r="O1904"/>
      <c r="P1904"/>
      <c r="Q1904"/>
      <c r="R1904"/>
      <c r="S1904"/>
    </row>
    <row r="1905" spans="12:19">
      <c r="L1905"/>
      <c r="M1905"/>
      <c r="N1905"/>
      <c r="O1905"/>
      <c r="P1905"/>
      <c r="Q1905"/>
      <c r="R1905"/>
      <c r="S1905"/>
    </row>
    <row r="1906" spans="12:19">
      <c r="L1906"/>
      <c r="M1906"/>
      <c r="N1906"/>
      <c r="O1906"/>
      <c r="P1906"/>
      <c r="Q1906"/>
      <c r="R1906"/>
      <c r="S1906"/>
    </row>
    <row r="1907" spans="12:19">
      <c r="L1907"/>
      <c r="M1907"/>
      <c r="N1907"/>
      <c r="O1907"/>
      <c r="P1907"/>
      <c r="Q1907"/>
      <c r="R1907"/>
      <c r="S1907"/>
    </row>
    <row r="1908" spans="12:19">
      <c r="L1908"/>
      <c r="M1908"/>
      <c r="N1908"/>
      <c r="O1908"/>
      <c r="P1908"/>
      <c r="Q1908"/>
      <c r="R1908"/>
      <c r="S1908"/>
    </row>
    <row r="1909" spans="12:19">
      <c r="L1909"/>
      <c r="M1909"/>
      <c r="N1909"/>
      <c r="O1909"/>
      <c r="P1909"/>
      <c r="Q1909"/>
      <c r="R1909"/>
      <c r="S1909"/>
    </row>
    <row r="1910" spans="12:19">
      <c r="L1910"/>
      <c r="M1910"/>
      <c r="N1910"/>
      <c r="O1910"/>
      <c r="P1910"/>
      <c r="Q1910"/>
      <c r="R1910"/>
      <c r="S1910"/>
    </row>
    <row r="1911" spans="12:19">
      <c r="L1911"/>
      <c r="M1911"/>
      <c r="N1911"/>
      <c r="O1911"/>
      <c r="P1911"/>
      <c r="Q1911"/>
      <c r="R1911"/>
      <c r="S1911"/>
    </row>
    <row r="1912" spans="12:19">
      <c r="L1912"/>
      <c r="M1912"/>
      <c r="N1912"/>
      <c r="O1912"/>
      <c r="P1912"/>
      <c r="Q1912"/>
      <c r="R1912"/>
      <c r="S1912"/>
    </row>
    <row r="1913" spans="12:19">
      <c r="L1913"/>
      <c r="M1913"/>
      <c r="N1913"/>
      <c r="O1913"/>
      <c r="P1913"/>
      <c r="Q1913"/>
      <c r="R1913"/>
      <c r="S1913"/>
    </row>
    <row r="1914" spans="12:19">
      <c r="L1914"/>
      <c r="M1914"/>
      <c r="N1914"/>
      <c r="O1914"/>
      <c r="P1914"/>
      <c r="Q1914"/>
      <c r="R1914"/>
      <c r="S1914"/>
    </row>
    <row r="1915" spans="12:19">
      <c r="L1915"/>
      <c r="M1915"/>
      <c r="N1915"/>
      <c r="O1915"/>
      <c r="P1915"/>
      <c r="Q1915"/>
      <c r="R1915"/>
      <c r="S1915"/>
    </row>
    <row r="1916" spans="12:19">
      <c r="L1916"/>
      <c r="M1916"/>
      <c r="N1916"/>
      <c r="O1916"/>
      <c r="P1916"/>
      <c r="Q1916"/>
      <c r="R1916"/>
      <c r="S1916"/>
    </row>
    <row r="1917" spans="12:19">
      <c r="L1917"/>
      <c r="M1917"/>
      <c r="N1917"/>
      <c r="O1917"/>
      <c r="P1917"/>
      <c r="Q1917"/>
      <c r="R1917"/>
      <c r="S1917"/>
    </row>
    <row r="1918" spans="12:19">
      <c r="L1918"/>
      <c r="M1918"/>
      <c r="N1918"/>
      <c r="O1918"/>
      <c r="P1918"/>
      <c r="Q1918"/>
      <c r="R1918"/>
      <c r="S1918"/>
    </row>
    <row r="1919" spans="12:19">
      <c r="L1919"/>
      <c r="M1919"/>
      <c r="N1919"/>
      <c r="O1919"/>
      <c r="P1919"/>
      <c r="Q1919"/>
      <c r="R1919"/>
      <c r="S1919"/>
    </row>
    <row r="1920" spans="12:19">
      <c r="L1920"/>
      <c r="M1920"/>
      <c r="N1920"/>
      <c r="O1920"/>
      <c r="P1920"/>
      <c r="Q1920"/>
      <c r="R1920"/>
      <c r="S1920"/>
    </row>
    <row r="1921" spans="12:19">
      <c r="L1921"/>
      <c r="M1921"/>
      <c r="N1921"/>
      <c r="O1921"/>
      <c r="P1921"/>
      <c r="Q1921"/>
      <c r="R1921"/>
      <c r="S1921"/>
    </row>
    <row r="1922" spans="12:19">
      <c r="L1922"/>
      <c r="M1922"/>
      <c r="N1922"/>
      <c r="O1922"/>
      <c r="P1922"/>
      <c r="Q1922"/>
      <c r="R1922"/>
      <c r="S1922"/>
    </row>
    <row r="1923" spans="12:19">
      <c r="L1923"/>
      <c r="M1923"/>
      <c r="N1923"/>
      <c r="O1923"/>
      <c r="P1923"/>
      <c r="Q1923"/>
      <c r="R1923"/>
      <c r="S1923"/>
    </row>
    <row r="1924" spans="12:19">
      <c r="L1924"/>
      <c r="M1924"/>
      <c r="N1924"/>
      <c r="O1924"/>
      <c r="P1924"/>
      <c r="Q1924"/>
      <c r="R1924"/>
      <c r="S1924"/>
    </row>
    <row r="1925" spans="12:19">
      <c r="L1925"/>
      <c r="M1925"/>
      <c r="N1925"/>
      <c r="O1925"/>
      <c r="P1925"/>
      <c r="Q1925"/>
      <c r="R1925"/>
      <c r="S1925"/>
    </row>
    <row r="1926" spans="12:19">
      <c r="L1926"/>
      <c r="M1926"/>
      <c r="N1926"/>
      <c r="O1926"/>
      <c r="P1926"/>
      <c r="Q1926"/>
      <c r="R1926"/>
      <c r="S1926"/>
    </row>
    <row r="1927" spans="12:19">
      <c r="L1927"/>
      <c r="M1927"/>
      <c r="N1927"/>
      <c r="O1927"/>
      <c r="P1927"/>
      <c r="Q1927"/>
      <c r="R1927"/>
      <c r="S1927"/>
    </row>
    <row r="1928" spans="12:19">
      <c r="L1928"/>
      <c r="M1928"/>
      <c r="N1928"/>
      <c r="O1928"/>
      <c r="P1928"/>
      <c r="Q1928"/>
      <c r="R1928"/>
      <c r="S1928"/>
    </row>
    <row r="1929" spans="12:19">
      <c r="L1929"/>
      <c r="M1929"/>
      <c r="N1929"/>
      <c r="O1929"/>
      <c r="P1929"/>
      <c r="Q1929"/>
      <c r="R1929"/>
      <c r="S1929"/>
    </row>
    <row r="1930" spans="12:19">
      <c r="L1930"/>
      <c r="M1930"/>
      <c r="N1930"/>
      <c r="O1930"/>
      <c r="P1930"/>
      <c r="Q1930"/>
      <c r="R1930"/>
      <c r="S1930"/>
    </row>
    <row r="1931" spans="12:19">
      <c r="L1931"/>
      <c r="M1931"/>
      <c r="N1931"/>
      <c r="O1931"/>
      <c r="P1931"/>
      <c r="Q1931"/>
      <c r="R1931"/>
      <c r="S1931"/>
    </row>
    <row r="1932" spans="12:19">
      <c r="L1932"/>
      <c r="M1932"/>
      <c r="N1932"/>
      <c r="O1932"/>
      <c r="P1932"/>
      <c r="Q1932"/>
      <c r="R1932"/>
      <c r="S1932"/>
    </row>
    <row r="1933" spans="12:19">
      <c r="L1933"/>
      <c r="M1933"/>
      <c r="N1933"/>
      <c r="O1933"/>
      <c r="P1933"/>
      <c r="Q1933"/>
      <c r="R1933"/>
      <c r="S1933"/>
    </row>
    <row r="1934" spans="12:19">
      <c r="L1934"/>
      <c r="M1934"/>
      <c r="N1934"/>
      <c r="O1934"/>
      <c r="P1934"/>
      <c r="Q1934"/>
      <c r="R1934"/>
      <c r="S1934"/>
    </row>
    <row r="1935" spans="12:19">
      <c r="L1935"/>
      <c r="M1935"/>
      <c r="N1935"/>
      <c r="O1935"/>
      <c r="P1935"/>
      <c r="Q1935"/>
      <c r="R1935"/>
      <c r="S1935"/>
    </row>
    <row r="1936" spans="12:19">
      <c r="L1936"/>
      <c r="M1936"/>
      <c r="N1936"/>
      <c r="O1936"/>
      <c r="P1936"/>
      <c r="Q1936"/>
      <c r="R1936"/>
      <c r="S1936"/>
    </row>
    <row r="1937" spans="12:19">
      <c r="L1937"/>
      <c r="M1937"/>
      <c r="N1937"/>
      <c r="O1937"/>
      <c r="P1937"/>
      <c r="Q1937"/>
      <c r="R1937"/>
      <c r="S1937"/>
    </row>
    <row r="1938" spans="12:19">
      <c r="L1938"/>
      <c r="M1938"/>
      <c r="N1938"/>
      <c r="O1938"/>
      <c r="P1938"/>
      <c r="Q1938"/>
      <c r="R1938"/>
      <c r="S1938"/>
    </row>
    <row r="1939" spans="12:19">
      <c r="L1939"/>
      <c r="M1939"/>
      <c r="N1939"/>
      <c r="O1939"/>
      <c r="P1939"/>
      <c r="Q1939"/>
      <c r="R1939"/>
      <c r="S1939"/>
    </row>
    <row r="1940" spans="12:19">
      <c r="L1940"/>
      <c r="M1940"/>
      <c r="N1940"/>
      <c r="O1940"/>
      <c r="P1940"/>
      <c r="Q1940"/>
      <c r="R1940"/>
      <c r="S1940"/>
    </row>
    <row r="1941" spans="12:19">
      <c r="L1941"/>
      <c r="M1941"/>
      <c r="N1941"/>
      <c r="O1941"/>
      <c r="P1941"/>
      <c r="Q1941"/>
      <c r="R1941"/>
      <c r="S1941"/>
    </row>
    <row r="1942" spans="12:19">
      <c r="L1942"/>
      <c r="M1942"/>
      <c r="N1942"/>
      <c r="O1942"/>
      <c r="P1942"/>
      <c r="Q1942"/>
      <c r="R1942"/>
      <c r="S1942"/>
    </row>
    <row r="1943" spans="12:19">
      <c r="L1943"/>
      <c r="M1943"/>
      <c r="N1943"/>
      <c r="O1943"/>
      <c r="P1943"/>
      <c r="Q1943"/>
      <c r="R1943"/>
      <c r="S1943"/>
    </row>
    <row r="1944" spans="12:19">
      <c r="L1944"/>
      <c r="M1944"/>
      <c r="N1944"/>
      <c r="O1944"/>
      <c r="P1944"/>
      <c r="Q1944"/>
      <c r="R1944"/>
      <c r="S1944"/>
    </row>
    <row r="1945" spans="12:19">
      <c r="L1945"/>
      <c r="M1945"/>
      <c r="N1945"/>
      <c r="O1945"/>
      <c r="P1945"/>
      <c r="Q1945"/>
      <c r="R1945"/>
      <c r="S1945"/>
    </row>
    <row r="1946" spans="12:19">
      <c r="L1946"/>
      <c r="M1946"/>
      <c r="N1946"/>
      <c r="O1946"/>
      <c r="P1946"/>
      <c r="Q1946"/>
      <c r="R1946"/>
      <c r="S1946"/>
    </row>
    <row r="1947" spans="12:19">
      <c r="L1947"/>
      <c r="M1947"/>
      <c r="N1947"/>
      <c r="O1947"/>
      <c r="P1947"/>
      <c r="Q1947"/>
      <c r="R1947"/>
      <c r="S1947"/>
    </row>
    <row r="1948" spans="12:19">
      <c r="L1948"/>
      <c r="M1948"/>
      <c r="N1948"/>
      <c r="O1948"/>
      <c r="P1948"/>
      <c r="Q1948"/>
      <c r="R1948"/>
      <c r="S1948"/>
    </row>
    <row r="1949" spans="12:19">
      <c r="L1949"/>
      <c r="M1949"/>
      <c r="N1949"/>
      <c r="O1949"/>
      <c r="P1949"/>
      <c r="Q1949"/>
      <c r="R1949"/>
      <c r="S1949"/>
    </row>
    <row r="1950" spans="12:19">
      <c r="L1950"/>
      <c r="M1950"/>
      <c r="N1950"/>
      <c r="O1950"/>
      <c r="P1950"/>
      <c r="Q1950"/>
      <c r="R1950"/>
      <c r="S1950"/>
    </row>
    <row r="1951" spans="12:19">
      <c r="L1951"/>
      <c r="M1951"/>
      <c r="N1951"/>
      <c r="O1951"/>
      <c r="P1951"/>
      <c r="Q1951"/>
      <c r="R1951"/>
      <c r="S1951"/>
    </row>
    <row r="1952" spans="12:19">
      <c r="L1952"/>
      <c r="M1952"/>
      <c r="N1952"/>
      <c r="O1952"/>
      <c r="P1952"/>
      <c r="Q1952"/>
      <c r="R1952"/>
      <c r="S1952"/>
    </row>
    <row r="1953" spans="12:19">
      <c r="L1953"/>
      <c r="M1953"/>
      <c r="N1953"/>
      <c r="O1953"/>
      <c r="P1953"/>
      <c r="Q1953"/>
      <c r="R1953"/>
      <c r="S1953"/>
    </row>
    <row r="1954" spans="12:19">
      <c r="L1954"/>
      <c r="M1954"/>
      <c r="N1954"/>
      <c r="O1954"/>
      <c r="P1954"/>
      <c r="Q1954"/>
      <c r="R1954"/>
      <c r="S1954"/>
    </row>
    <row r="1955" spans="12:19">
      <c r="L1955"/>
      <c r="M1955"/>
      <c r="N1955"/>
      <c r="O1955"/>
      <c r="P1955"/>
      <c r="Q1955"/>
      <c r="R1955"/>
      <c r="S1955"/>
    </row>
    <row r="1956" spans="12:19">
      <c r="L1956"/>
      <c r="M1956"/>
      <c r="N1956"/>
      <c r="O1956"/>
      <c r="P1956"/>
      <c r="Q1956"/>
      <c r="R1956"/>
      <c r="S1956"/>
    </row>
    <row r="1957" spans="12:19">
      <c r="L1957"/>
      <c r="M1957"/>
      <c r="N1957"/>
      <c r="O1957"/>
      <c r="P1957"/>
      <c r="Q1957"/>
      <c r="R1957"/>
      <c r="S1957"/>
    </row>
    <row r="1958" spans="12:19">
      <c r="L1958"/>
      <c r="M1958"/>
      <c r="N1958"/>
      <c r="O1958"/>
      <c r="P1958"/>
      <c r="Q1958"/>
      <c r="R1958"/>
      <c r="S1958"/>
    </row>
    <row r="1959" spans="12:19">
      <c r="L1959"/>
      <c r="M1959"/>
      <c r="N1959"/>
      <c r="O1959"/>
      <c r="P1959"/>
      <c r="Q1959"/>
      <c r="R1959"/>
      <c r="S1959"/>
    </row>
    <row r="1960" spans="12:19">
      <c r="L1960"/>
      <c r="M1960"/>
      <c r="N1960"/>
      <c r="O1960"/>
      <c r="P1960"/>
      <c r="Q1960"/>
      <c r="R1960"/>
      <c r="S1960"/>
    </row>
    <row r="1961" spans="12:19">
      <c r="L1961"/>
      <c r="M1961"/>
      <c r="N1961"/>
      <c r="O1961"/>
      <c r="P1961"/>
      <c r="Q1961"/>
      <c r="R1961"/>
      <c r="S1961"/>
    </row>
    <row r="1962" spans="12:19">
      <c r="L1962"/>
      <c r="M1962"/>
      <c r="N1962"/>
      <c r="O1962"/>
      <c r="P1962"/>
      <c r="Q1962"/>
      <c r="R1962"/>
      <c r="S1962"/>
    </row>
    <row r="1963" spans="12:19">
      <c r="L1963"/>
      <c r="M1963"/>
      <c r="N1963"/>
      <c r="O1963"/>
      <c r="P1963"/>
      <c r="Q1963"/>
      <c r="R1963"/>
      <c r="S1963"/>
    </row>
    <row r="1964" spans="12:19">
      <c r="L1964"/>
      <c r="M1964"/>
      <c r="N1964"/>
      <c r="O1964"/>
      <c r="P1964"/>
      <c r="Q1964"/>
      <c r="R1964"/>
      <c r="S1964"/>
    </row>
    <row r="1965" spans="12:19">
      <c r="L1965"/>
      <c r="M1965"/>
      <c r="N1965"/>
      <c r="O1965"/>
      <c r="P1965"/>
      <c r="Q1965"/>
      <c r="R1965"/>
      <c r="S1965"/>
    </row>
    <row r="1966" spans="12:19">
      <c r="L1966"/>
      <c r="M1966"/>
      <c r="N1966"/>
      <c r="O1966"/>
      <c r="P1966"/>
      <c r="Q1966"/>
      <c r="R1966"/>
      <c r="S1966"/>
    </row>
    <row r="1967" spans="12:19">
      <c r="L1967"/>
      <c r="M1967"/>
      <c r="N1967"/>
      <c r="O1967"/>
      <c r="P1967"/>
      <c r="Q1967"/>
      <c r="R1967"/>
      <c r="S1967"/>
    </row>
    <row r="1968" spans="12:19">
      <c r="L1968"/>
      <c r="M1968"/>
      <c r="N1968"/>
      <c r="O1968"/>
      <c r="P1968"/>
      <c r="Q1968"/>
      <c r="R1968"/>
      <c r="S1968"/>
    </row>
    <row r="1969" spans="12:19">
      <c r="L1969"/>
      <c r="M1969"/>
      <c r="N1969"/>
      <c r="O1969"/>
      <c r="P1969"/>
      <c r="Q1969"/>
      <c r="R1969"/>
      <c r="S1969"/>
    </row>
    <row r="1970" spans="12:19">
      <c r="L1970"/>
      <c r="M1970"/>
      <c r="N1970"/>
      <c r="O1970"/>
      <c r="P1970"/>
      <c r="Q1970"/>
      <c r="R1970"/>
      <c r="S1970"/>
    </row>
    <row r="1971" spans="12:19">
      <c r="L1971"/>
      <c r="M1971"/>
      <c r="N1971"/>
      <c r="O1971"/>
      <c r="P1971"/>
      <c r="Q1971"/>
      <c r="R1971"/>
      <c r="S1971"/>
    </row>
    <row r="1972" spans="12:19">
      <c r="L1972"/>
      <c r="M1972"/>
      <c r="N1972"/>
      <c r="O1972"/>
      <c r="P1972"/>
      <c r="Q1972"/>
      <c r="R1972"/>
      <c r="S1972"/>
    </row>
    <row r="1973" spans="12:19">
      <c r="L1973"/>
      <c r="M1973"/>
      <c r="N1973"/>
      <c r="O1973"/>
      <c r="P1973"/>
      <c r="Q1973"/>
      <c r="R1973"/>
      <c r="S1973"/>
    </row>
    <row r="1974" spans="12:19">
      <c r="L1974"/>
      <c r="M1974"/>
      <c r="N1974"/>
      <c r="O1974"/>
      <c r="P1974"/>
      <c r="Q1974"/>
      <c r="R1974"/>
      <c r="S1974"/>
    </row>
    <row r="1975" spans="12:19">
      <c r="L1975"/>
      <c r="M1975"/>
      <c r="N1975"/>
      <c r="O1975"/>
      <c r="P1975"/>
      <c r="Q1975"/>
      <c r="R1975"/>
      <c r="S1975"/>
    </row>
    <row r="1976" spans="12:19">
      <c r="L1976"/>
      <c r="M1976"/>
      <c r="N1976"/>
      <c r="O1976"/>
      <c r="P1976"/>
      <c r="Q1976"/>
      <c r="R1976"/>
      <c r="S1976"/>
    </row>
    <row r="1977" spans="12:19">
      <c r="L1977"/>
      <c r="M1977"/>
      <c r="N1977"/>
      <c r="O1977"/>
      <c r="P1977"/>
      <c r="Q1977"/>
      <c r="R1977"/>
      <c r="S1977"/>
    </row>
    <row r="1978" spans="12:19">
      <c r="L1978"/>
      <c r="M1978"/>
      <c r="N1978"/>
      <c r="O1978"/>
      <c r="P1978"/>
      <c r="Q1978"/>
      <c r="R1978"/>
      <c r="S1978"/>
    </row>
    <row r="1979" spans="12:19">
      <c r="L1979"/>
      <c r="M1979"/>
      <c r="N1979"/>
      <c r="O1979"/>
      <c r="P1979"/>
      <c r="Q1979"/>
      <c r="R1979"/>
      <c r="S1979"/>
    </row>
    <row r="1980" spans="12:19">
      <c r="L1980"/>
      <c r="M1980"/>
      <c r="N1980"/>
      <c r="O1980"/>
      <c r="P1980"/>
      <c r="Q1980"/>
      <c r="R1980"/>
      <c r="S1980"/>
    </row>
    <row r="1981" spans="12:19">
      <c r="L1981"/>
      <c r="M1981"/>
      <c r="N1981"/>
      <c r="O1981"/>
      <c r="P1981"/>
      <c r="Q1981"/>
      <c r="R1981"/>
      <c r="S1981"/>
    </row>
    <row r="1982" spans="12:19">
      <c r="L1982"/>
      <c r="M1982"/>
      <c r="N1982"/>
      <c r="O1982"/>
      <c r="P1982"/>
      <c r="Q1982"/>
      <c r="R1982"/>
      <c r="S1982"/>
    </row>
    <row r="1983" spans="12:19">
      <c r="L1983"/>
      <c r="M1983"/>
      <c r="N1983"/>
      <c r="O1983"/>
      <c r="P1983"/>
      <c r="Q1983"/>
      <c r="R1983"/>
      <c r="S1983"/>
    </row>
    <row r="1984" spans="12:19">
      <c r="L1984"/>
      <c r="M1984"/>
      <c r="N1984"/>
      <c r="O1984"/>
      <c r="P1984"/>
      <c r="Q1984"/>
      <c r="R1984"/>
      <c r="S1984"/>
    </row>
    <row r="1985" spans="12:19">
      <c r="L1985"/>
      <c r="M1985"/>
      <c r="N1985"/>
      <c r="O1985"/>
      <c r="P1985"/>
      <c r="Q1985"/>
      <c r="R1985"/>
      <c r="S1985"/>
    </row>
    <row r="1986" spans="12:19">
      <c r="L1986"/>
      <c r="M1986"/>
      <c r="N1986"/>
      <c r="O1986"/>
      <c r="P1986"/>
      <c r="Q1986"/>
      <c r="R1986"/>
      <c r="S1986"/>
    </row>
    <row r="1987" spans="12:19">
      <c r="L1987"/>
      <c r="M1987"/>
      <c r="N1987"/>
      <c r="O1987"/>
      <c r="P1987"/>
      <c r="Q1987"/>
      <c r="R1987"/>
      <c r="S1987"/>
    </row>
    <row r="1988" spans="12:19">
      <c r="L1988"/>
      <c r="M1988"/>
      <c r="N1988"/>
      <c r="O1988"/>
      <c r="P1988"/>
      <c r="Q1988"/>
      <c r="R1988"/>
      <c r="S1988"/>
    </row>
    <row r="1989" spans="12:19">
      <c r="L1989"/>
      <c r="M1989"/>
      <c r="N1989"/>
      <c r="O1989"/>
      <c r="P1989"/>
      <c r="Q1989"/>
      <c r="R1989"/>
      <c r="S1989"/>
    </row>
    <row r="1990" spans="12:19">
      <c r="L1990"/>
      <c r="M1990"/>
      <c r="N1990"/>
      <c r="O1990"/>
      <c r="P1990"/>
      <c r="Q1990"/>
      <c r="R1990"/>
      <c r="S1990"/>
    </row>
    <row r="1991" spans="12:19">
      <c r="L1991"/>
      <c r="M1991"/>
      <c r="N1991"/>
      <c r="O1991"/>
      <c r="P1991"/>
      <c r="Q1991"/>
      <c r="R1991"/>
      <c r="S1991"/>
    </row>
    <row r="1992" spans="12:19">
      <c r="L1992"/>
      <c r="M1992"/>
      <c r="N1992"/>
      <c r="O1992"/>
      <c r="P1992"/>
      <c r="Q1992"/>
      <c r="R1992"/>
      <c r="S1992"/>
    </row>
    <row r="1993" spans="12:19">
      <c r="L1993"/>
      <c r="M1993"/>
      <c r="N1993"/>
      <c r="O1993"/>
      <c r="P1993"/>
      <c r="Q1993"/>
      <c r="R1993"/>
      <c r="S1993"/>
    </row>
    <row r="1994" spans="12:19">
      <c r="L1994"/>
      <c r="M1994"/>
      <c r="N1994"/>
      <c r="O1994"/>
      <c r="P1994"/>
      <c r="Q1994"/>
      <c r="R1994"/>
      <c r="S1994"/>
    </row>
    <row r="1995" spans="12:19">
      <c r="L1995"/>
      <c r="M1995"/>
      <c r="N1995"/>
      <c r="O1995"/>
      <c r="P1995"/>
      <c r="Q1995"/>
      <c r="R1995"/>
      <c r="S1995"/>
    </row>
    <row r="1996" spans="12:19">
      <c r="L1996"/>
      <c r="M1996"/>
      <c r="N1996"/>
      <c r="O1996"/>
      <c r="P1996"/>
      <c r="Q1996"/>
      <c r="R1996"/>
      <c r="S1996"/>
    </row>
    <row r="1997" spans="12:19">
      <c r="L1997"/>
      <c r="M1997"/>
      <c r="N1997"/>
      <c r="O1997"/>
      <c r="P1997"/>
      <c r="Q1997"/>
      <c r="R1997"/>
      <c r="S1997"/>
    </row>
    <row r="1998" spans="12:19">
      <c r="L1998"/>
      <c r="M1998"/>
      <c r="N1998"/>
      <c r="O1998"/>
      <c r="P1998"/>
      <c r="Q1998"/>
      <c r="R1998"/>
      <c r="S1998"/>
    </row>
    <row r="1999" spans="12:19">
      <c r="L1999"/>
      <c r="M1999"/>
      <c r="N1999"/>
      <c r="O1999"/>
      <c r="P1999"/>
      <c r="Q1999"/>
      <c r="R1999"/>
      <c r="S1999"/>
    </row>
    <row r="2000" spans="12:19">
      <c r="L2000"/>
      <c r="M2000"/>
      <c r="N2000"/>
      <c r="O2000"/>
      <c r="P2000"/>
      <c r="Q2000"/>
      <c r="R2000"/>
      <c r="S2000"/>
    </row>
    <row r="2001" spans="12:19">
      <c r="L2001"/>
      <c r="M2001"/>
      <c r="N2001"/>
      <c r="O2001"/>
      <c r="P2001"/>
      <c r="Q2001"/>
      <c r="R2001"/>
      <c r="S2001"/>
    </row>
    <row r="2002" spans="12:19">
      <c r="L2002"/>
      <c r="M2002"/>
      <c r="N2002"/>
      <c r="O2002"/>
      <c r="P2002"/>
      <c r="Q2002"/>
      <c r="R2002"/>
      <c r="S2002"/>
    </row>
    <row r="2003" spans="12:19">
      <c r="L2003"/>
      <c r="M2003"/>
      <c r="N2003"/>
      <c r="O2003"/>
      <c r="P2003"/>
      <c r="Q2003"/>
      <c r="R2003"/>
      <c r="S2003"/>
    </row>
    <row r="2004" spans="12:19">
      <c r="L2004"/>
      <c r="M2004"/>
      <c r="N2004"/>
      <c r="O2004"/>
      <c r="P2004"/>
      <c r="Q2004"/>
      <c r="R2004"/>
      <c r="S2004"/>
    </row>
    <row r="2005" spans="12:19">
      <c r="L2005"/>
      <c r="M2005"/>
      <c r="N2005"/>
      <c r="O2005"/>
      <c r="P2005"/>
      <c r="Q2005"/>
      <c r="R2005"/>
      <c r="S2005"/>
    </row>
    <row r="2006" spans="12:19">
      <c r="L2006"/>
      <c r="M2006"/>
      <c r="N2006"/>
      <c r="O2006"/>
      <c r="P2006"/>
      <c r="Q2006"/>
      <c r="R2006"/>
      <c r="S2006"/>
    </row>
    <row r="2007" spans="12:19">
      <c r="L2007"/>
      <c r="M2007"/>
      <c r="N2007"/>
      <c r="O2007"/>
      <c r="P2007"/>
      <c r="Q2007"/>
      <c r="R2007"/>
      <c r="S2007"/>
    </row>
    <row r="2008" spans="12:19">
      <c r="L2008"/>
      <c r="M2008"/>
      <c r="N2008"/>
      <c r="O2008"/>
      <c r="P2008"/>
      <c r="Q2008"/>
      <c r="R2008"/>
      <c r="S2008"/>
    </row>
    <row r="2009" spans="12:19">
      <c r="L2009"/>
      <c r="M2009"/>
      <c r="N2009"/>
      <c r="O2009"/>
      <c r="P2009"/>
      <c r="Q2009"/>
      <c r="R2009"/>
      <c r="S2009"/>
    </row>
    <row r="2010" spans="12:19">
      <c r="L2010"/>
      <c r="M2010"/>
      <c r="N2010"/>
      <c r="O2010"/>
      <c r="P2010"/>
      <c r="Q2010"/>
      <c r="R2010"/>
      <c r="S2010"/>
    </row>
    <row r="2011" spans="12:19">
      <c r="L2011"/>
      <c r="M2011"/>
      <c r="N2011"/>
      <c r="O2011"/>
      <c r="P2011"/>
      <c r="Q2011"/>
      <c r="R2011"/>
      <c r="S2011"/>
    </row>
    <row r="2012" spans="12:19">
      <c r="L2012"/>
      <c r="M2012"/>
      <c r="N2012"/>
      <c r="O2012"/>
      <c r="P2012"/>
      <c r="Q2012"/>
      <c r="R2012"/>
      <c r="S2012"/>
    </row>
    <row r="2013" spans="12:19">
      <c r="L2013"/>
      <c r="M2013"/>
      <c r="N2013"/>
      <c r="O2013"/>
      <c r="P2013"/>
      <c r="Q2013"/>
      <c r="R2013"/>
      <c r="S2013"/>
    </row>
    <row r="2014" spans="12:19">
      <c r="L2014"/>
      <c r="M2014"/>
      <c r="N2014"/>
      <c r="O2014"/>
      <c r="P2014"/>
      <c r="Q2014"/>
      <c r="R2014"/>
      <c r="S2014"/>
    </row>
    <row r="2015" spans="12:19">
      <c r="L2015"/>
      <c r="M2015"/>
      <c r="N2015"/>
      <c r="O2015"/>
      <c r="P2015"/>
      <c r="Q2015"/>
      <c r="R2015"/>
      <c r="S2015"/>
    </row>
    <row r="2016" spans="12:19">
      <c r="L2016"/>
      <c r="M2016"/>
      <c r="N2016"/>
      <c r="O2016"/>
      <c r="P2016"/>
      <c r="Q2016"/>
      <c r="R2016"/>
      <c r="S2016"/>
    </row>
    <row r="2017" spans="12:19">
      <c r="L2017"/>
      <c r="M2017"/>
      <c r="N2017"/>
      <c r="O2017"/>
      <c r="P2017"/>
      <c r="Q2017"/>
      <c r="R2017"/>
      <c r="S2017"/>
    </row>
    <row r="2018" spans="12:19">
      <c r="L2018"/>
      <c r="M2018"/>
      <c r="N2018"/>
      <c r="O2018"/>
      <c r="P2018"/>
      <c r="Q2018"/>
      <c r="R2018"/>
      <c r="S2018"/>
    </row>
    <row r="2019" spans="12:19">
      <c r="L2019"/>
      <c r="M2019"/>
      <c r="N2019"/>
      <c r="O2019"/>
      <c r="P2019"/>
      <c r="Q2019"/>
      <c r="R2019"/>
      <c r="S2019"/>
    </row>
    <row r="2020" spans="12:19">
      <c r="L2020"/>
      <c r="M2020"/>
      <c r="N2020"/>
      <c r="O2020"/>
      <c r="P2020"/>
      <c r="Q2020"/>
      <c r="R2020"/>
      <c r="S2020"/>
    </row>
    <row r="2021" spans="12:19">
      <c r="L2021"/>
      <c r="M2021"/>
      <c r="N2021"/>
      <c r="O2021"/>
      <c r="P2021"/>
      <c r="Q2021"/>
      <c r="R2021"/>
      <c r="S2021"/>
    </row>
    <row r="2022" spans="12:19">
      <c r="L2022"/>
      <c r="M2022"/>
      <c r="N2022"/>
      <c r="O2022"/>
      <c r="P2022"/>
      <c r="Q2022"/>
      <c r="R2022"/>
      <c r="S2022"/>
    </row>
    <row r="2023" spans="12:19">
      <c r="L2023"/>
      <c r="M2023"/>
      <c r="N2023"/>
      <c r="O2023"/>
      <c r="P2023"/>
      <c r="Q2023"/>
      <c r="R2023"/>
      <c r="S2023"/>
    </row>
    <row r="2024" spans="12:19">
      <c r="L2024"/>
      <c r="M2024"/>
      <c r="N2024"/>
      <c r="O2024"/>
      <c r="P2024"/>
      <c r="Q2024"/>
      <c r="R2024"/>
      <c r="S2024"/>
    </row>
    <row r="2025" spans="12:19">
      <c r="L2025"/>
      <c r="M2025"/>
      <c r="N2025"/>
      <c r="O2025"/>
      <c r="P2025"/>
      <c r="Q2025"/>
      <c r="R2025"/>
      <c r="S2025"/>
    </row>
    <row r="2026" spans="12:19">
      <c r="L2026"/>
      <c r="M2026"/>
      <c r="N2026"/>
      <c r="O2026"/>
      <c r="P2026"/>
      <c r="Q2026"/>
      <c r="R2026"/>
      <c r="S2026"/>
    </row>
    <row r="2027" spans="12:19">
      <c r="L2027"/>
      <c r="M2027"/>
      <c r="N2027"/>
      <c r="O2027"/>
      <c r="P2027"/>
      <c r="Q2027"/>
      <c r="R2027"/>
      <c r="S2027"/>
    </row>
    <row r="2028" spans="12:19">
      <c r="L2028"/>
      <c r="M2028"/>
      <c r="N2028"/>
      <c r="O2028"/>
      <c r="P2028"/>
      <c r="Q2028"/>
      <c r="R2028"/>
      <c r="S2028"/>
    </row>
    <row r="2029" spans="12:19">
      <c r="L2029"/>
      <c r="M2029"/>
      <c r="N2029"/>
      <c r="O2029"/>
      <c r="P2029"/>
      <c r="Q2029"/>
      <c r="R2029"/>
      <c r="S2029"/>
    </row>
    <row r="2030" spans="12:19">
      <c r="L2030"/>
      <c r="M2030"/>
      <c r="N2030"/>
      <c r="O2030"/>
      <c r="P2030"/>
      <c r="Q2030"/>
      <c r="R2030"/>
      <c r="S2030"/>
    </row>
    <row r="2031" spans="12:19">
      <c r="L2031"/>
      <c r="M2031"/>
      <c r="N2031"/>
      <c r="O2031"/>
      <c r="P2031"/>
      <c r="Q2031"/>
      <c r="R2031"/>
      <c r="S2031"/>
    </row>
    <row r="2032" spans="12:19">
      <c r="L2032"/>
      <c r="M2032"/>
      <c r="N2032"/>
      <c r="O2032"/>
      <c r="P2032"/>
      <c r="Q2032"/>
      <c r="R2032"/>
      <c r="S2032"/>
    </row>
    <row r="2033" spans="12:19">
      <c r="L2033"/>
      <c r="M2033"/>
      <c r="N2033"/>
      <c r="O2033"/>
      <c r="P2033"/>
      <c r="Q2033"/>
      <c r="R2033"/>
      <c r="S2033"/>
    </row>
    <row r="2034" spans="12:19">
      <c r="L2034"/>
      <c r="M2034"/>
      <c r="N2034"/>
      <c r="O2034"/>
      <c r="P2034"/>
      <c r="Q2034"/>
      <c r="R2034"/>
      <c r="S2034"/>
    </row>
    <row r="2035" spans="12:19">
      <c r="L2035"/>
      <c r="M2035"/>
      <c r="N2035"/>
      <c r="O2035"/>
      <c r="P2035"/>
      <c r="Q2035"/>
      <c r="R2035"/>
      <c r="S2035"/>
    </row>
    <row r="2036" spans="12:19">
      <c r="L2036"/>
      <c r="M2036"/>
      <c r="N2036"/>
      <c r="O2036"/>
      <c r="P2036"/>
      <c r="Q2036"/>
      <c r="R2036"/>
      <c r="S2036"/>
    </row>
    <row r="2037" spans="12:19">
      <c r="L2037"/>
      <c r="M2037"/>
      <c r="N2037"/>
      <c r="O2037"/>
      <c r="P2037"/>
      <c r="Q2037"/>
      <c r="R2037"/>
      <c r="S2037"/>
    </row>
    <row r="2038" spans="12:19">
      <c r="L2038"/>
      <c r="M2038"/>
      <c r="N2038"/>
      <c r="O2038"/>
      <c r="P2038"/>
      <c r="Q2038"/>
      <c r="R2038"/>
      <c r="S2038"/>
    </row>
    <row r="2039" spans="12:19">
      <c r="L2039"/>
      <c r="M2039"/>
      <c r="N2039"/>
      <c r="O2039"/>
      <c r="P2039"/>
      <c r="Q2039"/>
      <c r="R2039"/>
      <c r="S2039"/>
    </row>
    <row r="2040" spans="12:19">
      <c r="L2040"/>
      <c r="M2040"/>
      <c r="N2040"/>
      <c r="O2040"/>
      <c r="P2040"/>
      <c r="Q2040"/>
      <c r="R2040"/>
      <c r="S2040"/>
    </row>
    <row r="2041" spans="12:19">
      <c r="L2041"/>
      <c r="M2041"/>
      <c r="N2041"/>
      <c r="O2041"/>
      <c r="P2041"/>
      <c r="Q2041"/>
      <c r="R2041"/>
      <c r="S2041"/>
    </row>
    <row r="2042" spans="12:19">
      <c r="L2042"/>
      <c r="M2042"/>
      <c r="N2042"/>
      <c r="O2042"/>
      <c r="P2042"/>
      <c r="Q2042"/>
      <c r="R2042"/>
      <c r="S2042"/>
    </row>
    <row r="2043" spans="12:19">
      <c r="L2043"/>
      <c r="M2043"/>
      <c r="N2043"/>
      <c r="O2043"/>
      <c r="P2043"/>
      <c r="Q2043"/>
      <c r="R2043"/>
      <c r="S2043"/>
    </row>
    <row r="2044" spans="12:19">
      <c r="L2044"/>
      <c r="M2044"/>
      <c r="N2044"/>
      <c r="O2044"/>
      <c r="P2044"/>
      <c r="Q2044"/>
      <c r="R2044"/>
      <c r="S2044"/>
    </row>
    <row r="2045" spans="12:19">
      <c r="L2045"/>
      <c r="M2045"/>
      <c r="N2045"/>
      <c r="O2045"/>
      <c r="P2045"/>
      <c r="Q2045"/>
      <c r="R2045"/>
      <c r="S2045"/>
    </row>
    <row r="2046" spans="12:19">
      <c r="L2046"/>
      <c r="M2046"/>
      <c r="N2046"/>
      <c r="O2046"/>
      <c r="P2046"/>
      <c r="Q2046"/>
      <c r="R2046"/>
      <c r="S2046"/>
    </row>
    <row r="2047" spans="12:19">
      <c r="L2047"/>
      <c r="M2047"/>
      <c r="N2047"/>
      <c r="O2047"/>
      <c r="P2047"/>
      <c r="Q2047"/>
      <c r="R2047"/>
      <c r="S2047"/>
    </row>
    <row r="2048" spans="12:19">
      <c r="L2048"/>
      <c r="M2048"/>
      <c r="N2048"/>
      <c r="O2048"/>
      <c r="P2048"/>
      <c r="Q2048"/>
      <c r="R2048"/>
      <c r="S2048"/>
    </row>
    <row r="2049" spans="12:19">
      <c r="L2049"/>
      <c r="M2049"/>
      <c r="N2049"/>
      <c r="O2049"/>
      <c r="P2049"/>
      <c r="Q2049"/>
      <c r="R2049"/>
      <c r="S2049"/>
    </row>
    <row r="2050" spans="12:19">
      <c r="L2050"/>
      <c r="M2050"/>
      <c r="N2050"/>
      <c r="O2050"/>
      <c r="P2050"/>
      <c r="Q2050"/>
      <c r="R2050"/>
      <c r="S2050"/>
    </row>
    <row r="2051" spans="12:19">
      <c r="L2051"/>
      <c r="M2051"/>
      <c r="N2051"/>
      <c r="O2051"/>
      <c r="P2051"/>
      <c r="Q2051"/>
      <c r="R2051"/>
      <c r="S2051"/>
    </row>
    <row r="2052" spans="12:19">
      <c r="L2052"/>
      <c r="M2052"/>
      <c r="N2052"/>
      <c r="O2052"/>
      <c r="P2052"/>
      <c r="Q2052"/>
      <c r="R2052"/>
      <c r="S2052"/>
    </row>
    <row r="2053" spans="12:19">
      <c r="L2053"/>
      <c r="M2053"/>
      <c r="N2053"/>
      <c r="O2053"/>
      <c r="P2053"/>
      <c r="Q2053"/>
      <c r="R2053"/>
      <c r="S2053"/>
    </row>
    <row r="2054" spans="12:19">
      <c r="L2054"/>
      <c r="M2054"/>
      <c r="N2054"/>
      <c r="O2054"/>
      <c r="P2054"/>
      <c r="Q2054"/>
      <c r="R2054"/>
      <c r="S2054"/>
    </row>
    <row r="2055" spans="12:19">
      <c r="L2055"/>
      <c r="M2055"/>
      <c r="N2055"/>
      <c r="O2055"/>
      <c r="P2055"/>
      <c r="Q2055"/>
      <c r="R2055"/>
      <c r="S2055"/>
    </row>
    <row r="2056" spans="12:19">
      <c r="L2056"/>
      <c r="M2056"/>
      <c r="N2056"/>
      <c r="O2056"/>
      <c r="P2056"/>
      <c r="Q2056"/>
      <c r="R2056"/>
      <c r="S2056"/>
    </row>
    <row r="2057" spans="12:19">
      <c r="L2057"/>
      <c r="M2057"/>
      <c r="N2057"/>
      <c r="O2057"/>
      <c r="P2057"/>
      <c r="Q2057"/>
      <c r="R2057"/>
      <c r="S2057"/>
    </row>
    <row r="2058" spans="12:19">
      <c r="L2058"/>
      <c r="M2058"/>
      <c r="N2058"/>
      <c r="O2058"/>
      <c r="P2058"/>
      <c r="Q2058"/>
      <c r="R2058"/>
      <c r="S2058"/>
    </row>
    <row r="2059" spans="12:19">
      <c r="L2059"/>
      <c r="M2059"/>
      <c r="N2059"/>
      <c r="O2059"/>
      <c r="P2059"/>
      <c r="Q2059"/>
      <c r="R2059"/>
      <c r="S2059"/>
    </row>
    <row r="2060" spans="12:19">
      <c r="L2060"/>
      <c r="M2060"/>
      <c r="N2060"/>
      <c r="O2060"/>
      <c r="P2060"/>
      <c r="Q2060"/>
      <c r="R2060"/>
      <c r="S2060"/>
    </row>
    <row r="2061" spans="12:19">
      <c r="L2061"/>
      <c r="M2061"/>
      <c r="N2061"/>
      <c r="O2061"/>
      <c r="P2061"/>
      <c r="Q2061"/>
      <c r="R2061"/>
      <c r="S2061"/>
    </row>
    <row r="2062" spans="12:19">
      <c r="L2062"/>
      <c r="M2062"/>
      <c r="N2062"/>
      <c r="O2062"/>
      <c r="P2062"/>
      <c r="Q2062"/>
      <c r="R2062"/>
      <c r="S2062"/>
    </row>
    <row r="2063" spans="12:19">
      <c r="L2063"/>
      <c r="M2063"/>
      <c r="N2063"/>
      <c r="O2063"/>
      <c r="P2063"/>
      <c r="Q2063"/>
      <c r="R2063"/>
      <c r="S2063"/>
    </row>
    <row r="2064" spans="12:19">
      <c r="L2064"/>
      <c r="M2064"/>
      <c r="N2064"/>
      <c r="O2064"/>
      <c r="P2064"/>
      <c r="Q2064"/>
      <c r="R2064"/>
      <c r="S2064"/>
    </row>
    <row r="2065" spans="12:19">
      <c r="L2065"/>
      <c r="M2065"/>
      <c r="N2065"/>
      <c r="O2065"/>
      <c r="P2065"/>
      <c r="Q2065"/>
      <c r="R2065"/>
      <c r="S2065"/>
    </row>
    <row r="2066" spans="12:19">
      <c r="L2066"/>
      <c r="M2066"/>
      <c r="N2066"/>
      <c r="O2066"/>
      <c r="P2066"/>
      <c r="Q2066"/>
      <c r="R2066"/>
      <c r="S2066"/>
    </row>
    <row r="2067" spans="12:19">
      <c r="L2067"/>
      <c r="M2067"/>
      <c r="N2067"/>
      <c r="O2067"/>
      <c r="P2067"/>
      <c r="Q2067"/>
      <c r="R2067"/>
      <c r="S2067"/>
    </row>
    <row r="2068" spans="12:19">
      <c r="L2068"/>
      <c r="M2068"/>
      <c r="N2068"/>
      <c r="O2068"/>
      <c r="P2068"/>
      <c r="Q2068"/>
      <c r="R2068"/>
      <c r="S2068"/>
    </row>
    <row r="2069" spans="12:19">
      <c r="L2069"/>
      <c r="M2069"/>
      <c r="N2069"/>
      <c r="O2069"/>
      <c r="P2069"/>
      <c r="Q2069"/>
      <c r="R2069"/>
      <c r="S2069"/>
    </row>
    <row r="2070" spans="12:19">
      <c r="L2070"/>
      <c r="M2070"/>
      <c r="N2070"/>
      <c r="O2070"/>
      <c r="P2070"/>
      <c r="Q2070"/>
      <c r="R2070"/>
      <c r="S2070"/>
    </row>
    <row r="2071" spans="12:19">
      <c r="L2071"/>
      <c r="M2071"/>
      <c r="N2071"/>
      <c r="O2071"/>
      <c r="P2071"/>
      <c r="Q2071"/>
      <c r="R2071"/>
      <c r="S2071"/>
    </row>
    <row r="2072" spans="12:19">
      <c r="L2072"/>
      <c r="M2072"/>
      <c r="N2072"/>
      <c r="O2072"/>
      <c r="P2072"/>
      <c r="Q2072"/>
      <c r="R2072"/>
      <c r="S2072"/>
    </row>
    <row r="2073" spans="12:19">
      <c r="L2073"/>
      <c r="M2073"/>
      <c r="N2073"/>
      <c r="O2073"/>
      <c r="P2073"/>
      <c r="Q2073"/>
      <c r="R2073"/>
      <c r="S2073"/>
    </row>
    <row r="2074" spans="12:19">
      <c r="L2074"/>
      <c r="M2074"/>
      <c r="N2074"/>
      <c r="O2074"/>
      <c r="P2074"/>
      <c r="Q2074"/>
      <c r="R2074"/>
      <c r="S2074"/>
    </row>
    <row r="2075" spans="12:19">
      <c r="L2075"/>
      <c r="M2075"/>
      <c r="N2075"/>
      <c r="O2075"/>
      <c r="P2075"/>
      <c r="Q2075"/>
      <c r="R2075"/>
      <c r="S2075"/>
    </row>
    <row r="2076" spans="12:19">
      <c r="L2076"/>
      <c r="M2076"/>
      <c r="N2076"/>
      <c r="O2076"/>
      <c r="P2076"/>
      <c r="Q2076"/>
      <c r="R2076"/>
      <c r="S2076"/>
    </row>
    <row r="2077" spans="12:19">
      <c r="L2077"/>
      <c r="M2077"/>
      <c r="N2077"/>
      <c r="O2077"/>
      <c r="P2077"/>
      <c r="Q2077"/>
      <c r="R2077"/>
      <c r="S2077"/>
    </row>
    <row r="2078" spans="12:19">
      <c r="L2078"/>
      <c r="M2078"/>
      <c r="N2078"/>
      <c r="O2078"/>
      <c r="P2078"/>
      <c r="Q2078"/>
      <c r="R2078"/>
      <c r="S2078"/>
    </row>
    <row r="2079" spans="12:19">
      <c r="L2079"/>
      <c r="M2079"/>
      <c r="N2079"/>
      <c r="O2079"/>
      <c r="P2079"/>
      <c r="Q2079"/>
      <c r="R2079"/>
      <c r="S2079"/>
    </row>
    <row r="2080" spans="12:19">
      <c r="L2080"/>
      <c r="M2080"/>
      <c r="N2080"/>
      <c r="O2080"/>
      <c r="P2080"/>
      <c r="Q2080"/>
      <c r="R2080"/>
      <c r="S2080"/>
    </row>
    <row r="2081" spans="12:19">
      <c r="L2081"/>
      <c r="M2081"/>
      <c r="N2081"/>
      <c r="O2081"/>
      <c r="P2081"/>
      <c r="Q2081"/>
      <c r="R2081"/>
      <c r="S2081"/>
    </row>
    <row r="2082" spans="12:19">
      <c r="L2082"/>
      <c r="M2082"/>
      <c r="N2082"/>
      <c r="O2082"/>
      <c r="P2082"/>
      <c r="Q2082"/>
      <c r="R2082"/>
      <c r="S2082"/>
    </row>
    <row r="2083" spans="12:19">
      <c r="L2083"/>
      <c r="M2083"/>
      <c r="N2083"/>
      <c r="O2083"/>
      <c r="P2083"/>
      <c r="Q2083"/>
      <c r="R2083"/>
      <c r="S2083"/>
    </row>
    <row r="2084" spans="12:19">
      <c r="L2084"/>
      <c r="M2084"/>
      <c r="N2084"/>
      <c r="O2084"/>
      <c r="P2084"/>
      <c r="Q2084"/>
      <c r="R2084"/>
      <c r="S2084"/>
    </row>
    <row r="2085" spans="12:19">
      <c r="L2085"/>
      <c r="M2085"/>
      <c r="N2085"/>
      <c r="O2085"/>
      <c r="P2085"/>
      <c r="Q2085"/>
      <c r="R2085"/>
      <c r="S2085"/>
    </row>
    <row r="2086" spans="12:19">
      <c r="L2086"/>
      <c r="M2086"/>
      <c r="N2086"/>
      <c r="O2086"/>
      <c r="P2086"/>
      <c r="Q2086"/>
      <c r="R2086"/>
      <c r="S2086"/>
    </row>
    <row r="2087" spans="12:19">
      <c r="L2087"/>
      <c r="M2087"/>
      <c r="N2087"/>
      <c r="O2087"/>
      <c r="P2087"/>
      <c r="Q2087"/>
      <c r="R2087"/>
      <c r="S2087"/>
    </row>
    <row r="2088" spans="12:19">
      <c r="L2088"/>
      <c r="M2088"/>
      <c r="N2088"/>
      <c r="O2088"/>
      <c r="P2088"/>
      <c r="Q2088"/>
      <c r="R2088"/>
      <c r="S2088"/>
    </row>
    <row r="2089" spans="12:19">
      <c r="L2089"/>
      <c r="M2089"/>
      <c r="N2089"/>
      <c r="O2089"/>
      <c r="P2089"/>
      <c r="Q2089"/>
      <c r="R2089"/>
      <c r="S2089"/>
    </row>
    <row r="2090" spans="12:19">
      <c r="L2090"/>
      <c r="M2090"/>
      <c r="N2090"/>
      <c r="O2090"/>
      <c r="P2090"/>
      <c r="Q2090"/>
      <c r="R2090"/>
      <c r="S2090"/>
    </row>
    <row r="2091" spans="12:19">
      <c r="L2091"/>
      <c r="M2091"/>
      <c r="N2091"/>
      <c r="O2091"/>
      <c r="P2091"/>
      <c r="Q2091"/>
      <c r="R2091"/>
      <c r="S2091"/>
    </row>
    <row r="2092" spans="12:19">
      <c r="L2092"/>
      <c r="M2092"/>
      <c r="N2092"/>
      <c r="O2092"/>
      <c r="P2092"/>
      <c r="Q2092"/>
      <c r="R2092"/>
      <c r="S2092"/>
    </row>
    <row r="2093" spans="12:19">
      <c r="L2093"/>
      <c r="M2093"/>
      <c r="N2093"/>
      <c r="O2093"/>
      <c r="P2093"/>
      <c r="Q2093"/>
      <c r="R2093"/>
      <c r="S2093"/>
    </row>
    <row r="2094" spans="12:19">
      <c r="L2094"/>
      <c r="M2094"/>
      <c r="N2094"/>
      <c r="O2094"/>
      <c r="P2094"/>
      <c r="Q2094"/>
      <c r="R2094"/>
      <c r="S2094"/>
    </row>
    <row r="2095" spans="12:19">
      <c r="L2095"/>
      <c r="M2095"/>
      <c r="N2095"/>
      <c r="O2095"/>
      <c r="P2095"/>
      <c r="Q2095"/>
      <c r="R2095"/>
      <c r="S2095"/>
    </row>
    <row r="2096" spans="12:19">
      <c r="L2096"/>
      <c r="M2096"/>
      <c r="N2096"/>
      <c r="O2096"/>
      <c r="P2096"/>
      <c r="Q2096"/>
      <c r="R2096"/>
      <c r="S2096"/>
    </row>
    <row r="2097" spans="12:19">
      <c r="L2097"/>
      <c r="M2097"/>
      <c r="N2097"/>
      <c r="O2097"/>
      <c r="P2097"/>
      <c r="Q2097"/>
      <c r="R2097"/>
      <c r="S2097"/>
    </row>
    <row r="2098" spans="12:19">
      <c r="L2098"/>
      <c r="M2098"/>
      <c r="N2098"/>
      <c r="O2098"/>
      <c r="P2098"/>
      <c r="Q2098"/>
      <c r="R2098"/>
      <c r="S2098"/>
    </row>
    <row r="2099" spans="12:19">
      <c r="L2099"/>
      <c r="M2099"/>
      <c r="N2099"/>
      <c r="O2099"/>
      <c r="P2099"/>
      <c r="Q2099"/>
      <c r="R2099"/>
      <c r="S2099"/>
    </row>
    <row r="2100" spans="12:19">
      <c r="L2100"/>
      <c r="M2100"/>
      <c r="N2100"/>
      <c r="O2100"/>
      <c r="P2100"/>
      <c r="Q2100"/>
      <c r="R2100"/>
      <c r="S2100"/>
    </row>
    <row r="2101" spans="12:19">
      <c r="L2101"/>
      <c r="M2101"/>
      <c r="N2101"/>
      <c r="O2101"/>
      <c r="P2101"/>
      <c r="Q2101"/>
      <c r="R2101"/>
      <c r="S2101"/>
    </row>
    <row r="2102" spans="12:19">
      <c r="L2102"/>
      <c r="M2102"/>
      <c r="N2102"/>
      <c r="O2102"/>
      <c r="P2102"/>
      <c r="Q2102"/>
      <c r="R2102"/>
      <c r="S2102"/>
    </row>
    <row r="2103" spans="12:19">
      <c r="L2103"/>
      <c r="M2103"/>
      <c r="N2103"/>
      <c r="O2103"/>
      <c r="P2103"/>
      <c r="Q2103"/>
      <c r="R2103"/>
      <c r="S2103"/>
    </row>
    <row r="2104" spans="12:19">
      <c r="L2104"/>
      <c r="M2104"/>
      <c r="N2104"/>
      <c r="O2104"/>
      <c r="P2104"/>
      <c r="Q2104"/>
      <c r="R2104"/>
      <c r="S2104"/>
    </row>
    <row r="2105" spans="12:19">
      <c r="L2105"/>
      <c r="M2105"/>
      <c r="N2105"/>
      <c r="O2105"/>
      <c r="P2105"/>
      <c r="Q2105"/>
      <c r="R2105"/>
      <c r="S2105"/>
    </row>
    <row r="2106" spans="12:19">
      <c r="L2106"/>
      <c r="M2106"/>
      <c r="N2106"/>
      <c r="O2106"/>
      <c r="P2106"/>
      <c r="Q2106"/>
      <c r="R2106"/>
      <c r="S2106"/>
    </row>
    <row r="2107" spans="12:19">
      <c r="L2107"/>
      <c r="M2107"/>
      <c r="N2107"/>
      <c r="O2107"/>
      <c r="P2107"/>
      <c r="Q2107"/>
      <c r="R2107"/>
      <c r="S2107"/>
    </row>
    <row r="2108" spans="12:19">
      <c r="L2108"/>
      <c r="M2108"/>
      <c r="N2108"/>
      <c r="O2108"/>
      <c r="P2108"/>
      <c r="Q2108"/>
      <c r="R2108"/>
      <c r="S2108"/>
    </row>
    <row r="2109" spans="12:19">
      <c r="L2109"/>
      <c r="M2109"/>
      <c r="N2109"/>
      <c r="O2109"/>
      <c r="P2109"/>
      <c r="Q2109"/>
      <c r="R2109"/>
      <c r="S2109"/>
    </row>
    <row r="2110" spans="12:19">
      <c r="L2110"/>
      <c r="M2110"/>
      <c r="N2110"/>
      <c r="O2110"/>
      <c r="P2110"/>
      <c r="Q2110"/>
      <c r="R2110"/>
      <c r="S2110"/>
    </row>
    <row r="2111" spans="12:19">
      <c r="L2111"/>
      <c r="M2111"/>
      <c r="N2111"/>
      <c r="O2111"/>
      <c r="P2111"/>
      <c r="Q2111"/>
      <c r="R2111"/>
      <c r="S2111"/>
    </row>
    <row r="2112" spans="12:19">
      <c r="L2112"/>
      <c r="M2112"/>
      <c r="N2112"/>
      <c r="O2112"/>
      <c r="P2112"/>
      <c r="Q2112"/>
      <c r="R2112"/>
      <c r="S2112"/>
    </row>
    <row r="2113" spans="12:19">
      <c r="L2113"/>
      <c r="M2113"/>
      <c r="N2113"/>
      <c r="O2113"/>
      <c r="P2113"/>
      <c r="Q2113"/>
      <c r="R2113"/>
      <c r="S2113"/>
    </row>
    <row r="2114" spans="12:19">
      <c r="L2114"/>
      <c r="M2114"/>
      <c r="N2114"/>
      <c r="O2114"/>
      <c r="P2114"/>
      <c r="Q2114"/>
      <c r="R2114"/>
      <c r="S2114"/>
    </row>
    <row r="2115" spans="12:19">
      <c r="L2115"/>
      <c r="M2115"/>
      <c r="N2115"/>
      <c r="O2115"/>
      <c r="P2115"/>
      <c r="Q2115"/>
      <c r="R2115"/>
      <c r="S2115"/>
    </row>
    <row r="2116" spans="12:19">
      <c r="L2116"/>
      <c r="M2116"/>
      <c r="N2116"/>
      <c r="O2116"/>
      <c r="P2116"/>
      <c r="Q2116"/>
      <c r="R2116"/>
      <c r="S2116"/>
    </row>
    <row r="2117" spans="12:19">
      <c r="L2117"/>
      <c r="M2117"/>
      <c r="N2117"/>
      <c r="O2117"/>
      <c r="P2117"/>
      <c r="Q2117"/>
      <c r="R2117"/>
      <c r="S2117"/>
    </row>
    <row r="2118" spans="12:19">
      <c r="L2118"/>
      <c r="M2118"/>
      <c r="N2118"/>
      <c r="O2118"/>
      <c r="P2118"/>
      <c r="Q2118"/>
      <c r="R2118"/>
      <c r="S2118"/>
    </row>
    <row r="2119" spans="12:19">
      <c r="L2119"/>
      <c r="M2119"/>
      <c r="N2119"/>
      <c r="O2119"/>
      <c r="P2119"/>
      <c r="Q2119"/>
      <c r="R2119"/>
      <c r="S2119"/>
    </row>
    <row r="2120" spans="12:19">
      <c r="L2120"/>
      <c r="M2120"/>
      <c r="N2120"/>
      <c r="O2120"/>
      <c r="P2120"/>
      <c r="Q2120"/>
      <c r="R2120"/>
      <c r="S2120"/>
    </row>
    <row r="2121" spans="12:19">
      <c r="L2121"/>
      <c r="M2121"/>
      <c r="N2121"/>
      <c r="O2121"/>
      <c r="P2121"/>
      <c r="Q2121"/>
      <c r="R2121"/>
      <c r="S2121"/>
    </row>
    <row r="2122" spans="12:19">
      <c r="L2122"/>
      <c r="M2122"/>
      <c r="N2122"/>
      <c r="O2122"/>
      <c r="P2122"/>
      <c r="Q2122"/>
      <c r="R2122"/>
      <c r="S2122"/>
    </row>
    <row r="2123" spans="12:19">
      <c r="L2123"/>
      <c r="M2123"/>
      <c r="N2123"/>
      <c r="O2123"/>
      <c r="P2123"/>
      <c r="Q2123"/>
      <c r="R2123"/>
      <c r="S2123"/>
    </row>
    <row r="2124" spans="12:19">
      <c r="L2124"/>
      <c r="M2124"/>
      <c r="N2124"/>
      <c r="O2124"/>
      <c r="P2124"/>
      <c r="Q2124"/>
      <c r="R2124"/>
      <c r="S2124"/>
    </row>
    <row r="2125" spans="12:19">
      <c r="L2125"/>
      <c r="M2125"/>
      <c r="N2125"/>
      <c r="O2125"/>
      <c r="P2125"/>
      <c r="Q2125"/>
      <c r="R2125"/>
      <c r="S2125"/>
    </row>
    <row r="2126" spans="12:19">
      <c r="L2126"/>
      <c r="M2126"/>
      <c r="N2126"/>
      <c r="O2126"/>
      <c r="P2126"/>
      <c r="Q2126"/>
      <c r="R2126"/>
      <c r="S2126"/>
    </row>
    <row r="2127" spans="12:19">
      <c r="L2127"/>
      <c r="M2127"/>
      <c r="N2127"/>
      <c r="O2127"/>
      <c r="P2127"/>
      <c r="Q2127"/>
      <c r="R2127"/>
      <c r="S2127"/>
    </row>
    <row r="2128" spans="12:19">
      <c r="L2128"/>
      <c r="M2128"/>
      <c r="N2128"/>
      <c r="O2128"/>
      <c r="P2128"/>
      <c r="Q2128"/>
      <c r="R2128"/>
      <c r="S2128"/>
    </row>
    <row r="2129" spans="12:19">
      <c r="L2129"/>
      <c r="M2129"/>
      <c r="N2129"/>
      <c r="O2129"/>
      <c r="P2129"/>
      <c r="Q2129"/>
      <c r="R2129"/>
      <c r="S2129"/>
    </row>
    <row r="2130" spans="12:19">
      <c r="L2130"/>
      <c r="M2130"/>
      <c r="N2130"/>
      <c r="O2130"/>
      <c r="P2130"/>
      <c r="Q2130"/>
      <c r="R2130"/>
      <c r="S2130"/>
    </row>
    <row r="2131" spans="12:19">
      <c r="L2131"/>
      <c r="M2131"/>
      <c r="N2131"/>
      <c r="O2131"/>
      <c r="P2131"/>
      <c r="Q2131"/>
      <c r="R2131"/>
      <c r="S2131"/>
    </row>
    <row r="2132" spans="12:19">
      <c r="L2132"/>
      <c r="M2132"/>
      <c r="N2132"/>
      <c r="O2132"/>
      <c r="P2132"/>
      <c r="Q2132"/>
      <c r="R2132"/>
      <c r="S2132"/>
    </row>
    <row r="2133" spans="12:19">
      <c r="L2133"/>
      <c r="M2133"/>
      <c r="N2133"/>
      <c r="O2133"/>
      <c r="P2133"/>
      <c r="Q2133"/>
      <c r="R2133"/>
      <c r="S2133"/>
    </row>
    <row r="2134" spans="12:19">
      <c r="L2134"/>
      <c r="M2134"/>
      <c r="N2134"/>
      <c r="O2134"/>
      <c r="P2134"/>
      <c r="Q2134"/>
      <c r="R2134"/>
      <c r="S2134"/>
    </row>
    <row r="2135" spans="12:19">
      <c r="L2135"/>
      <c r="M2135"/>
      <c r="N2135"/>
      <c r="O2135"/>
      <c r="P2135"/>
      <c r="Q2135"/>
      <c r="R2135"/>
      <c r="S2135"/>
    </row>
    <row r="2136" spans="12:19">
      <c r="L2136"/>
      <c r="M2136"/>
      <c r="N2136"/>
      <c r="O2136"/>
      <c r="P2136"/>
      <c r="Q2136"/>
      <c r="R2136"/>
      <c r="S2136"/>
    </row>
    <row r="2137" spans="12:19">
      <c r="L2137"/>
      <c r="M2137"/>
      <c r="N2137"/>
      <c r="O2137"/>
      <c r="P2137"/>
      <c r="Q2137"/>
      <c r="R2137"/>
      <c r="S2137"/>
    </row>
    <row r="2138" spans="12:19">
      <c r="L2138"/>
      <c r="M2138"/>
      <c r="N2138"/>
      <c r="O2138"/>
      <c r="P2138"/>
      <c r="Q2138"/>
      <c r="R2138"/>
      <c r="S2138"/>
    </row>
    <row r="2139" spans="12:19">
      <c r="L2139"/>
      <c r="M2139"/>
      <c r="N2139"/>
      <c r="O2139"/>
      <c r="P2139"/>
      <c r="Q2139"/>
      <c r="R2139"/>
      <c r="S2139"/>
    </row>
    <row r="2140" spans="12:19">
      <c r="L2140"/>
      <c r="M2140"/>
      <c r="N2140"/>
      <c r="O2140"/>
      <c r="P2140"/>
      <c r="Q2140"/>
      <c r="R2140"/>
      <c r="S2140"/>
    </row>
    <row r="2141" spans="12:19">
      <c r="L2141"/>
      <c r="M2141"/>
      <c r="N2141"/>
      <c r="O2141"/>
      <c r="P2141"/>
      <c r="Q2141"/>
      <c r="R2141"/>
      <c r="S2141"/>
    </row>
    <row r="2142" spans="12:19">
      <c r="L2142"/>
      <c r="M2142"/>
      <c r="N2142"/>
      <c r="O2142"/>
      <c r="P2142"/>
      <c r="Q2142"/>
      <c r="R2142"/>
      <c r="S2142"/>
    </row>
    <row r="2143" spans="12:19">
      <c r="L2143"/>
      <c r="M2143"/>
      <c r="N2143"/>
      <c r="O2143"/>
      <c r="P2143"/>
      <c r="Q2143"/>
      <c r="R2143"/>
      <c r="S2143"/>
    </row>
    <row r="2144" spans="12:19">
      <c r="L2144"/>
      <c r="M2144"/>
      <c r="N2144"/>
      <c r="O2144"/>
      <c r="P2144"/>
      <c r="Q2144"/>
      <c r="R2144"/>
      <c r="S2144"/>
    </row>
    <row r="2145" spans="12:19">
      <c r="L2145"/>
      <c r="M2145"/>
      <c r="N2145"/>
      <c r="O2145"/>
      <c r="P2145"/>
      <c r="Q2145"/>
      <c r="R2145"/>
      <c r="S2145"/>
    </row>
    <row r="2146" spans="12:19">
      <c r="L2146"/>
      <c r="M2146"/>
      <c r="N2146"/>
      <c r="O2146"/>
      <c r="P2146"/>
      <c r="Q2146"/>
      <c r="R2146"/>
      <c r="S2146"/>
    </row>
    <row r="2147" spans="12:19">
      <c r="L2147"/>
      <c r="M2147"/>
      <c r="N2147"/>
      <c r="O2147"/>
      <c r="P2147"/>
      <c r="Q2147"/>
      <c r="R2147"/>
      <c r="S2147"/>
    </row>
    <row r="2148" spans="12:19">
      <c r="L2148"/>
      <c r="M2148"/>
      <c r="N2148"/>
      <c r="O2148"/>
      <c r="P2148"/>
      <c r="Q2148"/>
      <c r="R2148"/>
      <c r="S2148"/>
    </row>
    <row r="2149" spans="12:19">
      <c r="L2149"/>
      <c r="M2149"/>
      <c r="N2149"/>
      <c r="O2149"/>
      <c r="P2149"/>
      <c r="Q2149"/>
      <c r="R2149"/>
      <c r="S2149"/>
    </row>
    <row r="2150" spans="12:19">
      <c r="L2150"/>
      <c r="M2150"/>
      <c r="N2150"/>
      <c r="O2150"/>
      <c r="P2150"/>
      <c r="Q2150"/>
      <c r="R2150"/>
      <c r="S2150"/>
    </row>
    <row r="2151" spans="12:19">
      <c r="L2151"/>
      <c r="M2151"/>
      <c r="N2151"/>
      <c r="O2151"/>
      <c r="P2151"/>
      <c r="Q2151"/>
      <c r="R2151"/>
      <c r="S2151"/>
    </row>
    <row r="2152" spans="12:19">
      <c r="L2152"/>
      <c r="M2152"/>
      <c r="N2152"/>
      <c r="O2152"/>
      <c r="P2152"/>
      <c r="Q2152"/>
      <c r="R2152"/>
      <c r="S2152"/>
    </row>
    <row r="2153" spans="12:19">
      <c r="L2153"/>
      <c r="M2153"/>
      <c r="N2153"/>
      <c r="O2153"/>
      <c r="P2153"/>
      <c r="Q2153"/>
      <c r="R2153"/>
      <c r="S2153"/>
    </row>
    <row r="2154" spans="12:19">
      <c r="L2154"/>
      <c r="M2154"/>
      <c r="N2154"/>
      <c r="O2154"/>
      <c r="P2154"/>
      <c r="Q2154"/>
      <c r="R2154"/>
      <c r="S2154"/>
    </row>
    <row r="2155" spans="12:19">
      <c r="L2155"/>
      <c r="M2155"/>
      <c r="N2155"/>
      <c r="O2155"/>
      <c r="P2155"/>
      <c r="Q2155"/>
      <c r="R2155"/>
      <c r="S2155"/>
    </row>
    <row r="2156" spans="12:19">
      <c r="L2156"/>
      <c r="M2156"/>
      <c r="N2156"/>
      <c r="O2156"/>
      <c r="P2156"/>
      <c r="Q2156"/>
      <c r="R2156"/>
      <c r="S2156"/>
    </row>
    <row r="2157" spans="12:19">
      <c r="L2157"/>
      <c r="M2157"/>
      <c r="N2157"/>
      <c r="O2157"/>
      <c r="P2157"/>
      <c r="Q2157"/>
      <c r="R2157"/>
      <c r="S2157"/>
    </row>
    <row r="2158" spans="12:19">
      <c r="L2158"/>
      <c r="M2158"/>
      <c r="N2158"/>
      <c r="O2158"/>
      <c r="P2158"/>
      <c r="Q2158"/>
      <c r="R2158"/>
      <c r="S2158"/>
    </row>
    <row r="2159" spans="12:19">
      <c r="L2159"/>
      <c r="M2159"/>
      <c r="N2159"/>
      <c r="O2159"/>
      <c r="P2159"/>
      <c r="Q2159"/>
      <c r="R2159"/>
      <c r="S2159"/>
    </row>
    <row r="2160" spans="12:19">
      <c r="L2160"/>
      <c r="M2160"/>
      <c r="N2160"/>
      <c r="O2160"/>
      <c r="P2160"/>
      <c r="Q2160"/>
      <c r="R2160"/>
      <c r="S2160"/>
    </row>
    <row r="2161" spans="12:19">
      <c r="L2161"/>
      <c r="M2161"/>
      <c r="N2161"/>
      <c r="O2161"/>
      <c r="P2161"/>
      <c r="Q2161"/>
      <c r="R2161"/>
      <c r="S2161"/>
    </row>
    <row r="2162" spans="12:19">
      <c r="L2162"/>
      <c r="M2162"/>
      <c r="N2162"/>
      <c r="O2162"/>
      <c r="P2162"/>
      <c r="Q2162"/>
      <c r="R2162"/>
      <c r="S2162"/>
    </row>
    <row r="2163" spans="12:19">
      <c r="L2163"/>
      <c r="M2163"/>
      <c r="N2163"/>
      <c r="O2163"/>
      <c r="P2163"/>
      <c r="Q2163"/>
      <c r="R2163"/>
      <c r="S2163"/>
    </row>
    <row r="2164" spans="12:19">
      <c r="L2164"/>
      <c r="M2164"/>
      <c r="N2164"/>
      <c r="O2164"/>
      <c r="P2164"/>
      <c r="Q2164"/>
      <c r="R2164"/>
      <c r="S2164"/>
    </row>
    <row r="2165" spans="12:19">
      <c r="L2165"/>
      <c r="M2165"/>
      <c r="N2165"/>
      <c r="O2165"/>
      <c r="P2165"/>
      <c r="Q2165"/>
      <c r="R2165"/>
      <c r="S2165"/>
    </row>
    <row r="2166" spans="12:19">
      <c r="L2166"/>
      <c r="M2166"/>
      <c r="N2166"/>
      <c r="O2166"/>
      <c r="P2166"/>
      <c r="Q2166"/>
      <c r="R2166"/>
      <c r="S2166"/>
    </row>
    <row r="2167" spans="12:19">
      <c r="L2167"/>
      <c r="M2167"/>
      <c r="N2167"/>
      <c r="O2167"/>
      <c r="P2167"/>
      <c r="Q2167"/>
      <c r="R2167"/>
      <c r="S2167"/>
    </row>
    <row r="2168" spans="12:19">
      <c r="L2168"/>
      <c r="M2168"/>
      <c r="N2168"/>
      <c r="O2168"/>
      <c r="P2168"/>
      <c r="Q2168"/>
      <c r="R2168"/>
      <c r="S2168"/>
    </row>
    <row r="2169" spans="12:19">
      <c r="L2169"/>
      <c r="M2169"/>
      <c r="N2169"/>
      <c r="O2169"/>
      <c r="P2169"/>
      <c r="Q2169"/>
      <c r="R2169"/>
      <c r="S2169"/>
    </row>
    <row r="2170" spans="12:19">
      <c r="L2170"/>
      <c r="M2170"/>
      <c r="N2170"/>
      <c r="O2170"/>
      <c r="P2170"/>
      <c r="Q2170"/>
      <c r="R2170"/>
      <c r="S2170"/>
    </row>
    <row r="2171" spans="12:19">
      <c r="L2171"/>
      <c r="M2171"/>
      <c r="N2171"/>
      <c r="O2171"/>
      <c r="P2171"/>
      <c r="Q2171"/>
      <c r="R2171"/>
      <c r="S2171"/>
    </row>
    <row r="2172" spans="12:19">
      <c r="L2172"/>
      <c r="M2172"/>
      <c r="N2172"/>
      <c r="O2172"/>
      <c r="P2172"/>
      <c r="Q2172"/>
      <c r="R2172"/>
      <c r="S2172"/>
    </row>
    <row r="2173" spans="12:19">
      <c r="L2173"/>
      <c r="M2173"/>
      <c r="N2173"/>
      <c r="O2173"/>
      <c r="P2173"/>
      <c r="Q2173"/>
      <c r="R2173"/>
      <c r="S2173"/>
    </row>
    <row r="2174" spans="12:19">
      <c r="L2174"/>
      <c r="M2174"/>
      <c r="N2174"/>
      <c r="O2174"/>
      <c r="P2174"/>
      <c r="Q2174"/>
      <c r="R2174"/>
      <c r="S2174"/>
    </row>
    <row r="2175" spans="12:19">
      <c r="L2175"/>
      <c r="M2175"/>
      <c r="N2175"/>
      <c r="O2175"/>
      <c r="P2175"/>
      <c r="Q2175"/>
      <c r="R2175"/>
      <c r="S2175"/>
    </row>
    <row r="2176" spans="12:19">
      <c r="L2176"/>
      <c r="M2176"/>
      <c r="N2176"/>
      <c r="O2176"/>
      <c r="P2176"/>
      <c r="Q2176"/>
      <c r="R2176"/>
      <c r="S2176"/>
    </row>
    <row r="2177" spans="12:19">
      <c r="L2177"/>
      <c r="M2177"/>
      <c r="N2177"/>
      <c r="O2177"/>
      <c r="P2177"/>
      <c r="Q2177"/>
      <c r="R2177"/>
      <c r="S2177"/>
    </row>
    <row r="2178" spans="12:19">
      <c r="L2178"/>
      <c r="M2178"/>
      <c r="N2178"/>
      <c r="O2178"/>
      <c r="P2178"/>
      <c r="Q2178"/>
      <c r="R2178"/>
      <c r="S2178"/>
    </row>
    <row r="2179" spans="12:19">
      <c r="L2179"/>
      <c r="M2179"/>
      <c r="N2179"/>
      <c r="O2179"/>
      <c r="P2179"/>
      <c r="Q2179"/>
      <c r="R2179"/>
      <c r="S2179"/>
    </row>
    <row r="2180" spans="12:19">
      <c r="L2180"/>
      <c r="M2180"/>
      <c r="N2180"/>
      <c r="O2180"/>
      <c r="P2180"/>
      <c r="Q2180"/>
      <c r="R2180"/>
      <c r="S2180"/>
    </row>
    <row r="2181" spans="12:19">
      <c r="L2181"/>
      <c r="M2181"/>
      <c r="N2181"/>
      <c r="O2181"/>
      <c r="P2181"/>
      <c r="Q2181"/>
      <c r="R2181"/>
      <c r="S2181"/>
    </row>
    <row r="2182" spans="12:19">
      <c r="L2182"/>
      <c r="M2182"/>
      <c r="N2182"/>
      <c r="O2182"/>
      <c r="P2182"/>
      <c r="Q2182"/>
      <c r="R2182"/>
      <c r="S2182"/>
    </row>
    <row r="2183" spans="12:19">
      <c r="L2183"/>
      <c r="M2183"/>
      <c r="N2183"/>
      <c r="O2183"/>
      <c r="P2183"/>
      <c r="Q2183"/>
      <c r="R2183"/>
      <c r="S2183"/>
    </row>
    <row r="2184" spans="12:19">
      <c r="L2184"/>
      <c r="M2184"/>
      <c r="N2184"/>
      <c r="O2184"/>
      <c r="P2184"/>
      <c r="Q2184"/>
      <c r="R2184"/>
      <c r="S2184"/>
    </row>
    <row r="2185" spans="12:19">
      <c r="L2185"/>
      <c r="M2185"/>
      <c r="N2185"/>
      <c r="O2185"/>
      <c r="P2185"/>
      <c r="Q2185"/>
      <c r="R2185"/>
      <c r="S2185"/>
    </row>
    <row r="2186" spans="12:19">
      <c r="L2186"/>
      <c r="M2186"/>
      <c r="N2186"/>
      <c r="O2186"/>
      <c r="P2186"/>
      <c r="Q2186"/>
      <c r="R2186"/>
      <c r="S2186"/>
    </row>
    <row r="2187" spans="12:19">
      <c r="L2187"/>
      <c r="M2187"/>
      <c r="N2187"/>
      <c r="O2187"/>
      <c r="P2187"/>
      <c r="Q2187"/>
      <c r="R2187"/>
      <c r="S2187"/>
    </row>
    <row r="2188" spans="12:19">
      <c r="L2188"/>
      <c r="M2188"/>
      <c r="N2188"/>
      <c r="O2188"/>
      <c r="P2188"/>
      <c r="Q2188"/>
      <c r="R2188"/>
      <c r="S2188"/>
    </row>
    <row r="2189" spans="12:19">
      <c r="L2189"/>
      <c r="M2189"/>
      <c r="N2189"/>
      <c r="O2189"/>
      <c r="P2189"/>
      <c r="Q2189"/>
      <c r="R2189"/>
      <c r="S2189"/>
    </row>
    <row r="2190" spans="12:19">
      <c r="L2190"/>
      <c r="M2190"/>
      <c r="N2190"/>
      <c r="O2190"/>
      <c r="P2190"/>
      <c r="Q2190"/>
      <c r="R2190"/>
      <c r="S2190"/>
    </row>
    <row r="2191" spans="12:19">
      <c r="L2191"/>
      <c r="M2191"/>
      <c r="N2191"/>
      <c r="O2191"/>
      <c r="P2191"/>
      <c r="Q2191"/>
      <c r="R2191"/>
      <c r="S2191"/>
    </row>
    <row r="2192" spans="12:19">
      <c r="L2192"/>
      <c r="M2192"/>
      <c r="N2192"/>
      <c r="O2192"/>
      <c r="P2192"/>
      <c r="Q2192"/>
      <c r="R2192"/>
      <c r="S2192"/>
    </row>
    <row r="2193" spans="12:19">
      <c r="L2193"/>
      <c r="M2193"/>
      <c r="N2193"/>
      <c r="O2193"/>
      <c r="P2193"/>
      <c r="Q2193"/>
      <c r="R2193"/>
      <c r="S2193"/>
    </row>
    <row r="2194" spans="12:19">
      <c r="L2194"/>
      <c r="M2194"/>
      <c r="N2194"/>
      <c r="O2194"/>
      <c r="P2194"/>
      <c r="Q2194"/>
      <c r="R2194"/>
      <c r="S2194"/>
    </row>
    <row r="2195" spans="12:19">
      <c r="L2195"/>
      <c r="M2195"/>
      <c r="N2195"/>
      <c r="O2195"/>
      <c r="P2195"/>
      <c r="Q2195"/>
      <c r="R2195"/>
      <c r="S2195"/>
    </row>
    <row r="2196" spans="12:19">
      <c r="L2196"/>
      <c r="M2196"/>
      <c r="N2196"/>
      <c r="O2196"/>
      <c r="P2196"/>
      <c r="Q2196"/>
      <c r="R2196"/>
      <c r="S2196"/>
    </row>
    <row r="2197" spans="12:19">
      <c r="L2197"/>
      <c r="M2197"/>
      <c r="N2197"/>
      <c r="O2197"/>
      <c r="P2197"/>
      <c r="Q2197"/>
      <c r="R2197"/>
      <c r="S2197"/>
    </row>
    <row r="2198" spans="12:19">
      <c r="L2198"/>
      <c r="M2198"/>
      <c r="N2198"/>
      <c r="O2198"/>
      <c r="P2198"/>
      <c r="Q2198"/>
      <c r="R2198"/>
      <c r="S2198"/>
    </row>
    <row r="2199" spans="12:19">
      <c r="L2199"/>
      <c r="M2199"/>
      <c r="N2199"/>
      <c r="O2199"/>
      <c r="P2199"/>
      <c r="Q2199"/>
      <c r="R2199"/>
      <c r="S2199"/>
    </row>
    <row r="2200" spans="12:19">
      <c r="L2200"/>
      <c r="M2200"/>
      <c r="N2200"/>
      <c r="O2200"/>
      <c r="P2200"/>
      <c r="Q2200"/>
      <c r="R2200"/>
      <c r="S2200"/>
    </row>
    <row r="2201" spans="12:19">
      <c r="L2201"/>
      <c r="M2201"/>
      <c r="N2201"/>
      <c r="O2201"/>
      <c r="P2201"/>
      <c r="Q2201"/>
      <c r="R2201"/>
      <c r="S2201"/>
    </row>
    <row r="2202" spans="12:19">
      <c r="L2202"/>
      <c r="M2202"/>
      <c r="N2202"/>
      <c r="O2202"/>
      <c r="P2202"/>
      <c r="Q2202"/>
      <c r="R2202"/>
      <c r="S2202"/>
    </row>
    <row r="2203" spans="12:19">
      <c r="L2203"/>
      <c r="M2203"/>
      <c r="N2203"/>
      <c r="O2203"/>
      <c r="P2203"/>
      <c r="Q2203"/>
      <c r="R2203"/>
      <c r="S2203"/>
    </row>
    <row r="2204" spans="12:19">
      <c r="L2204"/>
      <c r="M2204"/>
      <c r="N2204"/>
      <c r="O2204"/>
      <c r="P2204"/>
      <c r="Q2204"/>
      <c r="R2204"/>
      <c r="S2204"/>
    </row>
    <row r="2205" spans="12:19">
      <c r="L2205"/>
      <c r="M2205"/>
      <c r="N2205"/>
      <c r="O2205"/>
      <c r="P2205"/>
      <c r="Q2205"/>
      <c r="R2205"/>
      <c r="S2205"/>
    </row>
    <row r="2206" spans="12:19">
      <c r="L2206"/>
      <c r="M2206"/>
      <c r="N2206"/>
      <c r="O2206"/>
      <c r="P2206"/>
      <c r="Q2206"/>
      <c r="R2206"/>
      <c r="S2206"/>
    </row>
    <row r="2207" spans="12:19">
      <c r="L2207"/>
      <c r="M2207"/>
      <c r="N2207"/>
      <c r="O2207"/>
      <c r="P2207"/>
      <c r="Q2207"/>
      <c r="R2207"/>
      <c r="S2207"/>
    </row>
    <row r="2208" spans="12:19">
      <c r="L2208"/>
      <c r="M2208"/>
      <c r="N2208"/>
      <c r="O2208"/>
      <c r="P2208"/>
      <c r="Q2208"/>
      <c r="R2208"/>
      <c r="S2208"/>
    </row>
    <row r="2209" spans="12:19">
      <c r="L2209"/>
      <c r="M2209"/>
      <c r="N2209"/>
      <c r="O2209"/>
      <c r="P2209"/>
      <c r="Q2209"/>
      <c r="R2209"/>
      <c r="S2209"/>
    </row>
    <row r="2210" spans="12:19">
      <c r="L2210"/>
      <c r="M2210"/>
      <c r="N2210"/>
      <c r="O2210"/>
      <c r="P2210"/>
      <c r="Q2210"/>
      <c r="R2210"/>
      <c r="S2210"/>
    </row>
    <row r="2211" spans="12:19">
      <c r="L2211"/>
      <c r="M2211"/>
      <c r="N2211"/>
      <c r="O2211"/>
      <c r="P2211"/>
      <c r="Q2211"/>
      <c r="R2211"/>
      <c r="S2211"/>
    </row>
    <row r="2212" spans="12:19">
      <c r="L2212"/>
      <c r="M2212"/>
      <c r="N2212"/>
      <c r="O2212"/>
      <c r="P2212"/>
      <c r="Q2212"/>
      <c r="R2212"/>
      <c r="S2212"/>
    </row>
    <row r="2213" spans="12:19">
      <c r="L2213"/>
      <c r="M2213"/>
      <c r="N2213"/>
      <c r="O2213"/>
      <c r="P2213"/>
      <c r="Q2213"/>
      <c r="R2213"/>
      <c r="S2213"/>
    </row>
    <row r="2214" spans="12:19">
      <c r="L2214"/>
      <c r="M2214"/>
      <c r="N2214"/>
      <c r="O2214"/>
      <c r="P2214"/>
      <c r="Q2214"/>
      <c r="R2214"/>
      <c r="S2214"/>
    </row>
    <row r="2215" spans="12:19">
      <c r="L2215"/>
      <c r="M2215"/>
      <c r="N2215"/>
      <c r="O2215"/>
      <c r="P2215"/>
      <c r="Q2215"/>
      <c r="R2215"/>
      <c r="S2215"/>
    </row>
    <row r="2216" spans="12:19">
      <c r="L2216"/>
      <c r="M2216"/>
      <c r="N2216"/>
      <c r="O2216"/>
      <c r="P2216"/>
      <c r="Q2216"/>
      <c r="R2216"/>
      <c r="S2216"/>
    </row>
    <row r="2217" spans="12:19">
      <c r="L2217"/>
      <c r="M2217"/>
      <c r="N2217"/>
      <c r="O2217"/>
      <c r="P2217"/>
      <c r="Q2217"/>
      <c r="R2217"/>
      <c r="S2217"/>
    </row>
    <row r="2218" spans="12:19">
      <c r="L2218"/>
      <c r="M2218"/>
      <c r="N2218"/>
      <c r="O2218"/>
      <c r="P2218"/>
      <c r="Q2218"/>
      <c r="R2218"/>
      <c r="S2218"/>
    </row>
    <row r="2219" spans="12:19">
      <c r="L2219"/>
      <c r="M2219"/>
      <c r="N2219"/>
      <c r="O2219"/>
      <c r="P2219"/>
      <c r="Q2219"/>
      <c r="R2219"/>
      <c r="S2219"/>
    </row>
    <row r="2220" spans="12:19">
      <c r="L2220"/>
      <c r="M2220"/>
      <c r="N2220"/>
      <c r="O2220"/>
      <c r="P2220"/>
      <c r="Q2220"/>
      <c r="R2220"/>
      <c r="S2220"/>
    </row>
    <row r="2221" spans="12:19">
      <c r="L2221"/>
      <c r="M2221"/>
      <c r="N2221"/>
      <c r="O2221"/>
      <c r="P2221"/>
      <c r="Q2221"/>
      <c r="R2221"/>
      <c r="S2221"/>
    </row>
    <row r="2222" spans="12:19">
      <c r="L2222"/>
      <c r="M2222"/>
      <c r="N2222"/>
      <c r="O2222"/>
      <c r="P2222"/>
      <c r="Q2222"/>
      <c r="R2222"/>
      <c r="S2222"/>
    </row>
    <row r="2223" spans="12:19">
      <c r="L2223"/>
      <c r="M2223"/>
      <c r="N2223"/>
      <c r="O2223"/>
      <c r="P2223"/>
      <c r="Q2223"/>
      <c r="R2223"/>
      <c r="S2223"/>
    </row>
    <row r="2224" spans="12:19">
      <c r="L2224"/>
      <c r="M2224"/>
      <c r="N2224"/>
      <c r="O2224"/>
      <c r="P2224"/>
      <c r="Q2224"/>
      <c r="R2224"/>
      <c r="S2224"/>
    </row>
    <row r="2225" spans="12:19">
      <c r="L2225"/>
      <c r="M2225"/>
      <c r="N2225"/>
      <c r="O2225"/>
      <c r="P2225"/>
      <c r="Q2225"/>
      <c r="R2225"/>
      <c r="S2225"/>
    </row>
    <row r="2226" spans="12:19">
      <c r="L2226"/>
      <c r="M2226"/>
      <c r="N2226"/>
      <c r="O2226"/>
      <c r="P2226"/>
      <c r="Q2226"/>
      <c r="R2226"/>
      <c r="S2226"/>
    </row>
    <row r="2227" spans="12:19">
      <c r="L2227"/>
      <c r="M2227"/>
      <c r="N2227"/>
      <c r="O2227"/>
      <c r="P2227"/>
      <c r="Q2227"/>
      <c r="R2227"/>
      <c r="S2227"/>
    </row>
    <row r="2228" spans="12:19">
      <c r="L2228"/>
      <c r="M2228"/>
      <c r="N2228"/>
      <c r="O2228"/>
      <c r="P2228"/>
      <c r="Q2228"/>
      <c r="R2228"/>
      <c r="S2228"/>
    </row>
    <row r="2229" spans="12:19">
      <c r="L2229"/>
      <c r="M2229"/>
      <c r="N2229"/>
      <c r="O2229"/>
      <c r="P2229"/>
      <c r="Q2229"/>
      <c r="R2229"/>
      <c r="S2229"/>
    </row>
    <row r="2230" spans="12:19">
      <c r="L2230"/>
      <c r="M2230"/>
      <c r="N2230"/>
      <c r="O2230"/>
      <c r="P2230"/>
      <c r="Q2230"/>
      <c r="R2230"/>
      <c r="S2230"/>
    </row>
    <row r="2231" spans="12:19">
      <c r="L2231"/>
      <c r="M2231"/>
      <c r="N2231"/>
      <c r="O2231"/>
      <c r="P2231"/>
      <c r="Q2231"/>
      <c r="R2231"/>
      <c r="S2231"/>
    </row>
    <row r="2232" spans="12:19">
      <c r="L2232"/>
      <c r="M2232"/>
      <c r="N2232"/>
      <c r="O2232"/>
      <c r="P2232"/>
      <c r="Q2232"/>
      <c r="R2232"/>
      <c r="S2232"/>
    </row>
    <row r="2233" spans="12:19">
      <c r="L2233"/>
      <c r="M2233"/>
      <c r="N2233"/>
      <c r="O2233"/>
      <c r="P2233"/>
      <c r="Q2233"/>
      <c r="R2233"/>
      <c r="S2233"/>
    </row>
    <row r="2234" spans="12:19">
      <c r="L2234"/>
      <c r="M2234"/>
      <c r="N2234"/>
      <c r="O2234"/>
      <c r="P2234"/>
      <c r="Q2234"/>
      <c r="R2234"/>
      <c r="S2234"/>
    </row>
    <row r="2235" spans="12:19">
      <c r="L2235"/>
      <c r="M2235"/>
      <c r="N2235"/>
      <c r="O2235"/>
      <c r="P2235"/>
      <c r="Q2235"/>
      <c r="R2235"/>
      <c r="S2235"/>
    </row>
    <row r="2236" spans="12:19">
      <c r="L2236"/>
      <c r="M2236"/>
      <c r="N2236"/>
      <c r="O2236"/>
      <c r="P2236"/>
      <c r="Q2236"/>
      <c r="R2236"/>
      <c r="S2236"/>
    </row>
    <row r="2237" spans="12:19">
      <c r="L2237"/>
      <c r="M2237"/>
      <c r="N2237"/>
      <c r="O2237"/>
      <c r="P2237"/>
      <c r="Q2237"/>
      <c r="R2237"/>
      <c r="S2237"/>
    </row>
    <row r="2238" spans="12:19">
      <c r="L2238"/>
      <c r="M2238"/>
      <c r="N2238"/>
      <c r="O2238"/>
      <c r="P2238"/>
      <c r="Q2238"/>
      <c r="R2238"/>
      <c r="S2238"/>
    </row>
    <row r="2239" spans="12:19">
      <c r="L2239"/>
      <c r="M2239"/>
      <c r="N2239"/>
      <c r="O2239"/>
      <c r="P2239"/>
      <c r="Q2239"/>
      <c r="R2239"/>
      <c r="S2239"/>
    </row>
    <row r="2240" spans="12:19">
      <c r="L2240"/>
      <c r="M2240"/>
      <c r="N2240"/>
      <c r="O2240"/>
      <c r="P2240"/>
      <c r="Q2240"/>
      <c r="R2240"/>
      <c r="S2240"/>
    </row>
    <row r="2241" spans="12:19">
      <c r="L2241"/>
      <c r="M2241"/>
      <c r="N2241"/>
      <c r="O2241"/>
      <c r="P2241"/>
      <c r="Q2241"/>
      <c r="R2241"/>
      <c r="S2241"/>
    </row>
    <row r="2242" spans="12:19">
      <c r="L2242"/>
      <c r="M2242"/>
      <c r="N2242"/>
      <c r="O2242"/>
      <c r="P2242"/>
      <c r="Q2242"/>
      <c r="R2242"/>
      <c r="S2242"/>
    </row>
    <row r="2243" spans="12:19">
      <c r="L2243"/>
      <c r="M2243"/>
      <c r="N2243"/>
      <c r="O2243"/>
      <c r="P2243"/>
      <c r="Q2243"/>
      <c r="R2243"/>
      <c r="S2243"/>
    </row>
    <row r="2244" spans="12:19">
      <c r="L2244"/>
      <c r="M2244"/>
      <c r="N2244"/>
      <c r="O2244"/>
      <c r="P2244"/>
      <c r="Q2244"/>
      <c r="R2244"/>
      <c r="S2244"/>
    </row>
    <row r="2245" spans="12:19">
      <c r="L2245"/>
      <c r="M2245"/>
      <c r="N2245"/>
      <c r="O2245"/>
      <c r="P2245"/>
      <c r="Q2245"/>
      <c r="R2245"/>
      <c r="S2245"/>
    </row>
    <row r="2246" spans="12:19">
      <c r="L2246"/>
      <c r="M2246"/>
      <c r="N2246"/>
      <c r="O2246"/>
      <c r="P2246"/>
      <c r="Q2246"/>
      <c r="R2246"/>
      <c r="S2246"/>
    </row>
    <row r="2247" spans="12:19">
      <c r="L2247"/>
      <c r="M2247"/>
      <c r="N2247"/>
      <c r="O2247"/>
      <c r="P2247"/>
      <c r="Q2247"/>
      <c r="R2247"/>
      <c r="S2247"/>
    </row>
    <row r="2248" spans="12:19">
      <c r="L2248"/>
      <c r="M2248"/>
      <c r="N2248"/>
      <c r="O2248"/>
      <c r="P2248"/>
      <c r="Q2248"/>
      <c r="R2248"/>
      <c r="S2248"/>
    </row>
    <row r="2249" spans="12:19">
      <c r="L2249"/>
      <c r="M2249"/>
      <c r="N2249"/>
      <c r="O2249"/>
      <c r="P2249"/>
      <c r="Q2249"/>
      <c r="R2249"/>
      <c r="S2249"/>
    </row>
    <row r="2250" spans="12:19">
      <c r="L2250"/>
      <c r="M2250"/>
      <c r="N2250"/>
      <c r="O2250"/>
      <c r="P2250"/>
      <c r="Q2250"/>
      <c r="R2250"/>
      <c r="S2250"/>
    </row>
    <row r="2251" spans="12:19">
      <c r="L2251"/>
      <c r="M2251"/>
      <c r="N2251"/>
      <c r="O2251"/>
      <c r="P2251"/>
      <c r="Q2251"/>
      <c r="R2251"/>
      <c r="S2251"/>
    </row>
    <row r="2252" spans="12:19">
      <c r="L2252"/>
      <c r="M2252"/>
      <c r="N2252"/>
      <c r="O2252"/>
      <c r="P2252"/>
      <c r="Q2252"/>
      <c r="R2252"/>
      <c r="S2252"/>
    </row>
    <row r="2253" spans="12:19">
      <c r="L2253"/>
      <c r="M2253"/>
      <c r="N2253"/>
      <c r="O2253"/>
      <c r="P2253"/>
      <c r="Q2253"/>
      <c r="R2253"/>
      <c r="S2253"/>
    </row>
    <row r="2254" spans="12:19">
      <c r="L2254"/>
      <c r="M2254"/>
      <c r="N2254"/>
      <c r="O2254"/>
      <c r="P2254"/>
      <c r="Q2254"/>
      <c r="R2254"/>
      <c r="S2254"/>
    </row>
    <row r="2255" spans="12:19">
      <c r="L2255"/>
      <c r="M2255"/>
      <c r="N2255"/>
      <c r="O2255"/>
      <c r="P2255"/>
      <c r="Q2255"/>
      <c r="R2255"/>
      <c r="S2255"/>
    </row>
    <row r="2256" spans="12:19">
      <c r="L2256"/>
      <c r="M2256"/>
      <c r="N2256"/>
      <c r="O2256"/>
      <c r="P2256"/>
      <c r="Q2256"/>
      <c r="R2256"/>
      <c r="S2256"/>
    </row>
    <row r="2257" spans="12:19">
      <c r="L2257"/>
      <c r="M2257"/>
      <c r="N2257"/>
      <c r="O2257"/>
      <c r="P2257"/>
      <c r="Q2257"/>
      <c r="R2257"/>
      <c r="S2257"/>
    </row>
    <row r="2258" spans="12:19">
      <c r="L2258"/>
      <c r="M2258"/>
      <c r="N2258"/>
      <c r="O2258"/>
      <c r="P2258"/>
      <c r="Q2258"/>
      <c r="R2258"/>
      <c r="S2258"/>
    </row>
    <row r="2259" spans="12:19">
      <c r="L2259"/>
      <c r="M2259"/>
      <c r="N2259"/>
      <c r="O2259"/>
      <c r="P2259"/>
      <c r="Q2259"/>
      <c r="R2259"/>
      <c r="S2259"/>
    </row>
    <row r="2260" spans="12:19">
      <c r="L2260"/>
      <c r="M2260"/>
      <c r="N2260"/>
      <c r="O2260"/>
      <c r="P2260"/>
      <c r="Q2260"/>
      <c r="R2260"/>
      <c r="S2260"/>
    </row>
    <row r="2261" spans="12:19">
      <c r="L2261"/>
      <c r="M2261"/>
      <c r="N2261"/>
      <c r="O2261"/>
      <c r="P2261"/>
      <c r="Q2261"/>
      <c r="R2261"/>
      <c r="S2261"/>
    </row>
    <row r="2262" spans="12:19">
      <c r="L2262"/>
      <c r="M2262"/>
      <c r="N2262"/>
      <c r="O2262"/>
      <c r="P2262"/>
      <c r="Q2262"/>
      <c r="R2262"/>
      <c r="S2262"/>
    </row>
    <row r="2263" spans="12:19">
      <c r="L2263"/>
      <c r="M2263"/>
      <c r="N2263"/>
      <c r="O2263"/>
      <c r="P2263"/>
      <c r="Q2263"/>
      <c r="R2263"/>
      <c r="S2263"/>
    </row>
    <row r="2264" spans="12:19">
      <c r="L2264"/>
      <c r="M2264"/>
      <c r="N2264"/>
      <c r="O2264"/>
      <c r="P2264"/>
      <c r="Q2264"/>
      <c r="R2264"/>
      <c r="S2264"/>
    </row>
    <row r="2265" spans="12:19">
      <c r="L2265"/>
      <c r="M2265"/>
      <c r="N2265"/>
      <c r="O2265"/>
      <c r="P2265"/>
      <c r="Q2265"/>
      <c r="R2265"/>
      <c r="S2265"/>
    </row>
    <row r="2266" spans="12:19">
      <c r="L2266"/>
      <c r="M2266"/>
      <c r="N2266"/>
      <c r="O2266"/>
      <c r="P2266"/>
      <c r="Q2266"/>
      <c r="R2266"/>
      <c r="S2266"/>
    </row>
    <row r="2267" spans="12:19">
      <c r="L2267"/>
      <c r="M2267"/>
      <c r="N2267"/>
      <c r="O2267"/>
      <c r="P2267"/>
      <c r="Q2267"/>
      <c r="R2267"/>
      <c r="S2267"/>
    </row>
    <row r="2268" spans="12:19">
      <c r="L2268"/>
      <c r="M2268"/>
      <c r="N2268"/>
      <c r="O2268"/>
      <c r="P2268"/>
      <c r="Q2268"/>
      <c r="R2268"/>
      <c r="S2268"/>
    </row>
    <row r="2269" spans="12:19">
      <c r="L2269"/>
      <c r="M2269"/>
      <c r="N2269"/>
      <c r="O2269"/>
      <c r="P2269"/>
      <c r="Q2269"/>
      <c r="R2269"/>
      <c r="S2269"/>
    </row>
    <row r="2270" spans="12:19">
      <c r="L2270"/>
      <c r="M2270"/>
      <c r="N2270"/>
      <c r="O2270"/>
      <c r="P2270"/>
      <c r="Q2270"/>
      <c r="R2270"/>
      <c r="S2270"/>
    </row>
  </sheetData>
  <mergeCells count="429">
    <mergeCell ref="H369:I369"/>
    <mergeCell ref="J369:K369"/>
    <mergeCell ref="C393:F394"/>
    <mergeCell ref="G393:G394"/>
    <mergeCell ref="H393:H394"/>
    <mergeCell ref="I393:I394"/>
    <mergeCell ref="J393:J394"/>
    <mergeCell ref="C377:F378"/>
    <mergeCell ref="C379:F379"/>
    <mergeCell ref="C380:F380"/>
    <mergeCell ref="H367:I367"/>
    <mergeCell ref="J367:K367"/>
    <mergeCell ref="H368:I368"/>
    <mergeCell ref="J368:K368"/>
    <mergeCell ref="G360:G365"/>
    <mergeCell ref="H360:I365"/>
    <mergeCell ref="J360:K365"/>
    <mergeCell ref="H366:I366"/>
    <mergeCell ref="J366:K366"/>
    <mergeCell ref="C360:C365"/>
    <mergeCell ref="D360:D365"/>
    <mergeCell ref="E360:E365"/>
    <mergeCell ref="F360:F365"/>
    <mergeCell ref="H357:I357"/>
    <mergeCell ref="J357:K357"/>
    <mergeCell ref="C347:K347"/>
    <mergeCell ref="C359:K359"/>
    <mergeCell ref="C348:C353"/>
    <mergeCell ref="D348:D353"/>
    <mergeCell ref="E348:E353"/>
    <mergeCell ref="F348:F353"/>
    <mergeCell ref="H354:I354"/>
    <mergeCell ref="J354:K354"/>
    <mergeCell ref="H356:I356"/>
    <mergeCell ref="J356:K356"/>
    <mergeCell ref="J339:J340"/>
    <mergeCell ref="H341:H342"/>
    <mergeCell ref="I341:I342"/>
    <mergeCell ref="J341:J342"/>
    <mergeCell ref="H336:H337"/>
    <mergeCell ref="H335:I335"/>
    <mergeCell ref="I339:I340"/>
    <mergeCell ref="C339:D340"/>
    <mergeCell ref="C341:D342"/>
    <mergeCell ref="E339:E340"/>
    <mergeCell ref="F339:F340"/>
    <mergeCell ref="E341:E342"/>
    <mergeCell ref="F341:F342"/>
    <mergeCell ref="C338:D338"/>
    <mergeCell ref="C334:D334"/>
    <mergeCell ref="C335:D335"/>
    <mergeCell ref="E330:G330"/>
    <mergeCell ref="G336:G337"/>
    <mergeCell ref="F331:F332"/>
    <mergeCell ref="G331:G332"/>
    <mergeCell ref="I331:I332"/>
    <mergeCell ref="C330:D332"/>
    <mergeCell ref="C336:D337"/>
    <mergeCell ref="E336:E337"/>
    <mergeCell ref="F336:F337"/>
    <mergeCell ref="C333:D333"/>
    <mergeCell ref="H330:J330"/>
    <mergeCell ref="E331:E332"/>
    <mergeCell ref="J348:K353"/>
    <mergeCell ref="C188:J192"/>
    <mergeCell ref="C21:F21"/>
    <mergeCell ref="C22:F22"/>
    <mergeCell ref="J331:J332"/>
    <mergeCell ref="I218:I219"/>
    <mergeCell ref="C139:H139"/>
    <mergeCell ref="G266:G267"/>
    <mergeCell ref="C343:D343"/>
    <mergeCell ref="H331:H332"/>
    <mergeCell ref="I67:I68"/>
    <mergeCell ref="H355:I355"/>
    <mergeCell ref="J355:K355"/>
    <mergeCell ref="I336:I337"/>
    <mergeCell ref="J336:J337"/>
    <mergeCell ref="G339:G340"/>
    <mergeCell ref="G341:G342"/>
    <mergeCell ref="H339:H340"/>
    <mergeCell ref="G348:G353"/>
    <mergeCell ref="H348:I353"/>
    <mergeCell ref="C20:F20"/>
    <mergeCell ref="C67:E68"/>
    <mergeCell ref="C71:E71"/>
    <mergeCell ref="F67:F68"/>
    <mergeCell ref="G67:G68"/>
    <mergeCell ref="H67:H68"/>
    <mergeCell ref="C13:E13"/>
    <mergeCell ref="F11:J11"/>
    <mergeCell ref="C10:J10"/>
    <mergeCell ref="F12:J12"/>
    <mergeCell ref="F13:J13"/>
    <mergeCell ref="C19:F19"/>
    <mergeCell ref="C29:F29"/>
    <mergeCell ref="C32:F32"/>
    <mergeCell ref="C44:E44"/>
    <mergeCell ref="C8:G8"/>
    <mergeCell ref="C69:E69"/>
    <mergeCell ref="C70:E70"/>
    <mergeCell ref="F39:F40"/>
    <mergeCell ref="C28:F28"/>
    <mergeCell ref="C11:E11"/>
    <mergeCell ref="C12:E12"/>
    <mergeCell ref="C250:J250"/>
    <mergeCell ref="C224:E225"/>
    <mergeCell ref="C237:E238"/>
    <mergeCell ref="C178:E178"/>
    <mergeCell ref="C18:F18"/>
    <mergeCell ref="C42:E42"/>
    <mergeCell ref="I56:I57"/>
    <mergeCell ref="C39:E40"/>
    <mergeCell ref="I39:I40"/>
    <mergeCell ref="C31:F31"/>
    <mergeCell ref="I224:I225"/>
    <mergeCell ref="H271:H272"/>
    <mergeCell ref="I282:I283"/>
    <mergeCell ref="F226:F228"/>
    <mergeCell ref="C287:I287"/>
    <mergeCell ref="C269:E269"/>
    <mergeCell ref="C264:E264"/>
    <mergeCell ref="C266:E267"/>
    <mergeCell ref="H266:H267"/>
    <mergeCell ref="G256:G257"/>
    <mergeCell ref="I266:I267"/>
    <mergeCell ref="F256:F257"/>
    <mergeCell ref="C258:E258"/>
    <mergeCell ref="C259:E259"/>
    <mergeCell ref="C261:E262"/>
    <mergeCell ref="I261:I262"/>
    <mergeCell ref="H261:H262"/>
    <mergeCell ref="H256:H257"/>
    <mergeCell ref="C263:E263"/>
    <mergeCell ref="G230:G231"/>
    <mergeCell ref="I153:I154"/>
    <mergeCell ref="G153:G154"/>
    <mergeCell ref="F261:F262"/>
    <mergeCell ref="C256:E257"/>
    <mergeCell ref="I256:I257"/>
    <mergeCell ref="F169:F170"/>
    <mergeCell ref="C172:E172"/>
    <mergeCell ref="I237:I238"/>
    <mergeCell ref="G174:G175"/>
    <mergeCell ref="H174:H175"/>
    <mergeCell ref="I159:I160"/>
    <mergeCell ref="G159:G160"/>
    <mergeCell ref="H159:H160"/>
    <mergeCell ref="F159:F160"/>
    <mergeCell ref="C167:E167"/>
    <mergeCell ref="C169:E170"/>
    <mergeCell ref="C174:E175"/>
    <mergeCell ref="G169:G170"/>
    <mergeCell ref="H169:H170"/>
    <mergeCell ref="H153:H154"/>
    <mergeCell ref="F153:F154"/>
    <mergeCell ref="C153:E154"/>
    <mergeCell ref="C166:E166"/>
    <mergeCell ref="C155:E155"/>
    <mergeCell ref="C164:E165"/>
    <mergeCell ref="C156:E156"/>
    <mergeCell ref="I271:I272"/>
    <mergeCell ref="G271:G272"/>
    <mergeCell ref="C162:E162"/>
    <mergeCell ref="C157:E157"/>
    <mergeCell ref="F155:F157"/>
    <mergeCell ref="I169:I170"/>
    <mergeCell ref="F232:F234"/>
    <mergeCell ref="G218:G219"/>
    <mergeCell ref="C171:E171"/>
    <mergeCell ref="H224:H225"/>
    <mergeCell ref="C2:J3"/>
    <mergeCell ref="C147:E148"/>
    <mergeCell ref="I147:I148"/>
    <mergeCell ref="G147:G148"/>
    <mergeCell ref="I164:I165"/>
    <mergeCell ref="C23:F23"/>
    <mergeCell ref="C24:F24"/>
    <mergeCell ref="C56:E57"/>
    <mergeCell ref="C78:E78"/>
    <mergeCell ref="C76:E77"/>
    <mergeCell ref="G76:G77"/>
    <mergeCell ref="F164:F165"/>
    <mergeCell ref="F142:F143"/>
    <mergeCell ref="C161:E161"/>
    <mergeCell ref="C159:E160"/>
    <mergeCell ref="C126:J126"/>
    <mergeCell ref="C133:J133"/>
    <mergeCell ref="H147:H148"/>
    <mergeCell ref="F147:F148"/>
    <mergeCell ref="I83:I84"/>
    <mergeCell ref="C92:E93"/>
    <mergeCell ref="H108:H109"/>
    <mergeCell ref="H99:H100"/>
    <mergeCell ref="F83:F84"/>
    <mergeCell ref="F108:F109"/>
    <mergeCell ref="H83:H84"/>
    <mergeCell ref="C33:F33"/>
    <mergeCell ref="C41:E41"/>
    <mergeCell ref="C52:E52"/>
    <mergeCell ref="C50:E50"/>
    <mergeCell ref="C51:E51"/>
    <mergeCell ref="C47:E48"/>
    <mergeCell ref="C34:F34"/>
    <mergeCell ref="C49:E49"/>
    <mergeCell ref="C392:F392"/>
    <mergeCell ref="C232:E232"/>
    <mergeCell ref="D284:E284"/>
    <mergeCell ref="F280:G280"/>
    <mergeCell ref="F279:G279"/>
    <mergeCell ref="C318:G318"/>
    <mergeCell ref="G261:G262"/>
    <mergeCell ref="D292:E292"/>
    <mergeCell ref="F266:F267"/>
    <mergeCell ref="C234:E234"/>
    <mergeCell ref="F220:F222"/>
    <mergeCell ref="H218:H219"/>
    <mergeCell ref="I128:I129"/>
    <mergeCell ref="C142:E142"/>
    <mergeCell ref="C143:E143"/>
    <mergeCell ref="C145:E145"/>
    <mergeCell ref="C130:E130"/>
    <mergeCell ref="C131:E131"/>
    <mergeCell ref="I140:I141"/>
    <mergeCell ref="C152:I152"/>
    <mergeCell ref="C396:F396"/>
    <mergeCell ref="F174:F175"/>
    <mergeCell ref="G164:G165"/>
    <mergeCell ref="H164:H165"/>
    <mergeCell ref="C268:E268"/>
    <mergeCell ref="C230:E231"/>
    <mergeCell ref="C228:E228"/>
    <mergeCell ref="C208:F208"/>
    <mergeCell ref="C221:E221"/>
    <mergeCell ref="F224:F225"/>
    <mergeCell ref="I400:I401"/>
    <mergeCell ref="J400:J401"/>
    <mergeCell ref="C402:F402"/>
    <mergeCell ref="C397:F397"/>
    <mergeCell ref="C399:F399"/>
    <mergeCell ref="C400:F401"/>
    <mergeCell ref="G400:G401"/>
    <mergeCell ref="C404:F404"/>
    <mergeCell ref="C406:F406"/>
    <mergeCell ref="H140:H141"/>
    <mergeCell ref="F140:F141"/>
    <mergeCell ref="C212:F212"/>
    <mergeCell ref="C206:F206"/>
    <mergeCell ref="C205:F205"/>
    <mergeCell ref="C209:F209"/>
    <mergeCell ref="C177:E177"/>
    <mergeCell ref="H400:H401"/>
    <mergeCell ref="C226:E226"/>
    <mergeCell ref="C403:F403"/>
    <mergeCell ref="D285:E285"/>
    <mergeCell ref="C319:G319"/>
    <mergeCell ref="G237:G238"/>
    <mergeCell ref="C395:F395"/>
    <mergeCell ref="C282:E282"/>
    <mergeCell ref="C227:E227"/>
    <mergeCell ref="F230:F231"/>
    <mergeCell ref="G377:G378"/>
    <mergeCell ref="G224:G225"/>
    <mergeCell ref="C80:E80"/>
    <mergeCell ref="C95:E95"/>
    <mergeCell ref="C102:E102"/>
    <mergeCell ref="C124:E124"/>
    <mergeCell ref="C122:E123"/>
    <mergeCell ref="C110:E110"/>
    <mergeCell ref="C86:E86"/>
    <mergeCell ref="C111:E111"/>
    <mergeCell ref="G114:G115"/>
    <mergeCell ref="I108:I109"/>
    <mergeCell ref="C194:H195"/>
    <mergeCell ref="C322:G322"/>
    <mergeCell ref="C323:G323"/>
    <mergeCell ref="H288:H289"/>
    <mergeCell ref="D289:E289"/>
    <mergeCell ref="G282:G283"/>
    <mergeCell ref="H282:H283"/>
    <mergeCell ref="F282:F283"/>
    <mergeCell ref="F218:F219"/>
    <mergeCell ref="C222:E222"/>
    <mergeCell ref="H407:H408"/>
    <mergeCell ref="I407:I408"/>
    <mergeCell ref="J407:J408"/>
    <mergeCell ref="C409:F409"/>
    <mergeCell ref="C407:F408"/>
    <mergeCell ref="G407:G408"/>
    <mergeCell ref="J377:J378"/>
    <mergeCell ref="I288:I289"/>
    <mergeCell ref="C325:H325"/>
    <mergeCell ref="I194:I195"/>
    <mergeCell ref="J194:J195"/>
    <mergeCell ref="I294:I295"/>
    <mergeCell ref="C410:F410"/>
    <mergeCell ref="D291:E291"/>
    <mergeCell ref="C279:D280"/>
    <mergeCell ref="F288:F289"/>
    <mergeCell ref="D286:E286"/>
    <mergeCell ref="C385:F385"/>
    <mergeCell ref="C386:F386"/>
    <mergeCell ref="C411:F411"/>
    <mergeCell ref="C15:J15"/>
    <mergeCell ref="C36:J36"/>
    <mergeCell ref="C54:J54"/>
    <mergeCell ref="C64:J64"/>
    <mergeCell ref="C199:F199"/>
    <mergeCell ref="C176:E176"/>
    <mergeCell ref="C117:E117"/>
    <mergeCell ref="C324:G324"/>
    <mergeCell ref="C27:F27"/>
    <mergeCell ref="G140:G141"/>
    <mergeCell ref="C146:I146"/>
    <mergeCell ref="I174:I175"/>
    <mergeCell ref="C149:E149"/>
    <mergeCell ref="I114:I115"/>
    <mergeCell ref="C79:E79"/>
    <mergeCell ref="C87:E87"/>
    <mergeCell ref="C96:E96"/>
    <mergeCell ref="C89:J89"/>
    <mergeCell ref="C114:E115"/>
    <mergeCell ref="C213:F213"/>
    <mergeCell ref="C210:F210"/>
    <mergeCell ref="C207:F207"/>
    <mergeCell ref="C108:E109"/>
    <mergeCell ref="C197:F198"/>
    <mergeCell ref="G108:G109"/>
    <mergeCell ref="F128:F129"/>
    <mergeCell ref="C140:E141"/>
    <mergeCell ref="C144:E144"/>
    <mergeCell ref="C150:E150"/>
    <mergeCell ref="G294:G295"/>
    <mergeCell ref="C274:E274"/>
    <mergeCell ref="C275:E275"/>
    <mergeCell ref="C220:E220"/>
    <mergeCell ref="C202:F202"/>
    <mergeCell ref="J197:J198"/>
    <mergeCell ref="H197:H198"/>
    <mergeCell ref="C200:F200"/>
    <mergeCell ref="C218:E219"/>
    <mergeCell ref="C204:F204"/>
    <mergeCell ref="C389:F389"/>
    <mergeCell ref="C320:G320"/>
    <mergeCell ref="C315:G315"/>
    <mergeCell ref="C316:G316"/>
    <mergeCell ref="C314:G314"/>
    <mergeCell ref="I230:I231"/>
    <mergeCell ref="H377:H378"/>
    <mergeCell ref="I377:I378"/>
    <mergeCell ref="H230:H231"/>
    <mergeCell ref="D290:E290"/>
    <mergeCell ref="C388:F388"/>
    <mergeCell ref="D296:E296"/>
    <mergeCell ref="C271:E272"/>
    <mergeCell ref="C273:E273"/>
    <mergeCell ref="D298:E298"/>
    <mergeCell ref="F237:F238"/>
    <mergeCell ref="F271:F272"/>
    <mergeCell ref="D295:E295"/>
    <mergeCell ref="C294:E294"/>
    <mergeCell ref="C293:I293"/>
    <mergeCell ref="C288:E288"/>
    <mergeCell ref="C201:F201"/>
    <mergeCell ref="D297:E297"/>
    <mergeCell ref="C295:C298"/>
    <mergeCell ref="C390:F390"/>
    <mergeCell ref="C381:F381"/>
    <mergeCell ref="C382:F382"/>
    <mergeCell ref="C383:F383"/>
    <mergeCell ref="C384:F384"/>
    <mergeCell ref="C387:F387"/>
    <mergeCell ref="C326:G326"/>
    <mergeCell ref="G197:G198"/>
    <mergeCell ref="F294:F295"/>
    <mergeCell ref="C283:C286"/>
    <mergeCell ref="D283:E283"/>
    <mergeCell ref="C289:C292"/>
    <mergeCell ref="G288:G289"/>
    <mergeCell ref="C240:E240"/>
    <mergeCell ref="C233:E233"/>
    <mergeCell ref="C215:F215"/>
    <mergeCell ref="C128:E129"/>
    <mergeCell ref="C116:E116"/>
    <mergeCell ref="C105:J105"/>
    <mergeCell ref="H294:H295"/>
    <mergeCell ref="H237:H238"/>
    <mergeCell ref="F149:F151"/>
    <mergeCell ref="C151:E151"/>
    <mergeCell ref="I197:I198"/>
    <mergeCell ref="C211:F211"/>
    <mergeCell ref="C203:F203"/>
    <mergeCell ref="G128:G129"/>
    <mergeCell ref="H128:H129"/>
    <mergeCell ref="F122:F123"/>
    <mergeCell ref="G122:G123"/>
    <mergeCell ref="H122:H123"/>
    <mergeCell ref="F114:F115"/>
    <mergeCell ref="C119:J119"/>
    <mergeCell ref="F47:F48"/>
    <mergeCell ref="G47:G48"/>
    <mergeCell ref="H47:H48"/>
    <mergeCell ref="I47:I48"/>
    <mergeCell ref="I92:I93"/>
    <mergeCell ref="G92:G93"/>
    <mergeCell ref="H92:H93"/>
    <mergeCell ref="H76:H77"/>
    <mergeCell ref="I76:I77"/>
    <mergeCell ref="G56:G57"/>
    <mergeCell ref="F92:F93"/>
    <mergeCell ref="G83:G84"/>
    <mergeCell ref="H56:H57"/>
    <mergeCell ref="C94:E94"/>
    <mergeCell ref="I122:I123"/>
    <mergeCell ref="H114:H115"/>
    <mergeCell ref="C103:E103"/>
    <mergeCell ref="C83:E84"/>
    <mergeCell ref="C85:E85"/>
    <mergeCell ref="C101:E101"/>
    <mergeCell ref="C30:F30"/>
    <mergeCell ref="G39:G40"/>
    <mergeCell ref="H39:H40"/>
    <mergeCell ref="C43:E43"/>
    <mergeCell ref="C99:E100"/>
    <mergeCell ref="I99:I100"/>
    <mergeCell ref="F56:F57"/>
    <mergeCell ref="F76:F77"/>
    <mergeCell ref="G99:G100"/>
    <mergeCell ref="F99:F100"/>
  </mergeCells>
  <phoneticPr fontId="0" type="noConversion"/>
  <conditionalFormatting sqref="I237:I238 I114:I115 I230:I231 I56:I57 I218:I219 I76:I77 I83:I84 I108:I109 I128:I129 I294:I295 I122:I123 I224:I225 J377:J378 I140:I141 I256:I257 I174:I175 I282:I283 I288:I289 J197:J198 I92 I99 I153:I154 I147:I148 I271:I272 I159:I160 I164:I165 I169:I170 I261:I262 I266:I267 I67:I68 J393:J394 J400:J401 J407:J408">
    <cfRule type="cellIs" dxfId="31" priority="1" stopIfTrue="1" operator="equal">
      <formula>$F$39</formula>
    </cfRule>
    <cfRule type="cellIs" dxfId="30" priority="2" stopIfTrue="1" operator="equal">
      <formula>$H$39</formula>
    </cfRule>
    <cfRule type="cellIs" dxfId="29" priority="3" stopIfTrue="1" operator="equal">
      <formula>$J$39</formula>
    </cfRule>
  </conditionalFormatting>
  <conditionalFormatting sqref="G114:G115 G230:G231 G56:G57 G224:G225 G76:G77 G83:G84 H377:H378 G108:G109 G122:G123 G128:G129 G294:G295 G218:G219 G237:G238 G140:G141 G256:G257 G174:G175 G282:G283 G288:G289 H197:H198 G92 G99 G153:G154 G147:G148 G271:G272 G159:G160 G164:G165 G169:G170 G261:G262 G266:G267 G67:G68 H393:H394 H400:H401 H407:H408">
    <cfRule type="cellIs" dxfId="28" priority="4" stopIfTrue="1" operator="equal">
      <formula>$C$11</formula>
    </cfRule>
    <cfRule type="cellIs" dxfId="27" priority="5" stopIfTrue="1" operator="equal">
      <formula>$G$38</formula>
    </cfRule>
    <cfRule type="cellIs" dxfId="26" priority="6" stopIfTrue="1" operator="equal">
      <formula>$C$13</formula>
    </cfRule>
  </conditionalFormatting>
  <conditionalFormatting sqref="H114:H115 H122:H123 H230:H231 H56:H57 H224:H225 H76:H77 H83:H84 I377:I378 H108:H109 H128:H129 H294:H295 H218:H219 H237:H238 H140:H141 H256:H257 H174:H175 H282:H283 H288:H289 I197:I198 H92 H99 H153:H154 H147:H148 H271:H272 H159:H160 H164:H165 H169:H170 H261:H262 H266:H267 H67:H68 I393:I394 I400:I401 I407:I408">
    <cfRule type="cellIs" dxfId="25" priority="7" stopIfTrue="1" operator="equal">
      <formula>$C$11</formula>
    </cfRule>
    <cfRule type="cellIs" dxfId="24" priority="8" stopIfTrue="1" operator="equal">
      <formula>$C$12</formula>
    </cfRule>
    <cfRule type="cellIs" dxfId="23" priority="9" stopIfTrue="1" operator="equal">
      <formula>$H$38</formula>
    </cfRule>
  </conditionalFormatting>
  <conditionalFormatting sqref="C44 C52">
    <cfRule type="cellIs" dxfId="22" priority="10" stopIfTrue="1" operator="equal">
      <formula>$T$39</formula>
    </cfRule>
    <cfRule type="cellIs" dxfId="21" priority="11" stopIfTrue="1" operator="equal">
      <formula>$V$39</formula>
    </cfRule>
    <cfRule type="cellIs" dxfId="20" priority="12" stopIfTrue="1" operator="equal">
      <formula>$X$39</formula>
    </cfRule>
  </conditionalFormatting>
  <conditionalFormatting sqref="C42 C50">
    <cfRule type="cellIs" dxfId="19" priority="13" stopIfTrue="1" operator="equal">
      <formula>$Q$11</formula>
    </cfRule>
    <cfRule type="cellIs" dxfId="18" priority="14" stopIfTrue="1" operator="equal">
      <formula>$U$38</formula>
    </cfRule>
    <cfRule type="cellIs" dxfId="17" priority="15" stopIfTrue="1" operator="equal">
      <formula>$Q$13</formula>
    </cfRule>
  </conditionalFormatting>
  <conditionalFormatting sqref="C43 C51">
    <cfRule type="cellIs" dxfId="16" priority="16" stopIfTrue="1" operator="equal">
      <formula>$Q$11</formula>
    </cfRule>
    <cfRule type="cellIs" dxfId="15" priority="17" stopIfTrue="1" operator="equal">
      <formula>$Q$12</formula>
    </cfRule>
    <cfRule type="cellIs" dxfId="14" priority="18" stopIfTrue="1" operator="equal">
      <formula>$V$38</formula>
    </cfRule>
  </conditionalFormatting>
  <conditionalFormatting sqref="F116:I117">
    <cfRule type="cellIs" dxfId="13" priority="19" stopIfTrue="1" operator="equal">
      <formula>"yes"</formula>
    </cfRule>
    <cfRule type="cellIs" dxfId="12" priority="20" stopIfTrue="1" operator="equal">
      <formula>"no"</formula>
    </cfRule>
  </conditionalFormatting>
  <pageMargins left="0" right="0" top="0.59055118110236227" bottom="0.39370078740157483" header="0.51181102362204722" footer="0.51181102362204722"/>
  <pageSetup paperSize="9" fitToHeight="6" orientation="portrait" r:id="rId1"/>
  <headerFooter alignWithMargins="0">
    <oddFooter>&amp;RPage &amp;P of &amp;N</oddFooter>
  </headerFooter>
  <legacyDrawing r:id="rId2"/>
</worksheet>
</file>

<file path=xl/worksheets/sheet53.xml><?xml version="1.0" encoding="utf-8"?>
<worksheet xmlns="http://schemas.openxmlformats.org/spreadsheetml/2006/main" xmlns:r="http://schemas.openxmlformats.org/officeDocument/2006/relationships">
  <sheetPr>
    <pageSetUpPr autoPageBreaks="0"/>
  </sheetPr>
  <dimension ref="B1:AN2364"/>
  <sheetViews>
    <sheetView showGridLines="0" showRowColHeaders="0" topLeftCell="A1415" workbookViewId="0">
      <selection activeCell="N1357" sqref="N1357"/>
    </sheetView>
  </sheetViews>
  <sheetFormatPr defaultRowHeight="12.75"/>
  <cols>
    <col min="1" max="1" width="4.7109375" customWidth="1"/>
    <col min="2" max="2" width="2.7109375" customWidth="1"/>
    <col min="3" max="11" width="11.7109375" customWidth="1"/>
    <col min="12" max="12" width="2.7109375" customWidth="1"/>
    <col min="13" max="13" width="10.7109375" customWidth="1"/>
  </cols>
  <sheetData>
    <row r="1" spans="2:12">
      <c r="B1" s="10"/>
      <c r="C1" s="10"/>
      <c r="D1" s="10"/>
      <c r="E1" s="10"/>
      <c r="F1" s="10"/>
      <c r="G1" s="10"/>
      <c r="H1" s="10"/>
      <c r="I1" s="10"/>
      <c r="J1" s="10"/>
      <c r="K1" s="10"/>
      <c r="L1" s="10"/>
    </row>
    <row r="2" spans="2:12">
      <c r="B2" s="10"/>
      <c r="C2" s="10"/>
      <c r="D2" s="10"/>
      <c r="E2" s="10"/>
      <c r="F2" s="10"/>
      <c r="G2" s="10"/>
      <c r="H2" s="10"/>
      <c r="I2" s="10"/>
      <c r="J2" s="10"/>
      <c r="K2" s="10"/>
      <c r="L2" s="10"/>
    </row>
    <row r="3" spans="2:12" ht="15.75">
      <c r="B3" s="10"/>
      <c r="C3" s="604"/>
      <c r="D3" s="10"/>
      <c r="E3" s="10"/>
      <c r="F3" s="10"/>
      <c r="G3" s="10"/>
      <c r="H3" s="10"/>
      <c r="I3" s="10"/>
      <c r="J3" s="10"/>
      <c r="K3" s="10"/>
      <c r="L3" s="10"/>
    </row>
    <row r="4" spans="2:12">
      <c r="B4" s="10"/>
      <c r="C4" s="605"/>
      <c r="D4" s="10"/>
      <c r="E4" s="10"/>
      <c r="F4" s="10"/>
      <c r="G4" s="10"/>
      <c r="H4" s="10"/>
      <c r="I4" s="10"/>
      <c r="J4" s="10"/>
      <c r="K4" s="10"/>
      <c r="L4" s="10"/>
    </row>
    <row r="5" spans="2:12">
      <c r="B5" s="10"/>
      <c r="C5" s="10"/>
      <c r="D5" s="10"/>
      <c r="E5" s="10"/>
      <c r="F5" s="10"/>
      <c r="G5" s="10"/>
      <c r="H5" s="10"/>
      <c r="I5" s="10"/>
      <c r="J5" s="10"/>
      <c r="K5" s="10"/>
      <c r="L5" s="10"/>
    </row>
    <row r="6" spans="2:12">
      <c r="B6" s="10"/>
      <c r="C6" s="10"/>
      <c r="D6" s="10"/>
      <c r="E6" s="10"/>
      <c r="F6" s="10"/>
      <c r="G6" s="10"/>
      <c r="H6" s="10"/>
      <c r="I6" s="10"/>
      <c r="J6" s="10"/>
      <c r="K6" s="10"/>
      <c r="L6" s="10"/>
    </row>
    <row r="7" spans="2:12" ht="13.5" thickBot="1">
      <c r="B7" s="10"/>
      <c r="C7" s="606"/>
      <c r="D7" s="10"/>
      <c r="E7" s="10"/>
      <c r="F7" s="10"/>
      <c r="G7" s="10"/>
      <c r="H7" s="10"/>
      <c r="I7" s="10"/>
      <c r="J7" s="10"/>
      <c r="K7" s="10"/>
      <c r="L7" s="10"/>
    </row>
    <row r="8" spans="2:12" ht="15.75" customHeight="1" thickTop="1">
      <c r="B8" s="10"/>
      <c r="C8" s="779" t="s">
        <v>776</v>
      </c>
      <c r="D8" s="780"/>
      <c r="E8" s="780"/>
      <c r="F8" s="780"/>
      <c r="G8" s="780"/>
      <c r="H8" s="780"/>
      <c r="I8" s="780"/>
      <c r="J8" s="780"/>
      <c r="K8" s="1481"/>
      <c r="L8" s="10"/>
    </row>
    <row r="9" spans="2:12" ht="13.5" thickBot="1">
      <c r="B9" s="10"/>
      <c r="C9" s="783"/>
      <c r="D9" s="784"/>
      <c r="E9" s="784"/>
      <c r="F9" s="784"/>
      <c r="G9" s="784"/>
      <c r="H9" s="784"/>
      <c r="I9" s="784"/>
      <c r="J9" s="784"/>
      <c r="K9" s="1482"/>
      <c r="L9" s="10"/>
    </row>
    <row r="10" spans="2:12" ht="14.25" thickTop="1" thickBot="1">
      <c r="B10" s="10"/>
      <c r="C10" s="606"/>
      <c r="D10" s="10"/>
      <c r="E10" s="10"/>
      <c r="F10" s="10"/>
      <c r="G10" s="10"/>
      <c r="H10" s="10"/>
      <c r="I10" s="10"/>
      <c r="J10" s="10"/>
      <c r="K10" s="10"/>
      <c r="L10" s="10"/>
    </row>
    <row r="11" spans="2:12" ht="13.5" thickTop="1">
      <c r="B11" s="10"/>
      <c r="C11" s="1483" t="s">
        <v>777</v>
      </c>
      <c r="D11" s="1484"/>
      <c r="E11" s="1484"/>
      <c r="F11" s="1484"/>
      <c r="G11" s="1484"/>
      <c r="H11" s="1484"/>
      <c r="I11" s="1484"/>
      <c r="J11" s="1484"/>
      <c r="K11" s="1485"/>
      <c r="L11" s="10"/>
    </row>
    <row r="12" spans="2:12" ht="13.5" thickBot="1">
      <c r="B12" s="10"/>
      <c r="C12" s="1486"/>
      <c r="D12" s="1487"/>
      <c r="E12" s="1487"/>
      <c r="F12" s="1487"/>
      <c r="G12" s="1487"/>
      <c r="H12" s="1487"/>
      <c r="I12" s="1487"/>
      <c r="J12" s="1487"/>
      <c r="K12" s="1488"/>
      <c r="L12" s="10"/>
    </row>
    <row r="13" spans="2:12" ht="13.5" thickTop="1">
      <c r="B13" s="10"/>
      <c r="C13" s="605"/>
      <c r="D13" s="10"/>
      <c r="E13" s="10"/>
      <c r="F13" s="10"/>
      <c r="G13" s="10"/>
      <c r="H13" s="10"/>
      <c r="I13" s="10"/>
      <c r="J13" s="10"/>
      <c r="K13" s="10"/>
      <c r="L13" s="10"/>
    </row>
    <row r="14" spans="2:12" ht="12.75" customHeight="1">
      <c r="B14" s="10"/>
      <c r="C14" s="1489" t="s">
        <v>778</v>
      </c>
      <c r="D14" s="1489"/>
      <c r="E14" s="1489"/>
      <c r="F14" s="1489"/>
      <c r="G14" s="1489"/>
      <c r="H14" s="1489"/>
      <c r="I14" s="1489"/>
      <c r="J14" s="1489"/>
      <c r="K14" s="1489"/>
      <c r="L14" s="10"/>
    </row>
    <row r="15" spans="2:12" ht="12.75" customHeight="1">
      <c r="B15" s="10"/>
      <c r="C15" s="1489"/>
      <c r="D15" s="1489"/>
      <c r="E15" s="1489"/>
      <c r="F15" s="1489"/>
      <c r="G15" s="1489"/>
      <c r="H15" s="1489"/>
      <c r="I15" s="1489"/>
      <c r="J15" s="1489"/>
      <c r="K15" s="1489"/>
      <c r="L15" s="10"/>
    </row>
    <row r="16" spans="2:12" ht="12.75" customHeight="1">
      <c r="B16" s="10"/>
      <c r="C16" s="1463" t="s">
        <v>779</v>
      </c>
      <c r="D16" s="1463"/>
      <c r="E16" s="1463"/>
      <c r="F16" s="1463"/>
      <c r="G16" s="1463"/>
      <c r="H16" s="1463"/>
      <c r="I16" s="1463"/>
      <c r="J16" s="1463"/>
      <c r="K16" s="1463"/>
      <c r="L16" s="10"/>
    </row>
    <row r="17" spans="2:12" ht="12.75" customHeight="1">
      <c r="B17" s="10"/>
      <c r="C17" s="1463"/>
      <c r="D17" s="1463"/>
      <c r="E17" s="1463"/>
      <c r="F17" s="1463"/>
      <c r="G17" s="1463"/>
      <c r="H17" s="1463"/>
      <c r="I17" s="1463"/>
      <c r="J17" s="1463"/>
      <c r="K17" s="1463"/>
      <c r="L17" s="10"/>
    </row>
    <row r="18" spans="2:12" ht="12.75" customHeight="1">
      <c r="B18" s="10"/>
      <c r="C18" s="607"/>
      <c r="D18" s="607"/>
      <c r="E18" s="607"/>
      <c r="F18" s="607"/>
      <c r="G18" s="607"/>
      <c r="H18" s="607"/>
      <c r="I18" s="607"/>
      <c r="J18" s="607"/>
      <c r="K18" s="607"/>
      <c r="L18" s="10"/>
    </row>
    <row r="19" spans="2:12" ht="12.75" customHeight="1">
      <c r="B19" s="10"/>
      <c r="C19" s="1463" t="s">
        <v>336</v>
      </c>
      <c r="D19" s="1463"/>
      <c r="E19" s="1463"/>
      <c r="F19" s="1463"/>
      <c r="G19" s="1463"/>
      <c r="H19" s="1463"/>
      <c r="I19" s="1463"/>
      <c r="J19" s="1463"/>
      <c r="K19" s="1463"/>
      <c r="L19" s="10"/>
    </row>
    <row r="20" spans="2:12" ht="12.75" customHeight="1">
      <c r="B20" s="10"/>
      <c r="C20" s="1463"/>
      <c r="D20" s="1463"/>
      <c r="E20" s="1463"/>
      <c r="F20" s="1463"/>
      <c r="G20" s="1463"/>
      <c r="H20" s="1463"/>
      <c r="I20" s="1463"/>
      <c r="J20" s="1463"/>
      <c r="K20" s="1463"/>
      <c r="L20" s="10"/>
    </row>
    <row r="21" spans="2:12" ht="12.75" customHeight="1">
      <c r="B21" s="10"/>
      <c r="C21" s="1463"/>
      <c r="D21" s="1463"/>
      <c r="E21" s="1463"/>
      <c r="F21" s="1463"/>
      <c r="G21" s="1463"/>
      <c r="H21" s="1463"/>
      <c r="I21" s="1463"/>
      <c r="J21" s="1463"/>
      <c r="K21" s="1463"/>
      <c r="L21" s="10"/>
    </row>
    <row r="22" spans="2:12" ht="12.75" customHeight="1">
      <c r="B22" s="10"/>
      <c r="C22" s="1463"/>
      <c r="D22" s="1463"/>
      <c r="E22" s="1463"/>
      <c r="F22" s="1463"/>
      <c r="G22" s="1463"/>
      <c r="H22" s="1463"/>
      <c r="I22" s="1463"/>
      <c r="J22" s="1463"/>
      <c r="K22" s="1463"/>
      <c r="L22" s="10"/>
    </row>
    <row r="23" spans="2:12" ht="12.75" customHeight="1">
      <c r="B23" s="10"/>
      <c r="C23" s="1463"/>
      <c r="D23" s="1463"/>
      <c r="E23" s="1463"/>
      <c r="F23" s="1463"/>
      <c r="G23" s="1463"/>
      <c r="H23" s="1463"/>
      <c r="I23" s="1463"/>
      <c r="J23" s="1463"/>
      <c r="K23" s="1463"/>
      <c r="L23" s="10"/>
    </row>
    <row r="24" spans="2:12" ht="12.75" customHeight="1">
      <c r="B24" s="10"/>
      <c r="C24" s="1463"/>
      <c r="D24" s="1463"/>
      <c r="E24" s="1463"/>
      <c r="F24" s="1463"/>
      <c r="G24" s="1463"/>
      <c r="H24" s="1463"/>
      <c r="I24" s="1463"/>
      <c r="J24" s="1463"/>
      <c r="K24" s="1463"/>
      <c r="L24" s="10"/>
    </row>
    <row r="25" spans="2:12" ht="12.75" customHeight="1">
      <c r="B25" s="10"/>
      <c r="C25" s="607"/>
      <c r="D25" s="607"/>
      <c r="E25" s="607"/>
      <c r="F25" s="607"/>
      <c r="G25" s="607"/>
      <c r="H25" s="607"/>
      <c r="I25" s="607"/>
      <c r="J25" s="607"/>
      <c r="K25" s="607"/>
      <c r="L25" s="10"/>
    </row>
    <row r="26" spans="2:12" ht="12.75" customHeight="1">
      <c r="B26" s="10"/>
      <c r="C26" s="1463" t="s">
        <v>337</v>
      </c>
      <c r="D26" s="1463"/>
      <c r="E26" s="1463"/>
      <c r="F26" s="1463"/>
      <c r="G26" s="1463"/>
      <c r="H26" s="1463"/>
      <c r="I26" s="1463"/>
      <c r="J26" s="1463"/>
      <c r="K26" s="1463"/>
      <c r="L26" s="10"/>
    </row>
    <row r="27" spans="2:12" ht="12.75" customHeight="1">
      <c r="B27" s="10"/>
      <c r="C27" s="1463"/>
      <c r="D27" s="1463"/>
      <c r="E27" s="1463"/>
      <c r="F27" s="1463"/>
      <c r="G27" s="1463"/>
      <c r="H27" s="1463"/>
      <c r="I27" s="1463"/>
      <c r="J27" s="1463"/>
      <c r="K27" s="1463"/>
      <c r="L27" s="10"/>
    </row>
    <row r="28" spans="2:12" ht="12.75" customHeight="1">
      <c r="B28" s="10"/>
      <c r="C28" s="1463"/>
      <c r="D28" s="1463"/>
      <c r="E28" s="1463"/>
      <c r="F28" s="1463"/>
      <c r="G28" s="1463"/>
      <c r="H28" s="1463"/>
      <c r="I28" s="1463"/>
      <c r="J28" s="1463"/>
      <c r="K28" s="1463"/>
      <c r="L28" s="10"/>
    </row>
    <row r="29" spans="2:12" ht="12.75" customHeight="1">
      <c r="B29" s="10"/>
      <c r="C29" s="1492" t="s">
        <v>780</v>
      </c>
      <c r="D29" s="1492"/>
      <c r="E29" s="1492"/>
      <c r="F29" s="1492"/>
      <c r="G29" s="1492"/>
      <c r="H29" s="1492"/>
      <c r="I29" s="1492"/>
      <c r="J29" s="1492"/>
      <c r="K29" s="1492"/>
      <c r="L29" s="10"/>
    </row>
    <row r="30" spans="2:12" ht="12.75" customHeight="1">
      <c r="B30" s="10"/>
      <c r="C30" s="1492" t="s">
        <v>781</v>
      </c>
      <c r="D30" s="1492"/>
      <c r="E30" s="1492"/>
      <c r="F30" s="1492"/>
      <c r="G30" s="1492"/>
      <c r="H30" s="1492"/>
      <c r="I30" s="1492"/>
      <c r="J30" s="1492"/>
      <c r="K30" s="1492"/>
      <c r="L30" s="10"/>
    </row>
    <row r="31" spans="2:12" ht="12.75" customHeight="1">
      <c r="B31" s="10"/>
      <c r="C31" s="1492" t="s">
        <v>782</v>
      </c>
      <c r="D31" s="1492"/>
      <c r="E31" s="1492"/>
      <c r="F31" s="1492"/>
      <c r="G31" s="1492"/>
      <c r="H31" s="1492"/>
      <c r="I31" s="1492"/>
      <c r="J31" s="1492"/>
      <c r="K31" s="1492"/>
      <c r="L31" s="10"/>
    </row>
    <row r="32" spans="2:12" ht="12.75" customHeight="1">
      <c r="B32" s="10"/>
      <c r="C32" s="1492" t="s">
        <v>783</v>
      </c>
      <c r="D32" s="1492"/>
      <c r="E32" s="1492"/>
      <c r="F32" s="1492"/>
      <c r="G32" s="1492"/>
      <c r="H32" s="1492"/>
      <c r="I32" s="1492"/>
      <c r="J32" s="1492"/>
      <c r="K32" s="1492"/>
      <c r="L32" s="10"/>
    </row>
    <row r="33" spans="2:12" ht="12.75" customHeight="1">
      <c r="B33" s="10"/>
      <c r="C33" s="608"/>
      <c r="D33" s="608"/>
      <c r="E33" s="608"/>
      <c r="F33" s="608"/>
      <c r="G33" s="608"/>
      <c r="H33" s="608"/>
      <c r="I33" s="608"/>
      <c r="J33" s="608"/>
      <c r="K33" s="608"/>
      <c r="L33" s="10"/>
    </row>
    <row r="34" spans="2:12" ht="12.75" customHeight="1">
      <c r="B34" s="10"/>
      <c r="C34" s="1463" t="s">
        <v>728</v>
      </c>
      <c r="D34" s="1463"/>
      <c r="E34" s="1463"/>
      <c r="F34" s="1463"/>
      <c r="G34" s="1463"/>
      <c r="H34" s="1463"/>
      <c r="I34" s="1463"/>
      <c r="J34" s="1463"/>
      <c r="K34" s="1463"/>
      <c r="L34" s="10"/>
    </row>
    <row r="35" spans="2:12" ht="12.75" customHeight="1">
      <c r="B35" s="10"/>
      <c r="C35" s="1463"/>
      <c r="D35" s="1463"/>
      <c r="E35" s="1463"/>
      <c r="F35" s="1463"/>
      <c r="G35" s="1463"/>
      <c r="H35" s="1463"/>
      <c r="I35" s="1463"/>
      <c r="J35" s="1463"/>
      <c r="K35" s="1463"/>
      <c r="L35" s="10"/>
    </row>
    <row r="36" spans="2:12" ht="12.75" customHeight="1">
      <c r="B36" s="10"/>
      <c r="C36" s="1463"/>
      <c r="D36" s="1463"/>
      <c r="E36" s="1463"/>
      <c r="F36" s="1463"/>
      <c r="G36" s="1463"/>
      <c r="H36" s="1463"/>
      <c r="I36" s="1463"/>
      <c r="J36" s="1463"/>
      <c r="K36" s="1463"/>
      <c r="L36" s="10"/>
    </row>
    <row r="37" spans="2:12" ht="12.75" customHeight="1">
      <c r="B37" s="10"/>
      <c r="C37" s="1463"/>
      <c r="D37" s="1463"/>
      <c r="E37" s="1463"/>
      <c r="F37" s="1463"/>
      <c r="G37" s="1463"/>
      <c r="H37" s="1463"/>
      <c r="I37" s="1463"/>
      <c r="J37" s="1463"/>
      <c r="K37" s="1463"/>
      <c r="L37" s="10"/>
    </row>
    <row r="38" spans="2:12" ht="12.75" customHeight="1">
      <c r="B38" s="10"/>
      <c r="C38" s="607"/>
      <c r="D38" s="607"/>
      <c r="E38" s="607"/>
      <c r="F38" s="607"/>
      <c r="G38" s="607"/>
      <c r="H38" s="607"/>
      <c r="I38" s="607"/>
      <c r="J38" s="607"/>
      <c r="K38" s="607"/>
      <c r="L38" s="10"/>
    </row>
    <row r="39" spans="2:12" ht="12.75" customHeight="1">
      <c r="B39" s="10"/>
      <c r="C39" s="1463" t="s">
        <v>152</v>
      </c>
      <c r="D39" s="1463"/>
      <c r="E39" s="1463"/>
      <c r="F39" s="1463"/>
      <c r="G39" s="1463"/>
      <c r="H39" s="1463"/>
      <c r="I39" s="1463"/>
      <c r="J39" s="1463"/>
      <c r="K39" s="1463"/>
      <c r="L39" s="10"/>
    </row>
    <row r="40" spans="2:12" ht="12.75" customHeight="1">
      <c r="B40" s="10"/>
      <c r="C40" s="1463"/>
      <c r="D40" s="1463"/>
      <c r="E40" s="1463"/>
      <c r="F40" s="1463"/>
      <c r="G40" s="1463"/>
      <c r="H40" s="1463"/>
      <c r="I40" s="1463"/>
      <c r="J40" s="1463"/>
      <c r="K40" s="1463"/>
      <c r="L40" s="10"/>
    </row>
    <row r="41" spans="2:12" ht="12.75" customHeight="1">
      <c r="B41" s="10"/>
      <c r="C41" s="1463"/>
      <c r="D41" s="1463"/>
      <c r="E41" s="1463"/>
      <c r="F41" s="1463"/>
      <c r="G41" s="1463"/>
      <c r="H41" s="1463"/>
      <c r="I41" s="1463"/>
      <c r="J41" s="1463"/>
      <c r="K41" s="1463"/>
      <c r="L41" s="10"/>
    </row>
    <row r="42" spans="2:12" ht="12.75" customHeight="1">
      <c r="B42" s="10"/>
      <c r="C42" s="1463"/>
      <c r="D42" s="1463"/>
      <c r="E42" s="1463"/>
      <c r="F42" s="1463"/>
      <c r="G42" s="1463"/>
      <c r="H42" s="1463"/>
      <c r="I42" s="1463"/>
      <c r="J42" s="1463"/>
      <c r="K42" s="1463"/>
      <c r="L42" s="10"/>
    </row>
    <row r="43" spans="2:12" ht="12.75" customHeight="1">
      <c r="B43" s="10"/>
      <c r="C43" s="1463"/>
      <c r="D43" s="1463"/>
      <c r="E43" s="1463"/>
      <c r="F43" s="1463"/>
      <c r="G43" s="1463"/>
      <c r="H43" s="1463"/>
      <c r="I43" s="1463"/>
      <c r="J43" s="1463"/>
      <c r="K43" s="1463"/>
      <c r="L43" s="10"/>
    </row>
    <row r="44" spans="2:12" ht="12.75" customHeight="1">
      <c r="B44" s="10"/>
      <c r="C44" s="607"/>
      <c r="D44" s="607"/>
      <c r="E44" s="607"/>
      <c r="F44" s="607"/>
      <c r="G44" s="607"/>
      <c r="H44" s="607"/>
      <c r="I44" s="607"/>
      <c r="J44" s="607"/>
      <c r="K44" s="607"/>
      <c r="L44" s="10"/>
    </row>
    <row r="45" spans="2:12" ht="12.75" customHeight="1">
      <c r="B45" s="10"/>
      <c r="C45" s="1463" t="s">
        <v>752</v>
      </c>
      <c r="D45" s="1463"/>
      <c r="E45" s="1463"/>
      <c r="F45" s="1463"/>
      <c r="G45" s="1463"/>
      <c r="H45" s="1463"/>
      <c r="I45" s="1463"/>
      <c r="J45" s="1463"/>
      <c r="K45" s="1463"/>
      <c r="L45" s="10"/>
    </row>
    <row r="46" spans="2:12" ht="12.75" customHeight="1">
      <c r="B46" s="10"/>
      <c r="C46" s="1463"/>
      <c r="D46" s="1463"/>
      <c r="E46" s="1463"/>
      <c r="F46" s="1463"/>
      <c r="G46" s="1463"/>
      <c r="H46" s="1463"/>
      <c r="I46" s="1463"/>
      <c r="J46" s="1463"/>
      <c r="K46" s="1463"/>
      <c r="L46" s="10"/>
    </row>
    <row r="47" spans="2:12" ht="12.75" customHeight="1">
      <c r="B47" s="10"/>
      <c r="C47" s="1463"/>
      <c r="D47" s="1463"/>
      <c r="E47" s="1463"/>
      <c r="F47" s="1463"/>
      <c r="G47" s="1463"/>
      <c r="H47" s="1463"/>
      <c r="I47" s="1463"/>
      <c r="J47" s="1463"/>
      <c r="K47" s="1463"/>
      <c r="L47" s="10"/>
    </row>
    <row r="48" spans="2:12" ht="12.75" customHeight="1">
      <c r="B48" s="10"/>
      <c r="C48" s="1463"/>
      <c r="D48" s="1463"/>
      <c r="E48" s="1463"/>
      <c r="F48" s="1463"/>
      <c r="G48" s="1463"/>
      <c r="H48" s="1463"/>
      <c r="I48" s="1463"/>
      <c r="J48" s="1463"/>
      <c r="K48" s="1463"/>
      <c r="L48" s="10"/>
    </row>
    <row r="49" spans="2:12" ht="12.75" customHeight="1">
      <c r="B49" s="10"/>
      <c r="C49" s="1463"/>
      <c r="D49" s="1463"/>
      <c r="E49" s="1463"/>
      <c r="F49" s="1463"/>
      <c r="G49" s="1463"/>
      <c r="H49" s="1463"/>
      <c r="I49" s="1463"/>
      <c r="J49" s="1463"/>
      <c r="K49" s="1463"/>
      <c r="L49" s="10"/>
    </row>
    <row r="50" spans="2:12" ht="12.75" customHeight="1">
      <c r="B50" s="10"/>
      <c r="C50" s="1463"/>
      <c r="D50" s="1463"/>
      <c r="E50" s="1463"/>
      <c r="F50" s="1463"/>
      <c r="G50" s="1463"/>
      <c r="H50" s="1463"/>
      <c r="I50" s="1463"/>
      <c r="J50" s="1463"/>
      <c r="K50" s="1463"/>
      <c r="L50" s="10"/>
    </row>
    <row r="51" spans="2:12" ht="12.75" customHeight="1">
      <c r="B51" s="10"/>
      <c r="C51" s="1463"/>
      <c r="D51" s="1463"/>
      <c r="E51" s="1463"/>
      <c r="F51" s="1463"/>
      <c r="G51" s="1463"/>
      <c r="H51" s="1463"/>
      <c r="I51" s="1463"/>
      <c r="J51" s="1463"/>
      <c r="K51" s="1463"/>
      <c r="L51" s="10"/>
    </row>
    <row r="52" spans="2:12" ht="12.75" customHeight="1">
      <c r="B52" s="10"/>
      <c r="C52" s="108"/>
      <c r="D52" s="10"/>
      <c r="E52" s="10"/>
      <c r="F52" s="10"/>
      <c r="G52" s="10"/>
      <c r="H52" s="10"/>
      <c r="I52" s="10"/>
      <c r="J52" s="10"/>
      <c r="K52" s="10"/>
      <c r="L52" s="10"/>
    </row>
    <row r="53" spans="2:12" ht="12.75" customHeight="1">
      <c r="B53" s="10"/>
      <c r="C53" s="108"/>
      <c r="D53" s="10"/>
      <c r="E53" s="10"/>
      <c r="F53" s="10"/>
      <c r="G53" s="10"/>
      <c r="H53" s="10"/>
      <c r="I53" s="10"/>
      <c r="J53" s="10"/>
      <c r="K53" s="10"/>
      <c r="L53" s="10"/>
    </row>
    <row r="54" spans="2:12" ht="12.75" customHeight="1">
      <c r="B54" s="10"/>
      <c r="C54" s="108"/>
      <c r="D54" s="10"/>
      <c r="E54" s="10"/>
      <c r="F54" s="10"/>
      <c r="G54" s="10"/>
      <c r="H54" s="10"/>
      <c r="I54" s="10"/>
      <c r="J54" s="10"/>
      <c r="K54" s="10"/>
      <c r="L54" s="10"/>
    </row>
    <row r="55" spans="2:12" ht="12.75" customHeight="1">
      <c r="B55" s="10"/>
      <c r="C55" s="108"/>
      <c r="D55" s="10"/>
      <c r="E55" s="10"/>
      <c r="F55" s="10"/>
      <c r="G55" s="10"/>
      <c r="H55" s="10"/>
      <c r="I55" s="10"/>
      <c r="J55" s="10"/>
      <c r="K55" s="10"/>
      <c r="L55" s="10"/>
    </row>
    <row r="56" spans="2:12" ht="12.75" customHeight="1">
      <c r="B56" s="10"/>
      <c r="C56" s="108"/>
      <c r="D56" s="10"/>
      <c r="E56" s="10"/>
      <c r="F56" s="10"/>
      <c r="G56" s="10"/>
      <c r="H56" s="10"/>
      <c r="I56" s="10"/>
      <c r="J56" s="10"/>
      <c r="K56" s="10"/>
      <c r="L56" s="10"/>
    </row>
    <row r="57" spans="2:12" ht="12.75" customHeight="1">
      <c r="B57" s="10"/>
      <c r="C57" s="108"/>
      <c r="D57" s="10"/>
      <c r="E57" s="10"/>
      <c r="F57" s="10"/>
      <c r="G57" s="10"/>
      <c r="H57" s="10"/>
      <c r="I57" s="10"/>
      <c r="J57" s="10"/>
      <c r="K57" s="10"/>
      <c r="L57" s="10"/>
    </row>
    <row r="58" spans="2:12" ht="12.75" customHeight="1">
      <c r="B58" s="10"/>
      <c r="C58" s="108"/>
      <c r="D58" s="10"/>
      <c r="E58" s="10"/>
      <c r="F58" s="10"/>
      <c r="G58" s="10"/>
      <c r="H58" s="10"/>
      <c r="I58" s="10"/>
      <c r="J58" s="10"/>
      <c r="K58" s="10"/>
      <c r="L58" s="10"/>
    </row>
    <row r="59" spans="2:12" ht="12.75" customHeight="1">
      <c r="B59" s="10"/>
      <c r="C59" s="108"/>
      <c r="D59" s="10"/>
      <c r="E59" s="10"/>
      <c r="F59" s="10"/>
      <c r="G59" s="10"/>
      <c r="H59" s="10"/>
      <c r="I59" s="10"/>
      <c r="J59" s="10"/>
      <c r="K59" s="10"/>
      <c r="L59" s="10"/>
    </row>
    <row r="60" spans="2:12" ht="12.75" customHeight="1">
      <c r="B60" s="10"/>
      <c r="C60" s="108"/>
      <c r="D60" s="10"/>
      <c r="E60" s="10"/>
      <c r="F60" s="10"/>
      <c r="G60" s="10"/>
      <c r="H60" s="10"/>
      <c r="I60" s="10"/>
      <c r="J60" s="10"/>
      <c r="K60" s="10"/>
      <c r="L60" s="10"/>
    </row>
    <row r="61" spans="2:12" ht="12.75" customHeight="1">
      <c r="B61" s="10"/>
      <c r="C61" s="108"/>
      <c r="D61" s="10"/>
      <c r="E61" s="10"/>
      <c r="F61" s="10"/>
      <c r="G61" s="10"/>
      <c r="H61" s="10"/>
      <c r="I61" s="10"/>
      <c r="J61" s="10"/>
      <c r="K61" s="10"/>
      <c r="L61" s="10"/>
    </row>
    <row r="62" spans="2:12" ht="12.75" customHeight="1">
      <c r="B62" s="10"/>
      <c r="C62" s="108"/>
      <c r="D62" s="10"/>
      <c r="E62" s="10"/>
      <c r="F62" s="10"/>
      <c r="G62" s="10"/>
      <c r="H62" s="10"/>
      <c r="I62" s="10"/>
      <c r="J62" s="10"/>
      <c r="K62" s="10"/>
      <c r="L62" s="10"/>
    </row>
    <row r="63" spans="2:12" ht="12.75" customHeight="1">
      <c r="B63" s="10"/>
      <c r="C63" s="108"/>
      <c r="D63" s="10"/>
      <c r="E63" s="10"/>
      <c r="F63" s="10"/>
      <c r="G63" s="10"/>
      <c r="H63" s="10"/>
      <c r="I63" s="10"/>
      <c r="J63" s="10"/>
      <c r="K63" s="10"/>
      <c r="L63" s="10"/>
    </row>
    <row r="64" spans="2:12" ht="12.75" customHeight="1">
      <c r="B64" s="10"/>
      <c r="C64" s="1493" t="s">
        <v>784</v>
      </c>
      <c r="D64" s="1493"/>
      <c r="E64" s="1493"/>
      <c r="F64" s="1493"/>
      <c r="G64" s="1493"/>
      <c r="H64" s="1493"/>
      <c r="I64" s="1493"/>
      <c r="J64" s="1493"/>
      <c r="K64" s="1493"/>
      <c r="L64" s="10"/>
    </row>
    <row r="65" spans="2:12" ht="12.75" customHeight="1">
      <c r="B65" s="10"/>
      <c r="C65" s="108"/>
      <c r="D65" s="10"/>
      <c r="E65" s="10"/>
      <c r="F65" s="10"/>
      <c r="G65" s="10"/>
      <c r="H65" s="10"/>
      <c r="I65" s="10"/>
      <c r="J65" s="10"/>
      <c r="K65" s="10"/>
      <c r="L65" s="10"/>
    </row>
    <row r="66" spans="2:12" ht="12.75" customHeight="1">
      <c r="B66" s="10"/>
      <c r="C66" s="10" t="s">
        <v>778</v>
      </c>
      <c r="D66" s="10"/>
      <c r="E66" s="10"/>
      <c r="F66" s="10"/>
      <c r="G66" s="10"/>
      <c r="H66" s="10"/>
      <c r="I66" s="10"/>
      <c r="J66" s="10"/>
      <c r="K66" s="10">
        <v>1</v>
      </c>
      <c r="L66" s="10"/>
    </row>
    <row r="67" spans="2:12" ht="12.75" customHeight="1">
      <c r="B67" s="10"/>
      <c r="C67" s="10" t="s">
        <v>784</v>
      </c>
      <c r="D67" s="10"/>
      <c r="E67" s="10"/>
      <c r="F67" s="10"/>
      <c r="G67" s="10"/>
      <c r="H67" s="10"/>
      <c r="I67" s="10"/>
      <c r="J67" s="10"/>
      <c r="K67" s="10">
        <v>2</v>
      </c>
      <c r="L67" s="10"/>
    </row>
    <row r="68" spans="2:12" ht="12.75" customHeight="1">
      <c r="B68" s="10"/>
      <c r="C68" s="10" t="s">
        <v>785</v>
      </c>
      <c r="D68" s="10"/>
      <c r="E68" s="10"/>
      <c r="F68" s="10"/>
      <c r="G68" s="10"/>
      <c r="H68" s="10"/>
      <c r="I68" s="10"/>
      <c r="J68" s="10"/>
      <c r="K68" s="10">
        <v>3</v>
      </c>
      <c r="L68" s="10"/>
    </row>
    <row r="69" spans="2:12" ht="12.75" customHeight="1">
      <c r="B69" s="10"/>
      <c r="C69" s="10" t="s">
        <v>786</v>
      </c>
      <c r="D69" s="10"/>
      <c r="E69" s="10"/>
      <c r="F69" s="10"/>
      <c r="G69" s="10"/>
      <c r="H69" s="10"/>
      <c r="I69" s="10"/>
      <c r="J69" s="10"/>
      <c r="K69" s="10">
        <v>3</v>
      </c>
      <c r="L69" s="10"/>
    </row>
    <row r="70" spans="2:12" ht="12.75" customHeight="1">
      <c r="B70" s="10"/>
      <c r="C70" s="10" t="s">
        <v>787</v>
      </c>
      <c r="D70" s="10"/>
      <c r="E70" s="10"/>
      <c r="F70" s="10"/>
      <c r="G70" s="10"/>
      <c r="H70" s="10"/>
      <c r="I70" s="10"/>
      <c r="J70" s="10"/>
      <c r="K70" s="10">
        <v>4</v>
      </c>
      <c r="L70" s="10"/>
    </row>
    <row r="71" spans="2:12" ht="12.75" customHeight="1">
      <c r="B71" s="10"/>
      <c r="C71" s="10" t="s">
        <v>788</v>
      </c>
      <c r="D71" s="10"/>
      <c r="E71" s="10"/>
      <c r="F71" s="10"/>
      <c r="G71" s="10"/>
      <c r="H71" s="10"/>
      <c r="I71" s="10"/>
      <c r="J71" s="10"/>
      <c r="K71" s="10">
        <v>5</v>
      </c>
      <c r="L71" s="10"/>
    </row>
    <row r="72" spans="2:12" ht="12.75" customHeight="1">
      <c r="B72" s="10"/>
      <c r="C72" s="10" t="s">
        <v>789</v>
      </c>
      <c r="D72" s="10"/>
      <c r="E72" s="10"/>
      <c r="F72" s="10"/>
      <c r="G72" s="10"/>
      <c r="H72" s="10"/>
      <c r="I72" s="10"/>
      <c r="J72" s="10"/>
      <c r="K72" s="10">
        <v>6</v>
      </c>
      <c r="L72" s="10"/>
    </row>
    <row r="73" spans="2:12" ht="12.75" customHeight="1">
      <c r="B73" s="10"/>
      <c r="C73" s="10" t="s">
        <v>790</v>
      </c>
      <c r="D73" s="10"/>
      <c r="E73" s="10"/>
      <c r="F73" s="10"/>
      <c r="G73" s="10"/>
      <c r="H73" s="10"/>
      <c r="I73" s="10"/>
      <c r="J73" s="10"/>
      <c r="K73" s="10">
        <v>6</v>
      </c>
      <c r="L73" s="10"/>
    </row>
    <row r="74" spans="2:12" ht="12.75" customHeight="1">
      <c r="B74" s="10"/>
      <c r="C74" s="10" t="s">
        <v>791</v>
      </c>
      <c r="D74" s="10"/>
      <c r="E74" s="10"/>
      <c r="F74" s="10"/>
      <c r="G74" s="10"/>
      <c r="H74" s="10"/>
      <c r="I74" s="10"/>
      <c r="J74" s="10"/>
      <c r="K74" s="10">
        <v>7</v>
      </c>
      <c r="L74" s="10"/>
    </row>
    <row r="75" spans="2:12" ht="12.75" customHeight="1">
      <c r="B75" s="10"/>
      <c r="C75" s="10" t="s">
        <v>792</v>
      </c>
      <c r="D75" s="10"/>
      <c r="E75" s="10"/>
      <c r="F75" s="10"/>
      <c r="G75" s="10"/>
      <c r="H75" s="10"/>
      <c r="I75" s="10"/>
      <c r="J75" s="10"/>
      <c r="K75" s="10">
        <v>7</v>
      </c>
      <c r="L75" s="10"/>
    </row>
    <row r="76" spans="2:12" ht="12.75" customHeight="1">
      <c r="B76" s="10"/>
      <c r="C76" s="10" t="s">
        <v>793</v>
      </c>
      <c r="D76" s="10"/>
      <c r="E76" s="10"/>
      <c r="F76" s="10"/>
      <c r="G76" s="10"/>
      <c r="H76" s="10"/>
      <c r="I76" s="10"/>
      <c r="J76" s="10"/>
      <c r="K76" s="10">
        <v>7</v>
      </c>
      <c r="L76" s="10"/>
    </row>
    <row r="77" spans="2:12" ht="12.75" customHeight="1">
      <c r="B77" s="10"/>
      <c r="C77" s="10" t="s">
        <v>794</v>
      </c>
      <c r="D77" s="10"/>
      <c r="E77" s="10"/>
      <c r="F77" s="10"/>
      <c r="G77" s="10"/>
      <c r="H77" s="10"/>
      <c r="I77" s="10"/>
      <c r="J77" s="10"/>
      <c r="K77" s="10">
        <v>7</v>
      </c>
      <c r="L77" s="10"/>
    </row>
    <row r="78" spans="2:12" ht="12.75" customHeight="1">
      <c r="B78" s="10"/>
      <c r="C78" s="10" t="s">
        <v>795</v>
      </c>
      <c r="D78" s="10"/>
      <c r="E78" s="10"/>
      <c r="F78" s="10"/>
      <c r="G78" s="10"/>
      <c r="H78" s="10"/>
      <c r="I78" s="10"/>
      <c r="J78" s="10"/>
      <c r="K78" s="10">
        <v>8</v>
      </c>
      <c r="L78" s="10"/>
    </row>
    <row r="79" spans="2:12" ht="12.75" customHeight="1">
      <c r="B79" s="10"/>
      <c r="C79" s="10" t="s">
        <v>796</v>
      </c>
      <c r="D79" s="10"/>
      <c r="E79" s="10"/>
      <c r="F79" s="10"/>
      <c r="G79" s="10"/>
      <c r="H79" s="10"/>
      <c r="I79" s="10"/>
      <c r="J79" s="10"/>
      <c r="K79" s="10">
        <v>9</v>
      </c>
      <c r="L79" s="10"/>
    </row>
    <row r="80" spans="2:12" ht="12.75" customHeight="1">
      <c r="B80" s="10"/>
      <c r="C80" s="10" t="s">
        <v>797</v>
      </c>
      <c r="D80" s="10"/>
      <c r="E80" s="10"/>
      <c r="F80" s="10"/>
      <c r="G80" s="10"/>
      <c r="H80" s="10"/>
      <c r="I80" s="10"/>
      <c r="J80" s="10"/>
      <c r="K80" s="10">
        <v>9</v>
      </c>
      <c r="L80" s="10"/>
    </row>
    <row r="81" spans="2:12" ht="12.75" customHeight="1">
      <c r="B81" s="10"/>
      <c r="C81" s="10" t="s">
        <v>798</v>
      </c>
      <c r="D81" s="10"/>
      <c r="E81" s="10"/>
      <c r="F81" s="10"/>
      <c r="G81" s="10"/>
      <c r="H81" s="10"/>
      <c r="I81" s="10"/>
      <c r="J81" s="10"/>
      <c r="K81" s="10">
        <v>10</v>
      </c>
      <c r="L81" s="10"/>
    </row>
    <row r="82" spans="2:12" ht="12.75" customHeight="1">
      <c r="B82" s="10"/>
      <c r="C82" s="10" t="s">
        <v>799</v>
      </c>
      <c r="D82" s="10"/>
      <c r="E82" s="10"/>
      <c r="F82" s="10"/>
      <c r="G82" s="10"/>
      <c r="H82" s="10"/>
      <c r="I82" s="10"/>
      <c r="J82" s="10"/>
      <c r="K82" s="10">
        <v>10</v>
      </c>
      <c r="L82" s="10"/>
    </row>
    <row r="83" spans="2:12" ht="12.75" customHeight="1">
      <c r="B83" s="10"/>
      <c r="C83" s="10" t="s">
        <v>800</v>
      </c>
      <c r="D83" s="10"/>
      <c r="E83" s="10"/>
      <c r="F83" s="10"/>
      <c r="G83" s="10"/>
      <c r="H83" s="10"/>
      <c r="I83" s="10"/>
      <c r="J83" s="10"/>
      <c r="K83" s="10">
        <v>11</v>
      </c>
      <c r="L83" s="10"/>
    </row>
    <row r="84" spans="2:12" ht="12.75" customHeight="1">
      <c r="B84" s="10"/>
      <c r="C84" s="10" t="s">
        <v>801</v>
      </c>
      <c r="D84" s="10"/>
      <c r="E84" s="10"/>
      <c r="F84" s="10"/>
      <c r="G84" s="10"/>
      <c r="H84" s="10"/>
      <c r="I84" s="10"/>
      <c r="J84" s="10"/>
      <c r="K84" s="10">
        <v>11</v>
      </c>
      <c r="L84" s="10"/>
    </row>
    <row r="85" spans="2:12" ht="12.75" customHeight="1">
      <c r="B85" s="10"/>
      <c r="C85" s="10" t="s">
        <v>802</v>
      </c>
      <c r="D85" s="10"/>
      <c r="E85" s="10"/>
      <c r="F85" s="10"/>
      <c r="G85" s="10"/>
      <c r="H85" s="10"/>
      <c r="I85" s="10"/>
      <c r="J85" s="10"/>
      <c r="K85" s="10">
        <v>12</v>
      </c>
      <c r="L85" s="10"/>
    </row>
    <row r="86" spans="2:12" ht="12.75" customHeight="1">
      <c r="B86" s="10"/>
      <c r="C86" s="10" t="s">
        <v>803</v>
      </c>
      <c r="D86" s="10"/>
      <c r="E86" s="10"/>
      <c r="F86" s="10"/>
      <c r="G86" s="10"/>
      <c r="H86" s="10"/>
      <c r="I86" s="10"/>
      <c r="J86" s="10"/>
      <c r="K86" s="10">
        <v>12</v>
      </c>
      <c r="L86" s="10"/>
    </row>
    <row r="87" spans="2:12" ht="12.75" customHeight="1">
      <c r="B87" s="10"/>
      <c r="C87" s="10" t="s">
        <v>804</v>
      </c>
      <c r="D87" s="10"/>
      <c r="E87" s="10"/>
      <c r="F87" s="10"/>
      <c r="G87" s="10"/>
      <c r="H87" s="10"/>
      <c r="I87" s="10"/>
      <c r="J87" s="10"/>
      <c r="K87" s="10">
        <v>12</v>
      </c>
      <c r="L87" s="10"/>
    </row>
    <row r="88" spans="2:12" ht="12.75" customHeight="1">
      <c r="B88" s="10"/>
      <c r="C88" s="10" t="s">
        <v>805</v>
      </c>
      <c r="D88" s="10"/>
      <c r="E88" s="10"/>
      <c r="F88" s="10"/>
      <c r="G88" s="10"/>
      <c r="H88" s="10"/>
      <c r="I88" s="10"/>
      <c r="J88" s="10"/>
      <c r="K88" s="10">
        <v>13</v>
      </c>
      <c r="L88" s="10"/>
    </row>
    <row r="89" spans="2:12" ht="12.75" customHeight="1">
      <c r="B89" s="10"/>
      <c r="C89" s="10" t="s">
        <v>806</v>
      </c>
      <c r="D89" s="10"/>
      <c r="E89" s="10"/>
      <c r="F89" s="10"/>
      <c r="G89" s="10"/>
      <c r="H89" s="10"/>
      <c r="I89" s="10"/>
      <c r="J89" s="10"/>
      <c r="K89" s="10">
        <v>13</v>
      </c>
      <c r="L89" s="10"/>
    </row>
    <row r="90" spans="2:12" ht="12.75" customHeight="1">
      <c r="B90" s="10"/>
      <c r="C90" s="10" t="s">
        <v>807</v>
      </c>
      <c r="D90" s="10"/>
      <c r="E90" s="10"/>
      <c r="F90" s="10"/>
      <c r="G90" s="10"/>
      <c r="H90" s="10"/>
      <c r="I90" s="10"/>
      <c r="J90" s="10"/>
      <c r="K90" s="10">
        <v>15</v>
      </c>
      <c r="L90" s="10"/>
    </row>
    <row r="91" spans="2:12" ht="12.75" customHeight="1">
      <c r="B91" s="10"/>
      <c r="C91" s="10" t="s">
        <v>808</v>
      </c>
      <c r="D91" s="10"/>
      <c r="E91" s="10"/>
      <c r="F91" s="10"/>
      <c r="G91" s="10"/>
      <c r="H91" s="10"/>
      <c r="I91" s="10"/>
      <c r="J91" s="10"/>
      <c r="K91" s="10">
        <v>15</v>
      </c>
      <c r="L91" s="10"/>
    </row>
    <row r="92" spans="2:12" ht="12.75" customHeight="1">
      <c r="B92" s="10"/>
      <c r="C92" s="10" t="s">
        <v>309</v>
      </c>
      <c r="D92" s="10"/>
      <c r="E92" s="10"/>
      <c r="F92" s="10"/>
      <c r="G92" s="10"/>
      <c r="H92" s="10"/>
      <c r="I92" s="10"/>
      <c r="J92" s="10"/>
      <c r="K92" s="10">
        <v>17</v>
      </c>
      <c r="L92" s="10"/>
    </row>
    <row r="93" spans="2:12" ht="12.75" customHeight="1">
      <c r="B93" s="10"/>
      <c r="C93" s="10" t="s">
        <v>573</v>
      </c>
      <c r="D93" s="10"/>
      <c r="E93" s="10"/>
      <c r="F93" s="10"/>
      <c r="G93" s="10"/>
      <c r="H93" s="10"/>
      <c r="I93" s="10"/>
      <c r="J93" s="10"/>
      <c r="K93" s="10">
        <v>17</v>
      </c>
      <c r="L93" s="10"/>
    </row>
    <row r="94" spans="2:12" ht="12.75" customHeight="1">
      <c r="B94" s="10"/>
      <c r="C94" s="10" t="s">
        <v>739</v>
      </c>
      <c r="D94" s="10"/>
      <c r="E94" s="10"/>
      <c r="F94" s="10"/>
      <c r="G94" s="10"/>
      <c r="H94" s="10"/>
      <c r="I94" s="10"/>
      <c r="J94" s="10"/>
      <c r="K94" s="10">
        <v>17</v>
      </c>
      <c r="L94" s="10"/>
    </row>
    <row r="95" spans="2:12" ht="12.75" customHeight="1">
      <c r="B95" s="10"/>
      <c r="C95" s="10" t="s">
        <v>809</v>
      </c>
      <c r="D95" s="10"/>
      <c r="E95" s="10"/>
      <c r="F95" s="10"/>
      <c r="G95" s="10"/>
      <c r="H95" s="10"/>
      <c r="I95" s="10"/>
      <c r="J95" s="10"/>
      <c r="K95" s="10">
        <v>20</v>
      </c>
      <c r="L95" s="10"/>
    </row>
    <row r="96" spans="2:12" ht="12.75" customHeight="1">
      <c r="B96" s="10"/>
      <c r="C96" s="10" t="s">
        <v>810</v>
      </c>
      <c r="D96" s="10"/>
      <c r="E96" s="10"/>
      <c r="F96" s="10"/>
      <c r="G96" s="10"/>
      <c r="H96" s="10"/>
      <c r="I96" s="10"/>
      <c r="J96" s="10"/>
      <c r="K96" s="10">
        <v>20</v>
      </c>
      <c r="L96" s="10"/>
    </row>
    <row r="97" spans="2:12" ht="12.75" customHeight="1">
      <c r="B97" s="10"/>
      <c r="C97" s="10" t="s">
        <v>811</v>
      </c>
      <c r="D97" s="10"/>
      <c r="E97" s="10"/>
      <c r="F97" s="10"/>
      <c r="G97" s="10"/>
      <c r="H97" s="10"/>
      <c r="I97" s="10"/>
      <c r="J97" s="10"/>
      <c r="K97" s="10">
        <v>21</v>
      </c>
      <c r="L97" s="10"/>
    </row>
    <row r="98" spans="2:12" ht="12.75" customHeight="1">
      <c r="B98" s="10"/>
      <c r="C98" s="10" t="s">
        <v>812</v>
      </c>
      <c r="D98" s="10"/>
      <c r="E98" s="10"/>
      <c r="F98" s="10"/>
      <c r="G98" s="10"/>
      <c r="H98" s="10"/>
      <c r="I98" s="10"/>
      <c r="J98" s="10"/>
      <c r="K98" s="10">
        <v>21</v>
      </c>
      <c r="L98" s="10"/>
    </row>
    <row r="99" spans="2:12" ht="12.75" customHeight="1">
      <c r="B99" s="10"/>
      <c r="C99" s="10" t="s">
        <v>273</v>
      </c>
      <c r="D99" s="10"/>
      <c r="E99" s="10"/>
      <c r="F99" s="10"/>
      <c r="G99" s="10"/>
      <c r="H99" s="10"/>
      <c r="I99" s="10"/>
      <c r="J99" s="10"/>
      <c r="K99" s="10">
        <v>22</v>
      </c>
      <c r="L99" s="10"/>
    </row>
    <row r="100" spans="2:12" ht="12.75" customHeight="1">
      <c r="B100" s="10"/>
      <c r="C100" s="10" t="s">
        <v>274</v>
      </c>
      <c r="D100" s="10"/>
      <c r="E100" s="10"/>
      <c r="F100" s="10"/>
      <c r="G100" s="10"/>
      <c r="H100" s="10"/>
      <c r="I100" s="10"/>
      <c r="J100" s="10"/>
      <c r="K100" s="10">
        <v>23</v>
      </c>
      <c r="L100" s="10"/>
    </row>
    <row r="101" spans="2:12" ht="12.75" customHeight="1">
      <c r="B101" s="10"/>
      <c r="C101" s="605"/>
      <c r="D101" s="10"/>
      <c r="E101" s="10"/>
      <c r="F101" s="10"/>
      <c r="G101" s="10"/>
      <c r="H101" s="10"/>
      <c r="I101" s="10"/>
      <c r="J101" s="10"/>
      <c r="K101" s="10"/>
      <c r="L101" s="10"/>
    </row>
    <row r="102" spans="2:12" ht="12.75" customHeight="1">
      <c r="B102" s="10"/>
      <c r="C102" s="605"/>
      <c r="D102" s="10"/>
      <c r="E102" s="10"/>
      <c r="F102" s="10"/>
      <c r="G102" s="10"/>
      <c r="H102" s="10"/>
      <c r="I102" s="10"/>
      <c r="J102" s="10"/>
      <c r="K102" s="10"/>
      <c r="L102" s="10"/>
    </row>
    <row r="103" spans="2:12" ht="12.75" customHeight="1">
      <c r="B103" s="10"/>
      <c r="C103" s="605"/>
      <c r="D103" s="10"/>
      <c r="E103" s="10"/>
      <c r="F103" s="10"/>
      <c r="G103" s="10"/>
      <c r="H103" s="10"/>
      <c r="I103" s="10"/>
      <c r="J103" s="10"/>
      <c r="K103" s="10"/>
      <c r="L103" s="10"/>
    </row>
    <row r="104" spans="2:12" ht="12.75" customHeight="1">
      <c r="B104" s="10"/>
      <c r="C104" s="605"/>
      <c r="D104" s="10"/>
      <c r="E104" s="10"/>
      <c r="F104" s="10"/>
      <c r="G104" s="10"/>
      <c r="H104" s="10"/>
      <c r="I104" s="10"/>
      <c r="J104" s="10"/>
      <c r="K104" s="10"/>
      <c r="L104" s="10"/>
    </row>
    <row r="105" spans="2:12" ht="12.75" customHeight="1">
      <c r="B105" s="10"/>
      <c r="C105" s="605"/>
      <c r="D105" s="10"/>
      <c r="E105" s="10"/>
      <c r="F105" s="10"/>
      <c r="G105" s="10"/>
      <c r="H105" s="10"/>
      <c r="I105" s="10"/>
      <c r="J105" s="10"/>
      <c r="K105" s="10"/>
      <c r="L105" s="10"/>
    </row>
    <row r="106" spans="2:12" ht="12.75" customHeight="1">
      <c r="B106" s="10"/>
      <c r="C106" s="605"/>
      <c r="D106" s="10"/>
      <c r="E106" s="10"/>
      <c r="F106" s="10"/>
      <c r="G106" s="10"/>
      <c r="H106" s="10"/>
      <c r="I106" s="10"/>
      <c r="J106" s="10"/>
      <c r="K106" s="10"/>
      <c r="L106" s="10"/>
    </row>
    <row r="107" spans="2:12" ht="12.75" customHeight="1">
      <c r="B107" s="10"/>
      <c r="C107" s="605"/>
      <c r="D107" s="10"/>
      <c r="E107" s="10"/>
      <c r="F107" s="10"/>
      <c r="G107" s="10"/>
      <c r="H107" s="10"/>
      <c r="I107" s="10"/>
      <c r="J107" s="10"/>
      <c r="K107" s="10"/>
      <c r="L107" s="10"/>
    </row>
    <row r="108" spans="2:12" ht="12.75" customHeight="1">
      <c r="B108" s="10"/>
      <c r="C108" s="605"/>
      <c r="D108" s="10"/>
      <c r="E108" s="10"/>
      <c r="F108" s="10"/>
      <c r="G108" s="10"/>
      <c r="H108" s="10"/>
      <c r="I108" s="10"/>
      <c r="J108" s="10"/>
      <c r="K108" s="10"/>
      <c r="L108" s="10"/>
    </row>
    <row r="109" spans="2:12" ht="12.75" customHeight="1">
      <c r="B109" s="10"/>
      <c r="C109" s="605"/>
      <c r="D109" s="10"/>
      <c r="E109" s="10"/>
      <c r="F109" s="10"/>
      <c r="G109" s="10"/>
      <c r="H109" s="10"/>
      <c r="I109" s="10"/>
      <c r="J109" s="10"/>
      <c r="K109" s="10"/>
      <c r="L109" s="10"/>
    </row>
    <row r="110" spans="2:12" ht="12.75" customHeight="1">
      <c r="B110" s="10"/>
      <c r="C110" s="605"/>
      <c r="D110" s="10"/>
      <c r="E110" s="10"/>
      <c r="F110" s="10"/>
      <c r="G110" s="10"/>
      <c r="H110" s="10"/>
      <c r="I110" s="10"/>
      <c r="J110" s="10"/>
      <c r="K110" s="10"/>
      <c r="L110" s="10"/>
    </row>
    <row r="111" spans="2:12" ht="12.75" customHeight="1">
      <c r="B111" s="10"/>
      <c r="C111" s="605"/>
      <c r="D111" s="10"/>
      <c r="E111" s="10"/>
      <c r="F111" s="10"/>
      <c r="G111" s="10"/>
      <c r="H111" s="10"/>
      <c r="I111" s="10"/>
      <c r="J111" s="10"/>
      <c r="K111" s="10"/>
      <c r="L111" s="10"/>
    </row>
    <row r="112" spans="2:12" ht="12.75" customHeight="1">
      <c r="B112" s="10"/>
      <c r="C112" s="605"/>
      <c r="D112" s="10"/>
      <c r="E112" s="10"/>
      <c r="F112" s="10"/>
      <c r="G112" s="10"/>
      <c r="H112" s="10"/>
      <c r="I112" s="10"/>
      <c r="J112" s="10"/>
      <c r="K112" s="10"/>
      <c r="L112" s="10"/>
    </row>
    <row r="113" spans="2:12" ht="12.75" customHeight="1">
      <c r="B113" s="10"/>
      <c r="C113" s="605"/>
      <c r="D113" s="10"/>
      <c r="E113" s="10"/>
      <c r="F113" s="10"/>
      <c r="G113" s="10"/>
      <c r="H113" s="10"/>
      <c r="I113" s="10"/>
      <c r="J113" s="10"/>
      <c r="K113" s="10"/>
      <c r="L113" s="10"/>
    </row>
    <row r="114" spans="2:12" ht="12.75" customHeight="1">
      <c r="B114" s="10"/>
      <c r="C114" s="605"/>
      <c r="D114" s="10"/>
      <c r="E114" s="10"/>
      <c r="F114" s="10"/>
      <c r="G114" s="10"/>
      <c r="H114" s="10"/>
      <c r="I114" s="10"/>
      <c r="J114" s="10"/>
      <c r="K114" s="10"/>
      <c r="L114" s="10"/>
    </row>
    <row r="115" spans="2:12" ht="12.75" customHeight="1">
      <c r="B115" s="10"/>
      <c r="C115" s="605"/>
      <c r="D115" s="10"/>
      <c r="E115" s="10"/>
      <c r="F115" s="10"/>
      <c r="G115" s="10"/>
      <c r="H115" s="10"/>
      <c r="I115" s="10"/>
      <c r="J115" s="10"/>
      <c r="K115" s="10"/>
      <c r="L115" s="10"/>
    </row>
    <row r="116" spans="2:12" ht="12.75" customHeight="1">
      <c r="B116" s="10"/>
      <c r="C116" s="605"/>
      <c r="D116" s="10"/>
      <c r="E116" s="10"/>
      <c r="F116" s="10"/>
      <c r="G116" s="10"/>
      <c r="H116" s="10"/>
      <c r="I116" s="10"/>
      <c r="J116" s="10"/>
      <c r="K116" s="10"/>
      <c r="L116" s="10"/>
    </row>
    <row r="117" spans="2:12" ht="12.75" customHeight="1">
      <c r="B117" s="10"/>
      <c r="C117" s="605"/>
      <c r="D117" s="10"/>
      <c r="E117" s="10"/>
      <c r="F117" s="10"/>
      <c r="G117" s="10"/>
      <c r="H117" s="10"/>
      <c r="I117" s="10"/>
      <c r="J117" s="10"/>
      <c r="K117" s="10"/>
      <c r="L117" s="10"/>
    </row>
    <row r="118" spans="2:12" ht="12.75" customHeight="1">
      <c r="B118" s="10"/>
      <c r="C118" s="605"/>
      <c r="D118" s="10"/>
      <c r="E118" s="10"/>
      <c r="F118" s="10"/>
      <c r="G118" s="10"/>
      <c r="H118" s="10"/>
      <c r="I118" s="10"/>
      <c r="J118" s="10"/>
      <c r="K118" s="10"/>
      <c r="L118" s="10"/>
    </row>
    <row r="119" spans="2:12" ht="12.75" customHeight="1">
      <c r="B119" s="10"/>
      <c r="C119" s="605"/>
      <c r="D119" s="10"/>
      <c r="E119" s="10"/>
      <c r="F119" s="10"/>
      <c r="G119" s="10"/>
      <c r="H119" s="10"/>
      <c r="I119" s="10"/>
      <c r="J119" s="10"/>
      <c r="K119" s="10"/>
      <c r="L119" s="10"/>
    </row>
    <row r="120" spans="2:12" ht="12.75" customHeight="1">
      <c r="B120" s="10"/>
      <c r="C120" s="605"/>
      <c r="D120" s="10"/>
      <c r="E120" s="10"/>
      <c r="F120" s="10"/>
      <c r="G120" s="10"/>
      <c r="H120" s="10"/>
      <c r="I120" s="10"/>
      <c r="J120" s="10"/>
      <c r="K120" s="10"/>
      <c r="L120" s="10"/>
    </row>
    <row r="121" spans="2:12" ht="12.75" customHeight="1">
      <c r="B121" s="10"/>
      <c r="C121" s="605"/>
      <c r="D121" s="10"/>
      <c r="E121" s="10"/>
      <c r="F121" s="10"/>
      <c r="G121" s="10"/>
      <c r="H121" s="10"/>
      <c r="I121" s="10"/>
      <c r="J121" s="10"/>
      <c r="K121" s="10"/>
      <c r="L121" s="10"/>
    </row>
    <row r="122" spans="2:12" ht="12.75" customHeight="1">
      <c r="B122" s="10"/>
      <c r="C122" s="605"/>
      <c r="D122" s="10"/>
      <c r="E122" s="10"/>
      <c r="F122" s="10"/>
      <c r="G122" s="10"/>
      <c r="H122" s="10"/>
      <c r="I122" s="10"/>
      <c r="J122" s="10"/>
      <c r="K122" s="10"/>
      <c r="L122" s="10"/>
    </row>
    <row r="123" spans="2:12" ht="12.75" customHeight="1">
      <c r="B123" s="10"/>
      <c r="C123" s="605"/>
      <c r="D123" s="10"/>
      <c r="E123" s="10"/>
      <c r="F123" s="10"/>
      <c r="G123" s="10"/>
      <c r="H123" s="10"/>
      <c r="I123" s="10"/>
      <c r="J123" s="10"/>
      <c r="K123" s="10"/>
      <c r="L123" s="10"/>
    </row>
    <row r="124" spans="2:12" ht="12.75" customHeight="1">
      <c r="B124" s="10"/>
      <c r="C124" s="605"/>
      <c r="D124" s="10"/>
      <c r="E124" s="10"/>
      <c r="F124" s="10"/>
      <c r="G124" s="10"/>
      <c r="H124" s="10"/>
      <c r="I124" s="10"/>
      <c r="J124" s="10"/>
      <c r="K124" s="10"/>
      <c r="L124" s="10"/>
    </row>
    <row r="125" spans="2:12" ht="12.75" customHeight="1">
      <c r="B125" s="10"/>
      <c r="C125" s="605"/>
      <c r="D125" s="10"/>
      <c r="E125" s="10"/>
      <c r="F125" s="10"/>
      <c r="G125" s="10"/>
      <c r="H125" s="10"/>
      <c r="I125" s="10"/>
      <c r="J125" s="10"/>
      <c r="K125" s="10"/>
      <c r="L125" s="10"/>
    </row>
    <row r="126" spans="2:12" ht="12.75" customHeight="1">
      <c r="B126" s="10"/>
      <c r="C126" s="1489" t="s">
        <v>785</v>
      </c>
      <c r="D126" s="1489"/>
      <c r="E126" s="1489"/>
      <c r="F126" s="1489"/>
      <c r="G126" s="1489"/>
      <c r="H126" s="1489"/>
      <c r="I126" s="1489"/>
      <c r="J126" s="1489"/>
      <c r="K126" s="1489"/>
      <c r="L126" s="10"/>
    </row>
    <row r="127" spans="2:12" ht="12.75" customHeight="1">
      <c r="B127" s="10"/>
      <c r="C127" s="1489"/>
      <c r="D127" s="1489"/>
      <c r="E127" s="1489"/>
      <c r="F127" s="1489"/>
      <c r="G127" s="1489"/>
      <c r="H127" s="1489"/>
      <c r="I127" s="1489"/>
      <c r="J127" s="1489"/>
      <c r="K127" s="1489"/>
      <c r="L127" s="10"/>
    </row>
    <row r="128" spans="2:12" ht="12.75" customHeight="1">
      <c r="B128" s="10"/>
      <c r="C128" s="1463" t="s">
        <v>399</v>
      </c>
      <c r="D128" s="1463"/>
      <c r="E128" s="1463"/>
      <c r="F128" s="1463"/>
      <c r="G128" s="1463"/>
      <c r="H128" s="1463"/>
      <c r="I128" s="1463"/>
      <c r="J128" s="1463"/>
      <c r="K128" s="1463"/>
      <c r="L128" s="10"/>
    </row>
    <row r="129" spans="2:12" ht="12.75" customHeight="1">
      <c r="B129" s="10"/>
      <c r="C129" s="1463"/>
      <c r="D129" s="1463"/>
      <c r="E129" s="1463"/>
      <c r="F129" s="1463"/>
      <c r="G129" s="1463"/>
      <c r="H129" s="1463"/>
      <c r="I129" s="1463"/>
      <c r="J129" s="1463"/>
      <c r="K129" s="1463"/>
      <c r="L129" s="10"/>
    </row>
    <row r="130" spans="2:12" ht="12.75" customHeight="1">
      <c r="B130" s="10"/>
      <c r="C130" s="1463"/>
      <c r="D130" s="1463"/>
      <c r="E130" s="1463"/>
      <c r="F130" s="1463"/>
      <c r="G130" s="1463"/>
      <c r="H130" s="1463"/>
      <c r="I130" s="1463"/>
      <c r="J130" s="1463"/>
      <c r="K130" s="1463"/>
      <c r="L130" s="10"/>
    </row>
    <row r="131" spans="2:12" ht="12.75" customHeight="1">
      <c r="B131" s="10"/>
      <c r="C131" s="607"/>
      <c r="D131" s="607"/>
      <c r="E131" s="607"/>
      <c r="F131" s="607"/>
      <c r="G131" s="607"/>
      <c r="H131" s="607"/>
      <c r="I131" s="607"/>
      <c r="J131" s="607"/>
      <c r="K131" s="607"/>
      <c r="L131" s="10"/>
    </row>
    <row r="132" spans="2:12" ht="12.75" customHeight="1">
      <c r="B132" s="10"/>
      <c r="C132" s="1491" t="s">
        <v>400</v>
      </c>
      <c r="D132" s="1491"/>
      <c r="E132" s="1491"/>
      <c r="F132" s="1491"/>
      <c r="G132" s="1491"/>
      <c r="H132" s="1491"/>
      <c r="I132" s="1491"/>
      <c r="J132" s="1491"/>
      <c r="K132" s="1491"/>
      <c r="L132" s="10"/>
    </row>
    <row r="133" spans="2:12" ht="12.75" customHeight="1">
      <c r="B133" s="10"/>
      <c r="C133" s="1491"/>
      <c r="D133" s="1491"/>
      <c r="E133" s="1491"/>
      <c r="F133" s="1491"/>
      <c r="G133" s="1491"/>
      <c r="H133" s="1491"/>
      <c r="I133" s="1491"/>
      <c r="J133" s="1491"/>
      <c r="K133" s="1491"/>
      <c r="L133" s="10"/>
    </row>
    <row r="134" spans="2:12" ht="12.75" customHeight="1">
      <c r="B134" s="10"/>
      <c r="C134" s="1491" t="s">
        <v>401</v>
      </c>
      <c r="D134" s="1491"/>
      <c r="E134" s="1491"/>
      <c r="F134" s="1491"/>
      <c r="G134" s="1491"/>
      <c r="H134" s="1491"/>
      <c r="I134" s="1491"/>
      <c r="J134" s="1491"/>
      <c r="K134" s="1491"/>
      <c r="L134" s="10"/>
    </row>
    <row r="135" spans="2:12" ht="12.75" customHeight="1">
      <c r="B135" s="10"/>
      <c r="C135" s="1491"/>
      <c r="D135" s="1491"/>
      <c r="E135" s="1491"/>
      <c r="F135" s="1491"/>
      <c r="G135" s="1491"/>
      <c r="H135" s="1491"/>
      <c r="I135" s="1491"/>
      <c r="J135" s="1491"/>
      <c r="K135" s="1491"/>
      <c r="L135" s="10"/>
    </row>
    <row r="136" spans="2:12" ht="12.75" customHeight="1">
      <c r="B136" s="10"/>
      <c r="C136" s="609"/>
      <c r="D136" s="609"/>
      <c r="E136" s="609"/>
      <c r="F136" s="609"/>
      <c r="G136" s="609"/>
      <c r="H136" s="609"/>
      <c r="I136" s="609"/>
      <c r="J136" s="609"/>
      <c r="K136" s="609"/>
      <c r="L136" s="10"/>
    </row>
    <row r="137" spans="2:12" ht="12.75" customHeight="1">
      <c r="B137" s="10"/>
      <c r="C137" s="1463" t="s">
        <v>402</v>
      </c>
      <c r="D137" s="1463"/>
      <c r="E137" s="1463"/>
      <c r="F137" s="1463"/>
      <c r="G137" s="1463"/>
      <c r="H137" s="1463"/>
      <c r="I137" s="1463"/>
      <c r="J137" s="1463"/>
      <c r="K137" s="1463"/>
      <c r="L137" s="10"/>
    </row>
    <row r="138" spans="2:12" ht="12.75" customHeight="1">
      <c r="B138" s="10"/>
      <c r="C138" s="1463"/>
      <c r="D138" s="1463"/>
      <c r="E138" s="1463"/>
      <c r="F138" s="1463"/>
      <c r="G138" s="1463"/>
      <c r="H138" s="1463"/>
      <c r="I138" s="1463"/>
      <c r="J138" s="1463"/>
      <c r="K138" s="1463"/>
      <c r="L138" s="10"/>
    </row>
    <row r="139" spans="2:12" ht="12.75" customHeight="1">
      <c r="B139" s="10"/>
      <c r="C139" s="1463"/>
      <c r="D139" s="1463"/>
      <c r="E139" s="1463"/>
      <c r="F139" s="1463"/>
      <c r="G139" s="1463"/>
      <c r="H139" s="1463"/>
      <c r="I139" s="1463"/>
      <c r="J139" s="1463"/>
      <c r="K139" s="1463"/>
      <c r="L139" s="10"/>
    </row>
    <row r="140" spans="2:12" ht="12.75" customHeight="1">
      <c r="B140" s="10"/>
      <c r="C140" s="607"/>
      <c r="D140" s="607"/>
      <c r="E140" s="607"/>
      <c r="F140" s="607"/>
      <c r="G140" s="607"/>
      <c r="H140" s="607"/>
      <c r="I140" s="607"/>
      <c r="J140" s="607"/>
      <c r="K140" s="607"/>
      <c r="L140" s="10"/>
    </row>
    <row r="141" spans="2:12" ht="12.75" customHeight="1">
      <c r="B141" s="10"/>
      <c r="C141" s="1463" t="s">
        <v>726</v>
      </c>
      <c r="D141" s="1463"/>
      <c r="E141" s="1463"/>
      <c r="F141" s="1463"/>
      <c r="G141" s="1463"/>
      <c r="H141" s="1463"/>
      <c r="I141" s="1463">
        <v>1000</v>
      </c>
      <c r="J141" s="1463"/>
      <c r="K141" s="1463"/>
      <c r="L141" s="10"/>
    </row>
    <row r="142" spans="2:12" ht="12.75" customHeight="1">
      <c r="B142" s="10"/>
      <c r="C142" s="1463"/>
      <c r="D142" s="1463"/>
      <c r="E142" s="1463"/>
      <c r="F142" s="1463"/>
      <c r="G142" s="1463"/>
      <c r="H142" s="1463"/>
      <c r="I142" s="1463"/>
      <c r="J142" s="1463"/>
      <c r="K142" s="1463"/>
      <c r="L142" s="10"/>
    </row>
    <row r="143" spans="2:12" ht="12.75" customHeight="1">
      <c r="B143" s="10"/>
      <c r="C143" s="1463"/>
      <c r="D143" s="1463"/>
      <c r="E143" s="1463"/>
      <c r="F143" s="1463"/>
      <c r="G143" s="1463"/>
      <c r="H143" s="1463"/>
      <c r="I143" s="1463"/>
      <c r="J143" s="1463"/>
      <c r="K143" s="1463"/>
      <c r="L143" s="10"/>
    </row>
    <row r="144" spans="2:12" ht="12.75" customHeight="1">
      <c r="B144" s="10"/>
      <c r="C144" s="610"/>
      <c r="D144" s="610"/>
      <c r="E144" s="610"/>
      <c r="F144" s="610"/>
      <c r="G144" s="610"/>
      <c r="H144" s="610"/>
      <c r="I144" s="610"/>
      <c r="J144" s="610"/>
      <c r="K144" s="610"/>
      <c r="L144" s="10"/>
    </row>
    <row r="145" spans="2:12" ht="12.75" customHeight="1">
      <c r="B145" s="10"/>
      <c r="C145" s="610"/>
      <c r="D145" s="610"/>
      <c r="E145" s="610"/>
      <c r="F145" s="610"/>
      <c r="G145" s="610"/>
      <c r="H145" s="610"/>
      <c r="I145" s="610"/>
      <c r="J145" s="610"/>
      <c r="K145" s="610"/>
      <c r="L145" s="10"/>
    </row>
    <row r="146" spans="2:12" ht="12.75" customHeight="1">
      <c r="B146" s="10"/>
      <c r="C146" s="610"/>
      <c r="D146" s="610"/>
      <c r="E146" s="610"/>
      <c r="F146" s="610"/>
      <c r="G146" s="610"/>
      <c r="H146" s="610"/>
      <c r="I146" s="610"/>
      <c r="J146" s="610"/>
      <c r="K146" s="610"/>
      <c r="L146" s="10"/>
    </row>
    <row r="147" spans="2:12" ht="12.75" customHeight="1">
      <c r="B147" s="10"/>
      <c r="C147" s="610"/>
      <c r="D147" s="610"/>
      <c r="E147" s="610"/>
      <c r="F147" s="610"/>
      <c r="G147" s="610"/>
      <c r="H147" s="610"/>
      <c r="I147" s="610"/>
      <c r="J147" s="610"/>
      <c r="K147" s="610"/>
      <c r="L147" s="10"/>
    </row>
    <row r="148" spans="2:12" ht="12.75" customHeight="1">
      <c r="B148" s="10"/>
      <c r="C148" s="610"/>
      <c r="D148" s="610"/>
      <c r="E148" s="610"/>
      <c r="F148" s="610"/>
      <c r="G148" s="610"/>
      <c r="H148" s="610"/>
      <c r="I148" s="610"/>
      <c r="J148" s="610"/>
      <c r="K148" s="610"/>
      <c r="L148" s="10"/>
    </row>
    <row r="149" spans="2:12" ht="12.75" customHeight="1">
      <c r="B149" s="10"/>
      <c r="C149" s="610"/>
      <c r="D149" s="610"/>
      <c r="E149" s="610"/>
      <c r="F149" s="610"/>
      <c r="G149" s="610"/>
      <c r="H149" s="610"/>
      <c r="I149" s="610"/>
      <c r="J149" s="610"/>
      <c r="K149" s="610"/>
      <c r="L149" s="10"/>
    </row>
    <row r="150" spans="2:12" ht="12.75" customHeight="1">
      <c r="B150" s="10"/>
      <c r="C150" s="610"/>
      <c r="D150" s="610"/>
      <c r="E150" s="610"/>
      <c r="F150" s="610"/>
      <c r="G150" s="610"/>
      <c r="H150" s="610"/>
      <c r="I150" s="610"/>
      <c r="J150" s="610"/>
      <c r="K150" s="610"/>
      <c r="L150" s="10"/>
    </row>
    <row r="151" spans="2:12" ht="12.75" customHeight="1">
      <c r="B151" s="10"/>
      <c r="C151" s="610"/>
      <c r="D151" s="610"/>
      <c r="E151" s="610"/>
      <c r="F151" s="610"/>
      <c r="G151" s="610"/>
      <c r="H151" s="610"/>
      <c r="I151" s="610"/>
      <c r="J151" s="610"/>
      <c r="K151" s="610"/>
      <c r="L151" s="10"/>
    </row>
    <row r="152" spans="2:12" ht="12.75" customHeight="1">
      <c r="B152" s="10"/>
      <c r="C152" s="610"/>
      <c r="D152" s="610"/>
      <c r="E152" s="610"/>
      <c r="F152" s="610"/>
      <c r="G152" s="610"/>
      <c r="H152" s="610"/>
      <c r="I152" s="610"/>
      <c r="J152" s="610"/>
      <c r="K152" s="610"/>
      <c r="L152" s="10"/>
    </row>
    <row r="153" spans="2:12" ht="12.75" customHeight="1">
      <c r="B153" s="10"/>
      <c r="C153" s="610"/>
      <c r="D153" s="610"/>
      <c r="E153" s="610"/>
      <c r="F153" s="610"/>
      <c r="G153" s="610"/>
      <c r="H153" s="610"/>
      <c r="I153" s="610"/>
      <c r="J153" s="610"/>
      <c r="K153" s="610"/>
      <c r="L153" s="10"/>
    </row>
    <row r="154" spans="2:12" ht="12.75" customHeight="1">
      <c r="B154" s="10"/>
      <c r="C154" s="610"/>
      <c r="D154" s="610"/>
      <c r="E154" s="610"/>
      <c r="F154" s="610"/>
      <c r="G154" s="610"/>
      <c r="H154" s="610"/>
      <c r="I154" s="610"/>
      <c r="J154" s="610"/>
      <c r="K154" s="610"/>
      <c r="L154" s="10"/>
    </row>
    <row r="155" spans="2:12" ht="12.75" customHeight="1">
      <c r="B155" s="10"/>
      <c r="C155" s="610"/>
      <c r="D155" s="610"/>
      <c r="E155" s="610"/>
      <c r="F155" s="610"/>
      <c r="G155" s="610"/>
      <c r="H155" s="610"/>
      <c r="I155" s="610"/>
      <c r="J155" s="610"/>
      <c r="K155" s="610"/>
      <c r="L155" s="10"/>
    </row>
    <row r="156" spans="2:12" ht="12.75" customHeight="1">
      <c r="B156" s="10"/>
      <c r="C156" s="610"/>
      <c r="D156" s="610"/>
      <c r="E156" s="610"/>
      <c r="F156" s="610"/>
      <c r="G156" s="610"/>
      <c r="H156" s="610"/>
      <c r="I156" s="610"/>
      <c r="J156" s="610"/>
      <c r="K156" s="610"/>
      <c r="L156" s="10"/>
    </row>
    <row r="157" spans="2:12" ht="12.75" customHeight="1">
      <c r="B157" s="10"/>
      <c r="C157" s="610"/>
      <c r="D157" s="610"/>
      <c r="E157" s="610"/>
      <c r="F157" s="610"/>
      <c r="G157" s="610"/>
      <c r="H157" s="610"/>
      <c r="I157" s="610"/>
      <c r="J157" s="610"/>
      <c r="K157" s="610"/>
      <c r="L157" s="10"/>
    </row>
    <row r="158" spans="2:12" ht="12.75" customHeight="1">
      <c r="B158" s="10"/>
      <c r="C158" s="610"/>
      <c r="D158" s="610"/>
      <c r="E158" s="610"/>
      <c r="F158" s="610"/>
      <c r="G158" s="610"/>
      <c r="H158" s="610"/>
      <c r="I158" s="610"/>
      <c r="J158" s="610"/>
      <c r="K158" s="610"/>
      <c r="L158" s="10"/>
    </row>
    <row r="159" spans="2:12" ht="12.75" customHeight="1">
      <c r="B159" s="10"/>
      <c r="C159" s="610"/>
      <c r="D159" s="610"/>
      <c r="E159" s="610"/>
      <c r="F159" s="610"/>
      <c r="G159" s="610"/>
      <c r="H159" s="610"/>
      <c r="I159" s="610"/>
      <c r="J159" s="610"/>
      <c r="K159" s="610"/>
      <c r="L159" s="10"/>
    </row>
    <row r="160" spans="2:12" ht="12.75" customHeight="1">
      <c r="B160" s="10"/>
      <c r="C160" s="610"/>
      <c r="D160" s="610"/>
      <c r="E160" s="610"/>
      <c r="F160" s="610"/>
      <c r="G160" s="610"/>
      <c r="H160" s="610"/>
      <c r="I160" s="610"/>
      <c r="J160" s="610"/>
      <c r="K160" s="610"/>
      <c r="L160" s="10"/>
    </row>
    <row r="161" spans="2:12" ht="12.75" customHeight="1">
      <c r="B161" s="10"/>
      <c r="C161" s="610"/>
      <c r="D161" s="610"/>
      <c r="E161" s="610"/>
      <c r="F161" s="610"/>
      <c r="G161" s="610"/>
      <c r="H161" s="610"/>
      <c r="I161" s="610"/>
      <c r="J161" s="610"/>
      <c r="K161" s="610"/>
      <c r="L161" s="10"/>
    </row>
    <row r="162" spans="2:12" ht="12.75" customHeight="1">
      <c r="B162" s="10"/>
      <c r="C162" s="610"/>
      <c r="D162" s="610"/>
      <c r="E162" s="610"/>
      <c r="F162" s="610"/>
      <c r="G162" s="610"/>
      <c r="H162" s="610"/>
      <c r="I162" s="610"/>
      <c r="J162" s="610"/>
      <c r="K162" s="610"/>
      <c r="L162" s="10"/>
    </row>
    <row r="163" spans="2:12" ht="12.75" customHeight="1">
      <c r="B163" s="10"/>
      <c r="C163" s="610"/>
      <c r="D163" s="610"/>
      <c r="E163" s="610"/>
      <c r="F163" s="610"/>
      <c r="G163" s="610"/>
      <c r="H163" s="610"/>
      <c r="I163" s="610"/>
      <c r="J163" s="610"/>
      <c r="K163" s="610"/>
      <c r="L163" s="10"/>
    </row>
    <row r="164" spans="2:12" ht="12.75" customHeight="1">
      <c r="B164" s="10"/>
      <c r="C164" s="611"/>
      <c r="D164" s="10"/>
      <c r="E164" s="10"/>
      <c r="F164" s="10"/>
      <c r="G164" s="10"/>
      <c r="H164" s="10"/>
      <c r="I164" s="10"/>
      <c r="J164" s="10"/>
      <c r="K164" s="10"/>
      <c r="L164" s="10"/>
    </row>
    <row r="165" spans="2:12" ht="12.75" customHeight="1">
      <c r="B165" s="10"/>
      <c r="C165" s="1463" t="s">
        <v>727</v>
      </c>
      <c r="D165" s="1463"/>
      <c r="E165" s="1463"/>
      <c r="F165" s="1463"/>
      <c r="G165" s="1463"/>
      <c r="H165" s="1463"/>
      <c r="I165" s="1463"/>
      <c r="J165" s="1463"/>
      <c r="K165" s="1463"/>
      <c r="L165" s="10"/>
    </row>
    <row r="166" spans="2:12" ht="12.75" customHeight="1">
      <c r="B166" s="10"/>
      <c r="C166" s="1463"/>
      <c r="D166" s="1463"/>
      <c r="E166" s="1463"/>
      <c r="F166" s="1463"/>
      <c r="G166" s="1463"/>
      <c r="H166" s="1463"/>
      <c r="I166" s="1463"/>
      <c r="J166" s="1463"/>
      <c r="K166" s="1463"/>
      <c r="L166" s="10"/>
    </row>
    <row r="167" spans="2:12" ht="12.75" customHeight="1">
      <c r="B167" s="10"/>
      <c r="C167" s="1463"/>
      <c r="D167" s="1463"/>
      <c r="E167" s="1463"/>
      <c r="F167" s="1463"/>
      <c r="G167" s="1463"/>
      <c r="H167" s="1463"/>
      <c r="I167" s="1463"/>
      <c r="J167" s="1463"/>
      <c r="K167" s="1463"/>
      <c r="L167" s="10"/>
    </row>
    <row r="168" spans="2:12" ht="12.75" customHeight="1">
      <c r="B168" s="10"/>
      <c r="C168" s="1463"/>
      <c r="D168" s="1463"/>
      <c r="E168" s="1463"/>
      <c r="F168" s="1463"/>
      <c r="G168" s="1463"/>
      <c r="H168" s="1463"/>
      <c r="I168" s="1463"/>
      <c r="J168" s="1463"/>
      <c r="K168" s="1463"/>
      <c r="L168" s="10"/>
    </row>
    <row r="169" spans="2:12" ht="12.75" customHeight="1">
      <c r="B169" s="10"/>
      <c r="C169" s="108"/>
      <c r="D169" s="10"/>
      <c r="E169" s="10"/>
      <c r="F169" s="10"/>
      <c r="G169" s="10"/>
      <c r="H169" s="10"/>
      <c r="I169" s="10"/>
      <c r="J169" s="10"/>
      <c r="K169" s="10"/>
      <c r="L169" s="10"/>
    </row>
    <row r="170" spans="2:12" ht="12.75" customHeight="1">
      <c r="B170" s="10"/>
      <c r="C170" s="108"/>
      <c r="D170" s="10"/>
      <c r="E170" s="10"/>
      <c r="F170" s="10"/>
      <c r="G170" s="10"/>
      <c r="H170" s="10"/>
      <c r="I170" s="10"/>
      <c r="J170" s="10"/>
      <c r="K170" s="10"/>
      <c r="L170" s="10"/>
    </row>
    <row r="171" spans="2:12" ht="12.75" customHeight="1">
      <c r="B171" s="10"/>
      <c r="C171" s="108"/>
      <c r="D171" s="10"/>
      <c r="E171" s="10"/>
      <c r="F171" s="10"/>
      <c r="G171" s="10"/>
      <c r="H171" s="10"/>
      <c r="I171" s="10"/>
      <c r="J171" s="10"/>
      <c r="K171" s="10"/>
      <c r="L171" s="10"/>
    </row>
    <row r="172" spans="2:12" ht="12.75" customHeight="1">
      <c r="B172" s="10"/>
      <c r="C172" s="108"/>
      <c r="D172" s="10"/>
      <c r="E172" s="10"/>
      <c r="F172" s="10"/>
      <c r="G172" s="10"/>
      <c r="H172" s="10"/>
      <c r="I172" s="10"/>
      <c r="J172" s="10"/>
      <c r="K172" s="10"/>
      <c r="L172" s="10"/>
    </row>
    <row r="173" spans="2:12" ht="12.75" customHeight="1">
      <c r="B173" s="10"/>
      <c r="C173" s="108"/>
      <c r="D173" s="10"/>
      <c r="E173" s="10"/>
      <c r="F173" s="10"/>
      <c r="G173" s="10"/>
      <c r="H173" s="10"/>
      <c r="I173" s="10"/>
      <c r="J173" s="10"/>
      <c r="K173" s="10"/>
      <c r="L173" s="10"/>
    </row>
    <row r="174" spans="2:12" ht="12.75" customHeight="1">
      <c r="B174" s="10"/>
      <c r="C174" s="108"/>
      <c r="D174" s="10"/>
      <c r="E174" s="10"/>
      <c r="F174" s="10"/>
      <c r="G174" s="10"/>
      <c r="H174" s="10"/>
      <c r="I174" s="10"/>
      <c r="J174" s="10"/>
      <c r="K174" s="10"/>
      <c r="L174" s="10"/>
    </row>
    <row r="175" spans="2:12" ht="12.75" customHeight="1">
      <c r="B175" s="10"/>
      <c r="C175" s="108"/>
      <c r="D175" s="10"/>
      <c r="E175" s="10"/>
      <c r="F175" s="10"/>
      <c r="G175" s="10"/>
      <c r="H175" s="10"/>
      <c r="I175" s="10"/>
      <c r="J175" s="10"/>
      <c r="K175" s="10"/>
      <c r="L175" s="10"/>
    </row>
    <row r="176" spans="2:12" ht="12.75" customHeight="1">
      <c r="B176" s="10"/>
      <c r="C176" s="108"/>
      <c r="D176" s="10"/>
      <c r="E176" s="10"/>
      <c r="F176" s="10"/>
      <c r="G176" s="10"/>
      <c r="H176" s="10"/>
      <c r="I176" s="10"/>
      <c r="J176" s="10"/>
      <c r="K176" s="10"/>
      <c r="L176" s="10"/>
    </row>
    <row r="177" spans="2:12" ht="12.75" customHeight="1">
      <c r="B177" s="10"/>
      <c r="C177" s="108"/>
      <c r="D177" s="10"/>
      <c r="E177" s="10"/>
      <c r="F177" s="10"/>
      <c r="G177" s="10"/>
      <c r="H177" s="10"/>
      <c r="I177" s="10"/>
      <c r="J177" s="10"/>
      <c r="K177" s="10"/>
      <c r="L177" s="10"/>
    </row>
    <row r="178" spans="2:12" ht="12.75" customHeight="1">
      <c r="B178" s="10"/>
      <c r="C178" s="108"/>
      <c r="D178" s="10"/>
      <c r="E178" s="10"/>
      <c r="F178" s="10"/>
      <c r="G178" s="10"/>
      <c r="H178" s="10"/>
      <c r="I178" s="10"/>
      <c r="J178" s="10"/>
      <c r="K178" s="10"/>
      <c r="L178" s="10"/>
    </row>
    <row r="179" spans="2:12" ht="12.75" customHeight="1">
      <c r="B179" s="10"/>
      <c r="C179" s="108"/>
      <c r="D179" s="10"/>
      <c r="E179" s="10"/>
      <c r="F179" s="10"/>
      <c r="G179" s="10"/>
      <c r="H179" s="10"/>
      <c r="I179" s="10"/>
      <c r="J179" s="10"/>
      <c r="K179" s="10"/>
      <c r="L179" s="10"/>
    </row>
    <row r="180" spans="2:12" ht="12.75" customHeight="1">
      <c r="B180" s="10"/>
      <c r="C180" s="108"/>
      <c r="D180" s="10"/>
      <c r="E180" s="10"/>
      <c r="F180" s="10"/>
      <c r="G180" s="10"/>
      <c r="H180" s="10"/>
      <c r="I180" s="10"/>
      <c r="J180" s="10"/>
      <c r="K180" s="10"/>
      <c r="L180" s="10"/>
    </row>
    <row r="181" spans="2:12" ht="12.75" customHeight="1">
      <c r="B181" s="10"/>
      <c r="C181" s="108"/>
      <c r="D181" s="10"/>
      <c r="E181" s="10"/>
      <c r="F181" s="10"/>
      <c r="G181" s="10"/>
      <c r="H181" s="10"/>
      <c r="I181" s="10"/>
      <c r="J181" s="10"/>
      <c r="K181" s="10"/>
      <c r="L181" s="10"/>
    </row>
    <row r="182" spans="2:12" ht="12.75" customHeight="1">
      <c r="B182" s="10"/>
      <c r="C182" s="108"/>
      <c r="D182" s="10"/>
      <c r="E182" s="10"/>
      <c r="F182" s="10"/>
      <c r="G182" s="10"/>
      <c r="H182" s="10"/>
      <c r="I182" s="10"/>
      <c r="J182" s="10"/>
      <c r="K182" s="10"/>
      <c r="L182" s="10"/>
    </row>
    <row r="183" spans="2:12" ht="12.75" customHeight="1">
      <c r="B183" s="10"/>
      <c r="C183" s="108"/>
      <c r="D183" s="10"/>
      <c r="E183" s="10"/>
      <c r="F183" s="10"/>
      <c r="G183" s="10"/>
      <c r="H183" s="10"/>
      <c r="I183" s="10"/>
      <c r="J183" s="10"/>
      <c r="K183" s="10"/>
      <c r="L183" s="10"/>
    </row>
    <row r="184" spans="2:12" ht="12.75" customHeight="1">
      <c r="B184" s="10"/>
      <c r="C184" s="108"/>
      <c r="D184" s="10"/>
      <c r="E184" s="10"/>
      <c r="F184" s="10"/>
      <c r="G184" s="10"/>
      <c r="H184" s="10"/>
      <c r="I184" s="10"/>
      <c r="J184" s="10"/>
      <c r="K184" s="10"/>
      <c r="L184" s="10"/>
    </row>
    <row r="185" spans="2:12" ht="12.75" customHeight="1">
      <c r="B185" s="10"/>
      <c r="C185" s="108"/>
      <c r="D185" s="10"/>
      <c r="E185" s="10"/>
      <c r="F185" s="10"/>
      <c r="G185" s="10"/>
      <c r="H185" s="10"/>
      <c r="I185" s="10"/>
      <c r="J185" s="10"/>
      <c r="K185" s="10"/>
      <c r="L185" s="10"/>
    </row>
    <row r="186" spans="2:12" ht="12.75" customHeight="1">
      <c r="B186" s="10"/>
      <c r="C186" s="108"/>
      <c r="D186" s="10"/>
      <c r="E186" s="10"/>
      <c r="F186" s="10"/>
      <c r="G186" s="10"/>
      <c r="H186" s="10"/>
      <c r="I186" s="10"/>
      <c r="J186" s="10"/>
      <c r="K186" s="10"/>
      <c r="L186" s="10"/>
    </row>
    <row r="187" spans="2:12" ht="12.75" customHeight="1">
      <c r="B187" s="10"/>
      <c r="C187" s="108"/>
      <c r="D187" s="10"/>
      <c r="E187" s="10"/>
      <c r="F187" s="10"/>
      <c r="G187" s="10"/>
      <c r="H187" s="10"/>
      <c r="I187" s="10"/>
      <c r="J187" s="10"/>
      <c r="K187" s="10"/>
      <c r="L187" s="10"/>
    </row>
    <row r="188" spans="2:12" ht="12.75" customHeight="1">
      <c r="B188" s="10"/>
      <c r="C188" s="108"/>
      <c r="D188" s="10"/>
      <c r="E188" s="10"/>
      <c r="F188" s="10"/>
      <c r="G188" s="10"/>
      <c r="H188" s="10"/>
      <c r="I188" s="10"/>
      <c r="J188" s="10"/>
      <c r="K188" s="10"/>
      <c r="L188" s="10"/>
    </row>
    <row r="189" spans="2:12" ht="12.75" customHeight="1">
      <c r="B189" s="10"/>
      <c r="C189" s="1489" t="s">
        <v>786</v>
      </c>
      <c r="D189" s="1489"/>
      <c r="E189" s="1489"/>
      <c r="F189" s="1489"/>
      <c r="G189" s="1489"/>
      <c r="H189" s="1489"/>
      <c r="I189" s="1489"/>
      <c r="J189" s="1489"/>
      <c r="K189" s="1489"/>
      <c r="L189" s="10"/>
    </row>
    <row r="190" spans="2:12" ht="12.75" customHeight="1">
      <c r="B190" s="10"/>
      <c r="C190" s="1489"/>
      <c r="D190" s="1489"/>
      <c r="E190" s="1489"/>
      <c r="F190" s="1489"/>
      <c r="G190" s="1489"/>
      <c r="H190" s="1489"/>
      <c r="I190" s="1489"/>
      <c r="J190" s="1489"/>
      <c r="K190" s="1489"/>
      <c r="L190" s="10"/>
    </row>
    <row r="191" spans="2:12" ht="12.75" customHeight="1">
      <c r="B191" s="10"/>
      <c r="C191" s="1463" t="s">
        <v>168</v>
      </c>
      <c r="D191" s="1463"/>
      <c r="E191" s="1463"/>
      <c r="F191" s="1463"/>
      <c r="G191" s="1463"/>
      <c r="H191" s="1463"/>
      <c r="I191" s="1463"/>
      <c r="J191" s="1463"/>
      <c r="K191" s="1463"/>
      <c r="L191" s="10"/>
    </row>
    <row r="192" spans="2:12" ht="12.75" customHeight="1">
      <c r="B192" s="10"/>
      <c r="C192" s="1463"/>
      <c r="D192" s="1463"/>
      <c r="E192" s="1463"/>
      <c r="F192" s="1463"/>
      <c r="G192" s="1463"/>
      <c r="H192" s="1463"/>
      <c r="I192" s="1463"/>
      <c r="J192" s="1463"/>
      <c r="K192" s="1463"/>
      <c r="L192" s="10"/>
    </row>
    <row r="193" spans="2:12" ht="12.75" customHeight="1">
      <c r="B193" s="10"/>
      <c r="C193" s="1463"/>
      <c r="D193" s="1463"/>
      <c r="E193" s="1463"/>
      <c r="F193" s="1463"/>
      <c r="G193" s="1463"/>
      <c r="H193" s="1463"/>
      <c r="I193" s="1463"/>
      <c r="J193" s="1463"/>
      <c r="K193" s="1463"/>
      <c r="L193" s="10"/>
    </row>
    <row r="194" spans="2:12" ht="12.75" customHeight="1">
      <c r="B194" s="10"/>
      <c r="C194" s="1463"/>
      <c r="D194" s="1463"/>
      <c r="E194" s="1463"/>
      <c r="F194" s="1463"/>
      <c r="G194" s="1463"/>
      <c r="H194" s="1463"/>
      <c r="I194" s="1463"/>
      <c r="J194" s="1463"/>
      <c r="K194" s="1463"/>
      <c r="L194" s="10"/>
    </row>
    <row r="195" spans="2:12" ht="12.75" customHeight="1">
      <c r="B195" s="10"/>
      <c r="C195" s="1463"/>
      <c r="D195" s="1463"/>
      <c r="E195" s="1463"/>
      <c r="F195" s="1463"/>
      <c r="G195" s="1463"/>
      <c r="H195" s="1463"/>
      <c r="I195" s="1463"/>
      <c r="J195" s="1463"/>
      <c r="K195" s="1463"/>
      <c r="L195" s="10"/>
    </row>
    <row r="196" spans="2:12" ht="12.75" customHeight="1">
      <c r="B196" s="10"/>
      <c r="C196" s="1463"/>
      <c r="D196" s="1463"/>
      <c r="E196" s="1463"/>
      <c r="F196" s="1463"/>
      <c r="G196" s="1463"/>
      <c r="H196" s="1463"/>
      <c r="I196" s="1463"/>
      <c r="J196" s="1463"/>
      <c r="K196" s="1463"/>
      <c r="L196" s="10"/>
    </row>
    <row r="197" spans="2:12" ht="12.75" customHeight="1">
      <c r="B197" s="10"/>
      <c r="C197" s="1496" t="s">
        <v>276</v>
      </c>
      <c r="D197" s="1496"/>
      <c r="E197" s="1496"/>
      <c r="F197" s="1496"/>
      <c r="G197" s="1496"/>
      <c r="H197" s="1496"/>
      <c r="I197" s="1496"/>
      <c r="J197" s="1496"/>
      <c r="K197" s="1496"/>
      <c r="L197" s="10"/>
    </row>
    <row r="198" spans="2:12" ht="12.75" customHeight="1">
      <c r="B198" s="10"/>
      <c r="C198" s="1496"/>
      <c r="D198" s="1496"/>
      <c r="E198" s="1496"/>
      <c r="F198" s="1496"/>
      <c r="G198" s="1496"/>
      <c r="H198" s="1496"/>
      <c r="I198" s="1496"/>
      <c r="J198" s="1496"/>
      <c r="K198" s="1496"/>
      <c r="L198" s="10"/>
    </row>
    <row r="199" spans="2:12" ht="12.75" customHeight="1">
      <c r="B199" s="10"/>
      <c r="C199" s="1494" t="s">
        <v>277</v>
      </c>
      <c r="D199" s="1494"/>
      <c r="E199" s="1494"/>
      <c r="F199" s="1494"/>
      <c r="G199" s="1494"/>
      <c r="H199" s="1494"/>
      <c r="I199" s="1494"/>
      <c r="J199" s="1494"/>
      <c r="K199" s="1494"/>
      <c r="L199" s="10"/>
    </row>
    <row r="200" spans="2:12" ht="12.75" customHeight="1">
      <c r="B200" s="10"/>
      <c r="C200" s="1495" t="s">
        <v>278</v>
      </c>
      <c r="D200" s="1495"/>
      <c r="E200" s="1495"/>
      <c r="F200" s="1495"/>
      <c r="G200" s="1495"/>
      <c r="H200" s="1495"/>
      <c r="I200" s="1495"/>
      <c r="J200" s="1495"/>
      <c r="K200" s="1495"/>
      <c r="L200" s="10"/>
    </row>
    <row r="201" spans="2:12" ht="12.75" customHeight="1">
      <c r="B201" s="10"/>
      <c r="C201" s="1495"/>
      <c r="D201" s="1495"/>
      <c r="E201" s="1495"/>
      <c r="F201" s="1495"/>
      <c r="G201" s="1495"/>
      <c r="H201" s="1495"/>
      <c r="I201" s="1495"/>
      <c r="J201" s="1495"/>
      <c r="K201" s="1495"/>
      <c r="L201" s="10"/>
    </row>
    <row r="202" spans="2:12" ht="12.75" customHeight="1">
      <c r="B202" s="10"/>
      <c r="C202" s="1498" t="s">
        <v>279</v>
      </c>
      <c r="D202" s="1498"/>
      <c r="E202" s="1498"/>
      <c r="F202" s="1498"/>
      <c r="G202" s="1498"/>
      <c r="H202" s="1498"/>
      <c r="I202" s="1498"/>
      <c r="J202" s="1498"/>
      <c r="K202" s="1498"/>
      <c r="L202" s="10"/>
    </row>
    <row r="203" spans="2:12" ht="12.75" customHeight="1">
      <c r="B203" s="10"/>
      <c r="C203" s="1498"/>
      <c r="D203" s="1498"/>
      <c r="E203" s="1498"/>
      <c r="F203" s="1498"/>
      <c r="G203" s="1498"/>
      <c r="H203" s="1498"/>
      <c r="I203" s="1498"/>
      <c r="J203" s="1498"/>
      <c r="K203" s="1498"/>
      <c r="L203" s="10"/>
    </row>
    <row r="204" spans="2:12" ht="12.75" customHeight="1">
      <c r="B204" s="10"/>
      <c r="C204" s="1498"/>
      <c r="D204" s="1498"/>
      <c r="E204" s="1498"/>
      <c r="F204" s="1498"/>
      <c r="G204" s="1498"/>
      <c r="H204" s="1498"/>
      <c r="I204" s="1498"/>
      <c r="J204" s="1498"/>
      <c r="K204" s="1498"/>
      <c r="L204" s="10"/>
    </row>
    <row r="205" spans="2:12" ht="12.75" customHeight="1">
      <c r="B205" s="10"/>
      <c r="C205" s="1498" t="s">
        <v>280</v>
      </c>
      <c r="D205" s="1498"/>
      <c r="E205" s="1498"/>
      <c r="F205" s="1498"/>
      <c r="G205" s="1498"/>
      <c r="H205" s="1498"/>
      <c r="I205" s="1498"/>
      <c r="J205" s="1498"/>
      <c r="K205" s="1498"/>
      <c r="L205" s="10"/>
    </row>
    <row r="206" spans="2:12" ht="12.75" customHeight="1">
      <c r="B206" s="10"/>
      <c r="C206" s="1498"/>
      <c r="D206" s="1498"/>
      <c r="E206" s="1498"/>
      <c r="F206" s="1498"/>
      <c r="G206" s="1498"/>
      <c r="H206" s="1498"/>
      <c r="I206" s="1498"/>
      <c r="J206" s="1498"/>
      <c r="K206" s="1498"/>
      <c r="L206" s="10"/>
    </row>
    <row r="207" spans="2:12" ht="12.75" customHeight="1">
      <c r="B207" s="10"/>
      <c r="C207" s="1498"/>
      <c r="D207" s="1498"/>
      <c r="E207" s="1498"/>
      <c r="F207" s="1498"/>
      <c r="G207" s="1498"/>
      <c r="H207" s="1498"/>
      <c r="I207" s="1498"/>
      <c r="J207" s="1498"/>
      <c r="K207" s="1498"/>
      <c r="L207" s="10"/>
    </row>
    <row r="208" spans="2:12" ht="12.75" customHeight="1">
      <c r="B208" s="10"/>
      <c r="C208" s="1498" t="s">
        <v>281</v>
      </c>
      <c r="D208" s="1498"/>
      <c r="E208" s="1498"/>
      <c r="F208" s="1498"/>
      <c r="G208" s="1498"/>
      <c r="H208" s="1498"/>
      <c r="I208" s="1498"/>
      <c r="J208" s="1498"/>
      <c r="K208" s="1498"/>
      <c r="L208" s="10"/>
    </row>
    <row r="209" spans="2:12" ht="12.75" customHeight="1">
      <c r="B209" s="10"/>
      <c r="C209" s="1498"/>
      <c r="D209" s="1498"/>
      <c r="E209" s="1498"/>
      <c r="F209" s="1498"/>
      <c r="G209" s="1498"/>
      <c r="H209" s="1498"/>
      <c r="I209" s="1498"/>
      <c r="J209" s="1498"/>
      <c r="K209" s="1498"/>
      <c r="L209" s="10"/>
    </row>
    <row r="210" spans="2:12" ht="12.75" customHeight="1">
      <c r="B210" s="10"/>
      <c r="C210" s="1498"/>
      <c r="D210" s="1498"/>
      <c r="E210" s="1498"/>
      <c r="F210" s="1498"/>
      <c r="G210" s="1498"/>
      <c r="H210" s="1498"/>
      <c r="I210" s="1498"/>
      <c r="J210" s="1498"/>
      <c r="K210" s="1498"/>
      <c r="L210" s="10"/>
    </row>
    <row r="211" spans="2:12" ht="12.75" customHeight="1">
      <c r="B211" s="10"/>
      <c r="C211" s="1489" t="s">
        <v>787</v>
      </c>
      <c r="D211" s="1489"/>
      <c r="E211" s="1489"/>
      <c r="F211" s="1489"/>
      <c r="G211" s="1489"/>
      <c r="H211" s="1489"/>
      <c r="I211" s="1489"/>
      <c r="J211" s="1489"/>
      <c r="K211" s="1489"/>
      <c r="L211" s="10"/>
    </row>
    <row r="212" spans="2:12" ht="12.75" customHeight="1">
      <c r="B212" s="10"/>
      <c r="C212" s="1489"/>
      <c r="D212" s="1489"/>
      <c r="E212" s="1489"/>
      <c r="F212" s="1489"/>
      <c r="G212" s="1489"/>
      <c r="H212" s="1489"/>
      <c r="I212" s="1489"/>
      <c r="J212" s="1489"/>
      <c r="K212" s="1489"/>
      <c r="L212" s="10"/>
    </row>
    <row r="213" spans="2:12" ht="12.75" customHeight="1">
      <c r="B213" s="10"/>
      <c r="C213" s="1463" t="s">
        <v>161</v>
      </c>
      <c r="D213" s="1463"/>
      <c r="E213" s="1463"/>
      <c r="F213" s="1463"/>
      <c r="G213" s="1463"/>
      <c r="H213" s="1463"/>
      <c r="I213" s="1463"/>
      <c r="J213" s="1463"/>
      <c r="K213" s="1463"/>
      <c r="L213" s="10"/>
    </row>
    <row r="214" spans="2:12" ht="12.75" customHeight="1">
      <c r="B214" s="10"/>
      <c r="C214" s="1463"/>
      <c r="D214" s="1463"/>
      <c r="E214" s="1463"/>
      <c r="F214" s="1463"/>
      <c r="G214" s="1463"/>
      <c r="H214" s="1463"/>
      <c r="I214" s="1463"/>
      <c r="J214" s="1463"/>
      <c r="K214" s="1463"/>
      <c r="L214" s="10"/>
    </row>
    <row r="215" spans="2:12" ht="12.75" customHeight="1">
      <c r="B215" s="10"/>
      <c r="C215" s="1463"/>
      <c r="D215" s="1463"/>
      <c r="E215" s="1463"/>
      <c r="F215" s="1463"/>
      <c r="G215" s="1463"/>
      <c r="H215" s="1463"/>
      <c r="I215" s="1463"/>
      <c r="J215" s="1463"/>
      <c r="K215" s="1463"/>
      <c r="L215" s="10"/>
    </row>
    <row r="216" spans="2:12" ht="12.75" customHeight="1">
      <c r="B216" s="10"/>
      <c r="C216" s="607"/>
      <c r="D216" s="607"/>
      <c r="E216" s="607"/>
      <c r="F216" s="607"/>
      <c r="G216" s="607"/>
      <c r="H216" s="607"/>
      <c r="I216" s="607"/>
      <c r="J216" s="607"/>
      <c r="K216" s="607"/>
      <c r="L216" s="10"/>
    </row>
    <row r="217" spans="2:12" ht="12.75" customHeight="1">
      <c r="B217" s="10"/>
      <c r="C217" s="1490" t="s">
        <v>282</v>
      </c>
      <c r="D217" s="1490"/>
      <c r="E217" s="1490"/>
      <c r="F217" s="1490"/>
      <c r="G217" s="1490"/>
      <c r="H217" s="1490"/>
      <c r="I217" s="1490"/>
      <c r="J217" s="1490"/>
      <c r="K217" s="1490"/>
      <c r="L217" s="10"/>
    </row>
    <row r="218" spans="2:12" ht="12.75" customHeight="1">
      <c r="B218" s="10"/>
      <c r="C218" s="1476" t="s">
        <v>283</v>
      </c>
      <c r="D218" s="1476"/>
      <c r="E218" s="1476"/>
      <c r="F218" s="1476"/>
      <c r="G218" s="1476"/>
      <c r="H218" s="1476"/>
      <c r="I218" s="1476"/>
      <c r="J218" s="1476"/>
      <c r="K218" s="1476"/>
      <c r="L218" s="10"/>
    </row>
    <row r="219" spans="2:12" ht="12.75" customHeight="1">
      <c r="B219" s="10"/>
      <c r="C219" s="1476" t="s">
        <v>284</v>
      </c>
      <c r="D219" s="1476"/>
      <c r="E219" s="1476"/>
      <c r="F219" s="1476"/>
      <c r="G219" s="1476"/>
      <c r="H219" s="1476"/>
      <c r="I219" s="1476"/>
      <c r="J219" s="1476"/>
      <c r="K219" s="1476"/>
      <c r="L219" s="10"/>
    </row>
    <row r="220" spans="2:12" ht="12.75" customHeight="1">
      <c r="B220" s="10"/>
      <c r="C220" s="1476" t="s">
        <v>285</v>
      </c>
      <c r="D220" s="1476"/>
      <c r="E220" s="1476"/>
      <c r="F220" s="1476"/>
      <c r="G220" s="1476"/>
      <c r="H220" s="1476"/>
      <c r="I220" s="1476"/>
      <c r="J220" s="1476"/>
      <c r="K220" s="1476"/>
      <c r="L220" s="10"/>
    </row>
    <row r="221" spans="2:12" ht="12.75" customHeight="1">
      <c r="B221" s="10"/>
      <c r="C221" s="1476" t="s">
        <v>286</v>
      </c>
      <c r="D221" s="1476"/>
      <c r="E221" s="1476"/>
      <c r="F221" s="1476"/>
      <c r="G221" s="1476"/>
      <c r="H221" s="1476"/>
      <c r="I221" s="1476"/>
      <c r="J221" s="1476"/>
      <c r="K221" s="1476"/>
      <c r="L221" s="10"/>
    </row>
    <row r="222" spans="2:12" ht="12.75" customHeight="1">
      <c r="B222" s="10"/>
      <c r="C222" s="612"/>
      <c r="D222" s="612"/>
      <c r="E222" s="612"/>
      <c r="F222" s="612"/>
      <c r="G222" s="612"/>
      <c r="H222" s="612"/>
      <c r="I222" s="612"/>
      <c r="J222" s="612"/>
      <c r="K222" s="612"/>
      <c r="L222" s="10"/>
    </row>
    <row r="223" spans="2:12" ht="12.75" customHeight="1">
      <c r="B223" s="10"/>
      <c r="C223" s="1463" t="s">
        <v>765</v>
      </c>
      <c r="D223" s="1463"/>
      <c r="E223" s="1463"/>
      <c r="F223" s="1463"/>
      <c r="G223" s="1463"/>
      <c r="H223" s="1463"/>
      <c r="I223" s="1463"/>
      <c r="J223" s="1463"/>
      <c r="K223" s="1463"/>
      <c r="L223" s="10"/>
    </row>
    <row r="224" spans="2:12" ht="12.75" customHeight="1">
      <c r="B224" s="10"/>
      <c r="C224" s="1463"/>
      <c r="D224" s="1463"/>
      <c r="E224" s="1463"/>
      <c r="F224" s="1463"/>
      <c r="G224" s="1463"/>
      <c r="H224" s="1463"/>
      <c r="I224" s="1463"/>
      <c r="J224" s="1463"/>
      <c r="K224" s="1463"/>
      <c r="L224" s="10"/>
    </row>
    <row r="225" spans="2:12" ht="12.75" customHeight="1">
      <c r="B225" s="10"/>
      <c r="C225" s="1463"/>
      <c r="D225" s="1463"/>
      <c r="E225" s="1463"/>
      <c r="F225" s="1463"/>
      <c r="G225" s="1463"/>
      <c r="H225" s="1463"/>
      <c r="I225" s="1463"/>
      <c r="J225" s="1463"/>
      <c r="K225" s="1463"/>
      <c r="L225" s="10"/>
    </row>
    <row r="226" spans="2:12" ht="12.75" customHeight="1">
      <c r="B226" s="10"/>
      <c r="C226" s="1463"/>
      <c r="D226" s="1463"/>
      <c r="E226" s="1463"/>
      <c r="F226" s="1463"/>
      <c r="G226" s="1463"/>
      <c r="H226" s="1463"/>
      <c r="I226" s="1463"/>
      <c r="J226" s="1463"/>
      <c r="K226" s="1463"/>
      <c r="L226" s="10"/>
    </row>
    <row r="227" spans="2:12" ht="12.75" customHeight="1">
      <c r="B227" s="10"/>
      <c r="C227" s="1463"/>
      <c r="D227" s="1463"/>
      <c r="E227" s="1463"/>
      <c r="F227" s="1463"/>
      <c r="G227" s="1463"/>
      <c r="H227" s="1463"/>
      <c r="I227" s="1463"/>
      <c r="J227" s="1463"/>
      <c r="K227" s="1463"/>
      <c r="L227" s="10"/>
    </row>
    <row r="228" spans="2:12" ht="12.75" customHeight="1">
      <c r="B228" s="10"/>
      <c r="C228" s="1463"/>
      <c r="D228" s="1463"/>
      <c r="E228" s="1463"/>
      <c r="F228" s="1463"/>
      <c r="G228" s="1463"/>
      <c r="H228" s="1463"/>
      <c r="I228" s="1463"/>
      <c r="J228" s="1463"/>
      <c r="K228" s="1463"/>
      <c r="L228" s="10"/>
    </row>
    <row r="229" spans="2:12" ht="12.75" customHeight="1">
      <c r="B229" s="10"/>
      <c r="C229" s="1463"/>
      <c r="D229" s="1463"/>
      <c r="E229" s="1463"/>
      <c r="F229" s="1463"/>
      <c r="G229" s="1463"/>
      <c r="H229" s="1463"/>
      <c r="I229" s="1463"/>
      <c r="J229" s="1463"/>
      <c r="K229" s="1463"/>
      <c r="L229" s="10"/>
    </row>
    <row r="230" spans="2:12" ht="12.75" customHeight="1">
      <c r="B230" s="10"/>
      <c r="C230" s="607"/>
      <c r="D230" s="607"/>
      <c r="E230" s="607"/>
      <c r="F230" s="607"/>
      <c r="G230" s="607"/>
      <c r="H230" s="607"/>
      <c r="I230" s="607"/>
      <c r="J230" s="607"/>
      <c r="K230" s="607"/>
      <c r="L230" s="10"/>
    </row>
    <row r="231" spans="2:12" ht="12.75" customHeight="1">
      <c r="B231" s="10"/>
      <c r="C231" s="1463" t="s">
        <v>18</v>
      </c>
      <c r="D231" s="1463"/>
      <c r="E231" s="1463"/>
      <c r="F231" s="1463"/>
      <c r="G231" s="1463"/>
      <c r="H231" s="1463"/>
      <c r="I231" s="1463"/>
      <c r="J231" s="1463"/>
      <c r="K231" s="1463"/>
      <c r="L231" s="10"/>
    </row>
    <row r="232" spans="2:12" ht="12.75" customHeight="1">
      <c r="B232" s="10"/>
      <c r="C232" s="1463"/>
      <c r="D232" s="1463"/>
      <c r="E232" s="1463"/>
      <c r="F232" s="1463"/>
      <c r="G232" s="1463"/>
      <c r="H232" s="1463"/>
      <c r="I232" s="1463"/>
      <c r="J232" s="1463"/>
      <c r="K232" s="1463"/>
      <c r="L232" s="10"/>
    </row>
    <row r="233" spans="2:12" ht="12.75" customHeight="1">
      <c r="B233" s="10"/>
      <c r="C233" s="1463"/>
      <c r="D233" s="1463"/>
      <c r="E233" s="1463"/>
      <c r="F233" s="1463"/>
      <c r="G233" s="1463"/>
      <c r="H233" s="1463"/>
      <c r="I233" s="1463"/>
      <c r="J233" s="1463"/>
      <c r="K233" s="1463"/>
      <c r="L233" s="10"/>
    </row>
    <row r="234" spans="2:12" ht="12.75" customHeight="1">
      <c r="B234" s="10"/>
      <c r="C234" s="1463"/>
      <c r="D234" s="1463"/>
      <c r="E234" s="1463"/>
      <c r="F234" s="1463"/>
      <c r="G234" s="1463"/>
      <c r="H234" s="1463"/>
      <c r="I234" s="1463"/>
      <c r="J234" s="1463"/>
      <c r="K234" s="1463"/>
      <c r="L234" s="10"/>
    </row>
    <row r="235" spans="2:12" ht="12.75" customHeight="1">
      <c r="B235" s="10"/>
      <c r="C235" s="1463"/>
      <c r="D235" s="1463"/>
      <c r="E235" s="1463"/>
      <c r="F235" s="1463"/>
      <c r="G235" s="1463"/>
      <c r="H235" s="1463"/>
      <c r="I235" s="1463">
        <v>10</v>
      </c>
      <c r="J235" s="1463"/>
      <c r="K235" s="1463"/>
      <c r="L235" s="10"/>
    </row>
    <row r="236" spans="2:12" ht="12.75" customHeight="1">
      <c r="B236" s="10"/>
      <c r="C236" s="1463"/>
      <c r="D236" s="1463"/>
      <c r="E236" s="1463"/>
      <c r="F236" s="1463"/>
      <c r="G236" s="1463"/>
      <c r="H236" s="1463"/>
      <c r="I236" s="1463">
        <v>0</v>
      </c>
      <c r="J236" s="1463"/>
      <c r="K236" s="1463"/>
      <c r="L236" s="10"/>
    </row>
    <row r="237" spans="2:12" ht="12.75" customHeight="1">
      <c r="B237" s="10"/>
      <c r="C237" s="607"/>
      <c r="D237" s="607"/>
      <c r="E237" s="607"/>
      <c r="F237" s="607"/>
      <c r="G237" s="607"/>
      <c r="H237" s="607"/>
      <c r="I237" s="607"/>
      <c r="J237" s="607"/>
      <c r="K237" s="607"/>
      <c r="L237" s="10"/>
    </row>
    <row r="238" spans="2:12" ht="12.75" customHeight="1">
      <c r="B238" s="10"/>
      <c r="C238" s="1463" t="s">
        <v>813</v>
      </c>
      <c r="D238" s="1463"/>
      <c r="E238" s="1463"/>
      <c r="F238" s="1463"/>
      <c r="G238" s="1463"/>
      <c r="H238" s="1463"/>
      <c r="I238" s="1463"/>
      <c r="J238" s="1463"/>
      <c r="K238" s="1463"/>
      <c r="L238" s="10"/>
    </row>
    <row r="239" spans="2:12" ht="12.75" customHeight="1">
      <c r="B239" s="10"/>
      <c r="C239" s="1463"/>
      <c r="D239" s="1463"/>
      <c r="E239" s="1463"/>
      <c r="F239" s="1463"/>
      <c r="G239" s="1463"/>
      <c r="H239" s="1463"/>
      <c r="I239" s="1463"/>
      <c r="J239" s="1463"/>
      <c r="K239" s="1463"/>
      <c r="L239" s="10"/>
    </row>
    <row r="240" spans="2:12" ht="12.75" customHeight="1">
      <c r="B240" s="10"/>
      <c r="C240" s="1463"/>
      <c r="D240" s="1463"/>
      <c r="E240" s="1463"/>
      <c r="F240" s="1463"/>
      <c r="G240" s="1463"/>
      <c r="H240" s="1463"/>
      <c r="I240" s="1463"/>
      <c r="J240" s="1463"/>
      <c r="K240" s="1463"/>
      <c r="L240" s="10"/>
    </row>
    <row r="241" spans="2:12" ht="12.75" customHeight="1">
      <c r="B241" s="10"/>
      <c r="C241" s="607"/>
      <c r="D241" s="607"/>
      <c r="E241" s="607"/>
      <c r="F241" s="607"/>
      <c r="G241" s="607"/>
      <c r="H241" s="607"/>
      <c r="I241" s="607"/>
      <c r="J241" s="607"/>
      <c r="K241" s="607"/>
      <c r="L241" s="10"/>
    </row>
    <row r="242" spans="2:12" ht="12.75" customHeight="1">
      <c r="B242" s="10"/>
      <c r="C242" s="1463" t="s">
        <v>814</v>
      </c>
      <c r="D242" s="1463"/>
      <c r="E242" s="1463"/>
      <c r="F242" s="1463"/>
      <c r="G242" s="1463"/>
      <c r="H242" s="1463"/>
      <c r="I242" s="1463"/>
      <c r="J242" s="1463"/>
      <c r="K242" s="1463"/>
      <c r="L242" s="10"/>
    </row>
    <row r="243" spans="2:12" ht="12.75" customHeight="1">
      <c r="B243" s="10"/>
      <c r="C243" s="1463"/>
      <c r="D243" s="1463"/>
      <c r="E243" s="1463"/>
      <c r="F243" s="1463"/>
      <c r="G243" s="1463"/>
      <c r="H243" s="1463"/>
      <c r="I243" s="1463"/>
      <c r="J243" s="1463"/>
      <c r="K243" s="1463"/>
      <c r="L243" s="10"/>
    </row>
    <row r="244" spans="2:12" ht="12.75" customHeight="1">
      <c r="B244" s="10"/>
      <c r="C244" s="1463"/>
      <c r="D244" s="1463"/>
      <c r="E244" s="1463"/>
      <c r="F244" s="1463"/>
      <c r="G244" s="1463"/>
      <c r="H244" s="1463"/>
      <c r="I244" s="1463"/>
      <c r="J244" s="1463"/>
      <c r="K244" s="1463"/>
      <c r="L244" s="10"/>
    </row>
    <row r="245" spans="2:12" ht="12.75" customHeight="1">
      <c r="B245" s="10"/>
      <c r="C245" s="1463"/>
      <c r="D245" s="1463"/>
      <c r="E245" s="1463"/>
      <c r="F245" s="1463"/>
      <c r="G245" s="1463"/>
      <c r="H245" s="1463"/>
      <c r="I245" s="1463"/>
      <c r="J245" s="1463"/>
      <c r="K245" s="1463"/>
      <c r="L245" s="10"/>
    </row>
    <row r="246" spans="2:12" ht="12.75" customHeight="1">
      <c r="B246" s="10"/>
      <c r="C246" s="607"/>
      <c r="D246" s="607"/>
      <c r="E246" s="607"/>
      <c r="F246" s="607"/>
      <c r="G246" s="607"/>
      <c r="H246" s="607"/>
      <c r="I246" s="607"/>
      <c r="J246" s="607"/>
      <c r="K246" s="607"/>
      <c r="L246" s="10"/>
    </row>
    <row r="247" spans="2:12" ht="12.75" customHeight="1">
      <c r="B247" s="10"/>
      <c r="C247" s="607"/>
      <c r="D247" s="607"/>
      <c r="E247" s="607"/>
      <c r="F247" s="607"/>
      <c r="G247" s="607"/>
      <c r="H247" s="607"/>
      <c r="I247" s="607"/>
      <c r="J247" s="607"/>
      <c r="K247" s="607"/>
      <c r="L247" s="10"/>
    </row>
    <row r="248" spans="2:12" ht="12.75" customHeight="1">
      <c r="B248" s="10"/>
      <c r="C248" s="607"/>
      <c r="D248" s="607"/>
      <c r="E248" s="607"/>
      <c r="F248" s="607"/>
      <c r="G248" s="607"/>
      <c r="H248" s="607"/>
      <c r="I248" s="607"/>
      <c r="J248" s="607"/>
      <c r="K248" s="607"/>
      <c r="L248" s="10"/>
    </row>
    <row r="249" spans="2:12" ht="12.75" customHeight="1">
      <c r="B249" s="10"/>
      <c r="C249" s="607"/>
      <c r="D249" s="607"/>
      <c r="E249" s="607"/>
      <c r="F249" s="607"/>
      <c r="G249" s="607"/>
      <c r="H249" s="607"/>
      <c r="I249" s="607"/>
      <c r="J249" s="607"/>
      <c r="K249" s="607"/>
      <c r="L249" s="10"/>
    </row>
    <row r="250" spans="2:12" ht="12.75" customHeight="1">
      <c r="B250" s="10"/>
      <c r="C250" s="607"/>
      <c r="D250" s="607"/>
      <c r="E250" s="607"/>
      <c r="F250" s="607"/>
      <c r="G250" s="607"/>
      <c r="H250" s="607"/>
      <c r="I250" s="607"/>
      <c r="J250" s="607"/>
      <c r="K250" s="607"/>
      <c r="L250" s="10"/>
    </row>
    <row r="251" spans="2:12" ht="12.75" customHeight="1">
      <c r="B251" s="10"/>
      <c r="C251" s="607"/>
      <c r="D251" s="607"/>
      <c r="E251" s="607"/>
      <c r="F251" s="607"/>
      <c r="G251" s="607"/>
      <c r="H251" s="607"/>
      <c r="I251" s="607"/>
      <c r="J251" s="607"/>
      <c r="K251" s="607"/>
      <c r="L251" s="10"/>
    </row>
    <row r="252" spans="2:12" ht="12.75" customHeight="1">
      <c r="B252" s="10"/>
      <c r="C252" s="607"/>
      <c r="D252" s="607"/>
      <c r="E252" s="607"/>
      <c r="F252" s="607"/>
      <c r="G252" s="607"/>
      <c r="H252" s="607"/>
      <c r="I252" s="607"/>
      <c r="J252" s="607"/>
      <c r="K252" s="607"/>
      <c r="L252" s="10"/>
    </row>
    <row r="253" spans="2:12" ht="12.75" customHeight="1">
      <c r="B253" s="10"/>
      <c r="C253" s="1463" t="s">
        <v>249</v>
      </c>
      <c r="D253" s="1463"/>
      <c r="E253" s="1463"/>
      <c r="F253" s="1463"/>
      <c r="G253" s="1463"/>
      <c r="H253" s="1463"/>
      <c r="I253" s="1463"/>
      <c r="J253" s="1463"/>
      <c r="K253" s="1463"/>
      <c r="L253" s="10"/>
    </row>
    <row r="254" spans="2:12" ht="12.75" customHeight="1">
      <c r="B254" s="10"/>
      <c r="C254" s="1463"/>
      <c r="D254" s="1463"/>
      <c r="E254" s="1463"/>
      <c r="F254" s="1463"/>
      <c r="G254" s="1463"/>
      <c r="H254" s="1463"/>
      <c r="I254" s="1463"/>
      <c r="J254" s="1463"/>
      <c r="K254" s="1463"/>
      <c r="L254" s="10"/>
    </row>
    <row r="255" spans="2:12" ht="12.75" customHeight="1">
      <c r="B255" s="10"/>
      <c r="C255" s="1463"/>
      <c r="D255" s="1463"/>
      <c r="E255" s="1463"/>
      <c r="F255" s="1463"/>
      <c r="G255" s="1463"/>
      <c r="H255" s="1463"/>
      <c r="I255" s="1463"/>
      <c r="J255" s="1463"/>
      <c r="K255" s="1463"/>
      <c r="L255" s="10"/>
    </row>
    <row r="256" spans="2:12" ht="12.75" customHeight="1">
      <c r="B256" s="10"/>
      <c r="C256" s="1463"/>
      <c r="D256" s="1463"/>
      <c r="E256" s="1463"/>
      <c r="F256" s="1463"/>
      <c r="G256" s="1463"/>
      <c r="H256" s="1463"/>
      <c r="I256" s="1463"/>
      <c r="J256" s="1463"/>
      <c r="K256" s="1463"/>
      <c r="L256" s="10"/>
    </row>
    <row r="257" spans="2:12" ht="12.75" customHeight="1">
      <c r="B257" s="10"/>
      <c r="C257" s="1463"/>
      <c r="D257" s="1463"/>
      <c r="E257" s="1463"/>
      <c r="F257" s="1463"/>
      <c r="G257" s="1463"/>
      <c r="H257" s="1463"/>
      <c r="I257" s="1463"/>
      <c r="J257" s="1463"/>
      <c r="K257" s="1463"/>
      <c r="L257" s="10"/>
    </row>
    <row r="258" spans="2:12" ht="12.75" customHeight="1">
      <c r="B258" s="10"/>
      <c r="C258" s="607"/>
      <c r="D258" s="607"/>
      <c r="E258" s="607"/>
      <c r="F258" s="607"/>
      <c r="G258" s="607"/>
      <c r="H258" s="607"/>
      <c r="I258" s="607"/>
      <c r="J258" s="607"/>
      <c r="K258" s="607"/>
      <c r="L258" s="10"/>
    </row>
    <row r="259" spans="2:12" ht="12.75" customHeight="1">
      <c r="B259" s="10"/>
      <c r="C259" s="613"/>
      <c r="D259" s="820" t="s">
        <v>287</v>
      </c>
      <c r="E259" s="820"/>
      <c r="F259" s="820"/>
      <c r="G259" s="820"/>
      <c r="H259" s="820"/>
      <c r="I259" s="820"/>
      <c r="J259" s="82"/>
      <c r="K259" s="82"/>
      <c r="L259" s="10"/>
    </row>
    <row r="260" spans="2:12" ht="12.75" customHeight="1">
      <c r="B260" s="10"/>
      <c r="C260" s="613"/>
      <c r="D260" s="1472" t="s">
        <v>288</v>
      </c>
      <c r="E260" s="1472"/>
      <c r="F260" s="1472"/>
      <c r="G260" s="1472"/>
      <c r="H260" s="1472"/>
      <c r="I260" s="1472"/>
      <c r="J260" s="82"/>
      <c r="K260" s="82"/>
      <c r="L260" s="10"/>
    </row>
    <row r="261" spans="2:12" ht="12.75" customHeight="1">
      <c r="B261" s="10"/>
      <c r="C261" s="613"/>
      <c r="D261" s="1519" t="s">
        <v>590</v>
      </c>
      <c r="E261" s="1520"/>
      <c r="F261" s="1520"/>
      <c r="G261" s="1520"/>
      <c r="H261" s="1520"/>
      <c r="I261" s="1521"/>
      <c r="J261" s="614"/>
      <c r="K261" s="614"/>
      <c r="L261" s="10"/>
    </row>
    <row r="262" spans="2:12" ht="12.75" customHeight="1">
      <c r="B262" s="10"/>
      <c r="C262" s="613"/>
      <c r="D262" s="1522"/>
      <c r="E262" s="1523"/>
      <c r="F262" s="1523"/>
      <c r="G262" s="1523"/>
      <c r="H262" s="1523"/>
      <c r="I262" s="1524"/>
      <c r="J262" s="614"/>
      <c r="K262" s="614"/>
      <c r="L262" s="10"/>
    </row>
    <row r="263" spans="2:12" ht="12.75" customHeight="1">
      <c r="B263" s="10"/>
      <c r="C263" s="613"/>
      <c r="D263" s="1525"/>
      <c r="E263" s="1526"/>
      <c r="F263" s="1526"/>
      <c r="G263" s="1526"/>
      <c r="H263" s="1526"/>
      <c r="I263" s="1527"/>
      <c r="J263" s="614"/>
      <c r="K263" s="614"/>
      <c r="L263" s="10"/>
    </row>
    <row r="264" spans="2:12" ht="12.75" customHeight="1">
      <c r="B264" s="613"/>
      <c r="C264" s="614"/>
      <c r="D264" s="1475" t="s">
        <v>591</v>
      </c>
      <c r="E264" s="1475"/>
      <c r="F264" s="1475"/>
      <c r="G264" s="1475" t="s">
        <v>592</v>
      </c>
      <c r="H264" s="1475"/>
      <c r="I264" s="1475"/>
      <c r="J264" s="614"/>
      <c r="K264" s="614"/>
      <c r="L264" s="10"/>
    </row>
    <row r="265" spans="2:12" ht="12.75" customHeight="1">
      <c r="B265" s="10"/>
      <c r="C265" s="613"/>
      <c r="D265" s="1475"/>
      <c r="E265" s="1475"/>
      <c r="F265" s="1475"/>
      <c r="G265" s="1475"/>
      <c r="H265" s="1475"/>
      <c r="I265" s="1475"/>
      <c r="J265" s="614"/>
      <c r="K265" s="614"/>
      <c r="L265" s="10"/>
    </row>
    <row r="266" spans="2:12" ht="12.75" customHeight="1">
      <c r="B266" s="10"/>
      <c r="C266" s="613"/>
      <c r="D266" s="1474" t="s">
        <v>593</v>
      </c>
      <c r="E266" s="1474"/>
      <c r="F266" s="1474"/>
      <c r="G266" s="1474" t="s">
        <v>594</v>
      </c>
      <c r="H266" s="1474"/>
      <c r="I266" s="1474"/>
      <c r="J266" s="614"/>
      <c r="K266" s="614"/>
      <c r="L266" s="10"/>
    </row>
    <row r="267" spans="2:12" ht="12.75" customHeight="1">
      <c r="B267" s="10"/>
      <c r="C267" s="613"/>
      <c r="D267" s="1474" t="s">
        <v>595</v>
      </c>
      <c r="E267" s="1474"/>
      <c r="F267" s="1474"/>
      <c r="G267" s="1474" t="s">
        <v>596</v>
      </c>
      <c r="H267" s="1474"/>
      <c r="I267" s="1474"/>
      <c r="J267" s="614"/>
      <c r="K267" s="614"/>
      <c r="L267" s="10"/>
    </row>
    <row r="268" spans="2:12" ht="12.75" customHeight="1">
      <c r="B268" s="10"/>
      <c r="C268" s="613"/>
      <c r="D268" s="1474" t="s">
        <v>597</v>
      </c>
      <c r="E268" s="1474"/>
      <c r="F268" s="1474"/>
      <c r="G268" s="1474" t="s">
        <v>598</v>
      </c>
      <c r="H268" s="1474"/>
      <c r="I268" s="1474"/>
      <c r="J268" s="614"/>
      <c r="K268" s="614"/>
      <c r="L268" s="10"/>
    </row>
    <row r="269" spans="2:12" ht="12.75" customHeight="1">
      <c r="B269" s="10"/>
      <c r="C269" s="613"/>
      <c r="D269" s="1474" t="s">
        <v>599</v>
      </c>
      <c r="E269" s="1474"/>
      <c r="F269" s="1474"/>
      <c r="G269" s="1474" t="s">
        <v>600</v>
      </c>
      <c r="H269" s="1474"/>
      <c r="I269" s="1474"/>
      <c r="J269" s="614"/>
      <c r="K269" s="614"/>
      <c r="L269" s="10"/>
    </row>
    <row r="270" spans="2:12" ht="12.75" customHeight="1">
      <c r="B270" s="10"/>
      <c r="C270" s="613"/>
      <c r="D270" s="614"/>
      <c r="E270" s="614"/>
      <c r="F270" s="614"/>
      <c r="G270" s="614"/>
      <c r="H270" s="614"/>
      <c r="I270" s="614"/>
      <c r="J270" s="614"/>
      <c r="K270" s="614"/>
      <c r="L270" s="10"/>
    </row>
    <row r="271" spans="2:12" ht="12.75" customHeight="1">
      <c r="B271" s="10"/>
      <c r="C271" s="1468" t="s">
        <v>788</v>
      </c>
      <c r="D271" s="1468"/>
      <c r="E271" s="1468"/>
      <c r="F271" s="1468"/>
      <c r="G271" s="1468"/>
      <c r="H271" s="1468"/>
      <c r="I271" s="1468"/>
      <c r="J271" s="1468"/>
      <c r="K271" s="1468"/>
      <c r="L271" s="10"/>
    </row>
    <row r="272" spans="2:12" ht="12.75" customHeight="1">
      <c r="B272" s="10"/>
      <c r="C272" s="615"/>
      <c r="D272" s="615"/>
      <c r="E272" s="615"/>
      <c r="F272" s="615"/>
      <c r="G272" s="615"/>
      <c r="H272" s="615"/>
      <c r="I272" s="615"/>
      <c r="J272" s="615"/>
      <c r="K272" s="615"/>
      <c r="L272" s="10"/>
    </row>
    <row r="273" spans="2:12" ht="12.75" customHeight="1">
      <c r="B273" s="10"/>
      <c r="C273" s="1463" t="s">
        <v>339</v>
      </c>
      <c r="D273" s="1463"/>
      <c r="E273" s="1463"/>
      <c r="F273" s="1463"/>
      <c r="G273" s="1463"/>
      <c r="H273" s="1463"/>
      <c r="I273" s="1463"/>
      <c r="J273" s="1463"/>
      <c r="K273" s="1463"/>
      <c r="L273" s="10"/>
    </row>
    <row r="274" spans="2:12" ht="12.75" customHeight="1">
      <c r="B274" s="10"/>
      <c r="C274" s="1463"/>
      <c r="D274" s="1463"/>
      <c r="E274" s="1463"/>
      <c r="F274" s="1463"/>
      <c r="G274" s="1463"/>
      <c r="H274" s="1463"/>
      <c r="I274" s="1463"/>
      <c r="J274" s="1463"/>
      <c r="K274" s="1463"/>
      <c r="L274" s="10"/>
    </row>
    <row r="275" spans="2:12" ht="12.75" customHeight="1">
      <c r="B275" s="10"/>
      <c r="C275" s="1463"/>
      <c r="D275" s="1463"/>
      <c r="E275" s="1463"/>
      <c r="F275" s="1463"/>
      <c r="G275" s="1463"/>
      <c r="H275" s="1463"/>
      <c r="I275" s="1463"/>
      <c r="J275" s="1463"/>
      <c r="K275" s="1463"/>
      <c r="L275" s="10"/>
    </row>
    <row r="276" spans="2:12" ht="12.75" customHeight="1">
      <c r="B276" s="10"/>
      <c r="C276" s="607"/>
      <c r="D276" s="607"/>
      <c r="E276" s="607"/>
      <c r="F276" s="607"/>
      <c r="G276" s="607"/>
      <c r="H276" s="607"/>
      <c r="I276" s="607"/>
      <c r="J276" s="607"/>
      <c r="K276" s="607"/>
      <c r="L276" s="10"/>
    </row>
    <row r="277" spans="2:12" ht="12.75" customHeight="1">
      <c r="B277" s="10"/>
      <c r="C277" s="1497" t="s">
        <v>601</v>
      </c>
      <c r="D277" s="1497"/>
      <c r="E277" s="1497"/>
      <c r="F277" s="1497"/>
      <c r="G277" s="1497"/>
      <c r="H277" s="1497"/>
      <c r="I277" s="1497"/>
      <c r="J277" s="1497"/>
      <c r="K277" s="1497"/>
      <c r="L277" s="10"/>
    </row>
    <row r="278" spans="2:12" ht="12.75" customHeight="1">
      <c r="B278" s="10"/>
      <c r="C278" s="616"/>
      <c r="D278" s="616"/>
      <c r="E278" s="616"/>
      <c r="F278" s="616"/>
      <c r="G278" s="616"/>
      <c r="H278" s="616"/>
      <c r="I278" s="616"/>
      <c r="J278" s="616"/>
      <c r="K278" s="616"/>
      <c r="L278" s="10"/>
    </row>
    <row r="279" spans="2:12" ht="12.75" customHeight="1">
      <c r="B279" s="10"/>
      <c r="C279" s="1463" t="s">
        <v>732</v>
      </c>
      <c r="D279" s="1463"/>
      <c r="E279" s="1463"/>
      <c r="F279" s="1463"/>
      <c r="G279" s="1463"/>
      <c r="H279" s="1463"/>
      <c r="I279" s="1463"/>
      <c r="J279" s="1463"/>
      <c r="K279" s="1463"/>
      <c r="L279" s="10"/>
    </row>
    <row r="280" spans="2:12" ht="12.75" customHeight="1">
      <c r="B280" s="10"/>
      <c r="C280" s="1463"/>
      <c r="D280" s="1463"/>
      <c r="E280" s="1463"/>
      <c r="F280" s="1463"/>
      <c r="G280" s="1463"/>
      <c r="H280" s="1463"/>
      <c r="I280" s="1463"/>
      <c r="J280" s="1463"/>
      <c r="K280" s="1463"/>
      <c r="L280" s="10"/>
    </row>
    <row r="281" spans="2:12" ht="12.75" customHeight="1">
      <c r="B281" s="10"/>
      <c r="C281" s="1463"/>
      <c r="D281" s="1463"/>
      <c r="E281" s="1463"/>
      <c r="F281" s="1463"/>
      <c r="G281" s="1463"/>
      <c r="H281" s="1463"/>
      <c r="I281" s="1463"/>
      <c r="J281" s="1463"/>
      <c r="K281" s="1463"/>
      <c r="L281" s="10"/>
    </row>
    <row r="282" spans="2:12" ht="12.75" customHeight="1">
      <c r="B282" s="10"/>
      <c r="C282" s="1463"/>
      <c r="D282" s="1463"/>
      <c r="E282" s="1463"/>
      <c r="F282" s="1463"/>
      <c r="G282" s="1463"/>
      <c r="H282" s="1463"/>
      <c r="I282" s="1463"/>
      <c r="J282" s="1463"/>
      <c r="K282" s="1463"/>
      <c r="L282" s="10"/>
    </row>
    <row r="283" spans="2:12" ht="12.75" customHeight="1">
      <c r="B283" s="10"/>
      <c r="C283" s="1463"/>
      <c r="D283" s="1463"/>
      <c r="E283" s="1463"/>
      <c r="F283" s="1463"/>
      <c r="G283" s="1463"/>
      <c r="H283" s="1463"/>
      <c r="I283" s="1463"/>
      <c r="J283" s="1463"/>
      <c r="K283" s="1463"/>
      <c r="L283" s="10"/>
    </row>
    <row r="284" spans="2:12" ht="12.75" customHeight="1">
      <c r="B284" s="10"/>
      <c r="C284" s="607"/>
      <c r="D284" s="607"/>
      <c r="E284" s="607"/>
      <c r="F284" s="607"/>
      <c r="G284" s="607"/>
      <c r="H284" s="607"/>
      <c r="I284" s="607"/>
      <c r="J284" s="607"/>
      <c r="K284" s="607"/>
      <c r="L284" s="10"/>
    </row>
    <row r="285" spans="2:12" ht="12.75" customHeight="1">
      <c r="B285" s="10"/>
      <c r="C285" s="1463" t="s">
        <v>729</v>
      </c>
      <c r="D285" s="1463"/>
      <c r="E285" s="1463"/>
      <c r="F285" s="1463"/>
      <c r="G285" s="1463"/>
      <c r="H285" s="1463"/>
      <c r="I285" s="1463"/>
      <c r="J285" s="1463"/>
      <c r="K285" s="1463"/>
      <c r="L285" s="10"/>
    </row>
    <row r="286" spans="2:12" ht="12.75" customHeight="1">
      <c r="B286" s="10"/>
      <c r="C286" s="1463"/>
      <c r="D286" s="1463"/>
      <c r="E286" s="1463"/>
      <c r="F286" s="1463"/>
      <c r="G286" s="1463"/>
      <c r="H286" s="1463"/>
      <c r="I286" s="1463"/>
      <c r="J286" s="1463"/>
      <c r="K286" s="1463"/>
      <c r="L286" s="10"/>
    </row>
    <row r="287" spans="2:12" ht="12.75" customHeight="1">
      <c r="B287" s="10"/>
      <c r="C287" s="1463"/>
      <c r="D287" s="1463"/>
      <c r="E287" s="1463"/>
      <c r="F287" s="1463"/>
      <c r="G287" s="1463"/>
      <c r="H287" s="1463"/>
      <c r="I287" s="1463"/>
      <c r="J287" s="1463"/>
      <c r="K287" s="1463"/>
      <c r="L287" s="10"/>
    </row>
    <row r="288" spans="2:12" ht="12.75" customHeight="1">
      <c r="B288" s="10"/>
      <c r="C288" s="1463"/>
      <c r="D288" s="1463"/>
      <c r="E288" s="1463"/>
      <c r="F288" s="1463"/>
      <c r="G288" s="1463"/>
      <c r="H288" s="1463"/>
      <c r="I288" s="1463"/>
      <c r="J288" s="1463"/>
      <c r="K288" s="1463"/>
      <c r="L288" s="10"/>
    </row>
    <row r="289" spans="2:12" ht="12.75" customHeight="1">
      <c r="B289" s="10"/>
      <c r="C289" s="1463"/>
      <c r="D289" s="1463"/>
      <c r="E289" s="1463"/>
      <c r="F289" s="1463"/>
      <c r="G289" s="1463"/>
      <c r="H289" s="1463"/>
      <c r="I289" s="1463"/>
      <c r="J289" s="1463"/>
      <c r="K289" s="1463"/>
      <c r="L289" s="10"/>
    </row>
    <row r="290" spans="2:12" ht="12.75" customHeight="1">
      <c r="B290" s="10"/>
      <c r="C290" s="1463"/>
      <c r="D290" s="1463"/>
      <c r="E290" s="1463"/>
      <c r="F290" s="1463"/>
      <c r="G290" s="1463"/>
      <c r="H290" s="1463"/>
      <c r="I290" s="1463"/>
      <c r="J290" s="1463"/>
      <c r="K290" s="1463"/>
      <c r="L290" s="10"/>
    </row>
    <row r="291" spans="2:12" ht="12.75" customHeight="1">
      <c r="B291" s="10"/>
      <c r="C291" s="607"/>
      <c r="D291" s="607"/>
      <c r="E291" s="607"/>
      <c r="F291" s="607"/>
      <c r="G291" s="607"/>
      <c r="H291" s="607"/>
      <c r="I291" s="607"/>
      <c r="J291" s="607"/>
      <c r="K291" s="607"/>
      <c r="L291" s="10"/>
    </row>
    <row r="292" spans="2:12" ht="12.75" customHeight="1">
      <c r="B292" s="10"/>
      <c r="C292" s="1499" t="s">
        <v>730</v>
      </c>
      <c r="D292" s="1499"/>
      <c r="E292" s="1499"/>
      <c r="F292" s="1499"/>
      <c r="G292" s="1499"/>
      <c r="H292" s="1499"/>
      <c r="I292" s="1499"/>
      <c r="J292" s="1499"/>
      <c r="K292" s="1499"/>
      <c r="L292" s="10"/>
    </row>
    <row r="293" spans="2:12" ht="12.75" customHeight="1">
      <c r="B293" s="10"/>
      <c r="C293" s="1499"/>
      <c r="D293" s="1499"/>
      <c r="E293" s="1499"/>
      <c r="F293" s="1499"/>
      <c r="G293" s="1499"/>
      <c r="H293" s="1499"/>
      <c r="I293" s="1499"/>
      <c r="J293" s="1499"/>
      <c r="K293" s="1499"/>
      <c r="L293" s="10"/>
    </row>
    <row r="294" spans="2:12" ht="12.75" customHeight="1">
      <c r="B294" s="10"/>
      <c r="C294" s="1499"/>
      <c r="D294" s="1499"/>
      <c r="E294" s="1499"/>
      <c r="F294" s="1499"/>
      <c r="G294" s="1499"/>
      <c r="H294" s="1499"/>
      <c r="I294" s="1499"/>
      <c r="J294" s="1499"/>
      <c r="K294" s="1499"/>
      <c r="L294" s="10"/>
    </row>
    <row r="295" spans="2:12" ht="12.75" customHeight="1">
      <c r="B295" s="10"/>
      <c r="C295" s="1499"/>
      <c r="D295" s="1499"/>
      <c r="E295" s="1499"/>
      <c r="F295" s="1499"/>
      <c r="G295" s="1499"/>
      <c r="H295" s="1499"/>
      <c r="I295" s="1499"/>
      <c r="J295" s="1499"/>
      <c r="K295" s="1499"/>
      <c r="L295" s="10"/>
    </row>
    <row r="296" spans="2:12" ht="12.75" customHeight="1">
      <c r="B296" s="10"/>
      <c r="C296" s="1499"/>
      <c r="D296" s="1499"/>
      <c r="E296" s="1499"/>
      <c r="F296" s="1499"/>
      <c r="G296" s="1499"/>
      <c r="H296" s="1499"/>
      <c r="I296" s="1499"/>
      <c r="J296" s="1499"/>
      <c r="K296" s="1499"/>
      <c r="L296" s="10"/>
    </row>
    <row r="297" spans="2:12" ht="12.75" customHeight="1">
      <c r="B297" s="10"/>
      <c r="C297" s="617"/>
      <c r="D297" s="617"/>
      <c r="E297" s="617"/>
      <c r="F297" s="617"/>
      <c r="G297" s="617"/>
      <c r="H297" s="617"/>
      <c r="I297" s="617"/>
      <c r="J297" s="617"/>
      <c r="K297" s="617"/>
      <c r="L297" s="10"/>
    </row>
    <row r="298" spans="2:12" ht="12.75" customHeight="1">
      <c r="B298" s="10"/>
      <c r="C298" s="1499" t="s">
        <v>815</v>
      </c>
      <c r="D298" s="1499"/>
      <c r="E298" s="1499"/>
      <c r="F298" s="1499"/>
      <c r="G298" s="1499"/>
      <c r="H298" s="1499"/>
      <c r="I298" s="1499"/>
      <c r="J298" s="1499"/>
      <c r="K298" s="1499"/>
      <c r="L298" s="10"/>
    </row>
    <row r="299" spans="2:12" ht="12.75" customHeight="1">
      <c r="B299" s="10"/>
      <c r="C299" s="1499"/>
      <c r="D299" s="1499"/>
      <c r="E299" s="1499"/>
      <c r="F299" s="1499"/>
      <c r="G299" s="1499"/>
      <c r="H299" s="1499"/>
      <c r="I299" s="1499"/>
      <c r="J299" s="1499"/>
      <c r="K299" s="1499"/>
      <c r="L299" s="10"/>
    </row>
    <row r="300" spans="2:12" ht="12.75" customHeight="1">
      <c r="B300" s="10"/>
      <c r="C300" s="1499"/>
      <c r="D300" s="1499"/>
      <c r="E300" s="1499"/>
      <c r="F300" s="1499"/>
      <c r="G300" s="1499"/>
      <c r="H300" s="1499"/>
      <c r="I300" s="1499"/>
      <c r="J300" s="1499"/>
      <c r="K300" s="1499"/>
      <c r="L300" s="10"/>
    </row>
    <row r="301" spans="2:12" ht="12.75" customHeight="1">
      <c r="B301" s="10"/>
      <c r="C301" s="1499"/>
      <c r="D301" s="1499"/>
      <c r="E301" s="1499"/>
      <c r="F301" s="1499"/>
      <c r="G301" s="1499"/>
      <c r="H301" s="1499"/>
      <c r="I301" s="1499"/>
      <c r="J301" s="1499"/>
      <c r="K301" s="1499"/>
      <c r="L301" s="10"/>
    </row>
    <row r="302" spans="2:12" ht="12.75" customHeight="1">
      <c r="B302" s="10"/>
      <c r="C302" s="1499"/>
      <c r="D302" s="1499"/>
      <c r="E302" s="1499"/>
      <c r="F302" s="1499"/>
      <c r="G302" s="1499"/>
      <c r="H302" s="1499"/>
      <c r="I302" s="1499"/>
      <c r="J302" s="1499"/>
      <c r="K302" s="1499"/>
      <c r="L302" s="10"/>
    </row>
    <row r="303" spans="2:12" ht="12.75" customHeight="1">
      <c r="B303" s="10"/>
      <c r="C303" s="617"/>
      <c r="D303" s="617"/>
      <c r="E303" s="617"/>
      <c r="F303" s="617"/>
      <c r="G303" s="617"/>
      <c r="H303" s="617"/>
      <c r="I303" s="617"/>
      <c r="J303" s="617"/>
      <c r="K303" s="617"/>
      <c r="L303" s="10"/>
    </row>
    <row r="304" spans="2:12" ht="12.75" customHeight="1">
      <c r="B304" s="10"/>
      <c r="C304" s="1499" t="s">
        <v>816</v>
      </c>
      <c r="D304" s="1499"/>
      <c r="E304" s="1499"/>
      <c r="F304" s="1499"/>
      <c r="G304" s="1499"/>
      <c r="H304" s="1499"/>
      <c r="I304" s="1499"/>
      <c r="J304" s="1499"/>
      <c r="K304" s="1499"/>
      <c r="L304" s="10"/>
    </row>
    <row r="305" spans="2:12" ht="12.75" customHeight="1">
      <c r="B305" s="10"/>
      <c r="C305" s="1499"/>
      <c r="D305" s="1499"/>
      <c r="E305" s="1499"/>
      <c r="F305" s="1499"/>
      <c r="G305" s="1499"/>
      <c r="H305" s="1499"/>
      <c r="I305" s="1499"/>
      <c r="J305" s="1499"/>
      <c r="K305" s="1499"/>
      <c r="L305" s="10"/>
    </row>
    <row r="306" spans="2:12" ht="12.75" customHeight="1">
      <c r="B306" s="10"/>
      <c r="C306" s="1499"/>
      <c r="D306" s="1499"/>
      <c r="E306" s="1499"/>
      <c r="F306" s="1499"/>
      <c r="G306" s="1499"/>
      <c r="H306" s="1499"/>
      <c r="I306" s="1499"/>
      <c r="J306" s="1499"/>
      <c r="K306" s="1499"/>
      <c r="L306" s="10"/>
    </row>
    <row r="307" spans="2:12" ht="12.75" customHeight="1">
      <c r="B307" s="10"/>
      <c r="C307" s="1499"/>
      <c r="D307" s="1499"/>
      <c r="E307" s="1499"/>
      <c r="F307" s="1499"/>
      <c r="G307" s="1499"/>
      <c r="H307" s="1499"/>
      <c r="I307" s="1499"/>
      <c r="J307" s="1499"/>
      <c r="K307" s="1499"/>
      <c r="L307" s="10"/>
    </row>
    <row r="308" spans="2:12" ht="12.75" customHeight="1">
      <c r="B308" s="10"/>
      <c r="C308" s="1499"/>
      <c r="D308" s="1499"/>
      <c r="E308" s="1499"/>
      <c r="F308" s="1499"/>
      <c r="G308" s="1499"/>
      <c r="H308" s="1499"/>
      <c r="I308" s="1499"/>
      <c r="J308" s="1499"/>
      <c r="K308" s="1499"/>
      <c r="L308" s="10"/>
    </row>
    <row r="309" spans="2:12" ht="12.75" customHeight="1">
      <c r="B309" s="10"/>
      <c r="C309" s="617"/>
      <c r="D309" s="617"/>
      <c r="E309" s="617"/>
      <c r="F309" s="617"/>
      <c r="G309" s="617"/>
      <c r="H309" s="617"/>
      <c r="I309" s="617"/>
      <c r="J309" s="617"/>
      <c r="K309" s="617"/>
      <c r="L309" s="10"/>
    </row>
    <row r="310" spans="2:12" ht="12.75" customHeight="1">
      <c r="B310" s="10"/>
      <c r="C310" s="617"/>
      <c r="D310" s="617"/>
      <c r="E310" s="617"/>
      <c r="F310" s="617"/>
      <c r="G310" s="617"/>
      <c r="H310" s="617"/>
      <c r="I310" s="617"/>
      <c r="J310" s="617"/>
      <c r="K310" s="617"/>
      <c r="L310" s="10"/>
    </row>
    <row r="311" spans="2:12" ht="12.75" customHeight="1">
      <c r="B311" s="10"/>
      <c r="C311" s="617"/>
      <c r="D311" s="617"/>
      <c r="E311" s="617"/>
      <c r="F311" s="617"/>
      <c r="G311" s="617"/>
      <c r="H311" s="617"/>
      <c r="I311" s="617"/>
      <c r="J311" s="617"/>
      <c r="K311" s="617"/>
      <c r="L311" s="10"/>
    </row>
    <row r="312" spans="2:12" ht="12.75" customHeight="1">
      <c r="B312" s="10"/>
      <c r="C312" s="617"/>
      <c r="D312" s="617"/>
      <c r="E312" s="617"/>
      <c r="F312" s="617"/>
      <c r="G312" s="617"/>
      <c r="H312" s="617"/>
      <c r="I312" s="617"/>
      <c r="J312" s="617"/>
      <c r="K312" s="617"/>
      <c r="L312" s="10"/>
    </row>
    <row r="313" spans="2:12" ht="12.75" customHeight="1">
      <c r="B313" s="10"/>
      <c r="C313" s="617"/>
      <c r="D313" s="617"/>
      <c r="E313" s="617"/>
      <c r="F313" s="617"/>
      <c r="G313" s="617"/>
      <c r="H313" s="617"/>
      <c r="I313" s="617"/>
      <c r="J313" s="617"/>
      <c r="K313" s="617"/>
      <c r="L313" s="10"/>
    </row>
    <row r="314" spans="2:12" ht="12.75" customHeight="1">
      <c r="B314" s="10"/>
      <c r="C314" s="617"/>
      <c r="D314" s="617"/>
      <c r="E314" s="617"/>
      <c r="F314" s="617"/>
      <c r="G314" s="617"/>
      <c r="H314" s="617"/>
      <c r="I314" s="617"/>
      <c r="J314" s="617"/>
      <c r="K314" s="617"/>
      <c r="L314" s="10"/>
    </row>
    <row r="315" spans="2:12" ht="12.75" customHeight="1">
      <c r="B315" s="10"/>
      <c r="C315" s="617"/>
      <c r="D315" s="617"/>
      <c r="E315" s="617"/>
      <c r="F315" s="617"/>
      <c r="G315" s="617"/>
      <c r="H315" s="617"/>
      <c r="I315" s="617"/>
      <c r="J315" s="617"/>
      <c r="K315" s="617"/>
      <c r="L315" s="10"/>
    </row>
    <row r="316" spans="2:12" ht="12.75" customHeight="1">
      <c r="B316" s="10"/>
      <c r="C316" s="1497" t="s">
        <v>602</v>
      </c>
      <c r="D316" s="1497"/>
      <c r="E316" s="1497"/>
      <c r="F316" s="1497"/>
      <c r="G316" s="1497"/>
      <c r="H316" s="1497"/>
      <c r="I316" s="1497"/>
      <c r="J316" s="1497"/>
      <c r="K316" s="1497"/>
      <c r="L316" s="10"/>
    </row>
    <row r="317" spans="2:12" ht="12.75" customHeight="1">
      <c r="B317" s="10"/>
      <c r="C317" s="616"/>
      <c r="D317" s="616"/>
      <c r="E317" s="616"/>
      <c r="F317" s="616"/>
      <c r="G317" s="616"/>
      <c r="H317" s="616"/>
      <c r="I317" s="616"/>
      <c r="J317" s="616"/>
      <c r="K317" s="616"/>
      <c r="L317" s="10"/>
    </row>
    <row r="318" spans="2:12" ht="12.75" customHeight="1">
      <c r="B318" s="10"/>
      <c r="C318" s="1463" t="s">
        <v>720</v>
      </c>
      <c r="D318" s="1463"/>
      <c r="E318" s="1463"/>
      <c r="F318" s="1463"/>
      <c r="G318" s="1463"/>
      <c r="H318" s="1463"/>
      <c r="I318" s="1463"/>
      <c r="J318" s="1463"/>
      <c r="K318" s="1463"/>
      <c r="L318" s="10"/>
    </row>
    <row r="319" spans="2:12" ht="12.75" customHeight="1">
      <c r="B319" s="10"/>
      <c r="C319" s="1463"/>
      <c r="D319" s="1463"/>
      <c r="E319" s="1463"/>
      <c r="F319" s="1463"/>
      <c r="G319" s="1463"/>
      <c r="H319" s="1463"/>
      <c r="I319" s="1463"/>
      <c r="J319" s="1463"/>
      <c r="K319" s="1463"/>
      <c r="L319" s="10"/>
    </row>
    <row r="320" spans="2:12" ht="12.75" customHeight="1">
      <c r="B320" s="10"/>
      <c r="C320" s="1463"/>
      <c r="D320" s="1463"/>
      <c r="E320" s="1463"/>
      <c r="F320" s="1463"/>
      <c r="G320" s="1463"/>
      <c r="H320" s="1463"/>
      <c r="I320" s="1463"/>
      <c r="J320" s="1463"/>
      <c r="K320" s="1463"/>
      <c r="L320" s="10"/>
    </row>
    <row r="321" spans="2:12" ht="12.75" customHeight="1">
      <c r="B321" s="10"/>
      <c r="C321" s="1463"/>
      <c r="D321" s="1463"/>
      <c r="E321" s="1463"/>
      <c r="F321" s="1463"/>
      <c r="G321" s="1463"/>
      <c r="H321" s="1463"/>
      <c r="I321" s="1463"/>
      <c r="J321" s="1463"/>
      <c r="K321" s="1463"/>
      <c r="L321" s="10"/>
    </row>
    <row r="322" spans="2:12" ht="12.75" customHeight="1">
      <c r="B322" s="10"/>
      <c r="C322" s="1463"/>
      <c r="D322" s="1463"/>
      <c r="E322" s="1463"/>
      <c r="F322" s="1463"/>
      <c r="G322" s="1463"/>
      <c r="H322" s="1463"/>
      <c r="I322" s="1463"/>
      <c r="J322" s="1463"/>
      <c r="K322" s="1463"/>
      <c r="L322" s="10"/>
    </row>
    <row r="323" spans="2:12" ht="12.75" customHeight="1">
      <c r="B323" s="10"/>
      <c r="C323" s="607"/>
      <c r="D323" s="607"/>
      <c r="E323" s="607"/>
      <c r="F323" s="607"/>
      <c r="G323" s="607"/>
      <c r="H323" s="607"/>
      <c r="I323" s="607"/>
      <c r="J323" s="607"/>
      <c r="K323" s="607"/>
      <c r="L323" s="10"/>
    </row>
    <row r="324" spans="2:12" ht="12.75" customHeight="1">
      <c r="B324" s="10"/>
      <c r="C324" s="1497" t="s">
        <v>603</v>
      </c>
      <c r="D324" s="1497"/>
      <c r="E324" s="1497"/>
      <c r="F324" s="1497"/>
      <c r="G324" s="1497"/>
      <c r="H324" s="1497"/>
      <c r="I324" s="1497"/>
      <c r="J324" s="1497"/>
      <c r="K324" s="1497"/>
      <c r="L324" s="10"/>
    </row>
    <row r="325" spans="2:12" ht="12.75" customHeight="1">
      <c r="B325" s="10"/>
      <c r="C325" s="616"/>
      <c r="D325" s="616"/>
      <c r="E325" s="616"/>
      <c r="F325" s="616"/>
      <c r="G325" s="616"/>
      <c r="H325" s="616"/>
      <c r="I325" s="616"/>
      <c r="J325" s="616"/>
      <c r="K325" s="616"/>
      <c r="L325" s="10"/>
    </row>
    <row r="326" spans="2:12" ht="12.75" customHeight="1">
      <c r="B326" s="10"/>
      <c r="C326" s="1463" t="s">
        <v>721</v>
      </c>
      <c r="D326" s="1463"/>
      <c r="E326" s="1463"/>
      <c r="F326" s="1463"/>
      <c r="G326" s="1463"/>
      <c r="H326" s="1463"/>
      <c r="I326" s="1463"/>
      <c r="J326" s="1463"/>
      <c r="K326" s="1463"/>
      <c r="L326" s="10"/>
    </row>
    <row r="327" spans="2:12" ht="12.75" customHeight="1">
      <c r="B327" s="10"/>
      <c r="C327" s="1463"/>
      <c r="D327" s="1463"/>
      <c r="E327" s="1463"/>
      <c r="F327" s="1463"/>
      <c r="G327" s="1463"/>
      <c r="H327" s="1463"/>
      <c r="I327" s="1463"/>
      <c r="J327" s="1463"/>
      <c r="K327" s="1463"/>
      <c r="L327" s="10"/>
    </row>
    <row r="328" spans="2:12" ht="12.75" customHeight="1">
      <c r="B328" s="10"/>
      <c r="C328" s="1463"/>
      <c r="D328" s="1463"/>
      <c r="E328" s="1463"/>
      <c r="F328" s="1463"/>
      <c r="G328" s="1463"/>
      <c r="H328" s="1463"/>
      <c r="I328" s="1463"/>
      <c r="J328" s="1463"/>
      <c r="K328" s="1463"/>
      <c r="L328" s="10"/>
    </row>
    <row r="329" spans="2:12" ht="12.75" customHeight="1">
      <c r="B329" s="10"/>
      <c r="C329" s="607"/>
      <c r="D329" s="607"/>
      <c r="E329" s="607"/>
      <c r="F329" s="607"/>
      <c r="G329" s="607"/>
      <c r="H329" s="607"/>
      <c r="I329" s="607"/>
      <c r="J329" s="607"/>
      <c r="K329" s="607"/>
      <c r="L329" s="10"/>
    </row>
    <row r="330" spans="2:12" ht="12.75" customHeight="1">
      <c r="B330" s="10"/>
      <c r="C330" s="1497" t="s">
        <v>722</v>
      </c>
      <c r="D330" s="1497"/>
      <c r="E330" s="1497"/>
      <c r="F330" s="1497"/>
      <c r="G330" s="1497"/>
      <c r="H330" s="1497"/>
      <c r="I330" s="1497"/>
      <c r="J330" s="1497"/>
      <c r="K330" s="1497"/>
      <c r="L330" s="10"/>
    </row>
    <row r="331" spans="2:12" ht="12.75" customHeight="1">
      <c r="B331" s="10"/>
      <c r="C331" s="1497"/>
      <c r="D331" s="1497"/>
      <c r="E331" s="1497"/>
      <c r="F331" s="1497"/>
      <c r="G331" s="1497"/>
      <c r="H331" s="1497"/>
      <c r="I331" s="1497"/>
      <c r="J331" s="1497"/>
      <c r="K331" s="1497"/>
      <c r="L331" s="10"/>
    </row>
    <row r="332" spans="2:12" ht="12.75" customHeight="1">
      <c r="B332" s="10"/>
      <c r="C332" s="1497"/>
      <c r="D332" s="1497"/>
      <c r="E332" s="1497"/>
      <c r="F332" s="1497"/>
      <c r="G332" s="1497"/>
      <c r="H332" s="1497"/>
      <c r="I332" s="1497"/>
      <c r="J332" s="1497"/>
      <c r="K332" s="1497"/>
      <c r="L332" s="10"/>
    </row>
    <row r="333" spans="2:12" ht="12.75" customHeight="1">
      <c r="B333" s="10"/>
      <c r="C333" s="1497"/>
      <c r="D333" s="1497"/>
      <c r="E333" s="1497"/>
      <c r="F333" s="1497"/>
      <c r="G333" s="1497"/>
      <c r="H333" s="1497"/>
      <c r="I333" s="1497"/>
      <c r="J333" s="1497"/>
      <c r="K333" s="1497"/>
      <c r="L333" s="10"/>
    </row>
    <row r="334" spans="2:12" ht="12.75" customHeight="1">
      <c r="B334" s="10"/>
      <c r="C334" s="616"/>
      <c r="D334" s="616"/>
      <c r="E334" s="616"/>
      <c r="F334" s="616"/>
      <c r="G334" s="616"/>
      <c r="H334" s="616"/>
      <c r="I334" s="616"/>
      <c r="J334" s="616"/>
      <c r="K334" s="616"/>
      <c r="L334" s="10"/>
    </row>
    <row r="335" spans="2:12" ht="12.75" customHeight="1">
      <c r="B335" s="10"/>
      <c r="C335" s="1463" t="s">
        <v>604</v>
      </c>
      <c r="D335" s="1463"/>
      <c r="E335" s="1463"/>
      <c r="F335" s="1463"/>
      <c r="G335" s="1463"/>
      <c r="H335" s="1463"/>
      <c r="I335" s="1463"/>
      <c r="J335" s="1463"/>
      <c r="K335" s="1463"/>
      <c r="L335" s="10"/>
    </row>
    <row r="336" spans="2:12" ht="12.75" customHeight="1">
      <c r="B336" s="10"/>
      <c r="C336" s="1463"/>
      <c r="D336" s="1463"/>
      <c r="E336" s="1463"/>
      <c r="F336" s="1463"/>
      <c r="G336" s="1463"/>
      <c r="H336" s="1463"/>
      <c r="I336" s="1463"/>
      <c r="J336" s="1463"/>
      <c r="K336" s="1463"/>
      <c r="L336" s="10"/>
    </row>
    <row r="337" spans="2:12" ht="12.75" customHeight="1">
      <c r="B337" s="10"/>
      <c r="C337" s="607"/>
      <c r="D337" s="607"/>
      <c r="E337" s="607"/>
      <c r="F337" s="607"/>
      <c r="G337" s="607"/>
      <c r="H337" s="607"/>
      <c r="I337" s="607"/>
      <c r="J337" s="607"/>
      <c r="K337" s="607"/>
      <c r="L337" s="10"/>
    </row>
    <row r="338" spans="2:12" ht="12.75" customHeight="1">
      <c r="B338" s="10"/>
      <c r="C338" s="1463" t="s">
        <v>250</v>
      </c>
      <c r="D338" s="1463"/>
      <c r="E338" s="1463"/>
      <c r="F338" s="1463"/>
      <c r="G338" s="1463"/>
      <c r="H338" s="1463"/>
      <c r="I338" s="1463"/>
      <c r="J338" s="1463"/>
      <c r="K338" s="1463"/>
      <c r="L338" s="10"/>
    </row>
    <row r="339" spans="2:12" ht="12.75" customHeight="1">
      <c r="B339" s="10"/>
      <c r="C339" s="607"/>
      <c r="D339" s="607"/>
      <c r="E339" s="607"/>
      <c r="F339" s="607"/>
      <c r="G339" s="607"/>
      <c r="H339" s="607"/>
      <c r="I339" s="607"/>
      <c r="J339" s="607"/>
      <c r="K339" s="607"/>
      <c r="L339" s="10"/>
    </row>
    <row r="340" spans="2:12" ht="12.75" customHeight="1">
      <c r="B340" s="10"/>
      <c r="C340" s="1500" t="s">
        <v>853</v>
      </c>
      <c r="D340" s="1501"/>
      <c r="E340" s="1501"/>
      <c r="F340" s="1501"/>
      <c r="G340" s="1501"/>
      <c r="H340" s="1501"/>
      <c r="I340" s="1502"/>
      <c r="J340" s="618" t="s">
        <v>854</v>
      </c>
      <c r="K340" s="10"/>
      <c r="L340" s="10"/>
    </row>
    <row r="341" spans="2:12" ht="12.75" customHeight="1">
      <c r="B341" s="10"/>
      <c r="C341" s="1503" t="s">
        <v>59</v>
      </c>
      <c r="D341" s="1503"/>
      <c r="E341" s="1503"/>
      <c r="F341" s="1503"/>
      <c r="G341" s="1503"/>
      <c r="H341" s="1503"/>
      <c r="I341" s="1503"/>
      <c r="J341" s="618">
        <v>0</v>
      </c>
      <c r="K341" s="10"/>
      <c r="L341" s="10"/>
    </row>
    <row r="342" spans="2:12" ht="12.75" customHeight="1">
      <c r="B342" s="10"/>
      <c r="C342" s="1477" t="s">
        <v>192</v>
      </c>
      <c r="D342" s="1478"/>
      <c r="E342" s="1478"/>
      <c r="F342" s="1478"/>
      <c r="G342" s="1478"/>
      <c r="H342" s="1478"/>
      <c r="I342" s="1479"/>
      <c r="J342" s="618">
        <v>1</v>
      </c>
      <c r="K342" s="10"/>
      <c r="L342" s="10"/>
    </row>
    <row r="343" spans="2:12" ht="12.75" customHeight="1">
      <c r="B343" s="10"/>
      <c r="C343" s="1477" t="s">
        <v>855</v>
      </c>
      <c r="D343" s="1478"/>
      <c r="E343" s="1478"/>
      <c r="F343" s="1478"/>
      <c r="G343" s="1478"/>
      <c r="H343" s="1478"/>
      <c r="I343" s="1479"/>
      <c r="J343" s="618">
        <v>2</v>
      </c>
      <c r="K343" s="10"/>
      <c r="L343" s="10"/>
    </row>
    <row r="344" spans="2:12" ht="12.75" customHeight="1">
      <c r="B344" s="10"/>
      <c r="C344" s="1477" t="s">
        <v>856</v>
      </c>
      <c r="D344" s="1478"/>
      <c r="E344" s="1478"/>
      <c r="F344" s="1478"/>
      <c r="G344" s="1478"/>
      <c r="H344" s="1478"/>
      <c r="I344" s="1479"/>
      <c r="J344" s="618">
        <v>3</v>
      </c>
      <c r="K344" s="10"/>
      <c r="L344" s="10"/>
    </row>
    <row r="345" spans="2:12" ht="12.75" customHeight="1">
      <c r="B345" s="10"/>
      <c r="C345" s="1477" t="s">
        <v>857</v>
      </c>
      <c r="D345" s="1478"/>
      <c r="E345" s="1478"/>
      <c r="F345" s="1478"/>
      <c r="G345" s="1478"/>
      <c r="H345" s="1478"/>
      <c r="I345" s="1479"/>
      <c r="J345" s="618">
        <v>4</v>
      </c>
      <c r="K345" s="10"/>
      <c r="L345" s="10"/>
    </row>
    <row r="346" spans="2:12" ht="12.75" customHeight="1">
      <c r="B346" s="10"/>
      <c r="C346" s="607"/>
      <c r="D346" s="607"/>
      <c r="E346" s="607"/>
      <c r="F346" s="607"/>
      <c r="G346" s="607"/>
      <c r="H346" s="607"/>
      <c r="I346" s="607"/>
      <c r="J346" s="607"/>
      <c r="K346" s="607"/>
      <c r="L346" s="10"/>
    </row>
    <row r="347" spans="2:12" ht="12.75" customHeight="1">
      <c r="B347" s="10"/>
      <c r="C347" s="1477" t="s">
        <v>251</v>
      </c>
      <c r="D347" s="1478"/>
      <c r="E347" s="1478"/>
      <c r="F347" s="1478"/>
      <c r="G347" s="1478"/>
      <c r="H347" s="1478"/>
      <c r="I347" s="1479"/>
      <c r="J347" s="619">
        <f>PPE!I13</f>
        <v>3</v>
      </c>
      <c r="K347" s="108"/>
      <c r="L347" s="10"/>
    </row>
    <row r="348" spans="2:12" ht="12.75" customHeight="1">
      <c r="B348" s="10"/>
      <c r="C348" s="1504" t="s">
        <v>252</v>
      </c>
      <c r="D348" s="1505"/>
      <c r="E348" s="1505"/>
      <c r="F348" s="1505"/>
      <c r="G348" s="1505"/>
      <c r="H348" s="1505"/>
      <c r="I348" s="1506"/>
      <c r="J348" s="620">
        <f>PPE!I14</f>
        <v>33</v>
      </c>
      <c r="K348" s="108"/>
      <c r="L348" s="10"/>
    </row>
    <row r="349" spans="2:12" ht="12.75" customHeight="1">
      <c r="B349" s="10"/>
      <c r="C349" s="1504" t="s">
        <v>253</v>
      </c>
      <c r="D349" s="1505"/>
      <c r="E349" s="1505"/>
      <c r="F349" s="1505"/>
      <c r="G349" s="1505"/>
      <c r="H349" s="1505"/>
      <c r="I349" s="1506"/>
      <c r="J349" s="621">
        <f>PPE!I15</f>
        <v>13</v>
      </c>
      <c r="K349" s="108"/>
      <c r="L349" s="10"/>
    </row>
    <row r="350" spans="2:12" ht="12.75" customHeight="1">
      <c r="B350" s="10"/>
      <c r="C350" s="1489" t="s">
        <v>789</v>
      </c>
      <c r="D350" s="1489"/>
      <c r="E350" s="1489"/>
      <c r="F350" s="1489"/>
      <c r="G350" s="1489"/>
      <c r="H350" s="1489"/>
      <c r="I350" s="1489"/>
      <c r="J350" s="1489"/>
      <c r="K350" s="1489"/>
      <c r="L350" s="10"/>
    </row>
    <row r="351" spans="2:12" ht="12.75" customHeight="1">
      <c r="B351" s="10"/>
      <c r="C351" s="1489"/>
      <c r="D351" s="1489"/>
      <c r="E351" s="1489"/>
      <c r="F351" s="1489"/>
      <c r="G351" s="1489"/>
      <c r="H351" s="1489"/>
      <c r="I351" s="1489"/>
      <c r="J351" s="1489"/>
      <c r="K351" s="1489"/>
      <c r="L351" s="10"/>
    </row>
    <row r="352" spans="2:12" ht="12.75" customHeight="1">
      <c r="B352" s="10"/>
      <c r="C352" s="605"/>
      <c r="D352" s="10"/>
      <c r="E352" s="10"/>
      <c r="F352" s="10"/>
      <c r="G352" s="10"/>
      <c r="H352" s="10"/>
      <c r="I352" s="10"/>
      <c r="J352" s="10"/>
      <c r="K352" s="10"/>
      <c r="L352" s="10"/>
    </row>
    <row r="353" spans="2:12" ht="12.75" customHeight="1">
      <c r="B353" s="10"/>
      <c r="C353" s="605"/>
      <c r="D353" s="10"/>
      <c r="E353" s="10"/>
      <c r="F353" s="10"/>
      <c r="G353" s="10"/>
      <c r="H353" s="10"/>
      <c r="I353" s="10"/>
      <c r="J353" s="10"/>
      <c r="K353" s="10"/>
      <c r="L353" s="10"/>
    </row>
    <row r="354" spans="2:12" ht="12.75" customHeight="1">
      <c r="B354" s="10"/>
      <c r="C354" s="10"/>
      <c r="D354" s="10"/>
      <c r="E354" s="10"/>
      <c r="F354" s="10"/>
      <c r="G354" s="10"/>
      <c r="H354" s="10"/>
      <c r="I354" s="10"/>
      <c r="J354" s="10"/>
      <c r="K354" s="10"/>
      <c r="L354" s="10"/>
    </row>
    <row r="355" spans="2:12" ht="12.75" customHeight="1">
      <c r="B355" s="10"/>
      <c r="C355" s="605"/>
      <c r="D355" s="10"/>
      <c r="E355" s="10"/>
      <c r="F355" s="10"/>
      <c r="G355" s="10"/>
      <c r="H355" s="10"/>
      <c r="I355" s="10"/>
      <c r="J355" s="10"/>
      <c r="K355" s="10"/>
      <c r="L355" s="10"/>
    </row>
    <row r="356" spans="2:12" ht="12.75" customHeight="1">
      <c r="B356" s="10"/>
      <c r="C356" s="622"/>
      <c r="D356" s="10"/>
      <c r="E356" s="10"/>
      <c r="F356" s="10"/>
      <c r="G356" s="10"/>
      <c r="H356" s="10"/>
      <c r="I356" s="10"/>
      <c r="J356" s="10"/>
      <c r="K356" s="10"/>
      <c r="L356" s="10"/>
    </row>
    <row r="357" spans="2:12" ht="12.75" customHeight="1">
      <c r="B357" s="10"/>
      <c r="C357" s="622"/>
      <c r="D357" s="10"/>
      <c r="E357" s="10"/>
      <c r="F357" s="10"/>
      <c r="G357" s="10"/>
      <c r="H357" s="10"/>
      <c r="I357" s="10"/>
      <c r="J357" s="10"/>
      <c r="K357" s="10"/>
      <c r="L357" s="10"/>
    </row>
    <row r="358" spans="2:12" ht="12.75" customHeight="1">
      <c r="B358" s="10"/>
      <c r="C358" s="622"/>
      <c r="D358" s="10"/>
      <c r="E358" s="10"/>
      <c r="F358" s="10"/>
      <c r="G358" s="10"/>
      <c r="H358" s="10"/>
      <c r="I358" s="10"/>
      <c r="J358" s="10"/>
      <c r="K358" s="10"/>
      <c r="L358" s="10"/>
    </row>
    <row r="359" spans="2:12" ht="12.75" customHeight="1">
      <c r="B359" s="10"/>
      <c r="C359" s="622"/>
      <c r="D359" s="10"/>
      <c r="E359" s="10"/>
      <c r="F359" s="10"/>
      <c r="G359" s="10"/>
      <c r="H359" s="10"/>
      <c r="I359" s="10"/>
      <c r="J359" s="10"/>
      <c r="K359" s="10"/>
      <c r="L359" s="10"/>
    </row>
    <row r="360" spans="2:12" ht="12.75" customHeight="1">
      <c r="B360" s="10"/>
      <c r="C360" s="622"/>
      <c r="D360" s="10"/>
      <c r="E360" s="10"/>
      <c r="F360" s="10"/>
      <c r="G360" s="10"/>
      <c r="H360" s="10"/>
      <c r="I360" s="10"/>
      <c r="J360" s="10"/>
      <c r="K360" s="10"/>
      <c r="L360" s="10"/>
    </row>
    <row r="361" spans="2:12" ht="12.75" customHeight="1">
      <c r="B361" s="10"/>
      <c r="C361" s="622"/>
      <c r="D361" s="10"/>
      <c r="E361" s="10"/>
      <c r="F361" s="10"/>
      <c r="G361" s="10"/>
      <c r="H361" s="10"/>
      <c r="I361" s="10"/>
      <c r="J361" s="10"/>
      <c r="K361" s="10"/>
      <c r="L361" s="10"/>
    </row>
    <row r="362" spans="2:12" ht="12.75" customHeight="1">
      <c r="B362" s="10"/>
      <c r="C362" s="622"/>
      <c r="D362" s="10"/>
      <c r="E362" s="10"/>
      <c r="F362" s="10"/>
      <c r="G362" s="10"/>
      <c r="H362" s="10"/>
      <c r="I362" s="10"/>
      <c r="J362" s="10"/>
      <c r="K362" s="10"/>
      <c r="L362" s="10"/>
    </row>
    <row r="363" spans="2:12" ht="12.75" customHeight="1">
      <c r="B363" s="10"/>
      <c r="C363" s="622"/>
      <c r="D363" s="10"/>
      <c r="E363" s="10"/>
      <c r="F363" s="10"/>
      <c r="G363" s="10"/>
      <c r="H363" s="10"/>
      <c r="I363" s="10"/>
      <c r="J363" s="10"/>
      <c r="K363" s="10"/>
      <c r="L363" s="10"/>
    </row>
    <row r="364" spans="2:12" ht="12.75" customHeight="1">
      <c r="B364" s="10"/>
      <c r="C364" s="1489" t="s">
        <v>790</v>
      </c>
      <c r="D364" s="1489"/>
      <c r="E364" s="1489"/>
      <c r="F364" s="1489"/>
      <c r="G364" s="1489"/>
      <c r="H364" s="1489"/>
      <c r="I364" s="1489"/>
      <c r="J364" s="1489"/>
      <c r="K364" s="1489"/>
      <c r="L364" s="10"/>
    </row>
    <row r="365" spans="2:12" ht="12.75" customHeight="1">
      <c r="B365" s="10"/>
      <c r="C365" s="1489"/>
      <c r="D365" s="1489"/>
      <c r="E365" s="1489"/>
      <c r="F365" s="1489"/>
      <c r="G365" s="1489"/>
      <c r="H365" s="1489"/>
      <c r="I365" s="1489"/>
      <c r="J365" s="1489"/>
      <c r="K365" s="1489"/>
      <c r="L365" s="10"/>
    </row>
    <row r="366" spans="2:12" ht="12.75" customHeight="1">
      <c r="B366" s="10"/>
      <c r="C366" s="1463" t="s">
        <v>605</v>
      </c>
      <c r="D366" s="1463"/>
      <c r="E366" s="1463"/>
      <c r="F366" s="1463"/>
      <c r="G366" s="1463"/>
      <c r="H366" s="1463"/>
      <c r="I366" s="1463"/>
      <c r="J366" s="1463"/>
      <c r="K366" s="1463"/>
      <c r="L366" s="10"/>
    </row>
    <row r="367" spans="2:12" ht="12.75" customHeight="1">
      <c r="B367" s="10"/>
      <c r="C367" s="1463"/>
      <c r="D367" s="1463"/>
      <c r="E367" s="1463"/>
      <c r="F367" s="1463"/>
      <c r="G367" s="1463"/>
      <c r="H367" s="1463"/>
      <c r="I367" s="1463"/>
      <c r="J367" s="1463"/>
      <c r="K367" s="1463"/>
      <c r="L367" s="10"/>
    </row>
    <row r="368" spans="2:12" ht="12.75" customHeight="1">
      <c r="B368" s="10"/>
      <c r="C368" s="10"/>
      <c r="D368" s="10"/>
      <c r="E368" s="1471" t="s">
        <v>606</v>
      </c>
      <c r="F368" s="1471"/>
      <c r="G368" s="1471"/>
      <c r="H368" s="1471"/>
      <c r="I368" s="1471"/>
      <c r="J368" s="623"/>
      <c r="K368" s="623"/>
      <c r="L368" s="10"/>
    </row>
    <row r="369" spans="2:12" ht="12.75" customHeight="1">
      <c r="B369" s="10"/>
      <c r="C369" s="10"/>
      <c r="D369" s="10"/>
      <c r="E369" s="1472" t="s">
        <v>607</v>
      </c>
      <c r="F369" s="1472"/>
      <c r="G369" s="1472"/>
      <c r="H369" s="1472"/>
      <c r="I369" s="1472"/>
      <c r="J369" s="623"/>
      <c r="K369" s="623"/>
      <c r="L369" s="10"/>
    </row>
    <row r="370" spans="2:12" ht="12.75" customHeight="1">
      <c r="B370" s="10"/>
      <c r="C370" s="10"/>
      <c r="D370" s="10"/>
      <c r="E370" s="1480" t="s">
        <v>608</v>
      </c>
      <c r="F370" s="1480"/>
      <c r="G370" s="1480"/>
      <c r="H370" s="1480"/>
      <c r="I370" s="539">
        <f>'Prod Parameters'!F8</f>
        <v>23</v>
      </c>
      <c r="J370" s="10"/>
      <c r="K370" s="10"/>
      <c r="L370" s="10"/>
    </row>
    <row r="371" spans="2:12" ht="12.75" customHeight="1">
      <c r="B371" s="10"/>
      <c r="C371" s="10"/>
      <c r="D371" s="10"/>
      <c r="E371" s="1480" t="s">
        <v>609</v>
      </c>
      <c r="F371" s="1480"/>
      <c r="G371" s="1480"/>
      <c r="H371" s="1480"/>
      <c r="I371" s="539">
        <f>'Prod Parameters'!F9</f>
        <v>23</v>
      </c>
      <c r="J371" s="10"/>
      <c r="K371" s="10"/>
      <c r="L371" s="10"/>
    </row>
    <row r="372" spans="2:12" ht="12.75" customHeight="1">
      <c r="B372" s="10"/>
      <c r="C372" s="10"/>
      <c r="D372" s="10"/>
      <c r="E372" s="1551" t="s">
        <v>26</v>
      </c>
      <c r="F372" s="1552"/>
      <c r="G372" s="1552"/>
      <c r="H372" s="1553"/>
      <c r="I372" s="539">
        <f>'Prod Parameters'!F10</f>
        <v>6</v>
      </c>
      <c r="J372" s="10"/>
      <c r="K372" s="10"/>
      <c r="L372" s="10"/>
    </row>
    <row r="373" spans="2:12" ht="12.75" customHeight="1">
      <c r="B373" s="10"/>
      <c r="C373" s="10"/>
      <c r="D373" s="10"/>
      <c r="E373" s="1480" t="s">
        <v>610</v>
      </c>
      <c r="F373" s="1480"/>
      <c r="G373" s="1480"/>
      <c r="H373" s="1480"/>
      <c r="I373" s="539">
        <f>'Prod Parameters'!F11</f>
        <v>52</v>
      </c>
      <c r="J373" s="10"/>
      <c r="K373" s="10"/>
      <c r="L373" s="10"/>
    </row>
    <row r="374" spans="2:12" ht="12.75" customHeight="1">
      <c r="B374" s="10"/>
      <c r="C374" s="10"/>
      <c r="D374" s="10"/>
      <c r="E374" s="1480" t="s">
        <v>611</v>
      </c>
      <c r="F374" s="1480"/>
      <c r="G374" s="1480"/>
      <c r="H374" s="1480"/>
      <c r="I374" s="539">
        <f>'Prod Parameters'!F12</f>
        <v>260</v>
      </c>
      <c r="J374" s="10"/>
      <c r="K374" s="10"/>
      <c r="L374" s="10"/>
    </row>
    <row r="375" spans="2:12" ht="12.75" customHeight="1">
      <c r="B375" s="10"/>
      <c r="C375" s="10"/>
      <c r="D375" s="10"/>
      <c r="E375" s="1480" t="s">
        <v>612</v>
      </c>
      <c r="F375" s="1480"/>
      <c r="G375" s="1480"/>
      <c r="H375" s="1480"/>
      <c r="I375" s="539">
        <f>'Prod Parameters'!F13</f>
        <v>30</v>
      </c>
      <c r="J375" s="10"/>
      <c r="K375" s="10"/>
      <c r="L375" s="10"/>
    </row>
    <row r="376" spans="2:12" ht="12.75" customHeight="1">
      <c r="B376" s="10"/>
      <c r="C376" s="10"/>
      <c r="D376" s="10"/>
      <c r="E376" s="1480" t="s">
        <v>613</v>
      </c>
      <c r="F376" s="1480"/>
      <c r="G376" s="1480"/>
      <c r="H376" s="1480"/>
      <c r="I376" s="539">
        <f>'Prod Parameters'!F14</f>
        <v>230</v>
      </c>
      <c r="J376" s="10"/>
      <c r="K376" s="10"/>
      <c r="L376" s="10"/>
    </row>
    <row r="377" spans="2:12" ht="12.75" customHeight="1">
      <c r="B377" s="10"/>
      <c r="C377" s="10"/>
      <c r="D377" s="10"/>
      <c r="E377" s="624"/>
      <c r="F377" s="624"/>
      <c r="G377" s="624"/>
      <c r="H377" s="624"/>
      <c r="I377" s="625"/>
      <c r="J377" s="10"/>
      <c r="K377" s="10"/>
      <c r="L377" s="10"/>
    </row>
    <row r="378" spans="2:12" ht="12.75" customHeight="1">
      <c r="B378" s="10"/>
      <c r="C378" s="10"/>
      <c r="D378" s="10"/>
      <c r="E378" s="624"/>
      <c r="F378" s="624"/>
      <c r="G378" s="624"/>
      <c r="H378" s="624"/>
      <c r="I378" s="625"/>
      <c r="J378" s="10"/>
      <c r="K378" s="10"/>
      <c r="L378" s="10"/>
    </row>
    <row r="379" spans="2:12" ht="12.75" customHeight="1">
      <c r="B379" s="10"/>
      <c r="C379" s="10"/>
      <c r="D379" s="10"/>
      <c r="E379" s="1471" t="s">
        <v>614</v>
      </c>
      <c r="F379" s="1471"/>
      <c r="G379" s="1471"/>
      <c r="H379" s="1471"/>
      <c r="I379" s="1471"/>
      <c r="J379" s="623"/>
      <c r="K379" s="623"/>
      <c r="L379" s="10"/>
    </row>
    <row r="380" spans="2:12" ht="12.75" customHeight="1">
      <c r="B380" s="10"/>
      <c r="C380" s="10"/>
      <c r="D380" s="10"/>
      <c r="E380" s="1472" t="s">
        <v>19</v>
      </c>
      <c r="F380" s="1472"/>
      <c r="G380" s="1472"/>
      <c r="H380" s="1472"/>
      <c r="I380" s="1472"/>
      <c r="J380" s="623"/>
      <c r="K380" s="623"/>
      <c r="L380" s="10"/>
    </row>
    <row r="381" spans="2:12" ht="12.75" customHeight="1">
      <c r="B381" s="10"/>
      <c r="C381" s="10"/>
      <c r="D381" s="10"/>
      <c r="E381" s="1480" t="s">
        <v>314</v>
      </c>
      <c r="F381" s="1480"/>
      <c r="G381" s="1480"/>
      <c r="H381" s="1480"/>
      <c r="I381" s="539">
        <f>'Prod Parameters'!F17</f>
        <v>160</v>
      </c>
      <c r="J381" s="10"/>
      <c r="K381" s="10"/>
      <c r="L381" s="10"/>
    </row>
    <row r="382" spans="2:12" ht="12.75" customHeight="1">
      <c r="B382" s="10"/>
      <c r="C382" s="10"/>
      <c r="D382" s="10"/>
      <c r="E382" s="1480" t="s">
        <v>46</v>
      </c>
      <c r="F382" s="1480"/>
      <c r="G382" s="1480"/>
      <c r="H382" s="1480"/>
      <c r="I382" s="539">
        <f>'Prod Parameters'!F18</f>
        <v>1.2</v>
      </c>
      <c r="J382" s="10"/>
      <c r="K382" s="10"/>
      <c r="L382" s="10"/>
    </row>
    <row r="383" spans="2:12" ht="12.75" customHeight="1">
      <c r="B383" s="10"/>
      <c r="C383" s="10"/>
      <c r="D383" s="10"/>
      <c r="E383" s="1480" t="s">
        <v>47</v>
      </c>
      <c r="F383" s="1480"/>
      <c r="G383" s="1480"/>
      <c r="H383" s="1480"/>
      <c r="I383" s="539">
        <f>'Prod Parameters'!F19</f>
        <v>4</v>
      </c>
      <c r="J383" s="10"/>
      <c r="K383" s="10"/>
      <c r="L383" s="10"/>
    </row>
    <row r="384" spans="2:12" ht="12.75" customHeight="1">
      <c r="B384" s="10"/>
      <c r="C384" s="10"/>
      <c r="D384" s="10"/>
      <c r="E384" s="1480" t="s">
        <v>48</v>
      </c>
      <c r="F384" s="1480"/>
      <c r="G384" s="1480"/>
      <c r="H384" s="1480"/>
      <c r="I384" s="539">
        <f>'Prod Parameters'!F20</f>
        <v>40</v>
      </c>
      <c r="J384" s="10"/>
      <c r="K384" s="10"/>
      <c r="L384" s="10"/>
    </row>
    <row r="385" spans="2:12" ht="12.75" customHeight="1">
      <c r="B385" s="10"/>
      <c r="C385" s="10"/>
      <c r="D385" s="10"/>
      <c r="E385" s="1480" t="s">
        <v>49</v>
      </c>
      <c r="F385" s="1480"/>
      <c r="G385" s="1480"/>
      <c r="H385" s="1480"/>
      <c r="I385" s="539">
        <f>'Prod Parameters'!F21</f>
        <v>160</v>
      </c>
      <c r="J385" s="10"/>
      <c r="K385" s="10"/>
      <c r="L385" s="10"/>
    </row>
    <row r="386" spans="2:12" ht="12.75" customHeight="1">
      <c r="B386" s="10"/>
      <c r="C386" s="10"/>
      <c r="D386" s="10"/>
      <c r="E386" s="1480" t="s">
        <v>50</v>
      </c>
      <c r="F386" s="1480"/>
      <c r="G386" s="1480"/>
      <c r="H386" s="1480"/>
      <c r="I386" s="626">
        <f>'Prod Parameters'!F22</f>
        <v>6400</v>
      </c>
      <c r="J386" s="10"/>
      <c r="K386" s="10"/>
      <c r="L386" s="10"/>
    </row>
    <row r="387" spans="2:12" ht="12.75" customHeight="1">
      <c r="B387" s="10"/>
      <c r="C387" s="10"/>
      <c r="D387" s="10"/>
      <c r="E387" s="1480" t="s">
        <v>187</v>
      </c>
      <c r="F387" s="1480"/>
      <c r="G387" s="1480"/>
      <c r="H387" s="1480"/>
      <c r="I387" s="626">
        <f>'Prod Parameters'!F23</f>
        <v>7680</v>
      </c>
      <c r="J387" s="10"/>
      <c r="K387" s="10"/>
      <c r="L387" s="10"/>
    </row>
    <row r="388" spans="2:12" ht="12.75" customHeight="1">
      <c r="B388" s="10"/>
      <c r="C388" s="10"/>
      <c r="D388" s="10"/>
      <c r="E388" s="1480" t="s">
        <v>200</v>
      </c>
      <c r="F388" s="1480"/>
      <c r="G388" s="1480"/>
      <c r="H388" s="1480"/>
      <c r="I388" s="626">
        <f>'Prod Parameters'!F24</f>
        <v>176640</v>
      </c>
      <c r="J388" s="10"/>
      <c r="K388" s="10"/>
      <c r="L388" s="10"/>
    </row>
    <row r="389" spans="2:12" ht="12.75" customHeight="1">
      <c r="B389" s="10"/>
      <c r="C389" s="624"/>
      <c r="D389" s="624"/>
      <c r="E389" s="624"/>
      <c r="F389" s="624"/>
      <c r="G389" s="627"/>
      <c r="H389" s="10"/>
      <c r="I389" s="10"/>
      <c r="J389" s="10"/>
      <c r="K389" s="10"/>
      <c r="L389" s="10"/>
    </row>
    <row r="390" spans="2:12" ht="12.75" customHeight="1">
      <c r="B390" s="10"/>
      <c r="C390" s="1468" t="s">
        <v>791</v>
      </c>
      <c r="D390" s="1468"/>
      <c r="E390" s="1468"/>
      <c r="F390" s="1468"/>
      <c r="G390" s="1468"/>
      <c r="H390" s="1468"/>
      <c r="I390" s="1468"/>
      <c r="J390" s="1468"/>
      <c r="K390" s="1468"/>
      <c r="L390" s="10"/>
    </row>
    <row r="391" spans="2:12" ht="12.75" customHeight="1">
      <c r="B391" s="10"/>
      <c r="C391" s="615"/>
      <c r="D391" s="615"/>
      <c r="E391" s="615"/>
      <c r="F391" s="615"/>
      <c r="G391" s="615"/>
      <c r="H391" s="615"/>
      <c r="I391" s="615"/>
      <c r="J391" s="615"/>
      <c r="K391" s="615"/>
      <c r="L391" s="10"/>
    </row>
    <row r="392" spans="2:12" ht="12.75" customHeight="1">
      <c r="B392" s="10"/>
      <c r="C392" s="1463" t="s">
        <v>51</v>
      </c>
      <c r="D392" s="1463"/>
      <c r="E392" s="1463"/>
      <c r="F392" s="1463"/>
      <c r="G392" s="1463"/>
      <c r="H392" s="1463"/>
      <c r="I392" s="1463"/>
      <c r="J392" s="1463"/>
      <c r="K392" s="1463"/>
      <c r="L392" s="10"/>
    </row>
    <row r="393" spans="2:12" ht="12.75" customHeight="1">
      <c r="B393" s="10"/>
      <c r="C393" s="607"/>
      <c r="D393" s="607"/>
      <c r="E393" s="607"/>
      <c r="F393" s="607"/>
      <c r="G393" s="607"/>
      <c r="H393" s="607"/>
      <c r="I393" s="607"/>
      <c r="J393" s="607"/>
      <c r="K393" s="607"/>
      <c r="L393" s="10"/>
    </row>
    <row r="394" spans="2:12" ht="12.75" customHeight="1">
      <c r="B394" s="10"/>
      <c r="C394" s="1468" t="s">
        <v>52</v>
      </c>
      <c r="D394" s="1468"/>
      <c r="E394" s="1468"/>
      <c r="F394" s="1468"/>
      <c r="G394" s="1468"/>
      <c r="H394" s="1468"/>
      <c r="I394" s="1468"/>
      <c r="J394" s="1468"/>
      <c r="K394" s="1468"/>
      <c r="L394" s="10"/>
    </row>
    <row r="395" spans="2:12" ht="12.75" customHeight="1">
      <c r="B395" s="10"/>
      <c r="C395" s="615"/>
      <c r="D395" s="615"/>
      <c r="E395" s="615"/>
      <c r="F395" s="615"/>
      <c r="G395" s="615"/>
      <c r="H395" s="615"/>
      <c r="I395" s="615"/>
      <c r="J395" s="615"/>
      <c r="K395" s="615"/>
      <c r="L395" s="10"/>
    </row>
    <row r="396" spans="2:12" ht="12.75" customHeight="1">
      <c r="B396" s="10"/>
      <c r="C396" s="1463" t="s">
        <v>36</v>
      </c>
      <c r="D396" s="1463"/>
      <c r="E396" s="1463"/>
      <c r="F396" s="1463"/>
      <c r="G396" s="1463"/>
      <c r="H396" s="1463"/>
      <c r="I396" s="1463"/>
      <c r="J396" s="1463"/>
      <c r="K396" s="1463"/>
      <c r="L396" s="10"/>
    </row>
    <row r="397" spans="2:12" ht="12.75" customHeight="1">
      <c r="B397" s="10"/>
      <c r="C397" s="1463" t="s">
        <v>53</v>
      </c>
      <c r="D397" s="1463"/>
      <c r="E397" s="1463"/>
      <c r="F397" s="1463"/>
      <c r="G397" s="1463"/>
      <c r="H397" s="1463"/>
      <c r="I397" s="1463"/>
      <c r="J397" s="1463"/>
      <c r="K397" s="1463"/>
      <c r="L397" s="10"/>
    </row>
    <row r="398" spans="2:12" ht="12.75" customHeight="1">
      <c r="B398" s="10"/>
      <c r="C398" s="607"/>
      <c r="D398" s="607"/>
      <c r="E398" s="607"/>
      <c r="F398" s="607"/>
      <c r="G398" s="607"/>
      <c r="H398" s="607"/>
      <c r="I398" s="607"/>
      <c r="J398" s="607"/>
      <c r="K398" s="607"/>
      <c r="L398" s="10"/>
    </row>
    <row r="399" spans="2:12" ht="12.75" customHeight="1">
      <c r="B399" s="10"/>
      <c r="C399" s="1463" t="s">
        <v>54</v>
      </c>
      <c r="D399" s="1463"/>
      <c r="E399" s="1463"/>
      <c r="F399" s="1463"/>
      <c r="G399" s="1463"/>
      <c r="H399" s="1463"/>
      <c r="I399" s="1463"/>
      <c r="J399" s="1463"/>
      <c r="K399" s="1463"/>
      <c r="L399" s="10"/>
    </row>
    <row r="400" spans="2:12" ht="12.75" customHeight="1">
      <c r="B400" s="10"/>
      <c r="C400" s="1463" t="s">
        <v>616</v>
      </c>
      <c r="D400" s="1463"/>
      <c r="E400" s="1463"/>
      <c r="F400" s="1463"/>
      <c r="G400" s="1463"/>
      <c r="H400" s="1463"/>
      <c r="I400" s="1463"/>
      <c r="J400" s="1463"/>
      <c r="K400" s="1463"/>
      <c r="L400" s="10"/>
    </row>
    <row r="401" spans="2:12" ht="12.75" customHeight="1">
      <c r="B401" s="10"/>
      <c r="C401" s="1463"/>
      <c r="D401" s="1463"/>
      <c r="E401" s="1463"/>
      <c r="F401" s="1463"/>
      <c r="G401" s="1463"/>
      <c r="H401" s="1463"/>
      <c r="I401" s="1463"/>
      <c r="J401" s="1463"/>
      <c r="K401" s="1463"/>
      <c r="L401" s="10"/>
    </row>
    <row r="402" spans="2:12" ht="12.75" customHeight="1">
      <c r="B402" s="10"/>
      <c r="C402" s="607"/>
      <c r="D402" s="607"/>
      <c r="E402" s="607"/>
      <c r="F402" s="607"/>
      <c r="G402" s="607"/>
      <c r="H402" s="607"/>
      <c r="I402" s="607"/>
      <c r="J402" s="607"/>
      <c r="K402" s="607"/>
      <c r="L402" s="10"/>
    </row>
    <row r="403" spans="2:12" ht="12.75" customHeight="1">
      <c r="B403" s="10"/>
      <c r="C403" s="1490" t="s">
        <v>617</v>
      </c>
      <c r="D403" s="1490"/>
      <c r="E403" s="1490"/>
      <c r="F403" s="1490"/>
      <c r="G403" s="1490"/>
      <c r="H403" s="1490"/>
      <c r="I403" s="1490"/>
      <c r="J403" s="1490"/>
      <c r="K403" s="148"/>
      <c r="L403" s="10"/>
    </row>
    <row r="404" spans="2:12" ht="12.75" customHeight="1">
      <c r="B404" s="10"/>
      <c r="C404" s="1507" t="s">
        <v>618</v>
      </c>
      <c r="D404" s="1507"/>
      <c r="E404" s="1507"/>
      <c r="F404" s="1507"/>
      <c r="G404" s="1507"/>
      <c r="H404" s="1507" t="s">
        <v>619</v>
      </c>
      <c r="I404" s="1507"/>
      <c r="J404" s="1507"/>
      <c r="K404" s="10"/>
      <c r="L404" s="10"/>
    </row>
    <row r="405" spans="2:12" ht="12.75" customHeight="1">
      <c r="B405" s="10"/>
      <c r="C405" s="1507" t="s">
        <v>620</v>
      </c>
      <c r="D405" s="1507"/>
      <c r="E405" s="1507"/>
      <c r="F405" s="1507"/>
      <c r="G405" s="1507"/>
      <c r="H405" s="1507" t="s">
        <v>407</v>
      </c>
      <c r="I405" s="1507"/>
      <c r="J405" s="1507"/>
      <c r="K405" s="10"/>
      <c r="L405" s="10"/>
    </row>
    <row r="406" spans="2:12" ht="12.75" customHeight="1">
      <c r="B406" s="10"/>
      <c r="C406" s="1507" t="s">
        <v>621</v>
      </c>
      <c r="D406" s="1507"/>
      <c r="E406" s="1507"/>
      <c r="F406" s="1507"/>
      <c r="G406" s="1507"/>
      <c r="H406" s="1507" t="s">
        <v>622</v>
      </c>
      <c r="I406" s="1507"/>
      <c r="J406" s="1507"/>
      <c r="K406" s="10"/>
      <c r="L406" s="10"/>
    </row>
    <row r="407" spans="2:12" ht="12.75" customHeight="1">
      <c r="B407" s="10"/>
      <c r="C407" s="1507" t="s">
        <v>623</v>
      </c>
      <c r="D407" s="1507"/>
      <c r="E407" s="1507"/>
      <c r="F407" s="1507"/>
      <c r="G407" s="1507"/>
      <c r="H407" s="1507" t="s">
        <v>409</v>
      </c>
      <c r="I407" s="1507"/>
      <c r="J407" s="1507"/>
      <c r="K407" s="10"/>
      <c r="L407" s="10"/>
    </row>
    <row r="408" spans="2:12" ht="12.75" customHeight="1">
      <c r="B408" s="10"/>
      <c r="C408" s="1507" t="s">
        <v>624</v>
      </c>
      <c r="D408" s="1507"/>
      <c r="E408" s="1507"/>
      <c r="F408" s="1507"/>
      <c r="G408" s="1507"/>
      <c r="H408" s="1508"/>
      <c r="I408" s="1508"/>
      <c r="J408" s="1508"/>
      <c r="K408" s="10"/>
      <c r="L408" s="10"/>
    </row>
    <row r="409" spans="2:12" ht="12.75" customHeight="1">
      <c r="B409" s="10"/>
      <c r="C409" s="1507" t="s">
        <v>625</v>
      </c>
      <c r="D409" s="1507"/>
      <c r="E409" s="1507"/>
      <c r="F409" s="1507"/>
      <c r="G409" s="1507"/>
      <c r="H409" s="1507" t="s">
        <v>626</v>
      </c>
      <c r="I409" s="1507"/>
      <c r="J409" s="1507"/>
      <c r="K409" s="10"/>
      <c r="L409" s="10"/>
    </row>
    <row r="410" spans="2:12" ht="12.75" customHeight="1">
      <c r="B410" s="10"/>
      <c r="C410" s="1507" t="s">
        <v>627</v>
      </c>
      <c r="D410" s="1507"/>
      <c r="E410" s="1507"/>
      <c r="F410" s="1507"/>
      <c r="G410" s="1507"/>
      <c r="H410" s="1507" t="s">
        <v>411</v>
      </c>
      <c r="I410" s="1507"/>
      <c r="J410" s="1507"/>
      <c r="K410" s="10"/>
      <c r="L410" s="10"/>
    </row>
    <row r="411" spans="2:12" ht="12.75" customHeight="1">
      <c r="B411" s="10"/>
      <c r="C411" s="1507" t="s">
        <v>628</v>
      </c>
      <c r="D411" s="1507"/>
      <c r="E411" s="1507"/>
      <c r="F411" s="1507"/>
      <c r="G411" s="1507"/>
      <c r="H411" s="1507" t="s">
        <v>629</v>
      </c>
      <c r="I411" s="1507"/>
      <c r="J411" s="1507"/>
      <c r="K411" s="10"/>
      <c r="L411" s="10"/>
    </row>
    <row r="412" spans="2:12" ht="12.75" customHeight="1">
      <c r="B412" s="10"/>
      <c r="C412" s="1507" t="s">
        <v>630</v>
      </c>
      <c r="D412" s="1507"/>
      <c r="E412" s="1507"/>
      <c r="F412" s="1507"/>
      <c r="G412" s="1507"/>
      <c r="H412" s="1508"/>
      <c r="I412" s="1508"/>
      <c r="J412" s="1508"/>
      <c r="K412" s="10"/>
      <c r="L412" s="10"/>
    </row>
    <row r="413" spans="2:12" ht="12.75" customHeight="1">
      <c r="B413" s="10"/>
      <c r="C413" s="1507" t="s">
        <v>625</v>
      </c>
      <c r="D413" s="1507"/>
      <c r="E413" s="1507"/>
      <c r="F413" s="1507"/>
      <c r="G413" s="1507"/>
      <c r="H413" s="1507" t="s">
        <v>631</v>
      </c>
      <c r="I413" s="1507"/>
      <c r="J413" s="1507"/>
      <c r="K413" s="10"/>
      <c r="L413" s="10"/>
    </row>
    <row r="414" spans="2:12" ht="12.75" customHeight="1">
      <c r="B414" s="10"/>
      <c r="C414" s="1507" t="s">
        <v>627</v>
      </c>
      <c r="D414" s="1507"/>
      <c r="E414" s="1507"/>
      <c r="F414" s="1507"/>
      <c r="G414" s="1507"/>
      <c r="H414" s="1507" t="s">
        <v>414</v>
      </c>
      <c r="I414" s="1507"/>
      <c r="J414" s="1507"/>
      <c r="K414" s="10"/>
      <c r="L414" s="10"/>
    </row>
    <row r="415" spans="2:12" ht="12.75" customHeight="1">
      <c r="B415" s="10"/>
      <c r="C415" s="1507" t="s">
        <v>632</v>
      </c>
      <c r="D415" s="1507"/>
      <c r="E415" s="1507"/>
      <c r="F415" s="1507"/>
      <c r="G415" s="1507"/>
      <c r="H415" s="1507" t="s">
        <v>633</v>
      </c>
      <c r="I415" s="1507"/>
      <c r="J415" s="1507"/>
      <c r="K415" s="10"/>
      <c r="L415" s="10"/>
    </row>
    <row r="416" spans="2:12" ht="12.75" customHeight="1">
      <c r="B416" s="10"/>
      <c r="C416" s="1507" t="s">
        <v>634</v>
      </c>
      <c r="D416" s="1507"/>
      <c r="E416" s="1507"/>
      <c r="F416" s="1507"/>
      <c r="G416" s="1507"/>
      <c r="H416" s="1507" t="s">
        <v>416</v>
      </c>
      <c r="I416" s="1507"/>
      <c r="J416" s="1507"/>
      <c r="K416" s="10"/>
      <c r="L416" s="10"/>
    </row>
    <row r="417" spans="2:12" ht="12.75" customHeight="1">
      <c r="B417" s="10"/>
      <c r="C417" s="1507" t="s">
        <v>635</v>
      </c>
      <c r="D417" s="1507"/>
      <c r="E417" s="1507"/>
      <c r="F417" s="1507"/>
      <c r="G417" s="1507"/>
      <c r="H417" s="1507" t="s">
        <v>417</v>
      </c>
      <c r="I417" s="1507"/>
      <c r="J417" s="1507"/>
      <c r="K417" s="10"/>
      <c r="L417" s="10"/>
    </row>
    <row r="418" spans="2:12" ht="12.75" customHeight="1">
      <c r="B418" s="10"/>
      <c r="C418" s="1507" t="s">
        <v>636</v>
      </c>
      <c r="D418" s="1507"/>
      <c r="E418" s="1507"/>
      <c r="F418" s="1507"/>
      <c r="G418" s="1507"/>
      <c r="H418" s="1507" t="s">
        <v>637</v>
      </c>
      <c r="I418" s="1507"/>
      <c r="J418" s="1507"/>
      <c r="K418" s="10"/>
      <c r="L418" s="10"/>
    </row>
    <row r="419" spans="2:12" ht="12.75" customHeight="1">
      <c r="B419" s="10"/>
      <c r="C419" s="1507" t="s">
        <v>638</v>
      </c>
      <c r="D419" s="1507"/>
      <c r="E419" s="1507"/>
      <c r="F419" s="1507"/>
      <c r="G419" s="1507"/>
      <c r="H419" s="1507" t="s">
        <v>176</v>
      </c>
      <c r="I419" s="1507"/>
      <c r="J419" s="1507"/>
      <c r="K419" s="10"/>
      <c r="L419" s="10"/>
    </row>
    <row r="420" spans="2:12" ht="12.75" customHeight="1">
      <c r="B420" s="10"/>
      <c r="C420" s="1507" t="s">
        <v>639</v>
      </c>
      <c r="D420" s="1507"/>
      <c r="E420" s="1507"/>
      <c r="F420" s="1507"/>
      <c r="G420" s="1507"/>
      <c r="H420" s="1507" t="s">
        <v>640</v>
      </c>
      <c r="I420" s="1507"/>
      <c r="J420" s="1507"/>
      <c r="K420" s="10"/>
      <c r="L420" s="10"/>
    </row>
    <row r="421" spans="2:12" ht="12.75" customHeight="1">
      <c r="B421" s="10"/>
      <c r="C421" s="1507" t="s">
        <v>641</v>
      </c>
      <c r="D421" s="1507"/>
      <c r="E421" s="1507"/>
      <c r="F421" s="1507"/>
      <c r="G421" s="1507"/>
      <c r="H421" s="1507" t="s">
        <v>642</v>
      </c>
      <c r="I421" s="1507"/>
      <c r="J421" s="1507"/>
      <c r="K421" s="10"/>
      <c r="L421" s="10"/>
    </row>
    <row r="422" spans="2:12" ht="12.75" customHeight="1">
      <c r="B422" s="10"/>
      <c r="C422" s="1507" t="s">
        <v>643</v>
      </c>
      <c r="D422" s="1507"/>
      <c r="E422" s="1507"/>
      <c r="F422" s="1507"/>
      <c r="G422" s="1507"/>
      <c r="H422" s="1507" t="s">
        <v>171</v>
      </c>
      <c r="I422" s="1507"/>
      <c r="J422" s="1507"/>
      <c r="K422" s="10"/>
      <c r="L422" s="10"/>
    </row>
    <row r="423" spans="2:12" ht="12.75" customHeight="1">
      <c r="B423" s="10"/>
      <c r="C423" s="10"/>
      <c r="D423" s="10"/>
      <c r="E423" s="10"/>
      <c r="F423" s="10"/>
      <c r="G423" s="10"/>
      <c r="H423" s="1507" t="s">
        <v>644</v>
      </c>
      <c r="I423" s="1507"/>
      <c r="J423" s="1507"/>
      <c r="K423" s="10"/>
      <c r="L423" s="10"/>
    </row>
    <row r="424" spans="2:12" ht="12.75" customHeight="1">
      <c r="B424" s="10"/>
      <c r="C424" s="1239" t="s">
        <v>821</v>
      </c>
      <c r="D424" s="1239"/>
      <c r="E424" s="1239"/>
      <c r="F424" s="1239"/>
      <c r="G424" s="1239"/>
      <c r="H424" s="1239"/>
      <c r="I424" s="1239"/>
      <c r="J424" s="1239"/>
      <c r="K424" s="1239"/>
      <c r="L424" s="10"/>
    </row>
    <row r="425" spans="2:12" ht="12.75" customHeight="1">
      <c r="B425" s="10"/>
      <c r="C425" s="1441" t="s">
        <v>645</v>
      </c>
      <c r="D425" s="1441"/>
      <c r="E425" s="1441" t="s">
        <v>646</v>
      </c>
      <c r="F425" s="1441"/>
      <c r="G425" s="1441"/>
      <c r="H425" s="1441"/>
      <c r="I425" s="1441"/>
      <c r="J425" s="1441"/>
      <c r="K425" s="1441"/>
      <c r="L425" s="10"/>
    </row>
    <row r="426" spans="2:12" ht="12.75" customHeight="1">
      <c r="B426" s="10"/>
      <c r="C426" s="1441" t="s">
        <v>647</v>
      </c>
      <c r="D426" s="1441"/>
      <c r="E426" s="1441" t="s">
        <v>648</v>
      </c>
      <c r="F426" s="1441"/>
      <c r="G426" s="1441"/>
      <c r="H426" s="1441"/>
      <c r="I426" s="1441"/>
      <c r="J426" s="1441"/>
      <c r="K426" s="1441"/>
      <c r="L426" s="10"/>
    </row>
    <row r="427" spans="2:12" ht="12.75" customHeight="1">
      <c r="B427" s="10"/>
      <c r="C427" s="1468" t="s">
        <v>649</v>
      </c>
      <c r="D427" s="1468"/>
      <c r="E427" s="1468"/>
      <c r="F427" s="1468"/>
      <c r="G427" s="1468"/>
      <c r="H427" s="1468"/>
      <c r="I427" s="1468"/>
      <c r="J427" s="1468"/>
      <c r="K427" s="1468"/>
      <c r="L427" s="10"/>
    </row>
    <row r="428" spans="2:12" ht="12.75" customHeight="1">
      <c r="B428" s="10"/>
      <c r="C428" s="1468"/>
      <c r="D428" s="1468"/>
      <c r="E428" s="1468"/>
      <c r="F428" s="1468"/>
      <c r="G428" s="1468"/>
      <c r="H428" s="1468"/>
      <c r="I428" s="1468"/>
      <c r="J428" s="1468"/>
      <c r="K428" s="1468"/>
      <c r="L428" s="10"/>
    </row>
    <row r="429" spans="2:12" ht="12.75" customHeight="1">
      <c r="B429" s="10"/>
      <c r="C429" s="1463" t="s">
        <v>338</v>
      </c>
      <c r="D429" s="1463"/>
      <c r="E429" s="1463"/>
      <c r="F429" s="1463"/>
      <c r="G429" s="1463"/>
      <c r="H429" s="1463"/>
      <c r="I429" s="1463"/>
      <c r="J429" s="1463"/>
      <c r="K429" s="1463"/>
      <c r="L429" s="10"/>
    </row>
    <row r="430" spans="2:12" ht="12.75" customHeight="1">
      <c r="B430" s="10"/>
      <c r="C430" s="1463"/>
      <c r="D430" s="1463"/>
      <c r="E430" s="1463"/>
      <c r="F430" s="1463"/>
      <c r="G430" s="1463"/>
      <c r="H430" s="1463"/>
      <c r="I430" s="1463"/>
      <c r="J430" s="1463"/>
      <c r="K430" s="1463"/>
      <c r="L430" s="10"/>
    </row>
    <row r="431" spans="2:12" ht="12.75" customHeight="1">
      <c r="B431" s="10"/>
      <c r="C431" s="1463"/>
      <c r="D431" s="1463"/>
      <c r="E431" s="1463"/>
      <c r="F431" s="1463"/>
      <c r="G431" s="1463"/>
      <c r="H431" s="1463"/>
      <c r="I431" s="1463"/>
      <c r="J431" s="1463"/>
      <c r="K431" s="1463"/>
      <c r="L431" s="10"/>
    </row>
    <row r="432" spans="2:12" ht="12.75" customHeight="1">
      <c r="B432" s="10"/>
      <c r="C432" s="1463"/>
      <c r="D432" s="1463"/>
      <c r="E432" s="1463"/>
      <c r="F432" s="1463"/>
      <c r="G432" s="1463"/>
      <c r="H432" s="1463"/>
      <c r="I432" s="1463"/>
      <c r="J432" s="1463"/>
      <c r="K432" s="1463"/>
      <c r="L432" s="10"/>
    </row>
    <row r="433" spans="2:12" ht="12.75" customHeight="1">
      <c r="B433" s="10"/>
      <c r="C433" s="607"/>
      <c r="D433" s="607"/>
      <c r="E433" s="607"/>
      <c r="F433" s="607"/>
      <c r="G433" s="607"/>
      <c r="H433" s="607"/>
      <c r="I433" s="607"/>
      <c r="J433" s="607"/>
      <c r="K433" s="607"/>
      <c r="L433" s="10"/>
    </row>
    <row r="434" spans="2:12" ht="12.75" customHeight="1">
      <c r="B434" s="10"/>
      <c r="C434" s="1509" t="s">
        <v>821</v>
      </c>
      <c r="D434" s="1509"/>
      <c r="E434" s="1509"/>
      <c r="F434" s="1509"/>
      <c r="G434" s="1509"/>
      <c r="H434" s="1509"/>
      <c r="I434" s="1509"/>
      <c r="J434" s="1509"/>
      <c r="K434" s="1509"/>
      <c r="L434" s="10"/>
    </row>
    <row r="435" spans="2:12" ht="12.75" customHeight="1">
      <c r="B435" s="10"/>
      <c r="C435" s="1441" t="s">
        <v>650</v>
      </c>
      <c r="D435" s="1441"/>
      <c r="E435" s="1441" t="s">
        <v>651</v>
      </c>
      <c r="F435" s="1441"/>
      <c r="G435" s="1441"/>
      <c r="H435" s="1441"/>
      <c r="I435" s="1441"/>
      <c r="J435" s="1441"/>
      <c r="K435" s="1441"/>
      <c r="L435" s="10"/>
    </row>
    <row r="436" spans="2:12" ht="12.75" customHeight="1">
      <c r="B436" s="10"/>
      <c r="C436" s="1441" t="s">
        <v>652</v>
      </c>
      <c r="D436" s="1441"/>
      <c r="E436" s="1441" t="s">
        <v>653</v>
      </c>
      <c r="F436" s="1441"/>
      <c r="G436" s="1441"/>
      <c r="H436" s="1441"/>
      <c r="I436" s="1441"/>
      <c r="J436" s="1441"/>
      <c r="K436" s="1441"/>
      <c r="L436" s="10"/>
    </row>
    <row r="437" spans="2:12" ht="12.75" customHeight="1">
      <c r="B437" s="10"/>
      <c r="C437" s="628"/>
      <c r="D437" s="628"/>
      <c r="E437" s="628"/>
      <c r="F437" s="628"/>
      <c r="G437" s="628"/>
      <c r="H437" s="628"/>
      <c r="I437" s="628"/>
      <c r="J437" s="628"/>
      <c r="K437" s="628"/>
      <c r="L437" s="10"/>
    </row>
    <row r="438" spans="2:12" ht="12.75" customHeight="1">
      <c r="B438" s="10"/>
      <c r="C438" s="628"/>
      <c r="D438" s="628"/>
      <c r="E438" s="628"/>
      <c r="F438" s="628"/>
      <c r="G438" s="628"/>
      <c r="H438" s="628"/>
      <c r="I438" s="628"/>
      <c r="J438" s="628"/>
      <c r="K438" s="628"/>
      <c r="L438" s="10"/>
    </row>
    <row r="439" spans="2:12" ht="12.75" customHeight="1">
      <c r="B439" s="10"/>
      <c r="C439" s="628"/>
      <c r="D439" s="628"/>
      <c r="E439" s="628"/>
      <c r="F439" s="628"/>
      <c r="G439" s="628"/>
      <c r="H439" s="628"/>
      <c r="I439" s="628"/>
      <c r="J439" s="628"/>
      <c r="K439" s="628"/>
      <c r="L439" s="10"/>
    </row>
    <row r="440" spans="2:12" ht="12.75" customHeight="1">
      <c r="B440" s="10"/>
      <c r="C440" s="628"/>
      <c r="D440" s="628"/>
      <c r="E440" s="628"/>
      <c r="F440" s="628"/>
      <c r="G440" s="628"/>
      <c r="H440" s="628"/>
      <c r="I440" s="628"/>
      <c r="J440" s="628"/>
      <c r="K440" s="628"/>
      <c r="L440" s="10"/>
    </row>
    <row r="441" spans="2:12" ht="12.75" customHeight="1">
      <c r="B441" s="10"/>
      <c r="C441" s="1468" t="s">
        <v>654</v>
      </c>
      <c r="D441" s="1468"/>
      <c r="E441" s="1468"/>
      <c r="F441" s="1468"/>
      <c r="G441" s="1468"/>
      <c r="H441" s="1468"/>
      <c r="I441" s="1468"/>
      <c r="J441" s="1468"/>
      <c r="K441" s="1468"/>
      <c r="L441" s="10"/>
    </row>
    <row r="442" spans="2:12" ht="12.75" customHeight="1">
      <c r="B442" s="10"/>
      <c r="C442" s="1468"/>
      <c r="D442" s="1468"/>
      <c r="E442" s="1468"/>
      <c r="F442" s="1468"/>
      <c r="G442" s="1468"/>
      <c r="H442" s="1468"/>
      <c r="I442" s="1468"/>
      <c r="J442" s="1468"/>
      <c r="K442" s="1468"/>
      <c r="L442" s="10"/>
    </row>
    <row r="443" spans="2:12" ht="12.75" customHeight="1">
      <c r="B443" s="10"/>
      <c r="C443" s="1463" t="s">
        <v>327</v>
      </c>
      <c r="D443" s="1463"/>
      <c r="E443" s="1463"/>
      <c r="F443" s="1463"/>
      <c r="G443" s="1463"/>
      <c r="H443" s="1463"/>
      <c r="I443" s="1463"/>
      <c r="J443" s="1463"/>
      <c r="K443" s="1463"/>
      <c r="L443" s="10"/>
    </row>
    <row r="444" spans="2:12" ht="12.75" customHeight="1">
      <c r="B444" s="10"/>
      <c r="C444" s="1463"/>
      <c r="D444" s="1463"/>
      <c r="E444" s="1463"/>
      <c r="F444" s="1463"/>
      <c r="G444" s="1463"/>
      <c r="H444" s="1463"/>
      <c r="I444" s="1463"/>
      <c r="J444" s="1463"/>
      <c r="K444" s="1463"/>
      <c r="L444" s="10"/>
    </row>
    <row r="445" spans="2:12" ht="12.75" customHeight="1">
      <c r="B445" s="10"/>
      <c r="C445" s="1463"/>
      <c r="D445" s="1463"/>
      <c r="E445" s="1463"/>
      <c r="F445" s="1463"/>
      <c r="G445" s="1463"/>
      <c r="H445" s="1463"/>
      <c r="I445" s="1463"/>
      <c r="J445" s="1463"/>
      <c r="K445" s="1463"/>
      <c r="L445" s="10"/>
    </row>
    <row r="446" spans="2:12" ht="12.75" customHeight="1">
      <c r="B446" s="10"/>
      <c r="C446" s="1463"/>
      <c r="D446" s="1463"/>
      <c r="E446" s="1463"/>
      <c r="F446" s="1463"/>
      <c r="G446" s="1463"/>
      <c r="H446" s="1463"/>
      <c r="I446" s="1463"/>
      <c r="J446" s="1463"/>
      <c r="K446" s="1463"/>
      <c r="L446" s="10"/>
    </row>
    <row r="447" spans="2:12" ht="12.75" customHeight="1">
      <c r="B447" s="10"/>
      <c r="C447" s="1463"/>
      <c r="D447" s="1463"/>
      <c r="E447" s="1463"/>
      <c r="F447" s="1463"/>
      <c r="G447" s="1463"/>
      <c r="H447" s="1463"/>
      <c r="I447" s="1463"/>
      <c r="J447" s="1463"/>
      <c r="K447" s="1463"/>
      <c r="L447" s="10"/>
    </row>
    <row r="448" spans="2:12" ht="12.75" customHeight="1">
      <c r="B448" s="10"/>
      <c r="C448" s="607"/>
      <c r="D448" s="607"/>
      <c r="E448" s="607"/>
      <c r="F448" s="607"/>
      <c r="G448" s="607"/>
      <c r="H448" s="607"/>
      <c r="I448" s="607"/>
      <c r="J448" s="607"/>
      <c r="K448" s="607"/>
      <c r="L448" s="10"/>
    </row>
    <row r="449" spans="2:12" ht="12.75" customHeight="1">
      <c r="B449" s="10"/>
      <c r="C449" s="1509" t="s">
        <v>821</v>
      </c>
      <c r="D449" s="1509"/>
      <c r="E449" s="1509"/>
      <c r="F449" s="1509"/>
      <c r="G449" s="1509"/>
      <c r="H449" s="1509"/>
      <c r="I449" s="1509"/>
      <c r="J449" s="1509"/>
      <c r="K449" s="1509"/>
      <c r="L449" s="10"/>
    </row>
    <row r="450" spans="2:12" ht="12.75" customHeight="1">
      <c r="B450" s="10"/>
      <c r="C450" s="1509"/>
      <c r="D450" s="1509"/>
      <c r="E450" s="1509"/>
      <c r="F450" s="1509"/>
      <c r="G450" s="1509"/>
      <c r="H450" s="1509"/>
      <c r="I450" s="1509"/>
      <c r="J450" s="1509"/>
      <c r="K450" s="1509"/>
      <c r="L450" s="10"/>
    </row>
    <row r="451" spans="2:12" ht="12.75" customHeight="1">
      <c r="B451" s="10"/>
      <c r="C451" s="1441" t="s">
        <v>655</v>
      </c>
      <c r="D451" s="1441"/>
      <c r="E451" s="1441" t="s">
        <v>656</v>
      </c>
      <c r="F451" s="1441"/>
      <c r="G451" s="1441"/>
      <c r="H451" s="1441"/>
      <c r="I451" s="1441"/>
      <c r="J451" s="1441"/>
      <c r="K451" s="1441"/>
      <c r="L451" s="10"/>
    </row>
    <row r="452" spans="2:12" ht="12.75" customHeight="1">
      <c r="B452" s="10"/>
      <c r="C452" s="1441" t="s">
        <v>657</v>
      </c>
      <c r="D452" s="1441"/>
      <c r="E452" s="1441" t="s">
        <v>658</v>
      </c>
      <c r="F452" s="1441"/>
      <c r="G452" s="1441"/>
      <c r="H452" s="1441"/>
      <c r="I452" s="1441"/>
      <c r="J452" s="1441"/>
      <c r="K452" s="1441"/>
      <c r="L452" s="10"/>
    </row>
    <row r="453" spans="2:12" ht="12.75" customHeight="1">
      <c r="B453" s="10"/>
      <c r="C453" s="628"/>
      <c r="D453" s="628"/>
      <c r="E453" s="628"/>
      <c r="F453" s="628"/>
      <c r="G453" s="628"/>
      <c r="H453" s="628"/>
      <c r="I453" s="628"/>
      <c r="J453" s="628"/>
      <c r="K453" s="628"/>
      <c r="L453" s="10"/>
    </row>
    <row r="454" spans="2:12" ht="12.75" customHeight="1">
      <c r="B454" s="10"/>
      <c r="C454" s="1493" t="s">
        <v>659</v>
      </c>
      <c r="D454" s="1493"/>
      <c r="E454" s="1493"/>
      <c r="F454" s="1493"/>
      <c r="G454" s="1493"/>
      <c r="H454" s="1493"/>
      <c r="I454" s="1493"/>
      <c r="J454" s="1493"/>
      <c r="K454" s="1493"/>
      <c r="L454" s="10"/>
    </row>
    <row r="455" spans="2:12" ht="12.75" customHeight="1">
      <c r="B455" s="10"/>
      <c r="C455" s="1463" t="s">
        <v>328</v>
      </c>
      <c r="D455" s="1463"/>
      <c r="E455" s="1463"/>
      <c r="F455" s="1463"/>
      <c r="G455" s="1463"/>
      <c r="H455" s="1463"/>
      <c r="I455" s="1463"/>
      <c r="J455" s="1463"/>
      <c r="K455" s="1463"/>
      <c r="L455" s="10"/>
    </row>
    <row r="456" spans="2:12" ht="12.75" customHeight="1">
      <c r="B456" s="10"/>
      <c r="C456" s="1463"/>
      <c r="D456" s="1463"/>
      <c r="E456" s="1463"/>
      <c r="F456" s="1463"/>
      <c r="G456" s="1463"/>
      <c r="H456" s="1463"/>
      <c r="I456" s="1463"/>
      <c r="J456" s="1463"/>
      <c r="K456" s="1463"/>
      <c r="L456" s="10"/>
    </row>
    <row r="457" spans="2:12" ht="12.75" customHeight="1">
      <c r="B457" s="10"/>
      <c r="C457" s="1463"/>
      <c r="D457" s="1463"/>
      <c r="E457" s="1463"/>
      <c r="F457" s="1463"/>
      <c r="G457" s="1463"/>
      <c r="H457" s="1463"/>
      <c r="I457" s="1463"/>
      <c r="J457" s="1463"/>
      <c r="K457" s="1463"/>
      <c r="L457" s="10"/>
    </row>
    <row r="458" spans="2:12" ht="12.75" customHeight="1">
      <c r="B458" s="10"/>
      <c r="C458" s="1463"/>
      <c r="D458" s="1463"/>
      <c r="E458" s="1463"/>
      <c r="F458" s="1463"/>
      <c r="G458" s="1463"/>
      <c r="H458" s="1463"/>
      <c r="I458" s="1463"/>
      <c r="J458" s="1463"/>
      <c r="K458" s="1463"/>
      <c r="L458" s="10"/>
    </row>
    <row r="459" spans="2:12" ht="12.75" customHeight="1">
      <c r="B459" s="10"/>
      <c r="C459" s="607"/>
      <c r="D459" s="607"/>
      <c r="E459" s="607"/>
      <c r="F459" s="607"/>
      <c r="G459" s="607"/>
      <c r="H459" s="607"/>
      <c r="I459" s="607"/>
      <c r="J459" s="607"/>
      <c r="K459" s="607"/>
      <c r="L459" s="10"/>
    </row>
    <row r="460" spans="2:12" ht="12.75" customHeight="1">
      <c r="B460" s="10"/>
      <c r="C460" s="1509" t="s">
        <v>821</v>
      </c>
      <c r="D460" s="1509"/>
      <c r="E460" s="1509"/>
      <c r="F460" s="1509"/>
      <c r="G460" s="1509"/>
      <c r="H460" s="1509"/>
      <c r="I460" s="1509"/>
      <c r="J460" s="1509"/>
      <c r="K460" s="1509"/>
      <c r="L460" s="10"/>
    </row>
    <row r="461" spans="2:12" ht="12.75" customHeight="1">
      <c r="B461" s="10"/>
      <c r="C461" s="1509"/>
      <c r="D461" s="1509"/>
      <c r="E461" s="1509"/>
      <c r="F461" s="1509"/>
      <c r="G461" s="1509"/>
      <c r="H461" s="1509"/>
      <c r="I461" s="1509"/>
      <c r="J461" s="1509"/>
      <c r="K461" s="1509"/>
      <c r="L461" s="10"/>
    </row>
    <row r="462" spans="2:12" ht="12.75" customHeight="1">
      <c r="B462" s="10"/>
      <c r="C462" s="1441" t="s">
        <v>660</v>
      </c>
      <c r="D462" s="1441"/>
      <c r="E462" s="1441" t="s">
        <v>485</v>
      </c>
      <c r="F462" s="1441"/>
      <c r="G462" s="1441"/>
      <c r="H462" s="1441"/>
      <c r="I462" s="1441"/>
      <c r="J462" s="1441"/>
      <c r="K462" s="1441"/>
      <c r="L462" s="10"/>
    </row>
    <row r="463" spans="2:12" ht="12.75" customHeight="1">
      <c r="B463" s="10"/>
      <c r="C463" s="1441" t="s">
        <v>486</v>
      </c>
      <c r="D463" s="1441"/>
      <c r="E463" s="1441" t="s">
        <v>487</v>
      </c>
      <c r="F463" s="1441"/>
      <c r="G463" s="1441"/>
      <c r="H463" s="1441"/>
      <c r="I463" s="1441"/>
      <c r="J463" s="1441"/>
      <c r="K463" s="1441"/>
      <c r="L463" s="10"/>
    </row>
    <row r="464" spans="2:12" ht="12.75" customHeight="1">
      <c r="B464" s="10"/>
      <c r="C464" s="108"/>
      <c r="D464" s="10"/>
      <c r="E464" s="10"/>
      <c r="F464" s="10"/>
      <c r="G464" s="10"/>
      <c r="H464" s="10"/>
      <c r="I464" s="10"/>
      <c r="J464" s="10"/>
      <c r="K464" s="10"/>
      <c r="L464" s="10"/>
    </row>
    <row r="465" spans="2:12" ht="12.75" customHeight="1">
      <c r="B465" s="10"/>
      <c r="C465" s="108"/>
      <c r="D465" s="10"/>
      <c r="E465" s="10"/>
      <c r="F465" s="10"/>
      <c r="G465" s="10"/>
      <c r="H465" s="10"/>
      <c r="I465" s="10"/>
      <c r="J465" s="10"/>
      <c r="K465" s="10"/>
      <c r="L465" s="10"/>
    </row>
    <row r="466" spans="2:12" ht="12.75" customHeight="1">
      <c r="B466" s="10"/>
      <c r="C466" s="108"/>
      <c r="D466" s="10"/>
      <c r="E466" s="10"/>
      <c r="F466" s="10"/>
      <c r="G466" s="10"/>
      <c r="H466" s="10"/>
      <c r="I466" s="10"/>
      <c r="J466" s="10"/>
      <c r="K466" s="10"/>
      <c r="L466" s="10"/>
    </row>
    <row r="467" spans="2:12" ht="12.75" customHeight="1">
      <c r="B467" s="10"/>
      <c r="C467" s="108"/>
      <c r="D467" s="10"/>
      <c r="E467" s="10"/>
      <c r="F467" s="10"/>
      <c r="G467" s="10"/>
      <c r="H467" s="10"/>
      <c r="I467" s="10"/>
      <c r="J467" s="10"/>
      <c r="K467" s="10"/>
      <c r="L467" s="10"/>
    </row>
    <row r="468" spans="2:12" ht="12.75" customHeight="1">
      <c r="B468" s="10"/>
      <c r="C468" s="108"/>
      <c r="D468" s="10"/>
      <c r="E468" s="10"/>
      <c r="F468" s="10"/>
      <c r="G468" s="10"/>
      <c r="H468" s="10"/>
      <c r="I468" s="10"/>
      <c r="J468" s="10"/>
      <c r="K468" s="10"/>
      <c r="L468" s="10"/>
    </row>
    <row r="469" spans="2:12" ht="12.75" customHeight="1">
      <c r="B469" s="10"/>
      <c r="C469" s="108"/>
      <c r="D469" s="10"/>
      <c r="E469" s="10"/>
      <c r="F469" s="10"/>
      <c r="G469" s="10"/>
      <c r="H469" s="10"/>
      <c r="I469" s="10"/>
      <c r="J469" s="10"/>
      <c r="K469" s="10"/>
      <c r="L469" s="10"/>
    </row>
    <row r="470" spans="2:12" ht="12.75" customHeight="1">
      <c r="B470" s="10"/>
      <c r="C470" s="108"/>
      <c r="D470" s="10"/>
      <c r="E470" s="10"/>
      <c r="F470" s="10"/>
      <c r="G470" s="10"/>
      <c r="H470" s="10"/>
      <c r="I470" s="10"/>
      <c r="J470" s="10"/>
      <c r="K470" s="10"/>
      <c r="L470" s="10"/>
    </row>
    <row r="471" spans="2:12" ht="12.75" customHeight="1">
      <c r="B471" s="10"/>
      <c r="C471" s="108"/>
      <c r="D471" s="10"/>
      <c r="E471" s="10"/>
      <c r="F471" s="10"/>
      <c r="G471" s="10"/>
      <c r="H471" s="10"/>
      <c r="I471" s="10"/>
      <c r="J471" s="10"/>
      <c r="K471" s="10"/>
      <c r="L471" s="10"/>
    </row>
    <row r="472" spans="2:12" ht="12.75" customHeight="1">
      <c r="B472" s="10"/>
      <c r="C472" s="108"/>
      <c r="D472" s="10"/>
      <c r="E472" s="10"/>
      <c r="F472" s="10"/>
      <c r="G472" s="10"/>
      <c r="H472" s="10"/>
      <c r="I472" s="10"/>
      <c r="J472" s="10"/>
      <c r="K472" s="10"/>
      <c r="L472" s="10"/>
    </row>
    <row r="473" spans="2:12" ht="12.75" customHeight="1">
      <c r="B473" s="10"/>
      <c r="C473" s="108"/>
      <c r="D473" s="10"/>
      <c r="E473" s="10"/>
      <c r="F473" s="10"/>
      <c r="G473" s="10"/>
      <c r="H473" s="10"/>
      <c r="I473" s="10"/>
      <c r="J473" s="10"/>
      <c r="K473" s="10"/>
      <c r="L473" s="10"/>
    </row>
    <row r="474" spans="2:12" ht="12.75" customHeight="1">
      <c r="B474" s="10"/>
      <c r="C474" s="108"/>
      <c r="D474" s="10"/>
      <c r="E474" s="10"/>
      <c r="F474" s="10"/>
      <c r="G474" s="10"/>
      <c r="H474" s="10"/>
      <c r="I474" s="10"/>
      <c r="J474" s="10"/>
      <c r="K474" s="10"/>
      <c r="L474" s="10"/>
    </row>
    <row r="475" spans="2:12" ht="12.75" customHeight="1">
      <c r="B475" s="10"/>
      <c r="C475" s="108"/>
      <c r="D475" s="10"/>
      <c r="E475" s="10"/>
      <c r="F475" s="10"/>
      <c r="G475" s="10"/>
      <c r="H475" s="10"/>
      <c r="I475" s="10"/>
      <c r="J475" s="10"/>
      <c r="K475" s="10"/>
      <c r="L475" s="10"/>
    </row>
    <row r="476" spans="2:12" ht="12.75" customHeight="1">
      <c r="B476" s="10"/>
      <c r="C476" s="108"/>
      <c r="D476" s="10"/>
      <c r="E476" s="10"/>
      <c r="F476" s="10"/>
      <c r="G476" s="10"/>
      <c r="H476" s="10"/>
      <c r="I476" s="10"/>
      <c r="J476" s="10"/>
      <c r="K476" s="10"/>
      <c r="L476" s="10"/>
    </row>
    <row r="477" spans="2:12" ht="12.75" customHeight="1">
      <c r="B477" s="10"/>
      <c r="C477" s="108"/>
      <c r="D477" s="10"/>
      <c r="E477" s="10"/>
      <c r="F477" s="10"/>
      <c r="G477" s="10"/>
      <c r="H477" s="10"/>
      <c r="I477" s="10"/>
      <c r="J477" s="10"/>
      <c r="K477" s="10"/>
      <c r="L477" s="10"/>
    </row>
    <row r="478" spans="2:12" ht="12.75" customHeight="1">
      <c r="B478" s="10"/>
      <c r="C478" s="108"/>
      <c r="D478" s="10"/>
      <c r="E478" s="10"/>
      <c r="F478" s="10"/>
      <c r="G478" s="10"/>
      <c r="H478" s="10"/>
      <c r="I478" s="10"/>
      <c r="J478" s="10"/>
      <c r="K478" s="10"/>
      <c r="L478" s="10"/>
    </row>
    <row r="479" spans="2:12" ht="12.75" customHeight="1">
      <c r="B479" s="10"/>
      <c r="C479" s="108"/>
      <c r="D479" s="10"/>
      <c r="E479" s="10"/>
      <c r="F479" s="10"/>
      <c r="G479" s="10"/>
      <c r="H479" s="10"/>
      <c r="I479" s="10"/>
      <c r="J479" s="10"/>
      <c r="K479" s="10"/>
      <c r="L479" s="10"/>
    </row>
    <row r="480" spans="2:12" ht="12.75" customHeight="1">
      <c r="B480" s="10"/>
      <c r="C480" s="108"/>
      <c r="D480" s="10"/>
      <c r="E480" s="10"/>
      <c r="F480" s="10"/>
      <c r="G480" s="10"/>
      <c r="H480" s="10"/>
      <c r="I480" s="10"/>
      <c r="J480" s="10"/>
      <c r="K480" s="10"/>
      <c r="L480" s="10"/>
    </row>
    <row r="481" spans="2:12" ht="12.75" customHeight="1">
      <c r="B481" s="10"/>
      <c r="C481" s="1440" t="s">
        <v>488</v>
      </c>
      <c r="D481" s="1440"/>
      <c r="E481" s="1440"/>
      <c r="F481" s="1440"/>
      <c r="G481" s="1440"/>
      <c r="H481" s="1440"/>
      <c r="I481" s="1440"/>
      <c r="J481" s="1440"/>
      <c r="K481" s="1440"/>
      <c r="L481" s="10"/>
    </row>
    <row r="482" spans="2:12" ht="12.75" customHeight="1">
      <c r="B482" s="10"/>
      <c r="C482" s="108"/>
      <c r="D482" s="10"/>
      <c r="E482" s="10"/>
      <c r="F482" s="10"/>
      <c r="G482" s="10"/>
      <c r="H482" s="10"/>
      <c r="I482" s="10"/>
      <c r="J482" s="10"/>
      <c r="K482" s="10"/>
      <c r="L482" s="10"/>
    </row>
    <row r="483" spans="2:12" ht="12.75" customHeight="1">
      <c r="B483" s="10"/>
      <c r="C483" s="10"/>
      <c r="D483" s="10"/>
      <c r="E483" s="10"/>
      <c r="F483" s="10"/>
      <c r="G483" s="10"/>
      <c r="H483" s="10"/>
      <c r="I483" s="10"/>
      <c r="J483" s="10"/>
      <c r="K483" s="10"/>
      <c r="L483" s="10"/>
    </row>
    <row r="484" spans="2:12" ht="12.75" customHeight="1">
      <c r="B484" s="10"/>
      <c r="C484" s="108"/>
      <c r="D484" s="10"/>
      <c r="E484" s="10"/>
      <c r="F484" s="10"/>
      <c r="G484" s="10"/>
      <c r="H484" s="10"/>
      <c r="I484" s="10"/>
      <c r="J484" s="10"/>
      <c r="K484" s="10"/>
      <c r="L484" s="10"/>
    </row>
    <row r="485" spans="2:12" ht="12.75" customHeight="1">
      <c r="B485" s="10"/>
      <c r="C485" s="10"/>
      <c r="D485" s="10"/>
      <c r="E485" s="10"/>
      <c r="F485" s="10"/>
      <c r="G485" s="10"/>
      <c r="H485" s="10"/>
      <c r="I485" s="10"/>
      <c r="J485" s="10"/>
      <c r="K485" s="10"/>
      <c r="L485" s="10"/>
    </row>
    <row r="486" spans="2:12" ht="12.75" customHeight="1">
      <c r="B486" s="10"/>
      <c r="C486" s="108"/>
      <c r="D486" s="10"/>
      <c r="E486" s="10"/>
      <c r="F486" s="10"/>
      <c r="G486" s="10"/>
      <c r="H486" s="10"/>
      <c r="I486" s="10"/>
      <c r="J486" s="10"/>
      <c r="K486" s="10"/>
      <c r="L486" s="10"/>
    </row>
    <row r="487" spans="2:12" ht="12.75" customHeight="1">
      <c r="B487" s="10"/>
      <c r="C487" s="10"/>
      <c r="D487" s="10"/>
      <c r="E487" s="10"/>
      <c r="F487" s="10"/>
      <c r="G487" s="10"/>
      <c r="H487" s="10"/>
      <c r="I487" s="10"/>
      <c r="J487" s="10"/>
      <c r="K487" s="10"/>
      <c r="L487" s="10"/>
    </row>
    <row r="488" spans="2:12" ht="12.75" customHeight="1">
      <c r="B488" s="10"/>
      <c r="C488" s="108"/>
      <c r="D488" s="10"/>
      <c r="E488" s="10"/>
      <c r="F488" s="10"/>
      <c r="G488" s="10"/>
      <c r="H488" s="10"/>
      <c r="I488" s="10"/>
      <c r="J488" s="10"/>
      <c r="K488" s="10"/>
      <c r="L488" s="10"/>
    </row>
    <row r="489" spans="2:12" ht="12.75" customHeight="1">
      <c r="B489" s="10"/>
      <c r="C489" s="108"/>
      <c r="D489" s="10"/>
      <c r="E489" s="10"/>
      <c r="F489" s="10"/>
      <c r="G489" s="10"/>
      <c r="H489" s="10"/>
      <c r="I489" s="10"/>
      <c r="J489" s="10"/>
      <c r="K489" s="10"/>
      <c r="L489" s="10"/>
    </row>
    <row r="490" spans="2:12" ht="12.75" customHeight="1">
      <c r="B490" s="10"/>
      <c r="C490" s="108"/>
      <c r="D490" s="10"/>
      <c r="E490" s="10"/>
      <c r="F490" s="10"/>
      <c r="G490" s="10"/>
      <c r="H490" s="10"/>
      <c r="I490" s="10"/>
      <c r="J490" s="10"/>
      <c r="K490" s="10"/>
      <c r="L490" s="10"/>
    </row>
    <row r="491" spans="2:12" ht="12.75" customHeight="1">
      <c r="B491" s="10"/>
      <c r="C491" s="108"/>
      <c r="D491" s="10"/>
      <c r="E491" s="10"/>
      <c r="F491" s="10"/>
      <c r="G491" s="10"/>
      <c r="H491" s="10"/>
      <c r="I491" s="10"/>
      <c r="J491" s="10"/>
      <c r="K491" s="10"/>
      <c r="L491" s="10"/>
    </row>
    <row r="492" spans="2:12" ht="12.75" customHeight="1">
      <c r="B492" s="10"/>
      <c r="C492" s="108"/>
      <c r="D492" s="10"/>
      <c r="E492" s="10"/>
      <c r="F492" s="10"/>
      <c r="G492" s="10"/>
      <c r="H492" s="10"/>
      <c r="I492" s="10"/>
      <c r="J492" s="10"/>
      <c r="K492" s="10"/>
      <c r="L492" s="10"/>
    </row>
    <row r="493" spans="2:12" ht="12.75" customHeight="1">
      <c r="B493" s="10"/>
      <c r="C493" s="108"/>
      <c r="D493" s="10"/>
      <c r="E493" s="10"/>
      <c r="F493" s="10"/>
      <c r="G493" s="10"/>
      <c r="H493" s="10"/>
      <c r="I493" s="10"/>
      <c r="J493" s="10"/>
      <c r="K493" s="10"/>
      <c r="L493" s="10"/>
    </row>
    <row r="494" spans="2:12" ht="12.75" customHeight="1">
      <c r="B494" s="10"/>
      <c r="C494" s="108"/>
      <c r="D494" s="10"/>
      <c r="E494" s="10"/>
      <c r="F494" s="10"/>
      <c r="G494" s="10"/>
      <c r="H494" s="10"/>
      <c r="I494" s="10"/>
      <c r="J494" s="10"/>
      <c r="K494" s="10"/>
      <c r="L494" s="10"/>
    </row>
    <row r="495" spans="2:12" ht="12.75" customHeight="1">
      <c r="B495" s="10"/>
      <c r="C495" s="108"/>
      <c r="D495" s="10"/>
      <c r="E495" s="10"/>
      <c r="F495" s="10"/>
      <c r="G495" s="10"/>
      <c r="H495" s="10"/>
      <c r="I495" s="10"/>
      <c r="J495" s="10"/>
      <c r="K495" s="10"/>
      <c r="L495" s="10"/>
    </row>
    <row r="496" spans="2:12" ht="12.75" customHeight="1">
      <c r="B496" s="10"/>
      <c r="C496" s="108"/>
      <c r="D496" s="10"/>
      <c r="E496" s="10"/>
      <c r="F496" s="10"/>
      <c r="G496" s="10"/>
      <c r="H496" s="10"/>
      <c r="I496" s="10"/>
      <c r="J496" s="10"/>
      <c r="K496" s="10"/>
      <c r="L496" s="10"/>
    </row>
    <row r="497" spans="2:12" ht="12.75" customHeight="1">
      <c r="B497" s="10"/>
      <c r="C497" s="108"/>
      <c r="D497" s="10"/>
      <c r="E497" s="10"/>
      <c r="F497" s="10"/>
      <c r="G497" s="10"/>
      <c r="H497" s="10"/>
      <c r="I497" s="10"/>
      <c r="J497" s="10"/>
      <c r="K497" s="10"/>
      <c r="L497" s="10"/>
    </row>
    <row r="498" spans="2:12" ht="12.75" customHeight="1">
      <c r="B498" s="10"/>
      <c r="C498" s="108"/>
      <c r="D498" s="10"/>
      <c r="E498" s="10"/>
      <c r="F498" s="10"/>
      <c r="G498" s="10"/>
      <c r="H498" s="10"/>
      <c r="I498" s="10"/>
      <c r="J498" s="10"/>
      <c r="K498" s="10"/>
      <c r="L498" s="10"/>
    </row>
    <row r="499" spans="2:12" ht="12.75" customHeight="1">
      <c r="B499" s="10"/>
      <c r="C499" s="108"/>
      <c r="D499" s="10"/>
      <c r="E499" s="10"/>
      <c r="F499" s="10"/>
      <c r="G499" s="10"/>
      <c r="H499" s="10"/>
      <c r="I499" s="10"/>
      <c r="J499" s="10"/>
      <c r="K499" s="10"/>
      <c r="L499" s="10"/>
    </row>
    <row r="500" spans="2:12" ht="12.75" customHeight="1">
      <c r="B500" s="10"/>
      <c r="C500" s="1440" t="s">
        <v>489</v>
      </c>
      <c r="D500" s="1440"/>
      <c r="E500" s="1440"/>
      <c r="F500" s="1440"/>
      <c r="G500" s="1440"/>
      <c r="H500" s="1440"/>
      <c r="I500" s="1440"/>
      <c r="J500" s="1440"/>
      <c r="K500" s="1440"/>
      <c r="L500" s="10"/>
    </row>
    <row r="501" spans="2:12" ht="12.75" customHeight="1">
      <c r="B501" s="10"/>
      <c r="C501" s="108"/>
      <c r="D501" s="10"/>
      <c r="E501" s="10"/>
      <c r="F501" s="10"/>
      <c r="G501" s="10"/>
      <c r="H501" s="10"/>
      <c r="I501" s="10"/>
      <c r="J501" s="10"/>
      <c r="K501" s="10"/>
      <c r="L501" s="10"/>
    </row>
    <row r="502" spans="2:12" ht="12.75" customHeight="1">
      <c r="B502" s="10"/>
      <c r="C502" s="108"/>
      <c r="D502" s="10"/>
      <c r="E502" s="10"/>
      <c r="F502" s="10"/>
      <c r="G502" s="10"/>
      <c r="H502" s="10"/>
      <c r="I502" s="10"/>
      <c r="J502" s="10"/>
      <c r="K502" s="10"/>
      <c r="L502" s="10"/>
    </row>
    <row r="503" spans="2:12" ht="12.75" customHeight="1">
      <c r="B503" s="10"/>
      <c r="C503" s="10"/>
      <c r="D503" s="10"/>
      <c r="E503" s="10"/>
      <c r="F503" s="10"/>
      <c r="G503" s="10"/>
      <c r="H503" s="10"/>
      <c r="I503" s="10"/>
      <c r="J503" s="10"/>
      <c r="K503" s="10"/>
      <c r="L503" s="10"/>
    </row>
    <row r="504" spans="2:12" ht="12.75" customHeight="1">
      <c r="B504" s="10"/>
      <c r="C504" s="108"/>
      <c r="D504" s="10"/>
      <c r="E504" s="10"/>
      <c r="F504" s="10"/>
      <c r="G504" s="10"/>
      <c r="H504" s="10"/>
      <c r="I504" s="10"/>
      <c r="J504" s="10"/>
      <c r="K504" s="10"/>
      <c r="L504" s="10"/>
    </row>
    <row r="505" spans="2:12" ht="12.75" customHeight="1">
      <c r="B505" s="10"/>
      <c r="C505" s="1468" t="s">
        <v>796</v>
      </c>
      <c r="D505" s="1468"/>
      <c r="E505" s="1468"/>
      <c r="F505" s="1468"/>
      <c r="G505" s="1468"/>
      <c r="H505" s="1468"/>
      <c r="I505" s="1468"/>
      <c r="J505" s="1468"/>
      <c r="K505" s="1468"/>
      <c r="L505" s="10"/>
    </row>
    <row r="506" spans="2:12" ht="12.75" customHeight="1">
      <c r="B506" s="10"/>
      <c r="C506" s="615"/>
      <c r="D506" s="615"/>
      <c r="E506" s="615"/>
      <c r="F506" s="615"/>
      <c r="G506" s="615"/>
      <c r="H506" s="615"/>
      <c r="I506" s="615"/>
      <c r="J506" s="615"/>
      <c r="K506" s="615"/>
      <c r="L506" s="10"/>
    </row>
    <row r="507" spans="2:12" ht="12.75" customHeight="1">
      <c r="B507" s="10"/>
      <c r="C507" s="1468" t="s">
        <v>797</v>
      </c>
      <c r="D507" s="1468"/>
      <c r="E507" s="1468"/>
      <c r="F507" s="1468"/>
      <c r="G507" s="1468"/>
      <c r="H507" s="1468"/>
      <c r="I507" s="1468"/>
      <c r="J507" s="1468"/>
      <c r="K507" s="1468"/>
      <c r="L507" s="10"/>
    </row>
    <row r="508" spans="2:12" ht="12.75" customHeight="1">
      <c r="B508" s="10"/>
      <c r="C508" s="615"/>
      <c r="D508" s="615"/>
      <c r="E508" s="615"/>
      <c r="F508" s="615"/>
      <c r="G508" s="615"/>
      <c r="H508" s="615"/>
      <c r="I508" s="615"/>
      <c r="J508" s="615"/>
      <c r="K508" s="615"/>
      <c r="L508" s="10"/>
    </row>
    <row r="509" spans="2:12" ht="12.75" customHeight="1">
      <c r="B509" s="10"/>
      <c r="C509" s="1463" t="s">
        <v>731</v>
      </c>
      <c r="D509" s="1463"/>
      <c r="E509" s="1463"/>
      <c r="F509" s="1463"/>
      <c r="G509" s="1463"/>
      <c r="H509" s="1463"/>
      <c r="I509" s="1463"/>
      <c r="J509" s="1463"/>
      <c r="K509" s="1463"/>
      <c r="L509" s="10"/>
    </row>
    <row r="510" spans="2:12" ht="12.75" customHeight="1">
      <c r="B510" s="10"/>
      <c r="C510" s="1463"/>
      <c r="D510" s="1463"/>
      <c r="E510" s="1463"/>
      <c r="F510" s="1463"/>
      <c r="G510" s="1463"/>
      <c r="H510" s="1463"/>
      <c r="I510" s="1463"/>
      <c r="J510" s="1463"/>
      <c r="K510" s="1463"/>
      <c r="L510" s="10"/>
    </row>
    <row r="511" spans="2:12" ht="12.75" customHeight="1">
      <c r="B511" s="10"/>
      <c r="C511" s="1463"/>
      <c r="D511" s="1463"/>
      <c r="E511" s="1463"/>
      <c r="F511" s="1463"/>
      <c r="G511" s="1463"/>
      <c r="H511" s="1463"/>
      <c r="I511" s="1463"/>
      <c r="J511" s="1463"/>
      <c r="K511" s="1463"/>
      <c r="L511" s="10"/>
    </row>
    <row r="512" spans="2:12" ht="12.75" customHeight="1">
      <c r="B512" s="10"/>
      <c r="C512" s="1463"/>
      <c r="D512" s="1463"/>
      <c r="E512" s="1463"/>
      <c r="F512" s="1463"/>
      <c r="G512" s="1463"/>
      <c r="H512" s="1463"/>
      <c r="I512" s="1463"/>
      <c r="J512" s="1463"/>
      <c r="K512" s="1463"/>
      <c r="L512" s="10"/>
    </row>
    <row r="513" spans="2:12" ht="12.75" customHeight="1">
      <c r="B513" s="10"/>
      <c r="C513" s="1463"/>
      <c r="D513" s="1463"/>
      <c r="E513" s="1463"/>
      <c r="F513" s="1463"/>
      <c r="G513" s="1463"/>
      <c r="H513" s="1463"/>
      <c r="I513" s="1463"/>
      <c r="J513" s="1463"/>
      <c r="K513" s="1463"/>
      <c r="L513" s="10"/>
    </row>
    <row r="514" spans="2:12" ht="12.75" customHeight="1">
      <c r="B514" s="10"/>
      <c r="C514" s="1463"/>
      <c r="D514" s="1463"/>
      <c r="E514" s="1463"/>
      <c r="F514" s="1463"/>
      <c r="G514" s="1463"/>
      <c r="H514" s="1463"/>
      <c r="I514" s="1463"/>
      <c r="J514" s="1463"/>
      <c r="K514" s="1463"/>
      <c r="L514" s="10"/>
    </row>
    <row r="515" spans="2:12" ht="12.75" customHeight="1">
      <c r="B515" s="10"/>
      <c r="C515" s="1463"/>
      <c r="D515" s="1463"/>
      <c r="E515" s="1463"/>
      <c r="F515" s="1463"/>
      <c r="G515" s="1463"/>
      <c r="H515" s="1463"/>
      <c r="I515" s="1463"/>
      <c r="J515" s="1463"/>
      <c r="K515" s="1463"/>
      <c r="L515" s="10"/>
    </row>
    <row r="516" spans="2:12" ht="12.75" customHeight="1">
      <c r="B516" s="10"/>
      <c r="C516" s="607"/>
      <c r="D516" s="607"/>
      <c r="E516" s="607"/>
      <c r="F516" s="607"/>
      <c r="G516" s="607"/>
      <c r="H516" s="607"/>
      <c r="I516" s="607"/>
      <c r="J516" s="607"/>
      <c r="K516" s="607"/>
      <c r="L516" s="10"/>
    </row>
    <row r="517" spans="2:12" ht="12.75" customHeight="1">
      <c r="B517" s="10"/>
      <c r="C517" s="1510" t="s">
        <v>248</v>
      </c>
      <c r="D517" s="1511"/>
      <c r="E517" s="1511"/>
      <c r="F517" s="1512"/>
      <c r="G517" s="16">
        <f>'Prod Parameters'!F5</f>
        <v>450</v>
      </c>
      <c r="H517" s="235" t="s">
        <v>392</v>
      </c>
      <c r="I517" s="607"/>
      <c r="J517" s="607"/>
      <c r="K517" s="607"/>
      <c r="L517" s="10"/>
    </row>
    <row r="518" spans="2:12" ht="12.75" customHeight="1">
      <c r="B518" s="10"/>
      <c r="C518" s="630"/>
      <c r="D518" s="630"/>
      <c r="E518" s="630"/>
      <c r="F518" s="630"/>
      <c r="G518" s="613"/>
      <c r="H518" s="631"/>
      <c r="I518" s="607"/>
      <c r="J518" s="607"/>
      <c r="K518" s="607"/>
      <c r="L518" s="10"/>
    </row>
    <row r="519" spans="2:12" ht="12.75" customHeight="1">
      <c r="B519" s="10"/>
      <c r="C519" s="630"/>
      <c r="D519" s="630"/>
      <c r="E519" s="630"/>
      <c r="F519" s="630"/>
      <c r="G519" s="613"/>
      <c r="H519" s="631"/>
      <c r="I519" s="607"/>
      <c r="J519" s="607"/>
      <c r="K519" s="607"/>
      <c r="L519" s="10"/>
    </row>
    <row r="520" spans="2:12" ht="12.75" customHeight="1">
      <c r="B520" s="10"/>
      <c r="C520" s="607"/>
      <c r="D520" s="607"/>
      <c r="E520" s="607"/>
      <c r="F520" s="607"/>
      <c r="G520" s="607"/>
      <c r="H520" s="607"/>
      <c r="I520" s="607"/>
      <c r="J520" s="607"/>
      <c r="K520" s="607"/>
      <c r="L520" s="10"/>
    </row>
    <row r="521" spans="2:12" ht="12.75" customHeight="1">
      <c r="B521" s="10"/>
      <c r="C521" s="10"/>
      <c r="D521" s="10"/>
      <c r="E521" s="10"/>
      <c r="F521" s="10"/>
      <c r="G521" s="10"/>
      <c r="H521" s="10"/>
      <c r="I521" s="607"/>
      <c r="J521" s="607"/>
      <c r="K521" s="607"/>
      <c r="L521" s="10"/>
    </row>
    <row r="522" spans="2:12" ht="12.75" customHeight="1">
      <c r="B522" s="10"/>
      <c r="C522" s="607"/>
      <c r="D522" s="607"/>
      <c r="E522" s="607"/>
      <c r="F522" s="607"/>
      <c r="G522" s="607"/>
      <c r="H522" s="607"/>
      <c r="I522" s="607"/>
      <c r="J522" s="607"/>
      <c r="K522" s="607"/>
      <c r="L522" s="10"/>
    </row>
    <row r="523" spans="2:12" ht="12.75" customHeight="1">
      <c r="B523" s="10"/>
      <c r="C523" s="607"/>
      <c r="D523" s="607"/>
      <c r="E523" s="607"/>
      <c r="F523" s="607"/>
      <c r="G523" s="607"/>
      <c r="H523" s="607"/>
      <c r="I523" s="607"/>
      <c r="J523" s="607"/>
      <c r="K523" s="607"/>
      <c r="L523" s="10"/>
    </row>
    <row r="524" spans="2:12" ht="12.75" customHeight="1">
      <c r="B524" s="10"/>
      <c r="C524" s="607"/>
      <c r="D524" s="607"/>
      <c r="E524" s="607"/>
      <c r="F524" s="607"/>
      <c r="G524" s="607"/>
      <c r="H524" s="607"/>
      <c r="I524" s="607"/>
      <c r="J524" s="607"/>
      <c r="K524" s="607"/>
      <c r="L524" s="10"/>
    </row>
    <row r="525" spans="2:12" ht="12.75" customHeight="1">
      <c r="B525" s="10"/>
      <c r="C525" s="607"/>
      <c r="D525" s="607"/>
      <c r="E525" s="607"/>
      <c r="F525" s="607"/>
      <c r="G525" s="607"/>
      <c r="H525" s="607"/>
      <c r="I525" s="607"/>
      <c r="J525" s="607"/>
      <c r="K525" s="607"/>
      <c r="L525" s="10"/>
    </row>
    <row r="526" spans="2:12" ht="12.75" customHeight="1">
      <c r="B526" s="10"/>
      <c r="C526" s="607"/>
      <c r="D526" s="607"/>
      <c r="E526" s="607"/>
      <c r="F526" s="607"/>
      <c r="G526" s="607"/>
      <c r="H526" s="607"/>
      <c r="I526" s="607"/>
      <c r="J526" s="607"/>
      <c r="K526" s="607"/>
      <c r="L526" s="10"/>
    </row>
    <row r="527" spans="2:12" ht="12.75" customHeight="1">
      <c r="B527" s="10"/>
      <c r="C527" s="607"/>
      <c r="D527" s="607"/>
      <c r="E527" s="607"/>
      <c r="F527" s="607"/>
      <c r="G527" s="607"/>
      <c r="H527" s="607"/>
      <c r="I527" s="607"/>
      <c r="J527" s="607"/>
      <c r="K527" s="607"/>
      <c r="L527" s="10"/>
    </row>
    <row r="528" spans="2:12" ht="12.75" customHeight="1">
      <c r="B528" s="10"/>
      <c r="C528" s="607"/>
      <c r="D528" s="607"/>
      <c r="E528" s="607"/>
      <c r="F528" s="607"/>
      <c r="G528" s="607"/>
      <c r="H528" s="607"/>
      <c r="I528" s="607"/>
      <c r="J528" s="607"/>
      <c r="K528" s="607"/>
      <c r="L528" s="10"/>
    </row>
    <row r="529" spans="2:12" ht="12.75" customHeight="1">
      <c r="B529" s="10"/>
      <c r="C529" s="607"/>
      <c r="D529" s="607"/>
      <c r="E529" s="607"/>
      <c r="F529" s="607"/>
      <c r="G529" s="607"/>
      <c r="H529" s="607"/>
      <c r="I529" s="607"/>
      <c r="J529" s="607"/>
      <c r="K529" s="607"/>
      <c r="L529" s="10"/>
    </row>
    <row r="530" spans="2:12" ht="12.75" customHeight="1">
      <c r="B530" s="10"/>
      <c r="C530" s="607"/>
      <c r="D530" s="607"/>
      <c r="E530" s="607"/>
      <c r="F530" s="607"/>
      <c r="G530" s="607"/>
      <c r="H530" s="607"/>
      <c r="I530" s="607"/>
      <c r="J530" s="607"/>
      <c r="K530" s="607"/>
      <c r="L530" s="10"/>
    </row>
    <row r="531" spans="2:12" ht="12.75" customHeight="1">
      <c r="B531" s="10"/>
      <c r="C531" s="607"/>
      <c r="D531" s="607"/>
      <c r="E531" s="607"/>
      <c r="F531" s="607"/>
      <c r="G531" s="607"/>
      <c r="H531" s="607"/>
      <c r="I531" s="607"/>
      <c r="J531" s="607"/>
      <c r="K531" s="607"/>
      <c r="L531" s="10"/>
    </row>
    <row r="532" spans="2:12" ht="12.75" customHeight="1">
      <c r="B532" s="10"/>
      <c r="C532" s="607"/>
      <c r="D532" s="607"/>
      <c r="E532" s="607"/>
      <c r="F532" s="607"/>
      <c r="G532" s="607"/>
      <c r="H532" s="607"/>
      <c r="I532" s="607"/>
      <c r="J532" s="607"/>
      <c r="K532" s="607"/>
      <c r="L532" s="10"/>
    </row>
    <row r="533" spans="2:12" ht="12.75" customHeight="1">
      <c r="B533" s="10"/>
      <c r="C533" s="607"/>
      <c r="D533" s="607"/>
      <c r="E533" s="607"/>
      <c r="F533" s="607"/>
      <c r="G533" s="607"/>
      <c r="H533" s="607"/>
      <c r="I533" s="607"/>
      <c r="J533" s="607"/>
      <c r="K533" s="607"/>
      <c r="L533" s="10"/>
    </row>
    <row r="534" spans="2:12" ht="12.75" customHeight="1">
      <c r="B534" s="10"/>
      <c r="C534" s="607"/>
      <c r="D534" s="607"/>
      <c r="E534" s="607"/>
      <c r="F534" s="607"/>
      <c r="G534" s="607"/>
      <c r="H534" s="607"/>
      <c r="I534" s="607"/>
      <c r="J534" s="607"/>
      <c r="K534" s="607"/>
      <c r="L534" s="10"/>
    </row>
    <row r="535" spans="2:12" ht="12.75" customHeight="1">
      <c r="B535" s="10"/>
      <c r="C535" s="607"/>
      <c r="D535" s="607"/>
      <c r="E535" s="607"/>
      <c r="F535" s="607"/>
      <c r="G535" s="607"/>
      <c r="H535" s="607"/>
      <c r="I535" s="607"/>
      <c r="J535" s="607"/>
      <c r="K535" s="607"/>
      <c r="L535" s="10"/>
    </row>
    <row r="536" spans="2:12" ht="12.75" customHeight="1">
      <c r="B536" s="10"/>
      <c r="C536" s="607"/>
      <c r="D536" s="607"/>
      <c r="E536" s="607"/>
      <c r="F536" s="607"/>
      <c r="G536" s="607"/>
      <c r="H536" s="607"/>
      <c r="I536" s="607"/>
      <c r="J536" s="607"/>
      <c r="K536" s="607"/>
      <c r="L536" s="10"/>
    </row>
    <row r="537" spans="2:12" ht="12.75" customHeight="1">
      <c r="B537" s="10"/>
      <c r="C537" s="607"/>
      <c r="D537" s="607"/>
      <c r="E537" s="607"/>
      <c r="F537" s="607"/>
      <c r="G537" s="607"/>
      <c r="H537" s="607"/>
      <c r="I537" s="607"/>
      <c r="J537" s="607"/>
      <c r="K537" s="607"/>
      <c r="L537" s="10"/>
    </row>
    <row r="538" spans="2:12" ht="12.75" customHeight="1">
      <c r="B538" s="10"/>
      <c r="C538" s="607"/>
      <c r="D538" s="607"/>
      <c r="E538" s="607"/>
      <c r="F538" s="607"/>
      <c r="G538" s="607"/>
      <c r="H538" s="607"/>
      <c r="I538" s="607"/>
      <c r="J538" s="607"/>
      <c r="K538" s="607"/>
      <c r="L538" s="10"/>
    </row>
    <row r="539" spans="2:12" ht="12.75" customHeight="1">
      <c r="B539" s="10"/>
      <c r="C539" s="1440" t="s">
        <v>490</v>
      </c>
      <c r="D539" s="1440"/>
      <c r="E539" s="1440"/>
      <c r="F539" s="1440"/>
      <c r="G539" s="1440"/>
      <c r="H539" s="1440"/>
      <c r="I539" s="1440"/>
      <c r="J539" s="1440"/>
      <c r="K539" s="1440"/>
      <c r="L539" s="10"/>
    </row>
    <row r="540" spans="2:12" ht="12.75" customHeight="1">
      <c r="B540" s="10"/>
      <c r="C540" s="607"/>
      <c r="D540" s="607"/>
      <c r="E540" s="607"/>
      <c r="F540" s="607"/>
      <c r="G540" s="607"/>
      <c r="H540" s="607"/>
      <c r="I540" s="607"/>
      <c r="J540" s="607"/>
      <c r="K540" s="607"/>
      <c r="L540" s="10"/>
    </row>
    <row r="541" spans="2:12" ht="12.75" customHeight="1">
      <c r="B541" s="10"/>
      <c r="C541" s="607"/>
      <c r="D541" s="607"/>
      <c r="E541" s="607"/>
      <c r="F541" s="607"/>
      <c r="G541" s="607"/>
      <c r="H541" s="607"/>
      <c r="I541" s="607"/>
      <c r="J541" s="607"/>
      <c r="K541" s="607"/>
      <c r="L541" s="10"/>
    </row>
    <row r="542" spans="2:12" ht="12.75" customHeight="1">
      <c r="B542" s="10"/>
      <c r="C542" s="607"/>
      <c r="D542" s="607"/>
      <c r="E542" s="607"/>
      <c r="F542" s="607"/>
      <c r="G542" s="607"/>
      <c r="H542" s="607"/>
      <c r="I542" s="607"/>
      <c r="J542" s="607"/>
      <c r="K542" s="607"/>
      <c r="L542" s="10"/>
    </row>
    <row r="543" spans="2:12" ht="12.75" customHeight="1">
      <c r="B543" s="10"/>
      <c r="C543" s="607"/>
      <c r="D543" s="607"/>
      <c r="E543" s="607"/>
      <c r="F543" s="607"/>
      <c r="G543" s="607"/>
      <c r="H543" s="607"/>
      <c r="I543" s="607"/>
      <c r="J543" s="607"/>
      <c r="K543" s="607"/>
      <c r="L543" s="10"/>
    </row>
    <row r="544" spans="2:12" ht="12.75" customHeight="1">
      <c r="B544" s="10"/>
      <c r="C544" s="607"/>
      <c r="D544" s="607"/>
      <c r="E544" s="607"/>
      <c r="F544" s="607"/>
      <c r="G544" s="607"/>
      <c r="H544" s="607"/>
      <c r="I544" s="607"/>
      <c r="J544" s="607"/>
      <c r="K544" s="607"/>
      <c r="L544" s="10"/>
    </row>
    <row r="545" spans="2:12" ht="12.75" customHeight="1">
      <c r="B545" s="10"/>
      <c r="C545" s="10"/>
      <c r="D545" s="10"/>
      <c r="E545" s="10"/>
      <c r="F545" s="10"/>
      <c r="G545" s="10"/>
      <c r="H545" s="10"/>
      <c r="I545" s="10"/>
      <c r="J545" s="10"/>
      <c r="K545" s="10"/>
      <c r="L545" s="10"/>
    </row>
    <row r="546" spans="2:12" ht="12.75" customHeight="1">
      <c r="B546" s="10"/>
      <c r="C546" s="632"/>
      <c r="D546" s="632"/>
      <c r="E546" s="632"/>
      <c r="F546" s="632"/>
      <c r="G546" s="632"/>
      <c r="H546" s="632"/>
      <c r="I546" s="632"/>
      <c r="J546" s="632"/>
      <c r="K546" s="632"/>
      <c r="L546" s="10"/>
    </row>
    <row r="547" spans="2:12" ht="12.75" customHeight="1">
      <c r="B547" s="10"/>
      <c r="C547" s="10"/>
      <c r="D547" s="10"/>
      <c r="E547" s="10"/>
      <c r="F547" s="10"/>
      <c r="G547" s="10"/>
      <c r="H547" s="10"/>
      <c r="I547" s="607"/>
      <c r="J547" s="607"/>
      <c r="K547" s="607"/>
      <c r="L547" s="10"/>
    </row>
    <row r="548" spans="2:12" ht="12.75" customHeight="1">
      <c r="B548" s="10"/>
      <c r="C548" s="607"/>
      <c r="D548" s="607"/>
      <c r="E548" s="607"/>
      <c r="F548" s="607"/>
      <c r="G548" s="607"/>
      <c r="H548" s="607"/>
      <c r="I548" s="607"/>
      <c r="J548" s="607"/>
      <c r="K548" s="607"/>
      <c r="L548" s="10"/>
    </row>
    <row r="549" spans="2:12" ht="12.75" customHeight="1">
      <c r="B549" s="10"/>
      <c r="C549" s="607"/>
      <c r="D549" s="607"/>
      <c r="E549" s="607"/>
      <c r="F549" s="607"/>
      <c r="G549" s="607"/>
      <c r="H549" s="607"/>
      <c r="I549" s="607"/>
      <c r="J549" s="607"/>
      <c r="K549" s="607"/>
      <c r="L549" s="10"/>
    </row>
    <row r="550" spans="2:12" ht="12.75" customHeight="1">
      <c r="B550" s="10"/>
      <c r="C550" s="607"/>
      <c r="D550" s="607"/>
      <c r="E550" s="607"/>
      <c r="F550" s="607"/>
      <c r="G550" s="607"/>
      <c r="H550" s="607"/>
      <c r="I550" s="607"/>
      <c r="J550" s="607"/>
      <c r="K550" s="607"/>
      <c r="L550" s="10"/>
    </row>
    <row r="551" spans="2:12" ht="12.75" customHeight="1">
      <c r="B551" s="10"/>
      <c r="C551" s="607"/>
      <c r="D551" s="607"/>
      <c r="E551" s="607"/>
      <c r="F551" s="607"/>
      <c r="G551" s="607"/>
      <c r="H551" s="607"/>
      <c r="I551" s="607"/>
      <c r="J551" s="607"/>
      <c r="K551" s="607"/>
      <c r="L551" s="10"/>
    </row>
    <row r="552" spans="2:12" ht="12.75" customHeight="1">
      <c r="B552" s="10"/>
      <c r="C552" s="607"/>
      <c r="D552" s="607"/>
      <c r="E552" s="607"/>
      <c r="F552" s="607"/>
      <c r="G552" s="607"/>
      <c r="H552" s="607"/>
      <c r="I552" s="607"/>
      <c r="J552" s="607"/>
      <c r="K552" s="607"/>
      <c r="L552" s="10"/>
    </row>
    <row r="553" spans="2:12" ht="12.75" customHeight="1">
      <c r="B553" s="10"/>
      <c r="C553" s="607"/>
      <c r="D553" s="607"/>
      <c r="E553" s="607"/>
      <c r="F553" s="607"/>
      <c r="G553" s="607"/>
      <c r="H553" s="607"/>
      <c r="I553" s="607"/>
      <c r="J553" s="607"/>
      <c r="K553" s="607"/>
      <c r="L553" s="10"/>
    </row>
    <row r="554" spans="2:12" ht="12.75" customHeight="1">
      <c r="B554" s="10"/>
      <c r="C554" s="607"/>
      <c r="D554" s="607"/>
      <c r="E554" s="607"/>
      <c r="F554" s="607"/>
      <c r="G554" s="607"/>
      <c r="H554" s="607"/>
      <c r="I554" s="607"/>
      <c r="J554" s="607"/>
      <c r="K554" s="607"/>
      <c r="L554" s="10"/>
    </row>
    <row r="555" spans="2:12" ht="12.75" customHeight="1">
      <c r="B555" s="10"/>
      <c r="C555" s="607"/>
      <c r="D555" s="607"/>
      <c r="E555" s="607"/>
      <c r="F555" s="607"/>
      <c r="G555" s="607"/>
      <c r="H555" s="607"/>
      <c r="I555" s="607"/>
      <c r="J555" s="607"/>
      <c r="K555" s="607"/>
      <c r="L555" s="10"/>
    </row>
    <row r="556" spans="2:12" ht="12.75" customHeight="1">
      <c r="B556" s="10"/>
      <c r="C556" s="607"/>
      <c r="D556" s="607"/>
      <c r="E556" s="607"/>
      <c r="F556" s="607"/>
      <c r="G556" s="607"/>
      <c r="H556" s="607"/>
      <c r="I556" s="607"/>
      <c r="J556" s="607"/>
      <c r="K556" s="607"/>
      <c r="L556" s="10"/>
    </row>
    <row r="557" spans="2:12" ht="12.75" customHeight="1">
      <c r="B557" s="10"/>
      <c r="C557" s="607"/>
      <c r="D557" s="607"/>
      <c r="E557" s="607"/>
      <c r="F557" s="607"/>
      <c r="G557" s="607"/>
      <c r="H557" s="607"/>
      <c r="I557" s="607"/>
      <c r="J557" s="607"/>
      <c r="K557" s="607"/>
      <c r="L557" s="10"/>
    </row>
    <row r="558" spans="2:12" ht="12.75" customHeight="1">
      <c r="B558" s="10"/>
      <c r="C558" s="607"/>
      <c r="D558" s="607"/>
      <c r="E558" s="607"/>
      <c r="F558" s="607"/>
      <c r="G558" s="607"/>
      <c r="H558" s="607"/>
      <c r="I558" s="607"/>
      <c r="J558" s="607"/>
      <c r="K558" s="607"/>
      <c r="L558" s="10"/>
    </row>
    <row r="559" spans="2:12" ht="12.75" customHeight="1">
      <c r="B559" s="10"/>
      <c r="C559" s="607"/>
      <c r="D559" s="607"/>
      <c r="E559" s="607"/>
      <c r="F559" s="607"/>
      <c r="G559" s="607"/>
      <c r="H559" s="607"/>
      <c r="I559" s="607"/>
      <c r="J559" s="607"/>
      <c r="K559" s="607"/>
      <c r="L559" s="10"/>
    </row>
    <row r="560" spans="2:12" ht="12.75" customHeight="1">
      <c r="B560" s="10"/>
      <c r="C560" s="607"/>
      <c r="D560" s="607"/>
      <c r="E560" s="607"/>
      <c r="F560" s="607"/>
      <c r="G560" s="607"/>
      <c r="H560" s="607"/>
      <c r="I560" s="607"/>
      <c r="J560" s="607"/>
      <c r="K560" s="607"/>
      <c r="L560" s="10"/>
    </row>
    <row r="561" spans="2:12" ht="12.75" customHeight="1">
      <c r="B561" s="10"/>
      <c r="C561" s="607"/>
      <c r="D561" s="607"/>
      <c r="E561" s="607"/>
      <c r="F561" s="607"/>
      <c r="G561" s="607"/>
      <c r="H561" s="607"/>
      <c r="I561" s="607"/>
      <c r="J561" s="607"/>
      <c r="K561" s="607"/>
      <c r="L561" s="10"/>
    </row>
    <row r="562" spans="2:12" ht="12.75" customHeight="1">
      <c r="B562" s="10"/>
      <c r="C562" s="1440" t="s">
        <v>491</v>
      </c>
      <c r="D562" s="1440"/>
      <c r="E562" s="1440"/>
      <c r="F562" s="1440"/>
      <c r="G562" s="1440"/>
      <c r="H562" s="1440"/>
      <c r="I562" s="1440"/>
      <c r="J562" s="1440"/>
      <c r="K562" s="1440"/>
      <c r="L562" s="10"/>
    </row>
    <row r="563" spans="2:12" ht="12.75" customHeight="1">
      <c r="B563" s="10"/>
      <c r="C563" s="607"/>
      <c r="D563" s="607"/>
      <c r="E563" s="607"/>
      <c r="F563" s="607"/>
      <c r="G563" s="607"/>
      <c r="H563" s="607"/>
      <c r="I563" s="607"/>
      <c r="J563" s="607"/>
      <c r="K563" s="607"/>
      <c r="L563" s="10"/>
    </row>
    <row r="564" spans="2:12" ht="12.75" customHeight="1">
      <c r="B564" s="10"/>
      <c r="C564" s="607"/>
      <c r="D564" s="607"/>
      <c r="E564" s="607"/>
      <c r="F564" s="607"/>
      <c r="G564" s="607"/>
      <c r="H564" s="607"/>
      <c r="I564" s="607"/>
      <c r="J564" s="607"/>
      <c r="K564" s="607"/>
      <c r="L564" s="10"/>
    </row>
    <row r="565" spans="2:12" ht="12.75" customHeight="1">
      <c r="B565" s="10"/>
      <c r="C565" s="607"/>
      <c r="D565" s="607"/>
      <c r="E565" s="607"/>
      <c r="F565" s="607"/>
      <c r="G565" s="607"/>
      <c r="H565" s="607"/>
      <c r="I565" s="607"/>
      <c r="J565" s="607"/>
      <c r="K565" s="607"/>
      <c r="L565" s="10"/>
    </row>
    <row r="566" spans="2:12" ht="12.75" customHeight="1">
      <c r="B566" s="10"/>
      <c r="C566" s="632"/>
      <c r="D566" s="632"/>
      <c r="E566" s="632"/>
      <c r="F566" s="632"/>
      <c r="G566" s="632"/>
      <c r="H566" s="632"/>
      <c r="I566" s="632"/>
      <c r="J566" s="632"/>
      <c r="K566" s="632"/>
      <c r="L566" s="10"/>
    </row>
    <row r="567" spans="2:12" ht="12.75" customHeight="1">
      <c r="B567" s="10"/>
      <c r="C567" s="632"/>
      <c r="D567" s="632"/>
      <c r="E567" s="632"/>
      <c r="F567" s="632"/>
      <c r="G567" s="632"/>
      <c r="H567" s="632"/>
      <c r="I567" s="632"/>
      <c r="J567" s="632"/>
      <c r="K567" s="632"/>
      <c r="L567" s="10"/>
    </row>
    <row r="568" spans="2:12" ht="12.75" customHeight="1">
      <c r="B568" s="10"/>
      <c r="C568" s="1468" t="s">
        <v>798</v>
      </c>
      <c r="D568" s="1468"/>
      <c r="E568" s="1468"/>
      <c r="F568" s="1468"/>
      <c r="G568" s="1468"/>
      <c r="H568" s="1468"/>
      <c r="I568" s="1468"/>
      <c r="J568" s="1468"/>
      <c r="K568" s="1468"/>
      <c r="L568" s="10"/>
    </row>
    <row r="569" spans="2:12" ht="12.75" customHeight="1">
      <c r="B569" s="10"/>
      <c r="C569" s="615"/>
      <c r="D569" s="615"/>
      <c r="E569" s="615"/>
      <c r="F569" s="615"/>
      <c r="G569" s="615"/>
      <c r="H569" s="615"/>
      <c r="I569" s="615"/>
      <c r="J569" s="615"/>
      <c r="K569" s="615"/>
      <c r="L569" s="10"/>
    </row>
    <row r="570" spans="2:12" ht="12.75" customHeight="1">
      <c r="B570" s="10"/>
      <c r="C570" s="1463" t="s">
        <v>329</v>
      </c>
      <c r="D570" s="1463"/>
      <c r="E570" s="1463"/>
      <c r="F570" s="1463"/>
      <c r="G570" s="1463"/>
      <c r="H570" s="1463"/>
      <c r="I570" s="1463"/>
      <c r="J570" s="1463"/>
      <c r="K570" s="1463"/>
      <c r="L570" s="10"/>
    </row>
    <row r="571" spans="2:12" ht="12.75" customHeight="1">
      <c r="B571" s="10"/>
      <c r="C571" s="1463"/>
      <c r="D571" s="1463"/>
      <c r="E571" s="1463"/>
      <c r="F571" s="1463"/>
      <c r="G571" s="1463"/>
      <c r="H571" s="1463"/>
      <c r="I571" s="1463"/>
      <c r="J571" s="1463"/>
      <c r="K571" s="1463"/>
      <c r="L571" s="10"/>
    </row>
    <row r="572" spans="2:12" ht="12.75" customHeight="1">
      <c r="B572" s="10"/>
      <c r="C572" s="1463"/>
      <c r="D572" s="1463"/>
      <c r="E572" s="1463"/>
      <c r="F572" s="1463"/>
      <c r="G572" s="1463"/>
      <c r="H572" s="1463"/>
      <c r="I572" s="1463"/>
      <c r="J572" s="1463"/>
      <c r="K572" s="1463"/>
      <c r="L572" s="10"/>
    </row>
    <row r="573" spans="2:12" ht="12.75" customHeight="1">
      <c r="B573" s="10"/>
      <c r="C573" s="1463"/>
      <c r="D573" s="1463"/>
      <c r="E573" s="1463"/>
      <c r="F573" s="1463"/>
      <c r="G573" s="1463"/>
      <c r="H573" s="1463"/>
      <c r="I573" s="1463"/>
      <c r="J573" s="1463"/>
      <c r="K573" s="1463"/>
      <c r="L573" s="10"/>
    </row>
    <row r="574" spans="2:12" ht="12.75" customHeight="1">
      <c r="B574" s="10"/>
      <c r="C574" s="1463"/>
      <c r="D574" s="1463"/>
      <c r="E574" s="1463"/>
      <c r="F574" s="1463"/>
      <c r="G574" s="1463"/>
      <c r="H574" s="1463"/>
      <c r="I574" s="1463"/>
      <c r="J574" s="1463"/>
      <c r="K574" s="1463"/>
      <c r="L574" s="10"/>
    </row>
    <row r="575" spans="2:12" ht="12.75" customHeight="1">
      <c r="B575" s="10"/>
      <c r="C575" s="607"/>
      <c r="D575" s="607"/>
      <c r="E575" s="607"/>
      <c r="F575" s="607"/>
      <c r="G575" s="607"/>
      <c r="H575" s="607"/>
      <c r="I575" s="607"/>
      <c r="J575" s="607"/>
      <c r="K575" s="607"/>
      <c r="L575" s="10"/>
    </row>
    <row r="576" spans="2:12" ht="12.75" customHeight="1">
      <c r="B576" s="10"/>
      <c r="C576" s="607"/>
      <c r="D576" s="607"/>
      <c r="E576" s="607"/>
      <c r="F576" s="607"/>
      <c r="G576" s="607"/>
      <c r="H576" s="607"/>
      <c r="I576" s="607"/>
      <c r="J576" s="607"/>
      <c r="K576" s="607"/>
      <c r="L576" s="10"/>
    </row>
    <row r="577" spans="2:12" ht="12.75" customHeight="1">
      <c r="B577" s="10"/>
      <c r="C577" s="607"/>
      <c r="D577" s="607"/>
      <c r="E577" s="607"/>
      <c r="F577" s="607"/>
      <c r="G577" s="607"/>
      <c r="H577" s="607"/>
      <c r="I577" s="607"/>
      <c r="J577" s="607"/>
      <c r="K577" s="607"/>
      <c r="L577" s="10"/>
    </row>
    <row r="578" spans="2:12" ht="12.75" customHeight="1">
      <c r="B578" s="10"/>
      <c r="C578" s="10"/>
      <c r="D578" s="10"/>
      <c r="E578" s="10"/>
      <c r="F578" s="10"/>
      <c r="G578" s="10"/>
      <c r="H578" s="10"/>
      <c r="I578" s="607"/>
      <c r="J578" s="607"/>
      <c r="K578" s="607"/>
      <c r="L578" s="10"/>
    </row>
    <row r="579" spans="2:12" ht="12.75" customHeight="1">
      <c r="B579" s="10"/>
      <c r="C579" s="607"/>
      <c r="D579" s="607"/>
      <c r="E579" s="607"/>
      <c r="F579" s="607"/>
      <c r="G579" s="607"/>
      <c r="H579" s="607"/>
      <c r="I579" s="607"/>
      <c r="J579" s="607"/>
      <c r="K579" s="607"/>
      <c r="L579" s="10"/>
    </row>
    <row r="580" spans="2:12" ht="12.75" customHeight="1">
      <c r="B580" s="10"/>
      <c r="C580" s="607"/>
      <c r="D580" s="607"/>
      <c r="E580" s="607"/>
      <c r="F580" s="607"/>
      <c r="G580" s="607"/>
      <c r="H580" s="607"/>
      <c r="I580" s="607"/>
      <c r="J580" s="607"/>
      <c r="K580" s="607"/>
      <c r="L580" s="10"/>
    </row>
    <row r="581" spans="2:12" ht="12.75" customHeight="1">
      <c r="B581" s="10"/>
      <c r="C581" s="607"/>
      <c r="D581" s="607"/>
      <c r="E581" s="607"/>
      <c r="F581" s="607"/>
      <c r="G581" s="607"/>
      <c r="H581" s="607"/>
      <c r="I581" s="607"/>
      <c r="J581" s="607"/>
      <c r="K581" s="607"/>
      <c r="L581" s="10"/>
    </row>
    <row r="582" spans="2:12" ht="12.75" customHeight="1">
      <c r="B582" s="10"/>
      <c r="C582" s="607"/>
      <c r="D582" s="607"/>
      <c r="E582" s="607"/>
      <c r="F582" s="607"/>
      <c r="G582" s="607"/>
      <c r="H582" s="607"/>
      <c r="I582" s="607"/>
      <c r="J582" s="607"/>
      <c r="K582" s="607"/>
      <c r="L582" s="10"/>
    </row>
    <row r="583" spans="2:12" ht="12.75" customHeight="1">
      <c r="B583" s="10"/>
      <c r="C583" s="607"/>
      <c r="D583" s="607"/>
      <c r="E583" s="607"/>
      <c r="F583" s="607"/>
      <c r="G583" s="607"/>
      <c r="H583" s="607"/>
      <c r="I583" s="607"/>
      <c r="J583" s="607"/>
      <c r="K583" s="607"/>
      <c r="L583" s="10"/>
    </row>
    <row r="584" spans="2:12" ht="12.75" customHeight="1">
      <c r="B584" s="10"/>
      <c r="C584" s="607"/>
      <c r="D584" s="607"/>
      <c r="E584" s="607"/>
      <c r="F584" s="607"/>
      <c r="G584" s="607"/>
      <c r="H584" s="607"/>
      <c r="I584" s="607"/>
      <c r="J584" s="607"/>
      <c r="K584" s="607"/>
      <c r="L584" s="10"/>
    </row>
    <row r="585" spans="2:12" ht="12.75" customHeight="1">
      <c r="B585" s="10"/>
      <c r="C585" s="607"/>
      <c r="D585" s="607"/>
      <c r="E585" s="607"/>
      <c r="F585" s="607"/>
      <c r="G585" s="607"/>
      <c r="H585" s="607"/>
      <c r="I585" s="607"/>
      <c r="J585" s="607"/>
      <c r="K585" s="607"/>
      <c r="L585" s="10"/>
    </row>
    <row r="586" spans="2:12" ht="12.75" customHeight="1">
      <c r="B586" s="10"/>
      <c r="C586" s="607"/>
      <c r="D586" s="607"/>
      <c r="E586" s="607"/>
      <c r="F586" s="607"/>
      <c r="G586" s="607"/>
      <c r="H586" s="607"/>
      <c r="I586" s="607"/>
      <c r="J586" s="607"/>
      <c r="K586" s="607"/>
      <c r="L586" s="10"/>
    </row>
    <row r="587" spans="2:12" ht="12.75" customHeight="1">
      <c r="B587" s="10"/>
      <c r="C587" s="607"/>
      <c r="D587" s="607"/>
      <c r="E587" s="607"/>
      <c r="F587" s="607"/>
      <c r="G587" s="607"/>
      <c r="H587" s="607"/>
      <c r="I587" s="607"/>
      <c r="J587" s="607"/>
      <c r="K587" s="607"/>
      <c r="L587" s="10"/>
    </row>
    <row r="588" spans="2:12" ht="12.75" customHeight="1">
      <c r="B588" s="10"/>
      <c r="C588" s="607"/>
      <c r="D588" s="607"/>
      <c r="E588" s="607"/>
      <c r="F588" s="607"/>
      <c r="G588" s="607"/>
      <c r="H588" s="607"/>
      <c r="I588" s="607"/>
      <c r="J588" s="607"/>
      <c r="K588" s="607"/>
      <c r="L588" s="10"/>
    </row>
    <row r="589" spans="2:12" ht="12.75" customHeight="1">
      <c r="B589" s="10"/>
      <c r="C589" s="607"/>
      <c r="D589" s="607"/>
      <c r="E589" s="607"/>
      <c r="F589" s="607"/>
      <c r="G589" s="607"/>
      <c r="H589" s="607"/>
      <c r="I589" s="607"/>
      <c r="J589" s="607"/>
      <c r="K589" s="607"/>
      <c r="L589" s="10"/>
    </row>
    <row r="590" spans="2:12" ht="12.75" customHeight="1">
      <c r="B590" s="10"/>
      <c r="C590" s="607"/>
      <c r="D590" s="607"/>
      <c r="E590" s="607"/>
      <c r="F590" s="607"/>
      <c r="G590" s="607"/>
      <c r="H590" s="607"/>
      <c r="I590" s="607"/>
      <c r="J590" s="607"/>
      <c r="K590" s="607"/>
      <c r="L590" s="10"/>
    </row>
    <row r="591" spans="2:12" ht="12.75" customHeight="1">
      <c r="B591" s="10"/>
      <c r="C591" s="607"/>
      <c r="D591" s="607"/>
      <c r="E591" s="607"/>
      <c r="F591" s="607"/>
      <c r="G591" s="607"/>
      <c r="H591" s="607"/>
      <c r="I591" s="607"/>
      <c r="J591" s="607"/>
      <c r="K591" s="607"/>
      <c r="L591" s="10"/>
    </row>
    <row r="592" spans="2:12" ht="12.75" customHeight="1">
      <c r="B592" s="10"/>
      <c r="C592" s="607"/>
      <c r="D592" s="607"/>
      <c r="E592" s="607"/>
      <c r="F592" s="607"/>
      <c r="G592" s="607"/>
      <c r="H592" s="607"/>
      <c r="I592" s="607"/>
      <c r="J592" s="607"/>
      <c r="K592" s="607"/>
      <c r="L592" s="10"/>
    </row>
    <row r="593" spans="2:12" ht="12.75" customHeight="1">
      <c r="B593" s="10"/>
      <c r="C593" s="607"/>
      <c r="D593" s="607"/>
      <c r="E593" s="607"/>
      <c r="F593" s="607"/>
      <c r="G593" s="607"/>
      <c r="H593" s="607"/>
      <c r="I593" s="607"/>
      <c r="J593" s="607"/>
      <c r="K593" s="607"/>
      <c r="L593" s="10"/>
    </row>
    <row r="594" spans="2:12" ht="12.75" customHeight="1">
      <c r="B594" s="10"/>
      <c r="C594" s="607"/>
      <c r="D594" s="607"/>
      <c r="E594" s="607"/>
      <c r="F594" s="607"/>
      <c r="G594" s="607"/>
      <c r="H594" s="607"/>
      <c r="I594" s="607"/>
      <c r="J594" s="607"/>
      <c r="K594" s="607"/>
      <c r="L594" s="10"/>
    </row>
    <row r="595" spans="2:12" ht="12.75" customHeight="1">
      <c r="B595" s="10"/>
      <c r="C595" s="607"/>
      <c r="D595" s="607"/>
      <c r="E595" s="607"/>
      <c r="F595" s="607"/>
      <c r="G595" s="607"/>
      <c r="H595" s="607"/>
      <c r="I595" s="607"/>
      <c r="J595" s="607"/>
      <c r="K595" s="607"/>
      <c r="L595" s="10"/>
    </row>
    <row r="596" spans="2:12" ht="12.75" customHeight="1">
      <c r="B596" s="10"/>
      <c r="C596" s="1440" t="s">
        <v>492</v>
      </c>
      <c r="D596" s="1440"/>
      <c r="E596" s="1440"/>
      <c r="F596" s="1440"/>
      <c r="G596" s="1440"/>
      <c r="H596" s="1440"/>
      <c r="I596" s="1440"/>
      <c r="J596" s="1440"/>
      <c r="K596" s="1440"/>
      <c r="L596" s="10"/>
    </row>
    <row r="597" spans="2:12" ht="12.75" customHeight="1">
      <c r="B597" s="10"/>
      <c r="C597" s="607"/>
      <c r="D597" s="607"/>
      <c r="E597" s="607"/>
      <c r="F597" s="607"/>
      <c r="G597" s="607"/>
      <c r="H597" s="607"/>
      <c r="I597" s="607"/>
      <c r="J597" s="607"/>
      <c r="K597" s="607"/>
      <c r="L597" s="10"/>
    </row>
    <row r="598" spans="2:12" ht="12.75" customHeight="1">
      <c r="B598" s="10"/>
      <c r="C598" s="10"/>
      <c r="D598" s="10"/>
      <c r="E598" s="10"/>
      <c r="F598" s="10"/>
      <c r="G598" s="10"/>
      <c r="H598" s="10"/>
      <c r="I598" s="10"/>
      <c r="J598" s="10"/>
      <c r="K598" s="10"/>
      <c r="L598" s="10"/>
    </row>
    <row r="599" spans="2:12" ht="12.75" customHeight="1">
      <c r="B599" s="10"/>
      <c r="C599" s="1468" t="s">
        <v>799</v>
      </c>
      <c r="D599" s="1468"/>
      <c r="E599" s="1468"/>
      <c r="F599" s="1468"/>
      <c r="G599" s="1468"/>
      <c r="H599" s="1468"/>
      <c r="I599" s="1468"/>
      <c r="J599" s="1468"/>
      <c r="K599" s="1468"/>
      <c r="L599" s="10"/>
    </row>
    <row r="600" spans="2:12" ht="12.75" customHeight="1">
      <c r="B600" s="10"/>
      <c r="C600" s="615"/>
      <c r="D600" s="615"/>
      <c r="E600" s="615"/>
      <c r="F600" s="615"/>
      <c r="G600" s="615"/>
      <c r="H600" s="615"/>
      <c r="I600" s="615"/>
      <c r="J600" s="615"/>
      <c r="K600" s="615"/>
      <c r="L600" s="10"/>
    </row>
    <row r="601" spans="2:12" ht="12.75" customHeight="1">
      <c r="B601" s="10"/>
      <c r="C601" s="1463" t="s">
        <v>493</v>
      </c>
      <c r="D601" s="1463"/>
      <c r="E601" s="1463"/>
      <c r="F601" s="1463"/>
      <c r="G601" s="1463"/>
      <c r="H601" s="1463"/>
      <c r="I601" s="1463"/>
      <c r="J601" s="1463"/>
      <c r="K601" s="1463"/>
      <c r="L601" s="10"/>
    </row>
    <row r="602" spans="2:12" ht="12.75" customHeight="1">
      <c r="B602" s="10"/>
      <c r="C602" s="1463"/>
      <c r="D602" s="1463"/>
      <c r="E602" s="1463"/>
      <c r="F602" s="1463"/>
      <c r="G602" s="1463"/>
      <c r="H602" s="1463"/>
      <c r="I602" s="1463"/>
      <c r="J602" s="1463"/>
      <c r="K602" s="1463"/>
      <c r="L602" s="10"/>
    </row>
    <row r="603" spans="2:12" ht="12.75" customHeight="1">
      <c r="B603" s="10"/>
      <c r="C603" s="607"/>
      <c r="D603" s="607"/>
      <c r="E603" s="607"/>
      <c r="F603" s="607"/>
      <c r="G603" s="607"/>
      <c r="H603" s="607"/>
      <c r="I603" s="607"/>
      <c r="J603" s="607"/>
      <c r="K603" s="607"/>
      <c r="L603" s="10"/>
    </row>
    <row r="604" spans="2:12" ht="12.75" customHeight="1">
      <c r="B604" s="10"/>
      <c r="C604" s="1463" t="s">
        <v>330</v>
      </c>
      <c r="D604" s="1463"/>
      <c r="E604" s="1463"/>
      <c r="F604" s="1463"/>
      <c r="G604" s="1463"/>
      <c r="H604" s="1463"/>
      <c r="I604" s="1463"/>
      <c r="J604" s="1463"/>
      <c r="K604" s="1463"/>
      <c r="L604" s="10"/>
    </row>
    <row r="605" spans="2:12" ht="12.75" customHeight="1">
      <c r="B605" s="10"/>
      <c r="C605" s="1463"/>
      <c r="D605" s="1463"/>
      <c r="E605" s="1463"/>
      <c r="F605" s="1463"/>
      <c r="G605" s="1463"/>
      <c r="H605" s="1463"/>
      <c r="I605" s="1463"/>
      <c r="J605" s="1463"/>
      <c r="K605" s="1463"/>
      <c r="L605" s="10"/>
    </row>
    <row r="606" spans="2:12" ht="12.75" customHeight="1">
      <c r="B606" s="10"/>
      <c r="C606" s="1463"/>
      <c r="D606" s="1463"/>
      <c r="E606" s="1463"/>
      <c r="F606" s="1463"/>
      <c r="G606" s="1463"/>
      <c r="H606" s="1463"/>
      <c r="I606" s="1463"/>
      <c r="J606" s="1463"/>
      <c r="K606" s="1463"/>
      <c r="L606" s="10"/>
    </row>
    <row r="607" spans="2:12" ht="12.75" customHeight="1">
      <c r="B607" s="10"/>
      <c r="C607" s="1463"/>
      <c r="D607" s="1463"/>
      <c r="E607" s="1463"/>
      <c r="F607" s="1463"/>
      <c r="G607" s="1463"/>
      <c r="H607" s="1463"/>
      <c r="I607" s="1463"/>
      <c r="J607" s="1463"/>
      <c r="K607" s="1463"/>
      <c r="L607" s="10"/>
    </row>
    <row r="608" spans="2:12" ht="12.75" customHeight="1">
      <c r="B608" s="10"/>
      <c r="C608" s="607"/>
      <c r="D608" s="607"/>
      <c r="E608" s="607"/>
      <c r="F608" s="607"/>
      <c r="G608" s="607"/>
      <c r="H608" s="607"/>
      <c r="I608" s="607"/>
      <c r="J608" s="607"/>
      <c r="K608" s="607"/>
      <c r="L608" s="10"/>
    </row>
    <row r="609" spans="2:12" ht="12.75" customHeight="1">
      <c r="B609" s="10"/>
      <c r="C609" s="1463" t="s">
        <v>254</v>
      </c>
      <c r="D609" s="1463"/>
      <c r="E609" s="1463"/>
      <c r="F609" s="1463"/>
      <c r="G609" s="1463"/>
      <c r="H609" s="1463"/>
      <c r="I609" s="1463"/>
      <c r="J609" s="1463"/>
      <c r="K609" s="1463"/>
      <c r="L609" s="10"/>
    </row>
    <row r="610" spans="2:12" ht="12.75" customHeight="1">
      <c r="B610" s="10"/>
      <c r="C610" s="1463"/>
      <c r="D610" s="1463"/>
      <c r="E610" s="1463"/>
      <c r="F610" s="1463"/>
      <c r="G610" s="1463"/>
      <c r="H610" s="1463"/>
      <c r="I610" s="1463"/>
      <c r="J610" s="1463"/>
      <c r="K610" s="1463"/>
      <c r="L610" s="10"/>
    </row>
    <row r="611" spans="2:12" ht="12.75" customHeight="1">
      <c r="B611" s="10"/>
      <c r="C611" s="1463"/>
      <c r="D611" s="1463"/>
      <c r="E611" s="1463"/>
      <c r="F611" s="1463"/>
      <c r="G611" s="1463"/>
      <c r="H611" s="1463"/>
      <c r="I611" s="1463"/>
      <c r="J611" s="1463"/>
      <c r="K611" s="1463"/>
      <c r="L611" s="10"/>
    </row>
    <row r="612" spans="2:12" ht="12.75" customHeight="1">
      <c r="B612" s="10"/>
      <c r="C612" s="1463"/>
      <c r="D612" s="1463"/>
      <c r="E612" s="1463"/>
      <c r="F612" s="1463"/>
      <c r="G612" s="1463"/>
      <c r="H612" s="1463"/>
      <c r="I612" s="1463"/>
      <c r="J612" s="1463"/>
      <c r="K612" s="1463"/>
      <c r="L612" s="10"/>
    </row>
    <row r="613" spans="2:12" ht="12.75" customHeight="1">
      <c r="B613" s="10"/>
      <c r="C613" s="607"/>
      <c r="D613" s="607"/>
      <c r="E613" s="607"/>
      <c r="F613" s="607"/>
      <c r="G613" s="607"/>
      <c r="H613" s="607"/>
      <c r="I613" s="607"/>
      <c r="J613" s="607"/>
      <c r="K613" s="607"/>
      <c r="L613" s="10"/>
    </row>
    <row r="614" spans="2:12" ht="12.75" customHeight="1">
      <c r="B614" s="10"/>
      <c r="C614" s="1463" t="s">
        <v>719</v>
      </c>
      <c r="D614" s="1463"/>
      <c r="E614" s="1463"/>
      <c r="F614" s="1463"/>
      <c r="G614" s="1463"/>
      <c r="H614" s="1463"/>
      <c r="I614" s="1463"/>
      <c r="J614" s="1463"/>
      <c r="K614" s="1463"/>
      <c r="L614" s="10"/>
    </row>
    <row r="615" spans="2:12" ht="12.75" customHeight="1">
      <c r="B615" s="10"/>
      <c r="C615" s="1463"/>
      <c r="D615" s="1463"/>
      <c r="E615" s="1463"/>
      <c r="F615" s="1463"/>
      <c r="G615" s="1463"/>
      <c r="H615" s="1463"/>
      <c r="I615" s="1463"/>
      <c r="J615" s="1463"/>
      <c r="K615" s="1463"/>
      <c r="L615" s="10"/>
    </row>
    <row r="616" spans="2:12" ht="12.75" customHeight="1">
      <c r="B616" s="10"/>
      <c r="C616" s="1463"/>
      <c r="D616" s="1463"/>
      <c r="E616" s="1463"/>
      <c r="F616" s="1463"/>
      <c r="G616" s="1463"/>
      <c r="H616" s="1463"/>
      <c r="I616" s="1463"/>
      <c r="J616" s="1463"/>
      <c r="K616" s="1463"/>
      <c r="L616" s="10"/>
    </row>
    <row r="617" spans="2:12" ht="12.75" customHeight="1">
      <c r="B617" s="10"/>
      <c r="C617" s="1463"/>
      <c r="D617" s="1463"/>
      <c r="E617" s="1463"/>
      <c r="F617" s="1463"/>
      <c r="G617" s="1463"/>
      <c r="H617" s="1463"/>
      <c r="I617" s="1463"/>
      <c r="J617" s="1463"/>
      <c r="K617" s="1463"/>
      <c r="L617" s="10"/>
    </row>
    <row r="618" spans="2:12" ht="12.75" customHeight="1">
      <c r="B618" s="10"/>
      <c r="C618" s="1463"/>
      <c r="D618" s="1463"/>
      <c r="E618" s="1463"/>
      <c r="F618" s="1463"/>
      <c r="G618" s="1463"/>
      <c r="H618" s="1463"/>
      <c r="I618" s="1463"/>
      <c r="J618" s="1463"/>
      <c r="K618" s="1463"/>
      <c r="L618" s="10"/>
    </row>
    <row r="619" spans="2:12" ht="12.75" customHeight="1">
      <c r="B619" s="10"/>
      <c r="C619" s="1463"/>
      <c r="D619" s="1463"/>
      <c r="E619" s="1463"/>
      <c r="F619" s="1463"/>
      <c r="G619" s="1463"/>
      <c r="H619" s="1463"/>
      <c r="I619" s="1463"/>
      <c r="J619" s="1463"/>
      <c r="K619" s="1463"/>
      <c r="L619" s="10"/>
    </row>
    <row r="620" spans="2:12" ht="12.75" customHeight="1">
      <c r="B620" s="10"/>
      <c r="C620" s="607"/>
      <c r="D620" s="607"/>
      <c r="E620" s="607"/>
      <c r="F620" s="607"/>
      <c r="G620" s="607"/>
      <c r="H620" s="607"/>
      <c r="I620" s="607"/>
      <c r="J620" s="607"/>
      <c r="K620" s="607"/>
      <c r="L620" s="10"/>
    </row>
    <row r="621" spans="2:12" ht="12.75" customHeight="1">
      <c r="B621" s="10"/>
      <c r="C621" s="1463" t="s">
        <v>494</v>
      </c>
      <c r="D621" s="1463"/>
      <c r="E621" s="1463"/>
      <c r="F621" s="1463"/>
      <c r="G621" s="1463"/>
      <c r="H621" s="1463"/>
      <c r="I621" s="1463"/>
      <c r="J621" s="1463"/>
      <c r="K621" s="1463"/>
      <c r="L621" s="10"/>
    </row>
    <row r="622" spans="2:12" ht="12.75" customHeight="1">
      <c r="B622" s="10"/>
      <c r="C622" s="1463"/>
      <c r="D622" s="1463"/>
      <c r="E622" s="1463"/>
      <c r="F622" s="1463"/>
      <c r="G622" s="1463"/>
      <c r="H622" s="1463"/>
      <c r="I622" s="1463"/>
      <c r="J622" s="1463"/>
      <c r="K622" s="1463"/>
      <c r="L622" s="10"/>
    </row>
    <row r="623" spans="2:12" ht="12.75" customHeight="1">
      <c r="B623" s="10"/>
      <c r="C623" s="10"/>
      <c r="D623" s="10"/>
      <c r="E623" s="10"/>
      <c r="F623" s="10"/>
      <c r="G623" s="10"/>
      <c r="H623" s="10"/>
      <c r="I623" s="10"/>
      <c r="J623" s="10"/>
      <c r="K623" s="10"/>
      <c r="L623" s="10"/>
    </row>
    <row r="624" spans="2:12" ht="12.75" customHeight="1">
      <c r="B624" s="10"/>
      <c r="C624" s="10"/>
      <c r="D624" s="10"/>
      <c r="E624" s="10"/>
      <c r="F624" s="10"/>
      <c r="G624" s="10"/>
      <c r="H624" s="10"/>
      <c r="I624" s="10"/>
      <c r="J624" s="10"/>
      <c r="K624" s="10"/>
      <c r="L624" s="10"/>
    </row>
    <row r="625" spans="2:12" ht="12.75" customHeight="1">
      <c r="B625" s="10"/>
      <c r="C625" s="10"/>
      <c r="D625" s="10"/>
      <c r="E625" s="10"/>
      <c r="F625" s="10"/>
      <c r="G625" s="10"/>
      <c r="H625" s="10"/>
      <c r="I625" s="10"/>
      <c r="J625" s="10"/>
      <c r="K625" s="10"/>
      <c r="L625" s="10"/>
    </row>
    <row r="626" spans="2:12" ht="12.75" customHeight="1">
      <c r="B626" s="10"/>
      <c r="C626" s="10"/>
      <c r="D626" s="10"/>
      <c r="E626" s="10"/>
      <c r="F626" s="10"/>
      <c r="G626" s="10"/>
      <c r="H626" s="10"/>
      <c r="I626" s="10"/>
      <c r="J626" s="10"/>
      <c r="K626" s="10"/>
      <c r="L626" s="10"/>
    </row>
    <row r="627" spans="2:12" ht="12.75" customHeight="1">
      <c r="B627" s="10"/>
      <c r="C627" s="10"/>
      <c r="D627" s="10"/>
      <c r="E627" s="10"/>
      <c r="F627" s="10"/>
      <c r="G627" s="10"/>
      <c r="H627" s="10"/>
      <c r="I627" s="10"/>
      <c r="J627" s="10"/>
      <c r="K627" s="10"/>
      <c r="L627" s="10"/>
    </row>
    <row r="628" spans="2:12" ht="12.75" customHeight="1">
      <c r="B628" s="10"/>
      <c r="C628" s="10"/>
      <c r="D628" s="10"/>
      <c r="E628" s="10"/>
      <c r="F628" s="10"/>
      <c r="G628" s="10"/>
      <c r="H628" s="10"/>
      <c r="I628" s="10"/>
      <c r="J628" s="10"/>
      <c r="K628" s="10"/>
      <c r="L628" s="10"/>
    </row>
    <row r="629" spans="2:12" ht="12.75" customHeight="1">
      <c r="B629" s="10"/>
      <c r="C629" s="10"/>
      <c r="D629" s="10"/>
      <c r="E629" s="10"/>
      <c r="F629" s="10"/>
      <c r="G629" s="10"/>
      <c r="H629" s="10"/>
      <c r="I629" s="10"/>
      <c r="J629" s="10"/>
      <c r="K629" s="10"/>
      <c r="L629" s="10"/>
    </row>
    <row r="630" spans="2:12" ht="12.75" customHeight="1">
      <c r="B630" s="10"/>
      <c r="C630" s="10"/>
      <c r="D630" s="10"/>
      <c r="E630" s="10"/>
      <c r="F630" s="10"/>
      <c r="G630" s="10"/>
      <c r="H630" s="10"/>
      <c r="I630" s="10"/>
      <c r="J630" s="10"/>
      <c r="K630" s="10"/>
      <c r="L630" s="10"/>
    </row>
    <row r="631" spans="2:12" ht="12.75" customHeight="1">
      <c r="B631" s="10"/>
      <c r="C631" s="10"/>
      <c r="D631" s="10"/>
      <c r="E631" s="10"/>
      <c r="F631" s="10"/>
      <c r="G631" s="10"/>
      <c r="H631" s="10"/>
      <c r="I631" s="10"/>
      <c r="J631" s="10"/>
      <c r="K631" s="10"/>
      <c r="L631" s="10"/>
    </row>
    <row r="632" spans="2:12" ht="12.75" customHeight="1">
      <c r="B632" s="10"/>
      <c r="C632" s="10"/>
      <c r="D632" s="10"/>
      <c r="E632" s="10"/>
      <c r="F632" s="10"/>
      <c r="G632" s="10"/>
      <c r="H632" s="10"/>
      <c r="I632" s="10"/>
      <c r="J632" s="10"/>
      <c r="K632" s="10"/>
      <c r="L632" s="10"/>
    </row>
    <row r="633" spans="2:12" ht="12.75" customHeight="1">
      <c r="B633" s="10"/>
      <c r="C633" s="10"/>
      <c r="D633" s="10"/>
      <c r="E633" s="10"/>
      <c r="F633" s="10"/>
      <c r="G633" s="10"/>
      <c r="H633" s="10"/>
      <c r="I633" s="10"/>
      <c r="J633" s="10"/>
      <c r="K633" s="10"/>
      <c r="L633" s="10"/>
    </row>
    <row r="634" spans="2:12" ht="12.75" customHeight="1">
      <c r="B634" s="10"/>
      <c r="C634" s="10"/>
      <c r="D634" s="10"/>
      <c r="E634" s="10"/>
      <c r="F634" s="10"/>
      <c r="G634" s="10"/>
      <c r="H634" s="10"/>
      <c r="I634" s="10"/>
      <c r="J634" s="10"/>
      <c r="K634" s="10"/>
      <c r="L634" s="10"/>
    </row>
    <row r="635" spans="2:12" ht="12.75" customHeight="1">
      <c r="B635" s="10"/>
      <c r="C635" s="10"/>
      <c r="D635" s="10"/>
      <c r="E635" s="10"/>
      <c r="F635" s="10"/>
      <c r="G635" s="10"/>
      <c r="H635" s="10"/>
      <c r="I635" s="10"/>
      <c r="J635" s="10"/>
      <c r="K635" s="10"/>
      <c r="L635" s="10"/>
    </row>
    <row r="636" spans="2:12" ht="12.75" customHeight="1">
      <c r="B636" s="10"/>
      <c r="C636" s="10"/>
      <c r="D636" s="10"/>
      <c r="E636" s="10"/>
      <c r="F636" s="10"/>
      <c r="G636" s="10"/>
      <c r="H636" s="10"/>
      <c r="I636" s="10"/>
      <c r="J636" s="10"/>
      <c r="K636" s="10"/>
      <c r="L636" s="10"/>
    </row>
    <row r="637" spans="2:12" ht="12.75" customHeight="1">
      <c r="B637" s="10"/>
      <c r="C637" s="10"/>
      <c r="D637" s="10"/>
      <c r="E637" s="10"/>
      <c r="F637" s="10"/>
      <c r="G637" s="10"/>
      <c r="H637" s="10"/>
      <c r="I637" s="10"/>
      <c r="J637" s="10"/>
      <c r="K637" s="10"/>
      <c r="L637" s="10"/>
    </row>
    <row r="638" spans="2:12" ht="12.75" customHeight="1">
      <c r="B638" s="10"/>
      <c r="C638" s="10"/>
      <c r="D638" s="10"/>
      <c r="E638" s="10"/>
      <c r="F638" s="10"/>
      <c r="G638" s="10"/>
      <c r="H638" s="10"/>
      <c r="I638" s="10"/>
      <c r="J638" s="10"/>
      <c r="K638" s="10"/>
      <c r="L638" s="10"/>
    </row>
    <row r="639" spans="2:12" ht="12.75" customHeight="1">
      <c r="B639" s="10"/>
      <c r="C639" s="10"/>
      <c r="D639" s="10"/>
      <c r="E639" s="10"/>
      <c r="F639" s="10"/>
      <c r="G639" s="10"/>
      <c r="H639" s="10"/>
      <c r="I639" s="10"/>
      <c r="J639" s="10"/>
      <c r="K639" s="10"/>
      <c r="L639" s="10"/>
    </row>
    <row r="640" spans="2:12" ht="12.75" customHeight="1">
      <c r="B640" s="10"/>
      <c r="C640" s="10"/>
      <c r="D640" s="10"/>
      <c r="E640" s="10"/>
      <c r="F640" s="10"/>
      <c r="G640" s="10"/>
      <c r="H640" s="10"/>
      <c r="I640" s="10"/>
      <c r="J640" s="10"/>
      <c r="K640" s="10"/>
      <c r="L640" s="10"/>
    </row>
    <row r="641" spans="2:12" ht="12.75" customHeight="1">
      <c r="B641" s="10"/>
      <c r="C641" s="10"/>
      <c r="D641" s="10"/>
      <c r="E641" s="10"/>
      <c r="F641" s="10"/>
      <c r="G641" s="10"/>
      <c r="H641" s="10"/>
      <c r="I641" s="10"/>
      <c r="J641" s="10"/>
      <c r="K641" s="10"/>
      <c r="L641" s="10"/>
    </row>
    <row r="642" spans="2:12" ht="12.75" customHeight="1">
      <c r="B642" s="10"/>
      <c r="C642" s="10"/>
      <c r="D642" s="10"/>
      <c r="E642" s="10"/>
      <c r="F642" s="10"/>
      <c r="G642" s="10"/>
      <c r="H642" s="10"/>
      <c r="I642" s="10"/>
      <c r="J642" s="10"/>
      <c r="K642" s="10"/>
      <c r="L642" s="10"/>
    </row>
    <row r="643" spans="2:12" ht="12.75" customHeight="1">
      <c r="B643" s="10"/>
      <c r="C643" s="10"/>
      <c r="D643" s="10"/>
      <c r="E643" s="10"/>
      <c r="F643" s="10"/>
      <c r="G643" s="10"/>
      <c r="H643" s="10"/>
      <c r="I643" s="10"/>
      <c r="J643" s="10"/>
      <c r="K643" s="10"/>
      <c r="L643" s="10"/>
    </row>
    <row r="644" spans="2:12" ht="12.75" customHeight="1">
      <c r="B644" s="10"/>
      <c r="C644" s="10"/>
      <c r="D644" s="10"/>
      <c r="E644" s="10"/>
      <c r="F644" s="10"/>
      <c r="G644" s="10"/>
      <c r="H644" s="10"/>
      <c r="I644" s="10"/>
      <c r="J644" s="10"/>
      <c r="K644" s="10"/>
      <c r="L644" s="10"/>
    </row>
    <row r="645" spans="2:12" ht="12.75" customHeight="1">
      <c r="B645" s="10"/>
      <c r="C645" s="10"/>
      <c r="D645" s="10"/>
      <c r="E645" s="10"/>
      <c r="F645" s="10"/>
      <c r="G645" s="10"/>
      <c r="H645" s="10"/>
      <c r="I645" s="10"/>
      <c r="J645" s="10"/>
      <c r="K645" s="10"/>
      <c r="L645" s="10"/>
    </row>
    <row r="646" spans="2:12" ht="12.75" customHeight="1">
      <c r="B646" s="10"/>
      <c r="C646" s="10"/>
      <c r="D646" s="10"/>
      <c r="E646" s="10"/>
      <c r="F646" s="10"/>
      <c r="G646" s="10"/>
      <c r="H646" s="10"/>
      <c r="I646" s="10"/>
      <c r="J646" s="10"/>
      <c r="K646" s="10"/>
      <c r="L646" s="10"/>
    </row>
    <row r="647" spans="2:12" ht="12.75" customHeight="1">
      <c r="B647" s="10"/>
      <c r="C647" s="10"/>
      <c r="D647" s="10"/>
      <c r="E647" s="10"/>
      <c r="F647" s="10"/>
      <c r="G647" s="10"/>
      <c r="H647" s="10"/>
      <c r="I647" s="10"/>
      <c r="J647" s="10"/>
      <c r="K647" s="10"/>
      <c r="L647" s="10"/>
    </row>
    <row r="648" spans="2:12" ht="12.75" customHeight="1">
      <c r="B648" s="10"/>
      <c r="C648" s="10"/>
      <c r="D648" s="10"/>
      <c r="E648" s="10"/>
      <c r="F648" s="10"/>
      <c r="G648" s="10"/>
      <c r="H648" s="10"/>
      <c r="I648" s="10"/>
      <c r="J648" s="10"/>
      <c r="K648" s="10"/>
      <c r="L648" s="10"/>
    </row>
    <row r="649" spans="2:12" ht="12.75" customHeight="1">
      <c r="B649" s="10"/>
      <c r="C649" s="1440" t="s">
        <v>495</v>
      </c>
      <c r="D649" s="1440"/>
      <c r="E649" s="1440"/>
      <c r="F649" s="1440"/>
      <c r="G649" s="1440"/>
      <c r="H649" s="1440"/>
      <c r="I649" s="1440"/>
      <c r="J649" s="1440"/>
      <c r="K649" s="1440"/>
      <c r="L649" s="10"/>
    </row>
    <row r="650" spans="2:12" ht="12.75" customHeight="1">
      <c r="B650" s="10"/>
      <c r="C650" s="10"/>
      <c r="D650" s="10"/>
      <c r="E650" s="10"/>
      <c r="F650" s="10"/>
      <c r="G650" s="10"/>
      <c r="H650" s="10"/>
      <c r="I650" s="10"/>
      <c r="J650" s="10"/>
      <c r="K650" s="10"/>
      <c r="L650" s="10"/>
    </row>
    <row r="651" spans="2:12" ht="12.75" customHeight="1">
      <c r="B651" s="10"/>
      <c r="C651" s="10"/>
      <c r="D651" s="10"/>
      <c r="E651" s="10"/>
      <c r="F651" s="10"/>
      <c r="G651" s="10"/>
      <c r="H651" s="10"/>
      <c r="I651" s="10"/>
      <c r="J651" s="10"/>
      <c r="K651" s="10"/>
      <c r="L651" s="10"/>
    </row>
    <row r="652" spans="2:12" ht="12.75" customHeight="1">
      <c r="B652" s="10"/>
      <c r="C652" s="1468" t="s">
        <v>800</v>
      </c>
      <c r="D652" s="1468"/>
      <c r="E652" s="1468"/>
      <c r="F652" s="1468"/>
      <c r="G652" s="1468"/>
      <c r="H652" s="1468"/>
      <c r="I652" s="1468"/>
      <c r="J652" s="1468"/>
      <c r="K652" s="1468"/>
      <c r="L652" s="10"/>
    </row>
    <row r="653" spans="2:12" ht="12.75" customHeight="1">
      <c r="B653" s="10"/>
      <c r="C653" s="615"/>
      <c r="D653" s="615"/>
      <c r="E653" s="615"/>
      <c r="F653" s="615"/>
      <c r="G653" s="615"/>
      <c r="H653" s="615"/>
      <c r="I653" s="615"/>
      <c r="J653" s="615"/>
      <c r="K653" s="615"/>
      <c r="L653" s="10"/>
    </row>
    <row r="654" spans="2:12" ht="12.75" customHeight="1">
      <c r="B654" s="10"/>
      <c r="C654" s="1463" t="s">
        <v>723</v>
      </c>
      <c r="D654" s="1463"/>
      <c r="E654" s="1463"/>
      <c r="F654" s="1463"/>
      <c r="G654" s="1463"/>
      <c r="H654" s="1463"/>
      <c r="I654" s="1463"/>
      <c r="J654" s="1463"/>
      <c r="K654" s="1463"/>
      <c r="L654" s="10"/>
    </row>
    <row r="655" spans="2:12" ht="12.75" customHeight="1">
      <c r="B655" s="10"/>
      <c r="C655" s="1463"/>
      <c r="D655" s="1463"/>
      <c r="E655" s="1463"/>
      <c r="F655" s="1463"/>
      <c r="G655" s="1463"/>
      <c r="H655" s="1463"/>
      <c r="I655" s="1463"/>
      <c r="J655" s="1463"/>
      <c r="K655" s="1463"/>
      <c r="L655" s="10"/>
    </row>
    <row r="656" spans="2:12" ht="12.75" customHeight="1">
      <c r="B656" s="10"/>
      <c r="C656" s="1463"/>
      <c r="D656" s="1463"/>
      <c r="E656" s="1463"/>
      <c r="F656" s="1463"/>
      <c r="G656" s="1463"/>
      <c r="H656" s="1463"/>
      <c r="I656" s="1463"/>
      <c r="J656" s="1463"/>
      <c r="K656" s="1463"/>
      <c r="L656" s="10"/>
    </row>
    <row r="657" spans="2:12" ht="12.75" customHeight="1">
      <c r="B657" s="10"/>
      <c r="C657" s="1463"/>
      <c r="D657" s="1463"/>
      <c r="E657" s="1463"/>
      <c r="F657" s="1463"/>
      <c r="G657" s="1463"/>
      <c r="H657" s="1463"/>
      <c r="I657" s="1463"/>
      <c r="J657" s="1463"/>
      <c r="K657" s="1463"/>
      <c r="L657" s="10"/>
    </row>
    <row r="658" spans="2:12" ht="12.75" customHeight="1">
      <c r="B658" s="10"/>
      <c r="C658" s="607"/>
      <c r="D658" s="607"/>
      <c r="E658" s="607"/>
      <c r="F658" s="607"/>
      <c r="G658" s="607"/>
      <c r="H658" s="607"/>
      <c r="I658" s="607"/>
      <c r="J658" s="607"/>
      <c r="K658" s="607"/>
      <c r="L658" s="10"/>
    </row>
    <row r="659" spans="2:12" ht="12.75" customHeight="1">
      <c r="B659" s="10"/>
      <c r="C659" s="10"/>
      <c r="D659" s="1471" t="s">
        <v>496</v>
      </c>
      <c r="E659" s="1471"/>
      <c r="F659" s="1471"/>
      <c r="G659" s="1471"/>
      <c r="H659" s="1471"/>
      <c r="I659" s="1471"/>
      <c r="J659" s="10"/>
      <c r="K659" s="10"/>
      <c r="L659" s="10"/>
    </row>
    <row r="660" spans="2:12" ht="12.75" customHeight="1">
      <c r="B660" s="10"/>
      <c r="C660" s="10"/>
      <c r="D660" s="1528" t="s">
        <v>497</v>
      </c>
      <c r="E660" s="1528"/>
      <c r="F660" s="1528"/>
      <c r="G660" s="1528"/>
      <c r="H660" s="1528"/>
      <c r="I660" s="1528"/>
      <c r="J660" s="10"/>
      <c r="K660" s="10"/>
      <c r="L660" s="10"/>
    </row>
    <row r="661" spans="2:12" ht="12.75" customHeight="1">
      <c r="B661" s="10"/>
      <c r="C661" s="10"/>
      <c r="D661" s="1475" t="s">
        <v>680</v>
      </c>
      <c r="E661" s="1475"/>
      <c r="F661" s="1475"/>
      <c r="G661" s="1475" t="s">
        <v>679</v>
      </c>
      <c r="H661" s="1475"/>
      <c r="I661" s="1475"/>
      <c r="J661" s="10"/>
      <c r="K661" s="10"/>
      <c r="L661" s="10"/>
    </row>
    <row r="662" spans="2:12" ht="12.75" customHeight="1">
      <c r="B662" s="10"/>
      <c r="C662" s="10"/>
      <c r="D662" s="1475"/>
      <c r="E662" s="1475"/>
      <c r="F662" s="1475"/>
      <c r="G662" s="1475"/>
      <c r="H662" s="1475"/>
      <c r="I662" s="1475"/>
      <c r="J662" s="10"/>
      <c r="K662" s="10"/>
      <c r="L662" s="10"/>
    </row>
    <row r="663" spans="2:12" ht="12.75" customHeight="1">
      <c r="B663" s="10"/>
      <c r="C663" s="10"/>
      <c r="D663" s="1474">
        <v>85</v>
      </c>
      <c r="E663" s="1474"/>
      <c r="F663" s="1474"/>
      <c r="G663" s="1474">
        <v>8</v>
      </c>
      <c r="H663" s="1474"/>
      <c r="I663" s="1474"/>
      <c r="J663" s="10"/>
      <c r="K663" s="10"/>
      <c r="L663" s="10"/>
    </row>
    <row r="664" spans="2:12" ht="12.75" customHeight="1">
      <c r="B664" s="10"/>
      <c r="C664" s="10"/>
      <c r="D664" s="1474">
        <v>88</v>
      </c>
      <c r="E664" s="1474"/>
      <c r="F664" s="1474"/>
      <c r="G664" s="1474">
        <v>4</v>
      </c>
      <c r="H664" s="1474"/>
      <c r="I664" s="1474"/>
      <c r="J664" s="10"/>
      <c r="K664" s="10"/>
      <c r="L664" s="10"/>
    </row>
    <row r="665" spans="2:12" ht="12.75" customHeight="1">
      <c r="B665" s="10"/>
      <c r="C665" s="10"/>
      <c r="D665" s="1474">
        <v>91</v>
      </c>
      <c r="E665" s="1474"/>
      <c r="F665" s="1474"/>
      <c r="G665" s="1474">
        <v>2</v>
      </c>
      <c r="H665" s="1474"/>
      <c r="I665" s="1474"/>
      <c r="J665" s="10"/>
      <c r="K665" s="10"/>
      <c r="L665" s="10"/>
    </row>
    <row r="666" spans="2:12" ht="12.75" customHeight="1">
      <c r="B666" s="10"/>
      <c r="C666" s="10"/>
      <c r="D666" s="1474">
        <v>94</v>
      </c>
      <c r="E666" s="1474"/>
      <c r="F666" s="1474"/>
      <c r="G666" s="1474">
        <v>1</v>
      </c>
      <c r="H666" s="1474"/>
      <c r="I666" s="1474"/>
      <c r="J666" s="10"/>
      <c r="K666" s="10"/>
      <c r="L666" s="10"/>
    </row>
    <row r="667" spans="2:12" ht="12.75" customHeight="1">
      <c r="B667" s="10"/>
      <c r="C667" s="10"/>
      <c r="D667" s="1474">
        <v>97</v>
      </c>
      <c r="E667" s="1474"/>
      <c r="F667" s="1474"/>
      <c r="G667" s="1474">
        <v>0.5</v>
      </c>
      <c r="H667" s="1474"/>
      <c r="I667" s="1474"/>
      <c r="J667" s="10"/>
      <c r="K667" s="10"/>
      <c r="L667" s="10"/>
    </row>
    <row r="668" spans="2:12" ht="12.75" customHeight="1">
      <c r="B668" s="10"/>
      <c r="C668" s="10"/>
      <c r="D668" s="1474">
        <v>100</v>
      </c>
      <c r="E668" s="1474"/>
      <c r="F668" s="1474"/>
      <c r="G668" s="1474">
        <v>0.25</v>
      </c>
      <c r="H668" s="1474"/>
      <c r="I668" s="1474"/>
      <c r="J668" s="10"/>
      <c r="K668" s="10"/>
      <c r="L668" s="10"/>
    </row>
    <row r="669" spans="2:12" ht="12.75" customHeight="1">
      <c r="B669" s="10"/>
      <c r="C669" s="633"/>
      <c r="D669" s="10"/>
      <c r="E669" s="10"/>
      <c r="F669" s="10"/>
      <c r="G669" s="10"/>
      <c r="H669" s="10"/>
      <c r="I669" s="10"/>
      <c r="J669" s="10"/>
      <c r="K669" s="10"/>
      <c r="L669" s="10"/>
    </row>
    <row r="670" spans="2:12" ht="12.75" customHeight="1">
      <c r="B670" s="10"/>
      <c r="C670" s="1463" t="s">
        <v>255</v>
      </c>
      <c r="D670" s="1463"/>
      <c r="E670" s="1463"/>
      <c r="F670" s="1463"/>
      <c r="G670" s="1463"/>
      <c r="H670" s="1463"/>
      <c r="I670" s="1463"/>
      <c r="J670" s="1463"/>
      <c r="K670" s="1463"/>
      <c r="L670" s="10"/>
    </row>
    <row r="671" spans="2:12" ht="12.75" customHeight="1">
      <c r="B671" s="10"/>
      <c r="C671" s="1463"/>
      <c r="D671" s="1463"/>
      <c r="E671" s="1463"/>
      <c r="F671" s="1463"/>
      <c r="G671" s="1463"/>
      <c r="H671" s="1463"/>
      <c r="I671" s="1463"/>
      <c r="J671" s="1463"/>
      <c r="K671" s="1463"/>
      <c r="L671" s="10"/>
    </row>
    <row r="672" spans="2:12" ht="12.75" customHeight="1">
      <c r="B672" s="10"/>
      <c r="C672" s="607"/>
      <c r="D672" s="607"/>
      <c r="E672" s="607"/>
      <c r="F672" s="607"/>
      <c r="G672" s="607"/>
      <c r="H672" s="607"/>
      <c r="I672" s="607"/>
      <c r="J672" s="607"/>
      <c r="K672" s="607"/>
      <c r="L672" s="10"/>
    </row>
    <row r="673" spans="2:12" ht="12.75" customHeight="1">
      <c r="B673" s="10"/>
      <c r="C673" s="1468" t="s">
        <v>801</v>
      </c>
      <c r="D673" s="1468"/>
      <c r="E673" s="1468"/>
      <c r="F673" s="1468"/>
      <c r="G673" s="1468"/>
      <c r="H673" s="1468"/>
      <c r="I673" s="1468"/>
      <c r="J673" s="1468"/>
      <c r="K673" s="1468"/>
      <c r="L673" s="10"/>
    </row>
    <row r="674" spans="2:12" ht="12.75" customHeight="1">
      <c r="B674" s="10"/>
      <c r="C674" s="615"/>
      <c r="D674" s="615"/>
      <c r="E674" s="615"/>
      <c r="F674" s="615"/>
      <c r="G674" s="615"/>
      <c r="H674" s="615"/>
      <c r="I674" s="615"/>
      <c r="J674" s="615"/>
      <c r="K674" s="615"/>
      <c r="L674" s="10"/>
    </row>
    <row r="675" spans="2:12" ht="12.75" customHeight="1">
      <c r="B675" s="10"/>
      <c r="C675" s="1463" t="s">
        <v>403</v>
      </c>
      <c r="D675" s="1463"/>
      <c r="E675" s="1463"/>
      <c r="F675" s="1463"/>
      <c r="G675" s="1463"/>
      <c r="H675" s="1463"/>
      <c r="I675" s="1463"/>
      <c r="J675" s="1463"/>
      <c r="K675" s="1463"/>
      <c r="L675" s="10"/>
    </row>
    <row r="676" spans="2:12" ht="12.75" customHeight="1">
      <c r="B676" s="10"/>
      <c r="C676" s="1463"/>
      <c r="D676" s="1463"/>
      <c r="E676" s="1463"/>
      <c r="F676" s="1463"/>
      <c r="G676" s="1463"/>
      <c r="H676" s="1463"/>
      <c r="I676" s="1463"/>
      <c r="J676" s="1463"/>
      <c r="K676" s="1463"/>
      <c r="L676" s="10"/>
    </row>
    <row r="677" spans="2:12" ht="12.75" customHeight="1">
      <c r="B677" s="10"/>
      <c r="C677" s="1463"/>
      <c r="D677" s="1463"/>
      <c r="E677" s="1463"/>
      <c r="F677" s="1463"/>
      <c r="G677" s="1463"/>
      <c r="H677" s="1463"/>
      <c r="I677" s="1463"/>
      <c r="J677" s="1463"/>
      <c r="K677" s="1463"/>
      <c r="L677" s="10"/>
    </row>
    <row r="678" spans="2:12" ht="12.75" customHeight="1">
      <c r="B678" s="10"/>
      <c r="C678" s="1463"/>
      <c r="D678" s="1463"/>
      <c r="E678" s="1463"/>
      <c r="F678" s="1463"/>
      <c r="G678" s="1463"/>
      <c r="H678" s="1463"/>
      <c r="I678" s="1463"/>
      <c r="J678" s="1463"/>
      <c r="K678" s="1463"/>
      <c r="L678" s="10"/>
    </row>
    <row r="679" spans="2:12" ht="12.75" customHeight="1">
      <c r="B679" s="10"/>
      <c r="C679" s="1463"/>
      <c r="D679" s="1463"/>
      <c r="E679" s="1463"/>
      <c r="F679" s="1463"/>
      <c r="G679" s="1463"/>
      <c r="H679" s="1463"/>
      <c r="I679" s="1463"/>
      <c r="J679" s="1463"/>
      <c r="K679" s="1463"/>
      <c r="L679" s="10"/>
    </row>
    <row r="680" spans="2:12" ht="12.75" customHeight="1">
      <c r="B680" s="10"/>
      <c r="C680" s="1463"/>
      <c r="D680" s="1463"/>
      <c r="E680" s="1463"/>
      <c r="F680" s="1463"/>
      <c r="G680" s="1463"/>
      <c r="H680" s="1463"/>
      <c r="I680" s="1463"/>
      <c r="J680" s="1463"/>
      <c r="K680" s="1463"/>
      <c r="L680" s="10"/>
    </row>
    <row r="681" spans="2:12" ht="12.75" customHeight="1">
      <c r="B681" s="10"/>
      <c r="C681" s="1463"/>
      <c r="D681" s="1463"/>
      <c r="E681" s="1463"/>
      <c r="F681" s="1463"/>
      <c r="G681" s="1463"/>
      <c r="H681" s="1463"/>
      <c r="I681" s="1463"/>
      <c r="J681" s="1463"/>
      <c r="K681" s="1463"/>
      <c r="L681" s="10"/>
    </row>
    <row r="682" spans="2:12" ht="12.75" customHeight="1">
      <c r="B682" s="10"/>
      <c r="C682" s="607"/>
      <c r="D682" s="607"/>
      <c r="E682" s="607"/>
      <c r="F682" s="607"/>
      <c r="G682" s="607"/>
      <c r="H682" s="607"/>
      <c r="I682" s="607"/>
      <c r="J682" s="607"/>
      <c r="K682" s="607"/>
      <c r="L682" s="10"/>
    </row>
    <row r="683" spans="2:12" ht="12.75" customHeight="1">
      <c r="B683" s="10"/>
      <c r="C683" s="1463" t="s">
        <v>394</v>
      </c>
      <c r="D683" s="1463"/>
      <c r="E683" s="1463"/>
      <c r="F683" s="1463"/>
      <c r="G683" s="1463"/>
      <c r="H683" s="1463"/>
      <c r="I683" s="1463"/>
      <c r="J683" s="1463"/>
      <c r="K683" s="1463"/>
      <c r="L683" s="10"/>
    </row>
    <row r="684" spans="2:12" ht="12.75" customHeight="1">
      <c r="B684" s="10"/>
      <c r="C684" s="1463"/>
      <c r="D684" s="1463"/>
      <c r="E684" s="1463"/>
      <c r="F684" s="1463"/>
      <c r="G684" s="1463"/>
      <c r="H684" s="1463"/>
      <c r="I684" s="1463"/>
      <c r="J684" s="1463"/>
      <c r="K684" s="1463"/>
      <c r="L684" s="10"/>
    </row>
    <row r="685" spans="2:12" ht="12.75" customHeight="1">
      <c r="B685" s="10"/>
      <c r="C685" s="1463"/>
      <c r="D685" s="1463"/>
      <c r="E685" s="1463"/>
      <c r="F685" s="1463"/>
      <c r="G685" s="1463"/>
      <c r="H685" s="1463"/>
      <c r="I685" s="1463"/>
      <c r="J685" s="1463"/>
      <c r="K685" s="1463"/>
      <c r="L685" s="10"/>
    </row>
    <row r="686" spans="2:12" ht="12.75" customHeight="1">
      <c r="B686" s="10"/>
      <c r="C686" s="1463"/>
      <c r="D686" s="1463"/>
      <c r="E686" s="1463"/>
      <c r="F686" s="1463"/>
      <c r="G686" s="1463"/>
      <c r="H686" s="1463"/>
      <c r="I686" s="1463"/>
      <c r="J686" s="1463"/>
      <c r="K686" s="1463"/>
      <c r="L686" s="10"/>
    </row>
    <row r="687" spans="2:12" ht="12.75" customHeight="1">
      <c r="B687" s="10"/>
      <c r="C687" s="1463"/>
      <c r="D687" s="1463"/>
      <c r="E687" s="1463"/>
      <c r="F687" s="1463"/>
      <c r="G687" s="1463"/>
      <c r="H687" s="1463"/>
      <c r="I687" s="1463"/>
      <c r="J687" s="1463"/>
      <c r="K687" s="1463"/>
      <c r="L687" s="10"/>
    </row>
    <row r="688" spans="2:12" ht="12.75" customHeight="1">
      <c r="B688" s="10"/>
      <c r="C688" s="1463"/>
      <c r="D688" s="1463"/>
      <c r="E688" s="1463"/>
      <c r="F688" s="1463"/>
      <c r="G688" s="1463"/>
      <c r="H688" s="1463"/>
      <c r="I688" s="1463"/>
      <c r="J688" s="1463"/>
      <c r="K688" s="1463"/>
      <c r="L688" s="10"/>
    </row>
    <row r="689" spans="2:12" ht="12.75" customHeight="1">
      <c r="B689" s="10"/>
      <c r="C689" s="1463"/>
      <c r="D689" s="1463"/>
      <c r="E689" s="1463"/>
      <c r="F689" s="1463"/>
      <c r="G689" s="1463"/>
      <c r="H689" s="1463"/>
      <c r="I689" s="1463"/>
      <c r="J689" s="1463"/>
      <c r="K689" s="1463"/>
      <c r="L689" s="10"/>
    </row>
    <row r="690" spans="2:12" ht="12.75" customHeight="1">
      <c r="B690" s="10"/>
      <c r="C690" s="607"/>
      <c r="D690" s="607"/>
      <c r="E690" s="607"/>
      <c r="F690" s="607"/>
      <c r="G690" s="607"/>
      <c r="H690" s="607"/>
      <c r="I690" s="607"/>
      <c r="J690" s="607"/>
      <c r="K690" s="607"/>
      <c r="L690" s="10"/>
    </row>
    <row r="691" spans="2:12" ht="12.75" customHeight="1">
      <c r="B691" s="10"/>
      <c r="C691" s="607"/>
      <c r="D691" s="607"/>
      <c r="E691" s="607"/>
      <c r="F691" s="607"/>
      <c r="G691" s="607"/>
      <c r="H691" s="607"/>
      <c r="I691" s="607"/>
      <c r="J691" s="607"/>
      <c r="K691" s="607"/>
      <c r="L691" s="10"/>
    </row>
    <row r="692" spans="2:12" ht="12.75" customHeight="1">
      <c r="B692" s="10"/>
      <c r="C692" s="607"/>
      <c r="D692" s="607"/>
      <c r="E692" s="607"/>
      <c r="F692" s="607"/>
      <c r="G692" s="607"/>
      <c r="H692" s="607"/>
      <c r="I692" s="607"/>
      <c r="J692" s="607"/>
      <c r="K692" s="607"/>
      <c r="L692" s="10"/>
    </row>
    <row r="693" spans="2:12" ht="12.75" customHeight="1">
      <c r="B693" s="10"/>
      <c r="C693" s="607"/>
      <c r="D693" s="607"/>
      <c r="E693" s="607"/>
      <c r="F693" s="607"/>
      <c r="G693" s="607"/>
      <c r="H693" s="607"/>
      <c r="I693" s="607"/>
      <c r="J693" s="607"/>
      <c r="K693" s="607"/>
      <c r="L693" s="10"/>
    </row>
    <row r="694" spans="2:12" ht="12.75" customHeight="1">
      <c r="B694" s="10"/>
      <c r="C694" s="10"/>
      <c r="D694" s="10"/>
      <c r="E694" s="10"/>
      <c r="F694" s="10"/>
      <c r="G694" s="10"/>
      <c r="H694" s="10"/>
      <c r="I694" s="607"/>
      <c r="J694" s="607"/>
      <c r="K694" s="607"/>
      <c r="L694" s="10"/>
    </row>
    <row r="695" spans="2:12" ht="12.75" customHeight="1">
      <c r="B695" s="10"/>
      <c r="C695" s="607"/>
      <c r="D695" s="607"/>
      <c r="E695" s="607"/>
      <c r="F695" s="607"/>
      <c r="G695" s="607"/>
      <c r="H695" s="607"/>
      <c r="I695" s="607"/>
      <c r="J695" s="607"/>
      <c r="K695" s="607"/>
      <c r="L695" s="10"/>
    </row>
    <row r="696" spans="2:12" ht="12.75" customHeight="1">
      <c r="B696" s="10"/>
      <c r="C696" s="607"/>
      <c r="D696" s="607"/>
      <c r="E696" s="607"/>
      <c r="F696" s="607"/>
      <c r="G696" s="607"/>
      <c r="H696" s="607"/>
      <c r="I696" s="607"/>
      <c r="J696" s="607"/>
      <c r="K696" s="607"/>
      <c r="L696" s="10"/>
    </row>
    <row r="697" spans="2:12" ht="12.75" customHeight="1">
      <c r="B697" s="10"/>
      <c r="C697" s="607"/>
      <c r="D697" s="607"/>
      <c r="E697" s="607"/>
      <c r="F697" s="607"/>
      <c r="G697" s="607"/>
      <c r="H697" s="607"/>
      <c r="I697" s="607"/>
      <c r="J697" s="607"/>
      <c r="K697" s="607"/>
      <c r="L697" s="10"/>
    </row>
    <row r="698" spans="2:12" ht="12.75" customHeight="1">
      <c r="B698" s="10"/>
      <c r="C698" s="607"/>
      <c r="D698" s="607"/>
      <c r="E698" s="607"/>
      <c r="F698" s="607"/>
      <c r="G698" s="607"/>
      <c r="H698" s="607"/>
      <c r="I698" s="607"/>
      <c r="J698" s="607"/>
      <c r="K698" s="607"/>
      <c r="L698" s="10"/>
    </row>
    <row r="699" spans="2:12" ht="12.75" customHeight="1">
      <c r="B699" s="10"/>
      <c r="C699" s="607"/>
      <c r="D699" s="607"/>
      <c r="E699" s="607"/>
      <c r="F699" s="607"/>
      <c r="G699" s="607"/>
      <c r="H699" s="607"/>
      <c r="I699" s="607"/>
      <c r="J699" s="607"/>
      <c r="K699" s="607"/>
      <c r="L699" s="10"/>
    </row>
    <row r="700" spans="2:12" ht="12.75" customHeight="1">
      <c r="B700" s="10"/>
      <c r="C700" s="607"/>
      <c r="D700" s="607"/>
      <c r="E700" s="607"/>
      <c r="F700" s="607"/>
      <c r="G700" s="607"/>
      <c r="H700" s="607"/>
      <c r="I700" s="607"/>
      <c r="J700" s="607"/>
      <c r="K700" s="607"/>
      <c r="L700" s="10"/>
    </row>
    <row r="701" spans="2:12" ht="12.75" customHeight="1">
      <c r="B701" s="10"/>
      <c r="C701" s="607"/>
      <c r="D701" s="607"/>
      <c r="E701" s="607"/>
      <c r="F701" s="607"/>
      <c r="G701" s="607"/>
      <c r="H701" s="607"/>
      <c r="I701" s="607"/>
      <c r="J701" s="607"/>
      <c r="K701" s="607"/>
      <c r="L701" s="10"/>
    </row>
    <row r="702" spans="2:12" ht="12.75" customHeight="1">
      <c r="B702" s="10"/>
      <c r="C702" s="607"/>
      <c r="D702" s="607"/>
      <c r="E702" s="607"/>
      <c r="F702" s="607"/>
      <c r="G702" s="607"/>
      <c r="H702" s="607"/>
      <c r="I702" s="607"/>
      <c r="J702" s="607"/>
      <c r="K702" s="607"/>
      <c r="L702" s="10"/>
    </row>
    <row r="703" spans="2:12" ht="12.75" customHeight="1">
      <c r="B703" s="10"/>
      <c r="C703" s="607"/>
      <c r="D703" s="607"/>
      <c r="E703" s="607"/>
      <c r="F703" s="607"/>
      <c r="G703" s="607"/>
      <c r="H703" s="607"/>
      <c r="I703" s="607"/>
      <c r="J703" s="607"/>
      <c r="K703" s="607"/>
      <c r="L703" s="10"/>
    </row>
    <row r="704" spans="2:12" ht="12.75" customHeight="1">
      <c r="B704" s="10"/>
      <c r="C704" s="607"/>
      <c r="D704" s="607"/>
      <c r="E704" s="607"/>
      <c r="F704" s="607"/>
      <c r="G704" s="607"/>
      <c r="H704" s="607"/>
      <c r="I704" s="607"/>
      <c r="J704" s="607"/>
      <c r="K704" s="607"/>
      <c r="L704" s="10"/>
    </row>
    <row r="705" spans="2:12" ht="12.75" customHeight="1">
      <c r="B705" s="10"/>
      <c r="C705" s="607"/>
      <c r="D705" s="607"/>
      <c r="E705" s="607"/>
      <c r="F705" s="607"/>
      <c r="G705" s="607"/>
      <c r="H705" s="607"/>
      <c r="I705" s="607"/>
      <c r="J705" s="607"/>
      <c r="K705" s="607"/>
      <c r="L705" s="10"/>
    </row>
    <row r="706" spans="2:12" ht="12.75" customHeight="1">
      <c r="B706" s="10"/>
      <c r="C706" s="607"/>
      <c r="D706" s="607"/>
      <c r="E706" s="607"/>
      <c r="F706" s="607"/>
      <c r="G706" s="607"/>
      <c r="H706" s="607"/>
      <c r="I706" s="607"/>
      <c r="J706" s="607"/>
      <c r="K706" s="607"/>
      <c r="L706" s="10"/>
    </row>
    <row r="707" spans="2:12" ht="12.75" customHeight="1">
      <c r="B707" s="10"/>
      <c r="C707" s="607"/>
      <c r="D707" s="607"/>
      <c r="E707" s="607"/>
      <c r="F707" s="607"/>
      <c r="G707" s="607"/>
      <c r="H707" s="607"/>
      <c r="I707" s="607"/>
      <c r="J707" s="607"/>
      <c r="K707" s="607"/>
      <c r="L707" s="10"/>
    </row>
    <row r="708" spans="2:12" ht="12.75" customHeight="1">
      <c r="B708" s="10"/>
      <c r="C708" s="607"/>
      <c r="D708" s="607"/>
      <c r="E708" s="607"/>
      <c r="F708" s="607"/>
      <c r="G708" s="607"/>
      <c r="H708" s="607"/>
      <c r="I708" s="607"/>
      <c r="J708" s="607"/>
      <c r="K708" s="607"/>
      <c r="L708" s="10"/>
    </row>
    <row r="709" spans="2:12" ht="12.75" customHeight="1">
      <c r="B709" s="10"/>
      <c r="C709" s="607"/>
      <c r="D709" s="607"/>
      <c r="E709" s="607"/>
      <c r="F709" s="607"/>
      <c r="G709" s="607"/>
      <c r="H709" s="607"/>
      <c r="I709" s="607"/>
      <c r="J709" s="607"/>
      <c r="K709" s="607"/>
      <c r="L709" s="10"/>
    </row>
    <row r="710" spans="2:12" ht="12.75" customHeight="1">
      <c r="B710" s="10"/>
      <c r="C710" s="607"/>
      <c r="D710" s="607"/>
      <c r="E710" s="607"/>
      <c r="F710" s="607"/>
      <c r="G710" s="607"/>
      <c r="H710" s="607"/>
      <c r="I710" s="607"/>
      <c r="J710" s="607"/>
      <c r="K710" s="607"/>
      <c r="L710" s="10"/>
    </row>
    <row r="711" spans="2:12" ht="12.75" customHeight="1">
      <c r="B711" s="10"/>
      <c r="C711" s="607"/>
      <c r="D711" s="607"/>
      <c r="E711" s="607"/>
      <c r="F711" s="607"/>
      <c r="G711" s="607"/>
      <c r="H711" s="607"/>
      <c r="I711" s="607"/>
      <c r="J711" s="607"/>
      <c r="K711" s="607"/>
      <c r="L711" s="10"/>
    </row>
    <row r="712" spans="2:12" ht="12.75" customHeight="1">
      <c r="B712" s="10"/>
      <c r="C712" s="1440" t="s">
        <v>393</v>
      </c>
      <c r="D712" s="1440"/>
      <c r="E712" s="1440"/>
      <c r="F712" s="1440"/>
      <c r="G712" s="1440"/>
      <c r="H712" s="1440"/>
      <c r="I712" s="1440"/>
      <c r="J712" s="1440"/>
      <c r="K712" s="1440"/>
      <c r="L712" s="10"/>
    </row>
    <row r="713" spans="2:12" ht="12.75" customHeight="1">
      <c r="B713" s="10"/>
      <c r="C713" s="607"/>
      <c r="D713" s="607"/>
      <c r="E713" s="607"/>
      <c r="F713" s="607"/>
      <c r="G713" s="607"/>
      <c r="H713" s="607"/>
      <c r="I713" s="607"/>
      <c r="J713" s="607"/>
      <c r="K713" s="607"/>
      <c r="L713" s="10"/>
    </row>
    <row r="714" spans="2:12" ht="12.75" customHeight="1">
      <c r="B714" s="10"/>
      <c r="C714" s="607"/>
      <c r="D714" s="607"/>
      <c r="E714" s="607"/>
      <c r="F714" s="607"/>
      <c r="G714" s="607"/>
      <c r="H714" s="607"/>
      <c r="I714" s="607"/>
      <c r="J714" s="607"/>
      <c r="K714" s="607"/>
      <c r="L714" s="10"/>
    </row>
    <row r="715" spans="2:12" ht="12.75" customHeight="1">
      <c r="B715" s="10"/>
      <c r="C715" s="1468" t="s">
        <v>802</v>
      </c>
      <c r="D715" s="1468"/>
      <c r="E715" s="1468"/>
      <c r="F715" s="1468"/>
      <c r="G715" s="1468"/>
      <c r="H715" s="1468"/>
      <c r="I715" s="1468"/>
      <c r="J715" s="1468"/>
      <c r="K715" s="1468"/>
      <c r="L715" s="10"/>
    </row>
    <row r="716" spans="2:12" ht="12.75" customHeight="1">
      <c r="B716" s="10"/>
      <c r="C716" s="615"/>
      <c r="D716" s="615"/>
      <c r="E716" s="615"/>
      <c r="F716" s="615"/>
      <c r="G716" s="615"/>
      <c r="H716" s="615"/>
      <c r="I716" s="615"/>
      <c r="J716" s="615"/>
      <c r="K716" s="615"/>
      <c r="L716" s="10"/>
    </row>
    <row r="717" spans="2:12" ht="12.75" customHeight="1">
      <c r="B717" s="10"/>
      <c r="C717" s="1463" t="s">
        <v>15</v>
      </c>
      <c r="D717" s="1463"/>
      <c r="E717" s="1463"/>
      <c r="F717" s="1463"/>
      <c r="G717" s="1463"/>
      <c r="H717" s="1463"/>
      <c r="I717" s="1463"/>
      <c r="J717" s="1463"/>
      <c r="K717" s="1463"/>
      <c r="L717" s="10"/>
    </row>
    <row r="718" spans="2:12" ht="12.75" customHeight="1">
      <c r="B718" s="10"/>
      <c r="C718" s="1463"/>
      <c r="D718" s="1463"/>
      <c r="E718" s="1463"/>
      <c r="F718" s="1463"/>
      <c r="G718" s="1463"/>
      <c r="H718" s="1463"/>
      <c r="I718" s="1463"/>
      <c r="J718" s="1463"/>
      <c r="K718" s="1463"/>
      <c r="L718" s="10"/>
    </row>
    <row r="719" spans="2:12" ht="12.75" customHeight="1">
      <c r="B719" s="10"/>
      <c r="C719" s="1463"/>
      <c r="D719" s="1463"/>
      <c r="E719" s="1463"/>
      <c r="F719" s="1463"/>
      <c r="G719" s="1463"/>
      <c r="H719" s="1463"/>
      <c r="I719" s="1463"/>
      <c r="J719" s="1463"/>
      <c r="K719" s="1463"/>
      <c r="L719" s="10"/>
    </row>
    <row r="720" spans="2:12" ht="12.75" customHeight="1">
      <c r="B720" s="10"/>
      <c r="C720" s="1463"/>
      <c r="D720" s="1463"/>
      <c r="E720" s="1463"/>
      <c r="F720" s="1463"/>
      <c r="G720" s="1463"/>
      <c r="H720" s="1463"/>
      <c r="I720" s="1463"/>
      <c r="J720" s="1463"/>
      <c r="K720" s="1463"/>
      <c r="L720" s="10"/>
    </row>
    <row r="721" spans="2:12" ht="12.75" customHeight="1">
      <c r="B721" s="10"/>
      <c r="C721" s="607"/>
      <c r="D721" s="607"/>
      <c r="E721" s="607"/>
      <c r="F721" s="607"/>
      <c r="G721" s="607"/>
      <c r="H721" s="607"/>
      <c r="I721" s="607"/>
      <c r="J721" s="607"/>
      <c r="K721" s="607"/>
      <c r="L721" s="10"/>
    </row>
    <row r="722" spans="2:12" ht="12.75" customHeight="1">
      <c r="B722" s="10"/>
      <c r="C722" s="1468" t="s">
        <v>803</v>
      </c>
      <c r="D722" s="1468"/>
      <c r="E722" s="1468"/>
      <c r="F722" s="1468"/>
      <c r="G722" s="1468"/>
      <c r="H722" s="1468"/>
      <c r="I722" s="1468"/>
      <c r="J722" s="1468"/>
      <c r="K722" s="1468"/>
      <c r="L722" s="10"/>
    </row>
    <row r="723" spans="2:12" ht="12.75" customHeight="1">
      <c r="B723" s="10"/>
      <c r="C723" s="615"/>
      <c r="D723" s="615"/>
      <c r="E723" s="615"/>
      <c r="F723" s="615"/>
      <c r="G723" s="615"/>
      <c r="H723" s="615"/>
      <c r="I723" s="615"/>
      <c r="J723" s="615"/>
      <c r="K723" s="615"/>
      <c r="L723" s="10"/>
    </row>
    <row r="724" spans="2:12" ht="12.75" customHeight="1">
      <c r="B724" s="10"/>
      <c r="C724" s="1468" t="s">
        <v>804</v>
      </c>
      <c r="D724" s="1468"/>
      <c r="E724" s="1468"/>
      <c r="F724" s="1468"/>
      <c r="G724" s="1468"/>
      <c r="H724" s="1468"/>
      <c r="I724" s="1468"/>
      <c r="J724" s="1468"/>
      <c r="K724" s="1468"/>
      <c r="L724" s="10"/>
    </row>
    <row r="725" spans="2:12" ht="12.75" customHeight="1">
      <c r="B725" s="10"/>
      <c r="C725" s="615"/>
      <c r="D725" s="615"/>
      <c r="E725" s="615"/>
      <c r="F725" s="615"/>
      <c r="G725" s="615"/>
      <c r="H725" s="615"/>
      <c r="I725" s="615"/>
      <c r="J725" s="615"/>
      <c r="K725" s="615"/>
      <c r="L725" s="10"/>
    </row>
    <row r="726" spans="2:12" ht="12.75" customHeight="1">
      <c r="B726" s="10"/>
      <c r="C726" s="1463" t="s">
        <v>498</v>
      </c>
      <c r="D726" s="1463"/>
      <c r="E726" s="1463"/>
      <c r="F726" s="1463"/>
      <c r="G726" s="1463"/>
      <c r="H726" s="1463"/>
      <c r="I726" s="1463"/>
      <c r="J726" s="1463"/>
      <c r="K726" s="1463"/>
      <c r="L726" s="10"/>
    </row>
    <row r="727" spans="2:12" ht="12.75" customHeight="1">
      <c r="B727" s="10"/>
      <c r="C727" s="1463"/>
      <c r="D727" s="1463"/>
      <c r="E727" s="1463"/>
      <c r="F727" s="1463"/>
      <c r="G727" s="1463"/>
      <c r="H727" s="1463"/>
      <c r="I727" s="1463"/>
      <c r="J727" s="1463"/>
      <c r="K727" s="1463"/>
      <c r="L727" s="10"/>
    </row>
    <row r="728" spans="2:12" ht="12.75" customHeight="1">
      <c r="B728" s="10"/>
      <c r="C728" s="607"/>
      <c r="D728" s="607"/>
      <c r="E728" s="607"/>
      <c r="F728" s="607"/>
      <c r="G728" s="607"/>
      <c r="H728" s="607"/>
      <c r="I728" s="607"/>
      <c r="J728" s="607"/>
      <c r="K728" s="607"/>
      <c r="L728" s="10"/>
    </row>
    <row r="729" spans="2:12" ht="12.75" customHeight="1">
      <c r="B729" s="10"/>
      <c r="C729" s="1463" t="s">
        <v>16</v>
      </c>
      <c r="D729" s="1463"/>
      <c r="E729" s="1463"/>
      <c r="F729" s="1463"/>
      <c r="G729" s="1463"/>
      <c r="H729" s="1463"/>
      <c r="I729" s="1463"/>
      <c r="J729" s="1463"/>
      <c r="K729" s="1463"/>
      <c r="L729" s="10"/>
    </row>
    <row r="730" spans="2:12" ht="12.75" customHeight="1">
      <c r="B730" s="10"/>
      <c r="C730" s="1463"/>
      <c r="D730" s="1463"/>
      <c r="E730" s="1463"/>
      <c r="F730" s="1463"/>
      <c r="G730" s="1463"/>
      <c r="H730" s="1463"/>
      <c r="I730" s="1463"/>
      <c r="J730" s="1463"/>
      <c r="K730" s="1463"/>
      <c r="L730" s="10"/>
    </row>
    <row r="731" spans="2:12" ht="12.75" customHeight="1">
      <c r="B731" s="10"/>
      <c r="C731" s="1463"/>
      <c r="D731" s="1463"/>
      <c r="E731" s="1463"/>
      <c r="F731" s="1463"/>
      <c r="G731" s="1463"/>
      <c r="H731" s="1463"/>
      <c r="I731" s="1463"/>
      <c r="J731" s="1463"/>
      <c r="K731" s="1463"/>
      <c r="L731" s="10"/>
    </row>
    <row r="732" spans="2:12" ht="12.75" customHeight="1">
      <c r="B732" s="10"/>
      <c r="C732" s="1463"/>
      <c r="D732" s="1463"/>
      <c r="E732" s="1463"/>
      <c r="F732" s="1463"/>
      <c r="G732" s="1463"/>
      <c r="H732" s="1463"/>
      <c r="I732" s="1463"/>
      <c r="J732" s="1463"/>
      <c r="K732" s="1463"/>
      <c r="L732" s="10"/>
    </row>
    <row r="733" spans="2:12" ht="12.75" customHeight="1">
      <c r="B733" s="10"/>
      <c r="C733" s="10"/>
      <c r="D733" s="10"/>
      <c r="E733" s="10"/>
      <c r="F733" s="10"/>
      <c r="G733" s="10"/>
      <c r="H733" s="10"/>
      <c r="I733" s="10"/>
      <c r="J733" s="10"/>
      <c r="K733" s="10"/>
      <c r="L733" s="10"/>
    </row>
    <row r="734" spans="2:12" ht="12.75" customHeight="1">
      <c r="B734" s="10"/>
      <c r="C734" s="108"/>
      <c r="D734" s="10"/>
      <c r="E734" s="10"/>
      <c r="F734" s="10"/>
      <c r="G734" s="10"/>
      <c r="H734" s="10"/>
      <c r="I734" s="10"/>
      <c r="J734" s="10"/>
      <c r="K734" s="10"/>
      <c r="L734" s="10"/>
    </row>
    <row r="735" spans="2:12" ht="12.75" customHeight="1">
      <c r="B735" s="10"/>
      <c r="C735" s="108"/>
      <c r="D735" s="10"/>
      <c r="E735" s="10"/>
      <c r="F735" s="10"/>
      <c r="G735" s="10"/>
      <c r="H735" s="10"/>
      <c r="I735" s="10"/>
      <c r="J735" s="10"/>
      <c r="K735" s="10"/>
      <c r="L735" s="10"/>
    </row>
    <row r="736" spans="2:12" ht="12.75" customHeight="1">
      <c r="B736" s="10"/>
      <c r="C736" s="108"/>
      <c r="D736" s="10"/>
      <c r="E736" s="10"/>
      <c r="F736" s="10"/>
      <c r="G736" s="10"/>
      <c r="H736" s="10"/>
      <c r="I736" s="10"/>
      <c r="J736" s="10"/>
      <c r="K736" s="10"/>
      <c r="L736" s="10"/>
    </row>
    <row r="737" spans="2:12" ht="12.75" customHeight="1">
      <c r="B737" s="10"/>
      <c r="C737" s="108"/>
      <c r="D737" s="10"/>
      <c r="E737" s="10"/>
      <c r="F737" s="10"/>
      <c r="G737" s="10"/>
      <c r="H737" s="10"/>
      <c r="I737" s="10"/>
      <c r="J737" s="10"/>
      <c r="K737" s="10"/>
      <c r="L737" s="10"/>
    </row>
    <row r="738" spans="2:12" ht="12.75" customHeight="1">
      <c r="B738" s="10"/>
      <c r="C738" s="108"/>
      <c r="D738" s="10"/>
      <c r="E738" s="10"/>
      <c r="F738" s="10"/>
      <c r="G738" s="10"/>
      <c r="H738" s="10"/>
      <c r="I738" s="10"/>
      <c r="J738" s="10"/>
      <c r="K738" s="10"/>
      <c r="L738" s="10"/>
    </row>
    <row r="739" spans="2:12" ht="12.75" customHeight="1">
      <c r="B739" s="10"/>
      <c r="C739" s="108"/>
      <c r="D739" s="10"/>
      <c r="E739" s="10"/>
      <c r="F739" s="10"/>
      <c r="G739" s="10"/>
      <c r="H739" s="10"/>
      <c r="I739" s="10"/>
      <c r="J739" s="10"/>
      <c r="K739" s="10"/>
      <c r="L739" s="10"/>
    </row>
    <row r="740" spans="2:12" ht="12.75" customHeight="1">
      <c r="B740" s="10"/>
      <c r="C740" s="108"/>
      <c r="D740" s="10"/>
      <c r="E740" s="10"/>
      <c r="F740" s="10"/>
      <c r="G740" s="10"/>
      <c r="H740" s="10"/>
      <c r="I740" s="10"/>
      <c r="J740" s="10"/>
      <c r="K740" s="10"/>
      <c r="L740" s="10"/>
    </row>
    <row r="741" spans="2:12" ht="12.75" customHeight="1">
      <c r="B741" s="10"/>
      <c r="C741" s="108"/>
      <c r="D741" s="10"/>
      <c r="E741" s="10"/>
      <c r="F741" s="10"/>
      <c r="G741" s="10"/>
      <c r="H741" s="10"/>
      <c r="I741" s="10"/>
      <c r="J741" s="10"/>
      <c r="K741" s="10"/>
      <c r="L741" s="10"/>
    </row>
    <row r="742" spans="2:12" ht="12.75" customHeight="1">
      <c r="B742" s="10"/>
      <c r="C742" s="108"/>
      <c r="D742" s="10"/>
      <c r="E742" s="10"/>
      <c r="F742" s="10"/>
      <c r="G742" s="10"/>
      <c r="H742" s="10"/>
      <c r="I742" s="10"/>
      <c r="J742" s="10"/>
      <c r="K742" s="10"/>
      <c r="L742" s="10"/>
    </row>
    <row r="743" spans="2:12" ht="12.75" customHeight="1">
      <c r="B743" s="10"/>
      <c r="C743" s="108"/>
      <c r="D743" s="10"/>
      <c r="E743" s="10"/>
      <c r="F743" s="10"/>
      <c r="G743" s="10"/>
      <c r="H743" s="10"/>
      <c r="I743" s="10"/>
      <c r="J743" s="10"/>
      <c r="K743" s="10"/>
      <c r="L743" s="10"/>
    </row>
    <row r="744" spans="2:12" ht="12.75" customHeight="1">
      <c r="B744" s="10"/>
      <c r="C744" s="108"/>
      <c r="D744" s="10"/>
      <c r="E744" s="10"/>
      <c r="F744" s="10"/>
      <c r="G744" s="10"/>
      <c r="H744" s="10"/>
      <c r="I744" s="10"/>
      <c r="J744" s="10"/>
      <c r="K744" s="10"/>
      <c r="L744" s="10"/>
    </row>
    <row r="745" spans="2:12" ht="12.75" customHeight="1">
      <c r="B745" s="10"/>
      <c r="C745" s="108"/>
      <c r="D745" s="10"/>
      <c r="E745" s="10"/>
      <c r="F745" s="10"/>
      <c r="G745" s="10"/>
      <c r="H745" s="10"/>
      <c r="I745" s="10"/>
      <c r="J745" s="10"/>
      <c r="K745" s="10"/>
      <c r="L745" s="10"/>
    </row>
    <row r="746" spans="2:12" ht="12.75" customHeight="1">
      <c r="B746" s="10"/>
      <c r="C746" s="108"/>
      <c r="D746" s="10"/>
      <c r="E746" s="10"/>
      <c r="F746" s="10"/>
      <c r="G746" s="10"/>
      <c r="H746" s="10"/>
      <c r="I746" s="10"/>
      <c r="J746" s="10"/>
      <c r="K746" s="10"/>
      <c r="L746" s="10"/>
    </row>
    <row r="747" spans="2:12" ht="12.75" customHeight="1">
      <c r="B747" s="10"/>
      <c r="C747" s="108"/>
      <c r="D747" s="10"/>
      <c r="E747" s="10"/>
      <c r="F747" s="10"/>
      <c r="G747" s="10"/>
      <c r="H747" s="10"/>
      <c r="I747" s="10"/>
      <c r="J747" s="10"/>
      <c r="K747" s="10"/>
      <c r="L747" s="10"/>
    </row>
    <row r="748" spans="2:12" ht="12.75" customHeight="1">
      <c r="B748" s="10"/>
      <c r="C748" s="108"/>
      <c r="D748" s="10"/>
      <c r="E748" s="10"/>
      <c r="F748" s="10"/>
      <c r="G748" s="10"/>
      <c r="H748" s="10"/>
      <c r="I748" s="10"/>
      <c r="J748" s="10"/>
      <c r="K748" s="10"/>
      <c r="L748" s="10"/>
    </row>
    <row r="749" spans="2:12" ht="12.75" customHeight="1">
      <c r="B749" s="10"/>
      <c r="C749" s="108"/>
      <c r="D749" s="10"/>
      <c r="E749" s="10"/>
      <c r="F749" s="10"/>
      <c r="G749" s="10"/>
      <c r="H749" s="10"/>
      <c r="I749" s="10"/>
      <c r="J749" s="10"/>
      <c r="K749" s="10"/>
      <c r="L749" s="10"/>
    </row>
    <row r="750" spans="2:12" ht="12.75" customHeight="1">
      <c r="B750" s="10"/>
      <c r="C750" s="108"/>
      <c r="D750" s="10"/>
      <c r="E750" s="10"/>
      <c r="F750" s="10"/>
      <c r="G750" s="10"/>
      <c r="H750" s="10"/>
      <c r="I750" s="10"/>
      <c r="J750" s="10"/>
      <c r="K750" s="10"/>
      <c r="L750" s="10"/>
    </row>
    <row r="751" spans="2:12" ht="12.75" customHeight="1">
      <c r="B751" s="10"/>
      <c r="C751" s="10"/>
      <c r="D751" s="10"/>
      <c r="E751" s="10"/>
      <c r="F751" s="10"/>
      <c r="G751" s="10"/>
      <c r="H751" s="10"/>
      <c r="I751" s="10"/>
      <c r="J751" s="10"/>
      <c r="K751" s="10"/>
      <c r="L751" s="10"/>
    </row>
    <row r="752" spans="2:12" ht="12.75" customHeight="1">
      <c r="B752" s="10"/>
      <c r="C752" s="108"/>
      <c r="D752" s="10"/>
      <c r="E752" s="10"/>
      <c r="F752" s="10"/>
      <c r="G752" s="10"/>
      <c r="H752" s="10"/>
      <c r="I752" s="10"/>
      <c r="J752" s="10"/>
      <c r="K752" s="10"/>
      <c r="L752" s="10"/>
    </row>
    <row r="753" spans="2:12" ht="12.75" customHeight="1">
      <c r="B753" s="10"/>
      <c r="C753" s="1440" t="s">
        <v>499</v>
      </c>
      <c r="D753" s="1440"/>
      <c r="E753" s="1440"/>
      <c r="F753" s="1440"/>
      <c r="G753" s="1440"/>
      <c r="H753" s="1440"/>
      <c r="I753" s="1440"/>
      <c r="J753" s="1440"/>
      <c r="K753" s="1440"/>
      <c r="L753" s="10"/>
    </row>
    <row r="754" spans="2:12" ht="12.75" customHeight="1">
      <c r="B754" s="10"/>
      <c r="C754" s="10"/>
      <c r="D754" s="10"/>
      <c r="E754" s="10"/>
      <c r="F754" s="10"/>
      <c r="G754" s="10"/>
      <c r="H754" s="10"/>
      <c r="I754" s="10"/>
      <c r="J754" s="10"/>
      <c r="K754" s="10"/>
      <c r="L754" s="10"/>
    </row>
    <row r="755" spans="2:12" ht="12.75" customHeight="1">
      <c r="B755" s="10"/>
      <c r="C755" s="10"/>
      <c r="D755" s="10"/>
      <c r="E755" s="10"/>
      <c r="F755" s="10"/>
      <c r="G755" s="10"/>
      <c r="H755" s="10"/>
      <c r="I755" s="10"/>
      <c r="J755" s="10"/>
      <c r="K755" s="10"/>
      <c r="L755" s="10"/>
    </row>
    <row r="756" spans="2:12" ht="12.75" customHeight="1">
      <c r="B756" s="10"/>
      <c r="C756" s="108"/>
      <c r="D756" s="10"/>
      <c r="E756" s="10"/>
      <c r="F756" s="10"/>
      <c r="G756" s="10"/>
      <c r="H756" s="10"/>
      <c r="I756" s="10"/>
      <c r="J756" s="10"/>
      <c r="K756" s="10"/>
      <c r="L756" s="10"/>
    </row>
    <row r="757" spans="2:12" ht="12.75" customHeight="1">
      <c r="B757" s="10"/>
      <c r="C757" s="108"/>
      <c r="D757" s="10"/>
      <c r="E757" s="10"/>
      <c r="F757" s="10"/>
      <c r="G757" s="10"/>
      <c r="H757" s="10"/>
      <c r="I757" s="10"/>
      <c r="J757" s="10"/>
      <c r="K757" s="10"/>
      <c r="L757" s="10"/>
    </row>
    <row r="758" spans="2:12" ht="12.75" customHeight="1">
      <c r="B758" s="10"/>
      <c r="C758" s="10"/>
      <c r="D758" s="10"/>
      <c r="E758" s="10"/>
      <c r="F758" s="10"/>
      <c r="G758" s="10"/>
      <c r="H758" s="10"/>
      <c r="I758" s="10"/>
      <c r="J758" s="10"/>
      <c r="K758" s="10"/>
      <c r="L758" s="10"/>
    </row>
    <row r="759" spans="2:12" ht="12.75" customHeight="1">
      <c r="B759" s="10"/>
      <c r="C759" s="108"/>
      <c r="D759" s="10"/>
      <c r="E759" s="10"/>
      <c r="F759" s="10"/>
      <c r="G759" s="10"/>
      <c r="H759" s="10"/>
      <c r="I759" s="10"/>
      <c r="J759" s="10"/>
      <c r="K759" s="10"/>
      <c r="L759" s="10"/>
    </row>
    <row r="760" spans="2:12" ht="12.75" customHeight="1">
      <c r="B760" s="10"/>
      <c r="C760" s="108"/>
      <c r="D760" s="10"/>
      <c r="E760" s="10"/>
      <c r="F760" s="10"/>
      <c r="G760" s="10"/>
      <c r="H760" s="10"/>
      <c r="I760" s="10"/>
      <c r="J760" s="10"/>
      <c r="K760" s="10"/>
      <c r="L760" s="10"/>
    </row>
    <row r="761" spans="2:12" ht="12.75" customHeight="1">
      <c r="B761" s="10"/>
      <c r="C761" s="108"/>
      <c r="D761" s="10"/>
      <c r="E761" s="10"/>
      <c r="F761" s="10"/>
      <c r="G761" s="10"/>
      <c r="H761" s="10"/>
      <c r="I761" s="10"/>
      <c r="J761" s="10"/>
      <c r="K761" s="10"/>
      <c r="L761" s="10"/>
    </row>
    <row r="762" spans="2:12" ht="12.75" customHeight="1">
      <c r="B762" s="10"/>
      <c r="C762" s="108"/>
      <c r="D762" s="10"/>
      <c r="E762" s="10"/>
      <c r="F762" s="10"/>
      <c r="G762" s="10"/>
      <c r="H762" s="10"/>
      <c r="I762" s="10"/>
      <c r="J762" s="10"/>
      <c r="K762" s="10"/>
      <c r="L762" s="10"/>
    </row>
    <row r="763" spans="2:12" ht="12.75" customHeight="1">
      <c r="B763" s="10"/>
      <c r="C763" s="108"/>
      <c r="D763" s="10"/>
      <c r="E763" s="10"/>
      <c r="F763" s="10"/>
      <c r="G763" s="10"/>
      <c r="H763" s="10"/>
      <c r="I763" s="10"/>
      <c r="J763" s="10"/>
      <c r="K763" s="10"/>
      <c r="L763" s="10"/>
    </row>
    <row r="764" spans="2:12" ht="12.75" customHeight="1">
      <c r="B764" s="10"/>
      <c r="C764" s="108"/>
      <c r="D764" s="10"/>
      <c r="E764" s="10"/>
      <c r="F764" s="10"/>
      <c r="G764" s="10"/>
      <c r="H764" s="10"/>
      <c r="I764" s="10"/>
      <c r="J764" s="10"/>
      <c r="K764" s="10"/>
      <c r="L764" s="10"/>
    </row>
    <row r="765" spans="2:12" ht="12.75" customHeight="1">
      <c r="B765" s="10"/>
      <c r="C765" s="108"/>
      <c r="D765" s="10"/>
      <c r="E765" s="10"/>
      <c r="F765" s="10"/>
      <c r="G765" s="10"/>
      <c r="H765" s="10"/>
      <c r="I765" s="10"/>
      <c r="J765" s="10"/>
      <c r="K765" s="10"/>
      <c r="L765" s="10"/>
    </row>
    <row r="766" spans="2:12" ht="12.75" customHeight="1">
      <c r="B766" s="10"/>
      <c r="C766" s="108"/>
      <c r="D766" s="10"/>
      <c r="E766" s="10"/>
      <c r="F766" s="10"/>
      <c r="G766" s="10"/>
      <c r="H766" s="10"/>
      <c r="I766" s="10"/>
      <c r="J766" s="10"/>
      <c r="K766" s="10"/>
      <c r="L766" s="10"/>
    </row>
    <row r="767" spans="2:12" ht="12.75" customHeight="1">
      <c r="B767" s="10"/>
      <c r="C767" s="108"/>
      <c r="D767" s="10"/>
      <c r="E767" s="10"/>
      <c r="F767" s="10"/>
      <c r="G767" s="10"/>
      <c r="H767" s="10"/>
      <c r="I767" s="10"/>
      <c r="J767" s="10"/>
      <c r="K767" s="10"/>
      <c r="L767" s="10"/>
    </row>
    <row r="768" spans="2:12" ht="12.75" customHeight="1">
      <c r="B768" s="10"/>
      <c r="C768" s="108"/>
      <c r="D768" s="10"/>
      <c r="E768" s="10"/>
      <c r="F768" s="10"/>
      <c r="G768" s="10"/>
      <c r="H768" s="10"/>
      <c r="I768" s="10"/>
      <c r="J768" s="10"/>
      <c r="K768" s="10"/>
      <c r="L768" s="10"/>
    </row>
    <row r="769" spans="2:12" ht="12.75" customHeight="1">
      <c r="B769" s="10"/>
      <c r="C769" s="108"/>
      <c r="D769" s="10"/>
      <c r="E769" s="10"/>
      <c r="F769" s="10"/>
      <c r="G769" s="10"/>
      <c r="H769" s="10"/>
      <c r="I769" s="10"/>
      <c r="J769" s="10"/>
      <c r="K769" s="10"/>
      <c r="L769" s="10"/>
    </row>
    <row r="770" spans="2:12" ht="12.75" customHeight="1">
      <c r="B770" s="10"/>
      <c r="C770" s="108"/>
      <c r="D770" s="10"/>
      <c r="E770" s="10"/>
      <c r="F770" s="10"/>
      <c r="G770" s="10"/>
      <c r="H770" s="10"/>
      <c r="I770" s="10"/>
      <c r="J770" s="10"/>
      <c r="K770" s="10"/>
      <c r="L770" s="10"/>
    </row>
    <row r="771" spans="2:12" ht="12.75" customHeight="1">
      <c r="B771" s="10"/>
      <c r="C771" s="108"/>
      <c r="D771" s="10"/>
      <c r="E771" s="10"/>
      <c r="F771" s="10"/>
      <c r="G771" s="10"/>
      <c r="H771" s="10"/>
      <c r="I771" s="10"/>
      <c r="J771" s="10"/>
      <c r="K771" s="10"/>
      <c r="L771" s="10"/>
    </row>
    <row r="772" spans="2:12" ht="12.75" customHeight="1">
      <c r="B772" s="10"/>
      <c r="C772" s="10"/>
      <c r="D772" s="10"/>
      <c r="E772" s="10"/>
      <c r="F772" s="10"/>
      <c r="G772" s="10"/>
      <c r="H772" s="10"/>
      <c r="I772" s="10"/>
      <c r="J772" s="10"/>
      <c r="K772" s="10"/>
      <c r="L772" s="10"/>
    </row>
    <row r="773" spans="2:12" ht="12.75" customHeight="1">
      <c r="B773" s="10"/>
      <c r="C773" s="108"/>
      <c r="D773" s="10"/>
      <c r="E773" s="10"/>
      <c r="F773" s="10"/>
      <c r="G773" s="10"/>
      <c r="H773" s="10"/>
      <c r="I773" s="10"/>
      <c r="J773" s="10"/>
      <c r="K773" s="10"/>
      <c r="L773" s="10"/>
    </row>
    <row r="774" spans="2:12" ht="12.75" customHeight="1">
      <c r="B774" s="10"/>
      <c r="C774" s="108"/>
      <c r="D774" s="10"/>
      <c r="E774" s="10"/>
      <c r="F774" s="10"/>
      <c r="G774" s="10"/>
      <c r="H774" s="10"/>
      <c r="I774" s="10"/>
      <c r="J774" s="10"/>
      <c r="K774" s="10"/>
      <c r="L774" s="10"/>
    </row>
    <row r="775" spans="2:12" ht="12.75" customHeight="1">
      <c r="B775" s="10"/>
      <c r="C775" s="1440" t="s">
        <v>258</v>
      </c>
      <c r="D775" s="1440"/>
      <c r="E775" s="1440"/>
      <c r="F775" s="1440"/>
      <c r="G775" s="1440"/>
      <c r="H775" s="1440"/>
      <c r="I775" s="1440"/>
      <c r="J775" s="1440"/>
      <c r="K775" s="1440"/>
      <c r="L775" s="10"/>
    </row>
    <row r="776" spans="2:12" ht="12.75" customHeight="1">
      <c r="B776" s="10"/>
      <c r="C776" s="108"/>
      <c r="D776" s="10"/>
      <c r="E776" s="10"/>
      <c r="F776" s="10"/>
      <c r="G776" s="10"/>
      <c r="H776" s="10"/>
      <c r="I776" s="10"/>
      <c r="J776" s="10"/>
      <c r="K776" s="10"/>
      <c r="L776" s="10"/>
    </row>
    <row r="777" spans="2:12" ht="12.75" customHeight="1">
      <c r="B777" s="10"/>
      <c r="C777" s="108"/>
      <c r="D777" s="10"/>
      <c r="E777" s="10"/>
      <c r="F777" s="10"/>
      <c r="G777" s="10"/>
      <c r="H777" s="10"/>
      <c r="I777" s="10"/>
      <c r="J777" s="10"/>
      <c r="K777" s="10"/>
      <c r="L777" s="10"/>
    </row>
    <row r="778" spans="2:12" ht="12.75" customHeight="1">
      <c r="B778" s="10"/>
      <c r="C778" s="108"/>
      <c r="D778" s="10"/>
      <c r="E778" s="10"/>
      <c r="F778" s="10"/>
      <c r="G778" s="10"/>
      <c r="H778" s="10"/>
      <c r="I778" s="10"/>
      <c r="J778" s="10"/>
      <c r="K778" s="10"/>
      <c r="L778" s="10"/>
    </row>
    <row r="779" spans="2:12" ht="12.75" customHeight="1">
      <c r="B779" s="10"/>
      <c r="C779" s="108"/>
      <c r="D779" s="10"/>
      <c r="E779" s="10"/>
      <c r="F779" s="10"/>
      <c r="G779" s="10"/>
      <c r="H779" s="10"/>
      <c r="I779" s="10"/>
      <c r="J779" s="10"/>
      <c r="K779" s="10"/>
      <c r="L779" s="10"/>
    </row>
    <row r="780" spans="2:12" ht="12.75" customHeight="1">
      <c r="B780" s="10"/>
      <c r="C780" s="10"/>
      <c r="D780" s="10"/>
      <c r="E780" s="10"/>
      <c r="F780" s="10"/>
      <c r="G780" s="10"/>
      <c r="H780" s="10"/>
      <c r="I780" s="10"/>
      <c r="J780" s="10"/>
      <c r="K780" s="10"/>
      <c r="L780" s="10"/>
    </row>
    <row r="781" spans="2:12" ht="12.75" customHeight="1">
      <c r="B781" s="10"/>
      <c r="C781" s="108"/>
      <c r="D781" s="10"/>
      <c r="E781" s="10"/>
      <c r="F781" s="10"/>
      <c r="G781" s="10"/>
      <c r="H781" s="10"/>
      <c r="I781" s="10"/>
      <c r="J781" s="10"/>
      <c r="K781" s="10"/>
      <c r="L781" s="10"/>
    </row>
    <row r="782" spans="2:12" ht="12.75" customHeight="1">
      <c r="B782" s="10"/>
      <c r="C782" s="108"/>
      <c r="D782" s="10"/>
      <c r="E782" s="10"/>
      <c r="F782" s="10"/>
      <c r="G782" s="10"/>
      <c r="H782" s="10"/>
      <c r="I782" s="10"/>
      <c r="J782" s="10"/>
      <c r="K782" s="10"/>
      <c r="L782" s="10"/>
    </row>
    <row r="783" spans="2:12" ht="12.75" customHeight="1">
      <c r="B783" s="10"/>
      <c r="C783" s="108"/>
      <c r="D783" s="10"/>
      <c r="E783" s="10"/>
      <c r="F783" s="10"/>
      <c r="G783" s="10"/>
      <c r="H783" s="10"/>
      <c r="I783" s="10"/>
      <c r="J783" s="10"/>
      <c r="K783" s="10"/>
      <c r="L783" s="10"/>
    </row>
    <row r="784" spans="2:12" ht="12.75" customHeight="1">
      <c r="B784" s="10"/>
      <c r="C784" s="108"/>
      <c r="D784" s="10"/>
      <c r="E784" s="10"/>
      <c r="F784" s="10"/>
      <c r="G784" s="10"/>
      <c r="H784" s="10"/>
      <c r="I784" s="10"/>
      <c r="J784" s="10"/>
      <c r="K784" s="10"/>
      <c r="L784" s="10"/>
    </row>
    <row r="785" spans="2:12" ht="12.75" customHeight="1">
      <c r="B785" s="10"/>
      <c r="C785" s="108"/>
      <c r="D785" s="10"/>
      <c r="E785" s="10"/>
      <c r="F785" s="10"/>
      <c r="G785" s="10"/>
      <c r="H785" s="10"/>
      <c r="I785" s="10"/>
      <c r="J785" s="10"/>
      <c r="K785" s="10"/>
      <c r="L785" s="10"/>
    </row>
    <row r="786" spans="2:12" ht="12.75" customHeight="1">
      <c r="B786" s="10"/>
      <c r="C786" s="10"/>
      <c r="D786" s="10"/>
      <c r="E786" s="10"/>
      <c r="F786" s="10"/>
      <c r="G786" s="10"/>
      <c r="H786" s="10"/>
      <c r="I786" s="10"/>
      <c r="J786" s="10"/>
      <c r="K786" s="10"/>
      <c r="L786" s="10"/>
    </row>
    <row r="787" spans="2:12" ht="12.75" customHeight="1">
      <c r="B787" s="10"/>
      <c r="C787" s="108"/>
      <c r="D787" s="10"/>
      <c r="E787" s="10"/>
      <c r="F787" s="10"/>
      <c r="G787" s="10"/>
      <c r="H787" s="10"/>
      <c r="I787" s="10"/>
      <c r="J787" s="10"/>
      <c r="K787" s="10"/>
      <c r="L787" s="10"/>
    </row>
    <row r="788" spans="2:12" ht="12.75" customHeight="1">
      <c r="B788" s="10"/>
      <c r="C788" s="108"/>
      <c r="D788" s="10"/>
      <c r="E788" s="10"/>
      <c r="F788" s="10"/>
      <c r="G788" s="10"/>
      <c r="H788" s="10"/>
      <c r="I788" s="10"/>
      <c r="J788" s="10"/>
      <c r="K788" s="10"/>
      <c r="L788" s="10"/>
    </row>
    <row r="789" spans="2:12" ht="12.75" customHeight="1">
      <c r="B789" s="10"/>
      <c r="C789" s="108"/>
      <c r="D789" s="10"/>
      <c r="E789" s="10"/>
      <c r="F789" s="10"/>
      <c r="G789" s="10"/>
      <c r="H789" s="10"/>
      <c r="I789" s="10"/>
      <c r="J789" s="10"/>
      <c r="K789" s="10"/>
      <c r="L789" s="10"/>
    </row>
    <row r="790" spans="2:12" ht="12.75" customHeight="1">
      <c r="B790" s="10"/>
      <c r="C790" s="108"/>
      <c r="D790" s="10"/>
      <c r="E790" s="10"/>
      <c r="F790" s="10"/>
      <c r="G790" s="10"/>
      <c r="H790" s="10"/>
      <c r="I790" s="10"/>
      <c r="J790" s="10"/>
      <c r="K790" s="10"/>
      <c r="L790" s="10"/>
    </row>
    <row r="791" spans="2:12" ht="12.75" customHeight="1">
      <c r="B791" s="10"/>
      <c r="C791" s="108"/>
      <c r="D791" s="10"/>
      <c r="E791" s="10"/>
      <c r="F791" s="10"/>
      <c r="G791" s="10"/>
      <c r="H791" s="10"/>
      <c r="I791" s="10"/>
      <c r="J791" s="10"/>
      <c r="K791" s="10"/>
      <c r="L791" s="10"/>
    </row>
    <row r="792" spans="2:12" ht="12.75" customHeight="1">
      <c r="B792" s="10"/>
      <c r="C792" s="108"/>
      <c r="D792" s="10"/>
      <c r="E792" s="10"/>
      <c r="F792" s="10"/>
      <c r="G792" s="10"/>
      <c r="H792" s="10"/>
      <c r="I792" s="10"/>
      <c r="J792" s="10"/>
      <c r="K792" s="10"/>
      <c r="L792" s="10"/>
    </row>
    <row r="793" spans="2:12" ht="12.75" customHeight="1">
      <c r="B793" s="10"/>
      <c r="C793" s="108"/>
      <c r="D793" s="10"/>
      <c r="E793" s="10"/>
      <c r="F793" s="10"/>
      <c r="G793" s="10"/>
      <c r="H793" s="10"/>
      <c r="I793" s="10"/>
      <c r="J793" s="10"/>
      <c r="K793" s="10"/>
      <c r="L793" s="10"/>
    </row>
    <row r="794" spans="2:12" ht="12.75" customHeight="1">
      <c r="B794" s="10"/>
      <c r="C794" s="108"/>
      <c r="D794" s="10"/>
      <c r="E794" s="10"/>
      <c r="F794" s="10"/>
      <c r="G794" s="10"/>
      <c r="H794" s="10"/>
      <c r="I794" s="10"/>
      <c r="J794" s="10"/>
      <c r="K794" s="10"/>
      <c r="L794" s="10"/>
    </row>
    <row r="795" spans="2:12" ht="12.75" customHeight="1">
      <c r="B795" s="10"/>
      <c r="C795" s="108"/>
      <c r="D795" s="10"/>
      <c r="E795" s="10"/>
      <c r="F795" s="10"/>
      <c r="G795" s="10"/>
      <c r="H795" s="10"/>
      <c r="I795" s="10"/>
      <c r="J795" s="10"/>
      <c r="K795" s="10"/>
      <c r="L795" s="10"/>
    </row>
    <row r="796" spans="2:12" ht="12.75" customHeight="1">
      <c r="B796" s="10"/>
      <c r="C796" s="108"/>
      <c r="D796" s="10"/>
      <c r="E796" s="10"/>
      <c r="F796" s="10"/>
      <c r="G796" s="10"/>
      <c r="H796" s="10"/>
      <c r="I796" s="10"/>
      <c r="J796" s="10"/>
      <c r="K796" s="10"/>
      <c r="L796" s="10"/>
    </row>
    <row r="797" spans="2:12" ht="12.75" customHeight="1">
      <c r="B797" s="10"/>
      <c r="C797" s="10"/>
      <c r="D797" s="10"/>
      <c r="E797" s="10"/>
      <c r="F797" s="10"/>
      <c r="G797" s="10"/>
      <c r="H797" s="10"/>
      <c r="I797" s="10"/>
      <c r="J797" s="10"/>
      <c r="K797" s="10"/>
      <c r="L797" s="10"/>
    </row>
    <row r="798" spans="2:12" ht="12.75" customHeight="1">
      <c r="B798" s="10"/>
      <c r="C798" s="1440" t="s">
        <v>259</v>
      </c>
      <c r="D798" s="1440"/>
      <c r="E798" s="1440"/>
      <c r="F798" s="1440"/>
      <c r="G798" s="1440"/>
      <c r="H798" s="1440"/>
      <c r="I798" s="1440"/>
      <c r="J798" s="1440"/>
      <c r="K798" s="1440"/>
      <c r="L798" s="10"/>
    </row>
    <row r="799" spans="2:12" ht="12.75" customHeight="1">
      <c r="B799" s="10"/>
      <c r="C799" s="629"/>
      <c r="D799" s="629"/>
      <c r="E799" s="629"/>
      <c r="F799" s="629"/>
      <c r="G799" s="629"/>
      <c r="H799" s="629"/>
      <c r="I799" s="629"/>
      <c r="J799" s="629"/>
      <c r="K799" s="629"/>
      <c r="L799" s="10"/>
    </row>
    <row r="800" spans="2:12" ht="12.75" customHeight="1">
      <c r="B800" s="10"/>
      <c r="C800" s="108"/>
      <c r="D800" s="10"/>
      <c r="E800" s="10"/>
      <c r="F800" s="10"/>
      <c r="G800" s="10"/>
      <c r="H800" s="10"/>
      <c r="I800" s="10"/>
      <c r="J800" s="10"/>
      <c r="K800" s="10"/>
      <c r="L800" s="10"/>
    </row>
    <row r="801" spans="2:12" ht="12.75" customHeight="1">
      <c r="B801" s="10"/>
      <c r="C801" s="1468" t="s">
        <v>805</v>
      </c>
      <c r="D801" s="1468"/>
      <c r="E801" s="1468"/>
      <c r="F801" s="1468"/>
      <c r="G801" s="1468"/>
      <c r="H801" s="1468"/>
      <c r="I801" s="1468"/>
      <c r="J801" s="1468"/>
      <c r="K801" s="1468"/>
      <c r="L801" s="10"/>
    </row>
    <row r="802" spans="2:12" ht="12.75" customHeight="1">
      <c r="B802" s="10"/>
      <c r="C802" s="615"/>
      <c r="D802" s="615"/>
      <c r="E802" s="615"/>
      <c r="F802" s="615"/>
      <c r="G802" s="615"/>
      <c r="H802" s="615"/>
      <c r="I802" s="615"/>
      <c r="J802" s="615"/>
      <c r="K802" s="615"/>
      <c r="L802" s="10"/>
    </row>
    <row r="803" spans="2:12" ht="12.75" customHeight="1">
      <c r="B803" s="10"/>
      <c r="C803" s="1468" t="s">
        <v>806</v>
      </c>
      <c r="D803" s="1468"/>
      <c r="E803" s="1468"/>
      <c r="F803" s="1468"/>
      <c r="G803" s="1468"/>
      <c r="H803" s="1468"/>
      <c r="I803" s="1468"/>
      <c r="J803" s="1468"/>
      <c r="K803" s="1468"/>
      <c r="L803" s="10"/>
    </row>
    <row r="804" spans="2:12" ht="12.75" customHeight="1">
      <c r="B804" s="10"/>
      <c r="C804" s="615"/>
      <c r="D804" s="615"/>
      <c r="E804" s="615"/>
      <c r="F804" s="615"/>
      <c r="G804" s="615"/>
      <c r="H804" s="615"/>
      <c r="I804" s="615"/>
      <c r="J804" s="615"/>
      <c r="K804" s="615"/>
      <c r="L804" s="10"/>
    </row>
    <row r="805" spans="2:12" ht="12.75" customHeight="1">
      <c r="B805" s="10"/>
      <c r="C805" s="1463" t="s">
        <v>347</v>
      </c>
      <c r="D805" s="1463"/>
      <c r="E805" s="1463"/>
      <c r="F805" s="1463"/>
      <c r="G805" s="1463"/>
      <c r="H805" s="1463"/>
      <c r="I805" s="1463"/>
      <c r="J805" s="1463"/>
      <c r="K805" s="1463"/>
      <c r="L805" s="10"/>
    </row>
    <row r="806" spans="2:12" ht="12.75" customHeight="1">
      <c r="B806" s="10"/>
      <c r="C806" s="1463"/>
      <c r="D806" s="1463"/>
      <c r="E806" s="1463"/>
      <c r="F806" s="1463"/>
      <c r="G806" s="1463"/>
      <c r="H806" s="1463"/>
      <c r="I806" s="1463"/>
      <c r="J806" s="1463"/>
      <c r="K806" s="1463"/>
      <c r="L806" s="10"/>
    </row>
    <row r="807" spans="2:12" ht="12.75" customHeight="1">
      <c r="B807" s="10"/>
      <c r="C807" s="1463"/>
      <c r="D807" s="1463"/>
      <c r="E807" s="1463"/>
      <c r="F807" s="1463"/>
      <c r="G807" s="1463"/>
      <c r="H807" s="1463"/>
      <c r="I807" s="1463"/>
      <c r="J807" s="1463"/>
      <c r="K807" s="1463"/>
      <c r="L807" s="10"/>
    </row>
    <row r="808" spans="2:12" ht="12.75" customHeight="1">
      <c r="B808" s="10"/>
      <c r="C808" s="1463"/>
      <c r="D808" s="1463"/>
      <c r="E808" s="1463"/>
      <c r="F808" s="1463"/>
      <c r="G808" s="1463"/>
      <c r="H808" s="1463"/>
      <c r="I808" s="1463"/>
      <c r="J808" s="1463"/>
      <c r="K808" s="1463"/>
      <c r="L808" s="10"/>
    </row>
    <row r="809" spans="2:12" ht="12.75" customHeight="1">
      <c r="B809" s="10"/>
      <c r="C809" s="1463"/>
      <c r="D809" s="1463"/>
      <c r="E809" s="1463"/>
      <c r="F809" s="1463"/>
      <c r="G809" s="1463"/>
      <c r="H809" s="1463"/>
      <c r="I809" s="1463"/>
      <c r="J809" s="1463"/>
      <c r="K809" s="1463"/>
      <c r="L809" s="10"/>
    </row>
    <row r="810" spans="2:12" ht="12.75" customHeight="1">
      <c r="B810" s="10"/>
      <c r="C810" s="1463"/>
      <c r="D810" s="1463"/>
      <c r="E810" s="1463"/>
      <c r="F810" s="1463"/>
      <c r="G810" s="1463"/>
      <c r="H810" s="1463"/>
      <c r="I810" s="1463"/>
      <c r="J810" s="1463"/>
      <c r="K810" s="1463"/>
      <c r="L810" s="10"/>
    </row>
    <row r="811" spans="2:12" ht="12.75" customHeight="1">
      <c r="B811" s="10"/>
      <c r="C811" s="607"/>
      <c r="D811" s="607"/>
      <c r="E811" s="607"/>
      <c r="F811" s="607"/>
      <c r="G811" s="607"/>
      <c r="H811" s="607"/>
      <c r="I811" s="607"/>
      <c r="J811" s="607"/>
      <c r="K811" s="607"/>
      <c r="L811" s="10"/>
    </row>
    <row r="812" spans="2:12" ht="12.75" customHeight="1">
      <c r="B812" s="10"/>
      <c r="C812" s="607"/>
      <c r="D812" s="607"/>
      <c r="E812" s="607"/>
      <c r="F812" s="607"/>
      <c r="G812" s="607"/>
      <c r="H812" s="607"/>
      <c r="I812" s="607"/>
      <c r="J812" s="607"/>
      <c r="K812" s="607"/>
      <c r="L812" s="10"/>
    </row>
    <row r="813" spans="2:12" ht="12.75" customHeight="1">
      <c r="B813" s="10"/>
      <c r="C813" s="607"/>
      <c r="D813" s="607"/>
      <c r="E813" s="607"/>
      <c r="F813" s="607"/>
      <c r="G813" s="607"/>
      <c r="H813" s="607"/>
      <c r="I813" s="607"/>
      <c r="J813" s="607"/>
      <c r="K813" s="607"/>
      <c r="L813" s="10"/>
    </row>
    <row r="814" spans="2:12" ht="12.75" customHeight="1">
      <c r="B814" s="10"/>
      <c r="C814" s="607"/>
      <c r="D814" s="607"/>
      <c r="E814" s="607"/>
      <c r="F814" s="607"/>
      <c r="G814" s="607"/>
      <c r="H814" s="607"/>
      <c r="I814" s="607"/>
      <c r="J814" s="607"/>
      <c r="K814" s="607"/>
      <c r="L814" s="10"/>
    </row>
    <row r="815" spans="2:12" ht="12.75" customHeight="1">
      <c r="B815" s="10"/>
      <c r="C815" s="607"/>
      <c r="D815" s="607"/>
      <c r="E815" s="607"/>
      <c r="F815" s="607"/>
      <c r="G815" s="607"/>
      <c r="H815" s="607"/>
      <c r="I815" s="607"/>
      <c r="J815" s="607"/>
      <c r="K815" s="607"/>
      <c r="L815" s="10"/>
    </row>
    <row r="816" spans="2:12" ht="12.75" customHeight="1">
      <c r="B816" s="10"/>
      <c r="C816" s="607"/>
      <c r="D816" s="607"/>
      <c r="E816" s="607"/>
      <c r="F816" s="607"/>
      <c r="G816" s="607"/>
      <c r="H816" s="607"/>
      <c r="I816" s="607"/>
      <c r="J816" s="607"/>
      <c r="K816" s="607"/>
      <c r="L816" s="10"/>
    </row>
    <row r="817" spans="2:12" ht="12.75" customHeight="1">
      <c r="B817" s="10"/>
      <c r="C817" s="607"/>
      <c r="D817" s="607"/>
      <c r="E817" s="607"/>
      <c r="F817" s="607"/>
      <c r="G817" s="607"/>
      <c r="H817" s="607"/>
      <c r="I817" s="607"/>
      <c r="J817" s="607"/>
      <c r="K817" s="607"/>
      <c r="L817" s="10"/>
    </row>
    <row r="818" spans="2:12" ht="12.75" customHeight="1">
      <c r="B818" s="10"/>
      <c r="C818" s="607"/>
      <c r="D818" s="607"/>
      <c r="E818" s="607"/>
      <c r="F818" s="607"/>
      <c r="G818" s="607"/>
      <c r="H818" s="607"/>
      <c r="I818" s="607"/>
      <c r="J818" s="607"/>
      <c r="K818" s="607"/>
      <c r="L818" s="10"/>
    </row>
    <row r="819" spans="2:12" ht="12.75" customHeight="1">
      <c r="B819" s="10"/>
      <c r="C819" s="607"/>
      <c r="D819" s="607"/>
      <c r="E819" s="607"/>
      <c r="F819" s="607"/>
      <c r="G819" s="607"/>
      <c r="H819" s="607"/>
      <c r="I819" s="607"/>
      <c r="J819" s="607"/>
      <c r="K819" s="607"/>
      <c r="L819" s="10"/>
    </row>
    <row r="820" spans="2:12" ht="12.75" customHeight="1">
      <c r="B820" s="10"/>
      <c r="C820" s="10"/>
      <c r="D820" s="10"/>
      <c r="E820" s="10"/>
      <c r="F820" s="10"/>
      <c r="G820" s="10"/>
      <c r="H820" s="10"/>
      <c r="I820" s="10"/>
      <c r="J820" s="10"/>
      <c r="K820" s="10"/>
      <c r="L820" s="10"/>
    </row>
    <row r="821" spans="2:12" ht="12.75" customHeight="1">
      <c r="B821" s="10"/>
      <c r="C821" s="10"/>
      <c r="D821" s="10"/>
      <c r="E821" s="10"/>
      <c r="F821" s="10"/>
      <c r="G821" s="10"/>
      <c r="H821" s="10"/>
      <c r="I821" s="10"/>
      <c r="J821" s="10"/>
      <c r="K821" s="10"/>
      <c r="L821" s="10"/>
    </row>
    <row r="822" spans="2:12" ht="12.75" customHeight="1">
      <c r="B822" s="10"/>
      <c r="C822" s="10"/>
      <c r="D822" s="10"/>
      <c r="E822" s="10"/>
      <c r="F822" s="10"/>
      <c r="G822" s="10"/>
      <c r="H822" s="10"/>
      <c r="I822" s="10"/>
      <c r="J822" s="10"/>
      <c r="K822" s="10"/>
      <c r="L822" s="10"/>
    </row>
    <row r="823" spans="2:12" ht="12.75" customHeight="1">
      <c r="B823" s="10"/>
      <c r="C823" s="10"/>
      <c r="D823" s="10"/>
      <c r="E823" s="10"/>
      <c r="F823" s="10"/>
      <c r="G823" s="10"/>
      <c r="H823" s="10"/>
      <c r="I823" s="10"/>
      <c r="J823" s="10"/>
      <c r="K823" s="10"/>
      <c r="L823" s="10"/>
    </row>
    <row r="824" spans="2:12" ht="12.75" customHeight="1">
      <c r="B824" s="10"/>
      <c r="C824" s="10"/>
      <c r="D824" s="10"/>
      <c r="E824" s="10"/>
      <c r="F824" s="10"/>
      <c r="G824" s="10"/>
      <c r="H824" s="10"/>
      <c r="I824" s="10"/>
      <c r="J824" s="10"/>
      <c r="K824" s="10"/>
      <c r="L824" s="10"/>
    </row>
    <row r="825" spans="2:12" ht="12.75" customHeight="1">
      <c r="B825" s="10"/>
      <c r="C825" s="10"/>
      <c r="D825" s="10"/>
      <c r="E825" s="10"/>
      <c r="F825" s="10"/>
      <c r="G825" s="10"/>
      <c r="H825" s="10"/>
      <c r="I825" s="10"/>
      <c r="J825" s="10"/>
      <c r="K825" s="10"/>
      <c r="L825" s="10"/>
    </row>
    <row r="826" spans="2:12" ht="12.75" customHeight="1">
      <c r="B826" s="10"/>
      <c r="C826" s="10"/>
      <c r="D826" s="10"/>
      <c r="E826" s="10"/>
      <c r="F826" s="10"/>
      <c r="G826" s="10"/>
      <c r="H826" s="10"/>
      <c r="I826" s="10"/>
      <c r="J826" s="10"/>
      <c r="K826" s="10"/>
      <c r="L826" s="10"/>
    </row>
    <row r="827" spans="2:12" ht="12.75" customHeight="1">
      <c r="B827" s="10"/>
      <c r="C827" s="10"/>
      <c r="D827" s="10"/>
      <c r="E827" s="10"/>
      <c r="F827" s="10"/>
      <c r="G827" s="10"/>
      <c r="H827" s="10"/>
      <c r="I827" s="10"/>
      <c r="J827" s="10"/>
      <c r="K827" s="10"/>
      <c r="L827" s="10"/>
    </row>
    <row r="828" spans="2:12" ht="12.75" customHeight="1">
      <c r="B828" s="10"/>
      <c r="C828" s="10"/>
      <c r="D828" s="10"/>
      <c r="E828" s="10"/>
      <c r="F828" s="10"/>
      <c r="G828" s="10"/>
      <c r="H828" s="10"/>
      <c r="I828" s="10"/>
      <c r="J828" s="10"/>
      <c r="K828" s="10"/>
      <c r="L828" s="10"/>
    </row>
    <row r="829" spans="2:12" ht="12.75" customHeight="1">
      <c r="B829" s="10"/>
      <c r="C829" s="10"/>
      <c r="D829" s="10"/>
      <c r="E829" s="10"/>
      <c r="F829" s="10"/>
      <c r="G829" s="10"/>
      <c r="H829" s="10"/>
      <c r="I829" s="10"/>
      <c r="J829" s="10"/>
      <c r="K829" s="10"/>
      <c r="L829" s="10"/>
    </row>
    <row r="830" spans="2:12" ht="12.75" customHeight="1">
      <c r="B830" s="10"/>
      <c r="C830" s="10"/>
      <c r="D830" s="10"/>
      <c r="E830" s="10"/>
      <c r="F830" s="10"/>
      <c r="G830" s="10"/>
      <c r="H830" s="10"/>
      <c r="I830" s="10"/>
      <c r="J830" s="10"/>
      <c r="K830" s="10"/>
      <c r="L830" s="10"/>
    </row>
    <row r="831" spans="2:12" ht="12.75" customHeight="1">
      <c r="B831" s="10"/>
      <c r="C831" s="10"/>
      <c r="D831" s="10"/>
      <c r="E831" s="10"/>
      <c r="F831" s="10"/>
      <c r="G831" s="10"/>
      <c r="H831" s="10"/>
      <c r="I831" s="10"/>
      <c r="J831" s="10"/>
      <c r="K831" s="10"/>
      <c r="L831" s="10"/>
    </row>
    <row r="832" spans="2:12" ht="12.75" customHeight="1">
      <c r="B832" s="10"/>
      <c r="C832" s="10"/>
      <c r="D832" s="10"/>
      <c r="E832" s="10"/>
      <c r="F832" s="10"/>
      <c r="G832" s="10"/>
      <c r="H832" s="10"/>
      <c r="I832" s="10"/>
      <c r="J832" s="10"/>
      <c r="K832" s="10"/>
      <c r="L832" s="10"/>
    </row>
    <row r="833" spans="2:12" ht="12.75" customHeight="1">
      <c r="B833" s="10"/>
      <c r="C833" s="10"/>
      <c r="D833" s="10"/>
      <c r="E833" s="10"/>
      <c r="F833" s="10"/>
      <c r="G833" s="10"/>
      <c r="H833" s="10"/>
      <c r="I833" s="10"/>
      <c r="J833" s="10"/>
      <c r="K833" s="10"/>
      <c r="L833" s="10"/>
    </row>
    <row r="834" spans="2:12" ht="12.75" customHeight="1">
      <c r="B834" s="10"/>
      <c r="C834" s="10"/>
      <c r="D834" s="10"/>
      <c r="E834" s="10"/>
      <c r="F834" s="10"/>
      <c r="G834" s="10"/>
      <c r="H834" s="10"/>
      <c r="I834" s="10"/>
      <c r="J834" s="10"/>
      <c r="K834" s="10"/>
      <c r="L834" s="10"/>
    </row>
    <row r="835" spans="2:12" ht="12.75" customHeight="1">
      <c r="B835" s="10"/>
      <c r="C835" s="10"/>
      <c r="D835" s="10"/>
      <c r="E835" s="10"/>
      <c r="F835" s="10"/>
      <c r="G835" s="10"/>
      <c r="H835" s="10"/>
      <c r="I835" s="10"/>
      <c r="J835" s="10"/>
      <c r="K835" s="10"/>
      <c r="L835" s="10"/>
    </row>
    <row r="836" spans="2:12" ht="12.75" customHeight="1">
      <c r="B836" s="10"/>
      <c r="C836" s="10"/>
      <c r="D836" s="10"/>
      <c r="E836" s="10"/>
      <c r="F836" s="10"/>
      <c r="G836" s="10"/>
      <c r="H836" s="10"/>
      <c r="I836" s="10"/>
      <c r="J836" s="10"/>
      <c r="K836" s="10"/>
      <c r="L836" s="10"/>
    </row>
    <row r="837" spans="2:12" ht="12.75" customHeight="1">
      <c r="B837" s="10"/>
      <c r="C837" s="10"/>
      <c r="D837" s="10"/>
      <c r="E837" s="10"/>
      <c r="F837" s="10"/>
      <c r="G837" s="10"/>
      <c r="H837" s="10"/>
      <c r="I837" s="10"/>
      <c r="J837" s="10"/>
      <c r="K837" s="10"/>
      <c r="L837" s="10"/>
    </row>
    <row r="838" spans="2:12" ht="12.75" customHeight="1">
      <c r="B838" s="10"/>
      <c r="C838" s="1440" t="s">
        <v>260</v>
      </c>
      <c r="D838" s="1440"/>
      <c r="E838" s="1440"/>
      <c r="F838" s="1440"/>
      <c r="G838" s="1440"/>
      <c r="H838" s="1440"/>
      <c r="I838" s="1440"/>
      <c r="J838" s="1440"/>
      <c r="K838" s="1440"/>
      <c r="L838" s="10"/>
    </row>
    <row r="839" spans="2:12" ht="12.75" customHeight="1">
      <c r="B839" s="10"/>
      <c r="C839" s="10"/>
      <c r="D839" s="10"/>
      <c r="E839" s="10"/>
      <c r="F839" s="10"/>
      <c r="G839" s="10"/>
      <c r="H839" s="10"/>
      <c r="I839" s="10"/>
      <c r="J839" s="10"/>
      <c r="K839" s="10"/>
      <c r="L839" s="10"/>
    </row>
    <row r="840" spans="2:12" ht="12.75" customHeight="1">
      <c r="B840" s="10"/>
      <c r="C840" s="10"/>
      <c r="D840" s="10"/>
      <c r="E840" s="10"/>
      <c r="F840" s="10"/>
      <c r="G840" s="10"/>
      <c r="H840" s="10"/>
      <c r="I840" s="10"/>
      <c r="J840" s="10"/>
      <c r="K840" s="10"/>
      <c r="L840" s="10"/>
    </row>
    <row r="841" spans="2:12" ht="12.75" customHeight="1">
      <c r="B841" s="10"/>
      <c r="C841" s="1445" t="s">
        <v>106</v>
      </c>
      <c r="D841" s="1445"/>
      <c r="E841" s="1445"/>
      <c r="F841" s="1445"/>
      <c r="G841" s="1445"/>
      <c r="H841" s="1445"/>
      <c r="I841" s="1445"/>
      <c r="J841" s="1445"/>
      <c r="K841" s="1445"/>
      <c r="L841" s="10"/>
    </row>
    <row r="842" spans="2:12" ht="12.75" customHeight="1">
      <c r="B842" s="10"/>
      <c r="C842" s="1445"/>
      <c r="D842" s="1445"/>
      <c r="E842" s="1445"/>
      <c r="F842" s="1445"/>
      <c r="G842" s="1445"/>
      <c r="H842" s="1445"/>
      <c r="I842" s="1445"/>
      <c r="J842" s="1445"/>
      <c r="K842" s="1445"/>
      <c r="L842" s="10"/>
    </row>
    <row r="843" spans="2:12" ht="12.75" customHeight="1">
      <c r="B843" s="10"/>
      <c r="C843" s="1445"/>
      <c r="D843" s="1445"/>
      <c r="E843" s="1445"/>
      <c r="F843" s="1445"/>
      <c r="G843" s="1445"/>
      <c r="H843" s="1445"/>
      <c r="I843" s="1445"/>
      <c r="J843" s="1445"/>
      <c r="K843" s="1445"/>
      <c r="L843" s="10"/>
    </row>
    <row r="844" spans="2:12" ht="12.75" customHeight="1">
      <c r="B844" s="10"/>
      <c r="C844" s="1445"/>
      <c r="D844" s="1445"/>
      <c r="E844" s="1445"/>
      <c r="F844" s="1445"/>
      <c r="G844" s="1445"/>
      <c r="H844" s="1445"/>
      <c r="I844" s="1445"/>
      <c r="J844" s="1445"/>
      <c r="K844" s="1445"/>
      <c r="L844" s="10"/>
    </row>
    <row r="845" spans="2:12" ht="12.75" customHeight="1">
      <c r="B845" s="10"/>
      <c r="C845" s="10" t="s">
        <v>109</v>
      </c>
      <c r="D845" s="10"/>
      <c r="E845" s="10"/>
      <c r="F845" s="10"/>
      <c r="G845" s="10"/>
      <c r="H845" s="10"/>
      <c r="I845" s="10"/>
      <c r="J845" s="10"/>
      <c r="K845" s="10"/>
      <c r="L845" s="10"/>
    </row>
    <row r="846" spans="2:12" ht="12.75" customHeight="1">
      <c r="B846" s="10"/>
      <c r="C846" s="10" t="s">
        <v>108</v>
      </c>
      <c r="D846" s="634">
        <f>I387*10</f>
        <v>76800</v>
      </c>
      <c r="E846" s="10" t="s">
        <v>107</v>
      </c>
      <c r="F846" s="10"/>
      <c r="G846" s="10"/>
      <c r="H846" s="10"/>
      <c r="I846" s="10"/>
      <c r="J846" s="10"/>
      <c r="K846" s="10"/>
      <c r="L846" s="10"/>
    </row>
    <row r="847" spans="2:12" ht="12.75" customHeight="1">
      <c r="B847" s="10"/>
      <c r="C847" s="1445" t="s">
        <v>110</v>
      </c>
      <c r="D847" s="1445"/>
      <c r="E847" s="1445"/>
      <c r="F847" s="1445"/>
      <c r="G847" s="1445"/>
      <c r="H847" s="1445"/>
      <c r="I847" s="1445"/>
      <c r="J847" s="1445"/>
      <c r="K847" s="1445"/>
      <c r="L847" s="10"/>
    </row>
    <row r="848" spans="2:12" ht="12.75" customHeight="1">
      <c r="B848" s="10"/>
      <c r="C848" s="1445"/>
      <c r="D848" s="1445"/>
      <c r="E848" s="1445"/>
      <c r="F848" s="1445"/>
      <c r="G848" s="1445"/>
      <c r="H848" s="1445"/>
      <c r="I848" s="1445"/>
      <c r="J848" s="1445"/>
      <c r="K848" s="1445"/>
      <c r="L848" s="10"/>
    </row>
    <row r="849" spans="2:12" ht="12.75" customHeight="1">
      <c r="B849" s="10"/>
      <c r="C849" s="1445"/>
      <c r="D849" s="1445"/>
      <c r="E849" s="1445"/>
      <c r="F849" s="1445"/>
      <c r="G849" s="1445"/>
      <c r="H849" s="1445"/>
      <c r="I849" s="1445"/>
      <c r="J849" s="1445"/>
      <c r="K849" s="1445"/>
      <c r="L849" s="10"/>
    </row>
    <row r="850" spans="2:12" ht="12.75" customHeight="1">
      <c r="B850" s="10"/>
      <c r="C850" s="607"/>
      <c r="D850" s="607"/>
      <c r="E850" s="607"/>
      <c r="F850" s="607"/>
      <c r="G850" s="607"/>
      <c r="H850" s="607"/>
      <c r="I850" s="607"/>
      <c r="J850" s="607"/>
      <c r="K850" s="607"/>
      <c r="L850" s="10"/>
    </row>
    <row r="851" spans="2:12" ht="12.75" customHeight="1">
      <c r="B851" s="10"/>
      <c r="C851" s="108"/>
      <c r="D851" s="10"/>
      <c r="E851" s="10"/>
      <c r="F851" s="10"/>
      <c r="G851" s="10"/>
      <c r="H851" s="10"/>
      <c r="I851" s="10"/>
      <c r="J851" s="10"/>
      <c r="K851" s="10"/>
      <c r="L851" s="10"/>
    </row>
    <row r="852" spans="2:12" ht="12.75" customHeight="1">
      <c r="B852" s="10"/>
      <c r="C852" s="108"/>
      <c r="D852" s="10"/>
      <c r="E852" s="10"/>
      <c r="F852" s="10"/>
      <c r="G852" s="10"/>
      <c r="H852" s="10"/>
      <c r="I852" s="10"/>
      <c r="J852" s="10"/>
      <c r="K852" s="10"/>
      <c r="L852" s="10"/>
    </row>
    <row r="853" spans="2:12" ht="12.75" customHeight="1">
      <c r="B853" s="10"/>
      <c r="C853" s="108"/>
      <c r="D853" s="10"/>
      <c r="E853" s="10"/>
      <c r="F853" s="10"/>
      <c r="G853" s="10"/>
      <c r="H853" s="10"/>
      <c r="I853" s="10"/>
      <c r="J853" s="10"/>
      <c r="K853" s="10"/>
      <c r="L853" s="10"/>
    </row>
    <row r="854" spans="2:12" ht="12.75" customHeight="1">
      <c r="B854" s="10"/>
      <c r="C854" s="108"/>
      <c r="D854" s="10"/>
      <c r="E854" s="10"/>
      <c r="F854" s="10"/>
      <c r="G854" s="10"/>
      <c r="H854" s="10"/>
      <c r="I854" s="10"/>
      <c r="J854" s="10"/>
      <c r="K854" s="10"/>
      <c r="L854" s="10"/>
    </row>
    <row r="855" spans="2:12" ht="12.75" customHeight="1">
      <c r="B855" s="10"/>
      <c r="C855" s="108"/>
      <c r="D855" s="10"/>
      <c r="E855" s="10"/>
      <c r="F855" s="10"/>
      <c r="G855" s="10"/>
      <c r="H855" s="10"/>
      <c r="I855" s="10"/>
      <c r="J855" s="10"/>
      <c r="K855" s="10"/>
      <c r="L855" s="10"/>
    </row>
    <row r="856" spans="2:12" ht="12.75" customHeight="1">
      <c r="B856" s="10"/>
      <c r="C856" s="108"/>
      <c r="D856" s="10"/>
      <c r="E856" s="10"/>
      <c r="F856" s="10"/>
      <c r="G856" s="10"/>
      <c r="H856" s="10"/>
      <c r="I856" s="10"/>
      <c r="J856" s="10"/>
      <c r="K856" s="10"/>
      <c r="L856" s="10"/>
    </row>
    <row r="857" spans="2:12" ht="12.75" customHeight="1">
      <c r="B857" s="10"/>
      <c r="C857" s="108"/>
      <c r="D857" s="10"/>
      <c r="E857" s="10"/>
      <c r="F857" s="10"/>
      <c r="G857" s="10"/>
      <c r="H857" s="10"/>
      <c r="I857" s="10"/>
      <c r="J857" s="10"/>
      <c r="K857" s="10"/>
      <c r="L857" s="10"/>
    </row>
    <row r="858" spans="2:12" ht="12.75" customHeight="1">
      <c r="B858" s="10"/>
      <c r="C858" s="108"/>
      <c r="D858" s="10"/>
      <c r="E858" s="10"/>
      <c r="F858" s="10"/>
      <c r="G858" s="10"/>
      <c r="H858" s="10"/>
      <c r="I858" s="10"/>
      <c r="J858" s="10"/>
      <c r="K858" s="10"/>
      <c r="L858" s="10"/>
    </row>
    <row r="859" spans="2:12" ht="12.75" customHeight="1">
      <c r="B859" s="10"/>
      <c r="C859" s="108"/>
      <c r="D859" s="10"/>
      <c r="E859" s="10"/>
      <c r="F859" s="10"/>
      <c r="G859" s="10"/>
      <c r="H859" s="10"/>
      <c r="I859" s="10"/>
      <c r="J859" s="10"/>
      <c r="K859" s="10"/>
      <c r="L859" s="10"/>
    </row>
    <row r="860" spans="2:12" ht="12.75" customHeight="1">
      <c r="B860" s="10"/>
      <c r="C860" s="108"/>
      <c r="D860" s="10"/>
      <c r="E860" s="10"/>
      <c r="F860" s="10"/>
      <c r="G860" s="10"/>
      <c r="H860" s="10"/>
      <c r="I860" s="10"/>
      <c r="J860" s="10"/>
      <c r="K860" s="10"/>
      <c r="L860" s="10"/>
    </row>
    <row r="861" spans="2:12" ht="12.75" customHeight="1">
      <c r="B861" s="10"/>
      <c r="C861" s="108"/>
      <c r="D861" s="10"/>
      <c r="E861" s="10"/>
      <c r="F861" s="10"/>
      <c r="G861" s="10"/>
      <c r="H861" s="10"/>
      <c r="I861" s="10"/>
      <c r="J861" s="10"/>
      <c r="K861" s="10"/>
      <c r="L861" s="10"/>
    </row>
    <row r="862" spans="2:12" ht="12.75" customHeight="1">
      <c r="B862" s="10"/>
      <c r="C862" s="108"/>
      <c r="D862" s="10"/>
      <c r="E862" s="10"/>
      <c r="F862" s="10"/>
      <c r="G862" s="10"/>
      <c r="H862" s="10"/>
      <c r="I862" s="10"/>
      <c r="J862" s="10"/>
      <c r="K862" s="10"/>
      <c r="L862" s="10"/>
    </row>
    <row r="863" spans="2:12" ht="12.75" customHeight="1">
      <c r="B863" s="10"/>
      <c r="C863" s="108"/>
      <c r="D863" s="10"/>
      <c r="E863" s="10"/>
      <c r="F863" s="10"/>
      <c r="G863" s="10"/>
      <c r="H863" s="10"/>
      <c r="I863" s="10"/>
      <c r="J863" s="10"/>
      <c r="K863" s="10"/>
      <c r="L863" s="10"/>
    </row>
    <row r="864" spans="2:12" ht="12.75" customHeight="1">
      <c r="B864" s="10"/>
      <c r="C864" s="108"/>
      <c r="D864" s="10"/>
      <c r="E864" s="10"/>
      <c r="F864" s="10"/>
      <c r="G864" s="10"/>
      <c r="H864" s="10"/>
      <c r="I864" s="10"/>
      <c r="J864" s="10"/>
      <c r="K864" s="10"/>
      <c r="L864" s="10"/>
    </row>
    <row r="865" spans="2:12" ht="12.75" customHeight="1">
      <c r="B865" s="10"/>
      <c r="C865" s="108"/>
      <c r="D865" s="10"/>
      <c r="E865" s="10"/>
      <c r="F865" s="10"/>
      <c r="G865" s="10"/>
      <c r="H865" s="10"/>
      <c r="I865" s="10"/>
      <c r="J865" s="10"/>
      <c r="K865" s="10"/>
      <c r="L865" s="10"/>
    </row>
    <row r="866" spans="2:12" ht="12.75" customHeight="1">
      <c r="B866" s="10"/>
      <c r="C866" s="108"/>
      <c r="D866" s="10"/>
      <c r="E866" s="10"/>
      <c r="F866" s="10"/>
      <c r="G866" s="10"/>
      <c r="H866" s="10"/>
      <c r="I866" s="10"/>
      <c r="J866" s="10"/>
      <c r="K866" s="10"/>
      <c r="L866" s="10"/>
    </row>
    <row r="867" spans="2:12" ht="12.75" customHeight="1">
      <c r="B867" s="10"/>
      <c r="C867" s="108"/>
      <c r="D867" s="10"/>
      <c r="E867" s="10"/>
      <c r="F867" s="10"/>
      <c r="G867" s="10"/>
      <c r="H867" s="10"/>
      <c r="I867" s="10"/>
      <c r="J867" s="10"/>
      <c r="K867" s="10"/>
      <c r="L867" s="10"/>
    </row>
    <row r="868" spans="2:12" ht="12.75" customHeight="1">
      <c r="B868" s="10"/>
      <c r="C868" s="108"/>
      <c r="D868" s="10"/>
      <c r="E868" s="10"/>
      <c r="F868" s="10"/>
      <c r="G868" s="10"/>
      <c r="H868" s="10"/>
      <c r="I868" s="10"/>
      <c r="J868" s="10"/>
      <c r="K868" s="10"/>
      <c r="L868" s="10"/>
    </row>
    <row r="869" spans="2:12" ht="12.75" customHeight="1">
      <c r="B869" s="10"/>
      <c r="C869" s="108"/>
      <c r="D869" s="10"/>
      <c r="E869" s="10"/>
      <c r="F869" s="10"/>
      <c r="G869" s="10"/>
      <c r="H869" s="10"/>
      <c r="I869" s="10"/>
      <c r="J869" s="10"/>
      <c r="K869" s="10"/>
      <c r="L869" s="10"/>
    </row>
    <row r="870" spans="2:12" ht="12.75" customHeight="1">
      <c r="B870" s="10"/>
      <c r="C870" s="1440" t="s">
        <v>261</v>
      </c>
      <c r="D870" s="1440"/>
      <c r="E870" s="1440"/>
      <c r="F870" s="1440"/>
      <c r="G870" s="1440"/>
      <c r="H870" s="1440"/>
      <c r="I870" s="1440"/>
      <c r="J870" s="1440"/>
      <c r="K870" s="1440"/>
      <c r="L870" s="10"/>
    </row>
    <row r="871" spans="2:12" ht="12.75" customHeight="1">
      <c r="B871" s="10"/>
      <c r="C871" s="108"/>
      <c r="D871" s="10"/>
      <c r="E871" s="10"/>
      <c r="F871" s="10"/>
      <c r="G871" s="10"/>
      <c r="H871" s="10"/>
      <c r="I871" s="10"/>
      <c r="J871" s="10"/>
      <c r="K871" s="10"/>
      <c r="L871" s="10"/>
    </row>
    <row r="872" spans="2:12" ht="12.75" customHeight="1">
      <c r="B872" s="10"/>
      <c r="C872" s="108"/>
      <c r="D872" s="10"/>
      <c r="E872" s="10"/>
      <c r="F872" s="10"/>
      <c r="G872" s="10"/>
      <c r="H872" s="10"/>
      <c r="I872" s="10"/>
      <c r="J872" s="10"/>
      <c r="K872" s="10"/>
      <c r="L872" s="10"/>
    </row>
    <row r="873" spans="2:12" ht="12.75" customHeight="1">
      <c r="B873" s="10"/>
      <c r="C873" s="108"/>
      <c r="D873" s="10"/>
      <c r="E873" s="10"/>
      <c r="F873" s="10"/>
      <c r="G873" s="10"/>
      <c r="H873" s="10"/>
      <c r="I873" s="10"/>
      <c r="J873" s="10"/>
      <c r="K873" s="10"/>
      <c r="L873" s="10"/>
    </row>
    <row r="874" spans="2:12" ht="12.75" customHeight="1">
      <c r="B874" s="10"/>
      <c r="C874" s="108"/>
      <c r="D874" s="10"/>
      <c r="E874" s="10"/>
      <c r="F874" s="10"/>
      <c r="G874" s="10"/>
      <c r="H874" s="10"/>
      <c r="I874" s="10"/>
      <c r="J874" s="10"/>
      <c r="K874" s="10"/>
      <c r="L874" s="10"/>
    </row>
    <row r="875" spans="2:12" ht="12.75" customHeight="1">
      <c r="B875" s="10"/>
      <c r="C875" s="108"/>
      <c r="D875" s="10"/>
      <c r="E875" s="10"/>
      <c r="F875" s="10"/>
      <c r="G875" s="10"/>
      <c r="H875" s="10"/>
      <c r="I875" s="10"/>
      <c r="J875" s="10"/>
      <c r="K875" s="10"/>
      <c r="L875" s="10"/>
    </row>
    <row r="876" spans="2:12" ht="12.75" customHeight="1">
      <c r="B876" s="10"/>
      <c r="C876" s="108"/>
      <c r="D876" s="10"/>
      <c r="E876" s="10"/>
      <c r="F876" s="10"/>
      <c r="G876" s="10"/>
      <c r="H876" s="10"/>
      <c r="I876" s="10"/>
      <c r="J876" s="10"/>
      <c r="K876" s="10"/>
      <c r="L876" s="10"/>
    </row>
    <row r="877" spans="2:12" ht="12.75" customHeight="1">
      <c r="B877" s="10"/>
      <c r="C877" s="108"/>
      <c r="D877" s="10"/>
      <c r="E877" s="10"/>
      <c r="F877" s="10"/>
      <c r="G877" s="10"/>
      <c r="H877" s="10"/>
      <c r="I877" s="10"/>
      <c r="J877" s="10"/>
      <c r="K877" s="10"/>
      <c r="L877" s="10"/>
    </row>
    <row r="878" spans="2:12" ht="12.75" customHeight="1">
      <c r="B878" s="10"/>
      <c r="C878" s="108"/>
      <c r="D878" s="10"/>
      <c r="E878" s="10"/>
      <c r="F878" s="10"/>
      <c r="G878" s="10"/>
      <c r="H878" s="10"/>
      <c r="I878" s="10"/>
      <c r="J878" s="10"/>
      <c r="K878" s="10"/>
      <c r="L878" s="10"/>
    </row>
    <row r="879" spans="2:12" ht="12.75" customHeight="1">
      <c r="B879" s="10"/>
      <c r="C879" s="108"/>
      <c r="D879" s="10"/>
      <c r="E879" s="10"/>
      <c r="F879" s="10"/>
      <c r="G879" s="10"/>
      <c r="H879" s="10"/>
      <c r="I879" s="10"/>
      <c r="J879" s="10"/>
      <c r="K879" s="10"/>
      <c r="L879" s="10"/>
    </row>
    <row r="880" spans="2:12" ht="12.75" customHeight="1">
      <c r="B880" s="10"/>
      <c r="C880" s="108"/>
      <c r="D880" s="10"/>
      <c r="E880" s="10"/>
      <c r="F880" s="10"/>
      <c r="G880" s="10"/>
      <c r="H880" s="10"/>
      <c r="I880" s="10"/>
      <c r="J880" s="10"/>
      <c r="K880" s="10"/>
      <c r="L880" s="10"/>
    </row>
    <row r="881" spans="2:12" ht="12.75" customHeight="1">
      <c r="B881" s="10"/>
      <c r="C881" s="108"/>
      <c r="D881" s="10"/>
      <c r="E881" s="10"/>
      <c r="F881" s="10"/>
      <c r="G881" s="10"/>
      <c r="H881" s="10"/>
      <c r="I881" s="10"/>
      <c r="J881" s="10"/>
      <c r="K881" s="10"/>
      <c r="L881" s="10"/>
    </row>
    <row r="882" spans="2:12" ht="12.75" customHeight="1">
      <c r="B882" s="10"/>
      <c r="C882" s="108"/>
      <c r="D882" s="10"/>
      <c r="E882" s="10"/>
      <c r="F882" s="10"/>
      <c r="G882" s="10"/>
      <c r="H882" s="10"/>
      <c r="I882" s="10"/>
      <c r="J882" s="10"/>
      <c r="K882" s="10"/>
      <c r="L882" s="10"/>
    </row>
    <row r="883" spans="2:12" ht="12.75" customHeight="1">
      <c r="B883" s="10"/>
      <c r="C883" s="108"/>
      <c r="D883" s="10"/>
      <c r="E883" s="10"/>
      <c r="F883" s="10"/>
      <c r="G883" s="10"/>
      <c r="H883" s="10"/>
      <c r="I883" s="10"/>
      <c r="J883" s="10"/>
      <c r="K883" s="10"/>
      <c r="L883" s="10"/>
    </row>
    <row r="884" spans="2:12" ht="12.75" customHeight="1">
      <c r="B884" s="10"/>
      <c r="C884" s="108"/>
      <c r="D884" s="10"/>
      <c r="E884" s="10"/>
      <c r="F884" s="10"/>
      <c r="G884" s="10"/>
      <c r="H884" s="10"/>
      <c r="I884" s="10"/>
      <c r="J884" s="10"/>
      <c r="K884" s="10"/>
      <c r="L884" s="10"/>
    </row>
    <row r="885" spans="2:12" ht="12.75" customHeight="1">
      <c r="B885" s="10"/>
      <c r="C885" s="108"/>
      <c r="D885" s="10"/>
      <c r="E885" s="10"/>
      <c r="F885" s="10"/>
      <c r="G885" s="10"/>
      <c r="H885" s="10"/>
      <c r="I885" s="10"/>
      <c r="J885" s="10"/>
      <c r="K885" s="10"/>
      <c r="L885" s="10"/>
    </row>
    <row r="886" spans="2:12" ht="12.75" customHeight="1">
      <c r="B886" s="10"/>
      <c r="C886" s="108"/>
      <c r="D886" s="10"/>
      <c r="E886" s="10"/>
      <c r="F886" s="10"/>
      <c r="G886" s="10"/>
      <c r="H886" s="10"/>
      <c r="I886" s="10"/>
      <c r="J886" s="10"/>
      <c r="K886" s="10"/>
      <c r="L886" s="10"/>
    </row>
    <row r="887" spans="2:12" ht="12.75" customHeight="1">
      <c r="B887" s="10"/>
      <c r="C887" s="108"/>
      <c r="D887" s="10"/>
      <c r="E887" s="10"/>
      <c r="F887" s="10"/>
      <c r="G887" s="10"/>
      <c r="H887" s="10"/>
      <c r="I887" s="10"/>
      <c r="J887" s="10"/>
      <c r="K887" s="10"/>
      <c r="L887" s="10"/>
    </row>
    <row r="888" spans="2:12" ht="12.75" customHeight="1">
      <c r="B888" s="10"/>
      <c r="C888" s="108"/>
      <c r="D888" s="10"/>
      <c r="E888" s="10"/>
      <c r="F888" s="10"/>
      <c r="G888" s="10"/>
      <c r="H888" s="10"/>
      <c r="I888" s="10"/>
      <c r="J888" s="10"/>
      <c r="K888" s="10"/>
      <c r="L888" s="10"/>
    </row>
    <row r="889" spans="2:12" ht="12.75" customHeight="1">
      <c r="B889" s="10"/>
      <c r="C889" s="108"/>
      <c r="D889" s="10"/>
      <c r="E889" s="10"/>
      <c r="F889" s="10"/>
      <c r="G889" s="10"/>
      <c r="H889" s="10"/>
      <c r="I889" s="10"/>
      <c r="J889" s="10"/>
      <c r="K889" s="10"/>
      <c r="L889" s="10"/>
    </row>
    <row r="890" spans="2:12" ht="12.75" customHeight="1">
      <c r="B890" s="10"/>
      <c r="C890" s="108"/>
      <c r="D890" s="10"/>
      <c r="E890" s="10"/>
      <c r="F890" s="10"/>
      <c r="G890" s="10"/>
      <c r="H890" s="10"/>
      <c r="I890" s="10"/>
      <c r="J890" s="10"/>
      <c r="K890" s="10"/>
      <c r="L890" s="10"/>
    </row>
    <row r="891" spans="2:12" ht="12.75" customHeight="1">
      <c r="B891" s="10"/>
      <c r="C891" s="108"/>
      <c r="D891" s="10"/>
      <c r="E891" s="10"/>
      <c r="F891" s="10"/>
      <c r="G891" s="10"/>
      <c r="H891" s="10"/>
      <c r="I891" s="10"/>
      <c r="J891" s="10"/>
      <c r="K891" s="10"/>
      <c r="L891" s="10"/>
    </row>
    <row r="892" spans="2:12" ht="12.75" customHeight="1">
      <c r="B892" s="10"/>
      <c r="C892" s="108"/>
      <c r="D892" s="10"/>
      <c r="E892" s="10"/>
      <c r="F892" s="10"/>
      <c r="G892" s="10"/>
      <c r="H892" s="10"/>
      <c r="I892" s="10"/>
      <c r="J892" s="10"/>
      <c r="K892" s="10"/>
      <c r="L892" s="10"/>
    </row>
    <row r="893" spans="2:12" ht="12.75" customHeight="1">
      <c r="B893" s="10"/>
      <c r="C893" s="108"/>
      <c r="D893" s="10"/>
      <c r="E893" s="10"/>
      <c r="F893" s="10"/>
      <c r="G893" s="10"/>
      <c r="H893" s="10"/>
      <c r="I893" s="10"/>
      <c r="J893" s="10"/>
      <c r="K893" s="10"/>
      <c r="L893" s="10"/>
    </row>
    <row r="894" spans="2:12" ht="12.75" customHeight="1">
      <c r="B894" s="10"/>
      <c r="C894" s="108"/>
      <c r="D894" s="10"/>
      <c r="E894" s="10"/>
      <c r="F894" s="10"/>
      <c r="G894" s="10"/>
      <c r="H894" s="10"/>
      <c r="I894" s="10"/>
      <c r="J894" s="10"/>
      <c r="K894" s="10"/>
      <c r="L894" s="10"/>
    </row>
    <row r="895" spans="2:12" ht="12.75" customHeight="1">
      <c r="B895" s="10"/>
      <c r="C895" s="108"/>
      <c r="D895" s="10"/>
      <c r="E895" s="10"/>
      <c r="F895" s="10"/>
      <c r="G895" s="10"/>
      <c r="H895" s="10"/>
      <c r="I895" s="10"/>
      <c r="J895" s="10"/>
      <c r="K895" s="10"/>
      <c r="L895" s="10"/>
    </row>
    <row r="896" spans="2:12" ht="12.75" customHeight="1">
      <c r="B896" s="10"/>
      <c r="C896" s="108"/>
      <c r="D896" s="10"/>
      <c r="E896" s="10"/>
      <c r="F896" s="10"/>
      <c r="G896" s="10"/>
      <c r="H896" s="10"/>
      <c r="I896" s="10"/>
      <c r="J896" s="10"/>
      <c r="K896" s="10"/>
      <c r="L896" s="10"/>
    </row>
    <row r="897" spans="2:12" ht="12.75" customHeight="1">
      <c r="B897" s="10"/>
      <c r="C897" s="108"/>
      <c r="D897" s="10"/>
      <c r="E897" s="10"/>
      <c r="F897" s="10"/>
      <c r="G897" s="10"/>
      <c r="H897" s="10"/>
      <c r="I897" s="10"/>
      <c r="J897" s="10"/>
      <c r="K897" s="10"/>
      <c r="L897" s="10"/>
    </row>
    <row r="898" spans="2:12" ht="12.75" customHeight="1">
      <c r="B898" s="10"/>
      <c r="C898" s="108"/>
      <c r="D898" s="10"/>
      <c r="E898" s="10"/>
      <c r="F898" s="10"/>
      <c r="G898" s="10"/>
      <c r="H898" s="10"/>
      <c r="I898" s="10"/>
      <c r="J898" s="10"/>
      <c r="K898" s="10"/>
      <c r="L898" s="10"/>
    </row>
    <row r="899" spans="2:12" ht="12.75" customHeight="1">
      <c r="B899" s="10"/>
      <c r="C899" s="108"/>
      <c r="D899" s="10"/>
      <c r="E899" s="10"/>
      <c r="F899" s="10"/>
      <c r="G899" s="10"/>
      <c r="H899" s="10"/>
      <c r="I899" s="10"/>
      <c r="J899" s="10"/>
      <c r="K899" s="10"/>
      <c r="L899" s="10"/>
    </row>
    <row r="900" spans="2:12" ht="12.75" customHeight="1">
      <c r="B900" s="10"/>
      <c r="C900" s="108"/>
      <c r="D900" s="10"/>
      <c r="E900" s="10"/>
      <c r="F900" s="10"/>
      <c r="G900" s="10"/>
      <c r="H900" s="10"/>
      <c r="I900" s="10"/>
      <c r="J900" s="10"/>
      <c r="K900" s="10"/>
      <c r="L900" s="10"/>
    </row>
    <row r="901" spans="2:12" ht="12.75" customHeight="1">
      <c r="B901" s="10"/>
      <c r="C901" s="108"/>
      <c r="D901" s="10"/>
      <c r="E901" s="10"/>
      <c r="F901" s="10"/>
      <c r="G901" s="10"/>
      <c r="H901" s="10"/>
      <c r="I901" s="10"/>
      <c r="J901" s="10"/>
      <c r="K901" s="10"/>
      <c r="L901" s="10"/>
    </row>
    <row r="902" spans="2:12" ht="12.75" customHeight="1">
      <c r="B902" s="10"/>
      <c r="C902" s="1440" t="s">
        <v>262</v>
      </c>
      <c r="D902" s="1440"/>
      <c r="E902" s="1440"/>
      <c r="F902" s="1440"/>
      <c r="G902" s="1440"/>
      <c r="H902" s="1440"/>
      <c r="I902" s="1440"/>
      <c r="J902" s="1440"/>
      <c r="K902" s="1440"/>
      <c r="L902" s="10"/>
    </row>
    <row r="903" spans="2:12" ht="12.75" customHeight="1">
      <c r="B903" s="10"/>
      <c r="C903" s="108"/>
      <c r="D903" s="10"/>
      <c r="E903" s="10"/>
      <c r="F903" s="10"/>
      <c r="G903" s="10"/>
      <c r="H903" s="10"/>
      <c r="I903" s="10"/>
      <c r="J903" s="10"/>
      <c r="K903" s="10"/>
      <c r="L903" s="10"/>
    </row>
    <row r="904" spans="2:12" ht="12.75" customHeight="1">
      <c r="B904" s="10"/>
      <c r="C904" s="1463" t="s">
        <v>348</v>
      </c>
      <c r="D904" s="1463"/>
      <c r="E904" s="1463"/>
      <c r="F904" s="1463"/>
      <c r="G904" s="1463"/>
      <c r="H904" s="1463"/>
      <c r="I904" s="1463"/>
      <c r="J904" s="1463"/>
      <c r="K904" s="1463"/>
      <c r="L904" s="10"/>
    </row>
    <row r="905" spans="2:12" ht="12.75" customHeight="1">
      <c r="B905" s="10"/>
      <c r="C905" s="1463"/>
      <c r="D905" s="1463"/>
      <c r="E905" s="1463"/>
      <c r="F905" s="1463"/>
      <c r="G905" s="1463"/>
      <c r="H905" s="1463"/>
      <c r="I905" s="1463"/>
      <c r="J905" s="1463"/>
      <c r="K905" s="1463"/>
      <c r="L905" s="10"/>
    </row>
    <row r="906" spans="2:12" ht="12.75" customHeight="1">
      <c r="B906" s="10"/>
      <c r="C906" s="1463"/>
      <c r="D906" s="1463"/>
      <c r="E906" s="1463"/>
      <c r="F906" s="1463"/>
      <c r="G906" s="1463"/>
      <c r="H906" s="1463"/>
      <c r="I906" s="1463"/>
      <c r="J906" s="1463"/>
      <c r="K906" s="1463"/>
      <c r="L906" s="10"/>
    </row>
    <row r="907" spans="2:12" ht="12.75" customHeight="1">
      <c r="B907" s="10"/>
      <c r="C907" s="1463"/>
      <c r="D907" s="1463"/>
      <c r="E907" s="1463"/>
      <c r="F907" s="1463"/>
      <c r="G907" s="1463"/>
      <c r="H907" s="1463"/>
      <c r="I907" s="1463"/>
      <c r="J907" s="1463"/>
      <c r="K907" s="1463"/>
      <c r="L907" s="10"/>
    </row>
    <row r="908" spans="2:12" ht="12.75" customHeight="1">
      <c r="B908" s="10"/>
      <c r="C908" s="607"/>
      <c r="D908" s="607"/>
      <c r="E908" s="607"/>
      <c r="F908" s="607"/>
      <c r="G908" s="607"/>
      <c r="H908" s="607"/>
      <c r="I908" s="607"/>
      <c r="J908" s="607"/>
      <c r="K908" s="607"/>
      <c r="L908" s="10"/>
    </row>
    <row r="909" spans="2:12" ht="12.75" customHeight="1">
      <c r="B909" s="10"/>
      <c r="C909" s="1468" t="s">
        <v>807</v>
      </c>
      <c r="D909" s="1468"/>
      <c r="E909" s="1468"/>
      <c r="F909" s="1468"/>
      <c r="G909" s="1468"/>
      <c r="H909" s="1468"/>
      <c r="I909" s="1468"/>
      <c r="J909" s="1468"/>
      <c r="K909" s="1468"/>
      <c r="L909" s="10"/>
    </row>
    <row r="910" spans="2:12" ht="12.75" customHeight="1">
      <c r="B910" s="10"/>
      <c r="C910" s="615"/>
      <c r="D910" s="615"/>
      <c r="E910" s="615"/>
      <c r="F910" s="615"/>
      <c r="G910" s="615"/>
      <c r="H910" s="615"/>
      <c r="I910" s="615"/>
      <c r="J910" s="615"/>
      <c r="K910" s="615"/>
      <c r="L910" s="10"/>
    </row>
    <row r="911" spans="2:12" ht="12.75" customHeight="1">
      <c r="B911" s="10"/>
      <c r="C911" s="1463" t="s">
        <v>539</v>
      </c>
      <c r="D911" s="1463"/>
      <c r="E911" s="1463"/>
      <c r="F911" s="1463"/>
      <c r="G911" s="1463"/>
      <c r="H911" s="1463"/>
      <c r="I911" s="1463"/>
      <c r="J911" s="1463"/>
      <c r="K911" s="1463"/>
      <c r="L911" s="10"/>
    </row>
    <row r="912" spans="2:12" ht="12.75" customHeight="1">
      <c r="B912" s="10"/>
      <c r="C912" s="1463"/>
      <c r="D912" s="1463"/>
      <c r="E912" s="1463"/>
      <c r="F912" s="1463"/>
      <c r="G912" s="1463"/>
      <c r="H912" s="1463"/>
      <c r="I912" s="1463"/>
      <c r="J912" s="1463"/>
      <c r="K912" s="1463"/>
      <c r="L912" s="10"/>
    </row>
    <row r="913" spans="2:12" ht="12.75" customHeight="1">
      <c r="B913" s="10"/>
      <c r="C913" s="607"/>
      <c r="D913" s="607"/>
      <c r="E913" s="607"/>
      <c r="F913" s="607"/>
      <c r="G913" s="607"/>
      <c r="H913" s="607"/>
      <c r="I913" s="607"/>
      <c r="J913" s="607"/>
      <c r="K913" s="607"/>
      <c r="L913" s="10"/>
    </row>
    <row r="914" spans="2:12" ht="12.75" customHeight="1">
      <c r="B914" s="10"/>
      <c r="C914" s="607"/>
      <c r="D914" s="607"/>
      <c r="E914" s="607"/>
      <c r="F914" s="607"/>
      <c r="G914" s="607"/>
      <c r="H914" s="607"/>
      <c r="I914" s="607"/>
      <c r="J914" s="607"/>
      <c r="K914" s="607"/>
      <c r="L914" s="10"/>
    </row>
    <row r="915" spans="2:12" ht="12.75" customHeight="1">
      <c r="B915" s="10"/>
      <c r="C915" s="108"/>
      <c r="D915" s="10"/>
      <c r="E915" s="10"/>
      <c r="F915" s="10"/>
      <c r="G915" s="10"/>
      <c r="H915" s="10"/>
      <c r="I915" s="10"/>
      <c r="J915" s="10"/>
      <c r="K915" s="10"/>
      <c r="L915" s="10"/>
    </row>
    <row r="916" spans="2:12" ht="12.75" customHeight="1">
      <c r="B916" s="10"/>
      <c r="C916" s="108"/>
      <c r="D916" s="10"/>
      <c r="E916" s="10"/>
      <c r="F916" s="10"/>
      <c r="G916" s="10"/>
      <c r="H916" s="10"/>
      <c r="I916" s="10"/>
      <c r="J916" s="10"/>
      <c r="K916" s="10"/>
      <c r="L916" s="10"/>
    </row>
    <row r="917" spans="2:12" ht="12.75" customHeight="1">
      <c r="B917" s="10"/>
      <c r="C917" s="108"/>
      <c r="D917" s="10"/>
      <c r="E917" s="10"/>
      <c r="F917" s="10"/>
      <c r="G917" s="10"/>
      <c r="H917" s="10"/>
      <c r="I917" s="10"/>
      <c r="J917" s="10"/>
      <c r="K917" s="10"/>
      <c r="L917" s="10"/>
    </row>
    <row r="918" spans="2:12" ht="12.75" customHeight="1">
      <c r="B918" s="10"/>
      <c r="C918" s="108"/>
      <c r="D918" s="10"/>
      <c r="E918" s="10"/>
      <c r="F918" s="10"/>
      <c r="G918" s="10"/>
      <c r="H918" s="10"/>
      <c r="I918" s="10"/>
      <c r="J918" s="10"/>
      <c r="K918" s="10"/>
      <c r="L918" s="10"/>
    </row>
    <row r="919" spans="2:12" ht="12.75" customHeight="1">
      <c r="B919" s="10"/>
      <c r="C919" s="108"/>
      <c r="D919" s="10"/>
      <c r="E919" s="10"/>
      <c r="F919" s="10"/>
      <c r="G919" s="10"/>
      <c r="H919" s="10"/>
      <c r="I919" s="10"/>
      <c r="J919" s="10"/>
      <c r="K919" s="10"/>
      <c r="L919" s="10"/>
    </row>
    <row r="920" spans="2:12" ht="12.75" customHeight="1">
      <c r="B920" s="10"/>
      <c r="C920" s="108"/>
      <c r="D920" s="10"/>
      <c r="E920" s="10"/>
      <c r="F920" s="10"/>
      <c r="G920" s="10"/>
      <c r="H920" s="10"/>
      <c r="I920" s="10"/>
      <c r="J920" s="10"/>
      <c r="K920" s="10"/>
      <c r="L920" s="10"/>
    </row>
    <row r="921" spans="2:12" ht="12.75" customHeight="1">
      <c r="B921" s="10"/>
      <c r="C921" s="108"/>
      <c r="D921" s="10"/>
      <c r="E921" s="10"/>
      <c r="F921" s="10"/>
      <c r="G921" s="10"/>
      <c r="H921" s="10"/>
      <c r="I921" s="10"/>
      <c r="J921" s="10"/>
      <c r="K921" s="10"/>
      <c r="L921" s="10"/>
    </row>
    <row r="922" spans="2:12" ht="12.75" customHeight="1">
      <c r="B922" s="10"/>
      <c r="C922" s="108"/>
      <c r="D922" s="10"/>
      <c r="E922" s="10"/>
      <c r="F922" s="10"/>
      <c r="G922" s="10"/>
      <c r="H922" s="10"/>
      <c r="I922" s="10"/>
      <c r="J922" s="10"/>
      <c r="K922" s="10"/>
      <c r="L922" s="10"/>
    </row>
    <row r="923" spans="2:12" ht="12.75" customHeight="1">
      <c r="B923" s="10"/>
      <c r="C923" s="108"/>
      <c r="D923" s="10"/>
      <c r="E923" s="10"/>
      <c r="F923" s="10"/>
      <c r="G923" s="10"/>
      <c r="H923" s="10"/>
      <c r="I923" s="10"/>
      <c r="J923" s="10"/>
      <c r="K923" s="10"/>
      <c r="L923" s="10"/>
    </row>
    <row r="924" spans="2:12" ht="12.75" customHeight="1">
      <c r="B924" s="10"/>
      <c r="C924" s="108"/>
      <c r="D924" s="10"/>
      <c r="E924" s="10"/>
      <c r="F924" s="10"/>
      <c r="G924" s="10"/>
      <c r="H924" s="10"/>
      <c r="I924" s="10"/>
      <c r="J924" s="10"/>
      <c r="K924" s="10"/>
      <c r="L924" s="10"/>
    </row>
    <row r="925" spans="2:12" ht="12.75" customHeight="1">
      <c r="B925" s="10"/>
      <c r="C925" s="108"/>
      <c r="D925" s="10"/>
      <c r="E925" s="10"/>
      <c r="F925" s="10"/>
      <c r="G925" s="10"/>
      <c r="H925" s="10"/>
      <c r="I925" s="10"/>
      <c r="J925" s="10"/>
      <c r="K925" s="10"/>
      <c r="L925" s="10"/>
    </row>
    <row r="926" spans="2:12" ht="12.75" customHeight="1">
      <c r="B926" s="10"/>
      <c r="C926" s="108"/>
      <c r="D926" s="10"/>
      <c r="E926" s="10"/>
      <c r="F926" s="10"/>
      <c r="G926" s="10"/>
      <c r="H926" s="10"/>
      <c r="I926" s="10"/>
      <c r="J926" s="10"/>
      <c r="K926" s="10"/>
      <c r="L926" s="10"/>
    </row>
    <row r="927" spans="2:12" ht="12.75" customHeight="1">
      <c r="B927" s="10"/>
      <c r="C927" s="108"/>
      <c r="D927" s="10"/>
      <c r="E927" s="10"/>
      <c r="F927" s="10"/>
      <c r="G927" s="10"/>
      <c r="H927" s="10"/>
      <c r="I927" s="10"/>
      <c r="J927" s="10"/>
      <c r="K927" s="10"/>
      <c r="L927" s="10"/>
    </row>
    <row r="928" spans="2:12" ht="12.75" customHeight="1">
      <c r="B928" s="10"/>
      <c r="C928" s="108"/>
      <c r="D928" s="10"/>
      <c r="E928" s="10"/>
      <c r="F928" s="10"/>
      <c r="G928" s="10"/>
      <c r="H928" s="10"/>
      <c r="I928" s="10"/>
      <c r="J928" s="10"/>
      <c r="K928" s="10"/>
      <c r="L928" s="10"/>
    </row>
    <row r="929" spans="2:12" ht="12.75" customHeight="1">
      <c r="B929" s="10"/>
      <c r="C929" s="108"/>
      <c r="D929" s="10"/>
      <c r="E929" s="10"/>
      <c r="F929" s="10"/>
      <c r="G929" s="10"/>
      <c r="H929" s="10"/>
      <c r="I929" s="10"/>
      <c r="J929" s="10"/>
      <c r="K929" s="10"/>
      <c r="L929" s="10"/>
    </row>
    <row r="930" spans="2:12" ht="12.75" customHeight="1">
      <c r="B930" s="10"/>
      <c r="C930" s="108"/>
      <c r="D930" s="10"/>
      <c r="E930" s="10"/>
      <c r="F930" s="10"/>
      <c r="G930" s="10"/>
      <c r="H930" s="10"/>
      <c r="I930" s="10"/>
      <c r="J930" s="10"/>
      <c r="K930" s="10"/>
      <c r="L930" s="10"/>
    </row>
    <row r="931" spans="2:12" ht="12.75" customHeight="1">
      <c r="B931" s="10"/>
      <c r="C931" s="108"/>
      <c r="D931" s="10"/>
      <c r="E931" s="10"/>
      <c r="F931" s="10"/>
      <c r="G931" s="10"/>
      <c r="H931" s="10"/>
      <c r="I931" s="10"/>
      <c r="J931" s="10"/>
      <c r="K931" s="10"/>
      <c r="L931" s="10"/>
    </row>
    <row r="932" spans="2:12" ht="12.75" customHeight="1">
      <c r="B932" s="10"/>
      <c r="C932" s="108"/>
      <c r="D932" s="10"/>
      <c r="E932" s="10"/>
      <c r="F932" s="10"/>
      <c r="G932" s="10"/>
      <c r="H932" s="10"/>
      <c r="I932" s="10"/>
      <c r="J932" s="10"/>
      <c r="K932" s="10"/>
      <c r="L932" s="10"/>
    </row>
    <row r="933" spans="2:12" ht="12.75" customHeight="1">
      <c r="B933" s="10"/>
      <c r="C933" s="1440" t="s">
        <v>540</v>
      </c>
      <c r="D933" s="1440"/>
      <c r="E933" s="1440"/>
      <c r="F933" s="1440"/>
      <c r="G933" s="1440"/>
      <c r="H933" s="1440"/>
      <c r="I933" s="1440"/>
      <c r="J933" s="1440"/>
      <c r="K933" s="1440"/>
      <c r="L933" s="10"/>
    </row>
    <row r="934" spans="2:12" ht="12.75" customHeight="1">
      <c r="B934" s="10"/>
      <c r="C934" s="632"/>
      <c r="D934" s="632"/>
      <c r="E934" s="632"/>
      <c r="F934" s="632"/>
      <c r="G934" s="632"/>
      <c r="H934" s="632"/>
      <c r="I934" s="632"/>
      <c r="J934" s="632"/>
      <c r="K934" s="632"/>
      <c r="L934" s="10"/>
    </row>
    <row r="935" spans="2:12" ht="12.75" customHeight="1">
      <c r="B935" s="10"/>
      <c r="C935" s="1468" t="s">
        <v>808</v>
      </c>
      <c r="D935" s="1468"/>
      <c r="E935" s="1468"/>
      <c r="F935" s="1468"/>
      <c r="G935" s="1468"/>
      <c r="H935" s="1468"/>
      <c r="I935" s="1468"/>
      <c r="J935" s="1468"/>
      <c r="K935" s="1468"/>
      <c r="L935" s="10"/>
    </row>
    <row r="936" spans="2:12" ht="12.75" customHeight="1">
      <c r="B936" s="10"/>
      <c r="C936" s="615"/>
      <c r="D936" s="615"/>
      <c r="E936" s="615"/>
      <c r="F936" s="615"/>
      <c r="G936" s="615"/>
      <c r="H936" s="615"/>
      <c r="I936" s="615"/>
      <c r="J936" s="615"/>
      <c r="K936" s="615"/>
      <c r="L936" s="10"/>
    </row>
    <row r="937" spans="2:12" ht="12.75" customHeight="1">
      <c r="B937" s="10"/>
      <c r="C937" s="1463" t="s">
        <v>14</v>
      </c>
      <c r="D937" s="1463"/>
      <c r="E937" s="1463"/>
      <c r="F937" s="1463"/>
      <c r="G937" s="1463"/>
      <c r="H937" s="1463"/>
      <c r="I937" s="1463"/>
      <c r="J937" s="1463"/>
      <c r="K937" s="1463"/>
      <c r="L937" s="10"/>
    </row>
    <row r="938" spans="2:12" ht="12.75" customHeight="1">
      <c r="B938" s="10"/>
      <c r="C938" s="1463"/>
      <c r="D938" s="1463"/>
      <c r="E938" s="1463"/>
      <c r="F938" s="1463"/>
      <c r="G938" s="1463"/>
      <c r="H938" s="1463"/>
      <c r="I938" s="1463"/>
      <c r="J938" s="1463"/>
      <c r="K938" s="1463"/>
      <c r="L938" s="10"/>
    </row>
    <row r="939" spans="2:12" ht="12.75" customHeight="1">
      <c r="B939" s="10"/>
      <c r="C939" s="1463"/>
      <c r="D939" s="1463"/>
      <c r="E939" s="1463"/>
      <c r="F939" s="1463"/>
      <c r="G939" s="1463"/>
      <c r="H939" s="1463"/>
      <c r="I939" s="1463"/>
      <c r="J939" s="1463"/>
      <c r="K939" s="1463"/>
      <c r="L939" s="10"/>
    </row>
    <row r="940" spans="2:12" ht="12.75" customHeight="1">
      <c r="B940" s="10"/>
      <c r="C940" s="1463"/>
      <c r="D940" s="1463"/>
      <c r="E940" s="1463"/>
      <c r="F940" s="1463"/>
      <c r="G940" s="1463"/>
      <c r="H940" s="1463"/>
      <c r="I940" s="1463"/>
      <c r="J940" s="1463"/>
      <c r="K940" s="1463"/>
      <c r="L940" s="10"/>
    </row>
    <row r="941" spans="2:12" ht="12.75" customHeight="1">
      <c r="B941" s="10"/>
      <c r="C941" s="1463"/>
      <c r="D941" s="1463"/>
      <c r="E941" s="1463"/>
      <c r="F941" s="1463"/>
      <c r="G941" s="1463"/>
      <c r="H941" s="1463"/>
      <c r="I941" s="1463"/>
      <c r="J941" s="1463"/>
      <c r="K941" s="1463"/>
      <c r="L941" s="10"/>
    </row>
    <row r="942" spans="2:12" ht="12.75" customHeight="1">
      <c r="B942" s="10"/>
      <c r="C942" s="607"/>
      <c r="D942" s="607"/>
      <c r="E942" s="607"/>
      <c r="F942" s="607"/>
      <c r="G942" s="607"/>
      <c r="H942" s="607"/>
      <c r="I942" s="607"/>
      <c r="J942" s="607"/>
      <c r="K942" s="607"/>
      <c r="L942" s="10"/>
    </row>
    <row r="943" spans="2:12" ht="12.75" customHeight="1">
      <c r="B943" s="10"/>
      <c r="C943" s="607"/>
      <c r="D943" s="607"/>
      <c r="E943" s="607"/>
      <c r="F943" s="607"/>
      <c r="G943" s="607"/>
      <c r="H943" s="607"/>
      <c r="I943" s="607"/>
      <c r="J943" s="607"/>
      <c r="K943" s="607"/>
      <c r="L943" s="10"/>
    </row>
    <row r="944" spans="2:12" ht="12.75" customHeight="1">
      <c r="B944" s="10"/>
      <c r="C944" s="607"/>
      <c r="D944" s="607"/>
      <c r="E944" s="607"/>
      <c r="F944" s="607"/>
      <c r="G944" s="607"/>
      <c r="H944" s="607"/>
      <c r="I944" s="607"/>
      <c r="J944" s="607"/>
      <c r="K944" s="607"/>
      <c r="L944" s="10"/>
    </row>
    <row r="945" spans="2:12" ht="12.75" customHeight="1">
      <c r="B945" s="10"/>
      <c r="C945" s="607"/>
      <c r="D945" s="607"/>
      <c r="E945" s="607"/>
      <c r="F945" s="607"/>
      <c r="G945" s="607"/>
      <c r="H945" s="607"/>
      <c r="I945" s="607"/>
      <c r="J945" s="607"/>
      <c r="K945" s="607"/>
      <c r="L945" s="10"/>
    </row>
    <row r="946" spans="2:12" ht="12.75" customHeight="1">
      <c r="B946" s="10"/>
      <c r="C946" s="1463" t="s">
        <v>9</v>
      </c>
      <c r="D946" s="1463"/>
      <c r="E946" s="1463"/>
      <c r="F946" s="1463"/>
      <c r="G946" s="1463"/>
      <c r="H946" s="1463"/>
      <c r="I946" s="1463"/>
      <c r="J946" s="1463"/>
      <c r="K946" s="1463"/>
      <c r="L946" s="10"/>
    </row>
    <row r="947" spans="2:12" ht="12.75" customHeight="1">
      <c r="B947" s="10"/>
      <c r="C947" s="1463"/>
      <c r="D947" s="1463"/>
      <c r="E947" s="1463"/>
      <c r="F947" s="1463"/>
      <c r="G947" s="1463"/>
      <c r="H947" s="1463"/>
      <c r="I947" s="1463"/>
      <c r="J947" s="1463"/>
      <c r="K947" s="1463"/>
      <c r="L947" s="10"/>
    </row>
    <row r="948" spans="2:12" ht="12.75" customHeight="1">
      <c r="B948" s="10"/>
      <c r="C948" s="1463"/>
      <c r="D948" s="1463"/>
      <c r="E948" s="1463"/>
      <c r="F948" s="1463"/>
      <c r="G948" s="1463"/>
      <c r="H948" s="1463"/>
      <c r="I948" s="1463"/>
      <c r="J948" s="1463"/>
      <c r="K948" s="1463"/>
      <c r="L948" s="10"/>
    </row>
    <row r="949" spans="2:12" ht="12.75" customHeight="1">
      <c r="B949" s="10"/>
      <c r="C949" s="607"/>
      <c r="D949" s="607"/>
      <c r="E949" s="607"/>
      <c r="F949" s="607"/>
      <c r="G949" s="607"/>
      <c r="H949" s="607"/>
      <c r="I949" s="607"/>
      <c r="J949" s="607"/>
      <c r="K949" s="607"/>
      <c r="L949" s="10"/>
    </row>
    <row r="950" spans="2:12" ht="12.75" customHeight="1">
      <c r="B950" s="10"/>
      <c r="C950" s="1463" t="s">
        <v>541</v>
      </c>
      <c r="D950" s="1463"/>
      <c r="E950" s="1463"/>
      <c r="F950" s="1463"/>
      <c r="G950" s="1463"/>
      <c r="H950" s="1463"/>
      <c r="I950" s="1463"/>
      <c r="J950" s="1463"/>
      <c r="K950" s="1463"/>
      <c r="L950" s="10"/>
    </row>
    <row r="951" spans="2:12" ht="12.75" customHeight="1">
      <c r="B951" s="10"/>
      <c r="C951" s="1463"/>
      <c r="D951" s="1463"/>
      <c r="E951" s="1463"/>
      <c r="F951" s="1463"/>
      <c r="G951" s="1463"/>
      <c r="H951" s="1463"/>
      <c r="I951" s="1463"/>
      <c r="J951" s="1463"/>
      <c r="K951" s="1463"/>
      <c r="L951" s="10"/>
    </row>
    <row r="952" spans="2:12" ht="12.75" customHeight="1">
      <c r="B952" s="10"/>
      <c r="C952" s="607"/>
      <c r="D952" s="607"/>
      <c r="E952" s="607"/>
      <c r="F952" s="607"/>
      <c r="G952" s="607"/>
      <c r="H952" s="607"/>
      <c r="I952" s="607"/>
      <c r="J952" s="607"/>
      <c r="K952" s="607"/>
      <c r="L952" s="10"/>
    </row>
    <row r="953" spans="2:12" ht="12.75" customHeight="1">
      <c r="B953" s="10"/>
      <c r="C953" s="108"/>
      <c r="D953" s="10"/>
      <c r="E953" s="10"/>
      <c r="F953" s="10"/>
      <c r="G953" s="10"/>
      <c r="H953" s="10"/>
      <c r="I953" s="10"/>
      <c r="J953" s="10"/>
      <c r="K953" s="10"/>
      <c r="L953" s="10"/>
    </row>
    <row r="954" spans="2:12" ht="12.75" customHeight="1">
      <c r="B954" s="10"/>
      <c r="C954" s="108"/>
      <c r="D954" s="10"/>
      <c r="E954" s="10"/>
      <c r="F954" s="10"/>
      <c r="G954" s="10"/>
      <c r="H954" s="10"/>
      <c r="I954" s="10"/>
      <c r="J954" s="10"/>
      <c r="K954" s="10"/>
      <c r="L954" s="10"/>
    </row>
    <row r="955" spans="2:12" ht="12.75" customHeight="1">
      <c r="B955" s="10"/>
      <c r="C955" s="108"/>
      <c r="D955" s="10"/>
      <c r="E955" s="10"/>
      <c r="F955" s="10"/>
      <c r="G955" s="10"/>
      <c r="H955" s="10"/>
      <c r="I955" s="10"/>
      <c r="J955" s="10"/>
      <c r="K955" s="10"/>
      <c r="L955" s="10"/>
    </row>
    <row r="956" spans="2:12" ht="12.75" customHeight="1">
      <c r="B956" s="10"/>
      <c r="C956" s="108"/>
      <c r="D956" s="10"/>
      <c r="E956" s="10"/>
      <c r="F956" s="10"/>
      <c r="G956" s="10"/>
      <c r="H956" s="10"/>
      <c r="I956" s="10"/>
      <c r="J956" s="10"/>
      <c r="K956" s="10"/>
      <c r="L956" s="10"/>
    </row>
    <row r="957" spans="2:12" ht="12.75" customHeight="1">
      <c r="B957" s="10"/>
      <c r="C957" s="108"/>
      <c r="D957" s="10"/>
      <c r="E957" s="10"/>
      <c r="F957" s="10"/>
      <c r="G957" s="10"/>
      <c r="H957" s="10"/>
      <c r="I957" s="10"/>
      <c r="J957" s="10"/>
      <c r="K957" s="10"/>
      <c r="L957" s="10"/>
    </row>
    <row r="958" spans="2:12" ht="12.75" customHeight="1">
      <c r="B958" s="10"/>
      <c r="C958" s="108"/>
      <c r="D958" s="10"/>
      <c r="E958" s="10"/>
      <c r="F958" s="10"/>
      <c r="G958" s="10"/>
      <c r="H958" s="10"/>
      <c r="I958" s="10"/>
      <c r="J958" s="10"/>
      <c r="K958" s="10"/>
      <c r="L958" s="10"/>
    </row>
    <row r="959" spans="2:12" ht="12.75" customHeight="1">
      <c r="B959" s="10"/>
      <c r="C959" s="108"/>
      <c r="D959" s="10"/>
      <c r="E959" s="10"/>
      <c r="F959" s="10"/>
      <c r="G959" s="10"/>
      <c r="H959" s="10"/>
      <c r="I959" s="10"/>
      <c r="J959" s="10"/>
      <c r="K959" s="10"/>
      <c r="L959" s="10"/>
    </row>
    <row r="960" spans="2:12" ht="12.75" customHeight="1">
      <c r="B960" s="10"/>
      <c r="C960" s="108"/>
      <c r="D960" s="10"/>
      <c r="E960" s="10"/>
      <c r="F960" s="10"/>
      <c r="G960" s="10"/>
      <c r="H960" s="10"/>
      <c r="I960" s="10"/>
      <c r="J960" s="10"/>
      <c r="K960" s="10"/>
      <c r="L960" s="10"/>
    </row>
    <row r="961" spans="2:12" ht="12.75" customHeight="1">
      <c r="B961" s="10"/>
      <c r="C961" s="108"/>
      <c r="D961" s="10"/>
      <c r="E961" s="10"/>
      <c r="F961" s="10"/>
      <c r="G961" s="10"/>
      <c r="H961" s="10"/>
      <c r="I961" s="10"/>
      <c r="J961" s="10"/>
      <c r="K961" s="10"/>
      <c r="L961" s="10"/>
    </row>
    <row r="962" spans="2:12" ht="12.75" customHeight="1">
      <c r="B962" s="10"/>
      <c r="C962" s="108"/>
      <c r="D962" s="10"/>
      <c r="E962" s="10"/>
      <c r="F962" s="10"/>
      <c r="G962" s="10"/>
      <c r="H962" s="10"/>
      <c r="I962" s="10"/>
      <c r="J962" s="10"/>
      <c r="K962" s="10"/>
      <c r="L962" s="10"/>
    </row>
    <row r="963" spans="2:12" ht="12.75" customHeight="1">
      <c r="B963" s="10"/>
      <c r="C963" s="108"/>
      <c r="D963" s="10"/>
      <c r="E963" s="10"/>
      <c r="F963" s="10"/>
      <c r="G963" s="10"/>
      <c r="H963" s="10"/>
      <c r="I963" s="10"/>
      <c r="J963" s="10"/>
      <c r="K963" s="10"/>
      <c r="L963" s="10"/>
    </row>
    <row r="964" spans="2:12" ht="12.75" customHeight="1">
      <c r="B964" s="10"/>
      <c r="C964" s="108"/>
      <c r="D964" s="10"/>
      <c r="E964" s="10"/>
      <c r="F964" s="10"/>
      <c r="G964" s="10"/>
      <c r="H964" s="10"/>
      <c r="I964" s="10"/>
      <c r="J964" s="10"/>
      <c r="K964" s="10"/>
      <c r="L964" s="10"/>
    </row>
    <row r="965" spans="2:12" ht="12.75" customHeight="1">
      <c r="B965" s="10"/>
      <c r="C965" s="108"/>
      <c r="D965" s="10"/>
      <c r="E965" s="10"/>
      <c r="F965" s="10"/>
      <c r="G965" s="10"/>
      <c r="H965" s="10"/>
      <c r="I965" s="10"/>
      <c r="J965" s="10"/>
      <c r="K965" s="10"/>
      <c r="L965" s="10"/>
    </row>
    <row r="966" spans="2:12" ht="12.75" customHeight="1">
      <c r="B966" s="10"/>
      <c r="C966" s="108"/>
      <c r="D966" s="10"/>
      <c r="E966" s="10"/>
      <c r="F966" s="10"/>
      <c r="G966" s="10"/>
      <c r="H966" s="10"/>
      <c r="I966" s="10"/>
      <c r="J966" s="10"/>
      <c r="K966" s="10"/>
      <c r="L966" s="10"/>
    </row>
    <row r="967" spans="2:12" ht="12.75" customHeight="1">
      <c r="B967" s="10"/>
      <c r="C967" s="108"/>
      <c r="D967" s="10"/>
      <c r="E967" s="10"/>
      <c r="F967" s="10"/>
      <c r="G967" s="10"/>
      <c r="H967" s="10"/>
      <c r="I967" s="10"/>
      <c r="J967" s="10"/>
      <c r="K967" s="10"/>
      <c r="L967" s="10"/>
    </row>
    <row r="968" spans="2:12" ht="12.75" customHeight="1">
      <c r="B968" s="10"/>
      <c r="C968" s="108"/>
      <c r="D968" s="10"/>
      <c r="E968" s="10"/>
      <c r="F968" s="10"/>
      <c r="G968" s="10"/>
      <c r="H968" s="10"/>
      <c r="I968" s="10"/>
      <c r="J968" s="10"/>
      <c r="K968" s="10"/>
      <c r="L968" s="10"/>
    </row>
    <row r="969" spans="2:12" ht="12.75" customHeight="1">
      <c r="B969" s="10"/>
      <c r="C969" s="108"/>
      <c r="D969" s="10"/>
      <c r="E969" s="10"/>
      <c r="F969" s="10"/>
      <c r="G969" s="10"/>
      <c r="H969" s="10"/>
      <c r="I969" s="10"/>
      <c r="J969" s="10"/>
      <c r="K969" s="10"/>
      <c r="L969" s="10"/>
    </row>
    <row r="970" spans="2:12" ht="12.75" customHeight="1">
      <c r="B970" s="10"/>
      <c r="C970" s="108"/>
      <c r="D970" s="10"/>
      <c r="E970" s="10"/>
      <c r="F970" s="10"/>
      <c r="G970" s="10"/>
      <c r="H970" s="10"/>
      <c r="I970" s="10"/>
      <c r="J970" s="10"/>
      <c r="K970" s="10"/>
      <c r="L970" s="10"/>
    </row>
    <row r="971" spans="2:12" ht="12.75" customHeight="1">
      <c r="B971" s="10"/>
      <c r="C971" s="108"/>
      <c r="D971" s="10"/>
      <c r="E971" s="10"/>
      <c r="F971" s="10"/>
      <c r="G971" s="10"/>
      <c r="H971" s="10"/>
      <c r="I971" s="10"/>
      <c r="J971" s="10"/>
      <c r="K971" s="10"/>
      <c r="L971" s="10"/>
    </row>
    <row r="972" spans="2:12" ht="12.75" customHeight="1">
      <c r="B972" s="10"/>
      <c r="C972" s="1440" t="s">
        <v>588</v>
      </c>
      <c r="D972" s="1440"/>
      <c r="E972" s="1440"/>
      <c r="F972" s="1440"/>
      <c r="G972" s="1440"/>
      <c r="H972" s="1440"/>
      <c r="I972" s="1440"/>
      <c r="J972" s="1440"/>
      <c r="K972" s="1440"/>
      <c r="L972" s="10"/>
    </row>
    <row r="973" spans="2:12" ht="12.75" customHeight="1">
      <c r="B973" s="10"/>
      <c r="C973" s="108"/>
      <c r="D973" s="10"/>
      <c r="E973" s="10"/>
      <c r="F973" s="10"/>
      <c r="G973" s="10"/>
      <c r="H973" s="10"/>
      <c r="I973" s="10"/>
      <c r="J973" s="10"/>
      <c r="K973" s="10"/>
      <c r="L973" s="10"/>
    </row>
    <row r="974" spans="2:12" ht="12.75" customHeight="1">
      <c r="B974" s="10"/>
      <c r="C974" s="108"/>
      <c r="D974" s="10"/>
      <c r="E974" s="10"/>
      <c r="F974" s="10"/>
      <c r="G974" s="10"/>
      <c r="H974" s="10"/>
      <c r="I974" s="10"/>
      <c r="J974" s="10"/>
      <c r="K974" s="10"/>
      <c r="L974" s="10"/>
    </row>
    <row r="975" spans="2:12" ht="12.75" customHeight="1">
      <c r="B975" s="10"/>
      <c r="C975" s="108"/>
      <c r="D975" s="10"/>
      <c r="E975" s="10"/>
      <c r="F975" s="10"/>
      <c r="G975" s="10"/>
      <c r="H975" s="10"/>
      <c r="I975" s="10"/>
      <c r="J975" s="10"/>
      <c r="K975" s="10"/>
      <c r="L975" s="10"/>
    </row>
    <row r="976" spans="2:12" ht="12.75" customHeight="1">
      <c r="B976" s="10"/>
      <c r="C976" s="108"/>
      <c r="D976" s="10"/>
      <c r="E976" s="10"/>
      <c r="F976" s="10"/>
      <c r="G976" s="10"/>
      <c r="H976" s="10"/>
      <c r="I976" s="10"/>
      <c r="J976" s="10"/>
      <c r="K976" s="10"/>
      <c r="L976" s="10"/>
    </row>
    <row r="977" spans="2:12" ht="12.75" customHeight="1">
      <c r="B977" s="10"/>
      <c r="C977" s="108"/>
      <c r="D977" s="10"/>
      <c r="E977" s="10"/>
      <c r="F977" s="10"/>
      <c r="G977" s="10"/>
      <c r="H977" s="10"/>
      <c r="I977" s="10"/>
      <c r="J977" s="10"/>
      <c r="K977" s="10"/>
      <c r="L977" s="10"/>
    </row>
    <row r="978" spans="2:12" ht="12.75" customHeight="1">
      <c r="B978" s="10"/>
      <c r="C978" s="108"/>
      <c r="D978" s="10"/>
      <c r="E978" s="10"/>
      <c r="F978" s="10"/>
      <c r="G978" s="10"/>
      <c r="H978" s="10"/>
      <c r="I978" s="10"/>
      <c r="J978" s="10"/>
      <c r="K978" s="10"/>
      <c r="L978" s="10"/>
    </row>
    <row r="979" spans="2:12" ht="12.75" customHeight="1">
      <c r="B979" s="10"/>
      <c r="C979" s="108"/>
      <c r="D979" s="10"/>
      <c r="E979" s="10"/>
      <c r="F979" s="10"/>
      <c r="G979" s="10"/>
      <c r="H979" s="10"/>
      <c r="I979" s="10"/>
      <c r="J979" s="10"/>
      <c r="K979" s="10"/>
      <c r="L979" s="10"/>
    </row>
    <row r="980" spans="2:12" ht="12.75" customHeight="1">
      <c r="B980" s="10"/>
      <c r="C980" s="108"/>
      <c r="D980" s="10"/>
      <c r="E980" s="10"/>
      <c r="F980" s="10"/>
      <c r="G980" s="10"/>
      <c r="H980" s="10"/>
      <c r="I980" s="10"/>
      <c r="J980" s="10"/>
      <c r="K980" s="10"/>
      <c r="L980" s="10"/>
    </row>
    <row r="981" spans="2:12" ht="12.75" customHeight="1">
      <c r="B981" s="10"/>
      <c r="C981" s="108"/>
      <c r="D981" s="10"/>
      <c r="E981" s="10"/>
      <c r="F981" s="10"/>
      <c r="G981" s="10"/>
      <c r="H981" s="10"/>
      <c r="I981" s="10"/>
      <c r="J981" s="10"/>
      <c r="K981" s="10"/>
      <c r="L981" s="10"/>
    </row>
    <row r="982" spans="2:12" ht="12.75" customHeight="1">
      <c r="B982" s="10"/>
      <c r="C982" s="108"/>
      <c r="D982" s="10"/>
      <c r="E982" s="10"/>
      <c r="F982" s="10"/>
      <c r="G982" s="10"/>
      <c r="H982" s="10"/>
      <c r="I982" s="10"/>
      <c r="J982" s="10"/>
      <c r="K982" s="10"/>
      <c r="L982" s="10"/>
    </row>
    <row r="983" spans="2:12" ht="12.75" customHeight="1">
      <c r="B983" s="10"/>
      <c r="C983" s="108"/>
      <c r="D983" s="10"/>
      <c r="E983" s="10"/>
      <c r="F983" s="10"/>
      <c r="G983" s="10"/>
      <c r="H983" s="10"/>
      <c r="I983" s="10"/>
      <c r="J983" s="10"/>
      <c r="K983" s="10"/>
      <c r="L983" s="10"/>
    </row>
    <row r="984" spans="2:12" ht="12.75" customHeight="1">
      <c r="B984" s="10"/>
      <c r="C984" s="108"/>
      <c r="D984" s="10"/>
      <c r="E984" s="10"/>
      <c r="F984" s="10"/>
      <c r="G984" s="10"/>
      <c r="H984" s="10"/>
      <c r="I984" s="10"/>
      <c r="J984" s="10"/>
      <c r="K984" s="10"/>
      <c r="L984" s="10"/>
    </row>
    <row r="985" spans="2:12" ht="12.75" customHeight="1">
      <c r="B985" s="10"/>
      <c r="C985" s="108"/>
      <c r="D985" s="10"/>
      <c r="E985" s="10"/>
      <c r="F985" s="10"/>
      <c r="G985" s="10"/>
      <c r="H985" s="10"/>
      <c r="I985" s="10"/>
      <c r="J985" s="10"/>
      <c r="K985" s="10"/>
      <c r="L985" s="10"/>
    </row>
    <row r="986" spans="2:12" ht="12.75" customHeight="1">
      <c r="B986" s="10"/>
      <c r="C986" s="108"/>
      <c r="D986" s="10"/>
      <c r="E986" s="10"/>
      <c r="F986" s="10"/>
      <c r="G986" s="10"/>
      <c r="H986" s="10"/>
      <c r="I986" s="10"/>
      <c r="J986" s="10"/>
      <c r="K986" s="10"/>
      <c r="L986" s="10"/>
    </row>
    <row r="987" spans="2:12" ht="12.75" customHeight="1">
      <c r="B987" s="10"/>
      <c r="C987" s="108"/>
      <c r="D987" s="10"/>
      <c r="E987" s="10"/>
      <c r="F987" s="10"/>
      <c r="G987" s="10"/>
      <c r="H987" s="10"/>
      <c r="I987" s="10"/>
      <c r="J987" s="10"/>
      <c r="K987" s="10"/>
      <c r="L987" s="10"/>
    </row>
    <row r="988" spans="2:12" ht="12.75" customHeight="1">
      <c r="B988" s="10"/>
      <c r="C988" s="108"/>
      <c r="D988" s="10"/>
      <c r="E988" s="10"/>
      <c r="F988" s="10"/>
      <c r="G988" s="10"/>
      <c r="H988" s="10"/>
      <c r="I988" s="10"/>
      <c r="J988" s="10"/>
      <c r="K988" s="10"/>
      <c r="L988" s="10"/>
    </row>
    <row r="989" spans="2:12" ht="12.75" customHeight="1">
      <c r="B989" s="10"/>
      <c r="C989" s="108"/>
      <c r="D989" s="10"/>
      <c r="E989" s="10"/>
      <c r="F989" s="10"/>
      <c r="G989" s="10"/>
      <c r="H989" s="10"/>
      <c r="I989" s="10"/>
      <c r="J989" s="10"/>
      <c r="K989" s="10"/>
      <c r="L989" s="10"/>
    </row>
    <row r="990" spans="2:12" ht="12.75" customHeight="1">
      <c r="B990" s="10"/>
      <c r="C990" s="108"/>
      <c r="D990" s="10"/>
      <c r="E990" s="10"/>
      <c r="F990" s="10"/>
      <c r="G990" s="10"/>
      <c r="H990" s="10"/>
      <c r="I990" s="10"/>
      <c r="J990" s="10"/>
      <c r="K990" s="10"/>
      <c r="L990" s="10"/>
    </row>
    <row r="991" spans="2:12" ht="12.75" customHeight="1">
      <c r="B991" s="10"/>
      <c r="C991" s="108"/>
      <c r="D991" s="10"/>
      <c r="E991" s="10"/>
      <c r="F991" s="10"/>
      <c r="G991" s="10"/>
      <c r="H991" s="10"/>
      <c r="I991" s="10"/>
      <c r="J991" s="10"/>
      <c r="K991" s="10"/>
      <c r="L991" s="10"/>
    </row>
    <row r="992" spans="2:12" ht="12.75" customHeight="1">
      <c r="B992" s="10"/>
      <c r="C992" s="1440" t="s">
        <v>589</v>
      </c>
      <c r="D992" s="1440"/>
      <c r="E992" s="1440"/>
      <c r="F992" s="1440"/>
      <c r="G992" s="1440"/>
      <c r="H992" s="1440"/>
      <c r="I992" s="1440"/>
      <c r="J992" s="1440"/>
      <c r="K992" s="1440"/>
      <c r="L992" s="10"/>
    </row>
    <row r="993" spans="2:12" ht="12.75" customHeight="1">
      <c r="B993" s="10"/>
      <c r="C993" s="108"/>
      <c r="D993" s="10"/>
      <c r="E993" s="10"/>
      <c r="F993" s="10"/>
      <c r="G993" s="10"/>
      <c r="H993" s="10"/>
      <c r="I993" s="10"/>
      <c r="J993" s="10"/>
      <c r="K993" s="10"/>
      <c r="L993" s="10"/>
    </row>
    <row r="994" spans="2:12" ht="12.75" customHeight="1">
      <c r="B994" s="10"/>
      <c r="C994" s="108"/>
      <c r="D994" s="10"/>
      <c r="E994" s="10"/>
      <c r="F994" s="10"/>
      <c r="G994" s="10"/>
      <c r="H994" s="10"/>
      <c r="I994" s="10"/>
      <c r="J994" s="10"/>
      <c r="K994" s="10"/>
      <c r="L994" s="10"/>
    </row>
    <row r="995" spans="2:12" ht="12.75" customHeight="1">
      <c r="B995" s="10"/>
      <c r="C995" s="108"/>
      <c r="D995" s="10"/>
      <c r="E995" s="10"/>
      <c r="F995" s="10"/>
      <c r="G995" s="10"/>
      <c r="H995" s="10"/>
      <c r="I995" s="10"/>
      <c r="J995" s="10"/>
      <c r="K995" s="10"/>
      <c r="L995" s="10"/>
    </row>
    <row r="996" spans="2:12" ht="12.75" customHeight="1">
      <c r="B996" s="10"/>
      <c r="C996" s="108"/>
      <c r="D996" s="10"/>
      <c r="E996" s="10"/>
      <c r="F996" s="10"/>
      <c r="G996" s="10"/>
      <c r="H996" s="10"/>
      <c r="I996" s="10"/>
      <c r="J996" s="10"/>
      <c r="K996" s="10"/>
      <c r="L996" s="10"/>
    </row>
    <row r="997" spans="2:12" ht="12.75" customHeight="1">
      <c r="B997" s="10"/>
      <c r="C997" s="108"/>
      <c r="D997" s="10"/>
      <c r="E997" s="10"/>
      <c r="F997" s="10"/>
      <c r="G997" s="10"/>
      <c r="H997" s="10"/>
      <c r="I997" s="10"/>
      <c r="J997" s="10"/>
      <c r="K997" s="10"/>
      <c r="L997" s="10"/>
    </row>
    <row r="998" spans="2:12" ht="12.75" customHeight="1">
      <c r="B998" s="10"/>
      <c r="C998" s="108"/>
      <c r="D998" s="10"/>
      <c r="E998" s="10"/>
      <c r="F998" s="10"/>
      <c r="G998" s="10"/>
      <c r="H998" s="10"/>
      <c r="I998" s="10"/>
      <c r="J998" s="10"/>
      <c r="K998" s="10"/>
      <c r="L998" s="10"/>
    </row>
    <row r="999" spans="2:12" ht="12.75" customHeight="1">
      <c r="B999" s="10"/>
      <c r="C999" s="108"/>
      <c r="D999" s="10"/>
      <c r="E999" s="10"/>
      <c r="F999" s="10"/>
      <c r="G999" s="10"/>
      <c r="H999" s="10"/>
      <c r="I999" s="10"/>
      <c r="J999" s="10"/>
      <c r="K999" s="10"/>
      <c r="L999" s="10"/>
    </row>
    <row r="1000" spans="2:12" ht="12.75" customHeight="1">
      <c r="B1000" s="10"/>
      <c r="C1000" s="108"/>
      <c r="D1000" s="10"/>
      <c r="E1000" s="10"/>
      <c r="F1000" s="10"/>
      <c r="G1000" s="10"/>
      <c r="H1000" s="10"/>
      <c r="I1000" s="10"/>
      <c r="J1000" s="10"/>
      <c r="K1000" s="10"/>
      <c r="L1000" s="10"/>
    </row>
    <row r="1001" spans="2:12" ht="12.75" customHeight="1">
      <c r="B1001" s="10"/>
      <c r="C1001" s="108"/>
      <c r="D1001" s="10"/>
      <c r="E1001" s="10"/>
      <c r="F1001" s="10"/>
      <c r="G1001" s="10"/>
      <c r="H1001" s="10"/>
      <c r="I1001" s="10"/>
      <c r="J1001" s="10"/>
      <c r="K1001" s="10"/>
      <c r="L1001" s="10"/>
    </row>
    <row r="1002" spans="2:12" ht="12.75" customHeight="1">
      <c r="B1002" s="10"/>
      <c r="C1002" s="108"/>
      <c r="D1002" s="10"/>
      <c r="E1002" s="10"/>
      <c r="F1002" s="10"/>
      <c r="G1002" s="10"/>
      <c r="H1002" s="10"/>
      <c r="I1002" s="10"/>
      <c r="J1002" s="10"/>
      <c r="K1002" s="10"/>
      <c r="L1002" s="10"/>
    </row>
    <row r="1003" spans="2:12" ht="12.75" customHeight="1">
      <c r="B1003" s="10"/>
      <c r="C1003" s="108"/>
      <c r="D1003" s="10"/>
      <c r="E1003" s="10"/>
      <c r="F1003" s="10"/>
      <c r="G1003" s="10"/>
      <c r="H1003" s="10"/>
      <c r="I1003" s="10"/>
      <c r="J1003" s="10"/>
      <c r="K1003" s="10"/>
      <c r="L1003" s="10"/>
    </row>
    <row r="1004" spans="2:12" ht="12.75" customHeight="1">
      <c r="B1004" s="10"/>
      <c r="C1004" s="108"/>
      <c r="D1004" s="10"/>
      <c r="E1004" s="10"/>
      <c r="F1004" s="10"/>
      <c r="G1004" s="10"/>
      <c r="H1004" s="10"/>
      <c r="I1004" s="10"/>
      <c r="J1004" s="10"/>
      <c r="K1004" s="10"/>
      <c r="L1004" s="10"/>
    </row>
    <row r="1005" spans="2:12" ht="12.75" customHeight="1">
      <c r="B1005" s="10"/>
      <c r="C1005" s="108"/>
      <c r="D1005" s="10"/>
      <c r="E1005" s="10"/>
      <c r="F1005" s="10"/>
      <c r="G1005" s="10"/>
      <c r="H1005" s="10"/>
      <c r="I1005" s="10"/>
      <c r="J1005" s="10"/>
      <c r="K1005" s="10"/>
      <c r="L1005" s="10"/>
    </row>
    <row r="1006" spans="2:12" ht="12.75" customHeight="1">
      <c r="B1006" s="10"/>
      <c r="C1006" s="108"/>
      <c r="D1006" s="10"/>
      <c r="E1006" s="10"/>
      <c r="F1006" s="10"/>
      <c r="G1006" s="10"/>
      <c r="H1006" s="10"/>
      <c r="I1006" s="10"/>
      <c r="J1006" s="10"/>
      <c r="K1006" s="10"/>
      <c r="L1006" s="10"/>
    </row>
    <row r="1007" spans="2:12" ht="12.75" customHeight="1">
      <c r="B1007" s="10"/>
      <c r="C1007" s="108"/>
      <c r="D1007" s="10"/>
      <c r="E1007" s="10"/>
      <c r="F1007" s="10"/>
      <c r="G1007" s="10"/>
      <c r="H1007" s="10"/>
      <c r="I1007" s="10"/>
      <c r="J1007" s="10"/>
      <c r="K1007" s="10"/>
      <c r="L1007" s="10"/>
    </row>
    <row r="1008" spans="2:12" ht="12.75" customHeight="1">
      <c r="B1008" s="10"/>
      <c r="C1008" s="108"/>
      <c r="D1008" s="10"/>
      <c r="E1008" s="10"/>
      <c r="F1008" s="10"/>
      <c r="G1008" s="10"/>
      <c r="H1008" s="10"/>
      <c r="I1008" s="10"/>
      <c r="J1008" s="10"/>
      <c r="K1008" s="10"/>
      <c r="L1008" s="10"/>
    </row>
    <row r="1009" spans="2:12" ht="12.75" customHeight="1">
      <c r="B1009" s="10"/>
      <c r="C1009" s="108"/>
      <c r="D1009" s="10"/>
      <c r="E1009" s="10"/>
      <c r="F1009" s="10"/>
      <c r="G1009" s="10"/>
      <c r="H1009" s="10"/>
      <c r="I1009" s="10"/>
      <c r="J1009" s="10"/>
      <c r="K1009" s="10"/>
      <c r="L1009" s="10"/>
    </row>
    <row r="1010" spans="2:12" ht="12.75" customHeight="1">
      <c r="B1010" s="10"/>
      <c r="C1010" s="635" t="s">
        <v>309</v>
      </c>
      <c r="D1010" s="10"/>
      <c r="E1010" s="10"/>
      <c r="F1010" s="10"/>
      <c r="G1010" s="10"/>
      <c r="H1010" s="10"/>
      <c r="I1010" s="10"/>
      <c r="J1010" s="10"/>
      <c r="K1010" s="10"/>
      <c r="L1010" s="10"/>
    </row>
    <row r="1011" spans="2:12" ht="12.75" customHeight="1">
      <c r="B1011" s="10"/>
      <c r="C1011" s="108"/>
      <c r="D1011" s="10"/>
      <c r="E1011" s="10"/>
      <c r="F1011" s="10"/>
      <c r="G1011" s="10"/>
      <c r="H1011" s="10"/>
      <c r="I1011" s="10"/>
      <c r="J1011" s="10"/>
      <c r="K1011" s="10"/>
      <c r="L1011" s="10"/>
    </row>
    <row r="1012" spans="2:12" ht="12.75" customHeight="1">
      <c r="B1012" s="10"/>
      <c r="C1012" s="1468" t="s">
        <v>573</v>
      </c>
      <c r="D1012" s="1468"/>
      <c r="E1012" s="1468"/>
      <c r="F1012" s="1468"/>
      <c r="G1012" s="1468"/>
      <c r="H1012" s="1468"/>
      <c r="I1012" s="1468"/>
      <c r="J1012" s="1468"/>
      <c r="K1012" s="1468"/>
      <c r="L1012" s="10"/>
    </row>
    <row r="1013" spans="2:12" ht="12.75" customHeight="1">
      <c r="B1013" s="10"/>
      <c r="C1013" s="615"/>
      <c r="D1013" s="615"/>
      <c r="E1013" s="615"/>
      <c r="F1013" s="615"/>
      <c r="G1013" s="615"/>
      <c r="H1013" s="615"/>
      <c r="I1013" s="615"/>
      <c r="J1013" s="615"/>
      <c r="K1013" s="615"/>
      <c r="L1013" s="10"/>
    </row>
    <row r="1014" spans="2:12" ht="12.75" customHeight="1">
      <c r="B1014" s="10"/>
      <c r="C1014" s="1463" t="s">
        <v>766</v>
      </c>
      <c r="D1014" s="1463"/>
      <c r="E1014" s="1463"/>
      <c r="F1014" s="1463"/>
      <c r="G1014" s="1463"/>
      <c r="H1014" s="1463"/>
      <c r="I1014" s="1463"/>
      <c r="J1014" s="1463"/>
      <c r="K1014" s="1463"/>
      <c r="L1014" s="10"/>
    </row>
    <row r="1015" spans="2:12" ht="12.75" customHeight="1">
      <c r="B1015" s="10"/>
      <c r="C1015" s="1463"/>
      <c r="D1015" s="1463"/>
      <c r="E1015" s="1463"/>
      <c r="F1015" s="1463"/>
      <c r="G1015" s="1463"/>
      <c r="H1015" s="1463"/>
      <c r="I1015" s="1463"/>
      <c r="J1015" s="1463"/>
      <c r="K1015" s="1463"/>
      <c r="L1015" s="10"/>
    </row>
    <row r="1016" spans="2:12" ht="12.75" customHeight="1">
      <c r="B1016" s="10"/>
      <c r="C1016" s="607"/>
      <c r="D1016" s="607"/>
      <c r="E1016" s="607"/>
      <c r="F1016" s="607"/>
      <c r="G1016" s="607"/>
      <c r="H1016" s="607"/>
      <c r="I1016" s="607"/>
      <c r="J1016" s="607"/>
      <c r="K1016" s="607"/>
      <c r="L1016" s="10"/>
    </row>
    <row r="1017" spans="2:12" ht="12.75" customHeight="1">
      <c r="B1017" s="10"/>
      <c r="C1017" t="s">
        <v>448</v>
      </c>
      <c r="L1017" s="10"/>
    </row>
    <row r="1018" spans="2:12" ht="12.75" customHeight="1">
      <c r="B1018" s="10"/>
      <c r="C1018" s="1469" t="s">
        <v>449</v>
      </c>
      <c r="D1018" s="1469"/>
      <c r="E1018" s="1469"/>
      <c r="F1018" s="1469"/>
      <c r="G1018" s="1469"/>
      <c r="H1018" s="1469"/>
      <c r="I1018" s="1469"/>
      <c r="J1018" s="1469"/>
      <c r="K1018" s="706">
        <f>I383</f>
        <v>4</v>
      </c>
      <c r="L1018" s="10"/>
    </row>
    <row r="1019" spans="2:12" ht="12.75" customHeight="1">
      <c r="B1019" s="10"/>
      <c r="C1019" s="1469" t="s">
        <v>450</v>
      </c>
      <c r="D1019" s="1469"/>
      <c r="E1019" s="1469"/>
      <c r="F1019" s="1469"/>
      <c r="G1019" s="707">
        <f>I1043</f>
        <v>80520.86</v>
      </c>
      <c r="H1019" s="58" t="s">
        <v>451</v>
      </c>
      <c r="I1019" s="707">
        <f>G1019/K1018</f>
        <v>20130.215</v>
      </c>
      <c r="J1019" t="s">
        <v>452</v>
      </c>
      <c r="L1019" s="10"/>
    </row>
    <row r="1020" spans="2:12" ht="12.75" customHeight="1">
      <c r="B1020" s="10"/>
      <c r="C1020" s="10"/>
      <c r="D1020" s="10"/>
      <c r="E1020" s="10"/>
      <c r="F1020" s="10"/>
      <c r="G1020" s="10"/>
      <c r="H1020" s="10"/>
      <c r="I1020" s="10"/>
      <c r="J1020" s="10"/>
      <c r="K1020" s="10"/>
      <c r="L1020" s="10"/>
    </row>
    <row r="1021" spans="2:12" ht="12.75" customHeight="1">
      <c r="B1021" s="10"/>
      <c r="C1021" s="1463" t="s">
        <v>767</v>
      </c>
      <c r="D1021" s="1463"/>
      <c r="E1021" s="1463"/>
      <c r="F1021" s="1463"/>
      <c r="G1021" s="1463"/>
      <c r="H1021" s="1463"/>
      <c r="I1021" s="1463"/>
      <c r="J1021" s="1463"/>
      <c r="K1021" s="1463"/>
      <c r="L1021" s="10"/>
    </row>
    <row r="1022" spans="2:12" ht="12.75" customHeight="1">
      <c r="B1022" s="10"/>
      <c r="C1022" s="1463" t="s">
        <v>769</v>
      </c>
      <c r="D1022" s="1463"/>
      <c r="E1022" s="1463"/>
      <c r="F1022" s="1463"/>
      <c r="G1022" s="1463"/>
      <c r="H1022" s="1463"/>
      <c r="I1022" s="1463"/>
      <c r="J1022" s="1463"/>
      <c r="K1022" s="1463"/>
      <c r="L1022" s="10"/>
    </row>
    <row r="1023" spans="2:12" ht="12.75" customHeight="1">
      <c r="B1023" s="10"/>
      <c r="C1023" s="1463" t="s">
        <v>770</v>
      </c>
      <c r="D1023" s="1463"/>
      <c r="E1023" s="1463"/>
      <c r="F1023" s="1463"/>
      <c r="G1023" s="1463"/>
      <c r="H1023" s="1463"/>
      <c r="I1023" s="1463"/>
      <c r="J1023" s="1463"/>
      <c r="K1023" s="1463"/>
      <c r="L1023" s="10"/>
    </row>
    <row r="1024" spans="2:12" ht="12.75" customHeight="1">
      <c r="B1024" s="10"/>
      <c r="C1024" s="1463" t="s">
        <v>771</v>
      </c>
      <c r="D1024" s="1463"/>
      <c r="E1024" s="1463"/>
      <c r="F1024" s="1463"/>
      <c r="G1024" s="1463"/>
      <c r="H1024" s="1463"/>
      <c r="I1024" s="1463"/>
      <c r="J1024" s="1463"/>
      <c r="K1024" s="1463"/>
      <c r="L1024" s="10"/>
    </row>
    <row r="1025" spans="2:12" ht="12.75" customHeight="1">
      <c r="B1025" s="10"/>
      <c r="C1025" s="1463"/>
      <c r="D1025" s="1463"/>
      <c r="E1025" s="1463"/>
      <c r="F1025" s="1463"/>
      <c r="G1025" s="1463"/>
      <c r="H1025" s="1463"/>
      <c r="I1025" s="1463"/>
      <c r="J1025" s="1463"/>
      <c r="K1025" s="1463"/>
      <c r="L1025" s="10"/>
    </row>
    <row r="1026" spans="2:12" ht="12.75" customHeight="1">
      <c r="B1026" s="10"/>
      <c r="C1026" s="1463" t="s">
        <v>772</v>
      </c>
      <c r="D1026" s="1463"/>
      <c r="E1026" s="1463"/>
      <c r="F1026" s="1463"/>
      <c r="G1026" s="1463"/>
      <c r="H1026" s="1463"/>
      <c r="I1026" s="1463"/>
      <c r="J1026" s="1463"/>
      <c r="K1026" s="1463"/>
      <c r="L1026" s="10"/>
    </row>
    <row r="1027" spans="2:12" ht="12.75" customHeight="1">
      <c r="B1027" s="10"/>
      <c r="C1027" s="1463" t="s">
        <v>773</v>
      </c>
      <c r="D1027" s="1463"/>
      <c r="E1027" s="1463"/>
      <c r="F1027" s="1463"/>
      <c r="G1027" s="1463"/>
      <c r="H1027" s="1463"/>
      <c r="I1027" s="1463"/>
      <c r="J1027" s="1463"/>
      <c r="K1027" s="1463"/>
      <c r="L1027" s="10"/>
    </row>
    <row r="1028" spans="2:12" ht="12.75" customHeight="1">
      <c r="B1028" s="10"/>
      <c r="C1028" s="1463"/>
      <c r="D1028" s="1463"/>
      <c r="E1028" s="1463"/>
      <c r="F1028" s="1463"/>
      <c r="G1028" s="1463"/>
      <c r="H1028" s="1463"/>
      <c r="I1028" s="1463"/>
      <c r="J1028" s="1463"/>
      <c r="K1028" s="1463"/>
      <c r="L1028" s="10"/>
    </row>
    <row r="1029" spans="2:12" ht="12.75" customHeight="1">
      <c r="B1029" s="10"/>
      <c r="C1029" s="607"/>
      <c r="D1029" s="607"/>
      <c r="E1029" s="607"/>
      <c r="F1029" s="607"/>
      <c r="G1029" s="607"/>
      <c r="H1029" s="607"/>
      <c r="I1029" s="607"/>
      <c r="J1029" s="607"/>
      <c r="K1029" s="607"/>
      <c r="L1029" s="10"/>
    </row>
    <row r="1030" spans="2:12" ht="12.75" customHeight="1">
      <c r="B1030" s="10"/>
      <c r="C1030" s="1471" t="s">
        <v>774</v>
      </c>
      <c r="D1030" s="1471"/>
      <c r="E1030" s="1471"/>
      <c r="F1030" s="1471"/>
      <c r="G1030" s="1471"/>
      <c r="H1030" s="1471"/>
      <c r="I1030" s="1471"/>
      <c r="J1030" s="10"/>
      <c r="K1030" s="10"/>
      <c r="L1030" s="10"/>
    </row>
    <row r="1031" spans="2:12" ht="12.75" customHeight="1">
      <c r="B1031" s="10"/>
      <c r="C1031" s="1472" t="s">
        <v>256</v>
      </c>
      <c r="D1031" s="1472"/>
      <c r="E1031" s="1472"/>
      <c r="F1031" s="1472"/>
      <c r="G1031" s="1472"/>
      <c r="H1031" s="1472"/>
      <c r="I1031" s="1472"/>
      <c r="J1031" s="10"/>
      <c r="K1031" s="10"/>
      <c r="L1031" s="10"/>
    </row>
    <row r="1032" spans="2:12" ht="12.75" customHeight="1">
      <c r="B1032" s="10"/>
      <c r="C1032" s="1441" t="s">
        <v>558</v>
      </c>
      <c r="D1032" s="1441"/>
      <c r="E1032" s="1441"/>
      <c r="F1032" s="1441"/>
      <c r="G1032" s="129" t="s">
        <v>559</v>
      </c>
      <c r="H1032" s="129" t="s">
        <v>560</v>
      </c>
      <c r="I1032" s="129" t="s">
        <v>23</v>
      </c>
      <c r="J1032" s="10"/>
      <c r="K1032" s="10"/>
      <c r="L1032" s="10"/>
    </row>
    <row r="1033" spans="2:12" ht="12.75" customHeight="1">
      <c r="B1033" s="10"/>
      <c r="C1033" s="1441" t="s">
        <v>561</v>
      </c>
      <c r="D1033" s="1441"/>
      <c r="E1033" s="1441"/>
      <c r="F1033" s="1441"/>
      <c r="G1033" s="129">
        <f>'Capital Cost'!G7</f>
        <v>1</v>
      </c>
      <c r="H1033" s="156">
        <f>'Capital Cost'!H7</f>
        <v>20741.3</v>
      </c>
      <c r="I1033" s="636">
        <f>G1033*H1033</f>
        <v>20741.3</v>
      </c>
      <c r="J1033" s="10"/>
      <c r="K1033" s="10"/>
      <c r="L1033" s="10"/>
    </row>
    <row r="1034" spans="2:12" ht="12.75" customHeight="1">
      <c r="B1034" s="10"/>
      <c r="C1034" s="1467" t="s">
        <v>5</v>
      </c>
      <c r="D1034" s="1467"/>
      <c r="E1034" s="1467"/>
      <c r="F1034" s="1467"/>
      <c r="G1034" s="129">
        <f>'Capital Cost'!G8</f>
        <v>1</v>
      </c>
      <c r="H1034" s="156">
        <f>'Capital Cost'!H8</f>
        <v>7432.96</v>
      </c>
      <c r="I1034" s="636">
        <f t="shared" ref="I1034:I1042" si="0">G1034*H1034</f>
        <v>7432.96</v>
      </c>
      <c r="J1034" s="10"/>
      <c r="K1034" s="10"/>
      <c r="L1034" s="10"/>
    </row>
    <row r="1035" spans="2:12" ht="12.75" customHeight="1">
      <c r="B1035" s="10"/>
      <c r="C1035" s="708" t="s">
        <v>768</v>
      </c>
      <c r="D1035" s="709"/>
      <c r="E1035" s="663" t="s">
        <v>1</v>
      </c>
      <c r="F1035" s="710">
        <f>I383</f>
        <v>4</v>
      </c>
      <c r="G1035" s="664">
        <f>45*F1035</f>
        <v>180</v>
      </c>
      <c r="H1035" s="156">
        <f>'Capital Cost'!H9</f>
        <v>69.89</v>
      </c>
      <c r="I1035" s="636">
        <f t="shared" si="0"/>
        <v>12580.2</v>
      </c>
      <c r="J1035" s="10"/>
      <c r="K1035" s="10"/>
      <c r="L1035" s="10"/>
    </row>
    <row r="1036" spans="2:12" ht="12.75" customHeight="1">
      <c r="B1036" s="10"/>
      <c r="C1036" s="1473" t="s">
        <v>562</v>
      </c>
      <c r="D1036" s="1473"/>
      <c r="E1036" s="1473"/>
      <c r="F1036" s="1473"/>
      <c r="G1036" s="129">
        <f>F1035</f>
        <v>4</v>
      </c>
      <c r="H1036" s="156">
        <f>'Capital Cost'!H10</f>
        <v>2149.1799999999998</v>
      </c>
      <c r="I1036" s="636">
        <f t="shared" si="0"/>
        <v>8596.7199999999993</v>
      </c>
      <c r="J1036" s="10"/>
      <c r="K1036" s="10"/>
      <c r="L1036" s="10"/>
    </row>
    <row r="1037" spans="2:12" ht="12.75" customHeight="1">
      <c r="B1037" s="10"/>
      <c r="C1037" s="1441" t="s">
        <v>563</v>
      </c>
      <c r="D1037" s="1441"/>
      <c r="E1037" s="1441"/>
      <c r="F1037" s="1441"/>
      <c r="G1037" s="129">
        <f>F1035</f>
        <v>4</v>
      </c>
      <c r="H1037" s="156">
        <f>'Capital Cost'!H11</f>
        <v>492.92</v>
      </c>
      <c r="I1037" s="636">
        <f t="shared" si="0"/>
        <v>1971.68</v>
      </c>
      <c r="J1037" s="10"/>
      <c r="K1037" s="10"/>
      <c r="L1037" s="10"/>
    </row>
    <row r="1038" spans="2:12" ht="12.75" customHeight="1">
      <c r="B1038" s="10"/>
      <c r="C1038" s="1467" t="s">
        <v>564</v>
      </c>
      <c r="D1038" s="1467"/>
      <c r="E1038" s="1467"/>
      <c r="F1038" s="1467"/>
      <c r="G1038" s="129">
        <f>F1035</f>
        <v>4</v>
      </c>
      <c r="H1038" s="156">
        <f>'Capital Cost'!H12</f>
        <v>170.8</v>
      </c>
      <c r="I1038" s="636">
        <f t="shared" si="0"/>
        <v>683.2</v>
      </c>
      <c r="J1038" s="10"/>
      <c r="K1038" s="10"/>
      <c r="L1038" s="10"/>
    </row>
    <row r="1039" spans="2:12" ht="12.75" customHeight="1">
      <c r="B1039" s="10"/>
      <c r="C1039" s="708" t="s">
        <v>0</v>
      </c>
      <c r="D1039" s="709"/>
      <c r="E1039" s="663" t="s">
        <v>1</v>
      </c>
      <c r="F1039" s="710">
        <f>F1035</f>
        <v>4</v>
      </c>
      <c r="G1039" s="664">
        <f>45*F1039</f>
        <v>180</v>
      </c>
      <c r="H1039" s="156">
        <f>'Capital Cost'!H13</f>
        <v>69.89</v>
      </c>
      <c r="I1039" s="636">
        <f t="shared" si="0"/>
        <v>12580.2</v>
      </c>
      <c r="J1039" s="10"/>
      <c r="K1039" s="10"/>
      <c r="L1039" s="10"/>
    </row>
    <row r="1040" spans="2:12" ht="12.75" customHeight="1">
      <c r="B1040" s="10"/>
      <c r="C1040" s="1473" t="s">
        <v>565</v>
      </c>
      <c r="D1040" s="1473"/>
      <c r="E1040" s="1473"/>
      <c r="F1040" s="1473"/>
      <c r="G1040" s="129">
        <f>F1035</f>
        <v>4</v>
      </c>
      <c r="H1040" s="156">
        <f>'Capital Cost'!H14</f>
        <v>2149.1799999999998</v>
      </c>
      <c r="I1040" s="636">
        <f t="shared" si="0"/>
        <v>8596.7199999999993</v>
      </c>
      <c r="J1040" s="10"/>
      <c r="K1040" s="10"/>
      <c r="L1040" s="10"/>
    </row>
    <row r="1041" spans="2:12" ht="12.75" customHeight="1">
      <c r="B1041" s="10"/>
      <c r="C1041" s="1441" t="s">
        <v>566</v>
      </c>
      <c r="D1041" s="1441"/>
      <c r="E1041" s="1441"/>
      <c r="F1041" s="1441"/>
      <c r="G1041" s="129">
        <f>F1035</f>
        <v>4</v>
      </c>
      <c r="H1041" s="156">
        <f>'Capital Cost'!H15</f>
        <v>848.63</v>
      </c>
      <c r="I1041" s="636">
        <f t="shared" si="0"/>
        <v>3394.52</v>
      </c>
      <c r="J1041" s="10"/>
      <c r="K1041" s="10"/>
      <c r="L1041" s="10"/>
    </row>
    <row r="1042" spans="2:12" ht="12.75" customHeight="1">
      <c r="B1042" s="10"/>
      <c r="C1042" s="1441" t="s">
        <v>567</v>
      </c>
      <c r="D1042" s="1441"/>
      <c r="E1042" s="1441"/>
      <c r="F1042" s="1441"/>
      <c r="G1042" s="129">
        <f>F1035*2</f>
        <v>8</v>
      </c>
      <c r="H1042" s="156">
        <f>'Capital Cost'!H16</f>
        <v>492.92</v>
      </c>
      <c r="I1042" s="636">
        <f t="shared" si="0"/>
        <v>3943.36</v>
      </c>
      <c r="J1042" s="10"/>
      <c r="K1042" s="10"/>
      <c r="L1042" s="10"/>
    </row>
    <row r="1043" spans="2:12" ht="12.75" customHeight="1">
      <c r="B1043" s="10"/>
      <c r="C1043" s="1470" t="s">
        <v>425</v>
      </c>
      <c r="D1043" s="1470"/>
      <c r="E1043" s="1470"/>
      <c r="F1043" s="1470"/>
      <c r="G1043" s="1470"/>
      <c r="H1043" s="129" t="s">
        <v>23</v>
      </c>
      <c r="I1043" s="636">
        <f>SUM(I1033:I1042)</f>
        <v>80520.86</v>
      </c>
      <c r="J1043" s="10"/>
      <c r="K1043" s="10"/>
      <c r="L1043" s="10"/>
    </row>
    <row r="1044" spans="2:12" ht="12.75" customHeight="1">
      <c r="B1044" s="10"/>
      <c r="C1044" s="1470" t="s">
        <v>570</v>
      </c>
      <c r="D1044" s="1470"/>
      <c r="E1044" s="1470"/>
      <c r="F1044" s="1470"/>
      <c r="G1044" s="129">
        <f>$I$384</f>
        <v>40</v>
      </c>
      <c r="H1044" s="637">
        <f>I1043</f>
        <v>80520.86</v>
      </c>
      <c r="I1044" s="636">
        <f>G1044*H1044</f>
        <v>3220834.4</v>
      </c>
      <c r="J1044" s="10"/>
      <c r="K1044" s="10"/>
      <c r="L1044" s="10"/>
    </row>
    <row r="1045" spans="2:12" ht="12.75" customHeight="1">
      <c r="B1045" s="10"/>
      <c r="C1045" s="605"/>
      <c r="D1045" s="10"/>
      <c r="E1045" s="10"/>
      <c r="F1045" s="10"/>
      <c r="G1045" s="10"/>
      <c r="H1045" s="10"/>
      <c r="I1045" s="10"/>
      <c r="J1045" s="10"/>
      <c r="K1045" s="10"/>
      <c r="L1045" s="10"/>
    </row>
    <row r="1046" spans="2:12" ht="12.75" customHeight="1">
      <c r="B1046" s="10"/>
      <c r="C1046" s="1468" t="s">
        <v>739</v>
      </c>
      <c r="D1046" s="1468"/>
      <c r="E1046" s="1468"/>
      <c r="F1046" s="1468"/>
      <c r="G1046" s="1468"/>
      <c r="H1046" s="1468"/>
      <c r="I1046" s="1468"/>
      <c r="J1046" s="1468"/>
      <c r="K1046" s="1468"/>
      <c r="L1046" s="10"/>
    </row>
    <row r="1047" spans="2:12" ht="12.75" customHeight="1">
      <c r="B1047" s="10"/>
      <c r="C1047" s="615"/>
      <c r="D1047" s="615"/>
      <c r="E1047" s="615"/>
      <c r="F1047" s="615"/>
      <c r="G1047" s="615"/>
      <c r="H1047" s="615"/>
      <c r="I1047" s="615"/>
      <c r="J1047" s="615"/>
      <c r="K1047" s="615"/>
      <c r="L1047" s="10"/>
    </row>
    <row r="1048" spans="2:12" ht="12.75" customHeight="1">
      <c r="B1048" s="10"/>
      <c r="C1048" s="1463" t="s">
        <v>153</v>
      </c>
      <c r="D1048" s="1463"/>
      <c r="E1048" s="1463"/>
      <c r="F1048" s="1463"/>
      <c r="G1048" s="1463"/>
      <c r="H1048" s="1463"/>
      <c r="I1048" s="1463"/>
      <c r="J1048" s="1463"/>
      <c r="K1048" s="1463"/>
      <c r="L1048" s="10"/>
    </row>
    <row r="1049" spans="2:12" ht="12.75" customHeight="1">
      <c r="B1049" s="10"/>
      <c r="C1049" s="1463"/>
      <c r="D1049" s="1463"/>
      <c r="E1049" s="1463"/>
      <c r="F1049" s="1463"/>
      <c r="G1049" s="1463"/>
      <c r="H1049" s="1463"/>
      <c r="I1049" s="1463"/>
      <c r="J1049" s="1463"/>
      <c r="K1049" s="1463"/>
      <c r="L1049" s="10"/>
    </row>
    <row r="1050" spans="2:12" ht="12.75" customHeight="1">
      <c r="B1050" s="10"/>
      <c r="C1050" s="1463"/>
      <c r="D1050" s="1463"/>
      <c r="E1050" s="1463"/>
      <c r="F1050" s="1463"/>
      <c r="G1050" s="1463"/>
      <c r="H1050" s="1463"/>
      <c r="I1050" s="1463"/>
      <c r="J1050" s="1463"/>
      <c r="K1050" s="1463"/>
      <c r="L1050" s="10"/>
    </row>
    <row r="1051" spans="2:12" ht="12.75" customHeight="1">
      <c r="B1051" s="10"/>
      <c r="C1051" s="607"/>
      <c r="D1051" s="607"/>
      <c r="E1051" s="607"/>
      <c r="F1051" s="607"/>
      <c r="G1051" s="607"/>
      <c r="H1051" s="607"/>
      <c r="I1051" s="607"/>
      <c r="J1051" s="607"/>
      <c r="K1051" s="607"/>
      <c r="L1051" s="10"/>
    </row>
    <row r="1052" spans="2:12" ht="12.75" customHeight="1">
      <c r="B1052" s="10"/>
      <c r="C1052" s="1463" t="s">
        <v>154</v>
      </c>
      <c r="D1052" s="1463"/>
      <c r="E1052" s="1463"/>
      <c r="F1052" s="1463"/>
      <c r="G1052" s="1463"/>
      <c r="H1052" s="1463"/>
      <c r="I1052" s="1463"/>
      <c r="J1052" s="1463"/>
      <c r="K1052" s="1463"/>
      <c r="L1052" s="10"/>
    </row>
    <row r="1053" spans="2:12" ht="12.75" customHeight="1">
      <c r="B1053" s="10"/>
      <c r="C1053" s="1463"/>
      <c r="D1053" s="1463"/>
      <c r="E1053" s="1463"/>
      <c r="F1053" s="1463"/>
      <c r="G1053" s="1463"/>
      <c r="H1053" s="1463"/>
      <c r="I1053" s="1463"/>
      <c r="J1053" s="1463"/>
      <c r="K1053" s="1463"/>
      <c r="L1053" s="10"/>
    </row>
    <row r="1054" spans="2:12" ht="12.75" customHeight="1">
      <c r="B1054" s="10"/>
      <c r="C1054" s="1463"/>
      <c r="D1054" s="1463"/>
      <c r="E1054" s="1463"/>
      <c r="F1054" s="1463"/>
      <c r="G1054" s="1463"/>
      <c r="H1054" s="1463"/>
      <c r="I1054" s="1463"/>
      <c r="J1054" s="1463"/>
      <c r="K1054" s="1463"/>
      <c r="L1054" s="10"/>
    </row>
    <row r="1055" spans="2:12" ht="12.75" customHeight="1">
      <c r="B1055" s="10"/>
      <c r="C1055" s="1463"/>
      <c r="D1055" s="1463"/>
      <c r="E1055" s="1463"/>
      <c r="F1055" s="1463"/>
      <c r="G1055" s="1463"/>
      <c r="H1055" s="1463"/>
      <c r="I1055" s="1463"/>
      <c r="J1055" s="1463"/>
      <c r="K1055" s="1463"/>
      <c r="L1055" s="10"/>
    </row>
    <row r="1056" spans="2:12" ht="12.75" customHeight="1">
      <c r="B1056" s="10"/>
      <c r="C1056" s="1463"/>
      <c r="D1056" s="1463"/>
      <c r="E1056" s="1463"/>
      <c r="F1056" s="1463"/>
      <c r="G1056" s="1463"/>
      <c r="H1056" s="1463"/>
      <c r="I1056" s="1463"/>
      <c r="J1056" s="1463"/>
      <c r="K1056" s="1463"/>
      <c r="L1056" s="10"/>
    </row>
    <row r="1057" spans="2:12" ht="12.75" customHeight="1">
      <c r="B1057" s="10"/>
      <c r="C1057" s="607"/>
      <c r="D1057" s="607"/>
      <c r="E1057" s="607"/>
      <c r="F1057" s="607"/>
      <c r="G1057" s="607"/>
      <c r="H1057" s="607"/>
      <c r="I1057" s="607"/>
      <c r="J1057" s="607"/>
      <c r="K1057" s="607"/>
      <c r="L1057" s="10"/>
    </row>
    <row r="1058" spans="2:12" ht="12.75" customHeight="1">
      <c r="B1058" s="10"/>
      <c r="C1058" s="1463" t="s">
        <v>155</v>
      </c>
      <c r="D1058" s="1463"/>
      <c r="E1058" s="1463"/>
      <c r="F1058" s="1463"/>
      <c r="G1058" s="1463"/>
      <c r="H1058" s="1463"/>
      <c r="I1058" s="1463"/>
      <c r="J1058" s="1463"/>
      <c r="K1058" s="1463"/>
      <c r="L1058" s="10"/>
    </row>
    <row r="1059" spans="2:12" ht="12.75" customHeight="1">
      <c r="B1059" s="10"/>
      <c r="C1059" s="1463"/>
      <c r="D1059" s="1463"/>
      <c r="E1059" s="1463"/>
      <c r="F1059" s="1463"/>
      <c r="G1059" s="1463"/>
      <c r="H1059" s="1463"/>
      <c r="I1059" s="1463"/>
      <c r="J1059" s="1463"/>
      <c r="K1059" s="1463"/>
      <c r="L1059" s="10"/>
    </row>
    <row r="1060" spans="2:12" ht="12.75" customHeight="1">
      <c r="B1060" s="10"/>
      <c r="C1060" s="1463"/>
      <c r="D1060" s="1463"/>
      <c r="E1060" s="1463"/>
      <c r="F1060" s="1463"/>
      <c r="G1060" s="1463"/>
      <c r="H1060" s="1463"/>
      <c r="I1060" s="1463"/>
      <c r="J1060" s="1463"/>
      <c r="K1060" s="1463"/>
      <c r="L1060" s="10"/>
    </row>
    <row r="1061" spans="2:12" ht="12.75" customHeight="1">
      <c r="B1061" s="10"/>
      <c r="C1061" s="1463"/>
      <c r="D1061" s="1463"/>
      <c r="E1061" s="1463"/>
      <c r="F1061" s="1463"/>
      <c r="G1061" s="1463"/>
      <c r="H1061" s="1463"/>
      <c r="I1061" s="1463"/>
      <c r="J1061" s="1463"/>
      <c r="K1061" s="1463"/>
      <c r="L1061" s="10"/>
    </row>
    <row r="1062" spans="2:12" ht="12.75" customHeight="1">
      <c r="B1062" s="10"/>
      <c r="C1062" s="607"/>
      <c r="D1062" s="607"/>
      <c r="E1062" s="607"/>
      <c r="F1062" s="607"/>
      <c r="G1062" s="607"/>
      <c r="H1062" s="607"/>
      <c r="I1062" s="607"/>
      <c r="J1062" s="607"/>
      <c r="K1062" s="607"/>
      <c r="L1062" s="10"/>
    </row>
    <row r="1063" spans="2:12" ht="12.75" customHeight="1">
      <c r="B1063" s="10"/>
      <c r="C1063" s="1463" t="s">
        <v>214</v>
      </c>
      <c r="D1063" s="1463"/>
      <c r="E1063" s="1463"/>
      <c r="F1063" s="1463"/>
      <c r="G1063" s="1463"/>
      <c r="H1063" s="1463"/>
      <c r="I1063" s="1463"/>
      <c r="J1063" s="1463"/>
      <c r="K1063" s="1463"/>
      <c r="L1063" s="10"/>
    </row>
    <row r="1064" spans="2:12" ht="12.75" customHeight="1">
      <c r="B1064" s="10"/>
      <c r="C1064" s="1463"/>
      <c r="D1064" s="1463"/>
      <c r="E1064" s="1463"/>
      <c r="F1064" s="1463"/>
      <c r="G1064" s="1463"/>
      <c r="H1064" s="1463"/>
      <c r="I1064" s="1463"/>
      <c r="J1064" s="1463"/>
      <c r="K1064" s="1463"/>
      <c r="L1064" s="10"/>
    </row>
    <row r="1065" spans="2:12" ht="12.75" customHeight="1">
      <c r="B1065" s="10"/>
      <c r="C1065" s="1463"/>
      <c r="D1065" s="1463"/>
      <c r="E1065" s="1463"/>
      <c r="F1065" s="1463"/>
      <c r="G1065" s="1463"/>
      <c r="H1065" s="1463"/>
      <c r="I1065" s="1463"/>
      <c r="J1065" s="1463"/>
      <c r="K1065" s="1463"/>
      <c r="L1065" s="10"/>
    </row>
    <row r="1066" spans="2:12" ht="12.75" customHeight="1">
      <c r="B1066" s="10"/>
      <c r="C1066" s="607"/>
      <c r="D1066" s="607"/>
      <c r="E1066" s="607"/>
      <c r="F1066" s="607"/>
      <c r="G1066" s="607"/>
      <c r="H1066" s="607"/>
      <c r="I1066" s="607"/>
      <c r="J1066" s="607"/>
      <c r="K1066" s="607"/>
      <c r="L1066" s="10"/>
    </row>
    <row r="1067" spans="2:12" ht="12.75" customHeight="1">
      <c r="B1067" s="10"/>
      <c r="C1067" s="1463" t="s">
        <v>111</v>
      </c>
      <c r="D1067" s="1463"/>
      <c r="E1067" s="1463"/>
      <c r="F1067" s="1463"/>
      <c r="G1067" s="1463"/>
      <c r="H1067" s="1463"/>
      <c r="I1067" s="1463"/>
      <c r="J1067" s="1463"/>
      <c r="K1067" s="1463"/>
      <c r="L1067" s="10"/>
    </row>
    <row r="1068" spans="2:12" ht="12.75" customHeight="1">
      <c r="B1068" s="10"/>
      <c r="C1068" s="1463"/>
      <c r="D1068" s="1463"/>
      <c r="E1068" s="1463"/>
      <c r="F1068" s="1463"/>
      <c r="G1068" s="1463"/>
      <c r="H1068" s="1463"/>
      <c r="I1068" s="1463"/>
      <c r="J1068" s="1463"/>
      <c r="K1068" s="1463"/>
      <c r="L1068" s="10"/>
    </row>
    <row r="1069" spans="2:12" ht="12.75" customHeight="1">
      <c r="B1069" s="10"/>
      <c r="C1069" s="607"/>
      <c r="D1069" s="607"/>
      <c r="E1069" s="607"/>
      <c r="F1069" s="607"/>
      <c r="G1069" s="607"/>
      <c r="H1069" s="607"/>
      <c r="I1069" s="607"/>
      <c r="J1069" s="607"/>
      <c r="K1069" s="607"/>
      <c r="L1069" s="10"/>
    </row>
    <row r="1070" spans="2:12" ht="12.75" customHeight="1">
      <c r="B1070" s="10"/>
      <c r="C1070" s="607"/>
      <c r="D1070" s="607"/>
      <c r="E1070" s="607"/>
      <c r="F1070" s="607"/>
      <c r="G1070" s="607"/>
      <c r="H1070" s="607"/>
      <c r="I1070" s="607"/>
      <c r="J1070" s="607"/>
      <c r="K1070" s="607"/>
      <c r="L1070" s="10"/>
    </row>
    <row r="1071" spans="2:12" ht="12.75" customHeight="1">
      <c r="B1071" s="10"/>
      <c r="C1071" s="607"/>
      <c r="D1071" s="607"/>
      <c r="E1071" s="607"/>
      <c r="F1071" s="607"/>
      <c r="G1071" s="607"/>
      <c r="H1071" s="607"/>
      <c r="I1071" s="607"/>
      <c r="J1071" s="607"/>
      <c r="K1071" s="607"/>
      <c r="L1071" s="10"/>
    </row>
    <row r="1072" spans="2:12" ht="12.75" customHeight="1">
      <c r="B1072" s="10"/>
      <c r="C1072" s="1240" t="s">
        <v>257</v>
      </c>
      <c r="D1072" s="1241"/>
      <c r="E1072" s="1241"/>
      <c r="F1072" s="1241"/>
      <c r="G1072" s="1241"/>
      <c r="H1072" s="1242"/>
      <c r="I1072" s="164">
        <f>'Compressor Input Data'!G5</f>
        <v>22800</v>
      </c>
      <c r="J1072" s="607"/>
      <c r="K1072" s="607"/>
      <c r="L1072" s="10"/>
    </row>
    <row r="1073" spans="2:12" ht="12.75" customHeight="1">
      <c r="B1073" s="10"/>
      <c r="C1073" s="1316" t="s">
        <v>395</v>
      </c>
      <c r="D1073" s="1318"/>
      <c r="E1073" s="198" t="s">
        <v>320</v>
      </c>
      <c r="F1073" s="1240" t="s">
        <v>318</v>
      </c>
      <c r="G1073" s="1241"/>
      <c r="H1073" s="1242"/>
      <c r="I1073" s="638">
        <f>'Compressor Input Data'!G7</f>
        <v>0.19</v>
      </c>
      <c r="J1073" s="10"/>
      <c r="K1073" s="607"/>
      <c r="L1073" s="10"/>
    </row>
    <row r="1074" spans="2:12" ht="12.75" customHeight="1">
      <c r="B1074" s="10"/>
      <c r="C1074" s="1319"/>
      <c r="D1074" s="1321"/>
      <c r="E1074" s="198" t="s">
        <v>321</v>
      </c>
      <c r="F1074" s="1240" t="s">
        <v>319</v>
      </c>
      <c r="G1074" s="1241"/>
      <c r="H1074" s="1242"/>
      <c r="I1074" s="638">
        <f>'Compressor Input Data'!G8</f>
        <v>0.33</v>
      </c>
      <c r="J1074" s="607"/>
      <c r="K1074" s="607"/>
      <c r="L1074" s="10"/>
    </row>
    <row r="1075" spans="2:12" ht="12.75" customHeight="1">
      <c r="B1075" s="10"/>
      <c r="C1075" s="1316" t="s">
        <v>112</v>
      </c>
      <c r="D1075" s="1317"/>
      <c r="E1075" s="1318"/>
      <c r="F1075" s="1446" t="s">
        <v>500</v>
      </c>
      <c r="G1075" s="1465" t="s">
        <v>22</v>
      </c>
      <c r="H1075" s="1465" t="s">
        <v>579</v>
      </c>
      <c r="I1075" s="1465" t="s">
        <v>21</v>
      </c>
      <c r="J1075" s="10"/>
      <c r="K1075" s="607"/>
      <c r="L1075" s="10"/>
    </row>
    <row r="1076" spans="2:12" ht="12.75" customHeight="1">
      <c r="B1076" s="10"/>
      <c r="C1076" s="1319"/>
      <c r="D1076" s="1320"/>
      <c r="E1076" s="1321"/>
      <c r="F1076" s="1447"/>
      <c r="G1076" s="1466"/>
      <c r="H1076" s="1466"/>
      <c r="I1076" s="1466"/>
      <c r="J1076" s="10"/>
      <c r="K1076" s="607"/>
      <c r="L1076" s="10"/>
    </row>
    <row r="1077" spans="2:12" ht="12.75" customHeight="1">
      <c r="B1077" s="10"/>
      <c r="C1077" s="1441" t="s">
        <v>555</v>
      </c>
      <c r="D1077" s="1441"/>
      <c r="E1077" s="1441"/>
      <c r="F1077" s="1448"/>
      <c r="G1077" s="154">
        <f>I1077</f>
        <v>22800</v>
      </c>
      <c r="H1077" s="154">
        <f>I1077</f>
        <v>22800</v>
      </c>
      <c r="I1077" s="154">
        <f>I1072</f>
        <v>22800</v>
      </c>
      <c r="J1077" s="10"/>
      <c r="K1077" s="607"/>
      <c r="L1077" s="10"/>
    </row>
    <row r="1078" spans="2:12" ht="12.75" customHeight="1">
      <c r="B1078" s="10"/>
      <c r="C1078" s="1441" t="s">
        <v>549</v>
      </c>
      <c r="D1078" s="1441"/>
      <c r="E1078" s="1441"/>
      <c r="F1078" s="1449"/>
      <c r="G1078" s="154">
        <f>I1078</f>
        <v>24</v>
      </c>
      <c r="H1078" s="154">
        <f>G1078</f>
        <v>24</v>
      </c>
      <c r="I1078" s="154">
        <v>24</v>
      </c>
      <c r="J1078" s="10"/>
      <c r="K1078" s="607"/>
      <c r="L1078" s="10"/>
    </row>
    <row r="1079" spans="2:12" ht="12.75" customHeight="1">
      <c r="B1079" s="10"/>
      <c r="C1079" s="1244" t="s">
        <v>556</v>
      </c>
      <c r="D1079" s="1245"/>
      <c r="E1079" s="1246"/>
      <c r="F1079" s="155">
        <f>'Working Master '!U62</f>
        <v>2.6666666666666665</v>
      </c>
      <c r="G1079" s="155">
        <f>'Working Master '!V62</f>
        <v>1.9999999999999996</v>
      </c>
      <c r="H1079" s="155">
        <f>'Working Master '!W62</f>
        <v>1.7391304347826084</v>
      </c>
      <c r="I1079" s="155">
        <f>'Working Master '!X62</f>
        <v>1.4285714285714284</v>
      </c>
      <c r="J1079" s="10"/>
      <c r="K1079" s="607"/>
      <c r="L1079" s="10"/>
    </row>
    <row r="1080" spans="2:12" ht="12.75" customHeight="1">
      <c r="B1080" s="10"/>
      <c r="C1080" s="1441" t="s">
        <v>575</v>
      </c>
      <c r="D1080" s="1441"/>
      <c r="E1080" s="1441"/>
      <c r="F1080" s="156">
        <f>H1080</f>
        <v>0.22500000000000001</v>
      </c>
      <c r="G1080" s="156">
        <f>I1080</f>
        <v>0.22500000000000001</v>
      </c>
      <c r="H1080" s="156">
        <f>G1080</f>
        <v>0.22500000000000001</v>
      </c>
      <c r="I1080" s="156">
        <f>((I1073*9)+(I1074*3))/12</f>
        <v>0.22500000000000001</v>
      </c>
      <c r="J1080" s="10"/>
      <c r="K1080" s="607"/>
      <c r="L1080" s="10"/>
    </row>
    <row r="1081" spans="2:12" ht="12.75" customHeight="1">
      <c r="B1081" s="10"/>
      <c r="C1081" s="1454" t="s">
        <v>113</v>
      </c>
      <c r="D1081" s="1455"/>
      <c r="E1081" s="1455"/>
      <c r="F1081" s="1455"/>
      <c r="G1081" s="1455"/>
      <c r="H1081" s="1455"/>
      <c r="I1081" s="1456"/>
      <c r="J1081" s="607"/>
      <c r="K1081" s="607"/>
      <c r="L1081" s="10"/>
    </row>
    <row r="1082" spans="2:12" ht="12.75" customHeight="1">
      <c r="B1082" s="10"/>
      <c r="C1082" s="1457"/>
      <c r="D1082" s="1458"/>
      <c r="E1082" s="1458"/>
      <c r="F1082" s="1458"/>
      <c r="G1082" s="1458"/>
      <c r="H1082" s="1458"/>
      <c r="I1082" s="1459"/>
      <c r="J1082" s="607"/>
      <c r="K1082" s="607"/>
      <c r="L1082" s="10"/>
    </row>
    <row r="1083" spans="2:12" ht="12.75" customHeight="1">
      <c r="B1083" s="10"/>
      <c r="C1083" s="1441" t="s">
        <v>554</v>
      </c>
      <c r="D1083" s="1441"/>
      <c r="E1083" s="1441"/>
      <c r="F1083" s="1460"/>
      <c r="G1083" s="639">
        <f>I1083</f>
        <v>1</v>
      </c>
      <c r="H1083" s="640">
        <f>G1083</f>
        <v>1</v>
      </c>
      <c r="I1083" s="640">
        <f>'Compressor Input Data'!J20</f>
        <v>1</v>
      </c>
      <c r="J1083" s="607"/>
      <c r="K1083" s="607"/>
      <c r="L1083" s="10"/>
    </row>
    <row r="1084" spans="2:12" ht="12.75" customHeight="1">
      <c r="B1084" s="10"/>
      <c r="C1084" s="1236" t="s">
        <v>551</v>
      </c>
      <c r="D1084" s="1237"/>
      <c r="E1084" s="1238"/>
      <c r="F1084" s="1461"/>
      <c r="G1084" s="157">
        <f>G1079/G1078</f>
        <v>8.3333333333333315E-2</v>
      </c>
      <c r="H1084" s="157">
        <f>H1079/H1078</f>
        <v>7.2463768115942018E-2</v>
      </c>
      <c r="I1084" s="157">
        <f>I1079/I1078</f>
        <v>5.9523809523809514E-2</v>
      </c>
      <c r="J1084" s="10"/>
      <c r="K1084" s="607"/>
      <c r="L1084" s="10"/>
    </row>
    <row r="1085" spans="2:12" ht="12.75" customHeight="1">
      <c r="B1085" s="10"/>
      <c r="C1085" s="1441" t="s">
        <v>552</v>
      </c>
      <c r="D1085" s="1441"/>
      <c r="E1085" s="1441"/>
      <c r="F1085" s="1462"/>
      <c r="G1085" s="158">
        <f>I1085</f>
        <v>0.6</v>
      </c>
      <c r="H1085" s="158">
        <f>G1085</f>
        <v>0.6</v>
      </c>
      <c r="I1085" s="158">
        <f>'Compressor Input Data'!J22</f>
        <v>0.6</v>
      </c>
      <c r="J1085" s="607"/>
      <c r="K1085" s="607"/>
      <c r="L1085" s="10"/>
    </row>
    <row r="1086" spans="2:12" ht="12.75" customHeight="1">
      <c r="B1086" s="10"/>
      <c r="C1086" s="1454" t="s">
        <v>114</v>
      </c>
      <c r="D1086" s="1455"/>
      <c r="E1086" s="1455"/>
      <c r="F1086" s="1455"/>
      <c r="G1086" s="1455"/>
      <c r="H1086" s="1455"/>
      <c r="I1086" s="1456"/>
      <c r="J1086" s="607"/>
      <c r="K1086" s="607"/>
      <c r="L1086" s="10"/>
    </row>
    <row r="1087" spans="2:12" ht="12.75" customHeight="1">
      <c r="B1087" s="10"/>
      <c r="C1087" s="1457"/>
      <c r="D1087" s="1458"/>
      <c r="E1087" s="1458"/>
      <c r="F1087" s="1458"/>
      <c r="G1087" s="1458"/>
      <c r="H1087" s="1458"/>
      <c r="I1087" s="1459"/>
      <c r="J1087" s="607"/>
      <c r="K1087" s="607"/>
      <c r="L1087" s="10"/>
    </row>
    <row r="1088" spans="2:12" ht="12.75" customHeight="1">
      <c r="B1088" s="10"/>
      <c r="C1088" s="1441" t="s">
        <v>554</v>
      </c>
      <c r="D1088" s="1441"/>
      <c r="E1088" s="1441"/>
      <c r="F1088" s="1460"/>
      <c r="G1088" s="158">
        <f>I1088</f>
        <v>0.5</v>
      </c>
      <c r="H1088" s="158">
        <f>G1088</f>
        <v>0.5</v>
      </c>
      <c r="I1088" s="158">
        <f>'Compressor Input Data'!J25</f>
        <v>0.5</v>
      </c>
      <c r="J1088" s="607"/>
      <c r="K1088" s="607"/>
      <c r="L1088" s="10"/>
    </row>
    <row r="1089" spans="2:12" ht="12.75" customHeight="1">
      <c r="B1089" s="10"/>
      <c r="C1089" s="1236" t="s">
        <v>551</v>
      </c>
      <c r="D1089" s="1237"/>
      <c r="E1089" s="1238"/>
      <c r="F1089" s="1461"/>
      <c r="G1089" s="158">
        <f>100%-G1084</f>
        <v>0.91666666666666674</v>
      </c>
      <c r="H1089" s="158">
        <f>100%-H1084</f>
        <v>0.92753623188405798</v>
      </c>
      <c r="I1089" s="158">
        <f>100%-I1084</f>
        <v>0.94047619047619047</v>
      </c>
      <c r="J1089" s="607"/>
      <c r="K1089" s="607"/>
      <c r="L1089" s="10"/>
    </row>
    <row r="1090" spans="2:12" ht="12.75" customHeight="1">
      <c r="B1090" s="10"/>
      <c r="C1090" s="1441" t="s">
        <v>552</v>
      </c>
      <c r="D1090" s="1441"/>
      <c r="E1090" s="1441"/>
      <c r="F1090" s="1462"/>
      <c r="G1090" s="158">
        <f>I1090</f>
        <v>0.6</v>
      </c>
      <c r="H1090" s="158">
        <f>G1090</f>
        <v>0.6</v>
      </c>
      <c r="I1090" s="158">
        <f>'Compressor Input Data'!J27</f>
        <v>0.6</v>
      </c>
      <c r="J1090" s="607"/>
      <c r="K1090" s="607"/>
      <c r="L1090" s="10"/>
    </row>
    <row r="1091" spans="2:12" ht="12.75" customHeight="1">
      <c r="B1091" s="10"/>
      <c r="C1091" s="1442" t="s">
        <v>458</v>
      </c>
      <c r="D1091" s="1442"/>
      <c r="E1091" s="1442"/>
      <c r="F1091" s="1442"/>
      <c r="G1091" s="1442"/>
      <c r="H1091" s="1442"/>
      <c r="I1091" s="1442"/>
      <c r="J1091" s="607"/>
      <c r="K1091" s="607"/>
      <c r="L1091" s="10"/>
    </row>
    <row r="1092" spans="2:12" ht="12.75" customHeight="1">
      <c r="B1092" s="10"/>
      <c r="C1092" s="1442"/>
      <c r="D1092" s="1442"/>
      <c r="E1092" s="1442"/>
      <c r="F1092" s="1442"/>
      <c r="G1092" s="1442"/>
      <c r="H1092" s="1442"/>
      <c r="I1092" s="1442"/>
      <c r="J1092" s="607"/>
      <c r="K1092" s="607"/>
      <c r="L1092" s="10"/>
    </row>
    <row r="1093" spans="2:12" ht="12.75" customHeight="1">
      <c r="B1093" s="10"/>
      <c r="C1093" s="1239" t="s">
        <v>456</v>
      </c>
      <c r="D1093" s="1239"/>
      <c r="E1093" s="1239"/>
      <c r="F1093" s="1443">
        <f>'Working Master '!U185</f>
        <v>211.20000000000002</v>
      </c>
      <c r="G1093" s="642">
        <f>(G1077*G1078*G1084*G1083*G1080)/G1085</f>
        <v>17099.999999999996</v>
      </c>
      <c r="H1093" s="642">
        <f>(H1077*H1078*H1084*H1083*H1080)/H1085</f>
        <v>14869.565217391304</v>
      </c>
      <c r="I1093" s="642">
        <f>(I1077*I1078*I1084*I1083*I1080)/I1085</f>
        <v>12214.285714285714</v>
      </c>
      <c r="J1093" s="10"/>
      <c r="K1093" s="607"/>
      <c r="L1093" s="10"/>
    </row>
    <row r="1094" spans="2:12" ht="12.75" customHeight="1">
      <c r="B1094" s="10"/>
      <c r="C1094" s="1239" t="s">
        <v>457</v>
      </c>
      <c r="D1094" s="1239"/>
      <c r="E1094" s="1239"/>
      <c r="F1094" s="1443"/>
      <c r="G1094" s="642">
        <f>(G1077*G1078*G1080*G1088*G1089)/G1090</f>
        <v>94050.000000000015</v>
      </c>
      <c r="H1094" s="642">
        <f>(H1077*H1078*H1080*H1088*H1089)/H1090</f>
        <v>95165.217391304352</v>
      </c>
      <c r="I1094" s="642">
        <f>(I1077*I1078*I1080*I1088*I1089)/I1090</f>
        <v>96492.857142857145</v>
      </c>
      <c r="J1094" s="10"/>
      <c r="K1094" s="607"/>
      <c r="L1094" s="10"/>
    </row>
    <row r="1095" spans="2:12" ht="12.75" customHeight="1">
      <c r="B1095" s="10"/>
      <c r="C1095" s="1442" t="s">
        <v>460</v>
      </c>
      <c r="D1095" s="1442"/>
      <c r="E1095" s="1442"/>
      <c r="F1095" s="1442"/>
      <c r="G1095" s="1442"/>
      <c r="H1095" s="1442"/>
      <c r="I1095" s="1442"/>
      <c r="J1095" s="607"/>
      <c r="K1095" s="607"/>
      <c r="L1095" s="10"/>
    </row>
    <row r="1096" spans="2:12" ht="12.75" customHeight="1">
      <c r="B1096" s="10"/>
      <c r="C1096" s="1442"/>
      <c r="D1096" s="1442"/>
      <c r="E1096" s="1442"/>
      <c r="F1096" s="1442"/>
      <c r="G1096" s="1442"/>
      <c r="H1096" s="1442"/>
      <c r="I1096" s="1442"/>
      <c r="J1096" s="607"/>
      <c r="K1096" s="607"/>
      <c r="L1096" s="10"/>
    </row>
    <row r="1097" spans="2:12" ht="12.75" customHeight="1">
      <c r="B1097" s="10"/>
      <c r="C1097" s="1239" t="s">
        <v>456</v>
      </c>
      <c r="D1097" s="1239"/>
      <c r="E1097" s="1239"/>
      <c r="F1097" s="1443">
        <f>F1093*$I$371</f>
        <v>4857.6000000000004</v>
      </c>
      <c r="G1097" s="642">
        <f>G1093*$I$371</f>
        <v>393299.99999999994</v>
      </c>
      <c r="H1097" s="642">
        <f>H1093*$I$371</f>
        <v>342000</v>
      </c>
      <c r="I1097" s="642">
        <f>I1093*$I$371</f>
        <v>280928.57142857142</v>
      </c>
      <c r="J1097" s="10"/>
      <c r="K1097" s="607"/>
      <c r="L1097" s="10"/>
    </row>
    <row r="1098" spans="2:12" ht="12.75" customHeight="1">
      <c r="B1098" s="10"/>
      <c r="C1098" s="1239" t="s">
        <v>457</v>
      </c>
      <c r="D1098" s="1239"/>
      <c r="E1098" s="1239"/>
      <c r="F1098" s="1443"/>
      <c r="G1098" s="642">
        <f>G1094*$I$371</f>
        <v>2163150.0000000005</v>
      </c>
      <c r="H1098" s="642">
        <f>H1094*$I$371</f>
        <v>2188800</v>
      </c>
      <c r="I1098" s="642">
        <f>I1094*$I$371</f>
        <v>2219335.7142857146</v>
      </c>
      <c r="J1098" s="10"/>
      <c r="K1098" s="607"/>
      <c r="L1098" s="10"/>
    </row>
    <row r="1099" spans="2:12" ht="12.75" customHeight="1">
      <c r="B1099" s="10"/>
      <c r="C1099" s="1442" t="s">
        <v>115</v>
      </c>
      <c r="D1099" s="1442"/>
      <c r="E1099" s="1442"/>
      <c r="F1099" s="1442"/>
      <c r="G1099" s="1442"/>
      <c r="H1099" s="1442"/>
      <c r="I1099" s="1442"/>
      <c r="J1099" s="607"/>
      <c r="K1099" s="607"/>
      <c r="L1099" s="10"/>
    </row>
    <row r="1100" spans="2:12" ht="12.75" customHeight="1">
      <c r="B1100" s="10"/>
      <c r="C1100" s="1442"/>
      <c r="D1100" s="1442"/>
      <c r="E1100" s="1442"/>
      <c r="F1100" s="1442"/>
      <c r="G1100" s="1442"/>
      <c r="H1100" s="1442"/>
      <c r="I1100" s="1442"/>
      <c r="J1100" s="607"/>
      <c r="K1100" s="607"/>
      <c r="L1100" s="10"/>
    </row>
    <row r="1101" spans="2:12" ht="12.75" customHeight="1">
      <c r="B1101" s="10"/>
      <c r="C1101" s="1239" t="s">
        <v>456</v>
      </c>
      <c r="D1101" s="1239"/>
      <c r="E1101" s="1239"/>
      <c r="F1101" s="1443">
        <f>F1097*12</f>
        <v>58291.200000000004</v>
      </c>
      <c r="G1101" s="642">
        <f>G1097*12</f>
        <v>4719599.9999999991</v>
      </c>
      <c r="H1101" s="642">
        <f>H1097*12</f>
        <v>4104000</v>
      </c>
      <c r="I1101" s="642">
        <f>I1097*12</f>
        <v>3371142.8571428573</v>
      </c>
      <c r="J1101" s="10"/>
      <c r="K1101" s="607"/>
      <c r="L1101" s="10"/>
    </row>
    <row r="1102" spans="2:12" ht="12.75" customHeight="1">
      <c r="B1102" s="10"/>
      <c r="C1102" s="1239" t="s">
        <v>457</v>
      </c>
      <c r="D1102" s="1239"/>
      <c r="E1102" s="1239"/>
      <c r="F1102" s="1443"/>
      <c r="G1102" s="642">
        <f>(G1098*12)</f>
        <v>25957800.000000007</v>
      </c>
      <c r="H1102" s="642">
        <f>(H1098*12)</f>
        <v>26265600</v>
      </c>
      <c r="I1102" s="642">
        <f>(I1098*12)</f>
        <v>26632028.571428575</v>
      </c>
      <c r="J1102" s="10"/>
      <c r="K1102" s="607"/>
      <c r="L1102" s="10"/>
    </row>
    <row r="1103" spans="2:12" ht="12.75" customHeight="1">
      <c r="B1103" s="10"/>
      <c r="C1103" s="1450" t="s">
        <v>116</v>
      </c>
      <c r="D1103" s="1451"/>
      <c r="E1103" s="1451"/>
      <c r="F1103" s="1451"/>
      <c r="G1103" s="1451"/>
      <c r="H1103" s="1451"/>
      <c r="I1103" s="1451"/>
      <c r="J1103" s="607"/>
      <c r="K1103" s="607"/>
      <c r="L1103" s="10"/>
    </row>
    <row r="1104" spans="2:12" ht="12.75" customHeight="1">
      <c r="B1104" s="10"/>
      <c r="C1104" s="1452"/>
      <c r="D1104" s="1453"/>
      <c r="E1104" s="1453"/>
      <c r="F1104" s="1453"/>
      <c r="G1104" s="1453"/>
      <c r="H1104" s="1453"/>
      <c r="I1104" s="1453"/>
      <c r="J1104" s="607"/>
      <c r="K1104" s="607"/>
      <c r="L1104" s="10"/>
    </row>
    <row r="1105" spans="2:12" ht="12.75" customHeight="1">
      <c r="B1105" s="10"/>
      <c r="C1105" s="1244" t="s">
        <v>459</v>
      </c>
      <c r="D1105" s="1245"/>
      <c r="E1105" s="1246"/>
      <c r="F1105" s="642">
        <f>F1093</f>
        <v>211.20000000000002</v>
      </c>
      <c r="G1105" s="642">
        <f>G1093+G1094</f>
        <v>111150.00000000001</v>
      </c>
      <c r="H1105" s="642">
        <f>H1093+H1094</f>
        <v>110034.78260869565</v>
      </c>
      <c r="I1105" s="642">
        <f>I1093+I1094</f>
        <v>108707.14285714286</v>
      </c>
      <c r="J1105" s="10"/>
      <c r="K1105" s="607"/>
      <c r="L1105" s="10"/>
    </row>
    <row r="1106" spans="2:12" ht="12.75" customHeight="1">
      <c r="B1106" s="10"/>
      <c r="C1106" s="1441" t="s">
        <v>307</v>
      </c>
      <c r="D1106" s="1441"/>
      <c r="E1106" s="1441"/>
      <c r="F1106" s="642">
        <f>F1105*$I$371</f>
        <v>4857.6000000000004</v>
      </c>
      <c r="G1106" s="642">
        <f>G1105*$I$371</f>
        <v>2556450.0000000005</v>
      </c>
      <c r="H1106" s="642">
        <f>H1105*$I$371</f>
        <v>2530800</v>
      </c>
      <c r="I1106" s="642">
        <f>I1105*$I$371</f>
        <v>2500264.2857142854</v>
      </c>
      <c r="J1106" s="10"/>
      <c r="K1106" s="607"/>
      <c r="L1106" s="10"/>
    </row>
    <row r="1107" spans="2:12" ht="12.75" customHeight="1">
      <c r="B1107" s="10"/>
      <c r="C1107" s="1441" t="s">
        <v>308</v>
      </c>
      <c r="D1107" s="1441"/>
      <c r="E1107" s="1441"/>
      <c r="F1107" s="642">
        <f>(F1106*12)</f>
        <v>58291.200000000004</v>
      </c>
      <c r="G1107" s="642">
        <f>(G1106*12)</f>
        <v>30677400.000000007</v>
      </c>
      <c r="H1107" s="642">
        <f>(H1106*12)</f>
        <v>30369600</v>
      </c>
      <c r="I1107" s="642">
        <f>(I1106*12)</f>
        <v>30003171.428571425</v>
      </c>
      <c r="J1107" s="10"/>
      <c r="K1107" s="607"/>
      <c r="L1107" s="10"/>
    </row>
    <row r="1108" spans="2:12" ht="12.75" customHeight="1">
      <c r="B1108" s="10"/>
      <c r="C1108" s="628"/>
      <c r="D1108" s="628"/>
      <c r="E1108" s="628"/>
      <c r="F1108" s="643"/>
      <c r="G1108" s="643"/>
      <c r="H1108" s="643"/>
      <c r="I1108" s="643"/>
      <c r="J1108" s="607"/>
      <c r="K1108" s="607"/>
      <c r="L1108" s="10"/>
    </row>
    <row r="1109" spans="2:12" ht="12.75" customHeight="1">
      <c r="B1109" s="10"/>
      <c r="C1109" s="628"/>
      <c r="D1109" s="628"/>
      <c r="E1109" s="628"/>
      <c r="F1109" s="643"/>
      <c r="G1109" s="643"/>
      <c r="H1109" s="643"/>
      <c r="I1109" s="643"/>
      <c r="J1109" s="607"/>
      <c r="K1109" s="607"/>
      <c r="L1109" s="10"/>
    </row>
    <row r="1110" spans="2:12" ht="12.75" customHeight="1">
      <c r="B1110" s="10"/>
      <c r="C1110" s="607"/>
      <c r="D1110" s="607"/>
      <c r="E1110" s="607"/>
      <c r="F1110" s="607"/>
      <c r="G1110" s="607"/>
      <c r="H1110" s="607"/>
      <c r="I1110" s="607"/>
      <c r="J1110" s="607"/>
      <c r="K1110" s="607"/>
      <c r="L1110" s="10"/>
    </row>
    <row r="1111" spans="2:12" ht="12.75" customHeight="1">
      <c r="B1111" s="10"/>
      <c r="C1111" s="607"/>
      <c r="D1111" s="607"/>
      <c r="E1111" s="607"/>
      <c r="F1111" s="607"/>
      <c r="G1111" s="607"/>
      <c r="H1111" s="607"/>
      <c r="I1111" s="607"/>
      <c r="J1111" s="607"/>
      <c r="K1111" s="607"/>
      <c r="L1111" s="10"/>
    </row>
    <row r="1112" spans="2:12" ht="12.75" customHeight="1">
      <c r="B1112" s="10"/>
      <c r="C1112" s="607"/>
      <c r="D1112" s="607"/>
      <c r="E1112" s="607"/>
      <c r="F1112" s="607"/>
      <c r="G1112" s="607"/>
      <c r="H1112" s="607"/>
      <c r="I1112" s="607"/>
      <c r="J1112" s="607"/>
      <c r="K1112" s="607"/>
      <c r="L1112" s="10"/>
    </row>
    <row r="1113" spans="2:12" ht="12.75" customHeight="1">
      <c r="B1113" s="10"/>
      <c r="C1113" s="607"/>
      <c r="D1113" s="607"/>
      <c r="E1113" s="607"/>
      <c r="F1113" s="607"/>
      <c r="G1113" s="607"/>
      <c r="H1113" s="607"/>
      <c r="I1113" s="607"/>
      <c r="J1113" s="607"/>
      <c r="K1113" s="607"/>
      <c r="L1113" s="10"/>
    </row>
    <row r="1114" spans="2:12" ht="12.75" customHeight="1">
      <c r="B1114" s="10"/>
      <c r="C1114" s="607"/>
      <c r="D1114" s="607"/>
      <c r="E1114" s="607"/>
      <c r="F1114" s="607"/>
      <c r="G1114" s="607"/>
      <c r="H1114" s="607"/>
      <c r="I1114" s="607"/>
      <c r="J1114" s="607"/>
      <c r="K1114" s="607"/>
      <c r="L1114" s="10"/>
    </row>
    <row r="1115" spans="2:12" ht="12.75" customHeight="1">
      <c r="B1115" s="10"/>
      <c r="C1115" s="607"/>
      <c r="D1115" s="607"/>
      <c r="E1115" s="607"/>
      <c r="F1115" s="607"/>
      <c r="G1115" s="607"/>
      <c r="H1115" s="607"/>
      <c r="I1115" s="607"/>
      <c r="J1115" s="607"/>
      <c r="K1115" s="607"/>
      <c r="L1115" s="10"/>
    </row>
    <row r="1116" spans="2:12" ht="12.75" customHeight="1">
      <c r="B1116" s="10"/>
      <c r="C1116" s="607"/>
      <c r="D1116" s="607"/>
      <c r="E1116" s="607"/>
      <c r="F1116" s="607"/>
      <c r="G1116" s="607"/>
      <c r="H1116" s="607"/>
      <c r="I1116" s="607"/>
      <c r="J1116" s="607"/>
      <c r="K1116" s="607"/>
      <c r="L1116" s="10"/>
    </row>
    <row r="1117" spans="2:12" ht="12.75" customHeight="1">
      <c r="B1117" s="10"/>
      <c r="C1117" s="607"/>
      <c r="D1117" s="607"/>
      <c r="E1117" s="607"/>
      <c r="F1117" s="607"/>
      <c r="G1117" s="607"/>
      <c r="H1117" s="607"/>
      <c r="I1117" s="607"/>
      <c r="J1117" s="607"/>
      <c r="K1117" s="607"/>
      <c r="L1117" s="10"/>
    </row>
    <row r="1118" spans="2:12" ht="12.75" customHeight="1">
      <c r="B1118" s="10"/>
      <c r="C1118" s="607"/>
      <c r="D1118" s="607"/>
      <c r="E1118" s="607"/>
      <c r="F1118" s="607"/>
      <c r="G1118" s="607"/>
      <c r="H1118" s="607"/>
      <c r="I1118" s="607"/>
      <c r="J1118" s="607"/>
      <c r="K1118" s="607"/>
      <c r="L1118" s="10"/>
    </row>
    <row r="1119" spans="2:12" ht="12.75" customHeight="1">
      <c r="B1119" s="10"/>
      <c r="C1119" s="607"/>
      <c r="D1119" s="607"/>
      <c r="E1119" s="607"/>
      <c r="F1119" s="607"/>
      <c r="G1119" s="607"/>
      <c r="H1119" s="607"/>
      <c r="I1119" s="607"/>
      <c r="J1119" s="607"/>
      <c r="K1119" s="607"/>
      <c r="L1119" s="10"/>
    </row>
    <row r="1120" spans="2:12" ht="12.75" customHeight="1">
      <c r="B1120" s="10"/>
      <c r="C1120" s="607"/>
      <c r="D1120" s="607"/>
      <c r="E1120" s="607"/>
      <c r="F1120" s="607"/>
      <c r="G1120" s="607"/>
      <c r="H1120" s="607"/>
      <c r="I1120" s="607"/>
      <c r="J1120" s="607"/>
      <c r="K1120" s="607"/>
      <c r="L1120" s="10"/>
    </row>
    <row r="1121" spans="2:12" ht="12.75" customHeight="1">
      <c r="B1121" s="10"/>
      <c r="C1121" s="607"/>
      <c r="D1121" s="607"/>
      <c r="E1121" s="607"/>
      <c r="F1121" s="607"/>
      <c r="G1121" s="607"/>
      <c r="H1121" s="607"/>
      <c r="I1121" s="607"/>
      <c r="J1121" s="607"/>
      <c r="K1121" s="607"/>
      <c r="L1121" s="10"/>
    </row>
    <row r="1122" spans="2:12" ht="12.75" customHeight="1">
      <c r="B1122" s="10"/>
      <c r="C1122" s="607"/>
      <c r="D1122" s="607"/>
      <c r="E1122" s="607"/>
      <c r="F1122" s="607"/>
      <c r="G1122" s="607"/>
      <c r="H1122" s="607"/>
      <c r="I1122" s="607"/>
      <c r="J1122" s="607"/>
      <c r="K1122" s="607"/>
      <c r="L1122" s="10"/>
    </row>
    <row r="1123" spans="2:12" ht="12.75" customHeight="1">
      <c r="B1123" s="10"/>
      <c r="C1123" s="607"/>
      <c r="D1123" s="607"/>
      <c r="E1123" s="607"/>
      <c r="F1123" s="607"/>
      <c r="G1123" s="607"/>
      <c r="H1123" s="607"/>
      <c r="I1123" s="607"/>
      <c r="J1123" s="607"/>
      <c r="K1123" s="607"/>
      <c r="L1123" s="10"/>
    </row>
    <row r="1124" spans="2:12" ht="12.75" customHeight="1">
      <c r="B1124" s="10"/>
      <c r="C1124" s="607"/>
      <c r="D1124" s="607"/>
      <c r="E1124" s="607"/>
      <c r="F1124" s="607"/>
      <c r="G1124" s="607"/>
      <c r="H1124" s="607"/>
      <c r="I1124" s="607"/>
      <c r="J1124" s="607"/>
      <c r="K1124" s="607"/>
      <c r="L1124" s="10"/>
    </row>
    <row r="1125" spans="2:12" ht="12.75" customHeight="1">
      <c r="B1125" s="10"/>
      <c r="C1125" s="607"/>
      <c r="D1125" s="607"/>
      <c r="E1125" s="607"/>
      <c r="F1125" s="607"/>
      <c r="G1125" s="607"/>
      <c r="H1125" s="607"/>
      <c r="I1125" s="607"/>
      <c r="J1125" s="607"/>
      <c r="K1125" s="607"/>
      <c r="L1125" s="10"/>
    </row>
    <row r="1126" spans="2:12" ht="12.75" customHeight="1">
      <c r="B1126" s="10"/>
      <c r="C1126" s="607"/>
      <c r="D1126" s="607"/>
      <c r="E1126" s="607"/>
      <c r="F1126" s="607"/>
      <c r="G1126" s="607"/>
      <c r="H1126" s="607"/>
      <c r="I1126" s="607"/>
      <c r="J1126" s="607"/>
      <c r="K1126" s="607"/>
      <c r="L1126" s="10"/>
    </row>
    <row r="1127" spans="2:12" ht="12.75" customHeight="1">
      <c r="B1127" s="10"/>
      <c r="C1127" s="607"/>
      <c r="D1127" s="607"/>
      <c r="E1127" s="607"/>
      <c r="F1127" s="607"/>
      <c r="G1127" s="607"/>
      <c r="H1127" s="607"/>
      <c r="I1127" s="607"/>
      <c r="J1127" s="607"/>
      <c r="K1127" s="607"/>
      <c r="L1127" s="10"/>
    </row>
    <row r="1128" spans="2:12" ht="12.75" customHeight="1">
      <c r="B1128" s="10"/>
      <c r="C1128" s="607"/>
      <c r="D1128" s="607"/>
      <c r="E1128" s="607"/>
      <c r="F1128" s="607"/>
      <c r="G1128" s="607"/>
      <c r="H1128" s="607"/>
      <c r="I1128" s="607"/>
      <c r="J1128" s="607"/>
      <c r="K1128" s="607"/>
      <c r="L1128" s="10"/>
    </row>
    <row r="1129" spans="2:12" ht="12.75" customHeight="1">
      <c r="B1129" s="10"/>
      <c r="C1129" s="1440" t="s">
        <v>117</v>
      </c>
      <c r="D1129" s="1440"/>
      <c r="E1129" s="1440"/>
      <c r="F1129" s="1440"/>
      <c r="G1129" s="1440"/>
      <c r="H1129" s="1440"/>
      <c r="I1129" s="1440"/>
      <c r="J1129" s="1440"/>
      <c r="K1129" s="1440"/>
      <c r="L1129" s="10"/>
    </row>
    <row r="1130" spans="2:12" ht="12.75" customHeight="1">
      <c r="B1130" s="10"/>
      <c r="C1130" s="607"/>
      <c r="D1130" s="607"/>
      <c r="E1130" s="607"/>
      <c r="F1130" s="607"/>
      <c r="G1130" s="607"/>
      <c r="H1130" s="607"/>
      <c r="I1130" s="607"/>
      <c r="J1130" s="607"/>
      <c r="K1130" s="607"/>
      <c r="L1130" s="10"/>
    </row>
    <row r="1131" spans="2:12" ht="12.75" customHeight="1">
      <c r="B1131" s="10"/>
      <c r="C1131" s="607"/>
      <c r="D1131" s="607"/>
      <c r="E1131" s="607"/>
      <c r="F1131" s="607"/>
      <c r="G1131" s="607"/>
      <c r="H1131" s="607"/>
      <c r="I1131" s="607"/>
      <c r="J1131" s="607"/>
      <c r="K1131" s="607"/>
      <c r="L1131" s="10"/>
    </row>
    <row r="1132" spans="2:12" ht="12.75" customHeight="1">
      <c r="B1132" s="10"/>
      <c r="C1132" s="10"/>
      <c r="D1132" s="10"/>
      <c r="E1132" s="10"/>
      <c r="F1132" s="10"/>
      <c r="G1132" s="10"/>
      <c r="H1132" s="10"/>
      <c r="I1132" s="10"/>
      <c r="J1132" s="10"/>
      <c r="K1132" s="10"/>
      <c r="L1132" s="10"/>
    </row>
    <row r="1133" spans="2:12" ht="12.75" customHeight="1">
      <c r="B1133" s="10"/>
      <c r="C1133" s="607"/>
      <c r="D1133" s="607"/>
      <c r="E1133" s="607"/>
      <c r="F1133" s="607"/>
      <c r="G1133" s="607"/>
      <c r="H1133" s="607"/>
      <c r="I1133" s="607"/>
      <c r="J1133" s="607"/>
      <c r="K1133" s="607"/>
      <c r="L1133" s="10"/>
    </row>
    <row r="1134" spans="2:12" ht="12.75" customHeight="1">
      <c r="B1134" s="10"/>
      <c r="C1134" s="607"/>
      <c r="D1134" s="607"/>
      <c r="E1134" s="607"/>
      <c r="F1134" s="607"/>
      <c r="G1134" s="607"/>
      <c r="H1134" s="607"/>
      <c r="I1134" s="607"/>
      <c r="J1134" s="607"/>
      <c r="K1134" s="607"/>
      <c r="L1134" s="10"/>
    </row>
    <row r="1135" spans="2:12" ht="12.75" customHeight="1">
      <c r="B1135" s="10"/>
      <c r="C1135" s="607"/>
      <c r="D1135" s="607"/>
      <c r="E1135" s="607"/>
      <c r="F1135" s="607"/>
      <c r="G1135" s="607"/>
      <c r="H1135" s="607"/>
      <c r="I1135" s="607"/>
      <c r="J1135" s="607"/>
      <c r="K1135" s="607"/>
      <c r="L1135" s="10"/>
    </row>
    <row r="1136" spans="2:12" ht="12.75" customHeight="1">
      <c r="B1136" s="10"/>
      <c r="C1136" s="607"/>
      <c r="D1136" s="607"/>
      <c r="E1136" s="607"/>
      <c r="F1136" s="607"/>
      <c r="G1136" s="607"/>
      <c r="H1136" s="607"/>
      <c r="I1136" s="607"/>
      <c r="J1136" s="607"/>
      <c r="K1136" s="607"/>
      <c r="L1136" s="10"/>
    </row>
    <row r="1137" spans="2:12" ht="12.75" customHeight="1">
      <c r="B1137" s="10"/>
      <c r="C1137" s="607"/>
      <c r="D1137" s="607"/>
      <c r="E1137" s="607"/>
      <c r="F1137" s="607"/>
      <c r="G1137" s="607"/>
      <c r="H1137" s="607"/>
      <c r="I1137" s="607"/>
      <c r="J1137" s="607"/>
      <c r="K1137" s="607"/>
      <c r="L1137" s="10"/>
    </row>
    <row r="1138" spans="2:12" ht="12.75" customHeight="1">
      <c r="B1138" s="10"/>
      <c r="C1138" s="607"/>
      <c r="D1138" s="607"/>
      <c r="E1138" s="607"/>
      <c r="F1138" s="607"/>
      <c r="G1138" s="607"/>
      <c r="H1138" s="607"/>
      <c r="I1138" s="607"/>
      <c r="J1138" s="607"/>
      <c r="K1138" s="607"/>
      <c r="L1138" s="10"/>
    </row>
    <row r="1139" spans="2:12" ht="12.75" customHeight="1">
      <c r="B1139" s="10"/>
      <c r="C1139" s="607"/>
      <c r="D1139" s="607"/>
      <c r="E1139" s="607"/>
      <c r="F1139" s="607"/>
      <c r="G1139" s="607"/>
      <c r="H1139" s="607"/>
      <c r="I1139" s="607"/>
      <c r="J1139" s="607"/>
      <c r="K1139" s="607"/>
      <c r="L1139" s="10"/>
    </row>
    <row r="1140" spans="2:12" ht="12.75" customHeight="1">
      <c r="B1140" s="10"/>
      <c r="C1140" s="607"/>
      <c r="D1140" s="607"/>
      <c r="E1140" s="607"/>
      <c r="F1140" s="607"/>
      <c r="G1140" s="607"/>
      <c r="H1140" s="607"/>
      <c r="I1140" s="607"/>
      <c r="J1140" s="607"/>
      <c r="K1140" s="607"/>
      <c r="L1140" s="10"/>
    </row>
    <row r="1141" spans="2:12" ht="12.75" customHeight="1">
      <c r="B1141" s="10"/>
      <c r="C1141" s="607"/>
      <c r="D1141" s="607"/>
      <c r="E1141" s="607"/>
      <c r="F1141" s="607"/>
      <c r="G1141" s="607"/>
      <c r="H1141" s="607"/>
      <c r="I1141" s="607"/>
      <c r="J1141" s="607"/>
      <c r="K1141" s="607"/>
      <c r="L1141" s="10"/>
    </row>
    <row r="1142" spans="2:12" ht="12.75" customHeight="1">
      <c r="B1142" s="10"/>
      <c r="C1142" s="607"/>
      <c r="D1142" s="607"/>
      <c r="E1142" s="607"/>
      <c r="F1142" s="607"/>
      <c r="G1142" s="607"/>
      <c r="H1142" s="607"/>
      <c r="I1142" s="607"/>
      <c r="J1142" s="607"/>
      <c r="K1142" s="607"/>
      <c r="L1142" s="10"/>
    </row>
    <row r="1143" spans="2:12" ht="12.75" customHeight="1">
      <c r="B1143" s="10"/>
      <c r="C1143" s="607"/>
      <c r="D1143" s="607"/>
      <c r="E1143" s="607"/>
      <c r="F1143" s="607"/>
      <c r="G1143" s="607"/>
      <c r="H1143" s="607"/>
      <c r="I1143" s="607"/>
      <c r="J1143" s="607"/>
      <c r="K1143" s="607"/>
      <c r="L1143" s="10"/>
    </row>
    <row r="1144" spans="2:12" ht="12.75" customHeight="1">
      <c r="B1144" s="10"/>
      <c r="C1144" s="607"/>
      <c r="D1144" s="607"/>
      <c r="E1144" s="607"/>
      <c r="F1144" s="607"/>
      <c r="G1144" s="607"/>
      <c r="H1144" s="607"/>
      <c r="I1144" s="607"/>
      <c r="J1144" s="607"/>
      <c r="K1144" s="607"/>
      <c r="L1144" s="10"/>
    </row>
    <row r="1145" spans="2:12" ht="12.75" customHeight="1">
      <c r="B1145" s="10"/>
      <c r="C1145" s="607"/>
      <c r="D1145" s="607"/>
      <c r="E1145" s="607"/>
      <c r="F1145" s="607"/>
      <c r="G1145" s="607"/>
      <c r="H1145" s="607"/>
      <c r="I1145" s="607"/>
      <c r="J1145" s="607"/>
      <c r="K1145" s="607"/>
      <c r="L1145" s="10"/>
    </row>
    <row r="1146" spans="2:12" ht="12.75" customHeight="1">
      <c r="B1146" s="10"/>
      <c r="C1146" s="607"/>
      <c r="D1146" s="607"/>
      <c r="E1146" s="607"/>
      <c r="F1146" s="607"/>
      <c r="G1146" s="607"/>
      <c r="H1146" s="607"/>
      <c r="I1146" s="607"/>
      <c r="J1146" s="607"/>
      <c r="K1146" s="607"/>
      <c r="L1146" s="10"/>
    </row>
    <row r="1147" spans="2:12" ht="12.75" customHeight="1">
      <c r="B1147" s="10"/>
      <c r="C1147" s="607"/>
      <c r="D1147" s="607"/>
      <c r="E1147" s="607"/>
      <c r="F1147" s="607"/>
      <c r="G1147" s="607"/>
      <c r="H1147" s="607"/>
      <c r="I1147" s="607"/>
      <c r="J1147" s="607"/>
      <c r="K1147" s="607"/>
      <c r="L1147" s="10"/>
    </row>
    <row r="1148" spans="2:12" ht="12.75" customHeight="1">
      <c r="B1148" s="10"/>
      <c r="C1148" s="607"/>
      <c r="D1148" s="607"/>
      <c r="E1148" s="607"/>
      <c r="F1148" s="607"/>
      <c r="G1148" s="607"/>
      <c r="H1148" s="607"/>
      <c r="I1148" s="607"/>
      <c r="J1148" s="607"/>
      <c r="K1148" s="607"/>
      <c r="L1148" s="10"/>
    </row>
    <row r="1149" spans="2:12" ht="12.75" customHeight="1">
      <c r="B1149" s="10"/>
      <c r="C1149" s="607"/>
      <c r="D1149" s="607"/>
      <c r="E1149" s="607"/>
      <c r="F1149" s="607"/>
      <c r="G1149" s="607"/>
      <c r="H1149" s="607"/>
      <c r="I1149" s="607"/>
      <c r="J1149" s="607"/>
      <c r="K1149" s="607"/>
      <c r="L1149" s="10"/>
    </row>
    <row r="1150" spans="2:12" ht="12.75" customHeight="1">
      <c r="B1150" s="10"/>
      <c r="C1150" s="607"/>
      <c r="D1150" s="607"/>
      <c r="E1150" s="607"/>
      <c r="F1150" s="607"/>
      <c r="G1150" s="607"/>
      <c r="H1150" s="607"/>
      <c r="I1150" s="607"/>
      <c r="J1150" s="607"/>
      <c r="K1150" s="607"/>
      <c r="L1150" s="10"/>
    </row>
    <row r="1151" spans="2:12" ht="12.75" customHeight="1">
      <c r="B1151" s="10"/>
      <c r="C1151" s="607"/>
      <c r="D1151" s="607"/>
      <c r="E1151" s="607"/>
      <c r="F1151" s="607"/>
      <c r="G1151" s="607"/>
      <c r="H1151" s="607"/>
      <c r="I1151" s="607"/>
      <c r="J1151" s="607"/>
      <c r="K1151" s="607"/>
      <c r="L1151" s="10"/>
    </row>
    <row r="1152" spans="2:12" ht="12.75" customHeight="1">
      <c r="B1152" s="10"/>
      <c r="C1152" s="607"/>
      <c r="D1152" s="607"/>
      <c r="E1152" s="607"/>
      <c r="F1152" s="607"/>
      <c r="G1152" s="607"/>
      <c r="H1152" s="607"/>
      <c r="I1152" s="607"/>
      <c r="J1152" s="607"/>
      <c r="K1152" s="607"/>
      <c r="L1152" s="10"/>
    </row>
    <row r="1153" spans="2:12" ht="12.75" customHeight="1">
      <c r="B1153" s="10"/>
      <c r="C1153" s="1440" t="s">
        <v>118</v>
      </c>
      <c r="D1153" s="1440"/>
      <c r="E1153" s="1440"/>
      <c r="F1153" s="1440"/>
      <c r="G1153" s="1440"/>
      <c r="H1153" s="1440"/>
      <c r="I1153" s="1440"/>
      <c r="J1153" s="1440"/>
      <c r="K1153" s="1440"/>
      <c r="L1153" s="10"/>
    </row>
    <row r="1154" spans="2:12" ht="12.75" customHeight="1">
      <c r="B1154" s="10"/>
      <c r="C1154" s="632"/>
      <c r="D1154" s="632"/>
      <c r="E1154" s="632"/>
      <c r="F1154" s="632"/>
      <c r="G1154" s="632"/>
      <c r="H1154" s="632"/>
      <c r="I1154" s="632"/>
      <c r="J1154" s="632"/>
      <c r="K1154" s="632"/>
      <c r="L1154" s="10"/>
    </row>
    <row r="1155" spans="2:12" ht="12.75" customHeight="1">
      <c r="B1155" s="10"/>
      <c r="C1155" s="607"/>
      <c r="D1155" s="607"/>
      <c r="E1155" s="607"/>
      <c r="F1155" s="607"/>
      <c r="G1155" s="607"/>
      <c r="H1155" s="607"/>
      <c r="I1155" s="607"/>
      <c r="J1155" s="607"/>
      <c r="K1155" s="607"/>
      <c r="L1155" s="10"/>
    </row>
    <row r="1156" spans="2:12" ht="12.75" customHeight="1">
      <c r="B1156" s="10"/>
      <c r="C1156" s="607"/>
      <c r="D1156" s="607"/>
      <c r="E1156" s="607"/>
      <c r="F1156" s="607"/>
      <c r="G1156" s="607"/>
      <c r="H1156" s="607"/>
      <c r="I1156" s="607"/>
      <c r="J1156" s="607"/>
      <c r="K1156" s="607"/>
      <c r="L1156" s="10"/>
    </row>
    <row r="1157" spans="2:12" ht="12.75" customHeight="1">
      <c r="B1157" s="10"/>
      <c r="C1157" s="607"/>
      <c r="D1157" s="607"/>
      <c r="E1157" s="607"/>
      <c r="F1157" s="607"/>
      <c r="G1157" s="607"/>
      <c r="H1157" s="607"/>
      <c r="I1157" s="607"/>
      <c r="J1157" s="607"/>
      <c r="K1157" s="607"/>
      <c r="L1157" s="10"/>
    </row>
    <row r="1158" spans="2:12" ht="12.75" customHeight="1">
      <c r="B1158" s="10"/>
      <c r="C1158" s="607"/>
      <c r="D1158" s="607"/>
      <c r="E1158" s="607"/>
      <c r="F1158" s="607"/>
      <c r="G1158" s="607"/>
      <c r="H1158" s="607"/>
      <c r="I1158" s="607"/>
      <c r="J1158" s="607"/>
      <c r="K1158" s="607"/>
      <c r="L1158" s="10"/>
    </row>
    <row r="1159" spans="2:12" ht="12.75" customHeight="1">
      <c r="B1159" s="10"/>
      <c r="C1159" s="607"/>
      <c r="D1159" s="607"/>
      <c r="E1159" s="607"/>
      <c r="F1159" s="607"/>
      <c r="G1159" s="607"/>
      <c r="H1159" s="607"/>
      <c r="I1159" s="607"/>
      <c r="J1159" s="607"/>
      <c r="K1159" s="607"/>
      <c r="L1159" s="10"/>
    </row>
    <row r="1160" spans="2:12" ht="12.75" customHeight="1">
      <c r="B1160" s="10"/>
      <c r="C1160" s="607"/>
      <c r="D1160" s="607"/>
      <c r="E1160" s="607"/>
      <c r="F1160" s="607"/>
      <c r="G1160" s="607"/>
      <c r="H1160" s="607"/>
      <c r="I1160" s="607"/>
      <c r="J1160" s="607"/>
      <c r="K1160" s="607"/>
      <c r="L1160" s="10"/>
    </row>
    <row r="1161" spans="2:12" ht="12.75" customHeight="1">
      <c r="B1161" s="10"/>
      <c r="C1161" s="607"/>
      <c r="D1161" s="607"/>
      <c r="E1161" s="607"/>
      <c r="F1161" s="607"/>
      <c r="G1161" s="607"/>
      <c r="H1161" s="607"/>
      <c r="I1161" s="607"/>
      <c r="J1161" s="607"/>
      <c r="K1161" s="607"/>
      <c r="L1161" s="10"/>
    </row>
    <row r="1162" spans="2:12" ht="12.75" customHeight="1">
      <c r="B1162" s="10"/>
      <c r="C1162" s="108"/>
      <c r="D1162" s="10"/>
      <c r="E1162" s="10"/>
      <c r="F1162" s="10"/>
      <c r="G1162" s="10"/>
      <c r="H1162" s="10"/>
      <c r="I1162" s="10"/>
      <c r="J1162" s="10"/>
      <c r="K1162" s="10"/>
      <c r="L1162" s="10"/>
    </row>
    <row r="1163" spans="2:12" ht="12.75" customHeight="1">
      <c r="B1163" s="10"/>
      <c r="C1163" s="108"/>
      <c r="D1163" s="10"/>
      <c r="E1163" s="10"/>
      <c r="F1163" s="10"/>
      <c r="G1163" s="10"/>
      <c r="H1163" s="10"/>
      <c r="I1163" s="10"/>
      <c r="J1163" s="10"/>
      <c r="K1163" s="10"/>
      <c r="L1163" s="10"/>
    </row>
    <row r="1164" spans="2:12" ht="12.75" customHeight="1">
      <c r="B1164" s="10"/>
      <c r="C1164" s="10"/>
      <c r="D1164" s="10"/>
      <c r="E1164" s="10"/>
      <c r="F1164" s="10"/>
      <c r="G1164" s="10"/>
      <c r="H1164" s="10"/>
      <c r="I1164" s="10"/>
      <c r="J1164" s="10"/>
      <c r="K1164" s="10"/>
      <c r="L1164" s="10"/>
    </row>
    <row r="1165" spans="2:12" ht="12.75" customHeight="1">
      <c r="B1165" s="10"/>
      <c r="C1165" s="108"/>
      <c r="D1165" s="10"/>
      <c r="E1165" s="10"/>
      <c r="F1165" s="10"/>
      <c r="G1165" s="10"/>
      <c r="H1165" s="10"/>
      <c r="I1165" s="10"/>
      <c r="J1165" s="10"/>
      <c r="K1165" s="10"/>
      <c r="L1165" s="10"/>
    </row>
    <row r="1166" spans="2:12" ht="12.75" customHeight="1">
      <c r="B1166" s="10"/>
      <c r="C1166" s="108"/>
      <c r="D1166" s="10"/>
      <c r="E1166" s="10"/>
      <c r="F1166" s="10"/>
      <c r="G1166" s="10"/>
      <c r="H1166" s="10"/>
      <c r="I1166" s="10"/>
      <c r="J1166" s="10"/>
      <c r="K1166" s="10"/>
      <c r="L1166" s="10"/>
    </row>
    <row r="1167" spans="2:12" ht="12.75" customHeight="1">
      <c r="B1167" s="10"/>
      <c r="C1167" s="10"/>
      <c r="D1167" s="10"/>
      <c r="E1167" s="10"/>
      <c r="F1167" s="10"/>
      <c r="G1167" s="10"/>
      <c r="H1167" s="10"/>
      <c r="I1167" s="10"/>
      <c r="J1167" s="10"/>
      <c r="K1167" s="10"/>
      <c r="L1167" s="10"/>
    </row>
    <row r="1168" spans="2:12" ht="12.75" customHeight="1">
      <c r="B1168" s="10"/>
      <c r="C1168" s="108"/>
      <c r="D1168" s="10"/>
      <c r="E1168" s="10"/>
      <c r="F1168" s="10"/>
      <c r="G1168" s="10"/>
      <c r="H1168" s="10"/>
      <c r="I1168" s="10"/>
      <c r="J1168" s="10"/>
      <c r="K1168" s="10"/>
      <c r="L1168" s="10"/>
    </row>
    <row r="1169" spans="2:12" ht="12.75" customHeight="1">
      <c r="B1169" s="10"/>
      <c r="C1169" s="108"/>
      <c r="D1169" s="10"/>
      <c r="E1169" s="10"/>
      <c r="F1169" s="10"/>
      <c r="G1169" s="10"/>
      <c r="H1169" s="10"/>
      <c r="I1169" s="10"/>
      <c r="J1169" s="10"/>
      <c r="K1169" s="10"/>
      <c r="L1169" s="10"/>
    </row>
    <row r="1170" spans="2:12" ht="12.75" customHeight="1">
      <c r="B1170" s="10"/>
      <c r="C1170" s="10"/>
      <c r="D1170" s="10"/>
      <c r="E1170" s="10"/>
      <c r="F1170" s="10"/>
      <c r="G1170" s="10"/>
      <c r="H1170" s="10"/>
      <c r="I1170" s="10"/>
      <c r="J1170" s="10"/>
      <c r="K1170" s="10"/>
      <c r="L1170" s="10"/>
    </row>
    <row r="1171" spans="2:12" ht="12.75" customHeight="1">
      <c r="B1171" s="10"/>
      <c r="C1171" s="108"/>
      <c r="D1171" s="10"/>
      <c r="E1171" s="10"/>
      <c r="F1171" s="10"/>
      <c r="G1171" s="10"/>
      <c r="H1171" s="10"/>
      <c r="I1171" s="10"/>
      <c r="J1171" s="10"/>
      <c r="K1171" s="10"/>
      <c r="L1171" s="10"/>
    </row>
    <row r="1172" spans="2:12" ht="12.75" customHeight="1">
      <c r="B1172" s="10"/>
      <c r="C1172" s="108"/>
      <c r="D1172" s="10"/>
      <c r="E1172" s="10"/>
      <c r="F1172" s="10"/>
      <c r="G1172" s="10"/>
      <c r="H1172" s="10"/>
      <c r="I1172" s="10"/>
      <c r="J1172" s="10"/>
      <c r="K1172" s="10"/>
      <c r="L1172" s="10"/>
    </row>
    <row r="1173" spans="2:12" ht="12.75" customHeight="1">
      <c r="B1173" s="10"/>
      <c r="C1173" s="1440" t="s">
        <v>119</v>
      </c>
      <c r="D1173" s="1440"/>
      <c r="E1173" s="1440"/>
      <c r="F1173" s="1440"/>
      <c r="G1173" s="1440"/>
      <c r="H1173" s="1440"/>
      <c r="I1173" s="1440"/>
      <c r="J1173" s="1440"/>
      <c r="K1173" s="1440"/>
      <c r="L1173" s="10"/>
    </row>
    <row r="1174" spans="2:12" ht="12.75" customHeight="1">
      <c r="B1174" s="10"/>
      <c r="C1174" s="632"/>
      <c r="D1174" s="632"/>
      <c r="E1174" s="632"/>
      <c r="F1174" s="632"/>
      <c r="G1174" s="632"/>
      <c r="H1174" s="632"/>
      <c r="I1174" s="632"/>
      <c r="J1174" s="632"/>
      <c r="K1174" s="632"/>
      <c r="L1174" s="10"/>
    </row>
    <row r="1175" spans="2:12" ht="12.75" customHeight="1">
      <c r="B1175" s="10"/>
      <c r="C1175" s="10"/>
      <c r="D1175" s="10"/>
      <c r="E1175" s="10"/>
      <c r="F1175" s="10"/>
      <c r="G1175" s="10"/>
      <c r="H1175" s="10"/>
      <c r="I1175" s="10"/>
      <c r="J1175" s="10"/>
      <c r="K1175" s="10"/>
      <c r="L1175" s="10"/>
    </row>
    <row r="1176" spans="2:12" ht="12.75" customHeight="1">
      <c r="B1176" s="10"/>
      <c r="C1176" s="10"/>
      <c r="D1176" s="10"/>
      <c r="E1176" s="10"/>
      <c r="F1176" s="10"/>
      <c r="G1176" s="10"/>
      <c r="H1176" s="10"/>
      <c r="I1176" s="10"/>
      <c r="J1176" s="10"/>
      <c r="K1176" s="10"/>
      <c r="L1176" s="10"/>
    </row>
    <row r="1177" spans="2:12" ht="12.75" customHeight="1">
      <c r="B1177" s="10"/>
      <c r="C1177" s="10"/>
      <c r="D1177" s="10"/>
      <c r="E1177" s="10"/>
      <c r="F1177" s="10"/>
      <c r="G1177" s="10"/>
      <c r="H1177" s="10"/>
      <c r="I1177" s="10"/>
      <c r="J1177" s="10"/>
      <c r="K1177" s="10"/>
      <c r="L1177" s="10"/>
    </row>
    <row r="1178" spans="2:12" ht="12.75" customHeight="1">
      <c r="B1178" s="10"/>
      <c r="C1178" s="10"/>
      <c r="D1178" s="10"/>
      <c r="E1178" s="10"/>
      <c r="F1178" s="10"/>
      <c r="G1178" s="10"/>
      <c r="H1178" s="10"/>
      <c r="I1178" s="10"/>
      <c r="J1178" s="10"/>
      <c r="K1178" s="10"/>
      <c r="L1178" s="10"/>
    </row>
    <row r="1179" spans="2:12" ht="12.75" customHeight="1">
      <c r="B1179" s="10"/>
      <c r="C1179" s="10"/>
      <c r="D1179" s="10"/>
      <c r="E1179" s="10"/>
      <c r="F1179" s="10"/>
      <c r="G1179" s="10"/>
      <c r="H1179" s="10"/>
      <c r="I1179" s="10"/>
      <c r="J1179" s="10"/>
      <c r="K1179" s="10"/>
      <c r="L1179" s="10"/>
    </row>
    <row r="1180" spans="2:12" ht="12.75" customHeight="1">
      <c r="B1180" s="10"/>
      <c r="C1180" s="10"/>
      <c r="D1180" s="10"/>
      <c r="E1180" s="10"/>
      <c r="F1180" s="10"/>
      <c r="G1180" s="10"/>
      <c r="H1180" s="10"/>
      <c r="I1180" s="10"/>
      <c r="J1180" s="10"/>
      <c r="K1180" s="10"/>
      <c r="L1180" s="10"/>
    </row>
    <row r="1181" spans="2:12" ht="12.75" customHeight="1">
      <c r="B1181" s="10"/>
      <c r="C1181" s="10"/>
      <c r="D1181" s="10"/>
      <c r="E1181" s="10"/>
      <c r="F1181" s="10"/>
      <c r="G1181" s="10"/>
      <c r="H1181" s="10"/>
      <c r="I1181" s="10"/>
      <c r="J1181" s="10"/>
      <c r="K1181" s="10"/>
      <c r="L1181" s="10"/>
    </row>
    <row r="1182" spans="2:12" ht="12.75" customHeight="1">
      <c r="B1182" s="10"/>
      <c r="C1182" s="10"/>
      <c r="D1182" s="10"/>
      <c r="E1182" s="10"/>
      <c r="F1182" s="10"/>
      <c r="G1182" s="10"/>
      <c r="H1182" s="10"/>
      <c r="I1182" s="10"/>
      <c r="J1182" s="10"/>
      <c r="K1182" s="10"/>
      <c r="L1182" s="10"/>
    </row>
    <row r="1183" spans="2:12" ht="12.75" customHeight="1">
      <c r="B1183" s="10"/>
      <c r="C1183" s="10"/>
      <c r="D1183" s="10"/>
      <c r="E1183" s="10"/>
      <c r="F1183" s="10"/>
      <c r="G1183" s="10"/>
      <c r="H1183" s="10"/>
      <c r="I1183" s="10"/>
      <c r="J1183" s="10"/>
      <c r="K1183" s="10"/>
      <c r="L1183" s="10"/>
    </row>
    <row r="1184" spans="2:12" ht="12.75" customHeight="1">
      <c r="B1184" s="10"/>
      <c r="C1184" s="10"/>
      <c r="D1184" s="10"/>
      <c r="E1184" s="10"/>
      <c r="F1184" s="10"/>
      <c r="G1184" s="10"/>
      <c r="H1184" s="10"/>
      <c r="I1184" s="10"/>
      <c r="J1184" s="10"/>
      <c r="K1184" s="10"/>
      <c r="L1184" s="10"/>
    </row>
    <row r="1185" spans="2:12" ht="12.75" customHeight="1">
      <c r="B1185" s="10"/>
      <c r="C1185" s="10"/>
      <c r="D1185" s="10"/>
      <c r="E1185" s="10"/>
      <c r="F1185" s="10"/>
      <c r="G1185" s="10"/>
      <c r="H1185" s="10"/>
      <c r="I1185" s="10"/>
      <c r="J1185" s="10"/>
      <c r="K1185" s="10"/>
      <c r="L1185" s="10"/>
    </row>
    <row r="1186" spans="2:12" ht="12.75" customHeight="1">
      <c r="B1186" s="10"/>
      <c r="C1186" s="10"/>
      <c r="D1186" s="10"/>
      <c r="E1186" s="10"/>
      <c r="F1186" s="10"/>
      <c r="G1186" s="10"/>
      <c r="H1186" s="10"/>
      <c r="I1186" s="10"/>
      <c r="J1186" s="10"/>
      <c r="K1186" s="10"/>
      <c r="L1186" s="10"/>
    </row>
    <row r="1187" spans="2:12" ht="12.75" customHeight="1">
      <c r="B1187" s="10"/>
      <c r="C1187" s="10"/>
      <c r="D1187" s="10"/>
      <c r="E1187" s="10"/>
      <c r="F1187" s="10"/>
      <c r="G1187" s="10"/>
      <c r="H1187" s="10"/>
      <c r="I1187" s="10"/>
      <c r="J1187" s="10"/>
      <c r="K1187" s="10"/>
      <c r="L1187" s="10"/>
    </row>
    <row r="1188" spans="2:12" ht="12.75" customHeight="1">
      <c r="B1188" s="10"/>
      <c r="C1188" s="10"/>
      <c r="D1188" s="10"/>
      <c r="E1188" s="10"/>
      <c r="F1188" s="10"/>
      <c r="G1188" s="10"/>
      <c r="H1188" s="10"/>
      <c r="I1188" s="10"/>
      <c r="J1188" s="10"/>
      <c r="K1188" s="10"/>
      <c r="L1188" s="10"/>
    </row>
    <row r="1189" spans="2:12" ht="12.75" customHeight="1">
      <c r="B1189" s="10"/>
      <c r="C1189" s="10"/>
      <c r="D1189" s="10"/>
      <c r="E1189" s="10"/>
      <c r="F1189" s="10"/>
      <c r="G1189" s="10"/>
      <c r="H1189" s="10"/>
      <c r="I1189" s="10"/>
      <c r="J1189" s="10"/>
      <c r="K1189" s="10"/>
      <c r="L1189" s="10"/>
    </row>
    <row r="1190" spans="2:12" ht="12.75" customHeight="1">
      <c r="B1190" s="10"/>
      <c r="C1190" s="10"/>
      <c r="D1190" s="10"/>
      <c r="E1190" s="10"/>
      <c r="F1190" s="10"/>
      <c r="G1190" s="10"/>
      <c r="H1190" s="10"/>
      <c r="I1190" s="10"/>
      <c r="J1190" s="10"/>
      <c r="K1190" s="10"/>
      <c r="L1190" s="10"/>
    </row>
    <row r="1191" spans="2:12" ht="12.75" customHeight="1">
      <c r="B1191" s="10"/>
      <c r="C1191" s="10"/>
      <c r="D1191" s="10"/>
      <c r="E1191" s="10"/>
      <c r="F1191" s="10"/>
      <c r="G1191" s="10"/>
      <c r="H1191" s="10"/>
      <c r="I1191" s="10"/>
      <c r="J1191" s="10"/>
      <c r="K1191" s="10"/>
      <c r="L1191" s="10"/>
    </row>
    <row r="1192" spans="2:12" ht="12.75" customHeight="1">
      <c r="B1192" s="10"/>
      <c r="C1192" s="10"/>
      <c r="D1192" s="10"/>
      <c r="E1192" s="10"/>
      <c r="F1192" s="10"/>
      <c r="G1192" s="10"/>
      <c r="H1192" s="10"/>
      <c r="I1192" s="10"/>
      <c r="J1192" s="10"/>
      <c r="K1192" s="10"/>
      <c r="L1192" s="10"/>
    </row>
    <row r="1193" spans="2:12" ht="12.75" customHeight="1">
      <c r="B1193" s="10"/>
      <c r="C1193" s="1440" t="s">
        <v>120</v>
      </c>
      <c r="D1193" s="1440"/>
      <c r="E1193" s="1440"/>
      <c r="F1193" s="1440"/>
      <c r="G1193" s="1440"/>
      <c r="H1193" s="1440"/>
      <c r="I1193" s="1440"/>
      <c r="J1193" s="1440"/>
      <c r="K1193" s="1440"/>
      <c r="L1193" s="10"/>
    </row>
    <row r="1194" spans="2:12" ht="12.75" customHeight="1">
      <c r="B1194" s="10"/>
      <c r="C1194" s="10"/>
      <c r="D1194" s="10"/>
      <c r="E1194" s="10"/>
      <c r="F1194" s="10"/>
      <c r="G1194" s="10"/>
      <c r="H1194" s="10"/>
      <c r="I1194" s="10"/>
      <c r="J1194" s="10"/>
      <c r="K1194" s="10"/>
      <c r="L1194" s="10"/>
    </row>
    <row r="1195" spans="2:12" ht="12.75" customHeight="1">
      <c r="B1195" s="10"/>
      <c r="C1195" s="10"/>
      <c r="D1195" s="10"/>
      <c r="E1195" s="10"/>
      <c r="F1195" s="10"/>
      <c r="G1195" s="10"/>
      <c r="H1195" s="10"/>
      <c r="I1195" s="10"/>
      <c r="J1195" s="10"/>
      <c r="K1195" s="10"/>
      <c r="L1195" s="10"/>
    </row>
    <row r="1196" spans="2:12" ht="12.75" customHeight="1">
      <c r="B1196" s="10"/>
      <c r="C1196" s="10"/>
      <c r="D1196" s="10"/>
      <c r="E1196" s="10"/>
      <c r="F1196" s="10"/>
      <c r="G1196" s="10"/>
      <c r="H1196" s="10"/>
      <c r="I1196" s="10"/>
      <c r="J1196" s="10"/>
      <c r="K1196" s="10"/>
      <c r="L1196" s="10"/>
    </row>
    <row r="1197" spans="2:12" ht="12.75" customHeight="1">
      <c r="B1197" s="10"/>
      <c r="C1197" s="10"/>
      <c r="D1197" s="10"/>
      <c r="E1197" s="10"/>
      <c r="F1197" s="10"/>
      <c r="G1197" s="10"/>
      <c r="H1197" s="10"/>
      <c r="I1197" s="10"/>
      <c r="J1197" s="10"/>
      <c r="K1197" s="10"/>
      <c r="L1197" s="10"/>
    </row>
    <row r="1198" spans="2:12" ht="12.75" customHeight="1">
      <c r="B1198" s="10"/>
      <c r="C1198" s="235" t="s">
        <v>121</v>
      </c>
      <c r="D1198" s="10"/>
      <c r="E1198" s="10"/>
      <c r="F1198" s="10"/>
      <c r="G1198" s="10"/>
      <c r="H1198" s="10"/>
      <c r="I1198" s="10"/>
      <c r="J1198" s="10"/>
      <c r="K1198" s="10"/>
      <c r="L1198" s="10"/>
    </row>
    <row r="1199" spans="2:12" ht="12.75" customHeight="1">
      <c r="B1199" s="10"/>
      <c r="C1199" s="10"/>
      <c r="D1199" s="10"/>
      <c r="E1199" s="10"/>
      <c r="F1199" s="10"/>
      <c r="G1199" s="10"/>
      <c r="H1199" s="10"/>
      <c r="I1199" s="10"/>
      <c r="J1199" s="10"/>
      <c r="K1199" s="10"/>
      <c r="L1199" s="10"/>
    </row>
    <row r="1200" spans="2:12" ht="12.75" customHeight="1">
      <c r="B1200" s="10"/>
      <c r="C1200" s="1445" t="s">
        <v>263</v>
      </c>
      <c r="D1200" s="1445"/>
      <c r="E1200" s="1445"/>
      <c r="F1200" s="1445"/>
      <c r="G1200" s="1445"/>
      <c r="H1200" s="1445"/>
      <c r="I1200" s="1445"/>
      <c r="J1200" s="1445"/>
      <c r="K1200" s="1445"/>
      <c r="L1200" s="10"/>
    </row>
    <row r="1201" spans="2:12" ht="12.75" customHeight="1">
      <c r="B1201" s="10"/>
      <c r="C1201" s="1445"/>
      <c r="D1201" s="1445"/>
      <c r="E1201" s="1445"/>
      <c r="F1201" s="1445"/>
      <c r="G1201" s="1445"/>
      <c r="H1201" s="1445"/>
      <c r="I1201" s="1445"/>
      <c r="J1201" s="1445"/>
      <c r="K1201" s="1445"/>
      <c r="L1201" s="10"/>
    </row>
    <row r="1202" spans="2:12" ht="12.75" customHeight="1">
      <c r="B1202" s="10"/>
      <c r="C1202" s="1445"/>
      <c r="D1202" s="1445"/>
      <c r="E1202" s="1445"/>
      <c r="F1202" s="1445"/>
      <c r="G1202" s="1445"/>
      <c r="H1202" s="1445"/>
      <c r="I1202" s="1445"/>
      <c r="J1202" s="1445"/>
      <c r="K1202" s="1445"/>
      <c r="L1202" s="10"/>
    </row>
    <row r="1203" spans="2:12" ht="12.75" customHeight="1">
      <c r="B1203" s="10"/>
      <c r="C1203" s="1445"/>
      <c r="D1203" s="1445"/>
      <c r="E1203" s="1445"/>
      <c r="F1203" s="1445"/>
      <c r="G1203" s="1445"/>
      <c r="H1203" s="1445"/>
      <c r="I1203" s="1445"/>
      <c r="J1203" s="1445"/>
      <c r="K1203" s="1445"/>
      <c r="L1203" s="10"/>
    </row>
    <row r="1204" spans="2:12" ht="12.75" customHeight="1">
      <c r="B1204" s="10"/>
      <c r="C1204" s="10"/>
      <c r="D1204" s="10"/>
      <c r="E1204" s="10"/>
      <c r="F1204" s="10"/>
      <c r="G1204" s="10"/>
      <c r="H1204" s="10"/>
      <c r="I1204" s="10"/>
      <c r="J1204" s="10"/>
      <c r="K1204" s="10"/>
      <c r="L1204" s="10"/>
    </row>
    <row r="1205" spans="2:12" ht="12.75" customHeight="1">
      <c r="B1205" s="10"/>
      <c r="C1205" s="1444" t="s">
        <v>181</v>
      </c>
      <c r="D1205" s="1444"/>
      <c r="E1205" s="1444"/>
      <c r="F1205" s="1444" t="s">
        <v>323</v>
      </c>
      <c r="G1205" s="1444"/>
      <c r="H1205" s="1444"/>
      <c r="I1205" s="1444" t="s">
        <v>324</v>
      </c>
      <c r="J1205" s="1444"/>
      <c r="K1205" s="1444"/>
      <c r="L1205" s="10"/>
    </row>
    <row r="1206" spans="2:12" ht="12.75" customHeight="1">
      <c r="B1206" s="10"/>
      <c r="C1206" s="1444" t="s">
        <v>77</v>
      </c>
      <c r="D1206" s="1444"/>
      <c r="E1206" s="1444"/>
      <c r="F1206" s="1273" t="s">
        <v>182</v>
      </c>
      <c r="G1206" s="1273" t="s">
        <v>122</v>
      </c>
      <c r="H1206" s="1273" t="s">
        <v>23</v>
      </c>
      <c r="I1206" s="1273" t="s">
        <v>182</v>
      </c>
      <c r="J1206" s="1273" t="s">
        <v>122</v>
      </c>
      <c r="K1206" s="1273" t="s">
        <v>23</v>
      </c>
      <c r="L1206" s="10"/>
    </row>
    <row r="1207" spans="2:12" ht="12.75" customHeight="1">
      <c r="B1207" s="10"/>
      <c r="C1207" s="1444"/>
      <c r="D1207" s="1444"/>
      <c r="E1207" s="1444"/>
      <c r="F1207" s="1273"/>
      <c r="G1207" s="1273"/>
      <c r="H1207" s="1273"/>
      <c r="I1207" s="1273"/>
      <c r="J1207" s="1273"/>
      <c r="K1207" s="1273"/>
      <c r="L1207" s="10"/>
    </row>
    <row r="1208" spans="2:12" ht="12.75" customHeight="1">
      <c r="B1208" s="10"/>
      <c r="C1208" s="1441" t="s">
        <v>313</v>
      </c>
      <c r="D1208" s="1441"/>
      <c r="E1208" s="1441"/>
      <c r="F1208" s="154">
        <f>Consumables!C19</f>
        <v>176640</v>
      </c>
      <c r="G1208" s="644">
        <f>Consumables!D19</f>
        <v>0.66</v>
      </c>
      <c r="H1208" s="645">
        <f>F1208*G1208</f>
        <v>116582.40000000001</v>
      </c>
      <c r="I1208" s="154">
        <f>F1208</f>
        <v>176640</v>
      </c>
      <c r="J1208" s="156">
        <f>Consumables!G19</f>
        <v>0.79</v>
      </c>
      <c r="K1208" s="645">
        <f>I1208*J1208</f>
        <v>139545.60000000001</v>
      </c>
      <c r="L1208" s="10"/>
    </row>
    <row r="1209" spans="2:12" ht="12.75" customHeight="1">
      <c r="B1209" s="10"/>
      <c r="C1209" s="1441" t="s">
        <v>74</v>
      </c>
      <c r="D1209" s="1441"/>
      <c r="E1209" s="1441"/>
      <c r="F1209" s="154">
        <f>F1208</f>
        <v>176640</v>
      </c>
      <c r="G1209" s="644">
        <f>Consumables!D20</f>
        <v>1.1000000000000001</v>
      </c>
      <c r="H1209" s="645">
        <f>F1209*G1209</f>
        <v>194304.00000000003</v>
      </c>
      <c r="I1209" s="154">
        <f>I1208</f>
        <v>176640</v>
      </c>
      <c r="J1209" s="156">
        <f>Consumables!G20</f>
        <v>1.27</v>
      </c>
      <c r="K1209" s="645">
        <f>I1209*J1209</f>
        <v>224332.80000000002</v>
      </c>
      <c r="L1209" s="10"/>
    </row>
    <row r="1210" spans="2:12" ht="12.75" customHeight="1">
      <c r="B1210" s="10"/>
      <c r="C1210" s="1441" t="s">
        <v>183</v>
      </c>
      <c r="D1210" s="1441"/>
      <c r="E1210" s="1441"/>
      <c r="F1210" s="646">
        <f>((I373/6)/12)*I385</f>
        <v>115.55555555555556</v>
      </c>
      <c r="G1210" s="644">
        <f>Consumables!D21</f>
        <v>300</v>
      </c>
      <c r="H1210" s="645">
        <f>F1210*G1210</f>
        <v>34666.666666666664</v>
      </c>
      <c r="I1210" s="1444" t="s">
        <v>434</v>
      </c>
      <c r="J1210" s="1444"/>
      <c r="K1210" s="645">
        <f>(I1043*10%)*I384</f>
        <v>322083.44</v>
      </c>
      <c r="L1210" s="10"/>
    </row>
    <row r="1211" spans="2:12" ht="12.75" customHeight="1">
      <c r="B1211" s="10"/>
      <c r="C1211" s="1441" t="s">
        <v>762</v>
      </c>
      <c r="D1211" s="1441"/>
      <c r="E1211" s="1441"/>
      <c r="F1211" s="129"/>
      <c r="G1211" s="644">
        <f>Consumables!D22</f>
        <v>0</v>
      </c>
      <c r="H1211" s="645">
        <f>F1211*G1211*12</f>
        <v>0</v>
      </c>
      <c r="I1211" s="8">
        <f>I385</f>
        <v>160</v>
      </c>
      <c r="J1211" s="642">
        <f>Consumables!G22</f>
        <v>4320</v>
      </c>
      <c r="K1211" s="645">
        <f>I1211*J1211</f>
        <v>691200</v>
      </c>
      <c r="L1211" s="10"/>
    </row>
    <row r="1212" spans="2:12" ht="12.75" customHeight="1">
      <c r="B1212" s="10"/>
      <c r="C1212" s="1441" t="s">
        <v>75</v>
      </c>
      <c r="D1212" s="1441"/>
      <c r="E1212" s="1441"/>
      <c r="F1212" s="154">
        <f>F1209</f>
        <v>176640</v>
      </c>
      <c r="G1212" s="644">
        <f>Consumables!D23</f>
        <v>0.5</v>
      </c>
      <c r="H1212" s="645">
        <f>F1212*G1212</f>
        <v>88320</v>
      </c>
      <c r="I1212" s="129">
        <v>0</v>
      </c>
      <c r="J1212" s="644">
        <v>0.5</v>
      </c>
      <c r="K1212" s="645">
        <f>I1212*J1212</f>
        <v>0</v>
      </c>
      <c r="L1212" s="10"/>
    </row>
    <row r="1213" spans="2:12" ht="12.75" customHeight="1">
      <c r="B1213" s="10"/>
      <c r="C1213" s="1441" t="s">
        <v>123</v>
      </c>
      <c r="D1213" s="1441"/>
      <c r="E1213" s="1441"/>
      <c r="F1213" s="647">
        <f>I385/48</f>
        <v>3.3333333333333335</v>
      </c>
      <c r="G1213" s="648">
        <f>Consumables!D24</f>
        <v>1015</v>
      </c>
      <c r="H1213" s="645">
        <f>F1213*G1213</f>
        <v>3383.3333333333335</v>
      </c>
      <c r="I1213" s="154">
        <v>0</v>
      </c>
      <c r="J1213" s="649">
        <v>1015</v>
      </c>
      <c r="K1213" s="645">
        <f>I1213*J1213</f>
        <v>0</v>
      </c>
      <c r="L1213" s="10"/>
    </row>
    <row r="1214" spans="2:12" ht="12.75" customHeight="1">
      <c r="B1214" s="10"/>
      <c r="C1214" s="1441" t="s">
        <v>124</v>
      </c>
      <c r="D1214" s="1441"/>
      <c r="E1214" s="1441"/>
      <c r="F1214" s="647">
        <f>F1213</f>
        <v>3.3333333333333335</v>
      </c>
      <c r="G1214" s="648">
        <f>Consumables!D25</f>
        <v>4990</v>
      </c>
      <c r="H1214" s="645">
        <f>F1214*G1214</f>
        <v>16633.333333333336</v>
      </c>
      <c r="I1214" s="154">
        <v>0</v>
      </c>
      <c r="J1214" s="649">
        <v>4990</v>
      </c>
      <c r="K1214" s="645">
        <f>I1214*J1214</f>
        <v>0</v>
      </c>
      <c r="L1214" s="10"/>
    </row>
    <row r="1215" spans="2:12" ht="12.75" customHeight="1">
      <c r="B1215" s="10"/>
      <c r="C1215" s="1470" t="s">
        <v>184</v>
      </c>
      <c r="D1215" s="1470"/>
      <c r="E1215" s="1470"/>
      <c r="F1215" s="1550"/>
      <c r="G1215" s="1550"/>
      <c r="H1215" s="645">
        <f>SUM(H1208:H1214)</f>
        <v>453889.73333333334</v>
      </c>
      <c r="I1215" s="1550"/>
      <c r="J1215" s="1550"/>
      <c r="K1215" s="645">
        <f>SUM(K1208:K1214)</f>
        <v>1377161.84</v>
      </c>
      <c r="L1215" s="10"/>
    </row>
    <row r="1216" spans="2:12" ht="12.75" customHeight="1">
      <c r="B1216" s="10"/>
      <c r="C1216" s="10"/>
      <c r="D1216" s="10"/>
      <c r="E1216" s="10"/>
      <c r="F1216" s="10"/>
      <c r="G1216" s="10"/>
      <c r="H1216" s="10"/>
      <c r="I1216" s="10"/>
      <c r="J1216" s="10"/>
      <c r="K1216" s="10"/>
      <c r="L1216" s="10"/>
    </row>
    <row r="1217" spans="2:12" ht="12.75" customHeight="1">
      <c r="B1217" s="10"/>
      <c r="C1217" s="1468" t="s">
        <v>810</v>
      </c>
      <c r="D1217" s="1468"/>
      <c r="E1217" s="1468"/>
      <c r="F1217" s="1468"/>
      <c r="G1217" s="1468"/>
      <c r="H1217" s="1468"/>
      <c r="I1217" s="1468"/>
      <c r="J1217" s="1468"/>
      <c r="K1217" s="1468"/>
      <c r="L1217" s="10"/>
    </row>
    <row r="1218" spans="2:12" ht="12.75" customHeight="1">
      <c r="B1218" s="10"/>
      <c r="C1218" s="615"/>
      <c r="D1218" s="615"/>
      <c r="E1218" s="615"/>
      <c r="F1218" s="615"/>
      <c r="G1218" s="615"/>
      <c r="H1218" s="615"/>
      <c r="I1218" s="615"/>
      <c r="J1218" s="615"/>
      <c r="K1218" s="615"/>
      <c r="L1218" s="10"/>
    </row>
    <row r="1219" spans="2:12" ht="12.75" customHeight="1">
      <c r="B1219" s="10"/>
      <c r="C1219" s="1463" t="s">
        <v>215</v>
      </c>
      <c r="D1219" s="1463"/>
      <c r="E1219" s="1463"/>
      <c r="F1219" s="1463"/>
      <c r="G1219" s="1463"/>
      <c r="H1219" s="1463"/>
      <c r="I1219" s="1463"/>
      <c r="J1219" s="1463"/>
      <c r="K1219" s="1463"/>
      <c r="L1219" s="10"/>
    </row>
    <row r="1220" spans="2:12" ht="12.75" customHeight="1">
      <c r="B1220" s="10"/>
      <c r="C1220" s="1463"/>
      <c r="D1220" s="1463"/>
      <c r="E1220" s="1463"/>
      <c r="F1220" s="1463"/>
      <c r="G1220" s="1463"/>
      <c r="H1220" s="1463"/>
      <c r="I1220" s="1463"/>
      <c r="J1220" s="1463"/>
      <c r="K1220" s="1463"/>
      <c r="L1220" s="10"/>
    </row>
    <row r="1221" spans="2:12" ht="12.75" customHeight="1">
      <c r="B1221" s="10"/>
      <c r="C1221" s="1463"/>
      <c r="D1221" s="1463"/>
      <c r="E1221" s="1463"/>
      <c r="F1221" s="1463"/>
      <c r="G1221" s="1463"/>
      <c r="H1221" s="1463"/>
      <c r="I1221" s="1463"/>
      <c r="J1221" s="1463"/>
      <c r="K1221" s="1463"/>
      <c r="L1221" s="10"/>
    </row>
    <row r="1222" spans="2:12" ht="12.75" customHeight="1">
      <c r="B1222" s="10"/>
      <c r="C1222" s="1463"/>
      <c r="D1222" s="1463"/>
      <c r="E1222" s="1463"/>
      <c r="F1222" s="1463"/>
      <c r="G1222" s="1463"/>
      <c r="H1222" s="1463"/>
      <c r="I1222" s="1463"/>
      <c r="J1222" s="1463"/>
      <c r="K1222" s="1463"/>
      <c r="L1222" s="10"/>
    </row>
    <row r="1223" spans="2:12" ht="12.75" customHeight="1">
      <c r="B1223" s="10"/>
      <c r="C1223" s="1463"/>
      <c r="D1223" s="1463"/>
      <c r="E1223" s="1463"/>
      <c r="F1223" s="1463"/>
      <c r="G1223" s="1463"/>
      <c r="H1223" s="1463"/>
      <c r="I1223" s="1463"/>
      <c r="J1223" s="1463"/>
      <c r="K1223" s="1463"/>
      <c r="L1223" s="10"/>
    </row>
    <row r="1224" spans="2:12" ht="12.75" customHeight="1">
      <c r="B1224" s="10"/>
      <c r="C1224" s="1463"/>
      <c r="D1224" s="1463"/>
      <c r="E1224" s="1463"/>
      <c r="F1224" s="1463"/>
      <c r="G1224" s="1463"/>
      <c r="H1224" s="1463"/>
      <c r="I1224" s="1463"/>
      <c r="J1224" s="1463"/>
      <c r="K1224" s="1463"/>
      <c r="L1224" s="10"/>
    </row>
    <row r="1225" spans="2:12" ht="12.75" customHeight="1">
      <c r="B1225" s="10"/>
      <c r="C1225" s="1463"/>
      <c r="D1225" s="1463"/>
      <c r="E1225" s="1463"/>
      <c r="F1225" s="1463"/>
      <c r="G1225" s="1463"/>
      <c r="H1225" s="1463"/>
      <c r="I1225" s="1463"/>
      <c r="J1225" s="1463"/>
      <c r="K1225" s="1463"/>
      <c r="L1225" s="10"/>
    </row>
    <row r="1226" spans="2:12" ht="12.75" customHeight="1">
      <c r="B1226" s="10"/>
      <c r="C1226" s="607"/>
      <c r="D1226" s="607"/>
      <c r="E1226" s="607"/>
      <c r="F1226" s="607"/>
      <c r="G1226" s="607"/>
      <c r="H1226" s="607"/>
      <c r="I1226" s="607"/>
      <c r="J1226" s="607"/>
      <c r="K1226" s="607"/>
      <c r="L1226" s="10"/>
    </row>
    <row r="1227" spans="2:12" ht="12.75" customHeight="1">
      <c r="B1227" s="10"/>
      <c r="C1227" s="1463" t="s">
        <v>737</v>
      </c>
      <c r="D1227" s="1463"/>
      <c r="E1227" s="1463"/>
      <c r="F1227" s="1463"/>
      <c r="G1227" s="1463"/>
      <c r="H1227" s="1463"/>
      <c r="I1227" s="1463"/>
      <c r="J1227" s="1463"/>
      <c r="K1227" s="1463"/>
      <c r="L1227" s="10"/>
    </row>
    <row r="1228" spans="2:12" ht="12.75" customHeight="1">
      <c r="B1228" s="10"/>
      <c r="C1228" s="1463"/>
      <c r="D1228" s="1463"/>
      <c r="E1228" s="1463"/>
      <c r="F1228" s="1463"/>
      <c r="G1228" s="1463"/>
      <c r="H1228" s="1463"/>
      <c r="I1228" s="1463"/>
      <c r="J1228" s="1463"/>
      <c r="K1228" s="1463"/>
      <c r="L1228" s="10"/>
    </row>
    <row r="1229" spans="2:12" ht="12.75" customHeight="1">
      <c r="B1229" s="10"/>
      <c r="C1229" s="1463"/>
      <c r="D1229" s="1463"/>
      <c r="E1229" s="1463"/>
      <c r="F1229" s="1463"/>
      <c r="G1229" s="1463"/>
      <c r="H1229" s="1463"/>
      <c r="I1229" s="1463"/>
      <c r="J1229" s="1463"/>
      <c r="K1229" s="1463"/>
      <c r="L1229" s="10"/>
    </row>
    <row r="1230" spans="2:12" ht="12.75" customHeight="1">
      <c r="B1230" s="10"/>
      <c r="C1230" s="1463"/>
      <c r="D1230" s="1463"/>
      <c r="E1230" s="1463"/>
      <c r="F1230" s="1463"/>
      <c r="G1230" s="1463"/>
      <c r="H1230" s="1463"/>
      <c r="I1230" s="1463"/>
      <c r="J1230" s="1463"/>
      <c r="K1230" s="1463"/>
      <c r="L1230" s="10"/>
    </row>
    <row r="1231" spans="2:12" ht="12.75" customHeight="1">
      <c r="B1231" s="10"/>
      <c r="C1231" s="1463"/>
      <c r="D1231" s="1463"/>
      <c r="E1231" s="1463"/>
      <c r="F1231" s="1463"/>
      <c r="G1231" s="1463"/>
      <c r="H1231" s="1463"/>
      <c r="I1231" s="1463"/>
      <c r="J1231" s="1463"/>
      <c r="K1231" s="1463"/>
      <c r="L1231" s="10"/>
    </row>
    <row r="1232" spans="2:12" ht="12.75" customHeight="1">
      <c r="B1232" s="10"/>
      <c r="C1232" s="1463"/>
      <c r="D1232" s="1463"/>
      <c r="E1232" s="1463"/>
      <c r="F1232" s="1463"/>
      <c r="G1232" s="1463"/>
      <c r="H1232" s="1463"/>
      <c r="I1232" s="1463"/>
      <c r="J1232" s="1463"/>
      <c r="K1232" s="1463"/>
      <c r="L1232" s="10"/>
    </row>
    <row r="1233" spans="2:21" ht="12.75" customHeight="1">
      <c r="B1233" s="10"/>
      <c r="C1233" s="607"/>
      <c r="D1233" s="607"/>
      <c r="E1233" s="607"/>
      <c r="F1233" s="607"/>
      <c r="G1233" s="607"/>
      <c r="H1233" s="607"/>
      <c r="I1233" s="607"/>
      <c r="J1233" s="607"/>
      <c r="K1233" s="607"/>
      <c r="L1233" s="10"/>
    </row>
    <row r="1234" spans="2:21" ht="12.75" customHeight="1">
      <c r="B1234" s="10"/>
      <c r="C1234" s="1471" t="s">
        <v>125</v>
      </c>
      <c r="D1234" s="1471"/>
      <c r="E1234" s="1471"/>
      <c r="F1234" s="1471"/>
      <c r="G1234" s="1471"/>
      <c r="H1234" s="1471"/>
      <c r="I1234" s="1471"/>
      <c r="J1234" s="1471"/>
      <c r="K1234" s="1471"/>
      <c r="L1234" s="10"/>
    </row>
    <row r="1235" spans="2:21" ht="12.75" customHeight="1">
      <c r="B1235" s="10"/>
      <c r="C1235" s="1548" t="s">
        <v>376</v>
      </c>
      <c r="D1235" s="1548"/>
      <c r="E1235" s="1548"/>
      <c r="F1235" s="1548"/>
      <c r="G1235" s="1548"/>
      <c r="H1235" s="1548"/>
      <c r="I1235" s="1548"/>
      <c r="J1235" s="1548"/>
      <c r="K1235" s="1548"/>
      <c r="L1235" s="650"/>
      <c r="M1235" s="442"/>
      <c r="N1235" s="443"/>
      <c r="O1235" s="28"/>
      <c r="P1235" s="28"/>
      <c r="Q1235" s="28"/>
      <c r="R1235" s="28"/>
      <c r="S1235" s="28"/>
      <c r="T1235" s="28"/>
      <c r="U1235" s="28"/>
    </row>
    <row r="1236" spans="2:21" ht="12.75" customHeight="1">
      <c r="B1236" s="10"/>
      <c r="C1236" s="1548"/>
      <c r="D1236" s="1548"/>
      <c r="E1236" s="1548"/>
      <c r="F1236" s="1548"/>
      <c r="G1236" s="1548"/>
      <c r="H1236" s="1548"/>
      <c r="I1236" s="1548"/>
      <c r="J1236" s="1548"/>
      <c r="K1236" s="1548"/>
      <c r="L1236" s="650"/>
      <c r="M1236" s="442"/>
      <c r="N1236" s="443"/>
      <c r="O1236" s="28"/>
      <c r="P1236" s="28"/>
      <c r="Q1236" s="28"/>
      <c r="R1236" s="28"/>
      <c r="S1236" s="28"/>
      <c r="T1236" s="28"/>
      <c r="U1236" s="28"/>
    </row>
    <row r="1237" spans="2:21" ht="12.75" customHeight="1">
      <c r="B1237" s="10"/>
      <c r="C1237" s="1464" t="s">
        <v>45</v>
      </c>
      <c r="D1237" s="1547" t="s">
        <v>126</v>
      </c>
      <c r="E1237" s="1547"/>
      <c r="F1237" s="1547"/>
      <c r="G1237" s="1547"/>
      <c r="H1237" s="1547"/>
      <c r="I1237" s="1547"/>
      <c r="J1237" s="1547"/>
      <c r="K1237" s="1547"/>
      <c r="L1237" s="652"/>
      <c r="M1237" s="444"/>
      <c r="N1237" s="443"/>
      <c r="O1237" s="28"/>
      <c r="P1237" s="28"/>
      <c r="Q1237" s="28"/>
      <c r="R1237" s="28"/>
      <c r="S1237" s="28"/>
      <c r="T1237" s="28"/>
      <c r="U1237" s="28"/>
    </row>
    <row r="1238" spans="2:21" ht="12.75" customHeight="1">
      <c r="B1238" s="10"/>
      <c r="C1238" s="1464"/>
      <c r="D1238" s="1547"/>
      <c r="E1238" s="1547"/>
      <c r="F1238" s="1547"/>
      <c r="G1238" s="1547"/>
      <c r="H1238" s="1547"/>
      <c r="I1238" s="1547"/>
      <c r="J1238" s="1547"/>
      <c r="K1238" s="1547"/>
      <c r="L1238" s="652"/>
      <c r="M1238" s="444"/>
      <c r="N1238" s="443"/>
      <c r="O1238" s="28"/>
      <c r="P1238" s="28"/>
      <c r="Q1238" s="28"/>
      <c r="R1238" s="28"/>
      <c r="S1238" s="28"/>
      <c r="T1238" s="28"/>
      <c r="U1238" s="28"/>
    </row>
    <row r="1239" spans="2:21" ht="12.75" customHeight="1">
      <c r="B1239" s="10"/>
      <c r="C1239" s="1464"/>
      <c r="D1239" s="1547"/>
      <c r="E1239" s="1547"/>
      <c r="F1239" s="1547"/>
      <c r="G1239" s="1547"/>
      <c r="H1239" s="1547"/>
      <c r="I1239" s="1547"/>
      <c r="J1239" s="1547"/>
      <c r="K1239" s="1547"/>
      <c r="L1239" s="652"/>
      <c r="M1239" s="444"/>
      <c r="N1239" s="443"/>
      <c r="O1239" s="28"/>
      <c r="P1239" s="28"/>
      <c r="Q1239" s="28"/>
      <c r="R1239" s="28"/>
      <c r="S1239" s="28"/>
      <c r="T1239" s="28"/>
      <c r="U1239" s="28"/>
    </row>
    <row r="1240" spans="2:21" ht="20.100000000000001" customHeight="1">
      <c r="B1240" s="10"/>
      <c r="C1240" s="1444" t="s">
        <v>202</v>
      </c>
      <c r="D1240" s="1547" t="s">
        <v>127</v>
      </c>
      <c r="E1240" s="1547"/>
      <c r="F1240" s="1547"/>
      <c r="G1240" s="1547"/>
      <c r="H1240" s="1547"/>
      <c r="I1240" s="1547"/>
      <c r="J1240" s="1547"/>
      <c r="K1240" s="1547"/>
      <c r="L1240" s="652"/>
      <c r="M1240" s="444"/>
      <c r="N1240" s="443"/>
      <c r="O1240" s="28"/>
      <c r="P1240" s="28"/>
      <c r="Q1240" s="28"/>
      <c r="R1240" s="28"/>
      <c r="S1240" s="28"/>
      <c r="T1240" s="28"/>
      <c r="U1240" s="28"/>
    </row>
    <row r="1241" spans="2:21" ht="20.100000000000001" customHeight="1">
      <c r="B1241" s="10"/>
      <c r="C1241" s="1444"/>
      <c r="D1241" s="651">
        <v>5</v>
      </c>
      <c r="E1241" s="651">
        <v>15</v>
      </c>
      <c r="F1241" s="653">
        <v>20</v>
      </c>
      <c r="G1241" s="651">
        <v>25</v>
      </c>
      <c r="H1241" s="651">
        <v>30</v>
      </c>
      <c r="I1241" s="651">
        <v>35</v>
      </c>
      <c r="J1241" s="651">
        <v>40</v>
      </c>
      <c r="K1241" s="651">
        <v>45</v>
      </c>
      <c r="L1241" s="613"/>
      <c r="M1241" s="28"/>
      <c r="N1241" s="443"/>
      <c r="O1241" s="28"/>
      <c r="P1241" s="28"/>
      <c r="Q1241" s="28"/>
      <c r="R1241" s="28"/>
      <c r="S1241" s="28"/>
      <c r="T1241" s="28"/>
      <c r="U1241" s="28"/>
    </row>
    <row r="1242" spans="2:21" ht="20.100000000000001" customHeight="1">
      <c r="B1242" s="10"/>
      <c r="C1242" s="198">
        <v>80</v>
      </c>
      <c r="D1242" s="654">
        <v>0</v>
      </c>
      <c r="E1242" s="654">
        <v>0</v>
      </c>
      <c r="F1242" s="655">
        <v>0</v>
      </c>
      <c r="G1242" s="654">
        <v>0</v>
      </c>
      <c r="H1242" s="655">
        <v>0</v>
      </c>
      <c r="I1242" s="654">
        <v>0</v>
      </c>
      <c r="J1242" s="655">
        <v>0</v>
      </c>
      <c r="K1242" s="654">
        <v>0</v>
      </c>
      <c r="L1242" s="613"/>
      <c r="M1242" s="28"/>
      <c r="N1242" s="443"/>
      <c r="O1242" s="28"/>
      <c r="P1242" s="28"/>
      <c r="Q1242" s="28"/>
      <c r="R1242" s="28"/>
      <c r="S1242" s="28"/>
      <c r="T1242" s="28"/>
      <c r="U1242" s="28"/>
    </row>
    <row r="1243" spans="2:21" ht="20.100000000000001" customHeight="1">
      <c r="B1243" s="10"/>
      <c r="C1243" s="198">
        <v>85</v>
      </c>
      <c r="D1243" s="654">
        <v>1.5</v>
      </c>
      <c r="E1243" s="654">
        <v>5.5</v>
      </c>
      <c r="F1243" s="655">
        <v>6.5</v>
      </c>
      <c r="G1243" s="654">
        <v>7.5</v>
      </c>
      <c r="H1243" s="655">
        <v>8.5</v>
      </c>
      <c r="I1243" s="654">
        <v>9.5</v>
      </c>
      <c r="J1243" s="655">
        <v>10.5</v>
      </c>
      <c r="K1243" s="654">
        <v>7.5</v>
      </c>
      <c r="L1243" s="613"/>
      <c r="M1243" s="28"/>
      <c r="N1243" s="443"/>
      <c r="O1243" s="28"/>
      <c r="P1243" s="28"/>
      <c r="Q1243" s="28"/>
      <c r="R1243" s="28"/>
      <c r="S1243" s="28"/>
      <c r="T1243" s="28"/>
      <c r="U1243" s="28"/>
    </row>
    <row r="1244" spans="2:21" ht="20.100000000000001" customHeight="1">
      <c r="B1244" s="10"/>
      <c r="C1244" s="198">
        <v>90</v>
      </c>
      <c r="D1244" s="654">
        <v>5</v>
      </c>
      <c r="E1244" s="654">
        <v>15</v>
      </c>
      <c r="F1244" s="655">
        <v>17</v>
      </c>
      <c r="G1244" s="654">
        <v>17</v>
      </c>
      <c r="H1244" s="655">
        <v>19</v>
      </c>
      <c r="I1244" s="654">
        <v>21</v>
      </c>
      <c r="J1244" s="655">
        <v>22</v>
      </c>
      <c r="K1244" s="654">
        <v>16</v>
      </c>
      <c r="L1244" s="613"/>
      <c r="M1244" s="28"/>
      <c r="N1244" s="443"/>
      <c r="O1244" s="28"/>
      <c r="P1244" s="28"/>
      <c r="Q1244" s="28"/>
      <c r="R1244" s="28"/>
      <c r="S1244" s="28"/>
      <c r="T1244" s="28"/>
      <c r="U1244" s="28"/>
    </row>
    <row r="1245" spans="2:21" ht="20.100000000000001" customHeight="1">
      <c r="B1245" s="10"/>
      <c r="C1245" s="198">
        <v>95</v>
      </c>
      <c r="D1245" s="654">
        <v>9</v>
      </c>
      <c r="E1245" s="654">
        <v>26</v>
      </c>
      <c r="F1245" s="655">
        <v>30</v>
      </c>
      <c r="G1245" s="654">
        <v>31</v>
      </c>
      <c r="H1245" s="655">
        <v>33</v>
      </c>
      <c r="I1245" s="654">
        <v>34</v>
      </c>
      <c r="J1245" s="655">
        <v>31</v>
      </c>
      <c r="K1245" s="654">
        <v>25</v>
      </c>
      <c r="L1245" s="613"/>
      <c r="M1245" s="28"/>
      <c r="N1245" s="443"/>
      <c r="O1245" s="28"/>
      <c r="P1245" s="28"/>
      <c r="Q1245" s="28"/>
      <c r="R1245" s="28"/>
      <c r="S1245" s="28"/>
      <c r="T1245" s="28"/>
      <c r="U1245" s="28"/>
    </row>
    <row r="1246" spans="2:21" ht="20.100000000000001" customHeight="1">
      <c r="B1246" s="10"/>
      <c r="C1246" s="198">
        <v>100</v>
      </c>
      <c r="D1246" s="654">
        <v>14.5</v>
      </c>
      <c r="E1246" s="654">
        <v>39.5</v>
      </c>
      <c r="F1246" s="655">
        <v>44.5</v>
      </c>
      <c r="G1246" s="654">
        <v>45.5</v>
      </c>
      <c r="H1246" s="655">
        <v>46.5</v>
      </c>
      <c r="I1246" s="654">
        <v>46.5</v>
      </c>
      <c r="J1246" s="655">
        <v>43.5</v>
      </c>
      <c r="K1246" s="654">
        <v>35.5</v>
      </c>
      <c r="L1246" s="613"/>
      <c r="M1246" s="28"/>
      <c r="N1246" s="443"/>
      <c r="O1246" s="28"/>
      <c r="P1246" s="28"/>
      <c r="Q1246" s="28"/>
      <c r="R1246" s="28"/>
      <c r="S1246" s="28"/>
      <c r="T1246" s="28"/>
      <c r="U1246" s="28"/>
    </row>
    <row r="1247" spans="2:21" ht="20.100000000000001" customHeight="1">
      <c r="B1247" s="10"/>
      <c r="C1247" s="198">
        <v>105</v>
      </c>
      <c r="D1247" s="654">
        <v>20.5</v>
      </c>
      <c r="E1247" s="654">
        <v>55.5</v>
      </c>
      <c r="F1247" s="655">
        <v>60.5</v>
      </c>
      <c r="G1247" s="654">
        <v>62.5</v>
      </c>
      <c r="H1247" s="655">
        <v>64.5</v>
      </c>
      <c r="I1247" s="654">
        <v>63.5</v>
      </c>
      <c r="J1247" s="655">
        <v>56.5</v>
      </c>
      <c r="K1247" s="654">
        <v>43.5</v>
      </c>
      <c r="L1247" s="613"/>
      <c r="M1247" s="28"/>
      <c r="N1247" s="443"/>
      <c r="O1247" s="28"/>
      <c r="P1247" s="28"/>
      <c r="Q1247" s="28"/>
      <c r="R1247" s="28"/>
      <c r="S1247" s="28"/>
      <c r="T1247" s="28"/>
      <c r="U1247" s="28"/>
    </row>
    <row r="1248" spans="2:21" ht="20.100000000000001" customHeight="1">
      <c r="B1248" s="10"/>
      <c r="C1248" s="198">
        <v>110</v>
      </c>
      <c r="D1248" s="654">
        <v>28.5</v>
      </c>
      <c r="E1248" s="654">
        <v>73.5</v>
      </c>
      <c r="F1248" s="655">
        <v>80.5</v>
      </c>
      <c r="G1248" s="654">
        <v>80.5</v>
      </c>
      <c r="H1248" s="655">
        <v>79.5</v>
      </c>
      <c r="I1248" s="654">
        <v>74.5</v>
      </c>
      <c r="J1248" s="655">
        <v>64.5</v>
      </c>
      <c r="K1248" s="654">
        <v>47.5</v>
      </c>
      <c r="L1248" s="613"/>
      <c r="M1248" s="28"/>
      <c r="N1248" s="443"/>
      <c r="O1248" s="28"/>
      <c r="P1248" s="28"/>
      <c r="Q1248" s="28"/>
      <c r="R1248" s="28"/>
      <c r="S1248" s="28"/>
      <c r="T1248" s="28"/>
      <c r="U1248" s="28"/>
    </row>
    <row r="1249" spans="2:21" ht="20.100000000000001" customHeight="1">
      <c r="B1249" s="10"/>
      <c r="C1249" s="198">
        <v>115</v>
      </c>
      <c r="D1249" s="654">
        <v>38.5</v>
      </c>
      <c r="E1249" s="654">
        <v>85.5</v>
      </c>
      <c r="F1249" s="655">
        <v>89.5</v>
      </c>
      <c r="G1249" s="654">
        <v>86.5</v>
      </c>
      <c r="H1249" s="655">
        <v>83.5</v>
      </c>
      <c r="I1249" s="654">
        <v>77.5</v>
      </c>
      <c r="J1249" s="655">
        <v>66.5</v>
      </c>
      <c r="K1249" s="654">
        <v>49.5</v>
      </c>
      <c r="L1249" s="613"/>
      <c r="M1249" s="28"/>
      <c r="N1249" s="443"/>
      <c r="O1249" s="28"/>
      <c r="P1249" s="28"/>
      <c r="Q1249" s="28"/>
      <c r="R1249" s="28"/>
      <c r="S1249" s="28"/>
      <c r="T1249" s="28"/>
      <c r="U1249" s="28"/>
    </row>
    <row r="1250" spans="2:21" ht="12.75" customHeight="1">
      <c r="B1250" s="10"/>
      <c r="C1250" s="108"/>
      <c r="D1250" s="10"/>
      <c r="E1250" s="10"/>
      <c r="F1250" s="10"/>
      <c r="G1250" s="10"/>
      <c r="H1250" s="10"/>
      <c r="I1250" s="10"/>
      <c r="J1250" s="10"/>
      <c r="K1250" s="10"/>
      <c r="L1250" s="10"/>
    </row>
    <row r="1251" spans="2:21" ht="12.75" customHeight="1">
      <c r="B1251" s="10"/>
      <c r="C1251" s="108"/>
      <c r="D1251" s="10"/>
      <c r="E1251" s="10"/>
      <c r="F1251" s="10"/>
      <c r="G1251" s="10"/>
      <c r="H1251" s="10"/>
      <c r="I1251" s="10"/>
      <c r="J1251" s="10"/>
      <c r="K1251" s="10"/>
      <c r="L1251" s="10"/>
    </row>
    <row r="1252" spans="2:21" ht="12.75" customHeight="1">
      <c r="B1252" s="10"/>
      <c r="C1252" s="108"/>
      <c r="D1252" s="10"/>
      <c r="E1252" s="10"/>
      <c r="F1252" s="10"/>
      <c r="G1252" s="10"/>
      <c r="H1252" s="10"/>
      <c r="I1252" s="10"/>
      <c r="J1252" s="10"/>
      <c r="K1252" s="10"/>
      <c r="L1252" s="10"/>
    </row>
    <row r="1253" spans="2:21" ht="12.75" customHeight="1">
      <c r="B1253" s="10"/>
      <c r="C1253" s="108"/>
      <c r="D1253" s="10"/>
      <c r="E1253" s="10"/>
      <c r="F1253" s="10"/>
      <c r="G1253" s="10"/>
      <c r="H1253" s="10"/>
      <c r="I1253" s="10"/>
      <c r="J1253" s="10"/>
      <c r="K1253" s="10"/>
      <c r="L1253" s="10"/>
    </row>
    <row r="1254" spans="2:21" ht="12.75" customHeight="1">
      <c r="B1254" s="10"/>
      <c r="C1254" s="108"/>
      <c r="D1254" s="10"/>
      <c r="E1254" s="10"/>
      <c r="F1254" s="10"/>
      <c r="G1254" s="10"/>
      <c r="H1254" s="10"/>
      <c r="I1254" s="10"/>
      <c r="J1254" s="10"/>
      <c r="K1254" s="10"/>
      <c r="L1254" s="10"/>
    </row>
    <row r="1255" spans="2:21" ht="12.75" customHeight="1">
      <c r="B1255" s="10"/>
      <c r="C1255" s="1468" t="s">
        <v>128</v>
      </c>
      <c r="D1255" s="1468"/>
      <c r="E1255" s="1468"/>
      <c r="F1255" s="1468"/>
      <c r="G1255" s="1468"/>
      <c r="H1255" s="1468"/>
      <c r="I1255" s="1468"/>
      <c r="J1255" s="1468"/>
      <c r="K1255" s="1468"/>
      <c r="L1255" s="10"/>
    </row>
    <row r="1256" spans="2:21" ht="12.75" customHeight="1">
      <c r="B1256" s="10"/>
      <c r="C1256" s="108"/>
      <c r="D1256" s="10"/>
      <c r="E1256" s="10"/>
      <c r="F1256" s="10"/>
      <c r="G1256" s="10"/>
      <c r="H1256" s="10"/>
      <c r="I1256" s="10"/>
      <c r="J1256" s="10"/>
      <c r="K1256" s="10"/>
      <c r="L1256" s="10"/>
    </row>
    <row r="1257" spans="2:21" ht="15" customHeight="1">
      <c r="B1257" s="10"/>
      <c r="C1257" s="1549" t="s">
        <v>264</v>
      </c>
      <c r="D1257" s="1549"/>
      <c r="E1257" s="1549"/>
      <c r="F1257" s="1549"/>
      <c r="G1257" s="1549"/>
      <c r="H1257" s="1549"/>
      <c r="I1257" s="198">
        <f>G517</f>
        <v>450</v>
      </c>
      <c r="J1257" s="10"/>
      <c r="K1257" s="10"/>
      <c r="L1257" s="10"/>
    </row>
    <row r="1258" spans="2:21" ht="15" customHeight="1">
      <c r="B1258" s="10"/>
      <c r="C1258" s="1542" t="s">
        <v>265</v>
      </c>
      <c r="D1258" s="1543"/>
      <c r="E1258" s="1543"/>
      <c r="F1258" s="1543"/>
      <c r="G1258" s="1543"/>
      <c r="H1258" s="1544"/>
      <c r="I1258" s="198">
        <f>'NIHL Compenation Cost'!K5</f>
        <v>25</v>
      </c>
      <c r="J1258" s="10"/>
      <c r="K1258" s="10"/>
      <c r="L1258" s="10"/>
    </row>
    <row r="1259" spans="2:21" ht="15" customHeight="1">
      <c r="B1259" s="10"/>
      <c r="C1259" s="1542" t="s">
        <v>266</v>
      </c>
      <c r="D1259" s="1543"/>
      <c r="E1259" s="1543"/>
      <c r="F1259" s="1543"/>
      <c r="G1259" s="1543"/>
      <c r="H1259" s="1544"/>
      <c r="I1259" s="641">
        <f>'NIHL Compenation Cost'!F7</f>
        <v>30500</v>
      </c>
      <c r="J1259" s="10"/>
      <c r="K1259" s="10"/>
      <c r="L1259" s="10"/>
    </row>
    <row r="1260" spans="2:21" ht="15" customHeight="1">
      <c r="B1260" s="10"/>
      <c r="C1260" s="1542" t="s">
        <v>267</v>
      </c>
      <c r="D1260" s="1543"/>
      <c r="E1260" s="1543"/>
      <c r="F1260" s="1543"/>
      <c r="G1260" s="1543"/>
      <c r="H1260" s="1544"/>
      <c r="I1260" s="656">
        <f>'NIHL Compenation Cost'!K7</f>
        <v>0.15</v>
      </c>
      <c r="J1260" s="10"/>
      <c r="K1260" s="10"/>
      <c r="L1260" s="10"/>
    </row>
    <row r="1261" spans="2:21" ht="12.75" customHeight="1">
      <c r="B1261" s="10"/>
      <c r="C1261" s="628"/>
      <c r="D1261" s="628"/>
      <c r="E1261" s="628"/>
      <c r="F1261" s="628"/>
      <c r="G1261" s="628"/>
      <c r="H1261" s="630"/>
      <c r="I1261" s="643"/>
      <c r="J1261" s="10"/>
      <c r="K1261" s="10"/>
      <c r="L1261" s="10"/>
    </row>
    <row r="1262" spans="2:21" ht="12.75" customHeight="1">
      <c r="B1262" s="10"/>
      <c r="C1262" s="1463" t="s">
        <v>268</v>
      </c>
      <c r="D1262" s="1463"/>
      <c r="E1262" s="1463"/>
      <c r="F1262" s="1463"/>
      <c r="G1262" s="1463"/>
      <c r="H1262" s="1463"/>
      <c r="I1262" s="1463"/>
      <c r="J1262" s="1463"/>
      <c r="K1262" s="1463"/>
      <c r="L1262" s="10"/>
    </row>
    <row r="1263" spans="2:21" ht="12.75" customHeight="1">
      <c r="B1263" s="10"/>
      <c r="C1263" s="1463"/>
      <c r="D1263" s="1463"/>
      <c r="E1263" s="1463"/>
      <c r="F1263" s="1463"/>
      <c r="G1263" s="1463"/>
      <c r="H1263" s="1463"/>
      <c r="I1263" s="1463"/>
      <c r="J1263" s="1463"/>
      <c r="K1263" s="1463"/>
      <c r="L1263" s="10"/>
    </row>
    <row r="1264" spans="2:21" ht="12.75" customHeight="1">
      <c r="B1264" s="10"/>
      <c r="C1264" s="1463"/>
      <c r="D1264" s="1463"/>
      <c r="E1264" s="1463"/>
      <c r="F1264" s="1463"/>
      <c r="G1264" s="1463"/>
      <c r="H1264" s="1463"/>
      <c r="I1264" s="1463"/>
      <c r="J1264" s="1463"/>
      <c r="K1264" s="1463"/>
      <c r="L1264" s="10"/>
    </row>
    <row r="1265" spans="2:12" ht="12.75" customHeight="1">
      <c r="B1265" s="10"/>
      <c r="C1265" s="628"/>
      <c r="D1265" s="628"/>
      <c r="E1265" s="628"/>
      <c r="F1265" s="628"/>
      <c r="G1265" s="628"/>
      <c r="H1265" s="630"/>
      <c r="I1265" s="643"/>
      <c r="J1265" s="10"/>
      <c r="K1265" s="10"/>
      <c r="L1265" s="10"/>
    </row>
    <row r="1266" spans="2:12" ht="12.75" customHeight="1">
      <c r="B1266" s="10"/>
      <c r="C1266" s="1530" t="s">
        <v>129</v>
      </c>
      <c r="D1266" s="1530"/>
      <c r="E1266" s="1530"/>
      <c r="F1266" s="1530"/>
      <c r="G1266" s="1530"/>
      <c r="H1266" s="1530"/>
      <c r="I1266" s="1530"/>
      <c r="J1266" s="1530"/>
      <c r="K1266" s="1530"/>
      <c r="L1266" s="10"/>
    </row>
    <row r="1267" spans="2:12" ht="12.75" customHeight="1">
      <c r="B1267" s="10"/>
      <c r="C1267" s="1516" t="s">
        <v>130</v>
      </c>
      <c r="D1267" s="1516" t="s">
        <v>131</v>
      </c>
      <c r="E1267" s="1516" t="s">
        <v>132</v>
      </c>
      <c r="F1267" s="1516" t="s">
        <v>133</v>
      </c>
      <c r="G1267" s="1516" t="s">
        <v>134</v>
      </c>
      <c r="H1267" s="1531" t="s">
        <v>135</v>
      </c>
      <c r="I1267" s="1532"/>
      <c r="J1267" s="1531" t="s">
        <v>136</v>
      </c>
      <c r="K1267" s="1532"/>
      <c r="L1267" s="10"/>
    </row>
    <row r="1268" spans="2:12" ht="12.75" customHeight="1">
      <c r="B1268" s="10"/>
      <c r="C1268" s="1517"/>
      <c r="D1268" s="1517"/>
      <c r="E1268" s="1517"/>
      <c r="F1268" s="1517"/>
      <c r="G1268" s="1517"/>
      <c r="H1268" s="1533"/>
      <c r="I1268" s="1534"/>
      <c r="J1268" s="1533"/>
      <c r="K1268" s="1534"/>
      <c r="L1268" s="10"/>
    </row>
    <row r="1269" spans="2:12" ht="12.75" customHeight="1">
      <c r="B1269" s="10"/>
      <c r="C1269" s="1517"/>
      <c r="D1269" s="1517"/>
      <c r="E1269" s="1517"/>
      <c r="F1269" s="1517"/>
      <c r="G1269" s="1517"/>
      <c r="H1269" s="1533"/>
      <c r="I1269" s="1534"/>
      <c r="J1269" s="1533"/>
      <c r="K1269" s="1534"/>
      <c r="L1269" s="10"/>
    </row>
    <row r="1270" spans="2:12" ht="12.75" customHeight="1">
      <c r="B1270" s="10"/>
      <c r="C1270" s="1517"/>
      <c r="D1270" s="1517"/>
      <c r="E1270" s="1517"/>
      <c r="F1270" s="1517"/>
      <c r="G1270" s="1517"/>
      <c r="H1270" s="1533"/>
      <c r="I1270" s="1534"/>
      <c r="J1270" s="1533"/>
      <c r="K1270" s="1534"/>
      <c r="L1270" s="10"/>
    </row>
    <row r="1271" spans="2:12" ht="12.75" customHeight="1">
      <c r="B1271" s="10"/>
      <c r="C1271" s="1517"/>
      <c r="D1271" s="1517"/>
      <c r="E1271" s="1517"/>
      <c r="F1271" s="1517"/>
      <c r="G1271" s="1517"/>
      <c r="H1271" s="1533"/>
      <c r="I1271" s="1534"/>
      <c r="J1271" s="1533"/>
      <c r="K1271" s="1534"/>
      <c r="L1271" s="10"/>
    </row>
    <row r="1272" spans="2:12" ht="12.75" customHeight="1">
      <c r="B1272" s="10"/>
      <c r="C1272" s="1518"/>
      <c r="D1272" s="1518"/>
      <c r="E1272" s="1518"/>
      <c r="F1272" s="1518"/>
      <c r="G1272" s="1518"/>
      <c r="H1272" s="1535"/>
      <c r="I1272" s="1536"/>
      <c r="J1272" s="1535"/>
      <c r="K1272" s="1536"/>
      <c r="L1272" s="10"/>
    </row>
    <row r="1273" spans="2:12" ht="26.1" customHeight="1">
      <c r="B1273" s="10"/>
      <c r="C1273" s="538" t="s">
        <v>137</v>
      </c>
      <c r="D1273" s="150">
        <f>'Working Master '!T544</f>
        <v>95.020599913279639</v>
      </c>
      <c r="E1273" s="150">
        <f>'Working Master '!U546</f>
        <v>90.15</v>
      </c>
      <c r="F1273" s="150">
        <f>IF($I$1258=15,VLOOKUP(E1273,'Lookup Risk Table'!$B$9:$L$54,5),IF($I$1258=20,VLOOKUP(E1273,'Lookup Risk Table'!$B$9:$L$54,6),IF($I$1258=25,VLOOKUP(E1273,'Lookup Risk Table'!$B$9:$L$54,7),IF($I$1258=30,VLOOKUP(E1273,'Lookup Risk Table'!$B$9:$L$54,8),IF($I$1258=35,VLOOKUP(E1273,'Lookup Risk Table'!$B$9:$L$54,9),IF($I$1258=40,VLOOKUP(E1273,'Lookup Risk Table'!$B$9:$L$54,10),IF($I$1258=40,VLOOKUP(E1273,'Lookup Risk Table'!$B$9:$L$54,10))))))))</f>
        <v>17</v>
      </c>
      <c r="G1273" s="657">
        <f>F1273</f>
        <v>17</v>
      </c>
      <c r="H1273" s="1443">
        <f>$I$1259*F1273</f>
        <v>518500</v>
      </c>
      <c r="I1273" s="1443"/>
      <c r="J1273" s="1443">
        <f>H1273+(H1273*$I$1260)</f>
        <v>596275</v>
      </c>
      <c r="K1273" s="1443"/>
      <c r="L1273" s="10"/>
    </row>
    <row r="1274" spans="2:12" ht="26.1" customHeight="1">
      <c r="B1274" s="10"/>
      <c r="C1274" s="538" t="s">
        <v>138</v>
      </c>
      <c r="D1274" s="150">
        <f>'Working Master '!T486</f>
        <v>101.02059991327963</v>
      </c>
      <c r="E1274" s="150">
        <f>'Working Master '!U488</f>
        <v>94.95</v>
      </c>
      <c r="F1274" s="150">
        <f>IF($I$1258=15,VLOOKUP(E1274,'Lookup Risk Table'!$B$9:$L$54,5),IF($I$1258=20,VLOOKUP(E1274,'Lookup Risk Table'!$B$9:$L$54,6),IF($I$1258=25,VLOOKUP(E1274,'Lookup Risk Table'!$B$9:$L$54,7),IF($I$1258=30,VLOOKUP(E1274,'Lookup Risk Table'!$B$9:$L$54,8),IF($I$1258=35,VLOOKUP(E1274,'Lookup Risk Table'!$B$9:$L$54,9),IF($I$1258=40,VLOOKUP(E1274,'Lookup Risk Table'!$B$9:$L$54,10),IF($I$1258=40,VLOOKUP(E1274,'Lookup Risk Table'!$B$9:$L$54,10))))))))</f>
        <v>28.200000000000003</v>
      </c>
      <c r="G1274" s="150">
        <f>F1274</f>
        <v>28.200000000000003</v>
      </c>
      <c r="H1274" s="1443">
        <f>$I$1259*G1274</f>
        <v>860100.00000000012</v>
      </c>
      <c r="I1274" s="1443"/>
      <c r="J1274" s="1443">
        <f>H1274+(H1274*$I$1260)</f>
        <v>989115.00000000012</v>
      </c>
      <c r="K1274" s="1443"/>
      <c r="L1274" s="10"/>
    </row>
    <row r="1275" spans="2:12" ht="26.1" customHeight="1">
      <c r="B1275" s="10"/>
      <c r="C1275" s="538" t="s">
        <v>579</v>
      </c>
      <c r="D1275" s="150">
        <f>'Working Master '!T515</f>
        <v>102.02059991327963</v>
      </c>
      <c r="E1275" s="150">
        <f>'Working Master '!U517</f>
        <v>95.3</v>
      </c>
      <c r="F1275" s="150">
        <f>IF($I$1258=15,VLOOKUP(E1275,'Lookup Risk Table'!$B$9:$L$54,5),IF($I$1258=20,VLOOKUP(E1275,'Lookup Risk Table'!$B$9:$L$54,6),IF($I$1258=25,VLOOKUP(E1275,'Lookup Risk Table'!$B$9:$L$54,7),IF($I$1258=30,VLOOKUP(E1275,'Lookup Risk Table'!$B$9:$L$54,8),IF($I$1258=35,VLOOKUP(E1275,'Lookup Risk Table'!$B$9:$L$54,9),IF($I$1258=40,VLOOKUP(E1275,'Lookup Risk Table'!$B$9:$L$54,10),IF($I$1258=40,VLOOKUP(E1275,'Lookup Risk Table'!$B$9:$L$54,10))))))))</f>
        <v>31</v>
      </c>
      <c r="G1275" s="150">
        <f>F1275</f>
        <v>31</v>
      </c>
      <c r="H1275" s="1443">
        <f>$I$1259*G1275</f>
        <v>945500</v>
      </c>
      <c r="I1275" s="1443"/>
      <c r="J1275" s="1443">
        <f>H1275+(H1275*$I$1260)</f>
        <v>1087325</v>
      </c>
      <c r="K1275" s="1443"/>
      <c r="L1275" s="10"/>
    </row>
    <row r="1276" spans="2:12" ht="26.1" customHeight="1">
      <c r="B1276" s="10"/>
      <c r="C1276" s="538" t="s">
        <v>139</v>
      </c>
      <c r="D1276" s="150">
        <f>'Working Master '!T457</f>
        <v>109.02059991327964</v>
      </c>
      <c r="E1276" s="150">
        <f>'Working Master '!U459</f>
        <v>101.55</v>
      </c>
      <c r="F1276" s="150">
        <f>IF($I$1258=15,VLOOKUP(E1276,'Lookup Risk Table'!$B$9:$L$54,5),IF($I$1258=20,VLOOKUP(E1276,'Lookup Risk Table'!$B$9:$L$54,6),IF($I$1258=25,VLOOKUP(E1276,'Lookup Risk Table'!$B$9:$L$54,7),IF($I$1258=30,VLOOKUP(E1276,'Lookup Risk Table'!$B$9:$L$54,8),IF($I$1258=35,VLOOKUP(E1276,'Lookup Risk Table'!$B$9:$L$54,9),IF($I$1258=40,VLOOKUP(E1276,'Lookup Risk Table'!$B$9:$L$54,10),IF($I$1258=40,VLOOKUP(E1276,'Lookup Risk Table'!$B$9:$L$54,10))))))))</f>
        <v>48.9</v>
      </c>
      <c r="G1276" s="150">
        <f>F1276</f>
        <v>48.9</v>
      </c>
      <c r="H1276" s="1443">
        <f>$I$1259*G1276</f>
        <v>1491450</v>
      </c>
      <c r="I1276" s="1443"/>
      <c r="J1276" s="1443">
        <f>H1276+(H1276*$I$1260)</f>
        <v>1715167.5</v>
      </c>
      <c r="K1276" s="1443"/>
      <c r="L1276" s="10"/>
    </row>
    <row r="1277" spans="2:12" ht="12.75" customHeight="1">
      <c r="B1277" s="10"/>
      <c r="C1277" s="1463" t="s">
        <v>687</v>
      </c>
      <c r="D1277" s="1463"/>
      <c r="E1277" s="1463"/>
      <c r="F1277" s="1463"/>
      <c r="G1277" s="1463"/>
      <c r="H1277" s="1463"/>
      <c r="I1277" s="1463"/>
      <c r="J1277" s="1463"/>
      <c r="K1277" s="1463"/>
      <c r="L1277" s="10"/>
    </row>
    <row r="1278" spans="2:12" ht="12.75" customHeight="1">
      <c r="B1278" s="10"/>
      <c r="C1278" s="1463"/>
      <c r="D1278" s="1463"/>
      <c r="E1278" s="1463"/>
      <c r="F1278" s="1463"/>
      <c r="G1278" s="1463"/>
      <c r="H1278" s="1463"/>
      <c r="I1278" s="1463"/>
      <c r="J1278" s="1463"/>
      <c r="K1278" s="1463"/>
      <c r="L1278" s="10"/>
    </row>
    <row r="1279" spans="2:12" ht="12.75" customHeight="1">
      <c r="B1279" s="10"/>
      <c r="C1279" s="1463"/>
      <c r="D1279" s="1463"/>
      <c r="E1279" s="1463"/>
      <c r="F1279" s="1463"/>
      <c r="G1279" s="1463"/>
      <c r="H1279" s="1463"/>
      <c r="I1279" s="1463"/>
      <c r="J1279" s="1463"/>
      <c r="K1279" s="1463"/>
      <c r="L1279" s="10"/>
    </row>
    <row r="1280" spans="2:12" ht="12.75" customHeight="1">
      <c r="B1280" s="10"/>
      <c r="C1280" s="628"/>
      <c r="D1280" s="628"/>
      <c r="E1280" s="628"/>
      <c r="F1280" s="628"/>
      <c r="G1280" s="628"/>
      <c r="H1280" s="630"/>
      <c r="I1280" s="643"/>
      <c r="J1280" s="10"/>
      <c r="K1280" s="10"/>
      <c r="L1280" s="10"/>
    </row>
    <row r="1281" spans="2:12" ht="12.75" customHeight="1">
      <c r="B1281" s="10"/>
      <c r="C1281" s="1530" t="s">
        <v>140</v>
      </c>
      <c r="D1281" s="1530"/>
      <c r="E1281" s="1530"/>
      <c r="F1281" s="1530"/>
      <c r="G1281" s="1530"/>
      <c r="H1281" s="1530"/>
      <c r="I1281" s="1530"/>
      <c r="J1281" s="1530"/>
      <c r="K1281" s="1530"/>
      <c r="L1281" s="10"/>
    </row>
    <row r="1282" spans="2:12" ht="12.75" customHeight="1">
      <c r="B1282" s="10"/>
      <c r="C1282" s="1529" t="s">
        <v>130</v>
      </c>
      <c r="D1282" s="1529" t="s">
        <v>131</v>
      </c>
      <c r="E1282" s="1529" t="s">
        <v>132</v>
      </c>
      <c r="F1282" s="1529" t="s">
        <v>133</v>
      </c>
      <c r="G1282" s="1529" t="s">
        <v>134</v>
      </c>
      <c r="H1282" s="1529" t="s">
        <v>135</v>
      </c>
      <c r="I1282" s="1529"/>
      <c r="J1282" s="1531" t="s">
        <v>136</v>
      </c>
      <c r="K1282" s="1532"/>
      <c r="L1282" s="10"/>
    </row>
    <row r="1283" spans="2:12" ht="12.75" customHeight="1">
      <c r="B1283" s="10"/>
      <c r="C1283" s="1529"/>
      <c r="D1283" s="1529"/>
      <c r="E1283" s="1529"/>
      <c r="F1283" s="1529"/>
      <c r="G1283" s="1529"/>
      <c r="H1283" s="1529"/>
      <c r="I1283" s="1529"/>
      <c r="J1283" s="1533"/>
      <c r="K1283" s="1534"/>
      <c r="L1283" s="10"/>
    </row>
    <row r="1284" spans="2:12" ht="12.75" customHeight="1">
      <c r="B1284" s="10"/>
      <c r="C1284" s="1529"/>
      <c r="D1284" s="1529"/>
      <c r="E1284" s="1529"/>
      <c r="F1284" s="1529"/>
      <c r="G1284" s="1529"/>
      <c r="H1284" s="1529"/>
      <c r="I1284" s="1529"/>
      <c r="J1284" s="1533"/>
      <c r="K1284" s="1534"/>
      <c r="L1284" s="10"/>
    </row>
    <row r="1285" spans="2:12" ht="12.75" customHeight="1">
      <c r="B1285" s="10"/>
      <c r="C1285" s="1529"/>
      <c r="D1285" s="1529"/>
      <c r="E1285" s="1529"/>
      <c r="F1285" s="1529"/>
      <c r="G1285" s="1529"/>
      <c r="H1285" s="1529"/>
      <c r="I1285" s="1529"/>
      <c r="J1285" s="1533"/>
      <c r="K1285" s="1534"/>
      <c r="L1285" s="10"/>
    </row>
    <row r="1286" spans="2:12" ht="12.75" customHeight="1">
      <c r="B1286" s="10"/>
      <c r="C1286" s="1529"/>
      <c r="D1286" s="1529"/>
      <c r="E1286" s="1529"/>
      <c r="F1286" s="1529"/>
      <c r="G1286" s="1529"/>
      <c r="H1286" s="1529"/>
      <c r="I1286" s="1529"/>
      <c r="J1286" s="1533"/>
      <c r="K1286" s="1534"/>
      <c r="L1286" s="10"/>
    </row>
    <row r="1287" spans="2:12" ht="12.75" customHeight="1">
      <c r="B1287" s="10"/>
      <c r="C1287" s="1529"/>
      <c r="D1287" s="1529"/>
      <c r="E1287" s="1529"/>
      <c r="F1287" s="1529"/>
      <c r="G1287" s="1529"/>
      <c r="H1287" s="1529"/>
      <c r="I1287" s="1529"/>
      <c r="J1287" s="1535"/>
      <c r="K1287" s="1536"/>
      <c r="L1287" s="10"/>
    </row>
    <row r="1288" spans="2:12" ht="26.1" customHeight="1">
      <c r="B1288" s="10"/>
      <c r="C1288" s="538" t="s">
        <v>137</v>
      </c>
      <c r="D1288" s="150">
        <f>'Working Master '!T531</f>
        <v>108.02059991327964</v>
      </c>
      <c r="E1288" s="150">
        <f>'Working Master '!U533</f>
        <v>103.15</v>
      </c>
      <c r="F1288" s="150">
        <f>IF($I$1258=15,VLOOKUP(E1288,'Lookup Risk Table'!$B$9:$L$54,5),IF($I$1258=20,VLOOKUP(E1288,'Lookup Risk Table'!$B$9:$L$54,6),IF($I$1258=25,VLOOKUP(E1288,'Lookup Risk Table'!$B$9:$L$54,7),IF($I$1258=30,VLOOKUP(E1288,'Lookup Risk Table'!$B$9:$L$54,8),IF($I$1258=35,VLOOKUP(E1288,'Lookup Risk Table'!$B$9:$L$54,9),IF($I$1258=40,VLOOKUP(E1288,'Lookup Risk Table'!$B$9:$L$54,10),IF($I$1258=40,VLOOKUP(E1288,'Lookup Risk Table'!$B$9:$L$54,10))))))))</f>
        <v>55.699999999999996</v>
      </c>
      <c r="G1288" s="150">
        <f>F1288</f>
        <v>55.699999999999996</v>
      </c>
      <c r="H1288" s="1443">
        <f>$I$1259*G1288</f>
        <v>1698849.9999999998</v>
      </c>
      <c r="I1288" s="1443"/>
      <c r="J1288" s="1443">
        <f>H1288+(H1288*$I$1260)</f>
        <v>1953677.4999999998</v>
      </c>
      <c r="K1288" s="1443"/>
      <c r="L1288" s="10"/>
    </row>
    <row r="1289" spans="2:12" ht="26.1" customHeight="1">
      <c r="B1289" s="10"/>
      <c r="C1289" s="538" t="s">
        <v>138</v>
      </c>
      <c r="D1289" s="150">
        <f>'Working Master '!T473</f>
        <v>114.02059991327963</v>
      </c>
      <c r="E1289" s="150">
        <f>'Working Master '!U475</f>
        <v>107.95</v>
      </c>
      <c r="F1289" s="150">
        <f>IF($I$1258=15,VLOOKUP(E1289,'Lookup Risk Table'!$B$9:$L$54,5),IF($I$1258=20,VLOOKUP(E1289,'Lookup Risk Table'!$B$9:$L$54,6),IF($I$1258=25,VLOOKUP(E1289,'Lookup Risk Table'!$B$9:$L$54,7),IF($I$1258=30,VLOOKUP(E1289,'Lookup Risk Table'!$B$9:$L$54,8),IF($I$1258=35,VLOOKUP(E1289,'Lookup Risk Table'!$B$9:$L$54,9),IF($I$1258=40,VLOOKUP(E1289,'Lookup Risk Table'!$B$9:$L$54,10),IF($I$1258=40,VLOOKUP(E1289,'Lookup Risk Table'!$B$9:$L$54,10))))))))</f>
        <v>69.699999999999989</v>
      </c>
      <c r="G1289" s="150">
        <f>F1289</f>
        <v>69.699999999999989</v>
      </c>
      <c r="H1289" s="1443">
        <f>$I$1259*G1289</f>
        <v>2125849.9999999995</v>
      </c>
      <c r="I1289" s="1443"/>
      <c r="J1289" s="1443">
        <f>H1289+(H1289*$I$1260)</f>
        <v>2444727.4999999995</v>
      </c>
      <c r="K1289" s="1443"/>
      <c r="L1289" s="10"/>
    </row>
    <row r="1290" spans="2:12" ht="26.1" customHeight="1">
      <c r="B1290" s="10"/>
      <c r="C1290" s="538" t="s">
        <v>579</v>
      </c>
      <c r="D1290" s="150">
        <f>'Working Master '!T502</f>
        <v>115.02059991327963</v>
      </c>
      <c r="E1290" s="150">
        <f>'Working Master '!U504</f>
        <v>108.4</v>
      </c>
      <c r="F1290" s="150">
        <f>IF($I$1258=15,VLOOKUP(E1290,'Lookup Risk Table'!$B$9:$L$54,5),IF($I$1258=20,VLOOKUP(E1290,'Lookup Risk Table'!$B$9:$L$54,6),IF($I$1258=25,VLOOKUP(E1290,'Lookup Risk Table'!$B$9:$L$54,7),IF($I$1258=30,VLOOKUP(E1290,'Lookup Risk Table'!$B$9:$L$54,8),IF($I$1258=35,VLOOKUP(E1290,'Lookup Risk Table'!$B$9:$L$54,9),IF($I$1258=40,VLOOKUP(E1290,'Lookup Risk Table'!$B$9:$L$54,10),IF($I$1258=40,VLOOKUP(E1290,'Lookup Risk Table'!$B$9:$L$54,10))))))))</f>
        <v>73.299999999999983</v>
      </c>
      <c r="G1290" s="150">
        <f>F1290</f>
        <v>73.299999999999983</v>
      </c>
      <c r="H1290" s="1443">
        <f>$I$1259*G1290</f>
        <v>2235649.9999999995</v>
      </c>
      <c r="I1290" s="1443"/>
      <c r="J1290" s="1443">
        <f>H1290+(H1290*$I$1260)</f>
        <v>2570997.4999999995</v>
      </c>
      <c r="K1290" s="1443"/>
      <c r="L1290" s="10"/>
    </row>
    <row r="1291" spans="2:12" ht="26.1" customHeight="1">
      <c r="B1291" s="10"/>
      <c r="C1291" s="538" t="s">
        <v>139</v>
      </c>
      <c r="D1291" s="150">
        <f>'Working Master '!T444</f>
        <v>122.02059991327964</v>
      </c>
      <c r="E1291" s="150">
        <f>'Working Master '!U446</f>
        <v>113.95</v>
      </c>
      <c r="F1291" s="150">
        <f>IF($I$1258=15,VLOOKUP(E1291,'Lookup Risk Table'!$B$9:$L$54,5),IF($I$1258=20,VLOOKUP(E1291,'Lookup Risk Table'!$B$9:$L$54,6),IF($I$1258=25,VLOOKUP(E1291,'Lookup Risk Table'!$B$9:$L$54,7),IF($I$1258=30,VLOOKUP(E1291,'Lookup Risk Table'!$B$9:$L$54,8),IF($I$1258=35,VLOOKUP(E1291,'Lookup Risk Table'!$B$9:$L$54,9),IF($I$1258=40,VLOOKUP(E1291,'Lookup Risk Table'!$B$9:$L$54,10),IF($I$1258=40,VLOOKUP(E1291,'Lookup Risk Table'!$B$9:$L$54,10))))))))</f>
        <v>84.100000000000009</v>
      </c>
      <c r="G1291" s="150">
        <f>F1291</f>
        <v>84.100000000000009</v>
      </c>
      <c r="H1291" s="1443">
        <f>$I$1259*G1291</f>
        <v>2565050.0000000005</v>
      </c>
      <c r="I1291" s="1443"/>
      <c r="J1291" s="1443">
        <f>H1291+(H1291*$I$1260)</f>
        <v>2949807.5000000005</v>
      </c>
      <c r="K1291" s="1443"/>
      <c r="L1291" s="10"/>
    </row>
    <row r="1292" spans="2:12" ht="12.75" customHeight="1">
      <c r="B1292" s="10"/>
      <c r="C1292" s="1463" t="s">
        <v>687</v>
      </c>
      <c r="D1292" s="1463"/>
      <c r="E1292" s="1463"/>
      <c r="F1292" s="1463"/>
      <c r="G1292" s="1463"/>
      <c r="H1292" s="1463"/>
      <c r="I1292" s="1463"/>
      <c r="J1292" s="1463"/>
      <c r="K1292" s="1463"/>
      <c r="L1292" s="10"/>
    </row>
    <row r="1293" spans="2:12" ht="12.75" customHeight="1">
      <c r="B1293" s="10"/>
      <c r="C1293" s="1463"/>
      <c r="D1293" s="1463"/>
      <c r="E1293" s="1463"/>
      <c r="F1293" s="1463"/>
      <c r="G1293" s="1463"/>
      <c r="H1293" s="1463"/>
      <c r="I1293" s="1463"/>
      <c r="J1293" s="1463"/>
      <c r="K1293" s="1463"/>
      <c r="L1293" s="10"/>
    </row>
    <row r="1294" spans="2:12" ht="12.75" customHeight="1">
      <c r="B1294" s="10"/>
      <c r="C1294" s="1463"/>
      <c r="D1294" s="1463"/>
      <c r="E1294" s="1463"/>
      <c r="F1294" s="1463"/>
      <c r="G1294" s="1463"/>
      <c r="H1294" s="1463"/>
      <c r="I1294" s="1463"/>
      <c r="J1294" s="1463"/>
      <c r="K1294" s="1463"/>
      <c r="L1294" s="10"/>
    </row>
    <row r="1295" spans="2:12" ht="12.75" customHeight="1">
      <c r="B1295" s="10"/>
      <c r="C1295" s="658"/>
      <c r="D1295" s="188"/>
      <c r="E1295" s="188"/>
      <c r="F1295" s="188"/>
      <c r="G1295" s="188"/>
      <c r="H1295" s="659"/>
      <c r="I1295" s="659"/>
      <c r="J1295" s="659"/>
      <c r="K1295" s="659"/>
      <c r="L1295" s="10"/>
    </row>
    <row r="1296" spans="2:12" ht="12.75" customHeight="1">
      <c r="B1296" s="10"/>
      <c r="C1296" s="635" t="s">
        <v>812</v>
      </c>
      <c r="D1296" s="10"/>
      <c r="E1296" s="10"/>
      <c r="F1296" s="10"/>
      <c r="G1296" s="10"/>
      <c r="H1296" s="10"/>
      <c r="I1296" s="10"/>
      <c r="J1296" s="10"/>
      <c r="K1296" s="10"/>
      <c r="L1296" s="10"/>
    </row>
    <row r="1297" spans="2:12" ht="12.75" customHeight="1">
      <c r="B1297" s="10"/>
      <c r="C1297" s="108"/>
      <c r="D1297" s="10"/>
      <c r="E1297" s="10"/>
      <c r="F1297" s="10"/>
      <c r="G1297" s="10"/>
      <c r="H1297" s="10"/>
      <c r="I1297" s="10"/>
      <c r="J1297" s="10"/>
      <c r="K1297" s="10"/>
      <c r="L1297" s="10"/>
    </row>
    <row r="1298" spans="2:12" ht="12.75" customHeight="1">
      <c r="B1298" s="10"/>
      <c r="C1298" s="1463" t="s">
        <v>688</v>
      </c>
      <c r="D1298" s="1463"/>
      <c r="E1298" s="1463"/>
      <c r="F1298" s="1463"/>
      <c r="G1298" s="1463"/>
      <c r="H1298" s="1463"/>
      <c r="I1298" s="1463"/>
      <c r="J1298" s="1463"/>
      <c r="K1298" s="1463"/>
      <c r="L1298" s="10"/>
    </row>
    <row r="1299" spans="2:12" ht="12.75" customHeight="1">
      <c r="B1299" s="10"/>
      <c r="C1299" s="1463"/>
      <c r="D1299" s="1463"/>
      <c r="E1299" s="1463"/>
      <c r="F1299" s="1463"/>
      <c r="G1299" s="1463"/>
      <c r="H1299" s="1463"/>
      <c r="I1299" s="1463"/>
      <c r="J1299" s="1463"/>
      <c r="K1299" s="1463"/>
      <c r="L1299" s="10"/>
    </row>
    <row r="1300" spans="2:12" ht="12.75" customHeight="1">
      <c r="B1300" s="10"/>
      <c r="C1300" s="1463"/>
      <c r="D1300" s="1463"/>
      <c r="E1300" s="1463"/>
      <c r="F1300" s="1463"/>
      <c r="G1300" s="1463"/>
      <c r="H1300" s="1463"/>
      <c r="I1300" s="1463"/>
      <c r="J1300" s="1463"/>
      <c r="K1300" s="1463"/>
      <c r="L1300" s="10"/>
    </row>
    <row r="1301" spans="2:12" ht="12.75" customHeight="1">
      <c r="B1301" s="10"/>
      <c r="C1301" s="1463"/>
      <c r="D1301" s="1463"/>
      <c r="E1301" s="1463"/>
      <c r="F1301" s="1463"/>
      <c r="G1301" s="1463"/>
      <c r="H1301" s="1463"/>
      <c r="I1301" s="1463"/>
      <c r="J1301" s="1463"/>
      <c r="K1301" s="1463"/>
      <c r="L1301" s="10"/>
    </row>
    <row r="1302" spans="2:12" ht="12.75" customHeight="1">
      <c r="B1302" s="10"/>
      <c r="C1302" s="607"/>
      <c r="D1302" s="607"/>
      <c r="E1302" s="607"/>
      <c r="F1302" s="607"/>
      <c r="G1302" s="607"/>
      <c r="H1302" s="607"/>
      <c r="I1302" s="607"/>
      <c r="J1302" s="607"/>
      <c r="K1302" s="607"/>
      <c r="L1302" s="10"/>
    </row>
    <row r="1303" spans="2:12" ht="12.75" customHeight="1">
      <c r="B1303" s="10"/>
      <c r="C1303" s="1463" t="s">
        <v>269</v>
      </c>
      <c r="D1303" s="1463"/>
      <c r="E1303" s="1463"/>
      <c r="F1303" s="1463"/>
      <c r="G1303" s="1463"/>
      <c r="H1303" s="1463"/>
      <c r="I1303" s="1463"/>
      <c r="J1303" s="1463"/>
      <c r="K1303" s="1463"/>
      <c r="L1303" s="10"/>
    </row>
    <row r="1304" spans="2:12" ht="12.75" customHeight="1">
      <c r="B1304" s="10"/>
      <c r="C1304" s="1463"/>
      <c r="D1304" s="1463"/>
      <c r="E1304" s="1463"/>
      <c r="F1304" s="1463"/>
      <c r="G1304" s="1463"/>
      <c r="H1304" s="1463"/>
      <c r="I1304" s="1463"/>
      <c r="J1304" s="1463"/>
      <c r="K1304" s="1463"/>
      <c r="L1304" s="10"/>
    </row>
    <row r="1305" spans="2:12" ht="12.75" customHeight="1">
      <c r="B1305" s="10"/>
      <c r="C1305" s="607"/>
      <c r="D1305" s="607"/>
      <c r="E1305" s="607"/>
      <c r="F1305" s="607"/>
      <c r="G1305" s="607"/>
      <c r="H1305" s="607"/>
      <c r="I1305" s="607"/>
      <c r="J1305" s="607"/>
      <c r="K1305" s="607"/>
      <c r="L1305" s="10"/>
    </row>
    <row r="1306" spans="2:12" ht="12.75" customHeight="1">
      <c r="B1306" s="10"/>
      <c r="C1306" s="607"/>
      <c r="D1306" s="607"/>
      <c r="E1306" s="607"/>
      <c r="F1306" s="607"/>
      <c r="G1306" s="607"/>
      <c r="H1306" s="607"/>
      <c r="I1306" s="607"/>
      <c r="J1306" s="607"/>
      <c r="K1306" s="607"/>
      <c r="L1306" s="10"/>
    </row>
    <row r="1307" spans="2:12" ht="12.75" customHeight="1">
      <c r="B1307" s="10"/>
      <c r="C1307" s="607"/>
      <c r="D1307" s="607"/>
      <c r="E1307" s="607"/>
      <c r="F1307" s="607"/>
      <c r="G1307" s="607"/>
      <c r="H1307" s="607"/>
      <c r="I1307" s="607"/>
      <c r="J1307" s="607"/>
      <c r="K1307" s="607"/>
      <c r="L1307" s="10"/>
    </row>
    <row r="1308" spans="2:12" ht="12.75" customHeight="1">
      <c r="B1308" s="10"/>
      <c r="C1308" s="607"/>
      <c r="D1308" s="607"/>
      <c r="E1308" s="607"/>
      <c r="F1308" s="607"/>
      <c r="G1308" s="607"/>
      <c r="H1308" s="607"/>
      <c r="I1308" s="607"/>
      <c r="J1308" s="607"/>
      <c r="K1308" s="607"/>
      <c r="L1308" s="10"/>
    </row>
    <row r="1309" spans="2:12" ht="12.75" customHeight="1">
      <c r="B1309" s="10"/>
      <c r="C1309" s="172" t="s">
        <v>397</v>
      </c>
      <c r="D1309" s="607"/>
      <c r="E1309" s="607"/>
      <c r="F1309" s="607"/>
      <c r="G1309" s="607"/>
      <c r="H1309" s="607"/>
      <c r="I1309" s="607"/>
      <c r="J1309" s="607"/>
      <c r="K1309" s="607"/>
      <c r="L1309" s="10"/>
    </row>
    <row r="1310" spans="2:12" ht="18" customHeight="1">
      <c r="B1310" s="10"/>
      <c r="C1310" s="1322" t="s">
        <v>678</v>
      </c>
      <c r="D1310" s="1322"/>
      <c r="E1310" s="1322"/>
      <c r="F1310" s="1322"/>
      <c r="G1310" s="1322"/>
      <c r="H1310" s="1475" t="s">
        <v>500</v>
      </c>
      <c r="I1310" s="1475" t="s">
        <v>138</v>
      </c>
      <c r="J1310" s="1475" t="s">
        <v>579</v>
      </c>
      <c r="K1310" s="1475" t="s">
        <v>139</v>
      </c>
      <c r="L1310" s="10"/>
    </row>
    <row r="1311" spans="2:12" ht="18" customHeight="1">
      <c r="B1311" s="10"/>
      <c r="C1311" s="1322"/>
      <c r="D1311" s="1322"/>
      <c r="E1311" s="1322"/>
      <c r="F1311" s="1322"/>
      <c r="G1311" s="1322"/>
      <c r="H1311" s="1475"/>
      <c r="I1311" s="1475"/>
      <c r="J1311" s="1475"/>
      <c r="K1311" s="1475"/>
      <c r="L1311" s="10"/>
    </row>
    <row r="1312" spans="2:12" ht="18" customHeight="1">
      <c r="B1312" s="10"/>
      <c r="C1312" s="1239" t="s">
        <v>141</v>
      </c>
      <c r="D1312" s="1239"/>
      <c r="E1312" s="1239"/>
      <c r="F1312" s="1239"/>
      <c r="G1312" s="1239"/>
      <c r="H1312" s="641">
        <f>'Working Master '!V288</f>
        <v>1305585.0000000005</v>
      </c>
      <c r="I1312" s="641">
        <f>'Working Master '!W288</f>
        <v>1533870.0000000005</v>
      </c>
      <c r="J1312" s="641">
        <f>'Working Master '!X288</f>
        <v>1518480.0000000005</v>
      </c>
      <c r="K1312" s="641">
        <f>'Working Master '!Y288</f>
        <v>1500158.5714285718</v>
      </c>
      <c r="L1312" s="10"/>
    </row>
    <row r="1313" spans="2:12" ht="18" customHeight="1">
      <c r="B1313" s="10"/>
      <c r="C1313" s="1239" t="s">
        <v>142</v>
      </c>
      <c r="D1313" s="1239"/>
      <c r="E1313" s="1239"/>
      <c r="F1313" s="1239"/>
      <c r="G1313" s="1239"/>
      <c r="H1313" s="641" t="str">
        <f>'Working Master '!V289</f>
        <v>N/A</v>
      </c>
      <c r="I1313" s="641">
        <f>'Working Master '!W289</f>
        <v>1059840</v>
      </c>
      <c r="J1313" s="641">
        <v>0</v>
      </c>
      <c r="K1313" s="641">
        <f>I1313</f>
        <v>1059840</v>
      </c>
      <c r="L1313" s="10"/>
    </row>
    <row r="1314" spans="2:12" ht="18" customHeight="1">
      <c r="B1314" s="10"/>
      <c r="C1314" s="1239" t="s">
        <v>143</v>
      </c>
      <c r="D1314" s="1239"/>
      <c r="E1314" s="1239"/>
      <c r="F1314" s="1239"/>
      <c r="G1314" s="1239"/>
      <c r="H1314" s="641" t="str">
        <f>'Working Master '!V290</f>
        <v>Inclusive</v>
      </c>
      <c r="I1314" s="641">
        <f>'Working Master '!W290</f>
        <v>416000</v>
      </c>
      <c r="J1314" s="641">
        <f>$I$1314</f>
        <v>416000</v>
      </c>
      <c r="K1314" s="641">
        <f>I1314</f>
        <v>416000</v>
      </c>
      <c r="L1314" s="10"/>
    </row>
    <row r="1315" spans="2:12" ht="18" customHeight="1">
      <c r="B1315" s="10"/>
      <c r="C1315" s="1244" t="s">
        <v>144</v>
      </c>
      <c r="D1315" s="1245"/>
      <c r="E1315" s="1245"/>
      <c r="F1315" s="1245"/>
      <c r="G1315" s="1246"/>
      <c r="H1315" s="641">
        <f>'Working Master '!V291</f>
        <v>3865001.2800000003</v>
      </c>
      <c r="I1315" s="641">
        <f>'Working Master '!W291</f>
        <v>0</v>
      </c>
      <c r="J1315" s="641">
        <v>0</v>
      </c>
      <c r="K1315" s="641">
        <v>0</v>
      </c>
      <c r="L1315" s="10"/>
    </row>
    <row r="1316" spans="2:12" ht="18" customHeight="1">
      <c r="B1316" s="10"/>
      <c r="C1316" s="1239" t="s">
        <v>312</v>
      </c>
      <c r="D1316" s="1239"/>
      <c r="E1316" s="1239"/>
      <c r="F1316" s="1239"/>
      <c r="G1316" s="1239"/>
      <c r="H1316" s="641">
        <f>'Working Master '!V292</f>
        <v>2691993.6000000001</v>
      </c>
      <c r="I1316" s="641">
        <f>'Working Master '!W292</f>
        <v>2331648.0000000005</v>
      </c>
      <c r="J1316" s="641">
        <f>$I$1316</f>
        <v>2331648.0000000005</v>
      </c>
      <c r="K1316" s="641">
        <f>J1316</f>
        <v>2331648.0000000005</v>
      </c>
      <c r="L1316" s="10"/>
    </row>
    <row r="1317" spans="2:12" ht="18" customHeight="1">
      <c r="B1317" s="10"/>
      <c r="C1317" s="1239" t="s">
        <v>313</v>
      </c>
      <c r="D1317" s="1239"/>
      <c r="E1317" s="1239"/>
      <c r="F1317" s="1239"/>
      <c r="G1317" s="1239"/>
      <c r="H1317" s="641">
        <f>'Working Master '!V293</f>
        <v>1674547.2000000002</v>
      </c>
      <c r="I1317" s="641">
        <f>'Working Master '!W293</f>
        <v>1398988.8</v>
      </c>
      <c r="J1317" s="641">
        <f>$I$1317</f>
        <v>1398988.8</v>
      </c>
      <c r="K1317" s="641">
        <f>$I$1317</f>
        <v>1398988.8</v>
      </c>
      <c r="L1317" s="10"/>
    </row>
    <row r="1318" spans="2:12" ht="18" customHeight="1">
      <c r="B1318" s="10"/>
      <c r="C1318" s="1239" t="s">
        <v>190</v>
      </c>
      <c r="D1318" s="1239"/>
      <c r="E1318" s="1239"/>
      <c r="F1318" s="1239"/>
      <c r="G1318" s="1239"/>
      <c r="H1318" s="641">
        <f>'Working Master '!V294</f>
        <v>8294400</v>
      </c>
      <c r="I1318" s="641">
        <f>'Working Master '!W294</f>
        <v>0</v>
      </c>
      <c r="J1318" s="641">
        <v>0</v>
      </c>
      <c r="K1318" s="641">
        <v>0</v>
      </c>
      <c r="L1318" s="10"/>
    </row>
    <row r="1319" spans="2:12" ht="18" customHeight="1">
      <c r="B1319" s="10"/>
      <c r="C1319" s="1239" t="s">
        <v>145</v>
      </c>
      <c r="D1319" s="1239"/>
      <c r="E1319" s="1239"/>
      <c r="F1319" s="1239"/>
      <c r="G1319" s="1239"/>
      <c r="H1319" s="641">
        <f>'Working Master '!V295</f>
        <v>0</v>
      </c>
      <c r="I1319" s="641">
        <f>'Working Master '!W295</f>
        <v>199600.00000000003</v>
      </c>
      <c r="J1319" s="641">
        <f>$I$1319</f>
        <v>199600.00000000003</v>
      </c>
      <c r="K1319" s="641">
        <f>$I$1319</f>
        <v>199600.00000000003</v>
      </c>
      <c r="L1319" s="10"/>
    </row>
    <row r="1320" spans="2:12" ht="18" customHeight="1">
      <c r="B1320" s="10"/>
      <c r="C1320" s="1239" t="s">
        <v>146</v>
      </c>
      <c r="D1320" s="1239"/>
      <c r="E1320" s="1239"/>
      <c r="F1320" s="1239"/>
      <c r="G1320" s="1239"/>
      <c r="H1320" s="641">
        <f>'Working Master '!V296</f>
        <v>0</v>
      </c>
      <c r="I1320" s="641">
        <f>'Working Master '!W296</f>
        <v>40600</v>
      </c>
      <c r="J1320" s="641">
        <f>$I$1320</f>
        <v>40600</v>
      </c>
      <c r="K1320" s="641">
        <f>$I$1320</f>
        <v>40600</v>
      </c>
      <c r="L1320" s="10"/>
    </row>
    <row r="1321" spans="2:12" ht="18" customHeight="1">
      <c r="B1321" s="10"/>
      <c r="C1321" s="1239" t="s">
        <v>147</v>
      </c>
      <c r="D1321" s="1239"/>
      <c r="E1321" s="1239"/>
      <c r="F1321" s="1239"/>
      <c r="G1321" s="1239"/>
      <c r="H1321" s="641">
        <f>'Working Master '!V297</f>
        <v>58291.200000000012</v>
      </c>
      <c r="I1321" s="641">
        <f>'Working Master '!W297</f>
        <v>4719599.9999999991</v>
      </c>
      <c r="J1321" s="641">
        <f>H1101</f>
        <v>4104000</v>
      </c>
      <c r="K1321" s="641">
        <f>I1101</f>
        <v>3371142.8571428573</v>
      </c>
      <c r="L1321" s="10"/>
    </row>
    <row r="1322" spans="2:12" ht="18" customHeight="1">
      <c r="B1322" s="10"/>
      <c r="C1322" s="1239" t="s">
        <v>148</v>
      </c>
      <c r="D1322" s="1239"/>
      <c r="E1322" s="1239"/>
      <c r="F1322" s="1239"/>
      <c r="G1322" s="1239"/>
      <c r="H1322" s="641">
        <f>'Working Master '!V298</f>
        <v>596275</v>
      </c>
      <c r="I1322" s="641">
        <f>'Working Master '!W298</f>
        <v>989115.00000000012</v>
      </c>
      <c r="J1322" s="641">
        <f>J1275</f>
        <v>1087325</v>
      </c>
      <c r="K1322" s="641">
        <f>J1276</f>
        <v>1715167.5</v>
      </c>
      <c r="L1322" s="10"/>
    </row>
    <row r="1323" spans="2:12" ht="18" customHeight="1">
      <c r="B1323" s="10"/>
      <c r="C1323" s="1539" t="s">
        <v>677</v>
      </c>
      <c r="D1323" s="1539"/>
      <c r="E1323" s="1539"/>
      <c r="F1323" s="1539"/>
      <c r="G1323" s="1539"/>
      <c r="H1323" s="641">
        <f>SUM(H1312:H1322)</f>
        <v>18486093.280000001</v>
      </c>
      <c r="I1323" s="641">
        <f>SUM(I1312:I1322)</f>
        <v>12689261.800000001</v>
      </c>
      <c r="J1323" s="641">
        <f>SUM(J1312:J1322)</f>
        <v>11096641.800000001</v>
      </c>
      <c r="K1323" s="641">
        <f>SUM(K1312:K1322)</f>
        <v>12033145.72857143</v>
      </c>
      <c r="L1323" s="10"/>
    </row>
    <row r="1324" spans="2:12" ht="12.75" customHeight="1">
      <c r="B1324" s="10"/>
      <c r="C1324" s="607"/>
      <c r="D1324" s="607"/>
      <c r="E1324" s="607"/>
      <c r="F1324" s="607"/>
      <c r="G1324" s="607"/>
      <c r="H1324" s="607"/>
      <c r="I1324" s="607"/>
      <c r="J1324" s="607"/>
      <c r="K1324" s="607"/>
      <c r="L1324" s="10"/>
    </row>
    <row r="1325" spans="2:12" ht="18" customHeight="1">
      <c r="B1325" s="10"/>
      <c r="C1325" s="1322" t="s">
        <v>149</v>
      </c>
      <c r="D1325" s="1322"/>
      <c r="E1325" s="1322"/>
      <c r="F1325" s="1322"/>
      <c r="G1325" s="1322"/>
      <c r="H1325" s="1273" t="s">
        <v>138</v>
      </c>
      <c r="I1325" s="1273"/>
      <c r="J1325" s="1273" t="s">
        <v>579</v>
      </c>
      <c r="K1325" s="1273"/>
      <c r="L1325" s="10"/>
    </row>
    <row r="1326" spans="2:12" ht="18" customHeight="1">
      <c r="B1326" s="10"/>
      <c r="C1326" s="1239" t="s">
        <v>141</v>
      </c>
      <c r="D1326" s="1239"/>
      <c r="E1326" s="1239"/>
      <c r="F1326" s="1239"/>
      <c r="G1326" s="1239"/>
      <c r="H1326" s="1545">
        <f>H1312-I1312</f>
        <v>-228285</v>
      </c>
      <c r="I1326" s="1546"/>
      <c r="J1326" s="1537">
        <f>H1312-J1312</f>
        <v>-212895</v>
      </c>
      <c r="K1326" s="1538"/>
      <c r="L1326" s="10"/>
    </row>
    <row r="1327" spans="2:12" ht="18" customHeight="1">
      <c r="B1327" s="10"/>
      <c r="C1327" s="1239" t="s">
        <v>150</v>
      </c>
      <c r="D1327" s="1239"/>
      <c r="E1327" s="1239"/>
      <c r="F1327" s="1239"/>
      <c r="G1327" s="1239"/>
      <c r="H1327" s="1514">
        <f>-I1313</f>
        <v>-1059840</v>
      </c>
      <c r="I1327" s="1514"/>
      <c r="J1327" s="1514">
        <f>-J1313</f>
        <v>0</v>
      </c>
      <c r="K1327" s="1514"/>
      <c r="L1327" s="10"/>
    </row>
    <row r="1328" spans="2:12" ht="18" customHeight="1">
      <c r="B1328" s="10"/>
      <c r="C1328" s="1239" t="s">
        <v>151</v>
      </c>
      <c r="D1328" s="1239"/>
      <c r="E1328" s="1239"/>
      <c r="F1328" s="1239"/>
      <c r="G1328" s="1239"/>
      <c r="H1328" s="1514">
        <f>-I1314</f>
        <v>-416000</v>
      </c>
      <c r="I1328" s="1514"/>
      <c r="J1328" s="1514">
        <f>-J1314</f>
        <v>-416000</v>
      </c>
      <c r="K1328" s="1514"/>
      <c r="L1328" s="10"/>
    </row>
    <row r="1329" spans="2:12" ht="18" customHeight="1">
      <c r="B1329" s="10"/>
      <c r="C1329" s="1239" t="s">
        <v>340</v>
      </c>
      <c r="D1329" s="1239"/>
      <c r="E1329" s="1239"/>
      <c r="F1329" s="1239"/>
      <c r="G1329" s="1239"/>
      <c r="H1329" s="1514">
        <f>-SUM(I1319:I1320)</f>
        <v>-240200.00000000003</v>
      </c>
      <c r="I1329" s="1514"/>
      <c r="J1329" s="1514">
        <f>-SUM(J1319:J1320)</f>
        <v>-240200.00000000003</v>
      </c>
      <c r="K1329" s="1514"/>
      <c r="L1329" s="10"/>
    </row>
    <row r="1330" spans="2:12" ht="18" customHeight="1">
      <c r="B1330" s="10"/>
      <c r="C1330" s="1239" t="s">
        <v>147</v>
      </c>
      <c r="D1330" s="1239"/>
      <c r="E1330" s="1239"/>
      <c r="F1330" s="1239"/>
      <c r="G1330" s="1239"/>
      <c r="H1330" s="1514">
        <f>-I1321</f>
        <v>-4719599.9999999991</v>
      </c>
      <c r="I1330" s="1514"/>
      <c r="J1330" s="1514">
        <f>-J1321</f>
        <v>-4104000</v>
      </c>
      <c r="K1330" s="1514"/>
      <c r="L1330" s="10"/>
    </row>
    <row r="1331" spans="2:12" ht="18" customHeight="1">
      <c r="B1331" s="10"/>
      <c r="C1331" s="1239" t="s">
        <v>148</v>
      </c>
      <c r="D1331" s="1239"/>
      <c r="E1331" s="1239"/>
      <c r="F1331" s="1239"/>
      <c r="G1331" s="1239"/>
      <c r="H1331" s="1514">
        <f>-I1322</f>
        <v>-989115.00000000012</v>
      </c>
      <c r="I1331" s="1514"/>
      <c r="J1331" s="1514">
        <f>-J1322</f>
        <v>-1087325</v>
      </c>
      <c r="K1331" s="1514"/>
      <c r="L1331" s="10"/>
    </row>
    <row r="1332" spans="2:12" ht="18" customHeight="1">
      <c r="B1332" s="10"/>
      <c r="C1332" s="172"/>
      <c r="D1332" s="607"/>
      <c r="E1332" s="607"/>
      <c r="F1332" s="1541" t="s">
        <v>341</v>
      </c>
      <c r="G1332" s="1541"/>
      <c r="H1332" s="1514">
        <f>SUM(H1327:I1331)</f>
        <v>-7424754.9999999991</v>
      </c>
      <c r="I1332" s="1540"/>
      <c r="J1332" s="1514">
        <f>SUM(J1327:K1331)</f>
        <v>-5847525</v>
      </c>
      <c r="K1332" s="1540"/>
      <c r="L1332" s="10"/>
    </row>
    <row r="1333" spans="2:12" ht="12.75" customHeight="1">
      <c r="B1333" s="10"/>
      <c r="C1333" s="172"/>
      <c r="D1333" s="607"/>
      <c r="E1333" s="607"/>
      <c r="F1333" s="607"/>
      <c r="G1333" s="607"/>
      <c r="H1333" s="660"/>
      <c r="I1333" s="660"/>
      <c r="J1333" s="660"/>
      <c r="K1333" s="660"/>
      <c r="L1333" s="10"/>
    </row>
    <row r="1334" spans="2:12" ht="18" customHeight="1">
      <c r="B1334" s="10"/>
      <c r="C1334" s="1239" t="s">
        <v>342</v>
      </c>
      <c r="D1334" s="1239"/>
      <c r="E1334" s="1239"/>
      <c r="F1334" s="1239"/>
      <c r="G1334" s="1239"/>
      <c r="H1334" s="1514">
        <f>H1323+H1332</f>
        <v>11061338.280000001</v>
      </c>
      <c r="I1334" s="1514"/>
      <c r="J1334" s="1515">
        <f>H1323+J1332</f>
        <v>12638568.280000001</v>
      </c>
      <c r="K1334" s="1515"/>
      <c r="L1334" s="10"/>
    </row>
    <row r="1335" spans="2:12" ht="12.75" customHeight="1">
      <c r="B1335" s="10"/>
      <c r="C1335" s="607"/>
      <c r="D1335" s="607"/>
      <c r="E1335" s="607"/>
      <c r="F1335" s="607"/>
      <c r="G1335" s="607"/>
      <c r="H1335" s="607"/>
      <c r="I1335" s="607"/>
      <c r="J1335" s="607"/>
      <c r="K1335" s="607"/>
      <c r="L1335" s="10"/>
    </row>
    <row r="1336" spans="2:12" ht="12.75" customHeight="1">
      <c r="B1336" s="10"/>
      <c r="C1336" s="607"/>
      <c r="D1336" s="607"/>
      <c r="E1336" s="607"/>
      <c r="F1336" s="607"/>
      <c r="G1336" s="607"/>
      <c r="H1336" s="607"/>
      <c r="I1336" s="607"/>
      <c r="J1336" s="607"/>
      <c r="K1336" s="607"/>
      <c r="L1336" s="10"/>
    </row>
    <row r="1337" spans="2:12" ht="12.75" customHeight="1">
      <c r="B1337" s="10"/>
      <c r="C1337" s="607"/>
      <c r="D1337" s="607"/>
      <c r="E1337" s="607"/>
      <c r="F1337" s="607"/>
      <c r="G1337" s="607"/>
      <c r="H1337" s="607"/>
      <c r="I1337" s="607"/>
      <c r="J1337" s="607"/>
      <c r="K1337" s="607"/>
      <c r="L1337" s="10"/>
    </row>
    <row r="1338" spans="2:12" ht="12.75" customHeight="1">
      <c r="B1338" s="10"/>
      <c r="C1338" s="607"/>
      <c r="D1338" s="607"/>
      <c r="E1338" s="607"/>
      <c r="F1338" s="607"/>
      <c r="G1338" s="607"/>
      <c r="H1338" s="607"/>
      <c r="I1338" s="607"/>
      <c r="J1338" s="607"/>
      <c r="K1338" s="607"/>
      <c r="L1338" s="10"/>
    </row>
    <row r="1339" spans="2:12" ht="12.75" customHeight="1">
      <c r="B1339" s="10"/>
      <c r="C1339" s="607"/>
      <c r="D1339" s="607"/>
      <c r="E1339" s="607"/>
      <c r="F1339" s="607"/>
      <c r="G1339" s="607"/>
      <c r="H1339" s="607"/>
      <c r="I1339" s="607"/>
      <c r="J1339" s="607"/>
      <c r="K1339" s="607"/>
      <c r="L1339" s="10"/>
    </row>
    <row r="1340" spans="2:12" ht="12.75" customHeight="1">
      <c r="B1340" s="10"/>
      <c r="C1340" s="607"/>
      <c r="D1340" s="607"/>
      <c r="E1340" s="607"/>
      <c r="F1340" s="607"/>
      <c r="G1340" s="607"/>
      <c r="H1340" s="607"/>
      <c r="I1340" s="607"/>
      <c r="J1340" s="607"/>
      <c r="K1340" s="607"/>
      <c r="L1340" s="10"/>
    </row>
    <row r="1341" spans="2:12" ht="12.75" customHeight="1">
      <c r="B1341" s="10"/>
      <c r="C1341" s="607"/>
      <c r="D1341" s="607"/>
      <c r="E1341" s="607"/>
      <c r="F1341" s="607"/>
      <c r="G1341" s="607"/>
      <c r="H1341" s="607"/>
      <c r="I1341" s="607"/>
      <c r="J1341" s="607"/>
      <c r="K1341" s="607"/>
      <c r="L1341" s="10"/>
    </row>
    <row r="1342" spans="2:12" ht="12.75" customHeight="1">
      <c r="B1342" s="10"/>
      <c r="C1342" s="607"/>
      <c r="D1342" s="607"/>
      <c r="E1342" s="607"/>
      <c r="F1342" s="607"/>
      <c r="G1342" s="607"/>
      <c r="H1342" s="607"/>
      <c r="I1342" s="607"/>
      <c r="J1342" s="607"/>
      <c r="K1342" s="607"/>
      <c r="L1342" s="10"/>
    </row>
    <row r="1343" spans="2:12" ht="12.75" customHeight="1">
      <c r="B1343" s="10"/>
      <c r="C1343" s="607"/>
      <c r="D1343" s="607"/>
      <c r="E1343" s="607"/>
      <c r="F1343" s="607"/>
      <c r="G1343" s="607"/>
      <c r="H1343" s="607"/>
      <c r="I1343" s="607"/>
      <c r="J1343" s="607"/>
      <c r="K1343" s="607"/>
      <c r="L1343" s="10"/>
    </row>
    <row r="1344" spans="2:12" ht="12.75" customHeight="1">
      <c r="B1344" s="10"/>
      <c r="C1344" s="607"/>
      <c r="D1344" s="607"/>
      <c r="E1344" s="607"/>
      <c r="F1344" s="607"/>
      <c r="G1344" s="607"/>
      <c r="H1344" s="607"/>
      <c r="I1344" s="607"/>
      <c r="J1344" s="607"/>
      <c r="K1344" s="607"/>
      <c r="L1344" s="10"/>
    </row>
    <row r="1345" spans="2:12" ht="12.75" customHeight="1">
      <c r="B1345" s="10"/>
      <c r="C1345" s="607"/>
      <c r="D1345" s="607"/>
      <c r="E1345" s="607"/>
      <c r="F1345" s="607"/>
      <c r="G1345" s="607"/>
      <c r="H1345" s="607"/>
      <c r="I1345" s="607"/>
      <c r="J1345" s="607"/>
      <c r="K1345" s="607"/>
      <c r="L1345" s="10"/>
    </row>
    <row r="1346" spans="2:12" ht="12.75" customHeight="1">
      <c r="B1346" s="10"/>
      <c r="C1346" s="607"/>
      <c r="D1346" s="607"/>
      <c r="E1346" s="607"/>
      <c r="F1346" s="607"/>
      <c r="G1346" s="607"/>
      <c r="H1346" s="607"/>
      <c r="I1346" s="607"/>
      <c r="J1346" s="607"/>
      <c r="K1346" s="607"/>
      <c r="L1346" s="10"/>
    </row>
    <row r="1347" spans="2:12" ht="12.75" customHeight="1">
      <c r="B1347" s="10"/>
      <c r="C1347" s="607"/>
      <c r="D1347" s="607"/>
      <c r="E1347" s="607"/>
      <c r="F1347" s="607"/>
      <c r="G1347" s="607"/>
      <c r="H1347" s="607"/>
      <c r="I1347" s="607"/>
      <c r="J1347" s="607"/>
      <c r="K1347" s="607"/>
      <c r="L1347" s="10"/>
    </row>
    <row r="1348" spans="2:12" ht="12.75" customHeight="1">
      <c r="B1348" s="10"/>
      <c r="C1348" s="607"/>
      <c r="D1348" s="607"/>
      <c r="E1348" s="607"/>
      <c r="F1348" s="607"/>
      <c r="G1348" s="607"/>
      <c r="H1348" s="607"/>
      <c r="I1348" s="607"/>
      <c r="J1348" s="607"/>
      <c r="K1348" s="607"/>
      <c r="L1348" s="10"/>
    </row>
    <row r="1349" spans="2:12" ht="12.75" customHeight="1">
      <c r="B1349" s="10"/>
      <c r="C1349" s="607"/>
      <c r="D1349" s="607"/>
      <c r="E1349" s="607"/>
      <c r="F1349" s="607"/>
      <c r="G1349" s="607"/>
      <c r="H1349" s="607"/>
      <c r="I1349" s="607"/>
      <c r="J1349" s="607"/>
      <c r="K1349" s="607"/>
      <c r="L1349" s="10"/>
    </row>
    <row r="1350" spans="2:12" ht="12.75" customHeight="1">
      <c r="B1350" s="10"/>
      <c r="C1350" s="607"/>
      <c r="D1350" s="607"/>
      <c r="E1350" s="607"/>
      <c r="F1350" s="607"/>
      <c r="G1350" s="607"/>
      <c r="H1350" s="607"/>
      <c r="I1350" s="607"/>
      <c r="J1350" s="607"/>
      <c r="K1350" s="607"/>
      <c r="L1350" s="10"/>
    </row>
    <row r="1351" spans="2:12" ht="12.75" customHeight="1">
      <c r="B1351" s="10"/>
      <c r="C1351" s="607"/>
      <c r="D1351" s="607"/>
      <c r="E1351" s="607"/>
      <c r="F1351" s="607"/>
      <c r="G1351" s="607"/>
      <c r="H1351" s="607"/>
      <c r="I1351" s="607"/>
      <c r="J1351" s="607"/>
      <c r="K1351" s="607"/>
      <c r="L1351" s="10"/>
    </row>
    <row r="1352" spans="2:12" ht="12.75" customHeight="1">
      <c r="B1352" s="10"/>
      <c r="C1352" s="607"/>
      <c r="D1352" s="607"/>
      <c r="E1352" s="607"/>
      <c r="F1352" s="607"/>
      <c r="G1352" s="607"/>
      <c r="H1352" s="607"/>
      <c r="I1352" s="607"/>
      <c r="J1352" s="607"/>
      <c r="K1352" s="607"/>
      <c r="L1352" s="10"/>
    </row>
    <row r="1353" spans="2:12" ht="12.75" customHeight="1">
      <c r="B1353" s="10"/>
      <c r="C1353" s="607"/>
      <c r="D1353" s="607"/>
      <c r="E1353" s="607"/>
      <c r="F1353" s="607"/>
      <c r="G1353" s="607"/>
      <c r="H1353" s="607"/>
      <c r="I1353" s="607"/>
      <c r="J1353" s="607"/>
      <c r="K1353" s="607"/>
      <c r="L1353" s="10"/>
    </row>
    <row r="1354" spans="2:12" ht="12.75" customHeight="1">
      <c r="B1354" s="10"/>
      <c r="C1354" s="1440" t="s">
        <v>398</v>
      </c>
      <c r="D1354" s="1440"/>
      <c r="E1354" s="1440"/>
      <c r="F1354" s="1440"/>
      <c r="G1354" s="1440"/>
      <c r="H1354" s="1440"/>
      <c r="I1354" s="1440"/>
      <c r="J1354" s="1440"/>
      <c r="K1354" s="1440"/>
      <c r="L1354" s="10"/>
    </row>
    <row r="1355" spans="2:12" ht="12.75" customHeight="1">
      <c r="B1355" s="10"/>
      <c r="C1355" s="607"/>
      <c r="D1355" s="607"/>
      <c r="E1355" s="607"/>
      <c r="F1355" s="607"/>
      <c r="G1355" s="607"/>
      <c r="H1355" s="607"/>
      <c r="I1355" s="607"/>
      <c r="J1355" s="607"/>
      <c r="K1355" s="607"/>
      <c r="L1355" s="10"/>
    </row>
    <row r="1356" spans="2:12" ht="12.75" customHeight="1">
      <c r="B1356" s="10"/>
      <c r="C1356" s="607"/>
      <c r="D1356" s="607"/>
      <c r="E1356" s="607"/>
      <c r="F1356" s="607"/>
      <c r="G1356" s="607"/>
      <c r="H1356" s="607"/>
      <c r="I1356" s="607"/>
      <c r="J1356" s="607"/>
      <c r="K1356" s="607"/>
      <c r="L1356" s="10"/>
    </row>
    <row r="1357" spans="2:12" ht="12.75" customHeight="1">
      <c r="B1357" s="10"/>
      <c r="C1357" s="607"/>
      <c r="D1357" s="607"/>
      <c r="E1357" s="607"/>
      <c r="F1357" s="607"/>
      <c r="G1357" s="607"/>
      <c r="H1357" s="607"/>
      <c r="I1357" s="607"/>
      <c r="J1357" s="607"/>
      <c r="K1357" s="607"/>
      <c r="L1357" s="10"/>
    </row>
    <row r="1358" spans="2:12" ht="12.75" customHeight="1">
      <c r="B1358" s="10"/>
      <c r="C1358" s="607"/>
      <c r="D1358" s="607"/>
      <c r="E1358" s="607"/>
      <c r="F1358" s="607"/>
      <c r="G1358" s="607"/>
      <c r="H1358" s="607"/>
      <c r="I1358" s="607"/>
      <c r="J1358" s="607"/>
      <c r="K1358" s="607"/>
      <c r="L1358" s="10"/>
    </row>
    <row r="1359" spans="2:12" ht="12.75" customHeight="1">
      <c r="B1359" s="10"/>
      <c r="C1359" s="607"/>
      <c r="D1359" s="607"/>
      <c r="E1359" s="607"/>
      <c r="F1359" s="607"/>
      <c r="G1359" s="607"/>
      <c r="H1359" s="607"/>
      <c r="I1359" s="607"/>
      <c r="J1359" s="607"/>
      <c r="K1359" s="607"/>
      <c r="L1359" s="10"/>
    </row>
    <row r="1360" spans="2:12" ht="12.75" customHeight="1">
      <c r="B1360" s="10"/>
      <c r="C1360" s="607"/>
      <c r="D1360" s="607"/>
      <c r="E1360" s="607"/>
      <c r="F1360" s="607"/>
      <c r="G1360" s="607"/>
      <c r="H1360" s="607"/>
      <c r="I1360" s="607"/>
      <c r="J1360" s="607"/>
      <c r="K1360" s="607"/>
      <c r="L1360" s="10"/>
    </row>
    <row r="1361" spans="2:12" ht="12.75" customHeight="1">
      <c r="B1361" s="10"/>
      <c r="C1361" s="607"/>
      <c r="D1361" s="607"/>
      <c r="E1361" s="607"/>
      <c r="F1361" s="607"/>
      <c r="G1361" s="607"/>
      <c r="H1361" s="607"/>
      <c r="I1361" s="607"/>
      <c r="J1361" s="607"/>
      <c r="K1361" s="607"/>
      <c r="L1361" s="10"/>
    </row>
    <row r="1362" spans="2:12" ht="12.75" customHeight="1">
      <c r="B1362" s="10"/>
      <c r="C1362" s="607"/>
      <c r="D1362" s="607"/>
      <c r="E1362" s="607"/>
      <c r="F1362" s="607"/>
      <c r="G1362" s="607"/>
      <c r="H1362" s="607"/>
      <c r="I1362" s="607"/>
      <c r="J1362" s="607"/>
      <c r="K1362" s="607"/>
      <c r="L1362" s="10"/>
    </row>
    <row r="1363" spans="2:12" ht="12.75" customHeight="1">
      <c r="B1363" s="10"/>
      <c r="C1363" s="635" t="s">
        <v>273</v>
      </c>
      <c r="D1363" s="10"/>
      <c r="E1363" s="10"/>
      <c r="F1363" s="10"/>
      <c r="G1363" s="10"/>
      <c r="H1363" s="10"/>
      <c r="I1363" s="10"/>
      <c r="J1363" s="10"/>
      <c r="K1363" s="10"/>
      <c r="L1363" s="10"/>
    </row>
    <row r="1364" spans="2:12" ht="12.75" customHeight="1">
      <c r="B1364" s="10"/>
      <c r="C1364" s="605"/>
      <c r="D1364" s="10"/>
      <c r="E1364" s="10"/>
      <c r="F1364" s="10"/>
      <c r="G1364" s="10"/>
      <c r="H1364" s="10"/>
      <c r="I1364" s="10"/>
      <c r="J1364" s="10"/>
      <c r="K1364" s="10"/>
      <c r="L1364" s="10"/>
    </row>
    <row r="1365" spans="2:12" ht="12.75" customHeight="1">
      <c r="B1365" s="10"/>
      <c r="C1365" s="633" t="s">
        <v>343</v>
      </c>
      <c r="D1365" s="10"/>
      <c r="E1365" s="10"/>
      <c r="F1365" s="10"/>
      <c r="G1365" s="10"/>
      <c r="H1365" s="10"/>
      <c r="I1365" s="10"/>
      <c r="J1365" s="10"/>
      <c r="K1365" s="10"/>
      <c r="L1365" s="10"/>
    </row>
    <row r="1366" spans="2:12" ht="12.75" customHeight="1">
      <c r="B1366" s="10"/>
      <c r="C1366" s="661" t="s">
        <v>377</v>
      </c>
      <c r="D1366" s="10"/>
      <c r="E1366" s="10"/>
      <c r="F1366" s="10"/>
      <c r="G1366" s="10"/>
      <c r="H1366" s="10"/>
      <c r="I1366" s="10"/>
      <c r="J1366" s="10"/>
      <c r="K1366" s="10"/>
      <c r="L1366" s="10"/>
    </row>
    <row r="1367" spans="2:12" ht="12.75" customHeight="1">
      <c r="B1367" s="10"/>
      <c r="C1367" s="661" t="s">
        <v>378</v>
      </c>
      <c r="D1367" s="10"/>
      <c r="E1367" s="10"/>
      <c r="F1367" s="10"/>
      <c r="G1367" s="10"/>
      <c r="H1367" s="10"/>
      <c r="I1367" s="10"/>
      <c r="J1367" s="10"/>
      <c r="K1367" s="10"/>
      <c r="L1367" s="10"/>
    </row>
    <row r="1368" spans="2:12" ht="12.75" customHeight="1">
      <c r="B1368" s="10"/>
      <c r="C1368" s="661" t="s">
        <v>379</v>
      </c>
      <c r="D1368" s="10"/>
      <c r="E1368" s="10"/>
      <c r="F1368" s="10"/>
      <c r="G1368" s="10"/>
      <c r="H1368" s="10"/>
      <c r="I1368" s="10"/>
      <c r="J1368" s="10"/>
      <c r="K1368" s="10"/>
      <c r="L1368" s="10"/>
    </row>
    <row r="1369" spans="2:12" ht="12.75" customHeight="1">
      <c r="B1369" s="10"/>
      <c r="C1369" s="661" t="s">
        <v>380</v>
      </c>
      <c r="D1369" s="10"/>
      <c r="E1369" s="10"/>
      <c r="F1369" s="10"/>
      <c r="G1369" s="10"/>
      <c r="H1369" s="10"/>
      <c r="I1369" s="10"/>
      <c r="J1369" s="10"/>
      <c r="K1369" s="10"/>
      <c r="L1369" s="10"/>
    </row>
    <row r="1370" spans="2:12" ht="12.75" customHeight="1">
      <c r="B1370" s="10"/>
      <c r="C1370" s="661" t="s">
        <v>381</v>
      </c>
      <c r="D1370" s="10"/>
      <c r="E1370" s="10"/>
      <c r="F1370" s="10"/>
      <c r="G1370" s="10"/>
      <c r="H1370" s="10"/>
      <c r="I1370" s="10"/>
      <c r="J1370" s="10"/>
      <c r="K1370" s="10"/>
      <c r="L1370" s="10"/>
    </row>
    <row r="1371" spans="2:12" ht="12.75" customHeight="1">
      <c r="B1371" s="10"/>
      <c r="C1371" s="661" t="s">
        <v>382</v>
      </c>
      <c r="D1371" s="10"/>
      <c r="E1371" s="10"/>
      <c r="F1371" s="10"/>
      <c r="G1371" s="10"/>
      <c r="H1371" s="10"/>
      <c r="I1371" s="10"/>
      <c r="J1371" s="10"/>
      <c r="K1371" s="10"/>
      <c r="L1371" s="10"/>
    </row>
    <row r="1372" spans="2:12" ht="12.75" customHeight="1">
      <c r="B1372" s="10"/>
      <c r="C1372" s="661" t="s">
        <v>383</v>
      </c>
      <c r="D1372" s="10"/>
      <c r="E1372" s="10"/>
      <c r="F1372" s="10"/>
      <c r="G1372" s="10"/>
      <c r="H1372" s="10"/>
      <c r="I1372" s="10"/>
      <c r="J1372" s="10"/>
      <c r="K1372" s="10"/>
      <c r="L1372" s="10"/>
    </row>
    <row r="1373" spans="2:12" ht="12.75" customHeight="1">
      <c r="B1373" s="10"/>
      <c r="C1373" s="661" t="s">
        <v>384</v>
      </c>
      <c r="D1373" s="10"/>
      <c r="E1373" s="10"/>
      <c r="F1373" s="10"/>
      <c r="G1373" s="10"/>
      <c r="H1373" s="10"/>
      <c r="I1373" s="10"/>
      <c r="J1373" s="10"/>
      <c r="K1373" s="10"/>
      <c r="L1373" s="10"/>
    </row>
    <row r="1374" spans="2:12" ht="12.75" customHeight="1">
      <c r="B1374" s="10"/>
      <c r="C1374" s="661" t="s">
        <v>385</v>
      </c>
      <c r="D1374" s="10"/>
      <c r="E1374" s="10"/>
      <c r="F1374" s="10"/>
      <c r="G1374" s="10"/>
      <c r="H1374" s="10"/>
      <c r="I1374" s="10"/>
      <c r="J1374" s="10"/>
      <c r="K1374" s="10"/>
      <c r="L1374" s="10"/>
    </row>
    <row r="1375" spans="2:12" ht="12.75" customHeight="1">
      <c r="B1375" s="10"/>
      <c r="C1375" s="661" t="s">
        <v>386</v>
      </c>
      <c r="D1375" s="10"/>
      <c r="E1375" s="10"/>
      <c r="F1375" s="10"/>
      <c r="G1375" s="10"/>
      <c r="H1375" s="10"/>
      <c r="I1375" s="10"/>
      <c r="J1375" s="10"/>
      <c r="K1375" s="10"/>
      <c r="L1375" s="10"/>
    </row>
    <row r="1376" spans="2:12" ht="12.75" customHeight="1">
      <c r="B1376" s="10"/>
      <c r="C1376" s="661" t="s">
        <v>387</v>
      </c>
      <c r="D1376" s="10"/>
      <c r="E1376" s="10"/>
      <c r="F1376" s="10"/>
      <c r="G1376" s="10"/>
      <c r="H1376" s="10"/>
      <c r="I1376" s="10"/>
      <c r="J1376" s="10"/>
      <c r="K1376" s="10"/>
      <c r="L1376" s="10"/>
    </row>
    <row r="1377" spans="2:12" ht="12.75" customHeight="1">
      <c r="B1377" s="10"/>
      <c r="C1377" s="661"/>
      <c r="D1377" s="10"/>
      <c r="E1377" s="10"/>
      <c r="F1377" s="10"/>
      <c r="G1377" s="10"/>
      <c r="H1377" s="10"/>
      <c r="I1377" s="10"/>
      <c r="J1377" s="10"/>
      <c r="K1377" s="10"/>
      <c r="L1377" s="10"/>
    </row>
    <row r="1378" spans="2:12" ht="12.75" customHeight="1">
      <c r="B1378" s="10"/>
      <c r="C1378" s="633" t="s">
        <v>344</v>
      </c>
      <c r="D1378" s="10"/>
      <c r="E1378" s="10"/>
      <c r="F1378" s="10"/>
      <c r="G1378" s="10"/>
      <c r="H1378" s="10"/>
      <c r="I1378" s="10"/>
      <c r="J1378" s="10"/>
      <c r="K1378" s="10"/>
      <c r="L1378" s="10"/>
    </row>
    <row r="1379" spans="2:12" ht="12.75" customHeight="1">
      <c r="B1379" s="10"/>
      <c r="C1379" s="661" t="s">
        <v>388</v>
      </c>
      <c r="D1379" s="10"/>
      <c r="E1379" s="10"/>
      <c r="F1379" s="10"/>
      <c r="G1379" s="10"/>
      <c r="H1379" s="10"/>
      <c r="I1379" s="10"/>
      <c r="J1379" s="10"/>
      <c r="K1379" s="10"/>
      <c r="L1379" s="10"/>
    </row>
    <row r="1380" spans="2:12" ht="12.75" customHeight="1">
      <c r="B1380" s="10"/>
      <c r="C1380" s="661" t="s">
        <v>389</v>
      </c>
      <c r="D1380" s="10"/>
      <c r="E1380" s="10"/>
      <c r="F1380" s="10"/>
      <c r="G1380" s="10"/>
      <c r="H1380" s="10"/>
      <c r="I1380" s="10"/>
      <c r="J1380" s="10"/>
      <c r="K1380" s="10"/>
      <c r="L1380" s="10"/>
    </row>
    <row r="1381" spans="2:12" ht="12.75" customHeight="1">
      <c r="B1381" s="10"/>
      <c r="C1381" s="661" t="s">
        <v>390</v>
      </c>
      <c r="D1381" s="10"/>
      <c r="E1381" s="10"/>
      <c r="F1381" s="10"/>
      <c r="G1381" s="10"/>
      <c r="H1381" s="10"/>
      <c r="I1381" s="10"/>
      <c r="J1381" s="10"/>
      <c r="K1381" s="10"/>
      <c r="L1381" s="10"/>
    </row>
    <row r="1382" spans="2:12" ht="12.75" customHeight="1">
      <c r="B1382" s="10"/>
      <c r="C1382" s="661" t="s">
        <v>391</v>
      </c>
      <c r="D1382" s="10"/>
      <c r="E1382" s="10"/>
      <c r="F1382" s="10"/>
      <c r="G1382" s="10"/>
      <c r="H1382" s="10"/>
      <c r="I1382" s="10"/>
      <c r="J1382" s="10"/>
      <c r="K1382" s="10"/>
      <c r="L1382" s="10"/>
    </row>
    <row r="1383" spans="2:12" ht="12.75" customHeight="1">
      <c r="B1383" s="10"/>
      <c r="C1383" s="661" t="s">
        <v>289</v>
      </c>
      <c r="D1383" s="10"/>
      <c r="E1383" s="10"/>
      <c r="F1383" s="10"/>
      <c r="G1383" s="10"/>
      <c r="H1383" s="10"/>
      <c r="I1383" s="10"/>
      <c r="J1383" s="10"/>
      <c r="K1383" s="10"/>
      <c r="L1383" s="10"/>
    </row>
    <row r="1384" spans="2:12" ht="12.75" customHeight="1">
      <c r="B1384" s="10"/>
      <c r="C1384" s="661" t="s">
        <v>290</v>
      </c>
      <c r="D1384" s="10"/>
      <c r="E1384" s="10"/>
      <c r="F1384" s="10"/>
      <c r="G1384" s="10"/>
      <c r="H1384" s="10"/>
      <c r="I1384" s="10"/>
      <c r="J1384" s="10"/>
      <c r="K1384" s="10"/>
      <c r="L1384" s="10"/>
    </row>
    <row r="1385" spans="2:12" ht="12.75" customHeight="1">
      <c r="B1385" s="10"/>
      <c r="C1385" s="661" t="s">
        <v>291</v>
      </c>
      <c r="D1385" s="10"/>
      <c r="E1385" s="10"/>
      <c r="F1385" s="10"/>
      <c r="G1385" s="10"/>
      <c r="H1385" s="10"/>
      <c r="I1385" s="10"/>
      <c r="J1385" s="10"/>
      <c r="K1385" s="10"/>
      <c r="L1385" s="10"/>
    </row>
    <row r="1386" spans="2:12" ht="12.75" customHeight="1">
      <c r="B1386" s="10"/>
      <c r="C1386" s="1513" t="s">
        <v>683</v>
      </c>
      <c r="D1386" s="1513"/>
      <c r="E1386" s="1513"/>
      <c r="F1386" s="1513"/>
      <c r="G1386" s="1513"/>
      <c r="H1386" s="1513"/>
      <c r="I1386" s="1513"/>
      <c r="J1386" s="1513"/>
      <c r="K1386" s="1513"/>
      <c r="L1386" s="10"/>
    </row>
    <row r="1387" spans="2:12" ht="12.75" customHeight="1">
      <c r="B1387" s="10"/>
      <c r="C1387" s="1513"/>
      <c r="D1387" s="1513"/>
      <c r="E1387" s="1513"/>
      <c r="F1387" s="1513"/>
      <c r="G1387" s="1513"/>
      <c r="H1387" s="1513"/>
      <c r="I1387" s="1513"/>
      <c r="J1387" s="1513"/>
      <c r="K1387" s="1513"/>
      <c r="L1387" s="10"/>
    </row>
    <row r="1388" spans="2:12" ht="12.75" customHeight="1">
      <c r="B1388" s="10"/>
      <c r="C1388" s="661"/>
      <c r="D1388" s="10"/>
      <c r="E1388" s="10"/>
      <c r="F1388" s="10"/>
      <c r="G1388" s="10"/>
      <c r="H1388" s="10"/>
      <c r="I1388" s="10"/>
      <c r="J1388" s="10"/>
      <c r="K1388" s="10"/>
      <c r="L1388" s="10"/>
    </row>
    <row r="1389" spans="2:12" ht="12.75" customHeight="1">
      <c r="B1389" s="10"/>
      <c r="C1389" s="1468" t="s">
        <v>274</v>
      </c>
      <c r="D1389" s="1468"/>
      <c r="E1389" s="1468"/>
      <c r="F1389" s="1468"/>
      <c r="G1389" s="1468"/>
      <c r="H1389" s="1468"/>
      <c r="I1389" s="1468"/>
      <c r="J1389" s="1468"/>
      <c r="K1389" s="1468"/>
      <c r="L1389" s="10"/>
    </row>
    <row r="1390" spans="2:12" ht="12.75" customHeight="1">
      <c r="B1390" s="10"/>
      <c r="C1390" s="615"/>
      <c r="D1390" s="615"/>
      <c r="E1390" s="615"/>
      <c r="F1390" s="615"/>
      <c r="G1390" s="615"/>
      <c r="H1390" s="615"/>
      <c r="I1390" s="615"/>
      <c r="J1390" s="615"/>
      <c r="K1390" s="615"/>
      <c r="L1390" s="10"/>
    </row>
    <row r="1391" spans="2:12" ht="12.75" customHeight="1">
      <c r="B1391" s="10"/>
      <c r="C1391" s="1463" t="s">
        <v>724</v>
      </c>
      <c r="D1391" s="1463"/>
      <c r="E1391" s="1463"/>
      <c r="F1391" s="1463"/>
      <c r="G1391" s="1463"/>
      <c r="H1391" s="1463"/>
      <c r="I1391" s="1463"/>
      <c r="J1391" s="1463"/>
      <c r="K1391" s="1463"/>
      <c r="L1391" s="10"/>
    </row>
    <row r="1392" spans="2:12" ht="12.75" customHeight="1">
      <c r="B1392" s="10"/>
      <c r="C1392" s="1463"/>
      <c r="D1392" s="1463"/>
      <c r="E1392" s="1463"/>
      <c r="F1392" s="1463"/>
      <c r="G1392" s="1463"/>
      <c r="H1392" s="1463"/>
      <c r="I1392" s="1463"/>
      <c r="J1392" s="1463"/>
      <c r="K1392" s="1463"/>
      <c r="L1392" s="10"/>
    </row>
    <row r="1393" spans="2:12" ht="12.75" customHeight="1">
      <c r="B1393" s="10"/>
      <c r="C1393" s="1463"/>
      <c r="D1393" s="1463"/>
      <c r="E1393" s="1463"/>
      <c r="F1393" s="1463"/>
      <c r="G1393" s="1463"/>
      <c r="H1393" s="1463"/>
      <c r="I1393" s="1463"/>
      <c r="J1393" s="1463"/>
      <c r="K1393" s="1463"/>
      <c r="L1393" s="10"/>
    </row>
    <row r="1394" spans="2:12" ht="12.75" customHeight="1">
      <c r="B1394" s="10"/>
      <c r="C1394" s="1463"/>
      <c r="D1394" s="1463"/>
      <c r="E1394" s="1463"/>
      <c r="F1394" s="1463"/>
      <c r="G1394" s="1463"/>
      <c r="H1394" s="1463"/>
      <c r="I1394" s="1463"/>
      <c r="J1394" s="1463"/>
      <c r="K1394" s="1463"/>
      <c r="L1394" s="10"/>
    </row>
    <row r="1395" spans="2:12" ht="12.75" customHeight="1">
      <c r="B1395" s="10"/>
      <c r="C1395" s="607"/>
      <c r="D1395" s="607"/>
      <c r="E1395" s="607"/>
      <c r="F1395" s="607"/>
      <c r="G1395" s="607"/>
      <c r="H1395" s="607"/>
      <c r="I1395" s="607"/>
      <c r="J1395" s="607"/>
      <c r="K1395" s="607"/>
      <c r="L1395" s="10"/>
    </row>
    <row r="1396" spans="2:12" ht="12.75" customHeight="1">
      <c r="B1396" s="10"/>
      <c r="C1396" s="1463" t="s">
        <v>725</v>
      </c>
      <c r="D1396" s="1463"/>
      <c r="E1396" s="1463"/>
      <c r="F1396" s="1463"/>
      <c r="G1396" s="1463"/>
      <c r="H1396" s="1463"/>
      <c r="I1396" s="1463"/>
      <c r="J1396" s="1463"/>
      <c r="K1396" s="1463"/>
      <c r="L1396" s="10"/>
    </row>
    <row r="1397" spans="2:12" ht="12.75" customHeight="1">
      <c r="B1397" s="10"/>
      <c r="C1397" s="1463"/>
      <c r="D1397" s="1463"/>
      <c r="E1397" s="1463"/>
      <c r="F1397" s="1463"/>
      <c r="G1397" s="1463"/>
      <c r="H1397" s="1463"/>
      <c r="I1397" s="1463"/>
      <c r="J1397" s="1463"/>
      <c r="K1397" s="1463"/>
      <c r="L1397" s="10"/>
    </row>
    <row r="1398" spans="2:12" ht="12.75" customHeight="1">
      <c r="B1398" s="10"/>
      <c r="C1398" s="1463"/>
      <c r="D1398" s="1463"/>
      <c r="E1398" s="1463"/>
      <c r="F1398" s="1463"/>
      <c r="G1398" s="1463"/>
      <c r="H1398" s="1463"/>
      <c r="I1398" s="1463"/>
      <c r="J1398" s="1463"/>
      <c r="K1398" s="1463"/>
      <c r="L1398" s="10"/>
    </row>
    <row r="1399" spans="2:12" ht="12.75" customHeight="1">
      <c r="B1399" s="10"/>
      <c r="C1399" s="607"/>
      <c r="D1399" s="607"/>
      <c r="E1399" s="607"/>
      <c r="F1399" s="607"/>
      <c r="G1399" s="607"/>
      <c r="H1399" s="607"/>
      <c r="I1399" s="607"/>
      <c r="J1399" s="607"/>
      <c r="K1399" s="607"/>
      <c r="L1399" s="10"/>
    </row>
    <row r="1400" spans="2:12" ht="12.75" customHeight="1">
      <c r="B1400" s="10"/>
      <c r="C1400" s="1463" t="s">
        <v>17</v>
      </c>
      <c r="D1400" s="1463"/>
      <c r="E1400" s="1463"/>
      <c r="F1400" s="1463"/>
      <c r="G1400" s="1463"/>
      <c r="H1400" s="1463"/>
      <c r="I1400" s="1463"/>
      <c r="J1400" s="1463"/>
      <c r="K1400" s="1463"/>
      <c r="L1400" s="10"/>
    </row>
    <row r="1401" spans="2:12" ht="12.75" customHeight="1">
      <c r="B1401" s="10"/>
      <c r="C1401" s="1463"/>
      <c r="D1401" s="1463"/>
      <c r="E1401" s="1463"/>
      <c r="F1401" s="1463"/>
      <c r="G1401" s="1463"/>
      <c r="H1401" s="1463"/>
      <c r="I1401" s="1463"/>
      <c r="J1401" s="1463"/>
      <c r="K1401" s="1463"/>
      <c r="L1401" s="10"/>
    </row>
    <row r="1402" spans="2:12" ht="12.75" customHeight="1">
      <c r="B1402" s="10"/>
      <c r="C1402" s="1463"/>
      <c r="D1402" s="1463"/>
      <c r="E1402" s="1463"/>
      <c r="F1402" s="1463"/>
      <c r="G1402" s="1463"/>
      <c r="H1402" s="1463"/>
      <c r="I1402" s="1463"/>
      <c r="J1402" s="1463"/>
      <c r="K1402" s="1463"/>
      <c r="L1402" s="10"/>
    </row>
    <row r="1403" spans="2:12" ht="12.75" customHeight="1">
      <c r="B1403" s="10"/>
      <c r="C1403" s="1463"/>
      <c r="D1403" s="1463"/>
      <c r="E1403" s="1463"/>
      <c r="F1403" s="1463"/>
      <c r="G1403" s="1463"/>
      <c r="H1403" s="1463"/>
      <c r="I1403" s="1463"/>
      <c r="J1403" s="1463"/>
      <c r="K1403" s="1463"/>
      <c r="L1403" s="10"/>
    </row>
    <row r="1404" spans="2:12" ht="12.75" customHeight="1">
      <c r="B1404" s="10"/>
      <c r="C1404" s="1463"/>
      <c r="D1404" s="1463"/>
      <c r="E1404" s="1463"/>
      <c r="F1404" s="1463"/>
      <c r="G1404" s="1463"/>
      <c r="H1404" s="1463"/>
      <c r="I1404" s="1463"/>
      <c r="J1404" s="1463"/>
      <c r="K1404" s="1463"/>
      <c r="L1404" s="10"/>
    </row>
    <row r="1405" spans="2:12" ht="12.75" customHeight="1">
      <c r="B1405" s="10"/>
      <c r="C1405" s="1463"/>
      <c r="D1405" s="1463"/>
      <c r="E1405" s="1463"/>
      <c r="F1405" s="1463"/>
      <c r="G1405" s="1463"/>
      <c r="H1405" s="1463"/>
      <c r="I1405" s="1463"/>
      <c r="J1405" s="1463"/>
      <c r="K1405" s="1463"/>
      <c r="L1405" s="10"/>
    </row>
    <row r="1406" spans="2:12" ht="12.75" customHeight="1">
      <c r="B1406" s="10"/>
      <c r="C1406" s="1463"/>
      <c r="D1406" s="1463"/>
      <c r="E1406" s="1463"/>
      <c r="F1406" s="1463"/>
      <c r="G1406" s="1463"/>
      <c r="H1406" s="1463"/>
      <c r="I1406" s="1463"/>
      <c r="J1406" s="1463"/>
      <c r="K1406" s="1463"/>
      <c r="L1406" s="10"/>
    </row>
    <row r="1407" spans="2:12" ht="12.75" customHeight="1">
      <c r="B1407" s="10"/>
      <c r="C1407" s="1463"/>
      <c r="D1407" s="1463"/>
      <c r="E1407" s="1463"/>
      <c r="F1407" s="1463"/>
      <c r="G1407" s="1463"/>
      <c r="H1407" s="1463"/>
      <c r="I1407" s="1463"/>
      <c r="J1407" s="1463"/>
      <c r="K1407" s="1463"/>
      <c r="L1407" s="10"/>
    </row>
    <row r="1408" spans="2:12" ht="12.75" customHeight="1">
      <c r="B1408" s="10"/>
      <c r="C1408" s="1463"/>
      <c r="D1408" s="1463"/>
      <c r="E1408" s="1463"/>
      <c r="F1408" s="1463"/>
      <c r="G1408" s="1463"/>
      <c r="H1408" s="1463"/>
      <c r="I1408" s="1463"/>
      <c r="J1408" s="1463"/>
      <c r="K1408" s="1463"/>
      <c r="L1408" s="10"/>
    </row>
    <row r="1409" spans="2:12" ht="12.75" customHeight="1">
      <c r="B1409" s="10"/>
      <c r="C1409" s="607"/>
      <c r="D1409" s="607"/>
      <c r="E1409" s="607"/>
      <c r="F1409" s="607"/>
      <c r="G1409" s="607"/>
      <c r="H1409" s="607"/>
      <c r="I1409" s="607"/>
      <c r="J1409" s="607"/>
      <c r="K1409" s="607"/>
      <c r="L1409" s="10"/>
    </row>
    <row r="1410" spans="2:12" ht="12.75" customHeight="1">
      <c r="B1410" s="10"/>
      <c r="C1410" s="1463" t="s">
        <v>345</v>
      </c>
      <c r="D1410" s="1463"/>
      <c r="E1410" s="1463"/>
      <c r="F1410" s="1463"/>
      <c r="G1410" s="1463"/>
      <c r="H1410" s="1463"/>
      <c r="I1410" s="1463"/>
      <c r="J1410" s="1463"/>
      <c r="K1410" s="1463"/>
      <c r="L1410" s="10"/>
    </row>
    <row r="1411" spans="2:12" ht="12.75" customHeight="1">
      <c r="B1411" s="10"/>
      <c r="C1411" s="607"/>
      <c r="D1411" s="607"/>
      <c r="E1411" s="607"/>
      <c r="F1411" s="607"/>
      <c r="G1411" s="607"/>
      <c r="H1411" s="607"/>
      <c r="I1411" s="607"/>
      <c r="J1411" s="607"/>
      <c r="K1411" s="607"/>
      <c r="L1411" s="10"/>
    </row>
    <row r="1412" spans="2:12" ht="12.75" customHeight="1">
      <c r="B1412" s="10"/>
      <c r="C1412" s="1491" t="s">
        <v>373</v>
      </c>
      <c r="D1412" s="1491"/>
      <c r="E1412" s="1491"/>
      <c r="F1412" s="1491"/>
      <c r="G1412" s="1491"/>
      <c r="H1412" s="1491"/>
      <c r="I1412" s="1491"/>
      <c r="J1412" s="1491"/>
      <c r="K1412" s="1491"/>
      <c r="L1412" s="10"/>
    </row>
    <row r="1413" spans="2:12" ht="12.75" customHeight="1">
      <c r="B1413" s="10"/>
      <c r="C1413" s="1491"/>
      <c r="D1413" s="1491"/>
      <c r="E1413" s="1491"/>
      <c r="F1413" s="1491"/>
      <c r="G1413" s="1491"/>
      <c r="H1413" s="1491"/>
      <c r="I1413" s="1491"/>
      <c r="J1413" s="1491"/>
      <c r="K1413" s="1491"/>
      <c r="L1413" s="10"/>
    </row>
    <row r="1414" spans="2:12" ht="12.75" customHeight="1">
      <c r="B1414" s="10"/>
      <c r="C1414" s="609"/>
      <c r="D1414" s="609"/>
      <c r="E1414" s="609"/>
      <c r="F1414" s="609"/>
      <c r="G1414" s="609"/>
      <c r="H1414" s="609"/>
      <c r="I1414" s="609"/>
      <c r="J1414" s="609"/>
      <c r="K1414" s="609"/>
      <c r="L1414" s="10"/>
    </row>
    <row r="1415" spans="2:12" ht="12.75" customHeight="1">
      <c r="B1415" s="10"/>
      <c r="C1415" s="1491" t="s">
        <v>270</v>
      </c>
      <c r="D1415" s="1491"/>
      <c r="E1415" s="1491"/>
      <c r="F1415" s="1491"/>
      <c r="G1415" s="1491"/>
      <c r="H1415" s="1491"/>
      <c r="I1415" s="1491"/>
      <c r="J1415" s="1491"/>
      <c r="K1415" s="1491"/>
      <c r="L1415" s="10"/>
    </row>
    <row r="1416" spans="2:12" ht="12.75" customHeight="1">
      <c r="B1416" s="10"/>
      <c r="C1416" s="1491"/>
      <c r="D1416" s="1491"/>
      <c r="E1416" s="1491"/>
      <c r="F1416" s="1491"/>
      <c r="G1416" s="1491"/>
      <c r="H1416" s="1491"/>
      <c r="I1416" s="1491"/>
      <c r="J1416" s="1491"/>
      <c r="K1416" s="1491"/>
      <c r="L1416" s="10"/>
    </row>
    <row r="1417" spans="2:12" ht="12.75" customHeight="1">
      <c r="B1417" s="10"/>
      <c r="C1417" s="1491"/>
      <c r="D1417" s="1491"/>
      <c r="E1417" s="1491"/>
      <c r="F1417" s="1491"/>
      <c r="G1417" s="1491"/>
      <c r="H1417" s="1491"/>
      <c r="I1417" s="1491"/>
      <c r="J1417" s="1491"/>
      <c r="K1417" s="1491"/>
      <c r="L1417" s="10"/>
    </row>
    <row r="1418" spans="2:12" ht="12.75" customHeight="1">
      <c r="B1418" s="10"/>
      <c r="C1418" s="1491"/>
      <c r="D1418" s="1491"/>
      <c r="E1418" s="1491"/>
      <c r="F1418" s="1491"/>
      <c r="G1418" s="1491"/>
      <c r="H1418" s="1491"/>
      <c r="I1418" s="1491"/>
      <c r="J1418" s="1491"/>
      <c r="K1418" s="1491"/>
      <c r="L1418" s="10"/>
    </row>
    <row r="1419" spans="2:12" ht="12.75" customHeight="1">
      <c r="B1419" s="10"/>
      <c r="C1419" s="609"/>
      <c r="D1419" s="609"/>
      <c r="E1419" s="609"/>
      <c r="F1419" s="609"/>
      <c r="G1419" s="609"/>
      <c r="H1419" s="609"/>
      <c r="I1419" s="609"/>
      <c r="J1419" s="609"/>
      <c r="K1419" s="609"/>
      <c r="L1419" s="10"/>
    </row>
    <row r="1420" spans="2:12" ht="12.75" customHeight="1">
      <c r="B1420" s="10"/>
      <c r="C1420" s="1491" t="s">
        <v>271</v>
      </c>
      <c r="D1420" s="1491"/>
      <c r="E1420" s="1491"/>
      <c r="F1420" s="1491"/>
      <c r="G1420" s="1491"/>
      <c r="H1420" s="1491"/>
      <c r="I1420" s="1491"/>
      <c r="J1420" s="1491"/>
      <c r="K1420" s="1491"/>
      <c r="L1420" s="10"/>
    </row>
    <row r="1421" spans="2:12" ht="12.75" customHeight="1">
      <c r="B1421" s="10"/>
      <c r="C1421" s="1491"/>
      <c r="D1421" s="1491"/>
      <c r="E1421" s="1491"/>
      <c r="F1421" s="1491"/>
      <c r="G1421" s="1491"/>
      <c r="H1421" s="1491"/>
      <c r="I1421" s="1491"/>
      <c r="J1421" s="1491"/>
      <c r="K1421" s="1491"/>
      <c r="L1421" s="10"/>
    </row>
    <row r="1422" spans="2:12" ht="12.75" customHeight="1">
      <c r="B1422" s="10"/>
      <c r="C1422" s="1491"/>
      <c r="D1422" s="1491"/>
      <c r="E1422" s="1491"/>
      <c r="F1422" s="1491"/>
      <c r="G1422" s="1491"/>
      <c r="H1422" s="1491"/>
      <c r="I1422" s="1491"/>
      <c r="J1422" s="1491"/>
      <c r="K1422" s="1491"/>
      <c r="L1422" s="10"/>
    </row>
    <row r="1423" spans="2:12" ht="12.75" customHeight="1">
      <c r="B1423" s="10"/>
      <c r="C1423" s="609"/>
      <c r="D1423" s="609"/>
      <c r="E1423" s="609"/>
      <c r="F1423" s="609"/>
      <c r="G1423" s="609"/>
      <c r="H1423" s="609"/>
      <c r="I1423" s="609"/>
      <c r="J1423" s="609"/>
      <c r="K1423" s="609"/>
      <c r="L1423" s="10"/>
    </row>
    <row r="1424" spans="2:12" ht="12.75" customHeight="1">
      <c r="B1424" s="10"/>
      <c r="C1424" s="609"/>
      <c r="D1424" s="609"/>
      <c r="E1424" s="609"/>
      <c r="F1424" s="609"/>
      <c r="G1424" s="609"/>
      <c r="H1424" s="609"/>
      <c r="I1424" s="609"/>
      <c r="J1424" s="609"/>
      <c r="K1424" s="609"/>
      <c r="L1424" s="10"/>
    </row>
    <row r="1425" spans="2:40" ht="12.75" customHeight="1">
      <c r="B1425" s="10"/>
      <c r="C1425" s="609"/>
      <c r="D1425" s="609"/>
      <c r="E1425" s="609"/>
      <c r="F1425" s="609"/>
      <c r="G1425" s="609"/>
      <c r="H1425" s="609"/>
      <c r="I1425" s="609"/>
      <c r="J1425" s="609"/>
      <c r="K1425" s="609"/>
      <c r="L1425" s="10"/>
    </row>
    <row r="1426" spans="2:40" ht="12.75" customHeight="1">
      <c r="B1426" s="10"/>
      <c r="C1426" s="1491" t="s">
        <v>374</v>
      </c>
      <c r="D1426" s="1491"/>
      <c r="E1426" s="1491"/>
      <c r="F1426" s="1491"/>
      <c r="G1426" s="1491"/>
      <c r="H1426" s="1491"/>
      <c r="I1426" s="1491"/>
      <c r="J1426" s="1491"/>
      <c r="K1426" s="1491"/>
      <c r="L1426" s="10"/>
    </row>
    <row r="1427" spans="2:40" ht="12.75" customHeight="1">
      <c r="B1427" s="10"/>
      <c r="C1427" s="1491"/>
      <c r="D1427" s="1491"/>
      <c r="E1427" s="1491"/>
      <c r="F1427" s="1491"/>
      <c r="G1427" s="1491"/>
      <c r="H1427" s="1491"/>
      <c r="I1427" s="1491"/>
      <c r="J1427" s="1491"/>
      <c r="K1427" s="1491"/>
      <c r="L1427" s="10"/>
    </row>
    <row r="1428" spans="2:40" ht="12.75" customHeight="1">
      <c r="B1428" s="10"/>
      <c r="C1428" s="609"/>
      <c r="D1428" s="609"/>
      <c r="E1428" s="609"/>
      <c r="F1428" s="609"/>
      <c r="G1428" s="609"/>
      <c r="H1428" s="609"/>
      <c r="I1428" s="609"/>
      <c r="J1428" s="609"/>
      <c r="K1428" s="609"/>
      <c r="L1428" s="10"/>
    </row>
    <row r="1429" spans="2:40" ht="12.75" customHeight="1">
      <c r="B1429" s="10"/>
      <c r="C1429" s="1491" t="s">
        <v>348</v>
      </c>
      <c r="D1429" s="1491"/>
      <c r="E1429" s="1491"/>
      <c r="F1429" s="1491"/>
      <c r="G1429" s="1491"/>
      <c r="H1429" s="1491"/>
      <c r="I1429" s="1491"/>
      <c r="J1429" s="1491"/>
      <c r="K1429" s="1491"/>
      <c r="L1429" s="10"/>
    </row>
    <row r="1430" spans="2:40" ht="12.75" customHeight="1">
      <c r="B1430" s="10"/>
      <c r="C1430" s="1491"/>
      <c r="D1430" s="1491"/>
      <c r="E1430" s="1491"/>
      <c r="F1430" s="1491"/>
      <c r="G1430" s="1491"/>
      <c r="H1430" s="1491"/>
      <c r="I1430" s="1491"/>
      <c r="J1430" s="1491"/>
      <c r="K1430" s="1491"/>
      <c r="L1430" s="10"/>
    </row>
    <row r="1431" spans="2:40" ht="12.75" customHeight="1">
      <c r="B1431" s="10"/>
      <c r="C1431" s="1491"/>
      <c r="D1431" s="1491"/>
      <c r="E1431" s="1491"/>
      <c r="F1431" s="1491"/>
      <c r="G1431" s="1491"/>
      <c r="H1431" s="1491"/>
      <c r="I1431" s="1491"/>
      <c r="J1431" s="1491"/>
      <c r="K1431" s="1491"/>
      <c r="L1431" s="10"/>
    </row>
    <row r="1432" spans="2:40" ht="12.75" customHeight="1">
      <c r="B1432" s="10"/>
      <c r="C1432" s="1491"/>
      <c r="D1432" s="1491"/>
      <c r="E1432" s="1491"/>
      <c r="F1432" s="1491"/>
      <c r="G1432" s="1491"/>
      <c r="H1432" s="1491"/>
      <c r="I1432" s="1491"/>
      <c r="J1432" s="1491"/>
      <c r="K1432" s="1491"/>
      <c r="L1432" s="10"/>
    </row>
    <row r="1433" spans="2:40" ht="12.75" customHeight="1">
      <c r="B1433" s="10"/>
      <c r="C1433" s="609"/>
      <c r="D1433" s="609"/>
      <c r="E1433" s="609"/>
      <c r="F1433" s="609"/>
      <c r="G1433" s="609"/>
      <c r="H1433" s="609"/>
      <c r="I1433" s="609"/>
      <c r="J1433" s="609"/>
      <c r="K1433" s="609"/>
      <c r="L1433" s="10"/>
    </row>
    <row r="1434" spans="2:40" ht="12.75" customHeight="1">
      <c r="B1434" s="10"/>
      <c r="C1434" s="1491" t="s">
        <v>375</v>
      </c>
      <c r="D1434" s="1491"/>
      <c r="E1434" s="1491"/>
      <c r="F1434" s="1491"/>
      <c r="G1434" s="1491"/>
      <c r="H1434" s="1491"/>
      <c r="I1434" s="1491"/>
      <c r="J1434" s="1491"/>
      <c r="K1434" s="1491"/>
      <c r="L1434" s="10"/>
    </row>
    <row r="1435" spans="2:40" ht="12.75" customHeight="1">
      <c r="B1435" s="10"/>
      <c r="C1435" s="1491"/>
      <c r="D1435" s="1491"/>
      <c r="E1435" s="1491"/>
      <c r="F1435" s="1491"/>
      <c r="G1435" s="1491"/>
      <c r="H1435" s="1491"/>
      <c r="I1435" s="1491"/>
      <c r="J1435" s="1491"/>
      <c r="K1435" s="1491"/>
      <c r="L1435" s="10"/>
    </row>
    <row r="1436" spans="2:40" ht="12.75" customHeight="1">
      <c r="B1436" s="10"/>
      <c r="C1436" s="108"/>
      <c r="D1436" s="10"/>
      <c r="E1436" s="10"/>
      <c r="F1436" s="10"/>
      <c r="G1436" s="10"/>
      <c r="H1436" s="10"/>
      <c r="I1436" s="10"/>
      <c r="J1436" s="10"/>
      <c r="K1436" s="10"/>
      <c r="L1436" s="10"/>
    </row>
    <row r="1437" spans="2:40" ht="12.75" customHeight="1">
      <c r="B1437" s="10"/>
      <c r="C1437" s="108"/>
      <c r="D1437" s="10"/>
      <c r="E1437" s="10"/>
      <c r="F1437" s="10"/>
      <c r="G1437" s="10"/>
      <c r="H1437" s="10"/>
      <c r="I1437" s="10"/>
      <c r="J1437" s="10"/>
      <c r="K1437" s="10"/>
      <c r="L1437" s="10"/>
      <c r="M1437" s="10"/>
      <c r="N1437" s="10"/>
      <c r="O1437" s="10"/>
      <c r="P1437" s="10"/>
      <c r="Q1437" s="10"/>
      <c r="R1437" s="10"/>
      <c r="S1437" s="10"/>
      <c r="T1437" s="10"/>
      <c r="U1437" s="10"/>
      <c r="V1437" s="10"/>
      <c r="W1437" s="10"/>
      <c r="X1437" s="10"/>
      <c r="Y1437" s="10"/>
      <c r="Z1437" s="10"/>
      <c r="AA1437" s="10"/>
      <c r="AB1437" s="10"/>
      <c r="AC1437" s="10"/>
      <c r="AD1437" s="10"/>
      <c r="AE1437" s="10"/>
      <c r="AF1437" s="10"/>
      <c r="AG1437" s="10"/>
      <c r="AH1437" s="10"/>
      <c r="AI1437" s="10"/>
      <c r="AJ1437" s="10"/>
      <c r="AK1437" s="10"/>
      <c r="AL1437" s="10"/>
      <c r="AM1437" s="10"/>
      <c r="AN1437" s="10"/>
    </row>
    <row r="1438" spans="2:40" ht="12.75" customHeight="1">
      <c r="B1438" s="10"/>
      <c r="C1438" s="108"/>
      <c r="D1438" s="10"/>
      <c r="E1438" s="10"/>
      <c r="F1438" s="10"/>
      <c r="G1438" s="10"/>
      <c r="H1438" s="10"/>
      <c r="I1438" s="10"/>
      <c r="J1438" s="10"/>
      <c r="K1438" s="10"/>
      <c r="L1438" s="10"/>
      <c r="M1438" s="10"/>
      <c r="N1438" s="10"/>
      <c r="O1438" s="10"/>
      <c r="P1438" s="10"/>
      <c r="Q1438" s="10"/>
      <c r="R1438" s="10"/>
      <c r="S1438" s="10"/>
      <c r="T1438" s="10"/>
      <c r="U1438" s="10"/>
      <c r="V1438" s="10"/>
      <c r="W1438" s="10"/>
      <c r="X1438" s="10"/>
      <c r="Y1438" s="10"/>
      <c r="Z1438" s="10"/>
      <c r="AA1438" s="10"/>
      <c r="AB1438" s="10"/>
      <c r="AC1438" s="10"/>
      <c r="AD1438" s="10"/>
      <c r="AE1438" s="10"/>
      <c r="AF1438" s="10"/>
      <c r="AG1438" s="10"/>
      <c r="AH1438" s="10"/>
      <c r="AI1438" s="10"/>
      <c r="AJ1438" s="10"/>
      <c r="AK1438" s="10"/>
      <c r="AL1438" s="10"/>
      <c r="AM1438" s="10"/>
      <c r="AN1438" s="10"/>
    </row>
    <row r="1439" spans="2:40" ht="12.75" customHeight="1">
      <c r="B1439" s="10"/>
      <c r="C1439" s="108"/>
      <c r="D1439" s="10"/>
      <c r="E1439" s="10"/>
      <c r="F1439" s="10"/>
      <c r="G1439" s="10"/>
      <c r="H1439" s="10"/>
      <c r="I1439" s="10"/>
      <c r="J1439" s="10"/>
      <c r="K1439" s="10"/>
      <c r="L1439" s="10"/>
      <c r="M1439" s="10"/>
      <c r="N1439" s="10"/>
      <c r="O1439" s="10"/>
      <c r="P1439" s="10"/>
      <c r="Q1439" s="10"/>
      <c r="R1439" s="10"/>
      <c r="S1439" s="10"/>
      <c r="T1439" s="10"/>
      <c r="U1439" s="10"/>
      <c r="V1439" s="10"/>
      <c r="W1439" s="10"/>
      <c r="X1439" s="10"/>
      <c r="Y1439" s="10"/>
      <c r="Z1439" s="10"/>
      <c r="AA1439" s="10"/>
      <c r="AB1439" s="10"/>
      <c r="AC1439" s="10"/>
      <c r="AD1439" s="10"/>
      <c r="AE1439" s="10"/>
      <c r="AF1439" s="10"/>
      <c r="AG1439" s="10"/>
      <c r="AH1439" s="10"/>
      <c r="AI1439" s="10"/>
      <c r="AJ1439" s="10"/>
      <c r="AK1439" s="10"/>
      <c r="AL1439" s="10"/>
      <c r="AM1439" s="10"/>
      <c r="AN1439" s="10"/>
    </row>
    <row r="1440" spans="2:40" ht="12.75" customHeight="1">
      <c r="B1440" s="10"/>
      <c r="C1440" s="10"/>
      <c r="D1440" s="10"/>
      <c r="E1440" s="10"/>
      <c r="F1440" s="10"/>
      <c r="G1440" s="10"/>
      <c r="H1440" s="10"/>
      <c r="I1440" s="10"/>
      <c r="J1440" s="10"/>
      <c r="K1440" s="10"/>
      <c r="L1440" s="10"/>
      <c r="M1440" s="10"/>
      <c r="N1440" s="10"/>
      <c r="O1440" s="10"/>
      <c r="P1440" s="10"/>
      <c r="Q1440" s="10"/>
      <c r="R1440" s="10"/>
      <c r="S1440" s="10"/>
      <c r="T1440" s="10"/>
      <c r="U1440" s="10"/>
      <c r="V1440" s="10"/>
      <c r="W1440" s="10"/>
      <c r="X1440" s="10"/>
      <c r="Y1440" s="10"/>
      <c r="Z1440" s="10"/>
      <c r="AA1440" s="10"/>
      <c r="AB1440" s="10"/>
      <c r="AC1440" s="10"/>
      <c r="AD1440" s="10"/>
      <c r="AE1440" s="10"/>
      <c r="AF1440" s="10"/>
      <c r="AG1440" s="10"/>
      <c r="AH1440" s="10"/>
      <c r="AI1440" s="10"/>
      <c r="AJ1440" s="10"/>
      <c r="AK1440" s="10"/>
      <c r="AL1440" s="10"/>
      <c r="AM1440" s="10"/>
      <c r="AN1440" s="10"/>
    </row>
    <row r="1441" spans="2:40" ht="12.75" customHeight="1">
      <c r="B1441" s="10"/>
      <c r="C1441" s="545"/>
      <c r="D1441" s="108"/>
      <c r="E1441" s="108"/>
      <c r="F1441" s="108"/>
      <c r="G1441" s="108"/>
      <c r="H1441" s="108"/>
      <c r="I1441" s="108"/>
      <c r="J1441" s="108"/>
      <c r="K1441" s="108"/>
      <c r="L1441" s="108"/>
      <c r="M1441" s="108"/>
      <c r="N1441" s="10"/>
      <c r="O1441" s="10"/>
      <c r="P1441" s="10"/>
      <c r="Q1441" s="10"/>
      <c r="R1441" s="10"/>
      <c r="S1441" s="10"/>
      <c r="T1441" s="10"/>
      <c r="U1441" s="10"/>
      <c r="V1441" s="10"/>
      <c r="W1441" s="10"/>
      <c r="X1441" s="10"/>
      <c r="Y1441" s="10"/>
      <c r="Z1441" s="10"/>
      <c r="AA1441" s="10"/>
      <c r="AB1441" s="10"/>
      <c r="AC1441" s="10"/>
      <c r="AD1441" s="10"/>
      <c r="AE1441" s="10"/>
      <c r="AF1441" s="10"/>
      <c r="AG1441" s="10"/>
      <c r="AH1441" s="10"/>
      <c r="AI1441" s="10"/>
      <c r="AJ1441" s="10"/>
      <c r="AK1441" s="10"/>
      <c r="AL1441" s="10"/>
      <c r="AM1441" s="10"/>
      <c r="AN1441" s="10"/>
    </row>
    <row r="1442" spans="2:40" ht="12.75" customHeight="1">
      <c r="B1442" s="10"/>
      <c r="C1442" s="108"/>
      <c r="D1442" s="108"/>
      <c r="E1442" s="108"/>
      <c r="F1442" s="108"/>
      <c r="G1442" s="108"/>
      <c r="H1442" s="108"/>
      <c r="I1442" s="108"/>
      <c r="J1442" s="108"/>
      <c r="K1442" s="108"/>
      <c r="L1442" s="108"/>
      <c r="M1442" s="108"/>
      <c r="N1442" s="10"/>
      <c r="O1442" s="10"/>
      <c r="P1442" s="10"/>
      <c r="Q1442" s="10"/>
      <c r="R1442" s="10"/>
      <c r="S1442" s="10"/>
      <c r="T1442" s="10"/>
      <c r="U1442" s="10"/>
      <c r="V1442" s="10"/>
      <c r="W1442" s="10"/>
      <c r="X1442" s="10"/>
      <c r="Y1442" s="10"/>
      <c r="Z1442" s="10"/>
      <c r="AA1442" s="10"/>
      <c r="AB1442" s="10"/>
      <c r="AC1442" s="10"/>
      <c r="AD1442" s="10"/>
      <c r="AE1442" s="10"/>
      <c r="AF1442" s="10"/>
      <c r="AG1442" s="10"/>
      <c r="AH1442" s="10"/>
      <c r="AI1442" s="10"/>
      <c r="AJ1442" s="10"/>
      <c r="AK1442" s="10"/>
      <c r="AL1442" s="10"/>
      <c r="AM1442" s="10"/>
      <c r="AN1442" s="10"/>
    </row>
    <row r="1443" spans="2:40" ht="12.75" customHeight="1">
      <c r="B1443" s="10"/>
      <c r="C1443" s="108"/>
      <c r="D1443" s="108"/>
      <c r="E1443" s="108"/>
      <c r="F1443" s="108"/>
      <c r="G1443" s="108"/>
      <c r="H1443" s="108"/>
      <c r="I1443" s="108"/>
      <c r="J1443" s="108"/>
      <c r="K1443" s="108"/>
      <c r="L1443" s="108"/>
      <c r="M1443" s="108"/>
      <c r="N1443" s="10"/>
      <c r="O1443" s="10"/>
      <c r="P1443" s="10"/>
      <c r="Q1443" s="10"/>
      <c r="R1443" s="10"/>
      <c r="S1443" s="10"/>
      <c r="T1443" s="10"/>
      <c r="U1443" s="10"/>
      <c r="V1443" s="10"/>
      <c r="W1443" s="10"/>
      <c r="X1443" s="10"/>
      <c r="Y1443" s="10"/>
      <c r="Z1443" s="10"/>
      <c r="AA1443" s="10"/>
      <c r="AB1443" s="10"/>
      <c r="AC1443" s="10"/>
      <c r="AD1443" s="10"/>
      <c r="AE1443" s="10"/>
      <c r="AF1443" s="10"/>
      <c r="AG1443" s="10"/>
      <c r="AH1443" s="10"/>
      <c r="AI1443" s="10"/>
      <c r="AJ1443" s="10"/>
      <c r="AK1443" s="10"/>
      <c r="AL1443" s="10"/>
      <c r="AM1443" s="10"/>
      <c r="AN1443" s="10"/>
    </row>
    <row r="1444" spans="2:40" ht="12.75" customHeight="1">
      <c r="B1444" s="10"/>
      <c r="C1444" s="108"/>
      <c r="D1444" s="10"/>
      <c r="E1444" s="10"/>
      <c r="F1444" s="10"/>
      <c r="G1444" s="10"/>
      <c r="H1444" s="10"/>
      <c r="I1444" s="10"/>
      <c r="J1444" s="10"/>
      <c r="K1444" s="10"/>
      <c r="L1444" s="10"/>
      <c r="M1444" s="10"/>
      <c r="N1444" s="10"/>
      <c r="O1444" s="10"/>
      <c r="P1444" s="10"/>
      <c r="Q1444" s="10"/>
      <c r="R1444" s="10"/>
      <c r="S1444" s="10"/>
      <c r="T1444" s="10"/>
      <c r="U1444" s="10"/>
      <c r="V1444" s="10"/>
      <c r="W1444" s="10"/>
      <c r="X1444" s="10"/>
      <c r="Y1444" s="10"/>
      <c r="Z1444" s="10"/>
      <c r="AA1444" s="10"/>
      <c r="AB1444" s="10"/>
      <c r="AC1444" s="10"/>
      <c r="AD1444" s="10"/>
      <c r="AE1444" s="10"/>
      <c r="AF1444" s="10"/>
      <c r="AG1444" s="10"/>
      <c r="AH1444" s="10"/>
      <c r="AI1444" s="10"/>
      <c r="AJ1444" s="10"/>
      <c r="AK1444" s="10"/>
      <c r="AL1444" s="10"/>
      <c r="AM1444" s="10"/>
      <c r="AN1444" s="10"/>
    </row>
    <row r="1445" spans="2:40" ht="12.75" customHeight="1">
      <c r="B1445" s="10"/>
      <c r="C1445" s="108"/>
      <c r="D1445" s="10"/>
      <c r="E1445" s="10"/>
      <c r="F1445" s="10"/>
      <c r="G1445" s="10"/>
      <c r="H1445" s="10"/>
      <c r="I1445" s="10"/>
      <c r="J1445" s="10"/>
      <c r="K1445" s="10"/>
      <c r="L1445" s="10"/>
      <c r="M1445" s="10"/>
      <c r="N1445" s="10"/>
      <c r="O1445" s="10"/>
      <c r="P1445" s="10"/>
      <c r="Q1445" s="10"/>
      <c r="R1445" s="10"/>
      <c r="S1445" s="10"/>
      <c r="T1445" s="10"/>
      <c r="U1445" s="10"/>
      <c r="V1445" s="10"/>
      <c r="W1445" s="10"/>
      <c r="X1445" s="10"/>
      <c r="Y1445" s="10"/>
      <c r="Z1445" s="10"/>
      <c r="AA1445" s="10"/>
      <c r="AB1445" s="10"/>
      <c r="AC1445" s="10"/>
      <c r="AD1445" s="10"/>
      <c r="AE1445" s="10"/>
      <c r="AF1445" s="10"/>
      <c r="AG1445" s="10"/>
      <c r="AH1445" s="10"/>
      <c r="AI1445" s="10"/>
      <c r="AJ1445" s="10"/>
      <c r="AK1445" s="10"/>
      <c r="AL1445" s="10"/>
      <c r="AM1445" s="10"/>
      <c r="AN1445" s="10"/>
    </row>
    <row r="1446" spans="2:40" ht="12.75" customHeight="1">
      <c r="B1446" s="10"/>
      <c r="C1446" s="108"/>
      <c r="D1446" s="10"/>
      <c r="E1446" s="10"/>
      <c r="F1446" s="10"/>
      <c r="G1446" s="10"/>
      <c r="H1446" s="10"/>
      <c r="I1446" s="10"/>
      <c r="J1446" s="10"/>
      <c r="K1446" s="10"/>
      <c r="L1446" s="10"/>
      <c r="M1446" s="10"/>
      <c r="N1446" s="10"/>
      <c r="O1446" s="10"/>
      <c r="P1446" s="10"/>
      <c r="Q1446" s="10"/>
      <c r="R1446" s="10"/>
      <c r="S1446" s="10"/>
      <c r="T1446" s="10"/>
      <c r="U1446" s="10"/>
      <c r="V1446" s="10"/>
      <c r="W1446" s="10"/>
      <c r="X1446" s="10"/>
      <c r="Y1446" s="10"/>
      <c r="Z1446" s="10"/>
      <c r="AA1446" s="10"/>
      <c r="AB1446" s="10"/>
      <c r="AC1446" s="10"/>
      <c r="AD1446" s="10"/>
      <c r="AE1446" s="10"/>
      <c r="AF1446" s="10"/>
      <c r="AG1446" s="10"/>
      <c r="AH1446" s="10"/>
      <c r="AI1446" s="10"/>
      <c r="AJ1446" s="10"/>
      <c r="AK1446" s="10"/>
      <c r="AL1446" s="10"/>
      <c r="AM1446" s="10"/>
      <c r="AN1446" s="10"/>
    </row>
    <row r="1447" spans="2:40" ht="12.75" customHeight="1">
      <c r="B1447" s="10"/>
      <c r="C1447" s="108"/>
      <c r="D1447" s="10"/>
      <c r="E1447" s="10"/>
      <c r="F1447" s="10"/>
      <c r="G1447" s="10"/>
      <c r="H1447" s="10"/>
      <c r="I1447" s="10"/>
      <c r="J1447" s="10"/>
      <c r="K1447" s="10"/>
      <c r="L1447" s="10"/>
    </row>
    <row r="1448" spans="2:40" ht="12.75" customHeight="1">
      <c r="B1448" s="10"/>
      <c r="C1448" s="108"/>
      <c r="D1448" s="10"/>
      <c r="E1448" s="10"/>
      <c r="F1448" s="10"/>
      <c r="G1448" s="10"/>
      <c r="H1448" s="10"/>
      <c r="I1448" s="10"/>
      <c r="J1448" s="10"/>
      <c r="K1448" s="10"/>
      <c r="L1448" s="10"/>
    </row>
    <row r="1449" spans="2:40" ht="12.75" customHeight="1">
      <c r="B1449" s="10"/>
      <c r="C1449" s="108"/>
      <c r="D1449" s="10"/>
      <c r="E1449" s="10"/>
      <c r="F1449" s="10"/>
      <c r="G1449" s="10"/>
      <c r="H1449" s="10"/>
      <c r="I1449" s="10"/>
      <c r="J1449" s="10"/>
      <c r="K1449" s="10"/>
      <c r="L1449" s="10"/>
    </row>
    <row r="1450" spans="2:40" ht="12.75" customHeight="1">
      <c r="B1450" s="10"/>
      <c r="C1450" s="108"/>
      <c r="D1450" s="10"/>
      <c r="E1450" s="10"/>
      <c r="F1450" s="10"/>
      <c r="G1450" s="10"/>
      <c r="H1450" s="10"/>
      <c r="I1450" s="10"/>
      <c r="J1450" s="10"/>
      <c r="K1450" s="10"/>
      <c r="L1450" s="10"/>
    </row>
    <row r="1451" spans="2:40" ht="12.75" customHeight="1">
      <c r="B1451" s="10"/>
      <c r="C1451" s="108"/>
      <c r="D1451" s="10"/>
      <c r="E1451" s="10"/>
      <c r="F1451" s="10"/>
      <c r="G1451" s="10"/>
      <c r="H1451" s="10"/>
      <c r="I1451" s="10"/>
      <c r="J1451" s="10"/>
      <c r="K1451" s="10"/>
      <c r="L1451" s="10"/>
    </row>
    <row r="1452" spans="2:40" ht="12.75" customHeight="1">
      <c r="B1452" s="10"/>
      <c r="C1452" s="108"/>
      <c r="D1452" s="10"/>
      <c r="E1452" s="10"/>
      <c r="F1452" s="10"/>
      <c r="G1452" s="10"/>
      <c r="H1452" s="10"/>
      <c r="I1452" s="10"/>
      <c r="J1452" s="10"/>
      <c r="K1452" s="10"/>
      <c r="L1452" s="10"/>
    </row>
    <row r="1453" spans="2:40" ht="12.75" customHeight="1">
      <c r="B1453" s="10"/>
      <c r="C1453" s="108"/>
      <c r="D1453" s="10"/>
      <c r="E1453" s="10"/>
      <c r="F1453" s="10"/>
      <c r="G1453" s="10"/>
      <c r="H1453" s="10"/>
      <c r="I1453" s="10"/>
      <c r="J1453" s="10"/>
      <c r="K1453" s="10"/>
      <c r="L1453" s="10"/>
    </row>
    <row r="1454" spans="2:40" ht="12.75" customHeight="1">
      <c r="B1454" s="10"/>
      <c r="C1454" s="108"/>
      <c r="D1454" s="10"/>
      <c r="E1454" s="10"/>
      <c r="F1454" s="10"/>
      <c r="G1454" s="10"/>
      <c r="H1454" s="10"/>
      <c r="I1454" s="10"/>
      <c r="J1454" s="10"/>
      <c r="K1454" s="10"/>
      <c r="L1454" s="10"/>
    </row>
    <row r="1455" spans="2:40" ht="12.75" customHeight="1">
      <c r="B1455" s="10"/>
      <c r="C1455" s="108"/>
      <c r="D1455" s="10"/>
      <c r="E1455" s="10"/>
      <c r="F1455" s="10"/>
      <c r="G1455" s="10"/>
      <c r="H1455" s="10"/>
      <c r="I1455" s="10"/>
      <c r="J1455" s="10"/>
      <c r="K1455" s="10"/>
      <c r="L1455" s="10"/>
    </row>
    <row r="1456" spans="2:40" ht="12.75" customHeight="1">
      <c r="B1456" s="10"/>
      <c r="C1456" s="108"/>
      <c r="D1456" s="10"/>
      <c r="E1456" s="10"/>
      <c r="F1456" s="10"/>
      <c r="G1456" s="10"/>
      <c r="H1456" s="10"/>
      <c r="I1456" s="10"/>
      <c r="J1456" s="10"/>
      <c r="K1456" s="10"/>
      <c r="L1456" s="10"/>
    </row>
    <row r="1457" spans="2:12" ht="12.75" customHeight="1">
      <c r="B1457" s="10"/>
      <c r="C1457" s="108"/>
      <c r="D1457" s="10"/>
      <c r="E1457" s="10"/>
      <c r="F1457" s="10"/>
      <c r="G1457" s="10"/>
      <c r="H1457" s="10"/>
      <c r="I1457" s="10"/>
      <c r="J1457" s="10"/>
      <c r="K1457" s="10"/>
      <c r="L1457" s="10"/>
    </row>
    <row r="1458" spans="2:12" ht="12.75" customHeight="1">
      <c r="B1458" s="10"/>
      <c r="C1458" s="108"/>
      <c r="D1458" s="10"/>
      <c r="E1458" s="10"/>
      <c r="F1458" s="10"/>
      <c r="G1458" s="10"/>
      <c r="H1458" s="10"/>
      <c r="I1458" s="10"/>
      <c r="J1458" s="10"/>
      <c r="K1458" s="10"/>
      <c r="L1458" s="10"/>
    </row>
    <row r="1459" spans="2:12" ht="12.75" customHeight="1">
      <c r="B1459" s="10"/>
      <c r="C1459" s="108"/>
      <c r="D1459" s="10"/>
      <c r="E1459" s="10"/>
      <c r="F1459" s="10"/>
      <c r="G1459" s="10"/>
      <c r="H1459" s="10"/>
      <c r="I1459" s="10"/>
      <c r="J1459" s="10"/>
      <c r="K1459" s="10"/>
      <c r="L1459" s="10"/>
    </row>
    <row r="1460" spans="2:12" ht="12.75" customHeight="1">
      <c r="B1460" s="10"/>
      <c r="C1460" s="108"/>
      <c r="D1460" s="10"/>
      <c r="E1460" s="10"/>
      <c r="F1460" s="10"/>
      <c r="G1460" s="10"/>
      <c r="H1460" s="10"/>
      <c r="I1460" s="10"/>
      <c r="J1460" s="10"/>
      <c r="K1460" s="10"/>
      <c r="L1460" s="10"/>
    </row>
    <row r="1461" spans="2:12" ht="12.75" customHeight="1">
      <c r="B1461" s="10"/>
      <c r="C1461" s="108"/>
      <c r="D1461" s="10"/>
      <c r="E1461" s="10"/>
      <c r="F1461" s="10"/>
      <c r="G1461" s="10"/>
      <c r="H1461" s="10"/>
      <c r="I1461" s="10"/>
      <c r="J1461" s="10"/>
      <c r="K1461" s="10"/>
      <c r="L1461" s="10"/>
    </row>
    <row r="1462" spans="2:12" ht="12.75" customHeight="1">
      <c r="B1462" s="10"/>
      <c r="C1462" s="108"/>
      <c r="D1462" s="10"/>
      <c r="E1462" s="10"/>
      <c r="F1462" s="10"/>
      <c r="G1462" s="10"/>
      <c r="H1462" s="10"/>
      <c r="I1462" s="10"/>
      <c r="J1462" s="10"/>
      <c r="K1462" s="10"/>
      <c r="L1462" s="10"/>
    </row>
    <row r="1463" spans="2:12" ht="12.75" customHeight="1">
      <c r="B1463" s="10"/>
      <c r="C1463" s="10"/>
      <c r="D1463" s="10"/>
      <c r="E1463" s="10"/>
      <c r="F1463" s="10"/>
      <c r="G1463" s="10"/>
      <c r="H1463" s="10"/>
      <c r="I1463" s="10"/>
      <c r="J1463" s="10"/>
      <c r="K1463" s="10"/>
      <c r="L1463" s="10"/>
    </row>
    <row r="1464" spans="2:12" ht="12.75" customHeight="1">
      <c r="B1464" s="10"/>
      <c r="C1464" s="10"/>
      <c r="D1464" s="10"/>
      <c r="E1464" s="10"/>
      <c r="F1464" s="10"/>
      <c r="G1464" s="10"/>
      <c r="H1464" s="10"/>
      <c r="I1464" s="10"/>
      <c r="J1464" s="10"/>
      <c r="K1464" s="10"/>
      <c r="L1464" s="10"/>
    </row>
    <row r="1465" spans="2:12" ht="12.75" customHeight="1">
      <c r="B1465" s="10"/>
      <c r="C1465" s="10"/>
      <c r="D1465" s="10"/>
      <c r="E1465" s="10"/>
      <c r="F1465" s="10"/>
      <c r="G1465" s="10"/>
      <c r="H1465" s="10"/>
      <c r="I1465" s="10"/>
      <c r="J1465" s="10"/>
      <c r="K1465" s="10"/>
      <c r="L1465" s="10"/>
    </row>
    <row r="1466" spans="2:12" ht="12.75" customHeight="1">
      <c r="B1466" s="10"/>
      <c r="C1466" s="10"/>
      <c r="D1466" s="10"/>
      <c r="E1466" s="10"/>
      <c r="F1466" s="10"/>
      <c r="G1466" s="10"/>
      <c r="H1466" s="10"/>
      <c r="I1466" s="10"/>
      <c r="J1466" s="10"/>
      <c r="K1466" s="10"/>
      <c r="L1466" s="10"/>
    </row>
    <row r="1467" spans="2:12" ht="12.75" customHeight="1">
      <c r="B1467" s="10"/>
      <c r="C1467" s="10"/>
      <c r="D1467" s="10"/>
      <c r="E1467" s="10"/>
      <c r="F1467" s="10"/>
      <c r="G1467" s="10"/>
      <c r="H1467" s="10"/>
      <c r="I1467" s="10"/>
      <c r="J1467" s="10"/>
      <c r="K1467" s="10"/>
      <c r="L1467" s="10"/>
    </row>
    <row r="1468" spans="2:12" ht="12.75" customHeight="1">
      <c r="B1468" s="10"/>
      <c r="C1468" s="10"/>
      <c r="D1468" s="10"/>
      <c r="E1468" s="10"/>
      <c r="F1468" s="10"/>
      <c r="G1468" s="10"/>
      <c r="H1468" s="10"/>
      <c r="I1468" s="10"/>
      <c r="J1468" s="10"/>
      <c r="K1468" s="10"/>
      <c r="L1468" s="10"/>
    </row>
    <row r="1469" spans="2:12" ht="12.75" customHeight="1">
      <c r="B1469" s="10"/>
      <c r="C1469" s="10"/>
      <c r="D1469" s="10"/>
      <c r="E1469" s="10"/>
      <c r="F1469" s="10"/>
      <c r="G1469" s="10"/>
      <c r="H1469" s="10"/>
      <c r="I1469" s="10"/>
      <c r="J1469" s="10"/>
      <c r="K1469" s="10"/>
      <c r="L1469" s="10"/>
    </row>
    <row r="1470" spans="2:12" ht="12.75" customHeight="1">
      <c r="B1470" s="10"/>
      <c r="C1470" s="10"/>
      <c r="D1470" s="10"/>
      <c r="E1470" s="10"/>
      <c r="F1470" s="10"/>
      <c r="G1470" s="10"/>
      <c r="H1470" s="10"/>
      <c r="I1470" s="10"/>
      <c r="J1470" s="10"/>
      <c r="K1470" s="10"/>
      <c r="L1470" s="10"/>
    </row>
    <row r="1471" spans="2:12" ht="12.75" customHeight="1">
      <c r="B1471" s="10"/>
      <c r="C1471" s="10"/>
      <c r="D1471" s="10"/>
      <c r="E1471" s="10"/>
      <c r="F1471" s="10"/>
      <c r="G1471" s="10"/>
      <c r="H1471" s="10"/>
      <c r="I1471" s="10"/>
      <c r="J1471" s="10"/>
      <c r="K1471" s="10"/>
      <c r="L1471" s="10"/>
    </row>
    <row r="1472" spans="2:12" ht="12.75" customHeight="1">
      <c r="B1472" s="10"/>
      <c r="C1472" s="10"/>
      <c r="D1472" s="10"/>
      <c r="E1472" s="10"/>
      <c r="F1472" s="10"/>
      <c r="G1472" s="10"/>
      <c r="H1472" s="10"/>
      <c r="I1472" s="10"/>
      <c r="J1472" s="10"/>
      <c r="K1472" s="10"/>
      <c r="L1472" s="10"/>
    </row>
    <row r="1473" spans="2:12" ht="12.75" customHeight="1">
      <c r="B1473" s="10"/>
      <c r="C1473" s="10"/>
      <c r="D1473" s="10"/>
      <c r="E1473" s="10"/>
      <c r="F1473" s="10"/>
      <c r="G1473" s="10"/>
      <c r="H1473" s="10"/>
      <c r="I1473" s="10"/>
      <c r="J1473" s="10"/>
      <c r="K1473" s="10"/>
      <c r="L1473" s="10"/>
    </row>
    <row r="1474" spans="2:12" ht="12.75" customHeight="1">
      <c r="B1474" s="10"/>
      <c r="C1474" s="10"/>
      <c r="D1474" s="10"/>
      <c r="E1474" s="10"/>
      <c r="F1474" s="10"/>
      <c r="G1474" s="10"/>
      <c r="H1474" s="10"/>
      <c r="I1474" s="10"/>
      <c r="J1474" s="10"/>
      <c r="K1474" s="10"/>
      <c r="L1474" s="10"/>
    </row>
    <row r="1475" spans="2:12" ht="12.75" customHeight="1">
      <c r="B1475" s="10"/>
      <c r="C1475" s="10"/>
      <c r="D1475" s="10"/>
      <c r="E1475" s="10"/>
      <c r="F1475" s="10"/>
      <c r="G1475" s="10"/>
      <c r="H1475" s="10"/>
      <c r="I1475" s="10"/>
      <c r="J1475" s="10"/>
      <c r="K1475" s="10"/>
      <c r="L1475" s="10"/>
    </row>
    <row r="1476" spans="2:12" ht="12.75" customHeight="1">
      <c r="B1476" s="10"/>
      <c r="C1476" s="10"/>
      <c r="D1476" s="10"/>
      <c r="E1476" s="10"/>
      <c r="F1476" s="10"/>
      <c r="G1476" s="10"/>
      <c r="H1476" s="10"/>
      <c r="I1476" s="10"/>
      <c r="J1476" s="10"/>
      <c r="K1476" s="10"/>
      <c r="L1476" s="10"/>
    </row>
    <row r="1477" spans="2:12" ht="12.75" customHeight="1">
      <c r="B1477" s="10"/>
      <c r="C1477" s="10"/>
      <c r="D1477" s="10"/>
      <c r="E1477" s="10"/>
      <c r="F1477" s="10"/>
      <c r="G1477" s="10"/>
      <c r="H1477" s="10"/>
      <c r="I1477" s="10"/>
      <c r="J1477" s="10"/>
      <c r="K1477" s="10"/>
      <c r="L1477" s="10"/>
    </row>
    <row r="1478" spans="2:12" ht="12.75" customHeight="1">
      <c r="B1478" s="10"/>
      <c r="C1478" s="10"/>
      <c r="D1478" s="10"/>
      <c r="E1478" s="10"/>
      <c r="F1478" s="10"/>
      <c r="G1478" s="10"/>
      <c r="H1478" s="10"/>
      <c r="I1478" s="10"/>
      <c r="J1478" s="10"/>
      <c r="K1478" s="10"/>
      <c r="L1478" s="10"/>
    </row>
    <row r="1479" spans="2:12" ht="12.75" customHeight="1">
      <c r="B1479" s="10"/>
      <c r="C1479" s="10"/>
      <c r="D1479" s="10"/>
      <c r="E1479" s="10"/>
      <c r="F1479" s="10"/>
      <c r="G1479" s="10"/>
      <c r="H1479" s="10"/>
      <c r="I1479" s="10"/>
      <c r="J1479" s="10"/>
      <c r="K1479" s="10"/>
      <c r="L1479" s="10"/>
    </row>
    <row r="1480" spans="2:12" ht="12.75" customHeight="1">
      <c r="B1480" s="10"/>
      <c r="C1480" s="10"/>
      <c r="D1480" s="10"/>
      <c r="E1480" s="10"/>
      <c r="F1480" s="10"/>
      <c r="G1480" s="10"/>
      <c r="H1480" s="10"/>
      <c r="I1480" s="10"/>
      <c r="J1480" s="10"/>
      <c r="K1480" s="10"/>
      <c r="L1480" s="10"/>
    </row>
    <row r="1481" spans="2:12" ht="12.75" customHeight="1">
      <c r="B1481" s="10"/>
      <c r="C1481" s="10"/>
      <c r="D1481" s="10"/>
      <c r="E1481" s="10"/>
      <c r="F1481" s="10"/>
      <c r="G1481" s="10"/>
      <c r="H1481" s="10"/>
      <c r="I1481" s="10"/>
      <c r="J1481" s="10"/>
      <c r="K1481" s="10"/>
      <c r="L1481" s="10"/>
    </row>
    <row r="1482" spans="2:12" ht="12.75" customHeight="1">
      <c r="B1482" s="10"/>
      <c r="C1482" s="10"/>
      <c r="D1482" s="10"/>
      <c r="E1482" s="10"/>
      <c r="F1482" s="10"/>
      <c r="G1482" s="10"/>
      <c r="H1482" s="10"/>
      <c r="I1482" s="10"/>
      <c r="J1482" s="10"/>
      <c r="K1482" s="10"/>
      <c r="L1482" s="10"/>
    </row>
    <row r="1483" spans="2:12" ht="12.75" customHeight="1">
      <c r="B1483" s="10"/>
      <c r="C1483" s="10"/>
      <c r="D1483" s="10"/>
      <c r="E1483" s="10"/>
      <c r="F1483" s="10"/>
      <c r="G1483" s="10"/>
      <c r="H1483" s="10"/>
      <c r="I1483" s="10"/>
      <c r="J1483" s="10"/>
      <c r="K1483" s="10"/>
      <c r="L1483" s="10"/>
    </row>
    <row r="1484" spans="2:12" ht="12.75" customHeight="1">
      <c r="B1484" s="10"/>
      <c r="C1484" s="10"/>
      <c r="D1484" s="10"/>
      <c r="E1484" s="10"/>
      <c r="F1484" s="10"/>
      <c r="G1484" s="10"/>
      <c r="H1484" s="10"/>
      <c r="I1484" s="10"/>
      <c r="J1484" s="10"/>
      <c r="K1484" s="10"/>
      <c r="L1484" s="10"/>
    </row>
    <row r="1485" spans="2:12" ht="12.75" customHeight="1">
      <c r="B1485" s="10"/>
      <c r="C1485" s="10"/>
      <c r="D1485" s="10"/>
      <c r="E1485" s="10"/>
      <c r="F1485" s="10"/>
      <c r="G1485" s="10"/>
      <c r="H1485" s="10"/>
      <c r="I1485" s="10"/>
      <c r="J1485" s="10"/>
      <c r="K1485" s="10"/>
      <c r="L1485" s="10"/>
    </row>
    <row r="1486" spans="2:12" ht="12.75" customHeight="1">
      <c r="B1486" s="10"/>
      <c r="C1486" s="10"/>
      <c r="D1486" s="10"/>
      <c r="E1486" s="10"/>
      <c r="F1486" s="10"/>
      <c r="G1486" s="10"/>
      <c r="H1486" s="10"/>
      <c r="I1486" s="10"/>
      <c r="J1486" s="10"/>
      <c r="K1486" s="10"/>
      <c r="L1486" s="10"/>
    </row>
    <row r="1487" spans="2:12" ht="12.75" customHeight="1">
      <c r="B1487" s="10"/>
      <c r="C1487" s="10"/>
      <c r="D1487" s="10"/>
      <c r="E1487" s="10"/>
      <c r="F1487" s="10"/>
      <c r="G1487" s="10"/>
      <c r="H1487" s="10"/>
      <c r="I1487" s="10"/>
      <c r="J1487" s="10"/>
      <c r="K1487" s="10"/>
      <c r="L1487" s="10"/>
    </row>
    <row r="1488" spans="2:12" ht="12.75" customHeight="1">
      <c r="B1488" s="10"/>
      <c r="C1488" s="10"/>
      <c r="D1488" s="10"/>
      <c r="E1488" s="10"/>
      <c r="F1488" s="10"/>
      <c r="G1488" s="10"/>
      <c r="H1488" s="10"/>
      <c r="I1488" s="10"/>
      <c r="J1488" s="10"/>
      <c r="K1488" s="10"/>
      <c r="L1488" s="10"/>
    </row>
    <row r="1489" spans="2:12" ht="12.75" customHeight="1">
      <c r="B1489" s="10"/>
      <c r="C1489" s="10"/>
      <c r="D1489" s="10"/>
      <c r="E1489" s="10"/>
      <c r="F1489" s="10"/>
      <c r="G1489" s="10"/>
      <c r="H1489" s="10"/>
      <c r="I1489" s="10"/>
      <c r="J1489" s="10"/>
      <c r="K1489" s="10"/>
      <c r="L1489" s="10"/>
    </row>
    <row r="1490" spans="2:12" ht="12.75" customHeight="1">
      <c r="B1490" s="10"/>
      <c r="C1490" s="10"/>
      <c r="D1490" s="10"/>
      <c r="E1490" s="10"/>
      <c r="F1490" s="10"/>
      <c r="G1490" s="10"/>
      <c r="H1490" s="10"/>
      <c r="I1490" s="10"/>
      <c r="J1490" s="10"/>
      <c r="K1490" s="10"/>
      <c r="L1490" s="10"/>
    </row>
    <row r="1491" spans="2:12" ht="12.75" customHeight="1">
      <c r="B1491" s="10"/>
      <c r="C1491" s="10"/>
      <c r="D1491" s="10"/>
      <c r="E1491" s="10"/>
      <c r="F1491" s="10"/>
      <c r="G1491" s="10"/>
      <c r="H1491" s="10"/>
      <c r="I1491" s="10"/>
      <c r="J1491" s="10"/>
      <c r="K1491" s="10"/>
      <c r="L1491" s="10"/>
    </row>
    <row r="1492" spans="2:12" ht="12.75" customHeight="1">
      <c r="B1492" s="10"/>
      <c r="C1492" s="10"/>
      <c r="D1492" s="10"/>
      <c r="E1492" s="10"/>
      <c r="F1492" s="10"/>
      <c r="G1492" s="10"/>
      <c r="H1492" s="10"/>
      <c r="I1492" s="10"/>
      <c r="J1492" s="10"/>
      <c r="K1492" s="10"/>
      <c r="L1492" s="10"/>
    </row>
    <row r="1493" spans="2:12" ht="12.75" customHeight="1">
      <c r="B1493" s="10"/>
      <c r="C1493" s="10"/>
      <c r="D1493" s="10"/>
      <c r="E1493" s="10"/>
      <c r="F1493" s="10"/>
      <c r="G1493" s="10"/>
      <c r="H1493" s="10"/>
      <c r="I1493" s="10"/>
      <c r="J1493" s="10"/>
      <c r="K1493" s="10"/>
      <c r="L1493" s="10"/>
    </row>
    <row r="1494" spans="2:12" ht="12.75" customHeight="1">
      <c r="B1494" s="10"/>
      <c r="C1494" s="10"/>
      <c r="D1494" s="10"/>
      <c r="E1494" s="10"/>
      <c r="F1494" s="10"/>
      <c r="G1494" s="10"/>
      <c r="H1494" s="10"/>
      <c r="I1494" s="10"/>
      <c r="J1494" s="10"/>
      <c r="K1494" s="10"/>
      <c r="L1494" s="10"/>
    </row>
    <row r="1495" spans="2:12" ht="12.75" customHeight="1">
      <c r="B1495" s="10"/>
      <c r="C1495" s="10"/>
      <c r="D1495" s="10"/>
      <c r="E1495" s="10"/>
      <c r="F1495" s="10"/>
      <c r="G1495" s="10"/>
      <c r="H1495" s="10"/>
      <c r="I1495" s="10"/>
      <c r="J1495" s="10"/>
      <c r="K1495" s="10"/>
      <c r="L1495" s="10"/>
    </row>
    <row r="1496" spans="2:12" ht="12.75" customHeight="1">
      <c r="B1496" s="10"/>
      <c r="C1496" s="10"/>
      <c r="D1496" s="10"/>
      <c r="E1496" s="10"/>
      <c r="F1496" s="10"/>
      <c r="G1496" s="10"/>
      <c r="H1496" s="10"/>
      <c r="I1496" s="10"/>
      <c r="J1496" s="10"/>
      <c r="K1496" s="10"/>
      <c r="L1496" s="10"/>
    </row>
    <row r="1497" spans="2:12" ht="12.75" customHeight="1">
      <c r="B1497" s="10"/>
      <c r="C1497" s="10"/>
      <c r="D1497" s="10"/>
      <c r="E1497" s="10"/>
      <c r="F1497" s="10"/>
      <c r="G1497" s="10"/>
      <c r="H1497" s="10"/>
      <c r="I1497" s="10"/>
      <c r="J1497" s="10"/>
      <c r="K1497" s="10"/>
      <c r="L1497" s="10"/>
    </row>
    <row r="1498" spans="2:12" ht="12.75" customHeight="1">
      <c r="B1498" s="10"/>
      <c r="C1498" s="10"/>
      <c r="D1498" s="10"/>
      <c r="E1498" s="10"/>
      <c r="F1498" s="10"/>
      <c r="G1498" s="10"/>
      <c r="H1498" s="10"/>
      <c r="I1498" s="10"/>
      <c r="J1498" s="10"/>
      <c r="K1498" s="10"/>
      <c r="L1498" s="10"/>
    </row>
    <row r="1499" spans="2:12" ht="12.75" customHeight="1">
      <c r="B1499" s="10"/>
      <c r="C1499" s="10"/>
      <c r="D1499" s="10"/>
      <c r="E1499" s="10"/>
      <c r="F1499" s="10"/>
      <c r="G1499" s="10"/>
      <c r="H1499" s="10"/>
      <c r="I1499" s="10"/>
      <c r="J1499" s="10"/>
      <c r="K1499" s="10"/>
      <c r="L1499" s="10"/>
    </row>
    <row r="1500" spans="2:12" ht="12.75" customHeight="1">
      <c r="B1500" s="10"/>
      <c r="C1500" s="10"/>
      <c r="D1500" s="10"/>
      <c r="E1500" s="10"/>
      <c r="F1500" s="10"/>
      <c r="G1500" s="10"/>
      <c r="H1500" s="10"/>
      <c r="I1500" s="10"/>
      <c r="J1500" s="10"/>
      <c r="K1500" s="10"/>
      <c r="L1500" s="10"/>
    </row>
    <row r="1501" spans="2:12" ht="12.75" customHeight="1">
      <c r="B1501" s="10"/>
      <c r="C1501" s="10"/>
      <c r="D1501" s="10"/>
      <c r="E1501" s="10"/>
      <c r="F1501" s="10"/>
      <c r="G1501" s="10"/>
      <c r="H1501" s="10"/>
      <c r="I1501" s="10"/>
      <c r="J1501" s="10"/>
      <c r="K1501" s="10"/>
      <c r="L1501" s="10"/>
    </row>
    <row r="1502" spans="2:12" ht="12.75" customHeight="1">
      <c r="B1502" s="10"/>
      <c r="C1502" s="10"/>
      <c r="D1502" s="10"/>
      <c r="E1502" s="10"/>
      <c r="F1502" s="10"/>
      <c r="G1502" s="10"/>
      <c r="H1502" s="10"/>
      <c r="I1502" s="10"/>
      <c r="J1502" s="10"/>
      <c r="K1502" s="10"/>
      <c r="L1502" s="10"/>
    </row>
    <row r="1503" spans="2:12" ht="12.75" customHeight="1">
      <c r="B1503" s="10"/>
      <c r="C1503" s="10"/>
      <c r="D1503" s="10"/>
      <c r="E1503" s="10"/>
      <c r="F1503" s="10"/>
      <c r="G1503" s="10"/>
      <c r="H1503" s="10"/>
      <c r="I1503" s="10"/>
      <c r="J1503" s="10"/>
      <c r="K1503" s="10"/>
      <c r="L1503" s="10"/>
    </row>
    <row r="1504" spans="2:12" ht="12.75" customHeight="1">
      <c r="B1504" s="10"/>
      <c r="C1504" s="10"/>
      <c r="D1504" s="10"/>
      <c r="E1504" s="10"/>
      <c r="F1504" s="10"/>
      <c r="G1504" s="10"/>
      <c r="H1504" s="10"/>
      <c r="I1504" s="10"/>
      <c r="J1504" s="10"/>
      <c r="K1504" s="10"/>
      <c r="L1504" s="10"/>
    </row>
    <row r="1505" spans="2:12" ht="12.75" customHeight="1">
      <c r="B1505" s="10"/>
      <c r="C1505" s="10"/>
      <c r="D1505" s="10"/>
      <c r="E1505" s="10"/>
      <c r="F1505" s="10"/>
      <c r="G1505" s="10"/>
      <c r="H1505" s="10"/>
      <c r="I1505" s="10"/>
      <c r="J1505" s="10"/>
      <c r="K1505" s="10"/>
      <c r="L1505" s="10"/>
    </row>
    <row r="1506" spans="2:12" ht="12.75" customHeight="1">
      <c r="B1506" s="10"/>
      <c r="C1506" s="10"/>
      <c r="D1506" s="10"/>
      <c r="E1506" s="10"/>
      <c r="F1506" s="10"/>
      <c r="G1506" s="10"/>
      <c r="H1506" s="10"/>
      <c r="I1506" s="10"/>
      <c r="J1506" s="10"/>
      <c r="K1506" s="10"/>
      <c r="L1506" s="10"/>
    </row>
    <row r="1507" spans="2:12" ht="12.75" customHeight="1">
      <c r="B1507" s="10"/>
      <c r="C1507" s="10"/>
      <c r="D1507" s="10"/>
      <c r="E1507" s="10"/>
      <c r="F1507" s="10"/>
      <c r="G1507" s="10"/>
      <c r="H1507" s="10"/>
      <c r="I1507" s="10"/>
      <c r="J1507" s="10"/>
      <c r="K1507" s="10"/>
      <c r="L1507" s="10"/>
    </row>
    <row r="1508" spans="2:12" ht="12.75" customHeight="1">
      <c r="B1508" s="10"/>
      <c r="C1508" s="10"/>
      <c r="D1508" s="10"/>
      <c r="E1508" s="10"/>
      <c r="F1508" s="10"/>
      <c r="G1508" s="10"/>
      <c r="H1508" s="10"/>
      <c r="I1508" s="10"/>
      <c r="J1508" s="10"/>
      <c r="K1508" s="10"/>
      <c r="L1508" s="10"/>
    </row>
    <row r="1509" spans="2:12" ht="12.75" customHeight="1">
      <c r="B1509" s="10"/>
      <c r="C1509" s="10"/>
      <c r="D1509" s="10"/>
      <c r="E1509" s="10"/>
      <c r="F1509" s="10"/>
      <c r="G1509" s="10"/>
      <c r="H1509" s="10"/>
      <c r="I1509" s="10"/>
      <c r="J1509" s="10"/>
      <c r="K1509" s="10"/>
      <c r="L1509" s="10"/>
    </row>
    <row r="1510" spans="2:12" ht="12.75" customHeight="1">
      <c r="B1510" s="10"/>
      <c r="C1510" s="10"/>
      <c r="D1510" s="10"/>
      <c r="E1510" s="10"/>
      <c r="F1510" s="10"/>
      <c r="G1510" s="10"/>
      <c r="H1510" s="10"/>
      <c r="I1510" s="10"/>
      <c r="J1510" s="10"/>
      <c r="K1510" s="10"/>
      <c r="L1510" s="10"/>
    </row>
    <row r="1511" spans="2:12" ht="12.75" customHeight="1">
      <c r="B1511" s="10"/>
      <c r="C1511" s="10"/>
      <c r="D1511" s="10"/>
      <c r="E1511" s="10"/>
      <c r="F1511" s="10"/>
      <c r="G1511" s="10"/>
      <c r="H1511" s="10"/>
      <c r="I1511" s="10"/>
      <c r="J1511" s="10"/>
      <c r="K1511" s="10"/>
      <c r="L1511" s="10"/>
    </row>
    <row r="1512" spans="2:12" ht="12.75" customHeight="1">
      <c r="B1512" s="10"/>
      <c r="C1512" s="10"/>
      <c r="D1512" s="10"/>
      <c r="E1512" s="10"/>
      <c r="F1512" s="10"/>
      <c r="G1512" s="10"/>
      <c r="H1512" s="10"/>
      <c r="I1512" s="10"/>
      <c r="J1512" s="10"/>
      <c r="K1512" s="10"/>
      <c r="L1512" s="10"/>
    </row>
    <row r="1513" spans="2:12" ht="12.75" customHeight="1">
      <c r="B1513" s="10"/>
      <c r="C1513" s="10"/>
      <c r="D1513" s="10"/>
      <c r="E1513" s="10"/>
      <c r="F1513" s="10"/>
      <c r="G1513" s="10"/>
      <c r="H1513" s="10"/>
      <c r="I1513" s="10"/>
      <c r="J1513" s="10"/>
      <c r="K1513" s="10"/>
      <c r="L1513" s="10"/>
    </row>
    <row r="1514" spans="2:12" ht="12.75" customHeight="1">
      <c r="B1514" s="10"/>
      <c r="C1514" s="10"/>
      <c r="D1514" s="10"/>
      <c r="E1514" s="10"/>
      <c r="F1514" s="10"/>
      <c r="G1514" s="10"/>
      <c r="H1514" s="10"/>
      <c r="I1514" s="10"/>
      <c r="J1514" s="10"/>
      <c r="K1514" s="10"/>
      <c r="L1514" s="10"/>
    </row>
    <row r="1515" spans="2:12" ht="12.75" customHeight="1">
      <c r="B1515" s="10"/>
      <c r="C1515" s="10"/>
      <c r="D1515" s="10"/>
      <c r="E1515" s="10"/>
      <c r="F1515" s="10"/>
      <c r="G1515" s="10"/>
      <c r="H1515" s="10"/>
      <c r="I1515" s="10"/>
      <c r="J1515" s="10"/>
      <c r="K1515" s="10"/>
      <c r="L1515" s="10"/>
    </row>
    <row r="1516" spans="2:12" ht="12.75" customHeight="1">
      <c r="B1516" s="10"/>
      <c r="C1516" s="10"/>
      <c r="D1516" s="10"/>
      <c r="E1516" s="10"/>
      <c r="F1516" s="10"/>
      <c r="G1516" s="10"/>
      <c r="H1516" s="10"/>
      <c r="I1516" s="10"/>
      <c r="J1516" s="10"/>
      <c r="K1516" s="10"/>
      <c r="L1516" s="10"/>
    </row>
    <row r="1517" spans="2:12" ht="12.75" customHeight="1">
      <c r="B1517" s="10"/>
      <c r="C1517" s="10"/>
      <c r="D1517" s="10"/>
      <c r="E1517" s="10"/>
      <c r="F1517" s="10"/>
      <c r="G1517" s="10"/>
      <c r="H1517" s="10"/>
      <c r="I1517" s="10"/>
      <c r="J1517" s="10"/>
      <c r="K1517" s="10"/>
      <c r="L1517" s="10"/>
    </row>
    <row r="1518" spans="2:12" ht="12.75" customHeight="1">
      <c r="B1518" s="10"/>
      <c r="C1518" s="10"/>
      <c r="D1518" s="10"/>
      <c r="E1518" s="10"/>
      <c r="F1518" s="10"/>
      <c r="G1518" s="10"/>
      <c r="H1518" s="10"/>
      <c r="I1518" s="10"/>
      <c r="J1518" s="10"/>
      <c r="K1518" s="10"/>
      <c r="L1518" s="10"/>
    </row>
    <row r="1519" spans="2:12" ht="12.75" customHeight="1">
      <c r="B1519" s="10"/>
      <c r="C1519" s="10"/>
      <c r="D1519" s="10"/>
      <c r="E1519" s="10"/>
      <c r="F1519" s="10"/>
      <c r="G1519" s="10"/>
      <c r="H1519" s="10"/>
      <c r="I1519" s="10"/>
      <c r="J1519" s="10"/>
      <c r="K1519" s="10"/>
      <c r="L1519" s="10"/>
    </row>
    <row r="1520" spans="2:12" ht="12.75" customHeight="1">
      <c r="B1520" s="10"/>
      <c r="C1520" s="10"/>
      <c r="D1520" s="10"/>
      <c r="E1520" s="10"/>
      <c r="F1520" s="10"/>
      <c r="G1520" s="10"/>
      <c r="H1520" s="10"/>
      <c r="I1520" s="10"/>
      <c r="J1520" s="10"/>
      <c r="K1520" s="10"/>
      <c r="L1520" s="10"/>
    </row>
    <row r="1521" spans="2:12" ht="12.75" customHeight="1">
      <c r="B1521" s="10"/>
      <c r="C1521" s="10"/>
      <c r="D1521" s="10"/>
      <c r="E1521" s="10"/>
      <c r="F1521" s="10"/>
      <c r="G1521" s="10"/>
      <c r="H1521" s="10"/>
      <c r="I1521" s="10"/>
      <c r="J1521" s="10"/>
      <c r="K1521" s="10"/>
      <c r="L1521" s="10"/>
    </row>
    <row r="1522" spans="2:12" ht="12.75" customHeight="1">
      <c r="B1522" s="10"/>
      <c r="C1522" s="10"/>
      <c r="D1522" s="10"/>
      <c r="E1522" s="10"/>
      <c r="F1522" s="10"/>
      <c r="G1522" s="10"/>
      <c r="H1522" s="10"/>
      <c r="I1522" s="10"/>
      <c r="J1522" s="10"/>
      <c r="K1522" s="10"/>
      <c r="L1522" s="10"/>
    </row>
    <row r="1523" spans="2:12" ht="12.75" customHeight="1">
      <c r="B1523" s="10"/>
      <c r="C1523" s="10"/>
      <c r="D1523" s="10"/>
      <c r="E1523" s="10"/>
      <c r="F1523" s="10"/>
      <c r="G1523" s="10"/>
      <c r="H1523" s="10"/>
      <c r="I1523" s="10"/>
      <c r="J1523" s="10"/>
      <c r="K1523" s="10"/>
      <c r="L1523" s="10"/>
    </row>
    <row r="1524" spans="2:12" ht="12.75" customHeight="1">
      <c r="B1524" s="10"/>
      <c r="C1524" s="10"/>
      <c r="D1524" s="10"/>
      <c r="E1524" s="10"/>
      <c r="F1524" s="10"/>
      <c r="G1524" s="10"/>
      <c r="H1524" s="10"/>
      <c r="I1524" s="10"/>
      <c r="J1524" s="10"/>
      <c r="K1524" s="10"/>
      <c r="L1524" s="10"/>
    </row>
    <row r="1525" spans="2:12" ht="12.75" customHeight="1">
      <c r="B1525" s="10"/>
      <c r="C1525" s="10"/>
      <c r="D1525" s="10"/>
      <c r="E1525" s="10"/>
      <c r="F1525" s="10"/>
      <c r="G1525" s="10"/>
      <c r="H1525" s="10"/>
      <c r="I1525" s="10"/>
      <c r="J1525" s="10"/>
      <c r="K1525" s="10"/>
      <c r="L1525" s="10"/>
    </row>
    <row r="1526" spans="2:12" ht="12.75" customHeight="1">
      <c r="B1526" s="10"/>
      <c r="C1526" s="10"/>
      <c r="D1526" s="10"/>
      <c r="E1526" s="10"/>
      <c r="F1526" s="10"/>
      <c r="G1526" s="10"/>
      <c r="H1526" s="10"/>
      <c r="I1526" s="10"/>
      <c r="J1526" s="10"/>
      <c r="K1526" s="10"/>
      <c r="L1526" s="10"/>
    </row>
    <row r="1527" spans="2:12" ht="12.75" customHeight="1">
      <c r="B1527" s="10"/>
      <c r="C1527" s="10"/>
      <c r="D1527" s="10"/>
      <c r="E1527" s="10"/>
      <c r="F1527" s="10"/>
      <c r="G1527" s="10"/>
      <c r="H1527" s="10"/>
      <c r="I1527" s="10"/>
      <c r="J1527" s="10"/>
      <c r="K1527" s="10"/>
      <c r="L1527" s="10"/>
    </row>
    <row r="1528" spans="2:12" ht="12.75" customHeight="1">
      <c r="B1528" s="10"/>
      <c r="C1528" s="10"/>
      <c r="D1528" s="10"/>
      <c r="E1528" s="10"/>
      <c r="F1528" s="10"/>
      <c r="G1528" s="10"/>
      <c r="H1528" s="10"/>
      <c r="I1528" s="10"/>
      <c r="J1528" s="10"/>
      <c r="K1528" s="10"/>
      <c r="L1528" s="10"/>
    </row>
    <row r="1529" spans="2:12" ht="12.75" customHeight="1">
      <c r="B1529" s="10"/>
      <c r="C1529" s="10"/>
      <c r="D1529" s="10"/>
      <c r="E1529" s="10"/>
      <c r="F1529" s="10"/>
      <c r="G1529" s="10"/>
      <c r="H1529" s="10"/>
      <c r="I1529" s="10"/>
      <c r="J1529" s="10"/>
      <c r="K1529" s="10"/>
      <c r="L1529" s="10"/>
    </row>
    <row r="1530" spans="2:12" ht="12.75" customHeight="1">
      <c r="B1530" s="10"/>
      <c r="C1530" s="10"/>
      <c r="D1530" s="10"/>
      <c r="E1530" s="10"/>
      <c r="F1530" s="10"/>
      <c r="G1530" s="10"/>
      <c r="H1530" s="10"/>
      <c r="I1530" s="10"/>
      <c r="J1530" s="10"/>
      <c r="K1530" s="10"/>
      <c r="L1530" s="10"/>
    </row>
    <row r="1531" spans="2:12" ht="12.75" customHeight="1">
      <c r="B1531" s="10"/>
      <c r="C1531" s="10"/>
      <c r="D1531" s="10"/>
      <c r="E1531" s="10"/>
      <c r="F1531" s="10"/>
      <c r="G1531" s="10"/>
      <c r="H1531" s="10"/>
      <c r="I1531" s="10"/>
      <c r="J1531" s="10"/>
      <c r="K1531" s="10"/>
      <c r="L1531" s="10"/>
    </row>
    <row r="1532" spans="2:12" ht="12.75" customHeight="1">
      <c r="B1532" s="10"/>
      <c r="C1532" s="10"/>
      <c r="D1532" s="10"/>
      <c r="E1532" s="10"/>
      <c r="F1532" s="10"/>
      <c r="G1532" s="10"/>
      <c r="H1532" s="10"/>
      <c r="I1532" s="10"/>
      <c r="J1532" s="10"/>
      <c r="K1532" s="10"/>
      <c r="L1532" s="10"/>
    </row>
    <row r="1533" spans="2:12" ht="12.75" customHeight="1">
      <c r="B1533" s="10"/>
      <c r="C1533" s="10"/>
      <c r="D1533" s="10"/>
      <c r="E1533" s="10"/>
      <c r="F1533" s="10"/>
      <c r="G1533" s="10"/>
      <c r="H1533" s="10"/>
      <c r="I1533" s="10"/>
      <c r="J1533" s="10"/>
      <c r="K1533" s="10"/>
      <c r="L1533" s="10"/>
    </row>
    <row r="1534" spans="2:12" ht="12.75" customHeight="1">
      <c r="B1534" s="10"/>
      <c r="C1534" s="10"/>
      <c r="D1534" s="10"/>
      <c r="E1534" s="10"/>
      <c r="F1534" s="10"/>
      <c r="G1534" s="10"/>
      <c r="H1534" s="10"/>
      <c r="I1534" s="10"/>
      <c r="J1534" s="10"/>
      <c r="K1534" s="10"/>
      <c r="L1534" s="10"/>
    </row>
    <row r="1535" spans="2:12" ht="12.75" customHeight="1">
      <c r="B1535" s="10"/>
      <c r="C1535" s="10"/>
      <c r="D1535" s="10"/>
      <c r="E1535" s="10"/>
      <c r="F1535" s="10"/>
      <c r="G1535" s="10"/>
      <c r="H1535" s="10"/>
      <c r="I1535" s="10"/>
      <c r="J1535" s="10"/>
      <c r="K1535" s="10"/>
      <c r="L1535" s="10"/>
    </row>
    <row r="1536" spans="2:12" ht="12.75" customHeight="1">
      <c r="B1536" s="10"/>
      <c r="C1536" s="10"/>
      <c r="D1536" s="10"/>
      <c r="E1536" s="10"/>
      <c r="F1536" s="10"/>
      <c r="G1536" s="10"/>
      <c r="H1536" s="10"/>
      <c r="I1536" s="10"/>
      <c r="J1536" s="10"/>
      <c r="K1536" s="10"/>
      <c r="L1536" s="10"/>
    </row>
    <row r="1537" spans="2:12" ht="12.75" customHeight="1">
      <c r="B1537" s="10"/>
      <c r="C1537" s="10"/>
      <c r="D1537" s="10"/>
      <c r="E1537" s="10"/>
      <c r="F1537" s="10"/>
      <c r="G1537" s="10"/>
      <c r="H1537" s="10"/>
      <c r="I1537" s="10"/>
      <c r="J1537" s="10"/>
      <c r="K1537" s="10"/>
      <c r="L1537" s="10"/>
    </row>
    <row r="1538" spans="2:12" ht="12.75" customHeight="1">
      <c r="B1538" s="10"/>
      <c r="C1538" s="10"/>
      <c r="D1538" s="10"/>
      <c r="E1538" s="10"/>
      <c r="F1538" s="10"/>
      <c r="G1538" s="10"/>
      <c r="H1538" s="10"/>
      <c r="I1538" s="10"/>
      <c r="J1538" s="10"/>
      <c r="K1538" s="10"/>
      <c r="L1538" s="10"/>
    </row>
    <row r="1539" spans="2:12" ht="12.75" customHeight="1">
      <c r="B1539" s="10"/>
      <c r="C1539" s="10"/>
      <c r="D1539" s="10"/>
      <c r="E1539" s="10"/>
      <c r="F1539" s="10"/>
      <c r="G1539" s="10"/>
      <c r="H1539" s="10"/>
      <c r="I1539" s="10"/>
      <c r="J1539" s="10"/>
      <c r="K1539" s="10"/>
      <c r="L1539" s="10"/>
    </row>
    <row r="1540" spans="2:12" ht="12.75" customHeight="1">
      <c r="B1540" s="10"/>
      <c r="C1540" s="10"/>
      <c r="D1540" s="10"/>
      <c r="E1540" s="10"/>
      <c r="F1540" s="10"/>
      <c r="G1540" s="10"/>
      <c r="H1540" s="10"/>
      <c r="I1540" s="10"/>
      <c r="J1540" s="10"/>
      <c r="K1540" s="10"/>
      <c r="L1540" s="10"/>
    </row>
    <row r="1541" spans="2:12" ht="12.75" customHeight="1">
      <c r="B1541" s="10"/>
      <c r="C1541" s="10"/>
      <c r="D1541" s="10"/>
      <c r="E1541" s="10"/>
      <c r="F1541" s="10"/>
      <c r="G1541" s="10"/>
      <c r="H1541" s="10"/>
      <c r="I1541" s="10"/>
      <c r="J1541" s="10"/>
      <c r="K1541" s="10"/>
      <c r="L1541" s="10"/>
    </row>
    <row r="1542" spans="2:12" ht="12.75" customHeight="1">
      <c r="B1542" s="10"/>
      <c r="C1542" s="10"/>
      <c r="D1542" s="10"/>
      <c r="E1542" s="10"/>
      <c r="F1542" s="10"/>
      <c r="G1542" s="10"/>
      <c r="H1542" s="10"/>
      <c r="I1542" s="10"/>
      <c r="J1542" s="10"/>
      <c r="K1542" s="10"/>
      <c r="L1542" s="10"/>
    </row>
    <row r="1543" spans="2:12" ht="12.75" customHeight="1">
      <c r="B1543" s="10"/>
      <c r="C1543" s="10"/>
      <c r="D1543" s="10"/>
      <c r="E1543" s="10"/>
      <c r="F1543" s="10"/>
      <c r="G1543" s="10"/>
      <c r="H1543" s="10"/>
      <c r="I1543" s="10"/>
      <c r="J1543" s="10"/>
      <c r="K1543" s="10"/>
      <c r="L1543" s="10"/>
    </row>
    <row r="1544" spans="2:12" ht="12.75" customHeight="1">
      <c r="B1544" s="10"/>
      <c r="C1544" s="10"/>
      <c r="D1544" s="10"/>
      <c r="E1544" s="10"/>
      <c r="F1544" s="10"/>
      <c r="G1544" s="10"/>
      <c r="H1544" s="10"/>
      <c r="I1544" s="10"/>
      <c r="J1544" s="10"/>
      <c r="K1544" s="10"/>
      <c r="L1544" s="10"/>
    </row>
    <row r="1545" spans="2:12" ht="12.75" customHeight="1">
      <c r="B1545" s="10"/>
      <c r="C1545" s="10"/>
      <c r="D1545" s="10"/>
      <c r="E1545" s="10"/>
      <c r="F1545" s="10"/>
      <c r="G1545" s="10"/>
      <c r="H1545" s="10"/>
      <c r="I1545" s="10"/>
      <c r="J1545" s="10"/>
      <c r="K1545" s="10"/>
      <c r="L1545" s="10"/>
    </row>
    <row r="1546" spans="2:12" ht="12.75" customHeight="1">
      <c r="B1546" s="10"/>
      <c r="C1546" s="10"/>
      <c r="D1546" s="10"/>
      <c r="E1546" s="10"/>
      <c r="F1546" s="10"/>
      <c r="G1546" s="10"/>
      <c r="H1546" s="10"/>
      <c r="I1546" s="10"/>
      <c r="J1546" s="10"/>
      <c r="K1546" s="10"/>
      <c r="L1546" s="10"/>
    </row>
    <row r="1547" spans="2:12" ht="12.75" customHeight="1">
      <c r="B1547" s="10"/>
      <c r="C1547" s="10"/>
      <c r="D1547" s="10"/>
      <c r="E1547" s="10"/>
      <c r="F1547" s="10"/>
      <c r="G1547" s="10"/>
      <c r="H1547" s="10"/>
      <c r="I1547" s="10"/>
      <c r="J1547" s="10"/>
      <c r="K1547" s="10"/>
      <c r="L1547" s="10"/>
    </row>
    <row r="1548" spans="2:12" ht="12.75" customHeight="1">
      <c r="B1548" s="10"/>
      <c r="C1548" s="10"/>
      <c r="D1548" s="10"/>
      <c r="E1548" s="10"/>
      <c r="F1548" s="10"/>
      <c r="G1548" s="10"/>
      <c r="H1548" s="10"/>
      <c r="I1548" s="10"/>
      <c r="J1548" s="10"/>
      <c r="K1548" s="10"/>
      <c r="L1548" s="10"/>
    </row>
    <row r="1549" spans="2:12" ht="12.75" customHeight="1">
      <c r="B1549" s="10"/>
      <c r="C1549" s="10"/>
      <c r="D1549" s="10"/>
      <c r="E1549" s="10"/>
      <c r="F1549" s="10"/>
      <c r="G1549" s="10"/>
      <c r="H1549" s="10"/>
      <c r="I1549" s="10"/>
      <c r="J1549" s="10"/>
      <c r="K1549" s="10"/>
      <c r="L1549" s="10"/>
    </row>
    <row r="1550" spans="2:12" ht="12.75" customHeight="1">
      <c r="B1550" s="10"/>
      <c r="C1550" s="10"/>
      <c r="D1550" s="10"/>
      <c r="E1550" s="10"/>
      <c r="F1550" s="10"/>
      <c r="G1550" s="10"/>
      <c r="H1550" s="10"/>
      <c r="I1550" s="10"/>
      <c r="J1550" s="10"/>
      <c r="K1550" s="10"/>
      <c r="L1550" s="10"/>
    </row>
    <row r="1551" spans="2:12" ht="12.75" customHeight="1">
      <c r="B1551" s="10"/>
      <c r="C1551" s="10"/>
      <c r="D1551" s="10"/>
      <c r="E1551" s="10"/>
      <c r="F1551" s="10"/>
      <c r="G1551" s="10"/>
      <c r="H1551" s="10"/>
      <c r="I1551" s="10"/>
      <c r="J1551" s="10"/>
      <c r="K1551" s="10"/>
      <c r="L1551" s="10"/>
    </row>
    <row r="1552" spans="2:12" ht="12.75" customHeight="1">
      <c r="B1552" s="10"/>
      <c r="C1552" s="10"/>
      <c r="D1552" s="10"/>
      <c r="E1552" s="10"/>
      <c r="F1552" s="10"/>
      <c r="G1552" s="10"/>
      <c r="H1552" s="10"/>
      <c r="I1552" s="10"/>
      <c r="J1552" s="10"/>
      <c r="K1552" s="10"/>
      <c r="L1552" s="10"/>
    </row>
    <row r="1553" spans="2:12" ht="12.75" customHeight="1">
      <c r="B1553" s="10"/>
      <c r="C1553" s="10"/>
      <c r="D1553" s="10"/>
      <c r="E1553" s="10"/>
      <c r="F1553" s="10"/>
      <c r="G1553" s="10"/>
      <c r="H1553" s="10"/>
      <c r="I1553" s="10"/>
      <c r="J1553" s="10"/>
      <c r="K1553" s="10"/>
      <c r="L1553" s="10"/>
    </row>
    <row r="1554" spans="2:12" ht="12.75" customHeight="1">
      <c r="B1554" s="10"/>
      <c r="C1554" s="10"/>
      <c r="D1554" s="10"/>
      <c r="E1554" s="10"/>
      <c r="F1554" s="10"/>
      <c r="G1554" s="10"/>
      <c r="H1554" s="10"/>
      <c r="I1554" s="10"/>
      <c r="J1554" s="10"/>
      <c r="K1554" s="10"/>
      <c r="L1554" s="10"/>
    </row>
    <row r="1555" spans="2:12" ht="12.75" customHeight="1">
      <c r="B1555" s="10"/>
      <c r="C1555" s="10"/>
      <c r="D1555" s="10"/>
      <c r="E1555" s="10"/>
      <c r="F1555" s="10"/>
      <c r="G1555" s="10"/>
      <c r="H1555" s="10"/>
      <c r="I1555" s="10"/>
      <c r="J1555" s="10"/>
      <c r="K1555" s="10"/>
      <c r="L1555" s="10"/>
    </row>
    <row r="1556" spans="2:12" ht="12.75" customHeight="1">
      <c r="B1556" s="10"/>
      <c r="C1556" s="10"/>
      <c r="D1556" s="10"/>
      <c r="E1556" s="10"/>
      <c r="F1556" s="10"/>
      <c r="G1556" s="10"/>
      <c r="H1556" s="10"/>
      <c r="I1556" s="10"/>
      <c r="J1556" s="10"/>
      <c r="K1556" s="10"/>
      <c r="L1556" s="10"/>
    </row>
    <row r="1557" spans="2:12" ht="12.75" customHeight="1">
      <c r="B1557" s="10"/>
      <c r="C1557" s="10"/>
      <c r="D1557" s="10"/>
      <c r="E1557" s="10"/>
      <c r="F1557" s="10"/>
      <c r="G1557" s="10"/>
      <c r="H1557" s="10"/>
      <c r="I1557" s="10"/>
      <c r="J1557" s="10"/>
      <c r="K1557" s="10"/>
      <c r="L1557" s="10"/>
    </row>
    <row r="1558" spans="2:12" ht="12.75" customHeight="1">
      <c r="B1558" s="10"/>
      <c r="C1558" s="10"/>
      <c r="D1558" s="10"/>
      <c r="E1558" s="10"/>
      <c r="F1558" s="10"/>
      <c r="G1558" s="10"/>
      <c r="H1558" s="10"/>
      <c r="I1558" s="10"/>
      <c r="J1558" s="10"/>
      <c r="K1558" s="10"/>
      <c r="L1558" s="10"/>
    </row>
    <row r="1559" spans="2:12" ht="12.75" customHeight="1">
      <c r="B1559" s="10"/>
      <c r="C1559" s="10"/>
      <c r="D1559" s="10"/>
      <c r="E1559" s="10"/>
      <c r="F1559" s="10"/>
      <c r="G1559" s="10"/>
      <c r="H1559" s="10"/>
      <c r="I1559" s="10"/>
      <c r="J1559" s="10"/>
      <c r="K1559" s="10"/>
      <c r="L1559" s="10"/>
    </row>
    <row r="1560" spans="2:12" ht="12.75" customHeight="1">
      <c r="B1560" s="10"/>
      <c r="C1560" s="10"/>
      <c r="D1560" s="10"/>
      <c r="E1560" s="10"/>
      <c r="F1560" s="10"/>
      <c r="G1560" s="10"/>
      <c r="H1560" s="10"/>
      <c r="I1560" s="10"/>
      <c r="J1560" s="10"/>
      <c r="K1560" s="10"/>
      <c r="L1560" s="10"/>
    </row>
    <row r="1561" spans="2:12" ht="12.75" customHeight="1">
      <c r="B1561" s="10"/>
      <c r="C1561" s="10"/>
      <c r="D1561" s="10"/>
      <c r="E1561" s="10"/>
      <c r="F1561" s="10"/>
      <c r="G1561" s="10"/>
      <c r="H1561" s="10"/>
      <c r="I1561" s="10"/>
      <c r="J1561" s="10"/>
      <c r="K1561" s="10"/>
      <c r="L1561" s="10"/>
    </row>
    <row r="1562" spans="2:12" ht="12.75" customHeight="1">
      <c r="B1562" s="10"/>
      <c r="C1562" s="10"/>
      <c r="D1562" s="10"/>
      <c r="E1562" s="10"/>
      <c r="F1562" s="10"/>
      <c r="G1562" s="10"/>
      <c r="H1562" s="10"/>
      <c r="I1562" s="10"/>
      <c r="J1562" s="10"/>
      <c r="K1562" s="10"/>
      <c r="L1562" s="10"/>
    </row>
    <row r="1563" spans="2:12" ht="12.75" customHeight="1">
      <c r="B1563" s="10"/>
      <c r="C1563" s="10"/>
      <c r="D1563" s="10"/>
      <c r="E1563" s="10"/>
      <c r="F1563" s="10"/>
      <c r="G1563" s="10"/>
      <c r="H1563" s="10"/>
      <c r="I1563" s="10"/>
      <c r="J1563" s="10"/>
      <c r="K1563" s="10"/>
      <c r="L1563" s="10"/>
    </row>
    <row r="1564" spans="2:12" ht="12.75" customHeight="1">
      <c r="B1564" s="10"/>
      <c r="C1564" s="10"/>
      <c r="D1564" s="10"/>
      <c r="E1564" s="10"/>
      <c r="F1564" s="10"/>
      <c r="G1564" s="10"/>
      <c r="H1564" s="10"/>
      <c r="I1564" s="10"/>
      <c r="J1564" s="10"/>
      <c r="K1564" s="10"/>
      <c r="L1564" s="10"/>
    </row>
    <row r="1565" spans="2:12" ht="12.75" customHeight="1">
      <c r="B1565" s="10"/>
      <c r="C1565" s="10"/>
      <c r="D1565" s="10"/>
      <c r="E1565" s="10"/>
      <c r="F1565" s="10"/>
      <c r="G1565" s="10"/>
      <c r="H1565" s="10"/>
      <c r="I1565" s="10"/>
      <c r="J1565" s="10"/>
      <c r="K1565" s="10"/>
      <c r="L1565" s="10"/>
    </row>
    <row r="1566" spans="2:12" ht="12.75" customHeight="1">
      <c r="B1566" s="10"/>
      <c r="C1566" s="10"/>
      <c r="D1566" s="10"/>
      <c r="E1566" s="10"/>
      <c r="F1566" s="10"/>
      <c r="G1566" s="10"/>
      <c r="H1566" s="10"/>
      <c r="I1566" s="10"/>
      <c r="J1566" s="10"/>
      <c r="K1566" s="10"/>
      <c r="L1566" s="10"/>
    </row>
    <row r="1567" spans="2:12" ht="12.75" customHeight="1">
      <c r="B1567" s="10"/>
      <c r="C1567" s="10"/>
      <c r="D1567" s="10"/>
      <c r="E1567" s="10"/>
      <c r="F1567" s="10"/>
      <c r="G1567" s="10"/>
      <c r="H1567" s="10"/>
      <c r="I1567" s="10"/>
      <c r="J1567" s="10"/>
      <c r="K1567" s="10"/>
      <c r="L1567" s="10"/>
    </row>
    <row r="1568" spans="2:12" ht="12.75" customHeight="1">
      <c r="B1568" s="10"/>
      <c r="C1568" s="10"/>
      <c r="D1568" s="10"/>
      <c r="E1568" s="10"/>
      <c r="F1568" s="10"/>
      <c r="G1568" s="10"/>
      <c r="H1568" s="10"/>
      <c r="I1568" s="10"/>
      <c r="J1568" s="10"/>
      <c r="K1568" s="10"/>
      <c r="L1568" s="10"/>
    </row>
    <row r="1569" spans="2:12" ht="12.75" customHeight="1">
      <c r="B1569" s="10"/>
      <c r="C1569" s="10"/>
      <c r="D1569" s="10"/>
      <c r="E1569" s="10"/>
      <c r="F1569" s="10"/>
      <c r="G1569" s="10"/>
      <c r="H1569" s="10"/>
      <c r="I1569" s="10"/>
      <c r="J1569" s="10"/>
      <c r="K1569" s="10"/>
      <c r="L1569" s="10"/>
    </row>
    <row r="1570" spans="2:12" ht="12.75" customHeight="1">
      <c r="B1570" s="10"/>
      <c r="C1570" s="10"/>
      <c r="D1570" s="10"/>
      <c r="E1570" s="10"/>
      <c r="F1570" s="10"/>
      <c r="G1570" s="10"/>
      <c r="H1570" s="10"/>
      <c r="I1570" s="10"/>
      <c r="J1570" s="10"/>
      <c r="K1570" s="10"/>
      <c r="L1570" s="10"/>
    </row>
    <row r="1571" spans="2:12" ht="12.75" customHeight="1">
      <c r="B1571" s="10"/>
      <c r="C1571" s="10"/>
      <c r="D1571" s="10"/>
      <c r="E1571" s="10"/>
      <c r="F1571" s="10"/>
      <c r="G1571" s="10"/>
      <c r="H1571" s="10"/>
      <c r="I1571" s="10"/>
      <c r="J1571" s="10"/>
      <c r="K1571" s="10"/>
      <c r="L1571" s="10"/>
    </row>
    <row r="1572" spans="2:12" ht="12.75" customHeight="1">
      <c r="B1572" s="10"/>
      <c r="C1572" s="10"/>
      <c r="D1572" s="10"/>
      <c r="E1572" s="10"/>
      <c r="F1572" s="10"/>
      <c r="G1572" s="10"/>
      <c r="H1572" s="10"/>
      <c r="I1572" s="10"/>
      <c r="J1572" s="10"/>
      <c r="K1572" s="10"/>
      <c r="L1572" s="10"/>
    </row>
    <row r="1573" spans="2:12" ht="12.75" customHeight="1">
      <c r="B1573" s="10"/>
      <c r="C1573" s="10"/>
      <c r="D1573" s="10"/>
      <c r="E1573" s="10"/>
      <c r="F1573" s="10"/>
      <c r="G1573" s="10"/>
      <c r="H1573" s="10"/>
      <c r="I1573" s="10"/>
      <c r="J1573" s="10"/>
      <c r="K1573" s="10"/>
      <c r="L1573" s="10"/>
    </row>
    <row r="1574" spans="2:12" ht="12.75" customHeight="1">
      <c r="B1574" s="10"/>
      <c r="C1574" s="10"/>
      <c r="D1574" s="10"/>
      <c r="E1574" s="10"/>
      <c r="F1574" s="10"/>
      <c r="G1574" s="10"/>
      <c r="H1574" s="10"/>
      <c r="I1574" s="10"/>
      <c r="J1574" s="10"/>
      <c r="K1574" s="10"/>
      <c r="L1574" s="10"/>
    </row>
    <row r="1575" spans="2:12" ht="12.75" customHeight="1">
      <c r="B1575" s="10"/>
      <c r="C1575" s="10"/>
      <c r="D1575" s="10"/>
      <c r="E1575" s="10"/>
      <c r="F1575" s="10"/>
      <c r="G1575" s="10"/>
      <c r="H1575" s="10"/>
      <c r="I1575" s="10"/>
      <c r="J1575" s="10"/>
      <c r="K1575" s="10"/>
      <c r="L1575" s="10"/>
    </row>
    <row r="1576" spans="2:12" ht="12.75" customHeight="1">
      <c r="B1576" s="10"/>
      <c r="C1576" s="10"/>
      <c r="D1576" s="10"/>
      <c r="E1576" s="10"/>
      <c r="F1576" s="10"/>
      <c r="G1576" s="10"/>
      <c r="H1576" s="10"/>
      <c r="I1576" s="10"/>
      <c r="J1576" s="10"/>
      <c r="K1576" s="10"/>
      <c r="L1576" s="10"/>
    </row>
    <row r="1577" spans="2:12" ht="12.75" customHeight="1">
      <c r="B1577" s="10"/>
      <c r="C1577" s="10"/>
      <c r="D1577" s="10"/>
      <c r="E1577" s="10"/>
      <c r="F1577" s="10"/>
      <c r="G1577" s="10"/>
      <c r="H1577" s="10"/>
      <c r="I1577" s="10"/>
      <c r="J1577" s="10"/>
      <c r="K1577" s="10"/>
      <c r="L1577" s="10"/>
    </row>
    <row r="1578" spans="2:12" ht="12.75" customHeight="1">
      <c r="B1578" s="10"/>
      <c r="C1578" s="10"/>
      <c r="D1578" s="10"/>
      <c r="E1578" s="10"/>
      <c r="F1578" s="10"/>
      <c r="G1578" s="10"/>
      <c r="H1578" s="10"/>
      <c r="I1578" s="10"/>
      <c r="J1578" s="10"/>
      <c r="K1578" s="10"/>
      <c r="L1578" s="10"/>
    </row>
    <row r="1579" spans="2:12" ht="12.75" customHeight="1">
      <c r="B1579" s="10"/>
      <c r="C1579" s="10"/>
      <c r="D1579" s="10"/>
      <c r="E1579" s="10"/>
      <c r="F1579" s="10"/>
      <c r="G1579" s="10"/>
      <c r="H1579" s="10"/>
      <c r="I1579" s="10"/>
      <c r="J1579" s="10"/>
      <c r="K1579" s="10"/>
      <c r="L1579" s="10"/>
    </row>
    <row r="1580" spans="2:12" ht="12.75" customHeight="1">
      <c r="B1580" s="10"/>
      <c r="C1580" s="10"/>
      <c r="D1580" s="10"/>
      <c r="E1580" s="10"/>
      <c r="F1580" s="10"/>
      <c r="G1580" s="10"/>
      <c r="H1580" s="10"/>
      <c r="I1580" s="10"/>
      <c r="J1580" s="10"/>
      <c r="K1580" s="10"/>
      <c r="L1580" s="10"/>
    </row>
    <row r="1581" spans="2:12" ht="12.75" customHeight="1">
      <c r="B1581" s="10"/>
      <c r="C1581" s="10"/>
      <c r="D1581" s="10"/>
      <c r="E1581" s="10"/>
      <c r="F1581" s="10"/>
      <c r="G1581" s="10"/>
      <c r="H1581" s="10"/>
      <c r="I1581" s="10"/>
      <c r="J1581" s="10"/>
      <c r="K1581" s="10"/>
      <c r="L1581" s="10"/>
    </row>
    <row r="1582" spans="2:12" ht="12.75" customHeight="1">
      <c r="B1582" s="10"/>
      <c r="C1582" s="10"/>
      <c r="D1582" s="10"/>
      <c r="E1582" s="10"/>
      <c r="F1582" s="10"/>
      <c r="G1582" s="10"/>
      <c r="H1582" s="10"/>
      <c r="I1582" s="10"/>
      <c r="J1582" s="10"/>
      <c r="K1582" s="10"/>
      <c r="L1582" s="10"/>
    </row>
    <row r="1583" spans="2:12" ht="12.75" customHeight="1">
      <c r="B1583" s="10"/>
      <c r="C1583" s="10"/>
      <c r="D1583" s="10"/>
      <c r="E1583" s="10"/>
      <c r="F1583" s="10"/>
      <c r="G1583" s="10"/>
      <c r="H1583" s="10"/>
      <c r="I1583" s="10"/>
      <c r="J1583" s="10"/>
      <c r="K1583" s="10"/>
      <c r="L1583" s="10"/>
    </row>
    <row r="1584" spans="2:12" ht="12.75" customHeight="1">
      <c r="B1584" s="10"/>
      <c r="C1584" s="10"/>
      <c r="D1584" s="10"/>
      <c r="E1584" s="10"/>
      <c r="F1584" s="10"/>
      <c r="G1584" s="10"/>
      <c r="H1584" s="10"/>
      <c r="I1584" s="10"/>
      <c r="J1584" s="10"/>
      <c r="K1584" s="10"/>
      <c r="L1584" s="10"/>
    </row>
    <row r="1585" spans="2:12" ht="12.75" customHeight="1">
      <c r="B1585" s="10"/>
      <c r="C1585" s="10"/>
      <c r="D1585" s="10"/>
      <c r="E1585" s="10"/>
      <c r="F1585" s="10"/>
      <c r="G1585" s="10"/>
      <c r="H1585" s="10"/>
      <c r="I1585" s="10"/>
      <c r="J1585" s="10"/>
      <c r="K1585" s="10"/>
      <c r="L1585" s="10"/>
    </row>
    <row r="1586" spans="2:12" ht="12.75" customHeight="1">
      <c r="B1586" s="10"/>
      <c r="C1586" s="10"/>
      <c r="D1586" s="10"/>
      <c r="E1586" s="10"/>
      <c r="F1586" s="10"/>
      <c r="G1586" s="10"/>
      <c r="H1586" s="10"/>
      <c r="I1586" s="10"/>
      <c r="J1586" s="10"/>
      <c r="K1586" s="10"/>
      <c r="L1586" s="10"/>
    </row>
    <row r="1587" spans="2:12" ht="12.75" customHeight="1">
      <c r="B1587" s="10"/>
      <c r="C1587" s="10"/>
      <c r="D1587" s="10"/>
      <c r="E1587" s="10"/>
      <c r="F1587" s="10"/>
      <c r="G1587" s="10"/>
      <c r="H1587" s="10"/>
      <c r="I1587" s="10"/>
      <c r="J1587" s="10"/>
      <c r="K1587" s="10"/>
      <c r="L1587" s="10"/>
    </row>
    <row r="1588" spans="2:12" ht="12.75" customHeight="1">
      <c r="B1588" s="10"/>
      <c r="C1588" s="10"/>
      <c r="D1588" s="10"/>
      <c r="E1588" s="10"/>
      <c r="F1588" s="10"/>
      <c r="G1588" s="10"/>
      <c r="H1588" s="10"/>
      <c r="I1588" s="10"/>
      <c r="J1588" s="10"/>
      <c r="K1588" s="10"/>
      <c r="L1588" s="10"/>
    </row>
    <row r="1589" spans="2:12" ht="12.75" customHeight="1">
      <c r="B1589" s="10"/>
      <c r="C1589" s="10"/>
      <c r="D1589" s="10"/>
      <c r="E1589" s="10"/>
      <c r="F1589" s="10"/>
      <c r="G1589" s="10"/>
      <c r="H1589" s="10"/>
      <c r="I1589" s="10"/>
      <c r="J1589" s="10"/>
      <c r="K1589" s="10"/>
      <c r="L1589" s="10"/>
    </row>
    <row r="1590" spans="2:12" ht="12.75" customHeight="1">
      <c r="B1590" s="10"/>
      <c r="C1590" s="10"/>
      <c r="D1590" s="10"/>
      <c r="E1590" s="10"/>
      <c r="F1590" s="10"/>
      <c r="G1590" s="10"/>
      <c r="H1590" s="10"/>
      <c r="I1590" s="10"/>
      <c r="J1590" s="10"/>
      <c r="K1590" s="10"/>
      <c r="L1590" s="10"/>
    </row>
    <row r="1591" spans="2:12" ht="12.75" customHeight="1">
      <c r="B1591" s="10"/>
      <c r="C1591" s="10"/>
      <c r="D1591" s="10"/>
      <c r="E1591" s="10"/>
      <c r="F1591" s="10"/>
      <c r="G1591" s="10"/>
      <c r="H1591" s="10"/>
      <c r="I1591" s="10"/>
      <c r="J1591" s="10"/>
      <c r="K1591" s="10"/>
      <c r="L1591" s="10"/>
    </row>
    <row r="1592" spans="2:12" ht="12.75" customHeight="1">
      <c r="B1592" s="10"/>
      <c r="C1592" s="10"/>
      <c r="D1592" s="10"/>
      <c r="E1592" s="10"/>
      <c r="F1592" s="10"/>
      <c r="G1592" s="10"/>
      <c r="H1592" s="10"/>
      <c r="I1592" s="10"/>
      <c r="J1592" s="10"/>
      <c r="K1592" s="10"/>
      <c r="L1592" s="10"/>
    </row>
    <row r="1593" spans="2:12" ht="12.75" customHeight="1">
      <c r="B1593" s="10"/>
      <c r="C1593" s="10"/>
      <c r="D1593" s="10"/>
      <c r="E1593" s="10"/>
      <c r="F1593" s="10"/>
      <c r="G1593" s="10"/>
      <c r="H1593" s="10"/>
      <c r="I1593" s="10"/>
      <c r="J1593" s="10"/>
      <c r="K1593" s="10"/>
      <c r="L1593" s="10"/>
    </row>
    <row r="1594" spans="2:12" ht="12.75" customHeight="1">
      <c r="B1594" s="10"/>
      <c r="C1594" s="10"/>
      <c r="D1594" s="10"/>
      <c r="E1594" s="10"/>
      <c r="F1594" s="10"/>
      <c r="G1594" s="10"/>
      <c r="H1594" s="10"/>
      <c r="I1594" s="10"/>
      <c r="J1594" s="10"/>
      <c r="K1594" s="10"/>
      <c r="L1594" s="10"/>
    </row>
    <row r="1595" spans="2:12" ht="12.75" customHeight="1">
      <c r="B1595" s="10"/>
      <c r="C1595" s="10"/>
      <c r="D1595" s="10"/>
      <c r="E1595" s="10"/>
      <c r="F1595" s="10"/>
      <c r="G1595" s="10"/>
      <c r="H1595" s="10"/>
      <c r="I1595" s="10"/>
      <c r="J1595" s="10"/>
      <c r="K1595" s="10"/>
      <c r="L1595" s="10"/>
    </row>
    <row r="1596" spans="2:12" ht="12.75" customHeight="1">
      <c r="B1596" s="10"/>
      <c r="C1596" s="10"/>
      <c r="D1596" s="10"/>
      <c r="E1596" s="10"/>
      <c r="F1596" s="10"/>
      <c r="G1596" s="10"/>
      <c r="H1596" s="10"/>
      <c r="I1596" s="10"/>
      <c r="J1596" s="10"/>
      <c r="K1596" s="10"/>
      <c r="L1596" s="10"/>
    </row>
    <row r="1597" spans="2:12" ht="12.75" customHeight="1">
      <c r="B1597" s="10"/>
      <c r="C1597" s="10"/>
      <c r="D1597" s="10"/>
      <c r="E1597" s="10"/>
      <c r="F1597" s="10"/>
      <c r="G1597" s="10"/>
      <c r="H1597" s="10"/>
      <c r="I1597" s="10"/>
      <c r="J1597" s="10"/>
      <c r="K1597" s="10"/>
      <c r="L1597" s="10"/>
    </row>
    <row r="1598" spans="2:12" ht="12.75" customHeight="1">
      <c r="B1598" s="10"/>
      <c r="C1598" s="10"/>
      <c r="D1598" s="10"/>
      <c r="E1598" s="10"/>
      <c r="F1598" s="10"/>
      <c r="G1598" s="10"/>
      <c r="H1598" s="10"/>
      <c r="I1598" s="10"/>
      <c r="J1598" s="10"/>
      <c r="K1598" s="10"/>
      <c r="L1598" s="10"/>
    </row>
    <row r="1599" spans="2:12" ht="12.75" customHeight="1">
      <c r="B1599" s="10"/>
      <c r="C1599" s="10"/>
      <c r="D1599" s="10"/>
      <c r="E1599" s="10"/>
      <c r="F1599" s="10"/>
      <c r="G1599" s="10"/>
      <c r="H1599" s="10"/>
      <c r="I1599" s="10"/>
      <c r="J1599" s="10"/>
      <c r="K1599" s="10"/>
      <c r="L1599" s="10"/>
    </row>
    <row r="1600" spans="2:12" ht="12.75" customHeight="1">
      <c r="B1600" s="10"/>
      <c r="C1600" s="10"/>
      <c r="D1600" s="10"/>
      <c r="E1600" s="10"/>
      <c r="F1600" s="10"/>
      <c r="G1600" s="10"/>
      <c r="H1600" s="10"/>
      <c r="I1600" s="10"/>
      <c r="J1600" s="10"/>
      <c r="K1600" s="10"/>
      <c r="L1600" s="10"/>
    </row>
    <row r="1601" spans="2:12" ht="12.75" customHeight="1">
      <c r="B1601" s="10"/>
      <c r="C1601" s="10"/>
      <c r="D1601" s="10"/>
      <c r="E1601" s="10"/>
      <c r="F1601" s="10"/>
      <c r="G1601" s="10"/>
      <c r="H1601" s="10"/>
      <c r="I1601" s="10"/>
      <c r="J1601" s="10"/>
      <c r="K1601" s="10"/>
      <c r="L1601" s="10"/>
    </row>
    <row r="1602" spans="2:12" ht="12.75" customHeight="1">
      <c r="B1602" s="10"/>
      <c r="C1602" s="10"/>
      <c r="D1602" s="10"/>
      <c r="E1602" s="10"/>
      <c r="F1602" s="10"/>
      <c r="G1602" s="10"/>
      <c r="H1602" s="10"/>
      <c r="I1602" s="10"/>
      <c r="J1602" s="10"/>
      <c r="K1602" s="10"/>
      <c r="L1602" s="10"/>
    </row>
    <row r="1603" spans="2:12" ht="12.75" customHeight="1">
      <c r="B1603" s="10"/>
      <c r="C1603" s="10"/>
      <c r="D1603" s="10"/>
      <c r="E1603" s="10"/>
      <c r="F1603" s="10"/>
      <c r="G1603" s="10"/>
      <c r="H1603" s="10"/>
      <c r="I1603" s="10"/>
      <c r="J1603" s="10"/>
      <c r="K1603" s="10"/>
      <c r="L1603" s="10"/>
    </row>
    <row r="1604" spans="2:12" ht="12.75" customHeight="1">
      <c r="B1604" s="10"/>
      <c r="C1604" s="10"/>
      <c r="D1604" s="10"/>
      <c r="E1604" s="10"/>
      <c r="F1604" s="10"/>
      <c r="G1604" s="10"/>
      <c r="H1604" s="10"/>
      <c r="I1604" s="10"/>
      <c r="J1604" s="10"/>
      <c r="K1604" s="10"/>
      <c r="L1604" s="10"/>
    </row>
    <row r="1605" spans="2:12" ht="12.75" customHeight="1">
      <c r="B1605" s="10"/>
      <c r="C1605" s="10"/>
      <c r="D1605" s="10"/>
      <c r="E1605" s="10"/>
      <c r="F1605" s="10"/>
      <c r="G1605" s="10"/>
      <c r="H1605" s="10"/>
      <c r="I1605" s="10"/>
      <c r="J1605" s="10"/>
      <c r="K1605" s="10"/>
      <c r="L1605" s="10"/>
    </row>
    <row r="1606" spans="2:12" ht="12.75" customHeight="1">
      <c r="B1606" s="10"/>
      <c r="C1606" s="10"/>
      <c r="D1606" s="10"/>
      <c r="E1606" s="10"/>
      <c r="F1606" s="10"/>
      <c r="G1606" s="10"/>
      <c r="H1606" s="10"/>
      <c r="I1606" s="10"/>
      <c r="J1606" s="10"/>
      <c r="K1606" s="10"/>
      <c r="L1606" s="10"/>
    </row>
    <row r="1607" spans="2:12" ht="12.75" customHeight="1">
      <c r="B1607" s="10"/>
      <c r="C1607" s="10"/>
      <c r="D1607" s="10"/>
      <c r="E1607" s="10"/>
      <c r="F1607" s="10"/>
      <c r="G1607" s="10"/>
      <c r="H1607" s="10"/>
      <c r="I1607" s="10"/>
      <c r="J1607" s="10"/>
      <c r="K1607" s="10"/>
      <c r="L1607" s="10"/>
    </row>
    <row r="1608" spans="2:12" ht="12.75" customHeight="1">
      <c r="B1608" s="10"/>
      <c r="C1608" s="10"/>
      <c r="D1608" s="10"/>
      <c r="E1608" s="10"/>
      <c r="F1608" s="10"/>
      <c r="G1608" s="10"/>
      <c r="H1608" s="10"/>
      <c r="I1608" s="10"/>
      <c r="J1608" s="10"/>
      <c r="K1608" s="10"/>
      <c r="L1608" s="10"/>
    </row>
    <row r="1609" spans="2:12" ht="12.75" customHeight="1">
      <c r="B1609" s="10"/>
      <c r="C1609" s="10"/>
      <c r="D1609" s="10"/>
      <c r="E1609" s="10"/>
      <c r="F1609" s="10"/>
      <c r="G1609" s="10"/>
      <c r="H1609" s="10"/>
      <c r="I1609" s="10"/>
      <c r="J1609" s="10"/>
      <c r="K1609" s="10"/>
      <c r="L1609" s="10"/>
    </row>
    <row r="1610" spans="2:12" ht="12.75" customHeight="1">
      <c r="B1610" s="10"/>
      <c r="C1610" s="10"/>
      <c r="D1610" s="10"/>
      <c r="E1610" s="10"/>
      <c r="F1610" s="10"/>
      <c r="G1610" s="10"/>
      <c r="H1610" s="10"/>
      <c r="I1610" s="10"/>
      <c r="J1610" s="10"/>
      <c r="K1610" s="10"/>
      <c r="L1610" s="10"/>
    </row>
    <row r="1611" spans="2:12" ht="12.75" customHeight="1">
      <c r="B1611" s="10"/>
      <c r="C1611" s="10"/>
      <c r="D1611" s="10"/>
      <c r="E1611" s="10"/>
      <c r="F1611" s="10"/>
      <c r="G1611" s="10"/>
      <c r="H1611" s="10"/>
      <c r="I1611" s="10"/>
      <c r="J1611" s="10"/>
      <c r="K1611" s="10"/>
      <c r="L1611" s="10"/>
    </row>
    <row r="1612" spans="2:12" ht="12.75" customHeight="1">
      <c r="B1612" s="10"/>
      <c r="C1612" s="10"/>
      <c r="D1612" s="10"/>
      <c r="E1612" s="10"/>
      <c r="F1612" s="10"/>
      <c r="G1612" s="10"/>
      <c r="H1612" s="10"/>
      <c r="I1612" s="10"/>
      <c r="J1612" s="10"/>
      <c r="K1612" s="10"/>
      <c r="L1612" s="10"/>
    </row>
    <row r="1613" spans="2:12" ht="12.75" customHeight="1">
      <c r="B1613" s="10"/>
      <c r="C1613" s="10"/>
      <c r="D1613" s="10"/>
      <c r="E1613" s="10"/>
      <c r="F1613" s="10"/>
      <c r="G1613" s="10"/>
      <c r="H1613" s="10"/>
      <c r="I1613" s="10"/>
      <c r="J1613" s="10"/>
      <c r="K1613" s="10"/>
      <c r="L1613" s="10"/>
    </row>
    <row r="1614" spans="2:12" ht="12.75" customHeight="1">
      <c r="B1614" s="10"/>
      <c r="C1614" s="10"/>
      <c r="D1614" s="10"/>
      <c r="E1614" s="10"/>
      <c r="F1614" s="10"/>
      <c r="G1614" s="10"/>
      <c r="H1614" s="10"/>
      <c r="I1614" s="10"/>
      <c r="J1614" s="10"/>
      <c r="K1614" s="10"/>
      <c r="L1614" s="10"/>
    </row>
    <row r="1615" spans="2:12" ht="12.75" customHeight="1">
      <c r="B1615" s="10"/>
      <c r="C1615" s="10"/>
      <c r="D1615" s="10"/>
      <c r="E1615" s="10"/>
      <c r="F1615" s="10"/>
      <c r="G1615" s="10"/>
      <c r="H1615" s="10"/>
      <c r="I1615" s="10"/>
      <c r="J1615" s="10"/>
      <c r="K1615" s="10"/>
      <c r="L1615" s="10"/>
    </row>
    <row r="1616" spans="2:12" ht="12.75" customHeight="1">
      <c r="B1616" s="10"/>
      <c r="C1616" s="10"/>
      <c r="D1616" s="10"/>
      <c r="E1616" s="10"/>
      <c r="F1616" s="10"/>
      <c r="G1616" s="10"/>
      <c r="H1616" s="10"/>
      <c r="I1616" s="10"/>
      <c r="J1616" s="10"/>
      <c r="K1616" s="10"/>
      <c r="L1616" s="10"/>
    </row>
    <row r="1617" spans="2:12" ht="12.75" customHeight="1">
      <c r="B1617" s="10"/>
      <c r="C1617" s="10"/>
      <c r="D1617" s="10"/>
      <c r="E1617" s="10"/>
      <c r="F1617" s="10"/>
      <c r="G1617" s="10"/>
      <c r="H1617" s="10"/>
      <c r="I1617" s="10"/>
      <c r="J1617" s="10"/>
      <c r="K1617" s="10"/>
      <c r="L1617" s="10"/>
    </row>
    <row r="1618" spans="2:12" ht="12.75" customHeight="1">
      <c r="B1618" s="10"/>
      <c r="C1618" s="10"/>
      <c r="D1618" s="10"/>
      <c r="E1618" s="10"/>
      <c r="F1618" s="10"/>
      <c r="G1618" s="10"/>
      <c r="H1618" s="10"/>
      <c r="I1618" s="10"/>
      <c r="J1618" s="10"/>
      <c r="K1618" s="10"/>
      <c r="L1618" s="10"/>
    </row>
    <row r="1619" spans="2:12" ht="12.75" customHeight="1">
      <c r="B1619" s="10"/>
      <c r="C1619" s="10"/>
      <c r="D1619" s="10"/>
      <c r="E1619" s="10"/>
      <c r="F1619" s="10"/>
      <c r="G1619" s="10"/>
      <c r="H1619" s="10"/>
      <c r="I1619" s="10"/>
      <c r="J1619" s="10"/>
      <c r="K1619" s="10"/>
      <c r="L1619" s="10"/>
    </row>
    <row r="1620" spans="2:12" ht="12.75" customHeight="1">
      <c r="B1620" s="10"/>
      <c r="C1620" s="10"/>
      <c r="D1620" s="10"/>
      <c r="E1620" s="10"/>
      <c r="F1620" s="10"/>
      <c r="G1620" s="10"/>
      <c r="H1620" s="10"/>
      <c r="I1620" s="10"/>
      <c r="J1620" s="10"/>
      <c r="K1620" s="10"/>
      <c r="L1620" s="10"/>
    </row>
    <row r="1621" spans="2:12" ht="12.75" customHeight="1">
      <c r="B1621" s="10"/>
      <c r="C1621" s="10"/>
      <c r="D1621" s="10"/>
      <c r="E1621" s="10"/>
      <c r="F1621" s="10"/>
      <c r="G1621" s="10"/>
      <c r="H1621" s="10"/>
      <c r="I1621" s="10"/>
      <c r="J1621" s="10"/>
      <c r="K1621" s="10"/>
      <c r="L1621" s="10"/>
    </row>
    <row r="1622" spans="2:12" ht="12.75" customHeight="1">
      <c r="B1622" s="10"/>
      <c r="C1622" s="10"/>
      <c r="D1622" s="10"/>
      <c r="E1622" s="10"/>
      <c r="F1622" s="10"/>
      <c r="G1622" s="10"/>
      <c r="H1622" s="10"/>
      <c r="I1622" s="10"/>
      <c r="J1622" s="10"/>
      <c r="K1622" s="10"/>
      <c r="L1622" s="10"/>
    </row>
    <row r="1623" spans="2:12" ht="12.75" customHeight="1">
      <c r="B1623" s="10"/>
      <c r="C1623" s="10"/>
      <c r="D1623" s="10"/>
      <c r="E1623" s="10"/>
      <c r="F1623" s="10"/>
      <c r="G1623" s="10"/>
      <c r="H1623" s="10"/>
      <c r="I1623" s="10"/>
      <c r="J1623" s="10"/>
      <c r="K1623" s="10"/>
      <c r="L1623" s="10"/>
    </row>
    <row r="1624" spans="2:12" ht="12.75" customHeight="1">
      <c r="B1624" s="10"/>
      <c r="C1624" s="10"/>
      <c r="D1624" s="10"/>
      <c r="E1624" s="10"/>
      <c r="F1624" s="10"/>
      <c r="G1624" s="10"/>
      <c r="H1624" s="10"/>
      <c r="I1624" s="10"/>
      <c r="J1624" s="10"/>
      <c r="K1624" s="10"/>
      <c r="L1624" s="10"/>
    </row>
    <row r="1625" spans="2:12" ht="12.75" customHeight="1">
      <c r="B1625" s="10"/>
      <c r="C1625" s="10"/>
      <c r="D1625" s="10"/>
      <c r="E1625" s="10"/>
      <c r="F1625" s="10"/>
      <c r="G1625" s="10"/>
      <c r="H1625" s="10"/>
      <c r="I1625" s="10"/>
      <c r="J1625" s="10"/>
      <c r="K1625" s="10"/>
      <c r="L1625" s="10"/>
    </row>
    <row r="1626" spans="2:12" ht="12.75" customHeight="1">
      <c r="B1626" s="10"/>
      <c r="C1626" s="10"/>
      <c r="D1626" s="10"/>
      <c r="E1626" s="10"/>
      <c r="F1626" s="10"/>
      <c r="G1626" s="10"/>
      <c r="H1626" s="10"/>
      <c r="I1626" s="10"/>
      <c r="J1626" s="10"/>
      <c r="K1626" s="10"/>
      <c r="L1626" s="10"/>
    </row>
    <row r="1627" spans="2:12" ht="12.75" customHeight="1">
      <c r="B1627" s="10"/>
      <c r="C1627" s="10"/>
      <c r="D1627" s="10"/>
      <c r="E1627" s="10"/>
      <c r="F1627" s="10"/>
      <c r="G1627" s="10"/>
      <c r="H1627" s="10"/>
      <c r="I1627" s="10"/>
      <c r="J1627" s="10"/>
      <c r="K1627" s="10"/>
      <c r="L1627" s="10"/>
    </row>
    <row r="1628" spans="2:12" ht="12.75" customHeight="1">
      <c r="B1628" s="10"/>
      <c r="C1628" s="10"/>
      <c r="D1628" s="10"/>
      <c r="E1628" s="10"/>
      <c r="F1628" s="10"/>
      <c r="G1628" s="10"/>
      <c r="H1628" s="10"/>
      <c r="I1628" s="10"/>
      <c r="J1628" s="10"/>
      <c r="K1628" s="10"/>
      <c r="L1628" s="10"/>
    </row>
    <row r="1629" spans="2:12" ht="12.75" customHeight="1">
      <c r="B1629" s="10"/>
      <c r="C1629" s="10"/>
      <c r="D1629" s="10"/>
      <c r="E1629" s="10"/>
      <c r="F1629" s="10"/>
      <c r="G1629" s="10"/>
      <c r="H1629" s="10"/>
      <c r="I1629" s="10"/>
      <c r="J1629" s="10"/>
      <c r="K1629" s="10"/>
      <c r="L1629" s="10"/>
    </row>
    <row r="1630" spans="2:12" ht="12.75" customHeight="1">
      <c r="B1630" s="10"/>
      <c r="C1630" s="10"/>
      <c r="D1630" s="10"/>
      <c r="E1630" s="10"/>
      <c r="F1630" s="10"/>
      <c r="G1630" s="10"/>
      <c r="H1630" s="10"/>
      <c r="I1630" s="10"/>
      <c r="J1630" s="10"/>
      <c r="K1630" s="10"/>
      <c r="L1630" s="10"/>
    </row>
    <row r="1631" spans="2:12" ht="12.75" customHeight="1">
      <c r="B1631" s="10"/>
      <c r="C1631" s="10"/>
      <c r="D1631" s="10"/>
      <c r="E1631" s="10"/>
      <c r="F1631" s="10"/>
      <c r="G1631" s="10"/>
      <c r="H1631" s="10"/>
      <c r="I1631" s="10"/>
      <c r="J1631" s="10"/>
      <c r="K1631" s="10"/>
      <c r="L1631" s="10"/>
    </row>
    <row r="1632" spans="2:12" ht="12.75" customHeight="1">
      <c r="B1632" s="10"/>
      <c r="C1632" s="10"/>
      <c r="D1632" s="10"/>
      <c r="E1632" s="10"/>
      <c r="F1632" s="10"/>
      <c r="G1632" s="10"/>
      <c r="H1632" s="10"/>
      <c r="I1632" s="10"/>
      <c r="J1632" s="10"/>
      <c r="K1632" s="10"/>
      <c r="L1632" s="10"/>
    </row>
    <row r="1633" spans="2:12" ht="12.75" customHeight="1">
      <c r="B1633" s="10"/>
      <c r="C1633" s="10"/>
      <c r="D1633" s="10"/>
      <c r="E1633" s="10"/>
      <c r="F1633" s="10"/>
      <c r="G1633" s="10"/>
      <c r="H1633" s="10"/>
      <c r="I1633" s="10"/>
      <c r="J1633" s="10"/>
      <c r="K1633" s="10"/>
      <c r="L1633" s="10"/>
    </row>
    <row r="1634" spans="2:12" ht="12.75" customHeight="1">
      <c r="B1634" s="10"/>
      <c r="C1634" s="10"/>
      <c r="D1634" s="10"/>
      <c r="E1634" s="10"/>
      <c r="F1634" s="10"/>
      <c r="G1634" s="10"/>
      <c r="H1634" s="10"/>
      <c r="I1634" s="10"/>
      <c r="J1634" s="10"/>
      <c r="K1634" s="10"/>
      <c r="L1634" s="10"/>
    </row>
    <row r="1635" spans="2:12" ht="12.75" customHeight="1">
      <c r="B1635" s="10"/>
      <c r="C1635" s="10"/>
      <c r="D1635" s="10"/>
      <c r="E1635" s="10"/>
      <c r="F1635" s="10"/>
      <c r="G1635" s="10"/>
      <c r="H1635" s="10"/>
      <c r="I1635" s="10"/>
      <c r="J1635" s="10"/>
      <c r="K1635" s="10"/>
      <c r="L1635" s="10"/>
    </row>
    <row r="1636" spans="2:12" ht="12.75" customHeight="1">
      <c r="B1636" s="10"/>
      <c r="C1636" s="10"/>
      <c r="D1636" s="10"/>
      <c r="E1636" s="10"/>
      <c r="F1636" s="10"/>
      <c r="G1636" s="10"/>
      <c r="H1636" s="10"/>
      <c r="I1636" s="10"/>
      <c r="J1636" s="10"/>
      <c r="K1636" s="10"/>
      <c r="L1636" s="10"/>
    </row>
    <row r="1637" spans="2:12" ht="12.75" customHeight="1">
      <c r="B1637" s="10"/>
      <c r="C1637" s="10"/>
      <c r="D1637" s="10"/>
      <c r="E1637" s="10"/>
      <c r="F1637" s="10"/>
      <c r="G1637" s="10"/>
      <c r="H1637" s="10"/>
      <c r="I1637" s="10"/>
      <c r="J1637" s="10"/>
      <c r="K1637" s="10"/>
      <c r="L1637" s="10"/>
    </row>
    <row r="1638" spans="2:12" ht="12.75" customHeight="1">
      <c r="B1638" s="10"/>
      <c r="C1638" s="10"/>
      <c r="D1638" s="10"/>
      <c r="E1638" s="10"/>
      <c r="F1638" s="10"/>
      <c r="G1638" s="10"/>
      <c r="H1638" s="10"/>
      <c r="I1638" s="10"/>
      <c r="J1638" s="10"/>
      <c r="K1638" s="10"/>
      <c r="L1638" s="10"/>
    </row>
    <row r="1639" spans="2:12" ht="12.75" customHeight="1">
      <c r="B1639" s="10"/>
      <c r="C1639" s="10"/>
      <c r="D1639" s="10"/>
      <c r="E1639" s="10"/>
      <c r="F1639" s="10"/>
      <c r="G1639" s="10"/>
      <c r="H1639" s="10"/>
      <c r="I1639" s="10"/>
      <c r="J1639" s="10"/>
      <c r="K1639" s="10"/>
      <c r="L1639" s="10"/>
    </row>
    <row r="1640" spans="2:12" ht="12.75" customHeight="1">
      <c r="B1640" s="10"/>
      <c r="C1640" s="10"/>
      <c r="D1640" s="10"/>
      <c r="E1640" s="10"/>
      <c r="F1640" s="10"/>
      <c r="G1640" s="10"/>
      <c r="H1640" s="10"/>
      <c r="I1640" s="10"/>
      <c r="J1640" s="10"/>
      <c r="K1640" s="10"/>
      <c r="L1640" s="10"/>
    </row>
    <row r="1641" spans="2:12" ht="12.75" customHeight="1">
      <c r="B1641" s="10"/>
      <c r="C1641" s="10"/>
      <c r="D1641" s="10"/>
      <c r="E1641" s="10"/>
      <c r="F1641" s="10"/>
      <c r="G1641" s="10"/>
      <c r="H1641" s="10"/>
      <c r="I1641" s="10"/>
      <c r="J1641" s="10"/>
      <c r="K1641" s="10"/>
      <c r="L1641" s="10"/>
    </row>
    <row r="1642" spans="2:12" ht="12.75" customHeight="1">
      <c r="B1642" s="10"/>
      <c r="C1642" s="10"/>
      <c r="D1642" s="10"/>
      <c r="E1642" s="10"/>
      <c r="F1642" s="10"/>
      <c r="G1642" s="10"/>
      <c r="H1642" s="10"/>
      <c r="I1642" s="10"/>
      <c r="J1642" s="10"/>
      <c r="K1642" s="10"/>
      <c r="L1642" s="10"/>
    </row>
    <row r="1643" spans="2:12" ht="12.75" customHeight="1">
      <c r="B1643" s="10"/>
      <c r="C1643" s="10"/>
      <c r="D1643" s="10"/>
      <c r="E1643" s="10"/>
      <c r="F1643" s="10"/>
      <c r="G1643" s="10"/>
      <c r="H1643" s="10"/>
      <c r="I1643" s="10"/>
      <c r="J1643" s="10"/>
      <c r="K1643" s="10"/>
      <c r="L1643" s="10"/>
    </row>
    <row r="1644" spans="2:12" ht="12.75" customHeight="1">
      <c r="B1644" s="10"/>
      <c r="C1644" s="10"/>
      <c r="D1644" s="10"/>
      <c r="E1644" s="10"/>
      <c r="F1644" s="10"/>
      <c r="G1644" s="10"/>
      <c r="H1644" s="10"/>
      <c r="I1644" s="10"/>
      <c r="J1644" s="10"/>
      <c r="K1644" s="10"/>
      <c r="L1644" s="10"/>
    </row>
    <row r="1645" spans="2:12" ht="12.75" customHeight="1">
      <c r="B1645" s="10"/>
      <c r="C1645" s="10"/>
      <c r="D1645" s="10"/>
      <c r="E1645" s="10"/>
      <c r="F1645" s="10"/>
      <c r="G1645" s="10"/>
      <c r="H1645" s="10"/>
      <c r="I1645" s="10"/>
      <c r="J1645" s="10"/>
      <c r="K1645" s="10"/>
      <c r="L1645" s="10"/>
    </row>
    <row r="1646" spans="2:12" ht="12.75" customHeight="1">
      <c r="B1646" s="10"/>
      <c r="C1646" s="10"/>
      <c r="D1646" s="10"/>
      <c r="E1646" s="10"/>
      <c r="F1646" s="10"/>
      <c r="G1646" s="10"/>
      <c r="H1646" s="10"/>
      <c r="I1646" s="10"/>
      <c r="J1646" s="10"/>
      <c r="K1646" s="10"/>
      <c r="L1646" s="10"/>
    </row>
    <row r="1647" spans="2:12" ht="12.75" customHeight="1">
      <c r="B1647" s="10"/>
      <c r="C1647" s="10"/>
      <c r="D1647" s="10"/>
      <c r="E1647" s="10"/>
      <c r="F1647" s="10"/>
      <c r="G1647" s="10"/>
      <c r="H1647" s="10"/>
      <c r="I1647" s="10"/>
      <c r="J1647" s="10"/>
      <c r="K1647" s="10"/>
      <c r="L1647" s="10"/>
    </row>
    <row r="1648" spans="2:12" ht="12.75" customHeight="1">
      <c r="B1648" s="10"/>
      <c r="C1648" s="10"/>
      <c r="D1648" s="10"/>
      <c r="E1648" s="10"/>
      <c r="F1648" s="10"/>
      <c r="G1648" s="10"/>
      <c r="H1648" s="10"/>
      <c r="I1648" s="10"/>
      <c r="J1648" s="10"/>
      <c r="K1648" s="10"/>
      <c r="L1648" s="10"/>
    </row>
    <row r="1649" spans="2:12" ht="12.75" customHeight="1">
      <c r="B1649" s="10"/>
      <c r="C1649" s="10"/>
      <c r="D1649" s="10"/>
      <c r="E1649" s="10"/>
      <c r="F1649" s="10"/>
      <c r="G1649" s="10"/>
      <c r="H1649" s="10"/>
      <c r="I1649" s="10"/>
      <c r="J1649" s="10"/>
      <c r="K1649" s="10"/>
      <c r="L1649" s="10"/>
    </row>
    <row r="1650" spans="2:12" ht="12.75" customHeight="1">
      <c r="B1650" s="10"/>
      <c r="C1650" s="10"/>
      <c r="D1650" s="10"/>
      <c r="E1650" s="10"/>
      <c r="F1650" s="10"/>
      <c r="G1650" s="10"/>
      <c r="H1650" s="10"/>
      <c r="I1650" s="10"/>
      <c r="J1650" s="10"/>
      <c r="K1650" s="10"/>
      <c r="L1650" s="10"/>
    </row>
    <row r="1651" spans="2:12" ht="12.75" customHeight="1">
      <c r="B1651" s="10"/>
      <c r="C1651" s="10"/>
      <c r="D1651" s="10"/>
      <c r="E1651" s="10"/>
      <c r="F1651" s="10"/>
      <c r="G1651" s="10"/>
      <c r="H1651" s="10"/>
      <c r="I1651" s="10"/>
      <c r="J1651" s="10"/>
      <c r="K1651" s="10"/>
      <c r="L1651" s="10"/>
    </row>
    <row r="1652" spans="2:12" ht="12.75" customHeight="1">
      <c r="B1652" s="10"/>
      <c r="C1652" s="10"/>
      <c r="D1652" s="10"/>
      <c r="E1652" s="10"/>
      <c r="F1652" s="10"/>
      <c r="G1652" s="10"/>
      <c r="H1652" s="10"/>
      <c r="I1652" s="10"/>
      <c r="J1652" s="10"/>
      <c r="K1652" s="10"/>
      <c r="L1652" s="10"/>
    </row>
    <row r="1653" spans="2:12" ht="12.75" customHeight="1">
      <c r="B1653" s="10"/>
      <c r="C1653" s="10"/>
      <c r="D1653" s="10"/>
      <c r="E1653" s="10"/>
      <c r="F1653" s="10"/>
      <c r="G1653" s="10"/>
      <c r="H1653" s="10"/>
      <c r="I1653" s="10"/>
      <c r="J1653" s="10"/>
      <c r="K1653" s="10"/>
      <c r="L1653" s="10"/>
    </row>
    <row r="1654" spans="2:12" ht="12.75" customHeight="1">
      <c r="B1654" s="10"/>
      <c r="C1654" s="10"/>
      <c r="D1654" s="10"/>
      <c r="E1654" s="10"/>
      <c r="F1654" s="10"/>
      <c r="G1654" s="10"/>
      <c r="H1654" s="10"/>
      <c r="I1654" s="10"/>
      <c r="J1654" s="10"/>
      <c r="K1654" s="10"/>
      <c r="L1654" s="10"/>
    </row>
    <row r="1655" spans="2:12" ht="12.75" customHeight="1">
      <c r="B1655" s="10"/>
      <c r="C1655" s="10"/>
      <c r="D1655" s="10"/>
      <c r="E1655" s="10"/>
      <c r="F1655" s="10"/>
      <c r="G1655" s="10"/>
      <c r="H1655" s="10"/>
      <c r="I1655" s="10"/>
      <c r="J1655" s="10"/>
      <c r="K1655" s="10"/>
      <c r="L1655" s="10"/>
    </row>
    <row r="1656" spans="2:12" ht="12.75" customHeight="1">
      <c r="B1656" s="10"/>
      <c r="C1656" s="10"/>
      <c r="D1656" s="10"/>
      <c r="E1656" s="10"/>
      <c r="F1656" s="10"/>
      <c r="G1656" s="10"/>
      <c r="H1656" s="10"/>
      <c r="I1656" s="10"/>
      <c r="J1656" s="10"/>
      <c r="K1656" s="10"/>
      <c r="L1656" s="10"/>
    </row>
    <row r="1657" spans="2:12" ht="12.75" customHeight="1">
      <c r="B1657" s="10"/>
      <c r="C1657" s="10"/>
      <c r="D1657" s="10"/>
      <c r="E1657" s="10"/>
      <c r="F1657" s="10"/>
      <c r="G1657" s="10"/>
      <c r="H1657" s="10"/>
      <c r="I1657" s="10"/>
      <c r="J1657" s="10"/>
      <c r="K1657" s="10"/>
      <c r="L1657" s="10"/>
    </row>
    <row r="1658" spans="2:12" ht="12.75" customHeight="1">
      <c r="B1658" s="10"/>
      <c r="C1658" s="10"/>
      <c r="D1658" s="10"/>
      <c r="E1658" s="10"/>
      <c r="F1658" s="10"/>
      <c r="G1658" s="10"/>
      <c r="H1658" s="10"/>
      <c r="I1658" s="10"/>
      <c r="J1658" s="10"/>
      <c r="K1658" s="10"/>
      <c r="L1658" s="10"/>
    </row>
    <row r="1659" spans="2:12" ht="12.75" customHeight="1">
      <c r="B1659" s="10"/>
      <c r="C1659" s="10"/>
      <c r="D1659" s="10"/>
      <c r="E1659" s="10"/>
      <c r="F1659" s="10"/>
      <c r="G1659" s="10"/>
      <c r="H1659" s="10"/>
      <c r="I1659" s="10"/>
      <c r="J1659" s="10"/>
      <c r="K1659" s="10"/>
      <c r="L1659" s="10"/>
    </row>
    <row r="1660" spans="2:12" ht="12.75" customHeight="1">
      <c r="B1660" s="10"/>
      <c r="C1660" s="10"/>
      <c r="D1660" s="10"/>
      <c r="E1660" s="10"/>
      <c r="F1660" s="10"/>
      <c r="G1660" s="10"/>
      <c r="H1660" s="10"/>
      <c r="I1660" s="10"/>
      <c r="J1660" s="10"/>
      <c r="K1660" s="10"/>
      <c r="L1660" s="10"/>
    </row>
    <row r="1661" spans="2:12" ht="12.75" customHeight="1">
      <c r="B1661" s="10"/>
      <c r="C1661" s="10"/>
      <c r="D1661" s="10"/>
      <c r="E1661" s="10"/>
      <c r="F1661" s="10"/>
      <c r="G1661" s="10"/>
      <c r="H1661" s="10"/>
      <c r="I1661" s="10"/>
      <c r="J1661" s="10"/>
      <c r="K1661" s="10"/>
      <c r="L1661" s="10"/>
    </row>
    <row r="1662" spans="2:12" ht="12.75" customHeight="1">
      <c r="B1662" s="10"/>
      <c r="C1662" s="10"/>
      <c r="D1662" s="10"/>
      <c r="E1662" s="10"/>
      <c r="F1662" s="10"/>
      <c r="G1662" s="10"/>
      <c r="H1662" s="10"/>
      <c r="I1662" s="10"/>
      <c r="J1662" s="10"/>
      <c r="K1662" s="10"/>
      <c r="L1662" s="10"/>
    </row>
    <row r="1663" spans="2:12" ht="12.75" customHeight="1">
      <c r="B1663" s="10"/>
      <c r="C1663" s="10"/>
      <c r="D1663" s="10"/>
      <c r="E1663" s="10"/>
      <c r="F1663" s="10"/>
      <c r="G1663" s="10"/>
      <c r="H1663" s="10"/>
      <c r="I1663" s="10"/>
      <c r="J1663" s="10"/>
      <c r="K1663" s="10"/>
      <c r="L1663" s="10"/>
    </row>
    <row r="1664" spans="2:12" ht="12.75" customHeight="1">
      <c r="B1664" s="10"/>
      <c r="C1664" s="10"/>
      <c r="D1664" s="10"/>
      <c r="E1664" s="10"/>
      <c r="F1664" s="10"/>
      <c r="G1664" s="10"/>
      <c r="H1664" s="10"/>
      <c r="I1664" s="10"/>
      <c r="J1664" s="10"/>
      <c r="K1664" s="10"/>
      <c r="L1664" s="10"/>
    </row>
    <row r="1665" spans="2:12" ht="12.75" customHeight="1">
      <c r="B1665" s="10"/>
      <c r="C1665" s="10"/>
      <c r="D1665" s="10"/>
      <c r="E1665" s="10"/>
      <c r="F1665" s="10"/>
      <c r="G1665" s="10"/>
      <c r="H1665" s="10"/>
      <c r="I1665" s="10"/>
      <c r="J1665" s="10"/>
      <c r="K1665" s="10"/>
      <c r="L1665" s="10"/>
    </row>
    <row r="1666" spans="2:12" ht="12.75" customHeight="1">
      <c r="B1666" s="10"/>
      <c r="C1666" s="10"/>
      <c r="D1666" s="10"/>
      <c r="E1666" s="10"/>
      <c r="F1666" s="10"/>
      <c r="G1666" s="10"/>
      <c r="H1666" s="10"/>
      <c r="I1666" s="10"/>
      <c r="J1666" s="10"/>
      <c r="K1666" s="10"/>
      <c r="L1666" s="10"/>
    </row>
    <row r="1667" spans="2:12" ht="12.75" customHeight="1">
      <c r="B1667" s="10"/>
      <c r="C1667" s="10"/>
      <c r="D1667" s="10"/>
      <c r="E1667" s="10"/>
      <c r="F1667" s="10"/>
      <c r="G1667" s="10"/>
      <c r="H1667" s="10"/>
      <c r="I1667" s="10"/>
      <c r="J1667" s="10"/>
      <c r="K1667" s="10"/>
      <c r="L1667" s="10"/>
    </row>
    <row r="1668" spans="2:12" ht="12.75" customHeight="1">
      <c r="B1668" s="10"/>
      <c r="C1668" s="10"/>
      <c r="D1668" s="10"/>
      <c r="E1668" s="10"/>
      <c r="F1668" s="10"/>
      <c r="G1668" s="10"/>
      <c r="H1668" s="10"/>
      <c r="I1668" s="10"/>
      <c r="J1668" s="10"/>
      <c r="K1668" s="10"/>
      <c r="L1668" s="10"/>
    </row>
    <row r="1669" spans="2:12" ht="12.75" customHeight="1">
      <c r="B1669" s="10"/>
      <c r="C1669" s="10"/>
      <c r="D1669" s="10"/>
      <c r="E1669" s="10"/>
      <c r="F1669" s="10"/>
      <c r="G1669" s="10"/>
      <c r="H1669" s="10"/>
      <c r="I1669" s="10"/>
      <c r="J1669" s="10"/>
      <c r="K1669" s="10"/>
      <c r="L1669" s="10"/>
    </row>
    <row r="1670" spans="2:12" ht="12.75" customHeight="1">
      <c r="B1670" s="10"/>
      <c r="C1670" s="10"/>
      <c r="D1670" s="10"/>
      <c r="E1670" s="10"/>
      <c r="F1670" s="10"/>
      <c r="G1670" s="10"/>
      <c r="H1670" s="10"/>
      <c r="I1670" s="10"/>
      <c r="J1670" s="10"/>
      <c r="K1670" s="10"/>
      <c r="L1670" s="10"/>
    </row>
    <row r="1671" spans="2:12" ht="12.75" customHeight="1">
      <c r="B1671" s="10"/>
      <c r="C1671" s="10"/>
      <c r="D1671" s="10"/>
      <c r="E1671" s="10"/>
      <c r="F1671" s="10"/>
      <c r="G1671" s="10"/>
      <c r="H1671" s="10"/>
      <c r="I1671" s="10"/>
      <c r="J1671" s="10"/>
      <c r="K1671" s="10"/>
      <c r="L1671" s="10"/>
    </row>
    <row r="1672" spans="2:12" ht="12.75" customHeight="1">
      <c r="B1672" s="10"/>
      <c r="C1672" s="10"/>
      <c r="D1672" s="10"/>
      <c r="E1672" s="10"/>
      <c r="F1672" s="10"/>
      <c r="G1672" s="10"/>
      <c r="H1672" s="10"/>
      <c r="I1672" s="10"/>
      <c r="J1672" s="10"/>
      <c r="K1672" s="10"/>
      <c r="L1672" s="10"/>
    </row>
    <row r="1673" spans="2:12" ht="12.75" customHeight="1">
      <c r="B1673" s="10"/>
      <c r="C1673" s="10"/>
      <c r="D1673" s="10"/>
      <c r="E1673" s="10"/>
      <c r="F1673" s="10"/>
      <c r="G1673" s="10"/>
      <c r="H1673" s="10"/>
      <c r="I1673" s="10"/>
      <c r="J1673" s="10"/>
      <c r="K1673" s="10"/>
      <c r="L1673" s="10"/>
    </row>
    <row r="1674" spans="2:12" ht="12.75" customHeight="1">
      <c r="B1674" s="10"/>
      <c r="C1674" s="10"/>
      <c r="D1674" s="10"/>
      <c r="E1674" s="10"/>
      <c r="F1674" s="10"/>
      <c r="G1674" s="10"/>
      <c r="H1674" s="10"/>
      <c r="I1674" s="10"/>
      <c r="J1674" s="10"/>
      <c r="K1674" s="10"/>
      <c r="L1674" s="10"/>
    </row>
    <row r="1675" spans="2:12" ht="12.75" customHeight="1">
      <c r="B1675" s="10"/>
      <c r="C1675" s="10"/>
      <c r="D1675" s="10"/>
      <c r="E1675" s="10"/>
      <c r="F1675" s="10"/>
      <c r="G1675" s="10"/>
      <c r="H1675" s="10"/>
      <c r="I1675" s="10"/>
      <c r="J1675" s="10"/>
      <c r="K1675" s="10"/>
      <c r="L1675" s="10"/>
    </row>
    <row r="1676" spans="2:12" ht="12.75" customHeight="1">
      <c r="B1676" s="10"/>
      <c r="C1676" s="10"/>
      <c r="D1676" s="10"/>
      <c r="E1676" s="10"/>
      <c r="F1676" s="10"/>
      <c r="G1676" s="10"/>
      <c r="H1676" s="10"/>
      <c r="I1676" s="10"/>
      <c r="J1676" s="10"/>
      <c r="K1676" s="10"/>
      <c r="L1676" s="10"/>
    </row>
    <row r="1677" spans="2:12" ht="12.75" customHeight="1">
      <c r="B1677" s="10"/>
      <c r="C1677" s="10"/>
      <c r="D1677" s="10"/>
      <c r="E1677" s="10"/>
      <c r="F1677" s="10"/>
      <c r="G1677" s="10"/>
      <c r="H1677" s="10"/>
      <c r="I1677" s="10"/>
      <c r="J1677" s="10"/>
      <c r="K1677" s="10"/>
      <c r="L1677" s="10"/>
    </row>
    <row r="1678" spans="2:12" ht="12.75" customHeight="1">
      <c r="B1678" s="10"/>
      <c r="C1678" s="10"/>
      <c r="D1678" s="10"/>
      <c r="E1678" s="10"/>
      <c r="F1678" s="10"/>
      <c r="G1678" s="10"/>
      <c r="H1678" s="10"/>
      <c r="I1678" s="10"/>
      <c r="J1678" s="10"/>
      <c r="K1678" s="10"/>
      <c r="L1678" s="10"/>
    </row>
    <row r="1679" spans="2:12" ht="12.75" customHeight="1">
      <c r="B1679" s="10"/>
      <c r="C1679" s="10"/>
      <c r="D1679" s="10"/>
      <c r="E1679" s="10"/>
      <c r="F1679" s="10"/>
      <c r="G1679" s="10"/>
      <c r="H1679" s="10"/>
      <c r="I1679" s="10"/>
      <c r="J1679" s="10"/>
      <c r="K1679" s="10"/>
      <c r="L1679" s="10"/>
    </row>
    <row r="1680" spans="2:12" ht="12.75" customHeight="1">
      <c r="B1680" s="10"/>
      <c r="C1680" s="10"/>
      <c r="D1680" s="10"/>
      <c r="E1680" s="10"/>
      <c r="F1680" s="10"/>
      <c r="G1680" s="10"/>
      <c r="H1680" s="10"/>
      <c r="I1680" s="10"/>
      <c r="J1680" s="10"/>
      <c r="K1680" s="10"/>
      <c r="L1680" s="10"/>
    </row>
    <row r="1681" spans="2:12" ht="12.75" customHeight="1">
      <c r="B1681" s="10"/>
      <c r="C1681" s="10"/>
      <c r="D1681" s="10"/>
      <c r="E1681" s="10"/>
      <c r="F1681" s="10"/>
      <c r="G1681" s="10"/>
      <c r="H1681" s="10"/>
      <c r="I1681" s="10"/>
      <c r="J1681" s="10"/>
      <c r="K1681" s="10"/>
      <c r="L1681" s="10"/>
    </row>
    <row r="1682" spans="2:12" ht="12.75" customHeight="1">
      <c r="B1682" s="10"/>
      <c r="C1682" s="10"/>
      <c r="D1682" s="10"/>
      <c r="E1682" s="10"/>
      <c r="F1682" s="10"/>
      <c r="G1682" s="10"/>
      <c r="H1682" s="10"/>
      <c r="I1682" s="10"/>
      <c r="J1682" s="10"/>
      <c r="K1682" s="10"/>
      <c r="L1682" s="10"/>
    </row>
    <row r="1683" spans="2:12" ht="12.75" customHeight="1">
      <c r="B1683" s="10"/>
      <c r="C1683" s="10"/>
      <c r="D1683" s="10"/>
      <c r="E1683" s="10"/>
      <c r="F1683" s="10"/>
      <c r="G1683" s="10"/>
      <c r="H1683" s="10"/>
      <c r="I1683" s="10"/>
      <c r="J1683" s="10"/>
      <c r="K1683" s="10"/>
      <c r="L1683" s="10"/>
    </row>
    <row r="1684" spans="2:12" ht="12.75" customHeight="1">
      <c r="B1684" s="10"/>
      <c r="C1684" s="10"/>
      <c r="D1684" s="10"/>
      <c r="E1684" s="10"/>
      <c r="F1684" s="10"/>
      <c r="G1684" s="10"/>
      <c r="H1684" s="10"/>
      <c r="I1684" s="10"/>
      <c r="J1684" s="10"/>
      <c r="K1684" s="10"/>
      <c r="L1684" s="10"/>
    </row>
    <row r="1685" spans="2:12" ht="12.75" customHeight="1">
      <c r="B1685" s="10"/>
      <c r="C1685" s="10"/>
      <c r="D1685" s="10"/>
      <c r="E1685" s="10"/>
      <c r="F1685" s="10"/>
      <c r="G1685" s="10"/>
      <c r="H1685" s="10"/>
      <c r="I1685" s="10"/>
      <c r="J1685" s="10"/>
      <c r="K1685" s="10"/>
      <c r="L1685" s="10"/>
    </row>
    <row r="1686" spans="2:12" ht="12.75" customHeight="1">
      <c r="B1686" s="10"/>
      <c r="C1686" s="10"/>
      <c r="D1686" s="10"/>
      <c r="E1686" s="10"/>
      <c r="F1686" s="10"/>
      <c r="G1686" s="10"/>
      <c r="H1686" s="10"/>
      <c r="I1686" s="10"/>
      <c r="J1686" s="10"/>
      <c r="K1686" s="10"/>
      <c r="L1686" s="10"/>
    </row>
    <row r="1687" spans="2:12" ht="12.75" customHeight="1">
      <c r="B1687" s="10"/>
      <c r="C1687" s="10"/>
      <c r="D1687" s="10"/>
      <c r="E1687" s="10"/>
      <c r="F1687" s="10"/>
      <c r="G1687" s="10"/>
      <c r="H1687" s="10"/>
      <c r="I1687" s="10"/>
      <c r="J1687" s="10"/>
      <c r="K1687" s="10"/>
      <c r="L1687" s="10"/>
    </row>
    <row r="1688" spans="2:12" ht="12.75" customHeight="1">
      <c r="B1688" s="10"/>
      <c r="C1688" s="10"/>
      <c r="D1688" s="10"/>
      <c r="E1688" s="10"/>
      <c r="F1688" s="10"/>
      <c r="G1688" s="10"/>
      <c r="H1688" s="10"/>
      <c r="I1688" s="10"/>
      <c r="J1688" s="10"/>
      <c r="K1688" s="10"/>
      <c r="L1688" s="10"/>
    </row>
    <row r="1689" spans="2:12" ht="12.75" customHeight="1">
      <c r="B1689" s="10"/>
      <c r="C1689" s="10"/>
      <c r="D1689" s="10"/>
      <c r="E1689" s="10"/>
      <c r="F1689" s="10"/>
      <c r="G1689" s="10"/>
      <c r="H1689" s="10"/>
      <c r="I1689" s="10"/>
      <c r="J1689" s="10"/>
      <c r="K1689" s="10"/>
      <c r="L1689" s="10"/>
    </row>
    <row r="1690" spans="2:12" ht="12.75" customHeight="1">
      <c r="B1690" s="10"/>
      <c r="C1690" s="10"/>
      <c r="D1690" s="10"/>
      <c r="E1690" s="10"/>
      <c r="F1690" s="10"/>
      <c r="G1690" s="10"/>
      <c r="H1690" s="10"/>
      <c r="I1690" s="10"/>
      <c r="J1690" s="10"/>
      <c r="K1690" s="10"/>
      <c r="L1690" s="10"/>
    </row>
    <row r="1691" spans="2:12" ht="12.75" customHeight="1">
      <c r="B1691" s="10"/>
      <c r="C1691" s="10"/>
      <c r="D1691" s="10"/>
      <c r="E1691" s="10"/>
      <c r="F1691" s="10"/>
      <c r="G1691" s="10"/>
      <c r="H1691" s="10"/>
      <c r="I1691" s="10"/>
      <c r="J1691" s="10"/>
      <c r="K1691" s="10"/>
      <c r="L1691" s="10"/>
    </row>
    <row r="1692" spans="2:12" ht="12.75" customHeight="1">
      <c r="B1692" s="10"/>
      <c r="C1692" s="10"/>
      <c r="D1692" s="10"/>
      <c r="E1692" s="10"/>
      <c r="F1692" s="10"/>
      <c r="G1692" s="10"/>
      <c r="H1692" s="10"/>
      <c r="I1692" s="10"/>
      <c r="J1692" s="10"/>
      <c r="K1692" s="10"/>
      <c r="L1692" s="10"/>
    </row>
    <row r="1693" spans="2:12" ht="12.75" customHeight="1">
      <c r="B1693" s="10"/>
      <c r="C1693" s="10"/>
      <c r="D1693" s="10"/>
      <c r="E1693" s="10"/>
      <c r="F1693" s="10"/>
      <c r="G1693" s="10"/>
      <c r="H1693" s="10"/>
      <c r="I1693" s="10"/>
      <c r="J1693" s="10"/>
      <c r="K1693" s="10"/>
      <c r="L1693" s="10"/>
    </row>
    <row r="1694" spans="2:12" ht="12.75" customHeight="1">
      <c r="B1694" s="10"/>
      <c r="C1694" s="10"/>
      <c r="D1694" s="10"/>
      <c r="E1694" s="10"/>
      <c r="F1694" s="10"/>
      <c r="G1694" s="10"/>
      <c r="H1694" s="10"/>
      <c r="I1694" s="10"/>
      <c r="J1694" s="10"/>
      <c r="K1694" s="10"/>
      <c r="L1694" s="10"/>
    </row>
    <row r="1695" spans="2:12" ht="12.75" customHeight="1">
      <c r="B1695" s="10"/>
      <c r="C1695" s="10"/>
      <c r="D1695" s="10"/>
      <c r="E1695" s="10"/>
      <c r="F1695" s="10"/>
      <c r="G1695" s="10"/>
      <c r="H1695" s="10"/>
      <c r="I1695" s="10"/>
      <c r="J1695" s="10"/>
      <c r="K1695" s="10"/>
      <c r="L1695" s="10"/>
    </row>
    <row r="1696" spans="2:12" ht="12.75" customHeight="1">
      <c r="B1696" s="10"/>
      <c r="C1696" s="10"/>
      <c r="D1696" s="10"/>
      <c r="E1696" s="10"/>
      <c r="F1696" s="10"/>
      <c r="G1696" s="10"/>
      <c r="H1696" s="10"/>
      <c r="I1696" s="10"/>
      <c r="J1696" s="10"/>
      <c r="K1696" s="10"/>
      <c r="L1696" s="10"/>
    </row>
    <row r="1697" spans="2:12" ht="12.75" customHeight="1">
      <c r="B1697" s="10"/>
      <c r="C1697" s="10"/>
      <c r="D1697" s="10"/>
      <c r="E1697" s="10"/>
      <c r="F1697" s="10"/>
      <c r="G1697" s="10"/>
      <c r="H1697" s="10"/>
      <c r="I1697" s="10"/>
      <c r="J1697" s="10"/>
      <c r="K1697" s="10"/>
      <c r="L1697" s="10"/>
    </row>
    <row r="1698" spans="2:12" ht="12.75" customHeight="1">
      <c r="B1698" s="10"/>
      <c r="C1698" s="10"/>
      <c r="D1698" s="10"/>
      <c r="E1698" s="10"/>
      <c r="F1698" s="10"/>
      <c r="G1698" s="10"/>
      <c r="H1698" s="10"/>
      <c r="I1698" s="10"/>
      <c r="J1698" s="10"/>
      <c r="K1698" s="10"/>
      <c r="L1698" s="10"/>
    </row>
    <row r="1699" spans="2:12" ht="12.75" customHeight="1">
      <c r="B1699" s="10"/>
      <c r="C1699" s="10"/>
      <c r="D1699" s="10"/>
      <c r="E1699" s="10"/>
      <c r="F1699" s="10"/>
      <c r="G1699" s="10"/>
      <c r="H1699" s="10"/>
      <c r="I1699" s="10"/>
      <c r="J1699" s="10"/>
      <c r="K1699" s="10"/>
      <c r="L1699" s="10"/>
    </row>
    <row r="1700" spans="2:12" ht="12.75" customHeight="1">
      <c r="B1700" s="10"/>
      <c r="C1700" s="10"/>
      <c r="D1700" s="10"/>
      <c r="E1700" s="10"/>
      <c r="F1700" s="10"/>
      <c r="G1700" s="10"/>
      <c r="H1700" s="10"/>
      <c r="I1700" s="10"/>
      <c r="J1700" s="10"/>
      <c r="K1700" s="10"/>
      <c r="L1700" s="10"/>
    </row>
    <row r="1701" spans="2:12" ht="12.75" customHeight="1">
      <c r="B1701" s="10"/>
      <c r="C1701" s="10"/>
      <c r="D1701" s="10"/>
      <c r="E1701" s="10"/>
      <c r="F1701" s="10"/>
      <c r="G1701" s="10"/>
      <c r="H1701" s="10"/>
      <c r="I1701" s="10"/>
      <c r="J1701" s="10"/>
      <c r="K1701" s="10"/>
      <c r="L1701" s="10"/>
    </row>
    <row r="1702" spans="2:12" ht="12.75" customHeight="1">
      <c r="B1702" s="10"/>
      <c r="C1702" s="10"/>
      <c r="D1702" s="10"/>
      <c r="E1702" s="10"/>
      <c r="F1702" s="10"/>
      <c r="G1702" s="10"/>
      <c r="H1702" s="10"/>
      <c r="I1702" s="10"/>
      <c r="J1702" s="10"/>
      <c r="K1702" s="10"/>
      <c r="L1702" s="10"/>
    </row>
    <row r="1703" spans="2:12" ht="12.75" customHeight="1">
      <c r="B1703" s="10"/>
      <c r="C1703" s="10"/>
      <c r="D1703" s="10"/>
      <c r="E1703" s="10"/>
      <c r="F1703" s="10"/>
      <c r="G1703" s="10"/>
      <c r="H1703" s="10"/>
      <c r="I1703" s="10"/>
      <c r="J1703" s="10"/>
      <c r="K1703" s="10"/>
      <c r="L1703" s="10"/>
    </row>
    <row r="1704" spans="2:12" ht="12.75" customHeight="1">
      <c r="B1704" s="10"/>
      <c r="C1704" s="10"/>
      <c r="D1704" s="10"/>
      <c r="E1704" s="10"/>
      <c r="F1704" s="10"/>
      <c r="G1704" s="10"/>
      <c r="H1704" s="10"/>
      <c r="I1704" s="10"/>
      <c r="J1704" s="10"/>
      <c r="K1704" s="10"/>
      <c r="L1704" s="10"/>
    </row>
    <row r="1705" spans="2:12" ht="12.75" customHeight="1">
      <c r="B1705" s="10"/>
      <c r="C1705" s="10"/>
      <c r="D1705" s="10"/>
      <c r="E1705" s="10"/>
      <c r="F1705" s="10"/>
      <c r="G1705" s="10"/>
      <c r="H1705" s="10"/>
      <c r="I1705" s="10"/>
      <c r="J1705" s="10"/>
      <c r="K1705" s="10"/>
      <c r="L1705" s="10"/>
    </row>
    <row r="1706" spans="2:12" ht="12.75" customHeight="1">
      <c r="B1706" s="10"/>
      <c r="C1706" s="10"/>
      <c r="D1706" s="10"/>
      <c r="E1706" s="10"/>
      <c r="F1706" s="10"/>
      <c r="G1706" s="10"/>
      <c r="H1706" s="10"/>
      <c r="I1706" s="10"/>
      <c r="J1706" s="10"/>
      <c r="K1706" s="10"/>
      <c r="L1706" s="10"/>
    </row>
    <row r="1707" spans="2:12" ht="12.75" customHeight="1">
      <c r="B1707" s="10"/>
      <c r="C1707" s="10"/>
      <c r="D1707" s="10"/>
      <c r="E1707" s="10"/>
      <c r="F1707" s="10"/>
      <c r="G1707" s="10"/>
      <c r="H1707" s="10"/>
      <c r="I1707" s="10"/>
      <c r="J1707" s="10"/>
      <c r="K1707" s="10"/>
      <c r="L1707" s="10"/>
    </row>
    <row r="1708" spans="2:12" ht="12.75" customHeight="1">
      <c r="B1708" s="10"/>
      <c r="C1708" s="10"/>
      <c r="D1708" s="10"/>
      <c r="E1708" s="10"/>
      <c r="F1708" s="10"/>
      <c r="G1708" s="10"/>
      <c r="H1708" s="10"/>
      <c r="I1708" s="10"/>
      <c r="J1708" s="10"/>
      <c r="K1708" s="10"/>
      <c r="L1708" s="10"/>
    </row>
    <row r="1709" spans="2:12" ht="12.75" customHeight="1">
      <c r="B1709" s="10"/>
      <c r="C1709" s="10"/>
      <c r="D1709" s="10"/>
      <c r="E1709" s="10"/>
      <c r="F1709" s="10"/>
      <c r="G1709" s="10"/>
      <c r="H1709" s="10"/>
      <c r="I1709" s="10"/>
      <c r="J1709" s="10"/>
      <c r="K1709" s="10"/>
      <c r="L1709" s="10"/>
    </row>
    <row r="1710" spans="2:12" ht="12.75" customHeight="1">
      <c r="B1710" s="10"/>
      <c r="C1710" s="10"/>
      <c r="D1710" s="10"/>
      <c r="E1710" s="10"/>
      <c r="F1710" s="10"/>
      <c r="G1710" s="10"/>
      <c r="H1710" s="10"/>
      <c r="I1710" s="10"/>
      <c r="J1710" s="10"/>
      <c r="K1710" s="10"/>
      <c r="L1710" s="10"/>
    </row>
    <row r="1711" spans="2:12" ht="12.75" customHeight="1">
      <c r="B1711" s="10"/>
      <c r="C1711" s="10"/>
      <c r="D1711" s="10"/>
      <c r="E1711" s="10"/>
      <c r="F1711" s="10"/>
      <c r="G1711" s="10"/>
      <c r="H1711" s="10"/>
      <c r="I1711" s="10"/>
      <c r="J1711" s="10"/>
      <c r="K1711" s="10"/>
      <c r="L1711" s="10"/>
    </row>
    <row r="1712" spans="2:12" ht="12.75" customHeight="1">
      <c r="B1712" s="10"/>
      <c r="C1712" s="10"/>
      <c r="D1712" s="10"/>
      <c r="E1712" s="10"/>
      <c r="F1712" s="10"/>
      <c r="G1712" s="10"/>
      <c r="H1712" s="10"/>
      <c r="I1712" s="10"/>
      <c r="J1712" s="10"/>
      <c r="K1712" s="10"/>
      <c r="L1712" s="10"/>
    </row>
    <row r="1713" spans="2:12" ht="12.75" customHeight="1">
      <c r="B1713" s="10"/>
      <c r="C1713" s="10"/>
      <c r="D1713" s="10"/>
      <c r="E1713" s="10"/>
      <c r="F1713" s="10"/>
      <c r="G1713" s="10"/>
      <c r="H1713" s="10"/>
      <c r="I1713" s="10"/>
      <c r="J1713" s="10"/>
      <c r="K1713" s="10"/>
      <c r="L1713" s="10"/>
    </row>
    <row r="1714" spans="2:12" ht="12.75" customHeight="1">
      <c r="B1714" s="10"/>
      <c r="C1714" s="10"/>
      <c r="D1714" s="10"/>
      <c r="E1714" s="10"/>
      <c r="F1714" s="10"/>
      <c r="G1714" s="10"/>
      <c r="H1714" s="10"/>
      <c r="I1714" s="10"/>
      <c r="J1714" s="10"/>
      <c r="K1714" s="10"/>
      <c r="L1714" s="10"/>
    </row>
    <row r="1715" spans="2:12" ht="12.75" customHeight="1">
      <c r="B1715" s="10"/>
      <c r="C1715" s="10"/>
      <c r="D1715" s="10"/>
      <c r="E1715" s="10"/>
      <c r="F1715" s="10"/>
      <c r="G1715" s="10"/>
      <c r="H1715" s="10"/>
      <c r="I1715" s="10"/>
      <c r="J1715" s="10"/>
      <c r="K1715" s="10"/>
      <c r="L1715" s="10"/>
    </row>
    <row r="1716" spans="2:12" ht="12.75" customHeight="1">
      <c r="B1716" s="10"/>
      <c r="C1716" s="10"/>
      <c r="D1716" s="10"/>
      <c r="E1716" s="10"/>
      <c r="F1716" s="10"/>
      <c r="G1716" s="10"/>
      <c r="H1716" s="10"/>
      <c r="I1716" s="10"/>
      <c r="J1716" s="10"/>
      <c r="K1716" s="10"/>
      <c r="L1716" s="10"/>
    </row>
    <row r="1717" spans="2:12" ht="12.75" customHeight="1">
      <c r="B1717" s="10"/>
      <c r="C1717" s="10"/>
      <c r="D1717" s="10"/>
      <c r="E1717" s="10"/>
      <c r="F1717" s="10"/>
      <c r="G1717" s="10"/>
      <c r="H1717" s="10"/>
      <c r="I1717" s="10"/>
      <c r="J1717" s="10"/>
      <c r="K1717" s="10"/>
      <c r="L1717" s="10"/>
    </row>
    <row r="1718" spans="2:12" ht="12.75" customHeight="1">
      <c r="B1718" s="10"/>
      <c r="C1718" s="10"/>
      <c r="D1718" s="10"/>
      <c r="E1718" s="10"/>
      <c r="F1718" s="10"/>
      <c r="G1718" s="10"/>
      <c r="H1718" s="10"/>
      <c r="I1718" s="10"/>
      <c r="J1718" s="10"/>
      <c r="K1718" s="10"/>
      <c r="L1718" s="10"/>
    </row>
    <row r="1719" spans="2:12" ht="12.75" customHeight="1">
      <c r="B1719" s="10"/>
      <c r="C1719" s="10"/>
      <c r="D1719" s="10"/>
      <c r="E1719" s="10"/>
      <c r="F1719" s="10"/>
      <c r="G1719" s="10"/>
      <c r="H1719" s="10"/>
      <c r="I1719" s="10"/>
      <c r="J1719" s="10"/>
      <c r="K1719" s="10"/>
      <c r="L1719" s="10"/>
    </row>
    <row r="1720" spans="2:12" ht="12.75" customHeight="1">
      <c r="B1720" s="10"/>
      <c r="C1720" s="10"/>
      <c r="D1720" s="10"/>
      <c r="E1720" s="10"/>
      <c r="F1720" s="10"/>
      <c r="G1720" s="10"/>
      <c r="H1720" s="10"/>
      <c r="I1720" s="10"/>
      <c r="J1720" s="10"/>
      <c r="K1720" s="10"/>
      <c r="L1720" s="10"/>
    </row>
    <row r="1721" spans="2:12" ht="12.75" customHeight="1">
      <c r="B1721" s="10"/>
      <c r="C1721" s="10"/>
      <c r="D1721" s="10"/>
      <c r="E1721" s="10"/>
      <c r="F1721" s="10"/>
      <c r="G1721" s="10"/>
      <c r="H1721" s="10"/>
      <c r="I1721" s="10"/>
      <c r="J1721" s="10"/>
      <c r="K1721" s="10"/>
      <c r="L1721" s="10"/>
    </row>
    <row r="1722" spans="2:12" ht="12.75" customHeight="1">
      <c r="B1722" s="10"/>
      <c r="C1722" s="10"/>
      <c r="D1722" s="10"/>
      <c r="E1722" s="10"/>
      <c r="F1722" s="10"/>
      <c r="G1722" s="10"/>
      <c r="H1722" s="10"/>
      <c r="I1722" s="10"/>
      <c r="J1722" s="10"/>
      <c r="K1722" s="10"/>
      <c r="L1722" s="10"/>
    </row>
    <row r="1723" spans="2:12" ht="12.75" customHeight="1">
      <c r="B1723" s="10"/>
      <c r="C1723" s="10"/>
      <c r="D1723" s="10"/>
      <c r="E1723" s="10"/>
      <c r="F1723" s="10"/>
      <c r="G1723" s="10"/>
      <c r="H1723" s="10"/>
      <c r="I1723" s="10"/>
      <c r="J1723" s="10"/>
      <c r="K1723" s="10"/>
      <c r="L1723" s="10"/>
    </row>
    <row r="1724" spans="2:12" ht="12.75" customHeight="1">
      <c r="B1724" s="10"/>
      <c r="C1724" s="10"/>
      <c r="D1724" s="10"/>
      <c r="E1724" s="10"/>
      <c r="F1724" s="10"/>
      <c r="G1724" s="10"/>
      <c r="H1724" s="10"/>
      <c r="I1724" s="10"/>
      <c r="J1724" s="10"/>
      <c r="K1724" s="10"/>
      <c r="L1724" s="10"/>
    </row>
    <row r="1725" spans="2:12" ht="12.75" customHeight="1">
      <c r="B1725" s="10"/>
      <c r="C1725" s="10"/>
      <c r="D1725" s="10"/>
      <c r="E1725" s="10"/>
      <c r="F1725" s="10"/>
      <c r="G1725" s="10"/>
      <c r="H1725" s="10"/>
      <c r="I1725" s="10"/>
      <c r="J1725" s="10"/>
      <c r="K1725" s="10"/>
      <c r="L1725" s="10"/>
    </row>
    <row r="1726" spans="2:12" ht="12.75" customHeight="1">
      <c r="B1726" s="10"/>
      <c r="C1726" s="10"/>
      <c r="D1726" s="10"/>
      <c r="E1726" s="10"/>
      <c r="F1726" s="10"/>
      <c r="G1726" s="10"/>
      <c r="H1726" s="10"/>
      <c r="I1726" s="10"/>
      <c r="J1726" s="10"/>
      <c r="K1726" s="10"/>
      <c r="L1726" s="10"/>
    </row>
    <row r="1727" spans="2:12" ht="12.75" customHeight="1">
      <c r="B1727" s="10"/>
      <c r="C1727" s="10"/>
      <c r="D1727" s="10"/>
      <c r="E1727" s="10"/>
      <c r="F1727" s="10"/>
      <c r="G1727" s="10"/>
      <c r="H1727" s="10"/>
      <c r="I1727" s="10"/>
      <c r="J1727" s="10"/>
      <c r="K1727" s="10"/>
      <c r="L1727" s="10"/>
    </row>
    <row r="1728" spans="2:12" ht="12.75" customHeight="1">
      <c r="B1728" s="10"/>
      <c r="C1728" s="10"/>
      <c r="D1728" s="10"/>
      <c r="E1728" s="10"/>
      <c r="F1728" s="10"/>
      <c r="G1728" s="10"/>
      <c r="H1728" s="10"/>
      <c r="I1728" s="10"/>
      <c r="J1728" s="10"/>
      <c r="K1728" s="10"/>
      <c r="L1728" s="10"/>
    </row>
    <row r="1729" spans="2:12" ht="12.75" customHeight="1">
      <c r="B1729" s="10"/>
      <c r="C1729" s="10"/>
      <c r="D1729" s="10"/>
      <c r="E1729" s="10"/>
      <c r="F1729" s="10"/>
      <c r="G1729" s="10"/>
      <c r="H1729" s="10"/>
      <c r="I1729" s="10"/>
      <c r="J1729" s="10"/>
      <c r="K1729" s="10"/>
      <c r="L1729" s="10"/>
    </row>
    <row r="1730" spans="2:12" ht="12.75" customHeight="1">
      <c r="B1730" s="10"/>
      <c r="C1730" s="10"/>
      <c r="D1730" s="10"/>
      <c r="E1730" s="10"/>
      <c r="F1730" s="10"/>
      <c r="G1730" s="10"/>
      <c r="H1730" s="10"/>
      <c r="I1730" s="10"/>
      <c r="J1730" s="10"/>
      <c r="K1730" s="10"/>
      <c r="L1730" s="10"/>
    </row>
    <row r="1731" spans="2:12" ht="12.75" customHeight="1">
      <c r="B1731" s="10"/>
      <c r="C1731" s="10"/>
      <c r="D1731" s="10"/>
      <c r="E1731" s="10"/>
      <c r="F1731" s="10"/>
      <c r="G1731" s="10"/>
      <c r="H1731" s="10"/>
      <c r="I1731" s="10"/>
      <c r="J1731" s="10"/>
      <c r="K1731" s="10"/>
      <c r="L1731" s="10"/>
    </row>
    <row r="1732" spans="2:12" ht="12.75" customHeight="1">
      <c r="B1732" s="10"/>
      <c r="C1732" s="10"/>
      <c r="D1732" s="10"/>
      <c r="E1732" s="10"/>
      <c r="F1732" s="10"/>
      <c r="G1732" s="10"/>
      <c r="H1732" s="10"/>
      <c r="I1732" s="10"/>
      <c r="J1732" s="10"/>
      <c r="K1732" s="10"/>
      <c r="L1732" s="10"/>
    </row>
    <row r="1733" spans="2:12" ht="12.75" customHeight="1">
      <c r="B1733" s="10"/>
      <c r="C1733" s="10"/>
      <c r="D1733" s="10"/>
      <c r="E1733" s="10"/>
      <c r="F1733" s="10"/>
      <c r="G1733" s="10"/>
      <c r="H1733" s="10"/>
      <c r="I1733" s="10"/>
      <c r="J1733" s="10"/>
      <c r="K1733" s="10"/>
      <c r="L1733" s="10"/>
    </row>
    <row r="1734" spans="2:12" ht="12.75" customHeight="1">
      <c r="B1734" s="10"/>
      <c r="C1734" s="10"/>
      <c r="D1734" s="10"/>
      <c r="E1734" s="10"/>
      <c r="F1734" s="10"/>
      <c r="G1734" s="10"/>
      <c r="H1734" s="10"/>
      <c r="I1734" s="10"/>
      <c r="J1734" s="10"/>
      <c r="K1734" s="10"/>
      <c r="L1734" s="10"/>
    </row>
    <row r="1735" spans="2:12" ht="12.75" customHeight="1">
      <c r="B1735" s="10"/>
      <c r="C1735" s="10"/>
      <c r="D1735" s="10"/>
      <c r="E1735" s="10"/>
      <c r="F1735" s="10"/>
      <c r="G1735" s="10"/>
      <c r="H1735" s="10"/>
      <c r="I1735" s="10"/>
      <c r="J1735" s="10"/>
      <c r="K1735" s="10"/>
      <c r="L1735" s="10"/>
    </row>
    <row r="1736" spans="2:12" ht="12.75" customHeight="1">
      <c r="B1736" s="10"/>
      <c r="C1736" s="10"/>
      <c r="D1736" s="10"/>
      <c r="E1736" s="10"/>
      <c r="F1736" s="10"/>
      <c r="G1736" s="10"/>
      <c r="H1736" s="10"/>
      <c r="I1736" s="10"/>
      <c r="J1736" s="10"/>
      <c r="K1736" s="10"/>
      <c r="L1736" s="10"/>
    </row>
    <row r="1737" spans="2:12" ht="12.75" customHeight="1">
      <c r="B1737" s="10"/>
      <c r="C1737" s="10"/>
      <c r="D1737" s="10"/>
      <c r="E1737" s="10"/>
      <c r="F1737" s="10"/>
      <c r="G1737" s="10"/>
      <c r="H1737" s="10"/>
      <c r="I1737" s="10"/>
      <c r="J1737" s="10"/>
      <c r="K1737" s="10"/>
      <c r="L1737" s="10"/>
    </row>
    <row r="1738" spans="2:12" ht="12.75" customHeight="1">
      <c r="B1738" s="10"/>
      <c r="C1738" s="10"/>
      <c r="D1738" s="10"/>
      <c r="E1738" s="10"/>
      <c r="F1738" s="10"/>
      <c r="G1738" s="10"/>
      <c r="H1738" s="10"/>
      <c r="I1738" s="10"/>
      <c r="J1738" s="10"/>
      <c r="K1738" s="10"/>
      <c r="L1738" s="10"/>
    </row>
    <row r="1739" spans="2:12" ht="12.75" customHeight="1">
      <c r="B1739" s="10"/>
      <c r="C1739" s="10"/>
      <c r="D1739" s="10"/>
      <c r="E1739" s="10"/>
      <c r="F1739" s="10"/>
      <c r="G1739" s="10"/>
      <c r="H1739" s="10"/>
      <c r="I1739" s="10"/>
      <c r="J1739" s="10"/>
      <c r="K1739" s="10"/>
      <c r="L1739" s="10"/>
    </row>
    <row r="1740" spans="2:12" ht="12.75" customHeight="1">
      <c r="B1740" s="10"/>
      <c r="C1740" s="10"/>
      <c r="D1740" s="10"/>
      <c r="E1740" s="10"/>
      <c r="F1740" s="10"/>
      <c r="G1740" s="10"/>
      <c r="H1740" s="10"/>
      <c r="I1740" s="10"/>
      <c r="J1740" s="10"/>
      <c r="K1740" s="10"/>
      <c r="L1740" s="10"/>
    </row>
    <row r="1741" spans="2:12" ht="12.75" customHeight="1">
      <c r="B1741" s="10"/>
      <c r="C1741" s="10"/>
      <c r="D1741" s="10"/>
      <c r="E1741" s="10"/>
      <c r="F1741" s="10"/>
      <c r="G1741" s="10"/>
      <c r="H1741" s="10"/>
      <c r="I1741" s="10"/>
      <c r="J1741" s="10"/>
      <c r="K1741" s="10"/>
      <c r="L1741" s="10"/>
    </row>
    <row r="1742" spans="2:12" ht="12.75" customHeight="1">
      <c r="B1742" s="10"/>
      <c r="C1742" s="10"/>
      <c r="D1742" s="10"/>
      <c r="E1742" s="10"/>
      <c r="F1742" s="10"/>
      <c r="G1742" s="10"/>
      <c r="H1742" s="10"/>
      <c r="I1742" s="10"/>
      <c r="J1742" s="10"/>
      <c r="K1742" s="10"/>
      <c r="L1742" s="10"/>
    </row>
    <row r="1743" spans="2:12" ht="12.75" customHeight="1">
      <c r="B1743" s="10"/>
      <c r="C1743" s="10"/>
      <c r="D1743" s="10"/>
      <c r="E1743" s="10"/>
      <c r="F1743" s="10"/>
      <c r="G1743" s="10"/>
      <c r="H1743" s="10"/>
      <c r="I1743" s="10"/>
      <c r="J1743" s="10"/>
      <c r="K1743" s="10"/>
      <c r="L1743" s="10"/>
    </row>
    <row r="1744" spans="2:12" ht="12.75" customHeight="1">
      <c r="B1744" s="10"/>
      <c r="C1744" s="10"/>
      <c r="D1744" s="10"/>
      <c r="E1744" s="10"/>
      <c r="F1744" s="10"/>
      <c r="G1744" s="10"/>
      <c r="H1744" s="10"/>
      <c r="I1744" s="10"/>
      <c r="J1744" s="10"/>
      <c r="K1744" s="10"/>
      <c r="L1744" s="10"/>
    </row>
    <row r="1745" spans="2:12" ht="12.75" customHeight="1">
      <c r="B1745" s="10"/>
      <c r="C1745" s="10"/>
      <c r="D1745" s="10"/>
      <c r="E1745" s="10"/>
      <c r="F1745" s="10"/>
      <c r="G1745" s="10"/>
      <c r="H1745" s="10"/>
      <c r="I1745" s="10"/>
      <c r="J1745" s="10"/>
      <c r="K1745" s="10"/>
      <c r="L1745" s="10"/>
    </row>
    <row r="1746" spans="2:12" ht="12.75" customHeight="1"/>
    <row r="1747" spans="2:12" ht="12.75" customHeight="1"/>
    <row r="1748" spans="2:12" ht="12.75" customHeight="1"/>
    <row r="1749" spans="2:12" ht="12.75" customHeight="1"/>
    <row r="1750" spans="2:12" ht="12.75" customHeight="1"/>
    <row r="1751" spans="2:12" ht="12.75" customHeight="1"/>
    <row r="1752" spans="2:12" ht="12.75" customHeight="1"/>
    <row r="1753" spans="2:12" ht="12.75" customHeight="1"/>
    <row r="1754" spans="2:12" ht="12.75" customHeight="1"/>
    <row r="1755" spans="2:12" ht="12.75" customHeight="1"/>
    <row r="1756" spans="2:12" ht="12.75" customHeight="1"/>
    <row r="1757" spans="2:12" ht="12.75" customHeight="1"/>
    <row r="1758" spans="2:12" ht="12.75" customHeight="1"/>
    <row r="1759" spans="2:12" ht="12.75" customHeight="1"/>
    <row r="1760" spans="2:12" ht="12.75" customHeight="1"/>
    <row r="1761" ht="12.75" customHeight="1"/>
    <row r="1762" ht="12.75" customHeight="1"/>
    <row r="1763" ht="12.75" customHeight="1"/>
    <row r="1764" ht="12.75" customHeight="1"/>
    <row r="1765" ht="12.75" customHeight="1"/>
    <row r="1766" ht="12.75" customHeight="1"/>
    <row r="1767" ht="12.75" customHeight="1"/>
    <row r="1768" ht="12.75" customHeight="1"/>
    <row r="1769" ht="12.75" customHeight="1"/>
    <row r="1770" ht="12.75" customHeight="1"/>
    <row r="1771" ht="12.75" customHeight="1"/>
    <row r="1772" ht="12.75" customHeight="1"/>
    <row r="1773" ht="12.75" customHeight="1"/>
    <row r="1774" ht="12.75" customHeight="1"/>
    <row r="1775" ht="12.75" customHeight="1"/>
    <row r="1776" ht="12.75" customHeight="1"/>
    <row r="1777" ht="12.75" customHeight="1"/>
    <row r="1778" ht="12.75" customHeight="1"/>
    <row r="1779" ht="12.75" customHeight="1"/>
    <row r="1780" ht="12.75" customHeight="1"/>
    <row r="1781" ht="12.75" customHeight="1"/>
    <row r="1782" ht="12.75" customHeight="1"/>
    <row r="1783" ht="12.75" customHeight="1"/>
    <row r="1784" ht="12.75" customHeight="1"/>
    <row r="1785" ht="12.75" customHeight="1"/>
    <row r="1786" ht="12.75" customHeight="1"/>
    <row r="1787" ht="12.75" customHeight="1"/>
    <row r="1788" ht="12.75" customHeight="1"/>
    <row r="1789" ht="12.75" customHeight="1"/>
    <row r="1790" ht="12.75" customHeight="1"/>
    <row r="1791" ht="12.75" customHeight="1"/>
    <row r="1792" ht="12.75" customHeight="1"/>
    <row r="1793" ht="12.75" customHeight="1"/>
    <row r="1794" ht="12.75" customHeight="1"/>
    <row r="1795" ht="12.75" customHeight="1"/>
    <row r="1796" ht="12.75" customHeight="1"/>
    <row r="1797" ht="12.75" customHeight="1"/>
    <row r="1798" ht="12.75" customHeight="1"/>
    <row r="1799" ht="12.75" customHeight="1"/>
    <row r="1800" ht="12.75" customHeight="1"/>
    <row r="1801" ht="12.75" customHeight="1"/>
    <row r="1802" ht="12.75" customHeight="1"/>
    <row r="1803" ht="12.75" customHeight="1"/>
    <row r="1804" ht="12.75" customHeight="1"/>
    <row r="1805" ht="12.75" customHeight="1"/>
    <row r="1806" ht="12.75" customHeight="1"/>
    <row r="1807" ht="12.75" customHeight="1"/>
    <row r="1808" ht="12.75" customHeight="1"/>
    <row r="1809" ht="12.75" customHeight="1"/>
    <row r="1810" ht="12.75" customHeight="1"/>
    <row r="1811" ht="12.75" customHeight="1"/>
    <row r="1812" ht="12.75" customHeight="1"/>
    <row r="1813" ht="12.75" customHeight="1"/>
    <row r="1814" ht="12.75" customHeight="1"/>
    <row r="1815" ht="12.75" customHeight="1"/>
    <row r="1816" ht="12.75" customHeight="1"/>
    <row r="1817" ht="12.75" customHeight="1"/>
    <row r="1818" ht="12.75" customHeight="1"/>
    <row r="1819" ht="12.75" customHeight="1"/>
    <row r="1820" ht="12.75" customHeight="1"/>
    <row r="1821" ht="12.75" customHeight="1"/>
    <row r="1822" ht="12.75" customHeight="1"/>
    <row r="1823" ht="12.75" customHeight="1"/>
    <row r="1824" ht="12.75" customHeight="1"/>
    <row r="1825" ht="12.75" customHeight="1"/>
    <row r="1826" ht="12.75" customHeight="1"/>
    <row r="1827" ht="12.75" customHeight="1"/>
    <row r="1828" ht="12.75" customHeight="1"/>
    <row r="1829" ht="12.75" customHeight="1"/>
    <row r="1830" ht="12.75" customHeight="1"/>
    <row r="1831" ht="12.75" customHeight="1"/>
    <row r="1832" ht="12.75" customHeight="1"/>
    <row r="1833" ht="12.75" customHeight="1"/>
    <row r="1834" ht="12.75" customHeight="1"/>
    <row r="1835" ht="12.75" customHeight="1"/>
    <row r="1836" ht="12.75" customHeight="1"/>
    <row r="1837" ht="12.75" customHeight="1"/>
    <row r="1838" ht="12.75" customHeight="1"/>
    <row r="1839" ht="12.75" customHeight="1"/>
    <row r="1840" ht="12.75" customHeight="1"/>
    <row r="1841" ht="12.75" customHeight="1"/>
    <row r="1842" ht="12.75" customHeight="1"/>
    <row r="1843" ht="12.75" customHeight="1"/>
    <row r="1844" ht="12.75" customHeight="1"/>
    <row r="1845" ht="12.75" customHeight="1"/>
    <row r="1846" ht="12.75" customHeight="1"/>
    <row r="1847" ht="12.75" customHeight="1"/>
    <row r="1848" ht="12.75" customHeight="1"/>
    <row r="1849" ht="12.75" customHeight="1"/>
    <row r="1850" ht="12.75" customHeight="1"/>
    <row r="1851" ht="12.75" customHeight="1"/>
    <row r="1852" ht="12.75" customHeight="1"/>
    <row r="1853" ht="12.75" customHeight="1"/>
    <row r="1854" ht="12.75" customHeight="1"/>
    <row r="1855" ht="12.75" customHeight="1"/>
    <row r="1856" ht="12.75" customHeight="1"/>
    <row r="1857" ht="12.75" customHeight="1"/>
    <row r="1858" ht="12.75" customHeight="1"/>
    <row r="1859" ht="12.75" customHeight="1"/>
    <row r="1860" ht="12.75" customHeight="1"/>
    <row r="1861" ht="12.75" customHeight="1"/>
    <row r="1862" ht="12.75" customHeight="1"/>
    <row r="1863" ht="12.75" customHeight="1"/>
    <row r="1864" ht="12.75" customHeight="1"/>
    <row r="1865" ht="12.75" customHeight="1"/>
    <row r="1866" ht="12.75" customHeight="1"/>
    <row r="1867" ht="12.75" customHeight="1"/>
    <row r="1868" ht="12.75" customHeight="1"/>
    <row r="1869" ht="12.75" customHeight="1"/>
    <row r="1870" ht="12.75" customHeight="1"/>
    <row r="1871" ht="12.75" customHeight="1"/>
    <row r="1872" ht="12.75" customHeight="1"/>
    <row r="1873" ht="12.75" customHeight="1"/>
    <row r="1874" ht="12.75" customHeight="1"/>
    <row r="1875" ht="12.75" customHeight="1"/>
    <row r="1876" ht="12.75" customHeight="1"/>
    <row r="1877" ht="12.75" customHeight="1"/>
    <row r="1878" ht="12.75" customHeight="1"/>
    <row r="1879" ht="12.75" customHeight="1"/>
    <row r="1880" ht="12.75" customHeight="1"/>
    <row r="1881" ht="12.75" customHeight="1"/>
    <row r="1882" ht="12.75" customHeight="1"/>
    <row r="1883" ht="12.75" customHeight="1"/>
    <row r="1884" ht="12.75" customHeight="1"/>
    <row r="1885" ht="12.75" customHeight="1"/>
    <row r="1886" ht="12.75" customHeight="1"/>
    <row r="1887" ht="12.75" customHeight="1"/>
    <row r="1888" ht="12.75" customHeight="1"/>
    <row r="1889" ht="12.75" customHeight="1"/>
    <row r="1890" ht="12.75" customHeight="1"/>
    <row r="1891" ht="12.75" customHeight="1"/>
    <row r="1892" ht="12.75" customHeight="1"/>
    <row r="1893" ht="12.75" customHeight="1"/>
    <row r="1894" ht="12.75" customHeight="1"/>
    <row r="1895" ht="12.75" customHeight="1"/>
    <row r="1896" ht="12.75" customHeight="1"/>
    <row r="1897" ht="12.75" customHeight="1"/>
    <row r="1898" ht="12.75" customHeight="1"/>
    <row r="1899" ht="12.75" customHeight="1"/>
    <row r="1900" ht="12.75" customHeight="1"/>
    <row r="1901" ht="12.75" customHeight="1"/>
    <row r="1902" ht="12.75" customHeight="1"/>
    <row r="1903" ht="12.75" customHeight="1"/>
    <row r="1904" ht="12.75" customHeight="1"/>
    <row r="1905" ht="12.75" customHeight="1"/>
    <row r="1906" ht="12.75" customHeight="1"/>
    <row r="1907" ht="12.75" customHeight="1"/>
    <row r="1908" ht="12.75" customHeight="1"/>
    <row r="1909" ht="12.75" customHeight="1"/>
    <row r="1910" ht="12.75" customHeight="1"/>
    <row r="1911" ht="12.75" customHeight="1"/>
    <row r="1912" ht="12.75" customHeight="1"/>
    <row r="1913" ht="12.75" customHeight="1"/>
    <row r="1914" ht="12.75" customHeight="1"/>
    <row r="1915" ht="12.75" customHeight="1"/>
    <row r="1916" ht="12.75" customHeight="1"/>
    <row r="1917" ht="12.75" customHeight="1"/>
    <row r="1918" ht="12.75" customHeight="1"/>
    <row r="1919" ht="12.75" customHeight="1"/>
    <row r="1920" ht="12.75" customHeight="1"/>
    <row r="1921" ht="12.75" customHeight="1"/>
    <row r="1922" ht="12.75" customHeight="1"/>
    <row r="1923" ht="12.75" customHeight="1"/>
    <row r="1924" ht="12.75" customHeight="1"/>
    <row r="1925" ht="12.75" customHeight="1"/>
    <row r="1926" ht="12.75" customHeight="1"/>
    <row r="1927" ht="12.75" customHeight="1"/>
    <row r="1928" ht="12.75" customHeight="1"/>
    <row r="1929" ht="12.75" customHeight="1"/>
    <row r="1930" ht="12.75" customHeight="1"/>
    <row r="1931" ht="12.75" customHeight="1"/>
    <row r="1932" ht="12.75" customHeight="1"/>
    <row r="1933" ht="12.75" customHeight="1"/>
    <row r="1934" ht="12.75" customHeight="1"/>
    <row r="1935" ht="12.75" customHeight="1"/>
    <row r="1936" ht="12.75" customHeight="1"/>
    <row r="1937" ht="12.75" customHeight="1"/>
    <row r="1938" ht="12.75" customHeight="1"/>
    <row r="1939" ht="12.75" customHeight="1"/>
    <row r="1940" ht="12.75" customHeight="1"/>
    <row r="1941" ht="12.75" customHeight="1"/>
    <row r="1942" ht="12.75" customHeight="1"/>
    <row r="1943" ht="12.75" customHeight="1"/>
    <row r="1944" ht="12.75" customHeight="1"/>
    <row r="1945" ht="12.75" customHeight="1"/>
    <row r="1946" ht="12.75" customHeight="1"/>
    <row r="1947" ht="12.75" customHeight="1"/>
    <row r="1948" ht="12.75" customHeight="1"/>
    <row r="1949" ht="12.75" customHeight="1"/>
    <row r="1950" ht="12.75" customHeight="1"/>
    <row r="1951" ht="12.75" customHeight="1"/>
    <row r="1952" ht="12.75" customHeight="1"/>
    <row r="1953" ht="12.75" customHeight="1"/>
    <row r="1954" ht="12.75" customHeight="1"/>
    <row r="1955" ht="12.75" customHeight="1"/>
    <row r="1956" ht="12.75" customHeight="1"/>
    <row r="1957" ht="12.75" customHeight="1"/>
    <row r="1958" ht="12.75" customHeight="1"/>
    <row r="1959" ht="12.75" customHeight="1"/>
    <row r="1960" ht="12.75" customHeight="1"/>
    <row r="1961" ht="12.75" customHeight="1"/>
    <row r="1962" ht="12.75" customHeight="1"/>
    <row r="1963" ht="12.75" customHeight="1"/>
    <row r="1964" ht="12.75" customHeight="1"/>
    <row r="1965" ht="12.75" customHeight="1"/>
    <row r="1966" ht="12.75" customHeight="1"/>
    <row r="1967" ht="12.75" customHeight="1"/>
    <row r="1968" ht="12.75" customHeight="1"/>
    <row r="1969" ht="12.75" customHeight="1"/>
    <row r="1970" ht="12.75" customHeight="1"/>
    <row r="1971" ht="12.75" customHeight="1"/>
    <row r="1972" ht="12.75" customHeight="1"/>
    <row r="1973" ht="12.75" customHeight="1"/>
    <row r="1974" ht="12.75" customHeight="1"/>
    <row r="1975" ht="12.75" customHeight="1"/>
    <row r="1976" ht="12.75" customHeight="1"/>
    <row r="1977" ht="12.75" customHeight="1"/>
    <row r="1978" ht="12.75" customHeight="1"/>
    <row r="1979" ht="12.75" customHeight="1"/>
    <row r="1980" ht="12.75" customHeight="1"/>
    <row r="1981" ht="12.75" customHeight="1"/>
    <row r="1982" ht="12.75" customHeight="1"/>
    <row r="1983" ht="12.75" customHeight="1"/>
    <row r="1984" ht="12.75" customHeight="1"/>
    <row r="1985" ht="12.75" customHeight="1"/>
    <row r="1986" ht="12.75" customHeight="1"/>
    <row r="1987" ht="12.75" customHeight="1"/>
    <row r="1988" ht="12.75" customHeight="1"/>
    <row r="1989" ht="12.75" customHeight="1"/>
    <row r="1990" ht="12.75" customHeight="1"/>
    <row r="1991" ht="12.75" customHeight="1"/>
    <row r="1992" ht="12.75" customHeight="1"/>
    <row r="1993" ht="12.75" customHeight="1"/>
    <row r="1994" ht="12.75" customHeight="1"/>
    <row r="1995" ht="12.75" customHeight="1"/>
    <row r="1996" ht="12.75" customHeight="1"/>
    <row r="1997" ht="12.75" customHeight="1"/>
    <row r="1998" ht="12.75" customHeight="1"/>
    <row r="1999" ht="12.75" customHeight="1"/>
    <row r="2000" ht="12.75" customHeight="1"/>
    <row r="2001" ht="12.75" customHeight="1"/>
    <row r="2002" ht="12.75" customHeight="1"/>
    <row r="2003" ht="12.75" customHeight="1"/>
    <row r="2004" ht="12.75" customHeight="1"/>
    <row r="2005" ht="12.75" customHeight="1"/>
    <row r="2006" ht="12.75" customHeight="1"/>
    <row r="2007" ht="12.75" customHeight="1"/>
    <row r="2008" ht="12.75" customHeight="1"/>
    <row r="2009" ht="12.75" customHeight="1"/>
    <row r="2010" ht="12.75" customHeight="1"/>
    <row r="2011" ht="12.75" customHeight="1"/>
    <row r="2012" ht="12.75" customHeight="1"/>
    <row r="2013" ht="12.75" customHeight="1"/>
    <row r="2014" ht="12.75" customHeight="1"/>
    <row r="2015" ht="12.75" customHeight="1"/>
    <row r="2016" ht="12.75" customHeight="1"/>
    <row r="2017" ht="12.75" customHeight="1"/>
    <row r="2018" ht="12.75" customHeight="1"/>
    <row r="2019" ht="12.75" customHeight="1"/>
    <row r="2020" ht="12.75" customHeight="1"/>
    <row r="2021" ht="12.75" customHeight="1"/>
    <row r="2022" ht="12.75" customHeight="1"/>
    <row r="2023" ht="12.75" customHeight="1"/>
    <row r="2024" ht="12.75" customHeight="1"/>
    <row r="2025" ht="12.75" customHeight="1"/>
    <row r="2026" ht="12.75" customHeight="1"/>
    <row r="2027" ht="12.75" customHeight="1"/>
    <row r="2028" ht="12.75" customHeight="1"/>
    <row r="2029" ht="12.75" customHeight="1"/>
    <row r="2030" ht="12.75" customHeight="1"/>
    <row r="2031" ht="12.75" customHeight="1"/>
    <row r="2032" ht="12.75" customHeight="1"/>
    <row r="2033" ht="12.75" customHeight="1"/>
    <row r="2034" ht="12.75" customHeight="1"/>
    <row r="2035" ht="12.75" customHeight="1"/>
    <row r="2036" ht="12.75" customHeight="1"/>
    <row r="2037" ht="12.75" customHeight="1"/>
    <row r="2038" ht="12.75" customHeight="1"/>
    <row r="2039" ht="12.75" customHeight="1"/>
    <row r="2040" ht="12.75" customHeight="1"/>
    <row r="2041" ht="12.75" customHeight="1"/>
    <row r="2042" ht="12.75" customHeight="1"/>
    <row r="2043" ht="12.75" customHeight="1"/>
    <row r="2044" ht="12.75" customHeight="1"/>
    <row r="2045" ht="12.75" customHeight="1"/>
    <row r="2046" ht="12.75" customHeight="1"/>
    <row r="2047" ht="12.75" customHeight="1"/>
    <row r="2048" ht="12.75" customHeight="1"/>
    <row r="2049" ht="12.75" customHeight="1"/>
    <row r="2050" ht="12.75" customHeight="1"/>
    <row r="2051" ht="12.75" customHeight="1"/>
    <row r="2052" ht="12.75" customHeight="1"/>
    <row r="2053" ht="12.75" customHeight="1"/>
    <row r="2054" ht="12.75" customHeight="1"/>
    <row r="2055" ht="12.75" customHeight="1"/>
    <row r="2056" ht="12.75" customHeight="1"/>
    <row r="2057" ht="12.75" customHeight="1"/>
    <row r="2058" ht="12.75" customHeight="1"/>
    <row r="2059" ht="12.75" customHeight="1"/>
    <row r="2060" ht="12.75" customHeight="1"/>
    <row r="2061" ht="12.75" customHeight="1"/>
    <row r="2062" ht="12.75" customHeight="1"/>
    <row r="2063" ht="12.75" customHeight="1"/>
    <row r="2064" ht="12.75" customHeight="1"/>
    <row r="2065" ht="12.75" customHeight="1"/>
    <row r="2066" ht="12.75" customHeight="1"/>
    <row r="2067" ht="12.75" customHeight="1"/>
    <row r="2068" ht="12.75" customHeight="1"/>
    <row r="2069" ht="12.75" customHeight="1"/>
    <row r="2070" ht="12.75" customHeight="1"/>
    <row r="2071" ht="12.75" customHeight="1"/>
    <row r="2072" ht="12.75" customHeight="1"/>
    <row r="2073" ht="12.75" customHeight="1"/>
    <row r="2074" ht="12.75" customHeight="1"/>
    <row r="2075" ht="12.75" customHeight="1"/>
    <row r="2076" ht="12.75" customHeight="1"/>
    <row r="2077" ht="12.75" customHeight="1"/>
    <row r="2078" ht="12.75" customHeight="1"/>
    <row r="2079" ht="12.75" customHeight="1"/>
    <row r="2080" ht="12.75" customHeight="1"/>
    <row r="2081" ht="12.75" customHeight="1"/>
    <row r="2082" ht="12.75" customHeight="1"/>
    <row r="2083" ht="12.75" customHeight="1"/>
    <row r="2084" ht="12.75" customHeight="1"/>
    <row r="2085" ht="12.75" customHeight="1"/>
    <row r="2086" ht="12.75" customHeight="1"/>
    <row r="2087" ht="12.75" customHeight="1"/>
    <row r="2088" ht="12.75" customHeight="1"/>
    <row r="2089" ht="12.75" customHeight="1"/>
    <row r="2090" ht="12.75" customHeight="1"/>
    <row r="2091" ht="12.75" customHeight="1"/>
    <row r="2092" ht="12.75" customHeight="1"/>
    <row r="2093" ht="12.75" customHeight="1"/>
    <row r="2094" ht="12.75" customHeight="1"/>
    <row r="2095" ht="12.75" customHeight="1"/>
    <row r="2096" ht="12.75" customHeight="1"/>
    <row r="2097" ht="12.75" customHeight="1"/>
    <row r="2098" ht="12.75" customHeight="1"/>
    <row r="2099" ht="12.75" customHeight="1"/>
    <row r="2100" ht="12.75" customHeight="1"/>
    <row r="2101" ht="12.75" customHeight="1"/>
    <row r="2102" ht="12.75" customHeight="1"/>
    <row r="2103" ht="12.75" customHeight="1"/>
    <row r="2104" ht="12.75" customHeight="1"/>
    <row r="2105" ht="12.75" customHeight="1"/>
    <row r="2106" ht="12.75" customHeight="1"/>
    <row r="2107" ht="12.75" customHeight="1"/>
    <row r="2108" ht="12.75" customHeight="1"/>
    <row r="2109" ht="12.75" customHeight="1"/>
    <row r="2110" ht="12.75" customHeight="1"/>
    <row r="2111" ht="12.75" customHeight="1"/>
    <row r="2112" ht="12.75" customHeight="1"/>
    <row r="2113" ht="12.75" customHeight="1"/>
    <row r="2114" ht="12.75" customHeight="1"/>
    <row r="2115" ht="12.75" customHeight="1"/>
    <row r="2116" ht="12.75" customHeight="1"/>
    <row r="2117" ht="12.75" customHeight="1"/>
    <row r="2118" ht="12.75" customHeight="1"/>
    <row r="2119" ht="12.75" customHeight="1"/>
    <row r="2120" ht="12.75" customHeight="1"/>
    <row r="2121" ht="12.75" customHeight="1"/>
    <row r="2122" ht="12.75" customHeight="1"/>
    <row r="2123" ht="12.75" customHeight="1"/>
    <row r="2124" ht="12.75" customHeight="1"/>
    <row r="2125" ht="12.75" customHeight="1"/>
    <row r="2126" ht="12.75" customHeight="1"/>
    <row r="2127" ht="12.75" customHeight="1"/>
    <row r="2128" ht="12.75" customHeight="1"/>
    <row r="2129" ht="12.75" customHeight="1"/>
    <row r="2130" ht="12.75" customHeight="1"/>
    <row r="2131" ht="12.75" customHeight="1"/>
    <row r="2132" ht="12.75" customHeight="1"/>
    <row r="2133" ht="12.75" customHeight="1"/>
    <row r="2134" ht="12.75" customHeight="1"/>
    <row r="2135" ht="12.75" customHeight="1"/>
    <row r="2136" ht="12.75" customHeight="1"/>
    <row r="2137" ht="12.75" customHeight="1"/>
    <row r="2138" ht="12.75" customHeight="1"/>
    <row r="2139" ht="12.75" customHeight="1"/>
    <row r="2140" ht="12.75" customHeight="1"/>
    <row r="2141" ht="12.75" customHeight="1"/>
    <row r="2142" ht="12.75" customHeight="1"/>
    <row r="2143" ht="12.75" customHeight="1"/>
    <row r="2144" ht="12.75" customHeight="1"/>
    <row r="2145" ht="12.75" customHeight="1"/>
    <row r="2146" ht="12.75" customHeight="1"/>
    <row r="2147" ht="12.75" customHeight="1"/>
    <row r="2148" ht="12.75" customHeight="1"/>
    <row r="2149" ht="12.75" customHeight="1"/>
    <row r="2150" ht="12.75" customHeight="1"/>
    <row r="2151" ht="12.75" customHeight="1"/>
    <row r="2152" ht="12.75" customHeight="1"/>
    <row r="2153" ht="12.75" customHeight="1"/>
    <row r="2154" ht="12.75" customHeight="1"/>
    <row r="2155" ht="12.75" customHeight="1"/>
    <row r="2156" ht="12.75" customHeight="1"/>
    <row r="2157" ht="12.75" customHeight="1"/>
    <row r="2158" ht="12.75" customHeight="1"/>
    <row r="2159" ht="12.75" customHeight="1"/>
    <row r="2160" ht="12.75" customHeight="1"/>
    <row r="2161" ht="12.75" customHeight="1"/>
    <row r="2162" ht="12.75" customHeight="1"/>
    <row r="2163" ht="12.75" customHeight="1"/>
    <row r="2164" ht="12.75" customHeight="1"/>
    <row r="2165" ht="12.75" customHeight="1"/>
    <row r="2166" ht="12.75" customHeight="1"/>
    <row r="2167" ht="12.75" customHeight="1"/>
    <row r="2168" ht="12.75" customHeight="1"/>
    <row r="2169" ht="12.75" customHeight="1"/>
    <row r="2170" ht="12.75" customHeight="1"/>
    <row r="2171" ht="12.75" customHeight="1"/>
    <row r="2172" ht="12.75" customHeight="1"/>
    <row r="2173" ht="12.75" customHeight="1"/>
    <row r="2174" ht="12.75" customHeight="1"/>
    <row r="2175" ht="12.75" customHeight="1"/>
    <row r="2176" ht="12.75" customHeight="1"/>
    <row r="2177" ht="12.75" customHeight="1"/>
    <row r="2178" ht="12.75" customHeight="1"/>
    <row r="2179" ht="12.75" customHeight="1"/>
    <row r="2180" ht="12.75" customHeight="1"/>
    <row r="2181" ht="12.75" customHeight="1"/>
    <row r="2182" ht="12.75" customHeight="1"/>
    <row r="2183" ht="12.75" customHeight="1"/>
    <row r="2184" ht="12.75" customHeight="1"/>
    <row r="2185" ht="12.75" customHeight="1"/>
    <row r="2186" ht="12.75" customHeight="1"/>
    <row r="2187" ht="12.75" customHeight="1"/>
    <row r="2188" ht="12.75" customHeight="1"/>
    <row r="2189" ht="12.75" customHeight="1"/>
    <row r="2190" ht="12.75" customHeight="1"/>
    <row r="2191" ht="12.75" customHeight="1"/>
    <row r="2192" ht="12.75" customHeight="1"/>
    <row r="2193" ht="12.75" customHeight="1"/>
    <row r="2194" ht="12.75" customHeight="1"/>
    <row r="2195" ht="12.75" customHeight="1"/>
    <row r="2196" ht="12.75" customHeight="1"/>
    <row r="2197" ht="12.75" customHeight="1"/>
    <row r="2198" ht="12.75" customHeight="1"/>
    <row r="2199" ht="12.75" customHeight="1"/>
    <row r="2200" ht="12.75" customHeight="1"/>
    <row r="2201" ht="12.75" customHeight="1"/>
    <row r="2202" ht="12.75" customHeight="1"/>
    <row r="2203" ht="12.75" customHeight="1"/>
    <row r="2204" ht="12.75" customHeight="1"/>
    <row r="2205" ht="12.75" customHeight="1"/>
    <row r="2206" ht="12.75" customHeight="1"/>
    <row r="2207" ht="12.75" customHeight="1"/>
    <row r="2208" ht="12.75" customHeight="1"/>
    <row r="2209" ht="12.75" customHeight="1"/>
    <row r="2210" ht="12.75" customHeight="1"/>
    <row r="2211" ht="12.75" customHeight="1"/>
    <row r="2212" ht="12.75" customHeight="1"/>
    <row r="2213" ht="12.75" customHeight="1"/>
    <row r="2214" ht="12.75" customHeight="1"/>
    <row r="2215" ht="12.75" customHeight="1"/>
    <row r="2216" ht="12.75" customHeight="1"/>
    <row r="2217" ht="12.75" customHeight="1"/>
    <row r="2218" ht="12.75" customHeight="1"/>
    <row r="2219" ht="12.75" customHeight="1"/>
    <row r="2220" ht="12.75" customHeight="1"/>
    <row r="2221" ht="12.75" customHeight="1"/>
    <row r="2222" ht="12.75" customHeight="1"/>
    <row r="2223" ht="12.75" customHeight="1"/>
    <row r="2224" ht="12.75" customHeight="1"/>
    <row r="2225" ht="12.75" customHeight="1"/>
    <row r="2226" ht="12.75" customHeight="1"/>
    <row r="2227" ht="12.75" customHeight="1"/>
    <row r="2228" ht="12.75" customHeight="1"/>
    <row r="2229" ht="12.75" customHeight="1"/>
    <row r="2230" ht="12.75" customHeight="1"/>
    <row r="2231" ht="12.75" customHeight="1"/>
    <row r="2232" ht="12.75" customHeight="1"/>
    <row r="2233" ht="12.75" customHeight="1"/>
    <row r="2234" ht="12.75" customHeight="1"/>
    <row r="2235" ht="12.75" customHeight="1"/>
    <row r="2236" ht="12.75" customHeight="1"/>
    <row r="2237" ht="12.75" customHeight="1"/>
    <row r="2238" ht="12.75" customHeight="1"/>
    <row r="2239" ht="12.75" customHeight="1"/>
    <row r="2240" ht="12.75" customHeight="1"/>
    <row r="2241" ht="12.75" customHeight="1"/>
    <row r="2242" ht="12.75" customHeight="1"/>
    <row r="2243" ht="12.75" customHeight="1"/>
    <row r="2244" ht="12.75" customHeight="1"/>
    <row r="2245" ht="12.75" customHeight="1"/>
    <row r="2246" ht="12.75" customHeight="1"/>
    <row r="2247" ht="12.75" customHeight="1"/>
    <row r="2248" ht="12.75" customHeight="1"/>
    <row r="2249" ht="12.75" customHeight="1"/>
    <row r="2250" ht="12.75" customHeight="1"/>
    <row r="2251" ht="12.75" customHeight="1"/>
    <row r="2252" ht="12.75" customHeight="1"/>
    <row r="2253" ht="12.75" customHeight="1"/>
    <row r="2254" ht="12.75" customHeight="1"/>
    <row r="2255" ht="12.75" customHeight="1"/>
    <row r="2256" ht="12.75" customHeight="1"/>
    <row r="2257" ht="12.75" customHeight="1"/>
    <row r="2258" ht="12.75" customHeight="1"/>
    <row r="2259" ht="12.75" customHeight="1"/>
    <row r="2260" ht="12.75" customHeight="1"/>
    <row r="2261" ht="12.75" customHeight="1"/>
    <row r="2262" ht="12.75" customHeight="1"/>
    <row r="2263" ht="12.75" customHeight="1"/>
    <row r="2264" ht="12.75" customHeight="1"/>
    <row r="2265" ht="12.75" customHeight="1"/>
    <row r="2266" ht="12.75" customHeight="1"/>
    <row r="2267" ht="12.75" customHeight="1"/>
    <row r="2268" ht="12.75" customHeight="1"/>
    <row r="2269" ht="12.75" customHeight="1"/>
    <row r="2270" ht="12.75" customHeight="1"/>
    <row r="2271" ht="12.75" customHeight="1"/>
    <row r="2272" ht="12.75" customHeight="1"/>
    <row r="2273" ht="12.75" customHeight="1"/>
    <row r="2274" ht="12.75" customHeight="1"/>
    <row r="2275" ht="12.75" customHeight="1"/>
    <row r="2276" ht="12.75" customHeight="1"/>
    <row r="2277" ht="12.75" customHeight="1"/>
    <row r="2278" ht="12.75" customHeight="1"/>
    <row r="2279" ht="12.75" customHeight="1"/>
    <row r="2280" ht="12.75" customHeight="1"/>
    <row r="2281" ht="12.75" customHeight="1"/>
    <row r="2282" ht="12.75" customHeight="1"/>
    <row r="2283" ht="12.75" customHeight="1"/>
    <row r="2284" ht="12.75" customHeight="1"/>
    <row r="2285" ht="12.75" customHeight="1"/>
    <row r="2286" ht="12.75" customHeight="1"/>
    <row r="2287" ht="12.75" customHeight="1"/>
    <row r="2288" ht="12.75" customHeight="1"/>
    <row r="2289" ht="12.75" customHeight="1"/>
    <row r="2290" ht="12.75" customHeight="1"/>
    <row r="2291" ht="12.75" customHeight="1"/>
    <row r="2292" ht="12.75" customHeight="1"/>
    <row r="2293" ht="12.75" customHeight="1"/>
    <row r="2294" ht="12.75" customHeight="1"/>
    <row r="2295" ht="12.75" customHeight="1"/>
    <row r="2296" ht="12.75" customHeight="1"/>
    <row r="2297" ht="12.75" customHeight="1"/>
    <row r="2298" ht="12.75" customHeight="1"/>
    <row r="2299" ht="12.75" customHeight="1"/>
    <row r="2300" ht="12.75" customHeight="1"/>
    <row r="2301" ht="12.75" customHeight="1"/>
    <row r="2302" ht="12.75" customHeight="1"/>
    <row r="2303" ht="12.75" customHeight="1"/>
    <row r="2304" ht="12.75" customHeight="1"/>
    <row r="2305" ht="12.75" customHeight="1"/>
    <row r="2306" ht="12.75" customHeight="1"/>
    <row r="2307" ht="12.75" customHeight="1"/>
    <row r="2308" ht="12.75" customHeight="1"/>
    <row r="2309" ht="12.75" customHeight="1"/>
    <row r="2310" ht="12.75" customHeight="1"/>
    <row r="2311" ht="12.75" customHeight="1"/>
    <row r="2312" ht="12.75" customHeight="1"/>
    <row r="2313" ht="12.75" customHeight="1"/>
    <row r="2314" ht="12.75" customHeight="1"/>
    <row r="2315" ht="12.75" customHeight="1"/>
    <row r="2316" ht="12.75" customHeight="1"/>
    <row r="2317" ht="12.75" customHeight="1"/>
    <row r="2318" ht="12.75" customHeight="1"/>
    <row r="2319" ht="12.75" customHeight="1"/>
    <row r="2320" ht="12.75" customHeight="1"/>
    <row r="2321" ht="12.75" customHeight="1"/>
    <row r="2322" ht="12.75" customHeight="1"/>
    <row r="2323" ht="12.75" customHeight="1"/>
    <row r="2324" ht="12.75" customHeight="1"/>
    <row r="2325" ht="12.75" customHeight="1"/>
    <row r="2326" ht="12.75" customHeight="1"/>
    <row r="2327" ht="12.75" customHeight="1"/>
    <row r="2328" ht="12.75" customHeight="1"/>
    <row r="2329" ht="12.75" customHeight="1"/>
    <row r="2330" ht="12.75" customHeight="1"/>
    <row r="2331" ht="12.75" customHeight="1"/>
    <row r="2332" ht="12.75" customHeight="1"/>
    <row r="2333" ht="12.75" customHeight="1"/>
    <row r="2334" ht="12.75" customHeight="1"/>
    <row r="2335" ht="12.75" customHeight="1"/>
    <row r="2336" ht="12.75" customHeight="1"/>
    <row r="2337" ht="12.75" customHeight="1"/>
    <row r="2338" ht="12.75" customHeight="1"/>
    <row r="2339" ht="12.75" customHeight="1"/>
    <row r="2340" ht="12.75" customHeight="1"/>
    <row r="2341" ht="12.75" customHeight="1"/>
    <row r="2342" ht="12.75" customHeight="1"/>
    <row r="2343" ht="12.75" customHeight="1"/>
    <row r="2344" ht="12.75" customHeight="1"/>
    <row r="2345" ht="12.75" customHeight="1"/>
    <row r="2346" ht="12.75" customHeight="1"/>
    <row r="2347" ht="12.75" customHeight="1"/>
    <row r="2348" ht="12.75" customHeight="1"/>
    <row r="2349" ht="12.75" customHeight="1"/>
    <row r="2350" ht="12.75" customHeight="1"/>
    <row r="2351" ht="12.75" customHeight="1"/>
    <row r="2352" ht="12.75" customHeight="1"/>
    <row r="2353" ht="12.75" customHeight="1"/>
    <row r="2354" ht="12.75" customHeight="1"/>
    <row r="2355" ht="12.75" customHeight="1"/>
    <row r="2356" ht="12.75" customHeight="1"/>
    <row r="2357" ht="12.75" customHeight="1"/>
    <row r="2358" ht="12.75" customHeight="1"/>
    <row r="2359" ht="12.75" customHeight="1"/>
    <row r="2360" ht="12.75" customHeight="1"/>
    <row r="2361" ht="12.75" customHeight="1"/>
    <row r="2362" ht="12.75" customHeight="1"/>
    <row r="2363" ht="12.75" customHeight="1"/>
    <row r="2364" ht="12.75" customHeight="1"/>
  </sheetData>
  <mergeCells count="444">
    <mergeCell ref="C841:K844"/>
    <mergeCell ref="C847:K849"/>
    <mergeCell ref="C348:I348"/>
    <mergeCell ref="E372:H372"/>
    <mergeCell ref="C614:K619"/>
    <mergeCell ref="C683:K689"/>
    <mergeCell ref="C712:K712"/>
    <mergeCell ref="C715:K715"/>
    <mergeCell ref="C621:K622"/>
    <mergeCell ref="D668:F668"/>
    <mergeCell ref="C1072:H1072"/>
    <mergeCell ref="F1073:H1073"/>
    <mergeCell ref="D664:F664"/>
    <mergeCell ref="D666:F666"/>
    <mergeCell ref="C722:K722"/>
    <mergeCell ref="C670:K671"/>
    <mergeCell ref="C673:K673"/>
    <mergeCell ref="C675:K681"/>
    <mergeCell ref="C805:K810"/>
    <mergeCell ref="C1019:F1019"/>
    <mergeCell ref="C1215:E1215"/>
    <mergeCell ref="G666:I666"/>
    <mergeCell ref="C1234:K1234"/>
    <mergeCell ref="K1206:K1207"/>
    <mergeCell ref="I1210:J1210"/>
    <mergeCell ref="F1215:G1215"/>
    <mergeCell ref="I1215:J1215"/>
    <mergeCell ref="C1217:K1217"/>
    <mergeCell ref="C1219:K1225"/>
    <mergeCell ref="C1208:E1208"/>
    <mergeCell ref="C1258:H1258"/>
    <mergeCell ref="D1240:K1240"/>
    <mergeCell ref="D1237:K1239"/>
    <mergeCell ref="C1235:K1236"/>
    <mergeCell ref="C1255:K1255"/>
    <mergeCell ref="C1240:C1241"/>
    <mergeCell ref="C1257:H1257"/>
    <mergeCell ref="C1259:H1259"/>
    <mergeCell ref="C1260:H1260"/>
    <mergeCell ref="C1354:K1354"/>
    <mergeCell ref="H1326:I1326"/>
    <mergeCell ref="H1328:I1328"/>
    <mergeCell ref="H1332:I1332"/>
    <mergeCell ref="C1320:G1320"/>
    <mergeCell ref="C1321:G1321"/>
    <mergeCell ref="C1325:G1325"/>
    <mergeCell ref="H1327:I1327"/>
    <mergeCell ref="J1332:K1332"/>
    <mergeCell ref="C1327:G1327"/>
    <mergeCell ref="C1328:G1328"/>
    <mergeCell ref="C1329:G1329"/>
    <mergeCell ref="C1330:G1330"/>
    <mergeCell ref="J1327:K1327"/>
    <mergeCell ref="H1329:I1329"/>
    <mergeCell ref="F1332:G1332"/>
    <mergeCell ref="J1328:K1328"/>
    <mergeCell ref="J1329:K1329"/>
    <mergeCell ref="C1312:G1312"/>
    <mergeCell ref="C1313:G1313"/>
    <mergeCell ref="C1314:G1314"/>
    <mergeCell ref="J1326:K1326"/>
    <mergeCell ref="C1322:G1322"/>
    <mergeCell ref="C1323:G1323"/>
    <mergeCell ref="J1325:K1325"/>
    <mergeCell ref="C1326:G1326"/>
    <mergeCell ref="H1325:I1325"/>
    <mergeCell ref="C1319:G1319"/>
    <mergeCell ref="C1316:G1316"/>
    <mergeCell ref="C1317:G1317"/>
    <mergeCell ref="C1318:G1318"/>
    <mergeCell ref="C1315:G1315"/>
    <mergeCell ref="C1266:K1266"/>
    <mergeCell ref="C1292:K1294"/>
    <mergeCell ref="H1291:I1291"/>
    <mergeCell ref="G1267:G1272"/>
    <mergeCell ref="H1267:I1272"/>
    <mergeCell ref="H1282:I1287"/>
    <mergeCell ref="F1205:H1205"/>
    <mergeCell ref="I1205:K1205"/>
    <mergeCell ref="F1206:F1207"/>
    <mergeCell ref="G1206:G1207"/>
    <mergeCell ref="H1206:H1207"/>
    <mergeCell ref="I1206:I1207"/>
    <mergeCell ref="J1206:J1207"/>
    <mergeCell ref="C1277:K1279"/>
    <mergeCell ref="D1267:D1272"/>
    <mergeCell ref="E1267:E1272"/>
    <mergeCell ref="F1267:F1272"/>
    <mergeCell ref="H1275:I1275"/>
    <mergeCell ref="J1274:K1274"/>
    <mergeCell ref="J1275:K1275"/>
    <mergeCell ref="J1276:K1276"/>
    <mergeCell ref="J1267:K1272"/>
    <mergeCell ref="H1273:I1273"/>
    <mergeCell ref="J1288:K1288"/>
    <mergeCell ref="J1289:K1289"/>
    <mergeCell ref="J1290:K1290"/>
    <mergeCell ref="H1288:I1288"/>
    <mergeCell ref="H1290:I1290"/>
    <mergeCell ref="J1291:K1291"/>
    <mergeCell ref="H1289:I1289"/>
    <mergeCell ref="C1282:C1287"/>
    <mergeCell ref="D1282:D1287"/>
    <mergeCell ref="E1282:E1287"/>
    <mergeCell ref="F1282:F1287"/>
    <mergeCell ref="G1282:G1287"/>
    <mergeCell ref="C1281:K1281"/>
    <mergeCell ref="J1282:K1287"/>
    <mergeCell ref="C1262:K1264"/>
    <mergeCell ref="C717:K720"/>
    <mergeCell ref="D259:I259"/>
    <mergeCell ref="D260:I260"/>
    <mergeCell ref="D261:I263"/>
    <mergeCell ref="G661:I662"/>
    <mergeCell ref="D661:F662"/>
    <mergeCell ref="D660:I660"/>
    <mergeCell ref="D659:I659"/>
    <mergeCell ref="D665:F665"/>
    <mergeCell ref="J1273:K1273"/>
    <mergeCell ref="H1274:I1274"/>
    <mergeCell ref="J1331:K1331"/>
    <mergeCell ref="C1267:C1272"/>
    <mergeCell ref="C1298:K1301"/>
    <mergeCell ref="C1303:K1304"/>
    <mergeCell ref="K1310:K1311"/>
    <mergeCell ref="I1310:I1311"/>
    <mergeCell ref="J1310:J1311"/>
    <mergeCell ref="H1310:H1311"/>
    <mergeCell ref="C1310:G1311"/>
    <mergeCell ref="H1276:I1276"/>
    <mergeCell ref="C1429:K1432"/>
    <mergeCell ref="C1396:K1398"/>
    <mergeCell ref="C1400:K1408"/>
    <mergeCell ref="C1410:K1410"/>
    <mergeCell ref="C1412:K1413"/>
    <mergeCell ref="C1415:K1418"/>
    <mergeCell ref="C1420:K1422"/>
    <mergeCell ref="C1426:K1427"/>
    <mergeCell ref="C1389:K1389"/>
    <mergeCell ref="C1391:K1394"/>
    <mergeCell ref="C1386:K1387"/>
    <mergeCell ref="H1330:I1330"/>
    <mergeCell ref="H1331:I1331"/>
    <mergeCell ref="C1331:G1331"/>
    <mergeCell ref="H1334:I1334"/>
    <mergeCell ref="C1334:G1334"/>
    <mergeCell ref="J1334:K1334"/>
    <mergeCell ref="J1330:K1330"/>
    <mergeCell ref="C1434:K1435"/>
    <mergeCell ref="C724:K724"/>
    <mergeCell ref="C726:K727"/>
    <mergeCell ref="C729:K732"/>
    <mergeCell ref="C753:K753"/>
    <mergeCell ref="C775:K775"/>
    <mergeCell ref="C798:K798"/>
    <mergeCell ref="C801:K801"/>
    <mergeCell ref="C803:K803"/>
    <mergeCell ref="C838:K838"/>
    <mergeCell ref="D667:F667"/>
    <mergeCell ref="C568:K568"/>
    <mergeCell ref="C601:K602"/>
    <mergeCell ref="G667:I667"/>
    <mergeCell ref="C570:K574"/>
    <mergeCell ref="C596:K596"/>
    <mergeCell ref="C599:K599"/>
    <mergeCell ref="G668:I668"/>
    <mergeCell ref="D663:F663"/>
    <mergeCell ref="C649:K649"/>
    <mergeCell ref="C652:K652"/>
    <mergeCell ref="C654:K657"/>
    <mergeCell ref="C604:K607"/>
    <mergeCell ref="C609:K612"/>
    <mergeCell ref="G663:I663"/>
    <mergeCell ref="G664:I664"/>
    <mergeCell ref="G665:I665"/>
    <mergeCell ref="C500:K500"/>
    <mergeCell ref="C505:K505"/>
    <mergeCell ref="C507:K507"/>
    <mergeCell ref="C509:K515"/>
    <mergeCell ref="C517:F517"/>
    <mergeCell ref="C539:K539"/>
    <mergeCell ref="C562:K562"/>
    <mergeCell ref="E425:K425"/>
    <mergeCell ref="E426:K426"/>
    <mergeCell ref="C454:K454"/>
    <mergeCell ref="C455:K458"/>
    <mergeCell ref="C449:K450"/>
    <mergeCell ref="C452:D452"/>
    <mergeCell ref="E452:K452"/>
    <mergeCell ref="C443:K447"/>
    <mergeCell ref="C434:K434"/>
    <mergeCell ref="C429:K432"/>
    <mergeCell ref="C463:D463"/>
    <mergeCell ref="E462:K462"/>
    <mergeCell ref="E463:K463"/>
    <mergeCell ref="C460:K461"/>
    <mergeCell ref="C462:D462"/>
    <mergeCell ref="C441:K442"/>
    <mergeCell ref="C424:K424"/>
    <mergeCell ref="C425:D425"/>
    <mergeCell ref="C426:D426"/>
    <mergeCell ref="C481:K481"/>
    <mergeCell ref="C435:D435"/>
    <mergeCell ref="C436:D436"/>
    <mergeCell ref="E435:K435"/>
    <mergeCell ref="E436:K436"/>
    <mergeCell ref="C451:D451"/>
    <mergeCell ref="E451:K451"/>
    <mergeCell ref="H420:J420"/>
    <mergeCell ref="H421:J421"/>
    <mergeCell ref="H422:J422"/>
    <mergeCell ref="H423:J423"/>
    <mergeCell ref="H416:J416"/>
    <mergeCell ref="H417:J417"/>
    <mergeCell ref="H418:J418"/>
    <mergeCell ref="H419:J419"/>
    <mergeCell ref="H413:J413"/>
    <mergeCell ref="H414:J414"/>
    <mergeCell ref="H415:J415"/>
    <mergeCell ref="H409:J409"/>
    <mergeCell ref="H410:J410"/>
    <mergeCell ref="H411:J411"/>
    <mergeCell ref="H412:J412"/>
    <mergeCell ref="C410:G410"/>
    <mergeCell ref="C411:G411"/>
    <mergeCell ref="C412:G412"/>
    <mergeCell ref="H404:J404"/>
    <mergeCell ref="H405:J405"/>
    <mergeCell ref="H406:J406"/>
    <mergeCell ref="H407:J407"/>
    <mergeCell ref="H408:J408"/>
    <mergeCell ref="C408:G408"/>
    <mergeCell ref="C409:G409"/>
    <mergeCell ref="C414:G414"/>
    <mergeCell ref="C415:G415"/>
    <mergeCell ref="C416:G416"/>
    <mergeCell ref="C417:G417"/>
    <mergeCell ref="C419:G419"/>
    <mergeCell ref="C420:G420"/>
    <mergeCell ref="C421:G421"/>
    <mergeCell ref="C418:G418"/>
    <mergeCell ref="C422:G422"/>
    <mergeCell ref="C403:J403"/>
    <mergeCell ref="C413:G413"/>
    <mergeCell ref="C427:K428"/>
    <mergeCell ref="C404:G404"/>
    <mergeCell ref="C405:G405"/>
    <mergeCell ref="C406:G406"/>
    <mergeCell ref="C407:G407"/>
    <mergeCell ref="C396:K396"/>
    <mergeCell ref="C397:K397"/>
    <mergeCell ref="C399:K399"/>
    <mergeCell ref="C400:K401"/>
    <mergeCell ref="E388:H388"/>
    <mergeCell ref="C390:K390"/>
    <mergeCell ref="C392:K392"/>
    <mergeCell ref="C394:K394"/>
    <mergeCell ref="E384:H384"/>
    <mergeCell ref="E385:H385"/>
    <mergeCell ref="E386:H386"/>
    <mergeCell ref="E387:H387"/>
    <mergeCell ref="E371:H371"/>
    <mergeCell ref="E381:H381"/>
    <mergeCell ref="E382:H382"/>
    <mergeCell ref="E383:H383"/>
    <mergeCell ref="E379:I379"/>
    <mergeCell ref="E380:I380"/>
    <mergeCell ref="E373:H373"/>
    <mergeCell ref="E374:H374"/>
    <mergeCell ref="E375:H375"/>
    <mergeCell ref="E376:H376"/>
    <mergeCell ref="C344:I344"/>
    <mergeCell ref="C345:I345"/>
    <mergeCell ref="C366:K367"/>
    <mergeCell ref="C347:I347"/>
    <mergeCell ref="C349:I349"/>
    <mergeCell ref="C350:K351"/>
    <mergeCell ref="C364:K365"/>
    <mergeCell ref="E368:I368"/>
    <mergeCell ref="E369:I369"/>
    <mergeCell ref="C338:K338"/>
    <mergeCell ref="C335:K336"/>
    <mergeCell ref="C340:I340"/>
    <mergeCell ref="C341:I341"/>
    <mergeCell ref="C324:K324"/>
    <mergeCell ref="C326:K328"/>
    <mergeCell ref="C330:K333"/>
    <mergeCell ref="C292:K296"/>
    <mergeCell ref="C298:K302"/>
    <mergeCell ref="C304:K308"/>
    <mergeCell ref="C316:K316"/>
    <mergeCell ref="D268:F268"/>
    <mergeCell ref="C219:K219"/>
    <mergeCell ref="C220:K220"/>
    <mergeCell ref="C202:K204"/>
    <mergeCell ref="C205:K207"/>
    <mergeCell ref="C208:K210"/>
    <mergeCell ref="C199:K199"/>
    <mergeCell ref="C200:K201"/>
    <mergeCell ref="C134:K135"/>
    <mergeCell ref="C137:K139"/>
    <mergeCell ref="C141:K143"/>
    <mergeCell ref="C165:K168"/>
    <mergeCell ref="C191:K196"/>
    <mergeCell ref="C197:K198"/>
    <mergeCell ref="C189:K190"/>
    <mergeCell ref="C26:K28"/>
    <mergeCell ref="C29:K29"/>
    <mergeCell ref="C30:K30"/>
    <mergeCell ref="C31:K31"/>
    <mergeCell ref="C126:K127"/>
    <mergeCell ref="C32:K32"/>
    <mergeCell ref="C34:K37"/>
    <mergeCell ref="C39:K43"/>
    <mergeCell ref="C45:K51"/>
    <mergeCell ref="C64:K64"/>
    <mergeCell ref="C16:K17"/>
    <mergeCell ref="C8:K9"/>
    <mergeCell ref="C11:K12"/>
    <mergeCell ref="C19:K24"/>
    <mergeCell ref="C14:K15"/>
    <mergeCell ref="C217:K217"/>
    <mergeCell ref="C211:K212"/>
    <mergeCell ref="C213:K215"/>
    <mergeCell ref="C128:K130"/>
    <mergeCell ref="C132:K133"/>
    <mergeCell ref="C218:K218"/>
    <mergeCell ref="C221:K221"/>
    <mergeCell ref="C342:I342"/>
    <mergeCell ref="C343:I343"/>
    <mergeCell ref="E370:H370"/>
    <mergeCell ref="C223:K229"/>
    <mergeCell ref="C231:K236"/>
    <mergeCell ref="C238:K240"/>
    <mergeCell ref="C242:K245"/>
    <mergeCell ref="C253:K257"/>
    <mergeCell ref="D266:F266"/>
    <mergeCell ref="D267:F267"/>
    <mergeCell ref="D264:F265"/>
    <mergeCell ref="G264:I265"/>
    <mergeCell ref="C273:K275"/>
    <mergeCell ref="C271:K271"/>
    <mergeCell ref="G267:I267"/>
    <mergeCell ref="G268:I268"/>
    <mergeCell ref="G269:I269"/>
    <mergeCell ref="G266:I266"/>
    <mergeCell ref="D269:F269"/>
    <mergeCell ref="C870:K870"/>
    <mergeCell ref="C902:K902"/>
    <mergeCell ref="C904:K907"/>
    <mergeCell ref="C909:K909"/>
    <mergeCell ref="C911:K912"/>
    <mergeCell ref="C277:K277"/>
    <mergeCell ref="C279:K283"/>
    <mergeCell ref="C285:K290"/>
    <mergeCell ref="C318:K322"/>
    <mergeCell ref="C933:K933"/>
    <mergeCell ref="C935:K935"/>
    <mergeCell ref="C937:K941"/>
    <mergeCell ref="C946:K948"/>
    <mergeCell ref="C950:K951"/>
    <mergeCell ref="C1036:F1036"/>
    <mergeCell ref="C972:K972"/>
    <mergeCell ref="C992:K992"/>
    <mergeCell ref="C1012:K1012"/>
    <mergeCell ref="C1014:K1015"/>
    <mergeCell ref="C1026:K1026"/>
    <mergeCell ref="C1027:K1028"/>
    <mergeCell ref="C1032:F1032"/>
    <mergeCell ref="C1033:F1033"/>
    <mergeCell ref="C1023:K1023"/>
    <mergeCell ref="C1024:K1025"/>
    <mergeCell ref="C1021:K1021"/>
    <mergeCell ref="C1022:K1022"/>
    <mergeCell ref="C1018:J1018"/>
    <mergeCell ref="C1042:F1042"/>
    <mergeCell ref="C1043:G1043"/>
    <mergeCell ref="C1044:F1044"/>
    <mergeCell ref="C1030:I1030"/>
    <mergeCell ref="C1031:I1031"/>
    <mergeCell ref="C1038:F1038"/>
    <mergeCell ref="C1040:F1040"/>
    <mergeCell ref="C1041:F1041"/>
    <mergeCell ref="C1034:F1034"/>
    <mergeCell ref="C1046:K1046"/>
    <mergeCell ref="C1048:K1050"/>
    <mergeCell ref="C1052:K1056"/>
    <mergeCell ref="C1058:K1061"/>
    <mergeCell ref="C1037:F1037"/>
    <mergeCell ref="C1063:K1065"/>
    <mergeCell ref="C1067:K1068"/>
    <mergeCell ref="C1227:K1232"/>
    <mergeCell ref="C1237:C1239"/>
    <mergeCell ref="I1075:I1076"/>
    <mergeCell ref="G1075:G1076"/>
    <mergeCell ref="H1075:H1076"/>
    <mergeCell ref="C1211:E1211"/>
    <mergeCell ref="C1212:E1212"/>
    <mergeCell ref="C1213:E1213"/>
    <mergeCell ref="C1081:I1082"/>
    <mergeCell ref="C1077:E1077"/>
    <mergeCell ref="C1089:E1089"/>
    <mergeCell ref="C1083:E1083"/>
    <mergeCell ref="C1084:E1084"/>
    <mergeCell ref="C1085:E1085"/>
    <mergeCell ref="C1080:E1080"/>
    <mergeCell ref="C1086:I1087"/>
    <mergeCell ref="F1083:F1085"/>
    <mergeCell ref="F1088:F1090"/>
    <mergeCell ref="F1101:F1102"/>
    <mergeCell ref="C1103:I1104"/>
    <mergeCell ref="C1095:I1096"/>
    <mergeCell ref="C1102:E1102"/>
    <mergeCell ref="C1101:E1101"/>
    <mergeCell ref="C1098:E1098"/>
    <mergeCell ref="C1099:I1100"/>
    <mergeCell ref="F1097:F1098"/>
    <mergeCell ref="C1073:D1074"/>
    <mergeCell ref="F1075:F1076"/>
    <mergeCell ref="C1078:E1078"/>
    <mergeCell ref="C1079:E1079"/>
    <mergeCell ref="F1074:H1074"/>
    <mergeCell ref="C1075:E1076"/>
    <mergeCell ref="F1077:F1078"/>
    <mergeCell ref="C1107:E1107"/>
    <mergeCell ref="C1214:E1214"/>
    <mergeCell ref="C1206:E1207"/>
    <mergeCell ref="C1129:K1129"/>
    <mergeCell ref="C1153:K1153"/>
    <mergeCell ref="C1173:K1173"/>
    <mergeCell ref="C1205:E1205"/>
    <mergeCell ref="C1200:K1203"/>
    <mergeCell ref="C1210:E1210"/>
    <mergeCell ref="C1209:E1209"/>
    <mergeCell ref="C1193:K1193"/>
    <mergeCell ref="C1093:E1093"/>
    <mergeCell ref="C1097:E1097"/>
    <mergeCell ref="C1088:E1088"/>
    <mergeCell ref="C1094:E1094"/>
    <mergeCell ref="C1091:I1092"/>
    <mergeCell ref="C1090:E1090"/>
    <mergeCell ref="F1093:F1094"/>
    <mergeCell ref="C1105:E1105"/>
    <mergeCell ref="C1106:E1106"/>
  </mergeCells>
  <phoneticPr fontId="0" type="noConversion"/>
  <conditionalFormatting sqref="I1075:I1076">
    <cfRule type="cellIs" dxfId="11" priority="1" stopIfTrue="1" operator="equal">
      <formula>$F$30</formula>
    </cfRule>
    <cfRule type="cellIs" dxfId="10" priority="2" stopIfTrue="1" operator="equal">
      <formula>$H$30</formula>
    </cfRule>
    <cfRule type="cellIs" dxfId="9" priority="3" stopIfTrue="1" operator="equal">
      <formula>$J$30</formula>
    </cfRule>
  </conditionalFormatting>
  <conditionalFormatting sqref="G1075:G1076 I1310:I1311">
    <cfRule type="cellIs" dxfId="8" priority="4" stopIfTrue="1" operator="equal">
      <formula>$CB$6</formula>
    </cfRule>
    <cfRule type="cellIs" dxfId="7" priority="5" stopIfTrue="1" operator="equal">
      <formula>$CF$33</formula>
    </cfRule>
    <cfRule type="cellIs" dxfId="6" priority="6" stopIfTrue="1" operator="equal">
      <formula>$CB$8</formula>
    </cfRule>
  </conditionalFormatting>
  <conditionalFormatting sqref="H1075:H1076 J1310:J1311 J1325">
    <cfRule type="cellIs" dxfId="5" priority="7" stopIfTrue="1" operator="equal">
      <formula>$CB$6</formula>
    </cfRule>
    <cfRule type="cellIs" dxfId="4" priority="8" stopIfTrue="1" operator="equal">
      <formula>$CB$7</formula>
    </cfRule>
    <cfRule type="cellIs" dxfId="3" priority="9" stopIfTrue="1" operator="equal">
      <formula>$CG$33</formula>
    </cfRule>
  </conditionalFormatting>
  <conditionalFormatting sqref="K1310:K1311">
    <cfRule type="cellIs" dxfId="2" priority="10" stopIfTrue="1" operator="equal">
      <formula>$F$31</formula>
    </cfRule>
    <cfRule type="cellIs" dxfId="1" priority="11" stopIfTrue="1" operator="equal">
      <formula>$H$31</formula>
    </cfRule>
    <cfRule type="cellIs" dxfId="0" priority="12" stopIfTrue="1" operator="equal">
      <formula>$J$31</formula>
    </cfRule>
  </conditionalFormatting>
  <pageMargins left="0.19685039370078741" right="0.19685039370078741" top="0.59055118110236227" bottom="0.19685039370078741" header="0.51181102362204722" footer="0.51181102362204722"/>
  <pageSetup paperSize="9" fitToHeight="25" orientation="portrait" r:id="rId1"/>
  <headerFooter alignWithMargins="0">
    <oddFooter>&amp;RPage &amp;P of &amp;N</oddFooter>
  </headerFooter>
  <drawing r:id="rId2"/>
  <legacyDrawing r:id="rId3"/>
</worksheet>
</file>

<file path=xl/worksheets/sheet6.xml><?xml version="1.0" encoding="utf-8"?>
<worksheet xmlns="http://schemas.openxmlformats.org/spreadsheetml/2006/main" xmlns:r="http://schemas.openxmlformats.org/officeDocument/2006/relationships">
  <sheetPr codeName="Sheet3">
    <pageSetUpPr autoPageBreaks="0"/>
  </sheetPr>
  <dimension ref="A1:M57"/>
  <sheetViews>
    <sheetView showRowColHeaders="0" topLeftCell="A12" workbookViewId="0">
      <selection activeCell="B2" sqref="B2:J3"/>
    </sheetView>
  </sheetViews>
  <sheetFormatPr defaultColWidth="10.7109375" defaultRowHeight="12.75"/>
  <cols>
    <col min="1" max="1" width="10.7109375" customWidth="1"/>
    <col min="2" max="10" width="11.7109375" customWidth="1"/>
  </cols>
  <sheetData>
    <row r="1" spans="1:13" ht="6" customHeight="1" thickBot="1">
      <c r="A1" s="114"/>
      <c r="B1" s="114"/>
      <c r="C1" s="114"/>
      <c r="D1" s="114"/>
      <c r="E1" s="114"/>
      <c r="F1" s="114"/>
      <c r="G1" s="114"/>
      <c r="H1" s="114"/>
      <c r="I1" s="114"/>
      <c r="J1" s="114"/>
      <c r="K1" s="114"/>
      <c r="L1" s="114"/>
      <c r="M1" s="114"/>
    </row>
    <row r="2" spans="1:13" ht="13.5" thickTop="1">
      <c r="A2" s="114"/>
      <c r="B2" s="753" t="s">
        <v>447</v>
      </c>
      <c r="C2" s="754"/>
      <c r="D2" s="754"/>
      <c r="E2" s="754"/>
      <c r="F2" s="754"/>
      <c r="G2" s="754"/>
      <c r="H2" s="754"/>
      <c r="I2" s="754"/>
      <c r="J2" s="755"/>
      <c r="K2" s="114"/>
      <c r="L2" s="114"/>
      <c r="M2" s="114"/>
    </row>
    <row r="3" spans="1:13" ht="13.5" thickBot="1">
      <c r="A3" s="114"/>
      <c r="B3" s="756"/>
      <c r="C3" s="757"/>
      <c r="D3" s="757"/>
      <c r="E3" s="757"/>
      <c r="F3" s="757"/>
      <c r="G3" s="757"/>
      <c r="H3" s="757"/>
      <c r="I3" s="757"/>
      <c r="J3" s="758"/>
      <c r="K3" s="114"/>
      <c r="L3" s="114"/>
      <c r="M3" s="114"/>
    </row>
    <row r="4" spans="1:13" ht="6" customHeight="1" thickTop="1" thickBot="1">
      <c r="A4" s="114"/>
      <c r="B4" s="114"/>
      <c r="C4" s="114"/>
      <c r="D4" s="114"/>
      <c r="E4" s="114"/>
      <c r="F4" s="114"/>
      <c r="G4" s="114"/>
      <c r="H4" s="114"/>
      <c r="I4" s="114"/>
      <c r="J4" s="114"/>
      <c r="K4" s="114"/>
      <c r="L4" s="114"/>
      <c r="M4" s="114"/>
    </row>
    <row r="5" spans="1:13" ht="13.5" thickTop="1">
      <c r="A5" s="114"/>
      <c r="B5" s="840" t="s">
        <v>243</v>
      </c>
      <c r="C5" s="841"/>
      <c r="D5" s="841"/>
      <c r="E5" s="841"/>
      <c r="F5" s="841"/>
      <c r="G5" s="841"/>
      <c r="H5" s="841"/>
      <c r="I5" s="841"/>
      <c r="J5" s="842"/>
      <c r="K5" s="114"/>
      <c r="L5" s="114"/>
      <c r="M5" s="114"/>
    </row>
    <row r="6" spans="1:13">
      <c r="A6" s="114"/>
      <c r="B6" s="834"/>
      <c r="C6" s="835"/>
      <c r="D6" s="835"/>
      <c r="E6" s="835"/>
      <c r="F6" s="835"/>
      <c r="G6" s="835"/>
      <c r="H6" s="835"/>
      <c r="I6" s="835"/>
      <c r="J6" s="836"/>
      <c r="K6" s="114"/>
      <c r="L6" s="114"/>
      <c r="M6" s="114"/>
    </row>
    <row r="7" spans="1:13">
      <c r="A7" s="114"/>
      <c r="B7" s="834"/>
      <c r="C7" s="835"/>
      <c r="D7" s="835"/>
      <c r="E7" s="835"/>
      <c r="F7" s="835"/>
      <c r="G7" s="835"/>
      <c r="H7" s="835"/>
      <c r="I7" s="835"/>
      <c r="J7" s="836"/>
      <c r="K7" s="114"/>
      <c r="L7" s="114"/>
      <c r="M7" s="114"/>
    </row>
    <row r="8" spans="1:13">
      <c r="A8" s="114"/>
      <c r="B8" s="834"/>
      <c r="C8" s="835"/>
      <c r="D8" s="835"/>
      <c r="E8" s="835"/>
      <c r="F8" s="835"/>
      <c r="G8" s="835"/>
      <c r="H8" s="835"/>
      <c r="I8" s="835"/>
      <c r="J8" s="836"/>
      <c r="K8" s="114"/>
      <c r="L8" s="114"/>
      <c r="M8" s="114"/>
    </row>
    <row r="9" spans="1:13">
      <c r="A9" s="114"/>
      <c r="B9" s="834"/>
      <c r="C9" s="835"/>
      <c r="D9" s="835"/>
      <c r="E9" s="835"/>
      <c r="F9" s="835"/>
      <c r="G9" s="835"/>
      <c r="H9" s="835"/>
      <c r="I9" s="835"/>
      <c r="J9" s="836"/>
      <c r="K9" s="114"/>
      <c r="L9" s="114"/>
      <c r="M9" s="114"/>
    </row>
    <row r="10" spans="1:13">
      <c r="A10" s="114"/>
      <c r="B10" s="843" t="s">
        <v>244</v>
      </c>
      <c r="C10" s="844"/>
      <c r="D10" s="844"/>
      <c r="E10" s="125"/>
      <c r="F10" s="125"/>
      <c r="G10" s="125"/>
      <c r="H10" s="125"/>
      <c r="I10" s="125"/>
      <c r="J10" s="126"/>
      <c r="K10" s="114"/>
      <c r="L10" s="114"/>
      <c r="M10" s="114"/>
    </row>
    <row r="11" spans="1:13">
      <c r="A11" s="114"/>
      <c r="B11" s="834" t="s">
        <v>732</v>
      </c>
      <c r="C11" s="835"/>
      <c r="D11" s="835"/>
      <c r="E11" s="835"/>
      <c r="F11" s="835"/>
      <c r="G11" s="835"/>
      <c r="H11" s="835"/>
      <c r="I11" s="835"/>
      <c r="J11" s="836"/>
      <c r="K11" s="114"/>
      <c r="L11" s="114"/>
      <c r="M11" s="114"/>
    </row>
    <row r="12" spans="1:13">
      <c r="A12" s="114"/>
      <c r="B12" s="834"/>
      <c r="C12" s="835"/>
      <c r="D12" s="835"/>
      <c r="E12" s="835"/>
      <c r="F12" s="835"/>
      <c r="G12" s="835"/>
      <c r="H12" s="835"/>
      <c r="I12" s="835"/>
      <c r="J12" s="836"/>
      <c r="K12" s="114"/>
      <c r="L12" s="114"/>
      <c r="M12" s="114"/>
    </row>
    <row r="13" spans="1:13">
      <c r="A13" s="114"/>
      <c r="B13" s="834"/>
      <c r="C13" s="835"/>
      <c r="D13" s="835"/>
      <c r="E13" s="835"/>
      <c r="F13" s="835"/>
      <c r="G13" s="835"/>
      <c r="H13" s="835"/>
      <c r="I13" s="835"/>
      <c r="J13" s="836"/>
      <c r="K13" s="114"/>
      <c r="L13" s="114"/>
      <c r="M13" s="114"/>
    </row>
    <row r="14" spans="1:13">
      <c r="A14" s="114"/>
      <c r="B14" s="834"/>
      <c r="C14" s="835"/>
      <c r="D14" s="835"/>
      <c r="E14" s="835"/>
      <c r="F14" s="835"/>
      <c r="G14" s="835"/>
      <c r="H14" s="835"/>
      <c r="I14" s="835"/>
      <c r="J14" s="836"/>
      <c r="K14" s="114"/>
      <c r="L14" s="114"/>
      <c r="M14" s="114"/>
    </row>
    <row r="15" spans="1:13">
      <c r="A15" s="114"/>
      <c r="B15" s="834"/>
      <c r="C15" s="835"/>
      <c r="D15" s="835"/>
      <c r="E15" s="835"/>
      <c r="F15" s="835"/>
      <c r="G15" s="835"/>
      <c r="H15" s="835"/>
      <c r="I15" s="835"/>
      <c r="J15" s="836"/>
      <c r="K15" s="114"/>
      <c r="L15" s="114"/>
      <c r="M15" s="114"/>
    </row>
    <row r="16" spans="1:13">
      <c r="A16" s="114"/>
      <c r="B16" s="834"/>
      <c r="C16" s="835"/>
      <c r="D16" s="835"/>
      <c r="E16" s="835"/>
      <c r="F16" s="835"/>
      <c r="G16" s="835"/>
      <c r="H16" s="835"/>
      <c r="I16" s="835"/>
      <c r="J16" s="836"/>
      <c r="K16" s="114"/>
      <c r="L16" s="114"/>
      <c r="M16" s="114"/>
    </row>
    <row r="17" spans="1:13">
      <c r="A17" s="114"/>
      <c r="B17" s="834" t="s">
        <v>733</v>
      </c>
      <c r="C17" s="835"/>
      <c r="D17" s="835"/>
      <c r="E17" s="835"/>
      <c r="F17" s="835"/>
      <c r="G17" s="835"/>
      <c r="H17" s="835"/>
      <c r="I17" s="835"/>
      <c r="J17" s="836"/>
      <c r="K17" s="114"/>
      <c r="L17" s="114"/>
      <c r="M17" s="114"/>
    </row>
    <row r="18" spans="1:13">
      <c r="A18" s="114"/>
      <c r="B18" s="834"/>
      <c r="C18" s="835"/>
      <c r="D18" s="835"/>
      <c r="E18" s="835"/>
      <c r="F18" s="835"/>
      <c r="G18" s="835"/>
      <c r="H18" s="835"/>
      <c r="I18" s="835"/>
      <c r="J18" s="836"/>
      <c r="K18" s="114"/>
      <c r="L18" s="114"/>
      <c r="M18" s="114"/>
    </row>
    <row r="19" spans="1:13">
      <c r="A19" s="114"/>
      <c r="B19" s="834"/>
      <c r="C19" s="835"/>
      <c r="D19" s="835"/>
      <c r="E19" s="835"/>
      <c r="F19" s="835"/>
      <c r="G19" s="835"/>
      <c r="H19" s="835"/>
      <c r="I19" s="835"/>
      <c r="J19" s="836"/>
      <c r="K19" s="114"/>
      <c r="L19" s="114"/>
      <c r="M19" s="114"/>
    </row>
    <row r="20" spans="1:13">
      <c r="A20" s="114"/>
      <c r="B20" s="834"/>
      <c r="C20" s="835"/>
      <c r="D20" s="835"/>
      <c r="E20" s="835"/>
      <c r="F20" s="835"/>
      <c r="G20" s="835"/>
      <c r="H20" s="835"/>
      <c r="I20" s="835"/>
      <c r="J20" s="836"/>
      <c r="K20" s="114"/>
      <c r="L20" s="114"/>
      <c r="M20" s="114"/>
    </row>
    <row r="21" spans="1:13">
      <c r="A21" s="114"/>
      <c r="B21" s="834"/>
      <c r="C21" s="835"/>
      <c r="D21" s="835"/>
      <c r="E21" s="835"/>
      <c r="F21" s="835"/>
      <c r="G21" s="835"/>
      <c r="H21" s="835"/>
      <c r="I21" s="835"/>
      <c r="J21" s="836"/>
      <c r="K21" s="114"/>
      <c r="L21" s="114"/>
      <c r="M21" s="114"/>
    </row>
    <row r="22" spans="1:13">
      <c r="A22" s="114"/>
      <c r="B22" s="834"/>
      <c r="C22" s="835"/>
      <c r="D22" s="835"/>
      <c r="E22" s="835"/>
      <c r="F22" s="835"/>
      <c r="G22" s="835"/>
      <c r="H22" s="835"/>
      <c r="I22" s="835"/>
      <c r="J22" s="836"/>
      <c r="K22" s="114"/>
      <c r="L22" s="114"/>
      <c r="M22" s="114"/>
    </row>
    <row r="23" spans="1:13">
      <c r="A23" s="114"/>
      <c r="B23" s="834"/>
      <c r="C23" s="835"/>
      <c r="D23" s="835"/>
      <c r="E23" s="835"/>
      <c r="F23" s="835"/>
      <c r="G23" s="835"/>
      <c r="H23" s="835"/>
      <c r="I23" s="835"/>
      <c r="J23" s="836"/>
      <c r="K23" s="114"/>
      <c r="L23" s="114"/>
      <c r="M23" s="114"/>
    </row>
    <row r="24" spans="1:13">
      <c r="A24" s="114"/>
      <c r="B24" s="122"/>
      <c r="C24" s="123"/>
      <c r="D24" s="123"/>
      <c r="E24" s="123"/>
      <c r="F24" s="123"/>
      <c r="G24" s="123"/>
      <c r="H24" s="123"/>
      <c r="I24" s="123"/>
      <c r="J24" s="124"/>
      <c r="K24" s="114"/>
      <c r="L24" s="114"/>
      <c r="M24" s="114"/>
    </row>
    <row r="25" spans="1:13">
      <c r="A25" s="114"/>
      <c r="B25" s="834" t="s">
        <v>736</v>
      </c>
      <c r="C25" s="835"/>
      <c r="D25" s="835"/>
      <c r="E25" s="835"/>
      <c r="F25" s="835"/>
      <c r="G25" s="835"/>
      <c r="H25" s="835"/>
      <c r="I25" s="835"/>
      <c r="J25" s="836"/>
      <c r="K25" s="114"/>
      <c r="L25" s="114"/>
      <c r="M25" s="114"/>
    </row>
    <row r="26" spans="1:13">
      <c r="A26" s="114"/>
      <c r="B26" s="834"/>
      <c r="C26" s="835"/>
      <c r="D26" s="835"/>
      <c r="E26" s="835"/>
      <c r="F26" s="835"/>
      <c r="G26" s="835"/>
      <c r="H26" s="835"/>
      <c r="I26" s="835"/>
      <c r="J26" s="836"/>
      <c r="K26" s="114"/>
      <c r="L26" s="114"/>
      <c r="M26" s="114"/>
    </row>
    <row r="27" spans="1:13">
      <c r="A27" s="114"/>
      <c r="B27" s="834"/>
      <c r="C27" s="835"/>
      <c r="D27" s="835"/>
      <c r="E27" s="835"/>
      <c r="F27" s="835"/>
      <c r="G27" s="835"/>
      <c r="H27" s="835"/>
      <c r="I27" s="835"/>
      <c r="J27" s="836"/>
      <c r="K27" s="114"/>
      <c r="L27" s="114"/>
      <c r="M27" s="114"/>
    </row>
    <row r="28" spans="1:13">
      <c r="A28" s="114"/>
      <c r="B28" s="834"/>
      <c r="C28" s="835"/>
      <c r="D28" s="835"/>
      <c r="E28" s="835"/>
      <c r="F28" s="835"/>
      <c r="G28" s="835"/>
      <c r="H28" s="835"/>
      <c r="I28" s="835"/>
      <c r="J28" s="836"/>
      <c r="K28" s="114"/>
      <c r="L28" s="114"/>
      <c r="M28" s="114"/>
    </row>
    <row r="29" spans="1:13">
      <c r="A29" s="114"/>
      <c r="B29" s="834"/>
      <c r="C29" s="835"/>
      <c r="D29" s="835"/>
      <c r="E29" s="835"/>
      <c r="F29" s="835"/>
      <c r="G29" s="835"/>
      <c r="H29" s="835"/>
      <c r="I29" s="835"/>
      <c r="J29" s="836"/>
      <c r="K29" s="114"/>
      <c r="L29" s="114"/>
      <c r="M29" s="114"/>
    </row>
    <row r="30" spans="1:13">
      <c r="A30" s="114"/>
      <c r="B30" s="834" t="s">
        <v>445</v>
      </c>
      <c r="C30" s="835"/>
      <c r="D30" s="835"/>
      <c r="E30" s="835"/>
      <c r="F30" s="835"/>
      <c r="G30" s="835"/>
      <c r="H30" s="835"/>
      <c r="I30" s="835"/>
      <c r="J30" s="836"/>
      <c r="K30" s="114"/>
      <c r="L30" s="114"/>
      <c r="M30" s="114"/>
    </row>
    <row r="31" spans="1:13">
      <c r="A31" s="114"/>
      <c r="B31" s="834"/>
      <c r="C31" s="835"/>
      <c r="D31" s="835"/>
      <c r="E31" s="835"/>
      <c r="F31" s="835"/>
      <c r="G31" s="835"/>
      <c r="H31" s="835"/>
      <c r="I31" s="835"/>
      <c r="J31" s="836"/>
      <c r="K31" s="114"/>
      <c r="L31" s="114"/>
      <c r="M31" s="114"/>
    </row>
    <row r="32" spans="1:13">
      <c r="A32" s="114"/>
      <c r="B32" s="834"/>
      <c r="C32" s="835"/>
      <c r="D32" s="835"/>
      <c r="E32" s="835"/>
      <c r="F32" s="835"/>
      <c r="G32" s="835"/>
      <c r="H32" s="835"/>
      <c r="I32" s="835"/>
      <c r="J32" s="836"/>
      <c r="K32" s="114"/>
      <c r="L32" s="114"/>
      <c r="M32" s="114"/>
    </row>
    <row r="33" spans="1:13">
      <c r="A33" s="114"/>
      <c r="B33" s="834"/>
      <c r="C33" s="835"/>
      <c r="D33" s="835"/>
      <c r="E33" s="835"/>
      <c r="F33" s="835"/>
      <c r="G33" s="835"/>
      <c r="H33" s="835"/>
      <c r="I33" s="835"/>
      <c r="J33" s="836"/>
      <c r="K33" s="114"/>
      <c r="L33" s="114"/>
      <c r="M33" s="114"/>
    </row>
    <row r="34" spans="1:13">
      <c r="A34" s="114"/>
      <c r="B34" s="834"/>
      <c r="C34" s="835"/>
      <c r="D34" s="835"/>
      <c r="E34" s="835"/>
      <c r="F34" s="835"/>
      <c r="G34" s="835"/>
      <c r="H34" s="835"/>
      <c r="I34" s="835"/>
      <c r="J34" s="836"/>
      <c r="K34" s="114"/>
      <c r="L34" s="114"/>
      <c r="M34" s="114"/>
    </row>
    <row r="35" spans="1:13">
      <c r="A35" s="114"/>
      <c r="B35" s="834"/>
      <c r="C35" s="835"/>
      <c r="D35" s="835"/>
      <c r="E35" s="835"/>
      <c r="F35" s="835"/>
      <c r="G35" s="835"/>
      <c r="H35" s="835"/>
      <c r="I35" s="835"/>
      <c r="J35" s="836"/>
      <c r="K35" s="114"/>
      <c r="L35" s="114"/>
      <c r="M35" s="114"/>
    </row>
    <row r="36" spans="1:13">
      <c r="A36" s="114"/>
      <c r="B36" s="834" t="s">
        <v>446</v>
      </c>
      <c r="C36" s="835"/>
      <c r="D36" s="835"/>
      <c r="E36" s="835"/>
      <c r="F36" s="835"/>
      <c r="G36" s="835"/>
      <c r="H36" s="835"/>
      <c r="I36" s="835"/>
      <c r="J36" s="836"/>
      <c r="K36" s="114"/>
      <c r="L36" s="114"/>
      <c r="M36" s="114"/>
    </row>
    <row r="37" spans="1:13">
      <c r="A37" s="114"/>
      <c r="B37" s="834"/>
      <c r="C37" s="835"/>
      <c r="D37" s="835"/>
      <c r="E37" s="835"/>
      <c r="F37" s="835"/>
      <c r="G37" s="835"/>
      <c r="H37" s="835"/>
      <c r="I37" s="835"/>
      <c r="J37" s="836"/>
      <c r="K37" s="114"/>
      <c r="L37" s="114"/>
      <c r="M37" s="114"/>
    </row>
    <row r="38" spans="1:13">
      <c r="A38" s="114"/>
      <c r="B38" s="834"/>
      <c r="C38" s="835"/>
      <c r="D38" s="835"/>
      <c r="E38" s="835"/>
      <c r="F38" s="835"/>
      <c r="G38" s="835"/>
      <c r="H38" s="835"/>
      <c r="I38" s="835"/>
      <c r="J38" s="836"/>
      <c r="K38" s="114"/>
      <c r="L38" s="114"/>
      <c r="M38" s="114"/>
    </row>
    <row r="39" spans="1:13">
      <c r="A39" s="114"/>
      <c r="B39" s="834"/>
      <c r="C39" s="835"/>
      <c r="D39" s="835"/>
      <c r="E39" s="835"/>
      <c r="F39" s="835"/>
      <c r="G39" s="835"/>
      <c r="H39" s="835"/>
      <c r="I39" s="835"/>
      <c r="J39" s="836"/>
      <c r="K39" s="114"/>
      <c r="L39" s="114"/>
      <c r="M39" s="114"/>
    </row>
    <row r="40" spans="1:13">
      <c r="A40" s="114"/>
      <c r="B40" s="834"/>
      <c r="C40" s="835"/>
      <c r="D40" s="835"/>
      <c r="E40" s="835"/>
      <c r="F40" s="835"/>
      <c r="G40" s="835"/>
      <c r="H40" s="835"/>
      <c r="I40" s="835"/>
      <c r="J40" s="836"/>
      <c r="K40" s="114"/>
      <c r="L40" s="114"/>
      <c r="M40" s="114"/>
    </row>
    <row r="41" spans="1:13" ht="13.5" thickBot="1">
      <c r="A41" s="114"/>
      <c r="B41" s="837"/>
      <c r="C41" s="838"/>
      <c r="D41" s="838"/>
      <c r="E41" s="838"/>
      <c r="F41" s="838"/>
      <c r="G41" s="838"/>
      <c r="H41" s="838"/>
      <c r="I41" s="838"/>
      <c r="J41" s="839"/>
      <c r="K41" s="114"/>
      <c r="L41" s="114"/>
      <c r="M41" s="114"/>
    </row>
    <row r="42" spans="1:13" ht="13.5" thickTop="1">
      <c r="A42" s="114"/>
      <c r="B42" s="114"/>
      <c r="C42" s="114"/>
      <c r="D42" s="114"/>
      <c r="E42" s="114"/>
      <c r="F42" s="114"/>
      <c r="G42" s="114"/>
      <c r="H42" s="114"/>
      <c r="I42" s="114"/>
      <c r="J42" s="114"/>
      <c r="K42" s="114"/>
      <c r="L42" s="114"/>
      <c r="M42" s="114"/>
    </row>
    <row r="43" spans="1:13">
      <c r="A43" s="114"/>
      <c r="B43" s="114"/>
      <c r="C43" s="114"/>
      <c r="D43" s="114"/>
      <c r="E43" s="114"/>
      <c r="F43" s="114"/>
      <c r="G43" s="114"/>
      <c r="H43" s="114"/>
      <c r="I43" s="114"/>
      <c r="J43" s="114"/>
      <c r="K43" s="114"/>
      <c r="L43" s="114"/>
      <c r="M43" s="114"/>
    </row>
    <row r="44" spans="1:13">
      <c r="A44" s="114"/>
      <c r="B44" s="114"/>
      <c r="C44" s="114"/>
      <c r="D44" s="114"/>
      <c r="E44" s="114"/>
      <c r="F44" s="114"/>
      <c r="G44" s="114"/>
      <c r="H44" s="114"/>
      <c r="I44" s="114"/>
      <c r="J44" s="114"/>
      <c r="K44" s="114"/>
      <c r="L44" s="114"/>
      <c r="M44" s="114"/>
    </row>
    <row r="45" spans="1:13">
      <c r="A45" s="114"/>
      <c r="B45" s="114"/>
      <c r="C45" s="114"/>
      <c r="D45" s="114"/>
      <c r="E45" s="114"/>
      <c r="F45" s="114"/>
      <c r="G45" s="114"/>
      <c r="H45" s="114"/>
      <c r="I45" s="114"/>
      <c r="J45" s="114"/>
      <c r="K45" s="114"/>
      <c r="L45" s="114"/>
      <c r="M45" s="114"/>
    </row>
    <row r="46" spans="1:13">
      <c r="A46" s="114"/>
      <c r="B46" s="114"/>
      <c r="C46" s="114"/>
      <c r="D46" s="114"/>
      <c r="E46" s="114"/>
      <c r="F46" s="114"/>
      <c r="G46" s="114"/>
      <c r="H46" s="114"/>
      <c r="I46" s="114"/>
      <c r="J46" s="114"/>
      <c r="K46" s="114"/>
      <c r="L46" s="114"/>
      <c r="M46" s="114"/>
    </row>
    <row r="47" spans="1:13">
      <c r="A47" s="114"/>
      <c r="B47" s="114"/>
      <c r="C47" s="114"/>
      <c r="D47" s="114"/>
      <c r="E47" s="114"/>
      <c r="F47" s="114"/>
      <c r="G47" s="114"/>
      <c r="H47" s="114"/>
      <c r="I47" s="114"/>
      <c r="J47" s="114"/>
      <c r="K47" s="114"/>
      <c r="L47" s="114"/>
      <c r="M47" s="114"/>
    </row>
    <row r="48" spans="1:13">
      <c r="A48" s="114"/>
      <c r="B48" s="114"/>
      <c r="C48" s="114"/>
      <c r="D48" s="114"/>
      <c r="E48" s="114"/>
      <c r="F48" s="114"/>
      <c r="G48" s="114"/>
      <c r="H48" s="114"/>
      <c r="I48" s="114"/>
      <c r="J48" s="114"/>
      <c r="K48" s="114"/>
      <c r="L48" s="114"/>
      <c r="M48" s="114"/>
    </row>
    <row r="49" spans="1:13">
      <c r="A49" s="114"/>
      <c r="B49" s="114"/>
      <c r="C49" s="114"/>
      <c r="D49" s="114"/>
      <c r="E49" s="114"/>
      <c r="F49" s="114"/>
      <c r="G49" s="114"/>
      <c r="H49" s="114"/>
      <c r="I49" s="114"/>
      <c r="J49" s="114"/>
      <c r="K49" s="114"/>
      <c r="L49" s="114"/>
      <c r="M49" s="114"/>
    </row>
    <row r="50" spans="1:13">
      <c r="A50" s="114"/>
      <c r="B50" s="114"/>
      <c r="C50" s="114"/>
      <c r="D50" s="114"/>
      <c r="E50" s="114"/>
      <c r="F50" s="114"/>
      <c r="G50" s="114"/>
      <c r="H50" s="114"/>
      <c r="I50" s="114"/>
      <c r="J50" s="114"/>
      <c r="K50" s="114"/>
      <c r="L50" s="114"/>
      <c r="M50" s="114"/>
    </row>
    <row r="51" spans="1:13">
      <c r="A51" s="114"/>
      <c r="B51" s="114"/>
      <c r="C51" s="114"/>
      <c r="D51" s="114"/>
      <c r="E51" s="114"/>
      <c r="F51" s="114"/>
      <c r="G51" s="114"/>
      <c r="H51" s="114"/>
      <c r="I51" s="114"/>
      <c r="J51" s="114"/>
      <c r="K51" s="114"/>
      <c r="L51" s="114"/>
      <c r="M51" s="114"/>
    </row>
    <row r="52" spans="1:13">
      <c r="A52" s="114"/>
      <c r="B52" s="114"/>
      <c r="C52" s="114"/>
      <c r="D52" s="114"/>
      <c r="E52" s="114"/>
      <c r="F52" s="114"/>
      <c r="G52" s="114"/>
      <c r="H52" s="114"/>
      <c r="I52" s="114"/>
      <c r="J52" s="114"/>
      <c r="K52" s="114"/>
      <c r="L52" s="114"/>
      <c r="M52" s="114"/>
    </row>
    <row r="53" spans="1:13">
      <c r="A53" s="114"/>
      <c r="B53" s="114"/>
      <c r="C53" s="114"/>
      <c r="D53" s="114"/>
      <c r="E53" s="114"/>
      <c r="F53" s="114"/>
      <c r="G53" s="114"/>
      <c r="H53" s="114"/>
      <c r="I53" s="114"/>
      <c r="J53" s="114"/>
      <c r="K53" s="114"/>
      <c r="L53" s="114"/>
      <c r="M53" s="114"/>
    </row>
    <row r="54" spans="1:13">
      <c r="A54" s="114"/>
      <c r="B54" s="114"/>
      <c r="C54" s="114"/>
      <c r="D54" s="114"/>
      <c r="E54" s="114"/>
      <c r="F54" s="114"/>
      <c r="G54" s="114"/>
      <c r="H54" s="114"/>
      <c r="I54" s="114"/>
      <c r="J54" s="114"/>
      <c r="K54" s="114"/>
      <c r="L54" s="114"/>
      <c r="M54" s="114"/>
    </row>
    <row r="55" spans="1:13">
      <c r="A55" s="114"/>
      <c r="B55" s="114"/>
      <c r="C55" s="114"/>
      <c r="D55" s="114"/>
      <c r="E55" s="114"/>
      <c r="F55" s="114"/>
      <c r="G55" s="114"/>
      <c r="H55" s="114"/>
      <c r="I55" s="114"/>
      <c r="J55" s="114"/>
      <c r="K55" s="114"/>
      <c r="L55" s="114"/>
      <c r="M55" s="114"/>
    </row>
    <row r="56" spans="1:13">
      <c r="A56" s="114"/>
      <c r="B56" s="114"/>
      <c r="C56" s="114"/>
      <c r="D56" s="114"/>
      <c r="E56" s="114"/>
      <c r="F56" s="114"/>
      <c r="G56" s="114"/>
      <c r="H56" s="114"/>
      <c r="I56" s="114"/>
      <c r="J56" s="114"/>
      <c r="K56" s="114"/>
      <c r="L56" s="114"/>
      <c r="M56" s="114"/>
    </row>
    <row r="57" spans="1:13">
      <c r="A57" s="114"/>
      <c r="B57" s="114"/>
      <c r="C57" s="114"/>
      <c r="D57" s="114"/>
      <c r="E57" s="114"/>
      <c r="F57" s="114"/>
      <c r="G57" s="114"/>
      <c r="H57" s="114"/>
      <c r="I57" s="114"/>
      <c r="J57" s="114"/>
      <c r="K57" s="114"/>
      <c r="L57" s="114"/>
      <c r="M57" s="114"/>
    </row>
  </sheetData>
  <mergeCells count="8">
    <mergeCell ref="B25:J29"/>
    <mergeCell ref="B30:J35"/>
    <mergeCell ref="B36:J41"/>
    <mergeCell ref="B2:J3"/>
    <mergeCell ref="B5:J9"/>
    <mergeCell ref="B11:J16"/>
    <mergeCell ref="B17:J23"/>
    <mergeCell ref="B10:D10"/>
  </mergeCells>
  <phoneticPr fontId="0" type="noConversion"/>
  <pageMargins left="0.19685039370078741" right="0.19685039370078741" top="0.59055118110236227" bottom="0.39370078740157483" header="0.51181102362204722" footer="0.51181102362204722"/>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sheetPr codeName="Sheet4">
    <pageSetUpPr autoPageBreaks="0"/>
  </sheetPr>
  <dimension ref="A1:O50"/>
  <sheetViews>
    <sheetView showRowColHeaders="0" workbookViewId="0">
      <selection activeCell="B2" sqref="B2:J3"/>
    </sheetView>
  </sheetViews>
  <sheetFormatPr defaultRowHeight="12.75"/>
  <cols>
    <col min="1" max="1" width="10.7109375" customWidth="1"/>
    <col min="2" max="10" width="11.7109375" customWidth="1"/>
  </cols>
  <sheetData>
    <row r="1" spans="1:15" ht="6" customHeight="1" thickBot="1">
      <c r="A1" s="114"/>
      <c r="B1" s="114"/>
      <c r="C1" s="114"/>
      <c r="D1" s="114"/>
      <c r="E1" s="114"/>
      <c r="F1" s="114"/>
      <c r="G1" s="114"/>
      <c r="H1" s="114"/>
      <c r="I1" s="114"/>
      <c r="J1" s="114"/>
      <c r="K1" s="114"/>
      <c r="L1" s="114"/>
      <c r="M1" s="114"/>
      <c r="N1" s="114"/>
      <c r="O1" s="114"/>
    </row>
    <row r="2" spans="1:15" ht="13.5" thickTop="1">
      <c r="A2" s="114"/>
      <c r="B2" s="753" t="s">
        <v>466</v>
      </c>
      <c r="C2" s="754"/>
      <c r="D2" s="754"/>
      <c r="E2" s="754"/>
      <c r="F2" s="754"/>
      <c r="G2" s="754"/>
      <c r="H2" s="754"/>
      <c r="I2" s="754"/>
      <c r="J2" s="755"/>
      <c r="K2" s="114"/>
      <c r="L2" s="114"/>
      <c r="M2" s="114"/>
      <c r="N2" s="114"/>
      <c r="O2" s="114"/>
    </row>
    <row r="3" spans="1:15" ht="13.5" thickBot="1">
      <c r="A3" s="114"/>
      <c r="B3" s="756"/>
      <c r="C3" s="757"/>
      <c r="D3" s="757"/>
      <c r="E3" s="757"/>
      <c r="F3" s="757"/>
      <c r="G3" s="757"/>
      <c r="H3" s="757"/>
      <c r="I3" s="757"/>
      <c r="J3" s="758"/>
      <c r="K3" s="114"/>
      <c r="L3" s="114"/>
      <c r="M3" s="114"/>
      <c r="N3" s="114"/>
      <c r="O3" s="114"/>
    </row>
    <row r="4" spans="1:15" ht="13.5" thickTop="1">
      <c r="A4" s="114"/>
      <c r="B4" s="114"/>
      <c r="C4" s="114"/>
      <c r="D4" s="114"/>
      <c r="E4" s="114"/>
      <c r="F4" s="114"/>
      <c r="G4" s="114"/>
      <c r="H4" s="114"/>
      <c r="I4" s="114"/>
      <c r="J4" s="114"/>
      <c r="K4" s="114"/>
      <c r="L4" s="114"/>
      <c r="M4" s="114"/>
      <c r="N4" s="114"/>
      <c r="O4" s="114"/>
    </row>
    <row r="5" spans="1:15">
      <c r="A5" s="114"/>
      <c r="B5" s="849" t="s">
        <v>853</v>
      </c>
      <c r="C5" s="850"/>
      <c r="D5" s="850"/>
      <c r="E5" s="850"/>
      <c r="F5" s="850"/>
      <c r="G5" s="850"/>
      <c r="H5" s="851"/>
      <c r="I5" s="848" t="s">
        <v>854</v>
      </c>
      <c r="J5" s="848"/>
      <c r="K5" s="114"/>
      <c r="L5" s="114"/>
      <c r="M5" s="114"/>
      <c r="N5" s="114"/>
      <c r="O5" s="114"/>
    </row>
    <row r="6" spans="1:15">
      <c r="A6" s="114"/>
      <c r="B6" s="855" t="s">
        <v>59</v>
      </c>
      <c r="C6" s="855"/>
      <c r="D6" s="855"/>
      <c r="E6" s="855"/>
      <c r="F6" s="855"/>
      <c r="G6" s="855"/>
      <c r="H6" s="855"/>
      <c r="I6" s="848">
        <v>0</v>
      </c>
      <c r="J6" s="848"/>
      <c r="K6" s="114"/>
      <c r="L6" s="114"/>
      <c r="M6" s="114"/>
      <c r="N6" s="114"/>
      <c r="O6" s="114"/>
    </row>
    <row r="7" spans="1:15">
      <c r="A7" s="114"/>
      <c r="B7" s="852" t="s">
        <v>192</v>
      </c>
      <c r="C7" s="853"/>
      <c r="D7" s="853"/>
      <c r="E7" s="853"/>
      <c r="F7" s="853"/>
      <c r="G7" s="853"/>
      <c r="H7" s="854"/>
      <c r="I7" s="848">
        <v>1</v>
      </c>
      <c r="J7" s="848"/>
      <c r="K7" s="114"/>
      <c r="L7" s="114"/>
      <c r="M7" s="114"/>
      <c r="N7" s="114"/>
      <c r="O7" s="114"/>
    </row>
    <row r="8" spans="1:15">
      <c r="A8" s="114"/>
      <c r="B8" s="852" t="s">
        <v>855</v>
      </c>
      <c r="C8" s="853"/>
      <c r="D8" s="853"/>
      <c r="E8" s="853"/>
      <c r="F8" s="853"/>
      <c r="G8" s="853"/>
      <c r="H8" s="854"/>
      <c r="I8" s="848">
        <v>2</v>
      </c>
      <c r="J8" s="848"/>
      <c r="K8" s="114"/>
      <c r="L8" s="114"/>
      <c r="M8" s="114"/>
      <c r="N8" s="114"/>
      <c r="O8" s="114"/>
    </row>
    <row r="9" spans="1:15">
      <c r="A9" s="114"/>
      <c r="B9" s="852" t="s">
        <v>856</v>
      </c>
      <c r="C9" s="853"/>
      <c r="D9" s="853"/>
      <c r="E9" s="853"/>
      <c r="F9" s="853"/>
      <c r="G9" s="853"/>
      <c r="H9" s="854"/>
      <c r="I9" s="848">
        <v>3</v>
      </c>
      <c r="J9" s="848"/>
      <c r="K9" s="114"/>
      <c r="L9" s="114"/>
      <c r="M9" s="114"/>
      <c r="N9" s="114"/>
      <c r="O9" s="114"/>
    </row>
    <row r="10" spans="1:15">
      <c r="A10" s="114"/>
      <c r="B10" s="852" t="s">
        <v>857</v>
      </c>
      <c r="C10" s="853"/>
      <c r="D10" s="853"/>
      <c r="E10" s="853"/>
      <c r="F10" s="853"/>
      <c r="G10" s="853"/>
      <c r="H10" s="854"/>
      <c r="I10" s="848">
        <v>4</v>
      </c>
      <c r="J10" s="848"/>
      <c r="K10" s="114"/>
      <c r="L10" s="114"/>
      <c r="M10" s="114"/>
      <c r="N10" s="114"/>
      <c r="O10" s="114"/>
    </row>
    <row r="11" spans="1:15">
      <c r="A11" s="114"/>
      <c r="B11" s="114"/>
      <c r="C11" s="114"/>
      <c r="D11" s="114"/>
      <c r="E11" s="114"/>
      <c r="F11" s="114"/>
      <c r="G11" s="114"/>
      <c r="H11" s="114"/>
      <c r="I11" s="114"/>
      <c r="J11" s="114"/>
      <c r="K11" s="114"/>
      <c r="L11" s="114"/>
      <c r="M11" s="114"/>
      <c r="N11" s="114"/>
      <c r="O11" s="114"/>
    </row>
    <row r="12" spans="1:15" ht="15">
      <c r="A12" s="114"/>
      <c r="B12" s="117"/>
      <c r="C12" s="118"/>
      <c r="D12" s="118"/>
      <c r="E12" s="118"/>
      <c r="F12" s="118"/>
      <c r="G12" s="118"/>
      <c r="H12" s="118"/>
      <c r="I12" s="119"/>
      <c r="J12" s="114"/>
      <c r="K12" s="114"/>
      <c r="L12" s="114"/>
      <c r="M12" s="114"/>
      <c r="N12" s="114"/>
      <c r="O12" s="114"/>
    </row>
    <row r="13" spans="1:15">
      <c r="A13" s="114"/>
      <c r="B13" s="852" t="s">
        <v>858</v>
      </c>
      <c r="C13" s="853"/>
      <c r="D13" s="853"/>
      <c r="E13" s="853"/>
      <c r="F13" s="853"/>
      <c r="G13" s="853"/>
      <c r="H13" s="854"/>
      <c r="I13" s="511">
        <f>B17</f>
        <v>3</v>
      </c>
      <c r="J13" s="121"/>
      <c r="K13" s="114"/>
      <c r="L13" s="114"/>
      <c r="M13" s="114"/>
      <c r="N13" s="114"/>
      <c r="O13" s="114"/>
    </row>
    <row r="14" spans="1:15">
      <c r="A14" s="114"/>
      <c r="B14" s="845" t="s">
        <v>884</v>
      </c>
      <c r="C14" s="846"/>
      <c r="D14" s="846"/>
      <c r="E14" s="846"/>
      <c r="F14" s="846"/>
      <c r="G14" s="846"/>
      <c r="H14" s="847"/>
      <c r="I14" s="512">
        <f>E17</f>
        <v>33</v>
      </c>
      <c r="J14" s="121"/>
      <c r="K14" s="114"/>
      <c r="L14" s="114"/>
      <c r="M14" s="114"/>
      <c r="N14" s="114"/>
      <c r="O14" s="114"/>
    </row>
    <row r="15" spans="1:15">
      <c r="A15" s="114"/>
      <c r="B15" s="845" t="s">
        <v>193</v>
      </c>
      <c r="C15" s="846"/>
      <c r="D15" s="846"/>
      <c r="E15" s="846"/>
      <c r="F15" s="846"/>
      <c r="G15" s="846"/>
      <c r="H15" s="847"/>
      <c r="I15" s="463">
        <f>IF(I13=1,20,IF(I13=2,((I14-7)*75%),IF(I13=3,((I14-7)*50%),IF(I13=4,((I14-7)*30%),IF(I13=0,0)))))</f>
        <v>13</v>
      </c>
      <c r="J15" s="121"/>
      <c r="K15" s="114"/>
      <c r="L15" s="114"/>
      <c r="M15" s="114"/>
      <c r="N15" s="114"/>
      <c r="O15" s="114"/>
    </row>
    <row r="16" spans="1:15">
      <c r="A16" s="114"/>
      <c r="B16" s="114"/>
      <c r="C16" s="114"/>
      <c r="D16" s="114"/>
      <c r="E16" s="114"/>
      <c r="F16" s="114"/>
      <c r="G16" s="114"/>
      <c r="H16" s="114"/>
      <c r="I16" s="120"/>
      <c r="J16" s="114"/>
      <c r="K16" s="114"/>
      <c r="L16" s="114"/>
      <c r="M16" s="114"/>
      <c r="N16" s="114"/>
      <c r="O16" s="114"/>
    </row>
    <row r="17" spans="1:15">
      <c r="A17" s="114"/>
      <c r="B17" s="513">
        <v>3</v>
      </c>
      <c r="C17" s="114"/>
      <c r="D17" s="114"/>
      <c r="E17" s="513">
        <v>33</v>
      </c>
      <c r="F17" s="114"/>
      <c r="G17" s="114"/>
      <c r="H17" s="114"/>
      <c r="I17" s="114"/>
      <c r="J17" s="114"/>
      <c r="K17" s="114"/>
      <c r="L17" s="114"/>
      <c r="M17" s="114"/>
      <c r="N17" s="114"/>
      <c r="O17" s="114"/>
    </row>
    <row r="18" spans="1:15">
      <c r="A18" s="114"/>
      <c r="B18" s="114"/>
      <c r="C18" s="114"/>
      <c r="D18" s="114"/>
      <c r="E18" s="114"/>
      <c r="F18" s="114"/>
      <c r="G18" s="114"/>
      <c r="H18" s="114"/>
      <c r="I18" s="114"/>
      <c r="J18" s="114"/>
      <c r="K18" s="114"/>
      <c r="L18" s="114"/>
      <c r="M18" s="114"/>
      <c r="N18" s="114"/>
      <c r="O18" s="114"/>
    </row>
    <row r="19" spans="1:15">
      <c r="A19" s="114"/>
      <c r="B19" s="114"/>
      <c r="C19" s="114"/>
      <c r="D19" s="114"/>
      <c r="E19" s="114"/>
      <c r="F19" s="114"/>
      <c r="G19" s="114"/>
      <c r="H19" s="114"/>
      <c r="I19" s="114"/>
      <c r="J19" s="114"/>
      <c r="K19" s="114"/>
      <c r="L19" s="114"/>
      <c r="M19" s="114"/>
      <c r="N19" s="114"/>
      <c r="O19" s="114"/>
    </row>
    <row r="20" spans="1:15">
      <c r="A20" s="114"/>
      <c r="B20" s="114"/>
      <c r="C20" s="114"/>
      <c r="D20" s="114"/>
      <c r="E20" s="114"/>
      <c r="F20" s="114"/>
      <c r="G20" s="114"/>
      <c r="H20" s="114"/>
      <c r="I20" s="114"/>
      <c r="J20" s="114"/>
      <c r="K20" s="114"/>
      <c r="L20" s="114"/>
      <c r="M20" s="114"/>
      <c r="N20" s="114"/>
      <c r="O20" s="114"/>
    </row>
    <row r="21" spans="1:15">
      <c r="A21" s="114"/>
      <c r="B21" s="114"/>
      <c r="C21" s="114"/>
      <c r="D21" s="114"/>
      <c r="E21" s="114"/>
      <c r="F21" s="114"/>
      <c r="G21" s="114"/>
      <c r="H21" s="114"/>
      <c r="I21" s="114"/>
      <c r="J21" s="114"/>
      <c r="K21" s="114"/>
      <c r="L21" s="114"/>
      <c r="M21" s="114"/>
      <c r="N21" s="114"/>
      <c r="O21" s="114"/>
    </row>
    <row r="22" spans="1:15">
      <c r="A22" s="114"/>
      <c r="B22" s="114"/>
      <c r="C22" s="114"/>
      <c r="D22" s="114"/>
      <c r="E22" s="114"/>
      <c r="F22" s="114"/>
      <c r="G22" s="114"/>
      <c r="H22" s="114"/>
      <c r="I22" s="114"/>
      <c r="J22" s="114"/>
      <c r="K22" s="114"/>
      <c r="L22" s="114"/>
      <c r="M22" s="114"/>
      <c r="N22" s="114"/>
      <c r="O22" s="114"/>
    </row>
    <row r="23" spans="1:15">
      <c r="A23" s="114"/>
      <c r="B23" s="114"/>
      <c r="C23" s="114"/>
      <c r="D23" s="114"/>
      <c r="E23" s="114"/>
      <c r="F23" s="114"/>
      <c r="G23" s="114"/>
      <c r="H23" s="114"/>
      <c r="I23" s="114"/>
      <c r="J23" s="114"/>
      <c r="K23" s="114"/>
      <c r="L23" s="114"/>
      <c r="M23" s="114"/>
      <c r="N23" s="114"/>
      <c r="O23" s="114"/>
    </row>
    <row r="24" spans="1:15">
      <c r="A24" s="114"/>
      <c r="B24" s="114"/>
      <c r="C24" s="114"/>
      <c r="D24" s="114"/>
      <c r="E24" s="114"/>
      <c r="F24" s="114"/>
      <c r="G24" s="114"/>
      <c r="H24" s="114"/>
      <c r="I24" s="114"/>
      <c r="J24" s="114"/>
      <c r="K24" s="114"/>
      <c r="L24" s="114"/>
      <c r="M24" s="114"/>
      <c r="N24" s="114"/>
      <c r="O24" s="114"/>
    </row>
    <row r="25" spans="1:15">
      <c r="A25" s="114"/>
      <c r="B25" s="114"/>
      <c r="C25" s="114"/>
      <c r="D25" s="114"/>
      <c r="E25" s="114"/>
      <c r="F25" s="114"/>
      <c r="G25" s="114"/>
      <c r="H25" s="114"/>
      <c r="I25" s="114"/>
      <c r="J25" s="114"/>
      <c r="K25" s="114"/>
      <c r="L25" s="114"/>
      <c r="M25" s="114"/>
      <c r="N25" s="114"/>
      <c r="O25" s="114"/>
    </row>
    <row r="26" spans="1:15">
      <c r="A26" s="114"/>
      <c r="B26" s="114"/>
      <c r="C26" s="114"/>
      <c r="D26" s="114"/>
      <c r="E26" s="114"/>
      <c r="F26" s="114"/>
      <c r="G26" s="114"/>
      <c r="H26" s="114"/>
      <c r="I26" s="114"/>
      <c r="J26" s="114"/>
      <c r="K26" s="114"/>
      <c r="L26" s="114"/>
      <c r="M26" s="114"/>
      <c r="N26" s="114"/>
      <c r="O26" s="114"/>
    </row>
    <row r="27" spans="1:15">
      <c r="A27" s="114"/>
      <c r="B27" s="114"/>
      <c r="C27" s="114"/>
      <c r="D27" s="114"/>
      <c r="E27" s="114"/>
      <c r="F27" s="114"/>
      <c r="G27" s="114"/>
      <c r="H27" s="114"/>
      <c r="I27" s="114"/>
      <c r="J27" s="114"/>
      <c r="K27" s="114"/>
      <c r="L27" s="114"/>
      <c r="M27" s="114"/>
      <c r="N27" s="114"/>
      <c r="O27" s="114"/>
    </row>
    <row r="28" spans="1:15">
      <c r="A28" s="114"/>
      <c r="B28" s="114"/>
      <c r="C28" s="114"/>
      <c r="D28" s="114"/>
      <c r="E28" s="114"/>
      <c r="F28" s="114"/>
      <c r="G28" s="114"/>
      <c r="H28" s="114"/>
      <c r="I28" s="114"/>
      <c r="J28" s="114"/>
      <c r="K28" s="114"/>
      <c r="L28" s="114"/>
      <c r="M28" s="114"/>
      <c r="N28" s="114"/>
      <c r="O28" s="114"/>
    </row>
    <row r="29" spans="1:15">
      <c r="A29" s="114"/>
      <c r="B29" s="114"/>
      <c r="C29" s="114"/>
      <c r="D29" s="114"/>
      <c r="E29" s="114"/>
      <c r="F29" s="114"/>
      <c r="G29" s="114"/>
      <c r="H29" s="114"/>
      <c r="I29" s="114"/>
      <c r="J29" s="114"/>
      <c r="K29" s="114"/>
      <c r="L29" s="114"/>
      <c r="M29" s="114"/>
      <c r="N29" s="114"/>
      <c r="O29" s="114"/>
    </row>
    <row r="30" spans="1:15">
      <c r="A30" s="114"/>
      <c r="B30" s="114"/>
      <c r="C30" s="114"/>
      <c r="D30" s="114"/>
      <c r="E30" s="114"/>
      <c r="F30" s="114"/>
      <c r="G30" s="114"/>
      <c r="H30" s="114"/>
      <c r="I30" s="114"/>
      <c r="J30" s="114"/>
      <c r="K30" s="114"/>
      <c r="L30" s="114"/>
      <c r="M30" s="114"/>
      <c r="N30" s="114"/>
      <c r="O30" s="114"/>
    </row>
    <row r="31" spans="1:15">
      <c r="A31" s="114"/>
      <c r="B31" s="114"/>
      <c r="C31" s="114"/>
      <c r="D31" s="114"/>
      <c r="E31" s="114"/>
      <c r="F31" s="114"/>
      <c r="G31" s="114"/>
      <c r="H31" s="114"/>
      <c r="I31" s="114"/>
      <c r="J31" s="114"/>
      <c r="K31" s="114"/>
      <c r="L31" s="114"/>
      <c r="M31" s="114"/>
      <c r="N31" s="114"/>
      <c r="O31" s="114"/>
    </row>
    <row r="32" spans="1:15">
      <c r="A32" s="114"/>
      <c r="B32" s="114"/>
      <c r="C32" s="114"/>
      <c r="D32" s="114"/>
      <c r="E32" s="114"/>
      <c r="F32" s="114"/>
      <c r="G32" s="114"/>
      <c r="H32" s="114"/>
      <c r="I32" s="114"/>
      <c r="J32" s="114"/>
      <c r="K32" s="114"/>
      <c r="L32" s="114"/>
      <c r="M32" s="114"/>
      <c r="N32" s="114"/>
      <c r="O32" s="114"/>
    </row>
    <row r="33" spans="1:15">
      <c r="A33" s="114"/>
      <c r="B33" s="114"/>
      <c r="C33" s="114"/>
      <c r="D33" s="114"/>
      <c r="E33" s="114"/>
      <c r="F33" s="114"/>
      <c r="G33" s="114"/>
      <c r="H33" s="114"/>
      <c r="I33" s="114"/>
      <c r="J33" s="114"/>
      <c r="K33" s="114"/>
      <c r="L33" s="114"/>
      <c r="M33" s="114"/>
      <c r="N33" s="114"/>
      <c r="O33" s="114"/>
    </row>
    <row r="34" spans="1:15">
      <c r="A34" s="114"/>
      <c r="B34" s="114"/>
      <c r="C34" s="114"/>
      <c r="D34" s="114"/>
      <c r="E34" s="114"/>
      <c r="F34" s="114"/>
      <c r="G34" s="114"/>
      <c r="H34" s="114"/>
      <c r="I34" s="114"/>
      <c r="J34" s="114"/>
      <c r="K34" s="114"/>
      <c r="L34" s="114"/>
      <c r="M34" s="114"/>
      <c r="N34" s="114"/>
      <c r="O34" s="114"/>
    </row>
    <row r="35" spans="1:15">
      <c r="A35" s="114"/>
      <c r="B35" s="114"/>
      <c r="C35" s="114"/>
      <c r="D35" s="114"/>
      <c r="E35" s="114"/>
      <c r="F35" s="114"/>
      <c r="G35" s="114"/>
      <c r="H35" s="114"/>
      <c r="I35" s="114"/>
      <c r="J35" s="114"/>
      <c r="K35" s="114"/>
      <c r="L35" s="114"/>
      <c r="M35" s="114"/>
      <c r="N35" s="114"/>
      <c r="O35" s="114"/>
    </row>
    <row r="36" spans="1:15">
      <c r="A36" s="114"/>
      <c r="B36" s="114"/>
      <c r="C36" s="114"/>
      <c r="D36" s="114"/>
      <c r="E36" s="114"/>
      <c r="F36" s="114"/>
      <c r="G36" s="114"/>
      <c r="H36" s="114"/>
      <c r="I36" s="114"/>
      <c r="J36" s="114"/>
      <c r="K36" s="114"/>
      <c r="L36" s="114"/>
      <c r="M36" s="114"/>
      <c r="N36" s="114"/>
      <c r="O36" s="114"/>
    </row>
    <row r="37" spans="1:15">
      <c r="A37" s="114"/>
      <c r="B37" s="114"/>
      <c r="C37" s="114"/>
      <c r="D37" s="114"/>
      <c r="E37" s="114"/>
      <c r="F37" s="114"/>
      <c r="G37" s="114"/>
      <c r="H37" s="114"/>
      <c r="I37" s="114"/>
      <c r="J37" s="114"/>
      <c r="K37" s="114"/>
      <c r="L37" s="114"/>
      <c r="M37" s="114"/>
      <c r="N37" s="114"/>
      <c r="O37" s="114"/>
    </row>
    <row r="38" spans="1:15">
      <c r="A38" s="114"/>
      <c r="B38" s="114"/>
      <c r="C38" s="114"/>
      <c r="D38" s="114"/>
      <c r="E38" s="114"/>
      <c r="F38" s="114"/>
      <c r="G38" s="114"/>
      <c r="H38" s="114"/>
      <c r="I38" s="114"/>
      <c r="J38" s="114"/>
      <c r="K38" s="114"/>
      <c r="L38" s="114"/>
      <c r="M38" s="114"/>
      <c r="N38" s="114"/>
      <c r="O38" s="114"/>
    </row>
    <row r="39" spans="1:15">
      <c r="A39" s="114"/>
      <c r="B39" s="114"/>
      <c r="C39" s="114"/>
      <c r="D39" s="114"/>
      <c r="E39" s="114"/>
      <c r="F39" s="114"/>
      <c r="G39" s="114"/>
      <c r="H39" s="114"/>
      <c r="I39" s="114"/>
      <c r="J39" s="114"/>
      <c r="K39" s="114"/>
      <c r="L39" s="114"/>
      <c r="M39" s="114"/>
      <c r="N39" s="114"/>
      <c r="O39" s="114"/>
    </row>
    <row r="40" spans="1:15">
      <c r="A40" s="114"/>
      <c r="B40" s="114"/>
      <c r="C40" s="114"/>
      <c r="D40" s="114"/>
      <c r="E40" s="114"/>
      <c r="F40" s="114"/>
      <c r="G40" s="114"/>
      <c r="H40" s="114"/>
      <c r="I40" s="114"/>
      <c r="J40" s="114"/>
      <c r="K40" s="114"/>
      <c r="L40" s="114"/>
      <c r="M40" s="114"/>
      <c r="N40" s="114"/>
      <c r="O40" s="114"/>
    </row>
    <row r="41" spans="1:15">
      <c r="A41" s="114"/>
      <c r="B41" s="114"/>
      <c r="C41" s="114"/>
      <c r="D41" s="114"/>
      <c r="E41" s="114"/>
      <c r="F41" s="114"/>
      <c r="G41" s="114"/>
      <c r="H41" s="114"/>
      <c r="I41" s="114"/>
      <c r="J41" s="114"/>
      <c r="K41" s="114"/>
      <c r="L41" s="114"/>
      <c r="M41" s="114"/>
      <c r="N41" s="114"/>
      <c r="O41" s="114"/>
    </row>
    <row r="42" spans="1:15">
      <c r="A42" s="114"/>
      <c r="B42" s="114"/>
      <c r="C42" s="114"/>
      <c r="D42" s="114"/>
      <c r="E42" s="114"/>
      <c r="F42" s="114"/>
      <c r="G42" s="114"/>
      <c r="H42" s="114"/>
      <c r="I42" s="114"/>
      <c r="J42" s="114"/>
      <c r="K42" s="114"/>
      <c r="L42" s="114"/>
      <c r="M42" s="114"/>
      <c r="N42" s="114"/>
      <c r="O42" s="114"/>
    </row>
    <row r="43" spans="1:15">
      <c r="A43" s="114"/>
      <c r="B43" s="114"/>
      <c r="C43" s="114"/>
      <c r="D43" s="114"/>
      <c r="E43" s="114"/>
      <c r="F43" s="114"/>
      <c r="G43" s="114"/>
      <c r="H43" s="114"/>
      <c r="I43" s="114"/>
      <c r="J43" s="114"/>
      <c r="K43" s="114"/>
      <c r="L43" s="114"/>
      <c r="M43" s="114"/>
      <c r="N43" s="114"/>
      <c r="O43" s="114"/>
    </row>
    <row r="44" spans="1:15">
      <c r="A44" s="114"/>
      <c r="B44" s="114"/>
      <c r="C44" s="114"/>
      <c r="D44" s="114"/>
      <c r="E44" s="114"/>
      <c r="F44" s="114"/>
      <c r="G44" s="114"/>
      <c r="H44" s="114"/>
      <c r="I44" s="114"/>
      <c r="J44" s="114"/>
      <c r="K44" s="114"/>
      <c r="L44" s="114"/>
      <c r="M44" s="114"/>
      <c r="N44" s="114"/>
      <c r="O44" s="114"/>
    </row>
    <row r="45" spans="1:15">
      <c r="A45" s="114"/>
      <c r="B45" s="114"/>
      <c r="C45" s="114"/>
      <c r="D45" s="114"/>
      <c r="E45" s="114"/>
      <c r="F45" s="114"/>
      <c r="G45" s="114"/>
      <c r="H45" s="114"/>
      <c r="I45" s="114"/>
      <c r="J45" s="114"/>
      <c r="K45" s="114"/>
      <c r="L45" s="114"/>
      <c r="M45" s="114"/>
      <c r="N45" s="114"/>
      <c r="O45" s="114"/>
    </row>
    <row r="46" spans="1:15">
      <c r="A46" s="114"/>
      <c r="B46" s="114"/>
      <c r="C46" s="114"/>
      <c r="D46" s="114"/>
      <c r="E46" s="114"/>
      <c r="F46" s="114"/>
      <c r="G46" s="114"/>
      <c r="H46" s="114"/>
      <c r="I46" s="114"/>
      <c r="J46" s="114"/>
      <c r="K46" s="114"/>
      <c r="L46" s="114"/>
      <c r="M46" s="114"/>
      <c r="N46" s="114"/>
      <c r="O46" s="114"/>
    </row>
    <row r="47" spans="1:15">
      <c r="A47" s="114"/>
      <c r="B47" s="114"/>
      <c r="C47" s="114"/>
      <c r="D47" s="114"/>
      <c r="E47" s="114"/>
      <c r="F47" s="114"/>
      <c r="G47" s="114"/>
      <c r="H47" s="114"/>
      <c r="I47" s="114"/>
      <c r="J47" s="114"/>
      <c r="K47" s="114"/>
      <c r="L47" s="114"/>
      <c r="M47" s="114"/>
      <c r="N47" s="114"/>
      <c r="O47" s="114"/>
    </row>
    <row r="48" spans="1:15">
      <c r="A48" s="114"/>
      <c r="B48" s="114"/>
      <c r="C48" s="114"/>
      <c r="D48" s="114"/>
      <c r="E48" s="114"/>
      <c r="F48" s="114"/>
      <c r="G48" s="114"/>
      <c r="H48" s="114"/>
      <c r="I48" s="114"/>
      <c r="J48" s="114"/>
      <c r="K48" s="114"/>
      <c r="L48" s="114"/>
      <c r="M48" s="114"/>
      <c r="N48" s="114"/>
      <c r="O48" s="114"/>
    </row>
    <row r="49" spans="1:15">
      <c r="A49" s="114"/>
      <c r="B49" s="114"/>
      <c r="C49" s="114"/>
      <c r="D49" s="114"/>
      <c r="E49" s="114"/>
      <c r="F49" s="114"/>
      <c r="G49" s="114"/>
      <c r="H49" s="114"/>
      <c r="I49" s="114"/>
      <c r="J49" s="114"/>
      <c r="K49" s="114"/>
      <c r="L49" s="114"/>
      <c r="M49" s="114"/>
      <c r="N49" s="114"/>
      <c r="O49" s="114"/>
    </row>
    <row r="50" spans="1:15">
      <c r="A50" s="114"/>
      <c r="B50" s="114"/>
      <c r="C50" s="114"/>
      <c r="D50" s="114"/>
      <c r="E50" s="114"/>
      <c r="F50" s="114"/>
      <c r="G50" s="114"/>
      <c r="H50" s="114"/>
      <c r="I50" s="114"/>
      <c r="J50" s="114"/>
      <c r="K50" s="114"/>
      <c r="L50" s="114"/>
      <c r="M50" s="114"/>
      <c r="N50" s="114"/>
      <c r="O50" s="114"/>
    </row>
  </sheetData>
  <mergeCells count="16">
    <mergeCell ref="B9:H9"/>
    <mergeCell ref="B7:H7"/>
    <mergeCell ref="B13:H13"/>
    <mergeCell ref="B2:J3"/>
    <mergeCell ref="B6:H6"/>
    <mergeCell ref="I6:J6"/>
    <mergeCell ref="B15:H15"/>
    <mergeCell ref="I5:J5"/>
    <mergeCell ref="I7:J7"/>
    <mergeCell ref="I8:J8"/>
    <mergeCell ref="I9:J9"/>
    <mergeCell ref="I10:J10"/>
    <mergeCell ref="B14:H14"/>
    <mergeCell ref="B5:H5"/>
    <mergeCell ref="B8:H8"/>
    <mergeCell ref="B10:H10"/>
  </mergeCells>
  <phoneticPr fontId="0" type="noConversion"/>
  <pageMargins left="0.19685039370078741" right="0.19685039370078741" top="0.59055118110236227" bottom="0.39370078740157483" header="0.51181102362204722" footer="0.51181102362204722"/>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sheetPr codeName="Sheet20">
    <pageSetUpPr autoPageBreaks="0"/>
  </sheetPr>
  <dimension ref="A1:N137"/>
  <sheetViews>
    <sheetView showGridLines="0" showRowColHeaders="0" topLeftCell="A103" workbookViewId="0">
      <selection activeCell="B2" sqref="B2:J3"/>
    </sheetView>
  </sheetViews>
  <sheetFormatPr defaultRowHeight="12.75"/>
  <cols>
    <col min="2" max="10" width="11.7109375" customWidth="1"/>
  </cols>
  <sheetData>
    <row r="1" spans="1:14" ht="13.5" thickBot="1">
      <c r="A1" s="114"/>
      <c r="B1" s="114"/>
      <c r="C1" s="114"/>
      <c r="D1" s="114"/>
      <c r="E1" s="114"/>
      <c r="F1" s="114"/>
      <c r="G1" s="114"/>
      <c r="H1" s="114"/>
      <c r="I1" s="114"/>
      <c r="J1" s="114"/>
      <c r="K1" s="114"/>
      <c r="L1" s="114"/>
      <c r="M1" s="114"/>
      <c r="N1" s="114"/>
    </row>
    <row r="2" spans="1:14" ht="13.5" thickTop="1">
      <c r="A2" s="114"/>
      <c r="B2" s="753" t="s">
        <v>41</v>
      </c>
      <c r="C2" s="754"/>
      <c r="D2" s="754"/>
      <c r="E2" s="754"/>
      <c r="F2" s="754"/>
      <c r="G2" s="754"/>
      <c r="H2" s="754"/>
      <c r="I2" s="754"/>
      <c r="J2" s="755"/>
      <c r="K2" s="114"/>
      <c r="L2" s="114"/>
      <c r="M2" s="114"/>
      <c r="N2" s="114"/>
    </row>
    <row r="3" spans="1:14" ht="13.5" thickBot="1">
      <c r="A3" s="114"/>
      <c r="B3" s="756"/>
      <c r="C3" s="757"/>
      <c r="D3" s="757"/>
      <c r="E3" s="757"/>
      <c r="F3" s="757"/>
      <c r="G3" s="757"/>
      <c r="H3" s="757"/>
      <c r="I3" s="757"/>
      <c r="J3" s="758"/>
      <c r="K3" s="114"/>
      <c r="L3" s="114"/>
      <c r="M3" s="114"/>
      <c r="N3" s="114"/>
    </row>
    <row r="4" spans="1:14" ht="13.5" thickTop="1">
      <c r="A4" s="114"/>
      <c r="B4" s="114"/>
      <c r="C4" s="114"/>
      <c r="D4" s="114"/>
      <c r="E4" s="114"/>
      <c r="F4" s="114"/>
      <c r="G4" s="114"/>
      <c r="H4" s="114"/>
      <c r="I4" s="114"/>
      <c r="J4" s="114"/>
      <c r="K4" s="114"/>
      <c r="L4" s="114"/>
      <c r="M4" s="114"/>
      <c r="N4" s="114"/>
    </row>
    <row r="5" spans="1:14">
      <c r="A5" s="114"/>
      <c r="B5" s="114"/>
      <c r="C5" s="114"/>
      <c r="D5" s="114"/>
      <c r="E5" s="114"/>
      <c r="F5" s="114"/>
      <c r="G5" s="114"/>
      <c r="H5" s="114"/>
      <c r="I5" s="114"/>
      <c r="J5" s="114"/>
      <c r="K5" s="114"/>
      <c r="L5" s="114"/>
      <c r="M5" s="114"/>
      <c r="N5" s="114"/>
    </row>
    <row r="6" spans="1:14">
      <c r="A6" s="114"/>
      <c r="B6" s="114"/>
      <c r="C6" s="114"/>
      <c r="D6" s="114"/>
      <c r="E6" s="114"/>
      <c r="F6" s="114"/>
      <c r="G6" s="114"/>
      <c r="H6" s="114"/>
      <c r="I6" s="114"/>
      <c r="J6" s="114"/>
      <c r="K6" s="114"/>
      <c r="L6" s="114"/>
      <c r="M6" s="114"/>
      <c r="N6" s="114"/>
    </row>
    <row r="7" spans="1:14">
      <c r="A7" s="114"/>
      <c r="B7" s="114"/>
      <c r="C7" s="114"/>
      <c r="D7" s="114"/>
      <c r="E7" s="114"/>
      <c r="F7" s="114"/>
      <c r="G7" s="114"/>
      <c r="H7" s="114"/>
      <c r="I7" s="114"/>
      <c r="J7" s="114"/>
      <c r="K7" s="114"/>
      <c r="L7" s="114"/>
      <c r="M7" s="114"/>
      <c r="N7" s="114"/>
    </row>
    <row r="8" spans="1:14">
      <c r="A8" s="114"/>
      <c r="B8" s="114"/>
      <c r="C8" s="114"/>
      <c r="D8" s="114"/>
      <c r="E8" s="114"/>
      <c r="F8" s="114"/>
      <c r="G8" s="114"/>
      <c r="H8" s="114"/>
      <c r="I8" s="114"/>
      <c r="J8" s="114"/>
      <c r="K8" s="114"/>
      <c r="L8" s="114"/>
      <c r="M8" s="114"/>
      <c r="N8" s="114"/>
    </row>
    <row r="9" spans="1:14">
      <c r="A9" s="114"/>
      <c r="B9" s="114"/>
      <c r="C9" s="114"/>
      <c r="D9" s="114"/>
      <c r="E9" s="114"/>
      <c r="F9" s="114"/>
      <c r="G9" s="114"/>
      <c r="H9" s="114"/>
      <c r="I9" s="114"/>
      <c r="J9" s="114"/>
      <c r="K9" s="114"/>
      <c r="L9" s="114"/>
      <c r="M9" s="114"/>
      <c r="N9" s="114"/>
    </row>
    <row r="10" spans="1:14">
      <c r="A10" s="114"/>
      <c r="B10" s="114"/>
      <c r="C10" s="114"/>
      <c r="D10" s="114"/>
      <c r="E10" s="114"/>
      <c r="F10" s="114"/>
      <c r="G10" s="114"/>
      <c r="H10" s="114"/>
      <c r="I10" s="114"/>
      <c r="J10" s="114"/>
      <c r="K10" s="114"/>
      <c r="L10" s="114"/>
      <c r="M10" s="114"/>
      <c r="N10" s="114"/>
    </row>
    <row r="11" spans="1:14">
      <c r="A11" s="114"/>
      <c r="B11" s="114"/>
      <c r="C11" s="114"/>
      <c r="D11" s="114"/>
      <c r="E11" s="114"/>
      <c r="F11" s="114"/>
      <c r="G11" s="114"/>
      <c r="H11" s="114"/>
      <c r="I11" s="114"/>
      <c r="J11" s="114"/>
      <c r="K11" s="114"/>
      <c r="L11" s="114"/>
      <c r="M11" s="114"/>
      <c r="N11" s="114"/>
    </row>
    <row r="12" spans="1:14">
      <c r="A12" s="114"/>
      <c r="B12" s="114"/>
      <c r="C12" s="114"/>
      <c r="D12" s="114"/>
      <c r="E12" s="114"/>
      <c r="F12" s="114"/>
      <c r="G12" s="114"/>
      <c r="H12" s="114"/>
      <c r="I12" s="114"/>
      <c r="J12" s="114"/>
      <c r="K12" s="114"/>
      <c r="L12" s="114"/>
      <c r="M12" s="114"/>
      <c r="N12" s="114"/>
    </row>
    <row r="13" spans="1:14">
      <c r="A13" s="114"/>
      <c r="B13" s="114"/>
      <c r="C13" s="114"/>
      <c r="D13" s="114"/>
      <c r="E13" s="114"/>
      <c r="F13" s="114"/>
      <c r="G13" s="114"/>
      <c r="H13" s="114"/>
      <c r="I13" s="114"/>
      <c r="J13" s="114"/>
      <c r="K13" s="114"/>
      <c r="L13" s="114"/>
      <c r="M13" s="114"/>
      <c r="N13" s="114"/>
    </row>
    <row r="14" spans="1:14">
      <c r="A14" s="114"/>
      <c r="B14" s="114"/>
      <c r="C14" s="114"/>
      <c r="D14" s="114"/>
      <c r="E14" s="114"/>
      <c r="F14" s="114"/>
      <c r="G14" s="114"/>
      <c r="H14" s="114"/>
      <c r="I14" s="114"/>
      <c r="J14" s="114"/>
      <c r="K14" s="114"/>
      <c r="L14" s="114"/>
      <c r="M14" s="114"/>
      <c r="N14" s="114"/>
    </row>
    <row r="15" spans="1:14">
      <c r="A15" s="114"/>
      <c r="B15" s="114"/>
      <c r="C15" s="114"/>
      <c r="D15" s="114"/>
      <c r="E15" s="114"/>
      <c r="F15" s="114"/>
      <c r="G15" s="114"/>
      <c r="H15" s="114"/>
      <c r="I15" s="114"/>
      <c r="J15" s="114"/>
      <c r="K15" s="114"/>
      <c r="L15" s="114"/>
      <c r="M15" s="114"/>
      <c r="N15" s="114"/>
    </row>
    <row r="16" spans="1:14">
      <c r="A16" s="114"/>
      <c r="B16" s="114"/>
      <c r="C16" s="114"/>
      <c r="D16" s="114"/>
      <c r="E16" s="114"/>
      <c r="F16" s="114"/>
      <c r="G16" s="114"/>
      <c r="H16" s="114"/>
      <c r="I16" s="114"/>
      <c r="J16" s="114"/>
      <c r="K16" s="114"/>
      <c r="L16" s="114"/>
      <c r="M16" s="114"/>
      <c r="N16" s="114"/>
    </row>
    <row r="17" spans="1:14">
      <c r="A17" s="114"/>
      <c r="B17" s="114"/>
      <c r="C17" s="114"/>
      <c r="D17" s="114"/>
      <c r="E17" s="114"/>
      <c r="F17" s="114"/>
      <c r="G17" s="114"/>
      <c r="H17" s="114"/>
      <c r="I17" s="114"/>
      <c r="J17" s="114"/>
      <c r="K17" s="114"/>
      <c r="L17" s="114"/>
      <c r="M17" s="114"/>
      <c r="N17" s="114"/>
    </row>
    <row r="18" spans="1:14" ht="15" customHeight="1">
      <c r="A18" s="290" t="s">
        <v>32</v>
      </c>
      <c r="B18" s="291" t="s">
        <v>36</v>
      </c>
      <c r="C18" s="114"/>
      <c r="D18" s="114"/>
      <c r="E18" s="114"/>
      <c r="F18" s="114"/>
      <c r="G18" s="114"/>
      <c r="H18" s="114"/>
      <c r="I18" s="114"/>
      <c r="J18" s="114"/>
      <c r="K18" s="114"/>
      <c r="L18" s="114"/>
      <c r="M18" s="114"/>
      <c r="N18" s="114"/>
    </row>
    <row r="19" spans="1:14" ht="15" customHeight="1">
      <c r="A19" s="292"/>
      <c r="B19" s="856" t="s">
        <v>82</v>
      </c>
      <c r="C19" s="856"/>
      <c r="D19" s="856"/>
      <c r="E19" s="856"/>
      <c r="F19" s="856"/>
      <c r="G19" s="856"/>
      <c r="H19" s="856"/>
      <c r="I19" s="856"/>
      <c r="J19" s="114"/>
      <c r="K19" s="114"/>
      <c r="L19" s="114"/>
      <c r="M19" s="114"/>
      <c r="N19" s="114"/>
    </row>
    <row r="20" spans="1:14" ht="15" customHeight="1">
      <c r="A20" s="292"/>
      <c r="B20" s="856"/>
      <c r="C20" s="856"/>
      <c r="D20" s="856"/>
      <c r="E20" s="856"/>
      <c r="F20" s="856"/>
      <c r="G20" s="856"/>
      <c r="H20" s="856"/>
      <c r="I20" s="856"/>
      <c r="J20" s="114"/>
      <c r="K20" s="114"/>
      <c r="L20" s="114"/>
      <c r="M20" s="114"/>
      <c r="N20" s="114"/>
    </row>
    <row r="21" spans="1:14" ht="15" customHeight="1">
      <c r="A21" s="292"/>
      <c r="B21" s="114"/>
      <c r="C21" s="114"/>
      <c r="D21" s="114"/>
      <c r="E21" s="114"/>
      <c r="F21" s="114"/>
      <c r="G21" s="114"/>
      <c r="H21" s="114"/>
      <c r="I21" s="114"/>
      <c r="J21" s="114"/>
      <c r="K21" s="114"/>
      <c r="L21" s="114"/>
      <c r="M21" s="114"/>
      <c r="N21" s="114"/>
    </row>
    <row r="22" spans="1:14" ht="15" customHeight="1">
      <c r="A22" s="290" t="s">
        <v>33</v>
      </c>
      <c r="B22" s="293" t="s">
        <v>84</v>
      </c>
      <c r="C22" s="114"/>
      <c r="D22" s="114"/>
      <c r="E22" s="114"/>
      <c r="F22" s="114"/>
      <c r="G22" s="114"/>
      <c r="H22" s="114"/>
      <c r="I22" s="114"/>
      <c r="J22" s="114"/>
      <c r="K22" s="114"/>
      <c r="L22" s="114"/>
      <c r="M22" s="114"/>
      <c r="N22" s="114"/>
    </row>
    <row r="23" spans="1:14" ht="15" customHeight="1">
      <c r="A23" s="292"/>
      <c r="B23" s="860" t="s">
        <v>360</v>
      </c>
      <c r="C23" s="860"/>
      <c r="D23" s="860"/>
      <c r="E23" s="862" t="s">
        <v>357</v>
      </c>
      <c r="F23" s="862"/>
      <c r="G23" s="862"/>
      <c r="H23" s="114"/>
      <c r="I23" s="114"/>
      <c r="J23" s="114"/>
      <c r="K23" s="114"/>
      <c r="L23" s="114"/>
      <c r="M23" s="114"/>
      <c r="N23" s="114"/>
    </row>
    <row r="24" spans="1:14" ht="15" customHeight="1">
      <c r="A24" s="292"/>
      <c r="B24" s="867" t="s">
        <v>361</v>
      </c>
      <c r="C24" s="867"/>
      <c r="D24" s="867"/>
      <c r="E24" s="859" t="s">
        <v>358</v>
      </c>
      <c r="F24" s="859"/>
      <c r="G24" s="859"/>
      <c r="H24" s="114"/>
      <c r="I24" s="114"/>
      <c r="J24" s="114"/>
      <c r="K24" s="114"/>
      <c r="L24" s="114"/>
      <c r="M24" s="114"/>
      <c r="N24" s="114"/>
    </row>
    <row r="25" spans="1:14" ht="15" customHeight="1">
      <c r="A25" s="292"/>
      <c r="B25" s="867" t="s">
        <v>362</v>
      </c>
      <c r="C25" s="867"/>
      <c r="D25" s="867"/>
      <c r="E25" s="859" t="s">
        <v>359</v>
      </c>
      <c r="F25" s="859"/>
      <c r="G25" s="859"/>
      <c r="H25" s="114"/>
      <c r="I25" s="114"/>
      <c r="J25" s="114"/>
      <c r="K25" s="114"/>
      <c r="L25" s="114"/>
      <c r="M25" s="114"/>
      <c r="N25" s="114"/>
    </row>
    <row r="26" spans="1:14" ht="15" customHeight="1">
      <c r="A26" s="292"/>
      <c r="B26" s="867" t="s">
        <v>363</v>
      </c>
      <c r="C26" s="867"/>
      <c r="D26" s="867"/>
      <c r="E26" s="859" t="s">
        <v>359</v>
      </c>
      <c r="F26" s="859"/>
      <c r="G26" s="859"/>
      <c r="H26" s="114"/>
      <c r="I26" s="114"/>
      <c r="J26" s="114"/>
      <c r="K26" s="114"/>
      <c r="L26" s="114"/>
      <c r="M26" s="114"/>
      <c r="N26" s="114"/>
    </row>
    <row r="27" spans="1:14" ht="15" customHeight="1">
      <c r="A27" s="292"/>
      <c r="B27" s="867" t="s">
        <v>365</v>
      </c>
      <c r="C27" s="867"/>
      <c r="D27" s="867"/>
      <c r="E27" s="859" t="s">
        <v>364</v>
      </c>
      <c r="F27" s="859"/>
      <c r="G27" s="859"/>
      <c r="H27" s="114"/>
      <c r="I27" s="114"/>
      <c r="J27" s="114"/>
      <c r="K27" s="114"/>
      <c r="L27" s="114"/>
      <c r="M27" s="114"/>
      <c r="N27" s="114"/>
    </row>
    <row r="28" spans="1:14" ht="15" customHeight="1">
      <c r="A28" s="292"/>
      <c r="B28" s="867" t="s">
        <v>372</v>
      </c>
      <c r="C28" s="867"/>
      <c r="D28" s="867"/>
      <c r="E28" s="859" t="s">
        <v>366</v>
      </c>
      <c r="F28" s="859"/>
      <c r="G28" s="859"/>
      <c r="H28" s="114"/>
      <c r="I28" s="114"/>
      <c r="J28" s="114"/>
      <c r="K28" s="114"/>
      <c r="L28" s="114"/>
      <c r="M28" s="114"/>
      <c r="N28" s="114"/>
    </row>
    <row r="29" spans="1:14" ht="15" customHeight="1">
      <c r="A29" s="292"/>
      <c r="B29" s="867" t="s">
        <v>684</v>
      </c>
      <c r="C29" s="867"/>
      <c r="D29" s="867"/>
      <c r="E29" s="859" t="s">
        <v>367</v>
      </c>
      <c r="F29" s="859"/>
      <c r="G29" s="859"/>
      <c r="H29" s="114"/>
      <c r="I29" s="114"/>
      <c r="J29" s="114"/>
      <c r="K29" s="114"/>
      <c r="L29" s="114"/>
      <c r="M29" s="114"/>
      <c r="N29" s="114"/>
    </row>
    <row r="30" spans="1:14" ht="15" customHeight="1">
      <c r="A30" s="292"/>
      <c r="B30" s="867" t="s">
        <v>685</v>
      </c>
      <c r="C30" s="867"/>
      <c r="D30" s="867"/>
      <c r="E30" s="859" t="s">
        <v>368</v>
      </c>
      <c r="F30" s="859"/>
      <c r="G30" s="859"/>
      <c r="H30" s="114"/>
      <c r="I30" s="114"/>
      <c r="J30" s="114"/>
      <c r="K30" s="114"/>
      <c r="L30" s="114"/>
      <c r="M30" s="114"/>
      <c r="N30" s="114"/>
    </row>
    <row r="31" spans="1:14" ht="15" customHeight="1">
      <c r="A31" s="292"/>
      <c r="B31" s="867" t="s">
        <v>686</v>
      </c>
      <c r="C31" s="867"/>
      <c r="D31" s="867"/>
      <c r="E31" s="859" t="s">
        <v>369</v>
      </c>
      <c r="F31" s="859"/>
      <c r="G31" s="859"/>
      <c r="H31" s="114"/>
      <c r="I31" s="114"/>
      <c r="J31" s="114"/>
      <c r="K31" s="114"/>
      <c r="L31" s="114"/>
      <c r="M31" s="114"/>
      <c r="N31" s="114"/>
    </row>
    <row r="32" spans="1:14" ht="15" customHeight="1">
      <c r="A32" s="292"/>
      <c r="B32" s="867" t="s">
        <v>404</v>
      </c>
      <c r="C32" s="867"/>
      <c r="D32" s="867"/>
      <c r="E32" s="859" t="s">
        <v>370</v>
      </c>
      <c r="F32" s="859"/>
      <c r="G32" s="859"/>
      <c r="H32" s="114"/>
      <c r="I32" s="114"/>
      <c r="J32" s="114"/>
      <c r="K32" s="114"/>
      <c r="L32" s="114"/>
      <c r="M32" s="114"/>
      <c r="N32" s="114"/>
    </row>
    <row r="33" spans="1:14" ht="15" customHeight="1">
      <c r="A33" s="292"/>
      <c r="B33" s="867" t="s">
        <v>405</v>
      </c>
      <c r="C33" s="867"/>
      <c r="D33" s="867"/>
      <c r="E33" s="859" t="s">
        <v>370</v>
      </c>
      <c r="F33" s="859"/>
      <c r="G33" s="859"/>
      <c r="H33" s="114"/>
      <c r="I33" s="114"/>
      <c r="J33" s="114"/>
      <c r="K33" s="114"/>
      <c r="L33" s="114"/>
      <c r="M33" s="114"/>
      <c r="N33" s="114"/>
    </row>
    <row r="34" spans="1:14" ht="15" customHeight="1">
      <c r="A34" s="292"/>
      <c r="B34" s="869" t="s">
        <v>173</v>
      </c>
      <c r="C34" s="869"/>
      <c r="D34" s="869"/>
      <c r="E34" s="868"/>
      <c r="F34" s="868"/>
      <c r="G34" s="868"/>
      <c r="H34" s="114"/>
      <c r="I34" s="114"/>
      <c r="J34" s="114"/>
      <c r="K34" s="114"/>
      <c r="L34" s="114"/>
      <c r="M34" s="114"/>
      <c r="N34" s="114"/>
    </row>
    <row r="35" spans="1:14" ht="15" customHeight="1">
      <c r="A35" s="292"/>
      <c r="B35" s="860" t="s">
        <v>174</v>
      </c>
      <c r="C35" s="860"/>
      <c r="D35" s="860"/>
      <c r="E35" s="862" t="s">
        <v>371</v>
      </c>
      <c r="F35" s="862"/>
      <c r="G35" s="862"/>
      <c r="H35" s="114"/>
      <c r="I35" s="114"/>
      <c r="J35" s="114"/>
      <c r="K35" s="114"/>
      <c r="L35" s="114"/>
      <c r="M35" s="114"/>
      <c r="N35" s="114"/>
    </row>
    <row r="36" spans="1:14" ht="15" customHeight="1">
      <c r="A36" s="292"/>
      <c r="B36" s="860" t="s">
        <v>83</v>
      </c>
      <c r="C36" s="860"/>
      <c r="D36" s="860"/>
      <c r="E36" s="871"/>
      <c r="F36" s="871"/>
      <c r="G36" s="871"/>
      <c r="H36" s="114"/>
      <c r="I36" s="114"/>
      <c r="J36" s="114"/>
      <c r="K36" s="114"/>
      <c r="L36" s="114"/>
      <c r="M36" s="114"/>
      <c r="N36" s="114"/>
    </row>
    <row r="37" spans="1:14" ht="15" customHeight="1">
      <c r="A37" s="292"/>
      <c r="B37" s="114"/>
      <c r="C37" s="114"/>
      <c r="D37" s="114"/>
      <c r="E37" s="114"/>
      <c r="F37" s="114"/>
      <c r="G37" s="114"/>
      <c r="H37" s="114"/>
      <c r="I37" s="114"/>
      <c r="J37" s="114"/>
      <c r="K37" s="114"/>
      <c r="L37" s="114"/>
      <c r="M37" s="114"/>
      <c r="N37" s="114"/>
    </row>
    <row r="38" spans="1:14" ht="15" customHeight="1">
      <c r="A38" s="290" t="s">
        <v>817</v>
      </c>
      <c r="B38" s="294" t="s">
        <v>85</v>
      </c>
      <c r="C38" s="114"/>
      <c r="D38" s="114"/>
      <c r="E38" s="114"/>
      <c r="F38" s="114"/>
      <c r="G38" s="114"/>
      <c r="H38" s="114"/>
      <c r="I38" s="114"/>
      <c r="J38" s="114"/>
      <c r="K38" s="114"/>
      <c r="L38" s="114"/>
      <c r="M38" s="114"/>
      <c r="N38" s="114"/>
    </row>
    <row r="39" spans="1:14" ht="15" customHeight="1">
      <c r="A39" s="292"/>
      <c r="B39" s="873" t="s">
        <v>423</v>
      </c>
      <c r="C39" s="873"/>
      <c r="D39" s="873"/>
      <c r="E39" s="862" t="s">
        <v>406</v>
      </c>
      <c r="F39" s="862"/>
      <c r="G39" s="862"/>
      <c r="H39" s="114"/>
      <c r="I39" s="114"/>
      <c r="J39" s="114"/>
      <c r="K39" s="114"/>
      <c r="L39" s="114"/>
      <c r="M39" s="114"/>
      <c r="N39" s="114"/>
    </row>
    <row r="40" spans="1:14" ht="15" customHeight="1">
      <c r="A40" s="292"/>
      <c r="B40" s="874" t="s">
        <v>742</v>
      </c>
      <c r="C40" s="874"/>
      <c r="D40" s="874"/>
      <c r="E40" s="859" t="s">
        <v>407</v>
      </c>
      <c r="F40" s="859"/>
      <c r="G40" s="859"/>
      <c r="H40" s="114"/>
      <c r="I40" s="114"/>
      <c r="J40" s="114"/>
      <c r="K40" s="114"/>
      <c r="L40" s="114"/>
      <c r="M40" s="114"/>
      <c r="N40" s="114"/>
    </row>
    <row r="41" spans="1:14" ht="15" customHeight="1">
      <c r="A41" s="292"/>
      <c r="B41" s="874" t="s">
        <v>743</v>
      </c>
      <c r="C41" s="874"/>
      <c r="D41" s="874"/>
      <c r="E41" s="859" t="s">
        <v>408</v>
      </c>
      <c r="F41" s="859"/>
      <c r="G41" s="859"/>
      <c r="H41" s="114"/>
      <c r="I41" s="114"/>
      <c r="J41" s="114"/>
      <c r="K41" s="114"/>
      <c r="L41" s="114"/>
      <c r="M41" s="114"/>
      <c r="N41" s="114"/>
    </row>
    <row r="42" spans="1:14" ht="15" customHeight="1">
      <c r="A42" s="292"/>
      <c r="B42" s="874" t="s">
        <v>744</v>
      </c>
      <c r="C42" s="874"/>
      <c r="D42" s="874"/>
      <c r="E42" s="859" t="s">
        <v>409</v>
      </c>
      <c r="F42" s="859"/>
      <c r="G42" s="859"/>
      <c r="H42" s="114"/>
      <c r="I42" s="114"/>
      <c r="J42" s="114"/>
      <c r="K42" s="114"/>
      <c r="L42" s="114"/>
      <c r="M42" s="114"/>
      <c r="N42" s="114"/>
    </row>
    <row r="43" spans="1:14" ht="15" customHeight="1">
      <c r="A43" s="292"/>
      <c r="B43" s="872" t="s">
        <v>86</v>
      </c>
      <c r="C43" s="872"/>
      <c r="D43" s="872"/>
      <c r="E43" s="870"/>
      <c r="F43" s="870"/>
      <c r="G43" s="870"/>
      <c r="H43" s="114"/>
      <c r="I43" s="114"/>
      <c r="J43" s="114"/>
      <c r="K43" s="114"/>
      <c r="L43" s="114"/>
      <c r="M43" s="114"/>
      <c r="N43" s="114"/>
    </row>
    <row r="44" spans="1:14" ht="15" customHeight="1">
      <c r="A44" s="292"/>
      <c r="B44" s="872" t="s">
        <v>746</v>
      </c>
      <c r="C44" s="872"/>
      <c r="D44" s="872"/>
      <c r="E44" s="870" t="s">
        <v>410</v>
      </c>
      <c r="F44" s="870"/>
      <c r="G44" s="870"/>
      <c r="H44" s="114"/>
      <c r="I44" s="114"/>
      <c r="J44" s="114"/>
      <c r="K44" s="114"/>
      <c r="L44" s="114"/>
      <c r="M44" s="114"/>
      <c r="N44" s="114"/>
    </row>
    <row r="45" spans="1:14" ht="15" customHeight="1">
      <c r="A45" s="292"/>
      <c r="B45" s="873" t="s">
        <v>747</v>
      </c>
      <c r="C45" s="873"/>
      <c r="D45" s="873"/>
      <c r="E45" s="862" t="s">
        <v>411</v>
      </c>
      <c r="F45" s="862"/>
      <c r="G45" s="862"/>
      <c r="H45" s="114"/>
      <c r="I45" s="114"/>
      <c r="J45" s="114"/>
      <c r="K45" s="114"/>
      <c r="L45" s="114"/>
      <c r="M45" s="114"/>
      <c r="N45" s="114"/>
    </row>
    <row r="46" spans="1:14" ht="15" customHeight="1">
      <c r="A46" s="292"/>
      <c r="B46" s="874" t="s">
        <v>745</v>
      </c>
      <c r="C46" s="874"/>
      <c r="D46" s="874"/>
      <c r="E46" s="859" t="s">
        <v>412</v>
      </c>
      <c r="F46" s="859"/>
      <c r="G46" s="859"/>
      <c r="H46" s="114"/>
      <c r="I46" s="114"/>
      <c r="J46" s="114"/>
      <c r="K46" s="114"/>
      <c r="L46" s="114"/>
      <c r="M46" s="114"/>
      <c r="N46" s="114"/>
    </row>
    <row r="47" spans="1:14" ht="15" customHeight="1">
      <c r="A47" s="292"/>
      <c r="B47" s="872" t="s">
        <v>87</v>
      </c>
      <c r="C47" s="872"/>
      <c r="D47" s="872"/>
      <c r="E47" s="870"/>
      <c r="F47" s="870"/>
      <c r="G47" s="870"/>
      <c r="H47" s="114"/>
      <c r="I47" s="114"/>
      <c r="J47" s="114"/>
      <c r="K47" s="114"/>
      <c r="L47" s="114"/>
      <c r="M47" s="114"/>
      <c r="N47" s="114"/>
    </row>
    <row r="48" spans="1:14" ht="15" customHeight="1">
      <c r="A48" s="292"/>
      <c r="B48" s="872" t="s">
        <v>746</v>
      </c>
      <c r="C48" s="872"/>
      <c r="D48" s="872"/>
      <c r="E48" s="870" t="s">
        <v>413</v>
      </c>
      <c r="F48" s="870"/>
      <c r="G48" s="870"/>
      <c r="H48" s="114"/>
      <c r="I48" s="114"/>
      <c r="J48" s="114"/>
      <c r="K48" s="114"/>
      <c r="L48" s="114"/>
      <c r="M48" s="114"/>
      <c r="N48" s="114"/>
    </row>
    <row r="49" spans="1:14" ht="15" customHeight="1">
      <c r="A49" s="292"/>
      <c r="B49" s="873" t="s">
        <v>747</v>
      </c>
      <c r="C49" s="873"/>
      <c r="D49" s="873"/>
      <c r="E49" s="862" t="s">
        <v>414</v>
      </c>
      <c r="F49" s="862"/>
      <c r="G49" s="862"/>
      <c r="H49" s="114"/>
      <c r="I49" s="114"/>
      <c r="J49" s="114"/>
      <c r="K49" s="114"/>
      <c r="L49" s="114"/>
      <c r="M49" s="114"/>
      <c r="N49" s="114"/>
    </row>
    <row r="50" spans="1:14" ht="15" customHeight="1">
      <c r="A50" s="292"/>
      <c r="B50" s="874" t="s">
        <v>748</v>
      </c>
      <c r="C50" s="874"/>
      <c r="D50" s="874"/>
      <c r="E50" s="859" t="s">
        <v>415</v>
      </c>
      <c r="F50" s="859"/>
      <c r="G50" s="859"/>
      <c r="H50" s="114"/>
      <c r="I50" s="114"/>
      <c r="J50" s="114"/>
      <c r="K50" s="114"/>
      <c r="L50" s="114"/>
      <c r="M50" s="114"/>
      <c r="N50" s="114"/>
    </row>
    <row r="51" spans="1:14" ht="15" customHeight="1">
      <c r="A51" s="292"/>
      <c r="B51" s="874" t="s">
        <v>749</v>
      </c>
      <c r="C51" s="874"/>
      <c r="D51" s="874"/>
      <c r="E51" s="859" t="s">
        <v>416</v>
      </c>
      <c r="F51" s="859"/>
      <c r="G51" s="859"/>
      <c r="H51" s="114"/>
      <c r="I51" s="114"/>
      <c r="J51" s="114"/>
      <c r="K51" s="114"/>
      <c r="L51" s="114"/>
      <c r="M51" s="114"/>
      <c r="N51" s="114"/>
    </row>
    <row r="52" spans="1:14" ht="15" customHeight="1">
      <c r="A52" s="292"/>
      <c r="B52" s="874" t="s">
        <v>750</v>
      </c>
      <c r="C52" s="874"/>
      <c r="D52" s="874"/>
      <c r="E52" s="859" t="s">
        <v>417</v>
      </c>
      <c r="F52" s="859"/>
      <c r="G52" s="859"/>
      <c r="H52" s="114"/>
      <c r="I52" s="114"/>
      <c r="J52" s="114"/>
      <c r="K52" s="114"/>
      <c r="L52" s="114"/>
      <c r="M52" s="114"/>
      <c r="N52" s="114"/>
    </row>
    <row r="53" spans="1:14" ht="15" customHeight="1">
      <c r="A53" s="292"/>
      <c r="B53" s="874" t="s">
        <v>751</v>
      </c>
      <c r="C53" s="874"/>
      <c r="D53" s="874"/>
      <c r="E53" s="859" t="s">
        <v>418</v>
      </c>
      <c r="F53" s="859"/>
      <c r="G53" s="859"/>
      <c r="H53" s="114"/>
      <c r="I53" s="114"/>
      <c r="J53" s="114"/>
      <c r="K53" s="114"/>
      <c r="L53" s="114"/>
      <c r="M53" s="114"/>
      <c r="N53" s="114"/>
    </row>
    <row r="54" spans="1:14" ht="15" customHeight="1">
      <c r="A54" s="292"/>
      <c r="B54" s="863" t="s">
        <v>421</v>
      </c>
      <c r="C54" s="863"/>
      <c r="D54" s="863"/>
      <c r="E54" s="875" t="s">
        <v>176</v>
      </c>
      <c r="F54" s="875"/>
      <c r="G54" s="875"/>
      <c r="H54" s="114"/>
      <c r="I54" s="114"/>
      <c r="J54" s="114"/>
      <c r="K54" s="114"/>
      <c r="L54" s="114"/>
      <c r="M54" s="114"/>
      <c r="N54" s="114"/>
    </row>
    <row r="55" spans="1:14" ht="15" customHeight="1">
      <c r="A55" s="292"/>
      <c r="B55" s="864"/>
      <c r="C55" s="864"/>
      <c r="D55" s="864"/>
      <c r="E55" s="876"/>
      <c r="F55" s="876"/>
      <c r="G55" s="876"/>
      <c r="H55" s="114"/>
      <c r="I55" s="114"/>
      <c r="J55" s="114"/>
      <c r="K55" s="114"/>
      <c r="L55" s="114"/>
      <c r="M55" s="114"/>
      <c r="N55" s="114"/>
    </row>
    <row r="56" spans="1:14" ht="15" customHeight="1">
      <c r="A56" s="292"/>
      <c r="B56" s="874" t="s">
        <v>169</v>
      </c>
      <c r="C56" s="874"/>
      <c r="D56" s="874"/>
      <c r="E56" s="859" t="s">
        <v>419</v>
      </c>
      <c r="F56" s="859"/>
      <c r="G56" s="859"/>
      <c r="H56" s="114"/>
      <c r="I56" s="114"/>
      <c r="J56" s="114"/>
      <c r="K56" s="114"/>
      <c r="L56" s="114"/>
      <c r="M56" s="114"/>
      <c r="N56" s="114"/>
    </row>
    <row r="57" spans="1:14" ht="15" customHeight="1">
      <c r="A57" s="292"/>
      <c r="B57" s="865" t="s">
        <v>422</v>
      </c>
      <c r="C57" s="865"/>
      <c r="D57" s="865"/>
      <c r="E57" s="877" t="s">
        <v>420</v>
      </c>
      <c r="F57" s="877"/>
      <c r="G57" s="877"/>
      <c r="H57" s="114"/>
      <c r="I57" s="114"/>
      <c r="J57" s="114"/>
      <c r="K57" s="114"/>
      <c r="L57" s="114"/>
      <c r="M57" s="114"/>
      <c r="N57" s="114"/>
    </row>
    <row r="58" spans="1:14" ht="15" customHeight="1">
      <c r="A58" s="292"/>
      <c r="B58" s="866"/>
      <c r="C58" s="866"/>
      <c r="D58" s="866"/>
      <c r="E58" s="862"/>
      <c r="F58" s="862"/>
      <c r="G58" s="862"/>
      <c r="H58" s="114"/>
      <c r="I58" s="114"/>
      <c r="J58" s="114"/>
      <c r="K58" s="114"/>
      <c r="L58" s="114"/>
      <c r="M58" s="114"/>
      <c r="N58" s="114"/>
    </row>
    <row r="59" spans="1:14" ht="15" customHeight="1">
      <c r="A59" s="292"/>
      <c r="B59" s="881" t="s">
        <v>170</v>
      </c>
      <c r="C59" s="881"/>
      <c r="D59" s="881"/>
      <c r="E59" s="877" t="s">
        <v>171</v>
      </c>
      <c r="F59" s="877"/>
      <c r="G59" s="877"/>
      <c r="H59" s="114"/>
      <c r="I59" s="114"/>
      <c r="J59" s="114"/>
      <c r="K59" s="114"/>
      <c r="L59" s="114"/>
      <c r="M59" s="114"/>
      <c r="N59" s="114"/>
    </row>
    <row r="60" spans="1:14" ht="15" customHeight="1">
      <c r="A60" s="292"/>
      <c r="B60" s="882"/>
      <c r="C60" s="882"/>
      <c r="D60" s="882"/>
      <c r="E60" s="862" t="s">
        <v>172</v>
      </c>
      <c r="F60" s="862"/>
      <c r="G60" s="862"/>
      <c r="H60" s="114"/>
      <c r="I60" s="114"/>
      <c r="J60" s="114"/>
      <c r="K60" s="114"/>
      <c r="L60" s="114"/>
      <c r="M60" s="114"/>
      <c r="N60" s="114"/>
    </row>
    <row r="61" spans="1:14" ht="15" customHeight="1">
      <c r="A61" s="292"/>
      <c r="B61" s="295" t="s">
        <v>88</v>
      </c>
      <c r="C61" s="296"/>
      <c r="D61" s="114"/>
      <c r="E61" s="114"/>
      <c r="F61" s="114"/>
      <c r="G61" s="114"/>
      <c r="H61" s="114"/>
      <c r="I61" s="114"/>
      <c r="J61" s="114"/>
      <c r="K61" s="114"/>
      <c r="L61" s="114"/>
      <c r="M61" s="114"/>
      <c r="N61" s="114"/>
    </row>
    <row r="62" spans="1:14" ht="15" customHeight="1">
      <c r="A62" s="292"/>
      <c r="B62" s="879" t="s">
        <v>89</v>
      </c>
      <c r="C62" s="879"/>
      <c r="D62" s="879"/>
      <c r="E62" s="883" t="s">
        <v>90</v>
      </c>
      <c r="F62" s="883"/>
      <c r="G62" s="883"/>
      <c r="H62" s="114"/>
      <c r="I62" s="114"/>
      <c r="J62" s="114"/>
      <c r="K62" s="114"/>
      <c r="L62" s="114"/>
      <c r="M62" s="114"/>
      <c r="N62" s="114"/>
    </row>
    <row r="63" spans="1:14" ht="15" customHeight="1">
      <c r="A63" s="292"/>
      <c r="B63" s="880" t="s">
        <v>91</v>
      </c>
      <c r="C63" s="880"/>
      <c r="D63" s="880"/>
      <c r="E63" s="878" t="s">
        <v>92</v>
      </c>
      <c r="F63" s="878"/>
      <c r="G63" s="878"/>
      <c r="H63" s="114"/>
      <c r="I63" s="114"/>
      <c r="J63" s="114"/>
      <c r="K63" s="114"/>
      <c r="L63" s="114"/>
      <c r="M63" s="114"/>
      <c r="N63" s="114"/>
    </row>
    <row r="64" spans="1:14" ht="15" customHeight="1">
      <c r="A64" s="292"/>
      <c r="B64" s="880" t="s">
        <v>93</v>
      </c>
      <c r="C64" s="880"/>
      <c r="D64" s="880"/>
      <c r="E64" s="878" t="s">
        <v>94</v>
      </c>
      <c r="F64" s="878"/>
      <c r="G64" s="878"/>
      <c r="H64" s="114"/>
      <c r="I64" s="114"/>
      <c r="J64" s="114"/>
      <c r="K64" s="114"/>
      <c r="L64" s="114"/>
      <c r="M64" s="114"/>
      <c r="N64" s="114"/>
    </row>
    <row r="65" spans="1:14" ht="15" customHeight="1">
      <c r="A65" s="292"/>
      <c r="B65" s="297"/>
      <c r="C65" s="297"/>
      <c r="D65" s="297"/>
      <c r="E65" s="298"/>
      <c r="F65" s="298"/>
      <c r="G65" s="298"/>
      <c r="H65" s="114"/>
      <c r="I65" s="114"/>
      <c r="J65" s="114"/>
      <c r="K65" s="114"/>
      <c r="L65" s="114"/>
      <c r="M65" s="114"/>
      <c r="N65" s="114"/>
    </row>
    <row r="66" spans="1:14" ht="15" customHeight="1">
      <c r="A66" s="292"/>
      <c r="B66" s="297"/>
      <c r="C66" s="297"/>
      <c r="D66" s="297"/>
      <c r="E66" s="298"/>
      <c r="F66" s="298"/>
      <c r="G66" s="298"/>
      <c r="H66" s="114"/>
      <c r="I66" s="114"/>
      <c r="J66" s="114"/>
      <c r="K66" s="114"/>
      <c r="L66" s="114"/>
      <c r="M66" s="114"/>
      <c r="N66" s="114"/>
    </row>
    <row r="67" spans="1:14" ht="15" customHeight="1">
      <c r="A67" s="292"/>
      <c r="B67" s="297"/>
      <c r="C67" s="297"/>
      <c r="D67" s="297"/>
      <c r="E67" s="298"/>
      <c r="F67" s="298"/>
      <c r="G67" s="298"/>
      <c r="H67" s="114"/>
      <c r="I67" s="114"/>
      <c r="J67" s="114"/>
      <c r="K67" s="114"/>
      <c r="L67" s="114"/>
      <c r="M67" s="114"/>
      <c r="N67" s="114"/>
    </row>
    <row r="68" spans="1:14" ht="15" customHeight="1">
      <c r="A68" s="292"/>
      <c r="B68" s="297"/>
      <c r="C68" s="297"/>
      <c r="D68" s="297"/>
      <c r="E68" s="298"/>
      <c r="F68" s="298"/>
      <c r="G68" s="298"/>
      <c r="H68" s="114"/>
      <c r="I68" s="114"/>
      <c r="J68" s="114"/>
      <c r="K68" s="114"/>
      <c r="L68" s="114"/>
      <c r="M68" s="114"/>
      <c r="N68" s="114"/>
    </row>
    <row r="69" spans="1:14" ht="15" customHeight="1">
      <c r="A69" s="292"/>
      <c r="B69" s="297"/>
      <c r="C69" s="297"/>
      <c r="D69" s="297"/>
      <c r="E69" s="298"/>
      <c r="F69" s="298"/>
      <c r="G69" s="298"/>
      <c r="H69" s="114"/>
      <c r="I69" s="114"/>
      <c r="J69" s="114"/>
      <c r="K69" s="114"/>
      <c r="L69" s="114"/>
      <c r="M69" s="114"/>
      <c r="N69" s="114"/>
    </row>
    <row r="70" spans="1:14" ht="15" customHeight="1">
      <c r="A70" s="292"/>
      <c r="B70" s="297"/>
      <c r="C70" s="297"/>
      <c r="D70" s="297"/>
      <c r="E70" s="298"/>
      <c r="F70" s="298"/>
      <c r="G70" s="298"/>
      <c r="H70" s="114"/>
      <c r="I70" s="114"/>
      <c r="J70" s="114"/>
      <c r="K70" s="114"/>
      <c r="L70" s="114"/>
      <c r="M70" s="114"/>
      <c r="N70" s="114"/>
    </row>
    <row r="71" spans="1:14" ht="15" customHeight="1">
      <c r="A71" s="292"/>
      <c r="B71" s="297"/>
      <c r="C71" s="297"/>
      <c r="D71" s="297"/>
      <c r="E71" s="298"/>
      <c r="F71" s="298"/>
      <c r="G71" s="298"/>
      <c r="H71" s="114"/>
      <c r="I71" s="114"/>
      <c r="J71" s="114"/>
      <c r="K71" s="114"/>
      <c r="L71" s="114"/>
      <c r="M71" s="114"/>
      <c r="N71" s="114"/>
    </row>
    <row r="72" spans="1:14" ht="15" customHeight="1">
      <c r="A72" s="292"/>
      <c r="B72" s="297"/>
      <c r="C72" s="297"/>
      <c r="D72" s="297"/>
      <c r="E72" s="298"/>
      <c r="F72" s="298"/>
      <c r="G72" s="298"/>
      <c r="H72" s="114"/>
      <c r="I72" s="114"/>
      <c r="J72" s="114"/>
      <c r="K72" s="114"/>
      <c r="L72" s="114"/>
      <c r="M72" s="114"/>
      <c r="N72" s="114"/>
    </row>
    <row r="73" spans="1:14" ht="15" customHeight="1">
      <c r="A73" s="292"/>
      <c r="B73" s="297"/>
      <c r="C73" s="297"/>
      <c r="D73" s="297"/>
      <c r="E73" s="298"/>
      <c r="F73" s="298"/>
      <c r="G73" s="298"/>
      <c r="H73" s="114"/>
      <c r="I73" s="114"/>
      <c r="J73" s="114"/>
      <c r="K73" s="114"/>
      <c r="L73" s="114"/>
      <c r="M73" s="114"/>
      <c r="N73" s="114"/>
    </row>
    <row r="74" spans="1:14" ht="15" customHeight="1">
      <c r="A74" s="292"/>
      <c r="B74" s="297"/>
      <c r="C74" s="297"/>
      <c r="D74" s="297"/>
      <c r="E74" s="298"/>
      <c r="F74" s="298"/>
      <c r="G74" s="298"/>
      <c r="H74" s="114"/>
      <c r="I74" s="114"/>
      <c r="J74" s="114"/>
      <c r="K74" s="114"/>
      <c r="L74" s="114"/>
      <c r="M74" s="114"/>
      <c r="N74" s="114"/>
    </row>
    <row r="75" spans="1:14" ht="15" customHeight="1">
      <c r="A75" s="292"/>
      <c r="B75" s="297"/>
      <c r="C75" s="297"/>
      <c r="D75" s="297"/>
      <c r="E75" s="298"/>
      <c r="F75" s="298"/>
      <c r="G75" s="298"/>
      <c r="H75" s="114"/>
      <c r="I75" s="114"/>
      <c r="J75" s="114"/>
      <c r="K75" s="114"/>
      <c r="L75" s="114"/>
      <c r="M75" s="114"/>
      <c r="N75" s="114"/>
    </row>
    <row r="76" spans="1:14" ht="15" customHeight="1">
      <c r="A76" s="292"/>
      <c r="B76" s="297"/>
      <c r="C76" s="297"/>
      <c r="D76" s="297"/>
      <c r="E76" s="298"/>
      <c r="F76" s="298"/>
      <c r="G76" s="298"/>
      <c r="H76" s="114"/>
      <c r="I76" s="114"/>
      <c r="J76" s="114"/>
      <c r="K76" s="114"/>
      <c r="L76" s="114"/>
      <c r="M76" s="114"/>
      <c r="N76" s="114"/>
    </row>
    <row r="77" spans="1:14" ht="15" customHeight="1">
      <c r="A77" s="292"/>
      <c r="B77" s="297"/>
      <c r="C77" s="297"/>
      <c r="D77" s="297"/>
      <c r="E77" s="298"/>
      <c r="F77" s="298"/>
      <c r="G77" s="298"/>
      <c r="H77" s="114"/>
      <c r="I77" s="114"/>
      <c r="J77" s="114"/>
      <c r="K77" s="114"/>
      <c r="L77" s="114"/>
      <c r="M77" s="114"/>
      <c r="N77" s="114"/>
    </row>
    <row r="78" spans="1:14" ht="15" customHeight="1">
      <c r="A78" s="292"/>
      <c r="B78" s="297"/>
      <c r="C78" s="297"/>
      <c r="D78" s="297"/>
      <c r="E78" s="298"/>
      <c r="F78" s="298"/>
      <c r="G78" s="298"/>
      <c r="H78" s="114"/>
      <c r="I78" s="114"/>
      <c r="J78" s="114"/>
      <c r="K78" s="114"/>
      <c r="L78" s="114"/>
      <c r="M78" s="114"/>
      <c r="N78" s="114"/>
    </row>
    <row r="79" spans="1:14" ht="15" customHeight="1">
      <c r="A79" s="292"/>
      <c r="B79" s="297"/>
      <c r="C79" s="297"/>
      <c r="D79" s="297"/>
      <c r="E79" s="298"/>
      <c r="F79" s="298"/>
      <c r="G79" s="298"/>
      <c r="H79" s="114"/>
      <c r="I79" s="114"/>
      <c r="J79" s="114"/>
      <c r="K79" s="114"/>
      <c r="L79" s="114"/>
      <c r="M79" s="114"/>
      <c r="N79" s="114"/>
    </row>
    <row r="80" spans="1:14" ht="15" customHeight="1">
      <c r="A80" s="292"/>
      <c r="B80" s="297"/>
      <c r="C80" s="297"/>
      <c r="D80" s="297"/>
      <c r="E80" s="298"/>
      <c r="F80" s="298"/>
      <c r="G80" s="298"/>
      <c r="H80" s="114"/>
      <c r="I80" s="114"/>
      <c r="J80" s="114"/>
      <c r="K80" s="114"/>
      <c r="L80" s="114"/>
      <c r="M80" s="114"/>
      <c r="N80" s="114"/>
    </row>
    <row r="81" spans="1:14" ht="15" customHeight="1">
      <c r="A81" s="290" t="s">
        <v>295</v>
      </c>
      <c r="B81" s="299" t="s">
        <v>349</v>
      </c>
      <c r="C81" s="114"/>
      <c r="D81" s="114"/>
      <c r="E81" s="114"/>
      <c r="F81" s="300"/>
      <c r="G81" s="114"/>
      <c r="H81" s="114"/>
      <c r="I81" s="114"/>
      <c r="J81" s="114"/>
      <c r="K81" s="114"/>
      <c r="L81" s="114"/>
      <c r="M81" s="114"/>
      <c r="N81" s="114"/>
    </row>
    <row r="82" spans="1:14" ht="15" customHeight="1">
      <c r="A82" s="290"/>
      <c r="B82" s="301" t="s">
        <v>355</v>
      </c>
      <c r="C82" s="114"/>
      <c r="D82" s="114"/>
      <c r="E82" s="114"/>
      <c r="F82" s="300"/>
      <c r="G82" s="114"/>
      <c r="H82" s="114"/>
      <c r="I82" s="114"/>
      <c r="J82" s="114"/>
      <c r="K82" s="114"/>
      <c r="L82" s="114"/>
      <c r="M82" s="114"/>
      <c r="N82" s="114"/>
    </row>
    <row r="83" spans="1:14" ht="15" customHeight="1">
      <c r="A83" s="292"/>
      <c r="B83" s="861" t="s">
        <v>175</v>
      </c>
      <c r="C83" s="861"/>
      <c r="D83" s="861"/>
      <c r="E83" s="861"/>
      <c r="F83" s="861"/>
      <c r="G83" s="861"/>
      <c r="H83" s="861"/>
      <c r="I83" s="861"/>
      <c r="J83" s="861"/>
      <c r="K83" s="114"/>
      <c r="L83" s="114"/>
      <c r="M83" s="114"/>
      <c r="N83" s="114"/>
    </row>
    <row r="84" spans="1:14" ht="15" customHeight="1">
      <c r="A84" s="292"/>
      <c r="B84" s="861"/>
      <c r="C84" s="861"/>
      <c r="D84" s="861"/>
      <c r="E84" s="861"/>
      <c r="F84" s="861"/>
      <c r="G84" s="861"/>
      <c r="H84" s="861"/>
      <c r="I84" s="861"/>
      <c r="J84" s="861"/>
      <c r="K84" s="114"/>
      <c r="L84" s="114"/>
      <c r="M84" s="114"/>
      <c r="N84" s="114"/>
    </row>
    <row r="85" spans="1:14" ht="15" customHeight="1">
      <c r="A85" s="290"/>
      <c r="B85" s="301" t="s">
        <v>356</v>
      </c>
      <c r="C85" s="114"/>
      <c r="D85" s="114"/>
      <c r="E85" s="114"/>
      <c r="F85" s="300"/>
      <c r="G85" s="114"/>
      <c r="H85" s="114"/>
      <c r="I85" s="114"/>
      <c r="J85" s="114"/>
      <c r="K85" s="114"/>
      <c r="L85" s="114"/>
      <c r="M85" s="114"/>
      <c r="N85" s="114"/>
    </row>
    <row r="86" spans="1:14" ht="15" customHeight="1">
      <c r="A86" s="114"/>
      <c r="B86" s="856" t="s">
        <v>351</v>
      </c>
      <c r="C86" s="856"/>
      <c r="D86" s="856"/>
      <c r="E86" s="856"/>
      <c r="F86" s="856"/>
      <c r="G86" s="856"/>
      <c r="H86" s="856"/>
      <c r="I86" s="856"/>
      <c r="J86" s="856"/>
      <c r="K86" s="114"/>
      <c r="L86" s="114"/>
      <c r="M86" s="114"/>
      <c r="N86" s="114"/>
    </row>
    <row r="87" spans="1:14" ht="15" customHeight="1">
      <c r="A87" s="114"/>
      <c r="B87" s="856"/>
      <c r="C87" s="856"/>
      <c r="D87" s="856"/>
      <c r="E87" s="856"/>
      <c r="F87" s="856"/>
      <c r="G87" s="856"/>
      <c r="H87" s="856"/>
      <c r="I87" s="856"/>
      <c r="J87" s="856"/>
      <c r="K87" s="114"/>
      <c r="L87" s="114"/>
      <c r="M87" s="114"/>
      <c r="N87" s="114"/>
    </row>
    <row r="88" spans="1:14" ht="15" customHeight="1">
      <c r="A88" s="114"/>
      <c r="B88" s="856" t="s">
        <v>352</v>
      </c>
      <c r="C88" s="856"/>
      <c r="D88" s="856"/>
      <c r="E88" s="856"/>
      <c r="F88" s="856"/>
      <c r="G88" s="856"/>
      <c r="H88" s="856"/>
      <c r="I88" s="856"/>
      <c r="J88" s="856"/>
      <c r="K88" s="114"/>
      <c r="L88" s="114"/>
      <c r="M88" s="114"/>
      <c r="N88" s="114"/>
    </row>
    <row r="89" spans="1:14" ht="15" customHeight="1">
      <c r="A89" s="114"/>
      <c r="B89" s="856"/>
      <c r="C89" s="856"/>
      <c r="D89" s="856"/>
      <c r="E89" s="856"/>
      <c r="F89" s="856"/>
      <c r="G89" s="856"/>
      <c r="H89" s="856"/>
      <c r="I89" s="856"/>
      <c r="J89" s="856"/>
      <c r="K89" s="114"/>
      <c r="L89" s="114"/>
      <c r="M89" s="114"/>
      <c r="N89" s="114"/>
    </row>
    <row r="90" spans="1:14" ht="15" customHeight="1">
      <c r="A90" s="114"/>
      <c r="B90" s="857" t="s">
        <v>354</v>
      </c>
      <c r="C90" s="857"/>
      <c r="D90" s="857"/>
      <c r="E90" s="857"/>
      <c r="F90" s="857"/>
      <c r="G90" s="857"/>
      <c r="H90" s="857"/>
      <c r="I90" s="857"/>
      <c r="J90" s="857"/>
      <c r="K90" s="114"/>
      <c r="L90" s="114"/>
      <c r="M90" s="114"/>
      <c r="N90" s="114"/>
    </row>
    <row r="91" spans="1:14" ht="15" customHeight="1">
      <c r="A91" s="114"/>
      <c r="B91" s="858" t="s">
        <v>353</v>
      </c>
      <c r="C91" s="858"/>
      <c r="D91" s="858"/>
      <c r="E91" s="858"/>
      <c r="F91" s="858"/>
      <c r="G91" s="858"/>
      <c r="H91" s="858"/>
      <c r="I91" s="858"/>
      <c r="J91" s="858"/>
      <c r="K91" s="114"/>
      <c r="L91" s="114"/>
      <c r="M91" s="114"/>
      <c r="N91" s="114"/>
    </row>
    <row r="92" spans="1:14" ht="15" customHeight="1">
      <c r="A92" s="114"/>
      <c r="B92" s="858"/>
      <c r="C92" s="858"/>
      <c r="D92" s="858"/>
      <c r="E92" s="858"/>
      <c r="F92" s="858"/>
      <c r="G92" s="858"/>
      <c r="H92" s="858"/>
      <c r="I92" s="858"/>
      <c r="J92" s="858"/>
      <c r="K92" s="114"/>
      <c r="L92" s="114"/>
      <c r="M92" s="114"/>
      <c r="N92" s="114"/>
    </row>
    <row r="93" spans="1:14" ht="15" customHeight="1">
      <c r="A93" s="114"/>
      <c r="B93" s="858"/>
      <c r="C93" s="858"/>
      <c r="D93" s="858"/>
      <c r="E93" s="858"/>
      <c r="F93" s="858"/>
      <c r="G93" s="858"/>
      <c r="H93" s="858"/>
      <c r="I93" s="858"/>
      <c r="J93" s="858"/>
      <c r="K93" s="114"/>
      <c r="L93" s="114"/>
      <c r="M93" s="114"/>
      <c r="N93" s="114"/>
    </row>
    <row r="94" spans="1:14" ht="15" customHeight="1">
      <c r="A94" s="114"/>
      <c r="B94" s="268"/>
      <c r="C94" s="268"/>
      <c r="D94" s="268"/>
      <c r="E94" s="268"/>
      <c r="F94" s="268"/>
      <c r="G94" s="268"/>
      <c r="H94" s="268"/>
      <c r="I94" s="268"/>
      <c r="J94" s="268"/>
      <c r="K94" s="114"/>
      <c r="L94" s="114"/>
      <c r="M94" s="114"/>
      <c r="N94" s="114"/>
    </row>
    <row r="95" spans="1:14" ht="15" customHeight="1">
      <c r="A95" s="114"/>
      <c r="B95" s="268"/>
      <c r="C95" s="268"/>
      <c r="D95" s="268"/>
      <c r="E95" s="268"/>
      <c r="F95" s="268"/>
      <c r="G95" s="268"/>
      <c r="H95" s="268"/>
      <c r="I95" s="268"/>
      <c r="J95" s="268"/>
      <c r="K95" s="114"/>
      <c r="L95" s="114"/>
      <c r="M95" s="114"/>
      <c r="N95" s="114"/>
    </row>
    <row r="96" spans="1:14" ht="15" customHeight="1">
      <c r="A96" s="114"/>
      <c r="B96" s="268"/>
      <c r="C96" s="268"/>
      <c r="D96" s="268"/>
      <c r="E96" s="268"/>
      <c r="F96" s="268"/>
      <c r="G96" s="268"/>
      <c r="H96" s="268"/>
      <c r="I96" s="268"/>
      <c r="J96" s="268"/>
      <c r="K96" s="114"/>
      <c r="L96" s="114"/>
      <c r="M96" s="114"/>
      <c r="N96" s="114"/>
    </row>
    <row r="97" spans="1:14" ht="15" customHeight="1">
      <c r="A97" s="114"/>
      <c r="B97" s="268"/>
      <c r="C97" s="268"/>
      <c r="D97" s="268"/>
      <c r="E97" s="268"/>
      <c r="F97" s="268"/>
      <c r="G97" s="268"/>
      <c r="H97" s="268"/>
      <c r="I97" s="268"/>
      <c r="J97" s="268"/>
      <c r="K97" s="114"/>
      <c r="L97" s="114"/>
      <c r="M97" s="114"/>
      <c r="N97" s="114"/>
    </row>
    <row r="98" spans="1:14" ht="15" customHeight="1">
      <c r="A98" s="114"/>
      <c r="B98" s="268"/>
      <c r="C98" s="268"/>
      <c r="D98" s="268"/>
      <c r="E98" s="268"/>
      <c r="F98" s="268"/>
      <c r="G98" s="268"/>
      <c r="H98" s="268"/>
      <c r="I98" s="268"/>
      <c r="J98" s="268"/>
      <c r="K98" s="114"/>
      <c r="L98" s="114"/>
      <c r="M98" s="114"/>
      <c r="N98" s="114"/>
    </row>
    <row r="99" spans="1:14" ht="15" customHeight="1">
      <c r="A99" s="114"/>
      <c r="B99" s="268"/>
      <c r="C99" s="268"/>
      <c r="D99" s="268"/>
      <c r="E99" s="268"/>
      <c r="F99" s="268"/>
      <c r="G99" s="268"/>
      <c r="H99" s="268"/>
      <c r="I99" s="268"/>
      <c r="J99" s="268"/>
      <c r="K99" s="114"/>
      <c r="L99" s="114"/>
      <c r="M99" s="114"/>
      <c r="N99" s="114"/>
    </row>
    <row r="100" spans="1:14" ht="15" customHeight="1">
      <c r="A100" s="114"/>
      <c r="B100" s="268"/>
      <c r="C100" s="268"/>
      <c r="D100" s="268"/>
      <c r="E100" s="268"/>
      <c r="F100" s="268"/>
      <c r="G100" s="268"/>
      <c r="H100" s="268"/>
      <c r="I100" s="268"/>
      <c r="J100" s="268"/>
      <c r="K100" s="114"/>
      <c r="L100" s="114"/>
      <c r="M100" s="114"/>
      <c r="N100" s="114"/>
    </row>
    <row r="101" spans="1:14" ht="15" customHeight="1">
      <c r="A101" s="114"/>
      <c r="B101" s="268"/>
      <c r="C101" s="268"/>
      <c r="D101" s="268"/>
      <c r="E101" s="268"/>
      <c r="F101" s="268"/>
      <c r="G101" s="268"/>
      <c r="H101" s="268"/>
      <c r="I101" s="268"/>
      <c r="J101" s="268"/>
      <c r="K101" s="114"/>
      <c r="L101" s="114"/>
      <c r="M101" s="114"/>
      <c r="N101" s="114"/>
    </row>
    <row r="102" spans="1:14" ht="15" customHeight="1">
      <c r="A102" s="114"/>
      <c r="B102" s="268"/>
      <c r="C102" s="268"/>
      <c r="D102" s="268"/>
      <c r="E102" s="268"/>
      <c r="F102" s="268"/>
      <c r="G102" s="268"/>
      <c r="H102" s="268"/>
      <c r="I102" s="268"/>
      <c r="J102" s="268"/>
      <c r="K102" s="114"/>
      <c r="L102" s="114"/>
      <c r="M102" s="114"/>
      <c r="N102" s="114"/>
    </row>
    <row r="103" spans="1:14" ht="15" customHeight="1">
      <c r="A103" s="114"/>
      <c r="B103" s="268"/>
      <c r="C103" s="268"/>
      <c r="D103" s="268"/>
      <c r="E103" s="268"/>
      <c r="F103" s="268"/>
      <c r="G103" s="268"/>
      <c r="H103" s="268"/>
      <c r="I103" s="268"/>
      <c r="J103" s="268"/>
      <c r="K103" s="114"/>
      <c r="L103" s="114"/>
      <c r="M103" s="114"/>
      <c r="N103" s="114"/>
    </row>
    <row r="104" spans="1:14" ht="15" customHeight="1">
      <c r="A104" s="114"/>
      <c r="B104" s="268"/>
      <c r="C104" s="268"/>
      <c r="D104" s="268"/>
      <c r="E104" s="268"/>
      <c r="F104" s="268"/>
      <c r="G104" s="268"/>
      <c r="H104" s="268"/>
      <c r="I104" s="268"/>
      <c r="J104" s="268"/>
      <c r="K104" s="114"/>
      <c r="L104" s="114"/>
      <c r="M104" s="114"/>
      <c r="N104" s="114"/>
    </row>
    <row r="105" spans="1:14" ht="15" customHeight="1">
      <c r="A105" s="114"/>
      <c r="B105" s="268"/>
      <c r="C105" s="268"/>
      <c r="D105" s="268"/>
      <c r="E105" s="268"/>
      <c r="F105" s="268"/>
      <c r="G105" s="268"/>
      <c r="H105" s="268"/>
      <c r="I105" s="268"/>
      <c r="J105" s="268"/>
      <c r="K105" s="114"/>
      <c r="L105" s="114"/>
      <c r="M105" s="114"/>
      <c r="N105" s="114"/>
    </row>
    <row r="106" spans="1:14" ht="15" customHeight="1">
      <c r="A106" s="114"/>
      <c r="B106" s="268"/>
      <c r="C106" s="268"/>
      <c r="D106" s="268"/>
      <c r="E106" s="268"/>
      <c r="F106" s="268"/>
      <c r="G106" s="268"/>
      <c r="H106" s="268"/>
      <c r="I106" s="268"/>
      <c r="J106" s="268"/>
      <c r="K106" s="114"/>
      <c r="L106" s="114"/>
      <c r="M106" s="114"/>
      <c r="N106" s="114"/>
    </row>
    <row r="107" spans="1:14" ht="15" customHeight="1">
      <c r="A107" s="114"/>
      <c r="B107" s="268"/>
      <c r="C107" s="268"/>
      <c r="D107" s="268"/>
      <c r="E107" s="268"/>
      <c r="F107" s="268"/>
      <c r="G107" s="268"/>
      <c r="H107" s="268"/>
      <c r="I107" s="268"/>
      <c r="J107" s="268"/>
      <c r="K107" s="114"/>
      <c r="L107" s="114"/>
      <c r="M107" s="114"/>
      <c r="N107" s="114"/>
    </row>
    <row r="108" spans="1:14" ht="15" customHeight="1">
      <c r="A108" s="114"/>
      <c r="B108" s="268"/>
      <c r="C108" s="268"/>
      <c r="D108" s="268"/>
      <c r="E108" s="268"/>
      <c r="F108" s="268"/>
      <c r="G108" s="268"/>
      <c r="H108" s="268"/>
      <c r="I108" s="268"/>
      <c r="J108" s="268"/>
      <c r="K108" s="114"/>
      <c r="L108" s="114"/>
      <c r="M108" s="114"/>
      <c r="N108" s="114"/>
    </row>
    <row r="109" spans="1:14" ht="15" customHeight="1">
      <c r="A109" s="114"/>
      <c r="B109" s="268"/>
      <c r="C109" s="268"/>
      <c r="D109" s="268"/>
      <c r="E109" s="268"/>
      <c r="F109" s="268"/>
      <c r="G109" s="268"/>
      <c r="H109" s="268"/>
      <c r="I109" s="268"/>
      <c r="J109" s="268"/>
      <c r="K109" s="114"/>
      <c r="L109" s="114"/>
      <c r="M109" s="114"/>
      <c r="N109" s="114"/>
    </row>
    <row r="110" spans="1:14" ht="15" customHeight="1">
      <c r="A110" s="114"/>
      <c r="B110" s="268"/>
      <c r="C110" s="268"/>
      <c r="D110" s="268"/>
      <c r="E110" s="268"/>
      <c r="F110" s="268"/>
      <c r="G110" s="268"/>
      <c r="H110" s="268"/>
      <c r="I110" s="268"/>
      <c r="J110" s="268"/>
      <c r="K110" s="114"/>
      <c r="L110" s="114"/>
      <c r="M110" s="114"/>
      <c r="N110" s="114"/>
    </row>
    <row r="111" spans="1:14" ht="15" customHeight="1">
      <c r="A111" s="114"/>
      <c r="B111" s="268"/>
      <c r="C111" s="268"/>
      <c r="D111" s="268"/>
      <c r="E111" s="268"/>
      <c r="F111" s="268"/>
      <c r="G111" s="268"/>
      <c r="H111" s="268"/>
      <c r="I111" s="268"/>
      <c r="J111" s="268"/>
      <c r="K111" s="114"/>
      <c r="L111" s="114"/>
      <c r="M111" s="114"/>
      <c r="N111" s="114"/>
    </row>
    <row r="112" spans="1:14" ht="15" customHeight="1">
      <c r="A112" s="114"/>
      <c r="B112" s="268"/>
      <c r="C112" s="268"/>
      <c r="D112" s="268"/>
      <c r="E112" s="268"/>
      <c r="F112" s="268"/>
      <c r="G112" s="268"/>
      <c r="H112" s="268"/>
      <c r="I112" s="268"/>
      <c r="J112" s="268"/>
      <c r="K112" s="114"/>
      <c r="L112" s="114"/>
      <c r="M112" s="114"/>
      <c r="N112" s="114"/>
    </row>
    <row r="113" spans="1:14" ht="15" customHeight="1">
      <c r="A113" s="114"/>
      <c r="B113" s="268"/>
      <c r="C113" s="268"/>
      <c r="D113" s="268"/>
      <c r="E113" s="268"/>
      <c r="F113" s="268"/>
      <c r="G113" s="268"/>
      <c r="H113" s="268"/>
      <c r="I113" s="268"/>
      <c r="J113" s="268"/>
      <c r="K113" s="114"/>
      <c r="L113" s="114"/>
      <c r="M113" s="114"/>
      <c r="N113" s="114"/>
    </row>
    <row r="114" spans="1:14" ht="15" customHeight="1">
      <c r="A114" s="114"/>
      <c r="B114" s="268"/>
      <c r="C114" s="268"/>
      <c r="D114" s="268"/>
      <c r="E114" s="268"/>
      <c r="F114" s="268"/>
      <c r="G114" s="268"/>
      <c r="H114" s="268"/>
      <c r="I114" s="268"/>
      <c r="J114" s="268"/>
      <c r="K114" s="114"/>
      <c r="L114" s="114"/>
      <c r="M114" s="114"/>
      <c r="N114" s="114"/>
    </row>
    <row r="115" spans="1:14" ht="15" customHeight="1">
      <c r="A115" s="114"/>
      <c r="B115" s="268"/>
      <c r="C115" s="268"/>
      <c r="D115" s="268"/>
      <c r="E115" s="268"/>
      <c r="F115" s="268"/>
      <c r="G115" s="268"/>
      <c r="H115" s="268"/>
      <c r="I115" s="268"/>
      <c r="J115" s="268"/>
      <c r="K115" s="114"/>
      <c r="L115" s="114"/>
      <c r="M115" s="114"/>
      <c r="N115" s="114"/>
    </row>
    <row r="116" spans="1:14" ht="15" customHeight="1">
      <c r="A116" s="114"/>
      <c r="B116" s="268"/>
      <c r="C116" s="268"/>
      <c r="D116" s="268"/>
      <c r="E116" s="268"/>
      <c r="F116" s="268"/>
      <c r="G116" s="268"/>
      <c r="H116" s="268"/>
      <c r="I116" s="268"/>
      <c r="J116" s="268"/>
      <c r="K116" s="114"/>
      <c r="L116" s="114"/>
      <c r="M116" s="114"/>
      <c r="N116" s="114"/>
    </row>
    <row r="117" spans="1:14" ht="15" customHeight="1">
      <c r="A117" s="114"/>
      <c r="B117" s="268"/>
      <c r="C117" s="268"/>
      <c r="D117" s="268"/>
      <c r="E117" s="268"/>
      <c r="F117" s="268"/>
      <c r="G117" s="268"/>
      <c r="H117" s="268"/>
      <c r="I117" s="268"/>
      <c r="J117" s="268"/>
      <c r="K117" s="114"/>
      <c r="L117" s="114"/>
      <c r="M117" s="114"/>
      <c r="N117" s="114"/>
    </row>
    <row r="118" spans="1:14" ht="15" customHeight="1">
      <c r="A118" s="114"/>
      <c r="B118" s="268"/>
      <c r="C118" s="268"/>
      <c r="D118" s="268"/>
      <c r="E118" s="268"/>
      <c r="F118" s="268"/>
      <c r="G118" s="268"/>
      <c r="H118" s="268"/>
      <c r="I118" s="268"/>
      <c r="J118" s="268"/>
      <c r="K118" s="114"/>
      <c r="L118" s="114"/>
      <c r="M118" s="114"/>
      <c r="N118" s="114"/>
    </row>
    <row r="119" spans="1:14" ht="15" customHeight="1">
      <c r="A119" s="114"/>
      <c r="B119" s="268"/>
      <c r="C119" s="268"/>
      <c r="D119" s="268"/>
      <c r="E119" s="268"/>
      <c r="F119" s="268"/>
      <c r="G119" s="268"/>
      <c r="H119" s="268"/>
      <c r="I119" s="268"/>
      <c r="J119" s="268"/>
      <c r="K119" s="114"/>
      <c r="L119" s="114"/>
      <c r="M119" s="114"/>
      <c r="N119" s="114"/>
    </row>
    <row r="120" spans="1:14" ht="15" customHeight="1">
      <c r="A120" s="114"/>
      <c r="B120" s="268"/>
      <c r="C120" s="268"/>
      <c r="D120" s="268"/>
      <c r="E120" s="268"/>
      <c r="F120" s="268"/>
      <c r="G120" s="268"/>
      <c r="H120" s="268"/>
      <c r="I120" s="268"/>
      <c r="J120" s="268"/>
      <c r="K120" s="114"/>
      <c r="L120" s="114"/>
      <c r="M120" s="114"/>
      <c r="N120" s="114"/>
    </row>
    <row r="121" spans="1:14" ht="15" customHeight="1">
      <c r="A121" s="114"/>
      <c r="B121" s="268"/>
      <c r="C121" s="268"/>
      <c r="D121" s="268"/>
      <c r="E121" s="268"/>
      <c r="F121" s="268"/>
      <c r="G121" s="268"/>
      <c r="H121" s="268"/>
      <c r="I121" s="268"/>
      <c r="J121" s="268"/>
      <c r="K121" s="114"/>
      <c r="L121" s="114"/>
      <c r="M121" s="114"/>
      <c r="N121" s="114"/>
    </row>
    <row r="122" spans="1:14" ht="15" customHeight="1">
      <c r="A122" s="114"/>
      <c r="B122" s="268"/>
      <c r="C122" s="268"/>
      <c r="D122" s="268"/>
      <c r="E122" s="268"/>
      <c r="F122" s="268"/>
      <c r="G122" s="268"/>
      <c r="H122" s="268"/>
      <c r="I122" s="268"/>
      <c r="J122" s="268"/>
      <c r="K122" s="114"/>
      <c r="L122" s="114"/>
      <c r="M122" s="114"/>
      <c r="N122" s="114"/>
    </row>
    <row r="123" spans="1:14" ht="15" customHeight="1">
      <c r="A123" s="114"/>
      <c r="B123" s="268"/>
      <c r="C123" s="268"/>
      <c r="D123" s="268"/>
      <c r="E123" s="268"/>
      <c r="F123" s="268"/>
      <c r="G123" s="268"/>
      <c r="H123" s="268"/>
      <c r="I123" s="268"/>
      <c r="J123" s="268"/>
      <c r="K123" s="114"/>
      <c r="L123" s="114"/>
      <c r="M123" s="114"/>
      <c r="N123" s="114"/>
    </row>
    <row r="124" spans="1:14" ht="14.25" customHeight="1">
      <c r="A124" s="114"/>
      <c r="B124" s="267"/>
      <c r="C124" s="114"/>
      <c r="D124" s="114"/>
      <c r="E124" s="114"/>
      <c r="F124" s="300"/>
      <c r="G124" s="114"/>
      <c r="H124" s="114"/>
      <c r="I124" s="114"/>
      <c r="J124" s="114"/>
      <c r="K124" s="114"/>
      <c r="L124" s="114"/>
      <c r="M124" s="114"/>
      <c r="N124" s="114"/>
    </row>
    <row r="125" spans="1:14">
      <c r="A125" s="114"/>
      <c r="B125" s="114"/>
      <c r="C125" s="114"/>
      <c r="D125" s="114"/>
      <c r="E125" s="114"/>
      <c r="F125" s="114"/>
      <c r="G125" s="114"/>
      <c r="H125" s="114"/>
      <c r="I125" s="114"/>
      <c r="J125" s="114"/>
      <c r="K125" s="114"/>
      <c r="L125" s="114"/>
      <c r="M125" s="114"/>
      <c r="N125" s="114"/>
    </row>
    <row r="126" spans="1:14">
      <c r="A126" s="114"/>
      <c r="B126" s="114"/>
      <c r="C126" s="114"/>
      <c r="D126" s="114"/>
      <c r="E126" s="114"/>
      <c r="F126" s="114"/>
      <c r="G126" s="114"/>
      <c r="H126" s="114"/>
      <c r="I126" s="114"/>
      <c r="J126" s="114"/>
      <c r="K126" s="114"/>
      <c r="L126" s="114"/>
      <c r="M126" s="114"/>
      <c r="N126" s="114"/>
    </row>
    <row r="127" spans="1:14">
      <c r="A127" s="114"/>
      <c r="B127" s="114"/>
      <c r="C127" s="114"/>
      <c r="D127" s="114"/>
      <c r="E127" s="114"/>
      <c r="F127" s="114"/>
      <c r="G127" s="114"/>
      <c r="H127" s="114"/>
      <c r="I127" s="114"/>
      <c r="J127" s="114"/>
      <c r="K127" s="114"/>
      <c r="L127" s="114"/>
      <c r="M127" s="114"/>
      <c r="N127" s="114"/>
    </row>
    <row r="128" spans="1:14">
      <c r="A128" s="114"/>
      <c r="B128" s="114"/>
      <c r="C128" s="114"/>
      <c r="D128" s="114"/>
      <c r="E128" s="114"/>
      <c r="F128" s="114"/>
      <c r="G128" s="114"/>
      <c r="H128" s="114"/>
      <c r="I128" s="114"/>
      <c r="J128" s="114"/>
      <c r="K128" s="114"/>
      <c r="L128" s="114"/>
      <c r="M128" s="114"/>
      <c r="N128" s="114"/>
    </row>
    <row r="129" spans="1:14">
      <c r="A129" s="114"/>
      <c r="B129" s="114"/>
      <c r="C129" s="114"/>
      <c r="D129" s="114"/>
      <c r="E129" s="114"/>
      <c r="F129" s="114"/>
      <c r="G129" s="114"/>
      <c r="H129" s="114"/>
      <c r="I129" s="114"/>
      <c r="J129" s="114"/>
      <c r="K129" s="114"/>
      <c r="L129" s="114"/>
      <c r="M129" s="114"/>
      <c r="N129" s="114"/>
    </row>
    <row r="130" spans="1:14">
      <c r="A130" s="114"/>
      <c r="B130" s="114"/>
      <c r="C130" s="114"/>
      <c r="D130" s="114"/>
      <c r="E130" s="114"/>
      <c r="F130" s="114"/>
      <c r="G130" s="114"/>
      <c r="H130" s="114"/>
      <c r="I130" s="114"/>
      <c r="J130" s="114"/>
      <c r="K130" s="114"/>
      <c r="L130" s="114"/>
      <c r="M130" s="114"/>
      <c r="N130" s="114"/>
    </row>
    <row r="131" spans="1:14">
      <c r="A131" s="114"/>
      <c r="B131" s="114"/>
      <c r="C131" s="114"/>
      <c r="D131" s="114"/>
      <c r="E131" s="114"/>
      <c r="F131" s="114"/>
      <c r="G131" s="114"/>
      <c r="H131" s="114"/>
      <c r="I131" s="114"/>
      <c r="J131" s="114"/>
      <c r="K131" s="114"/>
      <c r="L131" s="114"/>
      <c r="M131" s="114"/>
      <c r="N131" s="114"/>
    </row>
    <row r="132" spans="1:14">
      <c r="A132" s="114"/>
      <c r="B132" s="114"/>
      <c r="C132" s="114"/>
      <c r="D132" s="114"/>
      <c r="E132" s="114"/>
      <c r="F132" s="114"/>
      <c r="G132" s="114"/>
      <c r="H132" s="114"/>
      <c r="I132" s="114"/>
      <c r="J132" s="114"/>
      <c r="K132" s="114"/>
      <c r="L132" s="114"/>
      <c r="M132" s="114"/>
      <c r="N132" s="114"/>
    </row>
    <row r="133" spans="1:14">
      <c r="A133" s="114"/>
      <c r="B133" s="114"/>
      <c r="C133" s="114"/>
      <c r="D133" s="114"/>
      <c r="E133" s="114"/>
      <c r="F133" s="114"/>
      <c r="G133" s="114"/>
      <c r="H133" s="114"/>
      <c r="I133" s="114"/>
      <c r="J133" s="114"/>
      <c r="K133" s="114"/>
      <c r="L133" s="114"/>
      <c r="M133" s="114"/>
      <c r="N133" s="114"/>
    </row>
    <row r="134" spans="1:14">
      <c r="A134" s="114"/>
      <c r="B134" s="114"/>
      <c r="C134" s="114"/>
      <c r="D134" s="114"/>
      <c r="E134" s="114"/>
      <c r="F134" s="114"/>
      <c r="G134" s="114"/>
      <c r="H134" s="114"/>
      <c r="I134" s="114"/>
      <c r="J134" s="114"/>
      <c r="K134" s="114"/>
      <c r="L134" s="114"/>
      <c r="M134" s="114"/>
      <c r="N134" s="114"/>
    </row>
    <row r="135" spans="1:14">
      <c r="A135" s="114"/>
      <c r="B135" s="114"/>
      <c r="C135" s="114"/>
      <c r="D135" s="114"/>
      <c r="E135" s="114"/>
      <c r="F135" s="114"/>
      <c r="G135" s="114"/>
      <c r="H135" s="114"/>
      <c r="I135" s="114"/>
      <c r="J135" s="114"/>
      <c r="K135" s="114"/>
      <c r="L135" s="114"/>
      <c r="M135" s="114"/>
      <c r="N135" s="114"/>
    </row>
    <row r="136" spans="1:14">
      <c r="A136" s="114"/>
      <c r="B136" s="114"/>
      <c r="C136" s="114"/>
      <c r="D136" s="114"/>
      <c r="E136" s="114"/>
      <c r="F136" s="114"/>
      <c r="G136" s="114"/>
      <c r="H136" s="114"/>
      <c r="I136" s="114"/>
      <c r="J136" s="114"/>
      <c r="K136" s="114"/>
      <c r="L136" s="114"/>
      <c r="M136" s="114"/>
      <c r="N136" s="114"/>
    </row>
    <row r="137" spans="1:14">
      <c r="A137" s="114"/>
      <c r="B137" s="114"/>
      <c r="C137" s="114"/>
      <c r="D137" s="114"/>
      <c r="E137" s="114"/>
      <c r="F137" s="114"/>
      <c r="G137" s="114"/>
      <c r="H137" s="114"/>
      <c r="I137" s="114"/>
      <c r="J137" s="114"/>
      <c r="K137" s="114"/>
      <c r="L137" s="114"/>
      <c r="M137" s="114"/>
      <c r="N137" s="114"/>
    </row>
  </sheetData>
  <mergeCells count="80">
    <mergeCell ref="E64:G64"/>
    <mergeCell ref="B62:D62"/>
    <mergeCell ref="B63:D63"/>
    <mergeCell ref="B64:D64"/>
    <mergeCell ref="E60:G60"/>
    <mergeCell ref="B59:D60"/>
    <mergeCell ref="E62:G62"/>
    <mergeCell ref="E63:G63"/>
    <mergeCell ref="E59:G59"/>
    <mergeCell ref="E57:G58"/>
    <mergeCell ref="E56:G56"/>
    <mergeCell ref="B50:D50"/>
    <mergeCell ref="B51:D51"/>
    <mergeCell ref="B52:D52"/>
    <mergeCell ref="B53:D53"/>
    <mergeCell ref="B40:D40"/>
    <mergeCell ref="B41:D41"/>
    <mergeCell ref="B42:D42"/>
    <mergeCell ref="B43:D43"/>
    <mergeCell ref="B44:D44"/>
    <mergeCell ref="B56:D56"/>
    <mergeCell ref="E52:G52"/>
    <mergeCell ref="E53:G53"/>
    <mergeCell ref="E54:G55"/>
    <mergeCell ref="E48:G48"/>
    <mergeCell ref="E49:G49"/>
    <mergeCell ref="E50:G50"/>
    <mergeCell ref="E51:G51"/>
    <mergeCell ref="B48:D48"/>
    <mergeCell ref="B49:D49"/>
    <mergeCell ref="E44:G44"/>
    <mergeCell ref="E45:G45"/>
    <mergeCell ref="E46:G46"/>
    <mergeCell ref="E47:G47"/>
    <mergeCell ref="B45:D45"/>
    <mergeCell ref="B46:D46"/>
    <mergeCell ref="B47:D47"/>
    <mergeCell ref="E40:G40"/>
    <mergeCell ref="E41:G41"/>
    <mergeCell ref="E42:G42"/>
    <mergeCell ref="E43:G43"/>
    <mergeCell ref="E36:G36"/>
    <mergeCell ref="E35:G35"/>
    <mergeCell ref="E34:G34"/>
    <mergeCell ref="E39:G39"/>
    <mergeCell ref="B30:D30"/>
    <mergeCell ref="B34:D34"/>
    <mergeCell ref="B36:D36"/>
    <mergeCell ref="B35:D35"/>
    <mergeCell ref="E32:G32"/>
    <mergeCell ref="E33:G33"/>
    <mergeCell ref="B33:D33"/>
    <mergeCell ref="B39:D39"/>
    <mergeCell ref="B24:D24"/>
    <mergeCell ref="B25:D25"/>
    <mergeCell ref="B26:D26"/>
    <mergeCell ref="B32:D32"/>
    <mergeCell ref="B31:D31"/>
    <mergeCell ref="B28:D28"/>
    <mergeCell ref="B29:D29"/>
    <mergeCell ref="B83:J84"/>
    <mergeCell ref="E23:G23"/>
    <mergeCell ref="B54:D55"/>
    <mergeCell ref="B57:D58"/>
    <mergeCell ref="E27:G27"/>
    <mergeCell ref="E28:G28"/>
    <mergeCell ref="E29:G29"/>
    <mergeCell ref="E30:G30"/>
    <mergeCell ref="B27:D27"/>
    <mergeCell ref="E31:G31"/>
    <mergeCell ref="B86:J87"/>
    <mergeCell ref="B88:J89"/>
    <mergeCell ref="B90:J90"/>
    <mergeCell ref="B91:J93"/>
    <mergeCell ref="B2:J3"/>
    <mergeCell ref="E24:G24"/>
    <mergeCell ref="E25:G25"/>
    <mergeCell ref="E26:G26"/>
    <mergeCell ref="B23:D23"/>
    <mergeCell ref="B19:I20"/>
  </mergeCells>
  <phoneticPr fontId="0" type="noConversion"/>
  <pageMargins left="0.19685039370078741" right="0.19685039370078741" top="0.59055118110236227" bottom="0.19685039370078741" header="0.51181102362204722" footer="0.51181102362204722"/>
  <pageSetup paperSize="9"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sheetPr codeName="Sheet21">
    <pageSetUpPr autoPageBreaks="0"/>
  </sheetPr>
  <dimension ref="A1:M76"/>
  <sheetViews>
    <sheetView showRowColHeaders="0" workbookViewId="0">
      <selection activeCell="B2" sqref="B2:J3"/>
    </sheetView>
  </sheetViews>
  <sheetFormatPr defaultRowHeight="12.75"/>
  <cols>
    <col min="2" max="10" width="11.7109375" customWidth="1"/>
  </cols>
  <sheetData>
    <row r="1" spans="1:13" ht="13.5" thickBot="1">
      <c r="A1" s="114"/>
      <c r="B1" s="114"/>
      <c r="C1" s="114"/>
      <c r="D1" s="114"/>
      <c r="E1" s="114"/>
      <c r="F1" s="114"/>
      <c r="G1" s="114"/>
      <c r="H1" s="114"/>
      <c r="I1" s="114"/>
      <c r="J1" s="114"/>
      <c r="K1" s="114"/>
      <c r="L1" s="114"/>
      <c r="M1" s="114"/>
    </row>
    <row r="2" spans="1:13" ht="13.5" thickTop="1">
      <c r="A2" s="114"/>
      <c r="B2" s="753" t="s">
        <v>42</v>
      </c>
      <c r="C2" s="754"/>
      <c r="D2" s="754"/>
      <c r="E2" s="754"/>
      <c r="F2" s="754"/>
      <c r="G2" s="754"/>
      <c r="H2" s="754"/>
      <c r="I2" s="754"/>
      <c r="J2" s="755"/>
      <c r="K2" s="114"/>
      <c r="L2" s="114"/>
      <c r="M2" s="114"/>
    </row>
    <row r="3" spans="1:13" ht="13.5" thickBot="1">
      <c r="A3" s="114"/>
      <c r="B3" s="756"/>
      <c r="C3" s="757"/>
      <c r="D3" s="757"/>
      <c r="E3" s="757"/>
      <c r="F3" s="757"/>
      <c r="G3" s="757"/>
      <c r="H3" s="757"/>
      <c r="I3" s="757"/>
      <c r="J3" s="758"/>
      <c r="K3" s="114"/>
      <c r="L3" s="114"/>
      <c r="M3" s="114"/>
    </row>
    <row r="4" spans="1:13" ht="13.5" thickTop="1">
      <c r="A4" s="114"/>
      <c r="B4" s="114"/>
      <c r="C4" s="114"/>
      <c r="D4" s="114"/>
      <c r="E4" s="114"/>
      <c r="F4" s="114"/>
      <c r="G4" s="114"/>
      <c r="H4" s="114"/>
      <c r="I4" s="114"/>
      <c r="J4" s="114"/>
      <c r="K4" s="114"/>
      <c r="L4" s="114"/>
      <c r="M4" s="114"/>
    </row>
    <row r="5" spans="1:13">
      <c r="A5" s="114"/>
      <c r="B5" s="114"/>
      <c r="C5" s="114"/>
      <c r="D5" s="114"/>
      <c r="E5" s="114"/>
      <c r="F5" s="114"/>
      <c r="G5" s="114"/>
      <c r="H5" s="114"/>
      <c r="I5" s="114"/>
      <c r="J5" s="114"/>
      <c r="K5" s="114"/>
      <c r="L5" s="114"/>
      <c r="M5" s="114"/>
    </row>
    <row r="6" spans="1:13">
      <c r="A6" s="114"/>
      <c r="B6" s="114"/>
      <c r="C6" s="114"/>
      <c r="D6" s="114"/>
      <c r="E6" s="114"/>
      <c r="F6" s="114"/>
      <c r="G6" s="114"/>
      <c r="H6" s="114"/>
      <c r="I6" s="114"/>
      <c r="J6" s="114"/>
      <c r="K6" s="114"/>
      <c r="L6" s="114"/>
      <c r="M6" s="114"/>
    </row>
    <row r="7" spans="1:13">
      <c r="A7" s="114"/>
      <c r="B7" s="114"/>
      <c r="C7" s="114"/>
      <c r="D7" s="114"/>
      <c r="E7" s="114"/>
      <c r="F7" s="114"/>
      <c r="G7" s="114"/>
      <c r="H7" s="114"/>
      <c r="I7" s="114"/>
      <c r="J7" s="114"/>
      <c r="K7" s="114"/>
      <c r="L7" s="114"/>
      <c r="M7" s="114"/>
    </row>
    <row r="8" spans="1:13">
      <c r="A8" s="114"/>
      <c r="B8" s="114"/>
      <c r="C8" s="114"/>
      <c r="D8" s="114"/>
      <c r="E8" s="114"/>
      <c r="F8" s="114"/>
      <c r="G8" s="114"/>
      <c r="H8" s="114"/>
      <c r="I8" s="114"/>
      <c r="J8" s="114"/>
      <c r="K8" s="114"/>
      <c r="L8" s="114"/>
      <c r="M8" s="114"/>
    </row>
    <row r="9" spans="1:13">
      <c r="A9" s="114"/>
      <c r="B9" s="114"/>
      <c r="C9" s="114"/>
      <c r="D9" s="114"/>
      <c r="E9" s="114"/>
      <c r="F9" s="114"/>
      <c r="G9" s="114"/>
      <c r="H9" s="114"/>
      <c r="I9" s="114"/>
      <c r="J9" s="114"/>
      <c r="K9" s="114"/>
      <c r="L9" s="114"/>
      <c r="M9" s="114"/>
    </row>
    <row r="10" spans="1:13">
      <c r="A10" s="114"/>
      <c r="B10" s="114"/>
      <c r="C10" s="114"/>
      <c r="D10" s="114"/>
      <c r="E10" s="114"/>
      <c r="F10" s="114"/>
      <c r="G10" s="114"/>
      <c r="H10" s="114"/>
      <c r="I10" s="114"/>
      <c r="J10" s="114"/>
      <c r="K10" s="114"/>
      <c r="L10" s="114"/>
      <c r="M10" s="114"/>
    </row>
    <row r="11" spans="1:13">
      <c r="A11" s="114"/>
      <c r="B11" s="114"/>
      <c r="C11" s="114"/>
      <c r="D11" s="114"/>
      <c r="E11" s="114"/>
      <c r="F11" s="114"/>
      <c r="G11" s="114"/>
      <c r="H11" s="114"/>
      <c r="I11" s="114"/>
      <c r="J11" s="114"/>
      <c r="K11" s="114"/>
      <c r="L11" s="114"/>
      <c r="M11" s="114"/>
    </row>
    <row r="12" spans="1:13">
      <c r="A12" s="114"/>
      <c r="B12" s="114"/>
      <c r="C12" s="114"/>
      <c r="D12" s="114"/>
      <c r="E12" s="114"/>
      <c r="F12" s="114"/>
      <c r="G12" s="114"/>
      <c r="H12" s="114"/>
      <c r="I12" s="114"/>
      <c r="J12" s="114"/>
      <c r="K12" s="114"/>
      <c r="L12" s="114"/>
      <c r="M12" s="114"/>
    </row>
    <row r="13" spans="1:13">
      <c r="A13" s="114"/>
      <c r="B13" s="114"/>
      <c r="C13" s="114"/>
      <c r="D13" s="114"/>
      <c r="E13" s="114"/>
      <c r="F13" s="114"/>
      <c r="G13" s="114"/>
      <c r="H13" s="114"/>
      <c r="I13" s="114"/>
      <c r="J13" s="114"/>
      <c r="K13" s="114"/>
      <c r="L13" s="114"/>
      <c r="M13" s="114"/>
    </row>
    <row r="14" spans="1:13">
      <c r="A14" s="114"/>
      <c r="B14" s="114"/>
      <c r="C14" s="114"/>
      <c r="D14" s="114"/>
      <c r="E14" s="114"/>
      <c r="F14" s="114"/>
      <c r="G14" s="114"/>
      <c r="H14" s="114"/>
      <c r="I14" s="114"/>
      <c r="J14" s="114"/>
      <c r="K14" s="114"/>
      <c r="L14" s="114"/>
      <c r="M14" s="114"/>
    </row>
    <row r="15" spans="1:13">
      <c r="A15" s="114"/>
      <c r="B15" s="114"/>
      <c r="C15" s="114"/>
      <c r="D15" s="114"/>
      <c r="E15" s="114"/>
      <c r="F15" s="114"/>
      <c r="G15" s="114"/>
      <c r="H15" s="114"/>
      <c r="I15" s="114"/>
      <c r="J15" s="114"/>
      <c r="K15" s="114"/>
      <c r="L15" s="114"/>
      <c r="M15" s="114"/>
    </row>
    <row r="16" spans="1:13">
      <c r="A16" s="114"/>
      <c r="B16" s="114"/>
      <c r="C16" s="114"/>
      <c r="D16" s="114"/>
      <c r="E16" s="114"/>
      <c r="F16" s="114"/>
      <c r="G16" s="114"/>
      <c r="H16" s="114"/>
      <c r="I16" s="114"/>
      <c r="J16" s="114"/>
      <c r="K16" s="114"/>
      <c r="L16" s="114"/>
      <c r="M16" s="114"/>
    </row>
    <row r="17" spans="1:13">
      <c r="A17" s="114"/>
      <c r="B17" s="114"/>
      <c r="C17" s="114"/>
      <c r="D17" s="114"/>
      <c r="E17" s="114"/>
      <c r="F17" s="114"/>
      <c r="G17" s="114"/>
      <c r="H17" s="114"/>
      <c r="I17" s="114"/>
      <c r="J17" s="114"/>
      <c r="K17" s="114"/>
      <c r="L17" s="114"/>
      <c r="M17" s="114"/>
    </row>
    <row r="18" spans="1:13" ht="15.75">
      <c r="A18" s="114"/>
      <c r="B18" s="302" t="s">
        <v>36</v>
      </c>
      <c r="C18" s="114"/>
      <c r="D18" s="114"/>
      <c r="E18" s="114"/>
      <c r="F18" s="114"/>
      <c r="G18" s="114"/>
      <c r="H18" s="114"/>
      <c r="I18" s="114"/>
      <c r="J18" s="114"/>
      <c r="K18" s="114"/>
      <c r="L18" s="114"/>
      <c r="M18" s="114"/>
    </row>
    <row r="19" spans="1:13" ht="14.25" customHeight="1">
      <c r="A19" s="114"/>
      <c r="B19" s="884" t="s">
        <v>37</v>
      </c>
      <c r="C19" s="884"/>
      <c r="D19" s="884"/>
      <c r="E19" s="884"/>
      <c r="F19" s="884"/>
      <c r="G19" s="884"/>
      <c r="H19" s="884"/>
      <c r="I19" s="884"/>
      <c r="J19" s="884"/>
      <c r="K19" s="114"/>
      <c r="L19" s="114"/>
      <c r="M19" s="114"/>
    </row>
    <row r="20" spans="1:13">
      <c r="A20" s="114"/>
      <c r="B20" s="884"/>
      <c r="C20" s="884"/>
      <c r="D20" s="884"/>
      <c r="E20" s="884"/>
      <c r="F20" s="884"/>
      <c r="G20" s="884"/>
      <c r="H20" s="884"/>
      <c r="I20" s="884"/>
      <c r="J20" s="884"/>
      <c r="K20" s="114"/>
      <c r="L20" s="114"/>
      <c r="M20" s="114"/>
    </row>
    <row r="21" spans="1:13">
      <c r="A21" s="114"/>
      <c r="B21" s="884"/>
      <c r="C21" s="884"/>
      <c r="D21" s="884"/>
      <c r="E21" s="884"/>
      <c r="F21" s="884"/>
      <c r="G21" s="884"/>
      <c r="H21" s="884"/>
      <c r="I21" s="884"/>
      <c r="J21" s="884"/>
      <c r="K21" s="114"/>
      <c r="L21" s="114"/>
      <c r="M21" s="114"/>
    </row>
    <row r="22" spans="1:13">
      <c r="A22" s="114"/>
      <c r="B22" s="884"/>
      <c r="C22" s="884"/>
      <c r="D22" s="884"/>
      <c r="E22" s="884"/>
      <c r="F22" s="884"/>
      <c r="G22" s="884"/>
      <c r="H22" s="884"/>
      <c r="I22" s="884"/>
      <c r="J22" s="884"/>
      <c r="K22" s="114"/>
      <c r="L22" s="114"/>
      <c r="M22" s="114"/>
    </row>
    <row r="23" spans="1:13">
      <c r="A23" s="114"/>
      <c r="B23" s="884"/>
      <c r="C23" s="884"/>
      <c r="D23" s="884"/>
      <c r="E23" s="884"/>
      <c r="F23" s="884"/>
      <c r="G23" s="884"/>
      <c r="H23" s="884"/>
      <c r="I23" s="884"/>
      <c r="J23" s="884"/>
      <c r="K23" s="114"/>
      <c r="L23" s="114"/>
      <c r="M23" s="114"/>
    </row>
    <row r="24" spans="1:13">
      <c r="A24" s="114"/>
      <c r="B24" s="884"/>
      <c r="C24" s="884"/>
      <c r="D24" s="884"/>
      <c r="E24" s="884"/>
      <c r="F24" s="884"/>
      <c r="G24" s="884"/>
      <c r="H24" s="884"/>
      <c r="I24" s="884"/>
      <c r="J24" s="884"/>
      <c r="K24" s="114"/>
      <c r="L24" s="114"/>
      <c r="M24" s="114"/>
    </row>
    <row r="25" spans="1:13">
      <c r="A25" s="114"/>
      <c r="B25" s="114"/>
      <c r="C25" s="114"/>
      <c r="D25" s="114"/>
      <c r="E25" s="114"/>
      <c r="F25" s="114"/>
      <c r="G25" s="114"/>
      <c r="H25" s="114"/>
      <c r="I25" s="114"/>
      <c r="J25" s="114"/>
      <c r="K25" s="114"/>
      <c r="L25" s="114"/>
      <c r="M25" s="114"/>
    </row>
    <row r="26" spans="1:13">
      <c r="A26" s="114"/>
      <c r="B26" s="114"/>
      <c r="C26" s="114"/>
      <c r="D26" s="114"/>
      <c r="E26" s="114"/>
      <c r="F26" s="114"/>
      <c r="G26" s="114"/>
      <c r="H26" s="114"/>
      <c r="I26" s="114"/>
      <c r="J26" s="114"/>
      <c r="K26" s="114"/>
      <c r="L26" s="114"/>
      <c r="M26" s="114"/>
    </row>
    <row r="27" spans="1:13">
      <c r="A27" s="114"/>
      <c r="B27" s="114"/>
      <c r="C27" s="114"/>
      <c r="D27" s="114"/>
      <c r="E27" s="114"/>
      <c r="F27" s="114"/>
      <c r="G27" s="114"/>
      <c r="H27" s="114"/>
      <c r="I27" s="114"/>
      <c r="J27" s="114"/>
      <c r="K27" s="114"/>
      <c r="L27" s="114"/>
      <c r="M27" s="114"/>
    </row>
    <row r="28" spans="1:13">
      <c r="A28" s="114"/>
      <c r="B28" s="114"/>
      <c r="C28" s="114"/>
      <c r="D28" s="114"/>
      <c r="E28" s="114"/>
      <c r="F28" s="114"/>
      <c r="G28" s="114"/>
      <c r="H28" s="114"/>
      <c r="I28" s="114"/>
      <c r="J28" s="114"/>
      <c r="K28" s="114"/>
      <c r="L28" s="114"/>
      <c r="M28" s="114"/>
    </row>
    <row r="29" spans="1:13">
      <c r="A29" s="114"/>
      <c r="B29" s="114"/>
      <c r="C29" s="114"/>
      <c r="D29" s="114"/>
      <c r="E29" s="114"/>
      <c r="F29" s="114"/>
      <c r="G29" s="114"/>
      <c r="H29" s="114"/>
      <c r="I29" s="114"/>
      <c r="J29" s="114"/>
      <c r="K29" s="114"/>
      <c r="L29" s="114"/>
      <c r="M29" s="114"/>
    </row>
    <row r="30" spans="1:13">
      <c r="A30" s="114"/>
      <c r="B30" s="114"/>
      <c r="C30" s="114"/>
      <c r="D30" s="114"/>
      <c r="E30" s="114"/>
      <c r="F30" s="114"/>
      <c r="G30" s="114"/>
      <c r="H30" s="114"/>
      <c r="I30" s="114"/>
      <c r="J30" s="114"/>
      <c r="K30" s="114"/>
      <c r="L30" s="114"/>
      <c r="M30" s="114"/>
    </row>
    <row r="31" spans="1:13">
      <c r="A31" s="114"/>
      <c r="B31" s="114"/>
      <c r="C31" s="114"/>
      <c r="D31" s="114"/>
      <c r="E31" s="114"/>
      <c r="F31" s="114"/>
      <c r="G31" s="114"/>
      <c r="H31" s="114"/>
      <c r="I31" s="114"/>
      <c r="J31" s="114"/>
      <c r="K31" s="114"/>
      <c r="L31" s="114"/>
      <c r="M31" s="114"/>
    </row>
    <row r="32" spans="1:13">
      <c r="A32" s="114"/>
      <c r="B32" s="114"/>
      <c r="C32" s="114"/>
      <c r="D32" s="114"/>
      <c r="E32" s="114"/>
      <c r="F32" s="114"/>
      <c r="G32" s="114"/>
      <c r="H32" s="114"/>
      <c r="I32" s="114"/>
      <c r="J32" s="114"/>
      <c r="K32" s="114"/>
      <c r="L32" s="114"/>
      <c r="M32" s="114"/>
    </row>
    <row r="33" spans="1:13">
      <c r="A33" s="114"/>
      <c r="B33" s="114"/>
      <c r="C33" s="114"/>
      <c r="D33" s="114"/>
      <c r="E33" s="114"/>
      <c r="F33" s="114"/>
      <c r="G33" s="114"/>
      <c r="H33" s="114"/>
      <c r="I33" s="114"/>
      <c r="J33" s="114"/>
      <c r="K33" s="114"/>
      <c r="L33" s="114"/>
      <c r="M33" s="114"/>
    </row>
    <row r="34" spans="1:13">
      <c r="A34" s="114"/>
      <c r="B34" s="114"/>
      <c r="C34" s="114"/>
      <c r="D34" s="114"/>
      <c r="E34" s="114"/>
      <c r="F34" s="114"/>
      <c r="G34" s="114"/>
      <c r="H34" s="114"/>
      <c r="I34" s="114"/>
      <c r="J34" s="114"/>
      <c r="K34" s="114"/>
      <c r="L34" s="114"/>
      <c r="M34" s="114"/>
    </row>
    <row r="35" spans="1:13">
      <c r="A35" s="114"/>
      <c r="B35" s="114"/>
      <c r="C35" s="114"/>
      <c r="D35" s="114"/>
      <c r="E35" s="114"/>
      <c r="F35" s="114"/>
      <c r="G35" s="114"/>
      <c r="H35" s="114"/>
      <c r="I35" s="114"/>
      <c r="J35" s="114"/>
      <c r="K35" s="114"/>
      <c r="L35" s="114"/>
      <c r="M35" s="114"/>
    </row>
    <row r="36" spans="1:13">
      <c r="A36" s="114"/>
      <c r="B36" s="114"/>
      <c r="C36" s="114"/>
      <c r="D36" s="114"/>
      <c r="E36" s="114"/>
      <c r="F36" s="114"/>
      <c r="G36" s="114"/>
      <c r="H36" s="114"/>
      <c r="I36" s="114"/>
      <c r="J36" s="114"/>
      <c r="K36" s="114"/>
      <c r="L36" s="114"/>
      <c r="M36" s="114"/>
    </row>
    <row r="37" spans="1:13">
      <c r="A37" s="114"/>
      <c r="B37" s="114"/>
      <c r="C37" s="114"/>
      <c r="D37" s="114"/>
      <c r="E37" s="114"/>
      <c r="F37" s="114"/>
      <c r="G37" s="114"/>
      <c r="H37" s="114"/>
      <c r="I37" s="114"/>
      <c r="J37" s="114"/>
      <c r="K37" s="114"/>
      <c r="L37" s="114"/>
      <c r="M37" s="114"/>
    </row>
    <row r="38" spans="1:13">
      <c r="A38" s="114"/>
      <c r="B38" s="114"/>
      <c r="C38" s="114"/>
      <c r="D38" s="114"/>
      <c r="E38" s="114"/>
      <c r="F38" s="114"/>
      <c r="G38" s="114"/>
      <c r="H38" s="114"/>
      <c r="I38" s="114"/>
      <c r="J38" s="114"/>
      <c r="K38" s="114"/>
      <c r="L38" s="114"/>
      <c r="M38" s="114"/>
    </row>
    <row r="39" spans="1:13">
      <c r="A39" s="114"/>
      <c r="B39" s="114"/>
      <c r="C39" s="114"/>
      <c r="D39" s="114"/>
      <c r="E39" s="114"/>
      <c r="F39" s="114"/>
      <c r="G39" s="114"/>
      <c r="H39" s="114"/>
      <c r="I39" s="114"/>
      <c r="J39" s="114"/>
      <c r="K39" s="114"/>
      <c r="L39" s="114"/>
      <c r="M39" s="114"/>
    </row>
    <row r="40" spans="1:13">
      <c r="A40" s="114"/>
      <c r="B40" s="114"/>
      <c r="C40" s="114"/>
      <c r="D40" s="114"/>
      <c r="E40" s="114"/>
      <c r="F40" s="114"/>
      <c r="G40" s="114"/>
      <c r="H40" s="114"/>
      <c r="I40" s="114"/>
      <c r="J40" s="114"/>
      <c r="K40" s="114"/>
      <c r="L40" s="114"/>
      <c r="M40" s="114"/>
    </row>
    <row r="41" spans="1:13">
      <c r="A41" s="114"/>
      <c r="B41" s="114"/>
      <c r="C41" s="114"/>
      <c r="D41" s="114"/>
      <c r="E41" s="114"/>
      <c r="F41" s="114"/>
      <c r="G41" s="114"/>
      <c r="H41" s="114"/>
      <c r="I41" s="114"/>
      <c r="J41" s="114"/>
      <c r="K41" s="114"/>
      <c r="L41" s="114"/>
      <c r="M41" s="114"/>
    </row>
    <row r="42" spans="1:13">
      <c r="A42" s="114"/>
      <c r="B42" s="114"/>
      <c r="C42" s="114"/>
      <c r="D42" s="114"/>
      <c r="E42" s="114"/>
      <c r="F42" s="114"/>
      <c r="G42" s="114"/>
      <c r="H42" s="114"/>
      <c r="I42" s="114"/>
      <c r="J42" s="114"/>
      <c r="K42" s="114"/>
      <c r="L42" s="114"/>
      <c r="M42" s="114"/>
    </row>
    <row r="43" spans="1:13">
      <c r="A43" s="114"/>
      <c r="B43" s="114"/>
      <c r="C43" s="114"/>
      <c r="D43" s="114"/>
      <c r="E43" s="114"/>
      <c r="F43" s="114"/>
      <c r="G43" s="114"/>
      <c r="H43" s="114"/>
      <c r="I43" s="114"/>
      <c r="J43" s="114"/>
      <c r="K43" s="114"/>
      <c r="L43" s="114"/>
      <c r="M43" s="114"/>
    </row>
    <row r="44" spans="1:13">
      <c r="A44" s="114"/>
      <c r="B44" s="114"/>
      <c r="C44" s="114"/>
      <c r="D44" s="114"/>
      <c r="E44" s="114"/>
      <c r="F44" s="114"/>
      <c r="G44" s="114"/>
      <c r="H44" s="114"/>
      <c r="I44" s="114"/>
      <c r="J44" s="114"/>
      <c r="K44" s="114"/>
      <c r="L44" s="114"/>
      <c r="M44" s="114"/>
    </row>
    <row r="45" spans="1:13">
      <c r="A45" s="114"/>
      <c r="B45" s="114"/>
      <c r="C45" s="114"/>
      <c r="D45" s="114"/>
      <c r="E45" s="114"/>
      <c r="F45" s="114"/>
      <c r="G45" s="114"/>
      <c r="H45" s="114"/>
      <c r="I45" s="114"/>
      <c r="J45" s="114"/>
      <c r="K45" s="114"/>
      <c r="L45" s="114"/>
      <c r="M45" s="114"/>
    </row>
    <row r="46" spans="1:13">
      <c r="A46" s="114"/>
      <c r="B46" s="114"/>
      <c r="C46" s="114"/>
      <c r="D46" s="114"/>
      <c r="E46" s="114"/>
      <c r="F46" s="114"/>
      <c r="G46" s="114"/>
      <c r="H46" s="114"/>
      <c r="I46" s="114"/>
      <c r="J46" s="114"/>
      <c r="K46" s="114"/>
      <c r="L46" s="114"/>
      <c r="M46" s="114"/>
    </row>
    <row r="47" spans="1:13">
      <c r="A47" s="114"/>
      <c r="B47" s="114"/>
      <c r="C47" s="114"/>
      <c r="D47" s="114"/>
      <c r="E47" s="114"/>
      <c r="F47" s="114"/>
      <c r="G47" s="114"/>
      <c r="H47" s="114"/>
      <c r="I47" s="114"/>
      <c r="J47" s="114"/>
      <c r="K47" s="114"/>
      <c r="L47" s="114"/>
      <c r="M47" s="114"/>
    </row>
    <row r="48" spans="1:13">
      <c r="A48" s="114"/>
      <c r="B48" s="114"/>
      <c r="C48" s="114"/>
      <c r="D48" s="114"/>
      <c r="E48" s="114"/>
      <c r="F48" s="114"/>
      <c r="G48" s="114"/>
      <c r="H48" s="114"/>
      <c r="I48" s="114"/>
      <c r="J48" s="114"/>
      <c r="K48" s="114"/>
      <c r="L48" s="114"/>
      <c r="M48" s="114"/>
    </row>
    <row r="49" spans="1:13">
      <c r="A49" s="114"/>
      <c r="B49" s="114"/>
      <c r="C49" s="114"/>
      <c r="D49" s="114"/>
      <c r="E49" s="114"/>
      <c r="F49" s="114"/>
      <c r="G49" s="114"/>
      <c r="H49" s="114"/>
      <c r="I49" s="114"/>
      <c r="J49" s="114"/>
      <c r="K49" s="114"/>
      <c r="L49" s="114"/>
      <c r="M49" s="114"/>
    </row>
    <row r="50" spans="1:13">
      <c r="A50" s="114"/>
      <c r="B50" s="114"/>
      <c r="C50" s="114"/>
      <c r="D50" s="114"/>
      <c r="E50" s="114"/>
      <c r="F50" s="114"/>
      <c r="G50" s="114"/>
      <c r="H50" s="114"/>
      <c r="I50" s="114"/>
      <c r="J50" s="114"/>
      <c r="K50" s="114"/>
      <c r="L50" s="114"/>
      <c r="M50" s="114"/>
    </row>
    <row r="51" spans="1:13">
      <c r="A51" s="114"/>
      <c r="B51" s="114"/>
      <c r="C51" s="114"/>
      <c r="D51" s="114"/>
      <c r="E51" s="114"/>
      <c r="F51" s="114"/>
      <c r="G51" s="114"/>
      <c r="H51" s="114"/>
      <c r="I51" s="114"/>
      <c r="J51" s="114"/>
      <c r="K51" s="114"/>
      <c r="L51" s="114"/>
      <c r="M51" s="114"/>
    </row>
    <row r="52" spans="1:13">
      <c r="A52" s="114"/>
      <c r="B52" s="114"/>
      <c r="C52" s="114"/>
      <c r="D52" s="114"/>
      <c r="E52" s="114"/>
      <c r="F52" s="114"/>
      <c r="G52" s="114"/>
      <c r="H52" s="114"/>
      <c r="I52" s="114"/>
      <c r="J52" s="114"/>
      <c r="K52" s="114"/>
      <c r="L52" s="114"/>
      <c r="M52" s="114"/>
    </row>
    <row r="53" spans="1:13">
      <c r="A53" s="114"/>
      <c r="B53" s="114"/>
      <c r="C53" s="114"/>
      <c r="D53" s="114"/>
      <c r="E53" s="114"/>
      <c r="F53" s="114"/>
      <c r="G53" s="114"/>
      <c r="H53" s="114"/>
      <c r="I53" s="114"/>
      <c r="J53" s="114"/>
      <c r="K53" s="114"/>
      <c r="L53" s="114"/>
      <c r="M53" s="114"/>
    </row>
    <row r="54" spans="1:13">
      <c r="A54" s="114"/>
      <c r="B54" s="114"/>
      <c r="C54" s="114"/>
      <c r="D54" s="114"/>
      <c r="E54" s="114"/>
      <c r="F54" s="114"/>
      <c r="G54" s="114"/>
      <c r="H54" s="114"/>
      <c r="I54" s="114"/>
      <c r="J54" s="114"/>
      <c r="K54" s="114"/>
      <c r="L54" s="114"/>
      <c r="M54" s="114"/>
    </row>
    <row r="55" spans="1:13">
      <c r="A55" s="114"/>
      <c r="B55" s="114"/>
      <c r="C55" s="114"/>
      <c r="D55" s="114"/>
      <c r="E55" s="114"/>
      <c r="F55" s="114"/>
      <c r="G55" s="114"/>
      <c r="H55" s="114"/>
      <c r="I55" s="114"/>
      <c r="J55" s="114"/>
      <c r="K55" s="114"/>
      <c r="L55" s="114"/>
      <c r="M55" s="114"/>
    </row>
    <row r="56" spans="1:13">
      <c r="A56" s="114"/>
      <c r="B56" s="114"/>
      <c r="C56" s="114"/>
      <c r="D56" s="114"/>
      <c r="E56" s="114"/>
      <c r="F56" s="114"/>
      <c r="G56" s="114"/>
      <c r="H56" s="114"/>
      <c r="I56" s="114"/>
      <c r="J56" s="114"/>
      <c r="K56" s="114"/>
      <c r="L56" s="114"/>
      <c r="M56" s="114"/>
    </row>
    <row r="57" spans="1:13">
      <c r="A57" s="114"/>
      <c r="B57" s="114"/>
      <c r="C57" s="114"/>
      <c r="D57" s="114"/>
      <c r="E57" s="114"/>
      <c r="F57" s="114"/>
      <c r="G57" s="114"/>
      <c r="H57" s="114"/>
      <c r="I57" s="114"/>
      <c r="J57" s="114"/>
      <c r="K57" s="114"/>
      <c r="L57" s="114"/>
      <c r="M57" s="114"/>
    </row>
    <row r="58" spans="1:13">
      <c r="A58" s="114"/>
      <c r="B58" s="114"/>
      <c r="C58" s="114"/>
      <c r="D58" s="114"/>
      <c r="E58" s="114"/>
      <c r="F58" s="114"/>
      <c r="G58" s="114"/>
      <c r="H58" s="114"/>
      <c r="I58" s="114"/>
      <c r="J58" s="114"/>
      <c r="K58" s="114"/>
      <c r="L58" s="114"/>
      <c r="M58" s="114"/>
    </row>
    <row r="59" spans="1:13">
      <c r="A59" s="114"/>
      <c r="B59" s="114"/>
      <c r="C59" s="114"/>
      <c r="D59" s="114"/>
      <c r="E59" s="114"/>
      <c r="F59" s="114"/>
      <c r="G59" s="114"/>
      <c r="H59" s="114"/>
      <c r="I59" s="114"/>
      <c r="J59" s="114"/>
      <c r="K59" s="114"/>
      <c r="L59" s="114"/>
      <c r="M59" s="114"/>
    </row>
    <row r="60" spans="1:13">
      <c r="A60" s="114"/>
      <c r="B60" s="114"/>
      <c r="C60" s="114"/>
      <c r="D60" s="114"/>
      <c r="E60" s="114"/>
      <c r="F60" s="114"/>
      <c r="G60" s="114"/>
      <c r="H60" s="114"/>
      <c r="I60" s="114"/>
      <c r="J60" s="114"/>
      <c r="K60" s="114"/>
      <c r="L60" s="114"/>
      <c r="M60" s="114"/>
    </row>
    <row r="61" spans="1:13">
      <c r="A61" s="114"/>
      <c r="B61" s="114"/>
      <c r="C61" s="114"/>
      <c r="D61" s="114"/>
      <c r="E61" s="114"/>
      <c r="F61" s="114"/>
      <c r="G61" s="114"/>
      <c r="H61" s="114"/>
      <c r="I61" s="114"/>
      <c r="J61" s="114"/>
      <c r="K61" s="114"/>
      <c r="L61" s="114"/>
      <c r="M61" s="114"/>
    </row>
    <row r="62" spans="1:13">
      <c r="A62" s="114"/>
      <c r="B62" s="114"/>
      <c r="C62" s="114"/>
      <c r="D62" s="114"/>
      <c r="E62" s="114"/>
      <c r="F62" s="114"/>
      <c r="G62" s="114"/>
      <c r="H62" s="114"/>
      <c r="I62" s="114"/>
      <c r="J62" s="114"/>
      <c r="K62" s="114"/>
      <c r="L62" s="114"/>
      <c r="M62" s="114"/>
    </row>
    <row r="63" spans="1:13">
      <c r="A63" s="114"/>
      <c r="B63" s="114"/>
      <c r="C63" s="114"/>
      <c r="D63" s="114"/>
      <c r="E63" s="114"/>
      <c r="F63" s="114"/>
      <c r="G63" s="114"/>
      <c r="H63" s="114"/>
      <c r="I63" s="114"/>
      <c r="J63" s="114"/>
      <c r="K63" s="114"/>
      <c r="L63" s="114"/>
      <c r="M63" s="114"/>
    </row>
    <row r="64" spans="1:13">
      <c r="A64" s="114"/>
      <c r="B64" s="114"/>
      <c r="C64" s="114"/>
      <c r="D64" s="114"/>
      <c r="E64" s="114"/>
      <c r="F64" s="114"/>
      <c r="G64" s="114"/>
      <c r="H64" s="114"/>
      <c r="I64" s="114"/>
      <c r="J64" s="114"/>
      <c r="K64" s="114"/>
      <c r="L64" s="114"/>
      <c r="M64" s="114"/>
    </row>
    <row r="65" spans="1:13">
      <c r="A65" s="114"/>
      <c r="B65" s="114"/>
      <c r="C65" s="114"/>
      <c r="D65" s="114"/>
      <c r="E65" s="114"/>
      <c r="F65" s="114"/>
      <c r="G65" s="114"/>
      <c r="H65" s="114"/>
      <c r="I65" s="114"/>
      <c r="J65" s="114"/>
      <c r="K65" s="114"/>
      <c r="L65" s="114"/>
      <c r="M65" s="114"/>
    </row>
    <row r="66" spans="1:13">
      <c r="A66" s="114"/>
      <c r="B66" s="114"/>
      <c r="C66" s="114"/>
      <c r="D66" s="114"/>
      <c r="E66" s="114"/>
      <c r="F66" s="114"/>
      <c r="G66" s="114"/>
      <c r="H66" s="114"/>
      <c r="I66" s="114"/>
      <c r="J66" s="114"/>
      <c r="K66" s="114"/>
      <c r="L66" s="114"/>
      <c r="M66" s="114"/>
    </row>
    <row r="67" spans="1:13">
      <c r="A67" s="114"/>
      <c r="B67" s="114"/>
      <c r="C67" s="114"/>
      <c r="D67" s="114"/>
      <c r="E67" s="114"/>
      <c r="F67" s="114"/>
      <c r="G67" s="114"/>
      <c r="H67" s="114"/>
      <c r="I67" s="114"/>
      <c r="J67" s="114"/>
      <c r="K67" s="114"/>
      <c r="L67" s="114"/>
      <c r="M67" s="114"/>
    </row>
    <row r="68" spans="1:13">
      <c r="A68" s="114"/>
      <c r="B68" s="114"/>
      <c r="C68" s="114"/>
      <c r="D68" s="114"/>
      <c r="E68" s="114"/>
      <c r="F68" s="114"/>
      <c r="G68" s="114"/>
      <c r="H68" s="114"/>
      <c r="I68" s="114"/>
      <c r="J68" s="114"/>
      <c r="K68" s="114"/>
      <c r="L68" s="114"/>
      <c r="M68" s="114"/>
    </row>
    <row r="69" spans="1:13">
      <c r="A69" s="114"/>
      <c r="B69" s="114"/>
      <c r="C69" s="114"/>
      <c r="D69" s="114"/>
      <c r="E69" s="114"/>
      <c r="F69" s="114"/>
      <c r="G69" s="114"/>
      <c r="H69" s="114"/>
      <c r="I69" s="114"/>
      <c r="J69" s="114"/>
      <c r="K69" s="114"/>
      <c r="L69" s="114"/>
      <c r="M69" s="114"/>
    </row>
    <row r="70" spans="1:13">
      <c r="A70" s="114"/>
      <c r="B70" s="114"/>
      <c r="C70" s="114"/>
      <c r="D70" s="114"/>
      <c r="E70" s="114"/>
      <c r="F70" s="114"/>
      <c r="G70" s="114"/>
      <c r="H70" s="114"/>
      <c r="I70" s="114"/>
      <c r="J70" s="114"/>
      <c r="K70" s="114"/>
      <c r="L70" s="114"/>
      <c r="M70" s="114"/>
    </row>
    <row r="71" spans="1:13">
      <c r="A71" s="114"/>
      <c r="B71" s="114"/>
      <c r="C71" s="114"/>
      <c r="D71" s="114"/>
      <c r="E71" s="114"/>
      <c r="F71" s="114"/>
      <c r="G71" s="114"/>
      <c r="H71" s="114"/>
      <c r="I71" s="114"/>
      <c r="J71" s="114"/>
      <c r="K71" s="114"/>
      <c r="L71" s="114"/>
      <c r="M71" s="114"/>
    </row>
    <row r="72" spans="1:13">
      <c r="A72" s="114"/>
      <c r="B72" s="114"/>
      <c r="C72" s="114"/>
      <c r="D72" s="114"/>
      <c r="E72" s="114"/>
      <c r="F72" s="114"/>
      <c r="G72" s="114"/>
      <c r="H72" s="114"/>
      <c r="I72" s="114"/>
      <c r="J72" s="114"/>
      <c r="K72" s="114"/>
      <c r="L72" s="114"/>
      <c r="M72" s="114"/>
    </row>
    <row r="73" spans="1:13">
      <c r="A73" s="114"/>
      <c r="B73" s="114"/>
      <c r="C73" s="114"/>
      <c r="D73" s="114"/>
      <c r="E73" s="114"/>
      <c r="F73" s="114"/>
      <c r="G73" s="114"/>
      <c r="H73" s="114"/>
      <c r="I73" s="114"/>
      <c r="J73" s="114"/>
      <c r="K73" s="114"/>
      <c r="L73" s="114"/>
      <c r="M73" s="114"/>
    </row>
    <row r="74" spans="1:13">
      <c r="A74" s="114"/>
      <c r="B74" s="114"/>
      <c r="C74" s="114"/>
      <c r="D74" s="114"/>
      <c r="E74" s="114"/>
      <c r="F74" s="114"/>
      <c r="G74" s="114"/>
      <c r="H74" s="114"/>
      <c r="I74" s="114"/>
      <c r="J74" s="114"/>
      <c r="K74" s="114"/>
      <c r="L74" s="114"/>
      <c r="M74" s="114"/>
    </row>
    <row r="75" spans="1:13">
      <c r="A75" s="114"/>
      <c r="B75" s="114"/>
      <c r="C75" s="114"/>
      <c r="D75" s="114"/>
      <c r="E75" s="114"/>
      <c r="F75" s="114"/>
      <c r="G75" s="114"/>
      <c r="H75" s="114"/>
      <c r="I75" s="114"/>
      <c r="J75" s="114"/>
      <c r="K75" s="114"/>
      <c r="L75" s="114"/>
      <c r="M75" s="114"/>
    </row>
    <row r="76" spans="1:13">
      <c r="A76" s="114"/>
      <c r="B76" s="114"/>
      <c r="C76" s="114"/>
      <c r="D76" s="114"/>
      <c r="E76" s="114"/>
      <c r="F76" s="114"/>
      <c r="G76" s="114"/>
      <c r="H76" s="114"/>
      <c r="I76" s="114"/>
      <c r="J76" s="114"/>
      <c r="K76" s="114"/>
      <c r="L76" s="114"/>
      <c r="M76" s="114"/>
    </row>
  </sheetData>
  <mergeCells count="2">
    <mergeCell ref="B19:J24"/>
    <mergeCell ref="B2:J3"/>
  </mergeCells>
  <phoneticPr fontId="0" type="noConversion"/>
  <pageMargins left="0.19685039370078741" right="0.19685039370078741" top="0.59055118110236227" bottom="0.39370078740157483" header="0.51181102362204722" footer="0.51181102362204722"/>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82</vt:i4>
      </vt:variant>
    </vt:vector>
  </HeadingPairs>
  <TitlesOfParts>
    <vt:vector size="135" baseType="lpstr">
      <vt:lpstr>Leading Practice</vt:lpstr>
      <vt:lpstr>Introduction</vt:lpstr>
      <vt:lpstr>User Guide</vt:lpstr>
      <vt:lpstr>Main Menu</vt:lpstr>
      <vt:lpstr>Prod Parameters</vt:lpstr>
      <vt:lpstr>NRR Calculations</vt:lpstr>
      <vt:lpstr>PPE</vt:lpstr>
      <vt:lpstr>Hilti</vt:lpstr>
      <vt:lpstr>S215</vt:lpstr>
      <vt:lpstr>S215M</vt:lpstr>
      <vt:lpstr>Sulzer</vt:lpstr>
      <vt:lpstr>Physical Properties - Mass</vt:lpstr>
      <vt:lpstr>Physical Properties - Lenght</vt:lpstr>
      <vt:lpstr>SPL Single RD</vt:lpstr>
      <vt:lpstr>SPL Multiple RD's</vt:lpstr>
      <vt:lpstr>Laeq - Single RD</vt:lpstr>
      <vt:lpstr>Laeq - Multiple RD</vt:lpstr>
      <vt:lpstr>Exp Time - Single RD</vt:lpstr>
      <vt:lpstr>Exp Time - Multiple RD</vt:lpstr>
      <vt:lpstr>Ergonomics - Vibration</vt:lpstr>
      <vt:lpstr>Safety &amp; Environment</vt:lpstr>
      <vt:lpstr>Penetration Rate</vt:lpstr>
      <vt:lpstr>Drilling Time per Hole</vt:lpstr>
      <vt:lpstr>Drilling Shift Length</vt:lpstr>
      <vt:lpstr>Consum - RD kWhm Usage</vt:lpstr>
      <vt:lpstr>Consum - RD's Energy per Shift</vt:lpstr>
      <vt:lpstr>Compressor Input Data</vt:lpstr>
      <vt:lpstr>Consum - Energy Input</vt:lpstr>
      <vt:lpstr>Comp Air Sys Eff</vt:lpstr>
      <vt:lpstr>Air Consumption per Shift</vt:lpstr>
      <vt:lpstr>Water Consumption per Shift</vt:lpstr>
      <vt:lpstr>Capital Cost</vt:lpstr>
      <vt:lpstr>Consumables</vt:lpstr>
      <vt:lpstr>Energy Cost per Day</vt:lpstr>
      <vt:lpstr>Energy Cost per Month</vt:lpstr>
      <vt:lpstr>Total Energy Cost per Annum</vt:lpstr>
      <vt:lpstr>Compensation Working Master</vt:lpstr>
      <vt:lpstr>NIHL Compenation Cost</vt:lpstr>
      <vt:lpstr>NIHL Cost per Stoping Crew</vt:lpstr>
      <vt:lpstr>Operating Cost per Annum</vt:lpstr>
      <vt:lpstr>Lookup Properties</vt:lpstr>
      <vt:lpstr>Lookup Risk Table</vt:lpstr>
      <vt:lpstr>Lookup Ready-reckoner</vt:lpstr>
      <vt:lpstr>Lookup Penetration Rate</vt:lpstr>
      <vt:lpstr>Lookup dBA</vt:lpstr>
      <vt:lpstr>Lookup Exposure Time</vt:lpstr>
      <vt:lpstr>Lookup Vibration</vt:lpstr>
      <vt:lpstr>Lookup Energy kWhm</vt:lpstr>
      <vt:lpstr>Lookup Air Consumption</vt:lpstr>
      <vt:lpstr>Lookup Water Flow</vt:lpstr>
      <vt:lpstr>Working Master </vt:lpstr>
      <vt:lpstr>Summary Sheet</vt:lpstr>
      <vt:lpstr>Value Case</vt:lpstr>
      <vt:lpstr>'Value Case'!_Toc213476059</vt:lpstr>
      <vt:lpstr>'Value Case'!_Toc214165775</vt:lpstr>
      <vt:lpstr>'Value Case'!_Toc214170983</vt:lpstr>
      <vt:lpstr>'Value Case'!_Toc214170984</vt:lpstr>
      <vt:lpstr>'Value Case'!_Toc214170985</vt:lpstr>
      <vt:lpstr>'Value Case'!_Toc214170986</vt:lpstr>
      <vt:lpstr>'Value Case'!_Toc214170987</vt:lpstr>
      <vt:lpstr>'Value Case'!_Toc214170988</vt:lpstr>
      <vt:lpstr>'Value Case'!_Toc214170989</vt:lpstr>
      <vt:lpstr>'Value Case'!_Toc214170990</vt:lpstr>
      <vt:lpstr>'Value Case'!_Toc214170991</vt:lpstr>
      <vt:lpstr>'Value Case'!_Toc214170992</vt:lpstr>
      <vt:lpstr>'Value Case'!_Toc214170993</vt:lpstr>
      <vt:lpstr>'Value Case'!_Toc214170994</vt:lpstr>
      <vt:lpstr>'Value Case'!_Toc214170995</vt:lpstr>
      <vt:lpstr>'Value Case'!_Toc214170997</vt:lpstr>
      <vt:lpstr>'Value Case'!_Toc214170998</vt:lpstr>
      <vt:lpstr>'Value Case'!_Toc214170999</vt:lpstr>
      <vt:lpstr>'Value Case'!_Toc214171000</vt:lpstr>
      <vt:lpstr>'Value Case'!_Toc214171001</vt:lpstr>
      <vt:lpstr>'Value Case'!_Toc214171002</vt:lpstr>
      <vt:lpstr>'Value Case'!_Toc214171003</vt:lpstr>
      <vt:lpstr>'Value Case'!_Toc214171004</vt:lpstr>
      <vt:lpstr>'Value Case'!_Toc214171005</vt:lpstr>
      <vt:lpstr>'Value Case'!_Toc214171006</vt:lpstr>
      <vt:lpstr>'Value Case'!_Toc214171007</vt:lpstr>
      <vt:lpstr>'Value Case'!_Toc214171008</vt:lpstr>
      <vt:lpstr>'Value Case'!_Toc214171010</vt:lpstr>
      <vt:lpstr>'Value Case'!_Toc214171011</vt:lpstr>
      <vt:lpstr>'Value Case'!_Toc214171012</vt:lpstr>
      <vt:lpstr>'Value Case'!_Toc214171014</vt:lpstr>
      <vt:lpstr>'Value Case'!_Toc214171015</vt:lpstr>
      <vt:lpstr>'Value Case'!_Toc214171016</vt:lpstr>
      <vt:lpstr>'Value Case'!OLE_LINK1</vt:lpstr>
      <vt:lpstr>'Value Case'!OLE_LINK2</vt:lpstr>
      <vt:lpstr>'Air Consumption per Shift'!Print_Area</vt:lpstr>
      <vt:lpstr>'Capital Cost'!Print_Area</vt:lpstr>
      <vt:lpstr>'Comp Air Sys Eff'!Print_Area</vt:lpstr>
      <vt:lpstr>'Compressor Input Data'!Print_Area</vt:lpstr>
      <vt:lpstr>'Consum - Energy Input'!Print_Area</vt:lpstr>
      <vt:lpstr>'Consum - RD kWhm Usage'!Print_Area</vt:lpstr>
      <vt:lpstr>'Consum - RD''s Energy per Shift'!Print_Area</vt:lpstr>
      <vt:lpstr>Consumables!Print_Area</vt:lpstr>
      <vt:lpstr>'Drilling Shift Length'!Print_Area</vt:lpstr>
      <vt:lpstr>'Drilling Time per Hole'!Print_Area</vt:lpstr>
      <vt:lpstr>'Energy Cost per Day'!Print_Area</vt:lpstr>
      <vt:lpstr>'Energy Cost per Month'!Print_Area</vt:lpstr>
      <vt:lpstr>'Ergonomics - Vibration'!Print_Area</vt:lpstr>
      <vt:lpstr>'Exp Time - Multiple RD'!Print_Area</vt:lpstr>
      <vt:lpstr>'Exp Time - Single RD'!Print_Area</vt:lpstr>
      <vt:lpstr>Hilti!Print_Area</vt:lpstr>
      <vt:lpstr>Introduction!Print_Area</vt:lpstr>
      <vt:lpstr>'Laeq - Multiple RD'!Print_Area</vt:lpstr>
      <vt:lpstr>'Laeq - Single RD'!Print_Area</vt:lpstr>
      <vt:lpstr>'Lookup dBA'!Print_Area</vt:lpstr>
      <vt:lpstr>'Lookup Energy kWhm'!Print_Area</vt:lpstr>
      <vt:lpstr>'Lookup Exposure Time'!Print_Area</vt:lpstr>
      <vt:lpstr>'Lookup Penetration Rate'!Print_Area</vt:lpstr>
      <vt:lpstr>'Lookup Ready-reckoner'!Print_Area</vt:lpstr>
      <vt:lpstr>'Lookup Risk Table'!Print_Area</vt:lpstr>
      <vt:lpstr>'Lookup Vibration'!Print_Area</vt:lpstr>
      <vt:lpstr>'Main Menu'!Print_Area</vt:lpstr>
      <vt:lpstr>'NIHL Compenation Cost'!Print_Area</vt:lpstr>
      <vt:lpstr>'NIHL Cost per Stoping Crew'!Print_Area</vt:lpstr>
      <vt:lpstr>'NRR Calculations'!Print_Area</vt:lpstr>
      <vt:lpstr>'Operating Cost per Annum'!Print_Area</vt:lpstr>
      <vt:lpstr>'Penetration Rate'!Print_Area</vt:lpstr>
      <vt:lpstr>'Physical Properties - Lenght'!Print_Area</vt:lpstr>
      <vt:lpstr>'Physical Properties - Mass'!Print_Area</vt:lpstr>
      <vt:lpstr>PPE!Print_Area</vt:lpstr>
      <vt:lpstr>'Prod Parameters'!Print_Area</vt:lpstr>
      <vt:lpstr>'S215'!Print_Area</vt:lpstr>
      <vt:lpstr>S215M!Print_Area</vt:lpstr>
      <vt:lpstr>'Safety &amp; Environment'!Print_Area</vt:lpstr>
      <vt:lpstr>'SPL Multiple RD''s'!Print_Area</vt:lpstr>
      <vt:lpstr>'SPL Single RD'!Print_Area</vt:lpstr>
      <vt:lpstr>Sulzer!Print_Area</vt:lpstr>
      <vt:lpstr>'Summary Sheet'!Print_Area</vt:lpstr>
      <vt:lpstr>'Total Energy Cost per Annum'!Print_Area</vt:lpstr>
      <vt:lpstr>'User Guide'!Print_Area</vt:lpstr>
      <vt:lpstr>'Value Case'!Print_Area</vt:lpstr>
      <vt:lpstr>'Water Consumption per Shift'!Print_Area</vt:lpstr>
    </vt:vector>
  </TitlesOfParts>
  <Company>HGM</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hgumede</cp:lastModifiedBy>
  <cp:lastPrinted>2009-01-15T10:49:27Z</cp:lastPrinted>
  <dcterms:created xsi:type="dcterms:W3CDTF">2008-08-06T05:59:04Z</dcterms:created>
  <dcterms:modified xsi:type="dcterms:W3CDTF">2013-10-09T09:10:22Z</dcterms:modified>
</cp:coreProperties>
</file>